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020" tabRatio="790" firstSheet="17" activeTab="53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sản lượng" sheetId="249" state="hidden" r:id="rId10"/>
    <sheet name="SIRUM" sheetId="322" state="hidden" r:id="rId11"/>
    <sheet name="CHẤM CÔNG " sheetId="231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Sheet1" sheetId="338" state="hidden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CÁCH TÍNH LƯƠNG" sheetId="187" state="hidden" r:id="rId29"/>
    <sheet name="CHẤM CÔNG NGƯỜI LÀO" sheetId="320" r:id="rId30"/>
    <sheet name="LƯƠNG ĐỘI" sheetId="335" r:id="rId31"/>
    <sheet name="TH LƯƠNG" sheetId="333" r:id="rId32"/>
    <sheet name="BẢNG PHÂN TOÁN " sheetId="317" r:id="rId33"/>
    <sheet name="DS NỘP THUẾ " sheetId="318" r:id="rId34"/>
    <sheet name="TT CVK" sheetId="337" state="hidden" r:id="rId35"/>
    <sheet name="CHẤM CÔNG XXE" sheetId="325" state="hidden" r:id="rId36"/>
    <sheet name="CHẤM CÔNG NGƯỜI VIỆT" sheetId="314" state="hidden" r:id="rId37"/>
    <sheet name="TỔNG HỢP CVK" sheetId="56" state="hidden" r:id="rId38"/>
    <sheet name="PC NGƯỜI VIỆT" sheetId="323" state="hidden" r:id="rId39"/>
    <sheet name="Chấm công BV2" sheetId="277" state="hidden" r:id="rId40"/>
    <sheet name="THPT" sheetId="283" state="hidden" r:id="rId41"/>
    <sheet name="BẢNG PHÂN TOÁN" sheetId="235" state="hidden" r:id="rId42"/>
    <sheet name="THMSC" sheetId="84" state="hidden" r:id="rId43"/>
    <sheet name="CCCNSCM" sheetId="83" state="hidden" r:id="rId44"/>
    <sheet name="TH LƯƠNG NT1" sheetId="76" state="hidden" r:id="rId45"/>
    <sheet name="Vigo" sheetId="206" state="hidden" r:id="rId46"/>
    <sheet name="DS NỘP THUẾ" sheetId="290" state="hidden" r:id="rId47"/>
    <sheet name="BẢNG PHÂN TOÁN (2)" sheetId="291" state="hidden" r:id="rId48"/>
    <sheet name="PC XĂNG XE" sheetId="281" state="hidden" r:id="rId49"/>
    <sheet name="Chấm công CB" sheetId="108" state="hidden" r:id="rId50"/>
    <sheet name="Chấm công XĂNG XE" sheetId="304" state="hidden" r:id="rId51"/>
    <sheet name="PCXĂNG XE" sheetId="319" state="hidden" r:id="rId52"/>
    <sheet name="PL con" sheetId="328" state="hidden" r:id="rId53"/>
    <sheet name="LƯƠNG KT" sheetId="31" r:id="rId54"/>
    <sheet name="TRỰC TIẾP 2" sheetId="334" state="hidden" r:id="rId55"/>
    <sheet name="KTCB" sheetId="54" state="hidden" r:id="rId56"/>
    <sheet name="Chấm công BV" sheetId="280" state="hidden" r:id="rId57"/>
    <sheet name="CCBVL" sheetId="9" state="hidden" r:id="rId58"/>
  </sheets>
  <externalReferences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_FilterDatabase" localSheetId="16" hidden="1">'bảng kê công'!$A$12:$AZ$467</definedName>
    <definedName name="_xlnm._FilterDatabase" localSheetId="11" hidden="1">'CHẤM CÔNG '!$A$13:$AW$169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5'!$AD$10:$AE$12</definedName>
    <definedName name="_xlnm._FilterDatabase" localSheetId="25" hidden="1">'Đội 6'!$A$14:$AK$84</definedName>
    <definedName name="_xlnm._FilterDatabase" localSheetId="53" hidden="1">'LƯƠNG KT'!$A$16:$HC$188</definedName>
    <definedName name="_xlnm._FilterDatabase" localSheetId="9" hidden="1">'sản lượng'!$A$13:$AY$170</definedName>
    <definedName name="_xlnm._FilterDatabase" localSheetId="14" hidden="1">THCKT!$A$12:$AR$471</definedName>
    <definedName name="_xlnm._FilterDatabase" localSheetId="17" hidden="1">'TRẠM 1'!$A$15:$HS$111</definedName>
    <definedName name="_xlnm._FilterDatabase" localSheetId="27" hidden="1">'TRẠM 2'!$A$15:$HS$93</definedName>
    <definedName name="_xlnm.Print_Area" localSheetId="28">'CÁCH TÍNH LƯƠNG'!$A$1:$U$46</definedName>
    <definedName name="_xlnm.Print_Area" localSheetId="57">CCBVL!$A:$AI</definedName>
    <definedName name="_xlnm.Print_Area" localSheetId="43">CCCNSCM!$A$1:$AJ$29</definedName>
    <definedName name="_xlnm.Print_Area" localSheetId="29">'CHẤM CÔNG NGƯỜI LÀO'!$A$1:$AL$36</definedName>
    <definedName name="_xlnm.Print_Area" localSheetId="35">'CHẤM CÔNG XXE'!$A$1:$AJ$35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5">KTCB!$A$1:$G$25</definedName>
    <definedName name="_xlnm.Print_Area" localSheetId="30">'LƯƠNG ĐỘI'!$A$1:$M$75</definedName>
    <definedName name="_xlnm.Print_Area" localSheetId="3">'LƯƠNG GIA THUỘC THÁNG 11'!$A$1:$N$2647</definedName>
    <definedName name="_xlnm.Print_Area" localSheetId="53">'LƯƠNG KT'!$A$1:$AC$234</definedName>
    <definedName name="_xlnm.Print_Area" localSheetId="37">'TỔNG HỢP CVK'!$A$1:$H$28</definedName>
    <definedName name="_xlnm.Print_Area" localSheetId="34">'TT CVK'!$A$1:$H$28</definedName>
    <definedName name="_xlnm.Print_Area" localSheetId="31">'TH LƯƠNG'!$A$1:$W$50</definedName>
    <definedName name="_xlnm.Print_Area" localSheetId="42">THMSC!$A$1:$AJ$29</definedName>
    <definedName name="_xlnm.Print_Area" localSheetId="17">'TRẠM 1'!$A$1:$AD$158</definedName>
    <definedName name="_xlnm.Print_Area" localSheetId="27">'TRẠM 2'!$A$1:$AD$140</definedName>
    <definedName name="_xlnm.Print_Area" localSheetId="26">'TRẠM CÁN'!$A$1:$X$36</definedName>
    <definedName name="_xlnm.Print_Titles" localSheetId="16">'bảng kê công'!$8:$9</definedName>
    <definedName name="_xlnm.Print_Titles" localSheetId="41">'BẢNG PHÂN TOÁN'!$12:$12</definedName>
    <definedName name="_xlnm.Print_Titles" localSheetId="32">'BẢNG PHÂN TOÁN '!$11:$11</definedName>
    <definedName name="_xlnm.Print_Titles" localSheetId="47">'BẢNG PHÂN TOÁN (2)'!$10:$10</definedName>
    <definedName name="_xlnm.Print_Titles" localSheetId="28">'CÁCH TÍNH LƯƠNG'!$9:$9</definedName>
    <definedName name="_xlnm.Print_Titles" localSheetId="57">CCBVL!$6:$7</definedName>
    <definedName name="_xlnm.Print_Titles" localSheetId="13">'Công cây non'!$6:$8</definedName>
    <definedName name="_xlnm.Print_Titles" localSheetId="11">'CHẤM CÔNG '!$10:$11</definedName>
    <definedName name="_xlnm.Print_Titles" localSheetId="4">'CHẤM CÔNG Axit'!$6:$8</definedName>
    <definedName name="_xlnm.Print_Titles" localSheetId="56">'Chấm công BV'!$9:$9</definedName>
    <definedName name="_xlnm.Print_Titles" localSheetId="39">'Chấm công BV2'!$9:$9</definedName>
    <definedName name="_xlnm.Print_Titles" localSheetId="49">'Chấm công CB'!$9:$10</definedName>
    <definedName name="_xlnm.Print_Titles" localSheetId="36">'CHẤM CÔNG NGƯỜI VIỆT'!$9:$10</definedName>
    <definedName name="_xlnm.Print_Titles" localSheetId="50">'Chấm công XĂNG XE'!$9:$10</definedName>
    <definedName name="_xlnm.Print_Titles" localSheetId="7">'DS CN MOI UP'!$7:$7</definedName>
    <definedName name="_xlnm.Print_Titles" localSheetId="46">'DS NỘP THUẾ'!$9:$9</definedName>
    <definedName name="_xlnm.Print_Titles" localSheetId="33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5">KTCB!$9:$11</definedName>
    <definedName name="_xlnm.Print_Titles" localSheetId="30">'LƯƠNG ĐỘI'!$9:$10</definedName>
    <definedName name="_xlnm.Print_Titles" localSheetId="3">'LƯƠNG GIA THUỘC THÁNG 11'!$A:$D,'LƯƠNG GIA THUỘC THÁNG 11'!$10:$12</definedName>
    <definedName name="_xlnm.Print_Titles" localSheetId="53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8">'PC XĂNG XE'!$9:$10</definedName>
    <definedName name="_xlnm.Print_Titles" localSheetId="2">'PCNC BUN '!$10:$11</definedName>
    <definedName name="_xlnm.Print_Titles" localSheetId="51">'PCXĂNG XE'!$9:$10</definedName>
    <definedName name="_xlnm.Print_Titles" localSheetId="9">'sản lượng'!$9:$11</definedName>
    <definedName name="_xlnm.Print_Titles" localSheetId="37">'TỔNG HỢP CVK'!$9:$10</definedName>
    <definedName name="_xlnm.Print_Titles" localSheetId="44">'TH LƯƠNG NT1'!$6:$6</definedName>
    <definedName name="_xlnm.Print_Titles" localSheetId="14">THCKT!$8:$9</definedName>
    <definedName name="_xlnm.Print_Titles" localSheetId="40">THPT!$12:$12</definedName>
    <definedName name="_xlnm.Print_Titles" localSheetId="0">'thưởng 300'!$10:$10</definedName>
    <definedName name="_xlnm.Print_Titles" localSheetId="17">'TRẠM 1'!$10:$13</definedName>
    <definedName name="_xlnm.Print_Titles" localSheetId="27">'TRẠM 2'!$10:$13</definedName>
    <definedName name="_xlnm.Print_Titles" localSheetId="26">'TRẠM CÁN'!$9:$11</definedName>
  </definedNames>
  <calcPr calcId="144525"/>
</workbook>
</file>

<file path=xl/calcChain.xml><?xml version="1.0" encoding="utf-8"?>
<calcChain xmlns="http://schemas.openxmlformats.org/spreadsheetml/2006/main">
  <c r="G27" i="317" l="1"/>
  <c r="L13" i="187"/>
  <c r="L14" i="187"/>
  <c r="L12" i="187"/>
  <c r="H12" i="187"/>
  <c r="I33" i="317" l="1"/>
  <c r="M96" i="321"/>
  <c r="G26" i="317"/>
  <c r="G21" i="317"/>
  <c r="N86" i="312"/>
  <c r="N85" i="312"/>
  <c r="N69" i="312"/>
  <c r="N70" i="312"/>
  <c r="N71" i="312"/>
  <c r="N72" i="312"/>
  <c r="N73" i="312"/>
  <c r="N74" i="312"/>
  <c r="N75" i="312"/>
  <c r="N76" i="312"/>
  <c r="N77" i="312"/>
  <c r="N78" i="312"/>
  <c r="N79" i="312"/>
  <c r="N80" i="312"/>
  <c r="N68" i="312"/>
  <c r="N16" i="312"/>
  <c r="N17" i="312"/>
  <c r="N18" i="312"/>
  <c r="N19" i="312"/>
  <c r="N20" i="312"/>
  <c r="N21" i="312"/>
  <c r="N22" i="312"/>
  <c r="N23" i="312"/>
  <c r="N24" i="312"/>
  <c r="N25" i="312"/>
  <c r="N26" i="312"/>
  <c r="N27" i="312"/>
  <c r="N28" i="312"/>
  <c r="N29" i="312"/>
  <c r="N30" i="312"/>
  <c r="N31" i="312"/>
  <c r="N32" i="312"/>
  <c r="N33" i="312"/>
  <c r="N34" i="312"/>
  <c r="N35" i="312"/>
  <c r="N36" i="312"/>
  <c r="N37" i="312"/>
  <c r="N38" i="312"/>
  <c r="N39" i="312"/>
  <c r="N40" i="312"/>
  <c r="N41" i="312"/>
  <c r="N42" i="312"/>
  <c r="N43" i="312"/>
  <c r="N44" i="312"/>
  <c r="N45" i="312"/>
  <c r="N46" i="312"/>
  <c r="N47" i="312"/>
  <c r="N48" i="312"/>
  <c r="N49" i="312"/>
  <c r="N50" i="312"/>
  <c r="N51" i="312"/>
  <c r="N52" i="312"/>
  <c r="N53" i="312"/>
  <c r="N54" i="312"/>
  <c r="N55" i="312"/>
  <c r="N56" i="312"/>
  <c r="N57" i="312"/>
  <c r="N58" i="312"/>
  <c r="N59" i="312"/>
  <c r="N60" i="312"/>
  <c r="N61" i="312"/>
  <c r="N62" i="312"/>
  <c r="N63" i="312"/>
  <c r="N64" i="312"/>
  <c r="N65" i="312"/>
  <c r="N66" i="312"/>
  <c r="N67" i="312"/>
  <c r="D20" i="317"/>
  <c r="D26" i="317"/>
  <c r="F31" i="317"/>
  <c r="G23" i="317"/>
  <c r="Z15" i="312"/>
  <c r="I90" i="312"/>
  <c r="J13" i="333"/>
  <c r="F19" i="317"/>
  <c r="F15" i="317"/>
  <c r="B4" i="338" l="1"/>
  <c r="B3" i="338"/>
  <c r="B5" i="338" l="1"/>
  <c r="J8" i="317" l="1"/>
  <c r="E8" i="257" l="1"/>
  <c r="I43" i="317"/>
  <c r="G43" i="317"/>
  <c r="J86" i="312"/>
  <c r="I86" i="312"/>
  <c r="M14" i="187" l="1"/>
  <c r="M13" i="187"/>
  <c r="M12" i="187"/>
  <c r="K21" i="187" l="1"/>
  <c r="K17" i="187"/>
  <c r="K16" i="187"/>
  <c r="AM165" i="249"/>
  <c r="AM166" i="249"/>
  <c r="AN166" i="249" s="1"/>
  <c r="AM167" i="249"/>
  <c r="AM168" i="249"/>
  <c r="AM100" i="249"/>
  <c r="AM101" i="249"/>
  <c r="AM102" i="249"/>
  <c r="AM103" i="249"/>
  <c r="AN103" i="249" s="1"/>
  <c r="AM104" i="249"/>
  <c r="AM105" i="249"/>
  <c r="AM106" i="249"/>
  <c r="AM107" i="249"/>
  <c r="AN107" i="249" s="1"/>
  <c r="AM108" i="249"/>
  <c r="AM109" i="249"/>
  <c r="AM110" i="249"/>
  <c r="AM111" i="249"/>
  <c r="AN111" i="249" s="1"/>
  <c r="AM112" i="249"/>
  <c r="AM113" i="249"/>
  <c r="AM114" i="249"/>
  <c r="AM115" i="249"/>
  <c r="AN115" i="249" s="1"/>
  <c r="AM116" i="249"/>
  <c r="AM117" i="249"/>
  <c r="AM118" i="249"/>
  <c r="AM119" i="249"/>
  <c r="AN119" i="249" s="1"/>
  <c r="AM120" i="249"/>
  <c r="AM121" i="249"/>
  <c r="AM122" i="249"/>
  <c r="AM123" i="249"/>
  <c r="AN123" i="249" s="1"/>
  <c r="AM124" i="249"/>
  <c r="AM125" i="249"/>
  <c r="AM126" i="249"/>
  <c r="AM127" i="249"/>
  <c r="AN127" i="249" s="1"/>
  <c r="AM128" i="249"/>
  <c r="AM129" i="249"/>
  <c r="AM130" i="249"/>
  <c r="AM131" i="249"/>
  <c r="AN131" i="249" s="1"/>
  <c r="AM132" i="249"/>
  <c r="AM133" i="249"/>
  <c r="AM134" i="249"/>
  <c r="AM135" i="249"/>
  <c r="AN135" i="249" s="1"/>
  <c r="AM136" i="249"/>
  <c r="AM137" i="249"/>
  <c r="AM138" i="249"/>
  <c r="AM139" i="249"/>
  <c r="AN139" i="249" s="1"/>
  <c r="AM140" i="249"/>
  <c r="AM141" i="249"/>
  <c r="AM142" i="249"/>
  <c r="AM143" i="249"/>
  <c r="AN143" i="249" s="1"/>
  <c r="AM144" i="249"/>
  <c r="AM145" i="249"/>
  <c r="AM146" i="249"/>
  <c r="AM147" i="249"/>
  <c r="AN147" i="249" s="1"/>
  <c r="AM148" i="249"/>
  <c r="AM149" i="249"/>
  <c r="AM150" i="249"/>
  <c r="AM151" i="249"/>
  <c r="AN151" i="249" s="1"/>
  <c r="AM152" i="249"/>
  <c r="AM153" i="249"/>
  <c r="AM154" i="249"/>
  <c r="AM155" i="249"/>
  <c r="AN155" i="249" s="1"/>
  <c r="AM156" i="249"/>
  <c r="AM157" i="249"/>
  <c r="AM158" i="249"/>
  <c r="AM159" i="249"/>
  <c r="AN159" i="249" s="1"/>
  <c r="AM160" i="249"/>
  <c r="AM161" i="249"/>
  <c r="AM162" i="249"/>
  <c r="AM163" i="249"/>
  <c r="AN163" i="249" s="1"/>
  <c r="AM164" i="249"/>
  <c r="AN167" i="249"/>
  <c r="AM169" i="249"/>
  <c r="AM99" i="249"/>
  <c r="AN100" i="249"/>
  <c r="AN101" i="249"/>
  <c r="AN102" i="249"/>
  <c r="AN104" i="249"/>
  <c r="AN105" i="249"/>
  <c r="AN106" i="249"/>
  <c r="AN108" i="249"/>
  <c r="AN109" i="249"/>
  <c r="AN110" i="249"/>
  <c r="AN112" i="249"/>
  <c r="AN113" i="249"/>
  <c r="AN114" i="249"/>
  <c r="AN116" i="249"/>
  <c r="AN117" i="249"/>
  <c r="AN118" i="249"/>
  <c r="AN120" i="249"/>
  <c r="AN121" i="249"/>
  <c r="AN122" i="249"/>
  <c r="AN124" i="249"/>
  <c r="AN125" i="249"/>
  <c r="AN126" i="249"/>
  <c r="AN128" i="249"/>
  <c r="AN129" i="249"/>
  <c r="AN130" i="249"/>
  <c r="AN132" i="249"/>
  <c r="AN133" i="249"/>
  <c r="AN134" i="249"/>
  <c r="AN136" i="249"/>
  <c r="AN137" i="249"/>
  <c r="AN138" i="249"/>
  <c r="AN140" i="249"/>
  <c r="AN141" i="249"/>
  <c r="AN142" i="249"/>
  <c r="AN144" i="249"/>
  <c r="AN145" i="249"/>
  <c r="AN146" i="249"/>
  <c r="AN148" i="249"/>
  <c r="AN149" i="249"/>
  <c r="AN150" i="249"/>
  <c r="AN152" i="249"/>
  <c r="AN153" i="249"/>
  <c r="AN154" i="249"/>
  <c r="AN156" i="249"/>
  <c r="AN157" i="249"/>
  <c r="AN158" i="249"/>
  <c r="AN160" i="249"/>
  <c r="AN161" i="249"/>
  <c r="AN162" i="249"/>
  <c r="AN164" i="249"/>
  <c r="AN165" i="249"/>
  <c r="AN168" i="249"/>
  <c r="AN169" i="249"/>
  <c r="AM15" i="249"/>
  <c r="AM16" i="249"/>
  <c r="AM17" i="249"/>
  <c r="AM18" i="249"/>
  <c r="AM19" i="249"/>
  <c r="AM20" i="249"/>
  <c r="AM21" i="249"/>
  <c r="AM22" i="249"/>
  <c r="AM23" i="249"/>
  <c r="AM24" i="249"/>
  <c r="AM25" i="249"/>
  <c r="AM26" i="249"/>
  <c r="AM27" i="249"/>
  <c r="AM28" i="249"/>
  <c r="AM29" i="249"/>
  <c r="AM30" i="249"/>
  <c r="AM31" i="249"/>
  <c r="AM32" i="249"/>
  <c r="AM33" i="249"/>
  <c r="AM34" i="249"/>
  <c r="AM35" i="249"/>
  <c r="AM36" i="249"/>
  <c r="AM37" i="249"/>
  <c r="AM38" i="249"/>
  <c r="AM39" i="249"/>
  <c r="AM40" i="249"/>
  <c r="AM41" i="249"/>
  <c r="AM42" i="249"/>
  <c r="AM43" i="249"/>
  <c r="AM44" i="249"/>
  <c r="AM45" i="249"/>
  <c r="AM46" i="249"/>
  <c r="AM47" i="249"/>
  <c r="AM48" i="249"/>
  <c r="AM49" i="249"/>
  <c r="AM50" i="249"/>
  <c r="AM51" i="249"/>
  <c r="AM52" i="249"/>
  <c r="AM53" i="249"/>
  <c r="AM54" i="249"/>
  <c r="AM55" i="249"/>
  <c r="AM56" i="249"/>
  <c r="AM57" i="249"/>
  <c r="AM58" i="249"/>
  <c r="AM59" i="249"/>
  <c r="AM60" i="249"/>
  <c r="AM61" i="249"/>
  <c r="AM62" i="249"/>
  <c r="AM63" i="249"/>
  <c r="AM64" i="249"/>
  <c r="AM65" i="249"/>
  <c r="AM66" i="249"/>
  <c r="AM67" i="249"/>
  <c r="AM68" i="249"/>
  <c r="AM69" i="249"/>
  <c r="AM70" i="249"/>
  <c r="AM71" i="249"/>
  <c r="AM72" i="249"/>
  <c r="AM73" i="249"/>
  <c r="AM74" i="249"/>
  <c r="AM75" i="249"/>
  <c r="AM76" i="249"/>
  <c r="AM77" i="249"/>
  <c r="AM78" i="249"/>
  <c r="AM79" i="249"/>
  <c r="AM80" i="249"/>
  <c r="AM81" i="249"/>
  <c r="AM82" i="249"/>
  <c r="AM83" i="249"/>
  <c r="AM84" i="249"/>
  <c r="AM85" i="249"/>
  <c r="AM86" i="249"/>
  <c r="AM87" i="249"/>
  <c r="AM88" i="249"/>
  <c r="AM89" i="249"/>
  <c r="AM90" i="249"/>
  <c r="AM91" i="249"/>
  <c r="AM92" i="249"/>
  <c r="AM93" i="249"/>
  <c r="AM14" i="249"/>
  <c r="V18" i="333" l="1"/>
  <c r="L215" i="334" l="1"/>
  <c r="I215" i="334"/>
  <c r="H215" i="334"/>
  <c r="G215" i="334"/>
  <c r="J203" i="334"/>
  <c r="M203" i="334" s="1"/>
  <c r="J205" i="334"/>
  <c r="M205" i="334" s="1"/>
  <c r="E202" i="334"/>
  <c r="J202" i="334" s="1"/>
  <c r="M202" i="334" s="1"/>
  <c r="E203" i="334"/>
  <c r="E204" i="334"/>
  <c r="J204" i="334" s="1"/>
  <c r="M204" i="334" s="1"/>
  <c r="E205" i="334"/>
  <c r="E201" i="334"/>
  <c r="J201" i="334" s="1"/>
  <c r="M201" i="334" l="1"/>
  <c r="J206" i="334"/>
  <c r="J215" i="334" s="1"/>
  <c r="K201" i="334"/>
  <c r="K206" i="334" s="1"/>
  <c r="M206" i="334"/>
  <c r="M215" i="334" s="1"/>
  <c r="Q17" i="335"/>
  <c r="P18" i="335" s="1"/>
  <c r="O11" i="187" l="1"/>
  <c r="C87" i="312" l="1"/>
  <c r="O87" i="312" s="1"/>
  <c r="AE90" i="257"/>
  <c r="R87" i="312" l="1"/>
  <c r="G87" i="312"/>
  <c r="Q87" i="312"/>
  <c r="P87" i="312"/>
  <c r="T87" i="312"/>
  <c r="F12" i="337"/>
  <c r="B17" i="337"/>
  <c r="D17" i="337" s="1"/>
  <c r="B16" i="337"/>
  <c r="D16" i="337" s="1"/>
  <c r="B11" i="337"/>
  <c r="S87" i="312" l="1"/>
  <c r="D18" i="337"/>
  <c r="F16" i="337"/>
  <c r="F17" i="337"/>
  <c r="D10" i="337"/>
  <c r="F11" i="337"/>
  <c r="F10" i="337" s="1"/>
  <c r="F18" i="337" l="1"/>
  <c r="G41" i="317" l="1"/>
  <c r="I19" i="335"/>
  <c r="I20" i="335"/>
  <c r="I21" i="335"/>
  <c r="I22" i="335"/>
  <c r="I18" i="335"/>
  <c r="K19" i="335"/>
  <c r="K20" i="335"/>
  <c r="K21" i="335"/>
  <c r="K22" i="335"/>
  <c r="K18" i="335"/>
  <c r="G17" i="335"/>
  <c r="F17" i="335"/>
  <c r="F13" i="335"/>
  <c r="G13" i="335"/>
  <c r="H13" i="335"/>
  <c r="H26" i="335" s="1"/>
  <c r="K17" i="335" l="1"/>
  <c r="I17" i="335"/>
  <c r="H15" i="333" l="1"/>
  <c r="T15" i="333" s="1"/>
  <c r="V15" i="333" s="1"/>
  <c r="F192" i="322" l="1"/>
  <c r="F16" i="317" l="1"/>
  <c r="E23" i="335" l="1"/>
  <c r="G18" i="333" s="1"/>
  <c r="F14" i="333"/>
  <c r="F19" i="333" s="1"/>
  <c r="F21" i="317" l="1"/>
  <c r="F30" i="317"/>
  <c r="F29" i="317"/>
  <c r="F28" i="317"/>
  <c r="F27" i="317"/>
  <c r="F25" i="317"/>
  <c r="F24" i="317"/>
  <c r="F23" i="317"/>
  <c r="F22" i="317"/>
  <c r="F18" i="317"/>
  <c r="F17" i="317"/>
  <c r="F102" i="334" l="1"/>
  <c r="F103" i="334"/>
  <c r="F104" i="334"/>
  <c r="D30" i="317"/>
  <c r="D24" i="317" l="1"/>
  <c r="G24" i="317" s="1"/>
  <c r="E19" i="317"/>
  <c r="E25" i="317"/>
  <c r="N13" i="187" l="1"/>
  <c r="S13" i="187" s="1"/>
  <c r="N14" i="187"/>
  <c r="S14" i="187" s="1"/>
  <c r="N12" i="187"/>
  <c r="S12" i="187" s="1"/>
  <c r="M21" i="187"/>
  <c r="M19" i="187"/>
  <c r="M18" i="187"/>
  <c r="M17" i="187"/>
  <c r="M16" i="187"/>
  <c r="M15" i="187"/>
  <c r="L21" i="187" l="1"/>
  <c r="N21" i="187" s="1"/>
  <c r="S21" i="187" s="1"/>
  <c r="S20" i="187" s="1"/>
  <c r="L19" i="187"/>
  <c r="N19" i="187" s="1"/>
  <c r="S19" i="187" s="1"/>
  <c r="L18" i="187"/>
  <c r="N18" i="187" s="1"/>
  <c r="S18" i="187" s="1"/>
  <c r="L17" i="187"/>
  <c r="N17" i="187" s="1"/>
  <c r="S17" i="187" s="1"/>
  <c r="L16" i="187"/>
  <c r="N16" i="187" s="1"/>
  <c r="S16" i="187" s="1"/>
  <c r="L15" i="187"/>
  <c r="N15" i="187" s="1"/>
  <c r="S15" i="187" s="1"/>
  <c r="S11" i="187" l="1"/>
  <c r="L89" i="312"/>
  <c r="AA185" i="249"/>
  <c r="AA178" i="249"/>
  <c r="AA177" i="249"/>
  <c r="AM98" i="249"/>
  <c r="AN99" i="249"/>
  <c r="AN15" i="249"/>
  <c r="AN16" i="249"/>
  <c r="AN17" i="249"/>
  <c r="AN18" i="249"/>
  <c r="AN19" i="249"/>
  <c r="AN20" i="249"/>
  <c r="AN21" i="249"/>
  <c r="AN22" i="249"/>
  <c r="AN23" i="249"/>
  <c r="AN24" i="249"/>
  <c r="AN25" i="249"/>
  <c r="AN26" i="249"/>
  <c r="AN27" i="249"/>
  <c r="AN28" i="249"/>
  <c r="AN29" i="249"/>
  <c r="AN30" i="249"/>
  <c r="AN31" i="249"/>
  <c r="AN32" i="249"/>
  <c r="AN33" i="249"/>
  <c r="AN34" i="249"/>
  <c r="AN35" i="249"/>
  <c r="AN36" i="249"/>
  <c r="AN37" i="249"/>
  <c r="AN38" i="249"/>
  <c r="AN39" i="249"/>
  <c r="AN40" i="249"/>
  <c r="AN41" i="249"/>
  <c r="AN42" i="249"/>
  <c r="AN43" i="249"/>
  <c r="AN44" i="249"/>
  <c r="AN45" i="249"/>
  <c r="AN46" i="249"/>
  <c r="AN47" i="249"/>
  <c r="AN48" i="249"/>
  <c r="AN49" i="249"/>
  <c r="AN50" i="249"/>
  <c r="AN51" i="249"/>
  <c r="AN52" i="249"/>
  <c r="AN53" i="249"/>
  <c r="AN54" i="249"/>
  <c r="AN55" i="249"/>
  <c r="AN56" i="249"/>
  <c r="AN57" i="249"/>
  <c r="AN58" i="249"/>
  <c r="AN59" i="249"/>
  <c r="AN60" i="249"/>
  <c r="AN61" i="249"/>
  <c r="AN62" i="249"/>
  <c r="AN63" i="249"/>
  <c r="AN64" i="249"/>
  <c r="AN65" i="249"/>
  <c r="AN66" i="249"/>
  <c r="AN67" i="249"/>
  <c r="AN68" i="249"/>
  <c r="AN69" i="249"/>
  <c r="AN70" i="249"/>
  <c r="AN71" i="249"/>
  <c r="AN72" i="249"/>
  <c r="AN73" i="249"/>
  <c r="AN74" i="249"/>
  <c r="AN75" i="249"/>
  <c r="AN76" i="249"/>
  <c r="AN77" i="249"/>
  <c r="AN78" i="249"/>
  <c r="AN79" i="249"/>
  <c r="AN80" i="249"/>
  <c r="AN81" i="249"/>
  <c r="AN82" i="249"/>
  <c r="AN83" i="249"/>
  <c r="AN84" i="249"/>
  <c r="AN85" i="249"/>
  <c r="AN86" i="249"/>
  <c r="AN87" i="249"/>
  <c r="AN88" i="249"/>
  <c r="AN89" i="249"/>
  <c r="AN90" i="249"/>
  <c r="AN91" i="249"/>
  <c r="AN92" i="249"/>
  <c r="AN93" i="249"/>
  <c r="AN94" i="249"/>
  <c r="AN95" i="249"/>
  <c r="AN96" i="249"/>
  <c r="AN97" i="249"/>
  <c r="AM12" i="249"/>
  <c r="AN14" i="249"/>
  <c r="AM170" i="249" l="1"/>
  <c r="AN98" i="249"/>
  <c r="AN12" i="249"/>
  <c r="AN170" i="249" l="1"/>
  <c r="F182" i="334"/>
  <c r="F184" i="334"/>
  <c r="F183" i="334"/>
  <c r="AJ11" i="320" l="1"/>
  <c r="AI24" i="320"/>
  <c r="E15" i="335"/>
  <c r="E14" i="335"/>
  <c r="AI13" i="320"/>
  <c r="AI11" i="320"/>
  <c r="F13" i="320"/>
  <c r="G13" i="320"/>
  <c r="H13" i="320"/>
  <c r="I13" i="320"/>
  <c r="J13" i="320"/>
  <c r="K13" i="320"/>
  <c r="L13" i="320"/>
  <c r="M13" i="320"/>
  <c r="N13" i="320"/>
  <c r="O13" i="320"/>
  <c r="P13" i="320"/>
  <c r="Q13" i="320"/>
  <c r="R13" i="320"/>
  <c r="S13" i="320"/>
  <c r="T13" i="320"/>
  <c r="U13" i="320"/>
  <c r="V13" i="320"/>
  <c r="W13" i="320"/>
  <c r="X13" i="320"/>
  <c r="Y13" i="320"/>
  <c r="Z13" i="320"/>
  <c r="AA13" i="320"/>
  <c r="AB13" i="320"/>
  <c r="AC13" i="320"/>
  <c r="AD13" i="320"/>
  <c r="AE13" i="320"/>
  <c r="AF13" i="320"/>
  <c r="AG13" i="320"/>
  <c r="AH13" i="320"/>
  <c r="E13" i="320"/>
  <c r="F97" i="334"/>
  <c r="F98" i="334"/>
  <c r="F99" i="334"/>
  <c r="F100" i="334"/>
  <c r="F101" i="334"/>
  <c r="D184" i="31"/>
  <c r="D181" i="31"/>
  <c r="D182" i="31"/>
  <c r="D183" i="31"/>
  <c r="D101" i="31"/>
  <c r="E97" i="334" s="1"/>
  <c r="D102" i="31"/>
  <c r="E98" i="334" s="1"/>
  <c r="D103" i="31"/>
  <c r="D104" i="31"/>
  <c r="E100" i="334" s="1"/>
  <c r="D105" i="31"/>
  <c r="E101" i="334" s="1"/>
  <c r="D106" i="31"/>
  <c r="E102" i="334" s="1"/>
  <c r="D107" i="31"/>
  <c r="E103" i="334" s="1"/>
  <c r="D108" i="31"/>
  <c r="E104" i="334" s="1"/>
  <c r="C100" i="257"/>
  <c r="P100" i="257" s="1"/>
  <c r="C101" i="257"/>
  <c r="P101" i="257" s="1"/>
  <c r="C102" i="257"/>
  <c r="R102" i="257" s="1"/>
  <c r="C103" i="257"/>
  <c r="Q103" i="257" s="1"/>
  <c r="C104" i="257"/>
  <c r="O104" i="257" s="1"/>
  <c r="C105" i="257"/>
  <c r="O105" i="257" s="1"/>
  <c r="C106" i="257"/>
  <c r="C107" i="257"/>
  <c r="C88" i="312"/>
  <c r="C89" i="312"/>
  <c r="Q98" i="321"/>
  <c r="Q102" i="321"/>
  <c r="Q101" i="321"/>
  <c r="Q100" i="321"/>
  <c r="Q99" i="321"/>
  <c r="G104" i="31" s="1"/>
  <c r="Q97" i="321"/>
  <c r="C99" i="257"/>
  <c r="Q178" i="321"/>
  <c r="AJ13" i="320" l="1"/>
  <c r="AJ24" i="320" s="1"/>
  <c r="R88" i="312"/>
  <c r="O88" i="312"/>
  <c r="T88" i="312"/>
  <c r="P88" i="312"/>
  <c r="Q88" i="312"/>
  <c r="R105" i="257"/>
  <c r="T101" i="257"/>
  <c r="T104" i="257"/>
  <c r="O101" i="257"/>
  <c r="P103" i="257"/>
  <c r="G103" i="31"/>
  <c r="G106" i="31"/>
  <c r="G104" i="257"/>
  <c r="G103" i="257"/>
  <c r="G102" i="31"/>
  <c r="G105" i="31"/>
  <c r="E99" i="334"/>
  <c r="Q105" i="257"/>
  <c r="S105" i="257" s="1"/>
  <c r="R104" i="257"/>
  <c r="T103" i="257"/>
  <c r="O103" i="257"/>
  <c r="P102" i="257"/>
  <c r="R101" i="257"/>
  <c r="T100" i="257"/>
  <c r="O100" i="257"/>
  <c r="G102" i="257"/>
  <c r="Q102" i="257"/>
  <c r="S102" i="257" s="1"/>
  <c r="P105" i="257"/>
  <c r="Q104" i="257"/>
  <c r="R103" i="257"/>
  <c r="S103" i="257" s="1"/>
  <c r="T102" i="257"/>
  <c r="O102" i="257"/>
  <c r="Q101" i="257"/>
  <c r="R100" i="257"/>
  <c r="G105" i="257"/>
  <c r="G101" i="257"/>
  <c r="T105" i="257"/>
  <c r="P104" i="257"/>
  <c r="Q100" i="257"/>
  <c r="E13" i="323"/>
  <c r="E12" i="323"/>
  <c r="D10" i="318"/>
  <c r="S88" i="312" l="1"/>
  <c r="S100" i="257"/>
  <c r="S101" i="257"/>
  <c r="S104" i="257"/>
  <c r="F14" i="56" l="1"/>
  <c r="F13" i="56"/>
  <c r="AH16" i="322"/>
  <c r="T176" i="321" l="1"/>
  <c r="D100" i="249" l="1"/>
  <c r="D101" i="249"/>
  <c r="D102" i="249"/>
  <c r="D103" i="249"/>
  <c r="D104" i="249"/>
  <c r="D105" i="249"/>
  <c r="D106" i="249"/>
  <c r="D107" i="249"/>
  <c r="D108" i="249"/>
  <c r="D109" i="249"/>
  <c r="D110" i="249"/>
  <c r="D111" i="249"/>
  <c r="D112" i="249"/>
  <c r="D113" i="249"/>
  <c r="D114" i="249"/>
  <c r="D115" i="249"/>
  <c r="D116" i="249"/>
  <c r="D117" i="249"/>
  <c r="D118" i="249"/>
  <c r="D119" i="249"/>
  <c r="D120" i="249"/>
  <c r="D121" i="249"/>
  <c r="D122" i="249"/>
  <c r="D123" i="249"/>
  <c r="D124" i="249"/>
  <c r="D125" i="249"/>
  <c r="D126" i="249"/>
  <c r="D127" i="249"/>
  <c r="D128" i="249"/>
  <c r="D129" i="249"/>
  <c r="D130" i="249"/>
  <c r="D131" i="249"/>
  <c r="D132" i="249"/>
  <c r="D133" i="249"/>
  <c r="D134" i="249"/>
  <c r="D135" i="249"/>
  <c r="D136" i="249"/>
  <c r="D137" i="249"/>
  <c r="D138" i="249"/>
  <c r="D139" i="249"/>
  <c r="D140" i="249"/>
  <c r="D141" i="249"/>
  <c r="D142" i="249"/>
  <c r="D143" i="249"/>
  <c r="D144" i="249"/>
  <c r="D145" i="249"/>
  <c r="D146" i="249"/>
  <c r="D147" i="249"/>
  <c r="D148" i="249"/>
  <c r="D149" i="249"/>
  <c r="D150" i="249"/>
  <c r="D151" i="249"/>
  <c r="D152" i="249"/>
  <c r="D153" i="249"/>
  <c r="D154" i="249"/>
  <c r="D155" i="249"/>
  <c r="D156" i="249"/>
  <c r="D157" i="249"/>
  <c r="D158" i="249"/>
  <c r="D159" i="249"/>
  <c r="D160" i="249"/>
  <c r="D161" i="249"/>
  <c r="D162" i="249"/>
  <c r="D163" i="249"/>
  <c r="D164" i="249"/>
  <c r="D165" i="249"/>
  <c r="D166" i="249"/>
  <c r="D167" i="249"/>
  <c r="D168" i="249"/>
  <c r="D169" i="249"/>
  <c r="D99" i="249"/>
  <c r="D15" i="249"/>
  <c r="D16" i="249"/>
  <c r="D17" i="249"/>
  <c r="D18" i="249"/>
  <c r="D19" i="249"/>
  <c r="D20" i="249"/>
  <c r="D21" i="249"/>
  <c r="D22" i="249"/>
  <c r="D23" i="249"/>
  <c r="D24" i="249"/>
  <c r="D25" i="249"/>
  <c r="D26" i="249"/>
  <c r="D27" i="249"/>
  <c r="D28" i="249"/>
  <c r="D29" i="249"/>
  <c r="D30" i="249"/>
  <c r="D31" i="249"/>
  <c r="D32" i="249"/>
  <c r="D33" i="249"/>
  <c r="D34" i="249"/>
  <c r="D35" i="249"/>
  <c r="D36" i="249"/>
  <c r="D37" i="249"/>
  <c r="D38" i="249"/>
  <c r="D39" i="249"/>
  <c r="D40" i="249"/>
  <c r="D41" i="249"/>
  <c r="D42" i="249"/>
  <c r="D43" i="249"/>
  <c r="D44" i="249"/>
  <c r="D45" i="249"/>
  <c r="D46" i="249"/>
  <c r="D47" i="249"/>
  <c r="D48" i="249"/>
  <c r="D49" i="249"/>
  <c r="D50" i="249"/>
  <c r="D51" i="249"/>
  <c r="D52" i="249"/>
  <c r="D53" i="249"/>
  <c r="D54" i="249"/>
  <c r="D55" i="249"/>
  <c r="D56" i="249"/>
  <c r="D57" i="249"/>
  <c r="D58" i="249"/>
  <c r="D59" i="249"/>
  <c r="D60" i="249"/>
  <c r="D61" i="249"/>
  <c r="D62" i="249"/>
  <c r="D63" i="249"/>
  <c r="D64" i="249"/>
  <c r="D65" i="249"/>
  <c r="D66" i="249"/>
  <c r="D67" i="249"/>
  <c r="D68" i="249"/>
  <c r="D69" i="249"/>
  <c r="D70" i="249"/>
  <c r="D71" i="249"/>
  <c r="D72" i="249"/>
  <c r="D73" i="249"/>
  <c r="D74" i="249"/>
  <c r="D75" i="249"/>
  <c r="D76" i="249"/>
  <c r="D77" i="249"/>
  <c r="D78" i="249"/>
  <c r="D79" i="249"/>
  <c r="D80" i="249"/>
  <c r="D81" i="249"/>
  <c r="D82" i="249"/>
  <c r="D83" i="249"/>
  <c r="D84" i="249"/>
  <c r="D85" i="249"/>
  <c r="D86" i="249"/>
  <c r="D87" i="249"/>
  <c r="D88" i="249"/>
  <c r="D89" i="249"/>
  <c r="D90" i="249"/>
  <c r="D91" i="249"/>
  <c r="D92" i="249"/>
  <c r="D93" i="249"/>
  <c r="D94" i="249"/>
  <c r="D95" i="249"/>
  <c r="D96" i="249"/>
  <c r="D97" i="249"/>
  <c r="E99" i="231"/>
  <c r="E100" i="231"/>
  <c r="E101" i="231"/>
  <c r="E102" i="231"/>
  <c r="E103" i="231"/>
  <c r="E104" i="231"/>
  <c r="E105" i="231"/>
  <c r="E106" i="231"/>
  <c r="E107" i="231"/>
  <c r="E108" i="231"/>
  <c r="E109" i="231"/>
  <c r="E110" i="231"/>
  <c r="E111" i="231"/>
  <c r="E112" i="231"/>
  <c r="E113" i="231"/>
  <c r="E114" i="231"/>
  <c r="E115" i="231"/>
  <c r="E116" i="231"/>
  <c r="E117" i="231"/>
  <c r="E118" i="231"/>
  <c r="E119" i="231"/>
  <c r="E120" i="231"/>
  <c r="E121" i="231"/>
  <c r="E122" i="231"/>
  <c r="E123" i="231"/>
  <c r="E124" i="231"/>
  <c r="E125" i="231"/>
  <c r="E126" i="231"/>
  <c r="E127" i="231"/>
  <c r="E128" i="231"/>
  <c r="E129" i="231"/>
  <c r="E130" i="231"/>
  <c r="E131" i="231"/>
  <c r="E132" i="231"/>
  <c r="E133" i="231"/>
  <c r="E134" i="231"/>
  <c r="E135" i="231"/>
  <c r="E136" i="231"/>
  <c r="E137" i="231"/>
  <c r="E138" i="231"/>
  <c r="E139" i="231"/>
  <c r="E140" i="231"/>
  <c r="E141" i="231"/>
  <c r="E142" i="231"/>
  <c r="E143" i="231"/>
  <c r="E144" i="231"/>
  <c r="E145" i="231"/>
  <c r="E146" i="231"/>
  <c r="E147" i="231"/>
  <c r="E148" i="231"/>
  <c r="E149" i="231"/>
  <c r="E150" i="231"/>
  <c r="E151" i="231"/>
  <c r="E152" i="231"/>
  <c r="E153" i="231"/>
  <c r="E154" i="231"/>
  <c r="E155" i="231"/>
  <c r="E156" i="231"/>
  <c r="E157" i="231"/>
  <c r="E158" i="231"/>
  <c r="E159" i="231"/>
  <c r="E160" i="231"/>
  <c r="E161" i="231"/>
  <c r="E162" i="231"/>
  <c r="E163" i="231"/>
  <c r="E164" i="231"/>
  <c r="E165" i="231"/>
  <c r="E166" i="231"/>
  <c r="E167" i="231"/>
  <c r="E168" i="231"/>
  <c r="E98" i="231"/>
  <c r="E14" i="231"/>
  <c r="E15" i="231"/>
  <c r="E16" i="231"/>
  <c r="E17" i="231"/>
  <c r="E18" i="231"/>
  <c r="E19" i="231"/>
  <c r="E20" i="231"/>
  <c r="E21" i="231"/>
  <c r="E22" i="231"/>
  <c r="E23" i="231"/>
  <c r="E24" i="231"/>
  <c r="E25" i="231"/>
  <c r="E26" i="231"/>
  <c r="E27" i="231"/>
  <c r="E28" i="231"/>
  <c r="E29" i="231"/>
  <c r="E30" i="231"/>
  <c r="E31" i="231"/>
  <c r="E32" i="231"/>
  <c r="E33" i="231"/>
  <c r="E34" i="231"/>
  <c r="E35" i="231"/>
  <c r="E36" i="231"/>
  <c r="E37" i="231"/>
  <c r="E38" i="231"/>
  <c r="E39" i="231"/>
  <c r="E40" i="231"/>
  <c r="E41" i="231"/>
  <c r="E42" i="231"/>
  <c r="E43" i="231"/>
  <c r="E44" i="231"/>
  <c r="E45" i="231"/>
  <c r="E46" i="231"/>
  <c r="E47" i="231"/>
  <c r="E48" i="231"/>
  <c r="E49" i="231"/>
  <c r="E50" i="231"/>
  <c r="E51" i="231"/>
  <c r="E52" i="231"/>
  <c r="E53" i="231"/>
  <c r="E54" i="231"/>
  <c r="E55" i="231"/>
  <c r="E56" i="231"/>
  <c r="E57" i="231"/>
  <c r="E58" i="231"/>
  <c r="E59" i="231"/>
  <c r="E60" i="231"/>
  <c r="E61" i="231"/>
  <c r="E62" i="231"/>
  <c r="E63" i="231"/>
  <c r="E64" i="231"/>
  <c r="E65" i="231"/>
  <c r="E66" i="231"/>
  <c r="E67" i="231"/>
  <c r="E68" i="231"/>
  <c r="E69" i="231"/>
  <c r="E70" i="231"/>
  <c r="E71" i="231"/>
  <c r="E72" i="231"/>
  <c r="E73" i="231"/>
  <c r="E74" i="231"/>
  <c r="E75" i="231"/>
  <c r="E76" i="231"/>
  <c r="E77" i="231"/>
  <c r="E78" i="231"/>
  <c r="E79" i="231"/>
  <c r="E80" i="231"/>
  <c r="E81" i="231"/>
  <c r="E82" i="231"/>
  <c r="E83" i="231"/>
  <c r="E84" i="231"/>
  <c r="E85" i="231"/>
  <c r="E86" i="231"/>
  <c r="E87" i="231"/>
  <c r="E88" i="231"/>
  <c r="E89" i="231"/>
  <c r="E90" i="231"/>
  <c r="E91" i="231"/>
  <c r="E92" i="231"/>
  <c r="E93" i="231"/>
  <c r="E94" i="231"/>
  <c r="E95" i="231"/>
  <c r="E96" i="231"/>
  <c r="E13" i="231"/>
  <c r="H1467" i="328" l="1"/>
  <c r="F199" i="334"/>
  <c r="K199" i="334" s="1"/>
  <c r="I25" i="335"/>
  <c r="I24" i="335"/>
  <c r="G23" i="335"/>
  <c r="G26" i="335" s="1"/>
  <c r="F23" i="335"/>
  <c r="J25" i="335" l="1"/>
  <c r="K25" i="335" s="1"/>
  <c r="I23" i="335"/>
  <c r="H18" i="333" s="1"/>
  <c r="T18" i="333" s="1"/>
  <c r="J24" i="335"/>
  <c r="J23" i="335" l="1"/>
  <c r="U18" i="333" s="1"/>
  <c r="K24" i="335"/>
  <c r="K23" i="335" s="1"/>
  <c r="F13" i="334" l="1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F26" i="334"/>
  <c r="F27" i="334"/>
  <c r="F28" i="334"/>
  <c r="F29" i="334"/>
  <c r="F30" i="334"/>
  <c r="F31" i="334"/>
  <c r="F32" i="334"/>
  <c r="F33" i="334"/>
  <c r="F34" i="334"/>
  <c r="F35" i="334"/>
  <c r="F36" i="334"/>
  <c r="F37" i="334"/>
  <c r="F38" i="334"/>
  <c r="F39" i="334"/>
  <c r="F40" i="334"/>
  <c r="F41" i="334"/>
  <c r="F42" i="334"/>
  <c r="F43" i="334"/>
  <c r="F44" i="334"/>
  <c r="F45" i="334"/>
  <c r="F46" i="334"/>
  <c r="F47" i="334"/>
  <c r="F48" i="334"/>
  <c r="F49" i="334"/>
  <c r="F50" i="334"/>
  <c r="F51" i="334"/>
  <c r="F52" i="334"/>
  <c r="F53" i="334"/>
  <c r="F54" i="334"/>
  <c r="F55" i="334"/>
  <c r="F56" i="334"/>
  <c r="F57" i="334"/>
  <c r="F58" i="334"/>
  <c r="F59" i="334"/>
  <c r="F60" i="334"/>
  <c r="F61" i="334"/>
  <c r="F62" i="334"/>
  <c r="F63" i="334"/>
  <c r="F64" i="334"/>
  <c r="F65" i="334"/>
  <c r="F66" i="334"/>
  <c r="F67" i="334"/>
  <c r="F68" i="334"/>
  <c r="F69" i="334"/>
  <c r="F70" i="334"/>
  <c r="F71" i="334"/>
  <c r="F72" i="334"/>
  <c r="F73" i="334"/>
  <c r="F74" i="334"/>
  <c r="F75" i="334"/>
  <c r="F76" i="334"/>
  <c r="F77" i="334"/>
  <c r="F78" i="334"/>
  <c r="F79" i="334"/>
  <c r="F80" i="334"/>
  <c r="F81" i="334"/>
  <c r="F82" i="334"/>
  <c r="F83" i="334"/>
  <c r="F84" i="334"/>
  <c r="F85" i="334"/>
  <c r="F86" i="334"/>
  <c r="F87" i="334"/>
  <c r="F88" i="334"/>
  <c r="F89" i="334"/>
  <c r="F90" i="334"/>
  <c r="F91" i="334"/>
  <c r="F92" i="334"/>
  <c r="F93" i="334"/>
  <c r="F94" i="334"/>
  <c r="F95" i="334"/>
  <c r="F106" i="334"/>
  <c r="F107" i="334"/>
  <c r="F108" i="334"/>
  <c r="F109" i="334"/>
  <c r="F110" i="334"/>
  <c r="F111" i="334"/>
  <c r="F112" i="334"/>
  <c r="F113" i="334"/>
  <c r="F114" i="334"/>
  <c r="F115" i="334"/>
  <c r="F116" i="334"/>
  <c r="F117" i="334"/>
  <c r="F118" i="334"/>
  <c r="F119" i="334"/>
  <c r="F120" i="334"/>
  <c r="F121" i="334"/>
  <c r="F122" i="334"/>
  <c r="F123" i="334"/>
  <c r="F124" i="334"/>
  <c r="F125" i="334"/>
  <c r="F126" i="334"/>
  <c r="F127" i="334"/>
  <c r="F128" i="334"/>
  <c r="F129" i="334"/>
  <c r="F130" i="334"/>
  <c r="F131" i="334"/>
  <c r="F132" i="334"/>
  <c r="F133" i="334"/>
  <c r="F134" i="334"/>
  <c r="F135" i="334"/>
  <c r="F136" i="334"/>
  <c r="F137" i="334"/>
  <c r="F138" i="334"/>
  <c r="F139" i="334"/>
  <c r="F140" i="334"/>
  <c r="F141" i="334"/>
  <c r="F142" i="334"/>
  <c r="F143" i="334"/>
  <c r="F144" i="334"/>
  <c r="F145" i="334"/>
  <c r="F146" i="334"/>
  <c r="F147" i="334"/>
  <c r="F148" i="334"/>
  <c r="F149" i="334"/>
  <c r="F150" i="334"/>
  <c r="F151" i="334"/>
  <c r="F152" i="334"/>
  <c r="F153" i="334"/>
  <c r="F154" i="334"/>
  <c r="F155" i="334"/>
  <c r="F156" i="334"/>
  <c r="F157" i="334"/>
  <c r="F158" i="334"/>
  <c r="F159" i="334"/>
  <c r="F160" i="334"/>
  <c r="F161" i="334"/>
  <c r="F162" i="334"/>
  <c r="F163" i="334"/>
  <c r="F164" i="334"/>
  <c r="F165" i="334"/>
  <c r="F166" i="334"/>
  <c r="F167" i="334"/>
  <c r="F168" i="334"/>
  <c r="F169" i="334"/>
  <c r="F170" i="334"/>
  <c r="F171" i="334"/>
  <c r="F172" i="334"/>
  <c r="F173" i="334"/>
  <c r="F174" i="334"/>
  <c r="F175" i="334"/>
  <c r="F176" i="334"/>
  <c r="F177" i="334"/>
  <c r="F178" i="334"/>
  <c r="F179" i="334"/>
  <c r="F180" i="334"/>
  <c r="F12" i="334"/>
  <c r="K226" i="334" l="1"/>
  <c r="P216" i="334"/>
  <c r="O214" i="334"/>
  <c r="O213" i="334"/>
  <c r="O212" i="334"/>
  <c r="L211" i="334"/>
  <c r="G211" i="334"/>
  <c r="K210" i="334"/>
  <c r="K211" i="334" s="1"/>
  <c r="J210" i="334"/>
  <c r="M210" i="334" s="1"/>
  <c r="M211" i="334" s="1"/>
  <c r="I209" i="334"/>
  <c r="H209" i="334"/>
  <c r="G209" i="334"/>
  <c r="K208" i="334"/>
  <c r="L207" i="334"/>
  <c r="L208" i="334" s="1"/>
  <c r="J207" i="334"/>
  <c r="K200" i="334"/>
  <c r="K214" i="334" s="1"/>
  <c r="L198" i="334"/>
  <c r="L213" i="334" s="1"/>
  <c r="I208" i="334"/>
  <c r="I214" i="334" s="1"/>
  <c r="H208" i="334"/>
  <c r="H214" i="334" s="1"/>
  <c r="G208" i="334"/>
  <c r="G214" i="334" s="1"/>
  <c r="E195" i="334"/>
  <c r="E194" i="334"/>
  <c r="E192" i="334"/>
  <c r="E191" i="334"/>
  <c r="E190" i="334"/>
  <c r="E189" i="334"/>
  <c r="E188" i="334"/>
  <c r="E187" i="334"/>
  <c r="E186" i="334"/>
  <c r="E185" i="334"/>
  <c r="K182" i="334"/>
  <c r="K198" i="334" s="1"/>
  <c r="K213" i="334" s="1"/>
  <c r="L181" i="334"/>
  <c r="K181" i="334"/>
  <c r="L105" i="334"/>
  <c r="K105" i="334"/>
  <c r="G9" i="334"/>
  <c r="K209" i="334" l="1"/>
  <c r="L209" i="334"/>
  <c r="K212" i="334"/>
  <c r="K216" i="334" s="1"/>
  <c r="L212" i="334"/>
  <c r="J208" i="334"/>
  <c r="M207" i="334"/>
  <c r="M208" i="334" s="1"/>
  <c r="J211" i="334"/>
  <c r="J209" i="334" l="1"/>
  <c r="M209" i="334"/>
  <c r="O20" i="187" l="1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E11" i="320"/>
  <c r="X19" i="333"/>
  <c r="Y21" i="333"/>
  <c r="U97" i="231" l="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G12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O13" i="231"/>
  <c r="D176" i="31" l="1"/>
  <c r="D177" i="31"/>
  <c r="D178" i="31"/>
  <c r="D179" i="31"/>
  <c r="D180" i="31"/>
  <c r="H1416" i="328" l="1"/>
  <c r="E175" i="334"/>
  <c r="B1416" i="328"/>
  <c r="E174" i="334"/>
  <c r="H1399" i="328"/>
  <c r="E173" i="334"/>
  <c r="B1433" i="328"/>
  <c r="E176" i="334"/>
  <c r="B1399" i="328"/>
  <c r="E172" i="334"/>
  <c r="U176" i="321" l="1"/>
  <c r="B1467" i="328" l="1"/>
  <c r="E180" i="334"/>
  <c r="B1450" i="328"/>
  <c r="E178" i="334"/>
  <c r="H1433" i="328"/>
  <c r="E177" i="334"/>
  <c r="H1450" i="328"/>
  <c r="E179" i="334"/>
  <c r="C85" i="312"/>
  <c r="C86" i="312"/>
  <c r="Q95" i="321"/>
  <c r="Q176" i="321"/>
  <c r="AC176" i="321" s="1"/>
  <c r="J87" i="312" l="1"/>
  <c r="L87" i="312" s="1"/>
  <c r="J88" i="312"/>
  <c r="L88" i="312" s="1"/>
  <c r="M85" i="312"/>
  <c r="K85" i="312"/>
  <c r="R15" i="322"/>
  <c r="AG17" i="322"/>
  <c r="L86" i="312" l="1"/>
  <c r="AH24" i="320"/>
  <c r="F24" i="320"/>
  <c r="G24" i="320"/>
  <c r="H24" i="320"/>
  <c r="I24" i="320"/>
  <c r="J24" i="320"/>
  <c r="K24" i="320"/>
  <c r="L24" i="320"/>
  <c r="M24" i="320"/>
  <c r="N24" i="320"/>
  <c r="O24" i="320"/>
  <c r="P24" i="320"/>
  <c r="Q24" i="320"/>
  <c r="R24" i="320"/>
  <c r="S24" i="320"/>
  <c r="T24" i="320"/>
  <c r="U24" i="320"/>
  <c r="V24" i="320"/>
  <c r="W24" i="320"/>
  <c r="X24" i="320"/>
  <c r="Y24" i="320"/>
  <c r="Z24" i="320"/>
  <c r="AA24" i="320"/>
  <c r="AB24" i="320"/>
  <c r="AC24" i="320"/>
  <c r="AD24" i="320"/>
  <c r="AE24" i="320"/>
  <c r="AF24" i="320"/>
  <c r="AG24" i="320"/>
  <c r="E24" i="320"/>
  <c r="AJ12" i="320"/>
  <c r="E12" i="335" s="1"/>
  <c r="E11" i="335" s="1"/>
  <c r="G17" i="333" s="1"/>
  <c r="AB104" i="321" l="1"/>
  <c r="AK12" i="231" l="1"/>
  <c r="AK97" i="231"/>
  <c r="Q171" i="321" l="1"/>
  <c r="AC171" i="321" s="1"/>
  <c r="Q172" i="321"/>
  <c r="AC172" i="321" s="1"/>
  <c r="Q173" i="321"/>
  <c r="AC173" i="321" s="1"/>
  <c r="Q174" i="321"/>
  <c r="AC174" i="321" s="1"/>
  <c r="Q175" i="321"/>
  <c r="AC175" i="321" s="1"/>
  <c r="G79" i="312"/>
  <c r="G80" i="312"/>
  <c r="G81" i="312"/>
  <c r="G82" i="312"/>
  <c r="G83" i="312"/>
  <c r="AL159" i="231" l="1"/>
  <c r="AM159" i="231"/>
  <c r="AN159" i="231"/>
  <c r="AO159" i="231"/>
  <c r="AP159" i="231"/>
  <c r="AQ159" i="231"/>
  <c r="AL160" i="231"/>
  <c r="AM160" i="231"/>
  <c r="AN160" i="231"/>
  <c r="AO160" i="231"/>
  <c r="AP160" i="231"/>
  <c r="AQ160" i="231"/>
  <c r="AL161" i="23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L164" i="231"/>
  <c r="AM164" i="231"/>
  <c r="AN164" i="231"/>
  <c r="AO164" i="231"/>
  <c r="AP164" i="231"/>
  <c r="AQ164" i="231"/>
  <c r="AK164" i="249"/>
  <c r="AK165" i="249"/>
  <c r="AK166" i="249"/>
  <c r="AL166" i="249" s="1"/>
  <c r="AO166" i="249" s="1"/>
  <c r="AK167" i="249"/>
  <c r="AL167" i="249" s="1"/>
  <c r="AO167" i="249" s="1"/>
  <c r="AK168" i="249"/>
  <c r="AK169" i="249"/>
  <c r="AL169" i="249" l="1"/>
  <c r="AO169" i="249" s="1"/>
  <c r="AL165" i="249"/>
  <c r="AO165" i="249" s="1"/>
  <c r="AL168" i="249"/>
  <c r="AO168" i="249" s="1"/>
  <c r="AL164" i="249"/>
  <c r="AO164" i="249" s="1"/>
  <c r="AR160" i="231"/>
  <c r="AR161" i="231"/>
  <c r="AR162" i="231"/>
  <c r="AR159" i="231"/>
  <c r="AR164" i="231"/>
  <c r="AR163" i="231"/>
  <c r="C83" i="312"/>
  <c r="C76" i="312"/>
  <c r="C77" i="312"/>
  <c r="D174" i="31"/>
  <c r="E170" i="334" s="1"/>
  <c r="D175" i="31"/>
  <c r="R173" i="321"/>
  <c r="U173" i="321" s="1"/>
  <c r="C159" i="231"/>
  <c r="C160" i="231"/>
  <c r="C161" i="231"/>
  <c r="C162" i="231"/>
  <c r="C163" i="231"/>
  <c r="C164" i="231"/>
  <c r="C165" i="231"/>
  <c r="C78" i="312"/>
  <c r="M76" i="312" l="1"/>
  <c r="K76" i="312"/>
  <c r="M78" i="312"/>
  <c r="K78" i="312"/>
  <c r="M83" i="312"/>
  <c r="K83" i="312"/>
  <c r="M77" i="312"/>
  <c r="K77" i="312"/>
  <c r="H1382" i="328"/>
  <c r="E171" i="334"/>
  <c r="C79" i="312"/>
  <c r="R174" i="321"/>
  <c r="U174" i="321" s="1"/>
  <c r="R172" i="321"/>
  <c r="U172" i="321" s="1"/>
  <c r="C82" i="312"/>
  <c r="H83" i="312"/>
  <c r="R171" i="321"/>
  <c r="U171" i="321" s="1"/>
  <c r="C81" i="312"/>
  <c r="R175" i="321"/>
  <c r="U175" i="321" s="1"/>
  <c r="C84" i="312"/>
  <c r="C80" i="312"/>
  <c r="R170" i="321"/>
  <c r="H21" i="187"/>
  <c r="H19" i="187"/>
  <c r="H17" i="187"/>
  <c r="H18" i="187"/>
  <c r="H16" i="187"/>
  <c r="H15" i="187"/>
  <c r="M84" i="312" l="1"/>
  <c r="K84" i="312"/>
  <c r="M81" i="312"/>
  <c r="K81" i="312"/>
  <c r="M80" i="312"/>
  <c r="K80" i="312"/>
  <c r="M79" i="312"/>
  <c r="K79" i="312"/>
  <c r="M82" i="312"/>
  <c r="K82" i="312"/>
  <c r="H85" i="312"/>
  <c r="H82" i="312"/>
  <c r="H80" i="312"/>
  <c r="H84" i="312"/>
  <c r="H81" i="312"/>
  <c r="F8" i="312"/>
  <c r="Z87" i="312" l="1"/>
  <c r="Z88" i="312"/>
  <c r="P11" i="187"/>
  <c r="Q11" i="187"/>
  <c r="J9" i="317" l="1"/>
  <c r="F36" i="317" l="1"/>
  <c r="F35" i="317"/>
  <c r="F33" i="317"/>
  <c r="C1" i="328"/>
  <c r="F34" i="317"/>
  <c r="D7" i="328" l="1"/>
  <c r="D1474" i="328"/>
  <c r="J1457" i="328"/>
  <c r="D1457" i="328"/>
  <c r="J1440" i="328"/>
  <c r="J1438" i="328"/>
  <c r="D1436" i="328"/>
  <c r="J1419" i="328"/>
  <c r="D1419" i="328"/>
  <c r="J1402" i="328"/>
  <c r="D1402" i="328"/>
  <c r="J1385" i="328"/>
  <c r="D1385" i="328"/>
  <c r="J1368" i="328"/>
  <c r="D1369" i="328"/>
  <c r="J1352" i="328"/>
  <c r="D1352" i="328"/>
  <c r="J1335" i="328"/>
  <c r="D1335" i="328"/>
  <c r="J1318" i="328"/>
  <c r="D1318" i="328"/>
  <c r="J1301" i="328"/>
  <c r="D1301" i="328"/>
  <c r="J1284" i="328"/>
  <c r="D1284" i="328"/>
  <c r="J1267" i="328"/>
  <c r="D1267" i="328"/>
  <c r="J1250" i="328"/>
  <c r="D1250" i="328"/>
  <c r="J1233" i="328"/>
  <c r="D1233" i="328"/>
  <c r="J1216" i="328"/>
  <c r="D1216" i="328"/>
  <c r="J1199" i="328"/>
  <c r="D1199" i="328"/>
  <c r="J1182" i="328"/>
  <c r="D1182" i="328"/>
  <c r="J1165" i="328"/>
  <c r="D1165" i="328"/>
  <c r="J1148" i="328"/>
  <c r="D1148" i="328"/>
  <c r="J1131" i="328"/>
  <c r="D1131" i="328"/>
  <c r="J1114" i="328"/>
  <c r="D1114" i="328"/>
  <c r="J1097" i="328"/>
  <c r="D1097" i="328"/>
  <c r="J1080" i="328"/>
  <c r="D1080" i="328"/>
  <c r="J1063" i="328"/>
  <c r="D1063" i="328"/>
  <c r="J1046" i="328"/>
  <c r="D1046" i="328"/>
  <c r="J1029" i="328"/>
  <c r="D1029" i="328"/>
  <c r="J1012" i="328"/>
  <c r="D1012" i="328"/>
  <c r="J995" i="328"/>
  <c r="D995" i="328"/>
  <c r="J978" i="328"/>
  <c r="D978" i="328"/>
  <c r="J961" i="328"/>
  <c r="D961" i="328"/>
  <c r="J944" i="328"/>
  <c r="D944" i="328"/>
  <c r="J927" i="328"/>
  <c r="D927" i="328"/>
  <c r="J910" i="328"/>
  <c r="D910" i="328"/>
  <c r="J893" i="328"/>
  <c r="D893" i="328"/>
  <c r="J876" i="328"/>
  <c r="D876" i="328"/>
  <c r="J859" i="328"/>
  <c r="D859" i="328"/>
  <c r="J842" i="328"/>
  <c r="D842" i="328"/>
  <c r="J739" i="328"/>
  <c r="D739" i="328"/>
  <c r="J722" i="328"/>
  <c r="D722" i="328"/>
  <c r="J705" i="328"/>
  <c r="D705" i="328"/>
  <c r="J688" i="328"/>
  <c r="D688" i="328"/>
  <c r="J671" i="328"/>
  <c r="D1473" i="328"/>
  <c r="J1456" i="328"/>
  <c r="D1456" i="328"/>
  <c r="J1439" i="328"/>
  <c r="D1440" i="328"/>
  <c r="J1423" i="328"/>
  <c r="D1423" i="328"/>
  <c r="J1406" i="328"/>
  <c r="D1406" i="328"/>
  <c r="J1389" i="328"/>
  <c r="D1389" i="328"/>
  <c r="J1372" i="328"/>
  <c r="D1368" i="328"/>
  <c r="J1351" i="328"/>
  <c r="D1351" i="328"/>
  <c r="J1334" i="328"/>
  <c r="D1334" i="328"/>
  <c r="J1317" i="328"/>
  <c r="D1317" i="328"/>
  <c r="J1300" i="328"/>
  <c r="D1300" i="328"/>
  <c r="J1283" i="328"/>
  <c r="D1283" i="328"/>
  <c r="J1266" i="328"/>
  <c r="D1266" i="328"/>
  <c r="J1249" i="328"/>
  <c r="D1249" i="328"/>
  <c r="J1232" i="328"/>
  <c r="D1232" i="328"/>
  <c r="J1215" i="328"/>
  <c r="D1215" i="328"/>
  <c r="J1198" i="328"/>
  <c r="D1198" i="328"/>
  <c r="J1181" i="328"/>
  <c r="D1181" i="328"/>
  <c r="J1164" i="328"/>
  <c r="D1164" i="328"/>
  <c r="J1147" i="328"/>
  <c r="D1147" i="328"/>
  <c r="J1130" i="328"/>
  <c r="D1130" i="328"/>
  <c r="J1113" i="328"/>
  <c r="D1113" i="328"/>
  <c r="J1096" i="328"/>
  <c r="D1096" i="328"/>
  <c r="J1079" i="328"/>
  <c r="D1079" i="328"/>
  <c r="J1062" i="328"/>
  <c r="D1062" i="328"/>
  <c r="J1045" i="328"/>
  <c r="D1045" i="328"/>
  <c r="J1028" i="328"/>
  <c r="D1028" i="328"/>
  <c r="J1011" i="328"/>
  <c r="D1011" i="328"/>
  <c r="J994" i="328"/>
  <c r="D994" i="328"/>
  <c r="J977" i="328"/>
  <c r="D977" i="328"/>
  <c r="J960" i="328"/>
  <c r="D960" i="328"/>
  <c r="J943" i="328"/>
  <c r="D943" i="328"/>
  <c r="J926" i="328"/>
  <c r="D926" i="328"/>
  <c r="J909" i="328"/>
  <c r="D909" i="328"/>
  <c r="J892" i="328"/>
  <c r="D892" i="328"/>
  <c r="J875" i="328"/>
  <c r="D875" i="328"/>
  <c r="J858" i="328"/>
  <c r="D858" i="328"/>
  <c r="J841" i="328"/>
  <c r="D841" i="328"/>
  <c r="J738" i="328"/>
  <c r="D738" i="328"/>
  <c r="J721" i="328"/>
  <c r="D721" i="328"/>
  <c r="J704" i="328"/>
  <c r="D704" i="328"/>
  <c r="J687" i="328"/>
  <c r="D687" i="328"/>
  <c r="J670" i="328"/>
  <c r="D1471" i="328"/>
  <c r="D1454" i="328"/>
  <c r="D1439" i="328"/>
  <c r="D1422" i="328"/>
  <c r="D1405" i="328"/>
  <c r="D1388" i="328"/>
  <c r="J1354" i="328"/>
  <c r="J1337" i="328"/>
  <c r="J1320" i="328"/>
  <c r="J1303" i="328"/>
  <c r="J1286" i="328"/>
  <c r="J1269" i="328"/>
  <c r="J1252" i="328"/>
  <c r="J1235" i="328"/>
  <c r="J1218" i="328"/>
  <c r="J1201" i="328"/>
  <c r="J1184" i="328"/>
  <c r="J1167" i="328"/>
  <c r="J1150" i="328"/>
  <c r="J1133" i="328"/>
  <c r="J1116" i="328"/>
  <c r="J1099" i="328"/>
  <c r="J1082" i="328"/>
  <c r="J1065" i="328"/>
  <c r="J1048" i="328"/>
  <c r="J1031" i="328"/>
  <c r="J1014" i="328"/>
  <c r="J997" i="328"/>
  <c r="J980" i="328"/>
  <c r="J963" i="328"/>
  <c r="J946" i="328"/>
  <c r="J929" i="328"/>
  <c r="J912" i="328"/>
  <c r="J895" i="328"/>
  <c r="J878" i="328"/>
  <c r="J861" i="328"/>
  <c r="J844" i="328"/>
  <c r="J741" i="328"/>
  <c r="J724" i="328"/>
  <c r="J707" i="328"/>
  <c r="J690" i="328"/>
  <c r="J673" i="328"/>
  <c r="D670" i="328"/>
  <c r="J653" i="328"/>
  <c r="D653" i="328"/>
  <c r="J636" i="328"/>
  <c r="D636" i="328"/>
  <c r="J619" i="328"/>
  <c r="D619" i="328"/>
  <c r="J602" i="328"/>
  <c r="D602" i="328"/>
  <c r="J585" i="328"/>
  <c r="D585" i="328"/>
  <c r="J568" i="328"/>
  <c r="D568" i="328"/>
  <c r="J551" i="328"/>
  <c r="D551" i="328"/>
  <c r="J534" i="328"/>
  <c r="D534" i="328"/>
  <c r="J517" i="328"/>
  <c r="D517" i="328"/>
  <c r="J500" i="328"/>
  <c r="D500" i="328"/>
  <c r="J483" i="328"/>
  <c r="D483" i="328"/>
  <c r="J466" i="328"/>
  <c r="D466" i="328"/>
  <c r="J449" i="328"/>
  <c r="D449" i="328"/>
  <c r="J432" i="328"/>
  <c r="D432" i="328"/>
  <c r="D415" i="328"/>
  <c r="J398" i="328"/>
  <c r="D398" i="328"/>
  <c r="J381" i="328"/>
  <c r="D381" i="328"/>
  <c r="J364" i="328"/>
  <c r="D364" i="328"/>
  <c r="J347" i="328"/>
  <c r="D347" i="328"/>
  <c r="J330" i="328"/>
  <c r="D330" i="328"/>
  <c r="J313" i="328"/>
  <c r="D313" i="328"/>
  <c r="J296" i="328"/>
  <c r="D1470" i="328"/>
  <c r="D1453" i="328"/>
  <c r="D1437" i="328"/>
  <c r="D1420" i="328"/>
  <c r="D1403" i="328"/>
  <c r="D1386" i="328"/>
  <c r="D1372" i="328"/>
  <c r="D1355" i="328"/>
  <c r="D1338" i="328"/>
  <c r="D1321" i="328"/>
  <c r="D1304" i="328"/>
  <c r="D1287" i="328"/>
  <c r="D1270" i="328"/>
  <c r="D1253" i="328"/>
  <c r="D1236" i="328"/>
  <c r="D1219" i="328"/>
  <c r="D1202" i="328"/>
  <c r="D1185" i="328"/>
  <c r="D1168" i="328"/>
  <c r="D1151" i="328"/>
  <c r="D1134" i="328"/>
  <c r="D1117" i="328"/>
  <c r="D1100" i="328"/>
  <c r="D1083" i="328"/>
  <c r="D1066" i="328"/>
  <c r="D1049" i="328"/>
  <c r="D1032" i="328"/>
  <c r="D1015" i="328"/>
  <c r="D998" i="328"/>
  <c r="D981" i="328"/>
  <c r="D964" i="328"/>
  <c r="D947" i="328"/>
  <c r="D930" i="328"/>
  <c r="D913" i="328"/>
  <c r="D896" i="328"/>
  <c r="D879" i="328"/>
  <c r="D862" i="328"/>
  <c r="D845" i="328"/>
  <c r="D742" i="328"/>
  <c r="D725" i="328"/>
  <c r="D708" i="328"/>
  <c r="D691" i="328"/>
  <c r="D674" i="328"/>
  <c r="J657" i="328"/>
  <c r="D657" i="328"/>
  <c r="J640" i="328"/>
  <c r="D640" i="328"/>
  <c r="J623" i="328"/>
  <c r="D623" i="328"/>
  <c r="J606" i="328"/>
  <c r="D606" i="328"/>
  <c r="J589" i="328"/>
  <c r="D589" i="328"/>
  <c r="J572" i="328"/>
  <c r="D572" i="328"/>
  <c r="J555" i="328"/>
  <c r="D555" i="328"/>
  <c r="J538" i="328"/>
  <c r="D538" i="328"/>
  <c r="J521" i="328"/>
  <c r="D521" i="328"/>
  <c r="J504" i="328"/>
  <c r="D504" i="328"/>
  <c r="J487" i="328"/>
  <c r="D487" i="328"/>
  <c r="J470" i="328"/>
  <c r="D470" i="328"/>
  <c r="J453" i="328"/>
  <c r="D453" i="328"/>
  <c r="J436" i="328"/>
  <c r="D436" i="328"/>
  <c r="D419" i="328"/>
  <c r="J402" i="328"/>
  <c r="D402" i="328"/>
  <c r="J385" i="328"/>
  <c r="D385" i="328"/>
  <c r="J368" i="328"/>
  <c r="D368" i="328"/>
  <c r="J351" i="328"/>
  <c r="D351" i="328"/>
  <c r="J334" i="328"/>
  <c r="D334" i="328"/>
  <c r="J317" i="328"/>
  <c r="D317" i="328"/>
  <c r="J300" i="328"/>
  <c r="J1454" i="328"/>
  <c r="J1422" i="328"/>
  <c r="J1388" i="328"/>
  <c r="J1338" i="328"/>
  <c r="J1304" i="328"/>
  <c r="J1270" i="328"/>
  <c r="J1236" i="328"/>
  <c r="J1202" i="328"/>
  <c r="J1168" i="328"/>
  <c r="J1134" i="328"/>
  <c r="J1100" i="328"/>
  <c r="J1066" i="328"/>
  <c r="J1032" i="328"/>
  <c r="J998" i="328"/>
  <c r="J964" i="328"/>
  <c r="J930" i="328"/>
  <c r="J896" i="328"/>
  <c r="J862" i="328"/>
  <c r="J742" i="328"/>
  <c r="J708" i="328"/>
  <c r="J674" i="328"/>
  <c r="J654" i="328"/>
  <c r="J637" i="328"/>
  <c r="J620" i="328"/>
  <c r="J603" i="328"/>
  <c r="J586" i="328"/>
  <c r="J569" i="328"/>
  <c r="J552" i="328"/>
  <c r="J535" i="328"/>
  <c r="J518" i="328"/>
  <c r="J501" i="328"/>
  <c r="J484" i="328"/>
  <c r="J467" i="328"/>
  <c r="J450" i="328"/>
  <c r="J433" i="328"/>
  <c r="D416" i="328"/>
  <c r="D399" i="328"/>
  <c r="D382" i="328"/>
  <c r="D365" i="328"/>
  <c r="D348" i="328"/>
  <c r="D331" i="328"/>
  <c r="D314" i="328"/>
  <c r="D299" i="328"/>
  <c r="J282" i="328"/>
  <c r="D282" i="328"/>
  <c r="J265" i="328"/>
  <c r="D265" i="328"/>
  <c r="J248" i="328"/>
  <c r="D248" i="328"/>
  <c r="J231" i="328"/>
  <c r="D231" i="328"/>
  <c r="J214" i="328"/>
  <c r="D214" i="328"/>
  <c r="J197" i="328"/>
  <c r="D197" i="328"/>
  <c r="J180" i="328"/>
  <c r="D180" i="328"/>
  <c r="J163" i="328"/>
  <c r="D163" i="328"/>
  <c r="J146" i="328"/>
  <c r="D146" i="328"/>
  <c r="J129" i="328"/>
  <c r="D129" i="328"/>
  <c r="J112" i="328"/>
  <c r="D112" i="328"/>
  <c r="J95" i="328"/>
  <c r="D95" i="328"/>
  <c r="J78" i="328"/>
  <c r="D78" i="328"/>
  <c r="J61" i="328"/>
  <c r="D61" i="328"/>
  <c r="J44" i="328"/>
  <c r="D44" i="328"/>
  <c r="J27" i="328"/>
  <c r="D27" i="328"/>
  <c r="J10" i="328"/>
  <c r="J1405" i="328"/>
  <c r="J1321" i="328"/>
  <c r="J1219" i="328"/>
  <c r="J1151" i="328"/>
  <c r="J1083" i="328"/>
  <c r="J1015" i="328"/>
  <c r="J947" i="328"/>
  <c r="J879" i="328"/>
  <c r="J691" i="328"/>
  <c r="D654" i="328"/>
  <c r="D620" i="328"/>
  <c r="D586" i="328"/>
  <c r="D552" i="328"/>
  <c r="D518" i="328"/>
  <c r="D484" i="328"/>
  <c r="D450" i="328"/>
  <c r="J399" i="328"/>
  <c r="J365" i="328"/>
  <c r="J331" i="328"/>
  <c r="J297" i="328"/>
  <c r="J279" i="328"/>
  <c r="J262" i="328"/>
  <c r="J245" i="328"/>
  <c r="D245" i="328"/>
  <c r="D228" i="328"/>
  <c r="D211" i="328"/>
  <c r="D194" i="328"/>
  <c r="D177" i="328"/>
  <c r="J160" i="328"/>
  <c r="J143" i="328"/>
  <c r="J126" i="328"/>
  <c r="J109" i="328"/>
  <c r="J92" i="328"/>
  <c r="J75" i="328"/>
  <c r="J58" i="328"/>
  <c r="J41" i="328"/>
  <c r="J24" i="328"/>
  <c r="J7" i="328"/>
  <c r="J1436" i="328"/>
  <c r="J1369" i="328"/>
  <c r="D1320" i="328"/>
  <c r="D1252" i="328"/>
  <c r="D1184" i="328"/>
  <c r="D1116" i="328"/>
  <c r="D1048" i="328"/>
  <c r="D980" i="328"/>
  <c r="D912" i="328"/>
  <c r="D724" i="328"/>
  <c r="D690" i="328"/>
  <c r="J639" i="328"/>
  <c r="J605" i="328"/>
  <c r="J571" i="328"/>
  <c r="J537" i="328"/>
  <c r="J503" i="328"/>
  <c r="J469" i="328"/>
  <c r="J435" i="328"/>
  <c r="D401" i="328"/>
  <c r="D367" i="328"/>
  <c r="D316" i="328"/>
  <c r="J283" i="328"/>
  <c r="J266" i="328"/>
  <c r="J249" i="328"/>
  <c r="J232" i="328"/>
  <c r="J215" i="328"/>
  <c r="J198" i="328"/>
  <c r="J181" i="328"/>
  <c r="D164" i="328"/>
  <c r="D147" i="328"/>
  <c r="D130" i="328"/>
  <c r="D113" i="328"/>
  <c r="D96" i="328"/>
  <c r="D79" i="328"/>
  <c r="D62" i="328"/>
  <c r="D45" i="328"/>
  <c r="J11" i="328"/>
  <c r="J1453" i="328"/>
  <c r="J1420" i="328"/>
  <c r="J1386" i="328"/>
  <c r="D1371" i="328"/>
  <c r="D1337" i="328"/>
  <c r="D1303" i="328"/>
  <c r="D1269" i="328"/>
  <c r="D1235" i="328"/>
  <c r="D1201" i="328"/>
  <c r="D1167" i="328"/>
  <c r="D1133" i="328"/>
  <c r="D1099" i="328"/>
  <c r="D1065" i="328"/>
  <c r="D1031" i="328"/>
  <c r="D997" i="328"/>
  <c r="D963" i="328"/>
  <c r="D929" i="328"/>
  <c r="D895" i="328"/>
  <c r="D861" i="328"/>
  <c r="D741" i="328"/>
  <c r="D707" i="328"/>
  <c r="D673" i="328"/>
  <c r="D656" i="328"/>
  <c r="D639" i="328"/>
  <c r="D622" i="328"/>
  <c r="D605" i="328"/>
  <c r="D588" i="328"/>
  <c r="D571" i="328"/>
  <c r="D554" i="328"/>
  <c r="D537" i="328"/>
  <c r="D520" i="328"/>
  <c r="D503" i="328"/>
  <c r="D486" i="328"/>
  <c r="D469" i="328"/>
  <c r="D452" i="328"/>
  <c r="D435" i="328"/>
  <c r="J401" i="328"/>
  <c r="J384" i="328"/>
  <c r="J367" i="328"/>
  <c r="J350" i="328"/>
  <c r="J333" i="328"/>
  <c r="J316" i="328"/>
  <c r="J299" i="328"/>
  <c r="D297" i="328"/>
  <c r="J280" i="328"/>
  <c r="D280" i="328"/>
  <c r="J263" i="328"/>
  <c r="D263" i="328"/>
  <c r="J246" i="328"/>
  <c r="D246" i="328"/>
  <c r="J229" i="328"/>
  <c r="D229" i="328"/>
  <c r="J212" i="328"/>
  <c r="D212" i="328"/>
  <c r="J195" i="328"/>
  <c r="D195" i="328"/>
  <c r="J178" i="328"/>
  <c r="D178" i="328"/>
  <c r="J161" i="328"/>
  <c r="D161" i="328"/>
  <c r="J144" i="328"/>
  <c r="D144" i="328"/>
  <c r="J127" i="328"/>
  <c r="D127" i="328"/>
  <c r="J110" i="328"/>
  <c r="D110" i="328"/>
  <c r="J93" i="328"/>
  <c r="D93" i="328"/>
  <c r="J76" i="328"/>
  <c r="D76" i="328"/>
  <c r="J59" i="328"/>
  <c r="D59" i="328"/>
  <c r="J42" i="328"/>
  <c r="D42" i="328"/>
  <c r="J25" i="328"/>
  <c r="D25" i="328"/>
  <c r="J8" i="328"/>
  <c r="J1437" i="328"/>
  <c r="J1371" i="328"/>
  <c r="J1355" i="328"/>
  <c r="J1287" i="328"/>
  <c r="J1253" i="328"/>
  <c r="J1185" i="328"/>
  <c r="J1117" i="328"/>
  <c r="J1049" i="328"/>
  <c r="J981" i="328"/>
  <c r="J913" i="328"/>
  <c r="J845" i="328"/>
  <c r="J725" i="328"/>
  <c r="D671" i="328"/>
  <c r="D637" i="328"/>
  <c r="D603" i="328"/>
  <c r="D569" i="328"/>
  <c r="D535" i="328"/>
  <c r="D501" i="328"/>
  <c r="D467" i="328"/>
  <c r="D433" i="328"/>
  <c r="J382" i="328"/>
  <c r="J348" i="328"/>
  <c r="J314" i="328"/>
  <c r="D296" i="328"/>
  <c r="D279" i="328"/>
  <c r="D262" i="328"/>
  <c r="J228" i="328"/>
  <c r="J211" i="328"/>
  <c r="J194" i="328"/>
  <c r="J177" i="328"/>
  <c r="D160" i="328"/>
  <c r="D143" i="328"/>
  <c r="D126" i="328"/>
  <c r="D109" i="328"/>
  <c r="D92" i="328"/>
  <c r="D75" i="328"/>
  <c r="D58" i="328"/>
  <c r="D41" i="328"/>
  <c r="D24" i="328"/>
  <c r="J1403" i="328"/>
  <c r="D1354" i="328"/>
  <c r="D1286" i="328"/>
  <c r="D1218" i="328"/>
  <c r="D1150" i="328"/>
  <c r="D1082" i="328"/>
  <c r="D1014" i="328"/>
  <c r="D946" i="328"/>
  <c r="D878" i="328"/>
  <c r="D844" i="328"/>
  <c r="J656" i="328"/>
  <c r="J622" i="328"/>
  <c r="J588" i="328"/>
  <c r="J554" i="328"/>
  <c r="J520" i="328"/>
  <c r="J486" i="328"/>
  <c r="J452" i="328"/>
  <c r="D418" i="328"/>
  <c r="D384" i="328"/>
  <c r="D350" i="328"/>
  <c r="D333" i="328"/>
  <c r="D300" i="328"/>
  <c r="D283" i="328"/>
  <c r="D266" i="328"/>
  <c r="D249" i="328"/>
  <c r="D232" i="328"/>
  <c r="D215" i="328"/>
  <c r="D198" i="328"/>
  <c r="D181" i="328"/>
  <c r="J164" i="328"/>
  <c r="J147" i="328"/>
  <c r="J130" i="328"/>
  <c r="J113" i="328"/>
  <c r="J96" i="328"/>
  <c r="J79" i="328"/>
  <c r="J62" i="328"/>
  <c r="J45" i="328"/>
  <c r="J28" i="328"/>
  <c r="D28" i="328"/>
  <c r="D10" i="328"/>
  <c r="F8" i="257"/>
  <c r="T178" i="249"/>
  <c r="Z100" i="257" l="1"/>
  <c r="Z104" i="257"/>
  <c r="Z101" i="257"/>
  <c r="Z105" i="257"/>
  <c r="Z103" i="257"/>
  <c r="Z102" i="257"/>
  <c r="E12" i="318" l="1"/>
  <c r="E11" i="318"/>
  <c r="D12" i="318"/>
  <c r="D11" i="318"/>
  <c r="K1480" i="328" l="1"/>
  <c r="E1480" i="328"/>
  <c r="J1474" i="328"/>
  <c r="J1473" i="328"/>
  <c r="J1471" i="328"/>
  <c r="J1470" i="328"/>
  <c r="K1463" i="328"/>
  <c r="E1463" i="328"/>
  <c r="K1446" i="328"/>
  <c r="E1446" i="328"/>
  <c r="K1429" i="328"/>
  <c r="E1429" i="328"/>
  <c r="K1412" i="328"/>
  <c r="E1412" i="328"/>
  <c r="K1395" i="328"/>
  <c r="E1395" i="328"/>
  <c r="K1378" i="328"/>
  <c r="E1378" i="328"/>
  <c r="K1361" i="328"/>
  <c r="E1361" i="328"/>
  <c r="K1344" i="328"/>
  <c r="E1344" i="328"/>
  <c r="K1327" i="328"/>
  <c r="E1327" i="328"/>
  <c r="K1310" i="328"/>
  <c r="E1310" i="328"/>
  <c r="K1293" i="328"/>
  <c r="E1293" i="328"/>
  <c r="K1276" i="328"/>
  <c r="E1276" i="328"/>
  <c r="K1259" i="328"/>
  <c r="E1259" i="328"/>
  <c r="K1242" i="328"/>
  <c r="E1242" i="328"/>
  <c r="K1225" i="328"/>
  <c r="E1225" i="328"/>
  <c r="K1208" i="328"/>
  <c r="E1208" i="328"/>
  <c r="K1191" i="328"/>
  <c r="E1191" i="328"/>
  <c r="K1174" i="328"/>
  <c r="E1174" i="328"/>
  <c r="K1157" i="328"/>
  <c r="E1157" i="328"/>
  <c r="K1140" i="328"/>
  <c r="E1140" i="328"/>
  <c r="K1123" i="328"/>
  <c r="E1123" i="328"/>
  <c r="K1106" i="328"/>
  <c r="E1106" i="328"/>
  <c r="K1089" i="328"/>
  <c r="E1089" i="328"/>
  <c r="K1072" i="328"/>
  <c r="E1072" i="328"/>
  <c r="K1055" i="328"/>
  <c r="E1055" i="328"/>
  <c r="K1038" i="328"/>
  <c r="E1038" i="328"/>
  <c r="K1021" i="328"/>
  <c r="E1021" i="328"/>
  <c r="K1004" i="328"/>
  <c r="E1004" i="328"/>
  <c r="K987" i="328"/>
  <c r="E987" i="328"/>
  <c r="K970" i="328"/>
  <c r="E970" i="328"/>
  <c r="K953" i="328"/>
  <c r="E953" i="328"/>
  <c r="K936" i="328"/>
  <c r="E936" i="328"/>
  <c r="K919" i="328"/>
  <c r="E919" i="328"/>
  <c r="K902" i="328"/>
  <c r="E902" i="328"/>
  <c r="K885" i="328"/>
  <c r="E885" i="328"/>
  <c r="K868" i="328"/>
  <c r="E868" i="328"/>
  <c r="K85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K731" i="328"/>
  <c r="E731" i="328"/>
  <c r="K714" i="328"/>
  <c r="E714" i="328"/>
  <c r="K697" i="328"/>
  <c r="E697" i="328"/>
  <c r="K680" i="328"/>
  <c r="E680" i="328"/>
  <c r="K663" i="328"/>
  <c r="E663" i="328"/>
  <c r="K646" i="328"/>
  <c r="E646" i="328"/>
  <c r="K629" i="328"/>
  <c r="E629" i="328"/>
  <c r="K612" i="328"/>
  <c r="E612" i="328"/>
  <c r="K595" i="328"/>
  <c r="E595" i="328"/>
  <c r="K578" i="328"/>
  <c r="E578" i="328"/>
  <c r="K561" i="328"/>
  <c r="E561" i="328"/>
  <c r="K544" i="328"/>
  <c r="E544" i="328"/>
  <c r="K527" i="328"/>
  <c r="E527" i="328"/>
  <c r="K510" i="328"/>
  <c r="E510" i="328"/>
  <c r="K493" i="328"/>
  <c r="E493" i="328"/>
  <c r="K476" i="328"/>
  <c r="E476" i="328"/>
  <c r="K459" i="328"/>
  <c r="E459" i="328"/>
  <c r="K442" i="328"/>
  <c r="E442" i="328"/>
  <c r="K425" i="328"/>
  <c r="E425" i="328"/>
  <c r="J419" i="328"/>
  <c r="J418" i="328"/>
  <c r="J416" i="328"/>
  <c r="J415" i="328"/>
  <c r="K408" i="328"/>
  <c r="E408" i="328"/>
  <c r="K391" i="328"/>
  <c r="E391" i="328"/>
  <c r="K374" i="328"/>
  <c r="E374" i="328"/>
  <c r="K357" i="328"/>
  <c r="E357" i="328"/>
  <c r="K340" i="328"/>
  <c r="E340" i="328"/>
  <c r="K323" i="328"/>
  <c r="E323" i="328"/>
  <c r="K306" i="328"/>
  <c r="E306" i="328"/>
  <c r="K289" i="328"/>
  <c r="E289" i="328"/>
  <c r="K272" i="328"/>
  <c r="E272" i="328"/>
  <c r="K255" i="328"/>
  <c r="E255" i="328"/>
  <c r="K238" i="328"/>
  <c r="E238" i="328"/>
  <c r="K221" i="328"/>
  <c r="E221" i="328"/>
  <c r="K204" i="328"/>
  <c r="E204" i="328"/>
  <c r="K187" i="328"/>
  <c r="E187" i="328"/>
  <c r="K170" i="328"/>
  <c r="E170" i="328"/>
  <c r="K153" i="328"/>
  <c r="E153" i="328"/>
  <c r="K136" i="328"/>
  <c r="E136" i="328"/>
  <c r="K119" i="328"/>
  <c r="E119" i="328"/>
  <c r="K102" i="328"/>
  <c r="E102" i="328"/>
  <c r="K85" i="328"/>
  <c r="E85" i="328"/>
  <c r="K68" i="328"/>
  <c r="E68" i="328"/>
  <c r="K51" i="328"/>
  <c r="E51" i="328"/>
  <c r="K34" i="328"/>
  <c r="E34" i="328"/>
  <c r="D11" i="328"/>
  <c r="D8" i="328"/>
  <c r="K17" i="328" l="1"/>
  <c r="E17" i="328"/>
  <c r="F13" i="323"/>
  <c r="F12" i="323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D14" i="323"/>
  <c r="AB4" i="323"/>
  <c r="AC4" i="323" s="1"/>
  <c r="AA4" i="323"/>
  <c r="F12" i="318" l="1"/>
  <c r="G12" i="318" s="1"/>
  <c r="F11" i="318"/>
  <c r="G11" i="318" s="1"/>
  <c r="AJ15" i="325"/>
  <c r="AK15" i="325" s="1"/>
  <c r="F14" i="323"/>
  <c r="G12" i="323"/>
  <c r="G13" i="323"/>
  <c r="H13" i="323" s="1"/>
  <c r="G30" i="317"/>
  <c r="F186" i="249"/>
  <c r="F179" i="249"/>
  <c r="G13" i="249"/>
  <c r="G14" i="323" l="1"/>
  <c r="H12" i="323"/>
  <c r="H14" i="323" s="1"/>
  <c r="F193" i="249"/>
  <c r="D18" i="317"/>
  <c r="H20" i="187" l="1"/>
  <c r="Q20" i="187"/>
  <c r="E10" i="320" l="1"/>
  <c r="W15" i="31" l="1"/>
  <c r="X15" i="31"/>
  <c r="Y15" i="31"/>
  <c r="AH15" i="322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K13" i="322"/>
  <c r="AK17" i="322" s="1"/>
  <c r="AF13" i="322"/>
  <c r="AF17" i="322" s="1"/>
  <c r="AE13" i="322"/>
  <c r="AE17" i="322" s="1"/>
  <c r="AD13" i="322"/>
  <c r="AC13" i="322"/>
  <c r="AC17" i="322" s="1"/>
  <c r="AB13" i="322"/>
  <c r="AB17" i="322" s="1"/>
  <c r="AA13" i="322"/>
  <c r="Z13" i="322"/>
  <c r="Z17" i="322" s="1"/>
  <c r="Y13" i="322"/>
  <c r="Y17" i="322" s="1"/>
  <c r="X13" i="322"/>
  <c r="X17" i="322" s="1"/>
  <c r="W13" i="322"/>
  <c r="W17" i="322" s="1"/>
  <c r="V13" i="322"/>
  <c r="V17" i="322" s="1"/>
  <c r="U13" i="322"/>
  <c r="U17" i="322" s="1"/>
  <c r="T13" i="322"/>
  <c r="T17" i="322" s="1"/>
  <c r="S13" i="322"/>
  <c r="S17" i="322" s="1"/>
  <c r="R13" i="322"/>
  <c r="R17" i="322" s="1"/>
  <c r="Q13" i="322"/>
  <c r="Q17" i="322" s="1"/>
  <c r="P13" i="322"/>
  <c r="P17" i="322" s="1"/>
  <c r="O13" i="322"/>
  <c r="O17" i="322" s="1"/>
  <c r="N13" i="322"/>
  <c r="M13" i="322"/>
  <c r="M17" i="322" s="1"/>
  <c r="L13" i="322"/>
  <c r="L17" i="322" s="1"/>
  <c r="K13" i="322"/>
  <c r="J13" i="322"/>
  <c r="J17" i="322" s="1"/>
  <c r="I13" i="322"/>
  <c r="I17" i="322" s="1"/>
  <c r="H13" i="322"/>
  <c r="H17" i="322" s="1"/>
  <c r="G13" i="322"/>
  <c r="G17" i="322" s="1"/>
  <c r="F13" i="322"/>
  <c r="F17" i="322" s="1"/>
  <c r="E13" i="322"/>
  <c r="E17" i="322" s="1"/>
  <c r="D13" i="322"/>
  <c r="D17" i="322" s="1"/>
  <c r="C13" i="322"/>
  <c r="C17" i="322" s="1"/>
  <c r="C163" i="31"/>
  <c r="C164" i="31"/>
  <c r="C165" i="31"/>
  <c r="C166" i="31"/>
  <c r="C167" i="31"/>
  <c r="C168" i="31"/>
  <c r="C169" i="31"/>
  <c r="C170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C107" i="31"/>
  <c r="C101" i="334"/>
  <c r="C108" i="31"/>
  <c r="C104" i="334"/>
  <c r="U90" i="312"/>
  <c r="C70" i="312"/>
  <c r="D166" i="31"/>
  <c r="E162" i="334" s="1"/>
  <c r="C74" i="312"/>
  <c r="D170" i="31"/>
  <c r="E166" i="334" s="1"/>
  <c r="AL166" i="231"/>
  <c r="AM166" i="231"/>
  <c r="AN166" i="231"/>
  <c r="AO166" i="231"/>
  <c r="AP166" i="231"/>
  <c r="AQ166" i="231"/>
  <c r="AL167" i="231"/>
  <c r="AM167" i="231"/>
  <c r="AN167" i="231"/>
  <c r="AO167" i="231"/>
  <c r="AP167" i="231"/>
  <c r="AQ167" i="231"/>
  <c r="AL168" i="231"/>
  <c r="AM168" i="231"/>
  <c r="AN168" i="231"/>
  <c r="AO168" i="231"/>
  <c r="AP168" i="231"/>
  <c r="AQ168" i="231"/>
  <c r="AA175" i="321" s="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65" i="23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B106" i="257"/>
  <c r="B107" i="257"/>
  <c r="C166" i="231"/>
  <c r="C167" i="231"/>
  <c r="C168" i="231"/>
  <c r="C99" i="231"/>
  <c r="C16" i="312"/>
  <c r="C100" i="231"/>
  <c r="C101" i="231"/>
  <c r="C102" i="231"/>
  <c r="C103" i="231"/>
  <c r="D115" i="31"/>
  <c r="E111" i="334" s="1"/>
  <c r="C104" i="231"/>
  <c r="C105" i="231"/>
  <c r="C22" i="312"/>
  <c r="C106" i="231"/>
  <c r="C107" i="231"/>
  <c r="C108" i="231"/>
  <c r="AD115" i="321"/>
  <c r="C109" i="231"/>
  <c r="C26" i="312"/>
  <c r="C110" i="231"/>
  <c r="C111" i="231"/>
  <c r="C112" i="231"/>
  <c r="D124" i="31"/>
  <c r="E120" i="334" s="1"/>
  <c r="C113" i="231"/>
  <c r="C30" i="312"/>
  <c r="C114" i="231"/>
  <c r="C115" i="231"/>
  <c r="C116" i="231"/>
  <c r="C33" i="312"/>
  <c r="C117" i="231"/>
  <c r="AD124" i="321"/>
  <c r="C118" i="231"/>
  <c r="C35" i="312"/>
  <c r="C119" i="231"/>
  <c r="C120" i="231"/>
  <c r="C121" i="231"/>
  <c r="C122" i="231"/>
  <c r="C39" i="312"/>
  <c r="C123" i="231"/>
  <c r="C124" i="231"/>
  <c r="C41" i="312"/>
  <c r="C125" i="231"/>
  <c r="AD132" i="321"/>
  <c r="C126" i="231"/>
  <c r="C43" i="312"/>
  <c r="C127" i="231"/>
  <c r="C128" i="231"/>
  <c r="C129" i="231"/>
  <c r="D141" i="31"/>
  <c r="E137" i="334" s="1"/>
  <c r="C130" i="231"/>
  <c r="C47" i="312"/>
  <c r="C131" i="231"/>
  <c r="C132" i="231"/>
  <c r="C133" i="231"/>
  <c r="C134" i="231"/>
  <c r="AD141" i="321"/>
  <c r="C135" i="231"/>
  <c r="C52" i="312"/>
  <c r="C136" i="231"/>
  <c r="C137" i="231"/>
  <c r="C138" i="231"/>
  <c r="D150" i="31"/>
  <c r="E146" i="334" s="1"/>
  <c r="C139" i="231"/>
  <c r="C56" i="312"/>
  <c r="C140" i="231"/>
  <c r="C141" i="231"/>
  <c r="C142" i="231"/>
  <c r="AD149" i="321"/>
  <c r="C143" i="231"/>
  <c r="C144" i="231"/>
  <c r="C145" i="231"/>
  <c r="C146" i="231"/>
  <c r="D158" i="31"/>
  <c r="E154" i="334" s="1"/>
  <c r="C147" i="231"/>
  <c r="C64" i="312"/>
  <c r="C148" i="231"/>
  <c r="C149" i="231"/>
  <c r="C150" i="231"/>
  <c r="C151" i="231"/>
  <c r="C68" i="312"/>
  <c r="C152" i="231"/>
  <c r="C153" i="231"/>
  <c r="C154" i="231"/>
  <c r="C155" i="231"/>
  <c r="C156" i="231"/>
  <c r="C157" i="231"/>
  <c r="C158" i="231"/>
  <c r="C98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B51" i="257"/>
  <c r="C57" i="31"/>
  <c r="C61" i="31"/>
  <c r="C65" i="31"/>
  <c r="B67" i="257"/>
  <c r="C69" i="31"/>
  <c r="C77" i="31"/>
  <c r="C81" i="31"/>
  <c r="C84" i="31"/>
  <c r="C85" i="31"/>
  <c r="C89" i="31"/>
  <c r="D14" i="249"/>
  <c r="AK163" i="249"/>
  <c r="H79" i="312" s="1"/>
  <c r="AO189" i="321"/>
  <c r="AK186" i="321"/>
  <c r="AK187" i="321" s="1"/>
  <c r="AJ186" i="321"/>
  <c r="AJ187" i="321" s="1"/>
  <c r="AI186" i="321"/>
  <c r="AI187" i="321" s="1"/>
  <c r="AH186" i="321"/>
  <c r="AH187" i="321" s="1"/>
  <c r="I184" i="321"/>
  <c r="G184" i="321"/>
  <c r="AG181" i="321"/>
  <c r="AF180" i="321"/>
  <c r="Q179" i="321"/>
  <c r="AC179" i="321" s="1"/>
  <c r="Q170" i="321"/>
  <c r="AC170" i="321" s="1"/>
  <c r="Q169" i="321"/>
  <c r="AC169" i="321" s="1"/>
  <c r="Q168" i="321"/>
  <c r="AC168" i="321" s="1"/>
  <c r="Q167" i="321"/>
  <c r="AC167" i="321" s="1"/>
  <c r="Q166" i="321"/>
  <c r="AC166" i="321" s="1"/>
  <c r="Q165" i="321"/>
  <c r="AC165" i="321" s="1"/>
  <c r="Q164" i="321"/>
  <c r="AC164" i="321" s="1"/>
  <c r="Q163" i="321"/>
  <c r="AC163" i="321" s="1"/>
  <c r="Q162" i="321"/>
  <c r="AC162" i="321" s="1"/>
  <c r="T161" i="321"/>
  <c r="Q161" i="321"/>
  <c r="AC161" i="321" s="1"/>
  <c r="T160" i="321"/>
  <c r="Q160" i="321"/>
  <c r="AC160" i="321" s="1"/>
  <c r="T159" i="321"/>
  <c r="Q159" i="321"/>
  <c r="AC159" i="321" s="1"/>
  <c r="T158" i="321"/>
  <c r="Q158" i="321"/>
  <c r="AC158" i="321" s="1"/>
  <c r="T157" i="321"/>
  <c r="Q157" i="321"/>
  <c r="AC157" i="321" s="1"/>
  <c r="C162" i="31"/>
  <c r="T156" i="321"/>
  <c r="B67" i="312"/>
  <c r="T155" i="321"/>
  <c r="Q155" i="321"/>
  <c r="AC155" i="321" s="1"/>
  <c r="T154" i="321"/>
  <c r="Q154" i="321"/>
  <c r="AC154" i="321" s="1"/>
  <c r="B65" i="312"/>
  <c r="T153" i="321"/>
  <c r="Q153" i="321"/>
  <c r="AC153" i="321" s="1"/>
  <c r="T152" i="321"/>
  <c r="C157" i="31"/>
  <c r="AF151" i="321"/>
  <c r="T151" i="321"/>
  <c r="Q151" i="321"/>
  <c r="AC151" i="321" s="1"/>
  <c r="T150" i="321"/>
  <c r="B61" i="312"/>
  <c r="T149" i="321"/>
  <c r="Q149" i="321"/>
  <c r="AC149" i="321" s="1"/>
  <c r="T148" i="321"/>
  <c r="Q148" i="321"/>
  <c r="AC148" i="321" s="1"/>
  <c r="C153" i="31"/>
  <c r="T147" i="321"/>
  <c r="Q147" i="321"/>
  <c r="T146" i="321"/>
  <c r="Q146" i="321"/>
  <c r="AC146" i="321" s="1"/>
  <c r="B57" i="312"/>
  <c r="T145" i="321"/>
  <c r="T144" i="321"/>
  <c r="Q144" i="321"/>
  <c r="AC144" i="321" s="1"/>
  <c r="C149" i="31"/>
  <c r="T143" i="321"/>
  <c r="Q143" i="321"/>
  <c r="AC143" i="321" s="1"/>
  <c r="T142" i="321"/>
  <c r="B53" i="312"/>
  <c r="T141" i="321"/>
  <c r="T140" i="321"/>
  <c r="Q140" i="321"/>
  <c r="AC140" i="321" s="1"/>
  <c r="B51" i="312"/>
  <c r="T139" i="321"/>
  <c r="T138" i="321"/>
  <c r="Q138" i="321"/>
  <c r="AC138" i="321" s="1"/>
  <c r="B49" i="312"/>
  <c r="T137" i="321"/>
  <c r="Q137" i="321"/>
  <c r="AC137" i="321" s="1"/>
  <c r="T136" i="321"/>
  <c r="Q136" i="321"/>
  <c r="AC136" i="321" s="1"/>
  <c r="C141" i="31"/>
  <c r="T135" i="321"/>
  <c r="Q135" i="321"/>
  <c r="AC135" i="321" s="1"/>
  <c r="T134" i="321"/>
  <c r="Q134" i="321"/>
  <c r="AC134" i="321" s="1"/>
  <c r="B45" i="312"/>
  <c r="T133" i="321"/>
  <c r="Q133" i="321"/>
  <c r="AC133" i="321" s="1"/>
  <c r="T132" i="321"/>
  <c r="Q132" i="321"/>
  <c r="AC132" i="321" s="1"/>
  <c r="C137" i="31"/>
  <c r="T131" i="321"/>
  <c r="T130" i="321"/>
  <c r="B41" i="312"/>
  <c r="T129" i="321"/>
  <c r="Q129" i="321"/>
  <c r="AC129" i="321" s="1"/>
  <c r="T128" i="321"/>
  <c r="C133" i="31"/>
  <c r="T127" i="321"/>
  <c r="Q127" i="321"/>
  <c r="AC127" i="321" s="1"/>
  <c r="T126" i="321"/>
  <c r="B37" i="312"/>
  <c r="T125" i="321"/>
  <c r="T124" i="321"/>
  <c r="B35" i="312"/>
  <c r="T123" i="321"/>
  <c r="Q123" i="321"/>
  <c r="AC123" i="321" s="1"/>
  <c r="T122" i="321"/>
  <c r="Q122" i="321"/>
  <c r="AC122" i="321" s="1"/>
  <c r="B33" i="312"/>
  <c r="T121" i="321"/>
  <c r="Q121" i="321"/>
  <c r="AC121" i="321" s="1"/>
  <c r="T120" i="321"/>
  <c r="Q120" i="321"/>
  <c r="AC120" i="321" s="1"/>
  <c r="C125" i="31"/>
  <c r="T119" i="321"/>
  <c r="Q119" i="321"/>
  <c r="AC119" i="321" s="1"/>
  <c r="T118" i="321"/>
  <c r="Q118" i="321"/>
  <c r="AC118" i="321" s="1"/>
  <c r="B29" i="312"/>
  <c r="T117" i="321"/>
  <c r="T116" i="321"/>
  <c r="C121" i="31"/>
  <c r="T115" i="321"/>
  <c r="Q115" i="321"/>
  <c r="AC115" i="321" s="1"/>
  <c r="T114" i="321"/>
  <c r="B25" i="312"/>
  <c r="T113" i="321"/>
  <c r="Q113" i="321"/>
  <c r="AC113" i="321" s="1"/>
  <c r="T112" i="321"/>
  <c r="Q112" i="321"/>
  <c r="AC112" i="321" s="1"/>
  <c r="C117" i="31"/>
  <c r="T111" i="321"/>
  <c r="Q111" i="321"/>
  <c r="AC111" i="321" s="1"/>
  <c r="T110" i="321"/>
  <c r="Q110" i="321"/>
  <c r="AC110" i="321" s="1"/>
  <c r="B21" i="312"/>
  <c r="T109" i="321"/>
  <c r="T108" i="321"/>
  <c r="Q108" i="321"/>
  <c r="AC108" i="321" s="1"/>
  <c r="B19" i="312"/>
  <c r="T107" i="321"/>
  <c r="Q107" i="321"/>
  <c r="T106" i="321"/>
  <c r="F104" i="321"/>
  <c r="B17" i="312"/>
  <c r="T105" i="321"/>
  <c r="Q105" i="321"/>
  <c r="AC105" i="321" s="1"/>
  <c r="AE104" i="321"/>
  <c r="S104" i="321"/>
  <c r="P104" i="321"/>
  <c r="O104" i="321"/>
  <c r="N104" i="321"/>
  <c r="M104" i="321"/>
  <c r="L104" i="321"/>
  <c r="K104" i="321"/>
  <c r="J104" i="321"/>
  <c r="I104" i="321"/>
  <c r="Q103" i="32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T83" i="321"/>
  <c r="T82" i="321"/>
  <c r="Q82" i="321"/>
  <c r="AC82" i="321" s="1"/>
  <c r="T81" i="321"/>
  <c r="T80" i="321"/>
  <c r="Q80" i="321"/>
  <c r="AC80" i="321" s="1"/>
  <c r="T79" i="321"/>
  <c r="T78" i="321"/>
  <c r="Q78" i="321"/>
  <c r="AC78" i="321" s="1"/>
  <c r="T77" i="321"/>
  <c r="Q77" i="321"/>
  <c r="AC77" i="321" s="1"/>
  <c r="T76" i="321"/>
  <c r="Q76" i="321"/>
  <c r="AC76" i="321" s="1"/>
  <c r="T75" i="321"/>
  <c r="T74" i="321"/>
  <c r="Q74" i="321"/>
  <c r="AC74" i="321" s="1"/>
  <c r="T73" i="321"/>
  <c r="Q73" i="321"/>
  <c r="AC73" i="321" s="1"/>
  <c r="T72" i="321"/>
  <c r="Q72" i="321"/>
  <c r="AC72" i="321" s="1"/>
  <c r="T71" i="321"/>
  <c r="T70" i="321"/>
  <c r="Q70" i="321"/>
  <c r="AC70" i="321" s="1"/>
  <c r="T69" i="321"/>
  <c r="Q69" i="321"/>
  <c r="AC69" i="321" s="1"/>
  <c r="B73" i="257"/>
  <c r="T68" i="321"/>
  <c r="Q68" i="321"/>
  <c r="AC68" i="321" s="1"/>
  <c r="C73" i="31"/>
  <c r="T67" i="321"/>
  <c r="Q67" i="321"/>
  <c r="AC67" i="321" s="1"/>
  <c r="T66" i="321"/>
  <c r="Q66" i="321"/>
  <c r="AC66" i="321" s="1"/>
  <c r="T65" i="321"/>
  <c r="T64" i="321"/>
  <c r="Q64" i="321"/>
  <c r="AC64" i="321" s="1"/>
  <c r="T63" i="321"/>
  <c r="Q63" i="321"/>
  <c r="AC63" i="321" s="1"/>
  <c r="T62" i="321"/>
  <c r="Q62" i="321"/>
  <c r="AC62" i="321" s="1"/>
  <c r="T61" i="321"/>
  <c r="Q61" i="321"/>
  <c r="AC61" i="321" s="1"/>
  <c r="T60" i="321"/>
  <c r="Q60" i="321"/>
  <c r="AC60" i="321" s="1"/>
  <c r="T59" i="321"/>
  <c r="Q59" i="321"/>
  <c r="AC59" i="321" s="1"/>
  <c r="T58" i="321"/>
  <c r="Q58" i="321"/>
  <c r="AC58" i="321" s="1"/>
  <c r="T57" i="321"/>
  <c r="Q57" i="321"/>
  <c r="AC57" i="321" s="1"/>
  <c r="T56" i="321"/>
  <c r="Q56" i="321"/>
  <c r="AC56" i="321" s="1"/>
  <c r="T55" i="321"/>
  <c r="Q55" i="321"/>
  <c r="AC55" i="321" s="1"/>
  <c r="T54" i="321"/>
  <c r="Q54" i="321"/>
  <c r="AC54" i="321" s="1"/>
  <c r="T53" i="321"/>
  <c r="Q53" i="321"/>
  <c r="AC53" i="321" s="1"/>
  <c r="C58" i="31"/>
  <c r="T52" i="321"/>
  <c r="Q52" i="321"/>
  <c r="AC52" i="321" s="1"/>
  <c r="T51" i="321"/>
  <c r="Q51" i="321"/>
  <c r="AC51" i="321" s="1"/>
  <c r="T50" i="321"/>
  <c r="Q50" i="321"/>
  <c r="AC50" i="321" s="1"/>
  <c r="T49" i="321"/>
  <c r="Q49" i="321"/>
  <c r="AC49" i="321" s="1"/>
  <c r="T48" i="321"/>
  <c r="Q48" i="321"/>
  <c r="AC48" i="321" s="1"/>
  <c r="C53" i="31"/>
  <c r="T47" i="321"/>
  <c r="Q47" i="321"/>
  <c r="AC47" i="321" s="1"/>
  <c r="T46" i="321"/>
  <c r="Q46" i="321"/>
  <c r="AC46" i="321" s="1"/>
  <c r="T45" i="321"/>
  <c r="Q45" i="321"/>
  <c r="AC45" i="321" s="1"/>
  <c r="T44" i="321"/>
  <c r="Q44" i="321"/>
  <c r="AC44" i="321" s="1"/>
  <c r="T43" i="321"/>
  <c r="Q43" i="321"/>
  <c r="AC43" i="321" s="1"/>
  <c r="T42" i="321"/>
  <c r="Q42" i="321"/>
  <c r="AC42" i="321" s="1"/>
  <c r="T41" i="321"/>
  <c r="Q41" i="321"/>
  <c r="AC41" i="321" s="1"/>
  <c r="T40" i="321"/>
  <c r="Q40" i="321"/>
  <c r="AC40" i="321" s="1"/>
  <c r="T39" i="321"/>
  <c r="Q39" i="321"/>
  <c r="AC39" i="321" s="1"/>
  <c r="B43" i="257"/>
  <c r="T38" i="321"/>
  <c r="Q38" i="321"/>
  <c r="AC38" i="321" s="1"/>
  <c r="T37" i="321"/>
  <c r="Q37" i="321"/>
  <c r="AC37" i="321" s="1"/>
  <c r="B41" i="257"/>
  <c r="T36" i="321"/>
  <c r="Q36" i="321"/>
  <c r="AC36" i="321" s="1"/>
  <c r="T35" i="321"/>
  <c r="Q35" i="321"/>
  <c r="AC35" i="321" s="1"/>
  <c r="B39" i="257"/>
  <c r="T34" i="321"/>
  <c r="Q34" i="321"/>
  <c r="AC34" i="321" s="1"/>
  <c r="T33" i="321"/>
  <c r="Q33" i="321"/>
  <c r="AC33" i="321" s="1"/>
  <c r="T32" i="321"/>
  <c r="Q32" i="321"/>
  <c r="AC32" i="321" s="1"/>
  <c r="T31" i="321"/>
  <c r="Q31" i="321"/>
  <c r="AC31" i="321" s="1"/>
  <c r="T30" i="321"/>
  <c r="Q30" i="321"/>
  <c r="AC30" i="321" s="1"/>
  <c r="T29" i="321"/>
  <c r="Q29" i="321"/>
  <c r="AC29" i="321" s="1"/>
  <c r="T28" i="321"/>
  <c r="Q28" i="321"/>
  <c r="AC28" i="321" s="1"/>
  <c r="T27" i="321"/>
  <c r="Q27" i="321"/>
  <c r="AC27" i="321" s="1"/>
  <c r="T26" i="321"/>
  <c r="Q26" i="321"/>
  <c r="AC26" i="321" s="1"/>
  <c r="T25" i="321"/>
  <c r="Q25" i="321"/>
  <c r="AC25" i="321" s="1"/>
  <c r="T24" i="321"/>
  <c r="Q24" i="321"/>
  <c r="AC24" i="321" s="1"/>
  <c r="T23" i="321"/>
  <c r="Q23" i="321"/>
  <c r="AC23" i="321" s="1"/>
  <c r="B27" i="257"/>
  <c r="T22" i="321"/>
  <c r="Q22" i="321"/>
  <c r="AC22" i="321" s="1"/>
  <c r="T21" i="321"/>
  <c r="Q21" i="321"/>
  <c r="AC21" i="321" s="1"/>
  <c r="T20" i="321"/>
  <c r="Q20" i="321"/>
  <c r="AC20" i="321" s="1"/>
  <c r="C25" i="31"/>
  <c r="T19" i="321"/>
  <c r="Q19" i="321"/>
  <c r="AC19" i="321" s="1"/>
  <c r="T18" i="321"/>
  <c r="Q18" i="321"/>
  <c r="AC18" i="321" s="1"/>
  <c r="T17" i="321"/>
  <c r="Q17" i="321"/>
  <c r="AC17" i="321" s="1"/>
  <c r="T16" i="321"/>
  <c r="Q16" i="321"/>
  <c r="AC16" i="321" s="1"/>
  <c r="T15" i="321"/>
  <c r="Q15" i="321"/>
  <c r="AC15" i="321" s="1"/>
  <c r="B19" i="257"/>
  <c r="T14" i="321"/>
  <c r="Q14" i="321"/>
  <c r="AC14" i="321" s="1"/>
  <c r="T13" i="321"/>
  <c r="Q13" i="321"/>
  <c r="AC13" i="321" s="1"/>
  <c r="T12" i="321"/>
  <c r="Q12" i="321"/>
  <c r="AC12" i="321" s="1"/>
  <c r="G10" i="321"/>
  <c r="F10" i="321"/>
  <c r="Q11" i="321"/>
  <c r="AB10" i="321"/>
  <c r="S10" i="321"/>
  <c r="P10" i="321"/>
  <c r="O10" i="321"/>
  <c r="N10" i="321"/>
  <c r="L10" i="321"/>
  <c r="K10" i="321"/>
  <c r="J10" i="321"/>
  <c r="I10" i="321"/>
  <c r="H10" i="321"/>
  <c r="K4" i="321"/>
  <c r="J4" i="321"/>
  <c r="N3" i="321"/>
  <c r="AD17" i="322" l="1"/>
  <c r="AJ14" i="322"/>
  <c r="I99" i="257"/>
  <c r="N17" i="322"/>
  <c r="M43" i="312"/>
  <c r="K43" i="312"/>
  <c r="M41" i="312"/>
  <c r="K41" i="312"/>
  <c r="M35" i="312"/>
  <c r="K35" i="312"/>
  <c r="M33" i="312"/>
  <c r="K33" i="312"/>
  <c r="M30" i="312"/>
  <c r="K30" i="312"/>
  <c r="M22" i="312"/>
  <c r="K22" i="312"/>
  <c r="M16" i="312"/>
  <c r="K16" i="312"/>
  <c r="M68" i="312"/>
  <c r="K68" i="312"/>
  <c r="M56" i="312"/>
  <c r="K56" i="312"/>
  <c r="M70" i="312"/>
  <c r="K70" i="312"/>
  <c r="M64" i="312"/>
  <c r="K64" i="312"/>
  <c r="M47" i="312"/>
  <c r="K47" i="312"/>
  <c r="M26" i="312"/>
  <c r="K26" i="312"/>
  <c r="M52" i="312"/>
  <c r="K52" i="312"/>
  <c r="M39" i="312"/>
  <c r="K39" i="312"/>
  <c r="M74" i="312"/>
  <c r="K74" i="312"/>
  <c r="C120" i="334"/>
  <c r="C166" i="334"/>
  <c r="C154" i="334"/>
  <c r="C137" i="334"/>
  <c r="C162" i="334"/>
  <c r="C146" i="334"/>
  <c r="C111" i="334"/>
  <c r="C100" i="334"/>
  <c r="E96" i="334"/>
  <c r="AA17" i="322"/>
  <c r="K17" i="322"/>
  <c r="S9" i="321"/>
  <c r="S180" i="321" s="1"/>
  <c r="O9" i="321"/>
  <c r="O180" i="321" s="1"/>
  <c r="P9" i="321"/>
  <c r="P180" i="321" s="1"/>
  <c r="Q185" i="321" s="1"/>
  <c r="L9" i="321"/>
  <c r="L180" i="321" s="1"/>
  <c r="I9" i="321"/>
  <c r="I180" i="321" s="1"/>
  <c r="AD81" i="321"/>
  <c r="B85" i="257"/>
  <c r="AD77" i="321"/>
  <c r="B81" i="257"/>
  <c r="AD73" i="321"/>
  <c r="B77" i="257"/>
  <c r="AD65" i="321"/>
  <c r="B69" i="257"/>
  <c r="AD61" i="321"/>
  <c r="C66" i="31"/>
  <c r="AD57" i="321"/>
  <c r="C62" i="31"/>
  <c r="AD49" i="321"/>
  <c r="C54" i="31"/>
  <c r="AD45" i="321"/>
  <c r="B49" i="257"/>
  <c r="AD41" i="321"/>
  <c r="B45" i="257"/>
  <c r="AD33" i="321"/>
  <c r="B37" i="257"/>
  <c r="AD29" i="321"/>
  <c r="B33" i="257"/>
  <c r="AD25" i="321"/>
  <c r="B29" i="257"/>
  <c r="AD21" i="321"/>
  <c r="B25" i="257"/>
  <c r="D22" i="31"/>
  <c r="B21" i="257"/>
  <c r="D18" i="31"/>
  <c r="B17" i="257"/>
  <c r="AD24" i="321"/>
  <c r="C29" i="31"/>
  <c r="AD16" i="321"/>
  <c r="C21" i="31"/>
  <c r="C16" i="31"/>
  <c r="D88" i="31"/>
  <c r="C88" i="31"/>
  <c r="D64" i="31"/>
  <c r="C64" i="31"/>
  <c r="D60" i="31"/>
  <c r="B59" i="257"/>
  <c r="D56" i="31"/>
  <c r="C56" i="31"/>
  <c r="D48" i="31"/>
  <c r="B47" i="257"/>
  <c r="D36" i="31"/>
  <c r="B35" i="257"/>
  <c r="D32" i="31"/>
  <c r="C32" i="31"/>
  <c r="D24" i="31"/>
  <c r="B23" i="257"/>
  <c r="D80" i="31"/>
  <c r="C80" i="31"/>
  <c r="D76" i="31"/>
  <c r="C76" i="31"/>
  <c r="D72" i="31"/>
  <c r="C72" i="31"/>
  <c r="D87" i="31"/>
  <c r="C87" i="31"/>
  <c r="D83" i="31"/>
  <c r="C83" i="31"/>
  <c r="D79" i="31"/>
  <c r="C79" i="31"/>
  <c r="D75" i="31"/>
  <c r="C75" i="31"/>
  <c r="D71" i="31"/>
  <c r="C71" i="31"/>
  <c r="D67" i="31"/>
  <c r="C67" i="31"/>
  <c r="D63" i="31"/>
  <c r="C63" i="31"/>
  <c r="D59" i="31"/>
  <c r="C59" i="31"/>
  <c r="D55" i="31"/>
  <c r="C55" i="31"/>
  <c r="D51" i="31"/>
  <c r="C51" i="31"/>
  <c r="D47" i="31"/>
  <c r="C47" i="31"/>
  <c r="D43" i="31"/>
  <c r="C43" i="31"/>
  <c r="AD34" i="321"/>
  <c r="C39" i="31"/>
  <c r="AD30" i="321"/>
  <c r="D31" i="31"/>
  <c r="D27" i="31"/>
  <c r="D23" i="31"/>
  <c r="D19" i="31"/>
  <c r="W175" i="321"/>
  <c r="Y174" i="321"/>
  <c r="AA173" i="321"/>
  <c r="W173" i="321"/>
  <c r="V56" i="312"/>
  <c r="V171" i="321"/>
  <c r="AA171" i="321"/>
  <c r="Y171" i="321"/>
  <c r="Z171" i="321"/>
  <c r="X171" i="321"/>
  <c r="W171" i="321"/>
  <c r="V47" i="312"/>
  <c r="Z175" i="321"/>
  <c r="V175" i="321"/>
  <c r="Z173" i="321"/>
  <c r="V173" i="321"/>
  <c r="Y175" i="321"/>
  <c r="AA174" i="321"/>
  <c r="W174" i="321"/>
  <c r="Y173" i="321"/>
  <c r="X174" i="321"/>
  <c r="V30" i="312"/>
  <c r="Y172" i="321"/>
  <c r="X175" i="321"/>
  <c r="Z174" i="321"/>
  <c r="V174" i="321"/>
  <c r="X173" i="321"/>
  <c r="T10" i="321"/>
  <c r="H735" i="328"/>
  <c r="B735" i="328"/>
  <c r="B718" i="328"/>
  <c r="H718" i="328"/>
  <c r="D121" i="31"/>
  <c r="AD120" i="321"/>
  <c r="C59" i="312"/>
  <c r="C25" i="312"/>
  <c r="AD154" i="321"/>
  <c r="D26" i="31"/>
  <c r="AD146" i="321"/>
  <c r="AD112" i="321"/>
  <c r="C51" i="312"/>
  <c r="D62" i="31"/>
  <c r="D147" i="31"/>
  <c r="D111" i="31"/>
  <c r="D70" i="31"/>
  <c r="C17" i="257"/>
  <c r="Y117" i="321"/>
  <c r="Y113" i="321"/>
  <c r="AD137" i="321"/>
  <c r="C42" i="312"/>
  <c r="D86" i="31"/>
  <c r="D54" i="31"/>
  <c r="D138" i="31"/>
  <c r="E134" i="334" s="1"/>
  <c r="AD129" i="321"/>
  <c r="C34" i="312"/>
  <c r="D78" i="31"/>
  <c r="D46" i="31"/>
  <c r="D130" i="31"/>
  <c r="D89" i="31"/>
  <c r="AD72" i="321"/>
  <c r="D77" i="31"/>
  <c r="AD60" i="321"/>
  <c r="D65" i="31"/>
  <c r="AD52" i="321"/>
  <c r="D57" i="31"/>
  <c r="AD44" i="321"/>
  <c r="D49" i="31"/>
  <c r="AD40" i="321"/>
  <c r="D45" i="31"/>
  <c r="D33" i="31"/>
  <c r="AD28" i="321"/>
  <c r="AD20" i="321"/>
  <c r="D25" i="31"/>
  <c r="AD12" i="321"/>
  <c r="D17" i="31"/>
  <c r="Y11" i="321"/>
  <c r="D16" i="31"/>
  <c r="AD11" i="321"/>
  <c r="D84" i="31"/>
  <c r="AD79" i="321"/>
  <c r="D68" i="31"/>
  <c r="AD63" i="321"/>
  <c r="C67" i="257"/>
  <c r="D52" i="31"/>
  <c r="AD47" i="321"/>
  <c r="D40" i="31"/>
  <c r="AD35" i="321"/>
  <c r="D28" i="31"/>
  <c r="AD23" i="321"/>
  <c r="AD15" i="321"/>
  <c r="D20" i="31"/>
  <c r="C19" i="257"/>
  <c r="C67" i="312"/>
  <c r="AD157" i="321"/>
  <c r="B1246" i="328"/>
  <c r="B1178" i="328"/>
  <c r="D148" i="31"/>
  <c r="E144" i="334" s="1"/>
  <c r="AD143" i="321"/>
  <c r="C53" i="312"/>
  <c r="D144" i="31"/>
  <c r="E140" i="334" s="1"/>
  <c r="AD139" i="321"/>
  <c r="C49" i="312"/>
  <c r="D132" i="31"/>
  <c r="E128" i="334" s="1"/>
  <c r="AD127" i="321"/>
  <c r="C37" i="312"/>
  <c r="AD80" i="321"/>
  <c r="D85" i="31"/>
  <c r="AD64" i="321"/>
  <c r="D69" i="31"/>
  <c r="D167" i="31"/>
  <c r="E163" i="334" s="1"/>
  <c r="C72" i="312"/>
  <c r="AD76" i="321"/>
  <c r="D81" i="31"/>
  <c r="AD68" i="321"/>
  <c r="D73" i="31"/>
  <c r="AD56" i="321"/>
  <c r="D61" i="31"/>
  <c r="AD48" i="321"/>
  <c r="D53" i="31"/>
  <c r="D37" i="31"/>
  <c r="AD32" i="321"/>
  <c r="AD69" i="321"/>
  <c r="D74" i="31"/>
  <c r="AD53" i="321"/>
  <c r="D58" i="31"/>
  <c r="C60" i="312"/>
  <c r="AD150" i="321"/>
  <c r="D155" i="31"/>
  <c r="E151" i="334" s="1"/>
  <c r="H1093" i="328"/>
  <c r="D133" i="31"/>
  <c r="E129" i="334" s="1"/>
  <c r="C38" i="312"/>
  <c r="AD128" i="321"/>
  <c r="D127" i="31"/>
  <c r="E123" i="334" s="1"/>
  <c r="AD122" i="321"/>
  <c r="C32" i="312"/>
  <c r="D119" i="31"/>
  <c r="E115" i="334" s="1"/>
  <c r="AD114" i="321"/>
  <c r="C24" i="312"/>
  <c r="H872" i="328"/>
  <c r="B957" i="328"/>
  <c r="D140" i="31"/>
  <c r="AD135" i="321"/>
  <c r="Y16" i="321"/>
  <c r="AD75" i="321"/>
  <c r="AD59" i="321"/>
  <c r="AD51" i="321"/>
  <c r="AD43" i="321"/>
  <c r="AD14" i="321"/>
  <c r="D35" i="31"/>
  <c r="D161" i="31"/>
  <c r="AD156" i="321"/>
  <c r="D157" i="31"/>
  <c r="E153" i="334" s="1"/>
  <c r="AD152" i="321"/>
  <c r="D153" i="31"/>
  <c r="E149" i="334" s="1"/>
  <c r="AD148" i="321"/>
  <c r="D149" i="31"/>
  <c r="E145" i="334" s="1"/>
  <c r="AD144" i="321"/>
  <c r="D145" i="31"/>
  <c r="AD140" i="321"/>
  <c r="D139" i="31"/>
  <c r="E135" i="334" s="1"/>
  <c r="AD134" i="321"/>
  <c r="C44" i="312"/>
  <c r="D131" i="31"/>
  <c r="E127" i="334" s="1"/>
  <c r="AD126" i="321"/>
  <c r="C36" i="312"/>
  <c r="D123" i="31"/>
  <c r="AD118" i="321"/>
  <c r="D113" i="31"/>
  <c r="E109" i="334" s="1"/>
  <c r="AD108" i="321"/>
  <c r="C18" i="312"/>
  <c r="C35" i="257"/>
  <c r="AD74" i="321"/>
  <c r="AD66" i="321"/>
  <c r="AD58" i="321"/>
  <c r="AD50" i="321"/>
  <c r="AD42" i="321"/>
  <c r="AD31" i="321"/>
  <c r="AD22" i="321"/>
  <c r="AD13" i="321"/>
  <c r="AD153" i="321"/>
  <c r="AD145" i="321"/>
  <c r="AD136" i="321"/>
  <c r="AD119" i="321"/>
  <c r="AD110" i="321"/>
  <c r="C75" i="312"/>
  <c r="C66" i="312"/>
  <c r="C58" i="312"/>
  <c r="C50" i="312"/>
  <c r="D34" i="31"/>
  <c r="D165" i="31"/>
  <c r="E161" i="334" s="1"/>
  <c r="D154" i="31"/>
  <c r="E150" i="334" s="1"/>
  <c r="D146" i="31"/>
  <c r="E142" i="334" s="1"/>
  <c r="D137" i="31"/>
  <c r="E133" i="334" s="1"/>
  <c r="D129" i="31"/>
  <c r="E125" i="334" s="1"/>
  <c r="D120" i="31"/>
  <c r="E116" i="334" s="1"/>
  <c r="D160" i="31"/>
  <c r="E156" i="334" s="1"/>
  <c r="AD155" i="321"/>
  <c r="C65" i="312"/>
  <c r="AD67" i="321"/>
  <c r="D163" i="31"/>
  <c r="E159" i="334" s="1"/>
  <c r="D135" i="31"/>
  <c r="E131" i="334" s="1"/>
  <c r="AD130" i="321"/>
  <c r="C40" i="312"/>
  <c r="C29" i="257"/>
  <c r="Y12" i="321"/>
  <c r="Y26" i="321"/>
  <c r="Y22" i="321"/>
  <c r="Y18" i="321"/>
  <c r="AD71" i="321"/>
  <c r="AD55" i="321"/>
  <c r="AD38" i="321"/>
  <c r="AD19" i="321"/>
  <c r="AD158" i="321"/>
  <c r="AD142" i="321"/>
  <c r="AD133" i="321"/>
  <c r="AD125" i="321"/>
  <c r="AD116" i="321"/>
  <c r="AD106" i="321"/>
  <c r="C73" i="312"/>
  <c r="D168" i="31"/>
  <c r="E164" i="334" s="1"/>
  <c r="C63" i="312"/>
  <c r="C55" i="312"/>
  <c r="C46" i="312"/>
  <c r="C29" i="312"/>
  <c r="C20" i="312"/>
  <c r="D82" i="31"/>
  <c r="D66" i="31"/>
  <c r="D50" i="31"/>
  <c r="D39" i="31"/>
  <c r="D30" i="31"/>
  <c r="D21" i="31"/>
  <c r="D159" i="31"/>
  <c r="E155" i="334" s="1"/>
  <c r="D151" i="31"/>
  <c r="E147" i="334" s="1"/>
  <c r="D142" i="31"/>
  <c r="E138" i="334" s="1"/>
  <c r="D134" i="31"/>
  <c r="D125" i="31"/>
  <c r="E121" i="334" s="1"/>
  <c r="D117" i="31"/>
  <c r="E113" i="334" s="1"/>
  <c r="AD159" i="321"/>
  <c r="C69" i="312"/>
  <c r="D164" i="31"/>
  <c r="E160" i="334" s="1"/>
  <c r="D156" i="31"/>
  <c r="E152" i="334" s="1"/>
  <c r="AD151" i="321"/>
  <c r="C61" i="312"/>
  <c r="D152" i="31"/>
  <c r="E148" i="334" s="1"/>
  <c r="AD147" i="321"/>
  <c r="C57" i="312"/>
  <c r="D136" i="31"/>
  <c r="E132" i="334" s="1"/>
  <c r="AD131" i="321"/>
  <c r="D128" i="31"/>
  <c r="E124" i="334" s="1"/>
  <c r="AD123" i="321"/>
  <c r="D122" i="31"/>
  <c r="E118" i="334" s="1"/>
  <c r="AD117" i="321"/>
  <c r="C27" i="312"/>
  <c r="D118" i="31"/>
  <c r="AD113" i="321"/>
  <c r="C23" i="312"/>
  <c r="D114" i="31"/>
  <c r="E110" i="334" s="1"/>
  <c r="AD109" i="321"/>
  <c r="Y17" i="321"/>
  <c r="Y13" i="321"/>
  <c r="Y118" i="321"/>
  <c r="Y114" i="321"/>
  <c r="Y110" i="321"/>
  <c r="Y106" i="321"/>
  <c r="AD78" i="321"/>
  <c r="AD70" i="321"/>
  <c r="AD62" i="321"/>
  <c r="AD54" i="321"/>
  <c r="AD46" i="321"/>
  <c r="AD26" i="321"/>
  <c r="AD17" i="321"/>
  <c r="B1314" i="328"/>
  <c r="B1348" i="328"/>
  <c r="C71" i="312"/>
  <c r="C62" i="312"/>
  <c r="C54" i="312"/>
  <c r="C45" i="312"/>
  <c r="C28" i="312"/>
  <c r="C19" i="312"/>
  <c r="D38" i="31"/>
  <c r="D29" i="31"/>
  <c r="D169" i="31"/>
  <c r="E165" i="334" s="1"/>
  <c r="Y15" i="321"/>
  <c r="Y105" i="321"/>
  <c r="Y14" i="321"/>
  <c r="D173" i="31"/>
  <c r="E169" i="334" s="1"/>
  <c r="AD168" i="321"/>
  <c r="D172" i="31"/>
  <c r="E168" i="334" s="1"/>
  <c r="D171" i="31"/>
  <c r="E167" i="334" s="1"/>
  <c r="D162" i="31"/>
  <c r="E158" i="334" s="1"/>
  <c r="AD111" i="321"/>
  <c r="D116" i="31"/>
  <c r="E112" i="334" s="1"/>
  <c r="C21" i="312"/>
  <c r="D112" i="31"/>
  <c r="E108" i="334" s="1"/>
  <c r="C17" i="312"/>
  <c r="AD107" i="321"/>
  <c r="Y112" i="321"/>
  <c r="Y120" i="321"/>
  <c r="Y116" i="321"/>
  <c r="Y108" i="321"/>
  <c r="Y119" i="321"/>
  <c r="Y115" i="321"/>
  <c r="Y111" i="321"/>
  <c r="Y107" i="321"/>
  <c r="D42" i="31"/>
  <c r="AD37" i="321"/>
  <c r="D41" i="31"/>
  <c r="AD36" i="321"/>
  <c r="Y38" i="321"/>
  <c r="Y34" i="321"/>
  <c r="Y30" i="321"/>
  <c r="AD27" i="321"/>
  <c r="Y37" i="321"/>
  <c r="Y33" i="321"/>
  <c r="Y29" i="321"/>
  <c r="Y25" i="321"/>
  <c r="Y21" i="321"/>
  <c r="AD18" i="321"/>
  <c r="Y36" i="321"/>
  <c r="Y32" i="321"/>
  <c r="Y28" i="321"/>
  <c r="Y24" i="321"/>
  <c r="Y20" i="321"/>
  <c r="Y35" i="321"/>
  <c r="Y31" i="321"/>
  <c r="Y27" i="321"/>
  <c r="Y23" i="321"/>
  <c r="Y19" i="321"/>
  <c r="K9" i="321"/>
  <c r="K180" i="321" s="1"/>
  <c r="J9" i="321"/>
  <c r="J180" i="321" s="1"/>
  <c r="N9" i="321"/>
  <c r="N180" i="321" s="1"/>
  <c r="AR169" i="249"/>
  <c r="Y69" i="321"/>
  <c r="Y57" i="321"/>
  <c r="Y45" i="321"/>
  <c r="Y84" i="321"/>
  <c r="Y68" i="321"/>
  <c r="Y56" i="321"/>
  <c r="Y44" i="321"/>
  <c r="Y77" i="321"/>
  <c r="Y65" i="321"/>
  <c r="Y53" i="321"/>
  <c r="Y80" i="321"/>
  <c r="Y72" i="321"/>
  <c r="Y60" i="321"/>
  <c r="Y48" i="321"/>
  <c r="Y40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Y81" i="321"/>
  <c r="Y73" i="321"/>
  <c r="Y61" i="321"/>
  <c r="Y49" i="321"/>
  <c r="Y41" i="321"/>
  <c r="Y76" i="321"/>
  <c r="Y64" i="321"/>
  <c r="Y52" i="321"/>
  <c r="Y82" i="321"/>
  <c r="Y78" i="321"/>
  <c r="Y74" i="321"/>
  <c r="Y70" i="321"/>
  <c r="Y66" i="321"/>
  <c r="Y62" i="321"/>
  <c r="Y58" i="321"/>
  <c r="Y54" i="321"/>
  <c r="Y50" i="321"/>
  <c r="Y46" i="321"/>
  <c r="Y42" i="321"/>
  <c r="AD39" i="321"/>
  <c r="D44" i="31"/>
  <c r="Y165" i="321"/>
  <c r="Y161" i="321"/>
  <c r="Y157" i="321"/>
  <c r="Y153" i="321"/>
  <c r="Y149" i="321"/>
  <c r="Y145" i="321"/>
  <c r="Y141" i="321"/>
  <c r="Y137" i="321"/>
  <c r="Y133" i="321"/>
  <c r="R43" i="312" s="1"/>
  <c r="Y129" i="321"/>
  <c r="Y125" i="321"/>
  <c r="Y121" i="321"/>
  <c r="AA170" i="321"/>
  <c r="T85" i="312" s="1"/>
  <c r="W170" i="321"/>
  <c r="Y169" i="321"/>
  <c r="AA168" i="321"/>
  <c r="W168" i="321"/>
  <c r="Y167" i="321"/>
  <c r="Y163" i="321"/>
  <c r="Y159" i="321"/>
  <c r="Y155" i="321"/>
  <c r="Y151" i="321"/>
  <c r="Y147" i="321"/>
  <c r="Y143" i="321"/>
  <c r="Y139" i="321"/>
  <c r="Y135" i="321"/>
  <c r="Y131" i="321"/>
  <c r="Y127" i="321"/>
  <c r="Y123" i="321"/>
  <c r="R33" i="312" s="1"/>
  <c r="D126" i="31"/>
  <c r="E122" i="334" s="1"/>
  <c r="Y136" i="321"/>
  <c r="Y132" i="321"/>
  <c r="Y128" i="321"/>
  <c r="Y124" i="321"/>
  <c r="AD121" i="321"/>
  <c r="C31" i="312"/>
  <c r="Y134" i="321"/>
  <c r="Y130" i="321"/>
  <c r="Y126" i="321"/>
  <c r="Y122" i="321"/>
  <c r="Y164" i="321"/>
  <c r="Y160" i="321"/>
  <c r="Y156" i="321"/>
  <c r="Y152" i="321"/>
  <c r="Y148" i="321"/>
  <c r="Y144" i="321"/>
  <c r="Y140" i="321"/>
  <c r="Z170" i="321"/>
  <c r="X169" i="321"/>
  <c r="Z168" i="321"/>
  <c r="V168" i="321"/>
  <c r="AD138" i="321"/>
  <c r="Y170" i="321"/>
  <c r="AA169" i="321"/>
  <c r="W169" i="321"/>
  <c r="Y166" i="321"/>
  <c r="Y162" i="321"/>
  <c r="Y158" i="321"/>
  <c r="Y154" i="321"/>
  <c r="Y150" i="321"/>
  <c r="Y146" i="321"/>
  <c r="Y142" i="321"/>
  <c r="Y138" i="321"/>
  <c r="X170" i="321"/>
  <c r="X168" i="321"/>
  <c r="C48" i="312"/>
  <c r="P89" i="312"/>
  <c r="D143" i="31"/>
  <c r="E139" i="334" s="1"/>
  <c r="AC103" i="321"/>
  <c r="AC107" i="321"/>
  <c r="AC147" i="321"/>
  <c r="F9" i="321"/>
  <c r="F180" i="321" s="1"/>
  <c r="AR168" i="231"/>
  <c r="V170" i="321"/>
  <c r="AR166" i="231"/>
  <c r="Y168" i="321"/>
  <c r="AR167" i="231"/>
  <c r="V169" i="321"/>
  <c r="AO97" i="231"/>
  <c r="Y109" i="321"/>
  <c r="Z169" i="321"/>
  <c r="AL163" i="249"/>
  <c r="C17" i="31"/>
  <c r="B16" i="257"/>
  <c r="B24" i="312"/>
  <c r="C118" i="31"/>
  <c r="C120" i="31"/>
  <c r="B26" i="312"/>
  <c r="B28" i="312"/>
  <c r="C122" i="31"/>
  <c r="C124" i="31"/>
  <c r="B30" i="312"/>
  <c r="C128" i="31"/>
  <c r="B34" i="312"/>
  <c r="B48" i="312"/>
  <c r="C142" i="31"/>
  <c r="C144" i="31"/>
  <c r="B50" i="312"/>
  <c r="C152" i="31"/>
  <c r="B58" i="312"/>
  <c r="C160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9" i="31"/>
  <c r="C151" i="31"/>
  <c r="C143" i="31"/>
  <c r="C135" i="31"/>
  <c r="C127" i="31"/>
  <c r="C119" i="31"/>
  <c r="C111" i="31"/>
  <c r="B18" i="257"/>
  <c r="C19" i="31"/>
  <c r="C23" i="31"/>
  <c r="B22" i="257"/>
  <c r="C27" i="31"/>
  <c r="B26" i="257"/>
  <c r="C31" i="31"/>
  <c r="B30" i="257"/>
  <c r="C110" i="31"/>
  <c r="B16" i="312"/>
  <c r="C112" i="31"/>
  <c r="B18" i="312"/>
  <c r="B20" i="312"/>
  <c r="C114" i="31"/>
  <c r="C116" i="31"/>
  <c r="B22" i="312"/>
  <c r="B56" i="312"/>
  <c r="C150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61" i="31"/>
  <c r="C145" i="31"/>
  <c r="C129" i="31"/>
  <c r="C113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6" i="31"/>
  <c r="B44" i="312"/>
  <c r="C138" i="31"/>
  <c r="C140" i="31"/>
  <c r="B46" i="312"/>
  <c r="B52" i="312"/>
  <c r="C146" i="31"/>
  <c r="C148" i="31"/>
  <c r="B54" i="312"/>
  <c r="B64" i="312"/>
  <c r="C158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5" i="31"/>
  <c r="C147" i="31"/>
  <c r="C139" i="31"/>
  <c r="C131" i="31"/>
  <c r="C123" i="31"/>
  <c r="C115" i="31"/>
  <c r="B36" i="312"/>
  <c r="C130" i="31"/>
  <c r="C132" i="31"/>
  <c r="B38" i="312"/>
  <c r="B40" i="312"/>
  <c r="C134" i="31"/>
  <c r="C136" i="31"/>
  <c r="B42" i="312"/>
  <c r="B60" i="312"/>
  <c r="C154" i="31"/>
  <c r="C156" i="31"/>
  <c r="B62" i="312"/>
  <c r="B66" i="257"/>
  <c r="B62" i="257"/>
  <c r="B58" i="257"/>
  <c r="B54" i="257"/>
  <c r="B46" i="257"/>
  <c r="B24" i="257"/>
  <c r="C48" i="31"/>
  <c r="C40" i="31"/>
  <c r="C24" i="31"/>
  <c r="AJ16" i="322"/>
  <c r="AH13" i="322"/>
  <c r="AH17" i="322" s="1"/>
  <c r="AB9" i="321"/>
  <c r="AB180" i="321" s="1"/>
  <c r="AD167" i="321"/>
  <c r="AD166" i="321"/>
  <c r="AD162" i="321"/>
  <c r="AD163" i="321"/>
  <c r="AD161" i="321"/>
  <c r="AD165" i="321"/>
  <c r="AD160" i="321"/>
  <c r="AD169" i="321"/>
  <c r="AD164" i="321"/>
  <c r="U170" i="321"/>
  <c r="AD170" i="321"/>
  <c r="AO12" i="231"/>
  <c r="C81" i="257"/>
  <c r="C69" i="257"/>
  <c r="C61" i="257"/>
  <c r="C49" i="257"/>
  <c r="C37" i="257"/>
  <c r="C75" i="257"/>
  <c r="C59" i="257"/>
  <c r="C43" i="257"/>
  <c r="C31" i="257"/>
  <c r="C30" i="257"/>
  <c r="C26" i="257"/>
  <c r="C22" i="257"/>
  <c r="C85" i="257"/>
  <c r="C77" i="257"/>
  <c r="C65" i="257"/>
  <c r="C53" i="257"/>
  <c r="C45" i="257"/>
  <c r="C82" i="257"/>
  <c r="C74" i="257"/>
  <c r="C66" i="257"/>
  <c r="C58" i="257"/>
  <c r="C50" i="257"/>
  <c r="C42" i="257"/>
  <c r="C38" i="257"/>
  <c r="C84" i="257"/>
  <c r="C63" i="257"/>
  <c r="C52" i="257"/>
  <c r="C73" i="257"/>
  <c r="C41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87" i="257"/>
  <c r="C76" i="257"/>
  <c r="C71" i="257"/>
  <c r="C60" i="257"/>
  <c r="C55" i="257"/>
  <c r="C44" i="257"/>
  <c r="C39" i="257"/>
  <c r="C32" i="257"/>
  <c r="C83" i="257"/>
  <c r="C57" i="257"/>
  <c r="C51" i="257"/>
  <c r="C25" i="257"/>
  <c r="C23" i="257"/>
  <c r="C80" i="257"/>
  <c r="C64" i="257"/>
  <c r="C48" i="257"/>
  <c r="C24" i="257"/>
  <c r="C16" i="257"/>
  <c r="C33" i="257"/>
  <c r="C27" i="257"/>
  <c r="AC11" i="321"/>
  <c r="Q125" i="321"/>
  <c r="E10" i="321"/>
  <c r="Q75" i="321"/>
  <c r="Q79" i="321"/>
  <c r="E104" i="321"/>
  <c r="T104" i="321"/>
  <c r="H104" i="321"/>
  <c r="H9" i="321" s="1"/>
  <c r="H180" i="321" s="1"/>
  <c r="Q71" i="321"/>
  <c r="Q65" i="321"/>
  <c r="Q81" i="321"/>
  <c r="Q83" i="321"/>
  <c r="G104" i="321"/>
  <c r="G9" i="321" s="1"/>
  <c r="G180" i="321" s="1"/>
  <c r="Q109" i="321"/>
  <c r="Q114" i="321"/>
  <c r="Q126" i="321"/>
  <c r="Q130" i="321"/>
  <c r="Q131" i="321"/>
  <c r="Q128" i="321"/>
  <c r="Q106" i="321"/>
  <c r="Q116" i="321"/>
  <c r="Q117" i="321"/>
  <c r="Q141" i="321"/>
  <c r="Q142" i="321"/>
  <c r="Q124" i="321"/>
  <c r="Q145" i="321"/>
  <c r="Q152" i="321"/>
  <c r="Q156" i="321"/>
  <c r="Q139" i="321"/>
  <c r="Q150" i="321"/>
  <c r="AJ13" i="322" l="1"/>
  <c r="D25" i="317"/>
  <c r="G25" i="317" s="1"/>
  <c r="J99" i="257"/>
  <c r="L99" i="257" s="1"/>
  <c r="M33" i="257"/>
  <c r="M34" i="31" s="1"/>
  <c r="K33" i="257"/>
  <c r="K34" i="31" s="1"/>
  <c r="M51" i="257"/>
  <c r="M52" i="31" s="1"/>
  <c r="K51" i="257"/>
  <c r="K52" i="31" s="1"/>
  <c r="M20" i="257"/>
  <c r="M21" i="31" s="1"/>
  <c r="K20" i="257"/>
  <c r="K21" i="31" s="1"/>
  <c r="M34" i="257"/>
  <c r="M35" i="31" s="1"/>
  <c r="K34" i="257"/>
  <c r="K35" i="31" s="1"/>
  <c r="M73" i="257"/>
  <c r="M74" i="31" s="1"/>
  <c r="K73" i="257"/>
  <c r="K74" i="31" s="1"/>
  <c r="M66" i="257"/>
  <c r="M67" i="31" s="1"/>
  <c r="K66" i="257"/>
  <c r="K67" i="31" s="1"/>
  <c r="M43" i="257"/>
  <c r="M44" i="31" s="1"/>
  <c r="K43" i="257"/>
  <c r="K44" i="31" s="1"/>
  <c r="V30" i="31"/>
  <c r="M17" i="257"/>
  <c r="M18" i="31" s="1"/>
  <c r="K17" i="257"/>
  <c r="K18" i="31" s="1"/>
  <c r="V47" i="31"/>
  <c r="V71" i="31"/>
  <c r="B514" i="328"/>
  <c r="V76" i="31"/>
  <c r="C176" i="328"/>
  <c r="E176" i="328" s="1"/>
  <c r="V36" i="31"/>
  <c r="M16" i="257"/>
  <c r="M17" i="31" s="1"/>
  <c r="K16" i="257"/>
  <c r="K17" i="31" s="1"/>
  <c r="M80" i="257"/>
  <c r="M81" i="31" s="1"/>
  <c r="K80" i="257"/>
  <c r="K81" i="31" s="1"/>
  <c r="M57" i="257"/>
  <c r="M58" i="31" s="1"/>
  <c r="K57" i="257"/>
  <c r="K58" i="31" s="1"/>
  <c r="M44" i="257"/>
  <c r="M45" i="31" s="1"/>
  <c r="K44" i="257"/>
  <c r="K45" i="31" s="1"/>
  <c r="M76" i="257"/>
  <c r="M77" i="31" s="1"/>
  <c r="K76" i="257"/>
  <c r="K77" i="31" s="1"/>
  <c r="M40" i="257"/>
  <c r="M41" i="31" s="1"/>
  <c r="K40" i="257"/>
  <c r="K41" i="31" s="1"/>
  <c r="M15" i="257"/>
  <c r="M16" i="31" s="1"/>
  <c r="K15" i="257"/>
  <c r="M68" i="257"/>
  <c r="M69" i="31" s="1"/>
  <c r="K68" i="257"/>
  <c r="K69" i="31" s="1"/>
  <c r="M46" i="257"/>
  <c r="M47" i="31" s="1"/>
  <c r="K46" i="257"/>
  <c r="K47" i="31" s="1"/>
  <c r="M78" i="257"/>
  <c r="M79" i="31" s="1"/>
  <c r="K78" i="257"/>
  <c r="K79" i="31" s="1"/>
  <c r="M52" i="257"/>
  <c r="M53" i="31" s="1"/>
  <c r="K52" i="257"/>
  <c r="K53" i="31" s="1"/>
  <c r="M42" i="257"/>
  <c r="M43" i="31" s="1"/>
  <c r="K42" i="257"/>
  <c r="K43" i="31" s="1"/>
  <c r="M74" i="257"/>
  <c r="M75" i="31" s="1"/>
  <c r="K74" i="257"/>
  <c r="K75" i="31" s="1"/>
  <c r="M65" i="257"/>
  <c r="M66" i="31" s="1"/>
  <c r="K65" i="257"/>
  <c r="K66" i="31" s="1"/>
  <c r="M26" i="257"/>
  <c r="M27" i="31" s="1"/>
  <c r="K26" i="257"/>
  <c r="K27" i="31" s="1"/>
  <c r="M59" i="257"/>
  <c r="M60" i="31" s="1"/>
  <c r="K59" i="257"/>
  <c r="K60" i="31" s="1"/>
  <c r="M61" i="257"/>
  <c r="M62" i="31" s="1"/>
  <c r="K61" i="257"/>
  <c r="K62" i="31" s="1"/>
  <c r="V42" i="31"/>
  <c r="V29" i="31"/>
  <c r="V39" i="31"/>
  <c r="V34" i="31"/>
  <c r="V35" i="31"/>
  <c r="V58" i="31"/>
  <c r="V61" i="31"/>
  <c r="V81" i="31"/>
  <c r="V69" i="31"/>
  <c r="V68" i="31"/>
  <c r="V16" i="31"/>
  <c r="V25" i="31"/>
  <c r="V45" i="31"/>
  <c r="V57" i="31"/>
  <c r="V77" i="31"/>
  <c r="V46" i="31"/>
  <c r="V70" i="31"/>
  <c r="H123" i="328"/>
  <c r="V31" i="31"/>
  <c r="B21" i="328"/>
  <c r="V18" i="31"/>
  <c r="M64" i="257"/>
  <c r="M65" i="31" s="1"/>
  <c r="K64" i="257"/>
  <c r="K65" i="31" s="1"/>
  <c r="M71" i="257"/>
  <c r="M72" i="31" s="1"/>
  <c r="K71" i="257"/>
  <c r="K72" i="31" s="1"/>
  <c r="M47" i="257"/>
  <c r="M48" i="31" s="1"/>
  <c r="K47" i="257"/>
  <c r="K48" i="31" s="1"/>
  <c r="M70" i="257"/>
  <c r="M71" i="31" s="1"/>
  <c r="K70" i="257"/>
  <c r="K71" i="31" s="1"/>
  <c r="M53" i="257"/>
  <c r="M54" i="31" s="1"/>
  <c r="K53" i="257"/>
  <c r="K54" i="31" s="1"/>
  <c r="M49" i="257"/>
  <c r="M50" i="31" s="1"/>
  <c r="K49" i="257"/>
  <c r="K50" i="31" s="1"/>
  <c r="V82" i="31"/>
  <c r="V62" i="31"/>
  <c r="V26" i="31"/>
  <c r="H89" i="328"/>
  <c r="V27" i="31"/>
  <c r="V55" i="31"/>
  <c r="H531" i="328"/>
  <c r="V79" i="31"/>
  <c r="B72" i="328"/>
  <c r="V24" i="31"/>
  <c r="B412" i="328"/>
  <c r="V64" i="31"/>
  <c r="M24" i="257"/>
  <c r="M25" i="31" s="1"/>
  <c r="K24" i="257"/>
  <c r="K25" i="31" s="1"/>
  <c r="M23" i="257"/>
  <c r="M24" i="31" s="1"/>
  <c r="K23" i="257"/>
  <c r="K24" i="31" s="1"/>
  <c r="M83" i="257"/>
  <c r="M84" i="31" s="1"/>
  <c r="K83" i="257"/>
  <c r="K84" i="31" s="1"/>
  <c r="M55" i="257"/>
  <c r="M56" i="31" s="1"/>
  <c r="K55" i="257"/>
  <c r="K56" i="31" s="1"/>
  <c r="M87" i="257"/>
  <c r="M88" i="31" s="1"/>
  <c r="K87" i="257"/>
  <c r="K88" i="31" s="1"/>
  <c r="M56" i="257"/>
  <c r="M57" i="31" s="1"/>
  <c r="K56" i="257"/>
  <c r="K57" i="31" s="1"/>
  <c r="M21" i="257"/>
  <c r="M22" i="31" s="1"/>
  <c r="K21" i="257"/>
  <c r="K22" i="31" s="1"/>
  <c r="M79" i="257"/>
  <c r="M80" i="31" s="1"/>
  <c r="K79" i="257"/>
  <c r="K80" i="31" s="1"/>
  <c r="M54" i="257"/>
  <c r="M55" i="31" s="1"/>
  <c r="K54" i="257"/>
  <c r="K55" i="31" s="1"/>
  <c r="M86" i="257"/>
  <c r="M87" i="31" s="1"/>
  <c r="K86" i="257"/>
  <c r="K87" i="31" s="1"/>
  <c r="M63" i="257"/>
  <c r="M64" i="31" s="1"/>
  <c r="K63" i="257"/>
  <c r="K64" i="31" s="1"/>
  <c r="M50" i="257"/>
  <c r="M51" i="31" s="1"/>
  <c r="K50" i="257"/>
  <c r="K51" i="31" s="1"/>
  <c r="M82" i="257"/>
  <c r="M83" i="31" s="1"/>
  <c r="K82" i="257"/>
  <c r="K83" i="31" s="1"/>
  <c r="M77" i="257"/>
  <c r="M78" i="31" s="1"/>
  <c r="K77" i="257"/>
  <c r="K78" i="31" s="1"/>
  <c r="M30" i="257"/>
  <c r="M31" i="31" s="1"/>
  <c r="K30" i="257"/>
  <c r="K31" i="31" s="1"/>
  <c r="M75" i="257"/>
  <c r="M76" i="31" s="1"/>
  <c r="K75" i="257"/>
  <c r="K76" i="31" s="1"/>
  <c r="M69" i="257"/>
  <c r="M70" i="31" s="1"/>
  <c r="K69" i="257"/>
  <c r="K70" i="31" s="1"/>
  <c r="V44" i="31"/>
  <c r="V38" i="31"/>
  <c r="V50" i="31"/>
  <c r="M29" i="257"/>
  <c r="M30" i="31" s="1"/>
  <c r="K29" i="257"/>
  <c r="K30" i="31" s="1"/>
  <c r="V37" i="31"/>
  <c r="M19" i="257"/>
  <c r="M20" i="31" s="1"/>
  <c r="K19" i="257"/>
  <c r="K20" i="31" s="1"/>
  <c r="V28" i="31"/>
  <c r="V52" i="31"/>
  <c r="V78" i="31"/>
  <c r="V54" i="31"/>
  <c r="V19" i="31"/>
  <c r="V43" i="31"/>
  <c r="H293" i="328"/>
  <c r="V51" i="31"/>
  <c r="H361" i="328"/>
  <c r="V59" i="31"/>
  <c r="V67" i="31"/>
  <c r="V75" i="31"/>
  <c r="I567" i="328"/>
  <c r="K567" i="328" s="1"/>
  <c r="V83" i="31"/>
  <c r="V72" i="31"/>
  <c r="B548" i="328"/>
  <c r="V80" i="31"/>
  <c r="B140" i="328"/>
  <c r="V32" i="31"/>
  <c r="B276" i="328"/>
  <c r="E275" i="328" s="1"/>
  <c r="V48" i="31"/>
  <c r="B378" i="328"/>
  <c r="V60" i="31"/>
  <c r="B616" i="328"/>
  <c r="E615" i="328" s="1"/>
  <c r="V88" i="31"/>
  <c r="M39" i="257"/>
  <c r="M40" i="31" s="1"/>
  <c r="K39" i="257"/>
  <c r="K40" i="31" s="1"/>
  <c r="M88" i="257"/>
  <c r="M89" i="31" s="1"/>
  <c r="K88" i="257"/>
  <c r="K89" i="31" s="1"/>
  <c r="M38" i="257"/>
  <c r="M39" i="31" s="1"/>
  <c r="K38" i="257"/>
  <c r="K39" i="31" s="1"/>
  <c r="M22" i="257"/>
  <c r="M23" i="31" s="1"/>
  <c r="K22" i="257"/>
  <c r="K23" i="31" s="1"/>
  <c r="V40" i="31"/>
  <c r="V33" i="31"/>
  <c r="H395" i="328"/>
  <c r="V63" i="31"/>
  <c r="H599" i="328"/>
  <c r="V87" i="31"/>
  <c r="V56" i="31"/>
  <c r="M27" i="257"/>
  <c r="M28" i="31" s="1"/>
  <c r="K27" i="257"/>
  <c r="K28" i="31" s="1"/>
  <c r="M48" i="257"/>
  <c r="M49" i="31" s="1"/>
  <c r="K48" i="257"/>
  <c r="K49" i="31" s="1"/>
  <c r="M25" i="257"/>
  <c r="M26" i="31" s="1"/>
  <c r="K25" i="257"/>
  <c r="K26" i="31" s="1"/>
  <c r="M32" i="257"/>
  <c r="M33" i="31" s="1"/>
  <c r="K32" i="257"/>
  <c r="K33" i="31" s="1"/>
  <c r="M60" i="257"/>
  <c r="M61" i="31" s="1"/>
  <c r="K60" i="257"/>
  <c r="K61" i="31" s="1"/>
  <c r="M28" i="257"/>
  <c r="M29" i="31" s="1"/>
  <c r="K28" i="257"/>
  <c r="K29" i="31" s="1"/>
  <c r="M72" i="257"/>
  <c r="M73" i="31" s="1"/>
  <c r="K72" i="257"/>
  <c r="K73" i="31" s="1"/>
  <c r="M36" i="257"/>
  <c r="M37" i="31" s="1"/>
  <c r="K36" i="257"/>
  <c r="K37" i="31" s="1"/>
  <c r="M18" i="257"/>
  <c r="M19" i="31" s="1"/>
  <c r="K18" i="257"/>
  <c r="K19" i="31" s="1"/>
  <c r="M62" i="257"/>
  <c r="M63" i="31" s="1"/>
  <c r="K62" i="257"/>
  <c r="K63" i="31" s="1"/>
  <c r="M41" i="257"/>
  <c r="M42" i="31" s="1"/>
  <c r="K41" i="257"/>
  <c r="K42" i="31" s="1"/>
  <c r="M84" i="257"/>
  <c r="M85" i="31" s="1"/>
  <c r="K84" i="257"/>
  <c r="K85" i="31" s="1"/>
  <c r="M58" i="257"/>
  <c r="M59" i="31" s="1"/>
  <c r="K58" i="257"/>
  <c r="K59" i="31" s="1"/>
  <c r="M45" i="257"/>
  <c r="M46" i="31" s="1"/>
  <c r="K45" i="257"/>
  <c r="K46" i="31" s="1"/>
  <c r="M85" i="257"/>
  <c r="M86" i="31" s="1"/>
  <c r="K85" i="257"/>
  <c r="K86" i="31" s="1"/>
  <c r="M31" i="257"/>
  <c r="M32" i="31" s="1"/>
  <c r="K31" i="257"/>
  <c r="K32" i="31" s="1"/>
  <c r="M37" i="257"/>
  <c r="M38" i="31" s="1"/>
  <c r="K37" i="257"/>
  <c r="K38" i="31" s="1"/>
  <c r="M81" i="257"/>
  <c r="M82" i="31" s="1"/>
  <c r="K81" i="257"/>
  <c r="K82" i="31" s="1"/>
  <c r="V41" i="31"/>
  <c r="V21" i="31"/>
  <c r="V66" i="31"/>
  <c r="M35" i="257"/>
  <c r="M36" i="31" s="1"/>
  <c r="K35" i="257"/>
  <c r="K36" i="31" s="1"/>
  <c r="V74" i="31"/>
  <c r="V53" i="31"/>
  <c r="V73" i="31"/>
  <c r="V85" i="31"/>
  <c r="V20" i="31"/>
  <c r="M67" i="257"/>
  <c r="M68" i="31" s="1"/>
  <c r="K67" i="257"/>
  <c r="K68" i="31" s="1"/>
  <c r="V84" i="31"/>
  <c r="V17" i="31"/>
  <c r="V49" i="31"/>
  <c r="V65" i="31"/>
  <c r="V89" i="31"/>
  <c r="V86" i="31"/>
  <c r="H55" i="328"/>
  <c r="I57" i="328" s="1"/>
  <c r="K57" i="328" s="1"/>
  <c r="V23" i="31"/>
  <c r="C57" i="328"/>
  <c r="E57" i="328" s="1"/>
  <c r="V22" i="31"/>
  <c r="M31" i="312"/>
  <c r="K31" i="312"/>
  <c r="M54" i="312"/>
  <c r="K54" i="312"/>
  <c r="M23" i="312"/>
  <c r="K23" i="312"/>
  <c r="M29" i="312"/>
  <c r="K29" i="312"/>
  <c r="M50" i="312"/>
  <c r="K50" i="312"/>
  <c r="M25" i="312"/>
  <c r="K25" i="312"/>
  <c r="M17" i="312"/>
  <c r="K17" i="312"/>
  <c r="M19" i="312"/>
  <c r="K19" i="312"/>
  <c r="M62" i="312"/>
  <c r="K62" i="312"/>
  <c r="M61" i="312"/>
  <c r="K61" i="312"/>
  <c r="M69" i="312"/>
  <c r="K69" i="312"/>
  <c r="M46" i="312"/>
  <c r="K46" i="312"/>
  <c r="M73" i="312"/>
  <c r="K73" i="312"/>
  <c r="M40" i="312"/>
  <c r="K40" i="312"/>
  <c r="M58" i="312"/>
  <c r="K58" i="312"/>
  <c r="M32" i="312"/>
  <c r="K32" i="312"/>
  <c r="M38" i="312"/>
  <c r="K38" i="312"/>
  <c r="M72" i="312"/>
  <c r="K72" i="312"/>
  <c r="M53" i="312"/>
  <c r="K53" i="312"/>
  <c r="M34" i="312"/>
  <c r="K34" i="312"/>
  <c r="M59" i="312"/>
  <c r="K59" i="312"/>
  <c r="M48" i="312"/>
  <c r="K48" i="312"/>
  <c r="M28" i="312"/>
  <c r="K28" i="312"/>
  <c r="M71" i="312"/>
  <c r="K71" i="312"/>
  <c r="M57" i="312"/>
  <c r="K57" i="312"/>
  <c r="M55" i="312"/>
  <c r="K55" i="312"/>
  <c r="M65" i="312"/>
  <c r="K65" i="312"/>
  <c r="M66" i="312"/>
  <c r="K66" i="312"/>
  <c r="M18" i="312"/>
  <c r="K18" i="312"/>
  <c r="M44" i="312"/>
  <c r="K44" i="312"/>
  <c r="M24" i="312"/>
  <c r="K24" i="312"/>
  <c r="M60" i="312"/>
  <c r="K60" i="312"/>
  <c r="M49" i="312"/>
  <c r="K49" i="312"/>
  <c r="M42" i="312"/>
  <c r="K42" i="312"/>
  <c r="M21" i="312"/>
  <c r="K21" i="312"/>
  <c r="M45" i="312"/>
  <c r="K45" i="312"/>
  <c r="M27" i="312"/>
  <c r="K27" i="312"/>
  <c r="M20" i="312"/>
  <c r="K20" i="312"/>
  <c r="M63" i="312"/>
  <c r="K63" i="312"/>
  <c r="M75" i="312"/>
  <c r="K75" i="312"/>
  <c r="M36" i="312"/>
  <c r="K36" i="312"/>
  <c r="M37" i="312"/>
  <c r="K37" i="312"/>
  <c r="M67" i="312"/>
  <c r="K67" i="312"/>
  <c r="M51" i="312"/>
  <c r="K51" i="312"/>
  <c r="C167" i="334"/>
  <c r="C110" i="334"/>
  <c r="C124" i="334"/>
  <c r="C152" i="334"/>
  <c r="C113" i="334"/>
  <c r="C147" i="334"/>
  <c r="C131" i="334"/>
  <c r="C133" i="334"/>
  <c r="C123" i="334"/>
  <c r="C144" i="334"/>
  <c r="C134" i="334"/>
  <c r="C139" i="334"/>
  <c r="C112" i="334"/>
  <c r="C168" i="334"/>
  <c r="C148" i="334"/>
  <c r="C160" i="334"/>
  <c r="C121" i="334"/>
  <c r="C155" i="334"/>
  <c r="C164" i="334"/>
  <c r="C159" i="334"/>
  <c r="C156" i="334"/>
  <c r="C142" i="334"/>
  <c r="C109" i="334"/>
  <c r="C135" i="334"/>
  <c r="C145" i="334"/>
  <c r="C153" i="334"/>
  <c r="C115" i="334"/>
  <c r="C151" i="334"/>
  <c r="C140" i="334"/>
  <c r="C118" i="334"/>
  <c r="C132" i="334"/>
  <c r="C116" i="334"/>
  <c r="C150" i="334"/>
  <c r="C127" i="334"/>
  <c r="C128" i="334"/>
  <c r="C122" i="334"/>
  <c r="C108" i="334"/>
  <c r="C158" i="334"/>
  <c r="C165" i="334"/>
  <c r="C138" i="334"/>
  <c r="C125" i="334"/>
  <c r="C161" i="334"/>
  <c r="C149" i="334"/>
  <c r="C129" i="334"/>
  <c r="C163" i="334"/>
  <c r="R169" i="321"/>
  <c r="U169" i="321" s="1"/>
  <c r="AO163" i="249"/>
  <c r="B174" i="328"/>
  <c r="C74" i="328"/>
  <c r="E74" i="328" s="1"/>
  <c r="H327" i="328"/>
  <c r="K326" i="328" s="1"/>
  <c r="H259" i="328"/>
  <c r="I261" i="328" s="1"/>
  <c r="K261" i="328" s="1"/>
  <c r="I397" i="328"/>
  <c r="K397" i="328" s="1"/>
  <c r="H463" i="328"/>
  <c r="K462" i="328" s="1"/>
  <c r="B344" i="328"/>
  <c r="I91" i="328"/>
  <c r="K91" i="328" s="1"/>
  <c r="C414" i="328"/>
  <c r="E414" i="328" s="1"/>
  <c r="I601" i="328"/>
  <c r="K601" i="328" s="1"/>
  <c r="C23" i="328"/>
  <c r="E23" i="328" s="1"/>
  <c r="H497" i="328"/>
  <c r="I295" i="328"/>
  <c r="K295" i="328" s="1"/>
  <c r="H429" i="328"/>
  <c r="K428" i="328" s="1"/>
  <c r="B55" i="328"/>
  <c r="H225" i="328"/>
  <c r="AJ15" i="322"/>
  <c r="AJ17" i="322" s="1"/>
  <c r="D31" i="317"/>
  <c r="D19" i="317" s="1"/>
  <c r="G19" i="317" s="1"/>
  <c r="Q104" i="321"/>
  <c r="P86" i="312"/>
  <c r="R22" i="312"/>
  <c r="G171" i="31"/>
  <c r="AD105" i="321"/>
  <c r="G167" i="31"/>
  <c r="Q86" i="312"/>
  <c r="Q80" i="312"/>
  <c r="R76" i="312"/>
  <c r="R89" i="312"/>
  <c r="Q79" i="312"/>
  <c r="R74" i="312"/>
  <c r="C142" i="328"/>
  <c r="E142" i="328" s="1"/>
  <c r="H21" i="328"/>
  <c r="I23" i="328" s="1"/>
  <c r="K23" i="328" s="1"/>
  <c r="C380" i="328"/>
  <c r="E380" i="328" s="1"/>
  <c r="I363" i="328"/>
  <c r="K363" i="328" s="1"/>
  <c r="B480" i="328"/>
  <c r="C482" i="328" s="1"/>
  <c r="E482" i="328" s="1"/>
  <c r="H565" i="328"/>
  <c r="K564" i="328" s="1"/>
  <c r="H923" i="328"/>
  <c r="E117" i="334"/>
  <c r="G86" i="312"/>
  <c r="T86" i="312"/>
  <c r="G182" i="31"/>
  <c r="G178" i="31"/>
  <c r="G177" i="31"/>
  <c r="H838" i="328"/>
  <c r="E107" i="334"/>
  <c r="R86" i="312"/>
  <c r="O86" i="312"/>
  <c r="G179" i="31"/>
  <c r="E114" i="334"/>
  <c r="E119" i="334"/>
  <c r="E141" i="334"/>
  <c r="H1144" i="328"/>
  <c r="E143" i="334"/>
  <c r="G181" i="31"/>
  <c r="E130" i="334"/>
  <c r="E136" i="334"/>
  <c r="B1008" i="328"/>
  <c r="E126" i="334"/>
  <c r="G180" i="31"/>
  <c r="E34" i="334"/>
  <c r="E26" i="334"/>
  <c r="E78" i="334"/>
  <c r="E54" i="334"/>
  <c r="E49" i="334"/>
  <c r="E69" i="334"/>
  <c r="E24" i="334"/>
  <c r="E48" i="334"/>
  <c r="B259" i="328"/>
  <c r="E258" i="328" s="1"/>
  <c r="E42" i="334"/>
  <c r="B463" i="328"/>
  <c r="E66" i="334"/>
  <c r="E19" i="334"/>
  <c r="E27" i="334"/>
  <c r="E43" i="334"/>
  <c r="E51" i="334"/>
  <c r="E59" i="334"/>
  <c r="E67" i="334"/>
  <c r="E75" i="334"/>
  <c r="E83" i="334"/>
  <c r="E72" i="334"/>
  <c r="E20" i="334"/>
  <c r="E32" i="334"/>
  <c r="E52" i="334"/>
  <c r="E60" i="334"/>
  <c r="E38" i="334"/>
  <c r="E35" i="334"/>
  <c r="E30" i="334"/>
  <c r="E31" i="334"/>
  <c r="E65" i="334"/>
  <c r="E16" i="334"/>
  <c r="E80" i="334"/>
  <c r="E13" i="334"/>
  <c r="E45" i="334"/>
  <c r="E61" i="334"/>
  <c r="E85" i="334"/>
  <c r="E74" i="334"/>
  <c r="E50" i="334"/>
  <c r="E18" i="334"/>
  <c r="E46" i="334"/>
  <c r="E70" i="334"/>
  <c r="E57" i="334"/>
  <c r="E77" i="334"/>
  <c r="E36" i="334"/>
  <c r="E29" i="334"/>
  <c r="E82" i="334"/>
  <c r="E15" i="334"/>
  <c r="E23" i="334"/>
  <c r="E39" i="334"/>
  <c r="E47" i="334"/>
  <c r="E55" i="334"/>
  <c r="E63" i="334"/>
  <c r="E71" i="334"/>
  <c r="E79" i="334"/>
  <c r="E68" i="334"/>
  <c r="E76" i="334"/>
  <c r="E28" i="334"/>
  <c r="E44" i="334"/>
  <c r="E56" i="334"/>
  <c r="E84" i="334"/>
  <c r="E40" i="334"/>
  <c r="E37" i="334"/>
  <c r="E25" i="334"/>
  <c r="E17" i="334"/>
  <c r="E62" i="334"/>
  <c r="E33" i="334"/>
  <c r="E81" i="334"/>
  <c r="E64" i="334"/>
  <c r="E12" i="334"/>
  <c r="E21" i="334"/>
  <c r="E41" i="334"/>
  <c r="E53" i="334"/>
  <c r="E73" i="334"/>
  <c r="B395" i="328"/>
  <c r="E394" i="328" s="1"/>
  <c r="E58" i="334"/>
  <c r="B89" i="328"/>
  <c r="E22" i="334"/>
  <c r="E14" i="334"/>
  <c r="E157" i="334"/>
  <c r="I499" i="328"/>
  <c r="K499" i="328" s="1"/>
  <c r="I227" i="328"/>
  <c r="K227" i="328" s="1"/>
  <c r="I533" i="328"/>
  <c r="K533" i="328" s="1"/>
  <c r="B1076" i="328"/>
  <c r="T84" i="312"/>
  <c r="T9" i="321"/>
  <c r="T180" i="321" s="1"/>
  <c r="R64" i="312"/>
  <c r="R47" i="312"/>
  <c r="G183" i="31"/>
  <c r="R26" i="312"/>
  <c r="R19" i="257"/>
  <c r="R20" i="31" s="1"/>
  <c r="G163" i="31"/>
  <c r="V22" i="312"/>
  <c r="P84" i="312"/>
  <c r="V39" i="312"/>
  <c r="G88" i="312"/>
  <c r="T89" i="312"/>
  <c r="R85" i="312"/>
  <c r="G173" i="31"/>
  <c r="G85" i="312"/>
  <c r="G166" i="31"/>
  <c r="R52" i="312"/>
  <c r="R68" i="312"/>
  <c r="Q89" i="312"/>
  <c r="O89" i="312"/>
  <c r="R41" i="312"/>
  <c r="R35" i="312"/>
  <c r="R30" i="312"/>
  <c r="G172" i="31"/>
  <c r="G174" i="31"/>
  <c r="G169" i="31"/>
  <c r="R16" i="312"/>
  <c r="G164" i="31"/>
  <c r="Q85" i="312"/>
  <c r="V68" i="312"/>
  <c r="V41" i="312"/>
  <c r="O85" i="312"/>
  <c r="V74" i="312"/>
  <c r="O79" i="312"/>
  <c r="O80" i="312"/>
  <c r="G89" i="312"/>
  <c r="R56" i="312"/>
  <c r="P79" i="312"/>
  <c r="R70" i="312"/>
  <c r="P80" i="312"/>
  <c r="R39" i="312"/>
  <c r="G170" i="31"/>
  <c r="T170" i="31" s="1"/>
  <c r="G168" i="31"/>
  <c r="C15" i="312"/>
  <c r="M169" i="31" s="1"/>
  <c r="Q83" i="312"/>
  <c r="Q178" i="31" s="1"/>
  <c r="Q81" i="312"/>
  <c r="O81" i="312"/>
  <c r="V19" i="312"/>
  <c r="V53" i="312"/>
  <c r="V148" i="31" s="1"/>
  <c r="V42" i="312"/>
  <c r="V17" i="312"/>
  <c r="V112" i="31" s="1"/>
  <c r="V28" i="312"/>
  <c r="V71" i="312"/>
  <c r="V166" i="31" s="1"/>
  <c r="V23" i="312"/>
  <c r="V20" i="312"/>
  <c r="V115" i="31" s="1"/>
  <c r="V63" i="312"/>
  <c r="V158" i="31" s="1"/>
  <c r="V65" i="312"/>
  <c r="V160" i="31" s="1"/>
  <c r="V58" i="312"/>
  <c r="V36" i="312"/>
  <c r="V131" i="31" s="1"/>
  <c r="V24" i="312"/>
  <c r="V119" i="31" s="1"/>
  <c r="V49" i="312"/>
  <c r="V144" i="31" s="1"/>
  <c r="V51" i="312"/>
  <c r="V78" i="312"/>
  <c r="V173" i="31" s="1"/>
  <c r="V76" i="312"/>
  <c r="V171" i="31" s="1"/>
  <c r="V79" i="312"/>
  <c r="V174" i="31" s="1"/>
  <c r="V83" i="312"/>
  <c r="V77" i="312"/>
  <c r="V172" i="31" s="1"/>
  <c r="V85" i="312"/>
  <c r="V180" i="31" s="1"/>
  <c r="V82" i="312"/>
  <c r="V177" i="31" s="1"/>
  <c r="V80" i="312"/>
  <c r="V81" i="312"/>
  <c r="V176" i="31" s="1"/>
  <c r="V84" i="312"/>
  <c r="V179" i="31" s="1"/>
  <c r="V62" i="312"/>
  <c r="V157" i="31" s="1"/>
  <c r="V18" i="312"/>
  <c r="V44" i="312"/>
  <c r="V139" i="31" s="1"/>
  <c r="V31" i="312"/>
  <c r="V126" i="31" s="1"/>
  <c r="V45" i="312"/>
  <c r="V140" i="31" s="1"/>
  <c r="V61" i="312"/>
  <c r="V156" i="31" s="1"/>
  <c r="V69" i="312"/>
  <c r="V164" i="31" s="1"/>
  <c r="V29" i="312"/>
  <c r="V124" i="31" s="1"/>
  <c r="G165" i="31"/>
  <c r="T165" i="31" s="1"/>
  <c r="V66" i="312"/>
  <c r="V161" i="31" s="1"/>
  <c r="V60" i="312"/>
  <c r="V155" i="31" s="1"/>
  <c r="V37" i="312"/>
  <c r="V132" i="31" s="1"/>
  <c r="V25" i="312"/>
  <c r="V120" i="31" s="1"/>
  <c r="O84" i="312"/>
  <c r="V16" i="312"/>
  <c r="V111" i="31" s="1"/>
  <c r="V26" i="312"/>
  <c r="V121" i="31" s="1"/>
  <c r="V52" i="312"/>
  <c r="V147" i="31" s="1"/>
  <c r="V64" i="312"/>
  <c r="V159" i="31" s="1"/>
  <c r="Q84" i="312"/>
  <c r="Q179" i="31" s="1"/>
  <c r="V70" i="312"/>
  <c r="V165" i="31" s="1"/>
  <c r="P83" i="312"/>
  <c r="P178" i="31" s="1"/>
  <c r="V27" i="312"/>
  <c r="V122" i="31" s="1"/>
  <c r="V55" i="312"/>
  <c r="V150" i="31" s="1"/>
  <c r="V40" i="312"/>
  <c r="V135" i="31" s="1"/>
  <c r="V50" i="312"/>
  <c r="V145" i="31" s="1"/>
  <c r="V32" i="312"/>
  <c r="V127" i="31" s="1"/>
  <c r="V38" i="312"/>
  <c r="V133" i="31" s="1"/>
  <c r="V72" i="312"/>
  <c r="V167" i="31" s="1"/>
  <c r="V67" i="312"/>
  <c r="V162" i="31" s="1"/>
  <c r="V48" i="312"/>
  <c r="V143" i="31" s="1"/>
  <c r="R49" i="312"/>
  <c r="R144" i="31" s="1"/>
  <c r="V21" i="312"/>
  <c r="V116" i="31" s="1"/>
  <c r="V54" i="312"/>
  <c r="V149" i="31" s="1"/>
  <c r="R24" i="312"/>
  <c r="R119" i="31" s="1"/>
  <c r="V57" i="312"/>
  <c r="V152" i="31" s="1"/>
  <c r="V46" i="312"/>
  <c r="V141" i="31" s="1"/>
  <c r="V73" i="312"/>
  <c r="V168" i="31" s="1"/>
  <c r="V75" i="312"/>
  <c r="V170" i="31" s="1"/>
  <c r="D110" i="31"/>
  <c r="E106" i="334" s="1"/>
  <c r="V34" i="312"/>
  <c r="V129" i="31" s="1"/>
  <c r="V59" i="312"/>
  <c r="V154" i="31" s="1"/>
  <c r="V35" i="312"/>
  <c r="V130" i="31" s="1"/>
  <c r="O83" i="312"/>
  <c r="V33" i="312"/>
  <c r="V128" i="31" s="1"/>
  <c r="V43" i="312"/>
  <c r="V138" i="31" s="1"/>
  <c r="P81" i="312"/>
  <c r="P176" i="31" s="1"/>
  <c r="P85" i="312"/>
  <c r="P180" i="31" s="1"/>
  <c r="R46" i="312"/>
  <c r="R141" i="31" s="1"/>
  <c r="B599" i="328"/>
  <c r="B327" i="328"/>
  <c r="R62" i="312"/>
  <c r="R157" i="31" s="1"/>
  <c r="R19" i="312"/>
  <c r="R114" i="31" s="1"/>
  <c r="G84" i="312"/>
  <c r="R34" i="312"/>
  <c r="R129" i="31" s="1"/>
  <c r="R84" i="312"/>
  <c r="R179" i="31" s="1"/>
  <c r="R51" i="312"/>
  <c r="R146" i="31" s="1"/>
  <c r="R18" i="312"/>
  <c r="R113" i="31" s="1"/>
  <c r="R59" i="312"/>
  <c r="R154" i="31" s="1"/>
  <c r="R25" i="312"/>
  <c r="R120" i="31" s="1"/>
  <c r="O78" i="312"/>
  <c r="R50" i="312"/>
  <c r="R145" i="31" s="1"/>
  <c r="R66" i="312"/>
  <c r="R161" i="31" s="1"/>
  <c r="R44" i="312"/>
  <c r="R139" i="31" s="1"/>
  <c r="R37" i="312"/>
  <c r="R132" i="31" s="1"/>
  <c r="T78" i="312"/>
  <c r="R63" i="312"/>
  <c r="R158" i="31" s="1"/>
  <c r="R29" i="312"/>
  <c r="R124" i="31" s="1"/>
  <c r="R60" i="312"/>
  <c r="R155" i="31" s="1"/>
  <c r="R67" i="257"/>
  <c r="R68" i="31" s="1"/>
  <c r="R27" i="312"/>
  <c r="R122" i="31" s="1"/>
  <c r="R73" i="312"/>
  <c r="R168" i="31" s="1"/>
  <c r="R26" i="257"/>
  <c r="R27" i="31" s="1"/>
  <c r="R78" i="312"/>
  <c r="R173" i="31" s="1"/>
  <c r="R71" i="312"/>
  <c r="R166" i="31" s="1"/>
  <c r="R35" i="257"/>
  <c r="R36" i="31" s="1"/>
  <c r="R21" i="312"/>
  <c r="R116" i="31" s="1"/>
  <c r="B531" i="328"/>
  <c r="Q78" i="312"/>
  <c r="Q173" i="31" s="1"/>
  <c r="P78" i="312"/>
  <c r="P173" i="31" s="1"/>
  <c r="R75" i="312"/>
  <c r="R170" i="31" s="1"/>
  <c r="R29" i="257"/>
  <c r="R30" i="31" s="1"/>
  <c r="R28" i="312"/>
  <c r="R123" i="31" s="1"/>
  <c r="E173" i="328"/>
  <c r="R45" i="312"/>
  <c r="R140" i="31" s="1"/>
  <c r="R61" i="312"/>
  <c r="R156" i="31" s="1"/>
  <c r="R77" i="312"/>
  <c r="R172" i="31" s="1"/>
  <c r="R73" i="257"/>
  <c r="R74" i="31" s="1"/>
  <c r="R32" i="257"/>
  <c r="R33" i="31" s="1"/>
  <c r="R25" i="257"/>
  <c r="R26" i="31" s="1"/>
  <c r="R42" i="312"/>
  <c r="R137" i="31" s="1"/>
  <c r="R63" i="257"/>
  <c r="R64" i="31" s="1"/>
  <c r="R79" i="257"/>
  <c r="R80" i="31" s="1"/>
  <c r="R52" i="257"/>
  <c r="R53" i="31" s="1"/>
  <c r="K122" i="328"/>
  <c r="R23" i="312"/>
  <c r="R118" i="31" s="1"/>
  <c r="R53" i="312"/>
  <c r="R148" i="31" s="1"/>
  <c r="R69" i="312"/>
  <c r="R164" i="31" s="1"/>
  <c r="R46" i="257"/>
  <c r="R47" i="31" s="1"/>
  <c r="R62" i="257"/>
  <c r="R63" i="31" s="1"/>
  <c r="R78" i="257"/>
  <c r="R79" i="31" s="1"/>
  <c r="R68" i="257"/>
  <c r="R69" i="31" s="1"/>
  <c r="R45" i="257"/>
  <c r="R46" i="31" s="1"/>
  <c r="R85" i="257"/>
  <c r="R86" i="31" s="1"/>
  <c r="R17" i="257"/>
  <c r="R18" i="31" s="1"/>
  <c r="R47" i="257"/>
  <c r="R48" i="31" s="1"/>
  <c r="R88" i="257"/>
  <c r="R89" i="31" s="1"/>
  <c r="R17" i="312"/>
  <c r="R112" i="31" s="1"/>
  <c r="B906" i="328"/>
  <c r="H446" i="328"/>
  <c r="B1025" i="328"/>
  <c r="B446" i="328"/>
  <c r="E445" i="328" s="1"/>
  <c r="B4" i="328"/>
  <c r="H72" i="328"/>
  <c r="H514" i="328"/>
  <c r="R54" i="312"/>
  <c r="R149" i="31" s="1"/>
  <c r="R32" i="312"/>
  <c r="R127" i="31" s="1"/>
  <c r="R57" i="312"/>
  <c r="R152" i="31" s="1"/>
  <c r="R67" i="312"/>
  <c r="R162" i="31" s="1"/>
  <c r="R50" i="257"/>
  <c r="R51" i="31" s="1"/>
  <c r="R66" i="257"/>
  <c r="R67" i="31" s="1"/>
  <c r="R82" i="257"/>
  <c r="R83" i="31" s="1"/>
  <c r="R80" i="257"/>
  <c r="R81" i="31" s="1"/>
  <c r="R53" i="257"/>
  <c r="R54" i="31" s="1"/>
  <c r="R51" i="257"/>
  <c r="R52" i="31" s="1"/>
  <c r="R83" i="257"/>
  <c r="R84" i="31" s="1"/>
  <c r="R64" i="257"/>
  <c r="R65" i="31" s="1"/>
  <c r="R57" i="257"/>
  <c r="R58" i="31" s="1"/>
  <c r="R48" i="257"/>
  <c r="R49" i="31" s="1"/>
  <c r="R23" i="257"/>
  <c r="R24" i="31" s="1"/>
  <c r="R39" i="257"/>
  <c r="R40" i="31" s="1"/>
  <c r="R36" i="257"/>
  <c r="R37" i="31" s="1"/>
  <c r="B872" i="328"/>
  <c r="B991" i="328"/>
  <c r="B1229" i="328"/>
  <c r="H889" i="328"/>
  <c r="H1178" i="328"/>
  <c r="H191" i="328"/>
  <c r="R30" i="257"/>
  <c r="R31" i="31" s="1"/>
  <c r="H991" i="328"/>
  <c r="H1297" i="328"/>
  <c r="H855" i="328"/>
  <c r="H1076" i="328"/>
  <c r="H1161" i="328"/>
  <c r="H1229" i="328"/>
  <c r="E20" i="328"/>
  <c r="H1025" i="328"/>
  <c r="H174" i="328"/>
  <c r="H1314" i="328"/>
  <c r="B106" i="328"/>
  <c r="B310" i="328"/>
  <c r="R15" i="257"/>
  <c r="R16" i="31" s="1"/>
  <c r="B191" i="328"/>
  <c r="B1110" i="328"/>
  <c r="B123" i="328"/>
  <c r="B565" i="328"/>
  <c r="B923" i="328"/>
  <c r="B1212" i="328"/>
  <c r="B1093" i="328"/>
  <c r="H344" i="328"/>
  <c r="R72" i="312"/>
  <c r="R167" i="31" s="1"/>
  <c r="R58" i="312"/>
  <c r="R153" i="31" s="1"/>
  <c r="R36" i="312"/>
  <c r="R131" i="31" s="1"/>
  <c r="R38" i="312"/>
  <c r="R133" i="31" s="1"/>
  <c r="R55" i="312"/>
  <c r="R150" i="31" s="1"/>
  <c r="R54" i="257"/>
  <c r="R55" i="31" s="1"/>
  <c r="R70" i="257"/>
  <c r="R71" i="31" s="1"/>
  <c r="R86" i="257"/>
  <c r="R87" i="31" s="1"/>
  <c r="R65" i="257"/>
  <c r="R66" i="31" s="1"/>
  <c r="R55" i="257"/>
  <c r="R56" i="31" s="1"/>
  <c r="R71" i="257"/>
  <c r="R72" i="31" s="1"/>
  <c r="R87" i="257"/>
  <c r="R88" i="31" s="1"/>
  <c r="R76" i="257"/>
  <c r="R77" i="31" s="1"/>
  <c r="R69" i="257"/>
  <c r="R70" i="31" s="1"/>
  <c r="R60" i="257"/>
  <c r="R61" i="31" s="1"/>
  <c r="R49" i="257"/>
  <c r="R50" i="31" s="1"/>
  <c r="R27" i="257"/>
  <c r="R28" i="31" s="1"/>
  <c r="R24" i="257"/>
  <c r="R25" i="31" s="1"/>
  <c r="R33" i="257"/>
  <c r="R34" i="31" s="1"/>
  <c r="K88" i="328"/>
  <c r="R34" i="257"/>
  <c r="R35" i="31" s="1"/>
  <c r="R42" i="257"/>
  <c r="R43" i="31" s="1"/>
  <c r="R20" i="312"/>
  <c r="R115" i="31" s="1"/>
  <c r="H1331" i="328"/>
  <c r="B1195" i="328"/>
  <c r="B1297" i="328"/>
  <c r="H957" i="328"/>
  <c r="H1246" i="328"/>
  <c r="B293" i="328"/>
  <c r="B1331" i="328"/>
  <c r="R16" i="257"/>
  <c r="R17" i="31" s="1"/>
  <c r="H1042" i="328"/>
  <c r="B1263" i="328"/>
  <c r="H1059" i="328"/>
  <c r="B157" i="328"/>
  <c r="H1008" i="328"/>
  <c r="H157" i="328"/>
  <c r="R20" i="257"/>
  <c r="R21" i="31" s="1"/>
  <c r="H974" i="328"/>
  <c r="B361" i="328"/>
  <c r="H310" i="328"/>
  <c r="H480" i="328"/>
  <c r="H582" i="328"/>
  <c r="B1161" i="328"/>
  <c r="B38" i="328"/>
  <c r="B582" i="328"/>
  <c r="H4" i="328"/>
  <c r="H276" i="328"/>
  <c r="H412" i="328"/>
  <c r="K411" i="328" s="1"/>
  <c r="H616" i="328"/>
  <c r="H1212" i="328"/>
  <c r="B497" i="328"/>
  <c r="H378" i="328"/>
  <c r="H548" i="328"/>
  <c r="H242" i="328"/>
  <c r="R40" i="312"/>
  <c r="R135" i="31" s="1"/>
  <c r="R65" i="312"/>
  <c r="R160" i="31" s="1"/>
  <c r="R58" i="257"/>
  <c r="R59" i="31" s="1"/>
  <c r="R74" i="257"/>
  <c r="R75" i="31" s="1"/>
  <c r="R56" i="257"/>
  <c r="R57" i="31" s="1"/>
  <c r="R77" i="257"/>
  <c r="R78" i="31" s="1"/>
  <c r="R59" i="257"/>
  <c r="R60" i="31" s="1"/>
  <c r="R75" i="257"/>
  <c r="R76" i="31" s="1"/>
  <c r="R44" i="257"/>
  <c r="R45" i="31" s="1"/>
  <c r="R84" i="257"/>
  <c r="R85" i="31" s="1"/>
  <c r="R81" i="257"/>
  <c r="R82" i="31" s="1"/>
  <c r="R72" i="257"/>
  <c r="R73" i="31" s="1"/>
  <c r="R61" i="257"/>
  <c r="R62" i="31" s="1"/>
  <c r="R28" i="257"/>
  <c r="R29" i="31" s="1"/>
  <c r="E139" i="328"/>
  <c r="K224" i="328"/>
  <c r="E71" i="328"/>
  <c r="R37" i="257"/>
  <c r="R38" i="31" s="1"/>
  <c r="R38" i="257"/>
  <c r="R39" i="31" s="1"/>
  <c r="R18" i="257"/>
  <c r="R19" i="31" s="1"/>
  <c r="H106" i="328"/>
  <c r="R21" i="257"/>
  <c r="R22" i="31" s="1"/>
  <c r="B940" i="328"/>
  <c r="B1059" i="328"/>
  <c r="B1042" i="328"/>
  <c r="H38" i="328"/>
  <c r="B429" i="328"/>
  <c r="H1280" i="328"/>
  <c r="B1144" i="328"/>
  <c r="H940" i="328"/>
  <c r="H1127" i="328"/>
  <c r="H1195" i="328"/>
  <c r="H1263" i="328"/>
  <c r="E54" i="328"/>
  <c r="H906" i="328"/>
  <c r="B1127" i="328"/>
  <c r="B208" i="328"/>
  <c r="H140" i="328"/>
  <c r="B1382" i="328"/>
  <c r="H1365" i="328"/>
  <c r="B1365" i="328"/>
  <c r="H1348" i="328"/>
  <c r="B1280" i="328"/>
  <c r="B889" i="328"/>
  <c r="B855" i="328"/>
  <c r="AO169" i="231"/>
  <c r="R41" i="257"/>
  <c r="R42" i="31" s="1"/>
  <c r="B225" i="328"/>
  <c r="R40" i="257"/>
  <c r="R41" i="31" s="1"/>
  <c r="H208" i="328"/>
  <c r="R31" i="257"/>
  <c r="R32" i="31" s="1"/>
  <c r="R22" i="257"/>
  <c r="R23" i="31" s="1"/>
  <c r="K54" i="328"/>
  <c r="B242" i="328"/>
  <c r="E377" i="328"/>
  <c r="K292" i="328"/>
  <c r="K258" i="328"/>
  <c r="E513" i="328"/>
  <c r="E462" i="328"/>
  <c r="E411" i="328"/>
  <c r="K360" i="328"/>
  <c r="E547" i="328"/>
  <c r="K394" i="328"/>
  <c r="K598" i="328"/>
  <c r="K530" i="328"/>
  <c r="K496" i="328"/>
  <c r="E479" i="328"/>
  <c r="R43" i="257"/>
  <c r="R44" i="31" s="1"/>
  <c r="B974" i="328"/>
  <c r="R31" i="312"/>
  <c r="R126" i="31" s="1"/>
  <c r="H1110" i="328"/>
  <c r="I173" i="31"/>
  <c r="I169" i="31"/>
  <c r="R48" i="312"/>
  <c r="R143" i="31" s="1"/>
  <c r="AC156" i="321"/>
  <c r="AC142" i="321"/>
  <c r="AC106" i="321"/>
  <c r="AC126" i="321"/>
  <c r="AC150" i="321"/>
  <c r="AC145" i="321"/>
  <c r="AC117" i="321"/>
  <c r="AC109" i="321"/>
  <c r="AC125" i="321"/>
  <c r="AC139" i="321"/>
  <c r="AC124" i="321"/>
  <c r="AC116" i="321"/>
  <c r="AC130" i="321"/>
  <c r="AC152" i="321"/>
  <c r="AC141" i="321"/>
  <c r="AC128" i="321"/>
  <c r="AC114" i="321"/>
  <c r="AC131" i="321"/>
  <c r="AC75" i="321"/>
  <c r="C550" i="328"/>
  <c r="E550" i="328" s="1"/>
  <c r="AC81" i="321"/>
  <c r="AC83" i="321"/>
  <c r="AC65" i="321"/>
  <c r="C465" i="328"/>
  <c r="E465" i="328" s="1"/>
  <c r="AC71" i="321"/>
  <c r="C516" i="328"/>
  <c r="E516" i="328" s="1"/>
  <c r="AC79" i="321"/>
  <c r="AR163" i="249"/>
  <c r="Y104" i="321"/>
  <c r="E9" i="321"/>
  <c r="E180" i="321" s="1"/>
  <c r="C91" i="328" l="1"/>
  <c r="E91" i="328" s="1"/>
  <c r="C346" i="328"/>
  <c r="E346" i="328" s="1"/>
  <c r="V113" i="31"/>
  <c r="V175" i="31"/>
  <c r="V178" i="31"/>
  <c r="V146" i="31"/>
  <c r="V153" i="31"/>
  <c r="V118" i="31"/>
  <c r="V137" i="31"/>
  <c r="Q176" i="31"/>
  <c r="R165" i="31"/>
  <c r="C618" i="328"/>
  <c r="E618" i="328" s="1"/>
  <c r="K20" i="328"/>
  <c r="I329" i="328"/>
  <c r="K329" i="328" s="1"/>
  <c r="C278" i="328"/>
  <c r="E278" i="328" s="1"/>
  <c r="I125" i="328"/>
  <c r="K125" i="328" s="1"/>
  <c r="K16" i="31"/>
  <c r="V123" i="31"/>
  <c r="V114" i="31"/>
  <c r="R134" i="31"/>
  <c r="P174" i="31"/>
  <c r="V136" i="31"/>
  <c r="T169" i="31"/>
  <c r="R130" i="31"/>
  <c r="R180" i="31"/>
  <c r="R121" i="31"/>
  <c r="R159" i="31"/>
  <c r="T177" i="31"/>
  <c r="I1408" i="328" s="1"/>
  <c r="K1408" i="328" s="1"/>
  <c r="R117" i="31"/>
  <c r="M130" i="31"/>
  <c r="M159" i="31"/>
  <c r="R138" i="31"/>
  <c r="M137" i="31"/>
  <c r="M155" i="31"/>
  <c r="M139" i="31"/>
  <c r="M161" i="31"/>
  <c r="M150" i="31"/>
  <c r="M166" i="31"/>
  <c r="M143" i="31"/>
  <c r="M163" i="31"/>
  <c r="M129" i="31"/>
  <c r="M167" i="31"/>
  <c r="M127" i="31"/>
  <c r="M135" i="31"/>
  <c r="M141" i="31"/>
  <c r="M156" i="31"/>
  <c r="M114" i="31"/>
  <c r="K111" i="31"/>
  <c r="K115" i="31"/>
  <c r="K119" i="31"/>
  <c r="K123" i="31"/>
  <c r="K127" i="31"/>
  <c r="K131" i="31"/>
  <c r="K135" i="31"/>
  <c r="K139" i="31"/>
  <c r="K143" i="31"/>
  <c r="K147" i="31"/>
  <c r="K151" i="31"/>
  <c r="K155" i="31"/>
  <c r="K159" i="31"/>
  <c r="K163" i="31"/>
  <c r="I1281" i="328" s="1"/>
  <c r="J1285" i="328" s="1"/>
  <c r="K175" i="31"/>
  <c r="I1383" i="328" s="1"/>
  <c r="J1387" i="328" s="1"/>
  <c r="K176" i="31"/>
  <c r="C1400" i="328" s="1"/>
  <c r="D1404" i="328" s="1"/>
  <c r="K112" i="31"/>
  <c r="K116" i="31"/>
  <c r="K120" i="31"/>
  <c r="K124" i="31"/>
  <c r="K128" i="31"/>
  <c r="K132" i="31"/>
  <c r="K136" i="31"/>
  <c r="K140" i="31"/>
  <c r="K144" i="31"/>
  <c r="K148" i="31"/>
  <c r="K152" i="31"/>
  <c r="K156" i="31"/>
  <c r="K160" i="31"/>
  <c r="K164" i="31"/>
  <c r="C1298" i="328" s="1"/>
  <c r="D1302" i="328" s="1"/>
  <c r="K168" i="31"/>
  <c r="C1332" i="328" s="1"/>
  <c r="D1336" i="328" s="1"/>
  <c r="K172" i="31"/>
  <c r="C1366" i="328" s="1"/>
  <c r="D1370" i="328" s="1"/>
  <c r="K113" i="31"/>
  <c r="K117" i="31"/>
  <c r="K121" i="31"/>
  <c r="K125" i="31"/>
  <c r="K129" i="31"/>
  <c r="K133" i="31"/>
  <c r="K137" i="31"/>
  <c r="K141" i="31"/>
  <c r="K145" i="31"/>
  <c r="K149" i="31"/>
  <c r="K153" i="31"/>
  <c r="K157" i="31"/>
  <c r="K161" i="31"/>
  <c r="K165" i="31"/>
  <c r="I1298" i="328" s="1"/>
  <c r="J1302" i="328" s="1"/>
  <c r="K169" i="31"/>
  <c r="I1332" i="328" s="1"/>
  <c r="J1336" i="328" s="1"/>
  <c r="K173" i="31"/>
  <c r="I1366" i="328" s="1"/>
  <c r="J1370" i="328" s="1"/>
  <c r="K177" i="31"/>
  <c r="I1400" i="328" s="1"/>
  <c r="J1404" i="328" s="1"/>
  <c r="K171" i="31"/>
  <c r="I1349" i="328" s="1"/>
  <c r="J1353" i="328" s="1"/>
  <c r="K179" i="31"/>
  <c r="I1417" i="328" s="1"/>
  <c r="J1421" i="328" s="1"/>
  <c r="K114" i="31"/>
  <c r="K118" i="31"/>
  <c r="K122" i="31"/>
  <c r="K126" i="31"/>
  <c r="K130" i="31"/>
  <c r="K134" i="31"/>
  <c r="K138" i="31"/>
  <c r="K142" i="31"/>
  <c r="K146" i="31"/>
  <c r="K150" i="31"/>
  <c r="K154" i="31"/>
  <c r="K158" i="31"/>
  <c r="K162" i="31"/>
  <c r="K166" i="31"/>
  <c r="C1315" i="328" s="1"/>
  <c r="D1319" i="328" s="1"/>
  <c r="K170" i="31"/>
  <c r="C1349" i="328" s="1"/>
  <c r="D1353" i="328" s="1"/>
  <c r="K174" i="31"/>
  <c r="C1383" i="328" s="1"/>
  <c r="D1387" i="328" s="1"/>
  <c r="K178" i="31"/>
  <c r="K167" i="31"/>
  <c r="I1315" i="328" s="1"/>
  <c r="J1319" i="328" s="1"/>
  <c r="R176" i="31"/>
  <c r="R174" i="31"/>
  <c r="T176" i="31"/>
  <c r="R175" i="31"/>
  <c r="R177" i="31"/>
  <c r="M180" i="31"/>
  <c r="T175" i="31"/>
  <c r="I1391" i="328" s="1"/>
  <c r="K1391" i="328" s="1"/>
  <c r="R178" i="31"/>
  <c r="M15" i="312"/>
  <c r="M110" i="31" s="1"/>
  <c r="K15" i="312"/>
  <c r="K90" i="312" s="1"/>
  <c r="K180" i="31"/>
  <c r="C1434" i="328" s="1"/>
  <c r="D1438" i="328" s="1"/>
  <c r="M172" i="31"/>
  <c r="M178" i="31"/>
  <c r="M173" i="31"/>
  <c r="M171" i="31"/>
  <c r="M177" i="31"/>
  <c r="M179" i="31"/>
  <c r="M176" i="31"/>
  <c r="C1402" i="328" s="1"/>
  <c r="E1402" i="328" s="1"/>
  <c r="M175" i="31"/>
  <c r="I1385" i="328" s="1"/>
  <c r="K1385" i="328" s="1"/>
  <c r="M174" i="31"/>
  <c r="C1385" i="328" s="1"/>
  <c r="E1385" i="328" s="1"/>
  <c r="P175" i="31"/>
  <c r="R151" i="31"/>
  <c r="V163" i="31"/>
  <c r="T164" i="31"/>
  <c r="T174" i="31"/>
  <c r="C1391" i="328" s="1"/>
  <c r="E1391" i="328" s="1"/>
  <c r="R136" i="31"/>
  <c r="V134" i="31"/>
  <c r="T163" i="31"/>
  <c r="T178" i="31"/>
  <c r="C1425" i="328" s="1"/>
  <c r="E1425" i="328" s="1"/>
  <c r="R171" i="31"/>
  <c r="T167" i="31"/>
  <c r="M125" i="31"/>
  <c r="M121" i="31"/>
  <c r="M146" i="31"/>
  <c r="M132" i="31"/>
  <c r="M170" i="31"/>
  <c r="M115" i="31"/>
  <c r="M140" i="31"/>
  <c r="R128" i="31"/>
  <c r="M136" i="31"/>
  <c r="M165" i="31"/>
  <c r="M120" i="31"/>
  <c r="M124" i="31"/>
  <c r="M149" i="31"/>
  <c r="T168" i="31"/>
  <c r="V169" i="31"/>
  <c r="Q180" i="31"/>
  <c r="T172" i="31"/>
  <c r="R163" i="31"/>
  <c r="T166" i="31"/>
  <c r="P179" i="31"/>
  <c r="R142" i="31"/>
  <c r="R169" i="31"/>
  <c r="M111" i="31"/>
  <c r="M134" i="31"/>
  <c r="V125" i="31"/>
  <c r="M144" i="31"/>
  <c r="M119" i="31"/>
  <c r="M113" i="31"/>
  <c r="M160" i="31"/>
  <c r="M152" i="31"/>
  <c r="M123" i="31"/>
  <c r="M128" i="31"/>
  <c r="M142" i="31"/>
  <c r="M154" i="31"/>
  <c r="M148" i="31"/>
  <c r="M133" i="31"/>
  <c r="M153" i="31"/>
  <c r="M168" i="31"/>
  <c r="M164" i="31"/>
  <c r="M157" i="31"/>
  <c r="M112" i="31"/>
  <c r="R111" i="31"/>
  <c r="R125" i="31"/>
  <c r="R147" i="31"/>
  <c r="T173" i="31"/>
  <c r="I1374" i="328" s="1"/>
  <c r="K1374" i="328" s="1"/>
  <c r="V117" i="31"/>
  <c r="T180" i="31"/>
  <c r="C1442" i="328" s="1"/>
  <c r="E1442" i="328" s="1"/>
  <c r="T179" i="31"/>
  <c r="I1425" i="328" s="1"/>
  <c r="K1425" i="328" s="1"/>
  <c r="T171" i="31"/>
  <c r="M138" i="31"/>
  <c r="M151" i="31"/>
  <c r="V151" i="31"/>
  <c r="M162" i="31"/>
  <c r="M131" i="31"/>
  <c r="M158" i="31"/>
  <c r="M122" i="31"/>
  <c r="M116" i="31"/>
  <c r="M117" i="31"/>
  <c r="M147" i="31"/>
  <c r="V142" i="31"/>
  <c r="M145" i="31"/>
  <c r="M118" i="31"/>
  <c r="M126" i="31"/>
  <c r="O174" i="31"/>
  <c r="C1388" i="328" s="1"/>
  <c r="E1388" i="328" s="1"/>
  <c r="O180" i="31"/>
  <c r="C1439" i="328" s="1"/>
  <c r="E1439" i="328" s="1"/>
  <c r="O173" i="31"/>
  <c r="I1371" i="328" s="1"/>
  <c r="K1371" i="328" s="1"/>
  <c r="O179" i="31"/>
  <c r="I1422" i="328" s="1"/>
  <c r="K1422" i="328" s="1"/>
  <c r="O178" i="31"/>
  <c r="O176" i="31"/>
  <c r="C1405" i="328" s="1"/>
  <c r="E1405" i="328" s="1"/>
  <c r="O175" i="31"/>
  <c r="C71" i="334"/>
  <c r="C29" i="334"/>
  <c r="C59" i="334"/>
  <c r="C37" i="334"/>
  <c r="C58" i="334"/>
  <c r="C28" i="334"/>
  <c r="C39" i="334"/>
  <c r="C77" i="334"/>
  <c r="C50" i="334"/>
  <c r="C16" i="334"/>
  <c r="C31" i="334"/>
  <c r="C35" i="334"/>
  <c r="C60" i="334"/>
  <c r="C72" i="334"/>
  <c r="C19" i="334"/>
  <c r="C26" i="334"/>
  <c r="C126" i="334"/>
  <c r="C130" i="334"/>
  <c r="C141" i="334"/>
  <c r="C114" i="334"/>
  <c r="C106" i="334"/>
  <c r="C14" i="334"/>
  <c r="C41" i="334"/>
  <c r="C64" i="334"/>
  <c r="C33" i="334"/>
  <c r="C17" i="334"/>
  <c r="C84" i="334"/>
  <c r="C76" i="334"/>
  <c r="C63" i="334"/>
  <c r="C23" i="334"/>
  <c r="C57" i="334"/>
  <c r="C46" i="334"/>
  <c r="C74" i="334"/>
  <c r="C61" i="334"/>
  <c r="C52" i="334"/>
  <c r="C83" i="334"/>
  <c r="C51" i="334"/>
  <c r="C66" i="334"/>
  <c r="C48" i="334"/>
  <c r="C69" i="334"/>
  <c r="C54" i="334"/>
  <c r="C34" i="334"/>
  <c r="C22" i="334"/>
  <c r="C73" i="334"/>
  <c r="C56" i="334"/>
  <c r="C68" i="334"/>
  <c r="C55" i="334"/>
  <c r="C15" i="334"/>
  <c r="C36" i="334"/>
  <c r="C65" i="334"/>
  <c r="C30" i="334"/>
  <c r="C38" i="334"/>
  <c r="C32" i="334"/>
  <c r="C75" i="334"/>
  <c r="C43" i="334"/>
  <c r="C136" i="334"/>
  <c r="C143" i="334"/>
  <c r="C119" i="334"/>
  <c r="C117" i="334"/>
  <c r="C53" i="334"/>
  <c r="C21" i="334"/>
  <c r="C62" i="334"/>
  <c r="C25" i="334"/>
  <c r="C40" i="334"/>
  <c r="C44" i="334"/>
  <c r="C79" i="334"/>
  <c r="C82" i="334"/>
  <c r="C70" i="334"/>
  <c r="C18" i="334"/>
  <c r="C85" i="334"/>
  <c r="C45" i="334"/>
  <c r="C80" i="334"/>
  <c r="C20" i="334"/>
  <c r="C67" i="334"/>
  <c r="C27" i="334"/>
  <c r="C42" i="334"/>
  <c r="C24" i="334"/>
  <c r="C49" i="334"/>
  <c r="C78" i="334"/>
  <c r="C107" i="334"/>
  <c r="S80" i="312"/>
  <c r="S175" i="31" s="1"/>
  <c r="Q175" i="31"/>
  <c r="S79" i="312"/>
  <c r="S174" i="31" s="1"/>
  <c r="Q174" i="31"/>
  <c r="J183" i="31"/>
  <c r="I1455" i="328" s="1"/>
  <c r="J182" i="31"/>
  <c r="C1455" i="328" s="1"/>
  <c r="J184" i="31"/>
  <c r="J181" i="31"/>
  <c r="I1438" i="328" s="1"/>
  <c r="K1438" i="328" s="1"/>
  <c r="I431" i="328"/>
  <c r="K431" i="328" s="1"/>
  <c r="C397" i="328"/>
  <c r="E397" i="328" s="1"/>
  <c r="I465" i="328"/>
  <c r="K465" i="328" s="1"/>
  <c r="E343" i="328"/>
  <c r="E1177" i="328"/>
  <c r="I1146" i="328"/>
  <c r="K1146" i="328" s="1"/>
  <c r="K1296" i="328"/>
  <c r="K871" i="328"/>
  <c r="I925" i="328"/>
  <c r="K925" i="328" s="1"/>
  <c r="C1180" i="328"/>
  <c r="E1180" i="328" s="1"/>
  <c r="C1408" i="328"/>
  <c r="E1408" i="328" s="1"/>
  <c r="E1432" i="328"/>
  <c r="K837" i="328"/>
  <c r="I1231" i="328"/>
  <c r="K1231" i="328" s="1"/>
  <c r="I840" i="328"/>
  <c r="K840" i="328" s="1"/>
  <c r="K1415" i="328"/>
  <c r="E1092" i="328"/>
  <c r="K1398" i="328"/>
  <c r="K922" i="328"/>
  <c r="S86" i="312"/>
  <c r="S181" i="31" s="1"/>
  <c r="I1214" i="328"/>
  <c r="K1214" i="328" s="1"/>
  <c r="S89" i="312"/>
  <c r="S184" i="31" s="1"/>
  <c r="C1010" i="328"/>
  <c r="E1010" i="328" s="1"/>
  <c r="O183" i="31"/>
  <c r="C261" i="328"/>
  <c r="E261" i="328" s="1"/>
  <c r="G164" i="334"/>
  <c r="Q183" i="31"/>
  <c r="G168" i="334"/>
  <c r="G162" i="334"/>
  <c r="C1469" i="328"/>
  <c r="E1469" i="328" s="1"/>
  <c r="N182" i="31"/>
  <c r="H178" i="334" s="1"/>
  <c r="H180" i="31"/>
  <c r="U180" i="31" s="1"/>
  <c r="N181" i="31"/>
  <c r="H177" i="334" s="1"/>
  <c r="M181" i="31"/>
  <c r="I178" i="31"/>
  <c r="O182" i="31"/>
  <c r="V181" i="31"/>
  <c r="I1442" i="328" s="1"/>
  <c r="K1442" i="328" s="1"/>
  <c r="R184" i="31"/>
  <c r="V183" i="31"/>
  <c r="I1459" i="328" s="1"/>
  <c r="K1459" i="328" s="1"/>
  <c r="G171" i="334"/>
  <c r="G178" i="334"/>
  <c r="G173" i="334"/>
  <c r="C1435" i="328"/>
  <c r="E1435" i="328" s="1"/>
  <c r="I1316" i="328"/>
  <c r="K1316" i="328" s="1"/>
  <c r="C1248" i="328"/>
  <c r="E1248" i="328" s="1"/>
  <c r="C1422" i="328"/>
  <c r="E1422" i="328" s="1"/>
  <c r="I1248" i="328"/>
  <c r="K1248" i="328" s="1"/>
  <c r="G166" i="334"/>
  <c r="I874" i="328"/>
  <c r="K874" i="328" s="1"/>
  <c r="O184" i="31"/>
  <c r="C1214" i="328"/>
  <c r="E1214" i="328" s="1"/>
  <c r="G169" i="334"/>
  <c r="R183" i="31"/>
  <c r="H182" i="31"/>
  <c r="S182" i="31"/>
  <c r="H179" i="31"/>
  <c r="U179" i="31" s="1"/>
  <c r="H177" i="31"/>
  <c r="U177" i="31" s="1"/>
  <c r="H178" i="31"/>
  <c r="U178" i="31" s="1"/>
  <c r="I180" i="31"/>
  <c r="I1197" i="328"/>
  <c r="K1197" i="328" s="1"/>
  <c r="V182" i="31"/>
  <c r="C1459" i="328" s="1"/>
  <c r="E1459" i="328" s="1"/>
  <c r="Q182" i="31"/>
  <c r="R181" i="31"/>
  <c r="V184" i="31"/>
  <c r="C1476" i="328" s="1"/>
  <c r="E1476" i="328" s="1"/>
  <c r="G167" i="334"/>
  <c r="G176" i="334"/>
  <c r="I1418" i="328"/>
  <c r="K1418" i="328" s="1"/>
  <c r="C1452" i="328"/>
  <c r="E1452" i="328" s="1"/>
  <c r="C1418" i="328"/>
  <c r="E1418" i="328" s="1"/>
  <c r="C1265" i="328"/>
  <c r="E1265" i="328" s="1"/>
  <c r="G161" i="334"/>
  <c r="C959" i="328"/>
  <c r="E959" i="328" s="1"/>
  <c r="G165" i="334"/>
  <c r="C1440" i="328"/>
  <c r="E1440" i="328" s="1"/>
  <c r="I1095" i="328"/>
  <c r="K1095" i="328" s="1"/>
  <c r="M182" i="31"/>
  <c r="C1451" i="328" s="1"/>
  <c r="D1455" i="328" s="1"/>
  <c r="H176" i="31"/>
  <c r="U176" i="31" s="1"/>
  <c r="C1417" i="328"/>
  <c r="D1421" i="328" s="1"/>
  <c r="I177" i="31"/>
  <c r="I176" i="31"/>
  <c r="R182" i="31"/>
  <c r="G172" i="334"/>
  <c r="G163" i="334"/>
  <c r="G174" i="334"/>
  <c r="I1350" i="328"/>
  <c r="K1350" i="328" s="1"/>
  <c r="I1384" i="328"/>
  <c r="K1384" i="328" s="1"/>
  <c r="I1435" i="328"/>
  <c r="K1435" i="328" s="1"/>
  <c r="C1282" i="328"/>
  <c r="E1282" i="328" s="1"/>
  <c r="G160" i="334"/>
  <c r="G170" i="334"/>
  <c r="C1231" i="328"/>
  <c r="E1231" i="328" s="1"/>
  <c r="G159" i="334"/>
  <c r="G179" i="334"/>
  <c r="I182" i="31"/>
  <c r="I181" i="31"/>
  <c r="H181" i="31"/>
  <c r="I179" i="31"/>
  <c r="Q181" i="31"/>
  <c r="O181" i="31"/>
  <c r="C1423" i="328"/>
  <c r="E1423" i="328" s="1"/>
  <c r="G175" i="334"/>
  <c r="G177" i="334"/>
  <c r="C1401" i="328"/>
  <c r="E1401" i="328" s="1"/>
  <c r="I1401" i="328"/>
  <c r="K1401" i="328" s="1"/>
  <c r="E88" i="328"/>
  <c r="K1262" i="328"/>
  <c r="I1265" i="328"/>
  <c r="K1265" i="328" s="1"/>
  <c r="C1333" i="328"/>
  <c r="E1333" i="328" s="1"/>
  <c r="C1316" i="328"/>
  <c r="E1316" i="328" s="1"/>
  <c r="C1384" i="328"/>
  <c r="E1384" i="328" s="1"/>
  <c r="C1350" i="328"/>
  <c r="E1350" i="328" s="1"/>
  <c r="C1299" i="328"/>
  <c r="E1299" i="328" s="1"/>
  <c r="I1333" i="328"/>
  <c r="K1333" i="328" s="1"/>
  <c r="I1452" i="328"/>
  <c r="K1452" i="328" s="1"/>
  <c r="C157" i="334"/>
  <c r="C1367" i="328"/>
  <c r="E1367" i="328" s="1"/>
  <c r="I1282" i="328"/>
  <c r="K1282" i="328" s="1"/>
  <c r="Q184" i="31"/>
  <c r="I1299" i="328"/>
  <c r="K1299" i="328" s="1"/>
  <c r="I1367" i="328"/>
  <c r="K1367" i="328" s="1"/>
  <c r="C891" i="328"/>
  <c r="E891" i="328" s="1"/>
  <c r="C1129" i="328"/>
  <c r="E1129" i="328" s="1"/>
  <c r="C1146" i="328"/>
  <c r="E1146" i="328" s="1"/>
  <c r="C1044" i="328"/>
  <c r="E1044" i="328" s="1"/>
  <c r="I1061" i="328"/>
  <c r="K1061" i="328" s="1"/>
  <c r="I1027" i="328"/>
  <c r="K1027" i="328" s="1"/>
  <c r="C1078" i="328"/>
  <c r="E1078" i="328" s="1"/>
  <c r="C1163" i="328"/>
  <c r="E1163" i="328" s="1"/>
  <c r="I1044" i="328"/>
  <c r="K1044" i="328" s="1"/>
  <c r="C1197" i="328"/>
  <c r="E1197" i="328" s="1"/>
  <c r="C1095" i="328"/>
  <c r="E1095" i="328" s="1"/>
  <c r="K1075" i="328"/>
  <c r="I1078" i="328"/>
  <c r="K1078" i="328" s="1"/>
  <c r="C1061" i="328"/>
  <c r="E1061" i="328" s="1"/>
  <c r="I959" i="328"/>
  <c r="K959" i="328" s="1"/>
  <c r="C1112" i="328"/>
  <c r="E1112" i="328" s="1"/>
  <c r="I857" i="328"/>
  <c r="K857" i="328" s="1"/>
  <c r="I1112" i="328"/>
  <c r="K1112" i="328" s="1"/>
  <c r="C976" i="328"/>
  <c r="E976" i="328" s="1"/>
  <c r="I942" i="328"/>
  <c r="K942" i="328" s="1"/>
  <c r="I1163" i="328"/>
  <c r="K1163" i="328" s="1"/>
  <c r="I993" i="328"/>
  <c r="K993" i="328" s="1"/>
  <c r="I891" i="328"/>
  <c r="K891" i="328" s="1"/>
  <c r="C874" i="328"/>
  <c r="E874" i="328" s="1"/>
  <c r="C908" i="328"/>
  <c r="E908" i="328" s="1"/>
  <c r="C857" i="328"/>
  <c r="E857" i="328" s="1"/>
  <c r="I908" i="328"/>
  <c r="K908" i="328" s="1"/>
  <c r="I1129" i="328"/>
  <c r="K1129" i="328" s="1"/>
  <c r="C942" i="328"/>
  <c r="E942" i="328" s="1"/>
  <c r="I976" i="328"/>
  <c r="K976" i="328" s="1"/>
  <c r="I1010" i="328"/>
  <c r="K1010" i="328" s="1"/>
  <c r="E922" i="328"/>
  <c r="C925" i="328"/>
  <c r="E925" i="328" s="1"/>
  <c r="I1180" i="328"/>
  <c r="K1180" i="328" s="1"/>
  <c r="C993" i="328"/>
  <c r="E993" i="328" s="1"/>
  <c r="C1027" i="328"/>
  <c r="E1027" i="328" s="1"/>
  <c r="I244" i="328"/>
  <c r="K244" i="328" s="1"/>
  <c r="I788" i="328"/>
  <c r="K788" i="328" s="1"/>
  <c r="I6" i="328"/>
  <c r="K6" i="328" s="1"/>
  <c r="I584" i="328"/>
  <c r="K584" i="328" s="1"/>
  <c r="C363" i="328"/>
  <c r="E363" i="328" s="1"/>
  <c r="I159" i="328"/>
  <c r="K159" i="328" s="1"/>
  <c r="C108" i="328"/>
  <c r="E108" i="328" s="1"/>
  <c r="I193" i="328"/>
  <c r="K193" i="328" s="1"/>
  <c r="C448" i="328"/>
  <c r="E448" i="328" s="1"/>
  <c r="C533" i="328"/>
  <c r="E533" i="328" s="1"/>
  <c r="C601" i="328"/>
  <c r="E601" i="328" s="1"/>
  <c r="C244" i="328"/>
  <c r="E244" i="328" s="1"/>
  <c r="C227" i="328"/>
  <c r="E227" i="328" s="1"/>
  <c r="I142" i="328"/>
  <c r="K142" i="328" s="1"/>
  <c r="C431" i="328"/>
  <c r="E431" i="328" s="1"/>
  <c r="I550" i="328"/>
  <c r="K550" i="328" s="1"/>
  <c r="I618" i="328"/>
  <c r="K618" i="328" s="1"/>
  <c r="E581" i="328"/>
  <c r="C584" i="328"/>
  <c r="E584" i="328" s="1"/>
  <c r="C193" i="328"/>
  <c r="E193" i="328" s="1"/>
  <c r="I516" i="328"/>
  <c r="K516" i="328" s="1"/>
  <c r="C210" i="328"/>
  <c r="E210" i="328" s="1"/>
  <c r="I40" i="328"/>
  <c r="K40" i="328" s="1"/>
  <c r="K377" i="328"/>
  <c r="I380" i="328"/>
  <c r="K380" i="328" s="1"/>
  <c r="C40" i="328"/>
  <c r="E40" i="328" s="1"/>
  <c r="I482" i="328"/>
  <c r="K482" i="328" s="1"/>
  <c r="C159" i="328"/>
  <c r="E159" i="328" s="1"/>
  <c r="E292" i="328"/>
  <c r="C295" i="328"/>
  <c r="E295" i="328" s="1"/>
  <c r="I346" i="328"/>
  <c r="K346" i="328" s="1"/>
  <c r="E564" i="328"/>
  <c r="C567" i="328"/>
  <c r="E567" i="328" s="1"/>
  <c r="I176" i="328"/>
  <c r="K176" i="328" s="1"/>
  <c r="I74" i="328"/>
  <c r="K74" i="328" s="1"/>
  <c r="I210" i="328"/>
  <c r="K210" i="328" s="1"/>
  <c r="I108" i="328"/>
  <c r="K108" i="328" s="1"/>
  <c r="C499" i="328"/>
  <c r="E499" i="328" s="1"/>
  <c r="K275" i="328"/>
  <c r="I278" i="328"/>
  <c r="K278" i="328" s="1"/>
  <c r="I312" i="328"/>
  <c r="K312" i="328" s="1"/>
  <c r="C125" i="328"/>
  <c r="E125" i="328" s="1"/>
  <c r="C312" i="328"/>
  <c r="E312" i="328" s="1"/>
  <c r="C6" i="328"/>
  <c r="E6" i="328" s="1"/>
  <c r="K445" i="328"/>
  <c r="I448" i="328"/>
  <c r="K448" i="328" s="1"/>
  <c r="E326" i="328"/>
  <c r="C329" i="328"/>
  <c r="E329" i="328" s="1"/>
  <c r="S81" i="312"/>
  <c r="Z81" i="312" s="1"/>
  <c r="S85" i="312"/>
  <c r="Z85" i="312" s="1"/>
  <c r="S83" i="312"/>
  <c r="Z83" i="312" s="1"/>
  <c r="S78" i="312"/>
  <c r="S173" i="31" s="1"/>
  <c r="S84" i="312"/>
  <c r="Z84" i="312" s="1"/>
  <c r="E1313" i="328"/>
  <c r="E1415" i="328"/>
  <c r="K1143" i="328"/>
  <c r="K1228" i="328"/>
  <c r="K1432" i="328"/>
  <c r="E1007" i="328"/>
  <c r="K973" i="328"/>
  <c r="K1364" i="328"/>
  <c r="E1126" i="328"/>
  <c r="B838" i="328"/>
  <c r="E837" i="328" s="1"/>
  <c r="E956" i="328"/>
  <c r="K1279" i="328"/>
  <c r="E1347" i="328"/>
  <c r="E1449" i="328"/>
  <c r="E1245" i="328"/>
  <c r="E1228" i="328"/>
  <c r="K1449" i="328"/>
  <c r="E1075" i="328"/>
  <c r="K1381" i="328"/>
  <c r="K1466" i="328"/>
  <c r="E1398" i="328"/>
  <c r="E1466" i="328"/>
  <c r="K1092" i="328"/>
  <c r="E871" i="328"/>
  <c r="E1296" i="328"/>
  <c r="K1313" i="328"/>
  <c r="N183" i="31"/>
  <c r="H179" i="334" s="1"/>
  <c r="I167" i="31"/>
  <c r="H174" i="31"/>
  <c r="U174" i="31" s="1"/>
  <c r="I172" i="31"/>
  <c r="I171" i="31"/>
  <c r="I183" i="31"/>
  <c r="I164" i="31"/>
  <c r="I174" i="31"/>
  <c r="H183" i="31"/>
  <c r="M183" i="31"/>
  <c r="I1451" i="328" s="1"/>
  <c r="J1455" i="328" s="1"/>
  <c r="I163" i="31"/>
  <c r="I175" i="31"/>
  <c r="V15" i="312"/>
  <c r="V110" i="31" s="1"/>
  <c r="I166" i="31"/>
  <c r="I165" i="31"/>
  <c r="I168" i="31"/>
  <c r="I170" i="31"/>
  <c r="E1160" i="328"/>
  <c r="R15" i="312"/>
  <c r="R110" i="31" s="1"/>
  <c r="H175" i="31"/>
  <c r="U175" i="31" s="1"/>
  <c r="K615" i="328"/>
  <c r="K1160" i="328"/>
  <c r="E530" i="328"/>
  <c r="K990" i="328"/>
  <c r="E1211" i="328"/>
  <c r="E990" i="328"/>
  <c r="I805" i="328"/>
  <c r="K805" i="328" s="1"/>
  <c r="E1143" i="328"/>
  <c r="E1194" i="328"/>
  <c r="E1109" i="328"/>
  <c r="K343" i="328"/>
  <c r="K854" i="328"/>
  <c r="E1330" i="328"/>
  <c r="K1347" i="328"/>
  <c r="E598" i="328"/>
  <c r="E1381" i="328"/>
  <c r="E1364" i="328"/>
  <c r="K1330" i="328"/>
  <c r="E1041" i="328"/>
  <c r="K1007" i="328"/>
  <c r="K1058" i="328"/>
  <c r="K547" i="328"/>
  <c r="E496" i="328"/>
  <c r="E309" i="328"/>
  <c r="K309" i="328"/>
  <c r="K1041" i="328"/>
  <c r="K479" i="328"/>
  <c r="I414" i="328"/>
  <c r="K414" i="328" s="1"/>
  <c r="I771" i="328"/>
  <c r="K771" i="328" s="1"/>
  <c r="I822" i="328"/>
  <c r="K822" i="328" s="1"/>
  <c r="K1211" i="328"/>
  <c r="E1058" i="328"/>
  <c r="I754" i="328"/>
  <c r="K754" i="328" s="1"/>
  <c r="E1262" i="328"/>
  <c r="E360" i="328"/>
  <c r="E905" i="328"/>
  <c r="K888" i="328"/>
  <c r="K1126" i="328"/>
  <c r="E939" i="328"/>
  <c r="E1024" i="328"/>
  <c r="E428" i="328"/>
  <c r="K1245" i="328"/>
  <c r="E888" i="328"/>
  <c r="K37" i="328"/>
  <c r="K956" i="328"/>
  <c r="E207" i="328"/>
  <c r="K105" i="328"/>
  <c r="K3" i="328"/>
  <c r="E37" i="328"/>
  <c r="K156" i="328"/>
  <c r="E156" i="328"/>
  <c r="E122" i="328"/>
  <c r="E190" i="328"/>
  <c r="E3" i="328"/>
  <c r="C788" i="328"/>
  <c r="E788" i="328" s="1"/>
  <c r="C771" i="328"/>
  <c r="E771" i="328" s="1"/>
  <c r="C805" i="328"/>
  <c r="E805" i="328" s="1"/>
  <c r="C754" i="328"/>
  <c r="E754" i="328" s="1"/>
  <c r="C822" i="328"/>
  <c r="E822" i="328" s="1"/>
  <c r="K1194" i="328"/>
  <c r="E1279" i="328"/>
  <c r="K513" i="328"/>
  <c r="K581" i="328"/>
  <c r="K241" i="328"/>
  <c r="K939" i="328"/>
  <c r="K905" i="328"/>
  <c r="E105" i="328"/>
  <c r="K173" i="328"/>
  <c r="K190" i="328"/>
  <c r="K1177" i="328"/>
  <c r="K1024" i="328"/>
  <c r="K139" i="328"/>
  <c r="K71" i="328"/>
  <c r="E854" i="328"/>
  <c r="E224" i="328"/>
  <c r="K207" i="328"/>
  <c r="E241" i="328"/>
  <c r="E973" i="328"/>
  <c r="K1109" i="328"/>
  <c r="AC104" i="321"/>
  <c r="K110" i="31" l="1"/>
  <c r="Z173" i="31"/>
  <c r="Z80" i="312"/>
  <c r="Z78" i="312"/>
  <c r="Z79" i="312"/>
  <c r="Z89" i="312"/>
  <c r="Z174" i="31"/>
  <c r="C1473" i="328"/>
  <c r="E1473" i="328" s="1"/>
  <c r="Z86" i="312"/>
  <c r="Z175" i="31"/>
  <c r="I1436" i="328"/>
  <c r="K1436" i="328" s="1"/>
  <c r="C1456" i="328"/>
  <c r="E1456" i="328" s="1"/>
  <c r="I1456" i="328"/>
  <c r="K1456" i="328" s="1"/>
  <c r="I1437" i="328"/>
  <c r="K1437" i="328" s="1"/>
  <c r="I1424" i="328"/>
  <c r="K1424" i="328" s="1"/>
  <c r="S179" i="31"/>
  <c r="Z179" i="31" s="1"/>
  <c r="I175" i="334" s="1"/>
  <c r="C1407" i="328"/>
  <c r="E1407" i="328" s="1"/>
  <c r="S176" i="31"/>
  <c r="Z176" i="31" s="1"/>
  <c r="C1424" i="328"/>
  <c r="E1424" i="328" s="1"/>
  <c r="S178" i="31"/>
  <c r="Z178" i="31" s="1"/>
  <c r="I174" i="334" s="1"/>
  <c r="C1441" i="328"/>
  <c r="E1441" i="328" s="1"/>
  <c r="S180" i="31"/>
  <c r="Z180" i="31" s="1"/>
  <c r="I1454" i="328"/>
  <c r="K1454" i="328" s="1"/>
  <c r="C1475" i="328"/>
  <c r="E1475" i="328" s="1"/>
  <c r="I1441" i="328"/>
  <c r="K1441" i="328" s="1"/>
  <c r="I1368" i="328"/>
  <c r="K1368" i="328" s="1"/>
  <c r="C1390" i="328"/>
  <c r="E1390" i="328" s="1"/>
  <c r="I1439" i="328"/>
  <c r="K1439" i="328" s="1"/>
  <c r="C1458" i="328"/>
  <c r="E1458" i="328" s="1"/>
  <c r="I1390" i="328"/>
  <c r="K1390" i="328" s="1"/>
  <c r="I1423" i="328"/>
  <c r="K1423" i="328" s="1"/>
  <c r="C1419" i="328"/>
  <c r="E1419" i="328" s="1"/>
  <c r="C1453" i="328"/>
  <c r="E1453" i="328" s="1"/>
  <c r="I1388" i="328"/>
  <c r="K1388" i="328" s="1"/>
  <c r="I1453" i="328"/>
  <c r="K1453" i="328" s="1"/>
  <c r="C1436" i="328"/>
  <c r="E1436" i="328" s="1"/>
  <c r="I1419" i="328"/>
  <c r="K1419" i="328" s="1"/>
  <c r="E1455" i="328"/>
  <c r="S183" i="31"/>
  <c r="K1455" i="328"/>
  <c r="R90" i="312"/>
  <c r="P13" i="333" s="1"/>
  <c r="P14" i="333" s="1"/>
  <c r="P19" i="333" s="1"/>
  <c r="I1469" i="328"/>
  <c r="K1469" i="328" s="1"/>
  <c r="C840" i="328"/>
  <c r="E840" i="328" s="1"/>
  <c r="AW24" i="320"/>
  <c r="AK24" i="320"/>
  <c r="BI23" i="320"/>
  <c r="AK23" i="320"/>
  <c r="AW23" i="320" s="1"/>
  <c r="AK17" i="320"/>
  <c r="AW17" i="320" s="1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I176" i="334" l="1"/>
  <c r="I1373" i="328"/>
  <c r="K1373" i="328" s="1"/>
  <c r="I1458" i="328"/>
  <c r="K1458" i="328" s="1"/>
  <c r="AK16" i="320"/>
  <c r="AW16" i="320" s="1"/>
  <c r="AK18" i="320"/>
  <c r="AW18" i="320" s="1"/>
  <c r="AJ14" i="320"/>
  <c r="I14" i="335" s="1"/>
  <c r="AJ16" i="320"/>
  <c r="E16" i="335" s="1"/>
  <c r="AJ17" i="320"/>
  <c r="AJ19" i="320"/>
  <c r="AJ23" i="320"/>
  <c r="AJ18" i="320"/>
  <c r="AK20" i="320"/>
  <c r="AW20" i="320" s="1"/>
  <c r="AK21" i="320"/>
  <c r="AW21" i="320" s="1"/>
  <c r="AJ20" i="320"/>
  <c r="AJ22" i="320"/>
  <c r="AG10" i="320"/>
  <c r="AJ15" i="320"/>
  <c r="I16" i="335" l="1"/>
  <c r="E13" i="335"/>
  <c r="G16" i="333" s="1"/>
  <c r="J182" i="334"/>
  <c r="M182" i="334" s="1"/>
  <c r="K14" i="335"/>
  <c r="I15" i="335"/>
  <c r="I13" i="335" s="1"/>
  <c r="AJ21" i="320"/>
  <c r="AK22" i="320"/>
  <c r="AW22" i="320" s="1"/>
  <c r="AK15" i="320"/>
  <c r="AW15" i="320" s="1"/>
  <c r="AK14" i="320"/>
  <c r="AW14" i="320" s="1"/>
  <c r="AK19" i="320"/>
  <c r="AW19" i="320" s="1"/>
  <c r="K16" i="335" l="1"/>
  <c r="J184" i="334"/>
  <c r="M184" i="334" s="1"/>
  <c r="K15" i="335"/>
  <c r="J183" i="334"/>
  <c r="F182" i="249"/>
  <c r="K13" i="335" l="1"/>
  <c r="H16" i="333" s="1"/>
  <c r="T16" i="333" s="1"/>
  <c r="M183" i="334"/>
  <c r="M198" i="334" s="1"/>
  <c r="M213" i="334" s="1"/>
  <c r="J198" i="334"/>
  <c r="J213" i="334" s="1"/>
  <c r="T185" i="249"/>
  <c r="F185" i="249"/>
  <c r="F184" i="249"/>
  <c r="F183" i="249"/>
  <c r="F178" i="249"/>
  <c r="F177" i="249"/>
  <c r="F176" i="249"/>
  <c r="F175" i="249"/>
  <c r="D40" i="317" l="1"/>
  <c r="G40" i="317" s="1"/>
  <c r="F192" i="249"/>
  <c r="V16" i="333"/>
  <c r="F174" i="249"/>
  <c r="F180" i="249" s="1"/>
  <c r="F181" i="249"/>
  <c r="F187" i="249" s="1"/>
  <c r="F191" i="249"/>
  <c r="Q177" i="249" l="1"/>
  <c r="Q184" i="249"/>
  <c r="Q175" i="249"/>
  <c r="Q178" i="249"/>
  <c r="Q176" i="249"/>
  <c r="Q183" i="249"/>
  <c r="Q182" i="249"/>
  <c r="Q185" i="249"/>
  <c r="AA192" i="249"/>
  <c r="T192" i="249"/>
  <c r="F190" i="249"/>
  <c r="Q192" i="249"/>
  <c r="F189" i="249"/>
  <c r="G21" i="187" l="1"/>
  <c r="G17" i="187"/>
  <c r="G14" i="187"/>
  <c r="G13" i="187"/>
  <c r="G16" i="187"/>
  <c r="Q174" i="249"/>
  <c r="F188" i="249"/>
  <c r="Q190" i="249" l="1"/>
  <c r="F194" i="249"/>
  <c r="Q191" i="249"/>
  <c r="G12" i="187" s="1"/>
  <c r="Q189" i="249"/>
  <c r="Q181" i="249"/>
  <c r="Q188" i="249" l="1"/>
  <c r="AF185" i="31"/>
  <c r="AE90" i="312"/>
  <c r="F12" i="319" l="1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1" i="56" l="1"/>
  <c r="D16" i="56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11" i="31" l="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84" i="31"/>
  <c r="I110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16" i="31"/>
  <c r="T15" i="31" l="1"/>
  <c r="AK161" i="249"/>
  <c r="H77" i="312" s="1"/>
  <c r="AK160" i="249"/>
  <c r="H76" i="312" s="1"/>
  <c r="AL160" i="249" l="1"/>
  <c r="AO160" i="249" s="1"/>
  <c r="AQ160" i="249"/>
  <c r="H171" i="31"/>
  <c r="U171" i="31" s="1"/>
  <c r="AL161" i="249"/>
  <c r="AO161" i="249" s="1"/>
  <c r="AQ161" i="249"/>
  <c r="H172" i="31"/>
  <c r="U172" i="31" s="1"/>
  <c r="AB185" i="31"/>
  <c r="R167" i="321" l="1"/>
  <c r="U167" i="321" s="1"/>
  <c r="R166" i="321"/>
  <c r="U166" i="321" s="1"/>
  <c r="AR161" i="249"/>
  <c r="AR160" i="249"/>
  <c r="L16" i="318"/>
  <c r="I15" i="318"/>
  <c r="L13" i="318"/>
  <c r="L14" i="318" s="1"/>
  <c r="K13" i="318"/>
  <c r="I13" i="318"/>
  <c r="E30" i="317"/>
  <c r="J10" i="317"/>
  <c r="K11" i="317"/>
  <c r="E31" i="317"/>
  <c r="D42" i="317"/>
  <c r="G42" i="317" s="1"/>
  <c r="G31" i="317" l="1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M184" i="31"/>
  <c r="AD90" i="312"/>
  <c r="AC90" i="312"/>
  <c r="Y90" i="312"/>
  <c r="X90" i="312"/>
  <c r="W90" i="312"/>
  <c r="V90" i="312"/>
  <c r="U142" i="312"/>
  <c r="C1281" i="328"/>
  <c r="D1285" i="328" s="1"/>
  <c r="I1264" i="328"/>
  <c r="J1268" i="328" s="1"/>
  <c r="C1264" i="328"/>
  <c r="D1268" i="328" s="1"/>
  <c r="I1247" i="328"/>
  <c r="J1251" i="328" s="1"/>
  <c r="C1247" i="328"/>
  <c r="D1251" i="328" s="1"/>
  <c r="I1230" i="328"/>
  <c r="J1234" i="328" s="1"/>
  <c r="C1230" i="328"/>
  <c r="D1234" i="328" s="1"/>
  <c r="I1213" i="328"/>
  <c r="J1217" i="328" s="1"/>
  <c r="C1213" i="328"/>
  <c r="D1217" i="328" s="1"/>
  <c r="I1196" i="328"/>
  <c r="J1200" i="328" s="1"/>
  <c r="C1196" i="328"/>
  <c r="D1200" i="328" s="1"/>
  <c r="I1179" i="328"/>
  <c r="J1183" i="328" s="1"/>
  <c r="C1179" i="328"/>
  <c r="D1183" i="328" s="1"/>
  <c r="I1162" i="328"/>
  <c r="J1166" i="328" s="1"/>
  <c r="C1162" i="328"/>
  <c r="D1166" i="328" s="1"/>
  <c r="I1145" i="328"/>
  <c r="J1149" i="328" s="1"/>
  <c r="C1145" i="328"/>
  <c r="D1149" i="328" s="1"/>
  <c r="I1128" i="328"/>
  <c r="J1132" i="328" s="1"/>
  <c r="C1128" i="328"/>
  <c r="D1132" i="328" s="1"/>
  <c r="I1111" i="328"/>
  <c r="J1115" i="328" s="1"/>
  <c r="C1111" i="328"/>
  <c r="D1115" i="328" s="1"/>
  <c r="I1094" i="328"/>
  <c r="J1098" i="328" s="1"/>
  <c r="C1094" i="328"/>
  <c r="D1098" i="328" s="1"/>
  <c r="I1077" i="328"/>
  <c r="J1081" i="328" s="1"/>
  <c r="C1077" i="328"/>
  <c r="D1081" i="328" s="1"/>
  <c r="I1060" i="328"/>
  <c r="J1064" i="328" s="1"/>
  <c r="C1060" i="328"/>
  <c r="D1064" i="328" s="1"/>
  <c r="I1043" i="328"/>
  <c r="J1047" i="328" s="1"/>
  <c r="C1043" i="328"/>
  <c r="D1047" i="328" s="1"/>
  <c r="I1026" i="328"/>
  <c r="J1030" i="328" s="1"/>
  <c r="C1026" i="328"/>
  <c r="D1030" i="328" s="1"/>
  <c r="I1009" i="328"/>
  <c r="J1013" i="328" s="1"/>
  <c r="C1009" i="328"/>
  <c r="D1013" i="328" s="1"/>
  <c r="I992" i="328"/>
  <c r="J996" i="328" s="1"/>
  <c r="C992" i="328"/>
  <c r="D996" i="328" s="1"/>
  <c r="I975" i="328"/>
  <c r="J979" i="328" s="1"/>
  <c r="I958" i="328"/>
  <c r="J962" i="328" s="1"/>
  <c r="C958" i="328"/>
  <c r="D962" i="328" s="1"/>
  <c r="I941" i="328"/>
  <c r="J945" i="328" s="1"/>
  <c r="C941" i="328"/>
  <c r="D945" i="328" s="1"/>
  <c r="I924" i="328"/>
  <c r="J928" i="328" s="1"/>
  <c r="C924" i="328"/>
  <c r="D928" i="328" s="1"/>
  <c r="I907" i="328"/>
  <c r="J911" i="328" s="1"/>
  <c r="C907" i="328"/>
  <c r="D911" i="328" s="1"/>
  <c r="I890" i="328"/>
  <c r="J894" i="328" s="1"/>
  <c r="C890" i="328"/>
  <c r="D894" i="328" s="1"/>
  <c r="I873" i="328"/>
  <c r="J877" i="328" s="1"/>
  <c r="C873" i="328"/>
  <c r="D877" i="328" s="1"/>
  <c r="I856" i="328"/>
  <c r="J860" i="328" s="1"/>
  <c r="C856" i="328"/>
  <c r="D860" i="328" s="1"/>
  <c r="I839" i="328"/>
  <c r="J843" i="328" s="1"/>
  <c r="E8" i="312"/>
  <c r="L9" i="311"/>
  <c r="L10" i="311"/>
  <c r="L11" i="311"/>
  <c r="G19" i="31" s="1"/>
  <c r="G15" i="334" s="1"/>
  <c r="L12" i="311"/>
  <c r="G20" i="31" s="1"/>
  <c r="G16" i="334" s="1"/>
  <c r="L13" i="311"/>
  <c r="G21" i="31" s="1"/>
  <c r="G17" i="334" s="1"/>
  <c r="L14" i="311"/>
  <c r="L15" i="311"/>
  <c r="G23" i="31" s="1"/>
  <c r="G19" i="334" s="1"/>
  <c r="L16" i="311"/>
  <c r="G24" i="31" s="1"/>
  <c r="G20" i="334" s="1"/>
  <c r="L17" i="311"/>
  <c r="G25" i="31" s="1"/>
  <c r="G21" i="334" s="1"/>
  <c r="L18" i="311"/>
  <c r="L19" i="311"/>
  <c r="L20" i="311"/>
  <c r="L21" i="311"/>
  <c r="L22" i="311"/>
  <c r="G30" i="31" s="1"/>
  <c r="G26" i="334" s="1"/>
  <c r="L23" i="311"/>
  <c r="G31" i="31" s="1"/>
  <c r="G27" i="334" s="1"/>
  <c r="L24" i="311"/>
  <c r="G32" i="31" s="1"/>
  <c r="G28" i="334" s="1"/>
  <c r="L25" i="311"/>
  <c r="L26" i="311"/>
  <c r="L27" i="311"/>
  <c r="G35" i="31" s="1"/>
  <c r="G31" i="334" s="1"/>
  <c r="L28" i="311"/>
  <c r="G36" i="31" s="1"/>
  <c r="G32" i="334" s="1"/>
  <c r="L29" i="311"/>
  <c r="G37" i="31" s="1"/>
  <c r="G33" i="334" s="1"/>
  <c r="L30" i="311"/>
  <c r="L31" i="311"/>
  <c r="G39" i="31" s="1"/>
  <c r="G35" i="334" s="1"/>
  <c r="L32" i="311"/>
  <c r="G40" i="31" s="1"/>
  <c r="G36" i="334" s="1"/>
  <c r="L33" i="311"/>
  <c r="L34" i="311"/>
  <c r="L35" i="311"/>
  <c r="L36" i="311"/>
  <c r="L37" i="311"/>
  <c r="G45" i="31" s="1"/>
  <c r="G41" i="334" s="1"/>
  <c r="L38" i="311"/>
  <c r="L39" i="311"/>
  <c r="G47" i="31" s="1"/>
  <c r="G43" i="334" s="1"/>
  <c r="L40" i="311"/>
  <c r="G48" i="31" s="1"/>
  <c r="G44" i="334" s="1"/>
  <c r="L41" i="311"/>
  <c r="G49" i="31" s="1"/>
  <c r="G45" i="334" s="1"/>
  <c r="L42" i="311"/>
  <c r="L43" i="311"/>
  <c r="L44" i="311"/>
  <c r="L45" i="311"/>
  <c r="L46" i="311"/>
  <c r="L47" i="311"/>
  <c r="G55" i="31" s="1"/>
  <c r="G51" i="334" s="1"/>
  <c r="L48" i="311"/>
  <c r="G56" i="31" s="1"/>
  <c r="G52" i="334" s="1"/>
  <c r="L49" i="311"/>
  <c r="L50" i="311"/>
  <c r="L51" i="311"/>
  <c r="L52" i="311"/>
  <c r="L53" i="311"/>
  <c r="L54" i="311"/>
  <c r="L55" i="311"/>
  <c r="G63" i="31" s="1"/>
  <c r="G59" i="334" s="1"/>
  <c r="L56" i="311"/>
  <c r="G64" i="31" s="1"/>
  <c r="G60" i="334" s="1"/>
  <c r="L57" i="311"/>
  <c r="L58" i="311"/>
  <c r="L59" i="311"/>
  <c r="L60" i="311"/>
  <c r="L61" i="311"/>
  <c r="G69" i="31" s="1"/>
  <c r="G65" i="334" s="1"/>
  <c r="L62" i="311"/>
  <c r="L63" i="311"/>
  <c r="G71" i="31" s="1"/>
  <c r="G67" i="334" s="1"/>
  <c r="L64" i="311"/>
  <c r="G72" i="31" s="1"/>
  <c r="G68" i="334" s="1"/>
  <c r="L65" i="311"/>
  <c r="L66" i="311"/>
  <c r="L67" i="311"/>
  <c r="L68" i="311"/>
  <c r="L69" i="311"/>
  <c r="G77" i="31" s="1"/>
  <c r="G73" i="334" s="1"/>
  <c r="L70" i="311"/>
  <c r="L71" i="311"/>
  <c r="G79" i="31" s="1"/>
  <c r="G75" i="334" s="1"/>
  <c r="L72" i="311"/>
  <c r="G80" i="31" s="1"/>
  <c r="G76" i="334" s="1"/>
  <c r="L73" i="311"/>
  <c r="L74" i="311"/>
  <c r="L75" i="311"/>
  <c r="L76" i="311"/>
  <c r="L77" i="311"/>
  <c r="L78" i="311"/>
  <c r="L79" i="311"/>
  <c r="G87" i="31" s="1"/>
  <c r="G83" i="334" s="1"/>
  <c r="L80" i="311"/>
  <c r="G88" i="31" s="1"/>
  <c r="G84" i="334" s="1"/>
  <c r="L81" i="311"/>
  <c r="L82" i="311"/>
  <c r="L83" i="311"/>
  <c r="L84" i="311"/>
  <c r="L85" i="311"/>
  <c r="L86" i="311"/>
  <c r="L87" i="311"/>
  <c r="L88" i="311"/>
  <c r="L89" i="311"/>
  <c r="L90" i="311"/>
  <c r="L91" i="311"/>
  <c r="L92" i="31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U108" i="257"/>
  <c r="V108" i="257"/>
  <c r="W108" i="257"/>
  <c r="X108" i="257"/>
  <c r="Y108" i="257"/>
  <c r="C22" i="328"/>
  <c r="D26" i="328" s="1"/>
  <c r="I22" i="328"/>
  <c r="J26" i="328" s="1"/>
  <c r="C39" i="328"/>
  <c r="D43" i="328" s="1"/>
  <c r="I39" i="328"/>
  <c r="J43" i="328" s="1"/>
  <c r="C56" i="328"/>
  <c r="D60" i="328" s="1"/>
  <c r="I56" i="328"/>
  <c r="J60" i="328" s="1"/>
  <c r="C73" i="328"/>
  <c r="D77" i="328" s="1"/>
  <c r="I73" i="328"/>
  <c r="J77" i="328" s="1"/>
  <c r="C90" i="328"/>
  <c r="D94" i="328" s="1"/>
  <c r="I90" i="328"/>
  <c r="J94" i="328" s="1"/>
  <c r="C107" i="328"/>
  <c r="D111" i="328" s="1"/>
  <c r="I107" i="328"/>
  <c r="J111" i="328" s="1"/>
  <c r="C124" i="328"/>
  <c r="D128" i="328" s="1"/>
  <c r="I124" i="328"/>
  <c r="J128" i="328" s="1"/>
  <c r="C141" i="328"/>
  <c r="D145" i="328" s="1"/>
  <c r="I141" i="328"/>
  <c r="J145" i="328" s="1"/>
  <c r="C158" i="328"/>
  <c r="D162" i="328" s="1"/>
  <c r="I158" i="328"/>
  <c r="J162" i="328" s="1"/>
  <c r="C175" i="328"/>
  <c r="D179" i="328" s="1"/>
  <c r="I175" i="328"/>
  <c r="J179" i="328" s="1"/>
  <c r="C192" i="328"/>
  <c r="D196" i="328" s="1"/>
  <c r="I192" i="328"/>
  <c r="J196" i="328" s="1"/>
  <c r="C209" i="328"/>
  <c r="D213" i="328" s="1"/>
  <c r="I209" i="328"/>
  <c r="J213" i="328" s="1"/>
  <c r="C226" i="328"/>
  <c r="D230" i="328" s="1"/>
  <c r="I226" i="328"/>
  <c r="J230" i="328" s="1"/>
  <c r="C243" i="328"/>
  <c r="D247" i="328" s="1"/>
  <c r="I243" i="328"/>
  <c r="J247" i="328" s="1"/>
  <c r="C260" i="328"/>
  <c r="D264" i="328" s="1"/>
  <c r="I260" i="328"/>
  <c r="J264" i="328" s="1"/>
  <c r="C277" i="328"/>
  <c r="D281" i="328" s="1"/>
  <c r="I277" i="328"/>
  <c r="J281" i="328" s="1"/>
  <c r="C294" i="328"/>
  <c r="D298" i="328" s="1"/>
  <c r="I294" i="328"/>
  <c r="J298" i="328" s="1"/>
  <c r="C311" i="328"/>
  <c r="D315" i="328" s="1"/>
  <c r="I311" i="328"/>
  <c r="J315" i="328" s="1"/>
  <c r="C328" i="328"/>
  <c r="D332" i="328" s="1"/>
  <c r="I328" i="328"/>
  <c r="J332" i="328" s="1"/>
  <c r="C345" i="328"/>
  <c r="D349" i="328" s="1"/>
  <c r="I345" i="328"/>
  <c r="J349" i="328" s="1"/>
  <c r="C362" i="328"/>
  <c r="D366" i="328" s="1"/>
  <c r="I362" i="328"/>
  <c r="J366" i="328" s="1"/>
  <c r="C379" i="328"/>
  <c r="D383" i="328" s="1"/>
  <c r="I379" i="328"/>
  <c r="J383" i="328" s="1"/>
  <c r="C396" i="328"/>
  <c r="D400" i="328" s="1"/>
  <c r="I396" i="328"/>
  <c r="J400" i="328" s="1"/>
  <c r="C413" i="328"/>
  <c r="D417" i="328" s="1"/>
  <c r="I413" i="328"/>
  <c r="C430" i="328"/>
  <c r="D434" i="328" s="1"/>
  <c r="I430" i="328"/>
  <c r="J434" i="328" s="1"/>
  <c r="C447" i="328"/>
  <c r="D451" i="328" s="1"/>
  <c r="I447" i="328"/>
  <c r="J451" i="328" s="1"/>
  <c r="C464" i="328"/>
  <c r="D468" i="328" s="1"/>
  <c r="I464" i="328"/>
  <c r="J468" i="328" s="1"/>
  <c r="C481" i="328"/>
  <c r="D485" i="328" s="1"/>
  <c r="I481" i="328"/>
  <c r="J485" i="328" s="1"/>
  <c r="C498" i="328"/>
  <c r="D502" i="328" s="1"/>
  <c r="I498" i="328"/>
  <c r="J502" i="328" s="1"/>
  <c r="C515" i="328"/>
  <c r="D519" i="328" s="1"/>
  <c r="I515" i="328"/>
  <c r="J519" i="328" s="1"/>
  <c r="C532" i="328"/>
  <c r="D536" i="328" s="1"/>
  <c r="I532" i="328"/>
  <c r="J536" i="328" s="1"/>
  <c r="C549" i="328"/>
  <c r="D553" i="328" s="1"/>
  <c r="I549" i="328"/>
  <c r="J553" i="328" s="1"/>
  <c r="C566" i="328"/>
  <c r="D570" i="328" s="1"/>
  <c r="I566" i="328"/>
  <c r="J570" i="328" s="1"/>
  <c r="C583" i="328"/>
  <c r="D587" i="328" s="1"/>
  <c r="I583" i="328"/>
  <c r="J587" i="328" s="1"/>
  <c r="C600" i="328"/>
  <c r="D604" i="328" s="1"/>
  <c r="G17" i="31"/>
  <c r="G13" i="334" s="1"/>
  <c r="G18" i="31"/>
  <c r="G14" i="334" s="1"/>
  <c r="G22" i="31"/>
  <c r="G18" i="334" s="1"/>
  <c r="G26" i="31"/>
  <c r="G22" i="334" s="1"/>
  <c r="G27" i="31"/>
  <c r="G23" i="334" s="1"/>
  <c r="G28" i="31"/>
  <c r="G24" i="334" s="1"/>
  <c r="G29" i="31"/>
  <c r="G25" i="334" s="1"/>
  <c r="G33" i="31"/>
  <c r="G29" i="334" s="1"/>
  <c r="G34" i="31"/>
  <c r="G30" i="334" s="1"/>
  <c r="G38" i="31"/>
  <c r="G34" i="334" s="1"/>
  <c r="G41" i="31"/>
  <c r="G37" i="334" s="1"/>
  <c r="G42" i="31"/>
  <c r="G38" i="334" s="1"/>
  <c r="G43" i="31"/>
  <c r="G39" i="334" s="1"/>
  <c r="G44" i="31"/>
  <c r="G40" i="334" s="1"/>
  <c r="G46" i="31"/>
  <c r="G42" i="334" s="1"/>
  <c r="G50" i="31"/>
  <c r="G46" i="334" s="1"/>
  <c r="G51" i="31"/>
  <c r="G47" i="334" s="1"/>
  <c r="G52" i="31"/>
  <c r="G48" i="334" s="1"/>
  <c r="G53" i="31"/>
  <c r="G49" i="334" s="1"/>
  <c r="G54" i="31"/>
  <c r="G50" i="334" s="1"/>
  <c r="G57" i="31"/>
  <c r="G53" i="334" s="1"/>
  <c r="G58" i="31"/>
  <c r="G54" i="334" s="1"/>
  <c r="G59" i="31"/>
  <c r="G55" i="334" s="1"/>
  <c r="G60" i="31"/>
  <c r="G56" i="334" s="1"/>
  <c r="G61" i="31"/>
  <c r="G57" i="334" s="1"/>
  <c r="G62" i="31"/>
  <c r="G58" i="334" s="1"/>
  <c r="G65" i="31"/>
  <c r="G61" i="334" s="1"/>
  <c r="G66" i="31"/>
  <c r="G62" i="334" s="1"/>
  <c r="G67" i="31"/>
  <c r="G63" i="334" s="1"/>
  <c r="G68" i="31"/>
  <c r="G64" i="334" s="1"/>
  <c r="G70" i="31"/>
  <c r="G66" i="334" s="1"/>
  <c r="G73" i="31"/>
  <c r="G69" i="334" s="1"/>
  <c r="G74" i="31"/>
  <c r="G70" i="334" s="1"/>
  <c r="G75" i="31"/>
  <c r="G71" i="334" s="1"/>
  <c r="G76" i="31"/>
  <c r="G72" i="334" s="1"/>
  <c r="G78" i="31"/>
  <c r="G74" i="334" s="1"/>
  <c r="G81" i="31"/>
  <c r="G77" i="334" s="1"/>
  <c r="G82" i="31"/>
  <c r="G78" i="334" s="1"/>
  <c r="G83" i="31"/>
  <c r="G79" i="334" s="1"/>
  <c r="G84" i="31"/>
  <c r="G80" i="334" s="1"/>
  <c r="G85" i="31"/>
  <c r="G81" i="334" s="1"/>
  <c r="G86" i="31"/>
  <c r="G82" i="334" s="1"/>
  <c r="G89" i="31"/>
  <c r="G85" i="334" s="1"/>
  <c r="N87" i="312" l="1"/>
  <c r="AA87" i="312" s="1"/>
  <c r="AB87" i="312" s="1"/>
  <c r="N88" i="312"/>
  <c r="AA88" i="312" s="1"/>
  <c r="AB88" i="312" s="1"/>
  <c r="D38" i="317"/>
  <c r="G38" i="317" s="1"/>
  <c r="I38" i="317" s="1"/>
  <c r="R13" i="333"/>
  <c r="R14" i="333" s="1"/>
  <c r="R19" i="333" s="1"/>
  <c r="N89" i="312"/>
  <c r="P184" i="31" s="1"/>
  <c r="N180" i="31"/>
  <c r="C1468" i="328"/>
  <c r="D1472" i="328" s="1"/>
  <c r="C1470" i="328"/>
  <c r="E1470" i="328" s="1"/>
  <c r="C975" i="328"/>
  <c r="D979" i="328" s="1"/>
  <c r="N184" i="31"/>
  <c r="H180" i="334" s="1"/>
  <c r="I753" i="328"/>
  <c r="J757" i="328" s="1"/>
  <c r="J417" i="328"/>
  <c r="C839" i="328"/>
  <c r="D843" i="328" s="1"/>
  <c r="AE170" i="249"/>
  <c r="W170" i="249"/>
  <c r="O170" i="249"/>
  <c r="G170" i="249"/>
  <c r="C5" i="328"/>
  <c r="G51" i="312"/>
  <c r="G146" i="31"/>
  <c r="G59" i="312"/>
  <c r="G154" i="31"/>
  <c r="G67" i="312"/>
  <c r="G62" i="312"/>
  <c r="G65" i="312"/>
  <c r="G73" i="312"/>
  <c r="G78" i="312"/>
  <c r="G20" i="312"/>
  <c r="G28" i="312"/>
  <c r="G36" i="312"/>
  <c r="G44" i="312"/>
  <c r="G139" i="31"/>
  <c r="G52" i="312"/>
  <c r="G147" i="31"/>
  <c r="G60" i="312"/>
  <c r="G155" i="31"/>
  <c r="G68" i="312"/>
  <c r="G76" i="312"/>
  <c r="G27" i="312"/>
  <c r="G35" i="312"/>
  <c r="G55" i="312"/>
  <c r="G150" i="31"/>
  <c r="G63" i="312"/>
  <c r="G71" i="312"/>
  <c r="G43" i="312"/>
  <c r="G138" i="31"/>
  <c r="G75" i="312"/>
  <c r="G25" i="312"/>
  <c r="G33" i="312"/>
  <c r="G31" i="312"/>
  <c r="G39" i="312"/>
  <c r="G47" i="312"/>
  <c r="G142" i="31"/>
  <c r="G18" i="312"/>
  <c r="G26" i="312"/>
  <c r="G34" i="312"/>
  <c r="G42" i="312"/>
  <c r="G137" i="31"/>
  <c r="G50" i="312"/>
  <c r="G145" i="31"/>
  <c r="G58" i="312"/>
  <c r="G153" i="31"/>
  <c r="G66" i="312"/>
  <c r="G74" i="312"/>
  <c r="G77" i="312"/>
  <c r="G38" i="312"/>
  <c r="G46" i="312"/>
  <c r="G141" i="31"/>
  <c r="G54" i="312"/>
  <c r="G149" i="31"/>
  <c r="G41" i="312"/>
  <c r="G49" i="312"/>
  <c r="G144" i="31"/>
  <c r="G57" i="312"/>
  <c r="G152" i="31"/>
  <c r="G23" i="312"/>
  <c r="G21" i="312"/>
  <c r="G29" i="312"/>
  <c r="G37" i="312"/>
  <c r="G45" i="312"/>
  <c r="G140" i="31"/>
  <c r="G53" i="312"/>
  <c r="G148" i="31"/>
  <c r="G61" i="312"/>
  <c r="G156" i="31"/>
  <c r="G69" i="312"/>
  <c r="G19" i="312"/>
  <c r="G22" i="312"/>
  <c r="G30" i="312"/>
  <c r="G70" i="312"/>
  <c r="G17" i="312"/>
  <c r="G16" i="312"/>
  <c r="G24" i="312"/>
  <c r="G32" i="312"/>
  <c r="G40" i="312"/>
  <c r="G48" i="312"/>
  <c r="G143" i="31"/>
  <c r="G56" i="312"/>
  <c r="G151" i="31"/>
  <c r="G64" i="312"/>
  <c r="G72" i="312"/>
  <c r="V169" i="231"/>
  <c r="G169" i="231"/>
  <c r="N169" i="231"/>
  <c r="AD169" i="231"/>
  <c r="AI169" i="231"/>
  <c r="AA169" i="231"/>
  <c r="S169" i="231"/>
  <c r="K169" i="231"/>
  <c r="L169" i="231"/>
  <c r="AH169" i="231"/>
  <c r="Z169" i="231"/>
  <c r="R169" i="231"/>
  <c r="J169" i="231"/>
  <c r="T169" i="231"/>
  <c r="AD170" i="249"/>
  <c r="V170" i="249"/>
  <c r="N170" i="249"/>
  <c r="F170" i="249"/>
  <c r="AC170" i="249"/>
  <c r="U170" i="249"/>
  <c r="M170" i="249"/>
  <c r="AF170" i="249"/>
  <c r="X170" i="249"/>
  <c r="P170" i="249"/>
  <c r="H170" i="249"/>
  <c r="G15" i="312"/>
  <c r="AE169" i="231"/>
  <c r="W169" i="231"/>
  <c r="O169" i="231"/>
  <c r="AG169" i="231"/>
  <c r="Y169" i="231"/>
  <c r="Q169" i="231"/>
  <c r="I169" i="231"/>
  <c r="AF169" i="231"/>
  <c r="X169" i="231"/>
  <c r="P169" i="231"/>
  <c r="H169" i="231"/>
  <c r="AK169" i="231"/>
  <c r="AC169" i="231"/>
  <c r="U169" i="231"/>
  <c r="M169" i="231"/>
  <c r="AJ169" i="231"/>
  <c r="AB169" i="231"/>
  <c r="AB170" i="249"/>
  <c r="AI170" i="249"/>
  <c r="AA170" i="249"/>
  <c r="AH170" i="249"/>
  <c r="Z170" i="249"/>
  <c r="R170" i="249"/>
  <c r="J170" i="249"/>
  <c r="K170" i="249"/>
  <c r="AG170" i="249"/>
  <c r="Y170" i="249"/>
  <c r="Q170" i="249"/>
  <c r="I170" i="249"/>
  <c r="L170" i="249"/>
  <c r="S170" i="249"/>
  <c r="AJ170" i="249"/>
  <c r="T170" i="249"/>
  <c r="M90" i="312"/>
  <c r="G13" i="333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P183" i="31" l="1"/>
  <c r="Z184" i="31"/>
  <c r="I180" i="334" s="1"/>
  <c r="C1474" i="328"/>
  <c r="E1474" i="328" s="1"/>
  <c r="AA86" i="312"/>
  <c r="AB86" i="312" s="1"/>
  <c r="P181" i="31"/>
  <c r="P182" i="31"/>
  <c r="H176" i="334"/>
  <c r="C1437" i="328"/>
  <c r="E1437" i="328" s="1"/>
  <c r="AA180" i="31"/>
  <c r="AC180" i="31" s="1"/>
  <c r="G148" i="334"/>
  <c r="T152" i="31"/>
  <c r="G145" i="334"/>
  <c r="T149" i="31"/>
  <c r="G149" i="334"/>
  <c r="T153" i="31"/>
  <c r="G133" i="334"/>
  <c r="T137" i="31"/>
  <c r="G134" i="334"/>
  <c r="T138" i="31"/>
  <c r="G146" i="334"/>
  <c r="T150" i="31"/>
  <c r="G143" i="334"/>
  <c r="T147" i="31"/>
  <c r="G150" i="334"/>
  <c r="T154" i="31"/>
  <c r="G137" i="334"/>
  <c r="T141" i="31"/>
  <c r="G141" i="334"/>
  <c r="T145" i="31"/>
  <c r="G151" i="334"/>
  <c r="T155" i="31"/>
  <c r="G135" i="334"/>
  <c r="T139" i="31"/>
  <c r="G142" i="334"/>
  <c r="T146" i="31"/>
  <c r="G139" i="334"/>
  <c r="T143" i="31"/>
  <c r="G152" i="334"/>
  <c r="T156" i="31"/>
  <c r="G136" i="334"/>
  <c r="T140" i="31"/>
  <c r="G140" i="334"/>
  <c r="T144" i="31"/>
  <c r="G138" i="334"/>
  <c r="T142" i="31"/>
  <c r="G147" i="334"/>
  <c r="T151" i="31"/>
  <c r="G144" i="334"/>
  <c r="T148" i="31"/>
  <c r="C1471" i="328"/>
  <c r="E1471" i="328" s="1"/>
  <c r="I5" i="328"/>
  <c r="J9" i="328" s="1"/>
  <c r="I804" i="328"/>
  <c r="J808" i="328" s="1"/>
  <c r="I821" i="328"/>
  <c r="J825" i="328" s="1"/>
  <c r="I787" i="328"/>
  <c r="J791" i="328" s="1"/>
  <c r="I770" i="328"/>
  <c r="J774" i="328" s="1"/>
  <c r="I1468" i="328"/>
  <c r="J1472" i="328" s="1"/>
  <c r="C770" i="328"/>
  <c r="D774" i="328" s="1"/>
  <c r="C753" i="328"/>
  <c r="D757" i="328" s="1"/>
  <c r="C821" i="328"/>
  <c r="D825" i="328" s="1"/>
  <c r="C804" i="328"/>
  <c r="D808" i="328" s="1"/>
  <c r="C787" i="328"/>
  <c r="D791" i="328" s="1"/>
  <c r="D9" i="328"/>
  <c r="G90" i="312"/>
  <c r="H13" i="333" s="1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H78" i="312" s="1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AL99" i="249" s="1"/>
  <c r="AO99" i="249" s="1"/>
  <c r="AK15" i="249"/>
  <c r="AQ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7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Q89" i="249" s="1"/>
  <c r="AK90" i="249"/>
  <c r="AK91" i="249"/>
  <c r="AK92" i="249"/>
  <c r="AK93" i="249"/>
  <c r="AK94" i="249"/>
  <c r="AK95" i="249"/>
  <c r="AK96" i="249"/>
  <c r="AK97" i="249"/>
  <c r="AK14" i="249"/>
  <c r="AQ119" i="231"/>
  <c r="AA126" i="321" s="1"/>
  <c r="T36" i="312" s="1"/>
  <c r="AP119" i="231"/>
  <c r="Z126" i="321" s="1"/>
  <c r="AN119" i="231"/>
  <c r="X126" i="321" s="1"/>
  <c r="Q36" i="312" s="1"/>
  <c r="Q131" i="31" s="1"/>
  <c r="AM119" i="231"/>
  <c r="AL119" i="231"/>
  <c r="V126" i="321" s="1"/>
  <c r="O36" i="312" s="1"/>
  <c r="AQ118" i="231"/>
  <c r="AA125" i="321" s="1"/>
  <c r="T35" i="312" s="1"/>
  <c r="AP118" i="231"/>
  <c r="Z125" i="321" s="1"/>
  <c r="AN118" i="231"/>
  <c r="X125" i="321" s="1"/>
  <c r="Q35" i="312" s="1"/>
  <c r="Q130" i="31" s="1"/>
  <c r="AM118" i="231"/>
  <c r="AL118" i="231"/>
  <c r="V125" i="321" s="1"/>
  <c r="O35" i="312" s="1"/>
  <c r="AQ117" i="231"/>
  <c r="AA124" i="321" s="1"/>
  <c r="T34" i="312" s="1"/>
  <c r="AP117" i="231"/>
  <c r="Z124" i="321" s="1"/>
  <c r="AN117" i="231"/>
  <c r="X124" i="321" s="1"/>
  <c r="Q34" i="312" s="1"/>
  <c r="Q129" i="31" s="1"/>
  <c r="AM117" i="231"/>
  <c r="AL117" i="231"/>
  <c r="V124" i="321" s="1"/>
  <c r="O34" i="312" s="1"/>
  <c r="AQ116" i="231"/>
  <c r="AA123" i="321" s="1"/>
  <c r="T33" i="312" s="1"/>
  <c r="AP116" i="231"/>
  <c r="Z123" i="321" s="1"/>
  <c r="AN116" i="231"/>
  <c r="X123" i="321" s="1"/>
  <c r="Q33" i="312" s="1"/>
  <c r="Q128" i="31" s="1"/>
  <c r="AM116" i="231"/>
  <c r="AL116" i="231"/>
  <c r="V123" i="321" s="1"/>
  <c r="O33" i="312" s="1"/>
  <c r="AQ115" i="231"/>
  <c r="AA122" i="321" s="1"/>
  <c r="T32" i="312" s="1"/>
  <c r="AP115" i="231"/>
  <c r="Z122" i="321" s="1"/>
  <c r="AN115" i="231"/>
  <c r="X122" i="321" s="1"/>
  <c r="Q32" i="312" s="1"/>
  <c r="Q127" i="31" s="1"/>
  <c r="AM115" i="231"/>
  <c r="AL115" i="231"/>
  <c r="V122" i="321" s="1"/>
  <c r="O32" i="312" s="1"/>
  <c r="AQ114" i="231"/>
  <c r="AA121" i="321" s="1"/>
  <c r="T31" i="312" s="1"/>
  <c r="AP114" i="231"/>
  <c r="Z121" i="321" s="1"/>
  <c r="AN114" i="231"/>
  <c r="X121" i="321" s="1"/>
  <c r="Q31" i="312" s="1"/>
  <c r="Q126" i="31" s="1"/>
  <c r="AM114" i="231"/>
  <c r="AL114" i="231"/>
  <c r="V121" i="321" s="1"/>
  <c r="O31" i="312" s="1"/>
  <c r="AQ113" i="231"/>
  <c r="AA120" i="321" s="1"/>
  <c r="T30" i="312" s="1"/>
  <c r="AP113" i="231"/>
  <c r="Z120" i="321" s="1"/>
  <c r="AN113" i="231"/>
  <c r="X120" i="321" s="1"/>
  <c r="Q30" i="312" s="1"/>
  <c r="Q125" i="31" s="1"/>
  <c r="AM113" i="231"/>
  <c r="AL113" i="231"/>
  <c r="V120" i="321" s="1"/>
  <c r="O30" i="312" s="1"/>
  <c r="AQ112" i="231"/>
  <c r="AA119" i="321" s="1"/>
  <c r="T29" i="312" s="1"/>
  <c r="AP112" i="231"/>
  <c r="Z119" i="321" s="1"/>
  <c r="AN112" i="231"/>
  <c r="X119" i="321" s="1"/>
  <c r="Q29" i="312" s="1"/>
  <c r="Q124" i="31" s="1"/>
  <c r="AM112" i="231"/>
  <c r="AL112" i="231"/>
  <c r="V119" i="321" s="1"/>
  <c r="O29" i="312" s="1"/>
  <c r="AQ111" i="231"/>
  <c r="AA118" i="321" s="1"/>
  <c r="T28" i="312" s="1"/>
  <c r="AP111" i="231"/>
  <c r="Z118" i="321" s="1"/>
  <c r="AN111" i="231"/>
  <c r="X118" i="321" s="1"/>
  <c r="Q28" i="312" s="1"/>
  <c r="Q123" i="31" s="1"/>
  <c r="AM111" i="231"/>
  <c r="AL111" i="231"/>
  <c r="V118" i="321" s="1"/>
  <c r="O28" i="312" s="1"/>
  <c r="AQ110" i="231"/>
  <c r="AA117" i="321" s="1"/>
  <c r="T27" i="312" s="1"/>
  <c r="AP110" i="231"/>
  <c r="Z117" i="321" s="1"/>
  <c r="AN110" i="231"/>
  <c r="X117" i="321" s="1"/>
  <c r="Q27" i="312" s="1"/>
  <c r="Q122" i="31" s="1"/>
  <c r="AM110" i="231"/>
  <c r="AL110" i="231"/>
  <c r="V117" i="321" s="1"/>
  <c r="O27" i="312" s="1"/>
  <c r="AQ109" i="231"/>
  <c r="AA116" i="321" s="1"/>
  <c r="T26" i="312" s="1"/>
  <c r="AP109" i="231"/>
  <c r="Z116" i="321" s="1"/>
  <c r="AN109" i="231"/>
  <c r="X116" i="321" s="1"/>
  <c r="Q26" i="312" s="1"/>
  <c r="Q121" i="31" s="1"/>
  <c r="AM109" i="231"/>
  <c r="AL109" i="231"/>
  <c r="V116" i="321" s="1"/>
  <c r="O26" i="312" s="1"/>
  <c r="AQ108" i="231"/>
  <c r="AA115" i="321" s="1"/>
  <c r="T25" i="312" s="1"/>
  <c r="AP108" i="231"/>
  <c r="Z115" i="321" s="1"/>
  <c r="AN108" i="231"/>
  <c r="X115" i="321" s="1"/>
  <c r="Q25" i="312" s="1"/>
  <c r="Q120" i="31" s="1"/>
  <c r="AM108" i="231"/>
  <c r="AL108" i="231"/>
  <c r="V115" i="321" s="1"/>
  <c r="O25" i="312" s="1"/>
  <c r="AQ107" i="231"/>
  <c r="AA114" i="321" s="1"/>
  <c r="T24" i="312" s="1"/>
  <c r="AP107" i="231"/>
  <c r="Z114" i="321" s="1"/>
  <c r="AN107" i="231"/>
  <c r="X114" i="321" s="1"/>
  <c r="Q24" i="312" s="1"/>
  <c r="Q119" i="31" s="1"/>
  <c r="AM107" i="231"/>
  <c r="AL107" i="231"/>
  <c r="V114" i="321" s="1"/>
  <c r="O24" i="312" s="1"/>
  <c r="AQ106" i="231"/>
  <c r="AA113" i="321" s="1"/>
  <c r="T23" i="312" s="1"/>
  <c r="AP106" i="231"/>
  <c r="Z113" i="321" s="1"/>
  <c r="AN106" i="231"/>
  <c r="X113" i="321" s="1"/>
  <c r="Q23" i="312" s="1"/>
  <c r="Q118" i="31" s="1"/>
  <c r="AM106" i="231"/>
  <c r="AL106" i="231"/>
  <c r="V113" i="321" s="1"/>
  <c r="O23" i="312" s="1"/>
  <c r="AQ105" i="231"/>
  <c r="AA112" i="321" s="1"/>
  <c r="T22" i="312" s="1"/>
  <c r="AP105" i="231"/>
  <c r="Z112" i="321" s="1"/>
  <c r="AN105" i="231"/>
  <c r="X112" i="321" s="1"/>
  <c r="Q22" i="312" s="1"/>
  <c r="Q117" i="31" s="1"/>
  <c r="AM105" i="231"/>
  <c r="AL105" i="231"/>
  <c r="V112" i="321" s="1"/>
  <c r="O22" i="312" s="1"/>
  <c r="AQ104" i="231"/>
  <c r="AA111" i="321" s="1"/>
  <c r="T21" i="312" s="1"/>
  <c r="AP104" i="231"/>
  <c r="Z111" i="321" s="1"/>
  <c r="AN104" i="231"/>
  <c r="X111" i="321" s="1"/>
  <c r="Q21" i="312" s="1"/>
  <c r="Q116" i="31" s="1"/>
  <c r="AM104" i="231"/>
  <c r="AL104" i="231"/>
  <c r="V111" i="321" s="1"/>
  <c r="O21" i="312" s="1"/>
  <c r="AQ103" i="231"/>
  <c r="AA110" i="321" s="1"/>
  <c r="T20" i="312" s="1"/>
  <c r="AP103" i="231"/>
  <c r="Z110" i="321" s="1"/>
  <c r="AN103" i="231"/>
  <c r="X110" i="321" s="1"/>
  <c r="Q20" i="312" s="1"/>
  <c r="Q115" i="31" s="1"/>
  <c r="AM103" i="231"/>
  <c r="AL103" i="231"/>
  <c r="V110" i="321" s="1"/>
  <c r="O20" i="312" s="1"/>
  <c r="AQ102" i="231"/>
  <c r="AA109" i="321" s="1"/>
  <c r="T19" i="312" s="1"/>
  <c r="AP102" i="231"/>
  <c r="Z109" i="321" s="1"/>
  <c r="AN102" i="231"/>
  <c r="X109" i="321" s="1"/>
  <c r="Q19" i="312" s="1"/>
  <c r="Q114" i="31" s="1"/>
  <c r="AM102" i="231"/>
  <c r="AL102" i="231"/>
  <c r="V109" i="321" s="1"/>
  <c r="O19" i="312" s="1"/>
  <c r="AQ101" i="231"/>
  <c r="AA108" i="321" s="1"/>
  <c r="T18" i="312" s="1"/>
  <c r="AP101" i="231"/>
  <c r="Z108" i="321" s="1"/>
  <c r="AN101" i="231"/>
  <c r="X108" i="321" s="1"/>
  <c r="Q18" i="312" s="1"/>
  <c r="Q113" i="31" s="1"/>
  <c r="AM101" i="231"/>
  <c r="AL101" i="231"/>
  <c r="V108" i="321" s="1"/>
  <c r="O18" i="312" s="1"/>
  <c r="AQ100" i="231"/>
  <c r="AA107" i="321" s="1"/>
  <c r="T17" i="312" s="1"/>
  <c r="AP100" i="231"/>
  <c r="Z107" i="321" s="1"/>
  <c r="AN100" i="231"/>
  <c r="X107" i="321" s="1"/>
  <c r="Q17" i="312" s="1"/>
  <c r="Q112" i="31" s="1"/>
  <c r="AM100" i="231"/>
  <c r="AL100" i="231"/>
  <c r="V107" i="321" s="1"/>
  <c r="O17" i="312" s="1"/>
  <c r="AQ99" i="231"/>
  <c r="AA106" i="321" s="1"/>
  <c r="T16" i="312" s="1"/>
  <c r="AP99" i="231"/>
  <c r="Z106" i="321" s="1"/>
  <c r="AN99" i="231"/>
  <c r="X106" i="321" s="1"/>
  <c r="Q16" i="312" s="1"/>
  <c r="Q111" i="31" s="1"/>
  <c r="AM99" i="231"/>
  <c r="AL99" i="231"/>
  <c r="V106" i="321" s="1"/>
  <c r="O16" i="312" s="1"/>
  <c r="AQ98" i="231"/>
  <c r="AP98" i="231"/>
  <c r="AN98" i="231"/>
  <c r="X105" i="321" s="1"/>
  <c r="AM98" i="231"/>
  <c r="AL98" i="231"/>
  <c r="V105" i="321" s="1"/>
  <c r="AQ142" i="231"/>
  <c r="AA149" i="321" s="1"/>
  <c r="T59" i="312" s="1"/>
  <c r="AP142" i="231"/>
  <c r="Z149" i="321" s="1"/>
  <c r="AN142" i="231"/>
  <c r="X149" i="321" s="1"/>
  <c r="Q59" i="312" s="1"/>
  <c r="Q154" i="31" s="1"/>
  <c r="AM142" i="231"/>
  <c r="AL142" i="231"/>
  <c r="V149" i="321" s="1"/>
  <c r="O59" i="312" s="1"/>
  <c r="AQ141" i="231"/>
  <c r="AA148" i="321" s="1"/>
  <c r="T58" i="312" s="1"/>
  <c r="AP141" i="231"/>
  <c r="Z148" i="321" s="1"/>
  <c r="AN141" i="231"/>
  <c r="X148" i="321" s="1"/>
  <c r="Q58" i="312" s="1"/>
  <c r="Q153" i="31" s="1"/>
  <c r="AM141" i="231"/>
  <c r="AL141" i="231"/>
  <c r="V148" i="321" s="1"/>
  <c r="O58" i="312" s="1"/>
  <c r="AQ140" i="231"/>
  <c r="AA147" i="321" s="1"/>
  <c r="T57" i="312" s="1"/>
  <c r="AP140" i="231"/>
  <c r="Z147" i="321" s="1"/>
  <c r="AN140" i="231"/>
  <c r="X147" i="321" s="1"/>
  <c r="Q57" i="312" s="1"/>
  <c r="AM140" i="231"/>
  <c r="AL140" i="231"/>
  <c r="V147" i="321" s="1"/>
  <c r="O57" i="312" s="1"/>
  <c r="AQ139" i="231"/>
  <c r="AA146" i="321" s="1"/>
  <c r="T56" i="312" s="1"/>
  <c r="AP139" i="231"/>
  <c r="Z146" i="321" s="1"/>
  <c r="AN139" i="231"/>
  <c r="X146" i="321" s="1"/>
  <c r="Q56" i="312" s="1"/>
  <c r="Q151" i="31" s="1"/>
  <c r="AM139" i="231"/>
  <c r="AL139" i="231"/>
  <c r="V146" i="321" s="1"/>
  <c r="O56" i="312" s="1"/>
  <c r="AQ138" i="231"/>
  <c r="AA145" i="321" s="1"/>
  <c r="T55" i="312" s="1"/>
  <c r="AP138" i="231"/>
  <c r="Z145" i="321" s="1"/>
  <c r="AN138" i="231"/>
  <c r="X145" i="321" s="1"/>
  <c r="Q55" i="312" s="1"/>
  <c r="Q150" i="31" s="1"/>
  <c r="AM138" i="231"/>
  <c r="AL138" i="231"/>
  <c r="V145" i="321" s="1"/>
  <c r="O55" i="312" s="1"/>
  <c r="AQ137" i="231"/>
  <c r="AA144" i="321" s="1"/>
  <c r="T54" i="312" s="1"/>
  <c r="AP137" i="231"/>
  <c r="Z144" i="321" s="1"/>
  <c r="AN137" i="231"/>
  <c r="X144" i="321" s="1"/>
  <c r="Q54" i="312" s="1"/>
  <c r="Q149" i="31" s="1"/>
  <c r="AM137" i="231"/>
  <c r="AL137" i="231"/>
  <c r="V144" i="321" s="1"/>
  <c r="O54" i="312" s="1"/>
  <c r="AQ136" i="231"/>
  <c r="AA143" i="321" s="1"/>
  <c r="T53" i="312" s="1"/>
  <c r="AP136" i="231"/>
  <c r="Z143" i="321" s="1"/>
  <c r="AN136" i="231"/>
  <c r="X143" i="321" s="1"/>
  <c r="Q53" i="312" s="1"/>
  <c r="AM136" i="231"/>
  <c r="AL136" i="231"/>
  <c r="V143" i="321" s="1"/>
  <c r="O53" i="312" s="1"/>
  <c r="AQ135" i="231"/>
  <c r="AA142" i="321" s="1"/>
  <c r="T52" i="312" s="1"/>
  <c r="AP135" i="231"/>
  <c r="Z142" i="321" s="1"/>
  <c r="AN135" i="231"/>
  <c r="X142" i="321" s="1"/>
  <c r="Q52" i="312" s="1"/>
  <c r="Q147" i="31" s="1"/>
  <c r="AM135" i="231"/>
  <c r="AL135" i="231"/>
  <c r="V142" i="321" s="1"/>
  <c r="O52" i="312" s="1"/>
  <c r="AQ134" i="231"/>
  <c r="AA141" i="321" s="1"/>
  <c r="T51" i="312" s="1"/>
  <c r="AP134" i="231"/>
  <c r="Z141" i="321" s="1"/>
  <c r="AN134" i="231"/>
  <c r="X141" i="321" s="1"/>
  <c r="Q51" i="312" s="1"/>
  <c r="Q146" i="31" s="1"/>
  <c r="AM134" i="231"/>
  <c r="AL134" i="231"/>
  <c r="V141" i="321" s="1"/>
  <c r="O51" i="312" s="1"/>
  <c r="AQ133" i="231"/>
  <c r="AA140" i="321" s="1"/>
  <c r="T50" i="312" s="1"/>
  <c r="AP133" i="231"/>
  <c r="Z140" i="321" s="1"/>
  <c r="AN133" i="231"/>
  <c r="X140" i="321" s="1"/>
  <c r="Q50" i="312" s="1"/>
  <c r="AM133" i="231"/>
  <c r="AL133" i="231"/>
  <c r="V140" i="321" s="1"/>
  <c r="O50" i="312" s="1"/>
  <c r="AQ132" i="231"/>
  <c r="AA139" i="321" s="1"/>
  <c r="T49" i="312" s="1"/>
  <c r="AP132" i="231"/>
  <c r="Z139" i="321" s="1"/>
  <c r="AN132" i="231"/>
  <c r="X139" i="321" s="1"/>
  <c r="Q49" i="312" s="1"/>
  <c r="AM132" i="231"/>
  <c r="AL132" i="231"/>
  <c r="V139" i="321" s="1"/>
  <c r="O49" i="312" s="1"/>
  <c r="AQ131" i="231"/>
  <c r="AA138" i="321" s="1"/>
  <c r="T48" i="312" s="1"/>
  <c r="AP131" i="231"/>
  <c r="Z138" i="321" s="1"/>
  <c r="AN131" i="231"/>
  <c r="X138" i="321" s="1"/>
  <c r="Q48" i="312" s="1"/>
  <c r="Q143" i="31" s="1"/>
  <c r="AM131" i="231"/>
  <c r="AL131" i="231"/>
  <c r="V138" i="321" s="1"/>
  <c r="O48" i="312" s="1"/>
  <c r="AQ130" i="231"/>
  <c r="AA137" i="321" s="1"/>
  <c r="T47" i="312" s="1"/>
  <c r="AP130" i="231"/>
  <c r="Z137" i="321" s="1"/>
  <c r="AN130" i="231"/>
  <c r="X137" i="321" s="1"/>
  <c r="Q47" i="312" s="1"/>
  <c r="Q142" i="31" s="1"/>
  <c r="AM130" i="231"/>
  <c r="AL130" i="231"/>
  <c r="V137" i="321" s="1"/>
  <c r="O47" i="312" s="1"/>
  <c r="AQ129" i="231"/>
  <c r="AA136" i="321" s="1"/>
  <c r="T46" i="312" s="1"/>
  <c r="AP129" i="231"/>
  <c r="Z136" i="321" s="1"/>
  <c r="AN129" i="231"/>
  <c r="X136" i="321" s="1"/>
  <c r="Q46" i="312" s="1"/>
  <c r="AM129" i="231"/>
  <c r="AL129" i="231"/>
  <c r="V136" i="321" s="1"/>
  <c r="O46" i="312" s="1"/>
  <c r="AQ128" i="231"/>
  <c r="AA135" i="321" s="1"/>
  <c r="T45" i="312" s="1"/>
  <c r="AP128" i="231"/>
  <c r="Z135" i="321" s="1"/>
  <c r="AN128" i="231"/>
  <c r="X135" i="321" s="1"/>
  <c r="Q45" i="312" s="1"/>
  <c r="AM128" i="231"/>
  <c r="AL128" i="231"/>
  <c r="V135" i="321" s="1"/>
  <c r="O45" i="312" s="1"/>
  <c r="AQ127" i="231"/>
  <c r="AA134" i="321" s="1"/>
  <c r="T44" i="312" s="1"/>
  <c r="AP127" i="231"/>
  <c r="Z134" i="321" s="1"/>
  <c r="AN127" i="231"/>
  <c r="X134" i="321" s="1"/>
  <c r="Q44" i="312" s="1"/>
  <c r="Q139" i="31" s="1"/>
  <c r="AM127" i="231"/>
  <c r="AL127" i="231"/>
  <c r="V134" i="321" s="1"/>
  <c r="O44" i="312" s="1"/>
  <c r="AQ126" i="231"/>
  <c r="AA133" i="321" s="1"/>
  <c r="T43" i="312" s="1"/>
  <c r="AP126" i="231"/>
  <c r="Z133" i="321" s="1"/>
  <c r="AN126" i="231"/>
  <c r="X133" i="321" s="1"/>
  <c r="Q43" i="312" s="1"/>
  <c r="Q138" i="31" s="1"/>
  <c r="AM126" i="231"/>
  <c r="AL126" i="231"/>
  <c r="V133" i="321" s="1"/>
  <c r="O43" i="312" s="1"/>
  <c r="AQ125" i="231"/>
  <c r="AA132" i="321" s="1"/>
  <c r="T42" i="312" s="1"/>
  <c r="AP125" i="231"/>
  <c r="Z132" i="321" s="1"/>
  <c r="AN125" i="231"/>
  <c r="X132" i="321" s="1"/>
  <c r="Q42" i="312" s="1"/>
  <c r="AM125" i="231"/>
  <c r="AL125" i="231"/>
  <c r="V132" i="321" s="1"/>
  <c r="O42" i="312" s="1"/>
  <c r="AQ124" i="231"/>
  <c r="AA131" i="321" s="1"/>
  <c r="T41" i="312" s="1"/>
  <c r="AP124" i="231"/>
  <c r="Z131" i="321" s="1"/>
  <c r="AN124" i="231"/>
  <c r="X131" i="321" s="1"/>
  <c r="Q41" i="312" s="1"/>
  <c r="AM124" i="231"/>
  <c r="AL124" i="231"/>
  <c r="V131" i="321" s="1"/>
  <c r="O41" i="312" s="1"/>
  <c r="AQ123" i="231"/>
  <c r="AA130" i="321" s="1"/>
  <c r="T40" i="312" s="1"/>
  <c r="AP123" i="231"/>
  <c r="Z130" i="321" s="1"/>
  <c r="AN123" i="231"/>
  <c r="X130" i="321" s="1"/>
  <c r="Q40" i="312" s="1"/>
  <c r="Q135" i="31" s="1"/>
  <c r="AM123" i="231"/>
  <c r="AL123" i="231"/>
  <c r="V130" i="321" s="1"/>
  <c r="O40" i="312" s="1"/>
  <c r="AQ122" i="231"/>
  <c r="AA129" i="321" s="1"/>
  <c r="T39" i="312" s="1"/>
  <c r="AP122" i="231"/>
  <c r="Z129" i="321" s="1"/>
  <c r="AN122" i="231"/>
  <c r="X129" i="321" s="1"/>
  <c r="Q39" i="312" s="1"/>
  <c r="Q134" i="31" s="1"/>
  <c r="AM122" i="231"/>
  <c r="AL122" i="231"/>
  <c r="V129" i="321" s="1"/>
  <c r="O39" i="312" s="1"/>
  <c r="AQ121" i="231"/>
  <c r="AA128" i="321" s="1"/>
  <c r="T38" i="312" s="1"/>
  <c r="AP121" i="231"/>
  <c r="Z128" i="321" s="1"/>
  <c r="AN121" i="231"/>
  <c r="X128" i="321" s="1"/>
  <c r="Q38" i="312" s="1"/>
  <c r="AM121" i="231"/>
  <c r="AL121" i="231"/>
  <c r="V128" i="321" s="1"/>
  <c r="O38" i="312" s="1"/>
  <c r="AQ120" i="231"/>
  <c r="AA127" i="321" s="1"/>
  <c r="T37" i="312" s="1"/>
  <c r="AP120" i="231"/>
  <c r="Z127" i="321" s="1"/>
  <c r="AN120" i="231"/>
  <c r="X127" i="321" s="1"/>
  <c r="Q37" i="312" s="1"/>
  <c r="AM120" i="231"/>
  <c r="AL120" i="231"/>
  <c r="V127" i="321" s="1"/>
  <c r="O37" i="312" s="1"/>
  <c r="AQ95" i="231"/>
  <c r="AP95" i="231"/>
  <c r="AN95" i="231"/>
  <c r="AM95" i="231"/>
  <c r="AL95" i="231"/>
  <c r="AQ94" i="231"/>
  <c r="AP94" i="231"/>
  <c r="AN94" i="231"/>
  <c r="AM94" i="231"/>
  <c r="AL94" i="231"/>
  <c r="AQ93" i="231"/>
  <c r="AP93" i="231"/>
  <c r="AN93" i="231"/>
  <c r="AM93" i="231"/>
  <c r="AL93" i="231"/>
  <c r="AQ92" i="231"/>
  <c r="AP92" i="231"/>
  <c r="AN92" i="231"/>
  <c r="AM92" i="231"/>
  <c r="AL92" i="231"/>
  <c r="AQ91" i="231"/>
  <c r="AP91" i="231"/>
  <c r="AN91" i="231"/>
  <c r="AM91" i="231"/>
  <c r="AL91" i="231"/>
  <c r="AQ90" i="231"/>
  <c r="AP90" i="231"/>
  <c r="AN90" i="231"/>
  <c r="AM90" i="231"/>
  <c r="AL90" i="231"/>
  <c r="AQ55" i="231"/>
  <c r="AA53" i="321" s="1"/>
  <c r="T57" i="257" s="1"/>
  <c r="C370" i="328" s="1"/>
  <c r="E370" i="328" s="1"/>
  <c r="AP55" i="231"/>
  <c r="Z53" i="321" s="1"/>
  <c r="AN55" i="231"/>
  <c r="X53" i="321" s="1"/>
  <c r="Q57" i="257" s="1"/>
  <c r="Q58" i="31" s="1"/>
  <c r="AM55" i="231"/>
  <c r="AL55" i="231"/>
  <c r="V53" i="321" s="1"/>
  <c r="O57" i="257" s="1"/>
  <c r="AQ54" i="231"/>
  <c r="AA52" i="321" s="1"/>
  <c r="T56" i="257" s="1"/>
  <c r="I353" i="328" s="1"/>
  <c r="K353" i="328" s="1"/>
  <c r="AP54" i="231"/>
  <c r="Z52" i="321" s="1"/>
  <c r="AN54" i="231"/>
  <c r="X52" i="321" s="1"/>
  <c r="Q56" i="257" s="1"/>
  <c r="Q57" i="31" s="1"/>
  <c r="AM54" i="231"/>
  <c r="AL54" i="231"/>
  <c r="V52" i="321" s="1"/>
  <c r="O56" i="257" s="1"/>
  <c r="AQ53" i="231"/>
  <c r="AA51" i="321" s="1"/>
  <c r="T55" i="257" s="1"/>
  <c r="C353" i="328" s="1"/>
  <c r="E353" i="328" s="1"/>
  <c r="AP53" i="231"/>
  <c r="Z51" i="321" s="1"/>
  <c r="AN53" i="231"/>
  <c r="X51" i="321" s="1"/>
  <c r="Q55" i="257" s="1"/>
  <c r="Q56" i="31" s="1"/>
  <c r="AM53" i="231"/>
  <c r="AL53" i="231"/>
  <c r="V51" i="321" s="1"/>
  <c r="O55" i="257" s="1"/>
  <c r="AQ52" i="231"/>
  <c r="AA50" i="321" s="1"/>
  <c r="T54" i="257" s="1"/>
  <c r="I336" i="328" s="1"/>
  <c r="K336" i="328" s="1"/>
  <c r="AP52" i="231"/>
  <c r="Z50" i="321" s="1"/>
  <c r="AN52" i="231"/>
  <c r="X50" i="321" s="1"/>
  <c r="Q54" i="257" s="1"/>
  <c r="Q55" i="31" s="1"/>
  <c r="AM52" i="231"/>
  <c r="AL52" i="231"/>
  <c r="V50" i="321" s="1"/>
  <c r="O54" i="257" s="1"/>
  <c r="AQ51" i="231"/>
  <c r="AA49" i="321" s="1"/>
  <c r="T53" i="257" s="1"/>
  <c r="C336" i="328" s="1"/>
  <c r="E336" i="328" s="1"/>
  <c r="AP51" i="231"/>
  <c r="Z49" i="321" s="1"/>
  <c r="AN51" i="231"/>
  <c r="X49" i="321" s="1"/>
  <c r="Q53" i="257" s="1"/>
  <c r="Q54" i="31" s="1"/>
  <c r="AM51" i="231"/>
  <c r="AL51" i="231"/>
  <c r="V49" i="321" s="1"/>
  <c r="O53" i="257" s="1"/>
  <c r="AQ50" i="231"/>
  <c r="AA48" i="321" s="1"/>
  <c r="T52" i="257" s="1"/>
  <c r="I319" i="328" s="1"/>
  <c r="K319" i="328" s="1"/>
  <c r="AP50" i="231"/>
  <c r="Z48" i="321" s="1"/>
  <c r="AN50" i="231"/>
  <c r="X48" i="321" s="1"/>
  <c r="Q52" i="257" s="1"/>
  <c r="Q53" i="31" s="1"/>
  <c r="AM50" i="231"/>
  <c r="AL50" i="231"/>
  <c r="V48" i="321" s="1"/>
  <c r="O52" i="257" s="1"/>
  <c r="AQ49" i="231"/>
  <c r="AA47" i="321" s="1"/>
  <c r="T51" i="257" s="1"/>
  <c r="C319" i="328" s="1"/>
  <c r="E319" i="328" s="1"/>
  <c r="AP49" i="231"/>
  <c r="Z47" i="321" s="1"/>
  <c r="AN49" i="231"/>
  <c r="X47" i="321" s="1"/>
  <c r="Q51" i="257" s="1"/>
  <c r="Q52" i="31" s="1"/>
  <c r="AM49" i="231"/>
  <c r="AL49" i="231"/>
  <c r="V47" i="321" s="1"/>
  <c r="O51" i="257" s="1"/>
  <c r="AQ48" i="231"/>
  <c r="AA46" i="321" s="1"/>
  <c r="T50" i="257" s="1"/>
  <c r="I302" i="328" s="1"/>
  <c r="K302" i="328" s="1"/>
  <c r="AP48" i="231"/>
  <c r="Z46" i="321" s="1"/>
  <c r="AN48" i="231"/>
  <c r="X46" i="321" s="1"/>
  <c r="Q50" i="257" s="1"/>
  <c r="Q51" i="31" s="1"/>
  <c r="AM48" i="231"/>
  <c r="AL48" i="231"/>
  <c r="V46" i="321" s="1"/>
  <c r="O50" i="257" s="1"/>
  <c r="AQ47" i="231"/>
  <c r="AA45" i="321" s="1"/>
  <c r="T49" i="257" s="1"/>
  <c r="C302" i="328" s="1"/>
  <c r="E302" i="328" s="1"/>
  <c r="AP47" i="231"/>
  <c r="Z45" i="321" s="1"/>
  <c r="AN47" i="231"/>
  <c r="X45" i="321" s="1"/>
  <c r="Q49" i="257" s="1"/>
  <c r="Q50" i="31" s="1"/>
  <c r="AM47" i="231"/>
  <c r="AL47" i="231"/>
  <c r="V45" i="321" s="1"/>
  <c r="O49" i="257" s="1"/>
  <c r="AQ46" i="231"/>
  <c r="AA44" i="321" s="1"/>
  <c r="T48" i="257" s="1"/>
  <c r="I285" i="328" s="1"/>
  <c r="K285" i="328" s="1"/>
  <c r="AP46" i="231"/>
  <c r="Z44" i="321" s="1"/>
  <c r="AN46" i="231"/>
  <c r="X44" i="321" s="1"/>
  <c r="Q48" i="257" s="1"/>
  <c r="Q49" i="31" s="1"/>
  <c r="AM46" i="231"/>
  <c r="AL46" i="231"/>
  <c r="V44" i="321" s="1"/>
  <c r="O48" i="257" s="1"/>
  <c r="AQ45" i="231"/>
  <c r="AA43" i="321" s="1"/>
  <c r="T47" i="257" s="1"/>
  <c r="C285" i="328" s="1"/>
  <c r="E285" i="328" s="1"/>
  <c r="AP45" i="231"/>
  <c r="Z43" i="321" s="1"/>
  <c r="AN45" i="231"/>
  <c r="X43" i="321" s="1"/>
  <c r="Q47" i="257" s="1"/>
  <c r="Q48" i="31" s="1"/>
  <c r="AM45" i="231"/>
  <c r="AL45" i="231"/>
  <c r="V43" i="321" s="1"/>
  <c r="O47" i="257" s="1"/>
  <c r="AQ44" i="231"/>
  <c r="AA42" i="321" s="1"/>
  <c r="T46" i="257" s="1"/>
  <c r="I268" i="328" s="1"/>
  <c r="K268" i="328" s="1"/>
  <c r="AP44" i="231"/>
  <c r="Z42" i="321" s="1"/>
  <c r="AN44" i="231"/>
  <c r="X42" i="321" s="1"/>
  <c r="Q46" i="257" s="1"/>
  <c r="Q47" i="31" s="1"/>
  <c r="AM44" i="231"/>
  <c r="AL44" i="231"/>
  <c r="V42" i="321" s="1"/>
  <c r="O46" i="257" s="1"/>
  <c r="AQ43" i="231"/>
  <c r="AA41" i="321" s="1"/>
  <c r="T45" i="257" s="1"/>
  <c r="C268" i="328" s="1"/>
  <c r="E268" i="328" s="1"/>
  <c r="AP43" i="231"/>
  <c r="Z41" i="321" s="1"/>
  <c r="AN43" i="231"/>
  <c r="X41" i="321" s="1"/>
  <c r="Q45" i="257" s="1"/>
  <c r="Q46" i="31" s="1"/>
  <c r="AM43" i="231"/>
  <c r="AL43" i="231"/>
  <c r="V41" i="321" s="1"/>
  <c r="O45" i="257" s="1"/>
  <c r="AQ42" i="231"/>
  <c r="AA40" i="321" s="1"/>
  <c r="T44" i="257" s="1"/>
  <c r="I251" i="328" s="1"/>
  <c r="K251" i="328" s="1"/>
  <c r="AP42" i="231"/>
  <c r="Z40" i="321" s="1"/>
  <c r="AN42" i="231"/>
  <c r="X40" i="321" s="1"/>
  <c r="Q44" i="257" s="1"/>
  <c r="Q45" i="31" s="1"/>
  <c r="AM42" i="231"/>
  <c r="AL42" i="231"/>
  <c r="V40" i="321" s="1"/>
  <c r="O44" i="257" s="1"/>
  <c r="AQ41" i="231"/>
  <c r="AA39" i="321" s="1"/>
  <c r="T43" i="257" s="1"/>
  <c r="C251" i="328" s="1"/>
  <c r="E251" i="328" s="1"/>
  <c r="AP41" i="231"/>
  <c r="Z39" i="321" s="1"/>
  <c r="AN41" i="231"/>
  <c r="X39" i="321" s="1"/>
  <c r="Q43" i="257" s="1"/>
  <c r="Q44" i="31" s="1"/>
  <c r="AM41" i="231"/>
  <c r="AL41" i="231"/>
  <c r="V39" i="321" s="1"/>
  <c r="O43" i="257" s="1"/>
  <c r="AQ40" i="231"/>
  <c r="AA38" i="321" s="1"/>
  <c r="T42" i="257" s="1"/>
  <c r="I234" i="328" s="1"/>
  <c r="K234" i="328" s="1"/>
  <c r="AP40" i="231"/>
  <c r="Z38" i="321" s="1"/>
  <c r="AN40" i="231"/>
  <c r="X38" i="321" s="1"/>
  <c r="Q42" i="257" s="1"/>
  <c r="Q43" i="31" s="1"/>
  <c r="AM40" i="231"/>
  <c r="AL40" i="231"/>
  <c r="V38" i="321" s="1"/>
  <c r="O42" i="257" s="1"/>
  <c r="AQ39" i="231"/>
  <c r="AA37" i="321" s="1"/>
  <c r="T41" i="257" s="1"/>
  <c r="C234" i="328" s="1"/>
  <c r="E234" i="328" s="1"/>
  <c r="AP39" i="231"/>
  <c r="Z37" i="321" s="1"/>
  <c r="AN39" i="231"/>
  <c r="X37" i="321" s="1"/>
  <c r="Q41" i="257" s="1"/>
  <c r="Q42" i="31" s="1"/>
  <c r="AM39" i="231"/>
  <c r="AL39" i="231"/>
  <c r="V37" i="321" s="1"/>
  <c r="O41" i="257" s="1"/>
  <c r="AQ38" i="231"/>
  <c r="AA36" i="321" s="1"/>
  <c r="T40" i="257" s="1"/>
  <c r="I217" i="328" s="1"/>
  <c r="K217" i="328" s="1"/>
  <c r="AP38" i="231"/>
  <c r="Z36" i="321" s="1"/>
  <c r="AN38" i="231"/>
  <c r="X36" i="321" s="1"/>
  <c r="Q40" i="257" s="1"/>
  <c r="Q41" i="31" s="1"/>
  <c r="AM38" i="231"/>
  <c r="AL38" i="231"/>
  <c r="V36" i="321" s="1"/>
  <c r="O40" i="257" s="1"/>
  <c r="AQ37" i="231"/>
  <c r="AA35" i="321" s="1"/>
  <c r="T39" i="257" s="1"/>
  <c r="C217" i="328" s="1"/>
  <c r="E217" i="328" s="1"/>
  <c r="AP37" i="231"/>
  <c r="Z35" i="321" s="1"/>
  <c r="AN37" i="231"/>
  <c r="X35" i="321" s="1"/>
  <c r="Q39" i="257" s="1"/>
  <c r="Q40" i="31" s="1"/>
  <c r="AM37" i="231"/>
  <c r="AL37" i="231"/>
  <c r="V35" i="321" s="1"/>
  <c r="O39" i="257" s="1"/>
  <c r="AQ36" i="231"/>
  <c r="AA34" i="321" s="1"/>
  <c r="T38" i="257" s="1"/>
  <c r="I200" i="328" s="1"/>
  <c r="K200" i="328" s="1"/>
  <c r="AP36" i="231"/>
  <c r="Z34" i="321" s="1"/>
  <c r="AN36" i="231"/>
  <c r="X34" i="321" s="1"/>
  <c r="Q38" i="257" s="1"/>
  <c r="Q39" i="31" s="1"/>
  <c r="AM36" i="231"/>
  <c r="AL36" i="231"/>
  <c r="V34" i="321" s="1"/>
  <c r="O38" i="257" s="1"/>
  <c r="AQ75" i="231"/>
  <c r="AA73" i="321" s="1"/>
  <c r="T77" i="257" s="1"/>
  <c r="C540" i="328" s="1"/>
  <c r="E540" i="328" s="1"/>
  <c r="AP75" i="231"/>
  <c r="Z73" i="321" s="1"/>
  <c r="AN75" i="231"/>
  <c r="X73" i="321" s="1"/>
  <c r="Q77" i="257" s="1"/>
  <c r="Q78" i="31" s="1"/>
  <c r="AM75" i="231"/>
  <c r="AL75" i="231"/>
  <c r="V73" i="321" s="1"/>
  <c r="O77" i="257" s="1"/>
  <c r="AQ74" i="231"/>
  <c r="AA72" i="321" s="1"/>
  <c r="T76" i="257" s="1"/>
  <c r="I523" i="328" s="1"/>
  <c r="K523" i="328" s="1"/>
  <c r="AP74" i="231"/>
  <c r="Z72" i="321" s="1"/>
  <c r="AN74" i="231"/>
  <c r="X72" i="321" s="1"/>
  <c r="Q76" i="257" s="1"/>
  <c r="Q77" i="31" s="1"/>
  <c r="AM74" i="231"/>
  <c r="AL74" i="231"/>
  <c r="V72" i="321" s="1"/>
  <c r="O76" i="257" s="1"/>
  <c r="AQ73" i="231"/>
  <c r="AA71" i="321" s="1"/>
  <c r="T75" i="257" s="1"/>
  <c r="C523" i="328" s="1"/>
  <c r="E523" i="328" s="1"/>
  <c r="AP73" i="231"/>
  <c r="Z71" i="321" s="1"/>
  <c r="AN73" i="231"/>
  <c r="X71" i="321" s="1"/>
  <c r="Q75" i="257" s="1"/>
  <c r="Q76" i="31" s="1"/>
  <c r="AM73" i="231"/>
  <c r="AL73" i="231"/>
  <c r="V71" i="321" s="1"/>
  <c r="O75" i="257" s="1"/>
  <c r="AQ72" i="231"/>
  <c r="AA70" i="321" s="1"/>
  <c r="T74" i="257" s="1"/>
  <c r="I506" i="328" s="1"/>
  <c r="K506" i="328" s="1"/>
  <c r="AP72" i="231"/>
  <c r="Z70" i="321" s="1"/>
  <c r="AN72" i="231"/>
  <c r="X70" i="321" s="1"/>
  <c r="Q74" i="257" s="1"/>
  <c r="Q75" i="31" s="1"/>
  <c r="AM72" i="231"/>
  <c r="AL72" i="231"/>
  <c r="V70" i="321" s="1"/>
  <c r="O74" i="257" s="1"/>
  <c r="AQ71" i="231"/>
  <c r="AA69" i="321" s="1"/>
  <c r="T73" i="257" s="1"/>
  <c r="C506" i="328" s="1"/>
  <c r="E506" i="328" s="1"/>
  <c r="AP71" i="231"/>
  <c r="Z69" i="321" s="1"/>
  <c r="AN71" i="231"/>
  <c r="X69" i="321" s="1"/>
  <c r="Q73" i="257" s="1"/>
  <c r="Q74" i="31" s="1"/>
  <c r="AM71" i="231"/>
  <c r="AL71" i="231"/>
  <c r="V69" i="321" s="1"/>
  <c r="O73" i="257" s="1"/>
  <c r="AQ70" i="231"/>
  <c r="AA68" i="321" s="1"/>
  <c r="T72" i="257" s="1"/>
  <c r="I489" i="328" s="1"/>
  <c r="K489" i="328" s="1"/>
  <c r="AP70" i="231"/>
  <c r="Z68" i="321" s="1"/>
  <c r="AN70" i="231"/>
  <c r="X68" i="321" s="1"/>
  <c r="Q72" i="257" s="1"/>
  <c r="Q73" i="31" s="1"/>
  <c r="AM70" i="231"/>
  <c r="AL70" i="231"/>
  <c r="V68" i="321" s="1"/>
  <c r="O72" i="257" s="1"/>
  <c r="AQ69" i="231"/>
  <c r="AA67" i="321" s="1"/>
  <c r="T71" i="257" s="1"/>
  <c r="C489" i="328" s="1"/>
  <c r="E489" i="328" s="1"/>
  <c r="AP69" i="231"/>
  <c r="Z67" i="321" s="1"/>
  <c r="AN69" i="231"/>
  <c r="X67" i="321" s="1"/>
  <c r="Q71" i="257" s="1"/>
  <c r="Q72" i="31" s="1"/>
  <c r="AM69" i="231"/>
  <c r="AL69" i="231"/>
  <c r="V67" i="321" s="1"/>
  <c r="O71" i="257" s="1"/>
  <c r="AQ68" i="231"/>
  <c r="AA66" i="321" s="1"/>
  <c r="T70" i="257" s="1"/>
  <c r="I472" i="328" s="1"/>
  <c r="K472" i="328" s="1"/>
  <c r="AP68" i="231"/>
  <c r="Z66" i="321" s="1"/>
  <c r="AN68" i="231"/>
  <c r="X66" i="321" s="1"/>
  <c r="Q70" i="257" s="1"/>
  <c r="Q71" i="31" s="1"/>
  <c r="AM68" i="231"/>
  <c r="AL68" i="231"/>
  <c r="V66" i="321" s="1"/>
  <c r="O70" i="257" s="1"/>
  <c r="AQ67" i="231"/>
  <c r="AA65" i="321" s="1"/>
  <c r="T69" i="257" s="1"/>
  <c r="C472" i="328" s="1"/>
  <c r="E472" i="328" s="1"/>
  <c r="AP67" i="231"/>
  <c r="Z65" i="321" s="1"/>
  <c r="AN67" i="231"/>
  <c r="X65" i="321" s="1"/>
  <c r="Q69" i="257" s="1"/>
  <c r="Q70" i="31" s="1"/>
  <c r="AM67" i="231"/>
  <c r="AL67" i="231"/>
  <c r="V65" i="321" s="1"/>
  <c r="O69" i="257" s="1"/>
  <c r="AQ66" i="231"/>
  <c r="AA64" i="321" s="1"/>
  <c r="T68" i="257" s="1"/>
  <c r="I455" i="328" s="1"/>
  <c r="K455" i="328" s="1"/>
  <c r="AP66" i="231"/>
  <c r="Z64" i="321" s="1"/>
  <c r="AN66" i="231"/>
  <c r="X64" i="321" s="1"/>
  <c r="Q68" i="257" s="1"/>
  <c r="Q69" i="31" s="1"/>
  <c r="AM66" i="231"/>
  <c r="AL66" i="231"/>
  <c r="V64" i="321" s="1"/>
  <c r="O68" i="257" s="1"/>
  <c r="AQ65" i="231"/>
  <c r="AA63" i="321" s="1"/>
  <c r="T67" i="257" s="1"/>
  <c r="C455" i="328" s="1"/>
  <c r="E455" i="328" s="1"/>
  <c r="AP65" i="231"/>
  <c r="Z63" i="321" s="1"/>
  <c r="AN65" i="231"/>
  <c r="X63" i="321" s="1"/>
  <c r="Q67" i="257" s="1"/>
  <c r="Q68" i="31" s="1"/>
  <c r="AM65" i="231"/>
  <c r="AL65" i="231"/>
  <c r="V63" i="321" s="1"/>
  <c r="O67" i="257" s="1"/>
  <c r="AQ64" i="231"/>
  <c r="AA62" i="321" s="1"/>
  <c r="T66" i="257" s="1"/>
  <c r="I438" i="328" s="1"/>
  <c r="K438" i="328" s="1"/>
  <c r="AP64" i="231"/>
  <c r="Z62" i="321" s="1"/>
  <c r="AN64" i="231"/>
  <c r="X62" i="321" s="1"/>
  <c r="Q66" i="257" s="1"/>
  <c r="Q67" i="31" s="1"/>
  <c r="AM64" i="231"/>
  <c r="AL64" i="231"/>
  <c r="V62" i="321" s="1"/>
  <c r="O66" i="257" s="1"/>
  <c r="AQ63" i="231"/>
  <c r="AA61" i="321" s="1"/>
  <c r="T65" i="257" s="1"/>
  <c r="C438" i="328" s="1"/>
  <c r="E438" i="328" s="1"/>
  <c r="AP63" i="231"/>
  <c r="Z61" i="321" s="1"/>
  <c r="AN63" i="231"/>
  <c r="X61" i="321" s="1"/>
  <c r="Q65" i="257" s="1"/>
  <c r="Q66" i="31" s="1"/>
  <c r="AM63" i="231"/>
  <c r="AL63" i="231"/>
  <c r="V61" i="321" s="1"/>
  <c r="O65" i="257" s="1"/>
  <c r="AQ62" i="231"/>
  <c r="AA60" i="321" s="1"/>
  <c r="T64" i="257" s="1"/>
  <c r="I421" i="328" s="1"/>
  <c r="K421" i="328" s="1"/>
  <c r="AP62" i="231"/>
  <c r="Z60" i="321" s="1"/>
  <c r="AN62" i="231"/>
  <c r="X60" i="321" s="1"/>
  <c r="Q64" i="257" s="1"/>
  <c r="Q65" i="31" s="1"/>
  <c r="AM62" i="231"/>
  <c r="AL62" i="231"/>
  <c r="V60" i="321" s="1"/>
  <c r="O64" i="257" s="1"/>
  <c r="AQ61" i="231"/>
  <c r="AA59" i="321" s="1"/>
  <c r="T63" i="257" s="1"/>
  <c r="C421" i="328" s="1"/>
  <c r="E421" i="328" s="1"/>
  <c r="AP61" i="231"/>
  <c r="Z59" i="321" s="1"/>
  <c r="AN61" i="231"/>
  <c r="X59" i="321" s="1"/>
  <c r="Q63" i="257" s="1"/>
  <c r="Q64" i="31" s="1"/>
  <c r="AM61" i="231"/>
  <c r="AL61" i="231"/>
  <c r="V59" i="321" s="1"/>
  <c r="O63" i="257" s="1"/>
  <c r="AQ60" i="231"/>
  <c r="AA58" i="321" s="1"/>
  <c r="T62" i="257" s="1"/>
  <c r="I404" i="328" s="1"/>
  <c r="K404" i="328" s="1"/>
  <c r="AP60" i="231"/>
  <c r="Z58" i="321" s="1"/>
  <c r="AN60" i="231"/>
  <c r="X58" i="321" s="1"/>
  <c r="Q62" i="257" s="1"/>
  <c r="Q63" i="31" s="1"/>
  <c r="AM60" i="231"/>
  <c r="AL60" i="231"/>
  <c r="V58" i="321" s="1"/>
  <c r="O62" i="257" s="1"/>
  <c r="AQ59" i="231"/>
  <c r="AA57" i="321" s="1"/>
  <c r="T61" i="257" s="1"/>
  <c r="C404" i="328" s="1"/>
  <c r="E404" i="328" s="1"/>
  <c r="AP59" i="231"/>
  <c r="Z57" i="321" s="1"/>
  <c r="AN59" i="231"/>
  <c r="X57" i="321" s="1"/>
  <c r="Q61" i="257" s="1"/>
  <c r="Q62" i="31" s="1"/>
  <c r="AM59" i="231"/>
  <c r="AL59" i="231"/>
  <c r="V57" i="321" s="1"/>
  <c r="O61" i="257" s="1"/>
  <c r="AQ58" i="231"/>
  <c r="AA56" i="321" s="1"/>
  <c r="T60" i="257" s="1"/>
  <c r="I387" i="328" s="1"/>
  <c r="K387" i="328" s="1"/>
  <c r="AP58" i="231"/>
  <c r="Z56" i="321" s="1"/>
  <c r="AN58" i="231"/>
  <c r="X56" i="321" s="1"/>
  <c r="Q60" i="257" s="1"/>
  <c r="Q61" i="31" s="1"/>
  <c r="AM58" i="231"/>
  <c r="AL58" i="231"/>
  <c r="V56" i="321" s="1"/>
  <c r="O60" i="257" s="1"/>
  <c r="AQ57" i="231"/>
  <c r="AA55" i="321" s="1"/>
  <c r="T59" i="257" s="1"/>
  <c r="C387" i="328" s="1"/>
  <c r="E387" i="328" s="1"/>
  <c r="AP57" i="231"/>
  <c r="Z55" i="321" s="1"/>
  <c r="AN57" i="231"/>
  <c r="X55" i="321" s="1"/>
  <c r="Q59" i="257" s="1"/>
  <c r="Q60" i="31" s="1"/>
  <c r="AM57" i="231"/>
  <c r="AL57" i="231"/>
  <c r="V55" i="321" s="1"/>
  <c r="O59" i="257" s="1"/>
  <c r="AQ56" i="231"/>
  <c r="AA54" i="321" s="1"/>
  <c r="T58" i="257" s="1"/>
  <c r="I370" i="328" s="1"/>
  <c r="K370" i="328" s="1"/>
  <c r="AP56" i="231"/>
  <c r="Z54" i="321" s="1"/>
  <c r="AN56" i="231"/>
  <c r="X54" i="321" s="1"/>
  <c r="Q58" i="257" s="1"/>
  <c r="Q59" i="31" s="1"/>
  <c r="AM56" i="231"/>
  <c r="AL56" i="231"/>
  <c r="V54" i="321" s="1"/>
  <c r="O58" i="257" s="1"/>
  <c r="I1153" i="328" l="1"/>
  <c r="K1153" i="328" s="1"/>
  <c r="I1187" i="328"/>
  <c r="K1187" i="328" s="1"/>
  <c r="O60" i="31"/>
  <c r="C384" i="328" s="1"/>
  <c r="E384" i="328" s="1"/>
  <c r="O61" i="31"/>
  <c r="I384" i="328" s="1"/>
  <c r="K384" i="328" s="1"/>
  <c r="O65" i="31"/>
  <c r="I418" i="328" s="1"/>
  <c r="K418" i="328" s="1"/>
  <c r="O69" i="31"/>
  <c r="I452" i="328" s="1"/>
  <c r="K452" i="328" s="1"/>
  <c r="O73" i="31"/>
  <c r="I486" i="328" s="1"/>
  <c r="K486" i="328" s="1"/>
  <c r="O77" i="31"/>
  <c r="I520" i="328" s="1"/>
  <c r="K520" i="328" s="1"/>
  <c r="O41" i="31"/>
  <c r="I214" i="328" s="1"/>
  <c r="K214" i="328" s="1"/>
  <c r="O45" i="31"/>
  <c r="I248" i="328" s="1"/>
  <c r="K248" i="328" s="1"/>
  <c r="O49" i="31"/>
  <c r="I282" i="328" s="1"/>
  <c r="K282" i="328" s="1"/>
  <c r="O53" i="31"/>
  <c r="I316" i="328" s="1"/>
  <c r="K316" i="328" s="1"/>
  <c r="O57" i="31"/>
  <c r="I350" i="328" s="1"/>
  <c r="K350" i="328" s="1"/>
  <c r="O59" i="31"/>
  <c r="I367" i="328" s="1"/>
  <c r="K367" i="328" s="1"/>
  <c r="O63" i="31"/>
  <c r="I401" i="328" s="1"/>
  <c r="K401" i="328" s="1"/>
  <c r="O62" i="31"/>
  <c r="C401" i="328" s="1"/>
  <c r="E401" i="328" s="1"/>
  <c r="O66" i="31"/>
  <c r="C435" i="328" s="1"/>
  <c r="E435" i="328" s="1"/>
  <c r="O70" i="31"/>
  <c r="C469" i="328" s="1"/>
  <c r="E469" i="328" s="1"/>
  <c r="O74" i="31"/>
  <c r="C503" i="328" s="1"/>
  <c r="E503" i="328" s="1"/>
  <c r="O78" i="31"/>
  <c r="C537" i="328" s="1"/>
  <c r="E537" i="328" s="1"/>
  <c r="O42" i="31"/>
  <c r="C231" i="328" s="1"/>
  <c r="E231" i="328" s="1"/>
  <c r="O46" i="31"/>
  <c r="C265" i="328" s="1"/>
  <c r="E265" i="328" s="1"/>
  <c r="O50" i="31"/>
  <c r="C299" i="328" s="1"/>
  <c r="E299" i="328" s="1"/>
  <c r="O54" i="31"/>
  <c r="C333" i="328" s="1"/>
  <c r="E333" i="328" s="1"/>
  <c r="O58" i="31"/>
  <c r="C367" i="328" s="1"/>
  <c r="E367" i="328" s="1"/>
  <c r="O67" i="31"/>
  <c r="I435" i="328" s="1"/>
  <c r="K435" i="328" s="1"/>
  <c r="O71" i="31"/>
  <c r="I469" i="328" s="1"/>
  <c r="K469" i="328" s="1"/>
  <c r="O75" i="31"/>
  <c r="I503" i="328" s="1"/>
  <c r="K503" i="328" s="1"/>
  <c r="O39" i="31"/>
  <c r="I197" i="328" s="1"/>
  <c r="K197" i="328" s="1"/>
  <c r="O43" i="31"/>
  <c r="I231" i="328" s="1"/>
  <c r="K231" i="328" s="1"/>
  <c r="O47" i="31"/>
  <c r="I265" i="328" s="1"/>
  <c r="K265" i="328" s="1"/>
  <c r="O51" i="31"/>
  <c r="I299" i="328" s="1"/>
  <c r="K299" i="328" s="1"/>
  <c r="O55" i="31"/>
  <c r="I333" i="328" s="1"/>
  <c r="K333" i="328" s="1"/>
  <c r="O64" i="31"/>
  <c r="C418" i="328" s="1"/>
  <c r="E418" i="328" s="1"/>
  <c r="O68" i="31"/>
  <c r="C452" i="328" s="1"/>
  <c r="E452" i="328" s="1"/>
  <c r="O72" i="31"/>
  <c r="C486" i="328" s="1"/>
  <c r="E486" i="328" s="1"/>
  <c r="O76" i="31"/>
  <c r="C520" i="328" s="1"/>
  <c r="E520" i="328" s="1"/>
  <c r="O40" i="31"/>
  <c r="C214" i="328" s="1"/>
  <c r="E214" i="328" s="1"/>
  <c r="O44" i="31"/>
  <c r="C248" i="328" s="1"/>
  <c r="E248" i="328" s="1"/>
  <c r="O48" i="31"/>
  <c r="C282" i="328" s="1"/>
  <c r="E282" i="328" s="1"/>
  <c r="O52" i="31"/>
  <c r="C316" i="328" s="1"/>
  <c r="E316" i="328" s="1"/>
  <c r="O56" i="31"/>
  <c r="C350" i="328" s="1"/>
  <c r="E350" i="328" s="1"/>
  <c r="O133" i="31"/>
  <c r="I1031" i="328" s="1"/>
  <c r="K1031" i="328" s="1"/>
  <c r="O134" i="31"/>
  <c r="C1048" i="328" s="1"/>
  <c r="E1048" i="328" s="1"/>
  <c r="O135" i="31"/>
  <c r="I1048" i="328" s="1"/>
  <c r="K1048" i="328" s="1"/>
  <c r="O139" i="31"/>
  <c r="I1082" i="328" s="1"/>
  <c r="K1082" i="328" s="1"/>
  <c r="O143" i="31"/>
  <c r="I1116" i="328" s="1"/>
  <c r="K1116" i="328" s="1"/>
  <c r="O147" i="31"/>
  <c r="I1150" i="328" s="1"/>
  <c r="K1150" i="328" s="1"/>
  <c r="O151" i="31"/>
  <c r="I1184" i="328" s="1"/>
  <c r="K1184" i="328" s="1"/>
  <c r="O114" i="31"/>
  <c r="C878" i="328" s="1"/>
  <c r="E878" i="328" s="1"/>
  <c r="O118" i="31"/>
  <c r="C912" i="328" s="1"/>
  <c r="E912" i="328" s="1"/>
  <c r="O122" i="31"/>
  <c r="C946" i="328" s="1"/>
  <c r="E946" i="328" s="1"/>
  <c r="O126" i="31"/>
  <c r="O130" i="31"/>
  <c r="C1014" i="328" s="1"/>
  <c r="E1014" i="328" s="1"/>
  <c r="O136" i="31"/>
  <c r="C1065" i="328" s="1"/>
  <c r="E1065" i="328" s="1"/>
  <c r="O140" i="31"/>
  <c r="C1099" i="328" s="1"/>
  <c r="E1099" i="328" s="1"/>
  <c r="O144" i="31"/>
  <c r="C1133" i="328" s="1"/>
  <c r="E1133" i="328" s="1"/>
  <c r="O148" i="31"/>
  <c r="C1167" i="328" s="1"/>
  <c r="E1167" i="328" s="1"/>
  <c r="O152" i="31"/>
  <c r="C1201" i="328" s="1"/>
  <c r="E1201" i="328" s="1"/>
  <c r="O111" i="31"/>
  <c r="I844" i="328" s="1"/>
  <c r="K844" i="328" s="1"/>
  <c r="O115" i="31"/>
  <c r="I878" i="328" s="1"/>
  <c r="K878" i="328" s="1"/>
  <c r="O119" i="31"/>
  <c r="I912" i="328" s="1"/>
  <c r="K912" i="328" s="1"/>
  <c r="O123" i="31"/>
  <c r="I946" i="328" s="1"/>
  <c r="K946" i="328" s="1"/>
  <c r="O127" i="31"/>
  <c r="I980" i="328" s="1"/>
  <c r="K980" i="328" s="1"/>
  <c r="O131" i="31"/>
  <c r="I1014" i="328" s="1"/>
  <c r="K1014" i="328" s="1"/>
  <c r="O137" i="31"/>
  <c r="I1065" i="328" s="1"/>
  <c r="K1065" i="328" s="1"/>
  <c r="O141" i="31"/>
  <c r="I1099" i="328" s="1"/>
  <c r="K1099" i="328" s="1"/>
  <c r="O145" i="31"/>
  <c r="I1133" i="328" s="1"/>
  <c r="K1133" i="328" s="1"/>
  <c r="O149" i="31"/>
  <c r="I1167" i="328" s="1"/>
  <c r="K1167" i="328" s="1"/>
  <c r="O153" i="31"/>
  <c r="I1201" i="328" s="1"/>
  <c r="K1201" i="328" s="1"/>
  <c r="O112" i="31"/>
  <c r="C861" i="328" s="1"/>
  <c r="E861" i="328" s="1"/>
  <c r="O116" i="31"/>
  <c r="C895" i="328" s="1"/>
  <c r="E895" i="328" s="1"/>
  <c r="O120" i="31"/>
  <c r="C929" i="328" s="1"/>
  <c r="E929" i="328" s="1"/>
  <c r="O124" i="31"/>
  <c r="C963" i="328" s="1"/>
  <c r="E963" i="328" s="1"/>
  <c r="O128" i="31"/>
  <c r="C997" i="328" s="1"/>
  <c r="E997" i="328" s="1"/>
  <c r="O132" i="31"/>
  <c r="C1031" i="328" s="1"/>
  <c r="E1031" i="328" s="1"/>
  <c r="O138" i="31"/>
  <c r="C1082" i="328" s="1"/>
  <c r="E1082" i="328" s="1"/>
  <c r="O142" i="31"/>
  <c r="C1116" i="328" s="1"/>
  <c r="E1116" i="328" s="1"/>
  <c r="O146" i="31"/>
  <c r="C1150" i="328" s="1"/>
  <c r="E1150" i="328" s="1"/>
  <c r="O150" i="31"/>
  <c r="C1184" i="328" s="1"/>
  <c r="E1184" i="328" s="1"/>
  <c r="O154" i="31"/>
  <c r="C1218" i="328" s="1"/>
  <c r="E1218" i="328" s="1"/>
  <c r="O113" i="31"/>
  <c r="I861" i="328" s="1"/>
  <c r="K861" i="328" s="1"/>
  <c r="O117" i="31"/>
  <c r="I895" i="328" s="1"/>
  <c r="K895" i="328" s="1"/>
  <c r="O121" i="31"/>
  <c r="I929" i="328" s="1"/>
  <c r="K929" i="328" s="1"/>
  <c r="O125" i="31"/>
  <c r="I963" i="328" s="1"/>
  <c r="K963" i="328" s="1"/>
  <c r="O129" i="31"/>
  <c r="I997" i="328" s="1"/>
  <c r="K997" i="328" s="1"/>
  <c r="I1457" i="328"/>
  <c r="K1457" i="328" s="1"/>
  <c r="Z183" i="31"/>
  <c r="I179" i="334" s="1"/>
  <c r="I1440" i="328"/>
  <c r="K1440" i="328" s="1"/>
  <c r="Z181" i="31"/>
  <c r="C1454" i="328"/>
  <c r="E1454" i="328" s="1"/>
  <c r="Z182" i="31"/>
  <c r="C1457" i="328"/>
  <c r="E1457" i="328" s="1"/>
  <c r="I1068" i="328"/>
  <c r="K1068" i="328" s="1"/>
  <c r="I1136" i="328"/>
  <c r="K1136" i="328" s="1"/>
  <c r="I1170" i="328"/>
  <c r="K1170" i="328" s="1"/>
  <c r="I1102" i="328"/>
  <c r="K1102" i="328" s="1"/>
  <c r="I1204" i="328"/>
  <c r="K1204" i="328" s="1"/>
  <c r="C1085" i="328"/>
  <c r="E1085" i="328" s="1"/>
  <c r="C1153" i="328"/>
  <c r="E1153" i="328" s="1"/>
  <c r="C1136" i="328"/>
  <c r="E1136" i="328" s="1"/>
  <c r="C1204" i="328"/>
  <c r="E1204" i="328" s="1"/>
  <c r="C1119" i="328"/>
  <c r="E1119" i="328" s="1"/>
  <c r="C1187" i="328"/>
  <c r="E1187" i="328" s="1"/>
  <c r="C1221" i="328"/>
  <c r="E1221" i="328" s="1"/>
  <c r="I1085" i="328"/>
  <c r="K1085" i="328" s="1"/>
  <c r="I1119" i="328"/>
  <c r="K1119" i="328" s="1"/>
  <c r="C1102" i="328"/>
  <c r="E1102" i="328" s="1"/>
  <c r="C1170" i="328"/>
  <c r="E1170" i="328" s="1"/>
  <c r="Q132" i="31"/>
  <c r="Q136" i="31"/>
  <c r="Q140" i="31"/>
  <c r="Q144" i="31"/>
  <c r="Q148" i="31"/>
  <c r="Q152" i="31"/>
  <c r="Q137" i="31"/>
  <c r="Q141" i="31"/>
  <c r="Q145" i="31"/>
  <c r="Q133" i="31"/>
  <c r="C980" i="328"/>
  <c r="E980" i="328" s="1"/>
  <c r="C398" i="328"/>
  <c r="E398" i="328" s="1"/>
  <c r="S67" i="257"/>
  <c r="S68" i="31" s="1"/>
  <c r="C500" i="328"/>
  <c r="E500" i="328" s="1"/>
  <c r="S75" i="257"/>
  <c r="S76" i="31" s="1"/>
  <c r="C534" i="328"/>
  <c r="E534" i="328" s="1"/>
  <c r="S39" i="257"/>
  <c r="S40" i="31" s="1"/>
  <c r="C228" i="328"/>
  <c r="E228" i="328" s="1"/>
  <c r="S43" i="257"/>
  <c r="S44" i="31" s="1"/>
  <c r="C262" i="328"/>
  <c r="E262" i="328" s="1"/>
  <c r="S47" i="257"/>
  <c r="S48" i="31" s="1"/>
  <c r="C296" i="328"/>
  <c r="E296" i="328" s="1"/>
  <c r="S51" i="257"/>
  <c r="S52" i="31" s="1"/>
  <c r="C330" i="328"/>
  <c r="E330" i="328" s="1"/>
  <c r="S55" i="257"/>
  <c r="S56" i="31" s="1"/>
  <c r="C364" i="328"/>
  <c r="E364" i="328" s="1"/>
  <c r="S59" i="257"/>
  <c r="S60" i="31" s="1"/>
  <c r="C432" i="328"/>
  <c r="E432" i="328" s="1"/>
  <c r="S71" i="257"/>
  <c r="S72" i="31" s="1"/>
  <c r="I398" i="328"/>
  <c r="K398" i="328" s="1"/>
  <c r="S64" i="257"/>
  <c r="I432" i="328"/>
  <c r="K432" i="328" s="1"/>
  <c r="S68" i="257"/>
  <c r="S69" i="31" s="1"/>
  <c r="I466" i="328"/>
  <c r="K466" i="328" s="1"/>
  <c r="S72" i="257"/>
  <c r="S73" i="31" s="1"/>
  <c r="I500" i="328"/>
  <c r="K500" i="328" s="1"/>
  <c r="S76" i="257"/>
  <c r="S77" i="31" s="1"/>
  <c r="I194" i="328"/>
  <c r="K194" i="328" s="1"/>
  <c r="S40" i="257"/>
  <c r="S41" i="31" s="1"/>
  <c r="I228" i="328"/>
  <c r="K228" i="328" s="1"/>
  <c r="S44" i="257"/>
  <c r="S45" i="31" s="1"/>
  <c r="I262" i="328"/>
  <c r="K262" i="328" s="1"/>
  <c r="S48" i="257"/>
  <c r="S49" i="31" s="1"/>
  <c r="I296" i="328"/>
  <c r="K296" i="328" s="1"/>
  <c r="S52" i="257"/>
  <c r="S53" i="31" s="1"/>
  <c r="I330" i="328"/>
  <c r="K330" i="328" s="1"/>
  <c r="S56" i="257"/>
  <c r="S57" i="31" s="1"/>
  <c r="S63" i="257"/>
  <c r="S64" i="31" s="1"/>
  <c r="C466" i="328"/>
  <c r="E466" i="328" s="1"/>
  <c r="I364" i="328"/>
  <c r="K364" i="328" s="1"/>
  <c r="S60" i="257"/>
  <c r="S61" i="31" s="1"/>
  <c r="C381" i="328"/>
  <c r="E381" i="328" s="1"/>
  <c r="S61" i="257"/>
  <c r="S62" i="31" s="1"/>
  <c r="C415" i="328"/>
  <c r="E415" i="328" s="1"/>
  <c r="S65" i="257"/>
  <c r="S66" i="31" s="1"/>
  <c r="C449" i="328"/>
  <c r="E449" i="328" s="1"/>
  <c r="S69" i="257"/>
  <c r="S70" i="31" s="1"/>
  <c r="C483" i="328"/>
  <c r="E483" i="328" s="1"/>
  <c r="S73" i="257"/>
  <c r="S74" i="31" s="1"/>
  <c r="C517" i="328"/>
  <c r="E517" i="328" s="1"/>
  <c r="S77" i="257"/>
  <c r="S78" i="31" s="1"/>
  <c r="C211" i="328"/>
  <c r="E211" i="328" s="1"/>
  <c r="S41" i="257"/>
  <c r="S42" i="31" s="1"/>
  <c r="C245" i="328"/>
  <c r="E245" i="328" s="1"/>
  <c r="S45" i="257"/>
  <c r="S46" i="31" s="1"/>
  <c r="C279" i="328"/>
  <c r="E279" i="328" s="1"/>
  <c r="S49" i="257"/>
  <c r="S50" i="31" s="1"/>
  <c r="C313" i="328"/>
  <c r="E313" i="328" s="1"/>
  <c r="S53" i="257"/>
  <c r="S54" i="31" s="1"/>
  <c r="C347" i="328"/>
  <c r="E347" i="328" s="1"/>
  <c r="S57" i="257"/>
  <c r="S58" i="31" s="1"/>
  <c r="S58" i="257"/>
  <c r="S59" i="31" s="1"/>
  <c r="I381" i="328"/>
  <c r="K381" i="328" s="1"/>
  <c r="S62" i="257"/>
  <c r="S63" i="31" s="1"/>
  <c r="S66" i="257"/>
  <c r="S67" i="31" s="1"/>
  <c r="I449" i="328"/>
  <c r="K449" i="328" s="1"/>
  <c r="S70" i="257"/>
  <c r="S71" i="31" s="1"/>
  <c r="I483" i="328"/>
  <c r="K483" i="328" s="1"/>
  <c r="S74" i="257"/>
  <c r="S75" i="31" s="1"/>
  <c r="I517" i="328"/>
  <c r="K517" i="328" s="1"/>
  <c r="S38" i="257"/>
  <c r="S39" i="31" s="1"/>
  <c r="I211" i="328"/>
  <c r="K211" i="328" s="1"/>
  <c r="S42" i="257"/>
  <c r="S43" i="31" s="1"/>
  <c r="I245" i="328"/>
  <c r="K245" i="328" s="1"/>
  <c r="S46" i="257"/>
  <c r="S47" i="31" s="1"/>
  <c r="I279" i="328"/>
  <c r="K279" i="328" s="1"/>
  <c r="S50" i="257"/>
  <c r="S51" i="31" s="1"/>
  <c r="I313" i="328"/>
  <c r="K313" i="328" s="1"/>
  <c r="S54" i="257"/>
  <c r="S55" i="31" s="1"/>
  <c r="I347" i="328"/>
  <c r="K347" i="328" s="1"/>
  <c r="C1028" i="328"/>
  <c r="E1028" i="328" s="1"/>
  <c r="C1062" i="328"/>
  <c r="E1062" i="328" s="1"/>
  <c r="C1096" i="328"/>
  <c r="E1096" i="328" s="1"/>
  <c r="C1130" i="328"/>
  <c r="E1130" i="328" s="1"/>
  <c r="C1164" i="328"/>
  <c r="E1164" i="328" s="1"/>
  <c r="C1198" i="328"/>
  <c r="E1198" i="328" s="1"/>
  <c r="I841" i="328"/>
  <c r="K841" i="328" s="1"/>
  <c r="I875" i="328"/>
  <c r="K875" i="328" s="1"/>
  <c r="I909" i="328"/>
  <c r="K909" i="328" s="1"/>
  <c r="I943" i="328"/>
  <c r="K943" i="328" s="1"/>
  <c r="I977" i="328"/>
  <c r="K977" i="328" s="1"/>
  <c r="I1011" i="328"/>
  <c r="K1011" i="328" s="1"/>
  <c r="I1028" i="328"/>
  <c r="K1028" i="328" s="1"/>
  <c r="I1062" i="328"/>
  <c r="K1062" i="328" s="1"/>
  <c r="I1096" i="328"/>
  <c r="K1096" i="328" s="1"/>
  <c r="I1130" i="328"/>
  <c r="K1130" i="328" s="1"/>
  <c r="I1164" i="328"/>
  <c r="K1164" i="328" s="1"/>
  <c r="I1198" i="328"/>
  <c r="K1198" i="328" s="1"/>
  <c r="C858" i="328"/>
  <c r="E858" i="328" s="1"/>
  <c r="C892" i="328"/>
  <c r="E892" i="328" s="1"/>
  <c r="C926" i="328"/>
  <c r="E926" i="328" s="1"/>
  <c r="C960" i="328"/>
  <c r="E960" i="328" s="1"/>
  <c r="C994" i="328"/>
  <c r="E994" i="328" s="1"/>
  <c r="C1045" i="328"/>
  <c r="E1045" i="328" s="1"/>
  <c r="C1079" i="328"/>
  <c r="E1079" i="328" s="1"/>
  <c r="C1113" i="328"/>
  <c r="E1113" i="328" s="1"/>
  <c r="C1147" i="328"/>
  <c r="E1147" i="328" s="1"/>
  <c r="C1181" i="328"/>
  <c r="E1181" i="328" s="1"/>
  <c r="C1215" i="328"/>
  <c r="E1215" i="328" s="1"/>
  <c r="I858" i="328"/>
  <c r="K858" i="328" s="1"/>
  <c r="I892" i="328"/>
  <c r="K892" i="328" s="1"/>
  <c r="I926" i="328"/>
  <c r="K926" i="328" s="1"/>
  <c r="I960" i="328"/>
  <c r="K960" i="328" s="1"/>
  <c r="I994" i="328"/>
  <c r="K994" i="328" s="1"/>
  <c r="I1045" i="328"/>
  <c r="K1045" i="328" s="1"/>
  <c r="I1079" i="328"/>
  <c r="K1079" i="328" s="1"/>
  <c r="I1113" i="328"/>
  <c r="K1113" i="328" s="1"/>
  <c r="I1147" i="328"/>
  <c r="K1147" i="328" s="1"/>
  <c r="I1181" i="328"/>
  <c r="K1181" i="328" s="1"/>
  <c r="C875" i="328"/>
  <c r="E875" i="328" s="1"/>
  <c r="C909" i="328"/>
  <c r="E909" i="328" s="1"/>
  <c r="C943" i="328"/>
  <c r="E943" i="328" s="1"/>
  <c r="C977" i="328"/>
  <c r="E977" i="328" s="1"/>
  <c r="C1011" i="328"/>
  <c r="E1011" i="328" s="1"/>
  <c r="S54" i="312"/>
  <c r="S21" i="312"/>
  <c r="S29" i="312"/>
  <c r="S38" i="312"/>
  <c r="S46" i="312"/>
  <c r="S58" i="312"/>
  <c r="S17" i="312"/>
  <c r="S25" i="312"/>
  <c r="S43" i="312"/>
  <c r="S47" i="312"/>
  <c r="S51" i="312"/>
  <c r="S55" i="312"/>
  <c r="S59" i="312"/>
  <c r="S18" i="312"/>
  <c r="S22" i="312"/>
  <c r="S26" i="312"/>
  <c r="S30" i="312"/>
  <c r="S34" i="312"/>
  <c r="S42" i="312"/>
  <c r="S50" i="312"/>
  <c r="S33" i="312"/>
  <c r="S39" i="312"/>
  <c r="S40" i="312"/>
  <c r="S44" i="312"/>
  <c r="S48" i="312"/>
  <c r="S52" i="312"/>
  <c r="S56" i="312"/>
  <c r="S19" i="312"/>
  <c r="S23" i="312"/>
  <c r="S27" i="312"/>
  <c r="S31" i="312"/>
  <c r="S35" i="312"/>
  <c r="S37" i="312"/>
  <c r="S41" i="312"/>
  <c r="S45" i="312"/>
  <c r="S49" i="312"/>
  <c r="S53" i="312"/>
  <c r="S57" i="312"/>
  <c r="S16" i="312"/>
  <c r="S20" i="312"/>
  <c r="S24" i="312"/>
  <c r="S28" i="312"/>
  <c r="S32" i="312"/>
  <c r="S36" i="312"/>
  <c r="H15" i="312"/>
  <c r="AK98" i="249"/>
  <c r="AF7" i="312" s="1"/>
  <c r="H68" i="312"/>
  <c r="H163" i="31" s="1"/>
  <c r="U163" i="31" s="1"/>
  <c r="T186" i="249"/>
  <c r="AQ14" i="249"/>
  <c r="T176" i="249"/>
  <c r="AL14" i="249"/>
  <c r="AO14" i="249" s="1"/>
  <c r="T179" i="249"/>
  <c r="W130" i="321"/>
  <c r="P40" i="312" s="1"/>
  <c r="P135" i="31" s="1"/>
  <c r="W134" i="321"/>
  <c r="P44" i="312" s="1"/>
  <c r="P139" i="31" s="1"/>
  <c r="W138" i="321"/>
  <c r="P48" i="312" s="1"/>
  <c r="P143" i="31" s="1"/>
  <c r="W142" i="321"/>
  <c r="P52" i="312" s="1"/>
  <c r="P147" i="31" s="1"/>
  <c r="W146" i="321"/>
  <c r="P56" i="312" s="1"/>
  <c r="P151" i="31" s="1"/>
  <c r="W105" i="321"/>
  <c r="W109" i="321"/>
  <c r="P19" i="312" s="1"/>
  <c r="P114" i="31" s="1"/>
  <c r="W113" i="321"/>
  <c r="P23" i="312" s="1"/>
  <c r="P118" i="31" s="1"/>
  <c r="W117" i="321"/>
  <c r="P27" i="312" s="1"/>
  <c r="P122" i="31" s="1"/>
  <c r="W121" i="321"/>
  <c r="P31" i="312" s="1"/>
  <c r="P126" i="31" s="1"/>
  <c r="W125" i="321"/>
  <c r="P35" i="312" s="1"/>
  <c r="P130" i="31" s="1"/>
  <c r="W127" i="321"/>
  <c r="P37" i="312" s="1"/>
  <c r="P132" i="31" s="1"/>
  <c r="W131" i="321"/>
  <c r="P41" i="312" s="1"/>
  <c r="P136" i="31" s="1"/>
  <c r="W135" i="321"/>
  <c r="P45" i="312" s="1"/>
  <c r="P140" i="31" s="1"/>
  <c r="W139" i="321"/>
  <c r="P49" i="312" s="1"/>
  <c r="P144" i="31" s="1"/>
  <c r="W143" i="321"/>
  <c r="P53" i="312" s="1"/>
  <c r="P148" i="31" s="1"/>
  <c r="W147" i="321"/>
  <c r="P57" i="312" s="1"/>
  <c r="P152" i="31" s="1"/>
  <c r="Q15" i="312"/>
  <c r="Q110" i="31" s="1"/>
  <c r="W106" i="321"/>
  <c r="P16" i="312" s="1"/>
  <c r="P111" i="31" s="1"/>
  <c r="W110" i="321"/>
  <c r="P20" i="312" s="1"/>
  <c r="P115" i="31" s="1"/>
  <c r="W114" i="321"/>
  <c r="P24" i="312" s="1"/>
  <c r="P119" i="31" s="1"/>
  <c r="W118" i="321"/>
  <c r="P28" i="312" s="1"/>
  <c r="P123" i="31" s="1"/>
  <c r="W122" i="321"/>
  <c r="P32" i="312" s="1"/>
  <c r="P127" i="31" s="1"/>
  <c r="W126" i="321"/>
  <c r="P36" i="312" s="1"/>
  <c r="P131" i="31" s="1"/>
  <c r="W132" i="321"/>
  <c r="P42" i="312" s="1"/>
  <c r="P137" i="31" s="1"/>
  <c r="W136" i="321"/>
  <c r="P46" i="312" s="1"/>
  <c r="P141" i="31" s="1"/>
  <c r="W140" i="321"/>
  <c r="P50" i="312" s="1"/>
  <c r="P145" i="31" s="1"/>
  <c r="W144" i="321"/>
  <c r="P54" i="312" s="1"/>
  <c r="P149" i="31" s="1"/>
  <c r="W148" i="321"/>
  <c r="P58" i="312" s="1"/>
  <c r="P153" i="31" s="1"/>
  <c r="Z105" i="321"/>
  <c r="W107" i="321"/>
  <c r="P17" i="312" s="1"/>
  <c r="P112" i="31" s="1"/>
  <c r="W111" i="321"/>
  <c r="P21" i="312" s="1"/>
  <c r="P116" i="31" s="1"/>
  <c r="W115" i="321"/>
  <c r="P25" i="312" s="1"/>
  <c r="P120" i="31" s="1"/>
  <c r="W119" i="321"/>
  <c r="P29" i="312" s="1"/>
  <c r="P124" i="31" s="1"/>
  <c r="W123" i="321"/>
  <c r="P33" i="312" s="1"/>
  <c r="P128" i="31" s="1"/>
  <c r="W128" i="321"/>
  <c r="P38" i="312" s="1"/>
  <c r="P133" i="31" s="1"/>
  <c r="W129" i="321"/>
  <c r="P39" i="312" s="1"/>
  <c r="P134" i="31" s="1"/>
  <c r="W133" i="321"/>
  <c r="P43" i="312" s="1"/>
  <c r="P138" i="31" s="1"/>
  <c r="W137" i="321"/>
  <c r="P47" i="312" s="1"/>
  <c r="P142" i="31" s="1"/>
  <c r="W141" i="321"/>
  <c r="P51" i="312" s="1"/>
  <c r="P146" i="31" s="1"/>
  <c r="W145" i="321"/>
  <c r="P55" i="312" s="1"/>
  <c r="P150" i="31" s="1"/>
  <c r="W149" i="321"/>
  <c r="P59" i="312" s="1"/>
  <c r="P154" i="31" s="1"/>
  <c r="O15" i="312"/>
  <c r="AA105" i="321"/>
  <c r="W108" i="321"/>
  <c r="P18" i="312" s="1"/>
  <c r="P113" i="31" s="1"/>
  <c r="W112" i="321"/>
  <c r="P22" i="312" s="1"/>
  <c r="P117" i="31" s="1"/>
  <c r="W116" i="321"/>
  <c r="P26" i="312" s="1"/>
  <c r="P121" i="31" s="1"/>
  <c r="W120" i="321"/>
  <c r="P30" i="312" s="1"/>
  <c r="P125" i="31" s="1"/>
  <c r="W124" i="321"/>
  <c r="P34" i="312" s="1"/>
  <c r="P129" i="31" s="1"/>
  <c r="W71" i="321"/>
  <c r="P75" i="257" s="1"/>
  <c r="P76" i="31" s="1"/>
  <c r="W56" i="321"/>
  <c r="P60" i="257" s="1"/>
  <c r="P61" i="31" s="1"/>
  <c r="W60" i="321"/>
  <c r="P64" i="257" s="1"/>
  <c r="P65" i="31" s="1"/>
  <c r="W64" i="321"/>
  <c r="P68" i="257" s="1"/>
  <c r="P69" i="31" s="1"/>
  <c r="W68" i="321"/>
  <c r="P72" i="257" s="1"/>
  <c r="P73" i="31" s="1"/>
  <c r="W72" i="321"/>
  <c r="P76" i="257" s="1"/>
  <c r="P77" i="31" s="1"/>
  <c r="W63" i="321"/>
  <c r="P67" i="257" s="1"/>
  <c r="P68" i="31" s="1"/>
  <c r="W67" i="321"/>
  <c r="P71" i="257" s="1"/>
  <c r="P72" i="31" s="1"/>
  <c r="W57" i="321"/>
  <c r="P61" i="257" s="1"/>
  <c r="P62" i="31" s="1"/>
  <c r="W61" i="321"/>
  <c r="P65" i="257" s="1"/>
  <c r="P66" i="31" s="1"/>
  <c r="W65" i="321"/>
  <c r="P69" i="257" s="1"/>
  <c r="P70" i="31" s="1"/>
  <c r="W69" i="321"/>
  <c r="P73" i="257" s="1"/>
  <c r="P74" i="31" s="1"/>
  <c r="W73" i="321"/>
  <c r="P77" i="257" s="1"/>
  <c r="P78" i="31" s="1"/>
  <c r="W55" i="321"/>
  <c r="P59" i="257" s="1"/>
  <c r="P60" i="31" s="1"/>
  <c r="W59" i="321"/>
  <c r="P63" i="257" s="1"/>
  <c r="P64" i="31" s="1"/>
  <c r="W54" i="321"/>
  <c r="P58" i="257" s="1"/>
  <c r="P59" i="31" s="1"/>
  <c r="W58" i="321"/>
  <c r="P62" i="257" s="1"/>
  <c r="P63" i="31" s="1"/>
  <c r="W62" i="321"/>
  <c r="P66" i="257" s="1"/>
  <c r="P67" i="31" s="1"/>
  <c r="W66" i="321"/>
  <c r="P70" i="257" s="1"/>
  <c r="P71" i="31" s="1"/>
  <c r="W70" i="321"/>
  <c r="P74" i="257" s="1"/>
  <c r="P75" i="31" s="1"/>
  <c r="H173" i="31"/>
  <c r="U173" i="31" s="1"/>
  <c r="W37" i="321"/>
  <c r="P41" i="257" s="1"/>
  <c r="P42" i="31" s="1"/>
  <c r="W41" i="321"/>
  <c r="P45" i="257" s="1"/>
  <c r="P46" i="31" s="1"/>
  <c r="W45" i="321"/>
  <c r="P49" i="257" s="1"/>
  <c r="P50" i="31" s="1"/>
  <c r="W49" i="321"/>
  <c r="P53" i="257" s="1"/>
  <c r="P54" i="31" s="1"/>
  <c r="W53" i="321"/>
  <c r="P57" i="257" s="1"/>
  <c r="P58" i="31" s="1"/>
  <c r="W34" i="321"/>
  <c r="P38" i="257" s="1"/>
  <c r="P39" i="31" s="1"/>
  <c r="W38" i="321"/>
  <c r="P42" i="257" s="1"/>
  <c r="P43" i="31" s="1"/>
  <c r="W42" i="321"/>
  <c r="P46" i="257" s="1"/>
  <c r="P47" i="31" s="1"/>
  <c r="W46" i="321"/>
  <c r="P50" i="257" s="1"/>
  <c r="P51" i="31" s="1"/>
  <c r="W50" i="321"/>
  <c r="P54" i="257" s="1"/>
  <c r="P55" i="31" s="1"/>
  <c r="W35" i="321"/>
  <c r="P39" i="257" s="1"/>
  <c r="P40" i="31" s="1"/>
  <c r="W39" i="321"/>
  <c r="P43" i="257" s="1"/>
  <c r="P44" i="31" s="1"/>
  <c r="W43" i="321"/>
  <c r="P47" i="257" s="1"/>
  <c r="P48" i="31" s="1"/>
  <c r="W47" i="321"/>
  <c r="P51" i="257" s="1"/>
  <c r="P52" i="31" s="1"/>
  <c r="W51" i="321"/>
  <c r="P55" i="257" s="1"/>
  <c r="P56" i="31" s="1"/>
  <c r="W36" i="321"/>
  <c r="P40" i="257" s="1"/>
  <c r="P41" i="31" s="1"/>
  <c r="W40" i="321"/>
  <c r="P44" i="257" s="1"/>
  <c r="P45" i="31" s="1"/>
  <c r="W44" i="321"/>
  <c r="P48" i="257" s="1"/>
  <c r="P49" i="31" s="1"/>
  <c r="W48" i="321"/>
  <c r="P52" i="257" s="1"/>
  <c r="P53" i="31" s="1"/>
  <c r="W52" i="321"/>
  <c r="P56" i="257" s="1"/>
  <c r="P57" i="31" s="1"/>
  <c r="T184" i="249"/>
  <c r="T182" i="249"/>
  <c r="T175" i="249"/>
  <c r="AK12" i="249"/>
  <c r="AF7" i="257" s="1"/>
  <c r="T183" i="249"/>
  <c r="AQ75" i="249"/>
  <c r="H76" i="257"/>
  <c r="AQ59" i="249"/>
  <c r="H60" i="257"/>
  <c r="AQ43" i="249"/>
  <c r="H44" i="257"/>
  <c r="AQ27" i="249"/>
  <c r="H28" i="257"/>
  <c r="AQ120" i="249"/>
  <c r="AQ124" i="249"/>
  <c r="AQ148" i="249"/>
  <c r="AQ90" i="249"/>
  <c r="AQ82" i="249"/>
  <c r="H83" i="257"/>
  <c r="AQ74" i="249"/>
  <c r="H75" i="257"/>
  <c r="AQ66" i="249"/>
  <c r="H67" i="257"/>
  <c r="AQ58" i="249"/>
  <c r="H59" i="257"/>
  <c r="AQ50" i="249"/>
  <c r="H51" i="257"/>
  <c r="AQ42" i="249"/>
  <c r="H43" i="257"/>
  <c r="AQ34" i="249"/>
  <c r="H35" i="257"/>
  <c r="AQ26" i="249"/>
  <c r="H27" i="257"/>
  <c r="AQ18" i="249"/>
  <c r="H19" i="257"/>
  <c r="AQ119" i="249"/>
  <c r="AQ111" i="249"/>
  <c r="AQ103" i="249"/>
  <c r="AQ125" i="249"/>
  <c r="AQ133" i="249"/>
  <c r="AQ141" i="249"/>
  <c r="AQ149" i="249"/>
  <c r="AQ157" i="249"/>
  <c r="H168" i="31"/>
  <c r="U168" i="31" s="1"/>
  <c r="AQ91" i="249"/>
  <c r="AQ67" i="249"/>
  <c r="H68" i="257"/>
  <c r="AQ51" i="249"/>
  <c r="H52" i="257"/>
  <c r="AQ35" i="249"/>
  <c r="H36" i="257"/>
  <c r="AQ19" i="249"/>
  <c r="H20" i="257"/>
  <c r="AQ112" i="249"/>
  <c r="AQ104" i="249"/>
  <c r="AQ132" i="249"/>
  <c r="AQ140" i="249"/>
  <c r="AQ156" i="249"/>
  <c r="H167" i="31"/>
  <c r="U167" i="31" s="1"/>
  <c r="AQ97" i="249"/>
  <c r="AQ81" i="249"/>
  <c r="H82" i="257"/>
  <c r="AQ73" i="249"/>
  <c r="H74" i="257"/>
  <c r="AQ65" i="249"/>
  <c r="H66" i="257"/>
  <c r="AQ57" i="249"/>
  <c r="H58" i="257"/>
  <c r="AQ49" i="249"/>
  <c r="H50" i="257"/>
  <c r="AQ41" i="249"/>
  <c r="H42" i="257"/>
  <c r="AQ33" i="249"/>
  <c r="H34" i="257"/>
  <c r="AQ25" i="249"/>
  <c r="H26" i="257"/>
  <c r="AQ17" i="249"/>
  <c r="H18" i="257"/>
  <c r="AQ118" i="249"/>
  <c r="AQ110" i="249"/>
  <c r="AQ102" i="249"/>
  <c r="AQ126" i="249"/>
  <c r="AQ134" i="249"/>
  <c r="AQ142" i="249"/>
  <c r="AQ150" i="249"/>
  <c r="AQ158" i="249"/>
  <c r="H169" i="31"/>
  <c r="U169" i="31" s="1"/>
  <c r="AQ83" i="249"/>
  <c r="H84" i="257"/>
  <c r="AQ96" i="249"/>
  <c r="AQ88" i="249"/>
  <c r="AQ80" i="249"/>
  <c r="H81" i="257"/>
  <c r="AQ72" i="249"/>
  <c r="H73" i="257"/>
  <c r="AQ64" i="249"/>
  <c r="H65" i="257"/>
  <c r="AQ56" i="249"/>
  <c r="H57" i="257"/>
  <c r="AQ48" i="249"/>
  <c r="H49" i="257"/>
  <c r="AQ40" i="249"/>
  <c r="H41" i="257"/>
  <c r="AQ32" i="249"/>
  <c r="H33" i="257"/>
  <c r="AQ24" i="249"/>
  <c r="H25" i="257"/>
  <c r="AQ16" i="249"/>
  <c r="H17" i="257"/>
  <c r="AQ117" i="249"/>
  <c r="AQ109" i="249"/>
  <c r="AQ101" i="249"/>
  <c r="AQ127" i="249"/>
  <c r="AQ135" i="249"/>
  <c r="AQ143" i="249"/>
  <c r="AQ151" i="249"/>
  <c r="AQ159" i="249"/>
  <c r="H170" i="31"/>
  <c r="U170" i="31" s="1"/>
  <c r="AQ95" i="249"/>
  <c r="AQ87" i="249"/>
  <c r="AQ79" i="249"/>
  <c r="H80" i="257"/>
  <c r="AQ71" i="249"/>
  <c r="H72" i="257"/>
  <c r="AQ63" i="249"/>
  <c r="H64" i="257"/>
  <c r="AQ55" i="249"/>
  <c r="H56" i="257"/>
  <c r="AQ47" i="249"/>
  <c r="H48" i="257"/>
  <c r="AQ39" i="249"/>
  <c r="H40" i="257"/>
  <c r="AQ31" i="249"/>
  <c r="H32" i="257"/>
  <c r="AQ23" i="249"/>
  <c r="H24" i="257"/>
  <c r="H16" i="257"/>
  <c r="AQ116" i="249"/>
  <c r="AQ108" i="249"/>
  <c r="AQ100" i="249"/>
  <c r="AQ128" i="249"/>
  <c r="AQ136" i="249"/>
  <c r="AQ144" i="249"/>
  <c r="AQ152" i="249"/>
  <c r="H184" i="31"/>
  <c r="C1472" i="328"/>
  <c r="E1472" i="328" s="1"/>
  <c r="AQ94" i="249"/>
  <c r="AQ86" i="249"/>
  <c r="AQ78" i="249"/>
  <c r="H79" i="257"/>
  <c r="AQ70" i="249"/>
  <c r="H71" i="257"/>
  <c r="AQ62" i="249"/>
  <c r="H63" i="257"/>
  <c r="AQ54" i="249"/>
  <c r="H55" i="257"/>
  <c r="AQ46" i="249"/>
  <c r="H47" i="257"/>
  <c r="AQ38" i="249"/>
  <c r="H39" i="257"/>
  <c r="AQ30" i="249"/>
  <c r="H31" i="257"/>
  <c r="AQ22" i="249"/>
  <c r="H23" i="257"/>
  <c r="AQ115" i="249"/>
  <c r="AQ107" i="249"/>
  <c r="AQ121" i="249"/>
  <c r="AQ129" i="249"/>
  <c r="AQ137" i="249"/>
  <c r="AQ145" i="249"/>
  <c r="AQ153" i="249"/>
  <c r="H164" i="31"/>
  <c r="U164" i="31" s="1"/>
  <c r="AQ93" i="249"/>
  <c r="AQ85" i="249"/>
  <c r="AQ77" i="249"/>
  <c r="H78" i="257"/>
  <c r="AQ69" i="249"/>
  <c r="H70" i="257"/>
  <c r="AQ61" i="249"/>
  <c r="H62" i="257"/>
  <c r="AQ53" i="249"/>
  <c r="H54" i="257"/>
  <c r="AQ45" i="249"/>
  <c r="H46" i="257"/>
  <c r="AQ37" i="249"/>
  <c r="H38" i="257"/>
  <c r="AQ29" i="249"/>
  <c r="H30" i="257"/>
  <c r="AQ21" i="249"/>
  <c r="H22" i="257"/>
  <c r="AQ114" i="249"/>
  <c r="AQ106" i="249"/>
  <c r="AQ122" i="249"/>
  <c r="AQ130" i="249"/>
  <c r="AQ138" i="249"/>
  <c r="AQ146" i="249"/>
  <c r="AQ154" i="249"/>
  <c r="H165" i="31"/>
  <c r="U165" i="31" s="1"/>
  <c r="H15" i="257"/>
  <c r="AQ92" i="249"/>
  <c r="AQ84" i="249"/>
  <c r="H85" i="257"/>
  <c r="AQ76" i="249"/>
  <c r="H77" i="257"/>
  <c r="AQ68" i="249"/>
  <c r="H69" i="257"/>
  <c r="AQ60" i="249"/>
  <c r="H61" i="257"/>
  <c r="AQ52" i="249"/>
  <c r="H53" i="257"/>
  <c r="AQ44" i="249"/>
  <c r="H45" i="257"/>
  <c r="AQ36" i="249"/>
  <c r="H37" i="257"/>
  <c r="AQ28" i="249"/>
  <c r="H29" i="257"/>
  <c r="AQ20" i="249"/>
  <c r="H21" i="257"/>
  <c r="AQ99" i="249"/>
  <c r="AQ113" i="249"/>
  <c r="AQ105" i="249"/>
  <c r="AQ123" i="249"/>
  <c r="AQ131" i="249"/>
  <c r="AQ139" i="249"/>
  <c r="AQ147" i="249"/>
  <c r="AQ155" i="249"/>
  <c r="H166" i="31"/>
  <c r="U166" i="31" s="1"/>
  <c r="AL148" i="249"/>
  <c r="AL149" i="249"/>
  <c r="AL157" i="249"/>
  <c r="AO157" i="249" s="1"/>
  <c r="AL150" i="249"/>
  <c r="AL158" i="249"/>
  <c r="AO158" i="249" s="1"/>
  <c r="AL156" i="249"/>
  <c r="AO156" i="249" s="1"/>
  <c r="AL151" i="249"/>
  <c r="AO151" i="249" s="1"/>
  <c r="AL159" i="249"/>
  <c r="AO159" i="249" s="1"/>
  <c r="AL144" i="249"/>
  <c r="AO144" i="249" s="1"/>
  <c r="AL152" i="249"/>
  <c r="AL162" i="249"/>
  <c r="AL145" i="249"/>
  <c r="AL153" i="249"/>
  <c r="AO153" i="249" s="1"/>
  <c r="AL146" i="249"/>
  <c r="AL154" i="249"/>
  <c r="AO154" i="249" s="1"/>
  <c r="AL147" i="249"/>
  <c r="AL155" i="249"/>
  <c r="AO155" i="249" s="1"/>
  <c r="AL133" i="249"/>
  <c r="AO133" i="249" s="1"/>
  <c r="AL126" i="249"/>
  <c r="AL134" i="249"/>
  <c r="AL142" i="249"/>
  <c r="AL125" i="249"/>
  <c r="AL127" i="249"/>
  <c r="AL135" i="249"/>
  <c r="AL143" i="249"/>
  <c r="AL141" i="249"/>
  <c r="AL128" i="249"/>
  <c r="AO128" i="249" s="1"/>
  <c r="AL136" i="249"/>
  <c r="AO136" i="249" s="1"/>
  <c r="AL121" i="249"/>
  <c r="AL129" i="249"/>
  <c r="AL137" i="249"/>
  <c r="AL122" i="249"/>
  <c r="AL130" i="249"/>
  <c r="AL138" i="249"/>
  <c r="AL123" i="249"/>
  <c r="AL131" i="249"/>
  <c r="AL139" i="249"/>
  <c r="AL124" i="249"/>
  <c r="AL132" i="249"/>
  <c r="AL140" i="249"/>
  <c r="AL104" i="249"/>
  <c r="AL119" i="249"/>
  <c r="AL111" i="249"/>
  <c r="AL103" i="249"/>
  <c r="AL118" i="249"/>
  <c r="AL110" i="249"/>
  <c r="AO110" i="249" s="1"/>
  <c r="AL102" i="249"/>
  <c r="AO102" i="249" s="1"/>
  <c r="AL120" i="249"/>
  <c r="AL117" i="249"/>
  <c r="AL109" i="249"/>
  <c r="AL101" i="249"/>
  <c r="AL116" i="249"/>
  <c r="AL108" i="249"/>
  <c r="AL100" i="249"/>
  <c r="AL115" i="249"/>
  <c r="AL107" i="249"/>
  <c r="AL114" i="249"/>
  <c r="AL106" i="249"/>
  <c r="AL112" i="249"/>
  <c r="AL113" i="249"/>
  <c r="AL105" i="249"/>
  <c r="AL57" i="249"/>
  <c r="AL91" i="249"/>
  <c r="AO91" i="249" s="1"/>
  <c r="AL83" i="249"/>
  <c r="AO83" i="249" s="1"/>
  <c r="AL75" i="249"/>
  <c r="AL67" i="249"/>
  <c r="AO67" i="249" s="1"/>
  <c r="AL59" i="249"/>
  <c r="AO59" i="249" s="1"/>
  <c r="AL51" i="249"/>
  <c r="AO51" i="249" s="1"/>
  <c r="AL43" i="249"/>
  <c r="AL35" i="249"/>
  <c r="AL27" i="249"/>
  <c r="AO27" i="249" s="1"/>
  <c r="AL19" i="249"/>
  <c r="AO19" i="249" s="1"/>
  <c r="AL17" i="249"/>
  <c r="AL90" i="249"/>
  <c r="AO90" i="249" s="1"/>
  <c r="AL82" i="249"/>
  <c r="AL74" i="249"/>
  <c r="AO74" i="249" s="1"/>
  <c r="AL66" i="249"/>
  <c r="AL58" i="249"/>
  <c r="AL50" i="249"/>
  <c r="AO50" i="249" s="1"/>
  <c r="AL42" i="249"/>
  <c r="AL34" i="249"/>
  <c r="AL26" i="249"/>
  <c r="AO26" i="249" s="1"/>
  <c r="AL18" i="249"/>
  <c r="AL97" i="249"/>
  <c r="AO97" i="249" s="1"/>
  <c r="AL81" i="249"/>
  <c r="AO81" i="249" s="1"/>
  <c r="AL41" i="249"/>
  <c r="AO41" i="249" s="1"/>
  <c r="AL96" i="249"/>
  <c r="AO96" i="249" s="1"/>
  <c r="AL88" i="249"/>
  <c r="AO88" i="249" s="1"/>
  <c r="AL80" i="249"/>
  <c r="AO80" i="249" s="1"/>
  <c r="AL72" i="249"/>
  <c r="AO72" i="249" s="1"/>
  <c r="AL64" i="249"/>
  <c r="AO64" i="249" s="1"/>
  <c r="AL56" i="249"/>
  <c r="AO56" i="249" s="1"/>
  <c r="AL48" i="249"/>
  <c r="AO48" i="249" s="1"/>
  <c r="AL40" i="249"/>
  <c r="AO40" i="249" s="1"/>
  <c r="AL32" i="249"/>
  <c r="AO32" i="249" s="1"/>
  <c r="AL24" i="249"/>
  <c r="AL16" i="249"/>
  <c r="AL65" i="249"/>
  <c r="AL95" i="249"/>
  <c r="AO95" i="249" s="1"/>
  <c r="AL87" i="249"/>
  <c r="AO87" i="249" s="1"/>
  <c r="AL79" i="249"/>
  <c r="AO79" i="249" s="1"/>
  <c r="AL71" i="249"/>
  <c r="AO71" i="249" s="1"/>
  <c r="AL63" i="249"/>
  <c r="AO63" i="249" s="1"/>
  <c r="AL55" i="249"/>
  <c r="AL47" i="249"/>
  <c r="AO47" i="249" s="1"/>
  <c r="AL39" i="249"/>
  <c r="AO39" i="249" s="1"/>
  <c r="AL31" i="249"/>
  <c r="AO31" i="249" s="1"/>
  <c r="AL23" i="249"/>
  <c r="AL15" i="249"/>
  <c r="AL73" i="249"/>
  <c r="AO73" i="249" s="1"/>
  <c r="AL25" i="249"/>
  <c r="AO25" i="249" s="1"/>
  <c r="AL94" i="249"/>
  <c r="AO94" i="249" s="1"/>
  <c r="AL86" i="249"/>
  <c r="AO86" i="249" s="1"/>
  <c r="AL78" i="249"/>
  <c r="AO78" i="249" s="1"/>
  <c r="AL70" i="249"/>
  <c r="AO70" i="249" s="1"/>
  <c r="AL62" i="249"/>
  <c r="AL54" i="249"/>
  <c r="AO54" i="249" s="1"/>
  <c r="AL46" i="249"/>
  <c r="AO46" i="249" s="1"/>
  <c r="AL38" i="249"/>
  <c r="AO38" i="249" s="1"/>
  <c r="AL30" i="249"/>
  <c r="AL22" i="249"/>
  <c r="AO22" i="249" s="1"/>
  <c r="AL49" i="249"/>
  <c r="AO49" i="249" s="1"/>
  <c r="AL93" i="249"/>
  <c r="AO93" i="249" s="1"/>
  <c r="AL85" i="249"/>
  <c r="AO85" i="249" s="1"/>
  <c r="AL77" i="249"/>
  <c r="AO77" i="249" s="1"/>
  <c r="AL69" i="249"/>
  <c r="AO69" i="249" s="1"/>
  <c r="AL61" i="249"/>
  <c r="AO61" i="249" s="1"/>
  <c r="AL53" i="249"/>
  <c r="AO53" i="249" s="1"/>
  <c r="AL45" i="249"/>
  <c r="AO45" i="249" s="1"/>
  <c r="AL37" i="249"/>
  <c r="AO37" i="249" s="1"/>
  <c r="AL29" i="249"/>
  <c r="AO29" i="249" s="1"/>
  <c r="AL21" i="249"/>
  <c r="AO21" i="249" s="1"/>
  <c r="AL89" i="249"/>
  <c r="AL33" i="249"/>
  <c r="AL92" i="249"/>
  <c r="AO92" i="249" s="1"/>
  <c r="AL84" i="249"/>
  <c r="AO84" i="249" s="1"/>
  <c r="AL76" i="249"/>
  <c r="AO76" i="249" s="1"/>
  <c r="AL68" i="249"/>
  <c r="AL60" i="249"/>
  <c r="AO60" i="249" s="1"/>
  <c r="AL52" i="249"/>
  <c r="AO52" i="249" s="1"/>
  <c r="AL44" i="249"/>
  <c r="AO44" i="249" s="1"/>
  <c r="AL36" i="249"/>
  <c r="AO36" i="249" s="1"/>
  <c r="AL28" i="249"/>
  <c r="AO28" i="249" s="1"/>
  <c r="AL20" i="249"/>
  <c r="AO20" i="249" s="1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Z49" i="31" l="1"/>
  <c r="I45" i="334" s="1"/>
  <c r="Z75" i="31"/>
  <c r="I71" i="334" s="1"/>
  <c r="Z52" i="31"/>
  <c r="I48" i="334" s="1"/>
  <c r="Z51" i="31"/>
  <c r="I47" i="334" s="1"/>
  <c r="Z56" i="31"/>
  <c r="I52" i="334" s="1"/>
  <c r="Z40" i="31"/>
  <c r="I36" i="334" s="1"/>
  <c r="Z69" i="31"/>
  <c r="I65" i="334" s="1"/>
  <c r="Z55" i="31"/>
  <c r="I51" i="334" s="1"/>
  <c r="Z39" i="31"/>
  <c r="I35" i="334" s="1"/>
  <c r="Z71" i="31"/>
  <c r="I67" i="334" s="1"/>
  <c r="Z63" i="31"/>
  <c r="I59" i="334" s="1"/>
  <c r="Z58" i="31"/>
  <c r="I54" i="334" s="1"/>
  <c r="Z60" i="31"/>
  <c r="I56" i="334" s="1"/>
  <c r="Z64" i="31"/>
  <c r="I60" i="334" s="1"/>
  <c r="Z57" i="31"/>
  <c r="I53" i="334" s="1"/>
  <c r="Z41" i="31"/>
  <c r="I37" i="334" s="1"/>
  <c r="Z59" i="31"/>
  <c r="I55" i="334" s="1"/>
  <c r="Z55" i="257"/>
  <c r="Z47" i="257"/>
  <c r="Z39" i="257"/>
  <c r="Z71" i="257"/>
  <c r="Z63" i="257"/>
  <c r="Z50" i="257"/>
  <c r="Z42" i="257"/>
  <c r="Z74" i="257"/>
  <c r="Z66" i="257"/>
  <c r="Z53" i="257"/>
  <c r="Z45" i="257"/>
  <c r="Z77" i="257"/>
  <c r="Z69" i="257"/>
  <c r="Z61" i="257"/>
  <c r="Z58" i="257"/>
  <c r="Z52" i="257"/>
  <c r="Z44" i="257"/>
  <c r="Z76" i="257"/>
  <c r="Z68" i="257"/>
  <c r="Z60" i="257"/>
  <c r="Z51" i="257"/>
  <c r="Z43" i="257"/>
  <c r="Z75" i="257"/>
  <c r="Z67" i="257"/>
  <c r="Z54" i="257"/>
  <c r="Z46" i="257"/>
  <c r="Z38" i="257"/>
  <c r="Z70" i="257"/>
  <c r="Z57" i="257"/>
  <c r="Z49" i="257"/>
  <c r="Z41" i="257"/>
  <c r="Z73" i="257"/>
  <c r="Z65" i="257"/>
  <c r="Z62" i="257"/>
  <c r="Z56" i="257"/>
  <c r="Z48" i="257"/>
  <c r="Z40" i="257"/>
  <c r="Z72" i="257"/>
  <c r="Z64" i="257"/>
  <c r="Z59" i="257"/>
  <c r="S65" i="31"/>
  <c r="Z65" i="31" s="1"/>
  <c r="I61" i="334" s="1"/>
  <c r="Z34" i="312"/>
  <c r="Z26" i="312"/>
  <c r="Z18" i="312"/>
  <c r="Z55" i="312"/>
  <c r="Z47" i="312"/>
  <c r="Z37" i="312"/>
  <c r="Z29" i="312"/>
  <c r="Z21" i="312"/>
  <c r="Z58" i="312"/>
  <c r="Z50" i="312"/>
  <c r="Z42" i="312"/>
  <c r="Z32" i="312"/>
  <c r="Z24" i="312"/>
  <c r="Z16" i="312"/>
  <c r="Z53" i="312"/>
  <c r="Z45" i="312"/>
  <c r="Z35" i="312"/>
  <c r="Z27" i="312"/>
  <c r="Z19" i="312"/>
  <c r="Z52" i="312"/>
  <c r="Z44" i="312"/>
  <c r="Z39" i="312"/>
  <c r="O110" i="31"/>
  <c r="Z30" i="312"/>
  <c r="Z22" i="312"/>
  <c r="Z59" i="312"/>
  <c r="Z51" i="312"/>
  <c r="Z43" i="312"/>
  <c r="Z33" i="312"/>
  <c r="Z25" i="312"/>
  <c r="Z17" i="312"/>
  <c r="Z54" i="312"/>
  <c r="Z46" i="312"/>
  <c r="Z36" i="312"/>
  <c r="Z28" i="312"/>
  <c r="Z20" i="312"/>
  <c r="Z57" i="312"/>
  <c r="Z49" i="312"/>
  <c r="Z41" i="312"/>
  <c r="Z31" i="312"/>
  <c r="Z23" i="312"/>
  <c r="Z56" i="312"/>
  <c r="Z48" i="312"/>
  <c r="Z40" i="312"/>
  <c r="Z38" i="312"/>
  <c r="AA181" i="31"/>
  <c r="AC181" i="31" s="1"/>
  <c r="I177" i="334"/>
  <c r="J177" i="334" s="1"/>
  <c r="M177" i="334" s="1"/>
  <c r="AA182" i="31"/>
  <c r="AC182" i="31" s="1"/>
  <c r="I178" i="334"/>
  <c r="J178" i="334" s="1"/>
  <c r="M178" i="334" s="1"/>
  <c r="Z66" i="31"/>
  <c r="I62" i="334" s="1"/>
  <c r="Z76" i="31"/>
  <c r="I72" i="334" s="1"/>
  <c r="Z54" i="31"/>
  <c r="I50" i="334" s="1"/>
  <c r="Z78" i="31"/>
  <c r="I74" i="334" s="1"/>
  <c r="Z62" i="31"/>
  <c r="I58" i="334" s="1"/>
  <c r="Z42" i="31"/>
  <c r="I38" i="334" s="1"/>
  <c r="Z48" i="31"/>
  <c r="I44" i="334" s="1"/>
  <c r="Z72" i="31"/>
  <c r="I68" i="334" s="1"/>
  <c r="Z77" i="31"/>
  <c r="I73" i="334" s="1"/>
  <c r="Z47" i="31"/>
  <c r="I43" i="334" s="1"/>
  <c r="Z50" i="31"/>
  <c r="I46" i="334" s="1"/>
  <c r="Z74" i="31"/>
  <c r="I70" i="334" s="1"/>
  <c r="Z44" i="31"/>
  <c r="I40" i="334" s="1"/>
  <c r="Z68" i="31"/>
  <c r="I64" i="334" s="1"/>
  <c r="Z73" i="31"/>
  <c r="I69" i="334" s="1"/>
  <c r="Z43" i="31"/>
  <c r="I39" i="334" s="1"/>
  <c r="Z67" i="31"/>
  <c r="I63" i="334" s="1"/>
  <c r="Z53" i="31"/>
  <c r="I49" i="334" s="1"/>
  <c r="Z61" i="31"/>
  <c r="I57" i="334" s="1"/>
  <c r="Z46" i="31"/>
  <c r="I42" i="334" s="1"/>
  <c r="Z70" i="31"/>
  <c r="I66" i="334" s="1"/>
  <c r="Z45" i="31"/>
  <c r="I41" i="334" s="1"/>
  <c r="R126" i="321"/>
  <c r="U126" i="321" s="1"/>
  <c r="AO120" i="249"/>
  <c r="R146" i="321"/>
  <c r="U146" i="321" s="1"/>
  <c r="AO140" i="249"/>
  <c r="R128" i="321"/>
  <c r="U128" i="321" s="1"/>
  <c r="AO122" i="249"/>
  <c r="R141" i="321"/>
  <c r="U141" i="321" s="1"/>
  <c r="AO135" i="249"/>
  <c r="R156" i="321"/>
  <c r="U156" i="321" s="1"/>
  <c r="AO150" i="249"/>
  <c r="R119" i="321"/>
  <c r="U119" i="321" s="1"/>
  <c r="AO113" i="249"/>
  <c r="R122" i="321"/>
  <c r="U122" i="321" s="1"/>
  <c r="AO116" i="249"/>
  <c r="R109" i="321"/>
  <c r="U109" i="321" s="1"/>
  <c r="AO103" i="249"/>
  <c r="R137" i="321"/>
  <c r="U137" i="321" s="1"/>
  <c r="AO131" i="249"/>
  <c r="R140" i="321"/>
  <c r="U140" i="321" s="1"/>
  <c r="AO134" i="249"/>
  <c r="R151" i="321"/>
  <c r="U151" i="321" s="1"/>
  <c r="AO145" i="249"/>
  <c r="R118" i="321"/>
  <c r="U118" i="321" s="1"/>
  <c r="AO112" i="249"/>
  <c r="R132" i="321"/>
  <c r="U132" i="321" s="1"/>
  <c r="AO126" i="249"/>
  <c r="R121" i="321"/>
  <c r="U121" i="321" s="1"/>
  <c r="AO115" i="249"/>
  <c r="R117" i="321"/>
  <c r="U117" i="321" s="1"/>
  <c r="AO111" i="249"/>
  <c r="R138" i="321"/>
  <c r="U138" i="321" s="1"/>
  <c r="AO132" i="249"/>
  <c r="R129" i="321"/>
  <c r="U129" i="321" s="1"/>
  <c r="AO123" i="249"/>
  <c r="R133" i="321"/>
  <c r="U133" i="321" s="1"/>
  <c r="AO127" i="249"/>
  <c r="R168" i="321"/>
  <c r="AO162" i="249"/>
  <c r="R112" i="321"/>
  <c r="U112" i="321" s="1"/>
  <c r="AO106" i="249"/>
  <c r="R106" i="321"/>
  <c r="U106" i="321" s="1"/>
  <c r="AO100" i="249"/>
  <c r="R115" i="321"/>
  <c r="U115" i="321" s="1"/>
  <c r="AO109" i="249"/>
  <c r="R125" i="321"/>
  <c r="U125" i="321" s="1"/>
  <c r="AO119" i="249"/>
  <c r="R130" i="321"/>
  <c r="U130" i="321" s="1"/>
  <c r="AO124" i="249"/>
  <c r="R144" i="321"/>
  <c r="U144" i="321" s="1"/>
  <c r="AO138" i="249"/>
  <c r="R135" i="321"/>
  <c r="U135" i="321" s="1"/>
  <c r="AO129" i="249"/>
  <c r="R147" i="321"/>
  <c r="U147" i="321" s="1"/>
  <c r="AO141" i="249"/>
  <c r="R131" i="321"/>
  <c r="U131" i="321" s="1"/>
  <c r="AO125" i="249"/>
  <c r="R152" i="321"/>
  <c r="U152" i="321" s="1"/>
  <c r="AO146" i="249"/>
  <c r="R158" i="321"/>
  <c r="AO152" i="249"/>
  <c r="R155" i="321"/>
  <c r="U155" i="321" s="1"/>
  <c r="AO149" i="249"/>
  <c r="R113" i="321"/>
  <c r="U113" i="321" s="1"/>
  <c r="AO107" i="249"/>
  <c r="R153" i="321"/>
  <c r="U153" i="321" s="1"/>
  <c r="AO147" i="249"/>
  <c r="R107" i="321"/>
  <c r="U107" i="321" s="1"/>
  <c r="AO101" i="249"/>
  <c r="R143" i="321"/>
  <c r="U143" i="321" s="1"/>
  <c r="AO137" i="249"/>
  <c r="R111" i="321"/>
  <c r="U111" i="321" s="1"/>
  <c r="AO105" i="249"/>
  <c r="R120" i="321"/>
  <c r="U120" i="321" s="1"/>
  <c r="AO114" i="249"/>
  <c r="R114" i="321"/>
  <c r="U114" i="321" s="1"/>
  <c r="AO108" i="249"/>
  <c r="R123" i="321"/>
  <c r="U123" i="321" s="1"/>
  <c r="AO117" i="249"/>
  <c r="R124" i="321"/>
  <c r="U124" i="321" s="1"/>
  <c r="AO118" i="249"/>
  <c r="R110" i="321"/>
  <c r="U110" i="321" s="1"/>
  <c r="AO104" i="249"/>
  <c r="R145" i="321"/>
  <c r="U145" i="321" s="1"/>
  <c r="AO139" i="249"/>
  <c r="R136" i="321"/>
  <c r="U136" i="321" s="1"/>
  <c r="AO130" i="249"/>
  <c r="R127" i="321"/>
  <c r="U127" i="321" s="1"/>
  <c r="AO121" i="249"/>
  <c r="R149" i="321"/>
  <c r="U149" i="321" s="1"/>
  <c r="AO143" i="249"/>
  <c r="R148" i="321"/>
  <c r="U148" i="321" s="1"/>
  <c r="AO142" i="249"/>
  <c r="R154" i="321"/>
  <c r="U154" i="321" s="1"/>
  <c r="AO148" i="249"/>
  <c r="R31" i="321"/>
  <c r="AO34" i="249"/>
  <c r="R15" i="321"/>
  <c r="U15" i="321" s="1"/>
  <c r="AO18" i="249"/>
  <c r="AR89" i="249"/>
  <c r="AO89" i="249"/>
  <c r="D23" i="317" s="1"/>
  <c r="R13" i="321"/>
  <c r="U13" i="321" s="1"/>
  <c r="AO16" i="249"/>
  <c r="R63" i="321"/>
  <c r="AO66" i="249"/>
  <c r="R14" i="321"/>
  <c r="U14" i="321" s="1"/>
  <c r="AO17" i="249"/>
  <c r="R72" i="321"/>
  <c r="AO75" i="249"/>
  <c r="R27" i="321"/>
  <c r="U27" i="321" s="1"/>
  <c r="AO30" i="249"/>
  <c r="R59" i="321"/>
  <c r="AO62" i="249"/>
  <c r="R20" i="321"/>
  <c r="U20" i="321" s="1"/>
  <c r="AO23" i="249"/>
  <c r="R52" i="321"/>
  <c r="AO55" i="249"/>
  <c r="R21" i="321"/>
  <c r="U21" i="321" s="1"/>
  <c r="AO24" i="249"/>
  <c r="R39" i="321"/>
  <c r="AO42" i="249"/>
  <c r="R79" i="321"/>
  <c r="U79" i="321" s="1"/>
  <c r="AO82" i="249"/>
  <c r="R65" i="321"/>
  <c r="AO68" i="249"/>
  <c r="R30" i="321"/>
  <c r="U30" i="321" s="1"/>
  <c r="AO33" i="249"/>
  <c r="R62" i="321"/>
  <c r="AO65" i="249"/>
  <c r="R55" i="321"/>
  <c r="U55" i="321" s="1"/>
  <c r="AO58" i="249"/>
  <c r="R32" i="321"/>
  <c r="AO35" i="249"/>
  <c r="R54" i="321"/>
  <c r="U54" i="321" s="1"/>
  <c r="AO57" i="249"/>
  <c r="R12" i="321"/>
  <c r="AO15" i="249"/>
  <c r="R40" i="321"/>
  <c r="U40" i="321" s="1"/>
  <c r="AO43" i="249"/>
  <c r="I1016" i="328"/>
  <c r="K1016" i="328" s="1"/>
  <c r="S131" i="31"/>
  <c r="Z131" i="31" s="1"/>
  <c r="I880" i="328"/>
  <c r="K880" i="328" s="1"/>
  <c r="S115" i="31"/>
  <c r="Z115" i="31" s="1"/>
  <c r="C1135" i="328"/>
  <c r="E1135" i="328" s="1"/>
  <c r="S144" i="31"/>
  <c r="Z144" i="31" s="1"/>
  <c r="C1016" i="328"/>
  <c r="E1016" i="328" s="1"/>
  <c r="S130" i="31"/>
  <c r="Z130" i="31" s="1"/>
  <c r="C880" i="328"/>
  <c r="E880" i="328" s="1"/>
  <c r="S114" i="31"/>
  <c r="Z114" i="31" s="1"/>
  <c r="I1084" i="328"/>
  <c r="K1084" i="328" s="1"/>
  <c r="S139" i="31"/>
  <c r="Z139" i="31" s="1"/>
  <c r="I1135" i="328"/>
  <c r="K1135" i="328" s="1"/>
  <c r="S145" i="31"/>
  <c r="Z145" i="31" s="1"/>
  <c r="I931" i="328"/>
  <c r="K931" i="328" s="1"/>
  <c r="S121" i="31"/>
  <c r="Z121" i="31" s="1"/>
  <c r="C1186" i="328"/>
  <c r="E1186" i="328" s="1"/>
  <c r="S150" i="31"/>
  <c r="Z150" i="31" s="1"/>
  <c r="C931" i="328"/>
  <c r="E931" i="328" s="1"/>
  <c r="S120" i="31"/>
  <c r="Z120" i="31" s="1"/>
  <c r="I1033" i="328"/>
  <c r="K1033" i="328" s="1"/>
  <c r="S133" i="31"/>
  <c r="Z133" i="31" s="1"/>
  <c r="I982" i="328"/>
  <c r="K982" i="328" s="1"/>
  <c r="S127" i="31"/>
  <c r="Z127" i="31" s="1"/>
  <c r="I846" i="328"/>
  <c r="K846" i="328" s="1"/>
  <c r="S111" i="31"/>
  <c r="Z111" i="31" s="1"/>
  <c r="C1101" i="328"/>
  <c r="E1101" i="328" s="1"/>
  <c r="S140" i="31"/>
  <c r="Z140" i="31" s="1"/>
  <c r="C982" i="328"/>
  <c r="E982" i="328" s="1"/>
  <c r="S126" i="31"/>
  <c r="Z126" i="31" s="1"/>
  <c r="I1186" i="328"/>
  <c r="K1186" i="328" s="1"/>
  <c r="S151" i="31"/>
  <c r="Z151" i="31" s="1"/>
  <c r="I1050" i="328"/>
  <c r="K1050" i="328" s="1"/>
  <c r="S135" i="31"/>
  <c r="Z135" i="31" s="1"/>
  <c r="I1067" i="328"/>
  <c r="K1067" i="328" s="1"/>
  <c r="S137" i="31"/>
  <c r="Z137" i="31" s="1"/>
  <c r="I897" i="328"/>
  <c r="K897" i="328" s="1"/>
  <c r="S117" i="31"/>
  <c r="Z117" i="31" s="1"/>
  <c r="C1152" i="328"/>
  <c r="E1152" i="328" s="1"/>
  <c r="S146" i="31"/>
  <c r="Z146" i="31" s="1"/>
  <c r="C863" i="328"/>
  <c r="E863" i="328" s="1"/>
  <c r="S112" i="31"/>
  <c r="Z112" i="31" s="1"/>
  <c r="C965" i="328"/>
  <c r="E965" i="328" s="1"/>
  <c r="S124" i="31"/>
  <c r="Z124" i="31" s="1"/>
  <c r="I948" i="328"/>
  <c r="K948" i="328" s="1"/>
  <c r="S123" i="31"/>
  <c r="Z123" i="31" s="1"/>
  <c r="C1203" i="328"/>
  <c r="E1203" i="328" s="1"/>
  <c r="S152" i="31"/>
  <c r="Z152" i="31" s="1"/>
  <c r="C1067" i="328"/>
  <c r="E1067" i="328" s="1"/>
  <c r="S136" i="31"/>
  <c r="Z136" i="31" s="1"/>
  <c r="C948" i="328"/>
  <c r="E948" i="328" s="1"/>
  <c r="S122" i="31"/>
  <c r="Z122" i="31" s="1"/>
  <c r="I1152" i="328"/>
  <c r="K1152" i="328" s="1"/>
  <c r="S147" i="31"/>
  <c r="Z147" i="31" s="1"/>
  <c r="C1050" i="328"/>
  <c r="E1050" i="328" s="1"/>
  <c r="S134" i="31"/>
  <c r="Z134" i="31" s="1"/>
  <c r="I999" i="328"/>
  <c r="K999" i="328" s="1"/>
  <c r="S129" i="31"/>
  <c r="Z129" i="31" s="1"/>
  <c r="I863" i="328"/>
  <c r="K863" i="328" s="1"/>
  <c r="S113" i="31"/>
  <c r="Z113" i="31" s="1"/>
  <c r="C1118" i="328"/>
  <c r="E1118" i="328" s="1"/>
  <c r="S142" i="31"/>
  <c r="Z142" i="31" s="1"/>
  <c r="I1203" i="328"/>
  <c r="K1203" i="328" s="1"/>
  <c r="S153" i="31"/>
  <c r="Z153" i="31" s="1"/>
  <c r="C897" i="328"/>
  <c r="E897" i="328" s="1"/>
  <c r="S116" i="31"/>
  <c r="Z116" i="31" s="1"/>
  <c r="I914" i="328"/>
  <c r="K914" i="328" s="1"/>
  <c r="S119" i="31"/>
  <c r="Z119" i="31" s="1"/>
  <c r="C1169" i="328"/>
  <c r="E1169" i="328" s="1"/>
  <c r="S148" i="31"/>
  <c r="Z148" i="31" s="1"/>
  <c r="C1033" i="328"/>
  <c r="E1033" i="328" s="1"/>
  <c r="S132" i="31"/>
  <c r="Z132" i="31" s="1"/>
  <c r="C914" i="328"/>
  <c r="E914" i="328" s="1"/>
  <c r="S118" i="31"/>
  <c r="Z118" i="31" s="1"/>
  <c r="I1118" i="328"/>
  <c r="K1118" i="328" s="1"/>
  <c r="S143" i="31"/>
  <c r="Z143" i="31" s="1"/>
  <c r="C999" i="328"/>
  <c r="E999" i="328" s="1"/>
  <c r="S128" i="31"/>
  <c r="Z128" i="31" s="1"/>
  <c r="I965" i="328"/>
  <c r="K965" i="328" s="1"/>
  <c r="S125" i="31"/>
  <c r="Z125" i="31" s="1"/>
  <c r="C1220" i="328"/>
  <c r="E1220" i="328" s="1"/>
  <c r="S154" i="31"/>
  <c r="Z154" i="31" s="1"/>
  <c r="C1084" i="328"/>
  <c r="E1084" i="328" s="1"/>
  <c r="S138" i="31"/>
  <c r="Z138" i="31" s="1"/>
  <c r="I1101" i="328"/>
  <c r="K1101" i="328" s="1"/>
  <c r="S141" i="31"/>
  <c r="Z141" i="31" s="1"/>
  <c r="I1169" i="328"/>
  <c r="K1169" i="328" s="1"/>
  <c r="S149" i="31"/>
  <c r="Z149" i="31" s="1"/>
  <c r="I301" i="328"/>
  <c r="K301" i="328" s="1"/>
  <c r="I505" i="328"/>
  <c r="K505" i="328" s="1"/>
  <c r="I403" i="328"/>
  <c r="K403" i="328" s="1"/>
  <c r="C335" i="328"/>
  <c r="E335" i="328" s="1"/>
  <c r="C539" i="328"/>
  <c r="E539" i="328" s="1"/>
  <c r="C403" i="328"/>
  <c r="E403" i="328" s="1"/>
  <c r="I318" i="328"/>
  <c r="K318" i="328" s="1"/>
  <c r="I522" i="328"/>
  <c r="K522" i="328" s="1"/>
  <c r="C488" i="328"/>
  <c r="E488" i="328" s="1"/>
  <c r="C284" i="328"/>
  <c r="E284" i="328" s="1"/>
  <c r="C454" i="328"/>
  <c r="E454" i="328" s="1"/>
  <c r="I335" i="328"/>
  <c r="K335" i="328" s="1"/>
  <c r="I199" i="328"/>
  <c r="K199" i="328" s="1"/>
  <c r="C267" i="328"/>
  <c r="E267" i="328" s="1"/>
  <c r="C471" i="328"/>
  <c r="E471" i="328" s="1"/>
  <c r="I250" i="328"/>
  <c r="K250" i="328" s="1"/>
  <c r="I454" i="328"/>
  <c r="K454" i="328" s="1"/>
  <c r="C352" i="328"/>
  <c r="E352" i="328" s="1"/>
  <c r="I267" i="328"/>
  <c r="K267" i="328" s="1"/>
  <c r="I471" i="328"/>
  <c r="K471" i="328" s="1"/>
  <c r="I369" i="328"/>
  <c r="K369" i="328" s="1"/>
  <c r="C301" i="328"/>
  <c r="E301" i="328" s="1"/>
  <c r="I386" i="328"/>
  <c r="K386" i="328" s="1"/>
  <c r="C420" i="328"/>
  <c r="E420" i="328" s="1"/>
  <c r="I284" i="328"/>
  <c r="K284" i="328" s="1"/>
  <c r="C369" i="328"/>
  <c r="E369" i="328" s="1"/>
  <c r="C233" i="328"/>
  <c r="E233" i="328" s="1"/>
  <c r="C437" i="328"/>
  <c r="E437" i="328" s="1"/>
  <c r="I352" i="328"/>
  <c r="K352" i="328" s="1"/>
  <c r="I216" i="328"/>
  <c r="K216" i="328" s="1"/>
  <c r="C318" i="328"/>
  <c r="E318" i="328" s="1"/>
  <c r="C522" i="328"/>
  <c r="E522" i="328" s="1"/>
  <c r="I233" i="328"/>
  <c r="K233" i="328" s="1"/>
  <c r="I437" i="328"/>
  <c r="K437" i="328" s="1"/>
  <c r="C216" i="328"/>
  <c r="E216" i="328" s="1"/>
  <c r="C505" i="328"/>
  <c r="E505" i="328" s="1"/>
  <c r="I488" i="328"/>
  <c r="K488" i="328" s="1"/>
  <c r="C386" i="328"/>
  <c r="E386" i="328" s="1"/>
  <c r="C250" i="328"/>
  <c r="E250" i="328" s="1"/>
  <c r="AL98" i="249"/>
  <c r="S15" i="312"/>
  <c r="S110" i="31" s="1"/>
  <c r="H90" i="312"/>
  <c r="I13" i="333" s="1"/>
  <c r="R42" i="321"/>
  <c r="U42" i="321" s="1"/>
  <c r="R71" i="321"/>
  <c r="U71" i="321" s="1"/>
  <c r="R16" i="321"/>
  <c r="U16" i="321" s="1"/>
  <c r="R48" i="321"/>
  <c r="U48" i="321" s="1"/>
  <c r="R80" i="321"/>
  <c r="U80" i="321" s="1"/>
  <c r="R41" i="321"/>
  <c r="U41" i="321" s="1"/>
  <c r="R73" i="321"/>
  <c r="U73" i="321" s="1"/>
  <c r="R74" i="321"/>
  <c r="U74" i="321" s="1"/>
  <c r="R19" i="321"/>
  <c r="U19" i="321" s="1"/>
  <c r="R51" i="321"/>
  <c r="U51" i="321" s="1"/>
  <c r="R44" i="321"/>
  <c r="U44" i="321" s="1"/>
  <c r="R76" i="321"/>
  <c r="U76" i="321" s="1"/>
  <c r="R45" i="321"/>
  <c r="U45" i="321" s="1"/>
  <c r="R77" i="321"/>
  <c r="U77" i="321" s="1"/>
  <c r="R78" i="321"/>
  <c r="U78" i="321" s="1"/>
  <c r="R67" i="321"/>
  <c r="U67" i="321" s="1"/>
  <c r="R47" i="321"/>
  <c r="U47" i="321" s="1"/>
  <c r="R17" i="321"/>
  <c r="U17" i="321" s="1"/>
  <c r="R49" i="321"/>
  <c r="U49" i="321" s="1"/>
  <c r="R81" i="321"/>
  <c r="U81" i="321" s="1"/>
  <c r="R18" i="321"/>
  <c r="U18" i="321" s="1"/>
  <c r="R50" i="321"/>
  <c r="U50" i="321" s="1"/>
  <c r="R53" i="321"/>
  <c r="U53" i="321" s="1"/>
  <c r="R25" i="321"/>
  <c r="U25" i="321" s="1"/>
  <c r="R57" i="321"/>
  <c r="U57" i="321" s="1"/>
  <c r="R26" i="321"/>
  <c r="U26" i="321" s="1"/>
  <c r="R58" i="321"/>
  <c r="U58" i="321" s="1"/>
  <c r="R35" i="321"/>
  <c r="U35" i="321" s="1"/>
  <c r="R22" i="321"/>
  <c r="U22" i="321" s="1"/>
  <c r="R28" i="321"/>
  <c r="U28" i="321" s="1"/>
  <c r="R60" i="321"/>
  <c r="U60" i="321" s="1"/>
  <c r="R29" i="321"/>
  <c r="U29" i="321" s="1"/>
  <c r="R61" i="321"/>
  <c r="U61" i="321" s="1"/>
  <c r="R24" i="321"/>
  <c r="U24" i="321" s="1"/>
  <c r="R56" i="321"/>
  <c r="U56" i="321" s="1"/>
  <c r="R33" i="321"/>
  <c r="U33" i="321" s="1"/>
  <c r="R34" i="321"/>
  <c r="U34" i="321" s="1"/>
  <c r="R66" i="321"/>
  <c r="U66" i="321" s="1"/>
  <c r="R46" i="321"/>
  <c r="U46" i="321" s="1"/>
  <c r="R43" i="321"/>
  <c r="U43" i="321" s="1"/>
  <c r="R75" i="321"/>
  <c r="U75" i="321" s="1"/>
  <c r="R70" i="321"/>
  <c r="U70" i="321" s="1"/>
  <c r="R36" i="321"/>
  <c r="U36" i="321" s="1"/>
  <c r="R68" i="321"/>
  <c r="U68" i="321" s="1"/>
  <c r="R37" i="321"/>
  <c r="U37" i="321" s="1"/>
  <c r="R69" i="321"/>
  <c r="U69" i="321" s="1"/>
  <c r="R38" i="321"/>
  <c r="U38" i="321" s="1"/>
  <c r="R23" i="321"/>
  <c r="U23" i="321" s="1"/>
  <c r="R64" i="321"/>
  <c r="U64" i="321" s="1"/>
  <c r="R160" i="321"/>
  <c r="U160" i="321" s="1"/>
  <c r="R157" i="321"/>
  <c r="U157" i="321" s="1"/>
  <c r="R163" i="321"/>
  <c r="U163" i="321" s="1"/>
  <c r="R162" i="321"/>
  <c r="U162" i="321" s="1"/>
  <c r="R161" i="321"/>
  <c r="U161" i="321" s="1"/>
  <c r="R159" i="321"/>
  <c r="U159" i="321" s="1"/>
  <c r="R164" i="321"/>
  <c r="U164" i="321" s="1"/>
  <c r="R165" i="321"/>
  <c r="U165" i="321" s="1"/>
  <c r="AL12" i="249"/>
  <c r="U158" i="321"/>
  <c r="T193" i="249"/>
  <c r="T174" i="249"/>
  <c r="T180" i="249" s="1"/>
  <c r="T15" i="312"/>
  <c r="P15" i="312"/>
  <c r="P110" i="31" s="1"/>
  <c r="R105" i="321"/>
  <c r="AR136" i="249"/>
  <c r="R142" i="321"/>
  <c r="U142" i="321" s="1"/>
  <c r="AR150" i="249"/>
  <c r="R108" i="321"/>
  <c r="U108" i="321" s="1"/>
  <c r="AR128" i="249"/>
  <c r="R134" i="321"/>
  <c r="U134" i="321" s="1"/>
  <c r="AR162" i="249"/>
  <c r="U168" i="321"/>
  <c r="R116" i="321"/>
  <c r="U116" i="321" s="1"/>
  <c r="AR133" i="249"/>
  <c r="R139" i="321"/>
  <c r="U139" i="321" s="1"/>
  <c r="AR144" i="249"/>
  <c r="R150" i="321"/>
  <c r="U150" i="321" s="1"/>
  <c r="AR16" i="249"/>
  <c r="AR23" i="249"/>
  <c r="AR55" i="249"/>
  <c r="U52" i="321"/>
  <c r="AR87" i="249"/>
  <c r="AR24" i="249"/>
  <c r="AR42" i="249"/>
  <c r="U39" i="321"/>
  <c r="AR34" i="249"/>
  <c r="U31" i="321"/>
  <c r="AR66" i="249"/>
  <c r="U63" i="321"/>
  <c r="AR43" i="249"/>
  <c r="AR75" i="249"/>
  <c r="U72" i="321"/>
  <c r="AR62" i="249"/>
  <c r="U59" i="321"/>
  <c r="AR68" i="249"/>
  <c r="U65" i="321"/>
  <c r="R11" i="321"/>
  <c r="AR82" i="249"/>
  <c r="AR91" i="249"/>
  <c r="U12" i="321"/>
  <c r="AR18" i="249"/>
  <c r="AR33" i="249"/>
  <c r="AR65" i="249"/>
  <c r="U62" i="321"/>
  <c r="AR58" i="249"/>
  <c r="AR35" i="249"/>
  <c r="U32" i="321"/>
  <c r="AR57" i="249"/>
  <c r="AR21" i="249"/>
  <c r="AR85" i="249"/>
  <c r="T191" i="249"/>
  <c r="AR137" i="249"/>
  <c r="AR73" i="249"/>
  <c r="AR41" i="249"/>
  <c r="AR27" i="249"/>
  <c r="AR135" i="249"/>
  <c r="AR74" i="249"/>
  <c r="AR63" i="249"/>
  <c r="AR70" i="249"/>
  <c r="AR31" i="249"/>
  <c r="AR51" i="249"/>
  <c r="AR76" i="249"/>
  <c r="T190" i="249"/>
  <c r="AR97" i="249"/>
  <c r="AR95" i="249"/>
  <c r="T189" i="249"/>
  <c r="T181" i="249"/>
  <c r="T187" i="249" s="1"/>
  <c r="AR15" i="249"/>
  <c r="AR79" i="249"/>
  <c r="AR143" i="249"/>
  <c r="AR90" i="249"/>
  <c r="AR26" i="249"/>
  <c r="AR59" i="249"/>
  <c r="AR47" i="249"/>
  <c r="AR134" i="249"/>
  <c r="AR25" i="249"/>
  <c r="AR19" i="249"/>
  <c r="AR83" i="249"/>
  <c r="AR29" i="249"/>
  <c r="AR93" i="249"/>
  <c r="AR127" i="249"/>
  <c r="AR126" i="249"/>
  <c r="AR39" i="249"/>
  <c r="AR49" i="249"/>
  <c r="AR28" i="249"/>
  <c r="AR92" i="249"/>
  <c r="AR45" i="249"/>
  <c r="AR22" i="249"/>
  <c r="AR86" i="249"/>
  <c r="AR67" i="249"/>
  <c r="AR139" i="249"/>
  <c r="AR142" i="249"/>
  <c r="AR61" i="249"/>
  <c r="AR50" i="249"/>
  <c r="AR71" i="249"/>
  <c r="AR141" i="249"/>
  <c r="AR60" i="249"/>
  <c r="AR77" i="249"/>
  <c r="AR54" i="249"/>
  <c r="AR81" i="249"/>
  <c r="AR130" i="249"/>
  <c r="AR105" i="249"/>
  <c r="AR115" i="249"/>
  <c r="AR102" i="249"/>
  <c r="AR154" i="249"/>
  <c r="AR159" i="249"/>
  <c r="H111" i="31"/>
  <c r="U111" i="31" s="1"/>
  <c r="H41" i="31"/>
  <c r="H73" i="31"/>
  <c r="H138" i="31"/>
  <c r="U138" i="31" s="1"/>
  <c r="H34" i="31"/>
  <c r="H66" i="31"/>
  <c r="H153" i="31"/>
  <c r="U153" i="31" s="1"/>
  <c r="H121" i="31"/>
  <c r="U121" i="31" s="1"/>
  <c r="H19" i="31"/>
  <c r="H51" i="31"/>
  <c r="H83" i="31"/>
  <c r="H151" i="31"/>
  <c r="U151" i="31" s="1"/>
  <c r="H69" i="31"/>
  <c r="H152" i="31"/>
  <c r="U152" i="31" s="1"/>
  <c r="H122" i="31"/>
  <c r="U122" i="31" s="1"/>
  <c r="H20" i="31"/>
  <c r="H52" i="31"/>
  <c r="H84" i="31"/>
  <c r="H135" i="31"/>
  <c r="U135" i="31" s="1"/>
  <c r="H45" i="31"/>
  <c r="AR20" i="249"/>
  <c r="AR84" i="249"/>
  <c r="AR37" i="249"/>
  <c r="AR78" i="249"/>
  <c r="AR113" i="249"/>
  <c r="AR110" i="249"/>
  <c r="AR129" i="249"/>
  <c r="AR125" i="249"/>
  <c r="AR146" i="249"/>
  <c r="AR151" i="249"/>
  <c r="H142" i="31"/>
  <c r="U142" i="31" s="1"/>
  <c r="H110" i="31"/>
  <c r="U110" i="31" s="1"/>
  <c r="U109" i="31" s="1"/>
  <c r="H30" i="31"/>
  <c r="H62" i="31"/>
  <c r="H149" i="31"/>
  <c r="U149" i="31" s="1"/>
  <c r="H125" i="31"/>
  <c r="U125" i="31" s="1"/>
  <c r="H23" i="31"/>
  <c r="H55" i="31"/>
  <c r="H148" i="31"/>
  <c r="U148" i="31" s="1"/>
  <c r="H126" i="31"/>
  <c r="U126" i="31" s="1"/>
  <c r="H24" i="31"/>
  <c r="H56" i="31"/>
  <c r="H155" i="31"/>
  <c r="U155" i="31" s="1"/>
  <c r="AR100" i="249"/>
  <c r="AR32" i="249"/>
  <c r="AR64" i="249"/>
  <c r="AR96" i="249"/>
  <c r="AR140" i="249"/>
  <c r="AR124" i="249"/>
  <c r="AQ98" i="249"/>
  <c r="H119" i="31"/>
  <c r="U119" i="31" s="1"/>
  <c r="H17" i="31"/>
  <c r="H49" i="31"/>
  <c r="H81" i="31"/>
  <c r="H162" i="31"/>
  <c r="U162" i="31" s="1"/>
  <c r="H112" i="31"/>
  <c r="U112" i="31" s="1"/>
  <c r="H42" i="31"/>
  <c r="H74" i="31"/>
  <c r="H85" i="31"/>
  <c r="H145" i="31"/>
  <c r="U145" i="31" s="1"/>
  <c r="H129" i="31"/>
  <c r="U129" i="31" s="1"/>
  <c r="H27" i="31"/>
  <c r="H59" i="31"/>
  <c r="H143" i="31"/>
  <c r="U143" i="31" s="1"/>
  <c r="H21" i="31"/>
  <c r="H144" i="31"/>
  <c r="U144" i="31" s="1"/>
  <c r="H130" i="31"/>
  <c r="U130" i="31" s="1"/>
  <c r="H28" i="31"/>
  <c r="H60" i="31"/>
  <c r="H131" i="31"/>
  <c r="U131" i="31" s="1"/>
  <c r="H61" i="31"/>
  <c r="AR118" i="249"/>
  <c r="AR121" i="249"/>
  <c r="AR36" i="249"/>
  <c r="AR53" i="249"/>
  <c r="AR30" i="249"/>
  <c r="AR94" i="249"/>
  <c r="AR17" i="249"/>
  <c r="AR99" i="249"/>
  <c r="AR103" i="249"/>
  <c r="AR131" i="249"/>
  <c r="AR153" i="249"/>
  <c r="AR158" i="249"/>
  <c r="H134" i="31"/>
  <c r="U134" i="31" s="1"/>
  <c r="H38" i="31"/>
  <c r="H70" i="31"/>
  <c r="H16" i="31"/>
  <c r="H141" i="31"/>
  <c r="U141" i="31" s="1"/>
  <c r="H31" i="31"/>
  <c r="H63" i="31"/>
  <c r="H140" i="31"/>
  <c r="U140" i="31" s="1"/>
  <c r="H32" i="31"/>
  <c r="H64" i="31"/>
  <c r="AR108" i="249"/>
  <c r="AR40" i="249"/>
  <c r="AR72" i="249"/>
  <c r="AR132" i="249"/>
  <c r="AR14" i="249"/>
  <c r="AR38" i="249"/>
  <c r="AR112" i="249"/>
  <c r="AR111" i="249"/>
  <c r="H127" i="31"/>
  <c r="U127" i="31" s="1"/>
  <c r="H25" i="31"/>
  <c r="H57" i="31"/>
  <c r="H154" i="31"/>
  <c r="U154" i="31" s="1"/>
  <c r="H120" i="31"/>
  <c r="U120" i="31" s="1"/>
  <c r="H18" i="31"/>
  <c r="H50" i="31"/>
  <c r="H82" i="31"/>
  <c r="H137" i="31"/>
  <c r="U137" i="31" s="1"/>
  <c r="H35" i="31"/>
  <c r="H67" i="31"/>
  <c r="H115" i="31"/>
  <c r="U115" i="31" s="1"/>
  <c r="H37" i="31"/>
  <c r="H136" i="31"/>
  <c r="U136" i="31" s="1"/>
  <c r="H36" i="31"/>
  <c r="H68" i="31"/>
  <c r="H77" i="31"/>
  <c r="AR44" i="249"/>
  <c r="AR101" i="249"/>
  <c r="AR123" i="249"/>
  <c r="AR145" i="249"/>
  <c r="AQ12" i="249"/>
  <c r="H147" i="31"/>
  <c r="U147" i="31" s="1"/>
  <c r="AR52" i="249"/>
  <c r="AR69" i="249"/>
  <c r="AR46" i="249"/>
  <c r="AR106" i="249"/>
  <c r="AR109" i="249"/>
  <c r="AR119" i="249"/>
  <c r="AR138" i="249"/>
  <c r="AR157" i="249"/>
  <c r="H158" i="31"/>
  <c r="U158" i="31" s="1"/>
  <c r="H116" i="31"/>
  <c r="U116" i="31" s="1"/>
  <c r="H46" i="31"/>
  <c r="H78" i="31"/>
  <c r="H133" i="31"/>
  <c r="U133" i="31" s="1"/>
  <c r="H39" i="31"/>
  <c r="H71" i="31"/>
  <c r="H132" i="31"/>
  <c r="U132" i="31" s="1"/>
  <c r="H40" i="31"/>
  <c r="H72" i="31"/>
  <c r="AR116" i="249"/>
  <c r="AR48" i="249"/>
  <c r="AR80" i="249"/>
  <c r="AR114" i="249"/>
  <c r="AR117" i="249"/>
  <c r="AR104" i="249"/>
  <c r="AR155" i="249"/>
  <c r="AR152" i="249"/>
  <c r="AR149" i="249"/>
  <c r="H139" i="31"/>
  <c r="U139" i="31" s="1"/>
  <c r="H33" i="31"/>
  <c r="H65" i="31"/>
  <c r="H146" i="31"/>
  <c r="U146" i="31" s="1"/>
  <c r="H128" i="31"/>
  <c r="U128" i="31" s="1"/>
  <c r="H26" i="31"/>
  <c r="H58" i="31"/>
  <c r="H161" i="31"/>
  <c r="U161" i="31" s="1"/>
  <c r="H113" i="31"/>
  <c r="U113" i="31" s="1"/>
  <c r="H43" i="31"/>
  <c r="H75" i="31"/>
  <c r="H123" i="31"/>
  <c r="U123" i="31" s="1"/>
  <c r="H53" i="31"/>
  <c r="H160" i="31"/>
  <c r="U160" i="31" s="1"/>
  <c r="H114" i="31"/>
  <c r="U114" i="31" s="1"/>
  <c r="H44" i="31"/>
  <c r="H76" i="31"/>
  <c r="H159" i="31"/>
  <c r="U159" i="31" s="1"/>
  <c r="H29" i="31"/>
  <c r="AR107" i="249"/>
  <c r="AR120" i="249"/>
  <c r="AR122" i="249"/>
  <c r="AR147" i="249"/>
  <c r="H150" i="31"/>
  <c r="U150" i="31" s="1"/>
  <c r="H124" i="31"/>
  <c r="U124" i="31" s="1"/>
  <c r="H22" i="31"/>
  <c r="H54" i="31"/>
  <c r="H86" i="31"/>
  <c r="H157" i="31"/>
  <c r="U157" i="31" s="1"/>
  <c r="H117" i="31"/>
  <c r="U117" i="31" s="1"/>
  <c r="H47" i="31"/>
  <c r="H79" i="31"/>
  <c r="H156" i="31"/>
  <c r="U156" i="31" s="1"/>
  <c r="H118" i="31"/>
  <c r="U118" i="31" s="1"/>
  <c r="H48" i="31"/>
  <c r="H80" i="31"/>
  <c r="AR56" i="249"/>
  <c r="AR88" i="249"/>
  <c r="AR156" i="249"/>
  <c r="AR148" i="249"/>
  <c r="AK170" i="249"/>
  <c r="D21" i="317" l="1"/>
  <c r="D27" i="317"/>
  <c r="AA182" i="249"/>
  <c r="D28" i="317"/>
  <c r="G28" i="317" s="1"/>
  <c r="AA186" i="249"/>
  <c r="AA184" i="249"/>
  <c r="D29" i="317"/>
  <c r="G29" i="317" s="1"/>
  <c r="AA179" i="249"/>
  <c r="D22" i="317"/>
  <c r="G22" i="317" s="1"/>
  <c r="I420" i="328"/>
  <c r="Z110" i="31"/>
  <c r="AA183" i="249"/>
  <c r="AO98" i="249"/>
  <c r="AA175" i="249"/>
  <c r="AA176" i="249"/>
  <c r="AO12" i="249"/>
  <c r="I21" i="187"/>
  <c r="I14" i="187"/>
  <c r="J14" i="187" s="1"/>
  <c r="R14" i="187" s="1"/>
  <c r="T14" i="187" s="1"/>
  <c r="I19" i="187"/>
  <c r="I17" i="187"/>
  <c r="J17" i="187" s="1"/>
  <c r="R17" i="187" s="1"/>
  <c r="T17" i="187" s="1"/>
  <c r="I16" i="187"/>
  <c r="J16" i="187" s="1"/>
  <c r="R16" i="187" s="1"/>
  <c r="T16" i="187" s="1"/>
  <c r="I13" i="187"/>
  <c r="J13" i="187" s="1"/>
  <c r="R13" i="187" s="1"/>
  <c r="T13" i="187" s="1"/>
  <c r="I18" i="187"/>
  <c r="C846" i="328"/>
  <c r="I1473" i="328"/>
  <c r="K1473" i="328" s="1"/>
  <c r="C844" i="328"/>
  <c r="E844" i="328" s="1"/>
  <c r="AF8" i="312"/>
  <c r="AF6" i="312" s="1"/>
  <c r="AF8" i="257"/>
  <c r="AF6" i="257" s="1"/>
  <c r="C841" i="328"/>
  <c r="E841" i="328" s="1"/>
  <c r="I415" i="328"/>
  <c r="I1470" i="328"/>
  <c r="K1470" i="328" s="1"/>
  <c r="U105" i="321"/>
  <c r="U104" i="321" s="1"/>
  <c r="R104" i="321"/>
  <c r="U11" i="321"/>
  <c r="T188" i="249"/>
  <c r="T194" i="249" s="1"/>
  <c r="AA191" i="249"/>
  <c r="AQ170" i="249"/>
  <c r="AR12" i="249"/>
  <c r="AR98" i="249"/>
  <c r="AL170" i="249"/>
  <c r="D17" i="317" l="1"/>
  <c r="AA193" i="249"/>
  <c r="D15" i="317"/>
  <c r="G20" i="317"/>
  <c r="D16" i="317"/>
  <c r="AA189" i="249"/>
  <c r="AO170" i="249"/>
  <c r="AA174" i="249"/>
  <c r="AA180" i="249" s="1"/>
  <c r="AH185" i="249" s="1"/>
  <c r="AA190" i="249"/>
  <c r="I15" i="187"/>
  <c r="J15" i="187" s="1"/>
  <c r="R15" i="187" s="1"/>
  <c r="T15" i="187" s="1"/>
  <c r="I12" i="187"/>
  <c r="J12" i="187" s="1"/>
  <c r="R12" i="187" s="1"/>
  <c r="J85" i="312"/>
  <c r="J84" i="312"/>
  <c r="J79" i="312"/>
  <c r="L79" i="312" s="1"/>
  <c r="N174" i="31" s="1"/>
  <c r="H170" i="334" s="1"/>
  <c r="J83" i="312"/>
  <c r="J81" i="312"/>
  <c r="J82" i="312"/>
  <c r="J80" i="312"/>
  <c r="L80" i="312" s="1"/>
  <c r="N175" i="31" s="1"/>
  <c r="H171" i="334" s="1"/>
  <c r="J77" i="312"/>
  <c r="L77" i="312" s="1"/>
  <c r="N172" i="31" s="1"/>
  <c r="H168" i="334" s="1"/>
  <c r="J76" i="312"/>
  <c r="L76" i="312" s="1"/>
  <c r="N171" i="31" s="1"/>
  <c r="H167" i="334" s="1"/>
  <c r="J78" i="312"/>
  <c r="L78" i="312" s="1"/>
  <c r="N173" i="31" s="1"/>
  <c r="H169" i="334" s="1"/>
  <c r="J58" i="312"/>
  <c r="L58" i="312" s="1"/>
  <c r="J27" i="312"/>
  <c r="L27" i="312" s="1"/>
  <c r="J15" i="312"/>
  <c r="J53" i="312"/>
  <c r="L53" i="312" s="1"/>
  <c r="J24" i="312"/>
  <c r="L24" i="312" s="1"/>
  <c r="J50" i="312"/>
  <c r="L50" i="312" s="1"/>
  <c r="J71" i="312"/>
  <c r="L71" i="312" s="1"/>
  <c r="N166" i="31" s="1"/>
  <c r="H162" i="334" s="1"/>
  <c r="J46" i="312"/>
  <c r="L46" i="312" s="1"/>
  <c r="J20" i="312"/>
  <c r="L20" i="312" s="1"/>
  <c r="J41" i="312"/>
  <c r="L41" i="312" s="1"/>
  <c r="J63" i="312"/>
  <c r="L63" i="312" s="1"/>
  <c r="J37" i="312"/>
  <c r="L37" i="312" s="1"/>
  <c r="J33" i="312"/>
  <c r="L33" i="312" s="1"/>
  <c r="J28" i="312"/>
  <c r="L28" i="312" s="1"/>
  <c r="J55" i="312"/>
  <c r="L55" i="312" s="1"/>
  <c r="J56" i="312"/>
  <c r="L56" i="312" s="1"/>
  <c r="J42" i="312"/>
  <c r="L42" i="312" s="1"/>
  <c r="J75" i="312"/>
  <c r="L75" i="312" s="1"/>
  <c r="N170" i="31" s="1"/>
  <c r="H166" i="334" s="1"/>
  <c r="J40" i="312"/>
  <c r="L40" i="312" s="1"/>
  <c r="J54" i="312"/>
  <c r="L54" i="312" s="1"/>
  <c r="J67" i="312"/>
  <c r="L67" i="312" s="1"/>
  <c r="J35" i="312"/>
  <c r="L35" i="312" s="1"/>
  <c r="J45" i="312"/>
  <c r="L45" i="312" s="1"/>
  <c r="J25" i="312"/>
  <c r="L25" i="312" s="1"/>
  <c r="J74" i="312"/>
  <c r="L74" i="312" s="1"/>
  <c r="N169" i="31" s="1"/>
  <c r="H165" i="334" s="1"/>
  <c r="J70" i="312"/>
  <c r="L70" i="312" s="1"/>
  <c r="N165" i="31" s="1"/>
  <c r="H161" i="334" s="1"/>
  <c r="J44" i="312"/>
  <c r="L44" i="312" s="1"/>
  <c r="J66" i="312"/>
  <c r="L66" i="312" s="1"/>
  <c r="J19" i="312"/>
  <c r="L19" i="312" s="1"/>
  <c r="J64" i="312"/>
  <c r="L64" i="312" s="1"/>
  <c r="J22" i="312"/>
  <c r="L22" i="312" s="1"/>
  <c r="J61" i="312"/>
  <c r="L61" i="312" s="1"/>
  <c r="J43" i="312"/>
  <c r="L43" i="312" s="1"/>
  <c r="J30" i="312"/>
  <c r="L30" i="312" s="1"/>
  <c r="J60" i="312"/>
  <c r="L60" i="312" s="1"/>
  <c r="J48" i="312"/>
  <c r="L48" i="312" s="1"/>
  <c r="J49" i="312"/>
  <c r="L49" i="312" s="1"/>
  <c r="J59" i="312"/>
  <c r="L59" i="312" s="1"/>
  <c r="J18" i="312"/>
  <c r="L18" i="312" s="1"/>
  <c r="J23" i="312"/>
  <c r="L23" i="312" s="1"/>
  <c r="J16" i="312"/>
  <c r="J26" i="312"/>
  <c r="L26" i="312" s="1"/>
  <c r="J57" i="312"/>
  <c r="L57" i="312" s="1"/>
  <c r="J47" i="312"/>
  <c r="L47" i="312" s="1"/>
  <c r="J31" i="312"/>
  <c r="L31" i="312" s="1"/>
  <c r="J34" i="312"/>
  <c r="L34" i="312" s="1"/>
  <c r="J36" i="312"/>
  <c r="L36" i="312" s="1"/>
  <c r="J39" i="312"/>
  <c r="L39" i="312" s="1"/>
  <c r="J32" i="312"/>
  <c r="L32" i="312" s="1"/>
  <c r="J73" i="312"/>
  <c r="L73" i="312" s="1"/>
  <c r="N168" i="31" s="1"/>
  <c r="H164" i="334" s="1"/>
  <c r="J52" i="312"/>
  <c r="L52" i="312" s="1"/>
  <c r="J21" i="312"/>
  <c r="L21" i="312" s="1"/>
  <c r="J69" i="312"/>
  <c r="L69" i="312" s="1"/>
  <c r="N164" i="31" s="1"/>
  <c r="H160" i="334" s="1"/>
  <c r="J51" i="312"/>
  <c r="L51" i="312" s="1"/>
  <c r="J72" i="312"/>
  <c r="L72" i="312" s="1"/>
  <c r="N167" i="31" s="1"/>
  <c r="H163" i="334" s="1"/>
  <c r="J29" i="312"/>
  <c r="L29" i="312" s="1"/>
  <c r="J68" i="312"/>
  <c r="L68" i="312" s="1"/>
  <c r="N163" i="31" s="1"/>
  <c r="H159" i="334" s="1"/>
  <c r="J17" i="312"/>
  <c r="L17" i="312" s="1"/>
  <c r="J38" i="312"/>
  <c r="L38" i="312" s="1"/>
  <c r="J65" i="312"/>
  <c r="L65" i="312" s="1"/>
  <c r="J62" i="312"/>
  <c r="L62" i="312" s="1"/>
  <c r="J19" i="187"/>
  <c r="R19" i="187" s="1"/>
  <c r="T19" i="187" s="1"/>
  <c r="J18" i="187"/>
  <c r="R18" i="187" s="1"/>
  <c r="T18" i="187" s="1"/>
  <c r="J33" i="257"/>
  <c r="L33" i="257" s="1"/>
  <c r="J50" i="257"/>
  <c r="L50" i="257" s="1"/>
  <c r="J19" i="257"/>
  <c r="L19" i="257" s="1"/>
  <c r="J83" i="257"/>
  <c r="L83" i="257" s="1"/>
  <c r="J44" i="257"/>
  <c r="L44" i="257" s="1"/>
  <c r="J29" i="257"/>
  <c r="L29" i="257" s="1"/>
  <c r="J54" i="257"/>
  <c r="L54" i="257" s="1"/>
  <c r="J23" i="257"/>
  <c r="L23" i="257" s="1"/>
  <c r="J69" i="257"/>
  <c r="L69" i="257" s="1"/>
  <c r="J62" i="257"/>
  <c r="L62" i="257" s="1"/>
  <c r="J63" i="257"/>
  <c r="L63" i="257" s="1"/>
  <c r="J56" i="257"/>
  <c r="L56" i="257" s="1"/>
  <c r="J17" i="257"/>
  <c r="L17" i="257" s="1"/>
  <c r="J81" i="257"/>
  <c r="L81" i="257" s="1"/>
  <c r="J67" i="257"/>
  <c r="L67" i="257" s="1"/>
  <c r="J70" i="257"/>
  <c r="L70" i="257" s="1"/>
  <c r="J32" i="257"/>
  <c r="L32" i="257" s="1"/>
  <c r="J57" i="257"/>
  <c r="L57" i="257" s="1"/>
  <c r="J42" i="257"/>
  <c r="L42" i="257" s="1"/>
  <c r="J72" i="257"/>
  <c r="L72" i="257" s="1"/>
  <c r="J41" i="257"/>
  <c r="L41" i="257" s="1"/>
  <c r="J45" i="257"/>
  <c r="L45" i="257" s="1"/>
  <c r="J40" i="257"/>
  <c r="L40" i="257" s="1"/>
  <c r="J80" i="257"/>
  <c r="L80" i="257" s="1"/>
  <c r="J73" i="257"/>
  <c r="L73" i="257" s="1"/>
  <c r="J26" i="257"/>
  <c r="L26" i="257" s="1"/>
  <c r="J20" i="257"/>
  <c r="L20" i="257" s="1"/>
  <c r="J27" i="257"/>
  <c r="L27" i="257" s="1"/>
  <c r="J60" i="257"/>
  <c r="L60" i="257" s="1"/>
  <c r="J34" i="257"/>
  <c r="L34" i="257" s="1"/>
  <c r="J36" i="257"/>
  <c r="L36" i="257" s="1"/>
  <c r="J77" i="257"/>
  <c r="L77" i="257" s="1"/>
  <c r="J39" i="257"/>
  <c r="L39" i="257" s="1"/>
  <c r="J43" i="257"/>
  <c r="L43" i="257" s="1"/>
  <c r="J21" i="257"/>
  <c r="L21" i="257" s="1"/>
  <c r="J85" i="257"/>
  <c r="L85" i="257" s="1"/>
  <c r="J78" i="257"/>
  <c r="L78" i="257" s="1"/>
  <c r="J79" i="257"/>
  <c r="L79" i="257" s="1"/>
  <c r="J66" i="257"/>
  <c r="L66" i="257" s="1"/>
  <c r="J71" i="257"/>
  <c r="L71" i="257" s="1"/>
  <c r="J52" i="257"/>
  <c r="L52" i="257" s="1"/>
  <c r="J75" i="257"/>
  <c r="L75" i="257" s="1"/>
  <c r="J28" i="257"/>
  <c r="L28" i="257" s="1"/>
  <c r="J53" i="257"/>
  <c r="L53" i="257" s="1"/>
  <c r="J46" i="257"/>
  <c r="L46" i="257" s="1"/>
  <c r="J47" i="257"/>
  <c r="L47" i="257" s="1"/>
  <c r="J16" i="257"/>
  <c r="L16" i="257" s="1"/>
  <c r="J15" i="257"/>
  <c r="L15" i="257" s="1"/>
  <c r="N15" i="257" s="1"/>
  <c r="J65" i="257"/>
  <c r="L65" i="257" s="1"/>
  <c r="J18" i="257"/>
  <c r="L18" i="257" s="1"/>
  <c r="J82" i="257"/>
  <c r="L82" i="257" s="1"/>
  <c r="J68" i="257"/>
  <c r="L68" i="257" s="1"/>
  <c r="J51" i="257"/>
  <c r="L51" i="257" s="1"/>
  <c r="J61" i="257"/>
  <c r="L61" i="257" s="1"/>
  <c r="J22" i="257"/>
  <c r="L22" i="257" s="1"/>
  <c r="J55" i="257"/>
  <c r="L55" i="257" s="1"/>
  <c r="J37" i="257"/>
  <c r="L37" i="257" s="1"/>
  <c r="J30" i="257"/>
  <c r="L30" i="257" s="1"/>
  <c r="J31" i="257"/>
  <c r="L31" i="257" s="1"/>
  <c r="J24" i="257"/>
  <c r="L24" i="257" s="1"/>
  <c r="J49" i="257"/>
  <c r="L49" i="257" s="1"/>
  <c r="J35" i="257"/>
  <c r="L35" i="257" s="1"/>
  <c r="J76" i="257"/>
  <c r="L76" i="257" s="1"/>
  <c r="J38" i="257"/>
  <c r="L38" i="257" s="1"/>
  <c r="J64" i="257"/>
  <c r="L64" i="257" s="1"/>
  <c r="J25" i="257"/>
  <c r="L25" i="257" s="1"/>
  <c r="J74" i="257"/>
  <c r="L74" i="257" s="1"/>
  <c r="J48" i="257"/>
  <c r="L48" i="257" s="1"/>
  <c r="J84" i="257"/>
  <c r="L84" i="257" s="1"/>
  <c r="J58" i="257"/>
  <c r="L58" i="257" s="1"/>
  <c r="J59" i="257"/>
  <c r="L59" i="257" s="1"/>
  <c r="E846" i="328"/>
  <c r="I1475" i="328"/>
  <c r="K1475" i="328" s="1"/>
  <c r="AA181" i="249"/>
  <c r="AA187" i="249" s="1"/>
  <c r="AR170" i="249"/>
  <c r="AH182" i="249"/>
  <c r="AA89" i="312"/>
  <c r="AB89" i="312" s="1"/>
  <c r="E7" i="277"/>
  <c r="G14" i="317" l="1"/>
  <c r="AH177" i="249"/>
  <c r="AH176" i="249"/>
  <c r="AH175" i="249"/>
  <c r="AH174" i="249" s="1"/>
  <c r="D14" i="317"/>
  <c r="K12" i="317" s="1"/>
  <c r="AH178" i="249"/>
  <c r="AA188" i="249"/>
  <c r="AA194" i="249" s="1"/>
  <c r="R11" i="187"/>
  <c r="T12" i="187"/>
  <c r="T11" i="187" s="1"/>
  <c r="N112" i="31"/>
  <c r="H108" i="334" s="1"/>
  <c r="N146" i="31"/>
  <c r="H142" i="334" s="1"/>
  <c r="N129" i="31"/>
  <c r="H125" i="334" s="1"/>
  <c r="N121" i="31"/>
  <c r="H117" i="334" s="1"/>
  <c r="N125" i="31"/>
  <c r="H121" i="334" s="1"/>
  <c r="N159" i="31"/>
  <c r="H155" i="334" s="1"/>
  <c r="N130" i="31"/>
  <c r="H126" i="334" s="1"/>
  <c r="N123" i="31"/>
  <c r="H119" i="334" s="1"/>
  <c r="N136" i="31"/>
  <c r="H132" i="334" s="1"/>
  <c r="N145" i="31"/>
  <c r="H141" i="334" s="1"/>
  <c r="N122" i="31"/>
  <c r="H118" i="334" s="1"/>
  <c r="N154" i="31"/>
  <c r="H150" i="334" s="1"/>
  <c r="N157" i="31"/>
  <c r="H153" i="334" s="1"/>
  <c r="N127" i="31"/>
  <c r="H123" i="334" s="1"/>
  <c r="N126" i="31"/>
  <c r="H122" i="334" s="1"/>
  <c r="N144" i="31"/>
  <c r="H140" i="334" s="1"/>
  <c r="N138" i="31"/>
  <c r="H134" i="334" s="1"/>
  <c r="N114" i="31"/>
  <c r="H110" i="334" s="1"/>
  <c r="N162" i="31"/>
  <c r="H158" i="334" s="1"/>
  <c r="N137" i="31"/>
  <c r="H133" i="334" s="1"/>
  <c r="N128" i="31"/>
  <c r="H124" i="334" s="1"/>
  <c r="N115" i="31"/>
  <c r="H111" i="334" s="1"/>
  <c r="N119" i="31"/>
  <c r="H115" i="334" s="1"/>
  <c r="N153" i="31"/>
  <c r="H149" i="334" s="1"/>
  <c r="N160" i="31"/>
  <c r="H156" i="334" s="1"/>
  <c r="N124" i="31"/>
  <c r="H120" i="334" s="1"/>
  <c r="N116" i="31"/>
  <c r="H112" i="334" s="1"/>
  <c r="N134" i="31"/>
  <c r="H130" i="334" s="1"/>
  <c r="N142" i="31"/>
  <c r="H138" i="334" s="1"/>
  <c r="N118" i="31"/>
  <c r="H114" i="334" s="1"/>
  <c r="N143" i="31"/>
  <c r="H139" i="334" s="1"/>
  <c r="N156" i="31"/>
  <c r="H152" i="334" s="1"/>
  <c r="N161" i="31"/>
  <c r="H157" i="334" s="1"/>
  <c r="N120" i="31"/>
  <c r="H116" i="334" s="1"/>
  <c r="N149" i="31"/>
  <c r="H145" i="334" s="1"/>
  <c r="N151" i="31"/>
  <c r="H147" i="334" s="1"/>
  <c r="N132" i="31"/>
  <c r="H128" i="334" s="1"/>
  <c r="N141" i="31"/>
  <c r="H137" i="334" s="1"/>
  <c r="N148" i="31"/>
  <c r="H144" i="334" s="1"/>
  <c r="N133" i="31"/>
  <c r="H129" i="334" s="1"/>
  <c r="N147" i="31"/>
  <c r="H143" i="334" s="1"/>
  <c r="N131" i="31"/>
  <c r="H127" i="334" s="1"/>
  <c r="N152" i="31"/>
  <c r="H148" i="334" s="1"/>
  <c r="N113" i="31"/>
  <c r="H109" i="334" s="1"/>
  <c r="N155" i="31"/>
  <c r="H151" i="334" s="1"/>
  <c r="N117" i="31"/>
  <c r="H113" i="334" s="1"/>
  <c r="N139" i="31"/>
  <c r="H135" i="334" s="1"/>
  <c r="N140" i="31"/>
  <c r="H136" i="334" s="1"/>
  <c r="N135" i="31"/>
  <c r="H131" i="334" s="1"/>
  <c r="N150" i="31"/>
  <c r="H146" i="334" s="1"/>
  <c r="N158" i="31"/>
  <c r="H154" i="334" s="1"/>
  <c r="L15" i="312"/>
  <c r="N15" i="312" s="1"/>
  <c r="N110" i="31" s="1"/>
  <c r="H106" i="334" s="1"/>
  <c r="J90" i="312"/>
  <c r="J176" i="31"/>
  <c r="C1404" i="328" s="1"/>
  <c r="E1404" i="328" s="1"/>
  <c r="L81" i="312"/>
  <c r="N81" i="312" s="1"/>
  <c r="N176" i="31" s="1"/>
  <c r="H172" i="334" s="1"/>
  <c r="J180" i="31"/>
  <c r="L180" i="31" s="1"/>
  <c r="J176" i="334" s="1"/>
  <c r="M176" i="334" s="1"/>
  <c r="L85" i="312"/>
  <c r="J177" i="31"/>
  <c r="L177" i="31" s="1"/>
  <c r="L82" i="312"/>
  <c r="N82" i="312" s="1"/>
  <c r="N177" i="31" s="1"/>
  <c r="H173" i="334" s="1"/>
  <c r="J179" i="31"/>
  <c r="L179" i="31" s="1"/>
  <c r="L84" i="312"/>
  <c r="N84" i="312" s="1"/>
  <c r="J178" i="31"/>
  <c r="L178" i="31" s="1"/>
  <c r="L83" i="312"/>
  <c r="N83" i="312" s="1"/>
  <c r="I845" i="328"/>
  <c r="K845" i="328" s="1"/>
  <c r="L16" i="312"/>
  <c r="I107" i="334"/>
  <c r="AA79" i="312"/>
  <c r="AB79" i="312" s="1"/>
  <c r="C1389" i="328"/>
  <c r="E1389" i="328" s="1"/>
  <c r="J167" i="31"/>
  <c r="J175" i="31"/>
  <c r="I1389" i="328"/>
  <c r="K1389" i="328" s="1"/>
  <c r="J168" i="31"/>
  <c r="J172" i="31"/>
  <c r="J171" i="31"/>
  <c r="J173" i="31"/>
  <c r="L173" i="31" s="1"/>
  <c r="I1372" i="328"/>
  <c r="K1372" i="328" s="1"/>
  <c r="J174" i="31"/>
  <c r="L174" i="31" s="1"/>
  <c r="I1151" i="328"/>
  <c r="K1151" i="328" s="1"/>
  <c r="J147" i="31"/>
  <c r="L147" i="31" s="1"/>
  <c r="I1015" i="328"/>
  <c r="K1015" i="328" s="1"/>
  <c r="J131" i="31"/>
  <c r="L131" i="31" s="1"/>
  <c r="C1202" i="328"/>
  <c r="E1202" i="328" s="1"/>
  <c r="J152" i="31"/>
  <c r="L152" i="31" s="1"/>
  <c r="I862" i="328"/>
  <c r="K862" i="328" s="1"/>
  <c r="J113" i="31"/>
  <c r="L113" i="31" s="1"/>
  <c r="J155" i="31"/>
  <c r="I896" i="328"/>
  <c r="K896" i="328" s="1"/>
  <c r="J117" i="31"/>
  <c r="L117" i="31" s="1"/>
  <c r="I1083" i="328"/>
  <c r="K1083" i="328" s="1"/>
  <c r="J139" i="31"/>
  <c r="L139" i="31" s="1"/>
  <c r="C1100" i="328"/>
  <c r="E1100" i="328" s="1"/>
  <c r="J140" i="31"/>
  <c r="L140" i="31" s="1"/>
  <c r="I1049" i="328"/>
  <c r="K1049" i="328" s="1"/>
  <c r="J135" i="31"/>
  <c r="L135" i="31" s="1"/>
  <c r="C1185" i="328"/>
  <c r="E1185" i="328" s="1"/>
  <c r="J150" i="31"/>
  <c r="L150" i="31" s="1"/>
  <c r="J158" i="31"/>
  <c r="J166" i="31"/>
  <c r="J110" i="31"/>
  <c r="L110" i="31" s="1"/>
  <c r="C862" i="328"/>
  <c r="E862" i="328" s="1"/>
  <c r="J112" i="31"/>
  <c r="L112" i="31" s="1"/>
  <c r="C1151" i="328"/>
  <c r="E1151" i="328" s="1"/>
  <c r="J146" i="31"/>
  <c r="L146" i="31" s="1"/>
  <c r="I998" i="328"/>
  <c r="K998" i="328" s="1"/>
  <c r="J129" i="31"/>
  <c r="L129" i="31" s="1"/>
  <c r="I930" i="328"/>
  <c r="K930" i="328" s="1"/>
  <c r="J121" i="31"/>
  <c r="L121" i="31" s="1"/>
  <c r="C1219" i="328"/>
  <c r="E1219" i="328" s="1"/>
  <c r="J154" i="31"/>
  <c r="L154" i="31" s="1"/>
  <c r="I964" i="328"/>
  <c r="K964" i="328" s="1"/>
  <c r="J125" i="31"/>
  <c r="L125" i="31" s="1"/>
  <c r="J159" i="31"/>
  <c r="J165" i="31"/>
  <c r="C1015" i="328"/>
  <c r="E1015" i="328" s="1"/>
  <c r="J130" i="31"/>
  <c r="J170" i="31"/>
  <c r="I947" i="328"/>
  <c r="K947" i="328" s="1"/>
  <c r="J123" i="31"/>
  <c r="L123" i="31" s="1"/>
  <c r="C1066" i="328"/>
  <c r="E1066" i="328" s="1"/>
  <c r="J136" i="31"/>
  <c r="L136" i="31" s="1"/>
  <c r="I1134" i="328"/>
  <c r="K1134" i="328" s="1"/>
  <c r="J145" i="31"/>
  <c r="L145" i="31" s="1"/>
  <c r="C947" i="328"/>
  <c r="E947" i="328" s="1"/>
  <c r="J122" i="31"/>
  <c r="L122" i="31" s="1"/>
  <c r="I1032" i="328"/>
  <c r="K1032" i="328" s="1"/>
  <c r="J133" i="31"/>
  <c r="L133" i="31" s="1"/>
  <c r="J157" i="31"/>
  <c r="J163" i="31"/>
  <c r="J164" i="31"/>
  <c r="I981" i="328"/>
  <c r="K981" i="328" s="1"/>
  <c r="J127" i="31"/>
  <c r="L127" i="31" s="1"/>
  <c r="C981" i="328"/>
  <c r="E981" i="328" s="1"/>
  <c r="J126" i="31"/>
  <c r="L126" i="31" s="1"/>
  <c r="J111" i="31"/>
  <c r="L111" i="31" s="1"/>
  <c r="C1134" i="328"/>
  <c r="E1134" i="328" s="1"/>
  <c r="J144" i="31"/>
  <c r="L144" i="31" s="1"/>
  <c r="C1083" i="328"/>
  <c r="E1083" i="328" s="1"/>
  <c r="J138" i="31"/>
  <c r="L138" i="31" s="1"/>
  <c r="C879" i="328"/>
  <c r="E879" i="328" s="1"/>
  <c r="J114" i="31"/>
  <c r="L114" i="31" s="1"/>
  <c r="J169" i="31"/>
  <c r="J162" i="31"/>
  <c r="I1066" i="328"/>
  <c r="K1066" i="328" s="1"/>
  <c r="J137" i="31"/>
  <c r="L137" i="31" s="1"/>
  <c r="C998" i="328"/>
  <c r="E998" i="328" s="1"/>
  <c r="J128" i="31"/>
  <c r="L128" i="31" s="1"/>
  <c r="I879" i="328"/>
  <c r="K879" i="328" s="1"/>
  <c r="J115" i="31"/>
  <c r="I913" i="328"/>
  <c r="K913" i="328" s="1"/>
  <c r="J119" i="31"/>
  <c r="L119" i="31" s="1"/>
  <c r="I1202" i="328"/>
  <c r="K1202" i="328" s="1"/>
  <c r="J153" i="31"/>
  <c r="L153" i="31" s="1"/>
  <c r="J160" i="31"/>
  <c r="C964" i="328"/>
  <c r="E964" i="328" s="1"/>
  <c r="J124" i="31"/>
  <c r="L124" i="31" s="1"/>
  <c r="C896" i="328"/>
  <c r="E896" i="328" s="1"/>
  <c r="J116" i="31"/>
  <c r="L116" i="31" s="1"/>
  <c r="C1049" i="328"/>
  <c r="E1049" i="328" s="1"/>
  <c r="J134" i="31"/>
  <c r="L134" i="31" s="1"/>
  <c r="C1117" i="328"/>
  <c r="E1117" i="328" s="1"/>
  <c r="J142" i="31"/>
  <c r="L142" i="31" s="1"/>
  <c r="C913" i="328"/>
  <c r="E913" i="328" s="1"/>
  <c r="J118" i="31"/>
  <c r="L118" i="31" s="1"/>
  <c r="I1117" i="328"/>
  <c r="K1117" i="328" s="1"/>
  <c r="J143" i="31"/>
  <c r="L143" i="31" s="1"/>
  <c r="J156" i="31"/>
  <c r="J161" i="31"/>
  <c r="C930" i="328"/>
  <c r="E930" i="328" s="1"/>
  <c r="J120" i="31"/>
  <c r="L120" i="31" s="1"/>
  <c r="I1168" i="328"/>
  <c r="K1168" i="328" s="1"/>
  <c r="J149" i="31"/>
  <c r="L149" i="31" s="1"/>
  <c r="I1185" i="328"/>
  <c r="K1185" i="328" s="1"/>
  <c r="J151" i="31"/>
  <c r="L151" i="31" s="1"/>
  <c r="C1032" i="328"/>
  <c r="E1032" i="328" s="1"/>
  <c r="J132" i="31"/>
  <c r="L132" i="31" s="1"/>
  <c r="I1100" i="328"/>
  <c r="K1100" i="328" s="1"/>
  <c r="J141" i="31"/>
  <c r="L141" i="31" s="1"/>
  <c r="C1168" i="328"/>
  <c r="E1168" i="328" s="1"/>
  <c r="J148" i="31"/>
  <c r="L148" i="31" s="1"/>
  <c r="I521" i="328"/>
  <c r="K521" i="328" s="1"/>
  <c r="J77" i="31"/>
  <c r="J83" i="31"/>
  <c r="J22" i="31"/>
  <c r="J34" i="31"/>
  <c r="C385" i="328"/>
  <c r="E385" i="328" s="1"/>
  <c r="J60" i="31"/>
  <c r="I283" i="328"/>
  <c r="K283" i="328" s="1"/>
  <c r="J49" i="31"/>
  <c r="J26" i="31"/>
  <c r="J36" i="31"/>
  <c r="J38" i="31"/>
  <c r="C402" i="328"/>
  <c r="E402" i="328" s="1"/>
  <c r="J62" i="31"/>
  <c r="J19" i="31"/>
  <c r="J48" i="31"/>
  <c r="C283" i="328"/>
  <c r="E283" i="328" s="1"/>
  <c r="J76" i="31"/>
  <c r="C521" i="328"/>
  <c r="E521" i="328" s="1"/>
  <c r="J80" i="31"/>
  <c r="J44" i="31"/>
  <c r="C249" i="328"/>
  <c r="E249" i="328" s="1"/>
  <c r="J35" i="31"/>
  <c r="J21" i="31"/>
  <c r="J81" i="31"/>
  <c r="J73" i="31"/>
  <c r="I487" i="328"/>
  <c r="K487" i="328" s="1"/>
  <c r="J33" i="31"/>
  <c r="J18" i="31"/>
  <c r="J70" i="31"/>
  <c r="C470" i="328"/>
  <c r="E470" i="328" s="1"/>
  <c r="J20" i="31"/>
  <c r="J85" i="31"/>
  <c r="J25" i="31"/>
  <c r="J23" i="31"/>
  <c r="J29" i="31"/>
  <c r="J37" i="31"/>
  <c r="J42" i="31"/>
  <c r="L42" i="31" s="1"/>
  <c r="C232" i="328"/>
  <c r="E232" i="328" s="1"/>
  <c r="I402" i="328"/>
  <c r="K402" i="328" s="1"/>
  <c r="J63" i="31"/>
  <c r="J84" i="31"/>
  <c r="J65" i="31"/>
  <c r="I419" i="328"/>
  <c r="K419" i="328" s="1"/>
  <c r="C300" i="328"/>
  <c r="E300" i="328" s="1"/>
  <c r="J50" i="31"/>
  <c r="J32" i="31"/>
  <c r="J56" i="31"/>
  <c r="C351" i="328"/>
  <c r="E351" i="328" s="1"/>
  <c r="J52" i="31"/>
  <c r="C317" i="328"/>
  <c r="E317" i="328" s="1"/>
  <c r="J66" i="31"/>
  <c r="C436" i="328"/>
  <c r="E436" i="328" s="1"/>
  <c r="I266" i="328"/>
  <c r="K266" i="328" s="1"/>
  <c r="J47" i="31"/>
  <c r="I317" i="328"/>
  <c r="K317" i="328" s="1"/>
  <c r="J53" i="31"/>
  <c r="J79" i="31"/>
  <c r="C215" i="328"/>
  <c r="E215" i="328" s="1"/>
  <c r="J40" i="31"/>
  <c r="J61" i="31"/>
  <c r="I385" i="328"/>
  <c r="K385" i="328" s="1"/>
  <c r="J41" i="31"/>
  <c r="I215" i="328"/>
  <c r="K215" i="328" s="1"/>
  <c r="J43" i="31"/>
  <c r="I232" i="328"/>
  <c r="K232" i="328" s="1"/>
  <c r="I470" i="328"/>
  <c r="K470" i="328" s="1"/>
  <c r="J71" i="31"/>
  <c r="I351" i="328"/>
  <c r="K351" i="328" s="1"/>
  <c r="J57" i="31"/>
  <c r="J30" i="31"/>
  <c r="J51" i="31"/>
  <c r="I300" i="328"/>
  <c r="K300" i="328" s="1"/>
  <c r="J31" i="31"/>
  <c r="J17" i="31"/>
  <c r="J67" i="31"/>
  <c r="I436" i="328"/>
  <c r="K436" i="328" s="1"/>
  <c r="J28" i="31"/>
  <c r="J74" i="31"/>
  <c r="C504" i="328"/>
  <c r="E504" i="328" s="1"/>
  <c r="J82" i="31"/>
  <c r="I334" i="328"/>
  <c r="K334" i="328" s="1"/>
  <c r="J55" i="31"/>
  <c r="J59" i="31"/>
  <c r="I368" i="328"/>
  <c r="K368" i="328" s="1"/>
  <c r="I504" i="328"/>
  <c r="K504" i="328" s="1"/>
  <c r="J75" i="31"/>
  <c r="J39" i="31"/>
  <c r="I198" i="328"/>
  <c r="K198" i="328" s="1"/>
  <c r="I453" i="328"/>
  <c r="K453" i="328" s="1"/>
  <c r="J69" i="31"/>
  <c r="J16" i="31"/>
  <c r="J54" i="31"/>
  <c r="C334" i="328"/>
  <c r="E334" i="328" s="1"/>
  <c r="J72" i="31"/>
  <c r="C487" i="328"/>
  <c r="E487" i="328" s="1"/>
  <c r="J86" i="31"/>
  <c r="J78" i="31"/>
  <c r="C538" i="328"/>
  <c r="E538" i="328" s="1"/>
  <c r="J27" i="31"/>
  <c r="C266" i="328"/>
  <c r="E266" i="328" s="1"/>
  <c r="J46" i="31"/>
  <c r="C368" i="328"/>
  <c r="E368" i="328" s="1"/>
  <c r="J58" i="31"/>
  <c r="J68" i="31"/>
  <c r="C453" i="328"/>
  <c r="E453" i="328" s="1"/>
  <c r="J64" i="31"/>
  <c r="C419" i="328"/>
  <c r="E419" i="328" s="1"/>
  <c r="J24" i="31"/>
  <c r="I249" i="328"/>
  <c r="K249" i="328" s="1"/>
  <c r="J45" i="31"/>
  <c r="AH192" i="249"/>
  <c r="AH183" i="249"/>
  <c r="AH184" i="249"/>
  <c r="R8" i="262"/>
  <c r="I24" i="235"/>
  <c r="I23" i="235"/>
  <c r="I22" i="235"/>
  <c r="C1421" i="328" l="1"/>
  <c r="E1421" i="328" s="1"/>
  <c r="AH191" i="249"/>
  <c r="AH189" i="249"/>
  <c r="AH190" i="249"/>
  <c r="N111" i="31"/>
  <c r="H107" i="334" s="1"/>
  <c r="N179" i="31"/>
  <c r="AA84" i="312"/>
  <c r="AB84" i="312" s="1"/>
  <c r="N178" i="31"/>
  <c r="AA83" i="312"/>
  <c r="AB83" i="312" s="1"/>
  <c r="L176" i="31"/>
  <c r="I1404" i="328"/>
  <c r="K1404" i="328" s="1"/>
  <c r="C1438" i="328"/>
  <c r="E1438" i="328" s="1"/>
  <c r="E1447" i="328" s="1"/>
  <c r="I1421" i="328"/>
  <c r="K1421" i="328" s="1"/>
  <c r="L90" i="312"/>
  <c r="K13" i="333" s="1"/>
  <c r="K14" i="333" s="1"/>
  <c r="I1234" i="328"/>
  <c r="K1234" i="328" s="1"/>
  <c r="L157" i="31"/>
  <c r="C1370" i="328"/>
  <c r="E1370" i="328" s="1"/>
  <c r="L172" i="31"/>
  <c r="C1336" i="328"/>
  <c r="E1336" i="328" s="1"/>
  <c r="L168" i="31"/>
  <c r="I1319" i="328"/>
  <c r="K1319" i="328" s="1"/>
  <c r="L167" i="31"/>
  <c r="I1302" i="328"/>
  <c r="K1302" i="328" s="1"/>
  <c r="L165" i="31"/>
  <c r="C1251" i="328"/>
  <c r="E1251" i="328" s="1"/>
  <c r="L158" i="31"/>
  <c r="I1217" i="328"/>
  <c r="K1217" i="328" s="1"/>
  <c r="L155" i="31"/>
  <c r="C1268" i="328"/>
  <c r="E1268" i="328" s="1"/>
  <c r="L160" i="31"/>
  <c r="C1285" i="328"/>
  <c r="E1285" i="328" s="1"/>
  <c r="L162" i="31"/>
  <c r="C1302" i="328"/>
  <c r="E1302" i="328" s="1"/>
  <c r="L164" i="31"/>
  <c r="I1285" i="328"/>
  <c r="K1285" i="328" s="1"/>
  <c r="L163" i="31"/>
  <c r="C1013" i="328"/>
  <c r="E1013" i="328" s="1"/>
  <c r="L130" i="31"/>
  <c r="I1251" i="328"/>
  <c r="K1251" i="328" s="1"/>
  <c r="L159" i="31"/>
  <c r="C1319" i="328"/>
  <c r="E1319" i="328" s="1"/>
  <c r="L166" i="31"/>
  <c r="I1353" i="328"/>
  <c r="K1353" i="328" s="1"/>
  <c r="L171" i="31"/>
  <c r="I1387" i="328"/>
  <c r="K1387" i="328" s="1"/>
  <c r="L175" i="31"/>
  <c r="C1353" i="328"/>
  <c r="E1353" i="328" s="1"/>
  <c r="L170" i="31"/>
  <c r="I1268" i="328"/>
  <c r="K1268" i="328" s="1"/>
  <c r="L161" i="31"/>
  <c r="C1234" i="328"/>
  <c r="E1234" i="328" s="1"/>
  <c r="L156" i="31"/>
  <c r="I877" i="328"/>
  <c r="K877" i="328" s="1"/>
  <c r="L115" i="31"/>
  <c r="I1336" i="328"/>
  <c r="K1336" i="328" s="1"/>
  <c r="L169" i="31"/>
  <c r="C536" i="328"/>
  <c r="E536" i="328" s="1"/>
  <c r="L78" i="31"/>
  <c r="I451" i="328"/>
  <c r="K451" i="328" s="1"/>
  <c r="L69" i="31"/>
  <c r="I332" i="328"/>
  <c r="K332" i="328" s="1"/>
  <c r="L55" i="31"/>
  <c r="I9" i="328"/>
  <c r="K9" i="328" s="1"/>
  <c r="L17" i="31"/>
  <c r="I213" i="328"/>
  <c r="K213" i="328" s="1"/>
  <c r="L41" i="31"/>
  <c r="I417" i="328"/>
  <c r="K417" i="328" s="1"/>
  <c r="L65" i="31"/>
  <c r="I60" i="328"/>
  <c r="K60" i="328" s="1"/>
  <c r="L23" i="31"/>
  <c r="I26" i="328"/>
  <c r="K26" i="328" s="1"/>
  <c r="L19" i="31"/>
  <c r="C179" i="328"/>
  <c r="E179" i="328" s="1"/>
  <c r="L36" i="31"/>
  <c r="C451" i="328"/>
  <c r="E451" i="328" s="1"/>
  <c r="L68" i="31"/>
  <c r="C604" i="328"/>
  <c r="E604" i="328" s="1"/>
  <c r="L86" i="31"/>
  <c r="C332" i="328"/>
  <c r="E332" i="328" s="1"/>
  <c r="L54" i="31"/>
  <c r="C111" i="328"/>
  <c r="E111" i="328" s="1"/>
  <c r="L28" i="31"/>
  <c r="I128" i="328"/>
  <c r="K128" i="328" s="1"/>
  <c r="L31" i="31"/>
  <c r="I349" i="328"/>
  <c r="K349" i="328" s="1"/>
  <c r="L57" i="31"/>
  <c r="I536" i="328"/>
  <c r="K536" i="328" s="1"/>
  <c r="L79" i="31"/>
  <c r="C315" i="328"/>
  <c r="E315" i="328" s="1"/>
  <c r="L52" i="31"/>
  <c r="C298" i="328"/>
  <c r="E298" i="328" s="1"/>
  <c r="L50" i="31"/>
  <c r="C587" i="328"/>
  <c r="E587" i="328" s="1"/>
  <c r="L84" i="31"/>
  <c r="I77" i="328"/>
  <c r="K77" i="328" s="1"/>
  <c r="L25" i="31"/>
  <c r="C468" i="328"/>
  <c r="E468" i="328" s="1"/>
  <c r="L70" i="31"/>
  <c r="I485" i="328"/>
  <c r="K485" i="328" s="1"/>
  <c r="L73" i="31"/>
  <c r="C519" i="328"/>
  <c r="E519" i="328" s="1"/>
  <c r="L76" i="31"/>
  <c r="C400" i="328"/>
  <c r="E400" i="328" s="1"/>
  <c r="L62" i="31"/>
  <c r="C94" i="328"/>
  <c r="E94" i="328" s="1"/>
  <c r="L26" i="31"/>
  <c r="I519" i="328"/>
  <c r="K519" i="328" s="1"/>
  <c r="L77" i="31"/>
  <c r="C264" i="328"/>
  <c r="E264" i="328" s="1"/>
  <c r="L46" i="31"/>
  <c r="I502" i="328"/>
  <c r="K502" i="328" s="1"/>
  <c r="L75" i="31"/>
  <c r="I162" i="328"/>
  <c r="K162" i="328" s="1"/>
  <c r="L35" i="31"/>
  <c r="C383" i="328"/>
  <c r="E383" i="328" s="1"/>
  <c r="L60" i="31"/>
  <c r="C9" i="328"/>
  <c r="E9" i="328" s="1"/>
  <c r="L16" i="31"/>
  <c r="C570" i="328"/>
  <c r="E570" i="328" s="1"/>
  <c r="L82" i="31"/>
  <c r="I230" i="328"/>
  <c r="K230" i="328" s="1"/>
  <c r="L43" i="31"/>
  <c r="I383" i="328"/>
  <c r="K383" i="328" s="1"/>
  <c r="L61" i="31"/>
  <c r="I315" i="328"/>
  <c r="K315" i="328" s="1"/>
  <c r="L53" i="31"/>
  <c r="I400" i="328"/>
  <c r="K400" i="328" s="1"/>
  <c r="L63" i="31"/>
  <c r="I179" i="328"/>
  <c r="K179" i="328" s="1"/>
  <c r="L37" i="31"/>
  <c r="I587" i="328"/>
  <c r="K587" i="328" s="1"/>
  <c r="L85" i="31"/>
  <c r="C26" i="328"/>
  <c r="E26" i="328" s="1"/>
  <c r="L18" i="31"/>
  <c r="I553" i="328"/>
  <c r="K553" i="328" s="1"/>
  <c r="L81" i="31"/>
  <c r="C247" i="328"/>
  <c r="E247" i="328" s="1"/>
  <c r="L44" i="31"/>
  <c r="I281" i="328"/>
  <c r="K281" i="328" s="1"/>
  <c r="L49" i="31"/>
  <c r="C162" i="328"/>
  <c r="E162" i="328" s="1"/>
  <c r="L34" i="31"/>
  <c r="C502" i="328"/>
  <c r="E502" i="328" s="1"/>
  <c r="L74" i="31"/>
  <c r="C128" i="328"/>
  <c r="E128" i="328" s="1"/>
  <c r="L30" i="31"/>
  <c r="I264" i="328"/>
  <c r="K264" i="328" s="1"/>
  <c r="L47" i="31"/>
  <c r="C145" i="328"/>
  <c r="E145" i="328" s="1"/>
  <c r="L32" i="31"/>
  <c r="I570" i="328"/>
  <c r="K570" i="328" s="1"/>
  <c r="L83" i="31"/>
  <c r="C77" i="328"/>
  <c r="E77" i="328" s="1"/>
  <c r="L24" i="31"/>
  <c r="C366" i="328"/>
  <c r="E366" i="328" s="1"/>
  <c r="L58" i="31"/>
  <c r="I94" i="328"/>
  <c r="K94" i="328" s="1"/>
  <c r="L27" i="31"/>
  <c r="I247" i="328"/>
  <c r="K247" i="328" s="1"/>
  <c r="L45" i="31"/>
  <c r="C417" i="328"/>
  <c r="E417" i="328" s="1"/>
  <c r="L64" i="31"/>
  <c r="C485" i="328"/>
  <c r="E485" i="328" s="1"/>
  <c r="L72" i="31"/>
  <c r="I196" i="328"/>
  <c r="K196" i="328" s="1"/>
  <c r="L39" i="31"/>
  <c r="I366" i="328"/>
  <c r="K366" i="328" s="1"/>
  <c r="L59" i="31"/>
  <c r="I434" i="328"/>
  <c r="K434" i="328" s="1"/>
  <c r="L67" i="31"/>
  <c r="I298" i="328"/>
  <c r="K298" i="328" s="1"/>
  <c r="L51" i="31"/>
  <c r="I468" i="328"/>
  <c r="K468" i="328" s="1"/>
  <c r="L71" i="31"/>
  <c r="C213" i="328"/>
  <c r="E213" i="328" s="1"/>
  <c r="L40" i="31"/>
  <c r="C434" i="328"/>
  <c r="E434" i="328" s="1"/>
  <c r="L66" i="31"/>
  <c r="C349" i="328"/>
  <c r="E349" i="328" s="1"/>
  <c r="L56" i="31"/>
  <c r="I111" i="328"/>
  <c r="K111" i="328" s="1"/>
  <c r="L29" i="31"/>
  <c r="C43" i="328"/>
  <c r="E43" i="328" s="1"/>
  <c r="L20" i="31"/>
  <c r="I145" i="328"/>
  <c r="K145" i="328" s="1"/>
  <c r="L33" i="31"/>
  <c r="I43" i="328"/>
  <c r="K43" i="328" s="1"/>
  <c r="L21" i="31"/>
  <c r="C553" i="328"/>
  <c r="E553" i="328" s="1"/>
  <c r="L80" i="31"/>
  <c r="C281" i="328"/>
  <c r="E281" i="328" s="1"/>
  <c r="L48" i="31"/>
  <c r="C196" i="328"/>
  <c r="E196" i="328" s="1"/>
  <c r="L38" i="31"/>
  <c r="C60" i="328"/>
  <c r="E60" i="328" s="1"/>
  <c r="L22" i="31"/>
  <c r="I1474" i="328"/>
  <c r="K1474" i="328" s="1"/>
  <c r="C845" i="328"/>
  <c r="E845" i="328" s="1"/>
  <c r="I141" i="334"/>
  <c r="I126" i="334"/>
  <c r="I150" i="334"/>
  <c r="C1406" i="328"/>
  <c r="E1406" i="328" s="1"/>
  <c r="I170" i="334"/>
  <c r="I137" i="334"/>
  <c r="I147" i="334"/>
  <c r="J147" i="334" s="1"/>
  <c r="M147" i="334" s="1"/>
  <c r="I116" i="334"/>
  <c r="I114" i="334"/>
  <c r="I130" i="334"/>
  <c r="I120" i="334"/>
  <c r="I149" i="334"/>
  <c r="I111" i="334"/>
  <c r="I133" i="334"/>
  <c r="I134" i="334"/>
  <c r="I146" i="334"/>
  <c r="J146" i="334" s="1"/>
  <c r="M146" i="334" s="1"/>
  <c r="I136" i="334"/>
  <c r="I113" i="334"/>
  <c r="I109" i="334"/>
  <c r="I127" i="334"/>
  <c r="I169" i="334"/>
  <c r="I123" i="334"/>
  <c r="I125" i="334"/>
  <c r="I108" i="334"/>
  <c r="I171" i="334"/>
  <c r="I122" i="334"/>
  <c r="I118" i="334"/>
  <c r="I132" i="334"/>
  <c r="I121" i="334"/>
  <c r="I117" i="334"/>
  <c r="I142" i="334"/>
  <c r="I129" i="334"/>
  <c r="I119" i="334"/>
  <c r="I144" i="334"/>
  <c r="I128" i="334"/>
  <c r="I145" i="334"/>
  <c r="I139" i="334"/>
  <c r="I138" i="334"/>
  <c r="J138" i="334" s="1"/>
  <c r="M138" i="334" s="1"/>
  <c r="I112" i="334"/>
  <c r="I115" i="334"/>
  <c r="I124" i="334"/>
  <c r="I110" i="334"/>
  <c r="I140" i="334"/>
  <c r="I106" i="334"/>
  <c r="I131" i="334"/>
  <c r="I135" i="334"/>
  <c r="J135" i="334" s="1"/>
  <c r="M135" i="334" s="1"/>
  <c r="I148" i="334"/>
  <c r="J148" i="334" s="1"/>
  <c r="M148" i="334" s="1"/>
  <c r="I143" i="334"/>
  <c r="C230" i="328"/>
  <c r="E230" i="328" s="1"/>
  <c r="I911" i="328"/>
  <c r="K911" i="328" s="1"/>
  <c r="C996" i="328"/>
  <c r="E996" i="328" s="1"/>
  <c r="C877" i="328"/>
  <c r="E877" i="328" s="1"/>
  <c r="C1132" i="328"/>
  <c r="E1132" i="328" s="1"/>
  <c r="I1047" i="328"/>
  <c r="K1047" i="328" s="1"/>
  <c r="I1081" i="328"/>
  <c r="K1081" i="328" s="1"/>
  <c r="C1200" i="328"/>
  <c r="E1200" i="328" s="1"/>
  <c r="I1149" i="328"/>
  <c r="K1149" i="328" s="1"/>
  <c r="I1370" i="328"/>
  <c r="K1370" i="328" s="1"/>
  <c r="I979" i="328"/>
  <c r="K979" i="328" s="1"/>
  <c r="I1030" i="328"/>
  <c r="K1030" i="328" s="1"/>
  <c r="I1132" i="328"/>
  <c r="K1132" i="328" s="1"/>
  <c r="I945" i="328"/>
  <c r="K945" i="328" s="1"/>
  <c r="C1217" i="328"/>
  <c r="E1217" i="328" s="1"/>
  <c r="I996" i="328"/>
  <c r="K996" i="328" s="1"/>
  <c r="C860" i="328"/>
  <c r="E860" i="328" s="1"/>
  <c r="I1166" i="328"/>
  <c r="K1166" i="328" s="1"/>
  <c r="I1115" i="328"/>
  <c r="K1115" i="328" s="1"/>
  <c r="C894" i="328"/>
  <c r="E894" i="328" s="1"/>
  <c r="I1098" i="328"/>
  <c r="K1098" i="328" s="1"/>
  <c r="I1183" i="328"/>
  <c r="K1183" i="328" s="1"/>
  <c r="C928" i="328"/>
  <c r="E928" i="328" s="1"/>
  <c r="C911" i="328"/>
  <c r="E911" i="328" s="1"/>
  <c r="C1047" i="328"/>
  <c r="E1047" i="328" s="1"/>
  <c r="C962" i="328"/>
  <c r="E962" i="328" s="1"/>
  <c r="I1200" i="328"/>
  <c r="K1200" i="328" s="1"/>
  <c r="I1064" i="328"/>
  <c r="K1064" i="328" s="1"/>
  <c r="C1081" i="328"/>
  <c r="E1081" i="328" s="1"/>
  <c r="I843" i="328"/>
  <c r="K843" i="328" s="1"/>
  <c r="C1183" i="328"/>
  <c r="E1183" i="328" s="1"/>
  <c r="C1098" i="328"/>
  <c r="E1098" i="328" s="1"/>
  <c r="I894" i="328"/>
  <c r="K894" i="328" s="1"/>
  <c r="I860" i="328"/>
  <c r="K860" i="328" s="1"/>
  <c r="I1013" i="328"/>
  <c r="K1013" i="328" s="1"/>
  <c r="C1387" i="328"/>
  <c r="E1387" i="328" s="1"/>
  <c r="C1166" i="328"/>
  <c r="E1166" i="328" s="1"/>
  <c r="C1030" i="328"/>
  <c r="E1030" i="328" s="1"/>
  <c r="C1115" i="328"/>
  <c r="E1115" i="328" s="1"/>
  <c r="C979" i="328"/>
  <c r="E979" i="328" s="1"/>
  <c r="C945" i="328"/>
  <c r="E945" i="328" s="1"/>
  <c r="C1064" i="328"/>
  <c r="E1064" i="328" s="1"/>
  <c r="I962" i="328"/>
  <c r="K962" i="328" s="1"/>
  <c r="I928" i="328"/>
  <c r="K928" i="328" s="1"/>
  <c r="C1149" i="328"/>
  <c r="E1149" i="328" s="1"/>
  <c r="AA80" i="312"/>
  <c r="AB80" i="312" s="1"/>
  <c r="AA81" i="312"/>
  <c r="AB81" i="312" s="1"/>
  <c r="AA78" i="312"/>
  <c r="AB78" i="312" s="1"/>
  <c r="AA85" i="312"/>
  <c r="AB85" i="312" s="1"/>
  <c r="J144" i="334"/>
  <c r="M144" i="334" s="1"/>
  <c r="AA53" i="312"/>
  <c r="AB53" i="312" s="1"/>
  <c r="AA37" i="312"/>
  <c r="AB37" i="312" s="1"/>
  <c r="AA54" i="312"/>
  <c r="AB54" i="312" s="1"/>
  <c r="AA48" i="312"/>
  <c r="AB48" i="312" s="1"/>
  <c r="AA47" i="312"/>
  <c r="AB47" i="312" s="1"/>
  <c r="AA21" i="312"/>
  <c r="AB21" i="312" s="1"/>
  <c r="AA24" i="312"/>
  <c r="AB24" i="312" s="1"/>
  <c r="AA33" i="312"/>
  <c r="AB33" i="312" s="1"/>
  <c r="AA19" i="312"/>
  <c r="AB19" i="312" s="1"/>
  <c r="AA49" i="312"/>
  <c r="AB49" i="312" s="1"/>
  <c r="AA31" i="312"/>
  <c r="AB31" i="312" s="1"/>
  <c r="AA55" i="312"/>
  <c r="AB55" i="312" s="1"/>
  <c r="AA45" i="312"/>
  <c r="AB45" i="312" s="1"/>
  <c r="AA22" i="312"/>
  <c r="AB22" i="312" s="1"/>
  <c r="AA18" i="312"/>
  <c r="AB18" i="312" s="1"/>
  <c r="AA36" i="312"/>
  <c r="AB36" i="312" s="1"/>
  <c r="AA34" i="312"/>
  <c r="AB34" i="312" s="1"/>
  <c r="AA27" i="312"/>
  <c r="AB27" i="312" s="1"/>
  <c r="AA41" i="312"/>
  <c r="AB41" i="312" s="1"/>
  <c r="AA30" i="312"/>
  <c r="AB30" i="312" s="1"/>
  <c r="AA26" i="312"/>
  <c r="AB26" i="312" s="1"/>
  <c r="AA51" i="312"/>
  <c r="AB51" i="312" s="1"/>
  <c r="C843" i="328"/>
  <c r="E843" i="328" s="1"/>
  <c r="E1464" i="328"/>
  <c r="E1481" i="328"/>
  <c r="I1472" i="328"/>
  <c r="K1472" i="328" s="1"/>
  <c r="K1464" i="328"/>
  <c r="K1447" i="328"/>
  <c r="AA38" i="312"/>
  <c r="AB38" i="312" s="1"/>
  <c r="AA50" i="312"/>
  <c r="AB50" i="312" s="1"/>
  <c r="AA28" i="312"/>
  <c r="AB28" i="312" s="1"/>
  <c r="AA35" i="312"/>
  <c r="AB35" i="312" s="1"/>
  <c r="AA59" i="312"/>
  <c r="AB59" i="312" s="1"/>
  <c r="AA17" i="312"/>
  <c r="AB17" i="312" s="1"/>
  <c r="AA46" i="312"/>
  <c r="AB46" i="312" s="1"/>
  <c r="AA56" i="312"/>
  <c r="AB56" i="312" s="1"/>
  <c r="AA25" i="312"/>
  <c r="AB25" i="312" s="1"/>
  <c r="AA23" i="312"/>
  <c r="AB23" i="312" s="1"/>
  <c r="AA39" i="312"/>
  <c r="AB39" i="312" s="1"/>
  <c r="AA29" i="312"/>
  <c r="AB29" i="312" s="1"/>
  <c r="AA58" i="312"/>
  <c r="AB58" i="312" s="1"/>
  <c r="AA20" i="312"/>
  <c r="AB20" i="312" s="1"/>
  <c r="AA42" i="312"/>
  <c r="AB42" i="312" s="1"/>
  <c r="AA43" i="312"/>
  <c r="AB43" i="312" s="1"/>
  <c r="AA16" i="312"/>
  <c r="AB16" i="312" s="1"/>
  <c r="AA32" i="312"/>
  <c r="AB32" i="312" s="1"/>
  <c r="C842" i="328"/>
  <c r="E842" i="328" s="1"/>
  <c r="AA15" i="312"/>
  <c r="AB15" i="312" s="1"/>
  <c r="N90" i="312"/>
  <c r="AA40" i="312"/>
  <c r="AB40" i="312" s="1"/>
  <c r="AA44" i="312"/>
  <c r="AB44" i="312" s="1"/>
  <c r="AA57" i="312"/>
  <c r="AB57" i="312" s="1"/>
  <c r="AA52" i="312"/>
  <c r="AB52" i="312" s="1"/>
  <c r="I791" i="328"/>
  <c r="K791" i="328" s="1"/>
  <c r="I808" i="328"/>
  <c r="K808" i="328" s="1"/>
  <c r="I825" i="328"/>
  <c r="K825" i="328" s="1"/>
  <c r="I774" i="328"/>
  <c r="K774" i="328" s="1"/>
  <c r="I757" i="328"/>
  <c r="K757" i="328" s="1"/>
  <c r="C825" i="328"/>
  <c r="E825" i="328" s="1"/>
  <c r="C791" i="328"/>
  <c r="E791" i="328" s="1"/>
  <c r="C774" i="328"/>
  <c r="E774" i="328" s="1"/>
  <c r="C808" i="328"/>
  <c r="E808" i="328" s="1"/>
  <c r="C757" i="328"/>
  <c r="E757" i="328" s="1"/>
  <c r="AH181" i="249"/>
  <c r="I46" i="235"/>
  <c r="F15" i="291"/>
  <c r="AH188" i="249" l="1"/>
  <c r="L13" i="333"/>
  <c r="AF67" i="312"/>
  <c r="H175" i="334"/>
  <c r="J175" i="334" s="1"/>
  <c r="M175" i="334" s="1"/>
  <c r="I1420" i="328"/>
  <c r="K1420" i="328" s="1"/>
  <c r="K1430" i="328" s="1"/>
  <c r="AA179" i="31"/>
  <c r="AC179" i="31" s="1"/>
  <c r="C1420" i="328"/>
  <c r="E1420" i="328" s="1"/>
  <c r="E1430" i="328" s="1"/>
  <c r="H174" i="334"/>
  <c r="J174" i="334" s="1"/>
  <c r="M174" i="334" s="1"/>
  <c r="AA178" i="31"/>
  <c r="AC178" i="31" s="1"/>
  <c r="J141" i="334"/>
  <c r="M141" i="334" s="1"/>
  <c r="J170" i="334"/>
  <c r="M170" i="334" s="1"/>
  <c r="J134" i="334"/>
  <c r="M134" i="334" s="1"/>
  <c r="J150" i="334"/>
  <c r="M150" i="334" s="1"/>
  <c r="J145" i="334"/>
  <c r="M145" i="334" s="1"/>
  <c r="J143" i="334"/>
  <c r="M143" i="334" s="1"/>
  <c r="J136" i="334"/>
  <c r="M136" i="334" s="1"/>
  <c r="J169" i="334"/>
  <c r="M169" i="334" s="1"/>
  <c r="I842" i="328"/>
  <c r="K842" i="328" s="1"/>
  <c r="C1199" i="328"/>
  <c r="E1199" i="328" s="1"/>
  <c r="I1046" i="328"/>
  <c r="K1046" i="328" s="1"/>
  <c r="I1131" i="328"/>
  <c r="K1131" i="328" s="1"/>
  <c r="K1141" i="328" s="1"/>
  <c r="C1131" i="328"/>
  <c r="E1131" i="328" s="1"/>
  <c r="E1141" i="328" s="1"/>
  <c r="C995" i="328"/>
  <c r="E995" i="328" s="1"/>
  <c r="C893" i="328"/>
  <c r="E893" i="328" s="1"/>
  <c r="I1114" i="328"/>
  <c r="K1114" i="328" s="1"/>
  <c r="K1124" i="328" s="1"/>
  <c r="C1029" i="328"/>
  <c r="E1029" i="328" s="1"/>
  <c r="I944" i="328"/>
  <c r="K944" i="328" s="1"/>
  <c r="C1148" i="328"/>
  <c r="E1148" i="328" s="1"/>
  <c r="E1158" i="328" s="1"/>
  <c r="I961" i="328"/>
  <c r="K961" i="328" s="1"/>
  <c r="C944" i="328"/>
  <c r="E944" i="328" s="1"/>
  <c r="I1386" i="328"/>
  <c r="K1386" i="328" s="1"/>
  <c r="K1396" i="328" s="1"/>
  <c r="I995" i="328"/>
  <c r="K995" i="328" s="1"/>
  <c r="I1369" i="328"/>
  <c r="K1369" i="328" s="1"/>
  <c r="K1379" i="328" s="1"/>
  <c r="I859" i="328"/>
  <c r="K859" i="328" s="1"/>
  <c r="C1097" i="328"/>
  <c r="E1097" i="328" s="1"/>
  <c r="E1107" i="328" s="1"/>
  <c r="C1080" i="328"/>
  <c r="E1080" i="328" s="1"/>
  <c r="E1090" i="328" s="1"/>
  <c r="I876" i="328"/>
  <c r="K876" i="328" s="1"/>
  <c r="C961" i="328"/>
  <c r="E961" i="328" s="1"/>
  <c r="C910" i="328"/>
  <c r="E910" i="328" s="1"/>
  <c r="I1182" i="328"/>
  <c r="K1182" i="328" s="1"/>
  <c r="K1192" i="328" s="1"/>
  <c r="C1386" i="328"/>
  <c r="E1386" i="328" s="1"/>
  <c r="E1396" i="328" s="1"/>
  <c r="C1216" i="328"/>
  <c r="E1216" i="328" s="1"/>
  <c r="E1226" i="328" s="1"/>
  <c r="I1148" i="328"/>
  <c r="K1148" i="328" s="1"/>
  <c r="K1158" i="328" s="1"/>
  <c r="I1080" i="328"/>
  <c r="K1080" i="328" s="1"/>
  <c r="K1090" i="328" s="1"/>
  <c r="I1471" i="328"/>
  <c r="K1471" i="328" s="1"/>
  <c r="C1182" i="328"/>
  <c r="E1182" i="328" s="1"/>
  <c r="E1192" i="328" s="1"/>
  <c r="C927" i="328"/>
  <c r="E927" i="328" s="1"/>
  <c r="C876" i="328"/>
  <c r="E876" i="328" s="1"/>
  <c r="I910" i="328"/>
  <c r="K910" i="328" s="1"/>
  <c r="C1114" i="328"/>
  <c r="E1114" i="328" s="1"/>
  <c r="E1124" i="328" s="1"/>
  <c r="I1165" i="328"/>
  <c r="K1165" i="328" s="1"/>
  <c r="K1175" i="328" s="1"/>
  <c r="C1165" i="328"/>
  <c r="E1165" i="328" s="1"/>
  <c r="E1175" i="328" s="1"/>
  <c r="I1029" i="328"/>
  <c r="K1029" i="328" s="1"/>
  <c r="I927" i="328"/>
  <c r="K927" i="328" s="1"/>
  <c r="C1063" i="328"/>
  <c r="E1063" i="328" s="1"/>
  <c r="C978" i="328"/>
  <c r="E978" i="328" s="1"/>
  <c r="C859" i="328"/>
  <c r="E859" i="328" s="1"/>
  <c r="I978" i="328"/>
  <c r="K978" i="328" s="1"/>
  <c r="I1012" i="328"/>
  <c r="K1012" i="328" s="1"/>
  <c r="I893" i="328"/>
  <c r="K893" i="328" s="1"/>
  <c r="I1063" i="328"/>
  <c r="K1063" i="328" s="1"/>
  <c r="K1073" i="328" s="1"/>
  <c r="I1199" i="328"/>
  <c r="K1199" i="328" s="1"/>
  <c r="K1209" i="328" s="1"/>
  <c r="C1046" i="328"/>
  <c r="E1046" i="328" s="1"/>
  <c r="I1097" i="328"/>
  <c r="K1097" i="328" s="1"/>
  <c r="K1107" i="328" s="1"/>
  <c r="C1012" i="328"/>
  <c r="E1012" i="328" s="1"/>
  <c r="J140" i="334"/>
  <c r="M140" i="334" s="1"/>
  <c r="J139" i="334"/>
  <c r="M139" i="334" s="1"/>
  <c r="C1403" i="328"/>
  <c r="E1403" i="328" s="1"/>
  <c r="E1413" i="328" s="1"/>
  <c r="I172" i="334"/>
  <c r="J171" i="334"/>
  <c r="M171" i="334" s="1"/>
  <c r="E1209" i="328"/>
  <c r="J133" i="334"/>
  <c r="M133" i="334" s="1"/>
  <c r="J149" i="334"/>
  <c r="M149" i="334" s="1"/>
  <c r="J137" i="334"/>
  <c r="M137" i="334" s="1"/>
  <c r="J142" i="334"/>
  <c r="M142" i="334" s="1"/>
  <c r="AF89" i="312"/>
  <c r="AF112" i="312" s="1"/>
  <c r="I26" i="317"/>
  <c r="J26" i="317" s="1"/>
  <c r="AA175" i="31"/>
  <c r="AC175" i="31" s="1"/>
  <c r="AA174" i="31"/>
  <c r="AC174" i="31" s="1"/>
  <c r="AA173" i="31"/>
  <c r="AC173" i="31" s="1"/>
  <c r="AA139" i="31"/>
  <c r="AC139" i="31" s="1"/>
  <c r="AA151" i="31"/>
  <c r="AC151" i="31" s="1"/>
  <c r="AA145" i="31"/>
  <c r="AC145" i="31" s="1"/>
  <c r="AA138" i="31"/>
  <c r="AC138" i="31" s="1"/>
  <c r="AA150" i="31"/>
  <c r="AC150" i="31" s="1"/>
  <c r="AA144" i="31"/>
  <c r="AC144" i="31" s="1"/>
  <c r="AA143" i="31"/>
  <c r="AC143" i="31" s="1"/>
  <c r="AA147" i="31"/>
  <c r="AC147" i="31" s="1"/>
  <c r="AA149" i="31"/>
  <c r="AC149" i="31" s="1"/>
  <c r="AA146" i="31"/>
  <c r="AC146" i="31" s="1"/>
  <c r="AA152" i="31"/>
  <c r="AC152" i="31" s="1"/>
  <c r="AA137" i="31"/>
  <c r="AC137" i="31" s="1"/>
  <c r="AA153" i="31"/>
  <c r="AC153" i="31" s="1"/>
  <c r="AA141" i="31"/>
  <c r="AC141" i="31" s="1"/>
  <c r="AA154" i="31"/>
  <c r="AC154" i="31" s="1"/>
  <c r="AA140" i="31"/>
  <c r="AC140" i="31" s="1"/>
  <c r="AA142" i="31"/>
  <c r="AC142" i="31" s="1"/>
  <c r="AA148" i="31"/>
  <c r="AC148" i="31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J172" i="334" l="1"/>
  <c r="M172" i="334" s="1"/>
  <c r="AA176" i="31"/>
  <c r="AC176" i="31" s="1"/>
  <c r="H181" i="334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X21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8" i="31"/>
  <c r="Z79" i="264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D108" i="257"/>
  <c r="AC108" i="257"/>
  <c r="N99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G3834" i="229"/>
  <c r="A3834" i="229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G3651" i="229"/>
  <c r="A3651" i="229"/>
  <c r="G3635" i="229"/>
  <c r="A3635" i="229"/>
  <c r="G3618" i="229"/>
  <c r="A3618" i="229"/>
  <c r="G3601" i="229"/>
  <c r="A3601" i="229"/>
  <c r="G3584" i="229"/>
  <c r="A3584" i="229"/>
  <c r="G3567" i="229"/>
  <c r="A3567" i="229"/>
  <c r="G3550" i="229"/>
  <c r="A3550" i="229"/>
  <c r="G3533" i="229"/>
  <c r="A3533" i="229"/>
  <c r="G3516" i="229"/>
  <c r="A3516" i="229"/>
  <c r="G3498" i="229"/>
  <c r="A3498" i="229"/>
  <c r="G3481" i="229"/>
  <c r="A3481" i="229"/>
  <c r="G3464" i="229"/>
  <c r="A3464" i="229"/>
  <c r="G3447" i="229"/>
  <c r="A3447" i="229"/>
  <c r="G3429" i="229"/>
  <c r="A3429" i="229"/>
  <c r="G3412" i="229"/>
  <c r="A3412" i="229"/>
  <c r="G3395" i="229"/>
  <c r="A3395" i="229"/>
  <c r="G3378" i="229"/>
  <c r="A3378" i="229"/>
  <c r="G3360" i="229"/>
  <c r="A3360" i="229"/>
  <c r="G3343" i="229"/>
  <c r="A3343" i="229"/>
  <c r="G3326" i="229"/>
  <c r="A3326" i="229"/>
  <c r="G3309" i="229"/>
  <c r="A3309" i="229"/>
  <c r="J3305" i="229"/>
  <c r="G3292" i="229"/>
  <c r="A3292" i="229"/>
  <c r="G3276" i="229"/>
  <c r="A3276" i="229"/>
  <c r="G3260" i="229"/>
  <c r="A3260" i="229"/>
  <c r="G3244" i="229"/>
  <c r="A3244" i="229"/>
  <c r="J3240" i="229"/>
  <c r="G3227" i="229"/>
  <c r="A3227" i="229"/>
  <c r="G3211" i="229"/>
  <c r="A3211" i="229"/>
  <c r="G3195" i="229"/>
  <c r="A3195" i="229"/>
  <c r="C3184" i="229"/>
  <c r="D3184" i="229" s="1"/>
  <c r="G3179" i="229"/>
  <c r="A3179" i="229"/>
  <c r="G3162" i="229"/>
  <c r="A3162" i="229"/>
  <c r="G3146" i="229"/>
  <c r="A3146" i="229"/>
  <c r="G3130" i="229"/>
  <c r="A3130" i="229"/>
  <c r="G3114" i="229"/>
  <c r="A3114" i="229"/>
  <c r="G3097" i="229"/>
  <c r="A3097" i="229"/>
  <c r="G3081" i="229"/>
  <c r="A3081" i="229"/>
  <c r="G3065" i="229"/>
  <c r="A3065" i="229"/>
  <c r="G3049" i="229"/>
  <c r="A3049" i="229"/>
  <c r="G3032" i="229"/>
  <c r="A3032" i="229"/>
  <c r="G3016" i="229"/>
  <c r="A3016" i="229"/>
  <c r="G3000" i="229"/>
  <c r="A3000" i="229"/>
  <c r="G2984" i="229"/>
  <c r="A2984" i="229"/>
  <c r="G2967" i="229"/>
  <c r="A2967" i="229"/>
  <c r="G2951" i="229"/>
  <c r="A2951" i="229"/>
  <c r="G2935" i="229"/>
  <c r="A2935" i="229"/>
  <c r="G2919" i="229"/>
  <c r="A2919" i="229"/>
  <c r="G2902" i="229"/>
  <c r="A2902" i="229"/>
  <c r="G2886" i="229"/>
  <c r="A2886" i="229"/>
  <c r="G2870" i="229"/>
  <c r="A2870" i="229"/>
  <c r="G2854" i="229"/>
  <c r="A2854" i="229"/>
  <c r="G2837" i="229"/>
  <c r="A2837" i="229"/>
  <c r="G2821" i="229"/>
  <c r="A2821" i="229"/>
  <c r="G2805" i="229"/>
  <c r="A2805" i="229"/>
  <c r="G2789" i="229"/>
  <c r="A2789" i="229"/>
  <c r="G2772" i="229"/>
  <c r="A2772" i="229"/>
  <c r="G2756" i="229"/>
  <c r="A2756" i="229"/>
  <c r="G2740" i="229"/>
  <c r="A2740" i="229"/>
  <c r="G2724" i="229"/>
  <c r="A2724" i="229"/>
  <c r="G2707" i="229"/>
  <c r="A2707" i="229"/>
  <c r="G2691" i="229"/>
  <c r="A2691" i="229"/>
  <c r="G2675" i="229"/>
  <c r="A2675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G2607" i="229"/>
  <c r="A2607" i="229"/>
  <c r="G2590" i="229"/>
  <c r="A2590" i="229"/>
  <c r="G2574" i="229"/>
  <c r="A2574" i="229"/>
  <c r="G2558" i="229"/>
  <c r="A2558" i="229"/>
  <c r="G2542" i="229"/>
  <c r="A2542" i="229"/>
  <c r="G2525" i="229"/>
  <c r="A2525" i="229"/>
  <c r="G2509" i="229"/>
  <c r="A2509" i="229"/>
  <c r="G2493" i="229"/>
  <c r="A2493" i="229"/>
  <c r="G2477" i="229"/>
  <c r="A2477" i="229"/>
  <c r="G2460" i="229"/>
  <c r="A2460" i="229"/>
  <c r="G2444" i="229"/>
  <c r="A2444" i="229"/>
  <c r="G2428" i="229"/>
  <c r="A2428" i="229"/>
  <c r="G2412" i="229"/>
  <c r="A2412" i="229"/>
  <c r="G2395" i="229"/>
  <c r="A2395" i="229"/>
  <c r="G2379" i="229"/>
  <c r="A2379" i="229"/>
  <c r="G2363" i="229"/>
  <c r="A2363" i="229"/>
  <c r="G2347" i="229"/>
  <c r="A2347" i="229"/>
  <c r="G2330" i="229"/>
  <c r="A2330" i="229"/>
  <c r="G2314" i="229"/>
  <c r="A2314" i="229"/>
  <c r="G2298" i="229"/>
  <c r="A2298" i="229"/>
  <c r="G2282" i="229"/>
  <c r="A2282" i="229"/>
  <c r="G2265" i="229"/>
  <c r="A2265" i="229"/>
  <c r="G2249" i="229"/>
  <c r="A2249" i="229"/>
  <c r="G2233" i="229"/>
  <c r="A2233" i="229"/>
  <c r="G2217" i="229"/>
  <c r="A2217" i="229"/>
  <c r="G2200" i="229"/>
  <c r="A2200" i="229"/>
  <c r="G2184" i="229"/>
  <c r="A2184" i="229"/>
  <c r="G2168" i="229"/>
  <c r="A2168" i="229"/>
  <c r="G2152" i="229"/>
  <c r="A2152" i="229"/>
  <c r="G2135" i="229"/>
  <c r="A2135" i="229"/>
  <c r="G2119" i="229"/>
  <c r="A2119" i="229"/>
  <c r="G2103" i="229"/>
  <c r="A2103" i="229"/>
  <c r="G2087" i="229"/>
  <c r="A2087" i="229"/>
  <c r="G2070" i="229"/>
  <c r="A2070" i="229"/>
  <c r="G2054" i="229"/>
  <c r="A2054" i="229"/>
  <c r="G2038" i="229"/>
  <c r="A2038" i="229"/>
  <c r="G2022" i="229"/>
  <c r="A2022" i="229"/>
  <c r="G2005" i="229"/>
  <c r="A2005" i="229"/>
  <c r="G1989" i="229"/>
  <c r="A1989" i="229"/>
  <c r="G1973" i="229"/>
  <c r="A1973" i="229"/>
  <c r="G1957" i="229"/>
  <c r="A1957" i="229"/>
  <c r="G1940" i="229"/>
  <c r="A1940" i="229"/>
  <c r="G1924" i="229"/>
  <c r="A1924" i="229"/>
  <c r="G1908" i="229"/>
  <c r="A1908" i="229"/>
  <c r="G1892" i="229"/>
  <c r="A1892" i="229"/>
  <c r="G1847" i="229"/>
  <c r="A1847" i="229"/>
  <c r="G1831" i="229"/>
  <c r="A1831" i="229"/>
  <c r="G1814" i="229"/>
  <c r="A1814" i="229"/>
  <c r="G1798" i="229"/>
  <c r="A1798" i="229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G904" i="229"/>
  <c r="A904" i="229"/>
  <c r="G888" i="229"/>
  <c r="A888" i="229"/>
  <c r="G872" i="229"/>
  <c r="A872" i="229"/>
  <c r="G856" i="229"/>
  <c r="A856" i="229"/>
  <c r="G839" i="229"/>
  <c r="A839" i="229"/>
  <c r="G823" i="229"/>
  <c r="A823" i="229"/>
  <c r="G807" i="229"/>
  <c r="A807" i="229"/>
  <c r="G791" i="229"/>
  <c r="A791" i="229"/>
  <c r="G774" i="229"/>
  <c r="A774" i="229"/>
  <c r="G758" i="229"/>
  <c r="A758" i="229"/>
  <c r="G742" i="229"/>
  <c r="A742" i="229"/>
  <c r="G726" i="229"/>
  <c r="A726" i="229"/>
  <c r="G709" i="229"/>
  <c r="A709" i="229"/>
  <c r="G693" i="229"/>
  <c r="A693" i="229"/>
  <c r="G677" i="229"/>
  <c r="A677" i="229"/>
  <c r="G661" i="229"/>
  <c r="A661" i="229"/>
  <c r="G644" i="229"/>
  <c r="A644" i="229"/>
  <c r="G628" i="229"/>
  <c r="A628" i="229"/>
  <c r="G612" i="229"/>
  <c r="A612" i="229"/>
  <c r="G596" i="229"/>
  <c r="A596" i="229"/>
  <c r="G579" i="229"/>
  <c r="A579" i="229"/>
  <c r="G563" i="229"/>
  <c r="A563" i="229"/>
  <c r="G547" i="229"/>
  <c r="A547" i="229"/>
  <c r="G531" i="229"/>
  <c r="A531" i="229"/>
  <c r="G514" i="229"/>
  <c r="A514" i="229"/>
  <c r="G498" i="229"/>
  <c r="A498" i="229"/>
  <c r="G482" i="229"/>
  <c r="A482" i="229"/>
  <c r="G466" i="229"/>
  <c r="A466" i="229"/>
  <c r="G454" i="229"/>
  <c r="A454" i="229"/>
  <c r="G439" i="229"/>
  <c r="A439" i="229"/>
  <c r="G425" i="229"/>
  <c r="A425" i="229"/>
  <c r="G411" i="229"/>
  <c r="A411" i="229"/>
  <c r="G396" i="229"/>
  <c r="A396" i="229"/>
  <c r="J395" i="229"/>
  <c r="G382" i="229"/>
  <c r="A382" i="229"/>
  <c r="J379" i="229"/>
  <c r="G366" i="229"/>
  <c r="A366" i="229"/>
  <c r="G350" i="229"/>
  <c r="A350" i="229"/>
  <c r="G333" i="229"/>
  <c r="A333" i="229"/>
  <c r="G317" i="229"/>
  <c r="A317" i="229"/>
  <c r="G301" i="229"/>
  <c r="A301" i="229"/>
  <c r="G285" i="229"/>
  <c r="A285" i="229"/>
  <c r="G268" i="229"/>
  <c r="A268" i="229"/>
  <c r="G252" i="229"/>
  <c r="A252" i="229"/>
  <c r="G236" i="229"/>
  <c r="A236" i="229"/>
  <c r="G220" i="229"/>
  <c r="A220" i="229"/>
  <c r="G203" i="229"/>
  <c r="A203" i="229"/>
  <c r="G187" i="229"/>
  <c r="A187" i="229"/>
  <c r="G171" i="229"/>
  <c r="A171" i="229"/>
  <c r="G145" i="229"/>
  <c r="A145" i="229"/>
  <c r="G128" i="229"/>
  <c r="A128" i="229"/>
  <c r="G112" i="229"/>
  <c r="A112" i="229"/>
  <c r="G89" i="229"/>
  <c r="A89" i="229"/>
  <c r="G73" i="229"/>
  <c r="A73" i="229"/>
  <c r="G56" i="229"/>
  <c r="A56" i="229"/>
  <c r="M35" i="229"/>
  <c r="G34" i="229"/>
  <c r="A34" i="229"/>
  <c r="M30" i="229"/>
  <c r="N29" i="229"/>
  <c r="M29" i="229"/>
  <c r="M25" i="229"/>
  <c r="M24" i="229"/>
  <c r="M23" i="229"/>
  <c r="G18" i="229"/>
  <c r="A18" i="229"/>
  <c r="N12" i="229"/>
  <c r="N11" i="229"/>
  <c r="N10" i="229"/>
  <c r="N9" i="229"/>
  <c r="N8" i="229"/>
  <c r="N7" i="229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E459" i="115"/>
  <c r="S459" i="115" s="1"/>
  <c r="B459" i="115"/>
  <c r="S458" i="115"/>
  <c r="E458" i="115"/>
  <c r="B458" i="115"/>
  <c r="E457" i="115"/>
  <c r="S457" i="115" s="1"/>
  <c r="B457" i="115"/>
  <c r="S456" i="115"/>
  <c r="E456" i="115"/>
  <c r="B456" i="115"/>
  <c r="E455" i="115"/>
  <c r="S455" i="115" s="1"/>
  <c r="B455" i="115"/>
  <c r="S454" i="115"/>
  <c r="E454" i="115"/>
  <c r="B454" i="115"/>
  <c r="E453" i="115"/>
  <c r="S453" i="115" s="1"/>
  <c r="B453" i="115"/>
  <c r="S452" i="115"/>
  <c r="E452" i="115"/>
  <c r="B452" i="115"/>
  <c r="E451" i="115"/>
  <c r="S451" i="115" s="1"/>
  <c r="B451" i="115"/>
  <c r="S450" i="115"/>
  <c r="E450" i="115"/>
  <c r="B450" i="115"/>
  <c r="E449" i="115"/>
  <c r="S449" i="115" s="1"/>
  <c r="B449" i="115"/>
  <c r="S448" i="115"/>
  <c r="E448" i="115"/>
  <c r="B448" i="115"/>
  <c r="E447" i="115"/>
  <c r="S447" i="115" s="1"/>
  <c r="B447" i="115"/>
  <c r="S446" i="115"/>
  <c r="E446" i="115"/>
  <c r="B446" i="115"/>
  <c r="E445" i="115"/>
  <c r="S445" i="115" s="1"/>
  <c r="B445" i="115"/>
  <c r="S444" i="115"/>
  <c r="E444" i="115"/>
  <c r="B444" i="115"/>
  <c r="E443" i="115"/>
  <c r="S443" i="115" s="1"/>
  <c r="B443" i="115"/>
  <c r="S442" i="115"/>
  <c r="E442" i="115"/>
  <c r="B442" i="115"/>
  <c r="E441" i="115"/>
  <c r="S441" i="115" s="1"/>
  <c r="B441" i="115"/>
  <c r="E440" i="115"/>
  <c r="S440" i="115" s="1"/>
  <c r="B440" i="115"/>
  <c r="E439" i="115"/>
  <c r="S439" i="115" s="1"/>
  <c r="B439" i="115"/>
  <c r="E438" i="115"/>
  <c r="S438" i="115" s="1"/>
  <c r="B438" i="115"/>
  <c r="E437" i="115"/>
  <c r="S437" i="115" s="1"/>
  <c r="B437" i="115"/>
  <c r="E436" i="115"/>
  <c r="S436" i="115" s="1"/>
  <c r="B436" i="115"/>
  <c r="E435" i="115"/>
  <c r="S435" i="115" s="1"/>
  <c r="B435" i="115"/>
  <c r="E434" i="115"/>
  <c r="S434" i="115" s="1"/>
  <c r="B434" i="115"/>
  <c r="E433" i="115"/>
  <c r="S433" i="115" s="1"/>
  <c r="B433" i="115"/>
  <c r="E432" i="115"/>
  <c r="S432" i="115" s="1"/>
  <c r="B432" i="115"/>
  <c r="E431" i="115"/>
  <c r="S431" i="115" s="1"/>
  <c r="B431" i="115"/>
  <c r="E430" i="115"/>
  <c r="S430" i="115" s="1"/>
  <c r="B430" i="115"/>
  <c r="E429" i="115"/>
  <c r="S429" i="115" s="1"/>
  <c r="B429" i="115"/>
  <c r="E428" i="115"/>
  <c r="S428" i="115" s="1"/>
  <c r="B428" i="115"/>
  <c r="E427" i="115"/>
  <c r="S427" i="115" s="1"/>
  <c r="B427" i="115"/>
  <c r="E426" i="115"/>
  <c r="S426" i="115" s="1"/>
  <c r="B426" i="115"/>
  <c r="E425" i="115"/>
  <c r="S425" i="115" s="1"/>
  <c r="B425" i="115"/>
  <c r="E424" i="115"/>
  <c r="S424" i="115" s="1"/>
  <c r="B424" i="115"/>
  <c r="E423" i="115"/>
  <c r="S423" i="115" s="1"/>
  <c r="B423" i="115"/>
  <c r="E422" i="115"/>
  <c r="S422" i="115" s="1"/>
  <c r="B422" i="115"/>
  <c r="E421" i="115"/>
  <c r="S421" i="115" s="1"/>
  <c r="B421" i="115"/>
  <c r="E420" i="115"/>
  <c r="S420" i="115" s="1"/>
  <c r="B420" i="115"/>
  <c r="E419" i="115"/>
  <c r="S419" i="115" s="1"/>
  <c r="B419" i="115"/>
  <c r="G418" i="115"/>
  <c r="F418" i="115"/>
  <c r="E418" i="115"/>
  <c r="S418" i="115" s="1"/>
  <c r="B418" i="115"/>
  <c r="S417" i="115"/>
  <c r="E417" i="115"/>
  <c r="B417" i="115"/>
  <c r="S416" i="115"/>
  <c r="E416" i="115"/>
  <c r="B416" i="115"/>
  <c r="S415" i="115"/>
  <c r="E415" i="115"/>
  <c r="B415" i="115"/>
  <c r="S414" i="115"/>
  <c r="E414" i="115"/>
  <c r="B414" i="115"/>
  <c r="S413" i="115"/>
  <c r="E413" i="115"/>
  <c r="B413" i="115"/>
  <c r="S412" i="115"/>
  <c r="E412" i="115"/>
  <c r="B412" i="115"/>
  <c r="S411" i="115"/>
  <c r="E411" i="115"/>
  <c r="B411" i="115"/>
  <c r="S410" i="115"/>
  <c r="E410" i="115"/>
  <c r="B410" i="115"/>
  <c r="S409" i="115"/>
  <c r="E409" i="115"/>
  <c r="B409" i="115"/>
  <c r="S408" i="115"/>
  <c r="E408" i="115"/>
  <c r="B408" i="115"/>
  <c r="S407" i="115"/>
  <c r="E407" i="115"/>
  <c r="B407" i="115"/>
  <c r="S406" i="115"/>
  <c r="E406" i="115"/>
  <c r="B406" i="115"/>
  <c r="S405" i="115"/>
  <c r="E405" i="115"/>
  <c r="B405" i="115"/>
  <c r="S404" i="115"/>
  <c r="E404" i="115"/>
  <c r="B404" i="115"/>
  <c r="S403" i="115"/>
  <c r="E403" i="115"/>
  <c r="B403" i="115"/>
  <c r="S402" i="115"/>
  <c r="E402" i="115"/>
  <c r="B402" i="115"/>
  <c r="S401" i="115"/>
  <c r="E401" i="115"/>
  <c r="B401" i="115"/>
  <c r="S400" i="115"/>
  <c r="E400" i="115"/>
  <c r="B400" i="115"/>
  <c r="S399" i="115"/>
  <c r="E399" i="115"/>
  <c r="B399" i="115"/>
  <c r="S398" i="115"/>
  <c r="E398" i="115"/>
  <c r="B398" i="115"/>
  <c r="S397" i="115"/>
  <c r="E397" i="115"/>
  <c r="B397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Z395" i="115"/>
  <c r="S395" i="115"/>
  <c r="E394" i="115"/>
  <c r="S394" i="115" s="1"/>
  <c r="B394" i="115"/>
  <c r="E393" i="115"/>
  <c r="S393" i="115" s="1"/>
  <c r="B393" i="115"/>
  <c r="E392" i="115"/>
  <c r="S392" i="115" s="1"/>
  <c r="B392" i="115"/>
  <c r="E391" i="115"/>
  <c r="S391" i="115" s="1"/>
  <c r="B391" i="115"/>
  <c r="E390" i="115"/>
  <c r="S390" i="115" s="1"/>
  <c r="B390" i="115"/>
  <c r="E389" i="115"/>
  <c r="S389" i="115" s="1"/>
  <c r="B389" i="115"/>
  <c r="E388" i="115"/>
  <c r="S388" i="115" s="1"/>
  <c r="B388" i="115"/>
  <c r="AP387" i="115"/>
  <c r="S387" i="115"/>
  <c r="E387" i="115"/>
  <c r="B387" i="115"/>
  <c r="AP386" i="115"/>
  <c r="S386" i="115"/>
  <c r="E386" i="115"/>
  <c r="B386" i="115"/>
  <c r="AP385" i="115"/>
  <c r="E385" i="115"/>
  <c r="S385" i="115" s="1"/>
  <c r="B385" i="115"/>
  <c r="AP384" i="115"/>
  <c r="S384" i="115"/>
  <c r="E384" i="115"/>
  <c r="B384" i="115"/>
  <c r="AP383" i="115"/>
  <c r="S383" i="115"/>
  <c r="E383" i="115"/>
  <c r="B383" i="115"/>
  <c r="AP382" i="115"/>
  <c r="AL382" i="115"/>
  <c r="E382" i="115"/>
  <c r="S382" i="115" s="1"/>
  <c r="B382" i="115"/>
  <c r="AP381" i="115"/>
  <c r="E381" i="115"/>
  <c r="S381" i="115" s="1"/>
  <c r="B381" i="115"/>
  <c r="AP380" i="115"/>
  <c r="S380" i="115"/>
  <c r="E380" i="115"/>
  <c r="B380" i="115"/>
  <c r="AP379" i="115"/>
  <c r="S379" i="115"/>
  <c r="E379" i="115"/>
  <c r="B379" i="115"/>
  <c r="AP378" i="115"/>
  <c r="S378" i="115"/>
  <c r="E378" i="115"/>
  <c r="B378" i="115"/>
  <c r="AP377" i="115"/>
  <c r="E377" i="115"/>
  <c r="S377" i="115" s="1"/>
  <c r="B377" i="115"/>
  <c r="AP376" i="115"/>
  <c r="S376" i="115"/>
  <c r="E376" i="115"/>
  <c r="B376" i="115"/>
  <c r="AP375" i="115"/>
  <c r="S375" i="115"/>
  <c r="E375" i="115"/>
  <c r="B375" i="115"/>
  <c r="AP374" i="115"/>
  <c r="E374" i="115"/>
  <c r="S374" i="115" s="1"/>
  <c r="B374" i="115"/>
  <c r="AP373" i="115"/>
  <c r="E373" i="115"/>
  <c r="S373" i="115" s="1"/>
  <c r="B373" i="115"/>
  <c r="AP372" i="115"/>
  <c r="S372" i="115"/>
  <c r="E372" i="115"/>
  <c r="B372" i="115"/>
  <c r="AP371" i="115"/>
  <c r="S371" i="115"/>
  <c r="E371" i="115"/>
  <c r="B371" i="115"/>
  <c r="AP370" i="115"/>
  <c r="S370" i="115"/>
  <c r="E370" i="115"/>
  <c r="B370" i="115"/>
  <c r="AP369" i="115"/>
  <c r="E369" i="115"/>
  <c r="S369" i="115" s="1"/>
  <c r="B369" i="115"/>
  <c r="AP368" i="115"/>
  <c r="S368" i="115"/>
  <c r="E368" i="115"/>
  <c r="B368" i="115"/>
  <c r="AP367" i="115"/>
  <c r="S367" i="115"/>
  <c r="E367" i="115"/>
  <c r="B367" i="115"/>
  <c r="AP366" i="115"/>
  <c r="E366" i="115"/>
  <c r="S366" i="115" s="1"/>
  <c r="B366" i="115"/>
  <c r="AP365" i="115"/>
  <c r="E365" i="115"/>
  <c r="S365" i="115" s="1"/>
  <c r="B365" i="115"/>
  <c r="AP364" i="115"/>
  <c r="E364" i="115"/>
  <c r="S364" i="115" s="1"/>
  <c r="B364" i="115"/>
  <c r="AP363" i="115"/>
  <c r="S363" i="115"/>
  <c r="E363" i="115"/>
  <c r="B363" i="115"/>
  <c r="AP362" i="115"/>
  <c r="S362" i="115"/>
  <c r="E362" i="115"/>
  <c r="B362" i="115"/>
  <c r="AP361" i="115"/>
  <c r="E361" i="115"/>
  <c r="S361" i="115" s="1"/>
  <c r="B361" i="115"/>
  <c r="AP360" i="115"/>
  <c r="S360" i="115"/>
  <c r="E360" i="115"/>
  <c r="B360" i="115"/>
  <c r="AP359" i="115"/>
  <c r="S359" i="115"/>
  <c r="E359" i="115"/>
  <c r="B359" i="115"/>
  <c r="AP358" i="115"/>
  <c r="E358" i="115"/>
  <c r="S358" i="115" s="1"/>
  <c r="B358" i="115"/>
  <c r="AP357" i="115"/>
  <c r="E357" i="115"/>
  <c r="S357" i="115" s="1"/>
  <c r="B357" i="115"/>
  <c r="AP356" i="115"/>
  <c r="S356" i="115"/>
  <c r="E356" i="115"/>
  <c r="B356" i="115"/>
  <c r="AP355" i="115"/>
  <c r="S355" i="115"/>
  <c r="E355" i="115"/>
  <c r="B355" i="115"/>
  <c r="AP354" i="115"/>
  <c r="S354" i="115"/>
  <c r="E354" i="115"/>
  <c r="B354" i="115"/>
  <c r="AP353" i="115"/>
  <c r="E353" i="115"/>
  <c r="S353" i="115" s="1"/>
  <c r="B353" i="115"/>
  <c r="AP352" i="115"/>
  <c r="S352" i="115"/>
  <c r="E352" i="115"/>
  <c r="B352" i="115"/>
  <c r="AP351" i="115"/>
  <c r="S351" i="115"/>
  <c r="E351" i="115"/>
  <c r="B351" i="115"/>
  <c r="AP350" i="115"/>
  <c r="S350" i="115"/>
  <c r="E350" i="115"/>
  <c r="B350" i="115"/>
  <c r="AP349" i="115"/>
  <c r="E349" i="115"/>
  <c r="S349" i="115" s="1"/>
  <c r="B349" i="115"/>
  <c r="AP348" i="115"/>
  <c r="E348" i="115"/>
  <c r="S348" i="115" s="1"/>
  <c r="B348" i="115"/>
  <c r="AP347" i="115"/>
  <c r="S347" i="115"/>
  <c r="E347" i="115"/>
  <c r="B347" i="115"/>
  <c r="AP346" i="115"/>
  <c r="S346" i="115"/>
  <c r="E346" i="115"/>
  <c r="B346" i="115"/>
  <c r="AP345" i="115"/>
  <c r="E345" i="115"/>
  <c r="S345" i="115" s="1"/>
  <c r="B345" i="115"/>
  <c r="AP344" i="115"/>
  <c r="S344" i="115"/>
  <c r="E344" i="115"/>
  <c r="B344" i="115"/>
  <c r="AP343" i="115"/>
  <c r="S343" i="115"/>
  <c r="E343" i="115"/>
  <c r="B343" i="115"/>
  <c r="AP342" i="115"/>
  <c r="E342" i="115"/>
  <c r="S342" i="115" s="1"/>
  <c r="B342" i="115"/>
  <c r="AP341" i="115"/>
  <c r="E341" i="115"/>
  <c r="S341" i="115" s="1"/>
  <c r="B341" i="115"/>
  <c r="AP340" i="115"/>
  <c r="E340" i="115"/>
  <c r="S340" i="115" s="1"/>
  <c r="B340" i="115"/>
  <c r="AP339" i="115"/>
  <c r="S339" i="115"/>
  <c r="E339" i="115"/>
  <c r="B339" i="115"/>
  <c r="AP338" i="115"/>
  <c r="S338" i="115"/>
  <c r="E338" i="115"/>
  <c r="B338" i="115"/>
  <c r="AP337" i="115"/>
  <c r="E337" i="115"/>
  <c r="S337" i="115" s="1"/>
  <c r="B337" i="115"/>
  <c r="AP336" i="115"/>
  <c r="S336" i="115"/>
  <c r="E336" i="115"/>
  <c r="B336" i="115"/>
  <c r="AP335" i="115"/>
  <c r="S335" i="115"/>
  <c r="E335" i="115"/>
  <c r="B335" i="115"/>
  <c r="AP334" i="115"/>
  <c r="E334" i="115"/>
  <c r="S334" i="115" s="1"/>
  <c r="B334" i="115"/>
  <c r="AP333" i="115"/>
  <c r="E333" i="115"/>
  <c r="S333" i="115" s="1"/>
  <c r="B333" i="115"/>
  <c r="AP332" i="115"/>
  <c r="E332" i="115"/>
  <c r="S332" i="115" s="1"/>
  <c r="B332" i="115"/>
  <c r="AP331" i="115"/>
  <c r="S331" i="115"/>
  <c r="E331" i="115"/>
  <c r="B331" i="115"/>
  <c r="AP330" i="115"/>
  <c r="S330" i="115"/>
  <c r="E330" i="115"/>
  <c r="B330" i="115"/>
  <c r="AP329" i="115"/>
  <c r="E329" i="115"/>
  <c r="S329" i="115" s="1"/>
  <c r="B329" i="115"/>
  <c r="AP328" i="115"/>
  <c r="S328" i="115"/>
  <c r="E328" i="115"/>
  <c r="B328" i="115"/>
  <c r="AP327" i="115"/>
  <c r="S327" i="115"/>
  <c r="E327" i="115"/>
  <c r="B327" i="115"/>
  <c r="AP326" i="115"/>
  <c r="E326" i="115"/>
  <c r="S326" i="115" s="1"/>
  <c r="B326" i="115"/>
  <c r="AP325" i="115"/>
  <c r="E325" i="115"/>
  <c r="S325" i="115" s="1"/>
  <c r="B325" i="115"/>
  <c r="AP324" i="115"/>
  <c r="E324" i="115"/>
  <c r="S324" i="115" s="1"/>
  <c r="B324" i="115"/>
  <c r="AP323" i="115"/>
  <c r="S323" i="115"/>
  <c r="E323" i="115"/>
  <c r="B323" i="115"/>
  <c r="AP322" i="115"/>
  <c r="S322" i="115"/>
  <c r="E322" i="115"/>
  <c r="B322" i="115"/>
  <c r="AP321" i="115"/>
  <c r="E321" i="115"/>
  <c r="S321" i="115" s="1"/>
  <c r="B321" i="115"/>
  <c r="AP320" i="115"/>
  <c r="S320" i="115"/>
  <c r="E320" i="115"/>
  <c r="B320" i="115"/>
  <c r="AP319" i="115"/>
  <c r="S319" i="115"/>
  <c r="E319" i="115"/>
  <c r="B319" i="115"/>
  <c r="AN318" i="115"/>
  <c r="AN316" i="115" s="1"/>
  <c r="E318" i="115"/>
  <c r="S318" i="115" s="1"/>
  <c r="B318" i="115"/>
  <c r="AR317" i="115"/>
  <c r="AR316" i="115" s="1"/>
  <c r="AN317" i="115"/>
  <c r="S317" i="115"/>
  <c r="E317" i="115"/>
  <c r="E316" i="115" s="1"/>
  <c r="B317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Z315" i="115"/>
  <c r="N98" i="265" s="1"/>
  <c r="S315" i="115"/>
  <c r="AN314" i="115"/>
  <c r="S314" i="115"/>
  <c r="B314" i="115"/>
  <c r="S313" i="115"/>
  <c r="B313" i="115"/>
  <c r="S312" i="115"/>
  <c r="B312" i="115"/>
  <c r="AP311" i="115"/>
  <c r="S311" i="115"/>
  <c r="E311" i="115"/>
  <c r="B311" i="115"/>
  <c r="AP310" i="115"/>
  <c r="S310" i="115"/>
  <c r="E310" i="115"/>
  <c r="B310" i="115"/>
  <c r="AP309" i="115"/>
  <c r="S309" i="115"/>
  <c r="E309" i="115"/>
  <c r="B309" i="115"/>
  <c r="AP308" i="115"/>
  <c r="E308" i="115"/>
  <c r="S308" i="115" s="1"/>
  <c r="B308" i="115"/>
  <c r="AP307" i="115"/>
  <c r="S307" i="115"/>
  <c r="E307" i="115"/>
  <c r="B307" i="115"/>
  <c r="AP306" i="115"/>
  <c r="S306" i="115"/>
  <c r="E306" i="115"/>
  <c r="B306" i="115"/>
  <c r="AP305" i="115"/>
  <c r="E305" i="115"/>
  <c r="S305" i="115" s="1"/>
  <c r="B305" i="115"/>
  <c r="AP304" i="115"/>
  <c r="E304" i="115"/>
  <c r="S304" i="115" s="1"/>
  <c r="B304" i="115"/>
  <c r="AP303" i="115"/>
  <c r="E303" i="115"/>
  <c r="S303" i="115" s="1"/>
  <c r="B303" i="115"/>
  <c r="AP302" i="115"/>
  <c r="S302" i="115"/>
  <c r="E302" i="115"/>
  <c r="B302" i="115"/>
  <c r="AP301" i="115"/>
  <c r="S301" i="115"/>
  <c r="E301" i="115"/>
  <c r="B301" i="115"/>
  <c r="AP300" i="115"/>
  <c r="E300" i="115"/>
  <c r="S300" i="115" s="1"/>
  <c r="B300" i="115"/>
  <c r="AP299" i="115"/>
  <c r="S299" i="115"/>
  <c r="E299" i="115"/>
  <c r="B299" i="115"/>
  <c r="AP298" i="115"/>
  <c r="S298" i="115"/>
  <c r="E298" i="115"/>
  <c r="B298" i="115"/>
  <c r="AP297" i="115"/>
  <c r="E297" i="115"/>
  <c r="S297" i="115" s="1"/>
  <c r="B297" i="115"/>
  <c r="AP296" i="115"/>
  <c r="E296" i="115"/>
  <c r="S296" i="115" s="1"/>
  <c r="B296" i="115"/>
  <c r="AP295" i="115"/>
  <c r="E295" i="115"/>
  <c r="S295" i="115" s="1"/>
  <c r="B295" i="115"/>
  <c r="AP294" i="115"/>
  <c r="S294" i="115"/>
  <c r="E294" i="115"/>
  <c r="B294" i="115"/>
  <c r="AP293" i="115"/>
  <c r="S293" i="115"/>
  <c r="E293" i="115"/>
  <c r="B293" i="115"/>
  <c r="AP292" i="115"/>
  <c r="E292" i="115"/>
  <c r="S292" i="115" s="1"/>
  <c r="B292" i="115"/>
  <c r="AP291" i="115"/>
  <c r="S291" i="115"/>
  <c r="E291" i="115"/>
  <c r="B291" i="115"/>
  <c r="AP290" i="115"/>
  <c r="S290" i="115"/>
  <c r="E290" i="115"/>
  <c r="B290" i="115"/>
  <c r="AP289" i="115"/>
  <c r="E289" i="115"/>
  <c r="S289" i="115" s="1"/>
  <c r="B289" i="115"/>
  <c r="AP288" i="115"/>
  <c r="E288" i="115"/>
  <c r="S288" i="115" s="1"/>
  <c r="B288" i="115"/>
  <c r="AP287" i="115"/>
  <c r="E287" i="115"/>
  <c r="S287" i="115" s="1"/>
  <c r="B287" i="115"/>
  <c r="AP286" i="115"/>
  <c r="S286" i="115"/>
  <c r="E286" i="115"/>
  <c r="B286" i="115"/>
  <c r="AP285" i="115"/>
  <c r="S285" i="115"/>
  <c r="E285" i="115"/>
  <c r="B285" i="115"/>
  <c r="AP284" i="115"/>
  <c r="E284" i="115"/>
  <c r="S284" i="115" s="1"/>
  <c r="B284" i="115"/>
  <c r="AP283" i="115"/>
  <c r="S283" i="115"/>
  <c r="E283" i="115"/>
  <c r="B283" i="115"/>
  <c r="AP282" i="115"/>
  <c r="S282" i="115"/>
  <c r="E282" i="115"/>
  <c r="B282" i="115"/>
  <c r="AP281" i="115"/>
  <c r="E281" i="115"/>
  <c r="S281" i="115" s="1"/>
  <c r="B281" i="115"/>
  <c r="AP280" i="115"/>
  <c r="E280" i="115"/>
  <c r="S280" i="115" s="1"/>
  <c r="B280" i="115"/>
  <c r="AP279" i="115"/>
  <c r="E279" i="115"/>
  <c r="S279" i="115" s="1"/>
  <c r="B279" i="115"/>
  <c r="AP278" i="115"/>
  <c r="S278" i="115"/>
  <c r="E278" i="115"/>
  <c r="B278" i="115"/>
  <c r="AP277" i="115"/>
  <c r="S277" i="115"/>
  <c r="E277" i="115"/>
  <c r="B277" i="115"/>
  <c r="AP276" i="115"/>
  <c r="E276" i="115"/>
  <c r="S276" i="115" s="1"/>
  <c r="B276" i="115"/>
  <c r="AP275" i="115"/>
  <c r="S275" i="115"/>
  <c r="E275" i="115"/>
  <c r="B275" i="115"/>
  <c r="AP274" i="115"/>
  <c r="S274" i="115"/>
  <c r="E274" i="115"/>
  <c r="B274" i="115"/>
  <c r="AP273" i="115"/>
  <c r="E273" i="115"/>
  <c r="S273" i="115" s="1"/>
  <c r="B273" i="115"/>
  <c r="AP272" i="115"/>
  <c r="E272" i="115"/>
  <c r="S272" i="115" s="1"/>
  <c r="B272" i="115"/>
  <c r="AP271" i="115"/>
  <c r="E271" i="115"/>
  <c r="S271" i="115" s="1"/>
  <c r="B271" i="115"/>
  <c r="AP270" i="115"/>
  <c r="S270" i="115"/>
  <c r="E270" i="115"/>
  <c r="B270" i="115"/>
  <c r="AP269" i="115"/>
  <c r="S269" i="115"/>
  <c r="E269" i="115"/>
  <c r="B269" i="115"/>
  <c r="AP268" i="115"/>
  <c r="E268" i="115"/>
  <c r="S268" i="115" s="1"/>
  <c r="B268" i="115"/>
  <c r="AP267" i="115"/>
  <c r="S267" i="115"/>
  <c r="E267" i="115"/>
  <c r="B267" i="115"/>
  <c r="AP266" i="115"/>
  <c r="S266" i="115"/>
  <c r="E266" i="115"/>
  <c r="B266" i="115"/>
  <c r="AP265" i="115"/>
  <c r="E265" i="115"/>
  <c r="S265" i="115" s="1"/>
  <c r="B265" i="115"/>
  <c r="AP264" i="115"/>
  <c r="E264" i="115"/>
  <c r="S264" i="115" s="1"/>
  <c r="B264" i="115"/>
  <c r="AP263" i="115"/>
  <c r="S263" i="115"/>
  <c r="E263" i="115"/>
  <c r="B263" i="115"/>
  <c r="AP262" i="115"/>
  <c r="S262" i="115"/>
  <c r="E262" i="115"/>
  <c r="B262" i="115"/>
  <c r="AP261" i="115"/>
  <c r="S261" i="115"/>
  <c r="E261" i="115"/>
  <c r="B261" i="115"/>
  <c r="AP260" i="115"/>
  <c r="E260" i="115"/>
  <c r="S260" i="115" s="1"/>
  <c r="B260" i="115"/>
  <c r="AP259" i="115"/>
  <c r="S259" i="115"/>
  <c r="E259" i="115"/>
  <c r="B259" i="115"/>
  <c r="AP258" i="115"/>
  <c r="S258" i="115"/>
  <c r="E258" i="115"/>
  <c r="B258" i="115"/>
  <c r="AP257" i="115"/>
  <c r="E257" i="115"/>
  <c r="S257" i="115" s="1"/>
  <c r="B257" i="115"/>
  <c r="AP256" i="115"/>
  <c r="E256" i="115"/>
  <c r="S256" i="115" s="1"/>
  <c r="B256" i="115"/>
  <c r="AP255" i="115"/>
  <c r="S255" i="115"/>
  <c r="E255" i="115"/>
  <c r="B255" i="115"/>
  <c r="AP254" i="115"/>
  <c r="S254" i="115"/>
  <c r="E254" i="115"/>
  <c r="B254" i="115"/>
  <c r="AP253" i="115"/>
  <c r="S253" i="115"/>
  <c r="E253" i="115"/>
  <c r="B253" i="115"/>
  <c r="AP252" i="115"/>
  <c r="E252" i="115"/>
  <c r="S252" i="115" s="1"/>
  <c r="B252" i="115"/>
  <c r="AP251" i="115"/>
  <c r="S251" i="115"/>
  <c r="E251" i="115"/>
  <c r="B251" i="115"/>
  <c r="AP250" i="115"/>
  <c r="S250" i="115"/>
  <c r="E250" i="115"/>
  <c r="B250" i="115"/>
  <c r="AP249" i="115"/>
  <c r="E249" i="115"/>
  <c r="S249" i="115" s="1"/>
  <c r="B249" i="115"/>
  <c r="AP248" i="115"/>
  <c r="E248" i="115"/>
  <c r="S248" i="115" s="1"/>
  <c r="B248" i="115"/>
  <c r="AP247" i="115"/>
  <c r="S247" i="115"/>
  <c r="E247" i="115"/>
  <c r="B247" i="115"/>
  <c r="AP246" i="115"/>
  <c r="S246" i="115"/>
  <c r="E246" i="115"/>
  <c r="B246" i="115"/>
  <c r="AP245" i="115"/>
  <c r="S245" i="115"/>
  <c r="E245" i="115"/>
  <c r="B245" i="115"/>
  <c r="AP244" i="115"/>
  <c r="E244" i="115"/>
  <c r="S244" i="115" s="1"/>
  <c r="B244" i="115"/>
  <c r="AP243" i="115"/>
  <c r="S243" i="115"/>
  <c r="E243" i="115"/>
  <c r="B243" i="115"/>
  <c r="AP242" i="115"/>
  <c r="S242" i="115"/>
  <c r="E242" i="115"/>
  <c r="B242" i="115"/>
  <c r="AP241" i="115"/>
  <c r="E241" i="115"/>
  <c r="S241" i="115" s="1"/>
  <c r="B241" i="115"/>
  <c r="AP240" i="115"/>
  <c r="E240" i="115"/>
  <c r="S240" i="115" s="1"/>
  <c r="B240" i="115"/>
  <c r="AP239" i="115"/>
  <c r="E239" i="115"/>
  <c r="S239" i="115" s="1"/>
  <c r="B239" i="115"/>
  <c r="AP238" i="115"/>
  <c r="S238" i="115"/>
  <c r="E238" i="115"/>
  <c r="B238" i="115"/>
  <c r="AP237" i="115"/>
  <c r="S237" i="115"/>
  <c r="E237" i="115"/>
  <c r="B237" i="115"/>
  <c r="AP236" i="115"/>
  <c r="E236" i="115"/>
  <c r="S236" i="115" s="1"/>
  <c r="B236" i="115"/>
  <c r="AP235" i="115"/>
  <c r="S235" i="115"/>
  <c r="E235" i="115"/>
  <c r="B235" i="115"/>
  <c r="AP234" i="115"/>
  <c r="S234" i="115"/>
  <c r="E234" i="115"/>
  <c r="B234" i="115"/>
  <c r="AP233" i="115"/>
  <c r="E233" i="115"/>
  <c r="S233" i="115" s="1"/>
  <c r="B233" i="115"/>
  <c r="AP232" i="115"/>
  <c r="AP229" i="115" s="1"/>
  <c r="E232" i="115"/>
  <c r="S232" i="115" s="1"/>
  <c r="B232" i="115"/>
  <c r="AP231" i="115"/>
  <c r="E231" i="115"/>
  <c r="E229" i="115" s="1"/>
  <c r="B231" i="115"/>
  <c r="AP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S228" i="115"/>
  <c r="E228" i="115"/>
  <c r="B228" i="115"/>
  <c r="E227" i="115"/>
  <c r="S227" i="115" s="1"/>
  <c r="B227" i="115"/>
  <c r="S226" i="115"/>
  <c r="E226" i="115"/>
  <c r="B226" i="115"/>
  <c r="E225" i="115"/>
  <c r="S225" i="115" s="1"/>
  <c r="B225" i="115"/>
  <c r="S224" i="115"/>
  <c r="E224" i="115"/>
  <c r="B224" i="115"/>
  <c r="E223" i="115"/>
  <c r="S223" i="115" s="1"/>
  <c r="B223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E220" i="115"/>
  <c r="S220" i="115" s="1"/>
  <c r="B220" i="115"/>
  <c r="E219" i="115"/>
  <c r="S219" i="115" s="1"/>
  <c r="B219" i="115"/>
  <c r="E218" i="115"/>
  <c r="S218" i="115" s="1"/>
  <c r="B218" i="115"/>
  <c r="E217" i="115"/>
  <c r="S217" i="115" s="1"/>
  <c r="B217" i="115"/>
  <c r="E216" i="115"/>
  <c r="S216" i="115" s="1"/>
  <c r="B216" i="115"/>
  <c r="E215" i="115"/>
  <c r="S215" i="115" s="1"/>
  <c r="B215" i="115"/>
  <c r="E214" i="115"/>
  <c r="S214" i="115" s="1"/>
  <c r="B214" i="115"/>
  <c r="E213" i="115"/>
  <c r="S213" i="115" s="1"/>
  <c r="B213" i="115"/>
  <c r="E212" i="115"/>
  <c r="S212" i="115" s="1"/>
  <c r="B212" i="115"/>
  <c r="E211" i="115"/>
  <c r="S211" i="115" s="1"/>
  <c r="B211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Z208" i="115"/>
  <c r="S208" i="115"/>
  <c r="E207" i="115"/>
  <c r="S207" i="115" s="1"/>
  <c r="B207" i="115"/>
  <c r="E206" i="115"/>
  <c r="S206" i="115" s="1"/>
  <c r="B206" i="115"/>
  <c r="E205" i="115"/>
  <c r="S205" i="115" s="1"/>
  <c r="B205" i="115"/>
  <c r="E204" i="115"/>
  <c r="S204" i="115" s="1"/>
  <c r="B204" i="115"/>
  <c r="E203" i="115"/>
  <c r="S203" i="115" s="1"/>
  <c r="B203" i="115"/>
  <c r="E202" i="115"/>
  <c r="S202" i="115" s="1"/>
  <c r="B202" i="115"/>
  <c r="E201" i="115"/>
  <c r="S201" i="115" s="1"/>
  <c r="B201" i="115"/>
  <c r="E200" i="115"/>
  <c r="S200" i="115" s="1"/>
  <c r="B200" i="115"/>
  <c r="E199" i="115"/>
  <c r="S199" i="115" s="1"/>
  <c r="B199" i="115"/>
  <c r="E198" i="115"/>
  <c r="S198" i="115" s="1"/>
  <c r="B198" i="115"/>
  <c r="E197" i="115"/>
  <c r="S197" i="115" s="1"/>
  <c r="B197" i="115"/>
  <c r="E196" i="115"/>
  <c r="S196" i="115" s="1"/>
  <c r="B196" i="115"/>
  <c r="E195" i="115"/>
  <c r="S195" i="115" s="1"/>
  <c r="B195" i="115"/>
  <c r="E194" i="115"/>
  <c r="S194" i="115" s="1"/>
  <c r="B194" i="115"/>
  <c r="E193" i="115"/>
  <c r="S193" i="115" s="1"/>
  <c r="B193" i="115"/>
  <c r="E192" i="115"/>
  <c r="S192" i="115" s="1"/>
  <c r="B192" i="115"/>
  <c r="E191" i="115"/>
  <c r="S191" i="115" s="1"/>
  <c r="B191" i="115"/>
  <c r="E190" i="115"/>
  <c r="S190" i="115" s="1"/>
  <c r="B190" i="115"/>
  <c r="E189" i="115"/>
  <c r="S189" i="115" s="1"/>
  <c r="B189" i="115"/>
  <c r="E188" i="115"/>
  <c r="S188" i="115" s="1"/>
  <c r="B188" i="115"/>
  <c r="E187" i="115"/>
  <c r="S187" i="115" s="1"/>
  <c r="B187" i="115"/>
  <c r="E186" i="115"/>
  <c r="S186" i="115" s="1"/>
  <c r="B186" i="115"/>
  <c r="E185" i="115"/>
  <c r="S185" i="115" s="1"/>
  <c r="B185" i="115"/>
  <c r="E184" i="115"/>
  <c r="S184" i="115" s="1"/>
  <c r="B184" i="115"/>
  <c r="E183" i="115"/>
  <c r="S183" i="115" s="1"/>
  <c r="B183" i="115"/>
  <c r="E182" i="115"/>
  <c r="S182" i="115" s="1"/>
  <c r="B182" i="115"/>
  <c r="E181" i="115"/>
  <c r="S181" i="115" s="1"/>
  <c r="B181" i="115"/>
  <c r="E180" i="115"/>
  <c r="S180" i="115" s="1"/>
  <c r="B180" i="115"/>
  <c r="E179" i="115"/>
  <c r="S179" i="115" s="1"/>
  <c r="B179" i="115"/>
  <c r="E178" i="115"/>
  <c r="S178" i="115" s="1"/>
  <c r="B178" i="115"/>
  <c r="E177" i="115"/>
  <c r="S177" i="115" s="1"/>
  <c r="B177" i="115"/>
  <c r="E176" i="115"/>
  <c r="S176" i="115" s="1"/>
  <c r="B176" i="115"/>
  <c r="E175" i="115"/>
  <c r="S175" i="115" s="1"/>
  <c r="B175" i="115"/>
  <c r="E174" i="115"/>
  <c r="S174" i="115" s="1"/>
  <c r="B174" i="115"/>
  <c r="E173" i="115"/>
  <c r="S173" i="115" s="1"/>
  <c r="B173" i="115"/>
  <c r="E172" i="115"/>
  <c r="S172" i="115" s="1"/>
  <c r="B172" i="115"/>
  <c r="E171" i="115"/>
  <c r="S171" i="115" s="1"/>
  <c r="B171" i="115"/>
  <c r="E170" i="115"/>
  <c r="S170" i="115" s="1"/>
  <c r="B170" i="115"/>
  <c r="E169" i="115"/>
  <c r="S169" i="115" s="1"/>
  <c r="B169" i="115"/>
  <c r="E168" i="115"/>
  <c r="S168" i="115" s="1"/>
  <c r="B168" i="115"/>
  <c r="E167" i="115"/>
  <c r="S167" i="115" s="1"/>
  <c r="B167" i="115"/>
  <c r="E166" i="115"/>
  <c r="S166" i="115" s="1"/>
  <c r="B166" i="115"/>
  <c r="E165" i="115"/>
  <c r="S165" i="115" s="1"/>
  <c r="B165" i="115"/>
  <c r="E164" i="115"/>
  <c r="S164" i="115" s="1"/>
  <c r="B164" i="115"/>
  <c r="E163" i="115"/>
  <c r="S163" i="115" s="1"/>
  <c r="B163" i="115"/>
  <c r="E162" i="115"/>
  <c r="S162" i="115" s="1"/>
  <c r="B162" i="115"/>
  <c r="E161" i="115"/>
  <c r="S161" i="115" s="1"/>
  <c r="B161" i="115"/>
  <c r="E160" i="115"/>
  <c r="S160" i="115" s="1"/>
  <c r="B160" i="115"/>
  <c r="E159" i="115"/>
  <c r="S159" i="115" s="1"/>
  <c r="B159" i="115"/>
  <c r="E158" i="115"/>
  <c r="S158" i="115" s="1"/>
  <c r="B158" i="115"/>
  <c r="E157" i="115"/>
  <c r="S157" i="115" s="1"/>
  <c r="B157" i="115"/>
  <c r="E156" i="115"/>
  <c r="S156" i="115" s="1"/>
  <c r="B156" i="115"/>
  <c r="E155" i="115"/>
  <c r="S155" i="115" s="1"/>
  <c r="B155" i="115"/>
  <c r="E154" i="115"/>
  <c r="S154" i="115" s="1"/>
  <c r="B154" i="115"/>
  <c r="E153" i="115"/>
  <c r="S153" i="115" s="1"/>
  <c r="B153" i="115"/>
  <c r="E152" i="115"/>
  <c r="S152" i="115" s="1"/>
  <c r="B152" i="115"/>
  <c r="E151" i="115"/>
  <c r="S151" i="115" s="1"/>
  <c r="B151" i="115"/>
  <c r="E150" i="115"/>
  <c r="S150" i="115" s="1"/>
  <c r="B150" i="115"/>
  <c r="E149" i="115"/>
  <c r="S149" i="115" s="1"/>
  <c r="B149" i="115"/>
  <c r="E148" i="115"/>
  <c r="S148" i="115" s="1"/>
  <c r="B148" i="115"/>
  <c r="E147" i="115"/>
  <c r="S147" i="115" s="1"/>
  <c r="B147" i="115"/>
  <c r="E146" i="115"/>
  <c r="S146" i="115" s="1"/>
  <c r="B146" i="115"/>
  <c r="E145" i="115"/>
  <c r="S145" i="115" s="1"/>
  <c r="B145" i="115"/>
  <c r="E144" i="115"/>
  <c r="S144" i="115" s="1"/>
  <c r="B144" i="115"/>
  <c r="E143" i="115"/>
  <c r="S143" i="115" s="1"/>
  <c r="B143" i="115"/>
  <c r="E142" i="115"/>
  <c r="S142" i="115" s="1"/>
  <c r="B142" i="115"/>
  <c r="E141" i="115"/>
  <c r="S141" i="115" s="1"/>
  <c r="B141" i="115"/>
  <c r="E140" i="115"/>
  <c r="S140" i="115" s="1"/>
  <c r="B140" i="115"/>
  <c r="E139" i="115"/>
  <c r="S139" i="115" s="1"/>
  <c r="B139" i="115"/>
  <c r="E138" i="115"/>
  <c r="S138" i="115" s="1"/>
  <c r="B138" i="115"/>
  <c r="E137" i="115"/>
  <c r="S137" i="115" s="1"/>
  <c r="B137" i="115"/>
  <c r="E136" i="115"/>
  <c r="S136" i="115" s="1"/>
  <c r="B136" i="115"/>
  <c r="E135" i="115"/>
  <c r="S135" i="115" s="1"/>
  <c r="B135" i="115"/>
  <c r="E134" i="115"/>
  <c r="S134" i="115" s="1"/>
  <c r="B134" i="115"/>
  <c r="E133" i="115"/>
  <c r="S133" i="115" s="1"/>
  <c r="B133" i="115"/>
  <c r="E132" i="115"/>
  <c r="S132" i="115" s="1"/>
  <c r="B132" i="115"/>
  <c r="E131" i="115"/>
  <c r="S131" i="115" s="1"/>
  <c r="B131" i="115"/>
  <c r="E130" i="115"/>
  <c r="S130" i="115" s="1"/>
  <c r="B130" i="115"/>
  <c r="E129" i="115"/>
  <c r="S129" i="115" s="1"/>
  <c r="B129" i="115"/>
  <c r="E128" i="115"/>
  <c r="S128" i="115" s="1"/>
  <c r="B128" i="115"/>
  <c r="E127" i="115"/>
  <c r="S127" i="115" s="1"/>
  <c r="B127" i="115"/>
  <c r="E126" i="115"/>
  <c r="S126" i="115" s="1"/>
  <c r="B126" i="115"/>
  <c r="E125" i="115"/>
  <c r="S125" i="115" s="1"/>
  <c r="B125" i="115"/>
  <c r="E124" i="115"/>
  <c r="S124" i="115" s="1"/>
  <c r="B124" i="115"/>
  <c r="E123" i="115"/>
  <c r="S123" i="115" s="1"/>
  <c r="B123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S120" i="115"/>
  <c r="S119" i="115"/>
  <c r="B119" i="115"/>
  <c r="S118" i="115"/>
  <c r="B118" i="115"/>
  <c r="S117" i="115"/>
  <c r="B117" i="115"/>
  <c r="S116" i="115"/>
  <c r="B116" i="115"/>
  <c r="S115" i="115"/>
  <c r="B115" i="115"/>
  <c r="S114" i="115"/>
  <c r="E114" i="115"/>
  <c r="B114" i="115"/>
  <c r="E113" i="115"/>
  <c r="S113" i="115" s="1"/>
  <c r="B113" i="115"/>
  <c r="S112" i="115"/>
  <c r="E112" i="115"/>
  <c r="B112" i="115"/>
  <c r="E111" i="115"/>
  <c r="S111" i="115" s="1"/>
  <c r="B111" i="115"/>
  <c r="S110" i="115"/>
  <c r="E110" i="115"/>
  <c r="B110" i="115"/>
  <c r="E109" i="115"/>
  <c r="S109" i="115" s="1"/>
  <c r="B109" i="115"/>
  <c r="S108" i="115"/>
  <c r="E108" i="115"/>
  <c r="B108" i="115"/>
  <c r="E107" i="115"/>
  <c r="S107" i="115" s="1"/>
  <c r="B107" i="115"/>
  <c r="S106" i="115"/>
  <c r="E106" i="115"/>
  <c r="B106" i="115"/>
  <c r="E105" i="115"/>
  <c r="S105" i="115" s="1"/>
  <c r="B105" i="115"/>
  <c r="S104" i="115"/>
  <c r="E104" i="115"/>
  <c r="B104" i="115"/>
  <c r="E103" i="115"/>
  <c r="S103" i="115" s="1"/>
  <c r="B103" i="115"/>
  <c r="S102" i="115"/>
  <c r="E102" i="115"/>
  <c r="B102" i="115"/>
  <c r="E101" i="115"/>
  <c r="S101" i="115" s="1"/>
  <c r="B101" i="115"/>
  <c r="S100" i="115"/>
  <c r="E100" i="115"/>
  <c r="B100" i="115"/>
  <c r="E99" i="115"/>
  <c r="S99" i="115" s="1"/>
  <c r="B99" i="115"/>
  <c r="S98" i="115"/>
  <c r="E98" i="115"/>
  <c r="B98" i="115"/>
  <c r="E97" i="115"/>
  <c r="S97" i="115" s="1"/>
  <c r="B97" i="115"/>
  <c r="S96" i="115"/>
  <c r="E96" i="115"/>
  <c r="B96" i="115"/>
  <c r="E95" i="115"/>
  <c r="S95" i="115" s="1"/>
  <c r="B95" i="115"/>
  <c r="S94" i="115"/>
  <c r="E94" i="115"/>
  <c r="B94" i="115"/>
  <c r="E93" i="115"/>
  <c r="S93" i="115" s="1"/>
  <c r="B93" i="115"/>
  <c r="S92" i="115"/>
  <c r="E92" i="115"/>
  <c r="B92" i="115"/>
  <c r="E91" i="115"/>
  <c r="S91" i="115" s="1"/>
  <c r="B91" i="115"/>
  <c r="S90" i="115"/>
  <c r="E90" i="115"/>
  <c r="B90" i="115"/>
  <c r="E89" i="115"/>
  <c r="S89" i="115" s="1"/>
  <c r="B89" i="115"/>
  <c r="S88" i="115"/>
  <c r="E88" i="115"/>
  <c r="B88" i="115"/>
  <c r="E87" i="115"/>
  <c r="S87" i="115" s="1"/>
  <c r="B87" i="115"/>
  <c r="S86" i="115"/>
  <c r="E86" i="115"/>
  <c r="B86" i="115"/>
  <c r="E85" i="115"/>
  <c r="S85" i="115" s="1"/>
  <c r="B85" i="115"/>
  <c r="S84" i="115"/>
  <c r="E84" i="115"/>
  <c r="B84" i="115"/>
  <c r="E83" i="115"/>
  <c r="S83" i="115" s="1"/>
  <c r="B83" i="115"/>
  <c r="S82" i="115"/>
  <c r="E82" i="115"/>
  <c r="B82" i="115"/>
  <c r="E81" i="115"/>
  <c r="S81" i="115" s="1"/>
  <c r="B81" i="115"/>
  <c r="S80" i="115"/>
  <c r="E80" i="115"/>
  <c r="B80" i="115"/>
  <c r="E79" i="115"/>
  <c r="S79" i="115" s="1"/>
  <c r="B79" i="115"/>
  <c r="S78" i="115"/>
  <c r="E78" i="115"/>
  <c r="B78" i="115"/>
  <c r="E77" i="115"/>
  <c r="S77" i="115" s="1"/>
  <c r="B77" i="115"/>
  <c r="S76" i="115"/>
  <c r="E76" i="115"/>
  <c r="B76" i="115"/>
  <c r="E75" i="115"/>
  <c r="S75" i="115" s="1"/>
  <c r="B75" i="115"/>
  <c r="S74" i="115"/>
  <c r="E74" i="115"/>
  <c r="B74" i="115"/>
  <c r="E73" i="115"/>
  <c r="S73" i="115" s="1"/>
  <c r="B73" i="115"/>
  <c r="S72" i="115"/>
  <c r="E72" i="115"/>
  <c r="B72" i="115"/>
  <c r="E71" i="115"/>
  <c r="S71" i="115" s="1"/>
  <c r="B71" i="115"/>
  <c r="S70" i="115"/>
  <c r="E70" i="115"/>
  <c r="B70" i="115"/>
  <c r="E69" i="115"/>
  <c r="S69" i="115" s="1"/>
  <c r="B69" i="115"/>
  <c r="S68" i="115"/>
  <c r="E68" i="115"/>
  <c r="B68" i="115"/>
  <c r="E67" i="115"/>
  <c r="S67" i="115" s="1"/>
  <c r="B67" i="115"/>
  <c r="S66" i="115"/>
  <c r="E66" i="115"/>
  <c r="B66" i="115"/>
  <c r="E65" i="115"/>
  <c r="S65" i="115" s="1"/>
  <c r="B65" i="115"/>
  <c r="S64" i="115"/>
  <c r="E64" i="115"/>
  <c r="B64" i="115"/>
  <c r="E63" i="115"/>
  <c r="S63" i="115" s="1"/>
  <c r="B63" i="115"/>
  <c r="S62" i="115"/>
  <c r="E62" i="115"/>
  <c r="B62" i="115"/>
  <c r="E61" i="115"/>
  <c r="S61" i="115" s="1"/>
  <c r="B61" i="115"/>
  <c r="S60" i="115"/>
  <c r="E60" i="115"/>
  <c r="B60" i="115"/>
  <c r="E59" i="115"/>
  <c r="S59" i="115" s="1"/>
  <c r="B59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E55" i="115"/>
  <c r="S55" i="115" s="1"/>
  <c r="B55" i="115"/>
  <c r="E54" i="115"/>
  <c r="S54" i="115" s="1"/>
  <c r="B54" i="115"/>
  <c r="E53" i="115"/>
  <c r="S53" i="115" s="1"/>
  <c r="B53" i="115"/>
  <c r="E52" i="115"/>
  <c r="S52" i="115" s="1"/>
  <c r="B52" i="115"/>
  <c r="E51" i="115"/>
  <c r="S51" i="115" s="1"/>
  <c r="B51" i="115"/>
  <c r="E50" i="115"/>
  <c r="S50" i="115" s="1"/>
  <c r="B50" i="115"/>
  <c r="E49" i="115"/>
  <c r="S49" i="115" s="1"/>
  <c r="B49" i="115"/>
  <c r="E48" i="115"/>
  <c r="S48" i="115" s="1"/>
  <c r="B48" i="115"/>
  <c r="E47" i="115"/>
  <c r="S47" i="115" s="1"/>
  <c r="B47" i="115"/>
  <c r="E46" i="115"/>
  <c r="S46" i="115" s="1"/>
  <c r="B46" i="115"/>
  <c r="E45" i="115"/>
  <c r="S45" i="115" s="1"/>
  <c r="B45" i="115"/>
  <c r="E44" i="115"/>
  <c r="S44" i="115" s="1"/>
  <c r="B44" i="115"/>
  <c r="E43" i="115"/>
  <c r="S43" i="115" s="1"/>
  <c r="B43" i="115"/>
  <c r="E42" i="115"/>
  <c r="S42" i="115" s="1"/>
  <c r="B42" i="115"/>
  <c r="E41" i="115"/>
  <c r="S41" i="115" s="1"/>
  <c r="B41" i="115"/>
  <c r="E40" i="115"/>
  <c r="S40" i="115" s="1"/>
  <c r="B40" i="115"/>
  <c r="E39" i="115"/>
  <c r="S39" i="115" s="1"/>
  <c r="B39" i="115"/>
  <c r="E38" i="115"/>
  <c r="S38" i="115" s="1"/>
  <c r="B38" i="115"/>
  <c r="E37" i="115"/>
  <c r="S37" i="115" s="1"/>
  <c r="B37" i="115"/>
  <c r="E36" i="115"/>
  <c r="S36" i="115" s="1"/>
  <c r="B36" i="115"/>
  <c r="E35" i="115"/>
  <c r="S35" i="115" s="1"/>
  <c r="E34" i="115"/>
  <c r="S34" i="115" s="1"/>
  <c r="B34" i="115"/>
  <c r="E33" i="115"/>
  <c r="S33" i="115" s="1"/>
  <c r="B33" i="115"/>
  <c r="E32" i="115"/>
  <c r="S32" i="115" s="1"/>
  <c r="B32" i="115"/>
  <c r="E31" i="115"/>
  <c r="S31" i="115" s="1"/>
  <c r="B31" i="115"/>
  <c r="E30" i="115"/>
  <c r="S30" i="115" s="1"/>
  <c r="B30" i="115"/>
  <c r="E29" i="115"/>
  <c r="S29" i="115" s="1"/>
  <c r="B29" i="115"/>
  <c r="E28" i="115"/>
  <c r="S28" i="115" s="1"/>
  <c r="B28" i="115"/>
  <c r="E27" i="115"/>
  <c r="S27" i="115" s="1"/>
  <c r="B27" i="115"/>
  <c r="E26" i="115"/>
  <c r="S26" i="115" s="1"/>
  <c r="B26" i="115"/>
  <c r="E25" i="115"/>
  <c r="S25" i="115" s="1"/>
  <c r="B25" i="115"/>
  <c r="E24" i="115"/>
  <c r="S24" i="115" s="1"/>
  <c r="B24" i="115"/>
  <c r="E23" i="115"/>
  <c r="S23" i="115" s="1"/>
  <c r="B23" i="115"/>
  <c r="E22" i="115"/>
  <c r="S22" i="115" s="1"/>
  <c r="B22" i="115"/>
  <c r="AS21" i="115"/>
  <c r="AT21" i="115" s="1"/>
  <c r="AN21" i="115"/>
  <c r="E21" i="115"/>
  <c r="S21" i="115" s="1"/>
  <c r="B21" i="115"/>
  <c r="AT20" i="115"/>
  <c r="E20" i="115"/>
  <c r="S20" i="115" s="1"/>
  <c r="B20" i="115"/>
  <c r="AS19" i="115"/>
  <c r="AT19" i="115" s="1"/>
  <c r="AN19" i="115"/>
  <c r="E19" i="115"/>
  <c r="S19" i="115" s="1"/>
  <c r="B19" i="115"/>
  <c r="AT18" i="115"/>
  <c r="AS18" i="115"/>
  <c r="AN18" i="115"/>
  <c r="S18" i="115"/>
  <c r="E18" i="115"/>
  <c r="B18" i="115"/>
  <c r="AT17" i="115"/>
  <c r="AS17" i="115"/>
  <c r="AN17" i="115"/>
  <c r="S17" i="115"/>
  <c r="E17" i="115"/>
  <c r="B17" i="115"/>
  <c r="AS16" i="115"/>
  <c r="AT16" i="115" s="1"/>
  <c r="AN16" i="115"/>
  <c r="Z314" i="115" s="1"/>
  <c r="E16" i="115"/>
  <c r="S16" i="115" s="1"/>
  <c r="B16" i="115"/>
  <c r="AS15" i="115"/>
  <c r="AT15" i="115" s="1"/>
  <c r="AN15" i="115"/>
  <c r="E15" i="115"/>
  <c r="S15" i="115" s="1"/>
  <c r="B15" i="115"/>
  <c r="AT14" i="115"/>
  <c r="AS14" i="115"/>
  <c r="AN14" i="115"/>
  <c r="S14" i="115"/>
  <c r="E14" i="115"/>
  <c r="B14" i="115"/>
  <c r="AT13" i="115"/>
  <c r="AS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V220" i="115"/>
  <c r="W220" i="115" s="1"/>
  <c r="V219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82" i="115"/>
  <c r="C2818" i="288" s="1"/>
  <c r="D2818" i="288" s="1"/>
  <c r="AA382" i="115"/>
  <c r="AQ165" i="231"/>
  <c r="AP165" i="231"/>
  <c r="AN165" i="231"/>
  <c r="AM165" i="231"/>
  <c r="AL165" i="231"/>
  <c r="AA166" i="321"/>
  <c r="T76" i="312" s="1"/>
  <c r="I1357" i="328" s="1"/>
  <c r="K1357" i="328" s="1"/>
  <c r="Z166" i="321"/>
  <c r="X166" i="321"/>
  <c r="Q76" i="312" s="1"/>
  <c r="Q171" i="31" s="1"/>
  <c r="W166" i="321"/>
  <c r="P76" i="312" s="1"/>
  <c r="P171" i="31" s="1"/>
  <c r="V166" i="321"/>
  <c r="O76" i="312" s="1"/>
  <c r="AQ158" i="231"/>
  <c r="AA165" i="321" s="1"/>
  <c r="T75" i="312" s="1"/>
  <c r="C1357" i="328" s="1"/>
  <c r="E1357" i="328" s="1"/>
  <c r="AP158" i="231"/>
  <c r="Z165" i="321" s="1"/>
  <c r="AN158" i="231"/>
  <c r="X165" i="321" s="1"/>
  <c r="Q75" i="312" s="1"/>
  <c r="Q170" i="31" s="1"/>
  <c r="AM158" i="231"/>
  <c r="W165" i="321" s="1"/>
  <c r="P75" i="312" s="1"/>
  <c r="P170" i="31" s="1"/>
  <c r="AL158" i="231"/>
  <c r="V165" i="321" s="1"/>
  <c r="O75" i="312" s="1"/>
  <c r="AQ157" i="231"/>
  <c r="AA164" i="321" s="1"/>
  <c r="T74" i="312" s="1"/>
  <c r="I1340" i="328" s="1"/>
  <c r="K1340" i="328" s="1"/>
  <c r="AP157" i="231"/>
  <c r="Z164" i="321" s="1"/>
  <c r="AN157" i="231"/>
  <c r="X164" i="321" s="1"/>
  <c r="Q74" i="312" s="1"/>
  <c r="Q169" i="31" s="1"/>
  <c r="AM157" i="231"/>
  <c r="W164" i="321" s="1"/>
  <c r="P74" i="312" s="1"/>
  <c r="P169" i="31" s="1"/>
  <c r="AL157" i="231"/>
  <c r="V164" i="321" s="1"/>
  <c r="O74" i="312" s="1"/>
  <c r="AQ156" i="231"/>
  <c r="AA163" i="321" s="1"/>
  <c r="T73" i="312" s="1"/>
  <c r="C1340" i="328" s="1"/>
  <c r="E1340" i="328" s="1"/>
  <c r="AP156" i="231"/>
  <c r="Z163" i="321" s="1"/>
  <c r="AN156" i="231"/>
  <c r="X163" i="321" s="1"/>
  <c r="Q73" i="312" s="1"/>
  <c r="AM156" i="231"/>
  <c r="W163" i="321" s="1"/>
  <c r="P73" i="312" s="1"/>
  <c r="P168" i="31" s="1"/>
  <c r="AL156" i="231"/>
  <c r="V163" i="321" s="1"/>
  <c r="O73" i="312" s="1"/>
  <c r="AQ155" i="231"/>
  <c r="AA162" i="321" s="1"/>
  <c r="T72" i="312" s="1"/>
  <c r="I1323" i="328" s="1"/>
  <c r="K1323" i="328" s="1"/>
  <c r="AP155" i="231"/>
  <c r="Z162" i="321" s="1"/>
  <c r="AN155" i="231"/>
  <c r="X162" i="321" s="1"/>
  <c r="Q72" i="312" s="1"/>
  <c r="Q167" i="31" s="1"/>
  <c r="AM155" i="231"/>
  <c r="W162" i="321" s="1"/>
  <c r="P72" i="312" s="1"/>
  <c r="P167" i="31" s="1"/>
  <c r="AL155" i="231"/>
  <c r="V162" i="321" s="1"/>
  <c r="O72" i="312" s="1"/>
  <c r="AQ154" i="231"/>
  <c r="AA161" i="321" s="1"/>
  <c r="T71" i="312" s="1"/>
  <c r="C1323" i="328" s="1"/>
  <c r="E1323" i="328" s="1"/>
  <c r="AP154" i="231"/>
  <c r="Z161" i="321" s="1"/>
  <c r="AN154" i="231"/>
  <c r="X161" i="321" s="1"/>
  <c r="Q71" i="312" s="1"/>
  <c r="Q166" i="31" s="1"/>
  <c r="AM154" i="231"/>
  <c r="W161" i="321" s="1"/>
  <c r="P71" i="312" s="1"/>
  <c r="P166" i="31" s="1"/>
  <c r="AL154" i="231"/>
  <c r="V161" i="321" s="1"/>
  <c r="O71" i="312" s="1"/>
  <c r="AQ153" i="231"/>
  <c r="AA160" i="321" s="1"/>
  <c r="T70" i="312" s="1"/>
  <c r="I1306" i="328" s="1"/>
  <c r="K1306" i="328" s="1"/>
  <c r="AP153" i="231"/>
  <c r="Z160" i="321" s="1"/>
  <c r="AN153" i="231"/>
  <c r="X160" i="321" s="1"/>
  <c r="Q70" i="312" s="1"/>
  <c r="Q165" i="31" s="1"/>
  <c r="AM153" i="231"/>
  <c r="W160" i="321" s="1"/>
  <c r="P70" i="312" s="1"/>
  <c r="P165" i="31" s="1"/>
  <c r="AL153" i="231"/>
  <c r="V160" i="321" s="1"/>
  <c r="O70" i="312" s="1"/>
  <c r="AQ152" i="231"/>
  <c r="AA159" i="321" s="1"/>
  <c r="T69" i="312" s="1"/>
  <c r="C1306" i="328" s="1"/>
  <c r="E1306" i="328" s="1"/>
  <c r="AP152" i="231"/>
  <c r="Z159" i="321" s="1"/>
  <c r="AN152" i="231"/>
  <c r="X159" i="321" s="1"/>
  <c r="Q69" i="312" s="1"/>
  <c r="AM152" i="231"/>
  <c r="W159" i="321" s="1"/>
  <c r="P69" i="312" s="1"/>
  <c r="P164" i="31" s="1"/>
  <c r="AL152" i="231"/>
  <c r="V159" i="321" s="1"/>
  <c r="O69" i="312" s="1"/>
  <c r="AQ151" i="231"/>
  <c r="AA158" i="321" s="1"/>
  <c r="T68" i="312" s="1"/>
  <c r="I1289" i="328" s="1"/>
  <c r="K1289" i="328" s="1"/>
  <c r="AP151" i="231"/>
  <c r="Z158" i="321" s="1"/>
  <c r="AN151" i="231"/>
  <c r="X158" i="321" s="1"/>
  <c r="Q68" i="312" s="1"/>
  <c r="Q163" i="31" s="1"/>
  <c r="AM151" i="231"/>
  <c r="W158" i="321" s="1"/>
  <c r="P68" i="312" s="1"/>
  <c r="P163" i="31" s="1"/>
  <c r="AL151" i="231"/>
  <c r="V158" i="321" s="1"/>
  <c r="O68" i="312" s="1"/>
  <c r="AQ150" i="231"/>
  <c r="AA157" i="321" s="1"/>
  <c r="T67" i="312" s="1"/>
  <c r="AP150" i="231"/>
  <c r="Z157" i="321" s="1"/>
  <c r="AN150" i="231"/>
  <c r="X157" i="321" s="1"/>
  <c r="Q67" i="312" s="1"/>
  <c r="Q162" i="31" s="1"/>
  <c r="AM150" i="231"/>
  <c r="AL150" i="231"/>
  <c r="V157" i="321" s="1"/>
  <c r="O67" i="312" s="1"/>
  <c r="AQ149" i="231"/>
  <c r="AA156" i="321" s="1"/>
  <c r="T66" i="312" s="1"/>
  <c r="AP149" i="231"/>
  <c r="Z156" i="321" s="1"/>
  <c r="AN149" i="231"/>
  <c r="X156" i="321" s="1"/>
  <c r="Q66" i="312" s="1"/>
  <c r="Q161" i="31" s="1"/>
  <c r="AM149" i="231"/>
  <c r="W156" i="321" s="1"/>
  <c r="P66" i="312" s="1"/>
  <c r="P161" i="31" s="1"/>
  <c r="AL149" i="231"/>
  <c r="V156" i="321" s="1"/>
  <c r="O66" i="312" s="1"/>
  <c r="AQ148" i="231"/>
  <c r="AA155" i="321" s="1"/>
  <c r="T65" i="312" s="1"/>
  <c r="AP148" i="231"/>
  <c r="Z155" i="321" s="1"/>
  <c r="AN148" i="231"/>
  <c r="X155" i="321" s="1"/>
  <c r="Q65" i="312" s="1"/>
  <c r="AM148" i="231"/>
  <c r="AL148" i="231"/>
  <c r="V155" i="321" s="1"/>
  <c r="O65" i="312" s="1"/>
  <c r="AQ147" i="231"/>
  <c r="AA154" i="321" s="1"/>
  <c r="T64" i="312" s="1"/>
  <c r="AP147" i="231"/>
  <c r="Z154" i="321" s="1"/>
  <c r="AN147" i="231"/>
  <c r="X154" i="321" s="1"/>
  <c r="Q64" i="312" s="1"/>
  <c r="Q159" i="31" s="1"/>
  <c r="AM147" i="231"/>
  <c r="W154" i="321" s="1"/>
  <c r="P64" i="312" s="1"/>
  <c r="P159" i="31" s="1"/>
  <c r="AL147" i="231"/>
  <c r="V154" i="321" s="1"/>
  <c r="O64" i="312" s="1"/>
  <c r="AQ146" i="231"/>
  <c r="AA153" i="321" s="1"/>
  <c r="T63" i="312" s="1"/>
  <c r="AP146" i="231"/>
  <c r="Z153" i="321" s="1"/>
  <c r="AN146" i="231"/>
  <c r="X153" i="321" s="1"/>
  <c r="Q63" i="312" s="1"/>
  <c r="Q158" i="31" s="1"/>
  <c r="AM146" i="231"/>
  <c r="AL146" i="231"/>
  <c r="V153" i="321" s="1"/>
  <c r="O63" i="312" s="1"/>
  <c r="AQ145" i="231"/>
  <c r="AA152" i="321" s="1"/>
  <c r="T62" i="312" s="1"/>
  <c r="AP145" i="231"/>
  <c r="Z152" i="321" s="1"/>
  <c r="AN145" i="231"/>
  <c r="X152" i="321" s="1"/>
  <c r="Q62" i="312" s="1"/>
  <c r="Q157" i="31" s="1"/>
  <c r="AM145" i="231"/>
  <c r="AL145" i="231"/>
  <c r="V152" i="321" s="1"/>
  <c r="O62" i="312" s="1"/>
  <c r="AQ144" i="231"/>
  <c r="AA151" i="321" s="1"/>
  <c r="T61" i="312" s="1"/>
  <c r="C1238" i="328" s="1"/>
  <c r="E1238" i="328" s="1"/>
  <c r="AP144" i="231"/>
  <c r="Z151" i="321" s="1"/>
  <c r="AN144" i="231"/>
  <c r="X151" i="321" s="1"/>
  <c r="Q61" i="312" s="1"/>
  <c r="AM144" i="231"/>
  <c r="AL144" i="231"/>
  <c r="V151" i="321" s="1"/>
  <c r="O61" i="312" s="1"/>
  <c r="AQ143" i="231"/>
  <c r="AP143" i="231"/>
  <c r="AN143" i="231"/>
  <c r="X150" i="321" s="1"/>
  <c r="AM143" i="231"/>
  <c r="AL143" i="231"/>
  <c r="V150" i="321" s="1"/>
  <c r="AQ96" i="231"/>
  <c r="AP96" i="231"/>
  <c r="AN96" i="231"/>
  <c r="AM96" i="231"/>
  <c r="AL96" i="231"/>
  <c r="AQ89" i="231"/>
  <c r="AP89" i="231"/>
  <c r="AN89" i="231"/>
  <c r="AM89" i="231"/>
  <c r="AL89" i="231"/>
  <c r="AQ88" i="231"/>
  <c r="AP88" i="231"/>
  <c r="AN88" i="231"/>
  <c r="AM88" i="231"/>
  <c r="AL88" i="231"/>
  <c r="AQ87" i="231"/>
  <c r="AP87" i="231"/>
  <c r="AN87" i="231"/>
  <c r="AM87" i="231"/>
  <c r="AL87" i="231"/>
  <c r="AQ86" i="231"/>
  <c r="AA84" i="321" s="1"/>
  <c r="T88" i="257" s="1"/>
  <c r="I625" i="328" s="1"/>
  <c r="K625" i="328" s="1"/>
  <c r="AP86" i="231"/>
  <c r="Z84" i="321" s="1"/>
  <c r="AN86" i="231"/>
  <c r="X84" i="321" s="1"/>
  <c r="Q88" i="257" s="1"/>
  <c r="Q89" i="31" s="1"/>
  <c r="AM86" i="231"/>
  <c r="W84" i="321" s="1"/>
  <c r="P88" i="257" s="1"/>
  <c r="P89" i="31" s="1"/>
  <c r="AL86" i="231"/>
  <c r="V84" i="321" s="1"/>
  <c r="O88" i="257" s="1"/>
  <c r="AQ85" i="231"/>
  <c r="AA83" i="321" s="1"/>
  <c r="T87" i="257" s="1"/>
  <c r="C625" i="328" s="1"/>
  <c r="E625" i="328" s="1"/>
  <c r="AP85" i="231"/>
  <c r="Z83" i="321" s="1"/>
  <c r="AN85" i="231"/>
  <c r="X83" i="321" s="1"/>
  <c r="Q87" i="257" s="1"/>
  <c r="Q88" i="31" s="1"/>
  <c r="AM85" i="231"/>
  <c r="W83" i="321" s="1"/>
  <c r="P87" i="257" s="1"/>
  <c r="P88" i="31" s="1"/>
  <c r="AL85" i="231"/>
  <c r="V83" i="321" s="1"/>
  <c r="O87" i="257" s="1"/>
  <c r="AQ84" i="231"/>
  <c r="AA82" i="321" s="1"/>
  <c r="T86" i="257" s="1"/>
  <c r="I608" i="328" s="1"/>
  <c r="K608" i="328" s="1"/>
  <c r="AP84" i="231"/>
  <c r="Z82" i="321" s="1"/>
  <c r="AN84" i="231"/>
  <c r="X82" i="321" s="1"/>
  <c r="Q86" i="257" s="1"/>
  <c r="Q87" i="31" s="1"/>
  <c r="AM84" i="231"/>
  <c r="W82" i="321" s="1"/>
  <c r="P86" i="257" s="1"/>
  <c r="P87" i="31" s="1"/>
  <c r="AL84" i="231"/>
  <c r="V82" i="321" s="1"/>
  <c r="O86" i="257" s="1"/>
  <c r="AQ83" i="231"/>
  <c r="AA81" i="321" s="1"/>
  <c r="T85" i="257" s="1"/>
  <c r="C608" i="328" s="1"/>
  <c r="E608" i="328" s="1"/>
  <c r="AP83" i="231"/>
  <c r="Z81" i="321" s="1"/>
  <c r="AN83" i="231"/>
  <c r="X81" i="321" s="1"/>
  <c r="Q85" i="257" s="1"/>
  <c r="Q86" i="31" s="1"/>
  <c r="AM83" i="231"/>
  <c r="W81" i="321" s="1"/>
  <c r="P85" i="257" s="1"/>
  <c r="P86" i="31" s="1"/>
  <c r="AL83" i="231"/>
  <c r="V81" i="321" s="1"/>
  <c r="O85" i="257" s="1"/>
  <c r="AQ82" i="231"/>
  <c r="AA80" i="321" s="1"/>
  <c r="T84" i="257" s="1"/>
  <c r="I591" i="328" s="1"/>
  <c r="K591" i="328" s="1"/>
  <c r="AP82" i="231"/>
  <c r="Z80" i="321" s="1"/>
  <c r="AN82" i="231"/>
  <c r="X80" i="321" s="1"/>
  <c r="Q84" i="257" s="1"/>
  <c r="Q85" i="31" s="1"/>
  <c r="AM82" i="231"/>
  <c r="W80" i="321" s="1"/>
  <c r="P84" i="257" s="1"/>
  <c r="P85" i="31" s="1"/>
  <c r="AL82" i="231"/>
  <c r="V80" i="321" s="1"/>
  <c r="O84" i="257" s="1"/>
  <c r="AQ81" i="231"/>
  <c r="AA79" i="321" s="1"/>
  <c r="T83" i="257" s="1"/>
  <c r="C591" i="328" s="1"/>
  <c r="E591" i="328" s="1"/>
  <c r="AP81" i="231"/>
  <c r="Z79" i="321" s="1"/>
  <c r="AN81" i="231"/>
  <c r="X79" i="321" s="1"/>
  <c r="Q83" i="257" s="1"/>
  <c r="Q84" i="31" s="1"/>
  <c r="AM81" i="231"/>
  <c r="W79" i="321" s="1"/>
  <c r="P83" i="257" s="1"/>
  <c r="P84" i="31" s="1"/>
  <c r="AL81" i="231"/>
  <c r="V79" i="321" s="1"/>
  <c r="O83" i="257" s="1"/>
  <c r="AQ80" i="231"/>
  <c r="AA78" i="321" s="1"/>
  <c r="T82" i="257" s="1"/>
  <c r="I574" i="328" s="1"/>
  <c r="K574" i="328" s="1"/>
  <c r="AP80" i="231"/>
  <c r="Z78" i="321" s="1"/>
  <c r="AN80" i="231"/>
  <c r="X78" i="321" s="1"/>
  <c r="Q82" i="257" s="1"/>
  <c r="Q83" i="31" s="1"/>
  <c r="AM80" i="231"/>
  <c r="W78" i="321" s="1"/>
  <c r="P82" i="257" s="1"/>
  <c r="P83" i="31" s="1"/>
  <c r="AL80" i="231"/>
  <c r="V78" i="321" s="1"/>
  <c r="O82" i="257" s="1"/>
  <c r="AQ79" i="231"/>
  <c r="AA77" i="321" s="1"/>
  <c r="T81" i="257" s="1"/>
  <c r="C574" i="328" s="1"/>
  <c r="E574" i="328" s="1"/>
  <c r="AP79" i="231"/>
  <c r="Z77" i="321" s="1"/>
  <c r="AN79" i="231"/>
  <c r="X77" i="321" s="1"/>
  <c r="Q81" i="257" s="1"/>
  <c r="Q82" i="31" s="1"/>
  <c r="AM79" i="231"/>
  <c r="W77" i="321" s="1"/>
  <c r="P81" i="257" s="1"/>
  <c r="P82" i="31" s="1"/>
  <c r="AL79" i="231"/>
  <c r="V77" i="321" s="1"/>
  <c r="O81" i="257" s="1"/>
  <c r="AQ78" i="231"/>
  <c r="AA76" i="321" s="1"/>
  <c r="T80" i="257" s="1"/>
  <c r="I557" i="328" s="1"/>
  <c r="K557" i="328" s="1"/>
  <c r="AP78" i="231"/>
  <c r="Z76" i="321" s="1"/>
  <c r="AN78" i="231"/>
  <c r="X76" i="321" s="1"/>
  <c r="Q80" i="257" s="1"/>
  <c r="Q81" i="31" s="1"/>
  <c r="AM78" i="231"/>
  <c r="W76" i="321" s="1"/>
  <c r="P80" i="257" s="1"/>
  <c r="P81" i="31" s="1"/>
  <c r="AL78" i="231"/>
  <c r="V76" i="321" s="1"/>
  <c r="O80" i="257" s="1"/>
  <c r="AQ77" i="231"/>
  <c r="AA75" i="321" s="1"/>
  <c r="T79" i="257" s="1"/>
  <c r="C557" i="328" s="1"/>
  <c r="E557" i="328" s="1"/>
  <c r="AP77" i="231"/>
  <c r="Z75" i="321" s="1"/>
  <c r="AN77" i="231"/>
  <c r="X75" i="321" s="1"/>
  <c r="Q79" i="257" s="1"/>
  <c r="Q80" i="31" s="1"/>
  <c r="AM77" i="231"/>
  <c r="W75" i="321" s="1"/>
  <c r="P79" i="257" s="1"/>
  <c r="P80" i="31" s="1"/>
  <c r="AL77" i="231"/>
  <c r="V75" i="321" s="1"/>
  <c r="O79" i="257" s="1"/>
  <c r="AQ76" i="231"/>
  <c r="AA74" i="321" s="1"/>
  <c r="T78" i="257" s="1"/>
  <c r="I540" i="328" s="1"/>
  <c r="K540" i="328" s="1"/>
  <c r="AP76" i="231"/>
  <c r="Z74" i="321" s="1"/>
  <c r="AN76" i="231"/>
  <c r="X74" i="321" s="1"/>
  <c r="Q78" i="257" s="1"/>
  <c r="Q79" i="31" s="1"/>
  <c r="AM76" i="231"/>
  <c r="W74" i="321" s="1"/>
  <c r="P78" i="257" s="1"/>
  <c r="P79" i="31" s="1"/>
  <c r="AL76" i="231"/>
  <c r="V74" i="321" s="1"/>
  <c r="O78" i="257" s="1"/>
  <c r="AQ35" i="231"/>
  <c r="AA33" i="321" s="1"/>
  <c r="T37" i="257" s="1"/>
  <c r="C200" i="328" s="1"/>
  <c r="E200" i="328" s="1"/>
  <c r="AP35" i="231"/>
  <c r="Z33" i="321" s="1"/>
  <c r="AN35" i="231"/>
  <c r="X33" i="321" s="1"/>
  <c r="Q37" i="257" s="1"/>
  <c r="Q38" i="31" s="1"/>
  <c r="AM35" i="231"/>
  <c r="W33" i="321" s="1"/>
  <c r="P37" i="257" s="1"/>
  <c r="P38" i="31" s="1"/>
  <c r="AL35" i="231"/>
  <c r="V33" i="321" s="1"/>
  <c r="O37" i="257" s="1"/>
  <c r="AQ34" i="231"/>
  <c r="AA32" i="321" s="1"/>
  <c r="T36" i="257" s="1"/>
  <c r="I183" i="328" s="1"/>
  <c r="K183" i="328" s="1"/>
  <c r="AP34" i="231"/>
  <c r="Z32" i="321" s="1"/>
  <c r="AN34" i="231"/>
  <c r="X32" i="321" s="1"/>
  <c r="Q36" i="257" s="1"/>
  <c r="Q37" i="31" s="1"/>
  <c r="AM34" i="231"/>
  <c r="W32" i="321" s="1"/>
  <c r="P36" i="257" s="1"/>
  <c r="P37" i="31" s="1"/>
  <c r="AL34" i="231"/>
  <c r="V32" i="321" s="1"/>
  <c r="O36" i="257" s="1"/>
  <c r="AQ33" i="231"/>
  <c r="AA31" i="321" s="1"/>
  <c r="T35" i="257" s="1"/>
  <c r="C183" i="328" s="1"/>
  <c r="E183" i="328" s="1"/>
  <c r="AP33" i="231"/>
  <c r="Z31" i="321" s="1"/>
  <c r="AN33" i="231"/>
  <c r="X31" i="321" s="1"/>
  <c r="Q35" i="257" s="1"/>
  <c r="Q36" i="31" s="1"/>
  <c r="AM33" i="231"/>
  <c r="W31" i="321" s="1"/>
  <c r="P35" i="257" s="1"/>
  <c r="P36" i="31" s="1"/>
  <c r="AL33" i="231"/>
  <c r="V31" i="321" s="1"/>
  <c r="O35" i="257" s="1"/>
  <c r="AQ32" i="231"/>
  <c r="AA30" i="321" s="1"/>
  <c r="T34" i="257" s="1"/>
  <c r="I166" i="328" s="1"/>
  <c r="K166" i="328" s="1"/>
  <c r="AP32" i="231"/>
  <c r="Z30" i="321" s="1"/>
  <c r="AN32" i="231"/>
  <c r="X30" i="321" s="1"/>
  <c r="Q34" i="257" s="1"/>
  <c r="Q35" i="31" s="1"/>
  <c r="AM32" i="231"/>
  <c r="W30" i="321" s="1"/>
  <c r="P34" i="257" s="1"/>
  <c r="P35" i="31" s="1"/>
  <c r="AL32" i="231"/>
  <c r="V30" i="321" s="1"/>
  <c r="O34" i="257" s="1"/>
  <c r="AQ31" i="231"/>
  <c r="AA29" i="321" s="1"/>
  <c r="T33" i="257" s="1"/>
  <c r="C166" i="328" s="1"/>
  <c r="E166" i="328" s="1"/>
  <c r="AP31" i="231"/>
  <c r="Z29" i="321" s="1"/>
  <c r="AN31" i="231"/>
  <c r="X29" i="321" s="1"/>
  <c r="Q33" i="257" s="1"/>
  <c r="Q34" i="31" s="1"/>
  <c r="AM31" i="231"/>
  <c r="W29" i="321" s="1"/>
  <c r="P33" i="257" s="1"/>
  <c r="P34" i="31" s="1"/>
  <c r="AL31" i="231"/>
  <c r="V29" i="321" s="1"/>
  <c r="O33" i="257" s="1"/>
  <c r="AQ30" i="231"/>
  <c r="AA28" i="321" s="1"/>
  <c r="T32" i="257" s="1"/>
  <c r="I149" i="328" s="1"/>
  <c r="K149" i="328" s="1"/>
  <c r="AP30" i="231"/>
  <c r="Z28" i="321" s="1"/>
  <c r="AN30" i="231"/>
  <c r="X28" i="321" s="1"/>
  <c r="Q32" i="257" s="1"/>
  <c r="Q33" i="31" s="1"/>
  <c r="AM30" i="231"/>
  <c r="W28" i="321" s="1"/>
  <c r="P32" i="257" s="1"/>
  <c r="P33" i="31" s="1"/>
  <c r="AL30" i="231"/>
  <c r="V28" i="321" s="1"/>
  <c r="O32" i="257" s="1"/>
  <c r="AQ29" i="231"/>
  <c r="AA27" i="321" s="1"/>
  <c r="T31" i="257" s="1"/>
  <c r="C149" i="328" s="1"/>
  <c r="E149" i="328" s="1"/>
  <c r="AP29" i="231"/>
  <c r="Z27" i="321" s="1"/>
  <c r="AN29" i="231"/>
  <c r="X27" i="321" s="1"/>
  <c r="Q31" i="257" s="1"/>
  <c r="Q32" i="31" s="1"/>
  <c r="AM29" i="231"/>
  <c r="W27" i="321" s="1"/>
  <c r="P31" i="257" s="1"/>
  <c r="P32" i="31" s="1"/>
  <c r="AL29" i="231"/>
  <c r="V27" i="321" s="1"/>
  <c r="O31" i="257" s="1"/>
  <c r="AQ28" i="231"/>
  <c r="AA26" i="321" s="1"/>
  <c r="T30" i="257" s="1"/>
  <c r="I132" i="328" s="1"/>
  <c r="K132" i="328" s="1"/>
  <c r="AP28" i="231"/>
  <c r="Z26" i="321" s="1"/>
  <c r="AN28" i="231"/>
  <c r="X26" i="321" s="1"/>
  <c r="Q30" i="257" s="1"/>
  <c r="Q31" i="31" s="1"/>
  <c r="AM28" i="231"/>
  <c r="W26" i="321" s="1"/>
  <c r="P30" i="257" s="1"/>
  <c r="P31" i="31" s="1"/>
  <c r="AL28" i="231"/>
  <c r="V26" i="321" s="1"/>
  <c r="O30" i="257" s="1"/>
  <c r="AQ27" i="231"/>
  <c r="AA25" i="321" s="1"/>
  <c r="T29" i="257" s="1"/>
  <c r="C132" i="328" s="1"/>
  <c r="E132" i="328" s="1"/>
  <c r="AP27" i="231"/>
  <c r="Z25" i="321" s="1"/>
  <c r="AN27" i="231"/>
  <c r="X25" i="321" s="1"/>
  <c r="Q29" i="257" s="1"/>
  <c r="Q30" i="31" s="1"/>
  <c r="AM27" i="231"/>
  <c r="W25" i="321" s="1"/>
  <c r="P29" i="257" s="1"/>
  <c r="P30" i="31" s="1"/>
  <c r="AL27" i="231"/>
  <c r="V25" i="321" s="1"/>
  <c r="O29" i="257" s="1"/>
  <c r="AQ26" i="231"/>
  <c r="AA24" i="321" s="1"/>
  <c r="T28" i="257" s="1"/>
  <c r="I115" i="328" s="1"/>
  <c r="K115" i="328" s="1"/>
  <c r="AP26" i="231"/>
  <c r="Z24" i="321" s="1"/>
  <c r="AN26" i="231"/>
  <c r="X24" i="321" s="1"/>
  <c r="Q28" i="257" s="1"/>
  <c r="Q29" i="31" s="1"/>
  <c r="AM26" i="231"/>
  <c r="W24" i="321" s="1"/>
  <c r="P28" i="257" s="1"/>
  <c r="P29" i="31" s="1"/>
  <c r="AL26" i="231"/>
  <c r="V24" i="321" s="1"/>
  <c r="O28" i="257" s="1"/>
  <c r="AQ25" i="231"/>
  <c r="AA23" i="321" s="1"/>
  <c r="T27" i="257" s="1"/>
  <c r="C115" i="328" s="1"/>
  <c r="E115" i="328" s="1"/>
  <c r="AP25" i="231"/>
  <c r="Z23" i="321" s="1"/>
  <c r="AN25" i="231"/>
  <c r="X23" i="321" s="1"/>
  <c r="Q27" i="257" s="1"/>
  <c r="Q28" i="31" s="1"/>
  <c r="AM25" i="231"/>
  <c r="W23" i="321" s="1"/>
  <c r="P27" i="257" s="1"/>
  <c r="P28" i="31" s="1"/>
  <c r="AL25" i="231"/>
  <c r="V23" i="321" s="1"/>
  <c r="O27" i="257" s="1"/>
  <c r="AQ24" i="231"/>
  <c r="AA22" i="321" s="1"/>
  <c r="T26" i="257" s="1"/>
  <c r="I98" i="328" s="1"/>
  <c r="K98" i="328" s="1"/>
  <c r="AP24" i="231"/>
  <c r="Z22" i="321" s="1"/>
  <c r="AN24" i="231"/>
  <c r="X22" i="321" s="1"/>
  <c r="Q26" i="257" s="1"/>
  <c r="Q27" i="31" s="1"/>
  <c r="AM24" i="231"/>
  <c r="W22" i="321" s="1"/>
  <c r="P26" i="257" s="1"/>
  <c r="P27" i="31" s="1"/>
  <c r="AL24" i="231"/>
  <c r="V22" i="321" s="1"/>
  <c r="O26" i="257" s="1"/>
  <c r="AQ23" i="231"/>
  <c r="AA21" i="321" s="1"/>
  <c r="T25" i="257" s="1"/>
  <c r="C98" i="328" s="1"/>
  <c r="E98" i="328" s="1"/>
  <c r="AP23" i="231"/>
  <c r="Z21" i="321" s="1"/>
  <c r="AN23" i="231"/>
  <c r="X21" i="321" s="1"/>
  <c r="Q25" i="257" s="1"/>
  <c r="Q26" i="31" s="1"/>
  <c r="AM23" i="231"/>
  <c r="W21" i="321" s="1"/>
  <c r="P25" i="257" s="1"/>
  <c r="P26" i="31" s="1"/>
  <c r="AL23" i="231"/>
  <c r="V21" i="321" s="1"/>
  <c r="O25" i="257" s="1"/>
  <c r="AQ22" i="231"/>
  <c r="AA20" i="321" s="1"/>
  <c r="T24" i="257" s="1"/>
  <c r="I81" i="328" s="1"/>
  <c r="K81" i="328" s="1"/>
  <c r="AP22" i="231"/>
  <c r="Z20" i="321" s="1"/>
  <c r="AN22" i="231"/>
  <c r="X20" i="321" s="1"/>
  <c r="Q24" i="257" s="1"/>
  <c r="Q25" i="31" s="1"/>
  <c r="AM22" i="231"/>
  <c r="W20" i="321" s="1"/>
  <c r="P24" i="257" s="1"/>
  <c r="P25" i="31" s="1"/>
  <c r="AL22" i="231"/>
  <c r="V20" i="321" s="1"/>
  <c r="O24" i="257" s="1"/>
  <c r="AQ21" i="231"/>
  <c r="AA19" i="321" s="1"/>
  <c r="T23" i="257" s="1"/>
  <c r="C81" i="328" s="1"/>
  <c r="E81" i="328" s="1"/>
  <c r="AP21" i="231"/>
  <c r="Z19" i="321" s="1"/>
  <c r="AN21" i="231"/>
  <c r="X19" i="321" s="1"/>
  <c r="Q23" i="257" s="1"/>
  <c r="Q24" i="31" s="1"/>
  <c r="AM21" i="231"/>
  <c r="W19" i="321" s="1"/>
  <c r="P23" i="257" s="1"/>
  <c r="P24" i="31" s="1"/>
  <c r="AL21" i="231"/>
  <c r="V19" i="321" s="1"/>
  <c r="O23" i="257" s="1"/>
  <c r="AQ20" i="231"/>
  <c r="AA18" i="321" s="1"/>
  <c r="T22" i="257" s="1"/>
  <c r="I64" i="328" s="1"/>
  <c r="K64" i="328" s="1"/>
  <c r="AP20" i="231"/>
  <c r="Z18" i="321" s="1"/>
  <c r="AN20" i="231"/>
  <c r="X18" i="321" s="1"/>
  <c r="Q22" i="257" s="1"/>
  <c r="Q23" i="31" s="1"/>
  <c r="AM20" i="231"/>
  <c r="W18" i="321" s="1"/>
  <c r="P22" i="257" s="1"/>
  <c r="P23" i="31" s="1"/>
  <c r="AL20" i="231"/>
  <c r="V18" i="321" s="1"/>
  <c r="O22" i="257" s="1"/>
  <c r="AQ19" i="231"/>
  <c r="AA17" i="321" s="1"/>
  <c r="T21" i="257" s="1"/>
  <c r="C64" i="328" s="1"/>
  <c r="E64" i="328" s="1"/>
  <c r="AP19" i="231"/>
  <c r="Z17" i="321" s="1"/>
  <c r="AN19" i="231"/>
  <c r="X17" i="321" s="1"/>
  <c r="Q21" i="257" s="1"/>
  <c r="Q22" i="31" s="1"/>
  <c r="AM19" i="231"/>
  <c r="W17" i="321" s="1"/>
  <c r="P21" i="257" s="1"/>
  <c r="P22" i="31" s="1"/>
  <c r="AL19" i="231"/>
  <c r="V17" i="321" s="1"/>
  <c r="O21" i="257" s="1"/>
  <c r="AQ18" i="231"/>
  <c r="AA16" i="321" s="1"/>
  <c r="T20" i="257" s="1"/>
  <c r="I47" i="328" s="1"/>
  <c r="K47" i="328" s="1"/>
  <c r="AP18" i="231"/>
  <c r="Z16" i="321" s="1"/>
  <c r="AN18" i="231"/>
  <c r="X16" i="321" s="1"/>
  <c r="Q20" i="257" s="1"/>
  <c r="Q21" i="31" s="1"/>
  <c r="AM18" i="231"/>
  <c r="W16" i="321" s="1"/>
  <c r="P20" i="257" s="1"/>
  <c r="P21" i="31" s="1"/>
  <c r="AL18" i="231"/>
  <c r="V16" i="321" s="1"/>
  <c r="O20" i="257" s="1"/>
  <c r="AQ17" i="231"/>
  <c r="AA15" i="321" s="1"/>
  <c r="T19" i="257" s="1"/>
  <c r="C47" i="328" s="1"/>
  <c r="E47" i="328" s="1"/>
  <c r="AP17" i="231"/>
  <c r="Z15" i="321" s="1"/>
  <c r="AN17" i="231"/>
  <c r="X15" i="321" s="1"/>
  <c r="Q19" i="257" s="1"/>
  <c r="Q20" i="31" s="1"/>
  <c r="AM17" i="231"/>
  <c r="W15" i="321" s="1"/>
  <c r="P19" i="257" s="1"/>
  <c r="P20" i="31" s="1"/>
  <c r="AL17" i="231"/>
  <c r="V15" i="321" s="1"/>
  <c r="O19" i="257" s="1"/>
  <c r="AQ16" i="231"/>
  <c r="AA14" i="321" s="1"/>
  <c r="T18" i="257" s="1"/>
  <c r="I30" i="328" s="1"/>
  <c r="K30" i="328" s="1"/>
  <c r="AP16" i="231"/>
  <c r="Z14" i="321" s="1"/>
  <c r="AN16" i="231"/>
  <c r="X14" i="321" s="1"/>
  <c r="Q18" i="257" s="1"/>
  <c r="Q19" i="31" s="1"/>
  <c r="AM16" i="231"/>
  <c r="W14" i="321" s="1"/>
  <c r="P18" i="257" s="1"/>
  <c r="P19" i="31" s="1"/>
  <c r="AL16" i="231"/>
  <c r="V14" i="321" s="1"/>
  <c r="O18" i="257" s="1"/>
  <c r="AQ15" i="231"/>
  <c r="AA13" i="321" s="1"/>
  <c r="T17" i="257" s="1"/>
  <c r="C30" i="328" s="1"/>
  <c r="E30" i="328" s="1"/>
  <c r="AP15" i="231"/>
  <c r="Z13" i="321" s="1"/>
  <c r="AN15" i="231"/>
  <c r="X13" i="321" s="1"/>
  <c r="Q17" i="257" s="1"/>
  <c r="Q18" i="31" s="1"/>
  <c r="AM15" i="231"/>
  <c r="W13" i="321" s="1"/>
  <c r="P17" i="257" s="1"/>
  <c r="P18" i="31" s="1"/>
  <c r="AL15" i="231"/>
  <c r="V13" i="321" s="1"/>
  <c r="O17" i="257" s="1"/>
  <c r="AQ14" i="231"/>
  <c r="AA12" i="321" s="1"/>
  <c r="T16" i="257" s="1"/>
  <c r="AP14" i="231"/>
  <c r="Z12" i="321" s="1"/>
  <c r="AN14" i="231"/>
  <c r="X12" i="321" s="1"/>
  <c r="Q16" i="257" s="1"/>
  <c r="AM14" i="231"/>
  <c r="W12" i="321" s="1"/>
  <c r="P16" i="257" s="1"/>
  <c r="P17" i="31" s="1"/>
  <c r="AL14" i="231"/>
  <c r="V12" i="321" s="1"/>
  <c r="O16" i="257" s="1"/>
  <c r="AQ13" i="231"/>
  <c r="AA11" i="321" s="1"/>
  <c r="AP13" i="231"/>
  <c r="Z11" i="321" s="1"/>
  <c r="AN13" i="231"/>
  <c r="X11" i="321" s="1"/>
  <c r="Q15" i="257" s="1"/>
  <c r="Q16" i="31" s="1"/>
  <c r="AM13" i="231"/>
  <c r="W11" i="321" s="1"/>
  <c r="P15" i="257" s="1"/>
  <c r="P16" i="31" s="1"/>
  <c r="AL13" i="231"/>
  <c r="V11" i="321" s="1"/>
  <c r="O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G3140" i="288"/>
  <c r="A3140" i="288"/>
  <c r="J3136" i="288"/>
  <c r="D3136" i="288"/>
  <c r="G3125" i="288"/>
  <c r="A3125" i="288"/>
  <c r="J3121" i="288"/>
  <c r="D3121" i="288"/>
  <c r="G3110" i="288"/>
  <c r="A3110" i="288"/>
  <c r="J3105" i="288"/>
  <c r="D3105" i="288"/>
  <c r="G3094" i="288"/>
  <c r="A3094" i="288"/>
  <c r="J3090" i="288"/>
  <c r="D3090" i="288"/>
  <c r="G3079" i="288"/>
  <c r="A3079" i="288"/>
  <c r="J3075" i="288"/>
  <c r="D3075" i="288"/>
  <c r="G3064" i="288"/>
  <c r="A3064" i="288"/>
  <c r="J3060" i="288"/>
  <c r="D3060" i="288"/>
  <c r="G3049" i="288"/>
  <c r="A3049" i="288"/>
  <c r="J3044" i="288"/>
  <c r="D3044" i="288"/>
  <c r="G3033" i="288"/>
  <c r="A3033" i="288"/>
  <c r="J3029" i="288"/>
  <c r="D3029" i="288"/>
  <c r="G3018" i="288"/>
  <c r="A3018" i="288"/>
  <c r="J3014" i="288"/>
  <c r="D3014" i="288"/>
  <c r="G3003" i="288"/>
  <c r="A3003" i="288"/>
  <c r="J2999" i="288"/>
  <c r="D2999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G2927" i="288"/>
  <c r="A2927" i="288"/>
  <c r="D2922" i="288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G2855" i="288"/>
  <c r="A2855" i="288"/>
  <c r="J2851" i="288"/>
  <c r="D2851" i="288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G1587" i="288"/>
  <c r="A1587" i="288"/>
  <c r="D1583" i="288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G1516" i="288"/>
  <c r="A1516" i="288"/>
  <c r="J1512" i="288"/>
  <c r="D1512" i="288"/>
  <c r="G1502" i="288"/>
  <c r="A1502" i="288"/>
  <c r="D1497" i="288"/>
  <c r="L1495" i="288"/>
  <c r="G1487" i="288"/>
  <c r="A1487" i="288"/>
  <c r="J1483" i="288"/>
  <c r="D1483" i="288"/>
  <c r="G1473" i="288"/>
  <c r="A1473" i="288"/>
  <c r="J1469" i="288"/>
  <c r="D1469" i="288"/>
  <c r="G1459" i="288"/>
  <c r="A1459" i="288"/>
  <c r="J1455" i="288"/>
  <c r="D1455" i="288"/>
  <c r="G1445" i="288"/>
  <c r="A1445" i="288"/>
  <c r="J1440" i="288"/>
  <c r="D1440" i="288"/>
  <c r="G1430" i="288"/>
  <c r="A1430" i="288"/>
  <c r="J1426" i="288"/>
  <c r="D1426" i="288"/>
  <c r="G1416" i="288"/>
  <c r="A1416" i="288"/>
  <c r="J1412" i="288"/>
  <c r="D1412" i="288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G1259" i="288"/>
  <c r="A1259" i="288"/>
  <c r="J1255" i="288"/>
  <c r="D1255" i="288"/>
  <c r="G1245" i="288"/>
  <c r="A1245" i="288"/>
  <c r="J1241" i="288"/>
  <c r="D1241" i="288"/>
  <c r="G1231" i="288"/>
  <c r="A1231" i="288"/>
  <c r="J1227" i="288"/>
  <c r="D1227" i="288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G1046" i="288"/>
  <c r="A1046" i="288"/>
  <c r="J1041" i="288"/>
  <c r="D1041" i="288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G989" i="288"/>
  <c r="A989" i="288"/>
  <c r="J984" i="288"/>
  <c r="D984" i="288"/>
  <c r="G974" i="288"/>
  <c r="A974" i="288"/>
  <c r="J970" i="288"/>
  <c r="D970" i="288"/>
  <c r="G960" i="288"/>
  <c r="A960" i="288"/>
  <c r="J956" i="288"/>
  <c r="D956" i="288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G846" i="288"/>
  <c r="A846" i="288"/>
  <c r="J842" i="288"/>
  <c r="D842" i="288"/>
  <c r="G832" i="288"/>
  <c r="A832" i="288"/>
  <c r="J828" i="288"/>
  <c r="D828" i="288"/>
  <c r="G818" i="288"/>
  <c r="A818" i="288"/>
  <c r="J813" i="288"/>
  <c r="D813" i="288"/>
  <c r="D812" i="288"/>
  <c r="G803" i="288"/>
  <c r="A803" i="288"/>
  <c r="J799" i="288"/>
  <c r="J798" i="288"/>
  <c r="D798" i="288"/>
  <c r="D799" i="288" s="1"/>
  <c r="G789" i="288"/>
  <c r="A789" i="288"/>
  <c r="D785" i="288"/>
  <c r="J784" i="288"/>
  <c r="J785" i="288" s="1"/>
  <c r="D784" i="288"/>
  <c r="G775" i="288"/>
  <c r="A775" i="288"/>
  <c r="J771" i="288"/>
  <c r="J770" i="288"/>
  <c r="D770" i="288"/>
  <c r="D771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G732" i="288"/>
  <c r="A732" i="288"/>
  <c r="J727" i="288"/>
  <c r="J728" i="288" s="1"/>
  <c r="D727" i="288"/>
  <c r="D728" i="288" s="1"/>
  <c r="G718" i="288"/>
  <c r="A718" i="288"/>
  <c r="D714" i="288"/>
  <c r="J713" i="288"/>
  <c r="J714" i="288" s="1"/>
  <c r="D713" i="288"/>
  <c r="G704" i="288"/>
  <c r="A704" i="288"/>
  <c r="J699" i="288"/>
  <c r="D699" i="288"/>
  <c r="J698" i="288"/>
  <c r="D698" i="288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G618" i="288"/>
  <c r="A618" i="288"/>
  <c r="J614" i="288"/>
  <c r="D614" i="288"/>
  <c r="J613" i="288"/>
  <c r="D613" i="288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G561" i="288"/>
  <c r="A561" i="288"/>
  <c r="J557" i="288"/>
  <c r="D557" i="288"/>
  <c r="J556" i="288"/>
  <c r="D556" i="288"/>
  <c r="G547" i="288"/>
  <c r="A547" i="288"/>
  <c r="J542" i="288"/>
  <c r="J543" i="288" s="1"/>
  <c r="D542" i="288"/>
  <c r="D543" i="288" s="1"/>
  <c r="G533" i="288"/>
  <c r="A533" i="288"/>
  <c r="D528" i="288"/>
  <c r="J527" i="288"/>
  <c r="J528" i="288" s="1"/>
  <c r="D527" i="288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G419" i="288"/>
  <c r="A419" i="288"/>
  <c r="G404" i="288"/>
  <c r="A404" i="288"/>
  <c r="G390" i="288"/>
  <c r="A390" i="288"/>
  <c r="G376" i="288"/>
  <c r="A376" i="288"/>
  <c r="G362" i="288"/>
  <c r="A362" i="288"/>
  <c r="G347" i="288"/>
  <c r="A347" i="288"/>
  <c r="G333" i="288"/>
  <c r="A333" i="288"/>
  <c r="D328" i="288"/>
  <c r="D329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G176" i="288"/>
  <c r="A176" i="288"/>
  <c r="J172" i="288"/>
  <c r="J171" i="288"/>
  <c r="D171" i="288"/>
  <c r="D172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G115" i="288"/>
  <c r="A115" i="288"/>
  <c r="D111" i="288"/>
  <c r="J110" i="288"/>
  <c r="J111" i="288" s="1"/>
  <c r="D110" i="288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M25" i="288"/>
  <c r="M24" i="288"/>
  <c r="M23" i="288"/>
  <c r="G18" i="288"/>
  <c r="A18" i="288"/>
  <c r="J14" i="288"/>
  <c r="D14" i="288"/>
  <c r="J13" i="288"/>
  <c r="D13" i="288"/>
  <c r="L9" i="288"/>
  <c r="L8" i="288"/>
  <c r="L7" i="288"/>
  <c r="L5" i="288"/>
  <c r="L4" i="288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20" i="31" l="1"/>
  <c r="O88" i="31"/>
  <c r="O18" i="31"/>
  <c r="C27" i="328" s="1"/>
  <c r="E27" i="328" s="1"/>
  <c r="O22" i="31"/>
  <c r="C61" i="328" s="1"/>
  <c r="E61" i="328" s="1"/>
  <c r="O26" i="31"/>
  <c r="C95" i="328" s="1"/>
  <c r="E95" i="328" s="1"/>
  <c r="O30" i="31"/>
  <c r="C129" i="328" s="1"/>
  <c r="E129" i="328" s="1"/>
  <c r="O34" i="31"/>
  <c r="C163" i="328" s="1"/>
  <c r="E163" i="328" s="1"/>
  <c r="O38" i="31"/>
  <c r="C197" i="328" s="1"/>
  <c r="E197" i="328" s="1"/>
  <c r="O82" i="31"/>
  <c r="O86" i="31"/>
  <c r="C605" i="328" s="1"/>
  <c r="E605" i="328" s="1"/>
  <c r="O36" i="31"/>
  <c r="C180" i="328" s="1"/>
  <c r="E180" i="328" s="1"/>
  <c r="O84" i="31"/>
  <c r="C588" i="328" s="1"/>
  <c r="E588" i="328" s="1"/>
  <c r="O19" i="31"/>
  <c r="I27" i="328" s="1"/>
  <c r="K27" i="328" s="1"/>
  <c r="O23" i="31"/>
  <c r="O27" i="31"/>
  <c r="I95" i="328" s="1"/>
  <c r="K95" i="328" s="1"/>
  <c r="O31" i="31"/>
  <c r="I129" i="328" s="1"/>
  <c r="K129" i="328" s="1"/>
  <c r="O35" i="31"/>
  <c r="I163" i="328" s="1"/>
  <c r="K163" i="328" s="1"/>
  <c r="O79" i="31"/>
  <c r="I537" i="328" s="1"/>
  <c r="K537" i="328" s="1"/>
  <c r="O83" i="31"/>
  <c r="I571" i="328" s="1"/>
  <c r="K571" i="328" s="1"/>
  <c r="O87" i="31"/>
  <c r="O16" i="31"/>
  <c r="O28" i="31"/>
  <c r="O24" i="31"/>
  <c r="C78" i="328" s="1"/>
  <c r="E78" i="328" s="1"/>
  <c r="O32" i="31"/>
  <c r="C146" i="328" s="1"/>
  <c r="E146" i="328" s="1"/>
  <c r="O80" i="31"/>
  <c r="O17" i="31"/>
  <c r="I792" i="328" s="1"/>
  <c r="K792" i="328" s="1"/>
  <c r="O21" i="31"/>
  <c r="O25" i="31"/>
  <c r="I78" i="328" s="1"/>
  <c r="K78" i="328" s="1"/>
  <c r="O29" i="31"/>
  <c r="I112" i="328" s="1"/>
  <c r="K112" i="328" s="1"/>
  <c r="O33" i="31"/>
  <c r="O37" i="31"/>
  <c r="I180" i="328" s="1"/>
  <c r="K180" i="328" s="1"/>
  <c r="O81" i="31"/>
  <c r="I554" i="328" s="1"/>
  <c r="K554" i="328" s="1"/>
  <c r="O85" i="31"/>
  <c r="I588" i="328" s="1"/>
  <c r="K588" i="328" s="1"/>
  <c r="O89" i="31"/>
  <c r="O159" i="31"/>
  <c r="I1252" i="328" s="1"/>
  <c r="K1252" i="328" s="1"/>
  <c r="O163" i="31"/>
  <c r="I1286" i="328" s="1"/>
  <c r="K1286" i="328" s="1"/>
  <c r="O167" i="31"/>
  <c r="I1320" i="328" s="1"/>
  <c r="K1320" i="328" s="1"/>
  <c r="O171" i="31"/>
  <c r="I1354" i="328" s="1"/>
  <c r="K1354" i="328" s="1"/>
  <c r="O158" i="31"/>
  <c r="C1252" i="328" s="1"/>
  <c r="E1252" i="328" s="1"/>
  <c r="O156" i="31"/>
  <c r="C1235" i="328" s="1"/>
  <c r="E1235" i="328" s="1"/>
  <c r="O160" i="31"/>
  <c r="C1269" i="328" s="1"/>
  <c r="E1269" i="328" s="1"/>
  <c r="O164" i="31"/>
  <c r="C1303" i="328" s="1"/>
  <c r="E1303" i="328" s="1"/>
  <c r="O168" i="31"/>
  <c r="C1337" i="328" s="1"/>
  <c r="E1337" i="328" s="1"/>
  <c r="O157" i="31"/>
  <c r="I1235" i="328" s="1"/>
  <c r="K1235" i="328" s="1"/>
  <c r="O161" i="31"/>
  <c r="I1269" i="328" s="1"/>
  <c r="K1269" i="328" s="1"/>
  <c r="O165" i="31"/>
  <c r="I1303" i="328" s="1"/>
  <c r="K1303" i="328" s="1"/>
  <c r="O169" i="31"/>
  <c r="I1337" i="328" s="1"/>
  <c r="K1337" i="328" s="1"/>
  <c r="O162" i="31"/>
  <c r="C1286" i="328" s="1"/>
  <c r="E1286" i="328" s="1"/>
  <c r="O166" i="31"/>
  <c r="C1320" i="328" s="1"/>
  <c r="E1320" i="328" s="1"/>
  <c r="O170" i="31"/>
  <c r="C1354" i="328" s="1"/>
  <c r="E1354" i="328" s="1"/>
  <c r="N17" i="257"/>
  <c r="N18" i="31" s="1"/>
  <c r="H14" i="334" s="1"/>
  <c r="N21" i="257"/>
  <c r="N22" i="31" s="1"/>
  <c r="H18" i="334" s="1"/>
  <c r="N25" i="257"/>
  <c r="N26" i="31" s="1"/>
  <c r="H22" i="334" s="1"/>
  <c r="N29" i="257"/>
  <c r="N30" i="31" s="1"/>
  <c r="H26" i="334" s="1"/>
  <c r="N33" i="257"/>
  <c r="N34" i="31" s="1"/>
  <c r="H30" i="334" s="1"/>
  <c r="N37" i="257"/>
  <c r="N38" i="31" s="1"/>
  <c r="H34" i="334" s="1"/>
  <c r="N41" i="257"/>
  <c r="N42" i="31" s="1"/>
  <c r="H38" i="334" s="1"/>
  <c r="N45" i="257"/>
  <c r="N46" i="31" s="1"/>
  <c r="H42" i="334" s="1"/>
  <c r="N49" i="257"/>
  <c r="N50" i="31" s="1"/>
  <c r="H46" i="334" s="1"/>
  <c r="N53" i="257"/>
  <c r="N54" i="31" s="1"/>
  <c r="H50" i="334" s="1"/>
  <c r="N57" i="257"/>
  <c r="N58" i="31" s="1"/>
  <c r="H54" i="334" s="1"/>
  <c r="N61" i="257"/>
  <c r="N62" i="31" s="1"/>
  <c r="H58" i="334" s="1"/>
  <c r="N65" i="257"/>
  <c r="N66" i="31" s="1"/>
  <c r="H62" i="334" s="1"/>
  <c r="N69" i="257"/>
  <c r="N70" i="31" s="1"/>
  <c r="H66" i="334" s="1"/>
  <c r="N73" i="257"/>
  <c r="N74" i="31" s="1"/>
  <c r="H70" i="334" s="1"/>
  <c r="N77" i="257"/>
  <c r="N78" i="31" s="1"/>
  <c r="H74" i="334" s="1"/>
  <c r="N81" i="257"/>
  <c r="N82" i="31" s="1"/>
  <c r="H78" i="334" s="1"/>
  <c r="N85" i="257"/>
  <c r="N86" i="31" s="1"/>
  <c r="H82" i="334" s="1"/>
  <c r="N103" i="257"/>
  <c r="AA103" i="257" s="1"/>
  <c r="AB103" i="257" s="1"/>
  <c r="N107" i="257"/>
  <c r="N19" i="257"/>
  <c r="N20" i="31" s="1"/>
  <c r="H16" i="334" s="1"/>
  <c r="N27" i="257"/>
  <c r="N28" i="31" s="1"/>
  <c r="H24" i="334" s="1"/>
  <c r="N35" i="257"/>
  <c r="N36" i="31" s="1"/>
  <c r="H32" i="334" s="1"/>
  <c r="N43" i="257"/>
  <c r="N44" i="31" s="1"/>
  <c r="H40" i="334" s="1"/>
  <c r="N51" i="257"/>
  <c r="N52" i="31" s="1"/>
  <c r="H48" i="334" s="1"/>
  <c r="N59" i="257"/>
  <c r="N60" i="31" s="1"/>
  <c r="H56" i="334" s="1"/>
  <c r="N67" i="257"/>
  <c r="N68" i="31" s="1"/>
  <c r="H64" i="334" s="1"/>
  <c r="N75" i="257"/>
  <c r="N76" i="31" s="1"/>
  <c r="H72" i="334" s="1"/>
  <c r="N83" i="257"/>
  <c r="N84" i="31" s="1"/>
  <c r="H80" i="334" s="1"/>
  <c r="N101" i="257"/>
  <c r="AA101" i="257" s="1"/>
  <c r="AB101" i="257" s="1"/>
  <c r="N20" i="257"/>
  <c r="N21" i="31" s="1"/>
  <c r="H17" i="334" s="1"/>
  <c r="N28" i="257"/>
  <c r="N29" i="31" s="1"/>
  <c r="H25" i="334" s="1"/>
  <c r="N36" i="257"/>
  <c r="N37" i="31" s="1"/>
  <c r="H33" i="334" s="1"/>
  <c r="N44" i="257"/>
  <c r="N45" i="31" s="1"/>
  <c r="H41" i="334" s="1"/>
  <c r="N52" i="257"/>
  <c r="N53" i="31" s="1"/>
  <c r="H49" i="334" s="1"/>
  <c r="N60" i="257"/>
  <c r="N61" i="31" s="1"/>
  <c r="H57" i="334" s="1"/>
  <c r="N68" i="257"/>
  <c r="N69" i="31" s="1"/>
  <c r="H65" i="334" s="1"/>
  <c r="N80" i="257"/>
  <c r="N81" i="31" s="1"/>
  <c r="H77" i="334" s="1"/>
  <c r="N84" i="257"/>
  <c r="N85" i="31" s="1"/>
  <c r="H81" i="334" s="1"/>
  <c r="N102" i="257"/>
  <c r="AA102" i="257" s="1"/>
  <c r="AB102" i="257" s="1"/>
  <c r="N18" i="257"/>
  <c r="N19" i="31" s="1"/>
  <c r="H15" i="334" s="1"/>
  <c r="N22" i="257"/>
  <c r="N23" i="31" s="1"/>
  <c r="H19" i="334" s="1"/>
  <c r="N26" i="257"/>
  <c r="N27" i="31" s="1"/>
  <c r="H23" i="334" s="1"/>
  <c r="N30" i="257"/>
  <c r="N31" i="31" s="1"/>
  <c r="H27" i="334" s="1"/>
  <c r="N34" i="257"/>
  <c r="N35" i="31" s="1"/>
  <c r="H31" i="334" s="1"/>
  <c r="N38" i="257"/>
  <c r="N39" i="31" s="1"/>
  <c r="H35" i="334" s="1"/>
  <c r="N42" i="257"/>
  <c r="N43" i="31" s="1"/>
  <c r="H39" i="334" s="1"/>
  <c r="N46" i="257"/>
  <c r="N47" i="31" s="1"/>
  <c r="H43" i="334" s="1"/>
  <c r="N50" i="257"/>
  <c r="N51" i="31" s="1"/>
  <c r="H47" i="334" s="1"/>
  <c r="N54" i="257"/>
  <c r="N55" i="31" s="1"/>
  <c r="H51" i="334" s="1"/>
  <c r="N58" i="257"/>
  <c r="N59" i="31" s="1"/>
  <c r="H55" i="334" s="1"/>
  <c r="N62" i="257"/>
  <c r="N63" i="31" s="1"/>
  <c r="H59" i="334" s="1"/>
  <c r="N66" i="257"/>
  <c r="N67" i="31" s="1"/>
  <c r="H63" i="334" s="1"/>
  <c r="N70" i="257"/>
  <c r="N71" i="31" s="1"/>
  <c r="H67" i="334" s="1"/>
  <c r="N74" i="257"/>
  <c r="N75" i="31" s="1"/>
  <c r="H71" i="334" s="1"/>
  <c r="N78" i="257"/>
  <c r="N79" i="31" s="1"/>
  <c r="H75" i="334" s="1"/>
  <c r="N82" i="257"/>
  <c r="N83" i="31" s="1"/>
  <c r="H79" i="334" s="1"/>
  <c r="N100" i="257"/>
  <c r="N104" i="257"/>
  <c r="AA104" i="257" s="1"/>
  <c r="AB104" i="257" s="1"/>
  <c r="N16" i="31"/>
  <c r="H12" i="334" s="1"/>
  <c r="N23" i="257"/>
  <c r="N24" i="31" s="1"/>
  <c r="H20" i="334" s="1"/>
  <c r="N31" i="257"/>
  <c r="N32" i="31" s="1"/>
  <c r="H28" i="334" s="1"/>
  <c r="N39" i="257"/>
  <c r="N40" i="31" s="1"/>
  <c r="H36" i="334" s="1"/>
  <c r="N47" i="257"/>
  <c r="N48" i="31" s="1"/>
  <c r="H44" i="334" s="1"/>
  <c r="N55" i="257"/>
  <c r="N56" i="31" s="1"/>
  <c r="H52" i="334" s="1"/>
  <c r="N63" i="257"/>
  <c r="N64" i="31" s="1"/>
  <c r="H60" i="334" s="1"/>
  <c r="N71" i="257"/>
  <c r="N72" i="31" s="1"/>
  <c r="H68" i="334" s="1"/>
  <c r="N79" i="257"/>
  <c r="N80" i="31" s="1"/>
  <c r="H76" i="334" s="1"/>
  <c r="N105" i="257"/>
  <c r="AA105" i="257" s="1"/>
  <c r="AB105" i="257" s="1"/>
  <c r="N16" i="257"/>
  <c r="N17" i="31" s="1"/>
  <c r="H13" i="334" s="1"/>
  <c r="N24" i="257"/>
  <c r="N25" i="31" s="1"/>
  <c r="H21" i="334" s="1"/>
  <c r="N32" i="257"/>
  <c r="N33" i="31" s="1"/>
  <c r="H29" i="334" s="1"/>
  <c r="N40" i="257"/>
  <c r="N41" i="31" s="1"/>
  <c r="H37" i="334" s="1"/>
  <c r="N48" i="257"/>
  <c r="N49" i="31" s="1"/>
  <c r="H45" i="334" s="1"/>
  <c r="N56" i="257"/>
  <c r="N57" i="31" s="1"/>
  <c r="H53" i="334" s="1"/>
  <c r="N64" i="257"/>
  <c r="N65" i="31" s="1"/>
  <c r="H61" i="334" s="1"/>
  <c r="N72" i="257"/>
  <c r="N73" i="31" s="1"/>
  <c r="H69" i="334" s="1"/>
  <c r="N76" i="257"/>
  <c r="N77" i="31" s="1"/>
  <c r="H73" i="334" s="1"/>
  <c r="N106" i="257"/>
  <c r="Q156" i="31"/>
  <c r="Q160" i="31"/>
  <c r="Q164" i="31"/>
  <c r="Q168" i="31"/>
  <c r="I10" i="328"/>
  <c r="K10" i="328" s="1"/>
  <c r="Q17" i="31"/>
  <c r="C1318" i="328"/>
  <c r="E1318" i="328" s="1"/>
  <c r="C1321" i="328"/>
  <c r="E1321" i="328" s="1"/>
  <c r="I1250" i="328"/>
  <c r="K1250" i="328" s="1"/>
  <c r="I1284" i="328"/>
  <c r="K1284" i="328" s="1"/>
  <c r="I1287" i="328"/>
  <c r="K1287" i="328" s="1"/>
  <c r="I1318" i="328"/>
  <c r="K1318" i="328" s="1"/>
  <c r="I1352" i="328"/>
  <c r="K1352" i="328" s="1"/>
  <c r="I1355" i="328"/>
  <c r="K1355" i="328" s="1"/>
  <c r="C1352" i="328"/>
  <c r="E1352" i="328" s="1"/>
  <c r="C1355" i="328"/>
  <c r="E1355" i="328" s="1"/>
  <c r="C1301" i="328"/>
  <c r="E1301" i="328" s="1"/>
  <c r="C1304" i="328"/>
  <c r="E1304" i="328" s="1"/>
  <c r="C1335" i="328"/>
  <c r="E1335" i="328" s="1"/>
  <c r="I1267" i="328"/>
  <c r="K1267" i="328" s="1"/>
  <c r="I1270" i="328"/>
  <c r="K1270" i="328" s="1"/>
  <c r="I1301" i="328"/>
  <c r="K1301" i="328" s="1"/>
  <c r="I1304" i="328"/>
  <c r="K1304" i="328" s="1"/>
  <c r="I1335" i="328"/>
  <c r="K1335" i="328" s="1"/>
  <c r="I1338" i="328"/>
  <c r="K1338" i="328" s="1"/>
  <c r="C28" i="328"/>
  <c r="E28" i="328" s="1"/>
  <c r="C62" i="328"/>
  <c r="E62" i="328" s="1"/>
  <c r="C130" i="328"/>
  <c r="E130" i="328" s="1"/>
  <c r="C198" i="328"/>
  <c r="E198" i="328" s="1"/>
  <c r="C606" i="328"/>
  <c r="E606" i="328" s="1"/>
  <c r="I113" i="328"/>
  <c r="K113" i="328" s="1"/>
  <c r="I28" i="328"/>
  <c r="K28" i="328" s="1"/>
  <c r="I96" i="328"/>
  <c r="K96" i="328" s="1"/>
  <c r="I164" i="328"/>
  <c r="K164" i="328" s="1"/>
  <c r="I572" i="328"/>
  <c r="K572" i="328" s="1"/>
  <c r="I45" i="328"/>
  <c r="K45" i="328" s="1"/>
  <c r="I147" i="328"/>
  <c r="K147" i="328" s="1"/>
  <c r="I589" i="328"/>
  <c r="K589" i="328" s="1"/>
  <c r="I778" i="328"/>
  <c r="K778" i="328" s="1"/>
  <c r="I812" i="328"/>
  <c r="K812" i="328" s="1"/>
  <c r="I829" i="328"/>
  <c r="K829" i="328" s="1"/>
  <c r="I795" i="328"/>
  <c r="K795" i="328" s="1"/>
  <c r="I13" i="328"/>
  <c r="K13" i="328" s="1"/>
  <c r="I761" i="328"/>
  <c r="K761" i="328" s="1"/>
  <c r="C79" i="328"/>
  <c r="E79" i="328" s="1"/>
  <c r="C147" i="328"/>
  <c r="E147" i="328" s="1"/>
  <c r="C555" i="328"/>
  <c r="E555" i="328" s="1"/>
  <c r="J46" i="108"/>
  <c r="Z46" i="108"/>
  <c r="I7" i="328"/>
  <c r="S18" i="257"/>
  <c r="S19" i="31" s="1"/>
  <c r="Z19" i="31" s="1"/>
  <c r="I15" i="334" s="1"/>
  <c r="I24" i="328"/>
  <c r="K24" i="328" s="1"/>
  <c r="S20" i="257"/>
  <c r="S21" i="31" s="1"/>
  <c r="I44" i="328"/>
  <c r="K44" i="328" s="1"/>
  <c r="I58" i="328"/>
  <c r="K58" i="328" s="1"/>
  <c r="S24" i="257"/>
  <c r="S25" i="31" s="1"/>
  <c r="I92" i="328"/>
  <c r="K92" i="328" s="1"/>
  <c r="S28" i="257"/>
  <c r="S29" i="31" s="1"/>
  <c r="Z29" i="31" s="1"/>
  <c r="I25" i="334" s="1"/>
  <c r="I126" i="328"/>
  <c r="K126" i="328" s="1"/>
  <c r="S32" i="257"/>
  <c r="S33" i="31" s="1"/>
  <c r="I146" i="328"/>
  <c r="K146" i="328" s="1"/>
  <c r="I160" i="328"/>
  <c r="K160" i="328" s="1"/>
  <c r="S36" i="257"/>
  <c r="S37" i="31" s="1"/>
  <c r="I534" i="328"/>
  <c r="K534" i="328" s="1"/>
  <c r="S80" i="257"/>
  <c r="S81" i="31" s="1"/>
  <c r="I568" i="328"/>
  <c r="K568" i="328" s="1"/>
  <c r="S84" i="257"/>
  <c r="S85" i="31" s="1"/>
  <c r="S88" i="257"/>
  <c r="S89" i="31" s="1"/>
  <c r="S17" i="257"/>
  <c r="S18" i="31" s="1"/>
  <c r="C41" i="328"/>
  <c r="E41" i="328" s="1"/>
  <c r="S21" i="257"/>
  <c r="S22" i="31" s="1"/>
  <c r="C75" i="328"/>
  <c r="E75" i="328" s="1"/>
  <c r="S25" i="257"/>
  <c r="S26" i="31" s="1"/>
  <c r="C109" i="328"/>
  <c r="E109" i="328" s="1"/>
  <c r="S29" i="257"/>
  <c r="S30" i="31" s="1"/>
  <c r="Z30" i="31" s="1"/>
  <c r="I26" i="334" s="1"/>
  <c r="C143" i="328"/>
  <c r="E143" i="328" s="1"/>
  <c r="S33" i="257"/>
  <c r="S34" i="31" s="1"/>
  <c r="Z34" i="31" s="1"/>
  <c r="I30" i="334" s="1"/>
  <c r="C177" i="328"/>
  <c r="E177" i="328" s="1"/>
  <c r="S37" i="257"/>
  <c r="S38" i="31" s="1"/>
  <c r="C551" i="328"/>
  <c r="E551" i="328" s="1"/>
  <c r="S81" i="257"/>
  <c r="S82" i="31" s="1"/>
  <c r="C571" i="328"/>
  <c r="E571" i="328" s="1"/>
  <c r="C585" i="328"/>
  <c r="E585" i="328" s="1"/>
  <c r="S85" i="257"/>
  <c r="S86" i="31" s="1"/>
  <c r="Z86" i="31" s="1"/>
  <c r="I82" i="334" s="1"/>
  <c r="I41" i="328"/>
  <c r="K41" i="328" s="1"/>
  <c r="S22" i="257"/>
  <c r="S23" i="31" s="1"/>
  <c r="I61" i="328"/>
  <c r="K61" i="328" s="1"/>
  <c r="I143" i="328"/>
  <c r="K143" i="328" s="1"/>
  <c r="S34" i="257"/>
  <c r="S35" i="31" s="1"/>
  <c r="Z35" i="31" s="1"/>
  <c r="I31" i="334" s="1"/>
  <c r="I177" i="328"/>
  <c r="K177" i="328" s="1"/>
  <c r="I551" i="328"/>
  <c r="K551" i="328" s="1"/>
  <c r="S82" i="257"/>
  <c r="S83" i="31" s="1"/>
  <c r="I585" i="328"/>
  <c r="K585" i="328" s="1"/>
  <c r="S86" i="257"/>
  <c r="S87" i="31" s="1"/>
  <c r="I75" i="328"/>
  <c r="K75" i="328" s="1"/>
  <c r="S26" i="257"/>
  <c r="S27" i="31" s="1"/>
  <c r="I109" i="328"/>
  <c r="K109" i="328" s="1"/>
  <c r="S30" i="257"/>
  <c r="S31" i="31" s="1"/>
  <c r="S78" i="257"/>
  <c r="S79" i="31" s="1"/>
  <c r="Z79" i="31" s="1"/>
  <c r="I75" i="334" s="1"/>
  <c r="S15" i="257"/>
  <c r="S16" i="31" s="1"/>
  <c r="C24" i="328"/>
  <c r="E24" i="328" s="1"/>
  <c r="S19" i="257"/>
  <c r="S20" i="31" s="1"/>
  <c r="C44" i="328"/>
  <c r="E44" i="328" s="1"/>
  <c r="C58" i="328"/>
  <c r="E58" i="328" s="1"/>
  <c r="S23" i="257"/>
  <c r="S24" i="31" s="1"/>
  <c r="Z24" i="31" s="1"/>
  <c r="I20" i="334" s="1"/>
  <c r="C92" i="328"/>
  <c r="E92" i="328" s="1"/>
  <c r="S27" i="257"/>
  <c r="S28" i="31" s="1"/>
  <c r="C112" i="328"/>
  <c r="E112" i="328" s="1"/>
  <c r="C126" i="328"/>
  <c r="E126" i="328" s="1"/>
  <c r="S31" i="257"/>
  <c r="S32" i="31" s="1"/>
  <c r="C160" i="328"/>
  <c r="E160" i="328" s="1"/>
  <c r="S35" i="257"/>
  <c r="S36" i="31" s="1"/>
  <c r="C194" i="328"/>
  <c r="E194" i="328" s="1"/>
  <c r="S79" i="257"/>
  <c r="S80" i="31" s="1"/>
  <c r="C554" i="328"/>
  <c r="E554" i="328" s="1"/>
  <c r="C568" i="328"/>
  <c r="E568" i="328" s="1"/>
  <c r="S83" i="257"/>
  <c r="S84" i="31" s="1"/>
  <c r="C602" i="328"/>
  <c r="E602" i="328" s="1"/>
  <c r="S87" i="257"/>
  <c r="S88" i="31" s="1"/>
  <c r="I1232" i="328"/>
  <c r="K1232" i="328" s="1"/>
  <c r="I1266" i="328"/>
  <c r="K1266" i="328" s="1"/>
  <c r="I1300" i="328"/>
  <c r="K1300" i="328" s="1"/>
  <c r="I1334" i="328"/>
  <c r="K1334" i="328" s="1"/>
  <c r="C1249" i="328"/>
  <c r="E1249" i="328" s="1"/>
  <c r="C1283" i="328"/>
  <c r="E1283" i="328" s="1"/>
  <c r="C1317" i="328"/>
  <c r="E1317" i="328" s="1"/>
  <c r="C1351" i="328"/>
  <c r="E1351" i="328" s="1"/>
  <c r="I1249" i="328"/>
  <c r="K1249" i="328" s="1"/>
  <c r="I1283" i="328"/>
  <c r="K1283" i="328" s="1"/>
  <c r="I1317" i="328"/>
  <c r="K1317" i="328" s="1"/>
  <c r="I1351" i="328"/>
  <c r="K1351" i="328" s="1"/>
  <c r="C1232" i="328"/>
  <c r="E1232" i="328" s="1"/>
  <c r="C1266" i="328"/>
  <c r="E1266" i="328" s="1"/>
  <c r="C1300" i="328"/>
  <c r="E1300" i="328" s="1"/>
  <c r="C1334" i="328"/>
  <c r="E1334" i="328" s="1"/>
  <c r="S16" i="257"/>
  <c r="S17" i="31" s="1"/>
  <c r="S63" i="312"/>
  <c r="S67" i="312"/>
  <c r="S71" i="312"/>
  <c r="Z71" i="312" s="1"/>
  <c r="S75" i="312"/>
  <c r="Z75" i="312" s="1"/>
  <c r="S64" i="312"/>
  <c r="Z64" i="312" s="1"/>
  <c r="S68" i="312"/>
  <c r="Z68" i="312" s="1"/>
  <c r="S72" i="312"/>
  <c r="Z72" i="312" s="1"/>
  <c r="S76" i="312"/>
  <c r="S171" i="31" s="1"/>
  <c r="S61" i="312"/>
  <c r="S65" i="312"/>
  <c r="S69" i="312"/>
  <c r="S164" i="31" s="1"/>
  <c r="S73" i="312"/>
  <c r="S168" i="31" s="1"/>
  <c r="S62" i="312"/>
  <c r="S66" i="312"/>
  <c r="S161" i="31" s="1"/>
  <c r="S70" i="312"/>
  <c r="S165" i="31" s="1"/>
  <c r="S74" i="312"/>
  <c r="S169" i="31" s="1"/>
  <c r="X167" i="321"/>
  <c r="Q77" i="312" s="1"/>
  <c r="Q172" i="31" s="1"/>
  <c r="X172" i="321"/>
  <c r="Q82" i="312" s="1"/>
  <c r="V167" i="321"/>
  <c r="O77" i="312" s="1"/>
  <c r="V172" i="321"/>
  <c r="O82" i="312" s="1"/>
  <c r="AA167" i="321"/>
  <c r="T77" i="312" s="1"/>
  <c r="C1374" i="328" s="1"/>
  <c r="E1374" i="328" s="1"/>
  <c r="AA172" i="321"/>
  <c r="W167" i="321"/>
  <c r="P77" i="312" s="1"/>
  <c r="P172" i="31" s="1"/>
  <c r="W172" i="321"/>
  <c r="P82" i="312" s="1"/>
  <c r="P177" i="31" s="1"/>
  <c r="Z167" i="321"/>
  <c r="Z172" i="321"/>
  <c r="I758" i="328"/>
  <c r="K758" i="328" s="1"/>
  <c r="I775" i="328"/>
  <c r="K775" i="328" s="1"/>
  <c r="O39" i="108"/>
  <c r="W39" i="108"/>
  <c r="K420" i="328"/>
  <c r="W150" i="321"/>
  <c r="Q60" i="312"/>
  <c r="Q155" i="31" s="1"/>
  <c r="W151" i="321"/>
  <c r="P61" i="312" s="1"/>
  <c r="P156" i="31" s="1"/>
  <c r="W155" i="321"/>
  <c r="P65" i="312" s="1"/>
  <c r="P160" i="31" s="1"/>
  <c r="Z150" i="321"/>
  <c r="AP97" i="231"/>
  <c r="W152" i="321"/>
  <c r="P62" i="312" s="1"/>
  <c r="P157" i="31" s="1"/>
  <c r="O60" i="312"/>
  <c r="AA150" i="321"/>
  <c r="AQ97" i="231"/>
  <c r="W153" i="321"/>
  <c r="P63" i="312" s="1"/>
  <c r="P158" i="31" s="1"/>
  <c r="W157" i="321"/>
  <c r="P67" i="312" s="1"/>
  <c r="P162" i="31" s="1"/>
  <c r="T15" i="257"/>
  <c r="AQ12" i="231"/>
  <c r="AL97" i="231"/>
  <c r="AM97" i="231"/>
  <c r="AN97" i="231"/>
  <c r="AL12" i="231"/>
  <c r="AM12" i="231"/>
  <c r="AN12" i="231"/>
  <c r="AP12" i="231"/>
  <c r="AN381" i="307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108" i="257"/>
  <c r="J12" i="333" s="1"/>
  <c r="J14" i="333" s="1"/>
  <c r="J19" i="333" s="1"/>
  <c r="AR15" i="231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L12" i="296"/>
  <c r="L206" i="296"/>
  <c r="L226" i="296"/>
  <c r="L387" i="296"/>
  <c r="L112" i="296"/>
  <c r="L218" i="296"/>
  <c r="L444" i="296"/>
  <c r="K218" i="296"/>
  <c r="K444" i="296"/>
  <c r="L57" i="296"/>
  <c r="L56" i="296" s="1"/>
  <c r="L310" i="296"/>
  <c r="L309" i="296" s="1"/>
  <c r="L380" i="296"/>
  <c r="L379" i="296" s="1"/>
  <c r="M1183" i="289"/>
  <c r="K12" i="296"/>
  <c r="K387" i="296"/>
  <c r="J193" i="289"/>
  <c r="M193" i="289"/>
  <c r="M1141" i="289"/>
  <c r="K112" i="296"/>
  <c r="O13" i="289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G28" i="257"/>
  <c r="G36" i="257"/>
  <c r="G39" i="257"/>
  <c r="F16" i="261"/>
  <c r="G16" i="261" s="1"/>
  <c r="F24" i="261"/>
  <c r="G24" i="261" s="1"/>
  <c r="F32" i="261"/>
  <c r="G32" i="261" s="1"/>
  <c r="F40" i="261"/>
  <c r="G40" i="261" s="1"/>
  <c r="F48" i="261"/>
  <c r="G48" i="261" s="1"/>
  <c r="F56" i="261"/>
  <c r="G56" i="261" s="1"/>
  <c r="F64" i="261"/>
  <c r="G64" i="261" s="1"/>
  <c r="F72" i="261"/>
  <c r="G72" i="261" s="1"/>
  <c r="F80" i="261"/>
  <c r="G80" i="261" s="1"/>
  <c r="F88" i="261"/>
  <c r="G88" i="261" s="1"/>
  <c r="F96" i="261"/>
  <c r="G96" i="261" s="1"/>
  <c r="F17" i="258"/>
  <c r="G17" i="258" s="1"/>
  <c r="F17" i="263"/>
  <c r="G17" i="263" s="1"/>
  <c r="F32" i="265"/>
  <c r="G32" i="265" s="1"/>
  <c r="F60" i="265"/>
  <c r="G60" i="265" s="1"/>
  <c r="F76" i="265"/>
  <c r="G76" i="265" s="1"/>
  <c r="F92" i="265"/>
  <c r="G92" i="265" s="1"/>
  <c r="F18" i="264"/>
  <c r="G18" i="264" s="1"/>
  <c r="F34" i="264"/>
  <c r="G34" i="264" s="1"/>
  <c r="F55" i="264"/>
  <c r="G55" i="264" s="1"/>
  <c r="F62" i="264"/>
  <c r="G62" i="264" s="1"/>
  <c r="F16" i="266"/>
  <c r="G16" i="266" s="1"/>
  <c r="F40" i="262"/>
  <c r="G40" i="262" s="1"/>
  <c r="F48" i="262"/>
  <c r="G48" i="262" s="1"/>
  <c r="F56" i="262"/>
  <c r="G56" i="262" s="1"/>
  <c r="F61" i="262"/>
  <c r="G61" i="262" s="1"/>
  <c r="F77" i="262"/>
  <c r="G77" i="262" s="1"/>
  <c r="AR16" i="231"/>
  <c r="AJ10" i="247"/>
  <c r="AI9" i="247"/>
  <c r="AI29" i="247" s="1"/>
  <c r="AE387" i="115"/>
  <c r="AM14" i="247"/>
  <c r="G31" i="257"/>
  <c r="F19" i="261"/>
  <c r="G19" i="261" s="1"/>
  <c r="F27" i="261"/>
  <c r="G27" i="261" s="1"/>
  <c r="F35" i="261"/>
  <c r="G35" i="261" s="1"/>
  <c r="F43" i="261"/>
  <c r="G43" i="261" s="1"/>
  <c r="F51" i="261"/>
  <c r="G51" i="261" s="1"/>
  <c r="F59" i="261"/>
  <c r="G59" i="261" s="1"/>
  <c r="F67" i="261"/>
  <c r="G67" i="261" s="1"/>
  <c r="F75" i="261"/>
  <c r="G75" i="261" s="1"/>
  <c r="F83" i="261"/>
  <c r="G83" i="261" s="1"/>
  <c r="F91" i="261"/>
  <c r="G91" i="261" s="1"/>
  <c r="F99" i="261"/>
  <c r="G99" i="261" s="1"/>
  <c r="F20" i="258"/>
  <c r="G20" i="258" s="1"/>
  <c r="F15" i="263"/>
  <c r="G15" i="263" s="1"/>
  <c r="F20" i="265"/>
  <c r="G20" i="265" s="1"/>
  <c r="F41" i="265"/>
  <c r="G41" i="265" s="1"/>
  <c r="F50" i="264"/>
  <c r="G50" i="264" s="1"/>
  <c r="F71" i="264"/>
  <c r="G71" i="264" s="1"/>
  <c r="F19" i="266"/>
  <c r="G19" i="266" s="1"/>
  <c r="F43" i="262"/>
  <c r="G43" i="262" s="1"/>
  <c r="F51" i="262"/>
  <c r="G51" i="262" s="1"/>
  <c r="F59" i="262"/>
  <c r="G59" i="262" s="1"/>
  <c r="F75" i="262"/>
  <c r="G75" i="262" s="1"/>
  <c r="D70" i="283"/>
  <c r="G70" i="283" s="1"/>
  <c r="H70" i="283" s="1"/>
  <c r="AD464" i="115"/>
  <c r="G15" i="257"/>
  <c r="S11" i="115"/>
  <c r="G26" i="257"/>
  <c r="G34" i="257"/>
  <c r="G37" i="257"/>
  <c r="S57" i="115"/>
  <c r="F22" i="261"/>
  <c r="G22" i="261" s="1"/>
  <c r="F30" i="261"/>
  <c r="G30" i="261" s="1"/>
  <c r="F38" i="261"/>
  <c r="G38" i="261" s="1"/>
  <c r="F46" i="261"/>
  <c r="G46" i="261" s="1"/>
  <c r="F54" i="261"/>
  <c r="G54" i="261" s="1"/>
  <c r="F62" i="261"/>
  <c r="G62" i="261" s="1"/>
  <c r="F70" i="261"/>
  <c r="G70" i="261" s="1"/>
  <c r="F78" i="261"/>
  <c r="G78" i="261" s="1"/>
  <c r="F86" i="261"/>
  <c r="G86" i="261" s="1"/>
  <c r="F94" i="261"/>
  <c r="G94" i="261" s="1"/>
  <c r="F15" i="258"/>
  <c r="G15" i="258" s="1"/>
  <c r="F23" i="258"/>
  <c r="G23" i="258" s="1"/>
  <c r="F36" i="265"/>
  <c r="G36" i="265" s="1"/>
  <c r="F48" i="265"/>
  <c r="G48" i="265" s="1"/>
  <c r="F55" i="265"/>
  <c r="G55" i="265" s="1"/>
  <c r="F57" i="265"/>
  <c r="G57" i="265" s="1"/>
  <c r="F64" i="265"/>
  <c r="G64" i="265" s="1"/>
  <c r="F71" i="265"/>
  <c r="G71" i="265" s="1"/>
  <c r="F73" i="265"/>
  <c r="G73" i="265" s="1"/>
  <c r="F80" i="265"/>
  <c r="G80" i="265" s="1"/>
  <c r="F87" i="265"/>
  <c r="G87" i="265" s="1"/>
  <c r="F89" i="265"/>
  <c r="G89" i="265" s="1"/>
  <c r="F15" i="264"/>
  <c r="G15" i="264" s="1"/>
  <c r="F22" i="264"/>
  <c r="G22" i="264" s="1"/>
  <c r="F29" i="264"/>
  <c r="G29" i="264" s="1"/>
  <c r="F31" i="264"/>
  <c r="G31" i="264" s="1"/>
  <c r="F38" i="264"/>
  <c r="G38" i="264" s="1"/>
  <c r="F45" i="264"/>
  <c r="G45" i="264" s="1"/>
  <c r="F66" i="264"/>
  <c r="G66" i="264" s="1"/>
  <c r="F78" i="264"/>
  <c r="G78" i="264" s="1"/>
  <c r="F14" i="266"/>
  <c r="G14" i="266" s="1"/>
  <c r="F36" i="262"/>
  <c r="G36" i="262" s="1"/>
  <c r="F38" i="262"/>
  <c r="G38" i="262" s="1"/>
  <c r="F46" i="262"/>
  <c r="G46" i="262" s="1"/>
  <c r="F54" i="262"/>
  <c r="G54" i="262" s="1"/>
  <c r="F73" i="262"/>
  <c r="G73" i="262" s="1"/>
  <c r="AR14" i="231"/>
  <c r="AE113" i="115"/>
  <c r="AM11" i="247"/>
  <c r="AE441" i="115"/>
  <c r="AM15" i="247"/>
  <c r="G18" i="257"/>
  <c r="G22" i="257"/>
  <c r="G29" i="257"/>
  <c r="F17" i="261"/>
  <c r="G17" i="261" s="1"/>
  <c r="F25" i="261"/>
  <c r="G25" i="261" s="1"/>
  <c r="F33" i="261"/>
  <c r="G33" i="261" s="1"/>
  <c r="F41" i="261"/>
  <c r="G41" i="261" s="1"/>
  <c r="F49" i="261"/>
  <c r="G49" i="261" s="1"/>
  <c r="F57" i="261"/>
  <c r="G57" i="261" s="1"/>
  <c r="F65" i="261"/>
  <c r="G65" i="261" s="1"/>
  <c r="F73" i="261"/>
  <c r="G73" i="261" s="1"/>
  <c r="F81" i="261"/>
  <c r="G81" i="261" s="1"/>
  <c r="F89" i="261"/>
  <c r="G89" i="261" s="1"/>
  <c r="F97" i="261"/>
  <c r="G97" i="261" s="1"/>
  <c r="F18" i="258"/>
  <c r="G18" i="258" s="1"/>
  <c r="F17" i="265"/>
  <c r="G17" i="265" s="1"/>
  <c r="F24" i="265"/>
  <c r="G24" i="265" s="1"/>
  <c r="F17" i="266"/>
  <c r="G17" i="266" s="1"/>
  <c r="F41" i="262"/>
  <c r="G41" i="262" s="1"/>
  <c r="F49" i="262"/>
  <c r="G49" i="262" s="1"/>
  <c r="F57" i="262"/>
  <c r="G57" i="262" s="1"/>
  <c r="F71" i="262"/>
  <c r="G71" i="262" s="1"/>
  <c r="AR13" i="231"/>
  <c r="G24" i="257"/>
  <c r="G32" i="257"/>
  <c r="H469" i="115"/>
  <c r="H468" i="115"/>
  <c r="F20" i="261"/>
  <c r="G20" i="261" s="1"/>
  <c r="F28" i="261"/>
  <c r="G28" i="261" s="1"/>
  <c r="F36" i="261"/>
  <c r="G36" i="261" s="1"/>
  <c r="F44" i="261"/>
  <c r="G44" i="261" s="1"/>
  <c r="F52" i="261"/>
  <c r="G52" i="261" s="1"/>
  <c r="F60" i="261"/>
  <c r="G60" i="261" s="1"/>
  <c r="F68" i="261"/>
  <c r="G68" i="261" s="1"/>
  <c r="F76" i="261"/>
  <c r="G76" i="261" s="1"/>
  <c r="F84" i="261"/>
  <c r="G84" i="261" s="1"/>
  <c r="F92" i="261"/>
  <c r="G92" i="261" s="1"/>
  <c r="F100" i="261"/>
  <c r="G100" i="261" s="1"/>
  <c r="F21" i="258"/>
  <c r="G21" i="258" s="1"/>
  <c r="F33" i="265"/>
  <c r="G33" i="265" s="1"/>
  <c r="F52" i="265"/>
  <c r="G52" i="265" s="1"/>
  <c r="F68" i="265"/>
  <c r="G68" i="265" s="1"/>
  <c r="F84" i="265"/>
  <c r="G84" i="265" s="1"/>
  <c r="F26" i="264"/>
  <c r="G26" i="264" s="1"/>
  <c r="F42" i="264"/>
  <c r="G42" i="264" s="1"/>
  <c r="F54" i="264"/>
  <c r="G54" i="264" s="1"/>
  <c r="F61" i="264"/>
  <c r="G61" i="264" s="1"/>
  <c r="F63" i="264"/>
  <c r="G63" i="264" s="1"/>
  <c r="F82" i="264"/>
  <c r="G82" i="264" s="1"/>
  <c r="F20" i="266"/>
  <c r="G20" i="266" s="1"/>
  <c r="F44" i="262"/>
  <c r="G44" i="262" s="1"/>
  <c r="F52" i="262"/>
  <c r="G52" i="262" s="1"/>
  <c r="F69" i="262"/>
  <c r="G69" i="262" s="1"/>
  <c r="Z120" i="115"/>
  <c r="AM12" i="247"/>
  <c r="AE114" i="115"/>
  <c r="G27" i="257"/>
  <c r="G35" i="257"/>
  <c r="G38" i="257"/>
  <c r="F15" i="261"/>
  <c r="G15" i="261" s="1"/>
  <c r="S121" i="115"/>
  <c r="F23" i="261"/>
  <c r="G23" i="261" s="1"/>
  <c r="F31" i="261"/>
  <c r="G31" i="261" s="1"/>
  <c r="F39" i="261"/>
  <c r="G39" i="261" s="1"/>
  <c r="F47" i="261"/>
  <c r="G47" i="261" s="1"/>
  <c r="F55" i="261"/>
  <c r="G55" i="261" s="1"/>
  <c r="F63" i="261"/>
  <c r="G63" i="261" s="1"/>
  <c r="F71" i="261"/>
  <c r="G71" i="261" s="1"/>
  <c r="F79" i="261"/>
  <c r="G79" i="261" s="1"/>
  <c r="F87" i="261"/>
  <c r="G87" i="261" s="1"/>
  <c r="F95" i="261"/>
  <c r="G95" i="261" s="1"/>
  <c r="F16" i="258"/>
  <c r="G16" i="258" s="1"/>
  <c r="F24" i="258"/>
  <c r="G24" i="258" s="1"/>
  <c r="F28" i="265"/>
  <c r="G28" i="265" s="1"/>
  <c r="F40" i="265"/>
  <c r="G40" i="265" s="1"/>
  <c r="S316" i="115"/>
  <c r="F70" i="264"/>
  <c r="G70" i="264" s="1"/>
  <c r="F15" i="266"/>
  <c r="G15" i="266" s="1"/>
  <c r="F39" i="262"/>
  <c r="G39" i="262" s="1"/>
  <c r="F47" i="262"/>
  <c r="G47" i="262" s="1"/>
  <c r="F55" i="262"/>
  <c r="G55" i="262" s="1"/>
  <c r="F67" i="262"/>
  <c r="G67" i="262" s="1"/>
  <c r="G17" i="257"/>
  <c r="G21" i="257"/>
  <c r="G30" i="257"/>
  <c r="F18" i="261"/>
  <c r="G18" i="261" s="1"/>
  <c r="F26" i="261"/>
  <c r="G26" i="261" s="1"/>
  <c r="F34" i="261"/>
  <c r="G34" i="261" s="1"/>
  <c r="F42" i="261"/>
  <c r="G42" i="261" s="1"/>
  <c r="F50" i="261"/>
  <c r="G50" i="261" s="1"/>
  <c r="F58" i="261"/>
  <c r="G58" i="261" s="1"/>
  <c r="F66" i="261"/>
  <c r="G66" i="261" s="1"/>
  <c r="F74" i="261"/>
  <c r="G74" i="261" s="1"/>
  <c r="F82" i="261"/>
  <c r="G82" i="261" s="1"/>
  <c r="F90" i="261"/>
  <c r="G90" i="261" s="1"/>
  <c r="F98" i="261"/>
  <c r="G98" i="261" s="1"/>
  <c r="F19" i="258"/>
  <c r="G19" i="258" s="1"/>
  <c r="S221" i="115"/>
  <c r="F49" i="265"/>
  <c r="G49" i="265" s="1"/>
  <c r="F56" i="265"/>
  <c r="G56" i="265" s="1"/>
  <c r="F63" i="265"/>
  <c r="G63" i="265" s="1"/>
  <c r="F65" i="265"/>
  <c r="G65" i="265" s="1"/>
  <c r="F72" i="265"/>
  <c r="G72" i="265" s="1"/>
  <c r="F79" i="265"/>
  <c r="G79" i="265" s="1"/>
  <c r="F81" i="265"/>
  <c r="G81" i="265" s="1"/>
  <c r="F88" i="265"/>
  <c r="G88" i="265" s="1"/>
  <c r="F21" i="264"/>
  <c r="G21" i="264" s="1"/>
  <c r="F23" i="264"/>
  <c r="G23" i="264" s="1"/>
  <c r="F30" i="264"/>
  <c r="G30" i="264" s="1"/>
  <c r="F37" i="264"/>
  <c r="G37" i="264" s="1"/>
  <c r="F39" i="264"/>
  <c r="G39" i="264" s="1"/>
  <c r="F46" i="264"/>
  <c r="G46" i="264" s="1"/>
  <c r="F58" i="264"/>
  <c r="G58" i="264" s="1"/>
  <c r="C2815" i="288"/>
  <c r="D2815" i="288" s="1"/>
  <c r="F79" i="264"/>
  <c r="G79" i="264" s="1"/>
  <c r="F18" i="266"/>
  <c r="G18" i="266" s="1"/>
  <c r="F42" i="262"/>
  <c r="G42" i="262" s="1"/>
  <c r="F50" i="262"/>
  <c r="G50" i="262" s="1"/>
  <c r="F58" i="262"/>
  <c r="G58" i="262" s="1"/>
  <c r="F65" i="262"/>
  <c r="G65" i="262" s="1"/>
  <c r="AM13" i="247"/>
  <c r="AE386" i="115"/>
  <c r="G23" i="257"/>
  <c r="G25" i="257"/>
  <c r="G33" i="257"/>
  <c r="F21" i="261"/>
  <c r="G21" i="261" s="1"/>
  <c r="F29" i="261"/>
  <c r="G29" i="261" s="1"/>
  <c r="F37" i="261"/>
  <c r="G37" i="261" s="1"/>
  <c r="F45" i="261"/>
  <c r="G45" i="261" s="1"/>
  <c r="F53" i="261"/>
  <c r="G53" i="261" s="1"/>
  <c r="F61" i="261"/>
  <c r="G61" i="261" s="1"/>
  <c r="F69" i="261"/>
  <c r="G69" i="261" s="1"/>
  <c r="F77" i="261"/>
  <c r="G77" i="261" s="1"/>
  <c r="F85" i="261"/>
  <c r="G85" i="261" s="1"/>
  <c r="F93" i="261"/>
  <c r="G93" i="261" s="1"/>
  <c r="F14" i="258"/>
  <c r="G14" i="258" s="1"/>
  <c r="S209" i="115"/>
  <c r="F22" i="258"/>
  <c r="G22" i="258" s="1"/>
  <c r="F19" i="263"/>
  <c r="G19" i="263" s="1"/>
  <c r="F16" i="265"/>
  <c r="G16" i="265" s="1"/>
  <c r="F23" i="265"/>
  <c r="G23" i="265" s="1"/>
  <c r="F25" i="265"/>
  <c r="G25" i="265" s="1"/>
  <c r="F44" i="265"/>
  <c r="G44" i="265" s="1"/>
  <c r="F74" i="264"/>
  <c r="G74" i="264" s="1"/>
  <c r="F37" i="262"/>
  <c r="G37" i="262" s="1"/>
  <c r="F45" i="262"/>
  <c r="G45" i="262" s="1"/>
  <c r="F53" i="262"/>
  <c r="G53" i="262" s="1"/>
  <c r="F63" i="262"/>
  <c r="G63" i="262" s="1"/>
  <c r="E11" i="115"/>
  <c r="G19" i="257"/>
  <c r="F18" i="265"/>
  <c r="G18" i="265" s="1"/>
  <c r="F26" i="265"/>
  <c r="G26" i="265" s="1"/>
  <c r="F34" i="265"/>
  <c r="G34" i="265" s="1"/>
  <c r="F42" i="265"/>
  <c r="G42" i="265" s="1"/>
  <c r="F50" i="265"/>
  <c r="G50" i="265" s="1"/>
  <c r="F58" i="265"/>
  <c r="G58" i="265" s="1"/>
  <c r="F66" i="265"/>
  <c r="G66" i="265" s="1"/>
  <c r="F74" i="265"/>
  <c r="G74" i="265" s="1"/>
  <c r="F82" i="265"/>
  <c r="G82" i="265" s="1"/>
  <c r="F90" i="265"/>
  <c r="G90" i="265" s="1"/>
  <c r="F97" i="265"/>
  <c r="G97" i="265" s="1"/>
  <c r="F16" i="264"/>
  <c r="G16" i="264" s="1"/>
  <c r="F24" i="264"/>
  <c r="G24" i="264" s="1"/>
  <c r="F32" i="264"/>
  <c r="G32" i="264" s="1"/>
  <c r="F40" i="264"/>
  <c r="G40" i="264" s="1"/>
  <c r="F48" i="264"/>
  <c r="G48" i="264" s="1"/>
  <c r="F56" i="264"/>
  <c r="G56" i="264" s="1"/>
  <c r="F64" i="264"/>
  <c r="G64" i="264" s="1"/>
  <c r="F72" i="264"/>
  <c r="G72" i="264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F27" i="262"/>
  <c r="G27" i="262" s="1"/>
  <c r="F29" i="262"/>
  <c r="G29" i="262" s="1"/>
  <c r="F31" i="262"/>
  <c r="G31" i="262" s="1"/>
  <c r="F33" i="262"/>
  <c r="G33" i="262" s="1"/>
  <c r="F35" i="262"/>
  <c r="G35" i="262" s="1"/>
  <c r="E57" i="115"/>
  <c r="S231" i="115"/>
  <c r="F31" i="265"/>
  <c r="G31" i="265" s="1"/>
  <c r="F39" i="265"/>
  <c r="G39" i="265" s="1"/>
  <c r="F47" i="265"/>
  <c r="G47" i="265" s="1"/>
  <c r="F95" i="265"/>
  <c r="G95" i="265" s="1"/>
  <c r="F53" i="264"/>
  <c r="G53" i="264" s="1"/>
  <c r="F69" i="264"/>
  <c r="G69" i="264" s="1"/>
  <c r="F77" i="264"/>
  <c r="G77" i="264" s="1"/>
  <c r="Q10" i="307"/>
  <c r="Q445" i="307" s="1"/>
  <c r="E121" i="115"/>
  <c r="E10" i="115" s="1"/>
  <c r="G16" i="257"/>
  <c r="G136" i="31"/>
  <c r="F47" i="264"/>
  <c r="G47" i="264" s="1"/>
  <c r="S10" i="307"/>
  <c r="S445" i="307" s="1"/>
  <c r="F14" i="265"/>
  <c r="G14" i="265" s="1"/>
  <c r="F22" i="265"/>
  <c r="G22" i="265" s="1"/>
  <c r="F30" i="265"/>
  <c r="G30" i="265" s="1"/>
  <c r="F38" i="265"/>
  <c r="G38" i="265" s="1"/>
  <c r="F46" i="265"/>
  <c r="G46" i="265" s="1"/>
  <c r="F54" i="265"/>
  <c r="G54" i="265" s="1"/>
  <c r="F62" i="265"/>
  <c r="G62" i="265" s="1"/>
  <c r="F70" i="265"/>
  <c r="G70" i="265" s="1"/>
  <c r="F78" i="265"/>
  <c r="G78" i="265" s="1"/>
  <c r="F86" i="265"/>
  <c r="G86" i="265" s="1"/>
  <c r="F94" i="265"/>
  <c r="G94" i="265" s="1"/>
  <c r="F20" i="264"/>
  <c r="G20" i="264" s="1"/>
  <c r="F28" i="264"/>
  <c r="G28" i="264" s="1"/>
  <c r="F36" i="264"/>
  <c r="G36" i="264" s="1"/>
  <c r="F44" i="264"/>
  <c r="G44" i="264" s="1"/>
  <c r="F52" i="264"/>
  <c r="G52" i="264" s="1"/>
  <c r="F60" i="264"/>
  <c r="G60" i="264" s="1"/>
  <c r="F68" i="264"/>
  <c r="G68" i="264" s="1"/>
  <c r="F76" i="264"/>
  <c r="G76" i="264" s="1"/>
  <c r="F16" i="262"/>
  <c r="G16" i="262" s="1"/>
  <c r="F18" i="262"/>
  <c r="G18" i="262" s="1"/>
  <c r="F20" i="262"/>
  <c r="G20" i="262" s="1"/>
  <c r="F22" i="262"/>
  <c r="G22" i="262" s="1"/>
  <c r="F24" i="262"/>
  <c r="G24" i="262" s="1"/>
  <c r="F26" i="262"/>
  <c r="G26" i="262" s="1"/>
  <c r="F28" i="262"/>
  <c r="G28" i="262" s="1"/>
  <c r="F30" i="262"/>
  <c r="G30" i="262" s="1"/>
  <c r="F32" i="262"/>
  <c r="G32" i="262" s="1"/>
  <c r="F34" i="262"/>
  <c r="G34" i="262" s="1"/>
  <c r="F14" i="263"/>
  <c r="G14" i="263" s="1"/>
  <c r="F16" i="263"/>
  <c r="G16" i="263" s="1"/>
  <c r="F18" i="263"/>
  <c r="G18" i="263" s="1"/>
  <c r="F20" i="263"/>
  <c r="G20" i="263" s="1"/>
  <c r="F19" i="265"/>
  <c r="G19" i="265" s="1"/>
  <c r="F27" i="265"/>
  <c r="G27" i="265" s="1"/>
  <c r="F35" i="265"/>
  <c r="G35" i="265" s="1"/>
  <c r="F43" i="265"/>
  <c r="G43" i="265" s="1"/>
  <c r="F51" i="265"/>
  <c r="G51" i="265" s="1"/>
  <c r="F59" i="265"/>
  <c r="G59" i="265" s="1"/>
  <c r="F67" i="265"/>
  <c r="G67" i="265" s="1"/>
  <c r="F75" i="265"/>
  <c r="G75" i="265" s="1"/>
  <c r="F83" i="265"/>
  <c r="G83" i="265" s="1"/>
  <c r="F91" i="265"/>
  <c r="G91" i="265" s="1"/>
  <c r="F96" i="265"/>
  <c r="G96" i="265" s="1"/>
  <c r="F14" i="264"/>
  <c r="G14" i="264" s="1"/>
  <c r="F17" i="264"/>
  <c r="G17" i="264" s="1"/>
  <c r="F25" i="264"/>
  <c r="G25" i="264" s="1"/>
  <c r="F33" i="264"/>
  <c r="G33" i="264" s="1"/>
  <c r="F41" i="264"/>
  <c r="G41" i="264" s="1"/>
  <c r="F49" i="264"/>
  <c r="G49" i="264" s="1"/>
  <c r="F57" i="264"/>
  <c r="G57" i="264" s="1"/>
  <c r="F65" i="264"/>
  <c r="G65" i="264" s="1"/>
  <c r="F73" i="264"/>
  <c r="G73" i="264" s="1"/>
  <c r="F81" i="264"/>
  <c r="G81" i="264" s="1"/>
  <c r="F84" i="264"/>
  <c r="G84" i="264" s="1"/>
  <c r="S396" i="115"/>
  <c r="G20" i="257"/>
  <c r="G110" i="31"/>
  <c r="G126" i="31"/>
  <c r="F21" i="265"/>
  <c r="G21" i="265" s="1"/>
  <c r="F29" i="265"/>
  <c r="G29" i="265" s="1"/>
  <c r="F37" i="265"/>
  <c r="G37" i="265" s="1"/>
  <c r="F45" i="265"/>
  <c r="G45" i="265" s="1"/>
  <c r="F53" i="265"/>
  <c r="G53" i="265" s="1"/>
  <c r="F61" i="265"/>
  <c r="G61" i="265" s="1"/>
  <c r="F69" i="265"/>
  <c r="G69" i="265" s="1"/>
  <c r="F77" i="265"/>
  <c r="G77" i="265" s="1"/>
  <c r="F85" i="265"/>
  <c r="G85" i="265" s="1"/>
  <c r="F93" i="265"/>
  <c r="G93" i="265" s="1"/>
  <c r="F98" i="265"/>
  <c r="G98" i="265" s="1"/>
  <c r="F19" i="264"/>
  <c r="G19" i="264" s="1"/>
  <c r="F27" i="264"/>
  <c r="G27" i="264" s="1"/>
  <c r="F35" i="264"/>
  <c r="G35" i="264" s="1"/>
  <c r="F43" i="264"/>
  <c r="G43" i="264" s="1"/>
  <c r="F51" i="264"/>
  <c r="G51" i="264" s="1"/>
  <c r="F59" i="264"/>
  <c r="G59" i="264" s="1"/>
  <c r="F67" i="264"/>
  <c r="G67" i="264" s="1"/>
  <c r="F75" i="264"/>
  <c r="G75" i="264" s="1"/>
  <c r="F83" i="264"/>
  <c r="G83" i="264" s="1"/>
  <c r="F60" i="262"/>
  <c r="G60" i="262" s="1"/>
  <c r="F62" i="262"/>
  <c r="G62" i="262" s="1"/>
  <c r="F64" i="262"/>
  <c r="G64" i="262" s="1"/>
  <c r="F66" i="262"/>
  <c r="G66" i="262" s="1"/>
  <c r="F68" i="262"/>
  <c r="G68" i="262" s="1"/>
  <c r="F70" i="262"/>
  <c r="G70" i="262" s="1"/>
  <c r="F72" i="262"/>
  <c r="G72" i="262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G50" i="108"/>
  <c r="AJ50" i="108" s="1"/>
  <c r="L21" i="283"/>
  <c r="G65" i="283"/>
  <c r="H65" i="283" s="1"/>
  <c r="G82" i="283"/>
  <c r="G81" i="283" s="1"/>
  <c r="AG13" i="108"/>
  <c r="AJ13" i="108" s="1"/>
  <c r="AG37" i="108"/>
  <c r="AK37" i="108" s="1"/>
  <c r="AW37" i="108" s="1"/>
  <c r="AG49" i="108"/>
  <c r="AK49" i="108" s="1"/>
  <c r="AW49" i="108" s="1"/>
  <c r="AG15" i="108"/>
  <c r="AG19" i="108"/>
  <c r="AJ19" i="108" s="1"/>
  <c r="AG23" i="108"/>
  <c r="AJ23" i="108" s="1"/>
  <c r="AG27" i="108"/>
  <c r="AK27" i="108" s="1"/>
  <c r="AW27" i="108" s="1"/>
  <c r="AG32" i="108"/>
  <c r="X46" i="108"/>
  <c r="F16" i="56"/>
  <c r="C12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K29" i="108" s="1"/>
  <c r="AW29" i="108" s="1"/>
  <c r="AG34" i="108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9" i="264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W79" i="264"/>
  <c r="C3183" i="229"/>
  <c r="V79" i="264"/>
  <c r="X79" i="264"/>
  <c r="AR20" i="231"/>
  <c r="AR28" i="231"/>
  <c r="AR76" i="231"/>
  <c r="AR84" i="231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65" i="231"/>
  <c r="AR19" i="231"/>
  <c r="AR27" i="231"/>
  <c r="AR35" i="231"/>
  <c r="AR83" i="231"/>
  <c r="AR18" i="231"/>
  <c r="AR26" i="231"/>
  <c r="AR34" i="231"/>
  <c r="AR82" i="231"/>
  <c r="AR96" i="231"/>
  <c r="AR17" i="231"/>
  <c r="AR25" i="231"/>
  <c r="AR33" i="231"/>
  <c r="AR81" i="231"/>
  <c r="AR89" i="231"/>
  <c r="AR24" i="231"/>
  <c r="AR32" i="231"/>
  <c r="AR80" i="231"/>
  <c r="AR88" i="231"/>
  <c r="AR23" i="231"/>
  <c r="AR31" i="231"/>
  <c r="AR79" i="231"/>
  <c r="AR87" i="231"/>
  <c r="AR22" i="231"/>
  <c r="AR30" i="231"/>
  <c r="AR78" i="231"/>
  <c r="AR86" i="231"/>
  <c r="AR21" i="231"/>
  <c r="AR29" i="231"/>
  <c r="AR77" i="231"/>
  <c r="AR85" i="231"/>
  <c r="S79" i="264"/>
  <c r="C3187" i="229"/>
  <c r="D3187" i="229" s="1"/>
  <c r="M2577" i="289"/>
  <c r="H82" i="283"/>
  <c r="H81" i="283" s="1"/>
  <c r="K24" i="258"/>
  <c r="N24" i="258" s="1"/>
  <c r="Z220" i="115"/>
  <c r="W219" i="115"/>
  <c r="V209" i="115"/>
  <c r="W382" i="115"/>
  <c r="T382" i="115"/>
  <c r="E46" i="283"/>
  <c r="P79" i="264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L25" i="258"/>
  <c r="L21" i="263"/>
  <c r="Q97" i="265"/>
  <c r="Q98" i="265"/>
  <c r="M25" i="258"/>
  <c r="Q96" i="265"/>
  <c r="L21" i="266"/>
  <c r="L78" i="262"/>
  <c r="M78" i="262"/>
  <c r="C3186" i="229"/>
  <c r="D3186" i="229" s="1"/>
  <c r="R79" i="264"/>
  <c r="U79" i="264"/>
  <c r="T79" i="264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J47" i="108"/>
  <c r="E46" i="108"/>
  <c r="M46" i="108"/>
  <c r="J11" i="108"/>
  <c r="R11" i="108"/>
  <c r="Z11" i="108"/>
  <c r="AH11" i="108"/>
  <c r="AK17" i="108"/>
  <c r="AW17" i="108" s="1"/>
  <c r="AK32" i="108"/>
  <c r="AW32" i="108" s="1"/>
  <c r="S31" i="108"/>
  <c r="AA31" i="108"/>
  <c r="G31" i="108"/>
  <c r="O31" i="108"/>
  <c r="W31" i="108"/>
  <c r="AE31" i="108"/>
  <c r="AK40" i="108"/>
  <c r="I11" i="108"/>
  <c r="AJ30" i="108"/>
  <c r="J31" i="108"/>
  <c r="G44" i="108"/>
  <c r="AK47" i="108"/>
  <c r="K31" i="108"/>
  <c r="AK15" i="108"/>
  <c r="AW15" i="108" s="1"/>
  <c r="AJ16" i="108"/>
  <c r="AJ32" i="108"/>
  <c r="AJ17" i="108"/>
  <c r="AJ33" i="108"/>
  <c r="AK45" i="108"/>
  <c r="AJ40" i="108"/>
  <c r="AJ41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Z463" i="115"/>
  <c r="AE463" i="115" s="1"/>
  <c r="G130" i="31"/>
  <c r="X109" i="31"/>
  <c r="I109" i="31"/>
  <c r="Y109" i="31"/>
  <c r="L5" i="229"/>
  <c r="L8" i="229"/>
  <c r="L4" i="229"/>
  <c r="L7" i="229"/>
  <c r="N17" i="76"/>
  <c r="O12" i="76"/>
  <c r="O13" i="76"/>
  <c r="G14" i="76"/>
  <c r="E10" i="76"/>
  <c r="L10" i="76" s="1"/>
  <c r="AI6" i="264"/>
  <c r="M2625" i="289"/>
  <c r="M2627" i="289"/>
  <c r="I809" i="328" l="1"/>
  <c r="K809" i="328" s="1"/>
  <c r="I826" i="328"/>
  <c r="K826" i="328" s="1"/>
  <c r="Z88" i="31"/>
  <c r="I84" i="334" s="1"/>
  <c r="Z28" i="31"/>
  <c r="I24" i="334" s="1"/>
  <c r="Z23" i="31"/>
  <c r="I19" i="334" s="1"/>
  <c r="Z89" i="31"/>
  <c r="I85" i="334" s="1"/>
  <c r="Z33" i="31"/>
  <c r="I29" i="334" s="1"/>
  <c r="Z171" i="31"/>
  <c r="Z80" i="31"/>
  <c r="I76" i="334" s="1"/>
  <c r="Z20" i="31"/>
  <c r="I16" i="334" s="1"/>
  <c r="Z82" i="31"/>
  <c r="I78" i="334" s="1"/>
  <c r="J78" i="334" s="1"/>
  <c r="Z85" i="31"/>
  <c r="I81" i="334" s="1"/>
  <c r="Z26" i="31"/>
  <c r="I22" i="334" s="1"/>
  <c r="Z15" i="257"/>
  <c r="Z169" i="31"/>
  <c r="Z76" i="312"/>
  <c r="Z70" i="312"/>
  <c r="Z62" i="312"/>
  <c r="Z61" i="312"/>
  <c r="Z69" i="312"/>
  <c r="Z161" i="31"/>
  <c r="Z27" i="31"/>
  <c r="I23" i="334" s="1"/>
  <c r="J23" i="334" s="1"/>
  <c r="Z21" i="31"/>
  <c r="I17" i="334" s="1"/>
  <c r="J17" i="334" s="1"/>
  <c r="Z83" i="31"/>
  <c r="I79" i="334" s="1"/>
  <c r="J79" i="334" s="1"/>
  <c r="Z18" i="31"/>
  <c r="I14" i="334" s="1"/>
  <c r="J14" i="334" s="1"/>
  <c r="Z37" i="31"/>
  <c r="I33" i="334" s="1"/>
  <c r="J33" i="334" s="1"/>
  <c r="Z38" i="31"/>
  <c r="I34" i="334" s="1"/>
  <c r="J34" i="334" s="1"/>
  <c r="Z22" i="31"/>
  <c r="I18" i="334" s="1"/>
  <c r="J18" i="334" s="1"/>
  <c r="Z32" i="31"/>
  <c r="I28" i="334" s="1"/>
  <c r="J28" i="334" s="1"/>
  <c r="Z87" i="31"/>
  <c r="I83" i="334" s="1"/>
  <c r="Z81" i="31"/>
  <c r="I77" i="334" s="1"/>
  <c r="J77" i="334" s="1"/>
  <c r="Z25" i="31"/>
  <c r="I21" i="334" s="1"/>
  <c r="J21" i="334" s="1"/>
  <c r="Z84" i="31"/>
  <c r="I80" i="334" s="1"/>
  <c r="J80" i="334" s="1"/>
  <c r="Z31" i="31"/>
  <c r="I27" i="334" s="1"/>
  <c r="J27" i="334" s="1"/>
  <c r="Z36" i="31"/>
  <c r="I32" i="334" s="1"/>
  <c r="J32" i="334" s="1"/>
  <c r="Z88" i="257"/>
  <c r="Z80" i="257"/>
  <c r="Z32" i="257"/>
  <c r="Z24" i="257"/>
  <c r="Z16" i="257"/>
  <c r="Z31" i="257"/>
  <c r="Z27" i="257"/>
  <c r="Z86" i="257"/>
  <c r="Z78" i="257"/>
  <c r="Z30" i="257"/>
  <c r="Z22" i="257"/>
  <c r="Z83" i="257"/>
  <c r="AA83" i="257" s="1"/>
  <c r="AB83" i="257" s="1"/>
  <c r="Z85" i="257"/>
  <c r="AA85" i="257" s="1"/>
  <c r="AB85" i="257" s="1"/>
  <c r="Z37" i="257"/>
  <c r="Z29" i="257"/>
  <c r="Z21" i="257"/>
  <c r="Z87" i="257"/>
  <c r="Z84" i="257"/>
  <c r="AA84" i="257" s="1"/>
  <c r="AB84" i="257" s="1"/>
  <c r="Z36" i="257"/>
  <c r="Z28" i="257"/>
  <c r="Z20" i="257"/>
  <c r="Z79" i="257"/>
  <c r="Z23" i="257"/>
  <c r="Z82" i="257"/>
  <c r="Z34" i="257"/>
  <c r="Z26" i="257"/>
  <c r="Z18" i="257"/>
  <c r="Z35" i="257"/>
  <c r="Z81" i="257"/>
  <c r="AA81" i="257" s="1"/>
  <c r="AB81" i="257" s="1"/>
  <c r="Z33" i="257"/>
  <c r="Z25" i="257"/>
  <c r="Z17" i="257"/>
  <c r="Z19" i="257"/>
  <c r="C8" i="328"/>
  <c r="E8" i="328" s="1"/>
  <c r="C824" i="328"/>
  <c r="E824" i="328" s="1"/>
  <c r="C790" i="328"/>
  <c r="E790" i="328" s="1"/>
  <c r="AJ27" i="108"/>
  <c r="AK36" i="108"/>
  <c r="AW36" i="108" s="1"/>
  <c r="AK25" i="108"/>
  <c r="AW25" i="108" s="1"/>
  <c r="AJ29" i="108"/>
  <c r="L51" i="108"/>
  <c r="AK50" i="108"/>
  <c r="AW50" i="108" s="1"/>
  <c r="AK19" i="108"/>
  <c r="AW19" i="108" s="1"/>
  <c r="AK21" i="108"/>
  <c r="AW21" i="108" s="1"/>
  <c r="AK13" i="108"/>
  <c r="AW13" i="108" s="1"/>
  <c r="AJ45" i="108"/>
  <c r="AJ44" i="108" s="1"/>
  <c r="Z67" i="312"/>
  <c r="O155" i="31"/>
  <c r="I1218" i="328" s="1"/>
  <c r="K1218" i="328" s="1"/>
  <c r="O177" i="31"/>
  <c r="I1405" i="328" s="1"/>
  <c r="K1405" i="328" s="1"/>
  <c r="O172" i="31"/>
  <c r="C1371" i="328" s="1"/>
  <c r="E1371" i="328" s="1"/>
  <c r="Z165" i="31"/>
  <c r="Z74" i="312"/>
  <c r="Z66" i="312"/>
  <c r="Z73" i="312"/>
  <c r="Z65" i="312"/>
  <c r="Z63" i="312"/>
  <c r="Z168" i="31"/>
  <c r="Z164" i="31"/>
  <c r="Z17" i="31"/>
  <c r="I13" i="334" s="1"/>
  <c r="J13" i="334" s="1"/>
  <c r="Z16" i="31"/>
  <c r="I12" i="334" s="1"/>
  <c r="G132" i="334"/>
  <c r="J132" i="334" s="1"/>
  <c r="M132" i="334" s="1"/>
  <c r="T136" i="31"/>
  <c r="C1068" i="328" s="1"/>
  <c r="E1068" i="328" s="1"/>
  <c r="E1073" i="328" s="1"/>
  <c r="Q177" i="31"/>
  <c r="C1271" i="328"/>
  <c r="E1271" i="328" s="1"/>
  <c r="S160" i="31"/>
  <c r="Z160" i="31" s="1"/>
  <c r="I1288" i="328"/>
  <c r="K1288" i="328" s="1"/>
  <c r="K1294" i="328" s="1"/>
  <c r="S163" i="31"/>
  <c r="Z163" i="31" s="1"/>
  <c r="C1288" i="328"/>
  <c r="E1288" i="328" s="1"/>
  <c r="S162" i="31"/>
  <c r="Z162" i="31" s="1"/>
  <c r="I1237" i="328"/>
  <c r="K1237" i="328" s="1"/>
  <c r="S157" i="31"/>
  <c r="Z157" i="31" s="1"/>
  <c r="C1237" i="328"/>
  <c r="E1237" i="328" s="1"/>
  <c r="S156" i="31"/>
  <c r="I1254" i="328"/>
  <c r="K1254" i="328" s="1"/>
  <c r="S159" i="31"/>
  <c r="Z159" i="31" s="1"/>
  <c r="C1254" i="328"/>
  <c r="E1254" i="328" s="1"/>
  <c r="S158" i="31"/>
  <c r="G126" i="334"/>
  <c r="J126" i="334" s="1"/>
  <c r="M126" i="334" s="1"/>
  <c r="T130" i="31"/>
  <c r="C1017" i="328" s="1"/>
  <c r="E1017" i="328" s="1"/>
  <c r="E1022" i="328" s="1"/>
  <c r="C1356" i="328"/>
  <c r="E1356" i="328" s="1"/>
  <c r="E1362" i="328" s="1"/>
  <c r="S170" i="31"/>
  <c r="Z170" i="31" s="1"/>
  <c r="G122" i="334"/>
  <c r="J122" i="334" s="1"/>
  <c r="M122" i="334" s="1"/>
  <c r="T126" i="31"/>
  <c r="C983" i="328" s="1"/>
  <c r="E983" i="328" s="1"/>
  <c r="E988" i="328" s="1"/>
  <c r="AL169" i="231"/>
  <c r="I1322" i="328"/>
  <c r="K1322" i="328" s="1"/>
  <c r="S167" i="31"/>
  <c r="Z167" i="31" s="1"/>
  <c r="C1322" i="328"/>
  <c r="E1322" i="328" s="1"/>
  <c r="E1328" i="328" s="1"/>
  <c r="S166" i="31"/>
  <c r="Z166" i="31" s="1"/>
  <c r="I12" i="328"/>
  <c r="K12" i="328" s="1"/>
  <c r="C556" i="328"/>
  <c r="E556" i="328" s="1"/>
  <c r="C80" i="328"/>
  <c r="E80" i="328" s="1"/>
  <c r="I97" i="328"/>
  <c r="K97" i="328" s="1"/>
  <c r="C590" i="328"/>
  <c r="E590" i="328" s="1"/>
  <c r="C114" i="328"/>
  <c r="E114" i="328" s="1"/>
  <c r="I624" i="328"/>
  <c r="K624" i="328" s="1"/>
  <c r="I182" i="328"/>
  <c r="K182" i="328" s="1"/>
  <c r="I46" i="328"/>
  <c r="K46" i="328" s="1"/>
  <c r="I607" i="328"/>
  <c r="K607" i="328" s="1"/>
  <c r="C573" i="328"/>
  <c r="E573" i="328" s="1"/>
  <c r="C97" i="328"/>
  <c r="E97" i="328" s="1"/>
  <c r="I556" i="328"/>
  <c r="K556" i="328" s="1"/>
  <c r="I80" i="328"/>
  <c r="K80" i="328" s="1"/>
  <c r="I539" i="328"/>
  <c r="K539" i="328" s="1"/>
  <c r="C607" i="328"/>
  <c r="E607" i="328" s="1"/>
  <c r="C131" i="328"/>
  <c r="E131" i="328" s="1"/>
  <c r="J65" i="334"/>
  <c r="O65" i="334" s="1"/>
  <c r="I450" i="328"/>
  <c r="K450" i="328" s="1"/>
  <c r="J58" i="334"/>
  <c r="M58" i="334" s="1"/>
  <c r="C399" i="328"/>
  <c r="E399" i="328" s="1"/>
  <c r="J56" i="334"/>
  <c r="O56" i="334" s="1"/>
  <c r="C382" i="328"/>
  <c r="E382" i="328" s="1"/>
  <c r="J47" i="334"/>
  <c r="M47" i="334" s="1"/>
  <c r="I297" i="328"/>
  <c r="K297" i="328" s="1"/>
  <c r="J46" i="334"/>
  <c r="O46" i="334" s="1"/>
  <c r="C297" i="328"/>
  <c r="E297" i="328" s="1"/>
  <c r="J53" i="334"/>
  <c r="O53" i="334" s="1"/>
  <c r="I348" i="328"/>
  <c r="K348" i="328" s="1"/>
  <c r="J66" i="334"/>
  <c r="O66" i="334" s="1"/>
  <c r="C467" i="328"/>
  <c r="E467" i="328" s="1"/>
  <c r="J60" i="334"/>
  <c r="O60" i="334" s="1"/>
  <c r="C416" i="328"/>
  <c r="E416" i="328" s="1"/>
  <c r="C589" i="328"/>
  <c r="E589" i="328" s="1"/>
  <c r="C181" i="328"/>
  <c r="E181" i="328" s="1"/>
  <c r="C113" i="328"/>
  <c r="E113" i="328" s="1"/>
  <c r="C45" i="328"/>
  <c r="E45" i="328" s="1"/>
  <c r="I555" i="328"/>
  <c r="K555" i="328" s="1"/>
  <c r="I79" i="328"/>
  <c r="K79" i="328" s="1"/>
  <c r="I535" i="328"/>
  <c r="K535" i="328" s="1"/>
  <c r="I127" i="328"/>
  <c r="K127" i="328" s="1"/>
  <c r="I59" i="328"/>
  <c r="K59" i="328" s="1"/>
  <c r="I181" i="328"/>
  <c r="K181" i="328" s="1"/>
  <c r="C572" i="328"/>
  <c r="E572" i="328" s="1"/>
  <c r="C164" i="328"/>
  <c r="E164" i="328" s="1"/>
  <c r="C96" i="328"/>
  <c r="E96" i="328" s="1"/>
  <c r="J57" i="334"/>
  <c r="O57" i="334" s="1"/>
  <c r="I382" i="328"/>
  <c r="K382" i="328" s="1"/>
  <c r="J71" i="334"/>
  <c r="M71" i="334" s="1"/>
  <c r="I501" i="328"/>
  <c r="K501" i="328" s="1"/>
  <c r="J39" i="334"/>
  <c r="M39" i="334" s="1"/>
  <c r="I229" i="328"/>
  <c r="K229" i="328" s="1"/>
  <c r="J35" i="334"/>
  <c r="M35" i="334" s="1"/>
  <c r="I195" i="328"/>
  <c r="K195" i="328" s="1"/>
  <c r="J70" i="334"/>
  <c r="O70" i="334" s="1"/>
  <c r="C501" i="328"/>
  <c r="E501" i="328" s="1"/>
  <c r="J38" i="334"/>
  <c r="O38" i="334" s="1"/>
  <c r="C229" i="328"/>
  <c r="E229" i="328" s="1"/>
  <c r="J67" i="334"/>
  <c r="O67" i="334" s="1"/>
  <c r="I467" i="328"/>
  <c r="K467" i="328" s="1"/>
  <c r="J45" i="334"/>
  <c r="M45" i="334" s="1"/>
  <c r="I280" i="328"/>
  <c r="K280" i="328" s="1"/>
  <c r="J52" i="334"/>
  <c r="O52" i="334" s="1"/>
  <c r="C348" i="328"/>
  <c r="E348" i="328" s="1"/>
  <c r="C586" i="328"/>
  <c r="E586" i="328" s="1"/>
  <c r="C178" i="328"/>
  <c r="E178" i="328" s="1"/>
  <c r="C110" i="328"/>
  <c r="E110" i="328" s="1"/>
  <c r="C42" i="328"/>
  <c r="E42" i="328" s="1"/>
  <c r="I552" i="328"/>
  <c r="K552" i="328" s="1"/>
  <c r="I76" i="328"/>
  <c r="K76" i="328" s="1"/>
  <c r="I178" i="328"/>
  <c r="K178" i="328" s="1"/>
  <c r="I8" i="328"/>
  <c r="K8" i="328" s="1"/>
  <c r="C569" i="328"/>
  <c r="E569" i="328" s="1"/>
  <c r="C161" i="328"/>
  <c r="E161" i="328" s="1"/>
  <c r="C93" i="328"/>
  <c r="E93" i="328" s="1"/>
  <c r="C25" i="328"/>
  <c r="E25" i="328" s="1"/>
  <c r="C1338" i="328"/>
  <c r="E1338" i="328" s="1"/>
  <c r="I1321" i="328"/>
  <c r="K1321" i="328" s="1"/>
  <c r="J49" i="334"/>
  <c r="O49" i="334" s="1"/>
  <c r="I314" i="328"/>
  <c r="K314" i="328" s="1"/>
  <c r="J72" i="334"/>
  <c r="O72" i="334" s="1"/>
  <c r="C518" i="328"/>
  <c r="E518" i="328" s="1"/>
  <c r="J40" i="334"/>
  <c r="O40" i="334" s="1"/>
  <c r="C246" i="328"/>
  <c r="E246" i="328" s="1"/>
  <c r="J51" i="334"/>
  <c r="M51" i="334" s="1"/>
  <c r="I331" i="328"/>
  <c r="K331" i="328" s="1"/>
  <c r="J63" i="334"/>
  <c r="M63" i="334" s="1"/>
  <c r="I433" i="328"/>
  <c r="K433" i="328" s="1"/>
  <c r="J62" i="334"/>
  <c r="M62" i="334" s="1"/>
  <c r="C433" i="328"/>
  <c r="E433" i="328" s="1"/>
  <c r="J69" i="334"/>
  <c r="O69" i="334" s="1"/>
  <c r="I484" i="328"/>
  <c r="K484" i="328" s="1"/>
  <c r="J37" i="334"/>
  <c r="O37" i="334" s="1"/>
  <c r="I212" i="328"/>
  <c r="K212" i="328" s="1"/>
  <c r="J44" i="334"/>
  <c r="O44" i="334" s="1"/>
  <c r="C280" i="328"/>
  <c r="E280" i="328" s="1"/>
  <c r="C624" i="328"/>
  <c r="E624" i="328" s="1"/>
  <c r="C148" i="328"/>
  <c r="E148" i="328" s="1"/>
  <c r="I131" i="328"/>
  <c r="K131" i="328" s="1"/>
  <c r="I63" i="328"/>
  <c r="K63" i="328" s="1"/>
  <c r="C165" i="328"/>
  <c r="E165" i="328" s="1"/>
  <c r="C29" i="328"/>
  <c r="E29" i="328" s="1"/>
  <c r="I590" i="328"/>
  <c r="K590" i="328" s="1"/>
  <c r="I114" i="328"/>
  <c r="K114" i="328" s="1"/>
  <c r="I569" i="328"/>
  <c r="K569" i="328" s="1"/>
  <c r="I161" i="328"/>
  <c r="K161" i="328" s="1"/>
  <c r="I93" i="328"/>
  <c r="K93" i="328" s="1"/>
  <c r="I25" i="328"/>
  <c r="K25" i="328" s="1"/>
  <c r="J48" i="334"/>
  <c r="M48" i="334" s="1"/>
  <c r="C314" i="328"/>
  <c r="E314" i="328" s="1"/>
  <c r="J73" i="334"/>
  <c r="M73" i="334" s="1"/>
  <c r="I518" i="328"/>
  <c r="K518" i="328" s="1"/>
  <c r="J41" i="334"/>
  <c r="M41" i="334" s="1"/>
  <c r="I246" i="328"/>
  <c r="K246" i="328" s="1"/>
  <c r="J59" i="334"/>
  <c r="M59" i="334" s="1"/>
  <c r="I399" i="328"/>
  <c r="K399" i="328" s="1"/>
  <c r="J64" i="334"/>
  <c r="M64" i="334" s="1"/>
  <c r="C450" i="328"/>
  <c r="E450" i="328" s="1"/>
  <c r="J50" i="334"/>
  <c r="O50" i="334" s="1"/>
  <c r="C331" i="328"/>
  <c r="E331" i="328" s="1"/>
  <c r="J55" i="334"/>
  <c r="M55" i="334" s="1"/>
  <c r="I365" i="328"/>
  <c r="K365" i="328" s="1"/>
  <c r="J42" i="334"/>
  <c r="M42" i="334" s="1"/>
  <c r="C263" i="328"/>
  <c r="E263" i="328" s="1"/>
  <c r="J54" i="334"/>
  <c r="O54" i="334" s="1"/>
  <c r="C365" i="328"/>
  <c r="E365" i="328" s="1"/>
  <c r="J74" i="334"/>
  <c r="M74" i="334" s="1"/>
  <c r="C535" i="328"/>
  <c r="E535" i="328" s="1"/>
  <c r="J61" i="334"/>
  <c r="O61" i="334" s="1"/>
  <c r="I416" i="328"/>
  <c r="K416" i="328" s="1"/>
  <c r="J43" i="334"/>
  <c r="M43" i="334" s="1"/>
  <c r="I263" i="328"/>
  <c r="K263" i="328" s="1"/>
  <c r="J68" i="334"/>
  <c r="M68" i="334" s="1"/>
  <c r="C484" i="328"/>
  <c r="E484" i="328" s="1"/>
  <c r="J36" i="334"/>
  <c r="M36" i="334" s="1"/>
  <c r="C212" i="328"/>
  <c r="E212" i="328" s="1"/>
  <c r="C182" i="328"/>
  <c r="E182" i="328" s="1"/>
  <c r="C46" i="328"/>
  <c r="E46" i="328" s="1"/>
  <c r="I573" i="328"/>
  <c r="K573" i="328" s="1"/>
  <c r="I165" i="328"/>
  <c r="K165" i="328" s="1"/>
  <c r="C199" i="328"/>
  <c r="E199" i="328" s="1"/>
  <c r="C63" i="328"/>
  <c r="E63" i="328" s="1"/>
  <c r="I148" i="328"/>
  <c r="K148" i="328" s="1"/>
  <c r="I29" i="328"/>
  <c r="K29" i="328" s="1"/>
  <c r="C552" i="328"/>
  <c r="E552" i="328" s="1"/>
  <c r="C144" i="328"/>
  <c r="E144" i="328" s="1"/>
  <c r="C76" i="328"/>
  <c r="E76" i="328" s="1"/>
  <c r="I586" i="328"/>
  <c r="K586" i="328" s="1"/>
  <c r="I144" i="328"/>
  <c r="K144" i="328" s="1"/>
  <c r="I42" i="328"/>
  <c r="K42" i="328" s="1"/>
  <c r="I538" i="328"/>
  <c r="K538" i="328" s="1"/>
  <c r="I130" i="328"/>
  <c r="K130" i="328" s="1"/>
  <c r="I62" i="328"/>
  <c r="K62" i="328" s="1"/>
  <c r="I110" i="328"/>
  <c r="K110" i="328" s="1"/>
  <c r="C603" i="328"/>
  <c r="E603" i="328" s="1"/>
  <c r="C195" i="328"/>
  <c r="E195" i="328" s="1"/>
  <c r="C127" i="328"/>
  <c r="E127" i="328" s="1"/>
  <c r="C59" i="328"/>
  <c r="E59" i="328" s="1"/>
  <c r="I1253" i="328"/>
  <c r="K1253" i="328" s="1"/>
  <c r="C756" i="328"/>
  <c r="E756" i="328" s="1"/>
  <c r="C773" i="328"/>
  <c r="E773" i="328" s="1"/>
  <c r="C807" i="328"/>
  <c r="E807" i="328" s="1"/>
  <c r="C1250" i="328"/>
  <c r="E1250" i="328" s="1"/>
  <c r="C1253" i="328"/>
  <c r="E1253" i="328" s="1"/>
  <c r="I1233" i="328"/>
  <c r="K1233" i="328" s="1"/>
  <c r="C1233" i="328"/>
  <c r="E1233" i="328" s="1"/>
  <c r="C1236" i="328"/>
  <c r="E1236" i="328" s="1"/>
  <c r="I1403" i="328"/>
  <c r="K1403" i="328" s="1"/>
  <c r="I1406" i="328"/>
  <c r="K1406" i="328" s="1"/>
  <c r="C1369" i="328"/>
  <c r="E1369" i="328" s="1"/>
  <c r="I827" i="328"/>
  <c r="K827" i="328" s="1"/>
  <c r="I776" i="328"/>
  <c r="K776" i="328" s="1"/>
  <c r="I810" i="328"/>
  <c r="K810" i="328" s="1"/>
  <c r="I759" i="328"/>
  <c r="K759" i="328" s="1"/>
  <c r="I793" i="328"/>
  <c r="K793" i="328" s="1"/>
  <c r="I11" i="328"/>
  <c r="K11" i="328" s="1"/>
  <c r="C827" i="328"/>
  <c r="E827" i="328" s="1"/>
  <c r="C759" i="328"/>
  <c r="E759" i="328" s="1"/>
  <c r="C793" i="328"/>
  <c r="E793" i="328" s="1"/>
  <c r="C810" i="328"/>
  <c r="E810" i="328" s="1"/>
  <c r="C11" i="328"/>
  <c r="E11" i="328" s="1"/>
  <c r="C776" i="328"/>
  <c r="E776" i="328" s="1"/>
  <c r="C13" i="328"/>
  <c r="E13" i="328" s="1"/>
  <c r="C812" i="328"/>
  <c r="E812" i="328" s="1"/>
  <c r="C829" i="328"/>
  <c r="E829" i="328" s="1"/>
  <c r="C795" i="328"/>
  <c r="E795" i="328" s="1"/>
  <c r="C778" i="328"/>
  <c r="E778" i="328" s="1"/>
  <c r="C761" i="328"/>
  <c r="E761" i="328" s="1"/>
  <c r="AC51" i="108"/>
  <c r="V104" i="321"/>
  <c r="AJ37" i="108"/>
  <c r="AJ24" i="108"/>
  <c r="AH381" i="307"/>
  <c r="X104" i="321"/>
  <c r="J22" i="334"/>
  <c r="AA80" i="257"/>
  <c r="AB80" i="257" s="1"/>
  <c r="J82" i="334"/>
  <c r="J30" i="334"/>
  <c r="J26" i="334"/>
  <c r="J29" i="334"/>
  <c r="J25" i="334"/>
  <c r="AA79" i="257"/>
  <c r="AB79" i="257" s="1"/>
  <c r="C12" i="328"/>
  <c r="J76" i="334"/>
  <c r="J24" i="334"/>
  <c r="J20" i="334"/>
  <c r="J16" i="334"/>
  <c r="C10" i="328"/>
  <c r="E10" i="328" s="1"/>
  <c r="J75" i="334"/>
  <c r="J31" i="334"/>
  <c r="J19" i="334"/>
  <c r="J15" i="334"/>
  <c r="C1287" i="328"/>
  <c r="E1287" i="328" s="1"/>
  <c r="C1368" i="328"/>
  <c r="E1368" i="328" s="1"/>
  <c r="I1215" i="328"/>
  <c r="K1215" i="328" s="1"/>
  <c r="C1270" i="328"/>
  <c r="E1270" i="328" s="1"/>
  <c r="I1402" i="328"/>
  <c r="K1402" i="328" s="1"/>
  <c r="T110" i="31"/>
  <c r="G106" i="334"/>
  <c r="AA110" i="31"/>
  <c r="C7" i="328"/>
  <c r="E7" i="328" s="1"/>
  <c r="I794" i="328"/>
  <c r="K794" i="328" s="1"/>
  <c r="I777" i="328"/>
  <c r="K777" i="328" s="1"/>
  <c r="I828" i="328"/>
  <c r="K828" i="328" s="1"/>
  <c r="I760" i="328"/>
  <c r="K760" i="328" s="1"/>
  <c r="I811" i="328"/>
  <c r="K811" i="328" s="1"/>
  <c r="S77" i="312"/>
  <c r="Z77" i="312" s="1"/>
  <c r="S60" i="312"/>
  <c r="S155" i="31" s="1"/>
  <c r="S82" i="312"/>
  <c r="Z82" i="312" s="1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755" i="328"/>
  <c r="E755" i="328" s="1"/>
  <c r="AP169" i="231"/>
  <c r="AQ169" i="231"/>
  <c r="C806" i="328"/>
  <c r="E806" i="328" s="1"/>
  <c r="C772" i="328"/>
  <c r="E772" i="328" s="1"/>
  <c r="C823" i="328"/>
  <c r="E823" i="328" s="1"/>
  <c r="C789" i="328"/>
  <c r="E789" i="328" s="1"/>
  <c r="I790" i="328"/>
  <c r="K790" i="328" s="1"/>
  <c r="I824" i="328"/>
  <c r="K824" i="328" s="1"/>
  <c r="I807" i="328"/>
  <c r="K807" i="328" s="1"/>
  <c r="I773" i="328"/>
  <c r="K773" i="328" s="1"/>
  <c r="I756" i="328"/>
  <c r="K756" i="328" s="1"/>
  <c r="Q90" i="312"/>
  <c r="O13" i="333" s="1"/>
  <c r="T60" i="312"/>
  <c r="AA104" i="321"/>
  <c r="Z104" i="321"/>
  <c r="P60" i="312"/>
  <c r="P155" i="31" s="1"/>
  <c r="W104" i="321"/>
  <c r="O90" i="312"/>
  <c r="M13" i="333" s="1"/>
  <c r="AA130" i="31"/>
  <c r="AC130" i="31" s="1"/>
  <c r="AA126" i="31"/>
  <c r="AC126" i="31" s="1"/>
  <c r="AA136" i="31"/>
  <c r="AC136" i="31" s="1"/>
  <c r="M2576" i="289"/>
  <c r="AN169" i="231"/>
  <c r="AK48" i="108"/>
  <c r="AW48" i="108" s="1"/>
  <c r="AK11" i="307"/>
  <c r="AK10" i="307" s="1"/>
  <c r="AK445" i="307" s="1"/>
  <c r="AD10" i="307"/>
  <c r="AD445" i="307" s="1"/>
  <c r="AJ22" i="108"/>
  <c r="AO10" i="307"/>
  <c r="AO445" i="307" s="1"/>
  <c r="W51" i="108"/>
  <c r="Y185" i="31"/>
  <c r="AM169" i="231"/>
  <c r="G21" i="263"/>
  <c r="G101" i="261"/>
  <c r="F21" i="263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AR97" i="231"/>
  <c r="AA55" i="31"/>
  <c r="AC55" i="31" s="1"/>
  <c r="AA50" i="31"/>
  <c r="AC50" i="31" s="1"/>
  <c r="AA67" i="31"/>
  <c r="AC67" i="31" s="1"/>
  <c r="AR12" i="231"/>
  <c r="AA45" i="31"/>
  <c r="AC45" i="31" s="1"/>
  <c r="AA46" i="31"/>
  <c r="AC46" i="31" s="1"/>
  <c r="AA68" i="31"/>
  <c r="AC68" i="31" s="1"/>
  <c r="AA53" i="31"/>
  <c r="AC53" i="31" s="1"/>
  <c r="AA59" i="31"/>
  <c r="AC59" i="31" s="1"/>
  <c r="AA74" i="31"/>
  <c r="AC74" i="31" s="1"/>
  <c r="AA60" i="31"/>
  <c r="AC60" i="31" s="1"/>
  <c r="AA72" i="31"/>
  <c r="AC72" i="31" s="1"/>
  <c r="AA76" i="31"/>
  <c r="AC76" i="31" s="1"/>
  <c r="G78" i="262"/>
  <c r="F78" i="262"/>
  <c r="F25" i="258"/>
  <c r="F21" i="266"/>
  <c r="G85" i="264"/>
  <c r="G21" i="266"/>
  <c r="AA73" i="257"/>
  <c r="AB73" i="257" s="1"/>
  <c r="AB10" i="307"/>
  <c r="AB445" i="307" s="1"/>
  <c r="T51" i="108"/>
  <c r="AB51" i="108"/>
  <c r="X51" i="108"/>
  <c r="AH114" i="307"/>
  <c r="U51" i="108"/>
  <c r="AJ20" i="108"/>
  <c r="AE51" i="108"/>
  <c r="AJ38" i="108"/>
  <c r="AJ31" i="108" s="1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3185" i="229"/>
  <c r="D3185" i="229" s="1"/>
  <c r="G162" i="31"/>
  <c r="G134" i="31"/>
  <c r="G120" i="31"/>
  <c r="G161" i="31"/>
  <c r="G125" i="31"/>
  <c r="G133" i="31"/>
  <c r="G117" i="31"/>
  <c r="G128" i="31"/>
  <c r="AA51" i="257"/>
  <c r="AB51" i="257" s="1"/>
  <c r="AA72" i="257"/>
  <c r="AB72" i="257" s="1"/>
  <c r="AA63" i="257"/>
  <c r="AB63" i="257" s="1"/>
  <c r="AA69" i="257"/>
  <c r="AB69" i="257" s="1"/>
  <c r="AA62" i="257"/>
  <c r="AB62" i="257" s="1"/>
  <c r="AA77" i="257"/>
  <c r="AB77" i="257" s="1"/>
  <c r="AA49" i="257"/>
  <c r="AB49" i="257" s="1"/>
  <c r="AA74" i="257"/>
  <c r="AB74" i="257" s="1"/>
  <c r="AA40" i="257"/>
  <c r="AB40" i="257" s="1"/>
  <c r="AA66" i="257"/>
  <c r="AB66" i="257" s="1"/>
  <c r="AA54" i="257"/>
  <c r="AB54" i="257" s="1"/>
  <c r="AA50" i="257"/>
  <c r="AB50" i="257" s="1"/>
  <c r="AA47" i="257"/>
  <c r="AB47" i="257" s="1"/>
  <c r="AA65" i="257"/>
  <c r="AB65" i="257" s="1"/>
  <c r="AA46" i="257"/>
  <c r="AB46" i="257" s="1"/>
  <c r="AA55" i="257"/>
  <c r="AB55" i="257" s="1"/>
  <c r="AA44" i="257"/>
  <c r="AB44" i="257" s="1"/>
  <c r="AA70" i="257"/>
  <c r="AB70" i="257" s="1"/>
  <c r="AA57" i="257"/>
  <c r="AB57" i="257" s="1"/>
  <c r="AA56" i="257"/>
  <c r="AB56" i="257" s="1"/>
  <c r="AA53" i="257"/>
  <c r="AB53" i="257" s="1"/>
  <c r="AA52" i="257"/>
  <c r="AB52" i="257" s="1"/>
  <c r="AA45" i="257"/>
  <c r="AB45" i="257" s="1"/>
  <c r="AA48" i="257"/>
  <c r="AB48" i="257" s="1"/>
  <c r="AA43" i="257"/>
  <c r="AB43" i="257" s="1"/>
  <c r="AA42" i="257"/>
  <c r="AB42" i="257" s="1"/>
  <c r="AA41" i="257"/>
  <c r="AB41" i="257" s="1"/>
  <c r="AA59" i="257"/>
  <c r="AB59" i="257" s="1"/>
  <c r="AA60" i="257"/>
  <c r="AB60" i="257" s="1"/>
  <c r="U160" i="257"/>
  <c r="AA68" i="257"/>
  <c r="AB68" i="257" s="1"/>
  <c r="AA71" i="257"/>
  <c r="AB71" i="257" s="1"/>
  <c r="AA58" i="257"/>
  <c r="AB58" i="257" s="1"/>
  <c r="AA67" i="257"/>
  <c r="AB67" i="257" s="1"/>
  <c r="AA64" i="257"/>
  <c r="AB64" i="257" s="1"/>
  <c r="AA61" i="257"/>
  <c r="AB61" i="257" s="1"/>
  <c r="AA75" i="257"/>
  <c r="AB75" i="257" s="1"/>
  <c r="AA76" i="257"/>
  <c r="AB76" i="257" s="1"/>
  <c r="G118" i="31"/>
  <c r="G112" i="31"/>
  <c r="E18" i="283"/>
  <c r="G18" i="283" s="1"/>
  <c r="H18" i="283" s="1"/>
  <c r="E56" i="283"/>
  <c r="G56" i="283" s="1"/>
  <c r="H56" i="283" s="1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14" i="31"/>
  <c r="G132" i="31"/>
  <c r="G116" i="31"/>
  <c r="G119" i="31"/>
  <c r="G127" i="31"/>
  <c r="G16" i="31"/>
  <c r="G12" i="334" s="1"/>
  <c r="O10" i="307"/>
  <c r="O445" i="307" s="1"/>
  <c r="R11" i="307"/>
  <c r="G113" i="31"/>
  <c r="G159" i="31"/>
  <c r="G121" i="31"/>
  <c r="AJ451" i="278"/>
  <c r="AK311" i="278"/>
  <c r="AK451" i="278" s="1"/>
  <c r="J2552" i="289"/>
  <c r="L454" i="296"/>
  <c r="AK39" i="108"/>
  <c r="AW39" i="108" s="1"/>
  <c r="AA13" i="307"/>
  <c r="AA11" i="307" s="1"/>
  <c r="J2162" i="289"/>
  <c r="J2630" i="289" s="1"/>
  <c r="AA381" i="307"/>
  <c r="F15" i="265"/>
  <c r="S229" i="115"/>
  <c r="S10" i="115" s="1"/>
  <c r="G123" i="31"/>
  <c r="AE396" i="115"/>
  <c r="G111" i="31"/>
  <c r="AM10" i="247"/>
  <c r="AE30" i="115"/>
  <c r="AJ9" i="247"/>
  <c r="AJ29" i="247" s="1"/>
  <c r="G131" i="31"/>
  <c r="AH51" i="108"/>
  <c r="R302" i="307"/>
  <c r="G158" i="31"/>
  <c r="G122" i="31"/>
  <c r="G160" i="31"/>
  <c r="G124" i="31"/>
  <c r="R219" i="307"/>
  <c r="AA56" i="307"/>
  <c r="AE57" i="115"/>
  <c r="G184" i="31"/>
  <c r="G180" i="334" s="1"/>
  <c r="J180" i="334" s="1"/>
  <c r="M180" i="334" s="1"/>
  <c r="G115" i="31"/>
  <c r="M2162" i="289"/>
  <c r="M2630" i="289" s="1"/>
  <c r="AI448" i="252"/>
  <c r="O51" i="108"/>
  <c r="R114" i="307"/>
  <c r="AE316" i="115"/>
  <c r="G135" i="31"/>
  <c r="K454" i="296"/>
  <c r="AU304" i="307"/>
  <c r="R381" i="307"/>
  <c r="R56" i="307"/>
  <c r="G129" i="31"/>
  <c r="G157" i="31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35" i="283"/>
  <c r="E45" i="283"/>
  <c r="E32" i="235" s="1"/>
  <c r="AA463" i="115"/>
  <c r="E59" i="283"/>
  <c r="G59" i="283" s="1"/>
  <c r="H59" i="283" s="1"/>
  <c r="E17" i="283"/>
  <c r="G17" i="283" s="1"/>
  <c r="H17" i="283" s="1"/>
  <c r="E22" i="283"/>
  <c r="G22" i="283" s="1"/>
  <c r="H22" i="283" s="1"/>
  <c r="AB463" i="115"/>
  <c r="E36" i="283"/>
  <c r="E24" i="235" s="1"/>
  <c r="E23" i="283"/>
  <c r="G23" i="283" s="1"/>
  <c r="H23" i="283" s="1"/>
  <c r="E42" i="283"/>
  <c r="G42" i="283" s="1"/>
  <c r="H42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E31" i="283"/>
  <c r="G31" i="283" s="1"/>
  <c r="H31" i="283" s="1"/>
  <c r="E62" i="283"/>
  <c r="G62" i="283" s="1"/>
  <c r="H62" i="283" s="1"/>
  <c r="E64" i="283"/>
  <c r="G64" i="283" s="1"/>
  <c r="H64" i="283" s="1"/>
  <c r="E26" i="283"/>
  <c r="G26" i="283" s="1"/>
  <c r="H26" i="283" s="1"/>
  <c r="E58" i="283"/>
  <c r="G58" i="283" s="1"/>
  <c r="H58" i="283" s="1"/>
  <c r="K23" i="258"/>
  <c r="Z219" i="115"/>
  <c r="K79" i="264"/>
  <c r="N79" i="264" s="1"/>
  <c r="Z382" i="115"/>
  <c r="G11" i="290"/>
  <c r="AF29" i="264"/>
  <c r="AF55" i="264"/>
  <c r="AF32" i="264"/>
  <c r="AF33" i="264"/>
  <c r="AF58" i="264"/>
  <c r="AF43" i="264"/>
  <c r="AF60" i="264"/>
  <c r="AF53" i="264"/>
  <c r="AF78" i="264"/>
  <c r="AF30" i="264"/>
  <c r="AF79" i="264"/>
  <c r="AF15" i="264"/>
  <c r="AF56" i="264"/>
  <c r="AF73" i="264"/>
  <c r="AF82" i="264"/>
  <c r="AF18" i="264"/>
  <c r="AF67" i="264"/>
  <c r="AF20" i="264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F63" i="264"/>
  <c r="AF40" i="264"/>
  <c r="AF17" i="264"/>
  <c r="AF66" i="264"/>
  <c r="AF51" i="264"/>
  <c r="AF68" i="264"/>
  <c r="AF61" i="264"/>
  <c r="AF23" i="264"/>
  <c r="AF64" i="264"/>
  <c r="AF81" i="264"/>
  <c r="AF41" i="264"/>
  <c r="AF26" i="264"/>
  <c r="AF75" i="264"/>
  <c r="AF28" i="264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F74" i="264"/>
  <c r="AF59" i="264"/>
  <c r="AF76" i="264"/>
  <c r="AF69" i="264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AK44" i="108"/>
  <c r="AW45" i="108"/>
  <c r="AW47" i="108"/>
  <c r="AK31" i="108"/>
  <c r="AW31" i="108" s="1"/>
  <c r="C3182" i="229"/>
  <c r="D3182" i="229" s="1"/>
  <c r="AC79" i="264"/>
  <c r="C2817" i="288"/>
  <c r="D2817" i="288" s="1"/>
  <c r="O2621" i="289"/>
  <c r="O2622" i="289" s="1"/>
  <c r="D3183" i="229"/>
  <c r="D3188" i="229"/>
  <c r="C2816" i="288"/>
  <c r="D2816" i="288" s="1"/>
  <c r="G46" i="283"/>
  <c r="H46" i="283" s="1"/>
  <c r="E33" i="235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O58" i="334" l="1"/>
  <c r="AK11" i="108"/>
  <c r="AK46" i="108"/>
  <c r="AW46" i="108" s="1"/>
  <c r="Z60" i="312"/>
  <c r="AA60" i="312" s="1"/>
  <c r="Z155" i="31"/>
  <c r="Z158" i="31"/>
  <c r="I154" i="334" s="1"/>
  <c r="Z156" i="31"/>
  <c r="I152" i="334" s="1"/>
  <c r="J152" i="334" s="1"/>
  <c r="M152" i="334" s="1"/>
  <c r="M53" i="334"/>
  <c r="M60" i="334"/>
  <c r="O47" i="334"/>
  <c r="K1328" i="328"/>
  <c r="I155" i="334"/>
  <c r="M40" i="334"/>
  <c r="O39" i="334"/>
  <c r="M65" i="334"/>
  <c r="M46" i="334"/>
  <c r="I159" i="334"/>
  <c r="J159" i="334" s="1"/>
  <c r="M159" i="334" s="1"/>
  <c r="I163" i="334"/>
  <c r="J163" i="334" s="1"/>
  <c r="M163" i="334" s="1"/>
  <c r="I166" i="334"/>
  <c r="J166" i="334" s="1"/>
  <c r="M166" i="334" s="1"/>
  <c r="I162" i="334"/>
  <c r="J162" i="334" s="1"/>
  <c r="M162" i="334" s="1"/>
  <c r="M67" i="334"/>
  <c r="M66" i="334"/>
  <c r="M56" i="334"/>
  <c r="AJ11" i="108"/>
  <c r="AJ51" i="108" s="1"/>
  <c r="G156" i="334"/>
  <c r="T160" i="31"/>
  <c r="C1272" i="328" s="1"/>
  <c r="E1272" i="328" s="1"/>
  <c r="G109" i="334"/>
  <c r="J109" i="334" s="1"/>
  <c r="M109" i="334" s="1"/>
  <c r="T113" i="31"/>
  <c r="I864" i="328" s="1"/>
  <c r="K864" i="328" s="1"/>
  <c r="K869" i="328" s="1"/>
  <c r="G129" i="334"/>
  <c r="J129" i="334" s="1"/>
  <c r="M129" i="334" s="1"/>
  <c r="T133" i="31"/>
  <c r="I1034" i="328" s="1"/>
  <c r="K1034" i="328" s="1"/>
  <c r="K1039" i="328" s="1"/>
  <c r="G127" i="334"/>
  <c r="J127" i="334" s="1"/>
  <c r="M127" i="334" s="1"/>
  <c r="T131" i="31"/>
  <c r="I1017" i="328" s="1"/>
  <c r="K1017" i="328" s="1"/>
  <c r="K1022" i="328" s="1"/>
  <c r="G125" i="334"/>
  <c r="J125" i="334" s="1"/>
  <c r="M125" i="334" s="1"/>
  <c r="T129" i="31"/>
  <c r="I1000" i="328" s="1"/>
  <c r="K1000" i="328" s="1"/>
  <c r="K1005" i="328" s="1"/>
  <c r="G120" i="334"/>
  <c r="J120" i="334" s="1"/>
  <c r="M120" i="334" s="1"/>
  <c r="T124" i="31"/>
  <c r="C966" i="328" s="1"/>
  <c r="E966" i="328" s="1"/>
  <c r="E971" i="328" s="1"/>
  <c r="G119" i="334"/>
  <c r="J119" i="334" s="1"/>
  <c r="M119" i="334" s="1"/>
  <c r="T123" i="31"/>
  <c r="I949" i="328" s="1"/>
  <c r="K949" i="328" s="1"/>
  <c r="K954" i="328" s="1"/>
  <c r="G155" i="334"/>
  <c r="T159" i="31"/>
  <c r="I1255" i="328" s="1"/>
  <c r="K1255" i="328" s="1"/>
  <c r="K1260" i="328" s="1"/>
  <c r="G128" i="334"/>
  <c r="J128" i="334" s="1"/>
  <c r="M128" i="334" s="1"/>
  <c r="T132" i="31"/>
  <c r="C1034" i="328" s="1"/>
  <c r="E1034" i="328" s="1"/>
  <c r="E1039" i="328" s="1"/>
  <c r="G114" i="334"/>
  <c r="J114" i="334" s="1"/>
  <c r="M114" i="334" s="1"/>
  <c r="T118" i="31"/>
  <c r="C915" i="328" s="1"/>
  <c r="E915" i="328" s="1"/>
  <c r="E920" i="328" s="1"/>
  <c r="G113" i="334"/>
  <c r="J113" i="334" s="1"/>
  <c r="M113" i="334" s="1"/>
  <c r="T117" i="31"/>
  <c r="I898" i="328" s="1"/>
  <c r="K898" i="328" s="1"/>
  <c r="K903" i="328" s="1"/>
  <c r="G116" i="334"/>
  <c r="J116" i="334" s="1"/>
  <c r="M116" i="334" s="1"/>
  <c r="T120" i="31"/>
  <c r="C932" i="328" s="1"/>
  <c r="E932" i="328" s="1"/>
  <c r="E937" i="328" s="1"/>
  <c r="I1407" i="328"/>
  <c r="K1407" i="328" s="1"/>
  <c r="S177" i="31"/>
  <c r="Z177" i="31" s="1"/>
  <c r="G131" i="334"/>
  <c r="J131" i="334" s="1"/>
  <c r="M131" i="334" s="1"/>
  <c r="T135" i="31"/>
  <c r="I1051" i="328" s="1"/>
  <c r="K1051" i="328" s="1"/>
  <c r="K1056" i="328" s="1"/>
  <c r="G110" i="334"/>
  <c r="J110" i="334" s="1"/>
  <c r="M110" i="334" s="1"/>
  <c r="T114" i="31"/>
  <c r="C881" i="328" s="1"/>
  <c r="E881" i="328" s="1"/>
  <c r="E886" i="328" s="1"/>
  <c r="G130" i="334"/>
  <c r="J130" i="334" s="1"/>
  <c r="M130" i="334" s="1"/>
  <c r="T134" i="31"/>
  <c r="C1051" i="328" s="1"/>
  <c r="E1051" i="328" s="1"/>
  <c r="E1056" i="328" s="1"/>
  <c r="G115" i="334"/>
  <c r="J115" i="334" s="1"/>
  <c r="M115" i="334" s="1"/>
  <c r="T119" i="31"/>
  <c r="I915" i="328" s="1"/>
  <c r="K915" i="328" s="1"/>
  <c r="K920" i="328" s="1"/>
  <c r="G121" i="334"/>
  <c r="J121" i="334" s="1"/>
  <c r="M121" i="334" s="1"/>
  <c r="T125" i="31"/>
  <c r="I966" i="328" s="1"/>
  <c r="K966" i="328" s="1"/>
  <c r="K971" i="328" s="1"/>
  <c r="G158" i="334"/>
  <c r="T162" i="31"/>
  <c r="C1289" i="328" s="1"/>
  <c r="E1289" i="328" s="1"/>
  <c r="G123" i="334"/>
  <c r="J123" i="334" s="1"/>
  <c r="M123" i="334" s="1"/>
  <c r="T127" i="31"/>
  <c r="I983" i="328" s="1"/>
  <c r="K983" i="328" s="1"/>
  <c r="K988" i="328" s="1"/>
  <c r="G118" i="334"/>
  <c r="J118" i="334" s="1"/>
  <c r="M118" i="334" s="1"/>
  <c r="T122" i="31"/>
  <c r="C949" i="328" s="1"/>
  <c r="E949" i="328" s="1"/>
  <c r="E954" i="328" s="1"/>
  <c r="G107" i="334"/>
  <c r="J107" i="334" s="1"/>
  <c r="M107" i="334" s="1"/>
  <c r="T111" i="31"/>
  <c r="I847" i="328" s="1"/>
  <c r="K847" i="328" s="1"/>
  <c r="K852" i="328" s="1"/>
  <c r="G153" i="334"/>
  <c r="T157" i="31"/>
  <c r="I1238" i="328" s="1"/>
  <c r="K1238" i="328" s="1"/>
  <c r="G111" i="334"/>
  <c r="J111" i="334" s="1"/>
  <c r="M111" i="334" s="1"/>
  <c r="T115" i="31"/>
  <c r="I881" i="328" s="1"/>
  <c r="K881" i="328" s="1"/>
  <c r="K886" i="328" s="1"/>
  <c r="G154" i="334"/>
  <c r="T158" i="31"/>
  <c r="C1255" i="328" s="1"/>
  <c r="E1255" i="328" s="1"/>
  <c r="E1260" i="328" s="1"/>
  <c r="G117" i="334"/>
  <c r="J117" i="334" s="1"/>
  <c r="M117" i="334" s="1"/>
  <c r="T121" i="31"/>
  <c r="I932" i="328" s="1"/>
  <c r="K932" i="328" s="1"/>
  <c r="K937" i="328" s="1"/>
  <c r="G112" i="334"/>
  <c r="J112" i="334" s="1"/>
  <c r="M112" i="334" s="1"/>
  <c r="T116" i="31"/>
  <c r="C898" i="328" s="1"/>
  <c r="E898" i="328" s="1"/>
  <c r="E903" i="328" s="1"/>
  <c r="G108" i="334"/>
  <c r="J108" i="334" s="1"/>
  <c r="M108" i="334" s="1"/>
  <c r="T112" i="31"/>
  <c r="C864" i="328" s="1"/>
  <c r="E864" i="328" s="1"/>
  <c r="E869" i="328" s="1"/>
  <c r="G124" i="334"/>
  <c r="J124" i="334" s="1"/>
  <c r="M124" i="334" s="1"/>
  <c r="T128" i="31"/>
  <c r="C1000" i="328" s="1"/>
  <c r="E1000" i="328" s="1"/>
  <c r="E1005" i="328" s="1"/>
  <c r="G157" i="334"/>
  <c r="T161" i="31"/>
  <c r="I1272" i="328" s="1"/>
  <c r="K1272" i="328" s="1"/>
  <c r="C1373" i="328"/>
  <c r="E1373" i="328" s="1"/>
  <c r="S172" i="31"/>
  <c r="Z172" i="31" s="1"/>
  <c r="M70" i="334"/>
  <c r="M57" i="334"/>
  <c r="M52" i="334"/>
  <c r="O63" i="334"/>
  <c r="M44" i="334"/>
  <c r="M49" i="334"/>
  <c r="M69" i="334"/>
  <c r="M50" i="334"/>
  <c r="O59" i="334"/>
  <c r="O42" i="334"/>
  <c r="O73" i="334"/>
  <c r="O48" i="334"/>
  <c r="O36" i="334"/>
  <c r="O43" i="334"/>
  <c r="M54" i="334"/>
  <c r="O64" i="334"/>
  <c r="M72" i="334"/>
  <c r="M37" i="334"/>
  <c r="O51" i="334"/>
  <c r="M61" i="334"/>
  <c r="O55" i="334"/>
  <c r="O41" i="334"/>
  <c r="O62" i="334"/>
  <c r="O68" i="334"/>
  <c r="M38" i="334"/>
  <c r="O35" i="334"/>
  <c r="O71" i="334"/>
  <c r="O45" i="334"/>
  <c r="O74" i="334"/>
  <c r="T109" i="31"/>
  <c r="C847" i="328"/>
  <c r="E847" i="328" s="1"/>
  <c r="E852" i="328" s="1"/>
  <c r="I1476" i="328"/>
  <c r="K1476" i="328" s="1"/>
  <c r="K1481" i="328" s="1"/>
  <c r="C1372" i="328"/>
  <c r="E1372" i="328" s="1"/>
  <c r="I1236" i="328"/>
  <c r="K1236" i="328" s="1"/>
  <c r="T90" i="312"/>
  <c r="I153" i="334"/>
  <c r="I1216" i="328"/>
  <c r="K1216" i="328" s="1"/>
  <c r="Q79" i="264"/>
  <c r="AD79" i="264" s="1"/>
  <c r="AE79" i="264" s="1"/>
  <c r="K1413" i="328"/>
  <c r="I1339" i="328"/>
  <c r="K1339" i="328" s="1"/>
  <c r="K1345" i="328" s="1"/>
  <c r="C1339" i="328"/>
  <c r="E1339" i="328" s="1"/>
  <c r="E1345" i="328" s="1"/>
  <c r="I1271" i="328"/>
  <c r="K1271" i="328" s="1"/>
  <c r="I157" i="334"/>
  <c r="I1305" i="328"/>
  <c r="K1305" i="328" s="1"/>
  <c r="K1311" i="328" s="1"/>
  <c r="C1284" i="328"/>
  <c r="E1284" i="328" s="1"/>
  <c r="I158" i="334"/>
  <c r="I1220" i="328"/>
  <c r="K1220" i="328" s="1"/>
  <c r="C1305" i="328"/>
  <c r="E1305" i="328" s="1"/>
  <c r="E1311" i="328" s="1"/>
  <c r="I1356" i="328"/>
  <c r="K1356" i="328" s="1"/>
  <c r="K1362" i="328" s="1"/>
  <c r="C1267" i="328"/>
  <c r="E1267" i="328" s="1"/>
  <c r="I156" i="334"/>
  <c r="J106" i="334"/>
  <c r="M106" i="334" s="1"/>
  <c r="M34" i="334"/>
  <c r="O34" i="334"/>
  <c r="M31" i="334"/>
  <c r="O31" i="334"/>
  <c r="M33" i="334"/>
  <c r="O33" i="334"/>
  <c r="M75" i="334"/>
  <c r="O75" i="334"/>
  <c r="O78" i="334"/>
  <c r="M78" i="334"/>
  <c r="M77" i="334"/>
  <c r="O77" i="334"/>
  <c r="M25" i="334"/>
  <c r="O25" i="334"/>
  <c r="M18" i="334"/>
  <c r="O18" i="334"/>
  <c r="M30" i="334"/>
  <c r="O30" i="334"/>
  <c r="O22" i="334"/>
  <c r="M22" i="334"/>
  <c r="O14" i="334"/>
  <c r="M14" i="334"/>
  <c r="M27" i="334"/>
  <c r="O27" i="334"/>
  <c r="J12" i="334"/>
  <c r="O24" i="334"/>
  <c r="M24" i="334"/>
  <c r="O26" i="334"/>
  <c r="M26" i="334"/>
  <c r="O15" i="334"/>
  <c r="M15" i="334"/>
  <c r="M13" i="334"/>
  <c r="O13" i="334"/>
  <c r="O20" i="334"/>
  <c r="M20" i="334"/>
  <c r="O82" i="334"/>
  <c r="M82" i="334"/>
  <c r="O28" i="334"/>
  <c r="M28" i="334"/>
  <c r="M23" i="334"/>
  <c r="O23" i="334"/>
  <c r="M16" i="334"/>
  <c r="O16" i="334"/>
  <c r="O21" i="334"/>
  <c r="M21" i="334"/>
  <c r="M80" i="334"/>
  <c r="O80" i="334"/>
  <c r="M29" i="334"/>
  <c r="O29" i="334"/>
  <c r="M76" i="334"/>
  <c r="O76" i="334"/>
  <c r="O17" i="334"/>
  <c r="M17" i="334"/>
  <c r="M19" i="334"/>
  <c r="O19" i="334"/>
  <c r="O79" i="334"/>
  <c r="M79" i="334"/>
  <c r="O32" i="334"/>
  <c r="M32" i="334"/>
  <c r="AA82" i="312"/>
  <c r="AB82" i="312" s="1"/>
  <c r="Q109" i="31"/>
  <c r="AA16" i="31"/>
  <c r="K596" i="328"/>
  <c r="J81" i="334"/>
  <c r="E1243" i="328"/>
  <c r="U15" i="31"/>
  <c r="AR169" i="231"/>
  <c r="K562" i="328"/>
  <c r="K120" i="328"/>
  <c r="K154" i="328"/>
  <c r="K52" i="328"/>
  <c r="K69" i="328"/>
  <c r="K579" i="328"/>
  <c r="K35" i="328"/>
  <c r="K171" i="328"/>
  <c r="K188" i="328"/>
  <c r="K545" i="328"/>
  <c r="K86" i="328"/>
  <c r="K137" i="328"/>
  <c r="K103" i="328"/>
  <c r="C828" i="328"/>
  <c r="E828" i="328" s="1"/>
  <c r="E834" i="328" s="1"/>
  <c r="E290" i="328"/>
  <c r="E528" i="328"/>
  <c r="E511" i="328"/>
  <c r="C811" i="328"/>
  <c r="E811" i="328" s="1"/>
  <c r="E817" i="328" s="1"/>
  <c r="C794" i="328"/>
  <c r="E794" i="328" s="1"/>
  <c r="E800" i="328" s="1"/>
  <c r="C777" i="328"/>
  <c r="E777" i="328" s="1"/>
  <c r="E783" i="328" s="1"/>
  <c r="E545" i="328"/>
  <c r="E273" i="328"/>
  <c r="E239" i="328"/>
  <c r="E324" i="328"/>
  <c r="E375" i="328"/>
  <c r="E222" i="328"/>
  <c r="C760" i="328"/>
  <c r="E760" i="328" s="1"/>
  <c r="E766" i="328" s="1"/>
  <c r="E460" i="328"/>
  <c r="E358" i="328"/>
  <c r="E307" i="328"/>
  <c r="E392" i="328"/>
  <c r="E256" i="328"/>
  <c r="E426" i="328"/>
  <c r="E341" i="328"/>
  <c r="E494" i="328"/>
  <c r="E409" i="328"/>
  <c r="E443" i="328"/>
  <c r="E477" i="328"/>
  <c r="E12" i="328"/>
  <c r="E18" i="328" s="1"/>
  <c r="K460" i="328"/>
  <c r="K358" i="328"/>
  <c r="I772" i="328"/>
  <c r="K772" i="328" s="1"/>
  <c r="K783" i="328" s="1"/>
  <c r="I755" i="328"/>
  <c r="K755" i="328" s="1"/>
  <c r="K766" i="328" s="1"/>
  <c r="K511" i="328"/>
  <c r="K477" i="328"/>
  <c r="K443" i="328"/>
  <c r="K409" i="328"/>
  <c r="K375" i="328"/>
  <c r="K494" i="328"/>
  <c r="K324" i="328"/>
  <c r="K392" i="328"/>
  <c r="K256" i="328"/>
  <c r="K273" i="328"/>
  <c r="K528" i="328"/>
  <c r="K415" i="328"/>
  <c r="K426" i="328" s="1"/>
  <c r="I823" i="328"/>
  <c r="K823" i="328" s="1"/>
  <c r="K834" i="328" s="1"/>
  <c r="I806" i="328"/>
  <c r="K806" i="328" s="1"/>
  <c r="K817" i="328" s="1"/>
  <c r="K205" i="328"/>
  <c r="K222" i="328"/>
  <c r="K307" i="328"/>
  <c r="K239" i="328"/>
  <c r="I789" i="328"/>
  <c r="K789" i="328" s="1"/>
  <c r="K800" i="328" s="1"/>
  <c r="K290" i="328"/>
  <c r="K341" i="328"/>
  <c r="K7" i="328"/>
  <c r="K18" i="328" s="1"/>
  <c r="S90" i="312"/>
  <c r="Q13" i="333" s="1"/>
  <c r="P90" i="312"/>
  <c r="N13" i="333" s="1"/>
  <c r="AA135" i="31"/>
  <c r="AC135" i="31" s="1"/>
  <c r="AA124" i="31"/>
  <c r="AC124" i="31" s="1"/>
  <c r="AA121" i="31"/>
  <c r="AC121" i="31" s="1"/>
  <c r="AA118" i="31"/>
  <c r="AC118" i="31" s="1"/>
  <c r="AA134" i="31"/>
  <c r="AC134" i="31" s="1"/>
  <c r="AA131" i="31"/>
  <c r="AC131" i="31" s="1"/>
  <c r="AA119" i="31"/>
  <c r="AC119" i="31" s="1"/>
  <c r="AA116" i="31"/>
  <c r="AC116" i="31" s="1"/>
  <c r="AA117" i="31"/>
  <c r="AC117" i="31" s="1"/>
  <c r="AA133" i="31"/>
  <c r="AC133" i="31" s="1"/>
  <c r="AA120" i="31"/>
  <c r="AC120" i="31" s="1"/>
  <c r="AA115" i="31"/>
  <c r="AC115" i="31" s="1"/>
  <c r="AA111" i="31"/>
  <c r="AC111" i="31" s="1"/>
  <c r="AA123" i="31"/>
  <c r="AC123" i="31" s="1"/>
  <c r="AA132" i="31"/>
  <c r="AC132" i="31" s="1"/>
  <c r="AA112" i="31"/>
  <c r="AC112" i="31" s="1"/>
  <c r="AA128" i="31"/>
  <c r="AC128" i="31" s="1"/>
  <c r="AA125" i="31"/>
  <c r="AC125" i="31" s="1"/>
  <c r="AA129" i="31"/>
  <c r="AC129" i="31" s="1"/>
  <c r="AA184" i="31"/>
  <c r="AC184" i="31" s="1"/>
  <c r="AA122" i="31"/>
  <c r="AC122" i="31" s="1"/>
  <c r="AA113" i="31"/>
  <c r="AC113" i="31" s="1"/>
  <c r="AA127" i="31"/>
  <c r="AC127" i="31" s="1"/>
  <c r="AA114" i="31"/>
  <c r="AC114" i="31" s="1"/>
  <c r="AA163" i="31"/>
  <c r="AC163" i="31" s="1"/>
  <c r="AA167" i="31"/>
  <c r="AC167" i="31" s="1"/>
  <c r="AA166" i="31"/>
  <c r="AC166" i="31" s="1"/>
  <c r="AA68" i="312"/>
  <c r="AB68" i="312" s="1"/>
  <c r="AA70" i="312"/>
  <c r="AB70" i="312" s="1"/>
  <c r="AA76" i="312"/>
  <c r="AB76" i="312" s="1"/>
  <c r="AA66" i="312"/>
  <c r="AB66" i="312" s="1"/>
  <c r="AA71" i="312"/>
  <c r="AB71" i="312" s="1"/>
  <c r="J179" i="334"/>
  <c r="M179" i="334" s="1"/>
  <c r="AG51" i="108"/>
  <c r="O109" i="31"/>
  <c r="AA63" i="312"/>
  <c r="AB63" i="312" s="1"/>
  <c r="AA74" i="312"/>
  <c r="AB74" i="312" s="1"/>
  <c r="AA67" i="312"/>
  <c r="AB67" i="312" s="1"/>
  <c r="AA62" i="312"/>
  <c r="AB62" i="312" s="1"/>
  <c r="AA82" i="257"/>
  <c r="AB82" i="257" s="1"/>
  <c r="AA78" i="257"/>
  <c r="AB78" i="257" s="1"/>
  <c r="AA39" i="31"/>
  <c r="AC39" i="31" s="1"/>
  <c r="AA63" i="31"/>
  <c r="AC63" i="31" s="1"/>
  <c r="AA56" i="31"/>
  <c r="AC56" i="31" s="1"/>
  <c r="AA51" i="31"/>
  <c r="AC51" i="31" s="1"/>
  <c r="AA58" i="31"/>
  <c r="AC58" i="31" s="1"/>
  <c r="AA43" i="31"/>
  <c r="AC43" i="31" s="1"/>
  <c r="AA54" i="31"/>
  <c r="AC54" i="31" s="1"/>
  <c r="AA57" i="31"/>
  <c r="AC57" i="31" s="1"/>
  <c r="AA70" i="31"/>
  <c r="AC70" i="31" s="1"/>
  <c r="AA77" i="31"/>
  <c r="AC77" i="31" s="1"/>
  <c r="AA73" i="31"/>
  <c r="AC73" i="31" s="1"/>
  <c r="AA52" i="31"/>
  <c r="AC52" i="31" s="1"/>
  <c r="AA69" i="31"/>
  <c r="AC69" i="31" s="1"/>
  <c r="AA49" i="31"/>
  <c r="AC49" i="31" s="1"/>
  <c r="AA62" i="31"/>
  <c r="AC62" i="31" s="1"/>
  <c r="AA66" i="31"/>
  <c r="AC66" i="31" s="1"/>
  <c r="AA75" i="31"/>
  <c r="AC75" i="31" s="1"/>
  <c r="AA48" i="31"/>
  <c r="AC48" i="31" s="1"/>
  <c r="AA42" i="31"/>
  <c r="AC42" i="31" s="1"/>
  <c r="AA78" i="31"/>
  <c r="AC78" i="31" s="1"/>
  <c r="AA44" i="31"/>
  <c r="AC44" i="31" s="1"/>
  <c r="AA61" i="31"/>
  <c r="AC61" i="31" s="1"/>
  <c r="AA47" i="31"/>
  <c r="AC47" i="31" s="1"/>
  <c r="AA65" i="31"/>
  <c r="AC65" i="31" s="1"/>
  <c r="AA71" i="31"/>
  <c r="AC71" i="31" s="1"/>
  <c r="AA41" i="31"/>
  <c r="AC41" i="31" s="1"/>
  <c r="AA40" i="31"/>
  <c r="AC40" i="31" s="1"/>
  <c r="AA64" i="31"/>
  <c r="AC64" i="31" s="1"/>
  <c r="G34" i="283"/>
  <c r="H34" i="283" s="1"/>
  <c r="AW304" i="307"/>
  <c r="AH10" i="307"/>
  <c r="AH445" i="307" s="1"/>
  <c r="C3181" i="229"/>
  <c r="D3181" i="229" s="1"/>
  <c r="D3192" i="229" s="1"/>
  <c r="AC110" i="31"/>
  <c r="AA29" i="31"/>
  <c r="AC29" i="31" s="1"/>
  <c r="E19" i="235"/>
  <c r="G19" i="235" s="1"/>
  <c r="G19" i="283"/>
  <c r="H19" i="283" s="1"/>
  <c r="AA18" i="31"/>
  <c r="AC18" i="31" s="1"/>
  <c r="G36" i="283"/>
  <c r="H36" i="283" s="1"/>
  <c r="G45" i="283"/>
  <c r="H45" i="283" s="1"/>
  <c r="E37" i="235"/>
  <c r="G37" i="235" s="1"/>
  <c r="K50" i="283"/>
  <c r="K51" i="283" s="1"/>
  <c r="E53" i="283"/>
  <c r="G53" i="283" s="1"/>
  <c r="H53" i="283" s="1"/>
  <c r="E44" i="283"/>
  <c r="E32" i="283"/>
  <c r="AA28" i="31"/>
  <c r="AC28" i="31" s="1"/>
  <c r="AA22" i="31"/>
  <c r="AC22" i="31" s="1"/>
  <c r="G35" i="283"/>
  <c r="H35" i="283" s="1"/>
  <c r="AA27" i="31"/>
  <c r="AC27" i="31" s="1"/>
  <c r="E23" i="235"/>
  <c r="G23" i="235" s="1"/>
  <c r="AA24" i="31"/>
  <c r="AC24" i="31" s="1"/>
  <c r="AA25" i="31"/>
  <c r="AC25" i="31" s="1"/>
  <c r="G109" i="31"/>
  <c r="E18" i="235"/>
  <c r="E17" i="235"/>
  <c r="G17" i="235" s="1"/>
  <c r="AA30" i="31"/>
  <c r="AC30" i="31" s="1"/>
  <c r="H109" i="31"/>
  <c r="D50" i="235"/>
  <c r="G50" i="235" s="1"/>
  <c r="I20" i="235" s="1"/>
  <c r="D77" i="283"/>
  <c r="G77" i="283" s="1"/>
  <c r="H77" i="283" s="1"/>
  <c r="R9" i="115"/>
  <c r="S461" i="115"/>
  <c r="S473" i="115"/>
  <c r="AE11" i="115"/>
  <c r="G15" i="265"/>
  <c r="G99" i="265" s="1"/>
  <c r="F99" i="265"/>
  <c r="W109" i="31"/>
  <c r="AE10" i="115"/>
  <c r="AE461" i="115" s="1"/>
  <c r="AE464" i="115" s="1"/>
  <c r="AA10" i="307"/>
  <c r="AA445" i="307" s="1"/>
  <c r="R10" i="307"/>
  <c r="R445" i="307" s="1"/>
  <c r="O14" i="289"/>
  <c r="F10" i="290"/>
  <c r="T13" i="81"/>
  <c r="U14" i="81"/>
  <c r="W22" i="187"/>
  <c r="W23" i="187" s="1"/>
  <c r="W24" i="187" s="1"/>
  <c r="D76" i="283"/>
  <c r="G76" i="283" s="1"/>
  <c r="H76" i="283" s="1"/>
  <c r="AA18" i="257"/>
  <c r="AB18" i="257" s="1"/>
  <c r="X185" i="31"/>
  <c r="W470" i="115"/>
  <c r="L2574" i="289"/>
  <c r="M2574" i="289" s="1"/>
  <c r="AG79" i="264"/>
  <c r="AE10" i="307"/>
  <c r="AK51" i="108"/>
  <c r="AW44" i="108"/>
  <c r="AA32" i="257"/>
  <c r="AB32" i="257" s="1"/>
  <c r="AA34" i="257"/>
  <c r="AB34" i="257" s="1"/>
  <c r="AA22" i="257"/>
  <c r="AB22" i="257" s="1"/>
  <c r="AA39" i="257"/>
  <c r="AB39" i="257" s="1"/>
  <c r="AA36" i="257"/>
  <c r="AB36" i="257" s="1"/>
  <c r="AA26" i="257"/>
  <c r="AB26" i="257" s="1"/>
  <c r="AA24" i="257"/>
  <c r="AB24" i="257" s="1"/>
  <c r="AA29" i="257"/>
  <c r="AB29" i="257" s="1"/>
  <c r="AA21" i="257"/>
  <c r="AB21" i="257" s="1"/>
  <c r="AA17" i="257"/>
  <c r="AB17" i="257" s="1"/>
  <c r="AA28" i="257"/>
  <c r="AB28" i="257" s="1"/>
  <c r="AA38" i="257"/>
  <c r="AB38" i="257" s="1"/>
  <c r="AA27" i="257"/>
  <c r="AB27" i="257" s="1"/>
  <c r="AA35" i="257"/>
  <c r="AB35" i="257" s="1"/>
  <c r="AA30" i="257"/>
  <c r="AB30" i="257" s="1"/>
  <c r="AA31" i="257"/>
  <c r="AB31" i="257" s="1"/>
  <c r="AA16" i="257"/>
  <c r="AB16" i="257" s="1"/>
  <c r="AA33" i="257"/>
  <c r="AB33" i="257" s="1"/>
  <c r="AA23" i="257"/>
  <c r="AB23" i="257" s="1"/>
  <c r="AA20" i="257"/>
  <c r="AB20" i="257" s="1"/>
  <c r="G24" i="235"/>
  <c r="J109" i="31"/>
  <c r="G32" i="235"/>
  <c r="H33" i="283"/>
  <c r="G18" i="235"/>
  <c r="G33" i="235"/>
  <c r="G22" i="235"/>
  <c r="J154" i="334" l="1"/>
  <c r="M154" i="334" s="1"/>
  <c r="E1277" i="328"/>
  <c r="E1294" i="328"/>
  <c r="I173" i="334"/>
  <c r="J173" i="334" s="1"/>
  <c r="M173" i="334" s="1"/>
  <c r="I160" i="334"/>
  <c r="J160" i="334" s="1"/>
  <c r="M160" i="334" s="1"/>
  <c r="I161" i="334"/>
  <c r="J161" i="334" s="1"/>
  <c r="M161" i="334" s="1"/>
  <c r="I164" i="334"/>
  <c r="J164" i="334" s="1"/>
  <c r="M164" i="334" s="1"/>
  <c r="I168" i="334"/>
  <c r="J168" i="334" s="1"/>
  <c r="M168" i="334" s="1"/>
  <c r="I165" i="334"/>
  <c r="J165" i="334" s="1"/>
  <c r="M165" i="334" s="1"/>
  <c r="I167" i="334"/>
  <c r="J167" i="334" s="1"/>
  <c r="M167" i="334" s="1"/>
  <c r="J153" i="334"/>
  <c r="M153" i="334" s="1"/>
  <c r="J156" i="334"/>
  <c r="M156" i="334" s="1"/>
  <c r="J158" i="334"/>
  <c r="M158" i="334" s="1"/>
  <c r="AA168" i="31"/>
  <c r="AC168" i="31" s="1"/>
  <c r="G181" i="334"/>
  <c r="J155" i="334"/>
  <c r="M155" i="334" s="1"/>
  <c r="J157" i="334"/>
  <c r="M157" i="334" s="1"/>
  <c r="K1243" i="328"/>
  <c r="K1277" i="328"/>
  <c r="S109" i="31"/>
  <c r="E1379" i="328"/>
  <c r="I151" i="334"/>
  <c r="I1221" i="328"/>
  <c r="K1221" i="328" s="1"/>
  <c r="V109" i="31"/>
  <c r="I1219" i="328"/>
  <c r="K1219" i="328" s="1"/>
  <c r="R109" i="31"/>
  <c r="AA164" i="31"/>
  <c r="AC164" i="31" s="1"/>
  <c r="AA171" i="31"/>
  <c r="AC171" i="31" s="1"/>
  <c r="AA169" i="31"/>
  <c r="AC169" i="31" s="1"/>
  <c r="AA162" i="31"/>
  <c r="AC162" i="31" s="1"/>
  <c r="AA172" i="31"/>
  <c r="AC172" i="31" s="1"/>
  <c r="M81" i="334"/>
  <c r="O81" i="334"/>
  <c r="M12" i="334"/>
  <c r="O12" i="334"/>
  <c r="AA165" i="31"/>
  <c r="AC165" i="31" s="1"/>
  <c r="U185" i="31"/>
  <c r="AA177" i="31"/>
  <c r="AC177" i="31" s="1"/>
  <c r="T185" i="31"/>
  <c r="D71" i="283" s="1"/>
  <c r="G71" i="283" s="1"/>
  <c r="H71" i="283" s="1"/>
  <c r="E171" i="328"/>
  <c r="E52" i="328"/>
  <c r="AA36" i="31"/>
  <c r="AC36" i="31" s="1"/>
  <c r="AA81" i="31"/>
  <c r="AC81" i="31" s="1"/>
  <c r="AA84" i="31"/>
  <c r="AC84" i="31" s="1"/>
  <c r="AA23" i="31"/>
  <c r="AC23" i="31" s="1"/>
  <c r="AA80" i="31"/>
  <c r="AC80" i="31" s="1"/>
  <c r="AA38" i="31"/>
  <c r="AC38" i="31" s="1"/>
  <c r="AA86" i="31"/>
  <c r="AC86" i="31" s="1"/>
  <c r="AA37" i="31"/>
  <c r="AC37" i="31" s="1"/>
  <c r="AA21" i="31"/>
  <c r="AC21" i="31" s="1"/>
  <c r="AA82" i="31"/>
  <c r="AC82" i="31" s="1"/>
  <c r="E562" i="328"/>
  <c r="AA35" i="31"/>
  <c r="AC35" i="31" s="1"/>
  <c r="AA157" i="31"/>
  <c r="AC157" i="31" s="1"/>
  <c r="E35" i="328"/>
  <c r="E86" i="328"/>
  <c r="E205" i="328"/>
  <c r="E103" i="328"/>
  <c r="E188" i="328"/>
  <c r="E596" i="328"/>
  <c r="E154" i="328"/>
  <c r="E69" i="328"/>
  <c r="E579" i="328"/>
  <c r="E137" i="328"/>
  <c r="E120" i="328"/>
  <c r="P109" i="31"/>
  <c r="AA32" i="31"/>
  <c r="AC32" i="31" s="1"/>
  <c r="AA31" i="31"/>
  <c r="AC31" i="31" s="1"/>
  <c r="AA34" i="31"/>
  <c r="AC34" i="31" s="1"/>
  <c r="E613" i="328"/>
  <c r="AA17" i="31"/>
  <c r="AC17" i="31" s="1"/>
  <c r="AA85" i="31"/>
  <c r="AC85" i="31" s="1"/>
  <c r="AA156" i="31"/>
  <c r="AC156" i="31" s="1"/>
  <c r="AA183" i="31"/>
  <c r="AC183" i="31" s="1"/>
  <c r="AA159" i="31"/>
  <c r="AC159" i="31" s="1"/>
  <c r="AA161" i="31"/>
  <c r="AC161" i="31" s="1"/>
  <c r="AA158" i="31"/>
  <c r="AC158" i="31" s="1"/>
  <c r="AA170" i="31"/>
  <c r="AC170" i="31" s="1"/>
  <c r="AA160" i="31"/>
  <c r="AC160" i="31" s="1"/>
  <c r="AC16" i="31"/>
  <c r="AA61" i="312"/>
  <c r="AB61" i="312" s="1"/>
  <c r="AA75" i="312"/>
  <c r="AB75" i="312" s="1"/>
  <c r="AA72" i="312"/>
  <c r="AB72" i="312" s="1"/>
  <c r="AA64" i="312"/>
  <c r="AB64" i="312" s="1"/>
  <c r="AA65" i="312"/>
  <c r="AB65" i="312" s="1"/>
  <c r="Z90" i="312"/>
  <c r="S13" i="333" s="1"/>
  <c r="AA77" i="312"/>
  <c r="AB77" i="312" s="1"/>
  <c r="AA69" i="312"/>
  <c r="AB69" i="312" s="1"/>
  <c r="AA73" i="312"/>
  <c r="AB73" i="312" s="1"/>
  <c r="AA79" i="31"/>
  <c r="AC79" i="31" s="1"/>
  <c r="AA83" i="31"/>
  <c r="AC83" i="31" s="1"/>
  <c r="AB60" i="312"/>
  <c r="Z12" i="187"/>
  <c r="O2162" i="289"/>
  <c r="O2163" i="289" s="1"/>
  <c r="O2552" i="289"/>
  <c r="O2553" i="289" s="1"/>
  <c r="O1183" i="289"/>
  <c r="O1184" i="289" s="1"/>
  <c r="O1097" i="289"/>
  <c r="O1098" i="289" s="1"/>
  <c r="O1141" i="289"/>
  <c r="O1142" i="289" s="1"/>
  <c r="C2819" i="288"/>
  <c r="D2819" i="288" s="1"/>
  <c r="C2820" i="288"/>
  <c r="E31" i="235"/>
  <c r="G44" i="283"/>
  <c r="AF25" i="258"/>
  <c r="D49" i="235"/>
  <c r="G49" i="235" s="1"/>
  <c r="G32" i="283"/>
  <c r="H32" i="283" s="1"/>
  <c r="N109" i="31"/>
  <c r="AA25" i="257"/>
  <c r="AB25" i="257" s="1"/>
  <c r="AA37" i="257"/>
  <c r="AB37" i="257" s="1"/>
  <c r="AA19" i="257"/>
  <c r="AB19" i="257" s="1"/>
  <c r="X475" i="115"/>
  <c r="S468" i="115"/>
  <c r="S475" i="115"/>
  <c r="W185" i="31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AA26" i="31"/>
  <c r="AC26" i="31" s="1"/>
  <c r="D75" i="283"/>
  <c r="G75" i="283" s="1"/>
  <c r="H75" i="283" s="1"/>
  <c r="D47" i="235"/>
  <c r="G47" i="235" s="1"/>
  <c r="AA19" i="31"/>
  <c r="AA20" i="31"/>
  <c r="AC20" i="31" s="1"/>
  <c r="AF14" i="264"/>
  <c r="AM19" i="279"/>
  <c r="K58" i="283"/>
  <c r="K59" i="283" s="1"/>
  <c r="C3188" i="229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O2631" i="289"/>
  <c r="P2631" i="289" s="1"/>
  <c r="AE445" i="307"/>
  <c r="AU144" i="307"/>
  <c r="AA15" i="257"/>
  <c r="T13" i="333" l="1"/>
  <c r="J151" i="334"/>
  <c r="I181" i="334"/>
  <c r="AA155" i="31"/>
  <c r="AC155" i="31" s="1"/>
  <c r="K1226" i="328"/>
  <c r="AB90" i="312"/>
  <c r="D44" i="235"/>
  <c r="G44" i="235" s="1"/>
  <c r="D72" i="283"/>
  <c r="G72" i="283" s="1"/>
  <c r="H72" i="283" s="1"/>
  <c r="D43" i="235"/>
  <c r="G43" i="235" s="1"/>
  <c r="P193" i="289"/>
  <c r="P194" i="289" s="1"/>
  <c r="O193" i="289"/>
  <c r="O194" i="289" s="1"/>
  <c r="O1145" i="289"/>
  <c r="AA90" i="312"/>
  <c r="Z109" i="31"/>
  <c r="O524" i="289"/>
  <c r="O525" i="289" s="1"/>
  <c r="AA33" i="31"/>
  <c r="AC33" i="31" s="1"/>
  <c r="P1141" i="289"/>
  <c r="H44" i="283"/>
  <c r="E30" i="235"/>
  <c r="G31" i="235"/>
  <c r="G30" i="235" s="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Q1141" i="289"/>
  <c r="AC19" i="31"/>
  <c r="E24" i="283"/>
  <c r="G24" i="283" s="1"/>
  <c r="H24" i="283" s="1"/>
  <c r="E28" i="283"/>
  <c r="G28" i="283" s="1"/>
  <c r="H28" i="283" s="1"/>
  <c r="E20" i="283"/>
  <c r="G20" i="283" s="1"/>
  <c r="H20" i="283" s="1"/>
  <c r="D3189" i="229"/>
  <c r="D2820" i="288"/>
  <c r="D2824" i="288" s="1"/>
  <c r="J21" i="187"/>
  <c r="P1694" i="289"/>
  <c r="P1695" i="289" s="1"/>
  <c r="E16" i="283"/>
  <c r="K62" i="283"/>
  <c r="K63" i="283" s="1"/>
  <c r="P1097" i="289"/>
  <c r="P1098" i="289" s="1"/>
  <c r="G49" i="283"/>
  <c r="H49" i="283" s="1"/>
  <c r="E20" i="235"/>
  <c r="O2572" i="289"/>
  <c r="O2573" i="289" s="1"/>
  <c r="F78" i="283"/>
  <c r="G78" i="283" s="1"/>
  <c r="H78" i="283" s="1"/>
  <c r="AB15" i="257"/>
  <c r="AE91" i="312" l="1"/>
  <c r="C4" i="338"/>
  <c r="D4" i="338" s="1"/>
  <c r="R21" i="187"/>
  <c r="T21" i="187" s="1"/>
  <c r="V13" i="333"/>
  <c r="M151" i="334"/>
  <c r="M181" i="334" s="1"/>
  <c r="J181" i="334"/>
  <c r="AA109" i="31"/>
  <c r="AC109" i="31"/>
  <c r="Q524" i="289"/>
  <c r="Q525" i="289" s="1"/>
  <c r="P524" i="289"/>
  <c r="P525" i="289" s="1"/>
  <c r="P1142" i="289"/>
  <c r="P1145" i="289"/>
  <c r="O1694" i="289"/>
  <c r="O1695" i="28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Q2552" i="289"/>
  <c r="Q2553" i="289" s="1"/>
  <c r="AF85" i="264"/>
  <c r="AF99" i="265"/>
  <c r="Q1694" i="289"/>
  <c r="Q1695" i="289" s="1"/>
  <c r="E16" i="235"/>
  <c r="G16" i="235" s="1"/>
  <c r="G16" i="283"/>
  <c r="H16" i="283" s="1"/>
  <c r="E61" i="283"/>
  <c r="G61" i="283" s="1"/>
  <c r="H61" i="283" s="1"/>
  <c r="P2552" i="289"/>
  <c r="P2553" i="289" s="1"/>
  <c r="P2162" i="289"/>
  <c r="P2163" i="289" s="1"/>
  <c r="E57" i="283"/>
  <c r="J2626" i="289"/>
  <c r="P1183" i="289"/>
  <c r="P1184" i="289" s="1"/>
  <c r="M3703" i="229"/>
  <c r="L903" i="229"/>
  <c r="M3274" i="288"/>
  <c r="T20" i="187" l="1"/>
  <c r="F10" i="318"/>
  <c r="G45" i="317"/>
  <c r="G44" i="317" s="1"/>
  <c r="I12" i="335"/>
  <c r="R20" i="187"/>
  <c r="F12" i="335"/>
  <c r="O181" i="334"/>
  <c r="X13" i="333"/>
  <c r="R193" i="289"/>
  <c r="R524" i="289"/>
  <c r="F16" i="290"/>
  <c r="J2628" i="289"/>
  <c r="Q1183" i="289"/>
  <c r="Q1184" i="289" s="1"/>
  <c r="AF21" i="263"/>
  <c r="M2634" i="289"/>
  <c r="P2632" i="289"/>
  <c r="Q2162" i="289"/>
  <c r="Q2163" i="289" s="1"/>
  <c r="R1694" i="289"/>
  <c r="Q1097" i="289"/>
  <c r="Q1098" i="289" s="1"/>
  <c r="AF78" i="262"/>
  <c r="G16" i="290"/>
  <c r="J2623" i="289"/>
  <c r="G57" i="283"/>
  <c r="E36" i="235"/>
  <c r="E48" i="283"/>
  <c r="F14" i="290"/>
  <c r="F11" i="335" l="1"/>
  <c r="F26" i="335" s="1"/>
  <c r="F13" i="318"/>
  <c r="K16" i="318" s="1"/>
  <c r="Q193" i="289"/>
  <c r="Q194" i="289" s="1"/>
  <c r="Q341" i="28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L2626" i="289"/>
  <c r="M2626" i="289" s="1"/>
  <c r="H57" i="283"/>
  <c r="H48" i="283" s="1"/>
  <c r="H15" i="283" s="1"/>
  <c r="G48" i="283"/>
  <c r="G15" i="283" s="1"/>
  <c r="J199" i="334" l="1"/>
  <c r="I11" i="335"/>
  <c r="I26" i="335" s="1"/>
  <c r="J12" i="335"/>
  <c r="U17" i="333" s="1"/>
  <c r="G10" i="318"/>
  <c r="G13" i="318" s="1"/>
  <c r="O2630" i="289"/>
  <c r="P2630" i="289" s="1"/>
  <c r="I39" i="235"/>
  <c r="I18" i="235"/>
  <c r="F15" i="290"/>
  <c r="F18" i="290" s="1"/>
  <c r="K21" i="290" s="1"/>
  <c r="J2624" i="289"/>
  <c r="L2628" i="289"/>
  <c r="M2628" i="289" s="1"/>
  <c r="L2623" i="289"/>
  <c r="H17" i="333" l="1"/>
  <c r="K12" i="335"/>
  <c r="V17" i="333" s="1"/>
  <c r="U19" i="333"/>
  <c r="J200" i="334"/>
  <c r="J214" i="334" s="1"/>
  <c r="J11" i="335"/>
  <c r="J26" i="335" s="1"/>
  <c r="L199" i="334"/>
  <c r="L200" i="334" s="1"/>
  <c r="L214" i="334" s="1"/>
  <c r="L216" i="334" s="1"/>
  <c r="J2629" i="289"/>
  <c r="J2633" i="289" s="1"/>
  <c r="M2623" i="289"/>
  <c r="I54" i="235"/>
  <c r="G54" i="235"/>
  <c r="I21" i="235" s="1"/>
  <c r="I25" i="235" s="1"/>
  <c r="G15" i="290"/>
  <c r="G18" i="290" s="1"/>
  <c r="T17" i="333" l="1"/>
  <c r="K11" i="335"/>
  <c r="K26" i="335" s="1"/>
  <c r="M199" i="334"/>
  <c r="M200" i="334" s="1"/>
  <c r="M214" i="334" s="1"/>
  <c r="K68" i="76"/>
  <c r="I58" i="235"/>
  <c r="J63" i="235" s="1"/>
  <c r="J66" i="235" s="1"/>
  <c r="K54" i="235"/>
  <c r="L2624" i="289"/>
  <c r="O2633" i="289" l="1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G17" i="317" l="1"/>
  <c r="G18" i="317"/>
  <c r="G16" i="317"/>
  <c r="G15" i="317" l="1"/>
  <c r="AD84" i="321" l="1"/>
  <c r="AD83" i="321"/>
  <c r="AD82" i="321"/>
  <c r="R84" i="321"/>
  <c r="U84" i="321" s="1"/>
  <c r="H88" i="257"/>
  <c r="H89" i="31" s="1"/>
  <c r="H86" i="257"/>
  <c r="I605" i="328"/>
  <c r="K605" i="328" s="1"/>
  <c r="H87" i="257"/>
  <c r="H88" i="31" s="1"/>
  <c r="R83" i="321"/>
  <c r="U83" i="321" s="1"/>
  <c r="R82" i="321"/>
  <c r="U82" i="321" s="1"/>
  <c r="C617" i="328" l="1"/>
  <c r="D621" i="328" s="1"/>
  <c r="C622" i="328"/>
  <c r="E622" i="328" s="1"/>
  <c r="I617" i="328"/>
  <c r="J621" i="328" s="1"/>
  <c r="I622" i="328"/>
  <c r="K622" i="328" s="1"/>
  <c r="J88" i="257"/>
  <c r="J87" i="257"/>
  <c r="L87" i="257" s="1"/>
  <c r="N87" i="257" s="1"/>
  <c r="I602" i="328"/>
  <c r="K602" i="328" s="1"/>
  <c r="H87" i="31"/>
  <c r="J86" i="257"/>
  <c r="L86" i="257" s="1"/>
  <c r="N86" i="257" l="1"/>
  <c r="AA86" i="257" s="1"/>
  <c r="N88" i="31"/>
  <c r="H84" i="334" s="1"/>
  <c r="J89" i="31"/>
  <c r="L89" i="31" s="1"/>
  <c r="L88" i="257"/>
  <c r="N88" i="257" s="1"/>
  <c r="I606" i="328"/>
  <c r="K606" i="328" s="1"/>
  <c r="I619" i="328"/>
  <c r="K619" i="328" s="1"/>
  <c r="C619" i="328"/>
  <c r="E619" i="328" s="1"/>
  <c r="J87" i="31"/>
  <c r="L87" i="31" s="1"/>
  <c r="J88" i="31"/>
  <c r="I600" i="328"/>
  <c r="J604" i="328" s="1"/>
  <c r="N87" i="31" l="1"/>
  <c r="AA87" i="31" s="1"/>
  <c r="AA88" i="257"/>
  <c r="AB88" i="257" s="1"/>
  <c r="I621" i="328"/>
  <c r="K621" i="328" s="1"/>
  <c r="C621" i="328"/>
  <c r="E621" i="328" s="1"/>
  <c r="L88" i="31"/>
  <c r="C623" i="328"/>
  <c r="E623" i="328" s="1"/>
  <c r="I623" i="328"/>
  <c r="K623" i="328" s="1"/>
  <c r="C620" i="328"/>
  <c r="E620" i="328" s="1"/>
  <c r="AA87" i="257"/>
  <c r="AB87" i="257" s="1"/>
  <c r="I604" i="328"/>
  <c r="K604" i="328" s="1"/>
  <c r="AB86" i="257"/>
  <c r="N89" i="31" l="1"/>
  <c r="H85" i="334" s="1"/>
  <c r="H83" i="334"/>
  <c r="J83" i="334" s="1"/>
  <c r="I603" i="328"/>
  <c r="K603" i="328" s="1"/>
  <c r="K613" i="328" s="1"/>
  <c r="E630" i="328"/>
  <c r="AC87" i="31"/>
  <c r="AA88" i="31"/>
  <c r="AC88" i="31" s="1"/>
  <c r="J84" i="334"/>
  <c r="I620" i="328" l="1"/>
  <c r="K620" i="328" s="1"/>
  <c r="K630" i="328" s="1"/>
  <c r="J85" i="334"/>
  <c r="AA89" i="31"/>
  <c r="AC89" i="31" s="1"/>
  <c r="M84" i="334"/>
  <c r="O84" i="334"/>
  <c r="O83" i="334"/>
  <c r="M83" i="334"/>
  <c r="C90" i="257"/>
  <c r="D98" i="31"/>
  <c r="D93" i="31"/>
  <c r="M90" i="257" l="1"/>
  <c r="K90" i="257"/>
  <c r="M85" i="334"/>
  <c r="O85" i="334"/>
  <c r="D95" i="31"/>
  <c r="C94" i="257"/>
  <c r="C93" i="257"/>
  <c r="D94" i="31"/>
  <c r="E94" i="334"/>
  <c r="B701" i="328"/>
  <c r="C98" i="257"/>
  <c r="D99" i="31"/>
  <c r="E89" i="334"/>
  <c r="H650" i="328"/>
  <c r="C96" i="257"/>
  <c r="D97" i="31"/>
  <c r="C91" i="257"/>
  <c r="D92" i="31"/>
  <c r="D91" i="31"/>
  <c r="C92" i="257"/>
  <c r="C97" i="257"/>
  <c r="D96" i="31"/>
  <c r="C95" i="257"/>
  <c r="M97" i="257" l="1"/>
  <c r="K97" i="257"/>
  <c r="M91" i="257"/>
  <c r="K91" i="257"/>
  <c r="M94" i="257"/>
  <c r="K94" i="257"/>
  <c r="M92" i="257"/>
  <c r="K92" i="257"/>
  <c r="E95" i="334"/>
  <c r="M95" i="257"/>
  <c r="K95" i="257"/>
  <c r="M98" i="257"/>
  <c r="K98" i="257"/>
  <c r="M93" i="257"/>
  <c r="K93" i="257"/>
  <c r="E93" i="334"/>
  <c r="H684" i="328"/>
  <c r="E92" i="334"/>
  <c r="B684" i="328"/>
  <c r="E87" i="334"/>
  <c r="H633" i="328"/>
  <c r="E88" i="334"/>
  <c r="B650" i="328"/>
  <c r="E90" i="334"/>
  <c r="B667" i="328"/>
  <c r="C94" i="334"/>
  <c r="C89" i="334"/>
  <c r="H701" i="328"/>
  <c r="E91" i="334"/>
  <c r="H667" i="328"/>
  <c r="N98" i="257" l="1"/>
  <c r="N97" i="257"/>
  <c r="C92" i="334"/>
  <c r="C93" i="334"/>
  <c r="C91" i="334"/>
  <c r="C90" i="334"/>
  <c r="C88" i="334"/>
  <c r="C87" i="334"/>
  <c r="C95" i="334"/>
  <c r="AL114" i="115"/>
  <c r="T190" i="115"/>
  <c r="V80" i="115"/>
  <c r="T166" i="115"/>
  <c r="AL72" i="115"/>
  <c r="T342" i="115"/>
  <c r="AL78" i="115"/>
  <c r="T136" i="115"/>
  <c r="AL54" i="115"/>
  <c r="AL55" i="115"/>
  <c r="T390" i="115"/>
  <c r="T247" i="115"/>
  <c r="T290" i="115"/>
  <c r="AL92" i="115"/>
  <c r="T322" i="115"/>
  <c r="AL97" i="115"/>
  <c r="AL67" i="115"/>
  <c r="T358" i="115"/>
  <c r="V109" i="115"/>
  <c r="U98" i="115"/>
  <c r="AL96" i="115"/>
  <c r="AL85" i="115"/>
  <c r="T251" i="115"/>
  <c r="T156" i="115"/>
  <c r="T177" i="115"/>
  <c r="AL45" i="115"/>
  <c r="T335" i="115"/>
  <c r="T337" i="115"/>
  <c r="V74" i="115"/>
  <c r="T280" i="115"/>
  <c r="AL38" i="115"/>
  <c r="T246" i="115"/>
  <c r="T163" i="115"/>
  <c r="T312" i="115"/>
  <c r="AL208" i="115"/>
  <c r="U93" i="115"/>
  <c r="T135" i="115"/>
  <c r="U61" i="115"/>
  <c r="AL103" i="115"/>
  <c r="T327" i="115"/>
  <c r="T284" i="115"/>
  <c r="T271" i="115"/>
  <c r="T203" i="115"/>
  <c r="T197" i="115"/>
  <c r="T394" i="115"/>
  <c r="T326" i="115"/>
  <c r="T154" i="115"/>
  <c r="T191" i="115"/>
  <c r="AL111" i="115"/>
  <c r="T264" i="115"/>
  <c r="T253" i="115"/>
  <c r="AL94" i="115"/>
  <c r="T347" i="115"/>
  <c r="T236" i="115"/>
  <c r="V63" i="115"/>
  <c r="T283" i="115"/>
  <c r="U69" i="115"/>
  <c r="U106" i="115"/>
  <c r="U90" i="115"/>
  <c r="U96" i="115"/>
  <c r="T231" i="115"/>
  <c r="V65" i="115"/>
  <c r="U60" i="115"/>
  <c r="T328" i="115"/>
  <c r="T170" i="115"/>
  <c r="T134" i="115"/>
  <c r="V104" i="115"/>
  <c r="T270" i="115"/>
  <c r="T357" i="115"/>
  <c r="T137" i="115"/>
  <c r="T273" i="115"/>
  <c r="U64" i="115"/>
  <c r="T174" i="115"/>
  <c r="T127" i="115"/>
  <c r="AL47" i="115"/>
  <c r="T329" i="115"/>
  <c r="U88" i="115"/>
  <c r="AL313" i="115"/>
  <c r="AL84" i="115"/>
  <c r="V117" i="115"/>
  <c r="AL105" i="115"/>
  <c r="T388" i="115"/>
  <c r="AL22" i="115"/>
  <c r="U104" i="115"/>
  <c r="V100" i="115"/>
  <c r="T377" i="115"/>
  <c r="AL83" i="115"/>
  <c r="T373" i="115"/>
  <c r="T187" i="115"/>
  <c r="T302" i="115"/>
  <c r="T261" i="115"/>
  <c r="U86" i="115"/>
  <c r="T176" i="115"/>
  <c r="T125" i="115"/>
  <c r="T307" i="115"/>
  <c r="AL39" i="115"/>
  <c r="T139" i="115"/>
  <c r="U74" i="115"/>
  <c r="AL76" i="115"/>
  <c r="T299" i="115"/>
  <c r="T141" i="115"/>
  <c r="T336" i="115"/>
  <c r="T345" i="115"/>
  <c r="T173" i="115"/>
  <c r="AL315" i="115"/>
  <c r="AL102" i="115"/>
  <c r="T276" i="115"/>
  <c r="T306" i="115"/>
  <c r="T252" i="115"/>
  <c r="T189" i="115"/>
  <c r="U102" i="115"/>
  <c r="AL64" i="115"/>
  <c r="T391" i="115"/>
  <c r="AL106" i="115"/>
  <c r="AL113" i="115"/>
  <c r="V93" i="115"/>
  <c r="AL13" i="115"/>
  <c r="T341" i="115"/>
  <c r="AL69" i="115"/>
  <c r="AL70" i="115"/>
  <c r="T193" i="115"/>
  <c r="U89" i="115"/>
  <c r="U73" i="115"/>
  <c r="T383" i="115"/>
  <c r="V105" i="115"/>
  <c r="V75" i="115"/>
  <c r="U116" i="115"/>
  <c r="T133" i="115"/>
  <c r="T157" i="115"/>
  <c r="T194" i="115"/>
  <c r="V91" i="115"/>
  <c r="AL74" i="115"/>
  <c r="T182" i="115"/>
  <c r="AL46" i="115"/>
  <c r="T149" i="115"/>
  <c r="T340" i="115"/>
  <c r="T153" i="115"/>
  <c r="T348" i="115"/>
  <c r="U108" i="115"/>
  <c r="T354" i="115"/>
  <c r="V112" i="115"/>
  <c r="U63" i="115"/>
  <c r="T146" i="115"/>
  <c r="AL316" i="115"/>
  <c r="T263" i="115"/>
  <c r="T296" i="115"/>
  <c r="T353" i="115"/>
  <c r="V118" i="115"/>
  <c r="T244" i="115"/>
  <c r="U107" i="115"/>
  <c r="T274" i="115"/>
  <c r="U101" i="115"/>
  <c r="T207" i="115"/>
  <c r="V97" i="115"/>
  <c r="AL110" i="115"/>
  <c r="T368" i="115"/>
  <c r="T131" i="115"/>
  <c r="V106" i="115"/>
  <c r="U105" i="115"/>
  <c r="AL34" i="115"/>
  <c r="T265" i="115"/>
  <c r="T169" i="115"/>
  <c r="T142" i="115"/>
  <c r="T232" i="115"/>
  <c r="V77" i="115"/>
  <c r="T199" i="115"/>
  <c r="T339" i="115"/>
  <c r="T384" i="115"/>
  <c r="AL53" i="115"/>
  <c r="T143" i="115"/>
  <c r="AL66" i="115"/>
  <c r="T305" i="115"/>
  <c r="T381" i="115"/>
  <c r="T202" i="115"/>
  <c r="T260" i="115"/>
  <c r="T152" i="115"/>
  <c r="T148" i="115"/>
  <c r="AL24" i="115"/>
  <c r="AL35" i="115"/>
  <c r="AL81" i="115"/>
  <c r="V60" i="115"/>
  <c r="AL71" i="115"/>
  <c r="AL19" i="115"/>
  <c r="V72" i="115"/>
  <c r="T371" i="115"/>
  <c r="T392" i="115"/>
  <c r="T374" i="115"/>
  <c r="T195" i="115"/>
  <c r="V68" i="115"/>
  <c r="T324" i="115"/>
  <c r="T380" i="115"/>
  <c r="AL30" i="115"/>
  <c r="T367" i="115"/>
  <c r="V95" i="115"/>
  <c r="AL65" i="115"/>
  <c r="AL108" i="115"/>
  <c r="V99" i="115"/>
  <c r="T147" i="115"/>
  <c r="U68" i="115"/>
  <c r="T364" i="115"/>
  <c r="AL29" i="115"/>
  <c r="AL50" i="115"/>
  <c r="V92" i="115"/>
  <c r="T279" i="115"/>
  <c r="AL33" i="115"/>
  <c r="T277" i="115"/>
  <c r="T180" i="115"/>
  <c r="U112" i="115"/>
  <c r="T303" i="115"/>
  <c r="T359" i="115"/>
  <c r="T188" i="115"/>
  <c r="AL28" i="115"/>
  <c r="T304" i="115"/>
  <c r="T282" i="115"/>
  <c r="V84" i="115"/>
  <c r="AL51" i="115"/>
  <c r="AL43" i="115"/>
  <c r="T256" i="115"/>
  <c r="T351" i="115"/>
  <c r="V69" i="115"/>
  <c r="T293" i="115"/>
  <c r="T179" i="115"/>
  <c r="AL75" i="115"/>
  <c r="T160" i="115"/>
  <c r="U84" i="115"/>
  <c r="T376" i="115"/>
  <c r="AL63" i="115"/>
  <c r="T308" i="115"/>
  <c r="T278" i="115"/>
  <c r="T379" i="115"/>
  <c r="V113" i="115"/>
  <c r="AL60" i="115"/>
  <c r="T360" i="115"/>
  <c r="U119" i="115"/>
  <c r="T138" i="115"/>
  <c r="AL27" i="115"/>
  <c r="V89" i="115"/>
  <c r="T332" i="115"/>
  <c r="U70" i="115"/>
  <c r="AL61" i="115"/>
  <c r="U94" i="115"/>
  <c r="T132" i="115"/>
  <c r="T275" i="115"/>
  <c r="AL119" i="115"/>
  <c r="T333" i="115"/>
  <c r="AL59" i="115"/>
  <c r="AL32" i="115"/>
  <c r="AL31" i="115"/>
  <c r="AL314" i="115"/>
  <c r="T319" i="115"/>
  <c r="U71" i="115"/>
  <c r="T249" i="115"/>
  <c r="T298" i="115"/>
  <c r="AL20" i="115"/>
  <c r="T323" i="115"/>
  <c r="V110" i="115"/>
  <c r="T331" i="115"/>
  <c r="AL115" i="115"/>
  <c r="T162" i="115"/>
  <c r="AL14" i="115"/>
  <c r="T183" i="115"/>
  <c r="V94" i="115"/>
  <c r="AL18" i="115"/>
  <c r="T361" i="115"/>
  <c r="T318" i="115"/>
  <c r="U76" i="115"/>
  <c r="T140" i="115"/>
  <c r="T386" i="115"/>
  <c r="U114" i="115"/>
  <c r="T235" i="115"/>
  <c r="AL68" i="115"/>
  <c r="U100" i="115"/>
  <c r="V81" i="115"/>
  <c r="AL395" i="115"/>
  <c r="AL117" i="115"/>
  <c r="T334" i="115"/>
  <c r="AL90" i="115"/>
  <c r="AL91" i="115"/>
  <c r="T144" i="115"/>
  <c r="T233" i="115"/>
  <c r="V96" i="115"/>
  <c r="T363" i="115"/>
  <c r="T389" i="115"/>
  <c r="U82" i="115"/>
  <c r="AL77" i="115"/>
  <c r="T196" i="115"/>
  <c r="V76" i="115"/>
  <c r="T172" i="115"/>
  <c r="AL26" i="115"/>
  <c r="V101" i="115"/>
  <c r="T325" i="115"/>
  <c r="U103" i="115"/>
  <c r="V62" i="115"/>
  <c r="T255" i="115"/>
  <c r="AL82" i="115"/>
  <c r="U87" i="115"/>
  <c r="AL15" i="115"/>
  <c r="V107" i="115"/>
  <c r="V78" i="115"/>
  <c r="U92" i="115"/>
  <c r="T294" i="115"/>
  <c r="AL73" i="115"/>
  <c r="V103" i="115"/>
  <c r="T126" i="115"/>
  <c r="T234" i="115"/>
  <c r="T372" i="115"/>
  <c r="U81" i="115"/>
  <c r="AL49" i="115"/>
  <c r="T150" i="115"/>
  <c r="AL118" i="115"/>
  <c r="V87" i="115"/>
  <c r="T375" i="115"/>
  <c r="T378" i="115"/>
  <c r="T243" i="115"/>
  <c r="V116" i="115"/>
  <c r="U80" i="115"/>
  <c r="V73" i="115"/>
  <c r="T311" i="115"/>
  <c r="V90" i="115"/>
  <c r="T181" i="115"/>
  <c r="AL104" i="115"/>
  <c r="V85" i="115"/>
  <c r="T159" i="115"/>
  <c r="T242" i="115"/>
  <c r="V67" i="115"/>
  <c r="AL112" i="115"/>
  <c r="V119" i="115"/>
  <c r="AL79" i="115"/>
  <c r="T313" i="115"/>
  <c r="U117" i="115"/>
  <c r="T239" i="115"/>
  <c r="T385" i="115"/>
  <c r="U85" i="115"/>
  <c r="T310" i="115"/>
  <c r="T167" i="115"/>
  <c r="T355" i="115"/>
  <c r="U67" i="115"/>
  <c r="T151" i="115"/>
  <c r="AL44" i="115"/>
  <c r="T330" i="115"/>
  <c r="T184" i="115"/>
  <c r="T245" i="115"/>
  <c r="AL93" i="115"/>
  <c r="AL120" i="115"/>
  <c r="T262" i="115"/>
  <c r="V66" i="115"/>
  <c r="U95" i="115"/>
  <c r="T240" i="115"/>
  <c r="T356" i="115"/>
  <c r="T292" i="115"/>
  <c r="U78" i="115"/>
  <c r="AL116" i="115"/>
  <c r="U62" i="115"/>
  <c r="V86" i="115"/>
  <c r="T321" i="115"/>
  <c r="U115" i="115"/>
  <c r="V111" i="115"/>
  <c r="T259" i="115"/>
  <c r="T320" i="115"/>
  <c r="U118" i="115"/>
  <c r="T344" i="115"/>
  <c r="U77" i="115"/>
  <c r="T123" i="115"/>
  <c r="T352" i="115"/>
  <c r="AL109" i="115"/>
  <c r="T370" i="115"/>
  <c r="T266" i="115"/>
  <c r="AL80" i="115"/>
  <c r="U91" i="115"/>
  <c r="AL23" i="115"/>
  <c r="V88" i="115"/>
  <c r="T250" i="115"/>
  <c r="V83" i="115"/>
  <c r="AL36" i="115"/>
  <c r="T248" i="115"/>
  <c r="T185" i="115"/>
  <c r="AL312" i="115"/>
  <c r="AL40" i="115"/>
  <c r="AL95" i="115"/>
  <c r="T192" i="115"/>
  <c r="T350" i="115"/>
  <c r="U113" i="115"/>
  <c r="V64" i="115"/>
  <c r="AL17" i="115"/>
  <c r="AL48" i="115"/>
  <c r="AL100" i="115"/>
  <c r="T204" i="115"/>
  <c r="V70" i="115"/>
  <c r="T201" i="115"/>
  <c r="T362" i="115"/>
  <c r="AL98" i="115"/>
  <c r="T338" i="115"/>
  <c r="T200" i="115"/>
  <c r="T291" i="115"/>
  <c r="T164" i="115"/>
  <c r="AL62" i="115"/>
  <c r="T124" i="115"/>
  <c r="T237" i="115"/>
  <c r="AL87" i="115"/>
  <c r="T301" i="115"/>
  <c r="T198" i="115"/>
  <c r="V98" i="115"/>
  <c r="AL101" i="115"/>
  <c r="T205" i="115"/>
  <c r="U97" i="115"/>
  <c r="U59" i="115"/>
  <c r="T309" i="115"/>
  <c r="T287" i="115"/>
  <c r="V108" i="115"/>
  <c r="T129" i="115"/>
  <c r="V61" i="115"/>
  <c r="T297" i="115"/>
  <c r="AL107" i="115"/>
  <c r="AL88" i="115"/>
  <c r="T130" i="115"/>
  <c r="T206" i="115"/>
  <c r="T349" i="115"/>
  <c r="U111" i="115"/>
  <c r="T285" i="115"/>
  <c r="T254" i="115"/>
  <c r="T171" i="115"/>
  <c r="V71" i="115"/>
  <c r="AL21" i="115"/>
  <c r="T128" i="115"/>
  <c r="T268" i="115"/>
  <c r="AL25" i="115"/>
  <c r="T289" i="115"/>
  <c r="AL42" i="115"/>
  <c r="T393" i="115"/>
  <c r="U66" i="115"/>
  <c r="T343" i="115"/>
  <c r="T178" i="115"/>
  <c r="U79" i="115"/>
  <c r="V102" i="115"/>
  <c r="U99" i="115"/>
  <c r="T238" i="115"/>
  <c r="T281" i="115"/>
  <c r="T168" i="115"/>
  <c r="T365" i="115"/>
  <c r="T295" i="115"/>
  <c r="T286" i="115"/>
  <c r="V79" i="115"/>
  <c r="AL396" i="115"/>
  <c r="V59" i="115"/>
  <c r="T155" i="115"/>
  <c r="T267" i="115"/>
  <c r="T272" i="115"/>
  <c r="T288" i="115"/>
  <c r="T257" i="115"/>
  <c r="AL52" i="115"/>
  <c r="T175" i="115"/>
  <c r="T258" i="115"/>
  <c r="T186" i="115"/>
  <c r="V82" i="115"/>
  <c r="U72" i="115"/>
  <c r="U75" i="115"/>
  <c r="AL16" i="115"/>
  <c r="U65" i="115"/>
  <c r="U83" i="115"/>
  <c r="V114" i="115"/>
  <c r="T158" i="115"/>
  <c r="T165" i="115"/>
  <c r="T241" i="115"/>
  <c r="AL99" i="115"/>
  <c r="V115" i="115"/>
  <c r="AL86" i="115"/>
  <c r="T366" i="115"/>
  <c r="T161" i="115"/>
  <c r="U109" i="115"/>
  <c r="U110" i="115"/>
  <c r="T300" i="115"/>
  <c r="AL41" i="115"/>
  <c r="AL37" i="115"/>
  <c r="T269" i="115"/>
  <c r="T346" i="115"/>
  <c r="AL89" i="115"/>
  <c r="T369" i="115"/>
  <c r="T387" i="115"/>
  <c r="T145" i="115"/>
  <c r="AD89" i="321"/>
  <c r="AD94" i="321"/>
  <c r="AD86" i="321"/>
  <c r="AD92" i="321"/>
  <c r="AD88" i="321"/>
  <c r="AD91" i="321"/>
  <c r="AD93" i="321"/>
  <c r="AD90" i="321"/>
  <c r="AD87" i="321"/>
  <c r="T115" i="115"/>
  <c r="W115" i="115" s="1"/>
  <c r="Z115" i="115" s="1"/>
  <c r="V33" i="115"/>
  <c r="W33" i="115" s="1"/>
  <c r="Z33" i="115" s="1"/>
  <c r="AL142" i="115"/>
  <c r="P35" i="261" s="1"/>
  <c r="Q35" i="261" s="1"/>
  <c r="AL284" i="115"/>
  <c r="P68" i="265" s="1"/>
  <c r="Q68" i="265" s="1"/>
  <c r="T72" i="115"/>
  <c r="W72" i="115" s="1"/>
  <c r="Z72" i="115" s="1"/>
  <c r="T122" i="115"/>
  <c r="T121" i="115" s="1"/>
  <c r="T230" i="115"/>
  <c r="T229" i="115" s="1"/>
  <c r="AL58" i="115"/>
  <c r="AL57" i="115" s="1"/>
  <c r="T97" i="115"/>
  <c r="W97" i="115" s="1"/>
  <c r="Z97" i="115" s="1"/>
  <c r="AL130" i="115"/>
  <c r="P23" i="261" s="1"/>
  <c r="Q23" i="261" s="1"/>
  <c r="AL219" i="115"/>
  <c r="P23" i="258" s="1"/>
  <c r="Q23" i="258" s="1"/>
  <c r="T88" i="115"/>
  <c r="W88" i="115" s="1"/>
  <c r="Z88" i="115" s="1"/>
  <c r="V55" i="115"/>
  <c r="W55" i="115" s="1"/>
  <c r="Z55" i="115" s="1"/>
  <c r="V23" i="115"/>
  <c r="W23" i="115" s="1"/>
  <c r="Z23" i="115" s="1"/>
  <c r="AL385" i="115"/>
  <c r="P82" i="264" s="1"/>
  <c r="Q82" i="264" s="1"/>
  <c r="V43" i="115"/>
  <c r="W43" i="115" s="1"/>
  <c r="Z43" i="115" s="1"/>
  <c r="AL376" i="115"/>
  <c r="P73" i="264" s="1"/>
  <c r="Q73" i="264" s="1"/>
  <c r="T65" i="115"/>
  <c r="W65" i="115" s="1"/>
  <c r="Z65" i="115" s="1"/>
  <c r="AL377" i="115"/>
  <c r="P74" i="264" s="1"/>
  <c r="Q74" i="264" s="1"/>
  <c r="AL264" i="115"/>
  <c r="P48" i="265" s="1"/>
  <c r="Q48" i="265" s="1"/>
  <c r="V37" i="115"/>
  <c r="W37" i="115" s="1"/>
  <c r="Z37" i="115" s="1"/>
  <c r="V46" i="115"/>
  <c r="W46" i="115" s="1"/>
  <c r="Z46" i="115" s="1"/>
  <c r="V31" i="115"/>
  <c r="W31" i="115" s="1"/>
  <c r="Z31" i="115" s="1"/>
  <c r="AL183" i="115"/>
  <c r="P76" i="261" s="1"/>
  <c r="Q76" i="261" s="1"/>
  <c r="T71" i="115"/>
  <c r="W71" i="115" s="1"/>
  <c r="Z71" i="115" s="1"/>
  <c r="AL306" i="115"/>
  <c r="P90" i="265" s="1"/>
  <c r="Q90" i="265" s="1"/>
  <c r="AL249" i="115"/>
  <c r="P33" i="265" s="1"/>
  <c r="Q33" i="265" s="1"/>
  <c r="AL199" i="115"/>
  <c r="P92" i="261" s="1"/>
  <c r="Q92" i="261" s="1"/>
  <c r="AL143" i="115"/>
  <c r="P36" i="261" s="1"/>
  <c r="Q36" i="261" s="1"/>
  <c r="AL371" i="115"/>
  <c r="P68" i="264" s="1"/>
  <c r="Q68" i="264" s="1"/>
  <c r="V45" i="115"/>
  <c r="W45" i="115" s="1"/>
  <c r="Z45" i="115" s="1"/>
  <c r="AL218" i="115"/>
  <c r="P22" i="258" s="1"/>
  <c r="Q22" i="258" s="1"/>
  <c r="T104" i="115"/>
  <c r="W104" i="115" s="1"/>
  <c r="Z104" i="115" s="1"/>
  <c r="AL180" i="115"/>
  <c r="P73" i="261" s="1"/>
  <c r="Q73" i="261" s="1"/>
  <c r="AL276" i="115"/>
  <c r="P60" i="265" s="1"/>
  <c r="Q60" i="265" s="1"/>
  <c r="T76" i="115"/>
  <c r="W76" i="115" s="1"/>
  <c r="Z76" i="115" s="1"/>
  <c r="V47" i="115"/>
  <c r="W47" i="115" s="1"/>
  <c r="Z47" i="115" s="1"/>
  <c r="AL159" i="115"/>
  <c r="P52" i="261" s="1"/>
  <c r="Q52" i="261" s="1"/>
  <c r="AL269" i="115"/>
  <c r="P53" i="265" s="1"/>
  <c r="Q53" i="265" s="1"/>
  <c r="AL164" i="115"/>
  <c r="P57" i="261" s="1"/>
  <c r="Q57" i="261" s="1"/>
  <c r="AL292" i="115"/>
  <c r="P76" i="265" s="1"/>
  <c r="Q76" i="265" s="1"/>
  <c r="T78" i="115"/>
  <c r="W78" i="115" s="1"/>
  <c r="Z78" i="115" s="1"/>
  <c r="AL157" i="115"/>
  <c r="P50" i="261" s="1"/>
  <c r="Q50" i="261" s="1"/>
  <c r="AL452" i="115"/>
  <c r="P70" i="262" s="1"/>
  <c r="Q70" i="262" s="1"/>
  <c r="V39" i="115"/>
  <c r="W39" i="115" s="1"/>
  <c r="Z39" i="115" s="1"/>
  <c r="AL363" i="115"/>
  <c r="P60" i="264" s="1"/>
  <c r="Q60" i="264" s="1"/>
  <c r="AL216" i="115"/>
  <c r="P20" i="258" s="1"/>
  <c r="Q20" i="258" s="1"/>
  <c r="AL348" i="115"/>
  <c r="P45" i="264" s="1"/>
  <c r="Q45" i="264" s="1"/>
  <c r="T94" i="115"/>
  <c r="W94" i="115" s="1"/>
  <c r="Z94" i="115" s="1"/>
  <c r="AL166" i="115"/>
  <c r="P59" i="261" s="1"/>
  <c r="Q59" i="261" s="1"/>
  <c r="T116" i="115"/>
  <c r="W116" i="115" s="1"/>
  <c r="Z116" i="115" s="1"/>
  <c r="V25" i="115"/>
  <c r="W25" i="115" s="1"/>
  <c r="Z25" i="115" s="1"/>
  <c r="AL247" i="115"/>
  <c r="P31" i="265" s="1"/>
  <c r="Q31" i="265" s="1"/>
  <c r="AL359" i="115"/>
  <c r="P56" i="264" s="1"/>
  <c r="Q56" i="264" s="1"/>
  <c r="AL267" i="115"/>
  <c r="P51" i="265" s="1"/>
  <c r="Q51" i="265" s="1"/>
  <c r="V21" i="115"/>
  <c r="W21" i="115" s="1"/>
  <c r="Z21" i="115" s="1"/>
  <c r="AL273" i="115"/>
  <c r="P57" i="265" s="1"/>
  <c r="Q57" i="265" s="1"/>
  <c r="T103" i="115"/>
  <c r="W103" i="115" s="1"/>
  <c r="Z103" i="115" s="1"/>
  <c r="V18" i="115"/>
  <c r="W18" i="115" s="1"/>
  <c r="Z18" i="115" s="1"/>
  <c r="T112" i="115"/>
  <c r="W112" i="115" s="1"/>
  <c r="Z112" i="115" s="1"/>
  <c r="T109" i="115"/>
  <c r="W109" i="115" s="1"/>
  <c r="Z109" i="115" s="1"/>
  <c r="AL214" i="115"/>
  <c r="P18" i="258" s="1"/>
  <c r="Q18" i="258" s="1"/>
  <c r="AL250" i="115"/>
  <c r="P34" i="265" s="1"/>
  <c r="Q34" i="265" s="1"/>
  <c r="AL370" i="115"/>
  <c r="P67" i="264" s="1"/>
  <c r="Q67" i="264" s="1"/>
  <c r="AL364" i="115"/>
  <c r="P61" i="264" s="1"/>
  <c r="Q61" i="264" s="1"/>
  <c r="AL290" i="115"/>
  <c r="P74" i="265" s="1"/>
  <c r="Q74" i="265" s="1"/>
  <c r="V16" i="115"/>
  <c r="W16" i="115" s="1"/>
  <c r="Z16" i="115" s="1"/>
  <c r="AL307" i="115"/>
  <c r="P91" i="265" s="1"/>
  <c r="Q91" i="265" s="1"/>
  <c r="AL311" i="115"/>
  <c r="P95" i="265" s="1"/>
  <c r="Q95" i="265" s="1"/>
  <c r="AL265" i="115"/>
  <c r="P49" i="265" s="1"/>
  <c r="Q49" i="265" s="1"/>
  <c r="T82" i="115"/>
  <c r="W82" i="115" s="1"/>
  <c r="Z82" i="115" s="1"/>
  <c r="T77" i="115"/>
  <c r="W77" i="115" s="1"/>
  <c r="Z77" i="115" s="1"/>
  <c r="T63" i="115"/>
  <c r="W63" i="115" s="1"/>
  <c r="Z63" i="115" s="1"/>
  <c r="AL374" i="115"/>
  <c r="P71" i="264" s="1"/>
  <c r="Q71" i="264" s="1"/>
  <c r="AL215" i="115"/>
  <c r="P19" i="258" s="1"/>
  <c r="Q19" i="258" s="1"/>
  <c r="T91" i="115"/>
  <c r="AL234" i="115"/>
  <c r="P18" i="265" s="1"/>
  <c r="Q18" i="265" s="1"/>
  <c r="T317" i="115"/>
  <c r="T316" i="115" s="1"/>
  <c r="AL211" i="115"/>
  <c r="P15" i="258" s="1"/>
  <c r="Q15" i="258" s="1"/>
  <c r="T70" i="115"/>
  <c r="W70" i="115" s="1"/>
  <c r="Z70" i="115" s="1"/>
  <c r="V48" i="115"/>
  <c r="W48" i="115" s="1"/>
  <c r="Z48" i="115" s="1"/>
  <c r="V15" i="115"/>
  <c r="W15" i="115" s="1"/>
  <c r="Z15" i="115" s="1"/>
  <c r="AL258" i="115"/>
  <c r="P42" i="265" s="1"/>
  <c r="Q42" i="265" s="1"/>
  <c r="T117" i="115"/>
  <c r="W117" i="115" s="1"/>
  <c r="Z117" i="115" s="1"/>
  <c r="AL165" i="115"/>
  <c r="P58" i="261" s="1"/>
  <c r="Q58" i="261" s="1"/>
  <c r="T83" i="115"/>
  <c r="W83" i="115" s="1"/>
  <c r="Z83" i="115" s="1"/>
  <c r="T106" i="115"/>
  <c r="W106" i="115" s="1"/>
  <c r="Z106" i="115" s="1"/>
  <c r="AL213" i="115"/>
  <c r="P17" i="258" s="1"/>
  <c r="Q17" i="258" s="1"/>
  <c r="V51" i="115"/>
  <c r="W51" i="115" s="1"/>
  <c r="Z51" i="115" s="1"/>
  <c r="AL207" i="115"/>
  <c r="P100" i="261" s="1"/>
  <c r="Q100" i="261" s="1"/>
  <c r="V14" i="115"/>
  <c r="W14" i="115" s="1"/>
  <c r="Z14" i="115" s="1"/>
  <c r="AL237" i="115"/>
  <c r="P21" i="265" s="1"/>
  <c r="Q21" i="265" s="1"/>
  <c r="T84" i="115"/>
  <c r="W84" i="115" s="1"/>
  <c r="Z84" i="115" s="1"/>
  <c r="AL236" i="115"/>
  <c r="P20" i="265" s="1"/>
  <c r="Q20" i="265" s="1"/>
  <c r="T60" i="115"/>
  <c r="W60" i="115" s="1"/>
  <c r="Z60" i="115" s="1"/>
  <c r="T101" i="115"/>
  <c r="W101" i="115" s="1"/>
  <c r="Z101" i="115" s="1"/>
  <c r="T87" i="115"/>
  <c r="W87" i="115" s="1"/>
  <c r="Z87" i="115" s="1"/>
  <c r="V22" i="115"/>
  <c r="W22" i="115" s="1"/>
  <c r="Z22" i="115" s="1"/>
  <c r="V40" i="115"/>
  <c r="W40" i="115" s="1"/>
  <c r="Z40" i="115" s="1"/>
  <c r="AL321" i="115"/>
  <c r="P18" i="264" s="1"/>
  <c r="Q18" i="264" s="1"/>
  <c r="T107" i="115"/>
  <c r="W107" i="115" s="1"/>
  <c r="Z107" i="115" s="1"/>
  <c r="T66" i="115"/>
  <c r="W66" i="115" s="1"/>
  <c r="Z66" i="115" s="1"/>
  <c r="AL252" i="115"/>
  <c r="P36" i="265" s="1"/>
  <c r="Q36" i="265" s="1"/>
  <c r="AL243" i="115"/>
  <c r="P27" i="265" s="1"/>
  <c r="Q27" i="265" s="1"/>
  <c r="T111" i="115"/>
  <c r="W111" i="115" s="1"/>
  <c r="Z111" i="115" s="1"/>
  <c r="R87" i="321"/>
  <c r="U87" i="321" s="1"/>
  <c r="V41" i="115"/>
  <c r="W41" i="115" s="1"/>
  <c r="Z41" i="115" s="1"/>
  <c r="T118" i="115"/>
  <c r="W118" i="115" s="1"/>
  <c r="Z118" i="115" s="1"/>
  <c r="AL378" i="115"/>
  <c r="P75" i="264" s="1"/>
  <c r="Q75" i="264" s="1"/>
  <c r="AL289" i="115"/>
  <c r="P73" i="265" s="1"/>
  <c r="Q73" i="265" s="1"/>
  <c r="V38" i="115"/>
  <c r="W38" i="115" s="1"/>
  <c r="Z38" i="115" s="1"/>
  <c r="AL189" i="115"/>
  <c r="P82" i="261" s="1"/>
  <c r="Q82" i="261" s="1"/>
  <c r="AL278" i="115"/>
  <c r="P62" i="265" s="1"/>
  <c r="Q62" i="265" s="1"/>
  <c r="AL254" i="115"/>
  <c r="P38" i="265" s="1"/>
  <c r="Q38" i="265" s="1"/>
  <c r="AL186" i="115"/>
  <c r="P79" i="261" s="1"/>
  <c r="Q79" i="261" s="1"/>
  <c r="V53" i="115"/>
  <c r="W53" i="115" s="1"/>
  <c r="Z53" i="115" s="1"/>
  <c r="AL380" i="115"/>
  <c r="P77" i="264" s="1"/>
  <c r="Q77" i="264" s="1"/>
  <c r="AL201" i="115"/>
  <c r="P94" i="261" s="1"/>
  <c r="Q94" i="261" s="1"/>
  <c r="T85" i="115"/>
  <c r="W85" i="115" s="1"/>
  <c r="Z85" i="115" s="1"/>
  <c r="AL262" i="115"/>
  <c r="P46" i="265" s="1"/>
  <c r="Q46" i="265" s="1"/>
  <c r="T110" i="115"/>
  <c r="W110" i="115" s="1"/>
  <c r="Z110" i="115" s="1"/>
  <c r="AL381" i="115"/>
  <c r="P78" i="264" s="1"/>
  <c r="Q78" i="264" s="1"/>
  <c r="AL295" i="115"/>
  <c r="P79" i="265" s="1"/>
  <c r="Q79" i="265" s="1"/>
  <c r="V30" i="115"/>
  <c r="W30" i="115" s="1"/>
  <c r="Z30" i="115" s="1"/>
  <c r="AL349" i="115"/>
  <c r="P46" i="264" s="1"/>
  <c r="Q46" i="264" s="1"/>
  <c r="V28" i="115"/>
  <c r="W28" i="115" s="1"/>
  <c r="Z28" i="115" s="1"/>
  <c r="AL197" i="115"/>
  <c r="P90" i="261" s="1"/>
  <c r="Q90" i="261" s="1"/>
  <c r="T89" i="115"/>
  <c r="W89" i="115" s="1"/>
  <c r="Z89" i="115" s="1"/>
  <c r="T98" i="115"/>
  <c r="W98" i="115" s="1"/>
  <c r="Z98" i="115" s="1"/>
  <c r="AL263" i="115"/>
  <c r="P47" i="265" s="1"/>
  <c r="Q47" i="265" s="1"/>
  <c r="AL217" i="115"/>
  <c r="P21" i="258" s="1"/>
  <c r="Q21" i="258" s="1"/>
  <c r="T59" i="115"/>
  <c r="W59" i="115" s="1"/>
  <c r="Z59" i="115" s="1"/>
  <c r="AL248" i="115"/>
  <c r="P32" i="265" s="1"/>
  <c r="Q32" i="265" s="1"/>
  <c r="AL256" i="115"/>
  <c r="P40" i="265" s="1"/>
  <c r="Q40" i="265" s="1"/>
  <c r="AL173" i="115"/>
  <c r="P66" i="261" s="1"/>
  <c r="Q66" i="261" s="1"/>
  <c r="AL384" i="115"/>
  <c r="P81" i="264" s="1"/>
  <c r="Q81" i="264" s="1"/>
  <c r="T64" i="115"/>
  <c r="W64" i="115" s="1"/>
  <c r="Z64" i="115" s="1"/>
  <c r="V17" i="115"/>
  <c r="W17" i="115" s="1"/>
  <c r="Z17" i="115" s="1"/>
  <c r="V42" i="115"/>
  <c r="W42" i="115" s="1"/>
  <c r="Z42" i="115" s="1"/>
  <c r="V26" i="115"/>
  <c r="W26" i="115" s="1"/>
  <c r="Z26" i="115" s="1"/>
  <c r="AL302" i="115"/>
  <c r="P86" i="265" s="1"/>
  <c r="Q86" i="265" s="1"/>
  <c r="V20" i="115"/>
  <c r="W20" i="115" s="1"/>
  <c r="Z20" i="115" s="1"/>
  <c r="AL343" i="115"/>
  <c r="P40" i="264" s="1"/>
  <c r="Q40" i="264" s="1"/>
  <c r="V19" i="115"/>
  <c r="W19" i="115" s="1"/>
  <c r="Z19" i="115" s="1"/>
  <c r="U58" i="115"/>
  <c r="U57" i="115" s="1"/>
  <c r="U10" i="115" s="1"/>
  <c r="U461" i="115" s="1"/>
  <c r="U469" i="115" s="1"/>
  <c r="T69" i="115"/>
  <c r="W69" i="115" s="1"/>
  <c r="Z69" i="115" s="1"/>
  <c r="AL375" i="115"/>
  <c r="P72" i="264" s="1"/>
  <c r="Q72" i="264" s="1"/>
  <c r="V32" i="115"/>
  <c r="W32" i="115" s="1"/>
  <c r="Z32" i="115" s="1"/>
  <c r="T113" i="115"/>
  <c r="W113" i="115" s="1"/>
  <c r="Z113" i="115" s="1"/>
  <c r="AL358" i="115"/>
  <c r="P55" i="264" s="1"/>
  <c r="Q55" i="264" s="1"/>
  <c r="AL330" i="115"/>
  <c r="P27" i="264" s="1"/>
  <c r="Q27" i="264" s="1"/>
  <c r="T102" i="115"/>
  <c r="W102" i="115" s="1"/>
  <c r="Z102" i="115" s="1"/>
  <c r="V52" i="115"/>
  <c r="W52" i="115" s="1"/>
  <c r="Z52" i="115" s="1"/>
  <c r="AL357" i="115"/>
  <c r="P54" i="264" s="1"/>
  <c r="Q54" i="264" s="1"/>
  <c r="AL241" i="115"/>
  <c r="P25" i="265" s="1"/>
  <c r="Q25" i="265" s="1"/>
  <c r="AL365" i="115"/>
  <c r="P62" i="264" s="1"/>
  <c r="Q62" i="264" s="1"/>
  <c r="AL246" i="115"/>
  <c r="P30" i="265" s="1"/>
  <c r="Q30" i="265" s="1"/>
  <c r="AL259" i="115"/>
  <c r="P43" i="265" s="1"/>
  <c r="Q43" i="265" s="1"/>
  <c r="R94" i="321"/>
  <c r="U94" i="321" s="1"/>
  <c r="W339" i="115"/>
  <c r="K36" i="264" s="1"/>
  <c r="N36" i="264" s="1"/>
  <c r="W136" i="115"/>
  <c r="Z136" i="115" s="1"/>
  <c r="AL304" i="115"/>
  <c r="P88" i="265" s="1"/>
  <c r="Q88" i="265" s="1"/>
  <c r="T96" i="115"/>
  <c r="W96" i="115" s="1"/>
  <c r="Z96" i="115" s="1"/>
  <c r="AL220" i="115"/>
  <c r="P24" i="258" s="1"/>
  <c r="Q24" i="258" s="1"/>
  <c r="T75" i="115"/>
  <c r="W75" i="115" s="1"/>
  <c r="Z75" i="115" s="1"/>
  <c r="V34" i="115"/>
  <c r="W34" i="115" s="1"/>
  <c r="Z34" i="115" s="1"/>
  <c r="H90" i="257"/>
  <c r="J90" i="257" s="1"/>
  <c r="L90" i="257" s="1"/>
  <c r="N90" i="257" s="1"/>
  <c r="R92" i="321"/>
  <c r="U92" i="321" s="1"/>
  <c r="R86" i="321"/>
  <c r="U86" i="321" s="1"/>
  <c r="H98" i="257"/>
  <c r="J98" i="257" s="1"/>
  <c r="L98" i="257" s="1"/>
  <c r="H91" i="257"/>
  <c r="J91" i="257" s="1"/>
  <c r="L91" i="257" s="1"/>
  <c r="N91" i="257" s="1"/>
  <c r="H92" i="257"/>
  <c r="J92" i="257" s="1"/>
  <c r="L92" i="257" s="1"/>
  <c r="N92" i="257" s="1"/>
  <c r="H94" i="257"/>
  <c r="J94" i="257" s="1"/>
  <c r="L94" i="257" s="1"/>
  <c r="N94" i="257" s="1"/>
  <c r="W164" i="115"/>
  <c r="Z164" i="115" s="1"/>
  <c r="W371" i="115"/>
  <c r="K68" i="264" s="1"/>
  <c r="N68" i="264" s="1"/>
  <c r="W157" i="115"/>
  <c r="Z157" i="115" s="1"/>
  <c r="W262" i="115"/>
  <c r="K46" i="265" s="1"/>
  <c r="N46" i="265" s="1"/>
  <c r="W269" i="115"/>
  <c r="Z269" i="115" s="1"/>
  <c r="W306" i="115"/>
  <c r="K90" i="265" s="1"/>
  <c r="N90" i="265" s="1"/>
  <c r="W293" i="115"/>
  <c r="K77" i="265" s="1"/>
  <c r="N77" i="265" s="1"/>
  <c r="AL271" i="115"/>
  <c r="P55" i="265" s="1"/>
  <c r="Q55" i="265" s="1"/>
  <c r="W374" i="115"/>
  <c r="Z374" i="115" s="1"/>
  <c r="W310" i="115"/>
  <c r="Z310" i="115" s="1"/>
  <c r="W243" i="115"/>
  <c r="K27" i="265" s="1"/>
  <c r="N27" i="265" s="1"/>
  <c r="O27" i="265" s="1"/>
  <c r="W325" i="115"/>
  <c r="Z325" i="115" s="1"/>
  <c r="W291" i="115"/>
  <c r="K75" i="265" s="1"/>
  <c r="N75" i="265" s="1"/>
  <c r="V58" i="115"/>
  <c r="V57" i="115" s="1"/>
  <c r="T80" i="115"/>
  <c r="W80" i="115" s="1"/>
  <c r="Z80" i="115" s="1"/>
  <c r="R90" i="321"/>
  <c r="U90" i="321" s="1"/>
  <c r="R88" i="321"/>
  <c r="U88" i="321" s="1"/>
  <c r="R93" i="321"/>
  <c r="U93" i="321" s="1"/>
  <c r="R91" i="321"/>
  <c r="U91" i="321" s="1"/>
  <c r="W183" i="115"/>
  <c r="Z183" i="115" s="1"/>
  <c r="W344" i="115"/>
  <c r="Z344" i="115" s="1"/>
  <c r="T452" i="115"/>
  <c r="W452" i="115" s="1"/>
  <c r="W334" i="115"/>
  <c r="K31" i="264" s="1"/>
  <c r="N31" i="264" s="1"/>
  <c r="V49" i="115"/>
  <c r="W49" i="115" s="1"/>
  <c r="Z49" i="115" s="1"/>
  <c r="W143" i="115"/>
  <c r="Z143" i="115" s="1"/>
  <c r="W180" i="115"/>
  <c r="K73" i="261" s="1"/>
  <c r="N73" i="261" s="1"/>
  <c r="W377" i="115"/>
  <c r="W201" i="115"/>
  <c r="W207" i="115"/>
  <c r="K100" i="261" s="1"/>
  <c r="N100" i="261" s="1"/>
  <c r="W351" i="115"/>
  <c r="W367" i="115"/>
  <c r="K64" i="264" s="1"/>
  <c r="N64" i="264" s="1"/>
  <c r="W369" i="115"/>
  <c r="Z369" i="115" s="1"/>
  <c r="W205" i="115"/>
  <c r="Z205" i="115" s="1"/>
  <c r="W389" i="115"/>
  <c r="T67" i="115"/>
  <c r="W67" i="115" s="1"/>
  <c r="Z67" i="115" s="1"/>
  <c r="AL240" i="115"/>
  <c r="P24" i="265" s="1"/>
  <c r="Q24" i="265" s="1"/>
  <c r="AL297" i="115"/>
  <c r="P81" i="265" s="1"/>
  <c r="Q81" i="265" s="1"/>
  <c r="AL283" i="115"/>
  <c r="P67" i="265" s="1"/>
  <c r="Q67" i="265" s="1"/>
  <c r="W186" i="115"/>
  <c r="Z186" i="115" s="1"/>
  <c r="AL255" i="115"/>
  <c r="P39" i="265" s="1"/>
  <c r="Q39" i="265" s="1"/>
  <c r="W273" i="115"/>
  <c r="AN273" i="115" s="1"/>
  <c r="T420" i="115"/>
  <c r="W420" i="115" s="1"/>
  <c r="W137" i="115"/>
  <c r="K30" i="261" s="1"/>
  <c r="N30" i="261" s="1"/>
  <c r="T81" i="115"/>
  <c r="W81" i="115" s="1"/>
  <c r="Z81" i="115" s="1"/>
  <c r="T99" i="115"/>
  <c r="W99" i="115" s="1"/>
  <c r="Z99" i="115" s="1"/>
  <c r="T108" i="115"/>
  <c r="W108" i="115" s="1"/>
  <c r="Z108" i="115" s="1"/>
  <c r="AL251" i="115"/>
  <c r="P35" i="265" s="1"/>
  <c r="Q35" i="265" s="1"/>
  <c r="V29" i="115"/>
  <c r="W29" i="115" s="1"/>
  <c r="Z29" i="115" s="1"/>
  <c r="T73" i="115"/>
  <c r="W73" i="115" s="1"/>
  <c r="Z73" i="115" s="1"/>
  <c r="AL244" i="115"/>
  <c r="P28" i="265" s="1"/>
  <c r="Q28" i="265" s="1"/>
  <c r="V50" i="115"/>
  <c r="W50" i="115" s="1"/>
  <c r="Z50" i="115" s="1"/>
  <c r="W231" i="115"/>
  <c r="Z231" i="115" s="1"/>
  <c r="W304" i="115"/>
  <c r="Z304" i="115" s="1"/>
  <c r="AL301" i="115"/>
  <c r="P85" i="265" s="1"/>
  <c r="Q85" i="265" s="1"/>
  <c r="AL367" i="115"/>
  <c r="P64" i="264" s="1"/>
  <c r="Q64" i="264" s="1"/>
  <c r="T92" i="115"/>
  <c r="W92" i="115" s="1"/>
  <c r="Z92" i="115" s="1"/>
  <c r="T114" i="115"/>
  <c r="W114" i="115" s="1"/>
  <c r="Z114" i="115" s="1"/>
  <c r="T74" i="115"/>
  <c r="W74" i="115" s="1"/>
  <c r="Z74" i="115" s="1"/>
  <c r="W343" i="115"/>
  <c r="Z343" i="115" s="1"/>
  <c r="W265" i="115"/>
  <c r="AL281" i="115"/>
  <c r="P65" i="265" s="1"/>
  <c r="Q65" i="265" s="1"/>
  <c r="T86" i="115"/>
  <c r="W86" i="115" s="1"/>
  <c r="Z86" i="115" s="1"/>
  <c r="V54" i="115"/>
  <c r="W54" i="115" s="1"/>
  <c r="Z54" i="115" s="1"/>
  <c r="AL286" i="115"/>
  <c r="P70" i="265" s="1"/>
  <c r="Q70" i="265" s="1"/>
  <c r="W275" i="115"/>
  <c r="K59" i="265" s="1"/>
  <c r="N59" i="265" s="1"/>
  <c r="AL253" i="115"/>
  <c r="P37" i="265" s="1"/>
  <c r="Q37" i="265" s="1"/>
  <c r="W361" i="115"/>
  <c r="W302" i="115"/>
  <c r="Z302" i="115" s="1"/>
  <c r="T95" i="115"/>
  <c r="W95" i="115" s="1"/>
  <c r="Z95" i="115" s="1"/>
  <c r="AL257" i="115"/>
  <c r="P41" i="265" s="1"/>
  <c r="Q41" i="265" s="1"/>
  <c r="AL285" i="115"/>
  <c r="P69" i="265" s="1"/>
  <c r="Q69" i="265" s="1"/>
  <c r="T61" i="115"/>
  <c r="W61" i="115" s="1"/>
  <c r="Z61" i="115" s="1"/>
  <c r="R89" i="321"/>
  <c r="U89" i="321" s="1"/>
  <c r="H95" i="257"/>
  <c r="J95" i="257" s="1"/>
  <c r="L95" i="257" s="1"/>
  <c r="N95" i="257" s="1"/>
  <c r="H93" i="257"/>
  <c r="J93" i="257" s="1"/>
  <c r="L93" i="257" s="1"/>
  <c r="N93" i="257" s="1"/>
  <c r="H97" i="257"/>
  <c r="J97" i="257" s="1"/>
  <c r="L97" i="257" s="1"/>
  <c r="W376" i="115"/>
  <c r="W142" i="115"/>
  <c r="Z142" i="115" s="1"/>
  <c r="W166" i="115"/>
  <c r="Z166" i="115" s="1"/>
  <c r="W123" i="115"/>
  <c r="Z123" i="115" s="1"/>
  <c r="W197" i="115"/>
  <c r="Z197" i="115" s="1"/>
  <c r="W311" i="115"/>
  <c r="K95" i="265" s="1"/>
  <c r="N95" i="265" s="1"/>
  <c r="W199" i="115"/>
  <c r="Z199" i="115" s="1"/>
  <c r="W370" i="115"/>
  <c r="Z370" i="115" s="1"/>
  <c r="W165" i="115"/>
  <c r="Z165" i="115" s="1"/>
  <c r="W345" i="115"/>
  <c r="Z345" i="115" s="1"/>
  <c r="W159" i="115"/>
  <c r="Z159" i="115" s="1"/>
  <c r="AL305" i="115"/>
  <c r="P89" i="265" s="1"/>
  <c r="Q89" i="265" s="1"/>
  <c r="AL239" i="115"/>
  <c r="P23" i="265" s="1"/>
  <c r="Q23" i="265" s="1"/>
  <c r="AL231" i="115"/>
  <c r="P15" i="265" s="1"/>
  <c r="Q15" i="265" s="1"/>
  <c r="W359" i="115"/>
  <c r="Z359" i="115" s="1"/>
  <c r="W266" i="115"/>
  <c r="K50" i="265" s="1"/>
  <c r="N50" i="265" s="1"/>
  <c r="T68" i="115"/>
  <c r="AL308" i="115"/>
  <c r="P92" i="265" s="1"/>
  <c r="Q92" i="265" s="1"/>
  <c r="AL350" i="115"/>
  <c r="P47" i="264" s="1"/>
  <c r="Q47" i="264" s="1"/>
  <c r="W307" i="115"/>
  <c r="K91" i="265" s="1"/>
  <c r="N91" i="265" s="1"/>
  <c r="O91" i="265" s="1"/>
  <c r="AL196" i="115"/>
  <c r="P89" i="261" s="1"/>
  <c r="Q89" i="261" s="1"/>
  <c r="AL272" i="115"/>
  <c r="P56" i="265" s="1"/>
  <c r="Q56" i="265" s="1"/>
  <c r="V24" i="115"/>
  <c r="W24" i="115" s="1"/>
  <c r="Z24" i="115" s="1"/>
  <c r="W173" i="115"/>
  <c r="Z173" i="115" s="1"/>
  <c r="AL280" i="115"/>
  <c r="P64" i="265" s="1"/>
  <c r="Q64" i="265" s="1"/>
  <c r="T105" i="115"/>
  <c r="W105" i="115" s="1"/>
  <c r="Z105" i="115" s="1"/>
  <c r="T90" i="115"/>
  <c r="W90" i="115" s="1"/>
  <c r="Z90" i="115" s="1"/>
  <c r="AL147" i="115"/>
  <c r="P40" i="261" s="1"/>
  <c r="Q40" i="261" s="1"/>
  <c r="AL369" i="115"/>
  <c r="P66" i="264" s="1"/>
  <c r="Q66" i="264" s="1"/>
  <c r="W234" i="115"/>
  <c r="K18" i="265" s="1"/>
  <c r="N18" i="265" s="1"/>
  <c r="O18" i="265" s="1"/>
  <c r="AL270" i="115"/>
  <c r="P54" i="265" s="1"/>
  <c r="Q54" i="265" s="1"/>
  <c r="W335" i="115"/>
  <c r="Z335" i="115" s="1"/>
  <c r="AL294" i="115"/>
  <c r="P78" i="265" s="1"/>
  <c r="Q78" i="265" s="1"/>
  <c r="AL334" i="115"/>
  <c r="P31" i="264" s="1"/>
  <c r="Q31" i="264" s="1"/>
  <c r="AL309" i="115"/>
  <c r="P93" i="265" s="1"/>
  <c r="Q93" i="265" s="1"/>
  <c r="T93" i="115"/>
  <c r="W93" i="115" s="1"/>
  <c r="Z93" i="115" s="1"/>
  <c r="AL344" i="115"/>
  <c r="P41" i="264" s="1"/>
  <c r="AL137" i="115"/>
  <c r="P30" i="261" s="1"/>
  <c r="Q30" i="261" s="1"/>
  <c r="AL339" i="115"/>
  <c r="P36" i="264" s="1"/>
  <c r="Q36" i="264" s="1"/>
  <c r="AL338" i="115"/>
  <c r="P35" i="264" s="1"/>
  <c r="Q35" i="264" s="1"/>
  <c r="W194" i="115"/>
  <c r="Z194" i="115" s="1"/>
  <c r="W287" i="115"/>
  <c r="K71" i="265" s="1"/>
  <c r="N71" i="265" s="1"/>
  <c r="AL274" i="115"/>
  <c r="P58" i="265" s="1"/>
  <c r="Q58" i="265" s="1"/>
  <c r="V44" i="115"/>
  <c r="W44" i="115" s="1"/>
  <c r="Z44" i="115" s="1"/>
  <c r="W271" i="115"/>
  <c r="AL242" i="115"/>
  <c r="P26" i="265" s="1"/>
  <c r="Q26" i="265" s="1"/>
  <c r="V35" i="115"/>
  <c r="W35" i="115" s="1"/>
  <c r="Z35" i="115" s="1"/>
  <c r="T119" i="115"/>
  <c r="W119" i="115" s="1"/>
  <c r="Z119" i="115" s="1"/>
  <c r="V27" i="115"/>
  <c r="W27" i="115" s="1"/>
  <c r="Z27" i="115" s="1"/>
  <c r="AL212" i="115"/>
  <c r="P16" i="258" s="1"/>
  <c r="Q16" i="258" s="1"/>
  <c r="W144" i="115"/>
  <c r="Z144" i="115" s="1"/>
  <c r="V36" i="115"/>
  <c r="W36" i="115" s="1"/>
  <c r="Z36" i="115" s="1"/>
  <c r="T79" i="115"/>
  <c r="W79" i="115" s="1"/>
  <c r="Z79" i="115" s="1"/>
  <c r="T62" i="115"/>
  <c r="W62" i="115" s="1"/>
  <c r="Z62" i="115" s="1"/>
  <c r="W151" i="115"/>
  <c r="K44" i="261" s="1"/>
  <c r="N44" i="261" s="1"/>
  <c r="AL260" i="115"/>
  <c r="P44" i="265" s="1"/>
  <c r="Q44" i="265" s="1"/>
  <c r="W363" i="115"/>
  <c r="Z363" i="115" s="1"/>
  <c r="W163" i="115"/>
  <c r="K56" i="261" s="1"/>
  <c r="N56" i="261" s="1"/>
  <c r="T459" i="115"/>
  <c r="W459" i="115" s="1"/>
  <c r="AL299" i="115"/>
  <c r="P83" i="265" s="1"/>
  <c r="Q83" i="265" s="1"/>
  <c r="AL152" i="115"/>
  <c r="P45" i="261" s="1"/>
  <c r="Q45" i="261" s="1"/>
  <c r="W155" i="115"/>
  <c r="Z155" i="115" s="1"/>
  <c r="AL346" i="115"/>
  <c r="P43" i="264" s="1"/>
  <c r="Q43" i="264" s="1"/>
  <c r="AL171" i="115"/>
  <c r="P64" i="261" s="1"/>
  <c r="Q64" i="261" s="1"/>
  <c r="AL153" i="115"/>
  <c r="P46" i="261" s="1"/>
  <c r="Q46" i="261" s="1"/>
  <c r="AL177" i="115"/>
  <c r="P70" i="261" s="1"/>
  <c r="Q70" i="261" s="1"/>
  <c r="AL187" i="115"/>
  <c r="P80" i="261" s="1"/>
  <c r="Q80" i="261" s="1"/>
  <c r="W355" i="115"/>
  <c r="Z355" i="115" s="1"/>
  <c r="W141" i="115"/>
  <c r="K34" i="261" s="1"/>
  <c r="N34" i="261" s="1"/>
  <c r="W337" i="115"/>
  <c r="Z337" i="115" s="1"/>
  <c r="AL415" i="115"/>
  <c r="P33" i="262" s="1"/>
  <c r="Q33" i="262" s="1"/>
  <c r="AL331" i="115"/>
  <c r="P28" i="264" s="1"/>
  <c r="Q28" i="264" s="1"/>
  <c r="W346" i="115"/>
  <c r="Z346" i="115" s="1"/>
  <c r="W171" i="115"/>
  <c r="Z171" i="115" s="1"/>
  <c r="W153" i="115"/>
  <c r="K46" i="261" s="1"/>
  <c r="N46" i="261" s="1"/>
  <c r="W177" i="115"/>
  <c r="K70" i="261" s="1"/>
  <c r="N70" i="261" s="1"/>
  <c r="T100" i="115"/>
  <c r="W100" i="115" s="1"/>
  <c r="Z100" i="115" s="1"/>
  <c r="W248" i="115"/>
  <c r="K32" i="265" s="1"/>
  <c r="N32" i="265" s="1"/>
  <c r="O32" i="265" s="1"/>
  <c r="AL355" i="115"/>
  <c r="P52" i="264" s="1"/>
  <c r="Q52" i="264" s="1"/>
  <c r="AL287" i="115"/>
  <c r="P71" i="265" s="1"/>
  <c r="Q71" i="265" s="1"/>
  <c r="AL341" i="115"/>
  <c r="P38" i="264" s="1"/>
  <c r="Q38" i="264" s="1"/>
  <c r="W187" i="115"/>
  <c r="K80" i="261" s="1"/>
  <c r="N80" i="261" s="1"/>
  <c r="AL423" i="115"/>
  <c r="P41" i="262" s="1"/>
  <c r="Q41" i="262" s="1"/>
  <c r="AL337" i="115"/>
  <c r="P34" i="264" s="1"/>
  <c r="Q34" i="264" s="1"/>
  <c r="W349" i="115"/>
  <c r="Z349" i="115" s="1"/>
  <c r="W152" i="115"/>
  <c r="Z152" i="115" s="1"/>
  <c r="W203" i="115"/>
  <c r="Z203" i="115" s="1"/>
  <c r="W326" i="115"/>
  <c r="Z326" i="115" s="1"/>
  <c r="W391" i="115"/>
  <c r="Z391" i="115" s="1"/>
  <c r="T415" i="115"/>
  <c r="W415" i="115" s="1"/>
  <c r="K33" i="262" s="1"/>
  <c r="N33" i="262" s="1"/>
  <c r="AL190" i="115"/>
  <c r="P83" i="261" s="1"/>
  <c r="Q83" i="261" s="1"/>
  <c r="AL131" i="115"/>
  <c r="P24" i="261" s="1"/>
  <c r="Q24" i="261" s="1"/>
  <c r="AL126" i="115"/>
  <c r="P19" i="261" s="1"/>
  <c r="Q19" i="261" s="1"/>
  <c r="AL146" i="115"/>
  <c r="P39" i="261" s="1"/>
  <c r="Q39" i="261" s="1"/>
  <c r="AL174" i="115"/>
  <c r="P67" i="261" s="1"/>
  <c r="Q67" i="261" s="1"/>
  <c r="AL438" i="115"/>
  <c r="P56" i="262" s="1"/>
  <c r="Q56" i="262" s="1"/>
  <c r="W365" i="115"/>
  <c r="K62" i="264" s="1"/>
  <c r="N62" i="264" s="1"/>
  <c r="W392" i="115"/>
  <c r="W170" i="115"/>
  <c r="Z170" i="115" s="1"/>
  <c r="W138" i="115"/>
  <c r="Z138" i="115" s="1"/>
  <c r="W176" i="115"/>
  <c r="K69" i="261" s="1"/>
  <c r="N69" i="261" s="1"/>
  <c r="W169" i="115"/>
  <c r="Z169" i="115" s="1"/>
  <c r="W329" i="115"/>
  <c r="Z329" i="115" s="1"/>
  <c r="W373" i="115"/>
  <c r="W134" i="115"/>
  <c r="K27" i="261" s="1"/>
  <c r="N27" i="261" s="1"/>
  <c r="W161" i="115"/>
  <c r="Z161" i="115" s="1"/>
  <c r="AL205" i="115"/>
  <c r="P98" i="261" s="1"/>
  <c r="Q98" i="261" s="1"/>
  <c r="W341" i="115"/>
  <c r="Z341" i="115" s="1"/>
  <c r="AL185" i="115"/>
  <c r="P78" i="261" s="1"/>
  <c r="Q78" i="261" s="1"/>
  <c r="W132" i="115"/>
  <c r="AL261" i="115"/>
  <c r="P45" i="265" s="1"/>
  <c r="Q45" i="265" s="1"/>
  <c r="W139" i="115"/>
  <c r="K32" i="261" s="1"/>
  <c r="N32" i="261" s="1"/>
  <c r="AL123" i="115"/>
  <c r="P16" i="261" s="1"/>
  <c r="Q16" i="261" s="1"/>
  <c r="W368" i="115"/>
  <c r="Z368" i="115" s="1"/>
  <c r="W350" i="115"/>
  <c r="Z350" i="115" s="1"/>
  <c r="W394" i="115"/>
  <c r="K20" i="266" s="1"/>
  <c r="N20" i="266" s="1"/>
  <c r="W366" i="115"/>
  <c r="K63" i="264" s="1"/>
  <c r="N63" i="264" s="1"/>
  <c r="W172" i="115"/>
  <c r="W175" i="115"/>
  <c r="Z175" i="115" s="1"/>
  <c r="W372" i="115"/>
  <c r="K69" i="264" s="1"/>
  <c r="N69" i="264" s="1"/>
  <c r="AL389" i="115"/>
  <c r="P15" i="266" s="1"/>
  <c r="Q15" i="266" s="1"/>
  <c r="AL326" i="115"/>
  <c r="P23" i="264" s="1"/>
  <c r="Q23" i="264" s="1"/>
  <c r="W168" i="115"/>
  <c r="Z168" i="115" s="1"/>
  <c r="W190" i="115"/>
  <c r="K83" i="261" s="1"/>
  <c r="N83" i="261" s="1"/>
  <c r="W131" i="115"/>
  <c r="Z131" i="115" s="1"/>
  <c r="W206" i="115"/>
  <c r="Z206" i="115" s="1"/>
  <c r="W126" i="115"/>
  <c r="Z126" i="115" s="1"/>
  <c r="W357" i="115"/>
  <c r="K54" i="264" s="1"/>
  <c r="N54" i="264" s="1"/>
  <c r="W146" i="115"/>
  <c r="W174" i="115"/>
  <c r="Z174" i="115" s="1"/>
  <c r="W386" i="115"/>
  <c r="W393" i="115"/>
  <c r="K19" i="266" s="1"/>
  <c r="N19" i="266" s="1"/>
  <c r="AL155" i="115"/>
  <c r="P48" i="261" s="1"/>
  <c r="Q48" i="261" s="1"/>
  <c r="T438" i="115"/>
  <c r="W438" i="115" s="1"/>
  <c r="Z438" i="115" s="1"/>
  <c r="T453" i="115"/>
  <c r="W453" i="115" s="1"/>
  <c r="Z453" i="115" s="1"/>
  <c r="T423" i="115"/>
  <c r="W423" i="115" s="1"/>
  <c r="AL392" i="115"/>
  <c r="P18" i="266" s="1"/>
  <c r="Q18" i="266" s="1"/>
  <c r="AL170" i="115"/>
  <c r="P63" i="261" s="1"/>
  <c r="Q63" i="261" s="1"/>
  <c r="AL138" i="115"/>
  <c r="P31" i="261" s="1"/>
  <c r="Q31" i="261" s="1"/>
  <c r="AL176" i="115"/>
  <c r="P69" i="261" s="1"/>
  <c r="Q69" i="261" s="1"/>
  <c r="AL169" i="115"/>
  <c r="P62" i="261" s="1"/>
  <c r="Q62" i="261" s="1"/>
  <c r="AL373" i="115"/>
  <c r="P70" i="264" s="1"/>
  <c r="Q70" i="264" s="1"/>
  <c r="W147" i="115"/>
  <c r="Z147" i="115" s="1"/>
  <c r="AL132" i="115"/>
  <c r="P25" i="261" s="1"/>
  <c r="Q25" i="261" s="1"/>
  <c r="W185" i="115"/>
  <c r="Z185" i="115" s="1"/>
  <c r="AL139" i="115"/>
  <c r="P32" i="261" s="1"/>
  <c r="Q32" i="261" s="1"/>
  <c r="AL368" i="115"/>
  <c r="P65" i="264" s="1"/>
  <c r="Q65" i="264" s="1"/>
  <c r="AL394" i="115"/>
  <c r="P20" i="266" s="1"/>
  <c r="Q20" i="266" s="1"/>
  <c r="O20" i="266" s="1"/>
  <c r="AL366" i="115"/>
  <c r="P63" i="264" s="1"/>
  <c r="Q63" i="264" s="1"/>
  <c r="O63" i="264" s="1"/>
  <c r="AL172" i="115"/>
  <c r="P65" i="261" s="1"/>
  <c r="Q65" i="261" s="1"/>
  <c r="AL372" i="115"/>
  <c r="P69" i="264" s="1"/>
  <c r="Q69" i="264" s="1"/>
  <c r="T421" i="115"/>
  <c r="W421" i="115" s="1"/>
  <c r="T400" i="115"/>
  <c r="W400" i="115" s="1"/>
  <c r="AL450" i="115"/>
  <c r="P68" i="262" s="1"/>
  <c r="Q68" i="262" s="1"/>
  <c r="T399" i="115"/>
  <c r="W399" i="115" s="1"/>
  <c r="AL329" i="115"/>
  <c r="P26" i="264" s="1"/>
  <c r="Q26" i="264" s="1"/>
  <c r="T450" i="115"/>
  <c r="W450" i="115" s="1"/>
  <c r="W375" i="115"/>
  <c r="W277" i="115"/>
  <c r="W252" i="115"/>
  <c r="W281" i="115"/>
  <c r="K65" i="265" s="1"/>
  <c r="N65" i="265" s="1"/>
  <c r="O65" i="265" s="1"/>
  <c r="T401" i="115"/>
  <c r="W401" i="115" s="1"/>
  <c r="W283" i="115"/>
  <c r="AN283" i="115" s="1"/>
  <c r="W309" i="115"/>
  <c r="Z309" i="115" s="1"/>
  <c r="W356" i="115"/>
  <c r="K53" i="264" s="1"/>
  <c r="N53" i="264" s="1"/>
  <c r="T456" i="115"/>
  <c r="W456" i="115" s="1"/>
  <c r="W286" i="115"/>
  <c r="Z286" i="115" s="1"/>
  <c r="T444" i="115"/>
  <c r="W444" i="115" s="1"/>
  <c r="W296" i="115"/>
  <c r="Z296" i="115" s="1"/>
  <c r="W133" i="115"/>
  <c r="Z133" i="115" s="1"/>
  <c r="W149" i="115"/>
  <c r="W198" i="115"/>
  <c r="Z198" i="115" s="1"/>
  <c r="W364" i="115"/>
  <c r="Z364" i="115" s="1"/>
  <c r="W279" i="115"/>
  <c r="AN279" i="115" s="1"/>
  <c r="W298" i="115"/>
  <c r="W385" i="115"/>
  <c r="Z385" i="115" s="1"/>
  <c r="W282" i="115"/>
  <c r="AN282" i="115" s="1"/>
  <c r="W256" i="115"/>
  <c r="AN256" i="115" s="1"/>
  <c r="W348" i="115"/>
  <c r="Z348" i="115" s="1"/>
  <c r="W378" i="115"/>
  <c r="Z378" i="115" s="1"/>
  <c r="T454" i="115"/>
  <c r="W454" i="115" s="1"/>
  <c r="W250" i="115"/>
  <c r="K34" i="265" s="1"/>
  <c r="N34" i="265" s="1"/>
  <c r="O34" i="265" s="1"/>
  <c r="T408" i="115"/>
  <c r="W408" i="115" s="1"/>
  <c r="AL226" i="115"/>
  <c r="P18" i="263" s="1"/>
  <c r="Q18" i="263" s="1"/>
  <c r="AL436" i="115"/>
  <c r="P54" i="262" s="1"/>
  <c r="Q54" i="262" s="1"/>
  <c r="AL416" i="115"/>
  <c r="P34" i="262" s="1"/>
  <c r="Q34" i="262" s="1"/>
  <c r="AL277" i="115"/>
  <c r="P61" i="265" s="1"/>
  <c r="Q61" i="265" s="1"/>
  <c r="AL238" i="115"/>
  <c r="P22" i="265" s="1"/>
  <c r="Q22" i="265" s="1"/>
  <c r="W246" i="115"/>
  <c r="AN246" i="115" s="1"/>
  <c r="W331" i="115"/>
  <c r="Z331" i="115" s="1"/>
  <c r="W360" i="115"/>
  <c r="Z360" i="115" s="1"/>
  <c r="T407" i="115"/>
  <c r="W407" i="115" s="1"/>
  <c r="K25" i="262" s="1"/>
  <c r="N25" i="262" s="1"/>
  <c r="AL405" i="115"/>
  <c r="P23" i="262" s="1"/>
  <c r="Q23" i="262" s="1"/>
  <c r="AL417" i="115"/>
  <c r="P35" i="262" s="1"/>
  <c r="Q35" i="262" s="1"/>
  <c r="T218" i="115"/>
  <c r="W218" i="115" s="1"/>
  <c r="AL410" i="115"/>
  <c r="P28" i="262" s="1"/>
  <c r="Q28" i="262" s="1"/>
  <c r="T411" i="115"/>
  <c r="W411" i="115" s="1"/>
  <c r="K29" i="262" s="1"/>
  <c r="N29" i="262" s="1"/>
  <c r="T227" i="115"/>
  <c r="W227" i="115" s="1"/>
  <c r="AL457" i="115"/>
  <c r="P75" i="262" s="1"/>
  <c r="Q75" i="262" s="1"/>
  <c r="W308" i="115"/>
  <c r="AN308" i="115" s="1"/>
  <c r="T216" i="115"/>
  <c r="W216" i="115" s="1"/>
  <c r="K20" i="258" s="1"/>
  <c r="T215" i="115"/>
  <c r="W215" i="115" s="1"/>
  <c r="W353" i="115"/>
  <c r="Z353" i="115" s="1"/>
  <c r="T428" i="115"/>
  <c r="W428" i="115" s="1"/>
  <c r="W160" i="115"/>
  <c r="Z160" i="115" s="1"/>
  <c r="T445" i="115"/>
  <c r="W445" i="115" s="1"/>
  <c r="Z445" i="115" s="1"/>
  <c r="T422" i="115"/>
  <c r="W422" i="115" s="1"/>
  <c r="T212" i="115"/>
  <c r="W212" i="115" s="1"/>
  <c r="AL233" i="115"/>
  <c r="P17" i="265" s="1"/>
  <c r="Q17" i="265" s="1"/>
  <c r="W352" i="115"/>
  <c r="K49" i="264" s="1"/>
  <c r="N49" i="264" s="1"/>
  <c r="T414" i="115"/>
  <c r="W414" i="115" s="1"/>
  <c r="Z414" i="115" s="1"/>
  <c r="W240" i="115"/>
  <c r="AN240" i="115" s="1"/>
  <c r="T226" i="115"/>
  <c r="W226" i="115" s="1"/>
  <c r="Z226" i="115" s="1"/>
  <c r="AL441" i="115"/>
  <c r="P59" i="262" s="1"/>
  <c r="Q59" i="262" s="1"/>
  <c r="AL401" i="115"/>
  <c r="P19" i="262" s="1"/>
  <c r="Q19" i="262" s="1"/>
  <c r="T432" i="115"/>
  <c r="W432" i="115" s="1"/>
  <c r="K50" i="262" s="1"/>
  <c r="N50" i="262" s="1"/>
  <c r="T436" i="115"/>
  <c r="W436" i="115" s="1"/>
  <c r="K54" i="262" s="1"/>
  <c r="N54" i="262" s="1"/>
  <c r="AL144" i="115"/>
  <c r="P37" i="261" s="1"/>
  <c r="Q37" i="261" s="1"/>
  <c r="AL227" i="115"/>
  <c r="P19" i="263" s="1"/>
  <c r="Q19" i="263" s="1"/>
  <c r="T416" i="115"/>
  <c r="W416" i="115" s="1"/>
  <c r="Z416" i="115" s="1"/>
  <c r="T224" i="115"/>
  <c r="W224" i="115" s="1"/>
  <c r="W254" i="115"/>
  <c r="AN254" i="115" s="1"/>
  <c r="AL198" i="115"/>
  <c r="P91" i="261" s="1"/>
  <c r="Q91" i="261" s="1"/>
  <c r="T410" i="115"/>
  <c r="W410" i="115" s="1"/>
  <c r="Z410" i="115" s="1"/>
  <c r="AL444" i="115"/>
  <c r="P62" i="262" s="1"/>
  <c r="Q62" i="262" s="1"/>
  <c r="W249" i="115"/>
  <c r="Z249" i="115" s="1"/>
  <c r="W290" i="115"/>
  <c r="AN290" i="115" s="1"/>
  <c r="AL161" i="115"/>
  <c r="P54" i="261" s="1"/>
  <c r="Q54" i="261" s="1"/>
  <c r="AL356" i="115"/>
  <c r="P53" i="264" s="1"/>
  <c r="Q53" i="264" s="1"/>
  <c r="AL296" i="115"/>
  <c r="P80" i="265" s="1"/>
  <c r="Q80" i="265" s="1"/>
  <c r="AL446" i="115"/>
  <c r="P64" i="262" s="1"/>
  <c r="Q64" i="262" s="1"/>
  <c r="AL413" i="115"/>
  <c r="P31" i="262" s="1"/>
  <c r="Q31" i="262" s="1"/>
  <c r="AL360" i="115"/>
  <c r="P57" i="264" s="1"/>
  <c r="Q57" i="264" s="1"/>
  <c r="AL448" i="115"/>
  <c r="P66" i="262" s="1"/>
  <c r="Q66" i="262" s="1"/>
  <c r="T405" i="115"/>
  <c r="W405" i="115" s="1"/>
  <c r="W268" i="115"/>
  <c r="AN268" i="115" s="1"/>
  <c r="AL133" i="115"/>
  <c r="P26" i="261" s="1"/>
  <c r="Q26" i="261" s="1"/>
  <c r="AL353" i="115"/>
  <c r="P50" i="264" s="1"/>
  <c r="Q50" i="264" s="1"/>
  <c r="T412" i="115"/>
  <c r="W412" i="115" s="1"/>
  <c r="T417" i="115"/>
  <c r="W417" i="115" s="1"/>
  <c r="K35" i="262" s="1"/>
  <c r="N35" i="262" s="1"/>
  <c r="T441" i="115"/>
  <c r="W441" i="115" s="1"/>
  <c r="Z441" i="115" s="1"/>
  <c r="T457" i="115"/>
  <c r="W457" i="115" s="1"/>
  <c r="T448" i="115"/>
  <c r="W448" i="115" s="1"/>
  <c r="AL409" i="115"/>
  <c r="P27" i="262" s="1"/>
  <c r="Q27" i="262" s="1"/>
  <c r="T409" i="115"/>
  <c r="W409" i="115" s="1"/>
  <c r="Z409" i="115" s="1"/>
  <c r="T446" i="115"/>
  <c r="W446" i="115" s="1"/>
  <c r="Z446" i="115" s="1"/>
  <c r="AL361" i="115"/>
  <c r="P58" i="264" s="1"/>
  <c r="Q58" i="264" s="1"/>
  <c r="AL430" i="115"/>
  <c r="P48" i="262" s="1"/>
  <c r="Q48" i="262" s="1"/>
  <c r="T430" i="115"/>
  <c r="W430" i="115" s="1"/>
  <c r="AL141" i="115"/>
  <c r="P34" i="261" s="1"/>
  <c r="Q34" i="261" s="1"/>
  <c r="AL414" i="115"/>
  <c r="P32" i="262" s="1"/>
  <c r="Q32" i="262" s="1"/>
  <c r="AL151" i="115"/>
  <c r="P44" i="261" s="1"/>
  <c r="Q44" i="261" s="1"/>
  <c r="O44" i="261" s="1"/>
  <c r="AL136" i="115"/>
  <c r="P29" i="261" s="1"/>
  <c r="Q29" i="261" s="1"/>
  <c r="AL224" i="115"/>
  <c r="P16" i="263" s="1"/>
  <c r="Q16" i="263" s="1"/>
  <c r="AL225" i="115"/>
  <c r="P17" i="263" s="1"/>
  <c r="Q17" i="263" s="1"/>
  <c r="AL268" i="115"/>
  <c r="P52" i="265" s="1"/>
  <c r="Q52" i="265" s="1"/>
  <c r="T403" i="115"/>
  <c r="W403" i="115" s="1"/>
  <c r="AL279" i="115"/>
  <c r="P63" i="265" s="1"/>
  <c r="Q63" i="265" s="1"/>
  <c r="AL408" i="115"/>
  <c r="P26" i="262" s="1"/>
  <c r="Q26" i="262" s="1"/>
  <c r="AL393" i="115"/>
  <c r="P19" i="266" s="1"/>
  <c r="Q19" i="266" s="1"/>
  <c r="O19" i="266" s="1"/>
  <c r="AL235" i="115"/>
  <c r="P19" i="265" s="1"/>
  <c r="Q19" i="265" s="1"/>
  <c r="AL149" i="115"/>
  <c r="P42" i="261" s="1"/>
  <c r="Q42" i="261" s="1"/>
  <c r="T214" i="115"/>
  <c r="W214" i="115" s="1"/>
  <c r="AL428" i="115"/>
  <c r="P46" i="262" s="1"/>
  <c r="Q46" i="262" s="1"/>
  <c r="T424" i="115"/>
  <c r="W424" i="115" s="1"/>
  <c r="AL424" i="115"/>
  <c r="P42" i="262" s="1"/>
  <c r="Q42" i="262" s="1"/>
  <c r="T404" i="115"/>
  <c r="W404" i="115" s="1"/>
  <c r="AL206" i="115"/>
  <c r="P99" i="261" s="1"/>
  <c r="Q99" i="261" s="1"/>
  <c r="AL451" i="115"/>
  <c r="P69" i="262" s="1"/>
  <c r="Q69" i="262" s="1"/>
  <c r="AL160" i="115"/>
  <c r="P53" i="261" s="1"/>
  <c r="Q53" i="261" s="1"/>
  <c r="AL431" i="115"/>
  <c r="P49" i="262" s="1"/>
  <c r="Q49" i="262" s="1"/>
  <c r="AL445" i="115"/>
  <c r="P63" i="262" s="1"/>
  <c r="Q63" i="262" s="1"/>
  <c r="AL266" i="115"/>
  <c r="P50" i="265" s="1"/>
  <c r="Q50" i="265" s="1"/>
  <c r="AL422" i="115"/>
  <c r="P40" i="262" s="1"/>
  <c r="Q40" i="262" s="1"/>
  <c r="AL352" i="115"/>
  <c r="P49" i="264" s="1"/>
  <c r="Q49" i="264" s="1"/>
  <c r="W253" i="115"/>
  <c r="K37" i="265" s="1"/>
  <c r="N37" i="265" s="1"/>
  <c r="O37" i="265" s="1"/>
  <c r="W381" i="115"/>
  <c r="Z381" i="115" s="1"/>
  <c r="T449" i="115"/>
  <c r="W449" i="115" s="1"/>
  <c r="AL156" i="115"/>
  <c r="P49" i="261" s="1"/>
  <c r="Q49" i="261" s="1"/>
  <c r="W295" i="115"/>
  <c r="AN295" i="115" s="1"/>
  <c r="W237" i="115"/>
  <c r="AN237" i="115" s="1"/>
  <c r="AL387" i="115"/>
  <c r="P84" i="264" s="1"/>
  <c r="Q84" i="264" s="1"/>
  <c r="AL291" i="115"/>
  <c r="P75" i="265" s="1"/>
  <c r="Q75" i="265" s="1"/>
  <c r="AL178" i="115"/>
  <c r="P71" i="261" s="1"/>
  <c r="Q71" i="261" s="1"/>
  <c r="AL335" i="115"/>
  <c r="P32" i="264" s="1"/>
  <c r="Q32" i="264" s="1"/>
  <c r="W338" i="115"/>
  <c r="K35" i="264" s="1"/>
  <c r="N35" i="264" s="1"/>
  <c r="AL303" i="115"/>
  <c r="P87" i="265" s="1"/>
  <c r="Q87" i="265" s="1"/>
  <c r="AL434" i="115"/>
  <c r="P52" i="262" s="1"/>
  <c r="Q52" i="262" s="1"/>
  <c r="T58" i="115"/>
  <c r="T57" i="115" s="1"/>
  <c r="T431" i="115"/>
  <c r="W431" i="115" s="1"/>
  <c r="W238" i="115"/>
  <c r="Z238" i="115" s="1"/>
  <c r="W148" i="115"/>
  <c r="K41" i="261" s="1"/>
  <c r="N41" i="261" s="1"/>
  <c r="T217" i="115"/>
  <c r="W217" i="115" s="1"/>
  <c r="K21" i="258" s="1"/>
  <c r="T213" i="115"/>
  <c r="W213" i="115" s="1"/>
  <c r="W300" i="115"/>
  <c r="Z300" i="115" s="1"/>
  <c r="W257" i="115"/>
  <c r="Z257" i="115" s="1"/>
  <c r="W284" i="115"/>
  <c r="K68" i="265" s="1"/>
  <c r="N68" i="265" s="1"/>
  <c r="W274" i="115"/>
  <c r="K58" i="265" s="1"/>
  <c r="N58" i="265" s="1"/>
  <c r="W263" i="115"/>
  <c r="Z263" i="115" s="1"/>
  <c r="W244" i="115"/>
  <c r="K28" i="265" s="1"/>
  <c r="N28" i="265" s="1"/>
  <c r="O28" i="265" s="1"/>
  <c r="AL232" i="115"/>
  <c r="P16" i="265" s="1"/>
  <c r="Q16" i="265" s="1"/>
  <c r="T442" i="115"/>
  <c r="W442" i="115" s="1"/>
  <c r="W387" i="115"/>
  <c r="Z387" i="115" s="1"/>
  <c r="T225" i="115"/>
  <c r="W225" i="115" s="1"/>
  <c r="K17" i="263" s="1"/>
  <c r="N17" i="263" s="1"/>
  <c r="T440" i="115"/>
  <c r="W440" i="115" s="1"/>
  <c r="K58" i="262" s="1"/>
  <c r="N58" i="262" s="1"/>
  <c r="T413" i="115"/>
  <c r="W413" i="115" s="1"/>
  <c r="W303" i="115"/>
  <c r="K87" i="265" s="1"/>
  <c r="N87" i="265" s="1"/>
  <c r="AL455" i="115"/>
  <c r="P73" i="262" s="1"/>
  <c r="Q73" i="262" s="1"/>
  <c r="AL429" i="115"/>
  <c r="P47" i="262" s="1"/>
  <c r="Q47" i="262" s="1"/>
  <c r="T406" i="115"/>
  <c r="W406" i="115" s="1"/>
  <c r="AL194" i="115"/>
  <c r="P87" i="261" s="1"/>
  <c r="Q87" i="261" s="1"/>
  <c r="AL458" i="115"/>
  <c r="P76" i="262" s="1"/>
  <c r="Q76" i="262" s="1"/>
  <c r="W196" i="115"/>
  <c r="K89" i="261" s="1"/>
  <c r="N89" i="261" s="1"/>
  <c r="W322" i="115"/>
  <c r="Z322" i="115" s="1"/>
  <c r="W318" i="115"/>
  <c r="Z318" i="115" s="1"/>
  <c r="W191" i="115"/>
  <c r="Z191" i="115" s="1"/>
  <c r="W340" i="115"/>
  <c r="Z340" i="115" s="1"/>
  <c r="W158" i="115"/>
  <c r="Z158" i="115" s="1"/>
  <c r="W255" i="115"/>
  <c r="K39" i="265" s="1"/>
  <c r="N39" i="265" s="1"/>
  <c r="W280" i="115"/>
  <c r="AN280" i="115" s="1"/>
  <c r="W289" i="115"/>
  <c r="AN289" i="115" s="1"/>
  <c r="V13" i="115"/>
  <c r="V11" i="115" s="1"/>
  <c r="W285" i="115"/>
  <c r="K69" i="265" s="1"/>
  <c r="N69" i="265" s="1"/>
  <c r="W301" i="115"/>
  <c r="AN301" i="115" s="1"/>
  <c r="W272" i="115"/>
  <c r="K56" i="265" s="1"/>
  <c r="N56" i="265" s="1"/>
  <c r="W297" i="115"/>
  <c r="AN297" i="115" s="1"/>
  <c r="W162" i="115"/>
  <c r="Z162" i="115" s="1"/>
  <c r="AL230" i="115"/>
  <c r="AL229" i="115" s="1"/>
  <c r="W232" i="115"/>
  <c r="Z232" i="115" s="1"/>
  <c r="W328" i="115"/>
  <c r="Z328" i="115" s="1"/>
  <c r="W333" i="115"/>
  <c r="Z333" i="115" s="1"/>
  <c r="W319" i="115"/>
  <c r="Z319" i="115" s="1"/>
  <c r="W313" i="115"/>
  <c r="K97" i="265" s="1"/>
  <c r="N97" i="265" s="1"/>
  <c r="O97" i="265" s="1"/>
  <c r="W195" i="115"/>
  <c r="Z195" i="115" s="1"/>
  <c r="W264" i="115"/>
  <c r="AN264" i="115" s="1"/>
  <c r="W154" i="115"/>
  <c r="Z154" i="115" s="1"/>
  <c r="W330" i="115"/>
  <c r="Z330" i="115" s="1"/>
  <c r="W233" i="115"/>
  <c r="Z233" i="115" s="1"/>
  <c r="W182" i="115"/>
  <c r="Z182" i="115" s="1"/>
  <c r="W200" i="115"/>
  <c r="Z200" i="115" s="1"/>
  <c r="W383" i="115"/>
  <c r="Z383" i="115" s="1"/>
  <c r="AL222" i="115"/>
  <c r="AL221" i="115" s="1"/>
  <c r="AL442" i="115"/>
  <c r="P60" i="262" s="1"/>
  <c r="Q60" i="262" s="1"/>
  <c r="W178" i="115"/>
  <c r="Z178" i="115" s="1"/>
  <c r="AL440" i="115"/>
  <c r="P58" i="262" s="1"/>
  <c r="Q58" i="262" s="1"/>
  <c r="AL175" i="115"/>
  <c r="P68" i="261" s="1"/>
  <c r="Q68" i="261" s="1"/>
  <c r="AL351" i="115"/>
  <c r="P48" i="264" s="1"/>
  <c r="Q48" i="264" s="1"/>
  <c r="T451" i="115"/>
  <c r="W451" i="115" s="1"/>
  <c r="AL402" i="115"/>
  <c r="P20" i="262" s="1"/>
  <c r="Q20" i="262" s="1"/>
  <c r="T429" i="115"/>
  <c r="W429" i="115" s="1"/>
  <c r="W278" i="115"/>
  <c r="K62" i="265" s="1"/>
  <c r="N62" i="265" s="1"/>
  <c r="O62" i="265" s="1"/>
  <c r="W288" i="115"/>
  <c r="K72" i="265" s="1"/>
  <c r="N72" i="265" s="1"/>
  <c r="W299" i="115"/>
  <c r="K83" i="265" s="1"/>
  <c r="N83" i="265" s="1"/>
  <c r="O83" i="265" s="1"/>
  <c r="AL163" i="115"/>
  <c r="P56" i="261" s="1"/>
  <c r="Q56" i="261" s="1"/>
  <c r="O56" i="261" s="1"/>
  <c r="W167" i="115"/>
  <c r="Z167" i="115" s="1"/>
  <c r="W192" i="115"/>
  <c r="Z192" i="115" s="1"/>
  <c r="AL432" i="115"/>
  <c r="P50" i="262" s="1"/>
  <c r="Q50" i="262" s="1"/>
  <c r="W129" i="115"/>
  <c r="Z129" i="115" s="1"/>
  <c r="W241" i="115"/>
  <c r="K25" i="265" s="1"/>
  <c r="N25" i="265" s="1"/>
  <c r="O25" i="265" s="1"/>
  <c r="AL128" i="115"/>
  <c r="P21" i="261" s="1"/>
  <c r="Q21" i="261" s="1"/>
  <c r="AL407" i="115"/>
  <c r="P25" i="262" s="1"/>
  <c r="Q25" i="262" s="1"/>
  <c r="W321" i="115"/>
  <c r="Z321" i="115" s="1"/>
  <c r="W150" i="115"/>
  <c r="Z150" i="115" s="1"/>
  <c r="AL437" i="115"/>
  <c r="P55" i="262" s="1"/>
  <c r="Q55" i="262" s="1"/>
  <c r="W327" i="115"/>
  <c r="Z327" i="115" s="1"/>
  <c r="W179" i="115"/>
  <c r="Z179" i="115" s="1"/>
  <c r="W135" i="115"/>
  <c r="Z135" i="115" s="1"/>
  <c r="W242" i="115"/>
  <c r="K26" i="265" s="1"/>
  <c r="N26" i="265" s="1"/>
  <c r="O26" i="265" s="1"/>
  <c r="W380" i="115"/>
  <c r="K77" i="264" s="1"/>
  <c r="N77" i="264" s="1"/>
  <c r="W125" i="115"/>
  <c r="K18" i="261" s="1"/>
  <c r="N18" i="261" s="1"/>
  <c r="W124" i="115"/>
  <c r="Z124" i="115" s="1"/>
  <c r="W276" i="115"/>
  <c r="K60" i="265" s="1"/>
  <c r="N60" i="265" s="1"/>
  <c r="AL127" i="115"/>
  <c r="P20" i="261" s="1"/>
  <c r="Q20" i="261" s="1"/>
  <c r="W235" i="115"/>
  <c r="K19" i="265" s="1"/>
  <c r="N19" i="265" s="1"/>
  <c r="AL134" i="115"/>
  <c r="P27" i="261" s="1"/>
  <c r="Q27" i="261" s="1"/>
  <c r="W332" i="115"/>
  <c r="Z332" i="115" s="1"/>
  <c r="W130" i="115"/>
  <c r="Z130" i="115" s="1"/>
  <c r="W145" i="115"/>
  <c r="Z145" i="115" s="1"/>
  <c r="AL188" i="115"/>
  <c r="P81" i="261" s="1"/>
  <c r="Q81" i="261" s="1"/>
  <c r="AL433" i="115"/>
  <c r="P51" i="262" s="1"/>
  <c r="Q51" i="262" s="1"/>
  <c r="W184" i="115"/>
  <c r="Z184" i="115" s="1"/>
  <c r="AL435" i="115"/>
  <c r="P53" i="262" s="1"/>
  <c r="Q53" i="262" s="1"/>
  <c r="W247" i="115"/>
  <c r="K31" i="265" s="1"/>
  <c r="N31" i="265" s="1"/>
  <c r="W358" i="115"/>
  <c r="K55" i="264" s="1"/>
  <c r="N55" i="264" s="1"/>
  <c r="AL179" i="115"/>
  <c r="P72" i="261" s="1"/>
  <c r="Q72" i="261" s="1"/>
  <c r="W347" i="115"/>
  <c r="Z347" i="115" s="1"/>
  <c r="W362" i="115"/>
  <c r="Z362" i="115" s="1"/>
  <c r="W202" i="115"/>
  <c r="Z202" i="115" s="1"/>
  <c r="W323" i="115"/>
  <c r="Z323" i="115" s="1"/>
  <c r="W379" i="115"/>
  <c r="W236" i="115"/>
  <c r="K20" i="265" s="1"/>
  <c r="N20" i="265" s="1"/>
  <c r="AL412" i="115"/>
  <c r="P30" i="262" s="1"/>
  <c r="Q30" i="262" s="1"/>
  <c r="AL345" i="115"/>
  <c r="P42" i="264" s="1"/>
  <c r="Q42" i="264" s="1"/>
  <c r="W193" i="115"/>
  <c r="Z193" i="115" s="1"/>
  <c r="W260" i="115"/>
  <c r="K44" i="265" s="1"/>
  <c r="N44" i="265" s="1"/>
  <c r="T211" i="115"/>
  <c r="W211" i="115" s="1"/>
  <c r="AL342" i="115"/>
  <c r="P39" i="264" s="1"/>
  <c r="Q39" i="264" s="1"/>
  <c r="AL320" i="115"/>
  <c r="P17" i="264" s="1"/>
  <c r="Q17" i="264" s="1"/>
  <c r="W181" i="115"/>
  <c r="W292" i="115"/>
  <c r="K76" i="265" s="1"/>
  <c r="N76" i="265" s="1"/>
  <c r="O76" i="265" s="1"/>
  <c r="AL293" i="115"/>
  <c r="P77" i="265" s="1"/>
  <c r="Q77" i="265" s="1"/>
  <c r="O77" i="265" s="1"/>
  <c r="W245" i="115"/>
  <c r="K29" i="265" s="1"/>
  <c r="N29" i="265" s="1"/>
  <c r="W354" i="115"/>
  <c r="Z354" i="115" s="1"/>
  <c r="T419" i="115"/>
  <c r="W419" i="115" s="1"/>
  <c r="AL336" i="115"/>
  <c r="P33" i="264" s="1"/>
  <c r="Q33" i="264" s="1"/>
  <c r="AL140" i="115"/>
  <c r="P33" i="261" s="1"/>
  <c r="Q33" i="261" s="1"/>
  <c r="AL324" i="115"/>
  <c r="P21" i="264" s="1"/>
  <c r="Q21" i="264" s="1"/>
  <c r="AL418" i="115"/>
  <c r="P36" i="262" s="1"/>
  <c r="Q36" i="262" s="1"/>
  <c r="W204" i="115"/>
  <c r="K97" i="261" s="1"/>
  <c r="N97" i="261" s="1"/>
  <c r="W317" i="115"/>
  <c r="AL317" i="115"/>
  <c r="P14" i="264" s="1"/>
  <c r="T222" i="115"/>
  <c r="T221" i="115" s="1"/>
  <c r="T210" i="115"/>
  <c r="AL449" i="115"/>
  <c r="P67" i="262" s="1"/>
  <c r="Q67" i="262" s="1"/>
  <c r="W156" i="115"/>
  <c r="Z156" i="115" s="1"/>
  <c r="W294" i="115"/>
  <c r="W390" i="115"/>
  <c r="Z390" i="115" s="1"/>
  <c r="AL454" i="115"/>
  <c r="P72" i="262" s="1"/>
  <c r="Q72" i="262" s="1"/>
  <c r="AL453" i="115"/>
  <c r="P71" i="262" s="1"/>
  <c r="Q71" i="262" s="1"/>
  <c r="AL282" i="115"/>
  <c r="P66" i="265" s="1"/>
  <c r="Q66" i="265" s="1"/>
  <c r="T434" i="115"/>
  <c r="W434" i="115" s="1"/>
  <c r="Z434" i="115" s="1"/>
  <c r="T455" i="115"/>
  <c r="W455" i="115" s="1"/>
  <c r="T402" i="115"/>
  <c r="W402" i="115" s="1"/>
  <c r="Z402" i="115" s="1"/>
  <c r="T398" i="115"/>
  <c r="W398" i="115" s="1"/>
  <c r="AL390" i="115"/>
  <c r="P16" i="266" s="1"/>
  <c r="Q16" i="266" s="1"/>
  <c r="AL148" i="115"/>
  <c r="P41" i="261" s="1"/>
  <c r="Q41" i="261" s="1"/>
  <c r="AL439" i="115"/>
  <c r="P57" i="262" s="1"/>
  <c r="Q57" i="262" s="1"/>
  <c r="T439" i="115"/>
  <c r="W439" i="115" s="1"/>
  <c r="T458" i="115"/>
  <c r="W458" i="115" s="1"/>
  <c r="AL310" i="115"/>
  <c r="P94" i="265" s="1"/>
  <c r="Q94" i="265" s="1"/>
  <c r="AL192" i="115"/>
  <c r="P85" i="261" s="1"/>
  <c r="Q85" i="261" s="1"/>
  <c r="AL129" i="115"/>
  <c r="P22" i="261" s="1"/>
  <c r="Q22" i="261" s="1"/>
  <c r="W267" i="115"/>
  <c r="K51" i="265" s="1"/>
  <c r="N51" i="265" s="1"/>
  <c r="O51" i="265" s="1"/>
  <c r="AL150" i="115"/>
  <c r="P43" i="261" s="1"/>
  <c r="Q43" i="261" s="1"/>
  <c r="T437" i="115"/>
  <c r="W437" i="115" s="1"/>
  <c r="Z437" i="115" s="1"/>
  <c r="AL459" i="115"/>
  <c r="P77" i="262" s="1"/>
  <c r="Q77" i="262" s="1"/>
  <c r="AL322" i="115"/>
  <c r="P19" i="264" s="1"/>
  <c r="Q19" i="264" s="1"/>
  <c r="AL318" i="115"/>
  <c r="P15" i="264" s="1"/>
  <c r="Q15" i="264" s="1"/>
  <c r="AL327" i="115"/>
  <c r="P24" i="264" s="1"/>
  <c r="Q24" i="264" s="1"/>
  <c r="AL135" i="115"/>
  <c r="P28" i="261" s="1"/>
  <c r="Q28" i="261" s="1"/>
  <c r="AL125" i="115"/>
  <c r="P18" i="261" s="1"/>
  <c r="Q18" i="261" s="1"/>
  <c r="AL191" i="115"/>
  <c r="P84" i="261" s="1"/>
  <c r="Q84" i="261" s="1"/>
  <c r="AL340" i="115"/>
  <c r="P37" i="264" s="1"/>
  <c r="Q37" i="264" s="1"/>
  <c r="AL158" i="115"/>
  <c r="P51" i="261" s="1"/>
  <c r="Q51" i="261" s="1"/>
  <c r="W259" i="115"/>
  <c r="K43" i="265" s="1"/>
  <c r="N43" i="265" s="1"/>
  <c r="AL300" i="115"/>
  <c r="P84" i="265" s="1"/>
  <c r="Q84" i="265" s="1"/>
  <c r="AL124" i="115"/>
  <c r="P17" i="261" s="1"/>
  <c r="Q17" i="261" s="1"/>
  <c r="W305" i="115"/>
  <c r="K89" i="265" s="1"/>
  <c r="N89" i="265" s="1"/>
  <c r="AL223" i="115"/>
  <c r="P15" i="263" s="1"/>
  <c r="Q15" i="263" s="1"/>
  <c r="T223" i="115"/>
  <c r="W223" i="115" s="1"/>
  <c r="AL398" i="115"/>
  <c r="P16" i="262" s="1"/>
  <c r="Q16" i="262" s="1"/>
  <c r="AL399" i="115"/>
  <c r="P17" i="262" s="1"/>
  <c r="Q17" i="262" s="1"/>
  <c r="W270" i="115"/>
  <c r="K54" i="265" s="1"/>
  <c r="N54" i="265" s="1"/>
  <c r="AL298" i="115"/>
  <c r="P82" i="265" s="1"/>
  <c r="Q82" i="265" s="1"/>
  <c r="AL391" i="115"/>
  <c r="P17" i="266" s="1"/>
  <c r="Q17" i="266" s="1"/>
  <c r="W384" i="115"/>
  <c r="Z384" i="115" s="1"/>
  <c r="W127" i="115"/>
  <c r="Z127" i="115" s="1"/>
  <c r="AL332" i="115"/>
  <c r="P29" i="264" s="1"/>
  <c r="Q29" i="264" s="1"/>
  <c r="AL145" i="115"/>
  <c r="P38" i="261" s="1"/>
  <c r="Q38" i="261" s="1"/>
  <c r="T425" i="115"/>
  <c r="W425" i="115" s="1"/>
  <c r="AL425" i="115"/>
  <c r="P43" i="262" s="1"/>
  <c r="Q43" i="262" s="1"/>
  <c r="T427" i="115"/>
  <c r="W427" i="115" s="1"/>
  <c r="AL427" i="115"/>
  <c r="P45" i="262" s="1"/>
  <c r="Q45" i="262" s="1"/>
  <c r="AL404" i="115"/>
  <c r="P22" i="262" s="1"/>
  <c r="Q22" i="262" s="1"/>
  <c r="W188" i="115"/>
  <c r="Z188" i="115" s="1"/>
  <c r="T433" i="115"/>
  <c r="W433" i="115" s="1"/>
  <c r="AL184" i="115"/>
  <c r="P77" i="261" s="1"/>
  <c r="Q77" i="261" s="1"/>
  <c r="T435" i="115"/>
  <c r="W435" i="115" s="1"/>
  <c r="AL228" i="115"/>
  <c r="P20" i="263" s="1"/>
  <c r="Q20" i="263" s="1"/>
  <c r="T228" i="115"/>
  <c r="W228" i="115" s="1"/>
  <c r="W239" i="115"/>
  <c r="K23" i="265" s="1"/>
  <c r="N23" i="265" s="1"/>
  <c r="W261" i="115"/>
  <c r="K45" i="265" s="1"/>
  <c r="N45" i="265" s="1"/>
  <c r="AL162" i="115"/>
  <c r="P55" i="261" s="1"/>
  <c r="Q55" i="261" s="1"/>
  <c r="AL347" i="115"/>
  <c r="P44" i="264" s="1"/>
  <c r="Q44" i="264" s="1"/>
  <c r="AL420" i="115"/>
  <c r="P38" i="262" s="1"/>
  <c r="Q38" i="262" s="1"/>
  <c r="AL362" i="115"/>
  <c r="P59" i="264" s="1"/>
  <c r="Q59" i="264" s="1"/>
  <c r="AL202" i="115"/>
  <c r="P95" i="261" s="1"/>
  <c r="Q95" i="261" s="1"/>
  <c r="AL323" i="115"/>
  <c r="P20" i="264" s="1"/>
  <c r="Q20" i="264" s="1"/>
  <c r="AL275" i="115"/>
  <c r="P59" i="265" s="1"/>
  <c r="Q59" i="265" s="1"/>
  <c r="O59" i="265" s="1"/>
  <c r="AL386" i="115"/>
  <c r="P83" i="264" s="1"/>
  <c r="Q83" i="264" s="1"/>
  <c r="AL379" i="115"/>
  <c r="P76" i="264" s="1"/>
  <c r="Q76" i="264" s="1"/>
  <c r="AL167" i="115"/>
  <c r="P60" i="261" s="1"/>
  <c r="Q60" i="261" s="1"/>
  <c r="AL400" i="115"/>
  <c r="P18" i="262" s="1"/>
  <c r="Q18" i="262" s="1"/>
  <c r="AL203" i="115"/>
  <c r="P96" i="261" s="1"/>
  <c r="Q96" i="261" s="1"/>
  <c r="W189" i="115"/>
  <c r="Z189" i="115" s="1"/>
  <c r="W258" i="115"/>
  <c r="K42" i="265" s="1"/>
  <c r="N42" i="265" s="1"/>
  <c r="AL328" i="115"/>
  <c r="P25" i="264" s="1"/>
  <c r="Q25" i="264" s="1"/>
  <c r="AL333" i="115"/>
  <c r="P30" i="264" s="1"/>
  <c r="Q30" i="264" s="1"/>
  <c r="AL319" i="115"/>
  <c r="P16" i="264" s="1"/>
  <c r="Q16" i="264" s="1"/>
  <c r="W312" i="115"/>
  <c r="K96" i="265" s="1"/>
  <c r="N96" i="265" s="1"/>
  <c r="O96" i="265" s="1"/>
  <c r="AL195" i="115"/>
  <c r="P88" i="261" s="1"/>
  <c r="Q88" i="261" s="1"/>
  <c r="AL288" i="115"/>
  <c r="P72" i="265" s="1"/>
  <c r="Q72" i="265" s="1"/>
  <c r="O72" i="265" s="1"/>
  <c r="AL193" i="115"/>
  <c r="P86" i="261" s="1"/>
  <c r="Q86" i="261" s="1"/>
  <c r="AL154" i="115"/>
  <c r="P47" i="261" s="1"/>
  <c r="Q47" i="261" s="1"/>
  <c r="AL443" i="115"/>
  <c r="P61" i="262" s="1"/>
  <c r="Q61" i="262" s="1"/>
  <c r="T443" i="115"/>
  <c r="W443" i="115" s="1"/>
  <c r="AL456" i="115"/>
  <c r="P74" i="262" s="1"/>
  <c r="Q74" i="262" s="1"/>
  <c r="AL325" i="115"/>
  <c r="P22" i="264" s="1"/>
  <c r="Q22" i="264" s="1"/>
  <c r="AL168" i="115"/>
  <c r="P61" i="261" s="1"/>
  <c r="Q61" i="261" s="1"/>
  <c r="AL421" i="115"/>
  <c r="P39" i="262" s="1"/>
  <c r="Q39" i="262" s="1"/>
  <c r="W128" i="115"/>
  <c r="Z128" i="115" s="1"/>
  <c r="W342" i="115"/>
  <c r="Z342" i="115" s="1"/>
  <c r="W320" i="115"/>
  <c r="Z320" i="115" s="1"/>
  <c r="W251" i="115"/>
  <c r="K35" i="265" s="1"/>
  <c r="N35" i="265" s="1"/>
  <c r="O35" i="265" s="1"/>
  <c r="AL403" i="115"/>
  <c r="P21" i="262" s="1"/>
  <c r="Q21" i="262" s="1"/>
  <c r="AL182" i="115"/>
  <c r="P75" i="261" s="1"/>
  <c r="Q75" i="261" s="1"/>
  <c r="AL447" i="115"/>
  <c r="P65" i="262" s="1"/>
  <c r="Q65" i="262" s="1"/>
  <c r="T447" i="115"/>
  <c r="W447" i="115" s="1"/>
  <c r="AL181" i="115"/>
  <c r="P74" i="261" s="1"/>
  <c r="Q74" i="261" s="1"/>
  <c r="AL411" i="115"/>
  <c r="P29" i="262" s="1"/>
  <c r="Q29" i="262" s="1"/>
  <c r="AL406" i="115"/>
  <c r="P24" i="262" s="1"/>
  <c r="Q24" i="262" s="1"/>
  <c r="T426" i="115"/>
  <c r="W426" i="115" s="1"/>
  <c r="AL426" i="115"/>
  <c r="P44" i="262" s="1"/>
  <c r="Q44" i="262" s="1"/>
  <c r="AL200" i="115"/>
  <c r="P93" i="261" s="1"/>
  <c r="Q93" i="261" s="1"/>
  <c r="AL383" i="115"/>
  <c r="P80" i="264" s="1"/>
  <c r="Q80" i="264" s="1"/>
  <c r="AL245" i="115"/>
  <c r="P29" i="265" s="1"/>
  <c r="Q29" i="265" s="1"/>
  <c r="AL419" i="115"/>
  <c r="P37" i="262" s="1"/>
  <c r="Q37" i="262" s="1"/>
  <c r="AL397" i="115"/>
  <c r="P15" i="262" s="1"/>
  <c r="AL388" i="115"/>
  <c r="P14" i="266" s="1"/>
  <c r="P21" i="266" s="1"/>
  <c r="W140" i="115"/>
  <c r="Z140" i="115" s="1"/>
  <c r="T418" i="115"/>
  <c r="W418" i="115" s="1"/>
  <c r="Z418" i="115" s="1"/>
  <c r="AL210" i="115"/>
  <c r="AL209" i="115" s="1"/>
  <c r="AL354" i="115"/>
  <c r="P51" i="264" s="1"/>
  <c r="Q51" i="264" s="1"/>
  <c r="W336" i="115"/>
  <c r="Z336" i="115" s="1"/>
  <c r="W324" i="115"/>
  <c r="Z324" i="115" s="1"/>
  <c r="AL204" i="115"/>
  <c r="P97" i="261" s="1"/>
  <c r="Q97" i="261" s="1"/>
  <c r="W388" i="115"/>
  <c r="Z388" i="115" s="1"/>
  <c r="W122" i="115"/>
  <c r="K15" i="261" s="1"/>
  <c r="AL122" i="115"/>
  <c r="AL121" i="115" s="1"/>
  <c r="W230" i="115"/>
  <c r="K14" i="265" s="1"/>
  <c r="K99" i="265" s="1"/>
  <c r="T397" i="115"/>
  <c r="T396" i="115" s="1"/>
  <c r="AA397" i="115"/>
  <c r="AA396" i="115" s="1"/>
  <c r="O75" i="265" l="1"/>
  <c r="O60" i="265"/>
  <c r="O27" i="261"/>
  <c r="O50" i="265"/>
  <c r="W68" i="115"/>
  <c r="Z68" i="115" s="1"/>
  <c r="W91" i="115"/>
  <c r="Z91" i="115" s="1"/>
  <c r="O25" i="262"/>
  <c r="O73" i="261"/>
  <c r="O34" i="261"/>
  <c r="O41" i="261"/>
  <c r="O32" i="261"/>
  <c r="O49" i="264"/>
  <c r="O69" i="264"/>
  <c r="K57" i="265"/>
  <c r="N57" i="265" s="1"/>
  <c r="AN306" i="115"/>
  <c r="K50" i="261"/>
  <c r="N50" i="261" s="1"/>
  <c r="O50" i="261" s="1"/>
  <c r="O97" i="261"/>
  <c r="K84" i="265"/>
  <c r="N84" i="265" s="1"/>
  <c r="O84" i="265" s="1"/>
  <c r="K82" i="261"/>
  <c r="N82" i="261" s="1"/>
  <c r="Z217" i="115"/>
  <c r="K80" i="264"/>
  <c r="N80" i="264" s="1"/>
  <c r="O80" i="264" s="1"/>
  <c r="AN233" i="115"/>
  <c r="AN255" i="115"/>
  <c r="AN300" i="115"/>
  <c r="O53" i="264"/>
  <c r="K43" i="264"/>
  <c r="N43" i="264" s="1"/>
  <c r="O43" i="264" s="1"/>
  <c r="K58" i="261"/>
  <c r="N58" i="261" s="1"/>
  <c r="O58" i="261" s="1"/>
  <c r="Z262" i="115"/>
  <c r="K81" i="261"/>
  <c r="N81" i="261" s="1"/>
  <c r="O81" i="261" s="1"/>
  <c r="K24" i="265"/>
  <c r="N24" i="265" s="1"/>
  <c r="O24" i="265" s="1"/>
  <c r="Z207" i="115"/>
  <c r="O31" i="265"/>
  <c r="K51" i="261"/>
  <c r="N51" i="261" s="1"/>
  <c r="O51" i="261" s="1"/>
  <c r="Z367" i="115"/>
  <c r="AN262" i="115"/>
  <c r="K21" i="261"/>
  <c r="N21" i="261" s="1"/>
  <c r="O21" i="261" s="1"/>
  <c r="K70" i="265"/>
  <c r="N70" i="265" s="1"/>
  <c r="O70" i="265" s="1"/>
  <c r="K78" i="261"/>
  <c r="N78" i="261" s="1"/>
  <c r="O78" i="261" s="1"/>
  <c r="K63" i="261"/>
  <c r="N63" i="261" s="1"/>
  <c r="O63" i="261" s="1"/>
  <c r="K23" i="264"/>
  <c r="N23" i="264" s="1"/>
  <c r="O23" i="264" s="1"/>
  <c r="K98" i="261"/>
  <c r="N98" i="261" s="1"/>
  <c r="O98" i="261" s="1"/>
  <c r="Z306" i="115"/>
  <c r="Z371" i="115"/>
  <c r="K29" i="261"/>
  <c r="N29" i="261" s="1"/>
  <c r="O29" i="261" s="1"/>
  <c r="K21" i="264"/>
  <c r="N21" i="264" s="1"/>
  <c r="O21" i="264" s="1"/>
  <c r="K39" i="264"/>
  <c r="N39" i="264" s="1"/>
  <c r="K47" i="265"/>
  <c r="N47" i="265" s="1"/>
  <c r="K79" i="265"/>
  <c r="N79" i="265" s="1"/>
  <c r="O79" i="265" s="1"/>
  <c r="Z281" i="115"/>
  <c r="Z176" i="115"/>
  <c r="O71" i="265"/>
  <c r="O50" i="262"/>
  <c r="K65" i="264"/>
  <c r="N65" i="264" s="1"/>
  <c r="O65" i="264" s="1"/>
  <c r="Z187" i="115"/>
  <c r="K22" i="261"/>
  <c r="N22" i="261" s="1"/>
  <c r="O22" i="261" s="1"/>
  <c r="K60" i="261"/>
  <c r="N60" i="261" s="1"/>
  <c r="O60" i="261" s="1"/>
  <c r="K67" i="261"/>
  <c r="N67" i="261" s="1"/>
  <c r="K56" i="264"/>
  <c r="N56" i="264" s="1"/>
  <c r="K90" i="261"/>
  <c r="N90" i="261" s="1"/>
  <c r="K88" i="265"/>
  <c r="N88" i="265" s="1"/>
  <c r="O88" i="265" s="1"/>
  <c r="Z137" i="115"/>
  <c r="O29" i="262"/>
  <c r="K99" i="261"/>
  <c r="N99" i="261" s="1"/>
  <c r="O99" i="261" s="1"/>
  <c r="Z139" i="115"/>
  <c r="K34" i="264"/>
  <c r="N34" i="264" s="1"/>
  <c r="O34" i="264" s="1"/>
  <c r="K41" i="264"/>
  <c r="N41" i="264" s="1"/>
  <c r="K22" i="264"/>
  <c r="N22" i="264" s="1"/>
  <c r="O22" i="264" s="1"/>
  <c r="O18" i="261"/>
  <c r="K51" i="264"/>
  <c r="N51" i="264" s="1"/>
  <c r="O51" i="264" s="1"/>
  <c r="K59" i="264"/>
  <c r="N59" i="264" s="1"/>
  <c r="O59" i="264" s="1"/>
  <c r="K18" i="264"/>
  <c r="N18" i="264" s="1"/>
  <c r="Z338" i="115"/>
  <c r="K15" i="265"/>
  <c r="N15" i="265" s="1"/>
  <c r="O15" i="265" s="1"/>
  <c r="K79" i="261"/>
  <c r="N79" i="261" s="1"/>
  <c r="O79" i="261" s="1"/>
  <c r="Z334" i="115"/>
  <c r="Z291" i="115"/>
  <c r="K42" i="262"/>
  <c r="N42" i="262" s="1"/>
  <c r="Z424" i="115"/>
  <c r="O64" i="264"/>
  <c r="P15" i="261"/>
  <c r="P101" i="261" s="1"/>
  <c r="K38" i="261"/>
  <c r="N38" i="261" s="1"/>
  <c r="O38" i="261" s="1"/>
  <c r="K29" i="264"/>
  <c r="N29" i="264" s="1"/>
  <c r="O29" i="264" s="1"/>
  <c r="Z380" i="115"/>
  <c r="K30" i="264"/>
  <c r="N30" i="264" s="1"/>
  <c r="O30" i="264" s="1"/>
  <c r="P14" i="265"/>
  <c r="P99" i="265" s="1"/>
  <c r="Z272" i="115"/>
  <c r="K85" i="265"/>
  <c r="N85" i="265" s="1"/>
  <c r="O85" i="265" s="1"/>
  <c r="Z285" i="115"/>
  <c r="K73" i="265"/>
  <c r="N73" i="265" s="1"/>
  <c r="K84" i="261"/>
  <c r="N84" i="261" s="1"/>
  <c r="O84" i="261" s="1"/>
  <c r="K52" i="265"/>
  <c r="N52" i="265" s="1"/>
  <c r="K74" i="265"/>
  <c r="N74" i="265" s="1"/>
  <c r="O74" i="265" s="1"/>
  <c r="K28" i="264"/>
  <c r="N28" i="264" s="1"/>
  <c r="AN250" i="115"/>
  <c r="K75" i="264"/>
  <c r="N75" i="264" s="1"/>
  <c r="Z256" i="115"/>
  <c r="Z177" i="115"/>
  <c r="O45" i="265"/>
  <c r="K27" i="264"/>
  <c r="N27" i="264" s="1"/>
  <c r="Z301" i="115"/>
  <c r="W13" i="115"/>
  <c r="W11" i="115" s="1"/>
  <c r="Z289" i="115"/>
  <c r="O52" i="265"/>
  <c r="K61" i="261"/>
  <c r="N61" i="261" s="1"/>
  <c r="O61" i="261" s="1"/>
  <c r="Z372" i="115"/>
  <c r="K54" i="261"/>
  <c r="N54" i="261" s="1"/>
  <c r="O54" i="261" s="1"/>
  <c r="K96" i="261"/>
  <c r="N96" i="261" s="1"/>
  <c r="O96" i="261" s="1"/>
  <c r="Z141" i="115"/>
  <c r="K42" i="264"/>
  <c r="N42" i="264" s="1"/>
  <c r="O42" i="264" s="1"/>
  <c r="K35" i="261"/>
  <c r="N35" i="261" s="1"/>
  <c r="O35" i="261" s="1"/>
  <c r="K40" i="264"/>
  <c r="N40" i="264" s="1"/>
  <c r="AN291" i="115"/>
  <c r="AN243" i="115"/>
  <c r="AN257" i="115"/>
  <c r="K38" i="265"/>
  <c r="N38" i="265" s="1"/>
  <c r="O38" i="265" s="1"/>
  <c r="K40" i="265"/>
  <c r="N40" i="265" s="1"/>
  <c r="O40" i="265" s="1"/>
  <c r="K91" i="261"/>
  <c r="N91" i="261" s="1"/>
  <c r="O91" i="261" s="1"/>
  <c r="Z394" i="115"/>
  <c r="Z134" i="115"/>
  <c r="K66" i="262"/>
  <c r="N66" i="262" s="1"/>
  <c r="O66" i="262" s="1"/>
  <c r="Z448" i="115"/>
  <c r="Z412" i="115"/>
  <c r="K30" i="262"/>
  <c r="N30" i="262" s="1"/>
  <c r="O30" i="262" s="1"/>
  <c r="Z405" i="115"/>
  <c r="K23" i="262"/>
  <c r="N23" i="262" s="1"/>
  <c r="O23" i="262" s="1"/>
  <c r="N14" i="265"/>
  <c r="O14" i="265" s="1"/>
  <c r="O99" i="265" s="1"/>
  <c r="K14" i="266"/>
  <c r="N14" i="266" s="1"/>
  <c r="K36" i="262"/>
  <c r="N36" i="262" s="1"/>
  <c r="O36" i="262" s="1"/>
  <c r="Q14" i="266"/>
  <c r="Q21" i="266" s="1"/>
  <c r="K20" i="264"/>
  <c r="N20" i="264" s="1"/>
  <c r="O20" i="264" s="1"/>
  <c r="K17" i="265"/>
  <c r="N17" i="265" s="1"/>
  <c r="AN272" i="115"/>
  <c r="Z255" i="115"/>
  <c r="K84" i="264"/>
  <c r="N84" i="264" s="1"/>
  <c r="O84" i="264" s="1"/>
  <c r="K22" i="265"/>
  <c r="N22" i="265" s="1"/>
  <c r="K64" i="262"/>
  <c r="N64" i="262" s="1"/>
  <c r="O64" i="262" s="1"/>
  <c r="K32" i="262"/>
  <c r="N32" i="262" s="1"/>
  <c r="O32" i="262" s="1"/>
  <c r="K63" i="262"/>
  <c r="N63" i="262" s="1"/>
  <c r="O63" i="262" s="1"/>
  <c r="Z246" i="115"/>
  <c r="Z149" i="115"/>
  <c r="K42" i="261"/>
  <c r="N42" i="261" s="1"/>
  <c r="O42" i="261" s="1"/>
  <c r="K93" i="265"/>
  <c r="N93" i="265" s="1"/>
  <c r="O93" i="265" s="1"/>
  <c r="Z375" i="115"/>
  <c r="K72" i="264"/>
  <c r="N72" i="264" s="1"/>
  <c r="O69" i="261"/>
  <c r="Z282" i="115"/>
  <c r="K66" i="265"/>
  <c r="N66" i="265" s="1"/>
  <c r="O66" i="265" s="1"/>
  <c r="Z172" i="115"/>
  <c r="K65" i="261"/>
  <c r="N65" i="261" s="1"/>
  <c r="O65" i="261" s="1"/>
  <c r="K70" i="264"/>
  <c r="N70" i="264" s="1"/>
  <c r="O70" i="264" s="1"/>
  <c r="Z373" i="115"/>
  <c r="W397" i="115"/>
  <c r="W396" i="115" s="1"/>
  <c r="K17" i="264"/>
  <c r="N17" i="264" s="1"/>
  <c r="O17" i="264" s="1"/>
  <c r="K81" i="264"/>
  <c r="N81" i="264" s="1"/>
  <c r="K30" i="265"/>
  <c r="N30" i="265" s="1"/>
  <c r="O30" i="265" s="1"/>
  <c r="K25" i="261"/>
  <c r="N25" i="261" s="1"/>
  <c r="O25" i="261" s="1"/>
  <c r="Z132" i="115"/>
  <c r="Z392" i="115"/>
  <c r="K18" i="266"/>
  <c r="N18" i="266" s="1"/>
  <c r="O18" i="266" s="1"/>
  <c r="O29" i="265"/>
  <c r="K16" i="266"/>
  <c r="N16" i="266" s="1"/>
  <c r="O16" i="266" s="1"/>
  <c r="K49" i="261"/>
  <c r="N49" i="261" s="1"/>
  <c r="O49" i="261" s="1"/>
  <c r="W222" i="115"/>
  <c r="K14" i="263" s="1"/>
  <c r="N14" i="263" s="1"/>
  <c r="N21" i="263" s="1"/>
  <c r="K86" i="261"/>
  <c r="N86" i="261" s="1"/>
  <c r="O86" i="261" s="1"/>
  <c r="K72" i="261"/>
  <c r="N72" i="261" s="1"/>
  <c r="O72" i="261" s="1"/>
  <c r="Z313" i="115"/>
  <c r="K15" i="264"/>
  <c r="N15" i="264" s="1"/>
  <c r="O15" i="264" s="1"/>
  <c r="AN263" i="115"/>
  <c r="K41" i="265"/>
  <c r="N41" i="265" s="1"/>
  <c r="O41" i="265" s="1"/>
  <c r="Z148" i="115"/>
  <c r="K21" i="265"/>
  <c r="N21" i="265" s="1"/>
  <c r="O21" i="265" s="1"/>
  <c r="K78" i="264"/>
  <c r="N78" i="264" s="1"/>
  <c r="K33" i="265"/>
  <c r="N33" i="265" s="1"/>
  <c r="O33" i="265" s="1"/>
  <c r="K18" i="263"/>
  <c r="N18" i="263" s="1"/>
  <c r="O18" i="263" s="1"/>
  <c r="K82" i="265"/>
  <c r="N82" i="265" s="1"/>
  <c r="O82" i="265" s="1"/>
  <c r="AN298" i="115"/>
  <c r="K61" i="265"/>
  <c r="N61" i="265" s="1"/>
  <c r="O61" i="265" s="1"/>
  <c r="AN277" i="115"/>
  <c r="Z386" i="115"/>
  <c r="K83" i="264"/>
  <c r="N83" i="264" s="1"/>
  <c r="O83" i="264" s="1"/>
  <c r="O33" i="262"/>
  <c r="O56" i="264"/>
  <c r="K86" i="265"/>
  <c r="N86" i="265" s="1"/>
  <c r="O86" i="265" s="1"/>
  <c r="K94" i="265"/>
  <c r="N94" i="265" s="1"/>
  <c r="O94" i="265" s="1"/>
  <c r="AN281" i="115"/>
  <c r="K40" i="261"/>
  <c r="N40" i="261" s="1"/>
  <c r="O40" i="261" s="1"/>
  <c r="K19" i="261"/>
  <c r="N19" i="261" s="1"/>
  <c r="Z366" i="115"/>
  <c r="K45" i="261"/>
  <c r="N45" i="261" s="1"/>
  <c r="O45" i="261" s="1"/>
  <c r="Z153" i="115"/>
  <c r="K52" i="264"/>
  <c r="N52" i="264" s="1"/>
  <c r="O30" i="261"/>
  <c r="AN302" i="115"/>
  <c r="Z243" i="115"/>
  <c r="AN310" i="115"/>
  <c r="Z180" i="115"/>
  <c r="K62" i="261"/>
  <c r="N62" i="261" s="1"/>
  <c r="O62" i="261" s="1"/>
  <c r="K66" i="261"/>
  <c r="N66" i="261" s="1"/>
  <c r="O66" i="261" s="1"/>
  <c r="K71" i="264"/>
  <c r="N71" i="264" s="1"/>
  <c r="Z293" i="115"/>
  <c r="AA317" i="115"/>
  <c r="W229" i="115"/>
  <c r="AN230" i="115"/>
  <c r="AN229" i="115" s="1"/>
  <c r="Z230" i="115"/>
  <c r="Z229" i="115" s="1"/>
  <c r="AA375" i="115"/>
  <c r="AB20" i="115"/>
  <c r="AB272" i="115"/>
  <c r="AA267" i="115"/>
  <c r="AA54" i="115"/>
  <c r="AB429" i="115"/>
  <c r="AB332" i="115"/>
  <c r="AA385" i="115"/>
  <c r="AB176" i="115"/>
  <c r="AA291" i="115"/>
  <c r="AB457" i="115"/>
  <c r="AA263" i="115"/>
  <c r="AB37" i="115"/>
  <c r="AB282" i="115"/>
  <c r="AB258" i="115"/>
  <c r="AB128" i="115"/>
  <c r="AA348" i="115"/>
  <c r="AA288" i="115"/>
  <c r="AB391" i="115"/>
  <c r="AA226" i="115"/>
  <c r="AB446" i="115"/>
  <c r="AA240" i="115"/>
  <c r="AA153" i="115"/>
  <c r="AA102" i="115"/>
  <c r="AB356" i="115"/>
  <c r="AB248" i="115"/>
  <c r="AA300" i="115"/>
  <c r="AA82" i="115"/>
  <c r="AA441" i="115"/>
  <c r="AA406" i="115"/>
  <c r="AB74" i="115"/>
  <c r="AA92" i="115"/>
  <c r="AB182" i="115"/>
  <c r="AB38" i="115"/>
  <c r="AB380" i="115"/>
  <c r="AB61" i="115"/>
  <c r="AB197" i="115"/>
  <c r="AA134" i="115"/>
  <c r="AA255" i="115"/>
  <c r="AB330" i="115"/>
  <c r="AA28" i="115"/>
  <c r="AA401" i="115"/>
  <c r="AA345" i="115"/>
  <c r="AB375" i="115"/>
  <c r="AB199" i="115"/>
  <c r="AA108" i="115"/>
  <c r="AB439" i="115"/>
  <c r="AB252" i="115"/>
  <c r="AA304" i="115"/>
  <c r="AB18" i="115"/>
  <c r="AA285" i="115"/>
  <c r="AB65" i="115"/>
  <c r="AA152" i="115"/>
  <c r="AA295" i="115"/>
  <c r="AB31" i="115"/>
  <c r="AA363" i="115"/>
  <c r="AB93" i="115"/>
  <c r="AB151" i="115"/>
  <c r="AA436" i="115"/>
  <c r="AB437" i="115"/>
  <c r="AA70" i="115"/>
  <c r="AB297" i="115"/>
  <c r="AA94" i="321"/>
  <c r="AA426" i="115"/>
  <c r="AA130" i="115"/>
  <c r="AB244" i="115"/>
  <c r="AA80" i="115"/>
  <c r="AB187" i="115"/>
  <c r="AA166" i="115"/>
  <c r="AA272" i="115"/>
  <c r="AB270" i="115"/>
  <c r="X89" i="321"/>
  <c r="AB34" i="115"/>
  <c r="AA132" i="115"/>
  <c r="AA46" i="115"/>
  <c r="AA98" i="115"/>
  <c r="AB50" i="115"/>
  <c r="AA308" i="115"/>
  <c r="AB289" i="115"/>
  <c r="AA233" i="115"/>
  <c r="AA269" i="115"/>
  <c r="AB303" i="115"/>
  <c r="AA328" i="115"/>
  <c r="AB305" i="115"/>
  <c r="AA271" i="115"/>
  <c r="AA299" i="115"/>
  <c r="AA324" i="115"/>
  <c r="AB158" i="115"/>
  <c r="AA358" i="115"/>
  <c r="AA113" i="115"/>
  <c r="AB275" i="115"/>
  <c r="AB308" i="115"/>
  <c r="AA133" i="115"/>
  <c r="AA394" i="115"/>
  <c r="AA311" i="115"/>
  <c r="AA76" i="115"/>
  <c r="AB72" i="115"/>
  <c r="AA365" i="115"/>
  <c r="AB435" i="115"/>
  <c r="AA425" i="115"/>
  <c r="AA27" i="115"/>
  <c r="AA260" i="115"/>
  <c r="AB374" i="115"/>
  <c r="AB156" i="115"/>
  <c r="AB398" i="115"/>
  <c r="AA331" i="115"/>
  <c r="AA342" i="115"/>
  <c r="AB150" i="115"/>
  <c r="Z94" i="321"/>
  <c r="AA247" i="115"/>
  <c r="AB214" i="115"/>
  <c r="AB235" i="115"/>
  <c r="AB256" i="115"/>
  <c r="AB452" i="115"/>
  <c r="AB445" i="115"/>
  <c r="AB14" i="115"/>
  <c r="AA231" i="115"/>
  <c r="AB444" i="115"/>
  <c r="AB206" i="115"/>
  <c r="V89" i="321"/>
  <c r="AB358" i="115"/>
  <c r="AA368" i="115"/>
  <c r="AB319" i="115"/>
  <c r="AB233" i="115"/>
  <c r="AB97" i="115"/>
  <c r="AA301" i="115"/>
  <c r="AA437" i="115"/>
  <c r="AB338" i="115"/>
  <c r="AB345" i="115"/>
  <c r="AA408" i="115"/>
  <c r="AB139" i="115"/>
  <c r="AB99" i="115"/>
  <c r="AB253" i="115"/>
  <c r="AA160" i="115"/>
  <c r="AB64" i="115"/>
  <c r="AB267" i="115"/>
  <c r="AB200" i="115"/>
  <c r="AA203" i="115"/>
  <c r="AA219" i="115"/>
  <c r="AB240" i="115"/>
  <c r="AA282" i="115"/>
  <c r="AB290" i="115"/>
  <c r="AB331" i="115"/>
  <c r="AB193" i="115"/>
  <c r="AA114" i="115"/>
  <c r="AB280" i="115"/>
  <c r="AB243" i="115"/>
  <c r="AA89" i="321"/>
  <c r="AB324" i="115"/>
  <c r="AB292" i="115"/>
  <c r="AA104" i="115"/>
  <c r="AB171" i="115"/>
  <c r="AB306" i="115"/>
  <c r="AA202" i="115"/>
  <c r="AA238" i="115"/>
  <c r="AB367" i="115"/>
  <c r="AB84" i="115"/>
  <c r="AA111" i="115"/>
  <c r="AB426" i="115"/>
  <c r="AA217" i="115"/>
  <c r="AB411" i="115"/>
  <c r="AB402" i="115"/>
  <c r="AA346" i="115"/>
  <c r="AB431" i="115"/>
  <c r="AB384" i="115"/>
  <c r="AB355" i="115"/>
  <c r="AA150" i="115"/>
  <c r="AA377" i="115"/>
  <c r="AB381" i="115"/>
  <c r="AB207" i="115"/>
  <c r="W94" i="321"/>
  <c r="AB22" i="115"/>
  <c r="AB322" i="115"/>
  <c r="AA391" i="115"/>
  <c r="AB80" i="115"/>
  <c r="AB371" i="115"/>
  <c r="AA26" i="115"/>
  <c r="AA31" i="115"/>
  <c r="AB220" i="115"/>
  <c r="AB361" i="115"/>
  <c r="AA100" i="115"/>
  <c r="AA88" i="115"/>
  <c r="AA207" i="115"/>
  <c r="AA392" i="115"/>
  <c r="AB43" i="115"/>
  <c r="AB400" i="115"/>
  <c r="AA223" i="115"/>
  <c r="AB219" i="115"/>
  <c r="AA60" i="115"/>
  <c r="AA227" i="115"/>
  <c r="AB283" i="115"/>
  <c r="AA66" i="115"/>
  <c r="AA187" i="115"/>
  <c r="AA198" i="115"/>
  <c r="AA343" i="115"/>
  <c r="AA266" i="115"/>
  <c r="AA103" i="115"/>
  <c r="AA137" i="115"/>
  <c r="AA278" i="115"/>
  <c r="AB293" i="115"/>
  <c r="AB344" i="115"/>
  <c r="AA273" i="115"/>
  <c r="AB433" i="115"/>
  <c r="AB96" i="115"/>
  <c r="AB405" i="115"/>
  <c r="AA143" i="115"/>
  <c r="AB217" i="115"/>
  <c r="AA327" i="115"/>
  <c r="AA389" i="115"/>
  <c r="Y94" i="321"/>
  <c r="AB46" i="115"/>
  <c r="AA139" i="115"/>
  <c r="AB430" i="115"/>
  <c r="AA294" i="115"/>
  <c r="AA433" i="115"/>
  <c r="AA19" i="115"/>
  <c r="AB159" i="115"/>
  <c r="AA393" i="115"/>
  <c r="AB261" i="115"/>
  <c r="AA289" i="115"/>
  <c r="AA141" i="115"/>
  <c r="X90" i="321"/>
  <c r="AB307" i="115"/>
  <c r="AB60" i="115"/>
  <c r="AB40" i="115"/>
  <c r="AA417" i="115"/>
  <c r="AA424" i="115"/>
  <c r="AB175" i="115"/>
  <c r="AB137" i="115"/>
  <c r="AA38" i="115"/>
  <c r="W90" i="321"/>
  <c r="AB62" i="115"/>
  <c r="AB242" i="115"/>
  <c r="AA73" i="115"/>
  <c r="AA293" i="115"/>
  <c r="AB408" i="115"/>
  <c r="AA302" i="115"/>
  <c r="AB313" i="115"/>
  <c r="AA421" i="115"/>
  <c r="AB383" i="115"/>
  <c r="AA157" i="115"/>
  <c r="AB70" i="115"/>
  <c r="AA313" i="115"/>
  <c r="AA265" i="115"/>
  <c r="AB35" i="115"/>
  <c r="AB379" i="115"/>
  <c r="AB251" i="115"/>
  <c r="AA369" i="115"/>
  <c r="AB287" i="115"/>
  <c r="AA32" i="115"/>
  <c r="AA186" i="115"/>
  <c r="AB168" i="115"/>
  <c r="AB114" i="115"/>
  <c r="AA178" i="115"/>
  <c r="AA75" i="115"/>
  <c r="AA81" i="115"/>
  <c r="AB185" i="115"/>
  <c r="AA354" i="115"/>
  <c r="AB288" i="115"/>
  <c r="AB140" i="115"/>
  <c r="AA193" i="115"/>
  <c r="AA373" i="115"/>
  <c r="AA21" i="115"/>
  <c r="AB25" i="115"/>
  <c r="AA105" i="115"/>
  <c r="AA86" i="115"/>
  <c r="AA175" i="115"/>
  <c r="AB333" i="115"/>
  <c r="AB167" i="115"/>
  <c r="AA334" i="115"/>
  <c r="AA93" i="115"/>
  <c r="AA410" i="115"/>
  <c r="AB286" i="115"/>
  <c r="AA366" i="115"/>
  <c r="AA169" i="115"/>
  <c r="AB125" i="115"/>
  <c r="AA258" i="115"/>
  <c r="AA212" i="115"/>
  <c r="AA136" i="115"/>
  <c r="AA228" i="115"/>
  <c r="AA256" i="115"/>
  <c r="AA440" i="115"/>
  <c r="AA344" i="115"/>
  <c r="AB95" i="115"/>
  <c r="AB403" i="115"/>
  <c r="AA415" i="115"/>
  <c r="AA298" i="115"/>
  <c r="AB334" i="115"/>
  <c r="AB353" i="115"/>
  <c r="AA53" i="115"/>
  <c r="AA47" i="115"/>
  <c r="AB241" i="115"/>
  <c r="AB112" i="115"/>
  <c r="AB239" i="115"/>
  <c r="AA244" i="115"/>
  <c r="AB100" i="115"/>
  <c r="AB432" i="115"/>
  <c r="AB184" i="115"/>
  <c r="AB415" i="115"/>
  <c r="AB455" i="115"/>
  <c r="AA325" i="115"/>
  <c r="AA357" i="115"/>
  <c r="AB227" i="115"/>
  <c r="AA319" i="115"/>
  <c r="AA378" i="115"/>
  <c r="AB52" i="115"/>
  <c r="AB274" i="115"/>
  <c r="AA124" i="115"/>
  <c r="AA49" i="115"/>
  <c r="AB48" i="115"/>
  <c r="AB291" i="115"/>
  <c r="AB434" i="115"/>
  <c r="AA48" i="115"/>
  <c r="AB285" i="115"/>
  <c r="AB362" i="115"/>
  <c r="AA97" i="115"/>
  <c r="AA431" i="115"/>
  <c r="AA22" i="115"/>
  <c r="AB443" i="115"/>
  <c r="AA39" i="115"/>
  <c r="AA43" i="115"/>
  <c r="AB394" i="115"/>
  <c r="AA147" i="115"/>
  <c r="AA201" i="115"/>
  <c r="AB245" i="115"/>
  <c r="AB157" i="115"/>
  <c r="AB68" i="115"/>
  <c r="AA318" i="115"/>
  <c r="AB173" i="115"/>
  <c r="Y90" i="321"/>
  <c r="AB346" i="115"/>
  <c r="AB81" i="115"/>
  <c r="AA352" i="115"/>
  <c r="V90" i="321"/>
  <c r="AB163" i="115"/>
  <c r="AB335" i="115"/>
  <c r="AB350" i="115"/>
  <c r="AA225" i="115"/>
  <c r="AB357" i="115"/>
  <c r="AB108" i="115"/>
  <c r="AA428" i="115"/>
  <c r="AA434" i="115"/>
  <c r="Y89" i="321"/>
  <c r="AA402" i="115"/>
  <c r="AA107" i="115"/>
  <c r="AB276" i="115"/>
  <c r="AA181" i="115"/>
  <c r="AB33" i="115"/>
  <c r="AB87" i="115"/>
  <c r="AA146" i="115"/>
  <c r="AA374" i="115"/>
  <c r="AB424" i="115"/>
  <c r="AB67" i="115"/>
  <c r="AB133" i="115"/>
  <c r="AB223" i="115"/>
  <c r="AA220" i="115"/>
  <c r="AA144" i="115"/>
  <c r="AB232" i="115"/>
  <c r="AA362" i="115"/>
  <c r="AB162" i="115"/>
  <c r="AA306" i="115"/>
  <c r="AA234" i="115"/>
  <c r="AA350" i="115"/>
  <c r="AA407" i="115"/>
  <c r="AA246" i="115"/>
  <c r="AA432" i="115"/>
  <c r="AA252" i="115"/>
  <c r="AA195" i="115"/>
  <c r="AA370" i="115"/>
  <c r="AB427" i="115"/>
  <c r="AB152" i="115"/>
  <c r="AB216" i="115"/>
  <c r="AA409" i="115"/>
  <c r="AA14" i="115"/>
  <c r="AA151" i="115"/>
  <c r="AB102" i="115"/>
  <c r="AB416" i="115"/>
  <c r="AA184" i="115"/>
  <c r="AB195" i="115"/>
  <c r="AA68" i="115"/>
  <c r="AB302" i="115"/>
  <c r="AA71" i="115"/>
  <c r="AA321" i="115"/>
  <c r="AB28" i="115"/>
  <c r="AA96" i="115"/>
  <c r="AA416" i="115"/>
  <c r="AA335" i="115"/>
  <c r="AA372" i="115"/>
  <c r="AB404" i="115"/>
  <c r="AA174" i="115"/>
  <c r="AA420" i="115"/>
  <c r="AB311" i="115"/>
  <c r="AA333" i="115"/>
  <c r="AA279" i="115"/>
  <c r="AA412" i="115"/>
  <c r="AB76" i="115"/>
  <c r="AB105" i="115"/>
  <c r="AB389" i="115"/>
  <c r="AB352" i="115"/>
  <c r="AB269" i="115"/>
  <c r="AB341" i="115"/>
  <c r="AA388" i="115"/>
  <c r="AB349" i="115"/>
  <c r="Z89" i="321"/>
  <c r="AA179" i="115"/>
  <c r="AA429" i="115"/>
  <c r="AA360" i="115"/>
  <c r="AB23" i="115"/>
  <c r="AB414" i="115"/>
  <c r="AB440" i="115"/>
  <c r="AA257" i="115"/>
  <c r="AA135" i="115"/>
  <c r="X94" i="321"/>
  <c r="AB425" i="115"/>
  <c r="AB266" i="115"/>
  <c r="AA161" i="115"/>
  <c r="AA140" i="115"/>
  <c r="AA303" i="115"/>
  <c r="AB343" i="115"/>
  <c r="AB422" i="115"/>
  <c r="AB45" i="115"/>
  <c r="AB174" i="115"/>
  <c r="AA176" i="115"/>
  <c r="AA439" i="115"/>
  <c r="AA87" i="115"/>
  <c r="AA156" i="115"/>
  <c r="AA312" i="115"/>
  <c r="AA242" i="115"/>
  <c r="AB66" i="115"/>
  <c r="AA171" i="115"/>
  <c r="AB132" i="115"/>
  <c r="AB29" i="115"/>
  <c r="AA126" i="115"/>
  <c r="AA101" i="115"/>
  <c r="AA65" i="115"/>
  <c r="AA33" i="115"/>
  <c r="AA248" i="115"/>
  <c r="AB147" i="115"/>
  <c r="AB451" i="115"/>
  <c r="AA351" i="115"/>
  <c r="AA399" i="115"/>
  <c r="AB310" i="115"/>
  <c r="AA196" i="115"/>
  <c r="AA353" i="115"/>
  <c r="AB323" i="115"/>
  <c r="AB348" i="115"/>
  <c r="AA250" i="115"/>
  <c r="AB320" i="115"/>
  <c r="AA90" i="321"/>
  <c r="AB364" i="115"/>
  <c r="AB142" i="115"/>
  <c r="AA274" i="115"/>
  <c r="AA36" i="115"/>
  <c r="AA45" i="115"/>
  <c r="AA142" i="115"/>
  <c r="Z90" i="321"/>
  <c r="AB406" i="115"/>
  <c r="AB98" i="115"/>
  <c r="AA310" i="115"/>
  <c r="AB263" i="115"/>
  <c r="AB326" i="115"/>
  <c r="AB249" i="115"/>
  <c r="AA224" i="115"/>
  <c r="AA83" i="115"/>
  <c r="AB77" i="115"/>
  <c r="AA254" i="115"/>
  <c r="AB238" i="115"/>
  <c r="AA215" i="115"/>
  <c r="AB212" i="115"/>
  <c r="AA25" i="115"/>
  <c r="AB255" i="115"/>
  <c r="AB17" i="115"/>
  <c r="AA52" i="115"/>
  <c r="AB450" i="115"/>
  <c r="AB419" i="115"/>
  <c r="AB421" i="115"/>
  <c r="AB423" i="115"/>
  <c r="AA404" i="115"/>
  <c r="AB399" i="115"/>
  <c r="AA249" i="115"/>
  <c r="AB327" i="115"/>
  <c r="AA95" i="115"/>
  <c r="AA384" i="115"/>
  <c r="AB75" i="115"/>
  <c r="AB299" i="115"/>
  <c r="AB203" i="115"/>
  <c r="AA329" i="115"/>
  <c r="AB24" i="115"/>
  <c r="AA90" i="115"/>
  <c r="AA270" i="115"/>
  <c r="AA438" i="115"/>
  <c r="AB262" i="115"/>
  <c r="AB178" i="115"/>
  <c r="AA284" i="115"/>
  <c r="AB294" i="115"/>
  <c r="AB388" i="115"/>
  <c r="AA42" i="115"/>
  <c r="AB237" i="115"/>
  <c r="AB153" i="115"/>
  <c r="AB145" i="115"/>
  <c r="AB277" i="115"/>
  <c r="AB359" i="115"/>
  <c r="AA41" i="115"/>
  <c r="AB218" i="115"/>
  <c r="AA323" i="115"/>
  <c r="AA387" i="115"/>
  <c r="AB79" i="115"/>
  <c r="AA241" i="115"/>
  <c r="AA192" i="115"/>
  <c r="AA182" i="115"/>
  <c r="AB264" i="115"/>
  <c r="AA94" i="115"/>
  <c r="AB127" i="115"/>
  <c r="W89" i="321"/>
  <c r="AB135" i="115"/>
  <c r="AA85" i="115"/>
  <c r="AB198" i="115"/>
  <c r="AB273" i="115"/>
  <c r="AB228" i="115"/>
  <c r="AA381" i="115"/>
  <c r="AA59" i="115"/>
  <c r="AA183" i="115"/>
  <c r="AA276" i="115"/>
  <c r="AA292" i="115"/>
  <c r="AB113" i="115"/>
  <c r="AA376" i="115"/>
  <c r="AA287" i="115"/>
  <c r="AA261" i="115"/>
  <c r="AA112" i="115"/>
  <c r="W88" i="321"/>
  <c r="AB59" i="115"/>
  <c r="AA20" i="115"/>
  <c r="AA173" i="115"/>
  <c r="AA237" i="115"/>
  <c r="AB183" i="115"/>
  <c r="AB351" i="115"/>
  <c r="AA414" i="115"/>
  <c r="AB234" i="115"/>
  <c r="W91" i="321"/>
  <c r="AA330" i="115"/>
  <c r="AA380" i="115"/>
  <c r="AB337" i="115"/>
  <c r="AA405" i="115"/>
  <c r="AA338" i="115"/>
  <c r="AA69" i="115"/>
  <c r="AA390" i="115"/>
  <c r="AA336" i="115"/>
  <c r="Z93" i="321"/>
  <c r="AA162" i="115"/>
  <c r="AA185" i="115"/>
  <c r="AA268" i="115"/>
  <c r="AB231" i="115"/>
  <c r="AA86" i="321"/>
  <c r="AB39" i="115"/>
  <c r="AA275" i="115"/>
  <c r="AA213" i="115"/>
  <c r="AA281" i="115"/>
  <c r="AB213" i="115"/>
  <c r="AB148" i="115"/>
  <c r="AB186" i="115"/>
  <c r="AB390" i="115"/>
  <c r="V93" i="321"/>
  <c r="AB459" i="115"/>
  <c r="AB417" i="115"/>
  <c r="AA79" i="115"/>
  <c r="V92" i="321"/>
  <c r="AB441" i="115"/>
  <c r="AB73" i="115"/>
  <c r="AB134" i="115"/>
  <c r="AB373" i="115"/>
  <c r="AA91" i="321"/>
  <c r="AB409" i="115"/>
  <c r="AB88" i="115"/>
  <c r="AA283" i="115"/>
  <c r="AA262" i="115"/>
  <c r="AA138" i="115"/>
  <c r="AB454" i="115"/>
  <c r="AB177" i="115"/>
  <c r="AA67" i="115"/>
  <c r="AA93" i="321"/>
  <c r="AA427" i="115"/>
  <c r="AB250" i="115"/>
  <c r="AB78" i="115"/>
  <c r="W92" i="321"/>
  <c r="AB336" i="115"/>
  <c r="AB90" i="115"/>
  <c r="AB172" i="115"/>
  <c r="AB180" i="115"/>
  <c r="AB295" i="115"/>
  <c r="AB418" i="115"/>
  <c r="AA206" i="115"/>
  <c r="AA277" i="115"/>
  <c r="Y93" i="321"/>
  <c r="AB165" i="115"/>
  <c r="AA400" i="115"/>
  <c r="AA145" i="115"/>
  <c r="AB259" i="115"/>
  <c r="AA222" i="115"/>
  <c r="AA221" i="115" s="1"/>
  <c r="AB210" i="115"/>
  <c r="AB209" i="115" s="1"/>
  <c r="AA445" i="115"/>
  <c r="AI445" i="115" s="1"/>
  <c r="AA44" i="115"/>
  <c r="AC44" i="115" s="1"/>
  <c r="AA443" i="115"/>
  <c r="AI443" i="115" s="1"/>
  <c r="AA456" i="115"/>
  <c r="AI456" i="115" s="1"/>
  <c r="AA230" i="115"/>
  <c r="AA229" i="115" s="1"/>
  <c r="AB13" i="115"/>
  <c r="AB11" i="115" s="1"/>
  <c r="AA442" i="115"/>
  <c r="AI442" i="115" s="1"/>
  <c r="AI396" i="115" s="1"/>
  <c r="AI10" i="115" s="1"/>
  <c r="AI461" i="115" s="1"/>
  <c r="AI464" i="115" s="1"/>
  <c r="AA16" i="115"/>
  <c r="AC16" i="115" s="1"/>
  <c r="AC11" i="115" s="1"/>
  <c r="AC10" i="115" s="1"/>
  <c r="AC461" i="115" s="1"/>
  <c r="AC464" i="115" s="1"/>
  <c r="AB106" i="115"/>
  <c r="AA177" i="115"/>
  <c r="V94" i="321"/>
  <c r="AB298" i="115"/>
  <c r="AB301" i="115"/>
  <c r="AB368" i="115"/>
  <c r="AA84" i="115"/>
  <c r="AB407" i="115"/>
  <c r="AA355" i="115"/>
  <c r="AA168" i="115"/>
  <c r="AB71" i="115"/>
  <c r="AB309" i="115"/>
  <c r="AA125" i="115"/>
  <c r="AB365" i="115"/>
  <c r="AB340" i="115"/>
  <c r="AB111" i="115"/>
  <c r="AB21" i="115"/>
  <c r="AA413" i="115"/>
  <c r="AB86" i="115"/>
  <c r="AA24" i="115"/>
  <c r="AB268" i="115"/>
  <c r="AA72" i="115"/>
  <c r="AA158" i="115"/>
  <c r="V91" i="321"/>
  <c r="AB103" i="115"/>
  <c r="AB49" i="115"/>
  <c r="AA339" i="115"/>
  <c r="X92" i="321"/>
  <c r="AB363" i="115"/>
  <c r="AA170" i="115"/>
  <c r="AA422" i="115"/>
  <c r="AA172" i="115"/>
  <c r="AA29" i="115"/>
  <c r="AB42" i="115"/>
  <c r="AB202" i="115"/>
  <c r="AB143" i="115"/>
  <c r="X88" i="321"/>
  <c r="AB225" i="115"/>
  <c r="AB91" i="115"/>
  <c r="AB370" i="115"/>
  <c r="AA253" i="115"/>
  <c r="X86" i="321"/>
  <c r="AA149" i="115"/>
  <c r="AB412" i="115"/>
  <c r="AB188" i="115"/>
  <c r="AB386" i="115"/>
  <c r="AB170" i="115"/>
  <c r="AB296" i="115"/>
  <c r="AA199" i="115"/>
  <c r="AB393" i="115"/>
  <c r="W87" i="321"/>
  <c r="AB226" i="115"/>
  <c r="AB339" i="115"/>
  <c r="AB376" i="115"/>
  <c r="AB194" i="115"/>
  <c r="AB129" i="115"/>
  <c r="AA191" i="115"/>
  <c r="AA340" i="115"/>
  <c r="AB69" i="115"/>
  <c r="X93" i="321"/>
  <c r="AB54" i="115"/>
  <c r="AA320" i="115"/>
  <c r="AB260" i="115"/>
  <c r="AB89" i="115"/>
  <c r="AB191" i="115"/>
  <c r="AB41" i="115"/>
  <c r="AA309" i="115"/>
  <c r="AA245" i="115"/>
  <c r="Z92" i="321"/>
  <c r="AA371" i="115"/>
  <c r="AB246" i="115"/>
  <c r="AB83" i="115"/>
  <c r="AB360" i="115"/>
  <c r="AB257" i="115"/>
  <c r="AA190" i="115"/>
  <c r="AA109" i="115"/>
  <c r="AA15" i="115"/>
  <c r="Y91" i="321"/>
  <c r="AA297" i="115"/>
  <c r="AB82" i="115"/>
  <c r="AB347" i="115"/>
  <c r="AB369" i="115"/>
  <c r="AA205" i="115"/>
  <c r="AB413" i="115"/>
  <c r="AB328" i="115"/>
  <c r="AB271" i="115"/>
  <c r="AA296" i="115"/>
  <c r="AA61" i="115"/>
  <c r="AB458" i="115"/>
  <c r="AA129" i="115"/>
  <c r="V86" i="321"/>
  <c r="AA35" i="115"/>
  <c r="AC35" i="115" s="1"/>
  <c r="AA444" i="115"/>
  <c r="AI444" i="115" s="1"/>
  <c r="AB230" i="115"/>
  <c r="AB229" i="115" s="1"/>
  <c r="AA453" i="115"/>
  <c r="AI453" i="115" s="1"/>
  <c r="AA454" i="115"/>
  <c r="AI454" i="115" s="1"/>
  <c r="AA446" i="115"/>
  <c r="AI446" i="115" s="1"/>
  <c r="AA450" i="115"/>
  <c r="AI450" i="115" s="1"/>
  <c r="AA55" i="115"/>
  <c r="AC55" i="115" s="1"/>
  <c r="AA13" i="115"/>
  <c r="AA11" i="115" s="1"/>
  <c r="AB321" i="115"/>
  <c r="AA50" i="115"/>
  <c r="AB141" i="115"/>
  <c r="AA194" i="115"/>
  <c r="AA34" i="115"/>
  <c r="AB144" i="115"/>
  <c r="AB215" i="115"/>
  <c r="AA128" i="115"/>
  <c r="AA232" i="115"/>
  <c r="AA359" i="115"/>
  <c r="AB124" i="115"/>
  <c r="AB126" i="115"/>
  <c r="AA290" i="115"/>
  <c r="AB304" i="115"/>
  <c r="AB401" i="115"/>
  <c r="AB138" i="115"/>
  <c r="AB181" i="115"/>
  <c r="AB51" i="115"/>
  <c r="AA164" i="115"/>
  <c r="AA326" i="115"/>
  <c r="AA423" i="115"/>
  <c r="AB154" i="115"/>
  <c r="AA322" i="115"/>
  <c r="AB27" i="115"/>
  <c r="AA216" i="115"/>
  <c r="AB53" i="115"/>
  <c r="AB55" i="115"/>
  <c r="W93" i="321"/>
  <c r="AA286" i="115"/>
  <c r="AA89" i="115"/>
  <c r="AB146" i="115"/>
  <c r="AA110" i="115"/>
  <c r="AB325" i="115"/>
  <c r="AB47" i="115"/>
  <c r="AB420" i="115"/>
  <c r="AA189" i="115"/>
  <c r="Z88" i="321"/>
  <c r="AA349" i="115"/>
  <c r="AB377" i="115"/>
  <c r="AA40" i="115"/>
  <c r="AB436" i="115"/>
  <c r="AA218" i="115"/>
  <c r="AB131" i="115"/>
  <c r="AB136" i="115"/>
  <c r="AA236" i="115"/>
  <c r="Y87" i="321"/>
  <c r="AA74" i="115"/>
  <c r="AB36" i="115"/>
  <c r="AB94" i="115"/>
  <c r="AB392" i="115"/>
  <c r="Y86" i="321"/>
  <c r="AB85" i="115"/>
  <c r="AA356" i="115"/>
  <c r="AA398" i="115"/>
  <c r="AB372" i="115"/>
  <c r="AB160" i="115"/>
  <c r="AA30" i="115"/>
  <c r="AA341" i="115"/>
  <c r="AA211" i="115"/>
  <c r="W86" i="321"/>
  <c r="AA77" i="115"/>
  <c r="AB104" i="115"/>
  <c r="AA78" i="115"/>
  <c r="AB16" i="115"/>
  <c r="AB329" i="115"/>
  <c r="AB164" i="115"/>
  <c r="AA411" i="115"/>
  <c r="AB281" i="115"/>
  <c r="Y88" i="321"/>
  <c r="AB204" i="115"/>
  <c r="AA239" i="115"/>
  <c r="AA180" i="115"/>
  <c r="AB387" i="115"/>
  <c r="AA200" i="115"/>
  <c r="AA63" i="115"/>
  <c r="AB179" i="115"/>
  <c r="AB428" i="115"/>
  <c r="AB130" i="115"/>
  <c r="AA62" i="115"/>
  <c r="AB44" i="115"/>
  <c r="AA379" i="115"/>
  <c r="V88" i="321"/>
  <c r="AA64" i="115"/>
  <c r="AB169" i="115"/>
  <c r="AB300" i="115"/>
  <c r="AB442" i="115"/>
  <c r="AB224" i="115"/>
  <c r="AB189" i="115"/>
  <c r="AB211" i="115"/>
  <c r="AB366" i="115"/>
  <c r="X87" i="321"/>
  <c r="AA452" i="115"/>
  <c r="AI452" i="115" s="1"/>
  <c r="AA459" i="115"/>
  <c r="AI459" i="115" s="1"/>
  <c r="AA23" i="115"/>
  <c r="AC23" i="115" s="1"/>
  <c r="AA447" i="115"/>
  <c r="AI447" i="115" s="1"/>
  <c r="AA210" i="115"/>
  <c r="AA209" i="115" s="1"/>
  <c r="AB222" i="115"/>
  <c r="AB221" i="115" s="1"/>
  <c r="AA457" i="115"/>
  <c r="AI457" i="115" s="1"/>
  <c r="AA58" i="115"/>
  <c r="AA57" i="115" s="1"/>
  <c r="AB456" i="115"/>
  <c r="AA251" i="115"/>
  <c r="AB32" i="115"/>
  <c r="AB166" i="115"/>
  <c r="AB312" i="115"/>
  <c r="AB378" i="115"/>
  <c r="AA18" i="115"/>
  <c r="AB123" i="115"/>
  <c r="AA364" i="115"/>
  <c r="AA123" i="115"/>
  <c r="AA435" i="115"/>
  <c r="AB354" i="115"/>
  <c r="AB155" i="115"/>
  <c r="AB15" i="115"/>
  <c r="AA367" i="115"/>
  <c r="AB192" i="115"/>
  <c r="AA37" i="115"/>
  <c r="AB318" i="115"/>
  <c r="AB110" i="115"/>
  <c r="AB385" i="115"/>
  <c r="AA167" i="115"/>
  <c r="AB26" i="115"/>
  <c r="V87" i="321"/>
  <c r="AA259" i="115"/>
  <c r="AB453" i="115"/>
  <c r="AB201" i="115"/>
  <c r="AB236" i="115"/>
  <c r="AA419" i="115"/>
  <c r="AA235" i="115"/>
  <c r="AA155" i="115"/>
  <c r="AA332" i="115"/>
  <c r="AA87" i="321"/>
  <c r="AA305" i="115"/>
  <c r="AB410" i="115"/>
  <c r="AA159" i="115"/>
  <c r="AB205" i="115"/>
  <c r="X91" i="321"/>
  <c r="AA430" i="115"/>
  <c r="AB449" i="115"/>
  <c r="AB190" i="115"/>
  <c r="Z87" i="321"/>
  <c r="AA383" i="115"/>
  <c r="AA165" i="115"/>
  <c r="AA127" i="115"/>
  <c r="AA361" i="115"/>
  <c r="Z91" i="321"/>
  <c r="AA307" i="115"/>
  <c r="AA188" i="115"/>
  <c r="AA347" i="115"/>
  <c r="AA106" i="115"/>
  <c r="AA337" i="115"/>
  <c r="AA148" i="115"/>
  <c r="AB254" i="115"/>
  <c r="AB284" i="115"/>
  <c r="AA92" i="321"/>
  <c r="AB109" i="115"/>
  <c r="AA264" i="115"/>
  <c r="AA403" i="115"/>
  <c r="AA131" i="115"/>
  <c r="AA154" i="115"/>
  <c r="AA418" i="115"/>
  <c r="AB279" i="115"/>
  <c r="AB342" i="115"/>
  <c r="AA88" i="321"/>
  <c r="AB161" i="115"/>
  <c r="AB438" i="115"/>
  <c r="AA197" i="115"/>
  <c r="AA91" i="115"/>
  <c r="Z86" i="321"/>
  <c r="AB247" i="115"/>
  <c r="AB19" i="115"/>
  <c r="AB265" i="115"/>
  <c r="AB149" i="115"/>
  <c r="AA99" i="115"/>
  <c r="AA386" i="115"/>
  <c r="AB107" i="115"/>
  <c r="AA243" i="115"/>
  <c r="AB92" i="115"/>
  <c r="AA163" i="115"/>
  <c r="AB101" i="115"/>
  <c r="AA214" i="115"/>
  <c r="AB30" i="115"/>
  <c r="AA204" i="115"/>
  <c r="AB447" i="115"/>
  <c r="AB63" i="115"/>
  <c r="Y92" i="321"/>
  <c r="AB196" i="115"/>
  <c r="AA280" i="115"/>
  <c r="AB448" i="115"/>
  <c r="AB278" i="115"/>
  <c r="AA448" i="115"/>
  <c r="AI448" i="115" s="1"/>
  <c r="AA17" i="115"/>
  <c r="AC17" i="115" s="1"/>
  <c r="AA458" i="115"/>
  <c r="AI458" i="115" s="1"/>
  <c r="AA451" i="115"/>
  <c r="AI451" i="115" s="1"/>
  <c r="AA122" i="115"/>
  <c r="AA121" i="115" s="1"/>
  <c r="AA455" i="115"/>
  <c r="AI455" i="115" s="1"/>
  <c r="AA449" i="115"/>
  <c r="AI449" i="115" s="1"/>
  <c r="AB122" i="115"/>
  <c r="AB121" i="115" s="1"/>
  <c r="AA51" i="115"/>
  <c r="AC51" i="115" s="1"/>
  <c r="AB58" i="115"/>
  <c r="AB57" i="115" s="1"/>
  <c r="AB317" i="115"/>
  <c r="AB397" i="115"/>
  <c r="AB396" i="115" s="1"/>
  <c r="K101" i="261"/>
  <c r="AI16" i="261" s="1"/>
  <c r="N15" i="261"/>
  <c r="N101" i="261" s="1"/>
  <c r="W121" i="115"/>
  <c r="Z122" i="115"/>
  <c r="Z121" i="115" s="1"/>
  <c r="Z455" i="115"/>
  <c r="N73" i="262" s="1"/>
  <c r="O73" i="262" s="1"/>
  <c r="K73" i="262"/>
  <c r="N21" i="266"/>
  <c r="K44" i="262"/>
  <c r="N44" i="262" s="1"/>
  <c r="O44" i="262" s="1"/>
  <c r="Z426" i="115"/>
  <c r="Z435" i="115"/>
  <c r="K53" i="262"/>
  <c r="N53" i="262" s="1"/>
  <c r="O53" i="262" s="1"/>
  <c r="K43" i="262"/>
  <c r="N43" i="262" s="1"/>
  <c r="O43" i="262" s="1"/>
  <c r="Z425" i="115"/>
  <c r="K15" i="263"/>
  <c r="N15" i="263" s="1"/>
  <c r="O15" i="263" s="1"/>
  <c r="Z223" i="115"/>
  <c r="K45" i="262"/>
  <c r="N45" i="262" s="1"/>
  <c r="O45" i="262" s="1"/>
  <c r="Z427" i="115"/>
  <c r="Z458" i="115"/>
  <c r="K76" i="262"/>
  <c r="N76" i="262" s="1"/>
  <c r="O76" i="262" s="1"/>
  <c r="Z228" i="115"/>
  <c r="K20" i="263"/>
  <c r="N20" i="263" s="1"/>
  <c r="O20" i="263" s="1"/>
  <c r="Z433" i="115"/>
  <c r="K51" i="262"/>
  <c r="N51" i="262" s="1"/>
  <c r="O51" i="262" s="1"/>
  <c r="K33" i="264"/>
  <c r="N33" i="264" s="1"/>
  <c r="O33" i="264" s="1"/>
  <c r="P14" i="258"/>
  <c r="K20" i="261"/>
  <c r="N20" i="261" s="1"/>
  <c r="O20" i="261" s="1"/>
  <c r="Z267" i="115"/>
  <c r="AN267" i="115"/>
  <c r="AN294" i="115"/>
  <c r="Z294" i="115"/>
  <c r="K78" i="265"/>
  <c r="N78" i="265" s="1"/>
  <c r="O78" i="265" s="1"/>
  <c r="T209" i="115"/>
  <c r="T10" i="115" s="1"/>
  <c r="T461" i="115" s="1"/>
  <c r="T469" i="115" s="1"/>
  <c r="W210" i="115"/>
  <c r="Z419" i="115"/>
  <c r="K37" i="262"/>
  <c r="N37" i="262" s="1"/>
  <c r="O37" i="262" s="1"/>
  <c r="Z211" i="115"/>
  <c r="K15" i="258"/>
  <c r="Z413" i="115"/>
  <c r="K31" i="262"/>
  <c r="N31" i="262" s="1"/>
  <c r="O31" i="262" s="1"/>
  <c r="AN251" i="115"/>
  <c r="Z251" i="115"/>
  <c r="AN312" i="115"/>
  <c r="Z312" i="115"/>
  <c r="AN258" i="115"/>
  <c r="Z258" i="115"/>
  <c r="AN239" i="115"/>
  <c r="Z239" i="115"/>
  <c r="Q14" i="264"/>
  <c r="P85" i="264"/>
  <c r="K33" i="261"/>
  <c r="N33" i="261" s="1"/>
  <c r="O33" i="261" s="1"/>
  <c r="P78" i="262"/>
  <c r="Q15" i="262"/>
  <c r="Z261" i="115"/>
  <c r="AN261" i="115"/>
  <c r="Z305" i="115"/>
  <c r="AN305" i="115"/>
  <c r="K55" i="262"/>
  <c r="N55" i="262" s="1"/>
  <c r="O55" i="262" s="1"/>
  <c r="K20" i="262"/>
  <c r="N20" i="262" s="1"/>
  <c r="O20" i="262" s="1"/>
  <c r="K52" i="262"/>
  <c r="N52" i="262" s="1"/>
  <c r="O52" i="262" s="1"/>
  <c r="O39" i="264"/>
  <c r="Z451" i="115"/>
  <c r="K69" i="262"/>
  <c r="N69" i="262" s="1"/>
  <c r="O69" i="262" s="1"/>
  <c r="O58" i="262"/>
  <c r="Z406" i="115"/>
  <c r="K24" i="262"/>
  <c r="N24" i="262" s="1"/>
  <c r="O24" i="262" s="1"/>
  <c r="Z447" i="115"/>
  <c r="K65" i="262"/>
  <c r="N65" i="262" s="1"/>
  <c r="O65" i="262" s="1"/>
  <c r="Z443" i="115"/>
  <c r="K61" i="262"/>
  <c r="N61" i="262" s="1"/>
  <c r="O61" i="262" s="1"/>
  <c r="AN270" i="115"/>
  <c r="Z270" i="115"/>
  <c r="AN259" i="115"/>
  <c r="Z259" i="115"/>
  <c r="Z439" i="115"/>
  <c r="K57" i="262"/>
  <c r="N57" i="262" s="1"/>
  <c r="O57" i="262" s="1"/>
  <c r="Z398" i="115"/>
  <c r="K16" i="262"/>
  <c r="N16" i="262" s="1"/>
  <c r="O16" i="262" s="1"/>
  <c r="Z222" i="115"/>
  <c r="Z221" i="115" s="1"/>
  <c r="W221" i="115"/>
  <c r="W316" i="115"/>
  <c r="AM317" i="115"/>
  <c r="AM316" i="115" s="1"/>
  <c r="K14" i="264"/>
  <c r="Z317" i="115"/>
  <c r="Z181" i="115"/>
  <c r="K74" i="261"/>
  <c r="N74" i="261" s="1"/>
  <c r="O74" i="261" s="1"/>
  <c r="Z379" i="115"/>
  <c r="K76" i="264"/>
  <c r="N76" i="264" s="1"/>
  <c r="O76" i="264" s="1"/>
  <c r="Z429" i="115"/>
  <c r="K47" i="262"/>
  <c r="N47" i="262" s="1"/>
  <c r="O47" i="262" s="1"/>
  <c r="K60" i="262"/>
  <c r="N60" i="262" s="1"/>
  <c r="O60" i="262" s="1"/>
  <c r="Z442" i="115"/>
  <c r="Z204" i="115"/>
  <c r="AN292" i="115"/>
  <c r="Z292" i="115"/>
  <c r="Z236" i="115"/>
  <c r="AN236" i="115"/>
  <c r="K95" i="261"/>
  <c r="N95" i="261" s="1"/>
  <c r="O95" i="261" s="1"/>
  <c r="Z358" i="115"/>
  <c r="K77" i="261"/>
  <c r="N77" i="261" s="1"/>
  <c r="O77" i="261" s="1"/>
  <c r="K23" i="261"/>
  <c r="N23" i="261" s="1"/>
  <c r="K17" i="261"/>
  <c r="N17" i="261" s="1"/>
  <c r="O17" i="261" s="1"/>
  <c r="Z125" i="115"/>
  <c r="AN242" i="115"/>
  <c r="Z242" i="115"/>
  <c r="K24" i="264"/>
  <c r="N24" i="264" s="1"/>
  <c r="O24" i="264" s="1"/>
  <c r="K43" i="261"/>
  <c r="N43" i="261" s="1"/>
  <c r="O43" i="261" s="1"/>
  <c r="K85" i="261"/>
  <c r="N85" i="261" s="1"/>
  <c r="O85" i="261" s="1"/>
  <c r="AN299" i="115"/>
  <c r="Z299" i="115"/>
  <c r="K93" i="261"/>
  <c r="N93" i="261" s="1"/>
  <c r="O93" i="261" s="1"/>
  <c r="K75" i="261"/>
  <c r="N75" i="261" s="1"/>
  <c r="O75" i="261" s="1"/>
  <c r="K47" i="261"/>
  <c r="N47" i="261" s="1"/>
  <c r="O47" i="261" s="1"/>
  <c r="K48" i="265"/>
  <c r="N48" i="265" s="1"/>
  <c r="O48" i="265" s="1"/>
  <c r="AN313" i="115"/>
  <c r="K25" i="264"/>
  <c r="N25" i="264" s="1"/>
  <c r="O25" i="264" s="1"/>
  <c r="K16" i="265"/>
  <c r="N16" i="265" s="1"/>
  <c r="O16" i="265" s="1"/>
  <c r="K81" i="265"/>
  <c r="N81" i="265" s="1"/>
  <c r="O81" i="265" s="1"/>
  <c r="AN285" i="115"/>
  <c r="Z13" i="115"/>
  <c r="Z11" i="115" s="1"/>
  <c r="K64" i="265"/>
  <c r="N64" i="265" s="1"/>
  <c r="O64" i="265" s="1"/>
  <c r="K37" i="264"/>
  <c r="N37" i="264" s="1"/>
  <c r="O37" i="264" s="1"/>
  <c r="Z196" i="115"/>
  <c r="Z245" i="115"/>
  <c r="AN245" i="115"/>
  <c r="Z260" i="115"/>
  <c r="AN260" i="115"/>
  <c r="AN247" i="115"/>
  <c r="Z247" i="115"/>
  <c r="Z276" i="115"/>
  <c r="AN276" i="115"/>
  <c r="Z264" i="115"/>
  <c r="AN232" i="115"/>
  <c r="Z297" i="115"/>
  <c r="Z280" i="115"/>
  <c r="Z440" i="115"/>
  <c r="Z225" i="115"/>
  <c r="K44" i="264"/>
  <c r="N44" i="264" s="1"/>
  <c r="O44" i="264" s="1"/>
  <c r="AN235" i="115"/>
  <c r="Z235" i="115"/>
  <c r="K28" i="261"/>
  <c r="N28" i="261" s="1"/>
  <c r="O28" i="261" s="1"/>
  <c r="Z241" i="115"/>
  <c r="AN241" i="115"/>
  <c r="K71" i="261"/>
  <c r="N71" i="261" s="1"/>
  <c r="O71" i="261" s="1"/>
  <c r="P14" i="263"/>
  <c r="K88" i="261"/>
  <c r="N88" i="261" s="1"/>
  <c r="O88" i="261" s="1"/>
  <c r="K16" i="264"/>
  <c r="N16" i="264" s="1"/>
  <c r="O16" i="264" s="1"/>
  <c r="K55" i="261"/>
  <c r="N55" i="261" s="1"/>
  <c r="O55" i="261" s="1"/>
  <c r="K19" i="264"/>
  <c r="N19" i="264" s="1"/>
  <c r="O19" i="264" s="1"/>
  <c r="AN244" i="115"/>
  <c r="Z244" i="115"/>
  <c r="AN288" i="115"/>
  <c r="Z288" i="115"/>
  <c r="Z278" i="115"/>
  <c r="AN278" i="115"/>
  <c r="AN303" i="115"/>
  <c r="Z303" i="115"/>
  <c r="Z213" i="115"/>
  <c r="K17" i="258"/>
  <c r="Z431" i="115"/>
  <c r="K49" i="262"/>
  <c r="N49" i="262" s="1"/>
  <c r="O49" i="262" s="1"/>
  <c r="Z449" i="115"/>
  <c r="K67" i="262"/>
  <c r="N67" i="262" s="1"/>
  <c r="O67" i="262" s="1"/>
  <c r="Z274" i="115"/>
  <c r="AN284" i="115"/>
  <c r="Z403" i="115"/>
  <c r="K21" i="262"/>
  <c r="N21" i="262" s="1"/>
  <c r="O21" i="262" s="1"/>
  <c r="O35" i="262"/>
  <c r="K72" i="262"/>
  <c r="Z454" i="115"/>
  <c r="N72" i="262" s="1"/>
  <c r="O72" i="262" s="1"/>
  <c r="Z421" i="115"/>
  <c r="K39" i="262"/>
  <c r="N39" i="262" s="1"/>
  <c r="O39" i="262" s="1"/>
  <c r="K22" i="262"/>
  <c r="N22" i="262" s="1"/>
  <c r="O22" i="262" s="1"/>
  <c r="Z404" i="115"/>
  <c r="Z214" i="115"/>
  <c r="K18" i="258"/>
  <c r="O19" i="265"/>
  <c r="K16" i="263"/>
  <c r="N16" i="263" s="1"/>
  <c r="O16" i="263" s="1"/>
  <c r="Z224" i="115"/>
  <c r="Z212" i="115"/>
  <c r="K16" i="258"/>
  <c r="K19" i="258"/>
  <c r="Z215" i="115"/>
  <c r="O54" i="262"/>
  <c r="Z450" i="115"/>
  <c r="K68" i="262"/>
  <c r="N68" i="262" s="1"/>
  <c r="O68" i="262" s="1"/>
  <c r="AN274" i="115"/>
  <c r="Z284" i="115"/>
  <c r="W58" i="115"/>
  <c r="AN253" i="115"/>
  <c r="Z253" i="115"/>
  <c r="O42" i="262"/>
  <c r="K48" i="262"/>
  <c r="N48" i="262" s="1"/>
  <c r="O48" i="262" s="1"/>
  <c r="Z430" i="115"/>
  <c r="Z422" i="115"/>
  <c r="K40" i="262"/>
  <c r="N40" i="262" s="1"/>
  <c r="O40" i="262" s="1"/>
  <c r="K19" i="263"/>
  <c r="N19" i="263" s="1"/>
  <c r="O19" i="263" s="1"/>
  <c r="Z227" i="115"/>
  <c r="K74" i="262"/>
  <c r="Z456" i="115"/>
  <c r="N74" i="262" s="1"/>
  <c r="O74" i="262" s="1"/>
  <c r="O87" i="265"/>
  <c r="O17" i="263"/>
  <c r="K75" i="262"/>
  <c r="Z457" i="115"/>
  <c r="N75" i="262" s="1"/>
  <c r="O75" i="262" s="1"/>
  <c r="O17" i="265"/>
  <c r="Z428" i="115"/>
  <c r="K46" i="262"/>
  <c r="N46" i="262" s="1"/>
  <c r="O46" i="262" s="1"/>
  <c r="Z218" i="115"/>
  <c r="K22" i="258"/>
  <c r="O22" i="265"/>
  <c r="Z444" i="115"/>
  <c r="K62" i="262"/>
  <c r="N62" i="262" s="1"/>
  <c r="O62" i="262" s="1"/>
  <c r="K19" i="262"/>
  <c r="N19" i="262" s="1"/>
  <c r="O19" i="262" s="1"/>
  <c r="Z401" i="115"/>
  <c r="Z399" i="115"/>
  <c r="K17" i="262"/>
  <c r="N17" i="262" s="1"/>
  <c r="O17" i="262" s="1"/>
  <c r="Z417" i="115"/>
  <c r="K27" i="262"/>
  <c r="N27" i="262" s="1"/>
  <c r="O27" i="262" s="1"/>
  <c r="AN286" i="115"/>
  <c r="AN252" i="115"/>
  <c r="Z252" i="115"/>
  <c r="Z237" i="115"/>
  <c r="Z279" i="115"/>
  <c r="Z216" i="115"/>
  <c r="Z268" i="115"/>
  <c r="AN296" i="115"/>
  <c r="Z290" i="115"/>
  <c r="Z436" i="115"/>
  <c r="Z283" i="115"/>
  <c r="K71" i="262"/>
  <c r="N71" i="262" s="1"/>
  <c r="O71" i="262" s="1"/>
  <c r="K56" i="262"/>
  <c r="N56" i="262" s="1"/>
  <c r="O56" i="262" s="1"/>
  <c r="O80" i="261"/>
  <c r="O46" i="261"/>
  <c r="K34" i="262"/>
  <c r="N34" i="262" s="1"/>
  <c r="O34" i="262" s="1"/>
  <c r="Z352" i="115"/>
  <c r="K92" i="265"/>
  <c r="N92" i="265" s="1"/>
  <c r="O92" i="265" s="1"/>
  <c r="AN238" i="115"/>
  <c r="Z250" i="115"/>
  <c r="K45" i="264"/>
  <c r="N45" i="264" s="1"/>
  <c r="O45" i="264" s="1"/>
  <c r="K82" i="264"/>
  <c r="N82" i="264" s="1"/>
  <c r="Z298" i="115"/>
  <c r="K61" i="264"/>
  <c r="N61" i="264" s="1"/>
  <c r="Z411" i="115"/>
  <c r="Z407" i="115"/>
  <c r="K80" i="265"/>
  <c r="N80" i="265" s="1"/>
  <c r="O80" i="265" s="1"/>
  <c r="Z295" i="115"/>
  <c r="Z308" i="115"/>
  <c r="Z277" i="115"/>
  <c r="Z254" i="115"/>
  <c r="Z432" i="115"/>
  <c r="Z356" i="115"/>
  <c r="Z423" i="115"/>
  <c r="K41" i="262"/>
  <c r="N41" i="262" s="1"/>
  <c r="O41" i="262" s="1"/>
  <c r="O44" i="265"/>
  <c r="K53" i="261"/>
  <c r="N53" i="261" s="1"/>
  <c r="O53" i="261" s="1"/>
  <c r="K50" i="264"/>
  <c r="N50" i="264" s="1"/>
  <c r="O50" i="264" s="1"/>
  <c r="Z408" i="115"/>
  <c r="K26" i="262"/>
  <c r="N26" i="262" s="1"/>
  <c r="O26" i="262" s="1"/>
  <c r="K59" i="262"/>
  <c r="N59" i="262" s="1"/>
  <c r="O59" i="262" s="1"/>
  <c r="AN249" i="115"/>
  <c r="K28" i="262"/>
  <c r="N28" i="262" s="1"/>
  <c r="O28" i="262" s="1"/>
  <c r="AN309" i="115"/>
  <c r="Z240" i="115"/>
  <c r="K18" i="262"/>
  <c r="N18" i="262" s="1"/>
  <c r="O18" i="262" s="1"/>
  <c r="Z400" i="115"/>
  <c r="O70" i="261"/>
  <c r="Z459" i="115"/>
  <c r="K77" i="262"/>
  <c r="N77" i="262" s="1"/>
  <c r="O77" i="262" s="1"/>
  <c r="K57" i="264"/>
  <c r="N57" i="264" s="1"/>
  <c r="O57" i="264" s="1"/>
  <c r="K63" i="265"/>
  <c r="N63" i="265" s="1"/>
  <c r="O63" i="265" s="1"/>
  <c r="K26" i="261"/>
  <c r="N26" i="261" s="1"/>
  <c r="O26" i="261" s="1"/>
  <c r="K67" i="265"/>
  <c r="N67" i="265" s="1"/>
  <c r="O67" i="265" s="1"/>
  <c r="K36" i="265"/>
  <c r="N36" i="265" s="1"/>
  <c r="O36" i="265" s="1"/>
  <c r="Z146" i="115"/>
  <c r="K39" i="261"/>
  <c r="N39" i="261" s="1"/>
  <c r="O39" i="261" s="1"/>
  <c r="O67" i="261"/>
  <c r="O19" i="261"/>
  <c r="O83" i="261"/>
  <c r="K68" i="261"/>
  <c r="N68" i="261" s="1"/>
  <c r="O68" i="261" s="1"/>
  <c r="K47" i="264"/>
  <c r="N47" i="264" s="1"/>
  <c r="K38" i="264"/>
  <c r="N38" i="264" s="1"/>
  <c r="O38" i="264" s="1"/>
  <c r="K26" i="264"/>
  <c r="N26" i="264" s="1"/>
  <c r="O26" i="264" s="1"/>
  <c r="K46" i="264"/>
  <c r="N46" i="264" s="1"/>
  <c r="Z393" i="115"/>
  <c r="Z357" i="115"/>
  <c r="Z190" i="115"/>
  <c r="Z415" i="115"/>
  <c r="Z248" i="115"/>
  <c r="AN248" i="115"/>
  <c r="K64" i="261"/>
  <c r="N64" i="261" s="1"/>
  <c r="O64" i="261" s="1"/>
  <c r="Z163" i="115"/>
  <c r="K60" i="264"/>
  <c r="N60" i="264" s="1"/>
  <c r="K31" i="261"/>
  <c r="N31" i="261" s="1"/>
  <c r="O31" i="261" s="1"/>
  <c r="Z365" i="115"/>
  <c r="K48" i="261"/>
  <c r="N48" i="261" s="1"/>
  <c r="O48" i="261" s="1"/>
  <c r="K24" i="261"/>
  <c r="N24" i="261" s="1"/>
  <c r="O24" i="261" s="1"/>
  <c r="K17" i="266"/>
  <c r="N17" i="266" s="1"/>
  <c r="O17" i="266" s="1"/>
  <c r="O54" i="265"/>
  <c r="O23" i="265"/>
  <c r="O58" i="265"/>
  <c r="O89" i="265"/>
  <c r="O56" i="265"/>
  <c r="Z151" i="115"/>
  <c r="AN271" i="115"/>
  <c r="Z271" i="115"/>
  <c r="K87" i="261"/>
  <c r="N87" i="261" s="1"/>
  <c r="O87" i="261" s="1"/>
  <c r="K32" i="264"/>
  <c r="N32" i="264" s="1"/>
  <c r="O32" i="264" s="1"/>
  <c r="K67" i="264"/>
  <c r="N67" i="264" s="1"/>
  <c r="O67" i="264" s="1"/>
  <c r="K16" i="261"/>
  <c r="N16" i="261" s="1"/>
  <c r="O16" i="261" s="1"/>
  <c r="AN275" i="115"/>
  <c r="Z275" i="115"/>
  <c r="K38" i="262"/>
  <c r="N38" i="262" s="1"/>
  <c r="O38" i="262" s="1"/>
  <c r="Z420" i="115"/>
  <c r="O39" i="265"/>
  <c r="K70" i="262"/>
  <c r="N70" i="262" s="1"/>
  <c r="O70" i="262" s="1"/>
  <c r="Z452" i="115"/>
  <c r="O90" i="261"/>
  <c r="O89" i="261"/>
  <c r="AN307" i="115"/>
  <c r="Z307" i="115"/>
  <c r="Z376" i="115"/>
  <c r="K73" i="264"/>
  <c r="N73" i="264" s="1"/>
  <c r="O73" i="264" s="1"/>
  <c r="O69" i="265"/>
  <c r="K15" i="266"/>
  <c r="N15" i="266" s="1"/>
  <c r="O15" i="266" s="1"/>
  <c r="Z389" i="115"/>
  <c r="K48" i="264"/>
  <c r="N48" i="264" s="1"/>
  <c r="O48" i="264" s="1"/>
  <c r="Z351" i="115"/>
  <c r="Z201" i="115"/>
  <c r="K94" i="261"/>
  <c r="N94" i="261" s="1"/>
  <c r="O94" i="261" s="1"/>
  <c r="V10" i="115"/>
  <c r="V461" i="115" s="1"/>
  <c r="V469" i="115" s="1"/>
  <c r="O43" i="265"/>
  <c r="O47" i="265"/>
  <c r="O100" i="261"/>
  <c r="Z287" i="115"/>
  <c r="AN287" i="115"/>
  <c r="Z361" i="115"/>
  <c r="K58" i="264"/>
  <c r="N58" i="264" s="1"/>
  <c r="O58" i="264" s="1"/>
  <c r="Z377" i="115"/>
  <c r="K74" i="264"/>
  <c r="N74" i="264" s="1"/>
  <c r="O74" i="264" s="1"/>
  <c r="O73" i="265"/>
  <c r="O20" i="265"/>
  <c r="K37" i="261"/>
  <c r="N37" i="261" s="1"/>
  <c r="O37" i="261" s="1"/>
  <c r="K55" i="265"/>
  <c r="N55" i="265" s="1"/>
  <c r="O55" i="265" s="1"/>
  <c r="AN234" i="115"/>
  <c r="Z234" i="115"/>
  <c r="Z266" i="115"/>
  <c r="AN266" i="115"/>
  <c r="K52" i="261"/>
  <c r="N52" i="261" s="1"/>
  <c r="O52" i="261" s="1"/>
  <c r="K92" i="261"/>
  <c r="N92" i="261" s="1"/>
  <c r="O92" i="261" s="1"/>
  <c r="AN311" i="115"/>
  <c r="Z311" i="115"/>
  <c r="K59" i="261"/>
  <c r="N59" i="261" s="1"/>
  <c r="O59" i="261" s="1"/>
  <c r="Z265" i="115"/>
  <c r="AN265" i="115"/>
  <c r="K49" i="265"/>
  <c r="N49" i="265" s="1"/>
  <c r="O49" i="265" s="1"/>
  <c r="O46" i="265"/>
  <c r="O82" i="261"/>
  <c r="K66" i="264"/>
  <c r="N66" i="264" s="1"/>
  <c r="O66" i="264" s="1"/>
  <c r="AN293" i="115"/>
  <c r="AN269" i="115"/>
  <c r="K57" i="261"/>
  <c r="N57" i="261" s="1"/>
  <c r="O57" i="261" s="1"/>
  <c r="AN231" i="115"/>
  <c r="Z339" i="115"/>
  <c r="O42" i="265"/>
  <c r="O57" i="265"/>
  <c r="K36" i="261"/>
  <c r="N36" i="261" s="1"/>
  <c r="O36" i="261" s="1"/>
  <c r="K76" i="261"/>
  <c r="N76" i="261" s="1"/>
  <c r="O76" i="261" s="1"/>
  <c r="K53" i="265"/>
  <c r="N53" i="265" s="1"/>
  <c r="O53" i="265" s="1"/>
  <c r="AN304" i="115"/>
  <c r="Z273" i="115"/>
  <c r="O95" i="265"/>
  <c r="O90" i="265"/>
  <c r="O68" i="265"/>
  <c r="K21" i="266" l="1"/>
  <c r="AH16" i="266" s="1"/>
  <c r="O14" i="266"/>
  <c r="O21" i="266" s="1"/>
  <c r="Q14" i="265"/>
  <c r="Q99" i="265" s="1"/>
  <c r="Q15" i="261"/>
  <c r="Q101" i="261" s="1"/>
  <c r="Q41" i="264"/>
  <c r="K15" i="262"/>
  <c r="K78" i="262" s="1"/>
  <c r="K21" i="263"/>
  <c r="Z397" i="115"/>
  <c r="Z396" i="115" s="1"/>
  <c r="N99" i="265"/>
  <c r="Z58" i="115"/>
  <c r="Z57" i="115" s="1"/>
  <c r="W57" i="115"/>
  <c r="AM318" i="115"/>
  <c r="Q78" i="262"/>
  <c r="AQ317" i="115"/>
  <c r="AQ316" i="115" s="1"/>
  <c r="AB316" i="115"/>
  <c r="AB10" i="115" s="1"/>
  <c r="AB461" i="115" s="1"/>
  <c r="AB464" i="115" s="1"/>
  <c r="AO317" i="115"/>
  <c r="AO316" i="115" s="1"/>
  <c r="Z316" i="115"/>
  <c r="Q85" i="264"/>
  <c r="AH85" i="264" s="1"/>
  <c r="AP317" i="115"/>
  <c r="AP316" i="115" s="1"/>
  <c r="AA316" i="115"/>
  <c r="K85" i="264"/>
  <c r="N14" i="264"/>
  <c r="N85" i="264" s="1"/>
  <c r="AI16" i="264" s="1"/>
  <c r="G90" i="257"/>
  <c r="P107" i="257"/>
  <c r="T107" i="257"/>
  <c r="G97" i="257"/>
  <c r="R107" i="257"/>
  <c r="O99" i="257"/>
  <c r="Q107" i="257"/>
  <c r="G92" i="31"/>
  <c r="G96" i="31"/>
  <c r="AA85" i="321"/>
  <c r="AA10" i="321" s="1"/>
  <c r="AA9" i="321" s="1"/>
  <c r="AA180" i="321" s="1"/>
  <c r="T93" i="257"/>
  <c r="R99" i="257"/>
  <c r="T106" i="257"/>
  <c r="T95" i="257"/>
  <c r="R106" i="257"/>
  <c r="T94" i="257"/>
  <c r="G95" i="31"/>
  <c r="G91" i="31"/>
  <c r="G94" i="31"/>
  <c r="G90" i="334" s="1"/>
  <c r="Y85" i="321"/>
  <c r="Y10" i="321" s="1"/>
  <c r="Y9" i="321" s="1"/>
  <c r="Y180" i="321" s="1"/>
  <c r="Q99" i="257"/>
  <c r="X85" i="321"/>
  <c r="X10" i="321" s="1"/>
  <c r="X9" i="321" s="1"/>
  <c r="X180" i="321" s="1"/>
  <c r="V85" i="321"/>
  <c r="V10" i="321" s="1"/>
  <c r="V9" i="321" s="1"/>
  <c r="V180" i="321" s="1"/>
  <c r="G93" i="257"/>
  <c r="R92" i="257"/>
  <c r="R90" i="257"/>
  <c r="T92" i="257"/>
  <c r="T99" i="257"/>
  <c r="R94" i="257"/>
  <c r="T90" i="257"/>
  <c r="P106" i="257"/>
  <c r="P99" i="257"/>
  <c r="R91" i="257"/>
  <c r="Q97" i="257"/>
  <c r="G92" i="257"/>
  <c r="Z85" i="321"/>
  <c r="Z10" i="321" s="1"/>
  <c r="Z9" i="321" s="1"/>
  <c r="Z180" i="321" s="1"/>
  <c r="G97" i="31"/>
  <c r="G95" i="257"/>
  <c r="Q106" i="257"/>
  <c r="G94" i="257"/>
  <c r="G98" i="31"/>
  <c r="G98" i="257"/>
  <c r="G93" i="31"/>
  <c r="G89" i="334" s="1"/>
  <c r="W85" i="321"/>
  <c r="W10" i="321" s="1"/>
  <c r="W9" i="321" s="1"/>
  <c r="W180" i="321" s="1"/>
  <c r="G99" i="31"/>
  <c r="G91" i="257"/>
  <c r="Q90" i="257"/>
  <c r="Q91" i="31" s="1"/>
  <c r="Q96" i="257"/>
  <c r="G106" i="257"/>
  <c r="O106" i="257"/>
  <c r="G107" i="31"/>
  <c r="G103" i="334" s="1"/>
  <c r="Q94" i="257"/>
  <c r="O98" i="257"/>
  <c r="AD85" i="321"/>
  <c r="Q92" i="257"/>
  <c r="O92" i="257"/>
  <c r="O93" i="257"/>
  <c r="O97" i="257"/>
  <c r="G107" i="257"/>
  <c r="D90" i="31"/>
  <c r="C89" i="257"/>
  <c r="O94" i="257"/>
  <c r="Q98" i="257"/>
  <c r="Q99" i="31" s="1"/>
  <c r="G108" i="31"/>
  <c r="G104" i="334" s="1"/>
  <c r="O95" i="257"/>
  <c r="O90" i="257"/>
  <c r="G100" i="31"/>
  <c r="G96" i="334" s="1"/>
  <c r="R85" i="321"/>
  <c r="Q95" i="257"/>
  <c r="Q96" i="31" s="1"/>
  <c r="O91" i="257"/>
  <c r="O107" i="257"/>
  <c r="P21" i="263"/>
  <c r="Q14" i="263"/>
  <c r="W209" i="115"/>
  <c r="Z210" i="115"/>
  <c r="Z209" i="115" s="1"/>
  <c r="K14" i="258"/>
  <c r="K25" i="258" s="1"/>
  <c r="Q14" i="258"/>
  <c r="Q25" i="258" s="1"/>
  <c r="P25" i="258"/>
  <c r="O15" i="261" l="1"/>
  <c r="O101" i="261" s="1"/>
  <c r="W10" i="115"/>
  <c r="Q98" i="31"/>
  <c r="R91" i="31"/>
  <c r="G87" i="334"/>
  <c r="M89" i="257"/>
  <c r="K89" i="257"/>
  <c r="S101" i="31"/>
  <c r="I100" i="31"/>
  <c r="S106" i="31"/>
  <c r="S102" i="31"/>
  <c r="M100" i="31"/>
  <c r="J100" i="31"/>
  <c r="L100" i="31" s="1"/>
  <c r="S104" i="31"/>
  <c r="S105" i="31"/>
  <c r="S103" i="31"/>
  <c r="N100" i="31"/>
  <c r="H96" i="334" s="1"/>
  <c r="V93" i="31"/>
  <c r="V98" i="31"/>
  <c r="V96" i="31"/>
  <c r="V95" i="31"/>
  <c r="M97" i="31"/>
  <c r="V99" i="31"/>
  <c r="V91" i="31"/>
  <c r="K97" i="31"/>
  <c r="V94" i="31"/>
  <c r="V92" i="31"/>
  <c r="N97" i="31"/>
  <c r="H93" i="334" s="1"/>
  <c r="K91" i="31"/>
  <c r="M91" i="31"/>
  <c r="V97" i="31"/>
  <c r="M93" i="31"/>
  <c r="K95" i="31"/>
  <c r="K92" i="31"/>
  <c r="K99" i="31"/>
  <c r="K93" i="31"/>
  <c r="K98" i="31"/>
  <c r="M98" i="31"/>
  <c r="M96" i="31"/>
  <c r="M92" i="31"/>
  <c r="M94" i="31"/>
  <c r="M99" i="31"/>
  <c r="K94" i="31"/>
  <c r="K96" i="31"/>
  <c r="M95" i="31"/>
  <c r="N96" i="31"/>
  <c r="H92" i="334" s="1"/>
  <c r="N95" i="31"/>
  <c r="H91" i="334" s="1"/>
  <c r="N92" i="31"/>
  <c r="H88" i="334" s="1"/>
  <c r="N94" i="31"/>
  <c r="H90" i="334" s="1"/>
  <c r="N91" i="31"/>
  <c r="H87" i="334" s="1"/>
  <c r="N93" i="31"/>
  <c r="H89" i="334" s="1"/>
  <c r="N98" i="31"/>
  <c r="H94" i="334" s="1"/>
  <c r="N99" i="31"/>
  <c r="H95" i="334" s="1"/>
  <c r="G95" i="334"/>
  <c r="G94" i="334"/>
  <c r="G93" i="334"/>
  <c r="R92" i="31"/>
  <c r="R95" i="31"/>
  <c r="R93" i="31"/>
  <c r="G91" i="334"/>
  <c r="G92" i="334"/>
  <c r="V90" i="31"/>
  <c r="G100" i="334"/>
  <c r="H102" i="334"/>
  <c r="G98" i="334"/>
  <c r="H99" i="334"/>
  <c r="H103" i="334"/>
  <c r="H101" i="334"/>
  <c r="G101" i="334"/>
  <c r="H100" i="334"/>
  <c r="H97" i="334"/>
  <c r="G99" i="334"/>
  <c r="H104" i="334"/>
  <c r="H98" i="334"/>
  <c r="G102" i="334"/>
  <c r="Q95" i="31"/>
  <c r="Q97" i="31"/>
  <c r="P100" i="31"/>
  <c r="G88" i="334"/>
  <c r="O92" i="31"/>
  <c r="O91" i="31"/>
  <c r="O95" i="31"/>
  <c r="O96" i="31"/>
  <c r="O94" i="31"/>
  <c r="O100" i="31"/>
  <c r="O93" i="31"/>
  <c r="O98" i="31"/>
  <c r="O99" i="31"/>
  <c r="S92" i="257"/>
  <c r="S93" i="31" s="1"/>
  <c r="Q93" i="31"/>
  <c r="V101" i="31"/>
  <c r="V106" i="31"/>
  <c r="P104" i="31"/>
  <c r="O102" i="31"/>
  <c r="Q103" i="31"/>
  <c r="R102" i="31"/>
  <c r="P106" i="31"/>
  <c r="O104" i="31"/>
  <c r="V105" i="31"/>
  <c r="V103" i="31"/>
  <c r="O105" i="31"/>
  <c r="Q102" i="31"/>
  <c r="Q106" i="31"/>
  <c r="O101" i="31"/>
  <c r="R104" i="31"/>
  <c r="P103" i="31"/>
  <c r="O103" i="31"/>
  <c r="V102" i="31"/>
  <c r="P102" i="31"/>
  <c r="O106" i="31"/>
  <c r="R103" i="31"/>
  <c r="Q104" i="31"/>
  <c r="D1417" i="229" s="1"/>
  <c r="P105" i="31"/>
  <c r="Q101" i="31"/>
  <c r="Q105" i="31"/>
  <c r="V104" i="31"/>
  <c r="P101" i="31"/>
  <c r="R101" i="31"/>
  <c r="R106" i="31"/>
  <c r="R105" i="31"/>
  <c r="N15" i="262"/>
  <c r="N78" i="262" s="1"/>
  <c r="S90" i="257"/>
  <c r="S91" i="31" s="1"/>
  <c r="S106" i="257"/>
  <c r="Z106" i="257" s="1"/>
  <c r="S94" i="257"/>
  <c r="S95" i="31" s="1"/>
  <c r="AQ318" i="115"/>
  <c r="AO318" i="115"/>
  <c r="S99" i="257"/>
  <c r="S100" i="31" s="1"/>
  <c r="R93" i="257"/>
  <c r="R94" i="31" s="1"/>
  <c r="O96" i="257"/>
  <c r="AM151" i="115"/>
  <c r="W461" i="115"/>
  <c r="I96" i="31"/>
  <c r="I95" i="31"/>
  <c r="Q100" i="31"/>
  <c r="C726" i="328" s="1"/>
  <c r="E726" i="328" s="1"/>
  <c r="V100" i="31"/>
  <c r="P108" i="31"/>
  <c r="R107" i="31"/>
  <c r="V108" i="31"/>
  <c r="V107" i="31"/>
  <c r="I92" i="31"/>
  <c r="I91" i="31"/>
  <c r="I98" i="31"/>
  <c r="I93" i="31"/>
  <c r="R100" i="31"/>
  <c r="I94" i="31"/>
  <c r="Q107" i="31"/>
  <c r="I726" i="328" s="1"/>
  <c r="K726" i="328" s="1"/>
  <c r="I99" i="31"/>
  <c r="I97" i="31"/>
  <c r="P107" i="31"/>
  <c r="Q108" i="31"/>
  <c r="R108" i="31"/>
  <c r="O107" i="31"/>
  <c r="H89" i="257"/>
  <c r="H97" i="31" s="1"/>
  <c r="T89" i="257"/>
  <c r="O89" i="257"/>
  <c r="R89" i="257"/>
  <c r="R90" i="31" s="1"/>
  <c r="O108" i="31"/>
  <c r="C741" i="328" s="1"/>
  <c r="E741" i="328" s="1"/>
  <c r="Q89" i="257"/>
  <c r="Q90" i="31" s="1"/>
  <c r="P89" i="257"/>
  <c r="P90" i="31" s="1"/>
  <c r="AF184" i="321"/>
  <c r="AF182" i="321"/>
  <c r="AF183" i="321"/>
  <c r="Q93" i="257"/>
  <c r="Q94" i="31" s="1"/>
  <c r="P93" i="257"/>
  <c r="P94" i="31" s="1"/>
  <c r="P96" i="257"/>
  <c r="P97" i="31" s="1"/>
  <c r="S107" i="257"/>
  <c r="S108" i="31" s="1"/>
  <c r="P90" i="257"/>
  <c r="P91" i="31" s="1"/>
  <c r="R95" i="257"/>
  <c r="R96" i="31" s="1"/>
  <c r="R98" i="257"/>
  <c r="R99" i="31" s="1"/>
  <c r="R97" i="257"/>
  <c r="R98" i="31" s="1"/>
  <c r="R96" i="257"/>
  <c r="R97" i="31" s="1"/>
  <c r="O14" i="264"/>
  <c r="O85" i="264" s="1"/>
  <c r="Z10" i="115"/>
  <c r="S44" i="262"/>
  <c r="D3663" i="229"/>
  <c r="C2164" i="288"/>
  <c r="I2592" i="288"/>
  <c r="C556" i="229"/>
  <c r="W49" i="262"/>
  <c r="I1043" i="229"/>
  <c r="C2378" i="288"/>
  <c r="D2994" i="229"/>
  <c r="C3544" i="229"/>
  <c r="Y50" i="264"/>
  <c r="D3646" i="229"/>
  <c r="D1207" i="229"/>
  <c r="D2944" i="229"/>
  <c r="Y77" i="262"/>
  <c r="J3059" i="229"/>
  <c r="V75" i="264"/>
  <c r="D1206" i="229"/>
  <c r="C1612" i="229"/>
  <c r="I3237" i="288"/>
  <c r="U22" i="264"/>
  <c r="D3237" i="229"/>
  <c r="C3509" i="229"/>
  <c r="I1081" i="288"/>
  <c r="K802" i="328"/>
  <c r="J1386" i="229"/>
  <c r="Y16" i="264"/>
  <c r="T40" i="265"/>
  <c r="U59" i="262"/>
  <c r="C782" i="288"/>
  <c r="J1581" i="229"/>
  <c r="C2805" i="288"/>
  <c r="I294" i="229"/>
  <c r="T100" i="261"/>
  <c r="U42" i="261"/>
  <c r="C2944" i="229"/>
  <c r="I3207" i="288"/>
  <c r="C3171" i="229"/>
  <c r="C2323" i="229"/>
  <c r="D475" i="229"/>
  <c r="D1467" i="229"/>
  <c r="I910" i="288"/>
  <c r="Z37" i="264"/>
  <c r="X27" i="261"/>
  <c r="I2307" i="229"/>
  <c r="J1337" i="229"/>
  <c r="J3492" i="229"/>
  <c r="W71" i="262"/>
  <c r="T60" i="262"/>
  <c r="S35" i="262"/>
  <c r="X55" i="264"/>
  <c r="J2438" i="229"/>
  <c r="C2209" i="229"/>
  <c r="I3371" i="229"/>
  <c r="J213" i="229"/>
  <c r="V17" i="262"/>
  <c r="W49" i="264"/>
  <c r="U77" i="261"/>
  <c r="J2750" i="229"/>
  <c r="T18" i="263"/>
  <c r="Z28" i="261"/>
  <c r="V49" i="264"/>
  <c r="J3106" i="229"/>
  <c r="C3712" i="229"/>
  <c r="D1222" i="229"/>
  <c r="D2863" i="229"/>
  <c r="T59" i="262"/>
  <c r="Z69" i="262"/>
  <c r="I582" i="288"/>
  <c r="X62" i="264"/>
  <c r="J1917" i="229"/>
  <c r="C1053" i="288"/>
  <c r="I2150" i="288"/>
  <c r="Z56" i="264"/>
  <c r="S55" i="261"/>
  <c r="I3148" i="288"/>
  <c r="T59" i="261"/>
  <c r="I2063" i="229"/>
  <c r="J3189" i="229"/>
  <c r="J3026" i="229"/>
  <c r="C2834" i="288"/>
  <c r="J3058" i="229"/>
  <c r="W62" i="262"/>
  <c r="J2210" i="229"/>
  <c r="I3177" i="288"/>
  <c r="J137" i="229"/>
  <c r="Y60" i="265"/>
  <c r="I3188" i="229"/>
  <c r="C3662" i="229"/>
  <c r="J3544" i="229"/>
  <c r="X75" i="262"/>
  <c r="J3171" i="229"/>
  <c r="D2454" i="229"/>
  <c r="I1840" i="229"/>
  <c r="T42" i="262"/>
  <c r="U61" i="265"/>
  <c r="X30" i="264"/>
  <c r="C497" i="288"/>
  <c r="I751" i="229"/>
  <c r="D2422" i="229"/>
  <c r="C2592" i="288"/>
  <c r="C2437" i="229"/>
  <c r="D1516" i="229"/>
  <c r="V69" i="262"/>
  <c r="T18" i="262"/>
  <c r="J1612" i="229"/>
  <c r="W93" i="265"/>
  <c r="C1224" i="288"/>
  <c r="C124" i="288"/>
  <c r="D3371" i="229"/>
  <c r="X21" i="264"/>
  <c r="D702" i="229"/>
  <c r="Z49" i="262"/>
  <c r="D2389" i="229"/>
  <c r="V62" i="262"/>
  <c r="D310" i="229"/>
  <c r="V80" i="264"/>
  <c r="U24" i="264"/>
  <c r="Z20" i="262"/>
  <c r="I810" i="288"/>
  <c r="J2799" i="229"/>
  <c r="D2583" i="229"/>
  <c r="J523" i="229"/>
  <c r="D2502" i="229"/>
  <c r="X21" i="265"/>
  <c r="J1256" i="229"/>
  <c r="D898" i="229"/>
  <c r="J1223" i="229"/>
  <c r="C3612" i="229"/>
  <c r="S44" i="265"/>
  <c r="V93" i="265"/>
  <c r="U55" i="262"/>
  <c r="X66" i="264"/>
  <c r="I1865" i="288"/>
  <c r="T14" i="262"/>
  <c r="W50" i="261"/>
  <c r="X65" i="264"/>
  <c r="J2830" i="229"/>
  <c r="D262" i="229"/>
  <c r="Y43" i="262"/>
  <c r="V46" i="262"/>
  <c r="U97" i="261"/>
  <c r="U16" i="265"/>
  <c r="Y29" i="265"/>
  <c r="X15" i="258"/>
  <c r="Y24" i="264"/>
  <c r="S33" i="262"/>
  <c r="D3695" i="229"/>
  <c r="D3745" i="229"/>
  <c r="Y29" i="262"/>
  <c r="E683" i="328"/>
  <c r="I3163" i="288"/>
  <c r="C913" i="229"/>
  <c r="T29" i="264"/>
  <c r="I1998" i="229"/>
  <c r="C2830" i="229"/>
  <c r="V61" i="262"/>
  <c r="C1295" i="288"/>
  <c r="I3285" i="229"/>
  <c r="U35" i="261"/>
  <c r="D3124" i="229"/>
  <c r="J3371" i="229"/>
  <c r="C342" i="229"/>
  <c r="U49" i="262"/>
  <c r="Z76" i="261"/>
  <c r="C98" i="229"/>
  <c r="V26" i="265"/>
  <c r="S58" i="261"/>
  <c r="C910" i="288"/>
  <c r="J1807" i="229"/>
  <c r="I2733" i="229"/>
  <c r="J3579" i="229"/>
  <c r="I1320" i="229"/>
  <c r="V86" i="261"/>
  <c r="I3223" i="288"/>
  <c r="X78" i="264"/>
  <c r="W61" i="262"/>
  <c r="T70" i="262"/>
  <c r="X19" i="263"/>
  <c r="W89" i="261"/>
  <c r="J2716" i="229"/>
  <c r="D3578" i="229"/>
  <c r="T57" i="261"/>
  <c r="J2487" i="229"/>
  <c r="Y31" i="264"/>
  <c r="C198" i="288"/>
  <c r="W30" i="265"/>
  <c r="S82" i="264"/>
  <c r="X20" i="265"/>
  <c r="J1564" i="229"/>
  <c r="C2492" i="288"/>
  <c r="U36" i="264"/>
  <c r="J2895" i="229"/>
  <c r="W22" i="258"/>
  <c r="Y17" i="262"/>
  <c r="I180" i="229"/>
  <c r="C3058" i="229"/>
  <c r="K819" i="328"/>
  <c r="U32" i="262"/>
  <c r="U28" i="265"/>
  <c r="D2880" i="229"/>
  <c r="U65" i="262"/>
  <c r="X48" i="261"/>
  <c r="X52" i="264"/>
  <c r="U16" i="264"/>
  <c r="J507" i="229"/>
  <c r="X88" i="265"/>
  <c r="W34" i="262"/>
  <c r="J2372" i="229"/>
  <c r="Y32" i="264"/>
  <c r="I1531" i="229"/>
  <c r="C1531" i="229"/>
  <c r="V47" i="264"/>
  <c r="X100" i="261"/>
  <c r="S21" i="264"/>
  <c r="J3629" i="229"/>
  <c r="I3354" i="229"/>
  <c r="C1141" i="229"/>
  <c r="T69" i="264"/>
  <c r="C226" i="288"/>
  <c r="C2463" i="288"/>
  <c r="Y18" i="266"/>
  <c r="S16" i="261"/>
  <c r="D326" i="229"/>
  <c r="J98" i="229"/>
  <c r="C2291" i="229"/>
  <c r="Y68" i="262"/>
  <c r="U56" i="264"/>
  <c r="C1856" i="229"/>
  <c r="U22" i="265"/>
  <c r="D3301" i="229"/>
  <c r="J947" i="229"/>
  <c r="S74" i="261"/>
  <c r="Y81" i="264"/>
  <c r="T19" i="261"/>
  <c r="U55" i="265"/>
  <c r="W26" i="261"/>
  <c r="S38" i="264"/>
  <c r="W54" i="264"/>
  <c r="S86" i="265"/>
  <c r="S24" i="261"/>
  <c r="J897" i="229"/>
  <c r="J3139" i="229"/>
  <c r="J1109" i="229"/>
  <c r="U81" i="261"/>
  <c r="W35" i="261"/>
  <c r="C1076" i="229"/>
  <c r="D2799" i="229"/>
  <c r="J2177" i="229"/>
  <c r="C3269" i="229"/>
  <c r="S94" i="265"/>
  <c r="J2976" i="229"/>
  <c r="J2227" i="229"/>
  <c r="T25" i="261"/>
  <c r="I2928" i="229"/>
  <c r="U49" i="264"/>
  <c r="K700" i="328"/>
  <c r="D557" i="229"/>
  <c r="S35" i="264"/>
  <c r="Y64" i="262"/>
  <c r="C867" i="288"/>
  <c r="C1637" i="288"/>
  <c r="D1742" i="229"/>
  <c r="J2404" i="229"/>
  <c r="I1965" i="288"/>
  <c r="D2112" i="229"/>
  <c r="V49" i="262"/>
  <c r="T20" i="258"/>
  <c r="Y40" i="262"/>
  <c r="T25" i="262"/>
  <c r="U46" i="264"/>
  <c r="D2128" i="229"/>
  <c r="C1708" i="288"/>
  <c r="D2015" i="229"/>
  <c r="C1563" i="229"/>
  <c r="S42" i="264"/>
  <c r="Y75" i="262"/>
  <c r="J573" i="229"/>
  <c r="C1836" i="288"/>
  <c r="S18" i="261"/>
  <c r="T30" i="262"/>
  <c r="D1061" i="229"/>
  <c r="V53" i="262"/>
  <c r="D2080" i="229"/>
  <c r="D2717" i="229"/>
  <c r="U26" i="261"/>
  <c r="U74" i="262"/>
  <c r="S20" i="261"/>
  <c r="I212" i="229"/>
  <c r="I1836" i="288"/>
  <c r="C1580" i="288"/>
  <c r="J246" i="229"/>
  <c r="C3354" i="229"/>
  <c r="J1563" i="229"/>
  <c r="Y74" i="261"/>
  <c r="X44" i="264"/>
  <c r="C2749" i="229"/>
  <c r="I2392" i="288"/>
  <c r="U100" i="261"/>
  <c r="I3057" i="288"/>
  <c r="I1566" i="288"/>
  <c r="J1450" i="229"/>
  <c r="X70" i="264"/>
  <c r="I3712" i="229"/>
  <c r="I597" i="288"/>
  <c r="V30" i="261"/>
  <c r="J2064" i="229"/>
  <c r="C76" i="288"/>
  <c r="U32" i="261"/>
  <c r="C491" i="229"/>
  <c r="U61" i="262"/>
  <c r="D1011" i="229"/>
  <c r="W62" i="261"/>
  <c r="V91" i="265"/>
  <c r="W80" i="261"/>
  <c r="I3106" i="229"/>
  <c r="C2421" i="229"/>
  <c r="C3527" i="229"/>
  <c r="J2209" i="229"/>
  <c r="Z43" i="261"/>
  <c r="D1564" i="229"/>
  <c r="I1537" i="288"/>
  <c r="Z52" i="261"/>
  <c r="D638" i="229"/>
  <c r="X22" i="258"/>
  <c r="S31" i="265"/>
  <c r="I1433" i="229"/>
  <c r="Z71" i="264"/>
  <c r="Z31" i="265"/>
  <c r="J1288" i="229"/>
  <c r="X40" i="261"/>
  <c r="W20" i="265"/>
  <c r="C1722" i="288"/>
  <c r="I2996" i="288"/>
  <c r="J3578" i="229"/>
  <c r="I1808" i="288"/>
  <c r="C155" i="288"/>
  <c r="I2112" i="229"/>
  <c r="I1417" i="229"/>
  <c r="I540" i="229"/>
  <c r="Z72" i="261"/>
  <c r="I2177" i="229"/>
  <c r="Z31" i="262"/>
  <c r="U47" i="262"/>
  <c r="U60" i="261"/>
  <c r="D3779" i="229"/>
  <c r="Z92" i="261"/>
  <c r="Z41" i="262"/>
  <c r="J229" i="229"/>
  <c r="D1902" i="229"/>
  <c r="T39" i="262"/>
  <c r="J1287" i="229"/>
  <c r="C3795" i="229"/>
  <c r="C65" i="229"/>
  <c r="S24" i="265"/>
  <c r="J1108" i="229"/>
  <c r="I491" i="229"/>
  <c r="D3778" i="229"/>
  <c r="C3678" i="229"/>
  <c r="I2716" i="229"/>
  <c r="D3528" i="229"/>
  <c r="Y64" i="264"/>
  <c r="D947" i="229"/>
  <c r="D2815" i="229"/>
  <c r="D3140" i="229"/>
  <c r="J3140" i="229"/>
  <c r="D1775" i="229"/>
  <c r="W81" i="261"/>
  <c r="I297" i="288"/>
  <c r="Z65" i="265"/>
  <c r="D3596" i="229"/>
  <c r="T85" i="261"/>
  <c r="J3155" i="229"/>
  <c r="K785" i="328"/>
  <c r="I2814" i="229"/>
  <c r="V76" i="262"/>
  <c r="V54" i="261"/>
  <c r="D2831" i="229"/>
  <c r="D1808" i="229"/>
  <c r="S92" i="265"/>
  <c r="D3493" i="229"/>
  <c r="Y58" i="262"/>
  <c r="C2226" i="229"/>
  <c r="S36" i="265"/>
  <c r="J2781" i="229"/>
  <c r="I1822" i="288"/>
  <c r="Z59" i="264"/>
  <c r="C1124" i="288"/>
  <c r="S43" i="265"/>
  <c r="X44" i="262"/>
  <c r="C3177" i="288"/>
  <c r="J1841" i="229"/>
  <c r="Z67" i="265"/>
  <c r="C796" i="288"/>
  <c r="Y17" i="264"/>
  <c r="I11" i="288"/>
  <c r="T15" i="266"/>
  <c r="J2144" i="229"/>
  <c r="W87" i="265"/>
  <c r="V98" i="265"/>
  <c r="I2551" i="229"/>
  <c r="W40" i="261"/>
  <c r="J1483" i="229"/>
  <c r="Z36" i="264"/>
  <c r="J1353" i="229"/>
  <c r="C2178" i="288"/>
  <c r="S35" i="261"/>
  <c r="C1252" i="288"/>
  <c r="W34" i="264"/>
  <c r="W18" i="264"/>
  <c r="S46" i="262"/>
  <c r="J28" i="229"/>
  <c r="C92" i="288"/>
  <c r="W77" i="265"/>
  <c r="V22" i="258"/>
  <c r="X89" i="265"/>
  <c r="U20" i="265"/>
  <c r="I1908" i="288"/>
  <c r="J261" i="229"/>
  <c r="X57" i="261"/>
  <c r="U76" i="261"/>
  <c r="W49" i="261"/>
  <c r="C2599" i="229"/>
  <c r="Y48" i="261"/>
  <c r="Z36" i="261"/>
  <c r="X50" i="264"/>
  <c r="X17" i="262"/>
  <c r="V48" i="265"/>
  <c r="I1922" i="288"/>
  <c r="Z81" i="264"/>
  <c r="T56" i="261"/>
  <c r="D2961" i="229"/>
  <c r="Z83" i="261"/>
  <c r="D1983" i="229"/>
  <c r="D3075" i="229"/>
  <c r="U69" i="261"/>
  <c r="S68" i="262"/>
  <c r="C2763" i="288"/>
  <c r="C1482" i="229"/>
  <c r="D1580" i="229"/>
  <c r="I2877" i="288"/>
  <c r="J1174" i="229"/>
  <c r="J3762" i="229"/>
  <c r="D3221" i="229"/>
  <c r="V67" i="262"/>
  <c r="I832" i="229"/>
  <c r="J2960" i="229"/>
  <c r="V17" i="261"/>
  <c r="J1418" i="229"/>
  <c r="W45" i="264"/>
  <c r="X60" i="265"/>
  <c r="I3074" i="229"/>
  <c r="C3423" i="229"/>
  <c r="D1613" i="229"/>
  <c r="J2584" i="229"/>
  <c r="T50" i="262"/>
  <c r="I3595" i="229"/>
  <c r="C3253" i="229"/>
  <c r="K768" i="328"/>
  <c r="S39" i="261"/>
  <c r="X34" i="262"/>
  <c r="E819" i="328"/>
  <c r="C1395" i="288"/>
  <c r="V65" i="262"/>
  <c r="T60" i="264"/>
  <c r="V61" i="265"/>
  <c r="Z43" i="264"/>
  <c r="S35" i="265"/>
  <c r="U28" i="261"/>
  <c r="C82" i="229"/>
  <c r="I2950" i="288"/>
  <c r="S88" i="265"/>
  <c r="C1352" i="229"/>
  <c r="S63" i="261"/>
  <c r="W37" i="262"/>
  <c r="I1807" i="229"/>
  <c r="S94" i="261"/>
  <c r="S69" i="261"/>
  <c r="X95" i="261"/>
  <c r="V27" i="262"/>
  <c r="X16" i="262"/>
  <c r="J2242" i="229"/>
  <c r="J1027" i="229"/>
  <c r="I1608" i="288"/>
  <c r="T15" i="263"/>
  <c r="Z21" i="265"/>
  <c r="Z16" i="258"/>
  <c r="C507" i="229"/>
  <c r="C3320" i="229"/>
  <c r="D1563" i="229"/>
  <c r="C1380" i="288"/>
  <c r="Y63" i="265"/>
  <c r="I3475" i="229"/>
  <c r="V50" i="262"/>
  <c r="U85" i="261"/>
  <c r="U75" i="261"/>
  <c r="S17" i="262"/>
  <c r="Y28" i="265"/>
  <c r="J3338" i="229"/>
  <c r="Y21" i="265"/>
  <c r="U99" i="261"/>
  <c r="S80" i="265"/>
  <c r="C121" i="229"/>
  <c r="W17" i="264"/>
  <c r="V56" i="261"/>
  <c r="U43" i="264"/>
  <c r="V80" i="265"/>
  <c r="I825" i="288"/>
  <c r="D2323" i="229"/>
  <c r="Y62" i="264"/>
  <c r="D2716" i="229"/>
  <c r="I3123" i="229"/>
  <c r="C2449" i="288"/>
  <c r="T43" i="261"/>
  <c r="T17" i="266"/>
  <c r="C2406" i="288"/>
  <c r="D1934" i="229"/>
  <c r="Z74" i="264"/>
  <c r="Z94" i="261"/>
  <c r="V43" i="261"/>
  <c r="J3813" i="229"/>
  <c r="U34" i="262"/>
  <c r="C2919" i="288"/>
  <c r="C725" i="288"/>
  <c r="J492" i="229"/>
  <c r="E751" i="328"/>
  <c r="E768" i="328"/>
  <c r="J2896" i="229"/>
  <c r="D3269" i="229"/>
  <c r="V18" i="263"/>
  <c r="Z53" i="264"/>
  <c r="U44" i="264"/>
  <c r="U78" i="261"/>
  <c r="Y88" i="265"/>
  <c r="C718" i="229"/>
  <c r="J1808" i="229"/>
  <c r="W37" i="264"/>
  <c r="I1323" i="288"/>
  <c r="I2749" i="229"/>
  <c r="J310" i="229"/>
  <c r="J3107" i="229"/>
  <c r="D2584" i="229"/>
  <c r="Z48" i="264"/>
  <c r="V32" i="261"/>
  <c r="E785" i="328"/>
  <c r="I121" i="229"/>
  <c r="C1271" i="229"/>
  <c r="D3424" i="229"/>
  <c r="U15" i="266"/>
  <c r="S68" i="264"/>
  <c r="I154" i="229"/>
  <c r="Y63" i="261"/>
  <c r="D1581" i="229"/>
  <c r="W89" i="265"/>
  <c r="V34" i="261"/>
  <c r="T21" i="262"/>
  <c r="D621" i="229"/>
  <c r="W53" i="262"/>
  <c r="W63" i="265"/>
  <c r="T48" i="265"/>
  <c r="X80" i="261"/>
  <c r="X56" i="265"/>
  <c r="D1027" i="229"/>
  <c r="D2552" i="229"/>
  <c r="J1547" i="229"/>
  <c r="V41" i="262"/>
  <c r="Y30" i="264"/>
  <c r="S23" i="258"/>
  <c r="J3713" i="229"/>
  <c r="U39" i="265"/>
  <c r="D327" i="229"/>
  <c r="V52" i="262"/>
  <c r="Z45" i="265"/>
  <c r="U34" i="261"/>
  <c r="J2194" i="229"/>
  <c r="C240" i="288"/>
  <c r="C2453" i="229"/>
  <c r="I3204" i="229"/>
  <c r="S73" i="264"/>
  <c r="J155" i="229"/>
  <c r="J1516" i="229"/>
  <c r="Y36" i="265"/>
  <c r="D2324" i="229"/>
  <c r="C568" i="288"/>
  <c r="U68" i="262"/>
  <c r="S37" i="265"/>
  <c r="S20" i="265"/>
  <c r="I155" i="288"/>
  <c r="W77" i="264"/>
  <c r="U25" i="265"/>
  <c r="D1856" i="229"/>
  <c r="J197" i="229"/>
  <c r="D572" i="229"/>
  <c r="D1272" i="229"/>
  <c r="J2814" i="229"/>
  <c r="C3192" i="288"/>
  <c r="X77" i="262"/>
  <c r="U47" i="264"/>
  <c r="D1401" i="229"/>
  <c r="X35" i="265"/>
  <c r="W60" i="264"/>
  <c r="Z73" i="261"/>
  <c r="W15" i="266"/>
  <c r="I2047" i="229"/>
  <c r="V85" i="265"/>
  <c r="C3133" i="288"/>
  <c r="C2079" i="288"/>
  <c r="U66" i="265"/>
  <c r="S32" i="265"/>
  <c r="U17" i="261"/>
  <c r="D1759" i="229"/>
  <c r="C1352" i="288"/>
  <c r="J2944" i="229"/>
  <c r="T19" i="263"/>
  <c r="V23" i="258"/>
  <c r="C108" i="288"/>
  <c r="D3090" i="229"/>
  <c r="J3779" i="229"/>
  <c r="Y29" i="264"/>
  <c r="W76" i="262"/>
  <c r="C3072" i="288"/>
  <c r="U17" i="264"/>
  <c r="C3139" i="229"/>
  <c r="T86" i="265"/>
  <c r="U18" i="263"/>
  <c r="U16" i="258"/>
  <c r="J1092" i="229"/>
  <c r="C1949" i="229"/>
  <c r="Y15" i="265"/>
  <c r="W19" i="264"/>
  <c r="I454" i="288"/>
  <c r="Z17" i="264"/>
  <c r="Y49" i="264"/>
  <c r="I1190" i="229"/>
  <c r="W18" i="265"/>
  <c r="X79" i="261"/>
  <c r="C1038" i="288"/>
  <c r="I2960" i="229"/>
  <c r="S66" i="264"/>
  <c r="Y25" i="265"/>
  <c r="U62" i="264"/>
  <c r="X52" i="262"/>
  <c r="C996" i="288"/>
  <c r="U73" i="264"/>
  <c r="S72" i="265"/>
  <c r="C2848" i="288"/>
  <c r="X15" i="266"/>
  <c r="X39" i="265"/>
  <c r="V26" i="261"/>
  <c r="U19" i="261"/>
  <c r="W31" i="264"/>
  <c r="C2781" i="229"/>
  <c r="S31" i="262"/>
  <c r="T66" i="261"/>
  <c r="W63" i="261"/>
  <c r="T76" i="262"/>
  <c r="I2463" i="288"/>
  <c r="D3205" i="229"/>
  <c r="Z56" i="265"/>
  <c r="C2250" i="288"/>
  <c r="X67" i="262"/>
  <c r="W43" i="265"/>
  <c r="V45" i="262"/>
  <c r="I1352" i="229"/>
  <c r="U52" i="261"/>
  <c r="Y23" i="264"/>
  <c r="Z71" i="261"/>
  <c r="W93" i="261"/>
  <c r="J3712" i="229"/>
  <c r="D2567" i="229"/>
  <c r="Y17" i="265"/>
  <c r="S45" i="262"/>
  <c r="S69" i="264"/>
  <c r="W54" i="262"/>
  <c r="S25" i="262"/>
  <c r="I865" i="229"/>
  <c r="X26" i="265"/>
  <c r="V23" i="265"/>
  <c r="C1152" i="288"/>
  <c r="V43" i="265"/>
  <c r="S16" i="263"/>
  <c r="T73" i="262"/>
  <c r="V41" i="264"/>
  <c r="C597" i="288"/>
  <c r="W21" i="261"/>
  <c r="S39" i="264"/>
  <c r="J278" i="229"/>
  <c r="J3041" i="229"/>
  <c r="V16" i="258"/>
  <c r="T63" i="265"/>
  <c r="J557" i="229"/>
  <c r="Z17" i="266"/>
  <c r="C1822" i="288"/>
  <c r="T58" i="264"/>
  <c r="Y86" i="261"/>
  <c r="Y97" i="261"/>
  <c r="W37" i="261"/>
  <c r="S52" i="261"/>
  <c r="D3544" i="229"/>
  <c r="S65" i="264"/>
  <c r="C2093" i="288"/>
  <c r="I2820" i="288"/>
  <c r="I2031" i="229"/>
  <c r="E666" i="328"/>
  <c r="T52" i="262"/>
  <c r="D3475" i="229"/>
  <c r="D2438" i="229"/>
  <c r="V35" i="261"/>
  <c r="C3025" i="229"/>
  <c r="J2454" i="229"/>
  <c r="T75" i="264"/>
  <c r="D2144" i="229"/>
  <c r="D719" i="229"/>
  <c r="U38" i="265"/>
  <c r="J1998" i="229"/>
  <c r="D3156" i="229"/>
  <c r="Z57" i="261"/>
  <c r="D606" i="229"/>
  <c r="D3696" i="229"/>
  <c r="T49" i="261"/>
  <c r="D3320" i="229"/>
  <c r="J3074" i="229"/>
  <c r="Y68" i="261"/>
  <c r="I2323" i="229"/>
  <c r="W32" i="262"/>
  <c r="X95" i="265"/>
  <c r="Y45" i="261"/>
  <c r="I1303" i="229"/>
  <c r="W69" i="264"/>
  <c r="Y23" i="262"/>
  <c r="T76" i="261"/>
  <c r="C141" i="288"/>
  <c r="V37" i="262"/>
  <c r="U53" i="264"/>
  <c r="W44" i="265"/>
  <c r="Z96" i="261"/>
  <c r="Y57" i="264"/>
  <c r="T72" i="264"/>
  <c r="I2435" i="288"/>
  <c r="I568" i="288"/>
  <c r="Z14" i="262"/>
  <c r="D3746" i="229"/>
  <c r="Z51" i="262"/>
  <c r="W67" i="261"/>
  <c r="Y32" i="265"/>
  <c r="X25" i="265"/>
  <c r="C3324" i="288"/>
  <c r="Z61" i="262"/>
  <c r="D3612" i="229"/>
  <c r="I2136" i="288"/>
  <c r="U46" i="262"/>
  <c r="T26" i="261"/>
  <c r="S48" i="262"/>
  <c r="U93" i="261"/>
  <c r="C1791" i="229"/>
  <c r="D3662" i="229"/>
  <c r="I2064" i="288"/>
  <c r="W83" i="264"/>
  <c r="Z73" i="262"/>
  <c r="Z49" i="265"/>
  <c r="C2112" i="229"/>
  <c r="J2015" i="229"/>
  <c r="T35" i="265"/>
  <c r="D1857" i="229"/>
  <c r="S96" i="261"/>
  <c r="C753" i="288"/>
  <c r="E802" i="328"/>
  <c r="W40" i="264"/>
  <c r="U14" i="262"/>
  <c r="I1157" i="229"/>
  <c r="T68" i="262"/>
  <c r="U50" i="261"/>
  <c r="C540" i="288"/>
  <c r="J2373" i="229"/>
  <c r="W36" i="265"/>
  <c r="U40" i="264"/>
  <c r="Z64" i="264"/>
  <c r="I2534" i="229"/>
  <c r="I3155" i="229"/>
  <c r="Z72" i="262"/>
  <c r="Z61" i="261"/>
  <c r="U64" i="264"/>
  <c r="Y84" i="265"/>
  <c r="V23" i="264"/>
  <c r="Y25" i="264"/>
  <c r="D3814" i="229"/>
  <c r="I1125" i="229"/>
  <c r="D3561" i="229"/>
  <c r="J2503" i="229"/>
  <c r="D523" i="229"/>
  <c r="D2274" i="229"/>
  <c r="I2096" i="229"/>
  <c r="J1743" i="229"/>
  <c r="U22" i="262"/>
  <c r="I169" i="288"/>
  <c r="V57" i="264"/>
  <c r="I283" i="288"/>
  <c r="T22" i="258"/>
  <c r="U87" i="265"/>
  <c r="C2567" i="229"/>
  <c r="C1195" i="288"/>
  <c r="S63" i="262"/>
  <c r="T26" i="264"/>
  <c r="J3320" i="229"/>
  <c r="X41" i="264"/>
  <c r="T19" i="264"/>
  <c r="V73" i="264"/>
  <c r="J1726" i="229"/>
  <c r="Z24" i="264"/>
  <c r="I3220" i="229"/>
  <c r="C11" i="229"/>
  <c r="I1936" i="288"/>
  <c r="I913" i="229"/>
  <c r="J1207" i="229"/>
  <c r="X74" i="261"/>
  <c r="D783" i="229"/>
  <c r="V19" i="265"/>
  <c r="K751" i="328"/>
  <c r="C426" i="288"/>
  <c r="I2079" i="288"/>
  <c r="V91" i="261"/>
  <c r="U15" i="264"/>
  <c r="Z18" i="258"/>
  <c r="J2734" i="229"/>
  <c r="J3612" i="229"/>
  <c r="Y42" i="264"/>
  <c r="J978" i="229"/>
  <c r="Y19" i="265"/>
  <c r="D2373" i="229"/>
  <c r="I124" i="288"/>
  <c r="D946" i="229"/>
  <c r="Y98" i="261"/>
  <c r="V54" i="264"/>
  <c r="Z16" i="266"/>
  <c r="T39" i="264"/>
  <c r="C1498" i="229"/>
  <c r="W86" i="265"/>
  <c r="W75" i="261"/>
  <c r="J2733" i="229"/>
  <c r="T73" i="264"/>
  <c r="V69" i="261"/>
  <c r="Z51" i="264"/>
  <c r="U18" i="262"/>
  <c r="I1060" i="229"/>
  <c r="C2235" i="288"/>
  <c r="T71" i="265"/>
  <c r="U98" i="261"/>
  <c r="S56" i="265"/>
  <c r="J2567" i="229"/>
  <c r="U44" i="261"/>
  <c r="C995" i="229"/>
  <c r="C1366" i="288"/>
  <c r="S62" i="261"/>
  <c r="Y44" i="262"/>
  <c r="Z23" i="265"/>
  <c r="U84" i="264"/>
  <c r="Z52" i="262"/>
  <c r="X49" i="261"/>
  <c r="C967" i="288"/>
  <c r="C1452" i="288"/>
  <c r="S87" i="261"/>
  <c r="I1775" i="229"/>
  <c r="I796" i="288"/>
  <c r="Y76" i="264"/>
  <c r="C2278" i="288"/>
  <c r="C212" i="229"/>
  <c r="X91" i="265"/>
  <c r="C1466" i="229"/>
  <c r="I1366" i="288"/>
  <c r="D3221" i="288"/>
  <c r="D2031" i="229"/>
  <c r="X50" i="262"/>
  <c r="Y17" i="258"/>
  <c r="I867" i="288"/>
  <c r="Z93" i="265"/>
  <c r="J1191" i="229"/>
  <c r="D65" i="229"/>
  <c r="J1434" i="229"/>
  <c r="W98" i="261"/>
  <c r="I3011" i="288"/>
  <c r="U56" i="265"/>
  <c r="T41" i="265"/>
  <c r="E717" i="328"/>
  <c r="W65" i="265"/>
  <c r="J913" i="229"/>
  <c r="Y66" i="262"/>
  <c r="D2258" i="229"/>
  <c r="C2264" i="288"/>
  <c r="U71" i="262"/>
  <c r="S43" i="264"/>
  <c r="E700" i="328"/>
  <c r="V22" i="261"/>
  <c r="C2502" i="229"/>
  <c r="U19" i="258"/>
  <c r="S85" i="265"/>
  <c r="T46" i="265"/>
  <c r="X16" i="263"/>
  <c r="S69" i="262"/>
  <c r="K666" i="328"/>
  <c r="C1450" i="229"/>
  <c r="T23" i="262"/>
  <c r="I3171" i="229"/>
  <c r="D2568" i="229"/>
  <c r="J2243" i="229"/>
  <c r="U70" i="262"/>
  <c r="T65" i="265"/>
  <c r="Y30" i="262"/>
  <c r="E649" i="328"/>
  <c r="S34" i="262"/>
  <c r="W69" i="262"/>
  <c r="Z34" i="262"/>
  <c r="J881" i="229"/>
  <c r="V90" i="265"/>
  <c r="J931" i="229"/>
  <c r="I3281" i="288"/>
  <c r="S15" i="264"/>
  <c r="W68" i="262"/>
  <c r="C3338" i="288"/>
  <c r="I881" i="229"/>
  <c r="J2048" i="229"/>
  <c r="D360" i="229"/>
  <c r="T81" i="264"/>
  <c r="X42" i="264"/>
  <c r="V33" i="264"/>
  <c r="U85" i="265"/>
  <c r="T83" i="264"/>
  <c r="C525" i="288"/>
  <c r="W38" i="261"/>
  <c r="U74" i="264"/>
  <c r="V40" i="264"/>
  <c r="D801" i="229"/>
  <c r="Y41" i="265"/>
  <c r="Y33" i="264"/>
  <c r="D27" i="229"/>
  <c r="S29" i="265"/>
  <c r="Y69" i="262"/>
  <c r="D294" i="229"/>
  <c r="X28" i="262"/>
  <c r="I2748" i="288"/>
  <c r="Z19" i="265"/>
  <c r="C2976" i="229"/>
  <c r="W22" i="261"/>
  <c r="I1385" i="229"/>
  <c r="U63" i="264"/>
  <c r="C839" i="288"/>
  <c r="J3728" i="229"/>
  <c r="D2453" i="229"/>
  <c r="D1498" i="229"/>
  <c r="U40" i="265"/>
  <c r="U66" i="262"/>
  <c r="J2701" i="229"/>
  <c r="I3090" i="229"/>
  <c r="J508" i="229"/>
  <c r="D670" i="229"/>
  <c r="I3295" i="288"/>
  <c r="T96" i="261"/>
  <c r="T66" i="262"/>
  <c r="U69" i="262"/>
  <c r="I2107" i="288"/>
  <c r="Z74" i="265"/>
  <c r="X37" i="262"/>
  <c r="C1840" i="229"/>
  <c r="I2469" i="229"/>
  <c r="I2649" i="288"/>
  <c r="J1918" i="229"/>
  <c r="S39" i="265"/>
  <c r="D573" i="229"/>
  <c r="C621" i="229"/>
  <c r="I59" i="288"/>
  <c r="C853" i="288"/>
  <c r="X54" i="262"/>
  <c r="W85" i="261"/>
  <c r="U43" i="262"/>
  <c r="J3172" i="229"/>
  <c r="Y50" i="261"/>
  <c r="C2506" i="288"/>
  <c r="S66" i="265"/>
  <c r="U52" i="264"/>
  <c r="I2121" i="288"/>
  <c r="C670" i="229"/>
  <c r="U94" i="265"/>
  <c r="I440" i="288"/>
  <c r="J3613" i="229"/>
  <c r="Z16" i="261"/>
  <c r="V81" i="265"/>
  <c r="D2226" i="229"/>
  <c r="J687" i="229"/>
  <c r="C3087" i="288"/>
  <c r="D476" i="229"/>
  <c r="Z66" i="265"/>
  <c r="I953" i="288"/>
  <c r="W59" i="261"/>
  <c r="J3204" i="229"/>
  <c r="V28" i="265"/>
  <c r="T74" i="265"/>
  <c r="I1027" i="229"/>
  <c r="C2791" i="288"/>
  <c r="I654" i="288"/>
  <c r="C169" i="288"/>
  <c r="U21" i="265"/>
  <c r="Z56" i="261"/>
  <c r="T48" i="264"/>
  <c r="D229" i="229"/>
  <c r="Y47" i="262"/>
  <c r="Y69" i="264"/>
  <c r="I3041" i="288"/>
  <c r="S66" i="262"/>
  <c r="T23" i="264"/>
  <c r="U19" i="264"/>
  <c r="C2960" i="229"/>
  <c r="V100" i="261"/>
  <c r="J2226" i="229"/>
  <c r="Y26" i="261"/>
  <c r="T50" i="261"/>
  <c r="C3295" i="288"/>
  <c r="D1483" i="229"/>
  <c r="Y73" i="265"/>
  <c r="J3763" i="229"/>
  <c r="X31" i="262"/>
  <c r="C2895" i="229"/>
  <c r="T72" i="262"/>
  <c r="J2388" i="229"/>
  <c r="D3595" i="229"/>
  <c r="I1108" i="229"/>
  <c r="I2700" i="229"/>
  <c r="D1807" i="229"/>
  <c r="U18" i="265"/>
  <c r="T37" i="261"/>
  <c r="T31" i="262"/>
  <c r="T37" i="262"/>
  <c r="D3337" i="229"/>
  <c r="Z15" i="265"/>
  <c r="S61" i="262"/>
  <c r="D3830" i="229"/>
  <c r="V24" i="265"/>
  <c r="J2178" i="229"/>
  <c r="U68" i="265"/>
  <c r="Y95" i="265"/>
  <c r="D1466" i="229"/>
  <c r="D1108" i="229"/>
  <c r="Z58" i="261"/>
  <c r="Y38" i="265"/>
  <c r="W27" i="262"/>
  <c r="I2634" i="288"/>
  <c r="X81" i="264"/>
  <c r="T34" i="261"/>
  <c r="V56" i="264"/>
  <c r="U24" i="258"/>
  <c r="Z33" i="265"/>
  <c r="Z68" i="262"/>
  <c r="Y26" i="262"/>
  <c r="Z19" i="262"/>
  <c r="Y43" i="261"/>
  <c r="X46" i="261"/>
  <c r="J1727" i="229"/>
  <c r="T98" i="261"/>
  <c r="U81" i="264"/>
  <c r="V72" i="264"/>
  <c r="S19" i="261"/>
  <c r="J1158" i="229"/>
  <c r="C2121" i="288"/>
  <c r="D311" i="229"/>
  <c r="Z50" i="264"/>
  <c r="I2895" i="229"/>
  <c r="T90" i="265"/>
  <c r="C3252" i="288"/>
  <c r="I1141" i="229"/>
  <c r="T27" i="262"/>
  <c r="J2421" i="229"/>
  <c r="J1255" i="229"/>
  <c r="D866" i="229"/>
  <c r="U64" i="262"/>
  <c r="I2274" i="229"/>
  <c r="U88" i="261"/>
  <c r="T30" i="265"/>
  <c r="S24" i="264"/>
  <c r="U21" i="264"/>
  <c r="Z27" i="264"/>
  <c r="C277" i="229"/>
  <c r="V75" i="262"/>
  <c r="C2814" i="229"/>
  <c r="T95" i="261"/>
  <c r="S85" i="261"/>
  <c r="D1385" i="229"/>
  <c r="J3156" i="229"/>
  <c r="Y51" i="261"/>
  <c r="U65" i="264"/>
  <c r="U79" i="261"/>
  <c r="W84" i="261"/>
  <c r="T46" i="262"/>
  <c r="X98" i="261"/>
  <c r="C440" i="288"/>
  <c r="Y16" i="258"/>
  <c r="S83" i="265"/>
  <c r="C3204" i="229"/>
  <c r="Y48" i="262"/>
  <c r="W36" i="262"/>
  <c r="Z71" i="262"/>
  <c r="V60" i="261"/>
  <c r="D3254" i="229"/>
  <c r="I540" i="288"/>
  <c r="S22" i="262"/>
  <c r="U90" i="265"/>
  <c r="I1271" i="229"/>
  <c r="I2406" i="288"/>
  <c r="C154" i="229"/>
  <c r="J1141" i="229"/>
  <c r="Z82" i="261"/>
  <c r="U72" i="265"/>
  <c r="Y27" i="262"/>
  <c r="T94" i="265"/>
  <c r="I2911" i="229"/>
  <c r="S16" i="262"/>
  <c r="C3813" i="229"/>
  <c r="T78" i="261"/>
  <c r="Y71" i="262"/>
  <c r="C1385" i="229"/>
  <c r="Y63" i="262"/>
  <c r="D2929" i="229"/>
  <c r="C2388" i="229"/>
  <c r="X18" i="264"/>
  <c r="C2136" i="288"/>
  <c r="I3337" i="229"/>
  <c r="W82" i="261"/>
  <c r="Y69" i="265"/>
  <c r="Z19" i="261"/>
  <c r="Y53" i="265"/>
  <c r="D2470" i="229"/>
  <c r="Y84" i="264"/>
  <c r="C1173" i="229"/>
  <c r="Y74" i="265"/>
  <c r="V96" i="265"/>
  <c r="W77" i="261"/>
  <c r="J44" i="229"/>
  <c r="T78" i="264"/>
  <c r="W32" i="265"/>
  <c r="J3253" i="229"/>
  <c r="D3372" i="229"/>
  <c r="U67" i="261"/>
  <c r="J3269" i="229"/>
  <c r="T67" i="262"/>
  <c r="C1024" i="288"/>
  <c r="S60" i="264"/>
  <c r="Z70" i="262"/>
  <c r="I2919" i="288"/>
  <c r="I1222" i="229"/>
  <c r="Y31" i="262"/>
  <c r="I1173" i="229"/>
  <c r="U66" i="261"/>
  <c r="S78" i="264"/>
  <c r="S53" i="262"/>
  <c r="X33" i="264"/>
  <c r="T53" i="265"/>
  <c r="C2765" i="229"/>
  <c r="T35" i="262"/>
  <c r="S53" i="265"/>
  <c r="W66" i="262"/>
  <c r="I711" i="288"/>
  <c r="X61" i="262"/>
  <c r="Y19" i="263"/>
  <c r="J3270" i="229"/>
  <c r="J3010" i="229"/>
  <c r="Y52" i="265"/>
  <c r="W15" i="258"/>
  <c r="T17" i="265"/>
  <c r="Y43" i="265"/>
  <c r="T24" i="265"/>
  <c r="W20" i="262"/>
  <c r="W24" i="258"/>
  <c r="T86" i="261"/>
  <c r="U15" i="265"/>
  <c r="I2478" i="288"/>
  <c r="I3544" i="229"/>
  <c r="U20" i="264"/>
  <c r="C3026" i="288"/>
  <c r="C1758" i="229"/>
  <c r="T57" i="262"/>
  <c r="J2749" i="229"/>
  <c r="W21" i="262"/>
  <c r="I637" i="229"/>
  <c r="Y80" i="265"/>
  <c r="W19" i="263"/>
  <c r="I930" i="229"/>
  <c r="J1499" i="229"/>
  <c r="S40" i="264"/>
  <c r="J3679" i="229"/>
  <c r="S76" i="264"/>
  <c r="Y71" i="261"/>
  <c r="J3527" i="229"/>
  <c r="J1125" i="229"/>
  <c r="C1110" i="288"/>
  <c r="I3310" i="288"/>
  <c r="C1680" i="288"/>
  <c r="W33" i="264"/>
  <c r="T99" i="261"/>
  <c r="W74" i="265"/>
  <c r="U80" i="264"/>
  <c r="X29" i="265"/>
  <c r="Z54" i="262"/>
  <c r="J2684" i="229"/>
  <c r="I226" i="288"/>
  <c r="T18" i="261"/>
  <c r="D3562" i="229"/>
  <c r="I2520" i="288"/>
  <c r="I1596" i="229"/>
  <c r="C2339" i="229"/>
  <c r="J588" i="229"/>
  <c r="V70" i="265"/>
  <c r="D703" i="229"/>
  <c r="T89" i="261"/>
  <c r="Z59" i="262"/>
  <c r="X86" i="265"/>
  <c r="U81" i="265"/>
  <c r="U53" i="265"/>
  <c r="C1255" i="229"/>
  <c r="J1402" i="229"/>
  <c r="U91" i="265"/>
  <c r="W22" i="262"/>
  <c r="C930" i="229"/>
  <c r="T47" i="261"/>
  <c r="D2911" i="229"/>
  <c r="Y52" i="262"/>
  <c r="X68" i="264"/>
  <c r="C297" i="288"/>
  <c r="W52" i="264"/>
  <c r="I2518" i="229"/>
  <c r="I1423" i="288"/>
  <c r="U89" i="261"/>
  <c r="C768" i="288"/>
  <c r="T38" i="264"/>
  <c r="D962" i="229"/>
  <c r="J2323" i="229"/>
  <c r="Z20" i="258"/>
  <c r="J832" i="229"/>
  <c r="C611" i="288"/>
  <c r="I2577" i="288"/>
  <c r="T93" i="261"/>
  <c r="S32" i="264"/>
  <c r="J3042" i="229"/>
  <c r="Z28" i="262"/>
  <c r="Z93" i="261"/>
  <c r="Y48" i="265"/>
  <c r="D2129" i="229"/>
  <c r="V41" i="261"/>
  <c r="W57" i="264"/>
  <c r="W36" i="264"/>
  <c r="W18" i="266"/>
  <c r="W21" i="258"/>
  <c r="Y56" i="264"/>
  <c r="C1190" i="229"/>
  <c r="S52" i="262"/>
  <c r="U67" i="265"/>
  <c r="V35" i="265"/>
  <c r="S20" i="266"/>
  <c r="X26" i="264"/>
  <c r="Z57" i="264"/>
  <c r="U25" i="264"/>
  <c r="W67" i="264"/>
  <c r="T97" i="261"/>
  <c r="D99" i="229"/>
  <c r="Z27" i="261"/>
  <c r="C2307" i="229"/>
  <c r="S41" i="265"/>
  <c r="D1321" i="229"/>
  <c r="I1352" i="288"/>
  <c r="D1012" i="229"/>
  <c r="C696" i="288"/>
  <c r="I2830" i="229"/>
  <c r="Z81" i="265"/>
  <c r="C3492" i="229"/>
  <c r="T28" i="262"/>
  <c r="T77" i="261"/>
  <c r="Y36" i="262"/>
  <c r="Z54" i="265"/>
  <c r="S77" i="261"/>
  <c r="T56" i="262"/>
  <c r="J605" i="229"/>
  <c r="X82" i="264"/>
  <c r="I767" i="229"/>
  <c r="I1053" i="288"/>
  <c r="T30" i="261"/>
  <c r="Y23" i="265"/>
  <c r="C2364" i="288"/>
  <c r="Z64" i="261"/>
  <c r="V73" i="262"/>
  <c r="T36" i="262"/>
  <c r="T27" i="265"/>
  <c r="U76" i="264"/>
  <c r="I2891" i="288"/>
  <c r="J3458" i="229"/>
  <c r="W72" i="265"/>
  <c r="C2292" i="288"/>
  <c r="C261" i="229"/>
  <c r="I3041" i="229"/>
  <c r="Y93" i="265"/>
  <c r="J751" i="229"/>
  <c r="W62" i="265"/>
  <c r="W21" i="264"/>
  <c r="D914" i="229"/>
  <c r="J979" i="229"/>
  <c r="I3829" i="229"/>
  <c r="S61" i="264"/>
  <c r="T85" i="265"/>
  <c r="S74" i="265"/>
  <c r="J3475" i="229"/>
  <c r="Z35" i="264"/>
  <c r="X32" i="262"/>
  <c r="Y89" i="265"/>
  <c r="D3025" i="229"/>
  <c r="S58" i="264"/>
  <c r="W33" i="265"/>
  <c r="C2031" i="229"/>
  <c r="Y24" i="265"/>
  <c r="I3458" i="229"/>
  <c r="J326" i="229"/>
  <c r="I1751" i="288"/>
  <c r="Y17" i="266"/>
  <c r="V52" i="265"/>
  <c r="T73" i="265"/>
  <c r="W47" i="265"/>
  <c r="C2392" i="288"/>
  <c r="J3746" i="229"/>
  <c r="T52" i="261"/>
  <c r="I1024" i="288"/>
  <c r="J2831" i="229"/>
  <c r="X62" i="265"/>
  <c r="I196" i="229"/>
  <c r="J2097" i="229"/>
  <c r="V32" i="265"/>
  <c r="I342" i="229"/>
  <c r="I3338" i="288"/>
  <c r="D3458" i="229"/>
  <c r="T19" i="262"/>
  <c r="C767" i="229"/>
  <c r="W30" i="264"/>
  <c r="D978" i="229"/>
  <c r="X97" i="261"/>
  <c r="V77" i="265"/>
  <c r="I1209" i="288"/>
  <c r="Z24" i="261"/>
  <c r="I753" i="288"/>
  <c r="Z17" i="262"/>
  <c r="U43" i="261"/>
  <c r="Z25" i="262"/>
  <c r="Y81" i="261"/>
  <c r="Z41" i="264"/>
  <c r="W29" i="262"/>
  <c r="I2879" i="229"/>
  <c r="U26" i="264"/>
  <c r="J3009" i="229"/>
  <c r="Y68" i="265"/>
  <c r="C2274" i="229"/>
  <c r="J3596" i="229"/>
  <c r="D1190" i="229"/>
  <c r="Y38" i="262"/>
  <c r="S15" i="266"/>
  <c r="Y22" i="265"/>
  <c r="V71" i="261"/>
  <c r="T20" i="265"/>
  <c r="I967" i="288"/>
  <c r="T64" i="265"/>
  <c r="W72" i="264"/>
  <c r="D1548" i="229"/>
  <c r="C2144" i="229"/>
  <c r="Y37" i="262"/>
  <c r="V99" i="261"/>
  <c r="S17" i="258"/>
  <c r="S20" i="263"/>
  <c r="X66" i="265"/>
  <c r="J1824" i="229"/>
  <c r="I1901" i="229"/>
  <c r="C1742" i="229"/>
  <c r="D2162" i="229"/>
  <c r="J1451" i="229"/>
  <c r="J1548" i="229"/>
  <c r="X59" i="261"/>
  <c r="I2178" i="288"/>
  <c r="C2777" i="288"/>
  <c r="I2207" i="288"/>
  <c r="V52" i="261"/>
  <c r="Z65" i="262"/>
  <c r="T87" i="265"/>
  <c r="I1067" i="288"/>
  <c r="S30" i="264"/>
  <c r="Y76" i="262"/>
  <c r="J3188" i="229"/>
  <c r="C137" i="229"/>
  <c r="D138" i="229"/>
  <c r="X34" i="264"/>
  <c r="U20" i="261"/>
  <c r="D816" i="229"/>
  <c r="T81" i="261"/>
  <c r="Y17" i="261"/>
  <c r="T47" i="265"/>
  <c r="J2961" i="229"/>
  <c r="W79" i="261"/>
  <c r="C2935" i="288"/>
  <c r="J2437" i="229"/>
  <c r="Y35" i="264"/>
  <c r="W20" i="263"/>
  <c r="J2324" i="229"/>
  <c r="X31" i="261"/>
  <c r="C653" i="229"/>
  <c r="C1936" i="288"/>
  <c r="Y45" i="262"/>
  <c r="Y28" i="264"/>
  <c r="X29" i="261"/>
  <c r="U41" i="265"/>
  <c r="C2404" i="229"/>
  <c r="I229" i="229"/>
  <c r="J2291" i="229"/>
  <c r="J783" i="229"/>
  <c r="V82" i="265"/>
  <c r="D768" i="229"/>
  <c r="I3269" i="229"/>
  <c r="Z42" i="265"/>
  <c r="Y76" i="265"/>
  <c r="Z84" i="261"/>
  <c r="D882" i="229"/>
  <c r="U37" i="262"/>
  <c r="T42" i="261"/>
  <c r="D2830" i="229"/>
  <c r="D1368" i="229"/>
  <c r="T22" i="262"/>
  <c r="J295" i="229"/>
  <c r="J606" i="229"/>
  <c r="U84" i="265"/>
  <c r="D3355" i="229"/>
  <c r="I1612" i="229"/>
  <c r="S57" i="265"/>
  <c r="I853" i="288"/>
  <c r="S22" i="258"/>
  <c r="U37" i="265"/>
  <c r="X37" i="261"/>
  <c r="U96" i="265"/>
  <c r="Y19" i="261"/>
  <c r="C1287" i="229"/>
  <c r="C810" i="288"/>
  <c r="S18" i="266"/>
  <c r="J1043" i="229"/>
  <c r="D343" i="229"/>
  <c r="V39" i="265"/>
  <c r="C554" i="288"/>
  <c r="V51" i="264"/>
  <c r="J1710" i="229"/>
  <c r="U44" i="262"/>
  <c r="J2422" i="229"/>
  <c r="W94" i="265"/>
  <c r="X58" i="262"/>
  <c r="V43" i="264"/>
  <c r="I3072" i="288"/>
  <c r="X36" i="262"/>
  <c r="D913" i="229"/>
  <c r="W95" i="261"/>
  <c r="J541" i="229"/>
  <c r="J11" i="229"/>
  <c r="X56" i="262"/>
  <c r="D2079" i="229"/>
  <c r="J2552" i="229"/>
  <c r="J1028" i="229"/>
  <c r="X16" i="264"/>
  <c r="J1532" i="229"/>
  <c r="D82" i="229"/>
  <c r="V46" i="261"/>
  <c r="J3796" i="229"/>
  <c r="C1281" i="288"/>
  <c r="Y18" i="262"/>
  <c r="Z42" i="261"/>
  <c r="D2879" i="229"/>
  <c r="W71" i="265"/>
  <c r="Z58" i="265"/>
  <c r="T90" i="261"/>
  <c r="J2032" i="229"/>
  <c r="V17" i="266"/>
  <c r="S19" i="265"/>
  <c r="Z47" i="265"/>
  <c r="I2563" i="288"/>
  <c r="X91" i="261"/>
  <c r="J2161" i="229"/>
  <c r="C3745" i="229"/>
  <c r="C3236" i="229"/>
  <c r="V71" i="264"/>
  <c r="U41" i="264"/>
  <c r="Y39" i="265"/>
  <c r="W55" i="261"/>
  <c r="D540" i="229"/>
  <c r="U40" i="261"/>
  <c r="J2815" i="229"/>
  <c r="J1934" i="229"/>
  <c r="W70" i="261"/>
  <c r="C310" i="229"/>
  <c r="C43" i="229"/>
  <c r="D1532" i="229"/>
  <c r="D2977" i="229"/>
  <c r="T25" i="264"/>
  <c r="J914" i="229"/>
  <c r="S23" i="262"/>
  <c r="S17" i="264"/>
  <c r="V40" i="262"/>
  <c r="W19" i="266"/>
  <c r="Z79" i="261"/>
  <c r="X38" i="261"/>
  <c r="X56" i="261"/>
  <c r="J1401" i="229"/>
  <c r="V51" i="262"/>
  <c r="S59" i="261"/>
  <c r="D1727" i="229"/>
  <c r="I2706" i="288"/>
  <c r="C11" i="288"/>
  <c r="C711" i="288"/>
  <c r="W81" i="265"/>
  <c r="D3367" i="288"/>
  <c r="Z15" i="266"/>
  <c r="X19" i="265"/>
  <c r="X63" i="265"/>
  <c r="T55" i="265"/>
  <c r="C3106" i="229"/>
  <c r="D2733" i="229"/>
  <c r="W37" i="265"/>
  <c r="S100" i="261"/>
  <c r="J43" i="229"/>
  <c r="V76" i="265"/>
  <c r="D2518" i="229"/>
  <c r="U71" i="265"/>
  <c r="C897" i="229"/>
  <c r="J1157" i="229"/>
  <c r="T44" i="262"/>
  <c r="V47" i="265"/>
  <c r="J849" i="229"/>
  <c r="I1076" i="229"/>
  <c r="Z28" i="264"/>
  <c r="D1823" i="229"/>
  <c r="C3337" i="229"/>
  <c r="D1158" i="229"/>
  <c r="S27" i="262"/>
  <c r="U57" i="261"/>
  <c r="X38" i="262"/>
  <c r="Y76" i="261"/>
  <c r="C800" i="229"/>
  <c r="W18" i="258"/>
  <c r="J3091" i="229"/>
  <c r="X66" i="262"/>
  <c r="D3476" i="229"/>
  <c r="Z67" i="262"/>
  <c r="T67" i="265"/>
  <c r="X15" i="263"/>
  <c r="V77" i="262"/>
  <c r="Y67" i="264"/>
  <c r="T44" i="265"/>
  <c r="X15" i="265"/>
  <c r="I554" i="288"/>
  <c r="J3528" i="229"/>
  <c r="S43" i="262"/>
  <c r="Y94" i="261"/>
  <c r="X49" i="264"/>
  <c r="Y78" i="264"/>
  <c r="T39" i="261"/>
  <c r="S37" i="262"/>
  <c r="I981" i="288"/>
  <c r="V36" i="264"/>
  <c r="Z85" i="261"/>
  <c r="S26" i="261"/>
  <c r="Y20" i="266"/>
  <c r="J2129" i="229"/>
  <c r="J3254" i="229"/>
  <c r="U74" i="265"/>
  <c r="D3678" i="229"/>
  <c r="X92" i="265"/>
  <c r="X29" i="264"/>
  <c r="Y15" i="264"/>
  <c r="J1126" i="229"/>
  <c r="S19" i="266"/>
  <c r="S42" i="261"/>
  <c r="Y37" i="261"/>
  <c r="I1917" i="229"/>
  <c r="Y16" i="266"/>
  <c r="X89" i="261"/>
  <c r="I2848" i="288"/>
  <c r="Z44" i="264"/>
  <c r="V39" i="262"/>
  <c r="X83" i="261"/>
  <c r="I2264" i="288"/>
  <c r="T29" i="261"/>
  <c r="D1726" i="229"/>
  <c r="J83" i="229"/>
  <c r="X46" i="262"/>
  <c r="T36" i="264"/>
  <c r="V55" i="261"/>
  <c r="X17" i="265"/>
  <c r="Z48" i="265"/>
  <c r="Y15" i="266"/>
  <c r="J1531" i="229"/>
  <c r="W25" i="262"/>
  <c r="T68" i="264"/>
  <c r="V14" i="262"/>
  <c r="C848" i="229"/>
  <c r="X34" i="265"/>
  <c r="X64" i="262"/>
  <c r="I670" i="229"/>
  <c r="C981" i="288"/>
  <c r="S74" i="264"/>
  <c r="Y59" i="262"/>
  <c r="W78" i="265"/>
  <c r="S28" i="261"/>
  <c r="W29" i="265"/>
  <c r="X18" i="265"/>
  <c r="U20" i="262"/>
  <c r="W32" i="261"/>
  <c r="S22" i="265"/>
  <c r="C1808" i="288"/>
  <c r="J2128" i="229"/>
  <c r="D2340" i="229"/>
  <c r="S17" i="265"/>
  <c r="T60" i="265"/>
  <c r="D2339" i="229"/>
  <c r="V55" i="264"/>
  <c r="C2649" i="288"/>
  <c r="Y81" i="265"/>
  <c r="W92" i="265"/>
  <c r="Z44" i="265"/>
  <c r="C1466" i="288"/>
  <c r="V40" i="265"/>
  <c r="Z17" i="258"/>
  <c r="D2782" i="229"/>
  <c r="I82" i="229"/>
  <c r="U27" i="261"/>
  <c r="V81" i="264"/>
  <c r="J2669" i="229"/>
  <c r="V66" i="261"/>
  <c r="U96" i="261"/>
  <c r="Z20" i="263"/>
  <c r="U74" i="261"/>
  <c r="C375" i="229"/>
  <c r="U30" i="265"/>
  <c r="W48" i="262"/>
  <c r="C2846" i="229"/>
  <c r="D2895" i="229"/>
  <c r="Z16" i="265"/>
  <c r="S65" i="261"/>
  <c r="C2007" i="288"/>
  <c r="V32" i="262"/>
  <c r="T19" i="266"/>
  <c r="C3123" i="229"/>
  <c r="V18" i="262"/>
  <c r="Y20" i="262"/>
  <c r="D3630" i="229"/>
  <c r="C2535" i="288"/>
  <c r="I1206" i="229"/>
  <c r="I3058" i="229"/>
  <c r="Z35" i="265"/>
  <c r="I1623" i="288"/>
  <c r="D2014" i="229"/>
  <c r="U64" i="265"/>
  <c r="I2250" i="288"/>
  <c r="D3010" i="229"/>
  <c r="X23" i="262"/>
  <c r="D11" i="229"/>
  <c r="V53" i="264"/>
  <c r="C3629" i="229"/>
  <c r="J1222" i="229"/>
  <c r="J3367" i="288"/>
  <c r="J703" i="229"/>
  <c r="T63" i="261"/>
  <c r="W85" i="265"/>
  <c r="V53" i="261"/>
  <c r="J1775" i="229"/>
  <c r="J1385" i="229"/>
  <c r="Z52" i="265"/>
  <c r="Z30" i="261"/>
  <c r="I2798" i="229"/>
  <c r="X72" i="265"/>
  <c r="C2518" i="229"/>
  <c r="Z32" i="261"/>
  <c r="Z69" i="265"/>
  <c r="J2880" i="229"/>
  <c r="X55" i="262"/>
  <c r="U52" i="265"/>
  <c r="J3663" i="229"/>
  <c r="S44" i="264"/>
  <c r="J154" i="229"/>
  <c r="J2700" i="229"/>
  <c r="Z45" i="261"/>
  <c r="J2453" i="229"/>
  <c r="X22" i="261"/>
  <c r="U16" i="266"/>
  <c r="I1010" i="288"/>
  <c r="U86" i="265"/>
  <c r="Z30" i="265"/>
  <c r="X67" i="264"/>
  <c r="Z75" i="264"/>
  <c r="D2669" i="229"/>
  <c r="T98" i="265"/>
  <c r="Z19" i="266"/>
  <c r="X60" i="262"/>
  <c r="C735" i="229"/>
  <c r="X17" i="263"/>
  <c r="W91" i="261"/>
  <c r="Z65" i="261"/>
  <c r="T16" i="265"/>
  <c r="V60" i="264"/>
  <c r="V22" i="264"/>
  <c r="J2339" i="229"/>
  <c r="D2291" i="229"/>
  <c r="J2583" i="229"/>
  <c r="U41" i="262"/>
  <c r="Z23" i="264"/>
  <c r="D1547" i="229"/>
  <c r="C702" i="229"/>
  <c r="X63" i="261"/>
  <c r="X57" i="264"/>
  <c r="X97" i="265"/>
  <c r="C3646" i="229"/>
  <c r="Y61" i="262"/>
  <c r="V59" i="265"/>
  <c r="Z87" i="261"/>
  <c r="U56" i="261"/>
  <c r="U54" i="265"/>
  <c r="J311" i="229"/>
  <c r="S67" i="262"/>
  <c r="I255" i="288"/>
  <c r="J2519" i="229"/>
  <c r="U36" i="262"/>
  <c r="Z26" i="264"/>
  <c r="X24" i="258"/>
  <c r="D12" i="229"/>
  <c r="X53" i="262"/>
  <c r="W38" i="265"/>
  <c r="D3389" i="229"/>
  <c r="U56" i="262"/>
  <c r="Z21" i="262"/>
  <c r="X63" i="262"/>
  <c r="D1776" i="229"/>
  <c r="T24" i="262"/>
  <c r="T48" i="262"/>
  <c r="C2734" i="288"/>
  <c r="C2421" i="288"/>
  <c r="Z97" i="261"/>
  <c r="V20" i="258"/>
  <c r="Y37" i="264"/>
  <c r="J1580" i="229"/>
  <c r="D3762" i="229"/>
  <c r="I2720" i="288"/>
  <c r="C2684" i="229"/>
  <c r="J2912" i="229"/>
  <c r="S75" i="262"/>
  <c r="D2097" i="229"/>
  <c r="C946" i="229"/>
  <c r="I1450" i="229"/>
  <c r="C540" i="229"/>
  <c r="I2258" i="229"/>
  <c r="C3310" i="288"/>
  <c r="Z21" i="264"/>
  <c r="J2685" i="229"/>
  <c r="S40" i="262"/>
  <c r="S50" i="265"/>
  <c r="C2577" i="288"/>
  <c r="J3795" i="229"/>
  <c r="J2096" i="229"/>
  <c r="D1840" i="229"/>
  <c r="T52" i="265"/>
  <c r="U31" i="261"/>
  <c r="D2846" i="229"/>
  <c r="J3221" i="229"/>
  <c r="D3123" i="229"/>
  <c r="I702" i="229"/>
  <c r="X51" i="261"/>
  <c r="V68" i="262"/>
  <c r="Z50" i="262"/>
  <c r="D3545" i="229"/>
  <c r="Z46" i="262"/>
  <c r="C1060" i="229"/>
  <c r="J2470" i="229"/>
  <c r="T21" i="265"/>
  <c r="U17" i="266"/>
  <c r="J1482" i="229"/>
  <c r="T75" i="262"/>
  <c r="W76" i="265"/>
  <c r="W28" i="261"/>
  <c r="X64" i="261"/>
  <c r="I621" i="229"/>
  <c r="U34" i="265"/>
  <c r="T91" i="265"/>
  <c r="W70" i="265"/>
  <c r="X75" i="264"/>
  <c r="V33" i="261"/>
  <c r="D3795" i="229"/>
  <c r="I3646" i="229"/>
  <c r="I2777" i="288"/>
  <c r="C1982" i="229"/>
  <c r="S30" i="265"/>
  <c r="T33" i="264"/>
  <c r="U70" i="265"/>
  <c r="X69" i="264"/>
  <c r="Y18" i="265"/>
  <c r="C183" i="288"/>
  <c r="Z26" i="265"/>
  <c r="C3389" i="229"/>
  <c r="X82" i="261"/>
  <c r="I1452" i="288"/>
  <c r="V66" i="264"/>
  <c r="V27" i="261"/>
  <c r="U80" i="265"/>
  <c r="Z30" i="262"/>
  <c r="U30" i="262"/>
  <c r="W73" i="265"/>
  <c r="U55" i="264"/>
  <c r="Y74" i="264"/>
  <c r="V59" i="261"/>
  <c r="T70" i="264"/>
  <c r="C1167" i="288"/>
  <c r="U27" i="264"/>
  <c r="S47" i="262"/>
  <c r="Z64" i="262"/>
  <c r="U48" i="264"/>
  <c r="Y15" i="258"/>
  <c r="Z16" i="263"/>
  <c r="D2976" i="229"/>
  <c r="D1141" i="229"/>
  <c r="S16" i="258"/>
  <c r="C2905" i="288"/>
  <c r="X62" i="261"/>
  <c r="U17" i="258"/>
  <c r="D1711" i="229"/>
  <c r="X76" i="265"/>
  <c r="D687" i="229"/>
  <c r="J1949" i="229"/>
  <c r="D3042" i="229"/>
  <c r="C1336" i="229"/>
  <c r="I1551" i="288"/>
  <c r="Z49" i="261"/>
  <c r="J3321" i="229"/>
  <c r="W74" i="261"/>
  <c r="Y27" i="261"/>
  <c r="J1239" i="229"/>
  <c r="V21" i="265"/>
  <c r="T30" i="264"/>
  <c r="D3441" i="229"/>
  <c r="W55" i="265"/>
  <c r="X17" i="264"/>
  <c r="J898" i="229"/>
  <c r="D2534" i="229"/>
  <c r="Y25" i="262"/>
  <c r="C2356" i="229"/>
  <c r="V38" i="261"/>
  <c r="S84" i="264"/>
  <c r="S27" i="264"/>
  <c r="D2519" i="229"/>
  <c r="U39" i="261"/>
  <c r="Z22" i="262"/>
  <c r="J2405" i="229"/>
  <c r="I1181" i="288"/>
  <c r="I1038" i="288"/>
  <c r="J230" i="229"/>
  <c r="I2093" i="288"/>
  <c r="V18" i="261"/>
  <c r="I2781" i="229"/>
  <c r="I1368" i="229"/>
  <c r="W53" i="261"/>
  <c r="Y49" i="262"/>
  <c r="D2503" i="229"/>
  <c r="C1523" i="288"/>
  <c r="D3059" i="229"/>
  <c r="W96" i="261"/>
  <c r="X93" i="261"/>
  <c r="C2733" i="229"/>
  <c r="I98" i="229"/>
  <c r="Z55" i="265"/>
  <c r="C1043" i="229"/>
  <c r="D1917" i="229"/>
  <c r="Y72" i="262"/>
  <c r="W61" i="264"/>
  <c r="I2291" i="229"/>
  <c r="V30" i="265"/>
  <c r="X18" i="258"/>
  <c r="X28" i="264"/>
  <c r="U93" i="265"/>
  <c r="I3118" i="288"/>
  <c r="W48" i="265"/>
  <c r="T41" i="264"/>
  <c r="U75" i="262"/>
  <c r="I1238" i="288"/>
  <c r="C1509" i="288"/>
  <c r="D2700" i="229"/>
  <c r="D2896" i="229"/>
  <c r="Y18" i="258"/>
  <c r="T92" i="261"/>
  <c r="D1028" i="229"/>
  <c r="W50" i="264"/>
  <c r="Y54" i="261"/>
  <c r="J3075" i="229"/>
  <c r="Z56" i="262"/>
  <c r="C212" i="288"/>
  <c r="V68" i="264"/>
  <c r="U25" i="261"/>
  <c r="D817" i="229"/>
  <c r="S75" i="261"/>
  <c r="Z60" i="261"/>
  <c r="U19" i="263"/>
  <c r="Z45" i="262"/>
  <c r="W84" i="264"/>
  <c r="D181" i="229"/>
  <c r="Y65" i="261"/>
  <c r="Z34" i="261"/>
  <c r="J3355" i="229"/>
  <c r="Y85" i="265"/>
  <c r="Z38" i="262"/>
  <c r="W75" i="262"/>
  <c r="Y39" i="264"/>
  <c r="X51" i="265"/>
  <c r="V19" i="266"/>
  <c r="Z23" i="258"/>
  <c r="S33" i="265"/>
  <c r="W54" i="261"/>
  <c r="S48" i="265"/>
  <c r="X39" i="261"/>
  <c r="Z69" i="261"/>
  <c r="D1223" i="229"/>
  <c r="K734" i="328"/>
  <c r="U50" i="265"/>
  <c r="Z34" i="265"/>
  <c r="V23" i="261"/>
  <c r="W49" i="265"/>
  <c r="D1596" i="229"/>
  <c r="X84" i="261"/>
  <c r="W33" i="262"/>
  <c r="X33" i="265"/>
  <c r="Y41" i="261"/>
  <c r="Z35" i="262"/>
  <c r="J196" i="229"/>
  <c r="S54" i="265"/>
  <c r="V78" i="264"/>
  <c r="U27" i="265"/>
  <c r="J82" i="229"/>
  <c r="Z32" i="265"/>
  <c r="X27" i="264"/>
  <c r="W41" i="264"/>
  <c r="W59" i="265"/>
  <c r="I3578" i="229"/>
  <c r="X58" i="261"/>
  <c r="S87" i="265"/>
  <c r="T27" i="261"/>
  <c r="T70" i="265"/>
  <c r="I11" i="229"/>
  <c r="X28" i="265"/>
  <c r="Z38" i="265"/>
  <c r="Y54" i="264"/>
  <c r="Y32" i="262"/>
  <c r="Z86" i="261"/>
  <c r="X25" i="261"/>
  <c r="U95" i="265"/>
  <c r="S21" i="262"/>
  <c r="S81" i="265"/>
  <c r="D1386" i="229"/>
  <c r="J342" i="229"/>
  <c r="W28" i="265"/>
  <c r="D3321" i="229"/>
  <c r="W59" i="264"/>
  <c r="X20" i="266"/>
  <c r="J3562" i="229"/>
  <c r="T24" i="264"/>
  <c r="I3320" i="229"/>
  <c r="C1726" i="229"/>
  <c r="W60" i="265"/>
  <c r="T93" i="265"/>
  <c r="D1824" i="229"/>
  <c r="U16" i="262"/>
  <c r="D2404" i="229"/>
  <c r="V60" i="265"/>
  <c r="V88" i="265"/>
  <c r="I3762" i="229"/>
  <c r="X46" i="264"/>
  <c r="I718" i="229"/>
  <c r="W96" i="265"/>
  <c r="Z77" i="261"/>
  <c r="V31" i="264"/>
  <c r="Y82" i="261"/>
  <c r="Y41" i="262"/>
  <c r="T80" i="264"/>
  <c r="T77" i="265"/>
  <c r="D3527" i="229"/>
  <c r="V54" i="262"/>
  <c r="X18" i="266"/>
  <c r="C881" i="229"/>
  <c r="V29" i="264"/>
  <c r="U83" i="261"/>
  <c r="T54" i="262"/>
  <c r="X74" i="262"/>
  <c r="T58" i="262"/>
  <c r="Z67" i="264"/>
  <c r="C1320" i="229"/>
  <c r="S22" i="261"/>
  <c r="I639" i="288"/>
  <c r="X51" i="264"/>
  <c r="T61" i="264"/>
  <c r="I1138" i="288"/>
  <c r="T43" i="262"/>
  <c r="U97" i="265"/>
  <c r="W16" i="264"/>
  <c r="X54" i="264"/>
  <c r="Z25" i="261"/>
  <c r="V82" i="264"/>
  <c r="I2944" i="229"/>
  <c r="Z43" i="262"/>
  <c r="W31" i="265"/>
  <c r="T21" i="258"/>
  <c r="U51" i="262"/>
  <c r="X41" i="262"/>
  <c r="S49" i="262"/>
  <c r="Y38" i="264"/>
  <c r="Y55" i="261"/>
  <c r="U88" i="265"/>
  <c r="T78" i="265"/>
  <c r="T53" i="261"/>
  <c r="W42" i="262"/>
  <c r="W23" i="264"/>
  <c r="Z20" i="266"/>
  <c r="W73" i="261"/>
  <c r="C2798" i="229"/>
  <c r="C2911" i="229"/>
  <c r="D376" i="229"/>
  <c r="T49" i="265"/>
  <c r="X54" i="265"/>
  <c r="I523" i="229"/>
  <c r="S29" i="261"/>
  <c r="S51" i="265"/>
  <c r="Z95" i="265"/>
  <c r="W56" i="264"/>
  <c r="D1174" i="229"/>
  <c r="U24" i="265"/>
  <c r="D2193" i="229"/>
  <c r="Z19" i="258"/>
  <c r="J3647" i="229"/>
  <c r="Y15" i="263"/>
  <c r="D800" i="229"/>
  <c r="T55" i="262"/>
  <c r="X27" i="262"/>
  <c r="X24" i="265"/>
  <c r="V24" i="261"/>
  <c r="Z19" i="263"/>
  <c r="Z83" i="264"/>
  <c r="J3124" i="229"/>
  <c r="Y67" i="261"/>
  <c r="C2950" i="288"/>
  <c r="W90" i="265"/>
  <c r="T37" i="265"/>
  <c r="U68" i="264"/>
  <c r="T24" i="261"/>
  <c r="S83" i="264"/>
  <c r="I2235" i="288"/>
  <c r="Y59" i="265"/>
  <c r="T79" i="261"/>
  <c r="V83" i="261"/>
  <c r="J1061" i="229"/>
  <c r="W16" i="258"/>
  <c r="J1433" i="229"/>
  <c r="D1612" i="229"/>
  <c r="W57" i="265"/>
  <c r="Z18" i="261"/>
  <c r="X46" i="265"/>
  <c r="V48" i="264"/>
  <c r="X45" i="261"/>
  <c r="D3026" i="229"/>
  <c r="Y34" i="262"/>
  <c r="S26" i="262"/>
  <c r="C2486" i="229"/>
  <c r="C2663" i="288"/>
  <c r="X74" i="265"/>
  <c r="I1523" i="288"/>
  <c r="Z27" i="265"/>
  <c r="X76" i="264"/>
  <c r="Y35" i="261"/>
  <c r="W56" i="261"/>
  <c r="W44" i="261"/>
  <c r="C2047" i="229"/>
  <c r="J671" i="229"/>
  <c r="T95" i="265"/>
  <c r="D196" i="229"/>
  <c r="J2518" i="229"/>
  <c r="T84" i="264"/>
  <c r="I1694" i="288"/>
  <c r="I2161" i="229"/>
  <c r="X35" i="264"/>
  <c r="I556" i="229"/>
  <c r="J1742" i="229"/>
  <c r="U43" i="265"/>
  <c r="J2274" i="229"/>
  <c r="U47" i="265"/>
  <c r="J2193" i="229"/>
  <c r="V68" i="265"/>
  <c r="C2258" i="229"/>
  <c r="T46" i="261"/>
  <c r="Y83" i="264"/>
  <c r="S74" i="262"/>
  <c r="D2064" i="229"/>
  <c r="V89" i="261"/>
  <c r="U79" i="265"/>
  <c r="C475" i="229"/>
  <c r="C1865" i="288"/>
  <c r="D1369" i="229"/>
  <c r="W58" i="265"/>
  <c r="T35" i="261"/>
  <c r="T62" i="264"/>
  <c r="J1238" i="229"/>
  <c r="Z20" i="265"/>
  <c r="W58" i="262"/>
  <c r="J3830" i="229"/>
  <c r="C2022" i="288"/>
  <c r="C1893" i="288"/>
  <c r="V53" i="265"/>
  <c r="Y45" i="264"/>
  <c r="D1352" i="229"/>
  <c r="S90" i="265"/>
  <c r="U16" i="263"/>
  <c r="J2307" i="229"/>
  <c r="T62" i="262"/>
  <c r="X80" i="264"/>
  <c r="X18" i="261"/>
  <c r="X48" i="262"/>
  <c r="I995" i="229"/>
  <c r="Z61" i="264"/>
  <c r="S80" i="261"/>
  <c r="X73" i="264"/>
  <c r="U31" i="262"/>
  <c r="Y22" i="264"/>
  <c r="S43" i="261"/>
  <c r="J1272" i="229"/>
  <c r="C2221" i="288"/>
  <c r="S82" i="265"/>
  <c r="C1138" i="288"/>
  <c r="I2050" i="288"/>
  <c r="V30" i="262"/>
  <c r="X22" i="264"/>
  <c r="V48" i="261"/>
  <c r="C2720" i="288"/>
  <c r="T51" i="265"/>
  <c r="S50" i="262"/>
  <c r="Y55" i="264"/>
  <c r="S15" i="265"/>
  <c r="C2716" i="229"/>
  <c r="T41" i="262"/>
  <c r="I1152" i="288"/>
  <c r="S75" i="264"/>
  <c r="C2862" i="288"/>
  <c r="X73" i="261"/>
  <c r="W64" i="264"/>
  <c r="I2620" i="288"/>
  <c r="J1467" i="229"/>
  <c r="X35" i="262"/>
  <c r="J3286" i="229"/>
  <c r="Z53" i="262"/>
  <c r="X71" i="264"/>
  <c r="U23" i="264"/>
  <c r="W67" i="262"/>
  <c r="W19" i="261"/>
  <c r="V92" i="261"/>
  <c r="X58" i="265"/>
  <c r="I768" i="288"/>
  <c r="J1076" i="229"/>
  <c r="D2405" i="229"/>
  <c r="Z48" i="262"/>
  <c r="D3459" i="229"/>
  <c r="U25" i="262"/>
  <c r="C783" i="229"/>
  <c r="V16" i="262"/>
  <c r="W91" i="265"/>
  <c r="T61" i="265"/>
  <c r="X71" i="261"/>
  <c r="U46" i="261"/>
  <c r="S19" i="263"/>
  <c r="U67" i="264"/>
  <c r="Z88" i="261"/>
  <c r="U61" i="261"/>
  <c r="T47" i="262"/>
  <c r="D1076" i="229"/>
  <c r="D2210" i="229"/>
  <c r="T89" i="265"/>
  <c r="V46" i="264"/>
  <c r="D2928" i="229"/>
  <c r="V31" i="262"/>
  <c r="S54" i="262"/>
  <c r="V93" i="261"/>
  <c r="Z90" i="261"/>
  <c r="W68" i="264"/>
  <c r="T31" i="264"/>
  <c r="X68" i="265"/>
  <c r="Z40" i="262"/>
  <c r="W17" i="261"/>
  <c r="T97" i="265"/>
  <c r="D1901" i="229"/>
  <c r="W27" i="264"/>
  <c r="C3148" i="288"/>
  <c r="I1409" i="288"/>
  <c r="J1840" i="229"/>
  <c r="C3223" i="288"/>
  <c r="Y30" i="265"/>
  <c r="D1337" i="229"/>
  <c r="C1551" i="288"/>
  <c r="C2691" i="288"/>
  <c r="Z71" i="265"/>
  <c r="D1239" i="229"/>
  <c r="Z50" i="261"/>
  <c r="X40" i="264"/>
  <c r="X73" i="262"/>
  <c r="W16" i="266"/>
  <c r="Z99" i="261"/>
  <c r="X49" i="262"/>
  <c r="D66" i="229"/>
  <c r="X19" i="258"/>
  <c r="W31" i="262"/>
  <c r="V65" i="265"/>
  <c r="I2691" i="288"/>
  <c r="X26" i="262"/>
  <c r="C3118" i="288"/>
  <c r="Y62" i="262"/>
  <c r="U20" i="266"/>
  <c r="J1902" i="229"/>
  <c r="C1807" i="229"/>
  <c r="V16" i="266"/>
  <c r="X65" i="261"/>
  <c r="X34" i="261"/>
  <c r="C865" i="229"/>
  <c r="T96" i="265"/>
  <c r="Y89" i="261"/>
  <c r="I1580" i="229"/>
  <c r="W72" i="262"/>
  <c r="J1613" i="229"/>
  <c r="X72" i="264"/>
  <c r="S95" i="261"/>
  <c r="Y50" i="265"/>
  <c r="Z80" i="264"/>
  <c r="Y44" i="261"/>
  <c r="Z32" i="262"/>
  <c r="X41" i="265"/>
  <c r="C1950" i="288"/>
  <c r="V26" i="262"/>
  <c r="J833" i="229"/>
  <c r="I2677" i="288"/>
  <c r="D3171" i="229"/>
  <c r="W24" i="262"/>
  <c r="C1917" i="229"/>
  <c r="V22" i="262"/>
  <c r="C953" i="288"/>
  <c r="W17" i="265"/>
  <c r="C1238" i="288"/>
  <c r="I3133" i="288"/>
  <c r="D3406" i="229"/>
  <c r="Y82" i="265"/>
  <c r="T74" i="264"/>
  <c r="I1336" i="229"/>
  <c r="S23" i="264"/>
  <c r="U73" i="261"/>
  <c r="X61" i="261"/>
  <c r="S63" i="264"/>
  <c r="U59" i="265"/>
  <c r="S50" i="261"/>
  <c r="W74" i="264"/>
  <c r="C2928" i="229"/>
  <c r="J3696" i="229"/>
  <c r="D784" i="229"/>
  <c r="C1437" i="288"/>
  <c r="C2050" i="288"/>
  <c r="I1794" i="288"/>
  <c r="W75" i="264"/>
  <c r="D3270" i="229"/>
  <c r="X16" i="265"/>
  <c r="J3814" i="229"/>
  <c r="I1737" i="288"/>
  <c r="Z45" i="264"/>
  <c r="W22" i="265"/>
  <c r="W46" i="265"/>
  <c r="Y24" i="262"/>
  <c r="X31" i="264"/>
  <c r="V63" i="261"/>
  <c r="X17" i="266"/>
  <c r="I1380" i="288"/>
  <c r="V15" i="265"/>
  <c r="T20" i="262"/>
  <c r="V47" i="262"/>
  <c r="X71" i="265"/>
  <c r="J2258" i="229"/>
  <c r="D3509" i="229"/>
  <c r="S59" i="264"/>
  <c r="W23" i="261"/>
  <c r="V44" i="262"/>
  <c r="U89" i="265"/>
  <c r="J3561" i="229"/>
  <c r="X47" i="262"/>
  <c r="Y21" i="258"/>
  <c r="D295" i="229"/>
  <c r="S15" i="258"/>
  <c r="J3285" i="229"/>
  <c r="C1851" i="288"/>
  <c r="I359" i="229"/>
  <c r="Y98" i="265"/>
  <c r="X38" i="264"/>
  <c r="S97" i="261"/>
  <c r="I1680" i="288"/>
  <c r="I269" i="288"/>
  <c r="Y87" i="261"/>
  <c r="I3324" i="288"/>
  <c r="I1979" i="288"/>
  <c r="V64" i="265"/>
  <c r="I497" i="288"/>
  <c r="U18" i="266"/>
  <c r="Z60" i="262"/>
  <c r="I962" i="229"/>
  <c r="Z67" i="261"/>
  <c r="I996" i="288"/>
  <c r="T44" i="261"/>
  <c r="U59" i="261"/>
  <c r="J1711" i="229"/>
  <c r="I2492" i="288"/>
  <c r="C3406" i="229"/>
  <c r="U73" i="265"/>
  <c r="D2551" i="229"/>
  <c r="U35" i="265"/>
  <c r="X44" i="265"/>
  <c r="U28" i="264"/>
  <c r="T40" i="264"/>
  <c r="D588" i="229"/>
  <c r="W75" i="265"/>
  <c r="J1966" i="229"/>
  <c r="Y93" i="261"/>
  <c r="W95" i="265"/>
  <c r="Z54" i="264"/>
  <c r="D2864" i="229"/>
  <c r="C1608" i="288"/>
  <c r="I611" i="288"/>
  <c r="V58" i="265"/>
  <c r="C43" i="288"/>
  <c r="D2047" i="229"/>
  <c r="Y19" i="266"/>
  <c r="D1949" i="229"/>
  <c r="J1933" i="229"/>
  <c r="C1751" i="288"/>
  <c r="I1167" i="288"/>
  <c r="W25" i="261"/>
  <c r="X24" i="262"/>
  <c r="J1983" i="229"/>
  <c r="D1256" i="229"/>
  <c r="X71" i="262"/>
  <c r="U38" i="261"/>
  <c r="W23" i="262"/>
  <c r="T34" i="265"/>
  <c r="X25" i="262"/>
  <c r="Z47" i="261"/>
  <c r="T45" i="261"/>
  <c r="S32" i="262"/>
  <c r="C3207" i="288"/>
  <c r="J3441" i="229"/>
  <c r="U34" i="264"/>
  <c r="D1043" i="229"/>
  <c r="I3389" i="229"/>
  <c r="Y42" i="265"/>
  <c r="Y83" i="261"/>
  <c r="C582" i="288"/>
  <c r="C2606" i="288"/>
  <c r="V55" i="265"/>
  <c r="C468" i="288"/>
  <c r="S69" i="265"/>
  <c r="I2209" i="229"/>
  <c r="V35" i="262"/>
  <c r="D3390" i="229"/>
  <c r="Z39" i="262"/>
  <c r="D1288" i="229"/>
  <c r="C3163" i="288"/>
  <c r="D2275" i="229"/>
  <c r="I1195" i="288"/>
  <c r="V67" i="265"/>
  <c r="Z94" i="265"/>
  <c r="U78" i="264"/>
  <c r="D277" i="229"/>
  <c r="U53" i="261"/>
  <c r="X68" i="262"/>
  <c r="W44" i="264"/>
  <c r="U58" i="262"/>
  <c r="X78" i="261"/>
  <c r="U18" i="258"/>
  <c r="D736" i="229"/>
  <c r="V24" i="264"/>
  <c r="D2847" i="229"/>
  <c r="J1304" i="229"/>
  <c r="I2935" i="288"/>
  <c r="X96" i="261"/>
  <c r="D3647" i="229"/>
  <c r="I739" i="288"/>
  <c r="C1206" i="229"/>
  <c r="Y70" i="262"/>
  <c r="C2891" i="288"/>
  <c r="X43" i="261"/>
  <c r="S47" i="265"/>
  <c r="S38" i="261"/>
  <c r="Y55" i="265"/>
  <c r="D2945" i="229"/>
  <c r="I2993" i="229"/>
  <c r="S37" i="261"/>
  <c r="S57" i="264"/>
  <c r="C3074" i="229"/>
  <c r="C283" i="288"/>
  <c r="S98" i="261"/>
  <c r="T65" i="261"/>
  <c r="Y52" i="264"/>
  <c r="J1336" i="229"/>
  <c r="X43" i="264"/>
  <c r="J2911" i="229"/>
  <c r="S57" i="262"/>
  <c r="T16" i="262"/>
  <c r="C1966" i="229"/>
  <c r="T36" i="261"/>
  <c r="W26" i="264"/>
  <c r="Z46" i="261"/>
  <c r="C2193" i="288"/>
  <c r="C2877" i="288"/>
  <c r="V46" i="265"/>
  <c r="Y53" i="262"/>
  <c r="W39" i="262"/>
  <c r="X54" i="261"/>
  <c r="J719" i="229"/>
  <c r="V28" i="261"/>
  <c r="X21" i="258"/>
  <c r="J2945" i="229"/>
  <c r="D3338" i="229"/>
  <c r="W92" i="261"/>
  <c r="D491" i="229"/>
  <c r="J2993" i="229"/>
  <c r="D2356" i="229"/>
  <c r="V72" i="265"/>
  <c r="D524" i="229"/>
  <c r="J3476" i="229"/>
  <c r="U33" i="262"/>
  <c r="J475" i="229"/>
  <c r="W50" i="265"/>
  <c r="S53" i="261"/>
  <c r="D155" i="229"/>
  <c r="I2437" i="229"/>
  <c r="Y84" i="261"/>
  <c r="U17" i="263"/>
  <c r="S93" i="265"/>
  <c r="I2421" i="229"/>
  <c r="S24" i="258"/>
  <c r="Z35" i="261"/>
  <c r="S76" i="261"/>
  <c r="D541" i="229"/>
  <c r="V81" i="261"/>
  <c r="C2079" i="229"/>
  <c r="U15" i="263"/>
  <c r="Y70" i="261"/>
  <c r="D1950" i="229"/>
  <c r="T23" i="265"/>
  <c r="S56" i="262"/>
  <c r="D3579" i="229"/>
  <c r="X50" i="261"/>
  <c r="S50" i="264"/>
  <c r="S45" i="264"/>
  <c r="C1547" i="229"/>
  <c r="I3662" i="229"/>
  <c r="Z39" i="265"/>
  <c r="W19" i="262"/>
  <c r="T77" i="262"/>
  <c r="W88" i="265"/>
  <c r="J622" i="229"/>
  <c r="V84" i="264"/>
  <c r="X18" i="262"/>
  <c r="I1982" i="229"/>
  <c r="U57" i="264"/>
  <c r="I3192" i="288"/>
  <c r="T32" i="264"/>
  <c r="J1320" i="229"/>
  <c r="D3286" i="229"/>
  <c r="S93" i="261"/>
  <c r="V44" i="264"/>
  <c r="D1918" i="229"/>
  <c r="I261" i="229"/>
  <c r="Z29" i="261"/>
  <c r="Y91" i="265"/>
  <c r="Y62" i="261"/>
  <c r="U94" i="261"/>
  <c r="S89" i="261"/>
  <c r="I1287" i="229"/>
  <c r="V17" i="258"/>
  <c r="U60" i="264"/>
  <c r="D449" i="229"/>
  <c r="T57" i="265"/>
  <c r="Y39" i="262"/>
  <c r="D3728" i="229"/>
  <c r="T36" i="265"/>
  <c r="Z36" i="265"/>
  <c r="I896" i="288"/>
  <c r="U71" i="264"/>
  <c r="J2113" i="229"/>
  <c r="J65" i="229"/>
  <c r="V39" i="261"/>
  <c r="T33" i="262"/>
  <c r="I1563" i="229"/>
  <c r="Z48" i="261"/>
  <c r="D3155" i="229"/>
  <c r="S79" i="261"/>
  <c r="J1597" i="229"/>
  <c r="T72" i="265"/>
  <c r="J360" i="229"/>
  <c r="V33" i="265"/>
  <c r="Y82" i="264"/>
  <c r="Z38" i="264"/>
  <c r="U60" i="265"/>
  <c r="C605" i="229"/>
  <c r="D261" i="229"/>
  <c r="J2486" i="229"/>
  <c r="S82" i="261"/>
  <c r="X23" i="261"/>
  <c r="T40" i="261"/>
  <c r="U45" i="261"/>
  <c r="S25" i="264"/>
  <c r="Z23" i="262"/>
  <c r="U72" i="261"/>
  <c r="Z98" i="265"/>
  <c r="Z73" i="265"/>
  <c r="Y74" i="262"/>
  <c r="Y57" i="261"/>
  <c r="J2079" i="229"/>
  <c r="Z46" i="265"/>
  <c r="W67" i="265"/>
  <c r="T32" i="262"/>
  <c r="D2486" i="229"/>
  <c r="D2734" i="229"/>
  <c r="C2469" i="229"/>
  <c r="C3595" i="229"/>
  <c r="X77" i="264"/>
  <c r="W40" i="262"/>
  <c r="V33" i="262"/>
  <c r="W80" i="264"/>
  <c r="I1893" i="288"/>
  <c r="T16" i="263"/>
  <c r="V84" i="261"/>
  <c r="X36" i="264"/>
  <c r="W39" i="261"/>
  <c r="S47" i="261"/>
  <c r="X16" i="258"/>
  <c r="W26" i="262"/>
  <c r="Z68" i="265"/>
  <c r="J768" i="229"/>
  <c r="T24" i="258"/>
  <c r="Y99" i="261"/>
  <c r="Z15" i="258"/>
  <c r="I2486" i="229"/>
  <c r="D832" i="229"/>
  <c r="U87" i="261"/>
  <c r="S27" i="261"/>
  <c r="X99" i="261"/>
  <c r="Z59" i="261"/>
  <c r="X88" i="261"/>
  <c r="D849" i="229"/>
  <c r="W62" i="264"/>
  <c r="V62" i="265"/>
  <c r="S49" i="265"/>
  <c r="S55" i="264"/>
  <c r="W32" i="264"/>
  <c r="T84" i="261"/>
  <c r="U68" i="261"/>
  <c r="I65" i="229"/>
  <c r="Y22" i="262"/>
  <c r="T88" i="265"/>
  <c r="Y97" i="265"/>
  <c r="D3285" i="229"/>
  <c r="U22" i="258"/>
  <c r="X69" i="262"/>
  <c r="Y75" i="265"/>
  <c r="S37" i="264"/>
  <c r="X59" i="264"/>
  <c r="V59" i="262"/>
  <c r="T54" i="261"/>
  <c r="D3074" i="229"/>
  <c r="Z79" i="265"/>
  <c r="V76" i="264"/>
  <c r="C454" i="288"/>
  <c r="V21" i="258"/>
  <c r="D1451" i="229"/>
  <c r="Y16" i="263"/>
  <c r="C1879" i="288"/>
  <c r="T31" i="261"/>
  <c r="U30" i="261"/>
  <c r="D230" i="229"/>
  <c r="W56" i="265"/>
  <c r="V37" i="261"/>
  <c r="C1594" i="288"/>
  <c r="V19" i="258"/>
  <c r="Y65" i="264"/>
  <c r="J1776" i="229"/>
  <c r="S38" i="265"/>
  <c r="C3090" i="229"/>
  <c r="I3423" i="229"/>
  <c r="W46" i="264"/>
  <c r="W71" i="264"/>
  <c r="T51" i="264"/>
  <c r="J1011" i="229"/>
  <c r="W66" i="261"/>
  <c r="Z16" i="264"/>
  <c r="V36" i="265"/>
  <c r="T42" i="265"/>
  <c r="C639" i="288"/>
  <c r="Y80" i="264"/>
  <c r="U37" i="264"/>
  <c r="J801" i="229"/>
  <c r="I1594" i="288"/>
  <c r="J621" i="229"/>
  <c r="S19" i="258"/>
  <c r="W53" i="265"/>
  <c r="U49" i="265"/>
  <c r="V36" i="261"/>
  <c r="D1402" i="229"/>
  <c r="S23" i="261"/>
  <c r="J963" i="229"/>
  <c r="Z92" i="265"/>
  <c r="T15" i="265"/>
  <c r="I1708" i="288"/>
  <c r="C2161" i="229"/>
  <c r="C3578" i="229"/>
  <c r="C816" i="229"/>
  <c r="U95" i="261"/>
  <c r="W57" i="261"/>
  <c r="V71" i="262"/>
  <c r="S28" i="262"/>
  <c r="T64" i="264"/>
  <c r="Y51" i="262"/>
  <c r="T60" i="261"/>
  <c r="T67" i="261"/>
  <c r="X42" i="265"/>
  <c r="T28" i="261"/>
  <c r="I882" i="288"/>
  <c r="J654" i="229"/>
  <c r="T38" i="261"/>
  <c r="D2960" i="229"/>
  <c r="T61" i="261"/>
  <c r="J1466" i="229"/>
  <c r="D2388" i="229"/>
  <c r="T46" i="264"/>
  <c r="W23" i="258"/>
  <c r="Y70" i="265"/>
  <c r="S68" i="261"/>
  <c r="U46" i="265"/>
  <c r="C1409" i="288"/>
  <c r="X64" i="265"/>
  <c r="D3713" i="229"/>
  <c r="C2563" i="288"/>
  <c r="D2161" i="229"/>
  <c r="J2717" i="229"/>
  <c r="J1498" i="229"/>
  <c r="C2583" i="229"/>
  <c r="V44" i="265"/>
  <c r="U86" i="261"/>
  <c r="C1794" i="288"/>
  <c r="Y44" i="265"/>
  <c r="U72" i="262"/>
  <c r="D2259" i="229"/>
  <c r="X16" i="266"/>
  <c r="W15" i="265"/>
  <c r="C1401" i="229"/>
  <c r="T38" i="265"/>
  <c r="I839" i="288"/>
  <c r="Y66" i="264"/>
  <c r="Y54" i="265"/>
  <c r="I3353" i="288"/>
  <c r="S34" i="265"/>
  <c r="J3025" i="229"/>
  <c r="Y28" i="261"/>
  <c r="C2748" i="288"/>
  <c r="Z29" i="262"/>
  <c r="V70" i="262"/>
  <c r="U36" i="265"/>
  <c r="X36" i="265"/>
  <c r="U77" i="265"/>
  <c r="C245" i="229"/>
  <c r="J735" i="229"/>
  <c r="W53" i="264"/>
  <c r="Y50" i="262"/>
  <c r="S25" i="261"/>
  <c r="V63" i="264"/>
  <c r="C1433" i="229"/>
  <c r="T51" i="261"/>
  <c r="X32" i="261"/>
  <c r="J1823" i="229"/>
  <c r="I1726" i="229"/>
  <c r="X17" i="261"/>
  <c r="D1966" i="229"/>
  <c r="I3778" i="229"/>
  <c r="S95" i="265"/>
  <c r="J327" i="229"/>
  <c r="S19" i="262"/>
  <c r="X20" i="262"/>
  <c r="J1967" i="229"/>
  <c r="C1908" i="288"/>
  <c r="U47" i="261"/>
  <c r="W97" i="265"/>
  <c r="U33" i="265"/>
  <c r="I1722" i="288"/>
  <c r="D2227" i="229"/>
  <c r="J653" i="229"/>
  <c r="S78" i="265"/>
  <c r="S54" i="261"/>
  <c r="T54" i="264"/>
  <c r="Y73" i="261"/>
  <c r="C1222" i="229"/>
  <c r="V24" i="258"/>
  <c r="S31" i="264"/>
  <c r="V36" i="262"/>
  <c r="W82" i="265"/>
  <c r="Z20" i="264"/>
  <c r="C2551" i="229"/>
  <c r="D359" i="229"/>
  <c r="S25" i="265"/>
  <c r="D1791" i="229"/>
  <c r="X55" i="265"/>
  <c r="I1266" i="288"/>
  <c r="D2096" i="229"/>
  <c r="I3025" i="229"/>
  <c r="W54" i="265"/>
  <c r="W19" i="258"/>
  <c r="W41" i="262"/>
  <c r="W79" i="265"/>
  <c r="Z49" i="264"/>
  <c r="J3510" i="229"/>
  <c r="W51" i="264"/>
  <c r="S81" i="264"/>
  <c r="U73" i="262"/>
  <c r="S26" i="265"/>
  <c r="D3354" i="229"/>
  <c r="S63" i="265"/>
  <c r="Z31" i="261"/>
  <c r="J736" i="229"/>
  <c r="U53" i="262"/>
  <c r="X87" i="265"/>
  <c r="V31" i="265"/>
  <c r="Y18" i="261"/>
  <c r="W51" i="262"/>
  <c r="W50" i="262"/>
  <c r="D2487" i="229"/>
  <c r="Y71" i="265"/>
  <c r="T67" i="264"/>
  <c r="I3745" i="229"/>
  <c r="W29" i="264"/>
  <c r="C180" i="229"/>
  <c r="Y49" i="261"/>
  <c r="U23" i="258"/>
  <c r="X43" i="265"/>
  <c r="Y22" i="258"/>
  <c r="Z74" i="261"/>
  <c r="I1765" i="288"/>
  <c r="V20" i="261"/>
  <c r="I2278" i="288"/>
  <c r="C3267" i="288"/>
  <c r="C1125" i="229"/>
  <c r="Y72" i="265"/>
  <c r="Y60" i="264"/>
  <c r="S39" i="262"/>
  <c r="W41" i="265"/>
  <c r="D1093" i="229"/>
  <c r="Z91" i="265"/>
  <c r="T64" i="261"/>
  <c r="U17" i="262"/>
  <c r="D3107" i="229"/>
  <c r="T76" i="264"/>
  <c r="T50" i="264"/>
  <c r="J2863" i="229"/>
  <c r="Z18" i="262"/>
  <c r="J2112" i="229"/>
  <c r="C825" i="288"/>
  <c r="Z64" i="265"/>
  <c r="S42" i="265"/>
  <c r="W35" i="265"/>
  <c r="T17" i="261"/>
  <c r="S33" i="261"/>
  <c r="C2107" i="288"/>
  <c r="U77" i="262"/>
  <c r="Y19" i="264"/>
  <c r="W17" i="266"/>
  <c r="Z63" i="262"/>
  <c r="I3253" i="229"/>
  <c r="D833" i="229"/>
  <c r="I1480" i="288"/>
  <c r="T18" i="266"/>
  <c r="I735" i="229"/>
  <c r="U70" i="261"/>
  <c r="D654" i="229"/>
  <c r="T65" i="262"/>
  <c r="T79" i="265"/>
  <c r="V74" i="265"/>
  <c r="V41" i="265"/>
  <c r="U51" i="265"/>
  <c r="U62" i="262"/>
  <c r="I3695" i="229"/>
  <c r="W39" i="264"/>
  <c r="S18" i="265"/>
  <c r="C2863" i="229"/>
  <c r="Y40" i="265"/>
  <c r="J1950" i="229"/>
  <c r="X16" i="261"/>
  <c r="T15" i="264"/>
  <c r="S58" i="265"/>
  <c r="J3407" i="229"/>
  <c r="I3813" i="229"/>
  <c r="Y36" i="261"/>
  <c r="W74" i="262"/>
  <c r="D3829" i="229"/>
  <c r="W24" i="261"/>
  <c r="D2372" i="229"/>
  <c r="U72" i="264"/>
  <c r="U82" i="261"/>
  <c r="D2242" i="229"/>
  <c r="W21" i="265"/>
  <c r="U19" i="262"/>
  <c r="Z82" i="265"/>
  <c r="T16" i="264"/>
  <c r="W55" i="262"/>
  <c r="W16" i="263"/>
  <c r="S72" i="264"/>
  <c r="Z86" i="265"/>
  <c r="S41" i="262"/>
  <c r="X31" i="265"/>
  <c r="S21" i="258"/>
  <c r="Y40" i="261"/>
  <c r="S60" i="262"/>
  <c r="S99" i="261"/>
  <c r="Y31" i="265"/>
  <c r="I2980" i="288"/>
  <c r="V83" i="264"/>
  <c r="D1092" i="229"/>
  <c r="W69" i="265"/>
  <c r="X32" i="264"/>
  <c r="I2378" i="288"/>
  <c r="Z15" i="264"/>
  <c r="W35" i="262"/>
  <c r="I2221" i="288"/>
  <c r="V72" i="261"/>
  <c r="W16" i="262"/>
  <c r="Z54" i="261"/>
  <c r="J2356" i="229"/>
  <c r="Z57" i="265"/>
  <c r="W52" i="262"/>
  <c r="V79" i="265"/>
  <c r="Y78" i="265"/>
  <c r="J343" i="229"/>
  <c r="Y90" i="265"/>
  <c r="I3509" i="229"/>
  <c r="W52" i="261"/>
  <c r="J2864" i="229"/>
  <c r="W70" i="262"/>
  <c r="X76" i="261"/>
  <c r="T38" i="262"/>
  <c r="D735" i="229"/>
  <c r="I2421" i="288"/>
  <c r="V62" i="261"/>
  <c r="J882" i="229"/>
  <c r="Z24" i="265"/>
  <c r="T53" i="262"/>
  <c r="X53" i="261"/>
  <c r="V87" i="261"/>
  <c r="S16" i="265"/>
  <c r="D1499" i="229"/>
  <c r="J930" i="229"/>
  <c r="J2782" i="229"/>
  <c r="U78" i="265"/>
  <c r="C3728" i="229"/>
  <c r="Y38" i="261"/>
  <c r="U42" i="262"/>
  <c r="V18" i="264"/>
  <c r="J1142" i="229"/>
  <c r="D2685" i="229"/>
  <c r="W24" i="265"/>
  <c r="D2194" i="229"/>
  <c r="I2846" i="229"/>
  <c r="V94" i="261"/>
  <c r="Y55" i="262"/>
  <c r="U50" i="262"/>
  <c r="T19" i="258"/>
  <c r="U59" i="264"/>
  <c r="T45" i="264"/>
  <c r="Y53" i="264"/>
  <c r="X94" i="261"/>
  <c r="C1623" i="288"/>
  <c r="C269" i="288"/>
  <c r="Y79" i="265"/>
  <c r="X74" i="264"/>
  <c r="X39" i="264"/>
  <c r="V57" i="261"/>
  <c r="I3369" i="288"/>
  <c r="Y37" i="265"/>
  <c r="T74" i="262"/>
  <c r="X48" i="265"/>
  <c r="W83" i="265"/>
  <c r="T25" i="265"/>
  <c r="T55" i="264"/>
  <c r="C682" i="288"/>
  <c r="S49" i="264"/>
  <c r="Z68" i="261"/>
  <c r="U33" i="264"/>
  <c r="J1077" i="229"/>
  <c r="U24" i="262"/>
  <c r="Z72" i="265"/>
  <c r="I2606" i="288"/>
  <c r="Z85" i="265"/>
  <c r="I2079" i="229"/>
  <c r="J1271" i="229"/>
  <c r="J2162" i="229"/>
  <c r="S22" i="264"/>
  <c r="I1395" i="288"/>
  <c r="I326" i="229"/>
  <c r="U29" i="264"/>
  <c r="V18" i="265"/>
  <c r="D931" i="229"/>
  <c r="I1092" i="229"/>
  <c r="C1933" i="229"/>
  <c r="X83" i="264"/>
  <c r="W40" i="265"/>
  <c r="I2453" i="229"/>
  <c r="S83" i="261"/>
  <c r="V21" i="264"/>
  <c r="I2339" i="229"/>
  <c r="T16" i="258"/>
  <c r="S14" i="262"/>
  <c r="W34" i="265"/>
  <c r="T29" i="265"/>
  <c r="X63" i="264"/>
  <c r="W90" i="261"/>
  <c r="I507" i="229"/>
  <c r="C1027" i="229"/>
  <c r="X70" i="265"/>
  <c r="X51" i="262"/>
  <c r="T59" i="264"/>
  <c r="T52" i="264"/>
  <c r="D1597" i="229"/>
  <c r="Z98" i="261"/>
  <c r="Z18" i="264"/>
  <c r="Y47" i="261"/>
  <c r="W78" i="261"/>
  <c r="Z62" i="262"/>
  <c r="Y30" i="261"/>
  <c r="T19" i="265"/>
  <c r="D1531" i="229"/>
  <c r="V42" i="265"/>
  <c r="V25" i="262"/>
  <c r="C668" i="288"/>
  <c r="D2243" i="229"/>
  <c r="I137" i="229"/>
  <c r="X66" i="261"/>
  <c r="S49" i="261"/>
  <c r="X45" i="264"/>
  <c r="Y75" i="264"/>
  <c r="W16" i="265"/>
  <c r="V22" i="265"/>
  <c r="I668" i="288"/>
  <c r="C1095" i="288"/>
  <c r="Y24" i="258"/>
  <c r="X47" i="264"/>
  <c r="Y61" i="261"/>
  <c r="I1466" i="229"/>
  <c r="J3630" i="229"/>
  <c r="Y61" i="265"/>
  <c r="D3172" i="229"/>
  <c r="D1125" i="229"/>
  <c r="S17" i="266"/>
  <c r="D3236" i="229"/>
  <c r="S88" i="261"/>
  <c r="X35" i="261"/>
  <c r="C2668" i="229"/>
  <c r="V54" i="265"/>
  <c r="U57" i="262"/>
  <c r="S47" i="264"/>
  <c r="C1901" i="229"/>
  <c r="S41" i="264"/>
  <c r="W30" i="262"/>
  <c r="I1966" i="229"/>
  <c r="J1352" i="229"/>
  <c r="X37" i="264"/>
  <c r="Z20" i="261"/>
  <c r="I2036" i="288"/>
  <c r="U58" i="265"/>
  <c r="I426" i="288"/>
  <c r="D3492" i="229"/>
  <c r="U26" i="262"/>
  <c r="Y67" i="262"/>
  <c r="Z89" i="261"/>
  <c r="X80" i="265"/>
  <c r="V27" i="264"/>
  <c r="V20" i="264"/>
  <c r="Z78" i="264"/>
  <c r="U33" i="261"/>
  <c r="S36" i="261"/>
  <c r="W20" i="258"/>
  <c r="J3595" i="229"/>
  <c r="Y23" i="261"/>
  <c r="T82" i="261"/>
  <c r="U50" i="264"/>
  <c r="S45" i="261"/>
  <c r="J122" i="229"/>
  <c r="X93" i="265"/>
  <c r="U29" i="265"/>
  <c r="J817" i="229"/>
  <c r="I682" i="288"/>
  <c r="U48" i="261"/>
  <c r="W69" i="261"/>
  <c r="V50" i="264"/>
  <c r="Z66" i="264"/>
  <c r="D686" i="229"/>
  <c r="I2022" i="288"/>
  <c r="C1303" i="229"/>
  <c r="V51" i="265"/>
  <c r="J1206" i="229"/>
  <c r="Z33" i="264"/>
  <c r="U70" i="264"/>
  <c r="J2259" i="229"/>
  <c r="S18" i="264"/>
  <c r="V76" i="261"/>
  <c r="W45" i="265"/>
  <c r="V66" i="262"/>
  <c r="D1758" i="229"/>
  <c r="S40" i="265"/>
  <c r="W22" i="264"/>
  <c r="C1596" i="229"/>
  <c r="C3155" i="229"/>
  <c r="X52" i="265"/>
  <c r="W78" i="264"/>
  <c r="T16" i="266"/>
  <c r="Y49" i="265"/>
  <c r="J294" i="229"/>
  <c r="S48" i="264"/>
  <c r="I277" i="229"/>
  <c r="I2583" i="229"/>
  <c r="T66" i="265"/>
  <c r="U71" i="261"/>
  <c r="J2798" i="229"/>
  <c r="J2292" i="229"/>
  <c r="J476" i="229"/>
  <c r="T47" i="264"/>
  <c r="V83" i="265"/>
  <c r="T34" i="262"/>
  <c r="I3026" i="288"/>
  <c r="U75" i="265"/>
  <c r="X72" i="261"/>
  <c r="V26" i="264"/>
  <c r="T44" i="264"/>
  <c r="T69" i="262"/>
  <c r="T82" i="264"/>
  <c r="X77" i="261"/>
  <c r="U18" i="261"/>
  <c r="S46" i="261"/>
  <c r="S65" i="262"/>
  <c r="X78" i="265"/>
  <c r="D1255" i="229"/>
  <c r="T73" i="261"/>
  <c r="V57" i="262"/>
  <c r="V47" i="261"/>
  <c r="D2750" i="229"/>
  <c r="U31" i="264"/>
  <c r="D556" i="229"/>
  <c r="V17" i="264"/>
  <c r="S96" i="265"/>
  <c r="X70" i="262"/>
  <c r="S55" i="265"/>
  <c r="D3235" i="288"/>
  <c r="S46" i="264"/>
  <c r="C572" i="229"/>
  <c r="J1190" i="229"/>
  <c r="U45" i="262"/>
  <c r="W46" i="262"/>
  <c r="Z63" i="264"/>
  <c r="T58" i="261"/>
  <c r="Y42" i="262"/>
  <c r="S90" i="261"/>
  <c r="C1266" i="288"/>
  <c r="W23" i="265"/>
  <c r="X48" i="264"/>
  <c r="Y66" i="265"/>
  <c r="D1710" i="229"/>
  <c r="J638" i="229"/>
  <c r="Z72" i="264"/>
  <c r="T45" i="262"/>
  <c r="W99" i="261"/>
  <c r="Z78" i="265"/>
  <c r="C1710" i="229"/>
  <c r="Z44" i="262"/>
  <c r="T61" i="262"/>
  <c r="J491" i="229"/>
  <c r="I2356" i="229"/>
  <c r="Z38" i="261"/>
  <c r="Z74" i="262"/>
  <c r="V61" i="264"/>
  <c r="S19" i="264"/>
  <c r="C739" i="288"/>
  <c r="C1480" i="288"/>
  <c r="D2209" i="229"/>
  <c r="D1077" i="229"/>
  <c r="C1694" i="288"/>
  <c r="V49" i="265"/>
  <c r="C3041" i="288"/>
  <c r="C326" i="288"/>
  <c r="W41" i="261"/>
  <c r="J865" i="229"/>
  <c r="V64" i="262"/>
  <c r="Y94" i="265"/>
  <c r="V29" i="265"/>
  <c r="S20" i="262"/>
  <c r="C3220" i="229"/>
  <c r="Z75" i="262"/>
  <c r="I27" i="229"/>
  <c r="I312" i="288"/>
  <c r="I2567" i="229"/>
  <c r="I1993" i="288"/>
  <c r="Y57" i="262"/>
  <c r="V65" i="261"/>
  <c r="I696" i="288"/>
  <c r="T49" i="262"/>
  <c r="X45" i="262"/>
  <c r="U84" i="261"/>
  <c r="D1515" i="229"/>
  <c r="I3252" i="288"/>
  <c r="V42" i="261"/>
  <c r="S56" i="261"/>
  <c r="X85" i="265"/>
  <c r="Z88" i="265"/>
  <c r="J3778" i="229"/>
  <c r="I588" i="229"/>
  <c r="D3712" i="229"/>
  <c r="Z73" i="264"/>
  <c r="Y65" i="262"/>
  <c r="Y21" i="261"/>
  <c r="J1901" i="229"/>
  <c r="J2846" i="229"/>
  <c r="J996" i="229"/>
  <c r="S67" i="265"/>
  <c r="T34" i="264"/>
  <c r="D1304" i="229"/>
  <c r="Z22" i="261"/>
  <c r="Z17" i="265"/>
  <c r="S67" i="264"/>
  <c r="C2965" i="288"/>
  <c r="C1515" i="229"/>
  <c r="C3009" i="229"/>
  <c r="U23" i="262"/>
  <c r="X19" i="264"/>
  <c r="I816" i="229"/>
  <c r="I3139" i="229"/>
  <c r="X82" i="265"/>
  <c r="Y51" i="264"/>
  <c r="X18" i="263"/>
  <c r="X94" i="265"/>
  <c r="Y63" i="264"/>
  <c r="I245" i="229"/>
  <c r="V77" i="261"/>
  <c r="S67" i="261"/>
  <c r="U44" i="265"/>
  <c r="D996" i="229"/>
  <c r="C2620" i="288"/>
  <c r="I653" i="229"/>
  <c r="J1060" i="229"/>
  <c r="W56" i="262"/>
  <c r="V80" i="261"/>
  <c r="V35" i="264"/>
  <c r="Y61" i="264"/>
  <c r="V49" i="261"/>
  <c r="D3846" i="229"/>
  <c r="T68" i="265"/>
  <c r="T26" i="262"/>
  <c r="V74" i="264"/>
  <c r="X23" i="258"/>
  <c r="S59" i="265"/>
  <c r="I2549" i="288"/>
  <c r="K717" i="328"/>
  <c r="Y47" i="265"/>
  <c r="V87" i="265"/>
  <c r="C3011" i="288"/>
  <c r="V67" i="261"/>
  <c r="U20" i="263"/>
  <c r="J702" i="229"/>
  <c r="S77" i="264"/>
  <c r="I483" i="288"/>
  <c r="J262" i="229"/>
  <c r="Z40" i="261"/>
  <c r="V19" i="263"/>
  <c r="D3796" i="229"/>
  <c r="V52" i="264"/>
  <c r="D622" i="229"/>
  <c r="V45" i="264"/>
  <c r="X26" i="261"/>
  <c r="T77" i="264"/>
  <c r="X43" i="262"/>
  <c r="V38" i="265"/>
  <c r="I924" i="288"/>
  <c r="Y78" i="261"/>
  <c r="T49" i="264"/>
  <c r="I605" i="229"/>
  <c r="Y20" i="258"/>
  <c r="Z52" i="264"/>
  <c r="Y34" i="264"/>
  <c r="V28" i="262"/>
  <c r="Z76" i="262"/>
  <c r="T83" i="265"/>
  <c r="T54" i="265"/>
  <c r="D1191" i="229"/>
  <c r="W59" i="262"/>
  <c r="D3058" i="229"/>
  <c r="I43" i="229"/>
  <c r="D492" i="229"/>
  <c r="S27" i="265"/>
  <c r="Z84" i="265"/>
  <c r="I3612" i="229"/>
  <c r="S89" i="265"/>
  <c r="Y95" i="261"/>
  <c r="Z65" i="264"/>
  <c r="D1173" i="229"/>
  <c r="C3041" i="229"/>
  <c r="D3220" i="229"/>
  <c r="Z43" i="265"/>
  <c r="X92" i="261"/>
  <c r="U40" i="262"/>
  <c r="J3390" i="229"/>
  <c r="I1879" i="288"/>
  <c r="Z36" i="262"/>
  <c r="T80" i="265"/>
  <c r="Y77" i="264"/>
  <c r="D180" i="229"/>
  <c r="W43" i="261"/>
  <c r="U41" i="261"/>
  <c r="S29" i="262"/>
  <c r="J1417" i="229"/>
  <c r="U61" i="264"/>
  <c r="Z23" i="261"/>
  <c r="T72" i="261"/>
  <c r="J589" i="229"/>
  <c r="T88" i="261"/>
  <c r="D2781" i="229"/>
  <c r="D881" i="229"/>
  <c r="V16" i="264"/>
  <c r="Z17" i="261"/>
  <c r="V95" i="265"/>
  <c r="X41" i="261"/>
  <c r="Y80" i="261"/>
  <c r="X49" i="265"/>
  <c r="D508" i="229"/>
  <c r="I2226" i="229"/>
  <c r="D1482" i="229"/>
  <c r="V30" i="264"/>
  <c r="C3237" i="288"/>
  <c r="J3354" i="229"/>
  <c r="J1999" i="229"/>
  <c r="U54" i="261"/>
  <c r="D979" i="229"/>
  <c r="X50" i="265"/>
  <c r="T29" i="262"/>
  <c r="E734" i="328"/>
  <c r="W42" i="265"/>
  <c r="C1010" i="288"/>
  <c r="V50" i="261"/>
  <c r="Z80" i="265"/>
  <c r="D1967" i="229"/>
  <c r="Y47" i="264"/>
  <c r="Z58" i="264"/>
  <c r="T55" i="261"/>
  <c r="W66" i="265"/>
  <c r="I43" i="288"/>
  <c r="V82" i="261"/>
  <c r="T39" i="265"/>
  <c r="W15" i="264"/>
  <c r="J2928" i="229"/>
  <c r="Y58" i="264"/>
  <c r="S62" i="264"/>
  <c r="W28" i="264"/>
  <c r="I310" i="229"/>
  <c r="Z97" i="265"/>
  <c r="J2340" i="229"/>
  <c r="C1368" i="229"/>
  <c r="J784" i="229"/>
  <c r="T56" i="264"/>
  <c r="S40" i="261"/>
  <c r="S61" i="261"/>
  <c r="V85" i="261"/>
  <c r="C448" i="229"/>
  <c r="Z84" i="264"/>
  <c r="S51" i="264"/>
  <c r="V74" i="262"/>
  <c r="S56" i="264"/>
  <c r="Y58" i="261"/>
  <c r="T17" i="264"/>
  <c r="V66" i="265"/>
  <c r="U48" i="262"/>
  <c r="W84" i="265"/>
  <c r="Z91" i="261"/>
  <c r="W65" i="264"/>
  <c r="I848" i="229"/>
  <c r="Z30" i="264"/>
  <c r="Z76" i="265"/>
  <c r="J2994" i="229"/>
  <c r="U22" i="261"/>
  <c r="D3729" i="229"/>
  <c r="X22" i="262"/>
  <c r="I1437" i="288"/>
  <c r="S44" i="261"/>
  <c r="X98" i="265"/>
  <c r="W19" i="265"/>
  <c r="V70" i="261"/>
  <c r="U76" i="265"/>
  <c r="D865" i="229"/>
  <c r="I1509" i="288"/>
  <c r="C588" i="229"/>
  <c r="C2706" i="288"/>
  <c r="J359" i="229"/>
  <c r="I1338" i="288"/>
  <c r="Z70" i="261"/>
  <c r="W72" i="261"/>
  <c r="D1933" i="229"/>
  <c r="J3337" i="229"/>
  <c r="I1823" i="229"/>
  <c r="C1011" i="229"/>
  <c r="Z53" i="265"/>
  <c r="U31" i="265"/>
  <c r="D605" i="229"/>
  <c r="J2502" i="229"/>
  <c r="W43" i="262"/>
  <c r="X72" i="262"/>
  <c r="S97" i="265"/>
  <c r="Y14" i="262"/>
  <c r="Y27" i="264"/>
  <c r="Y77" i="265"/>
  <c r="Y35" i="265"/>
  <c r="V39" i="264"/>
  <c r="W31" i="261"/>
  <c r="X42" i="262"/>
  <c r="I1295" i="288"/>
  <c r="U42" i="265"/>
  <c r="Z31" i="264"/>
  <c r="W76" i="261"/>
  <c r="I212" i="288"/>
  <c r="Y60" i="261"/>
  <c r="C3561" i="229"/>
  <c r="J121" i="229"/>
  <c r="X44" i="261"/>
  <c r="V43" i="262"/>
  <c r="Z47" i="262"/>
  <c r="S76" i="262"/>
  <c r="C882" i="288"/>
  <c r="J2389" i="229"/>
  <c r="V73" i="265"/>
  <c r="U45" i="264"/>
  <c r="C196" i="229"/>
  <c r="Z19" i="264"/>
  <c r="T51" i="262"/>
  <c r="V51" i="261"/>
  <c r="C511" i="288"/>
  <c r="Y87" i="265"/>
  <c r="T94" i="261"/>
  <c r="Z77" i="265"/>
  <c r="U54" i="262"/>
  <c r="X59" i="262"/>
  <c r="W20" i="266"/>
  <c r="J1044" i="229"/>
  <c r="D848" i="229"/>
  <c r="Z25" i="265"/>
  <c r="I3406" i="229"/>
  <c r="S64" i="264"/>
  <c r="D589" i="229"/>
  <c r="D1433" i="229"/>
  <c r="W58" i="264"/>
  <c r="V34" i="265"/>
  <c r="X61" i="264"/>
  <c r="T65" i="264"/>
  <c r="J3695" i="229"/>
  <c r="V25" i="265"/>
  <c r="I468" i="288"/>
  <c r="W17" i="263"/>
  <c r="Y86" i="265"/>
  <c r="Y33" i="262"/>
  <c r="J572" i="229"/>
  <c r="Z46" i="264"/>
  <c r="Z51" i="261"/>
  <c r="V20" i="266"/>
  <c r="W58" i="261"/>
  <c r="X27" i="265"/>
  <c r="I2863" i="229"/>
  <c r="W70" i="264"/>
  <c r="S78" i="261"/>
  <c r="S30" i="261"/>
  <c r="Y79" i="261"/>
  <c r="X67" i="265"/>
  <c r="S48" i="261"/>
  <c r="Y91" i="261"/>
  <c r="W27" i="261"/>
  <c r="S51" i="262"/>
  <c r="U27" i="262"/>
  <c r="D671" i="229"/>
  <c r="Y59" i="264"/>
  <c r="V56" i="265"/>
  <c r="U35" i="262"/>
  <c r="V21" i="262"/>
  <c r="U35" i="264"/>
  <c r="S91" i="261"/>
  <c r="Z24" i="262"/>
  <c r="D3302" i="229"/>
  <c r="S76" i="265"/>
  <c r="X96" i="265"/>
  <c r="Z57" i="262"/>
  <c r="W76" i="264"/>
  <c r="I3678" i="229"/>
  <c r="C1580" i="229"/>
  <c r="J138" i="229"/>
  <c r="U37" i="261"/>
  <c r="Y39" i="261"/>
  <c r="D3510" i="229"/>
  <c r="U39" i="262"/>
  <c r="I2684" i="229"/>
  <c r="T71" i="262"/>
  <c r="J1515" i="229"/>
  <c r="I2791" i="288"/>
  <c r="U65" i="265"/>
  <c r="I1110" i="288"/>
  <c r="S20" i="258"/>
  <c r="C939" i="288"/>
  <c r="C1157" i="229"/>
  <c r="V64" i="261"/>
  <c r="U17" i="265"/>
  <c r="J962" i="229"/>
  <c r="S81" i="261"/>
  <c r="U77" i="264"/>
  <c r="D3407" i="229"/>
  <c r="Y27" i="265"/>
  <c r="S79" i="265"/>
  <c r="W57" i="262"/>
  <c r="Y19" i="262"/>
  <c r="X90" i="261"/>
  <c r="U49" i="261"/>
  <c r="I2242" i="229"/>
  <c r="U92" i="261"/>
  <c r="Y40" i="264"/>
  <c r="X60" i="264"/>
  <c r="U58" i="264"/>
  <c r="C2036" i="288"/>
  <c r="V89" i="265"/>
  <c r="Y43" i="264"/>
  <c r="T83" i="261"/>
  <c r="U15" i="258"/>
  <c r="T48" i="261"/>
  <c r="U54" i="264"/>
  <c r="T68" i="261"/>
  <c r="D1287" i="229"/>
  <c r="D718" i="229"/>
  <c r="J3123" i="229"/>
  <c r="U48" i="265"/>
  <c r="U62" i="261"/>
  <c r="C2879" i="229"/>
  <c r="D3763" i="229"/>
  <c r="C3301" i="229"/>
  <c r="C2242" i="229"/>
  <c r="Z42" i="264"/>
  <c r="V20" i="263"/>
  <c r="T59" i="265"/>
  <c r="V56" i="262"/>
  <c r="X73" i="265"/>
  <c r="W28" i="262"/>
  <c r="I2976" i="229"/>
  <c r="J2308" i="229"/>
  <c r="X61" i="265"/>
  <c r="I198" i="288"/>
  <c r="S36" i="262"/>
  <c r="X55" i="261"/>
  <c r="Z29" i="264"/>
  <c r="S55" i="262"/>
  <c r="W82" i="264"/>
  <c r="V96" i="261"/>
  <c r="U24" i="261"/>
  <c r="X75" i="265"/>
  <c r="C2128" i="229"/>
  <c r="I108" i="288"/>
  <c r="V42" i="262"/>
  <c r="D1841" i="229"/>
  <c r="V69" i="264"/>
  <c r="J245" i="229"/>
  <c r="J3829" i="229"/>
  <c r="X69" i="261"/>
  <c r="D1142" i="229"/>
  <c r="D448" i="229"/>
  <c r="C27" i="229"/>
  <c r="W47" i="262"/>
  <c r="V75" i="261"/>
  <c r="Z89" i="265"/>
  <c r="T20" i="263"/>
  <c r="J3389" i="229"/>
  <c r="D1982" i="229"/>
  <c r="J3423" i="229"/>
  <c r="D637" i="229"/>
  <c r="V23" i="262"/>
  <c r="Y21" i="262"/>
  <c r="Z15" i="263"/>
  <c r="U63" i="261"/>
  <c r="I2193" i="288"/>
  <c r="V60" i="262"/>
  <c r="T37" i="264"/>
  <c r="D3423" i="229"/>
  <c r="W18" i="262"/>
  <c r="Z17" i="263"/>
  <c r="X24" i="264"/>
  <c r="C978" i="229"/>
  <c r="X23" i="265"/>
  <c r="W18" i="261"/>
  <c r="D507" i="229"/>
  <c r="Z83" i="265"/>
  <c r="Y18" i="264"/>
  <c r="T74" i="261"/>
  <c r="V37" i="264"/>
  <c r="Z25" i="264"/>
  <c r="J3220" i="229"/>
  <c r="V58" i="261"/>
  <c r="D44" i="229"/>
  <c r="Z41" i="265"/>
  <c r="X30" i="261"/>
  <c r="Y21" i="264"/>
  <c r="W87" i="261"/>
  <c r="X59" i="265"/>
  <c r="T87" i="261"/>
  <c r="Y33" i="261"/>
  <c r="S91" i="265"/>
  <c r="U21" i="258"/>
  <c r="W63" i="262"/>
  <c r="W20" i="261"/>
  <c r="I2506" i="288"/>
  <c r="D2814" i="229"/>
  <c r="D1060" i="229"/>
  <c r="C3102" i="288"/>
  <c r="S64" i="262"/>
  <c r="C686" i="229"/>
  <c r="Y64" i="261"/>
  <c r="Z21" i="261"/>
  <c r="Y26" i="264"/>
  <c r="Y16" i="261"/>
  <c r="D1271" i="229"/>
  <c r="I511" i="288"/>
  <c r="W47" i="261"/>
  <c r="I2193" i="229"/>
  <c r="C3353" i="288"/>
  <c r="J3745" i="229"/>
  <c r="D1434" i="229"/>
  <c r="S18" i="262"/>
  <c r="X36" i="261"/>
  <c r="Y20" i="264"/>
  <c r="X87" i="261"/>
  <c r="T27" i="264"/>
  <c r="D3009" i="229"/>
  <c r="S70" i="261"/>
  <c r="T71" i="261"/>
  <c r="C2980" i="288"/>
  <c r="J1982" i="229"/>
  <c r="X86" i="261"/>
  <c r="D3845" i="229"/>
  <c r="S18" i="258"/>
  <c r="Y23" i="258"/>
  <c r="D3440" i="229"/>
  <c r="I725" i="288"/>
  <c r="D3106" i="229"/>
  <c r="V50" i="265"/>
  <c r="J3459" i="229"/>
  <c r="W51" i="261"/>
  <c r="I1466" i="288"/>
  <c r="X19" i="262"/>
  <c r="W71" i="261"/>
  <c r="V63" i="265"/>
  <c r="Y36" i="264"/>
  <c r="U91" i="261"/>
  <c r="I978" i="229"/>
  <c r="C3369" i="288"/>
  <c r="J866" i="229"/>
  <c r="V20" i="265"/>
  <c r="T33" i="261"/>
  <c r="W16" i="261"/>
  <c r="V24" i="262"/>
  <c r="C1537" i="288"/>
  <c r="U18" i="264"/>
  <c r="U30" i="264"/>
  <c r="V58" i="262"/>
  <c r="Z55" i="262"/>
  <c r="Y72" i="261"/>
  <c r="T92" i="265"/>
  <c r="X22" i="265"/>
  <c r="Z55" i="264"/>
  <c r="U66" i="264"/>
  <c r="U82" i="264"/>
  <c r="U23" i="261"/>
  <c r="D137" i="229"/>
  <c r="U42" i="264"/>
  <c r="I2862" i="288"/>
  <c r="J2534" i="229"/>
  <c r="J1303" i="229"/>
  <c r="J1758" i="229"/>
  <c r="D3679" i="229"/>
  <c r="T18" i="258"/>
  <c r="W14" i="262"/>
  <c r="I3440" i="229"/>
  <c r="C2372" i="229"/>
  <c r="Z78" i="261"/>
  <c r="Y66" i="261"/>
  <c r="I1309" i="288"/>
  <c r="V59" i="264"/>
  <c r="U32" i="265"/>
  <c r="J1369" i="229"/>
  <c r="Z87" i="265"/>
  <c r="J3646" i="229"/>
  <c r="I2502" i="229"/>
  <c r="S53" i="264"/>
  <c r="V98" i="261"/>
  <c r="Y26" i="265"/>
  <c r="S64" i="265"/>
  <c r="S34" i="264"/>
  <c r="W60" i="261"/>
  <c r="Z60" i="264"/>
  <c r="V29" i="261"/>
  <c r="X62" i="262"/>
  <c r="T56" i="265"/>
  <c r="T50" i="265"/>
  <c r="I2164" i="288"/>
  <c r="V86" i="265"/>
  <c r="Z77" i="264"/>
  <c r="D752" i="229"/>
  <c r="V19" i="262"/>
  <c r="C751" i="229"/>
  <c r="U55" i="261"/>
  <c r="X30" i="262"/>
  <c r="Y33" i="265"/>
  <c r="C1775" i="229"/>
  <c r="X20" i="258"/>
  <c r="J2031" i="229"/>
  <c r="D1109" i="229"/>
  <c r="Y60" i="262"/>
  <c r="U16" i="261"/>
  <c r="X30" i="265"/>
  <c r="S15" i="263"/>
  <c r="W68" i="265"/>
  <c r="Y54" i="262"/>
  <c r="J946" i="229"/>
  <c r="Y18" i="263"/>
  <c r="Y32" i="261"/>
  <c r="C2096" i="229"/>
  <c r="Z22" i="264"/>
  <c r="T76" i="265"/>
  <c r="Y24" i="261"/>
  <c r="D2535" i="229"/>
  <c r="X53" i="265"/>
  <c r="D963" i="229"/>
  <c r="D930" i="229"/>
  <c r="J3678" i="229"/>
  <c r="C1081" i="288"/>
  <c r="I2404" i="229"/>
  <c r="D995" i="229"/>
  <c r="J180" i="229"/>
  <c r="J2766" i="229"/>
  <c r="C2634" i="288"/>
  <c r="C2534" i="229"/>
  <c r="I686" i="229"/>
  <c r="I475" i="229"/>
  <c r="S23" i="265"/>
  <c r="I3527" i="229"/>
  <c r="D122" i="229"/>
  <c r="C2549" i="288"/>
  <c r="Y34" i="265"/>
  <c r="U58" i="261"/>
  <c r="D1044" i="229"/>
  <c r="Z50" i="265"/>
  <c r="J1596" i="229"/>
  <c r="J66" i="229"/>
  <c r="Y56" i="265"/>
  <c r="I3795" i="229"/>
  <c r="U92" i="265"/>
  <c r="C3695" i="229"/>
  <c r="V48" i="262"/>
  <c r="V17" i="265"/>
  <c r="I2388" i="229"/>
  <c r="I92" i="288"/>
  <c r="Y25" i="261"/>
  <c r="S16" i="264"/>
  <c r="I2805" i="288"/>
  <c r="Y64" i="265"/>
  <c r="D245" i="229"/>
  <c r="I2007" i="288"/>
  <c r="S62" i="262"/>
  <c r="V16" i="263"/>
  <c r="X79" i="265"/>
  <c r="C523" i="229"/>
  <c r="V45" i="261"/>
  <c r="X81" i="265"/>
  <c r="Y92" i="261"/>
  <c r="D2469" i="229"/>
  <c r="X65" i="262"/>
  <c r="D2063" i="229"/>
  <c r="S92" i="261"/>
  <c r="V17" i="263"/>
  <c r="C3778" i="229"/>
  <c r="T20" i="266"/>
  <c r="C1779" i="288"/>
  <c r="I3009" i="229"/>
  <c r="C924" i="288"/>
  <c r="C2435" i="288"/>
  <c r="W63" i="264"/>
  <c r="S68" i="265"/>
  <c r="C1181" i="288"/>
  <c r="W30" i="261"/>
  <c r="I1742" i="229"/>
  <c r="D3813" i="229"/>
  <c r="U76" i="262"/>
  <c r="Y34" i="261"/>
  <c r="T18" i="265"/>
  <c r="I1933" i="229"/>
  <c r="S51" i="261"/>
  <c r="I2763" i="288"/>
  <c r="X58" i="264"/>
  <c r="C1309" i="288"/>
  <c r="S71" i="261"/>
  <c r="S59" i="262"/>
  <c r="I1255" i="229"/>
  <c r="D3041" i="229"/>
  <c r="C312" i="288"/>
  <c r="Y16" i="262"/>
  <c r="T58" i="265"/>
  <c r="T28" i="264"/>
  <c r="I1482" i="229"/>
  <c r="J3372" i="229"/>
  <c r="W61" i="265"/>
  <c r="Y28" i="262"/>
  <c r="W86" i="261"/>
  <c r="J2977" i="229"/>
  <c r="J3090" i="229"/>
  <c r="T69" i="261"/>
  <c r="V75" i="265"/>
  <c r="V92" i="265"/>
  <c r="C229" i="229"/>
  <c r="T69" i="265"/>
  <c r="U69" i="265"/>
  <c r="T42" i="264"/>
  <c r="Z55" i="261"/>
  <c r="U63" i="265"/>
  <c r="Z18" i="266"/>
  <c r="C1993" i="288"/>
  <c r="I1950" i="288"/>
  <c r="Y59" i="261"/>
  <c r="J1368" i="229"/>
  <c r="U28" i="262"/>
  <c r="Z63" i="265"/>
  <c r="W83" i="261"/>
  <c r="J181" i="229"/>
  <c r="U29" i="262"/>
  <c r="Y56" i="261"/>
  <c r="V38" i="262"/>
  <c r="X21" i="262"/>
  <c r="V63" i="262"/>
  <c r="Y48" i="264"/>
  <c r="Z24" i="258"/>
  <c r="V28" i="264"/>
  <c r="V18" i="258"/>
  <c r="D2113" i="229"/>
  <c r="Z62" i="265"/>
  <c r="T35" i="264"/>
  <c r="C2207" i="288"/>
  <c r="J99" i="229"/>
  <c r="S52" i="264"/>
  <c r="W48" i="261"/>
  <c r="I3492" i="229"/>
  <c r="C3285" i="229"/>
  <c r="C2677" i="288"/>
  <c r="I1949" i="229"/>
  <c r="Y17" i="263"/>
  <c r="V19" i="264"/>
  <c r="X39" i="262"/>
  <c r="J3440" i="229"/>
  <c r="Z80" i="261"/>
  <c r="V27" i="265"/>
  <c r="C3475" i="229"/>
  <c r="D2599" i="229"/>
  <c r="W18" i="263"/>
  <c r="I800" i="229"/>
  <c r="X53" i="264"/>
  <c r="W34" i="261"/>
  <c r="I1224" i="288"/>
  <c r="T81" i="265"/>
  <c r="C3458" i="229"/>
  <c r="W64" i="265"/>
  <c r="J2080" i="229"/>
  <c r="J800" i="229"/>
  <c r="U38" i="262"/>
  <c r="D1336" i="229"/>
  <c r="T21" i="261"/>
  <c r="V16" i="265"/>
  <c r="I625" i="288"/>
  <c r="W66" i="264"/>
  <c r="S61" i="265"/>
  <c r="V37" i="265"/>
  <c r="C3057" i="288"/>
  <c r="I1124" i="288"/>
  <c r="Y22" i="261"/>
  <c r="D2798" i="229"/>
  <c r="W65" i="262"/>
  <c r="W38" i="262"/>
  <c r="T28" i="265"/>
  <c r="C625" i="288"/>
  <c r="Y31" i="261"/>
  <c r="I2965" i="288"/>
  <c r="V31" i="261"/>
  <c r="Z53" i="261"/>
  <c r="U75" i="264"/>
  <c r="J2275" i="229"/>
  <c r="W36" i="261"/>
  <c r="C326" i="229"/>
  <c r="X81" i="261"/>
  <c r="X47" i="261"/>
  <c r="W26" i="265"/>
  <c r="T91" i="261"/>
  <c r="W52" i="265"/>
  <c r="U67" i="262"/>
  <c r="S21" i="265"/>
  <c r="Z18" i="263"/>
  <c r="X24" i="261"/>
  <c r="T15" i="258"/>
  <c r="Y71" i="264"/>
  <c r="J3424" i="229"/>
  <c r="Y69" i="261"/>
  <c r="J2014" i="229"/>
  <c r="V34" i="262"/>
  <c r="J686" i="229"/>
  <c r="I240" i="288"/>
  <c r="I1547" i="229"/>
  <c r="D3629" i="229"/>
  <c r="T80" i="261"/>
  <c r="X21" i="261"/>
  <c r="C2520" i="288"/>
  <c r="U63" i="262"/>
  <c r="C2478" i="288"/>
  <c r="U69" i="264"/>
  <c r="Y70" i="264"/>
  <c r="Y35" i="262"/>
  <c r="J2551" i="229"/>
  <c r="T20" i="264"/>
  <c r="X32" i="265"/>
  <c r="I1401" i="229"/>
  <c r="W42" i="261"/>
  <c r="I1779" i="288"/>
  <c r="C1823" i="229"/>
  <c r="D154" i="229"/>
  <c r="J2357" i="229"/>
  <c r="S24" i="262"/>
  <c r="I1281" i="288"/>
  <c r="W98" i="265"/>
  <c r="I1851" i="288"/>
  <c r="V71" i="265"/>
  <c r="J212" i="229"/>
  <c r="I3728" i="229"/>
  <c r="S31" i="261"/>
  <c r="T31" i="265"/>
  <c r="U98" i="265"/>
  <c r="S28" i="264"/>
  <c r="V94" i="265"/>
  <c r="Z63" i="261"/>
  <c r="J3509" i="229"/>
  <c r="Z27" i="262"/>
  <c r="Z18" i="265"/>
  <c r="T32" i="261"/>
  <c r="U23" i="265"/>
  <c r="X37" i="265"/>
  <c r="S34" i="261"/>
  <c r="Y46" i="262"/>
  <c r="S38" i="262"/>
  <c r="X20" i="264"/>
  <c r="S58" i="262"/>
  <c r="D1126" i="229"/>
  <c r="T23" i="261"/>
  <c r="W61" i="261"/>
  <c r="T17" i="258"/>
  <c r="W25" i="265"/>
  <c r="S77" i="262"/>
  <c r="D1743" i="229"/>
  <c r="J2879" i="229"/>
  <c r="T17" i="263"/>
  <c r="Y72" i="264"/>
  <c r="V78" i="265"/>
  <c r="J3205" i="229"/>
  <c r="D83" i="229"/>
  <c r="W47" i="264"/>
  <c r="Z66" i="261"/>
  <c r="C2150" i="288"/>
  <c r="T40" i="262"/>
  <c r="S52" i="265"/>
  <c r="Y52" i="261"/>
  <c r="S86" i="261"/>
  <c r="Y73" i="264"/>
  <c r="V20" i="262"/>
  <c r="U90" i="261"/>
  <c r="I2364" i="288"/>
  <c r="V79" i="261"/>
  <c r="T32" i="265"/>
  <c r="J3729" i="229"/>
  <c r="T64" i="262"/>
  <c r="Z69" i="264"/>
  <c r="T63" i="264"/>
  <c r="J2469" i="229"/>
  <c r="S18" i="263"/>
  <c r="C2700" i="229"/>
  <c r="J670" i="229"/>
  <c r="W45" i="262"/>
  <c r="D1303" i="229"/>
  <c r="S71" i="265"/>
  <c r="Z29" i="265"/>
  <c r="Y65" i="265"/>
  <c r="I946" i="229"/>
  <c r="D2993" i="229"/>
  <c r="J718" i="229"/>
  <c r="S28" i="265"/>
  <c r="S33" i="264"/>
  <c r="Z81" i="261"/>
  <c r="X19" i="266"/>
  <c r="J752" i="229"/>
  <c r="W100" i="261"/>
  <c r="V19" i="261"/>
  <c r="X15" i="264"/>
  <c r="X68" i="261"/>
  <c r="U39" i="264"/>
  <c r="I2834" i="288"/>
  <c r="C1737" i="288"/>
  <c r="W88" i="261"/>
  <c r="Y96" i="261"/>
  <c r="Z77" i="262"/>
  <c r="D197" i="229"/>
  <c r="S73" i="261"/>
  <c r="U83" i="265"/>
  <c r="W68" i="261"/>
  <c r="T45" i="265"/>
  <c r="W48" i="264"/>
  <c r="T62" i="261"/>
  <c r="D751" i="229"/>
  <c r="Z26" i="262"/>
  <c r="Y58" i="265"/>
  <c r="W97" i="261"/>
  <c r="W15" i="263"/>
  <c r="Y56" i="262"/>
  <c r="X47" i="265"/>
  <c r="W64" i="261"/>
  <c r="V70" i="264"/>
  <c r="Y45" i="265"/>
  <c r="V67" i="264"/>
  <c r="Z21" i="258"/>
  <c r="C654" i="288"/>
  <c r="W80" i="265"/>
  <c r="D2765" i="229"/>
  <c r="W46" i="261"/>
  <c r="S72" i="262"/>
  <c r="S65" i="265"/>
  <c r="J637" i="229"/>
  <c r="Y46" i="265"/>
  <c r="Z90" i="265"/>
  <c r="U21" i="261"/>
  <c r="U64" i="261"/>
  <c r="S16" i="266"/>
  <c r="Z40" i="265"/>
  <c r="S41" i="261"/>
  <c r="C1965" i="288"/>
  <c r="Z37" i="261"/>
  <c r="Z32" i="264"/>
  <c r="J540" i="229"/>
  <c r="X20" i="261"/>
  <c r="T84" i="265"/>
  <c r="I1758" i="229"/>
  <c r="V44" i="261"/>
  <c r="X75" i="261"/>
  <c r="T23" i="258"/>
  <c r="Y92" i="265"/>
  <c r="D3091" i="229"/>
  <c r="U82" i="265"/>
  <c r="S73" i="265"/>
  <c r="T66" i="264"/>
  <c r="I2372" i="229"/>
  <c r="Z62" i="264"/>
  <c r="I2128" i="229"/>
  <c r="D2048" i="229"/>
  <c r="Z16" i="262"/>
  <c r="S46" i="265"/>
  <c r="X70" i="261"/>
  <c r="C1423" i="288"/>
  <c r="J1759" i="229"/>
  <c r="T82" i="265"/>
  <c r="C1209" i="288"/>
  <c r="U32" i="264"/>
  <c r="Z41" i="261"/>
  <c r="Y96" i="265"/>
  <c r="V64" i="264"/>
  <c r="D1792" i="229"/>
  <c r="X38" i="265"/>
  <c r="V84" i="265"/>
  <c r="Z37" i="262"/>
  <c r="D1450" i="229"/>
  <c r="Z51" i="265"/>
  <c r="Z44" i="261"/>
  <c r="V21" i="261"/>
  <c r="J12" i="229"/>
  <c r="C3440" i="229"/>
  <c r="U20" i="258"/>
  <c r="W29" i="261"/>
  <c r="I2535" i="288"/>
  <c r="D2437" i="229"/>
  <c r="V45" i="265"/>
  <c r="I782" i="288"/>
  <c r="X84" i="265"/>
  <c r="X69" i="265"/>
  <c r="C2014" i="229"/>
  <c r="X76" i="262"/>
  <c r="Z75" i="261"/>
  <c r="C2063" i="229"/>
  <c r="T18" i="264"/>
  <c r="S21" i="261"/>
  <c r="I183" i="288"/>
  <c r="X40" i="265"/>
  <c r="T22" i="264"/>
  <c r="W17" i="258"/>
  <c r="W81" i="264"/>
  <c r="Y83" i="265"/>
  <c r="V90" i="261"/>
  <c r="J524" i="229"/>
  <c r="S26" i="264"/>
  <c r="X19" i="261"/>
  <c r="I3629" i="229"/>
  <c r="D2032" i="229"/>
  <c r="V29" i="262"/>
  <c r="V97" i="265"/>
  <c r="S17" i="263"/>
  <c r="D213" i="229"/>
  <c r="X77" i="265"/>
  <c r="Z70" i="264"/>
  <c r="X84" i="264"/>
  <c r="Y77" i="261"/>
  <c r="J3406" i="229"/>
  <c r="X57" i="265"/>
  <c r="C1092" i="229"/>
  <c r="D767" i="229"/>
  <c r="D2308" i="229"/>
  <c r="W33" i="261"/>
  <c r="D3613" i="229"/>
  <c r="Z96" i="265"/>
  <c r="V68" i="261"/>
  <c r="V74" i="261"/>
  <c r="K649" i="328"/>
  <c r="K683" i="328"/>
  <c r="I525" i="288"/>
  <c r="Z61" i="265"/>
  <c r="V97" i="261"/>
  <c r="W43" i="264"/>
  <c r="V18" i="266"/>
  <c r="U83" i="264"/>
  <c r="D121" i="229"/>
  <c r="S62" i="265"/>
  <c r="I939" i="288"/>
  <c r="X45" i="265"/>
  <c r="S29" i="264"/>
  <c r="T20" i="261"/>
  <c r="V95" i="261"/>
  <c r="U52" i="262"/>
  <c r="Z60" i="265"/>
  <c r="D2749" i="229"/>
  <c r="T43" i="264"/>
  <c r="V38" i="264"/>
  <c r="X33" i="262"/>
  <c r="W42" i="264"/>
  <c r="J3493" i="229"/>
  <c r="C1238" i="229"/>
  <c r="D1157" i="229"/>
  <c r="Y57" i="265"/>
  <c r="S84" i="261"/>
  <c r="W44" i="262"/>
  <c r="D653" i="229"/>
  <c r="C255" i="288"/>
  <c r="Y75" i="261"/>
  <c r="S77" i="265"/>
  <c r="X28" i="261"/>
  <c r="T62" i="265"/>
  <c r="Z58" i="262"/>
  <c r="S80" i="264"/>
  <c r="T33" i="265"/>
  <c r="Z82" i="264"/>
  <c r="C2993" i="229"/>
  <c r="Z39" i="261"/>
  <c r="D3253" i="229"/>
  <c r="U21" i="262"/>
  <c r="U65" i="261"/>
  <c r="Z40" i="264"/>
  <c r="S70" i="265"/>
  <c r="Z95" i="261"/>
  <c r="C1338" i="288"/>
  <c r="C59" i="288"/>
  <c r="X17" i="258"/>
  <c r="S66" i="261"/>
  <c r="I3267" i="288"/>
  <c r="S75" i="265"/>
  <c r="U26" i="265"/>
  <c r="U60" i="262"/>
  <c r="T26" i="265"/>
  <c r="W20" i="264"/>
  <c r="S20" i="264"/>
  <c r="I2449" i="288"/>
  <c r="U36" i="261"/>
  <c r="J3545" i="229"/>
  <c r="W17" i="262"/>
  <c r="X57" i="262"/>
  <c r="W27" i="265"/>
  <c r="Y16" i="265"/>
  <c r="D2145" i="229"/>
  <c r="Y19" i="258"/>
  <c r="Y88" i="261"/>
  <c r="X23" i="264"/>
  <c r="U51" i="264"/>
  <c r="X67" i="261"/>
  <c r="C2193" i="229"/>
  <c r="V69" i="265"/>
  <c r="T53" i="264"/>
  <c r="J2929" i="229"/>
  <c r="J995" i="229"/>
  <c r="C1108" i="229"/>
  <c r="W24" i="264"/>
  <c r="Z68" i="264"/>
  <c r="J2668" i="229"/>
  <c r="I1095" i="288"/>
  <c r="V65" i="264"/>
  <c r="C2064" i="288"/>
  <c r="V25" i="261"/>
  <c r="Z100" i="261"/>
  <c r="D246" i="229"/>
  <c r="D28" i="229"/>
  <c r="T71" i="264"/>
  <c r="W64" i="262"/>
  <c r="X60" i="261"/>
  <c r="D2421" i="229"/>
  <c r="J2047" i="229"/>
  <c r="U62" i="265"/>
  <c r="J1012" i="229"/>
  <c r="Z22" i="258"/>
  <c r="S30" i="262"/>
  <c r="I2905" i="288"/>
  <c r="W39" i="265"/>
  <c r="V73" i="261"/>
  <c r="I1710" i="229"/>
  <c r="D897" i="229"/>
  <c r="T57" i="264"/>
  <c r="I2668" i="229"/>
  <c r="I2144" i="229"/>
  <c r="C896" i="288"/>
  <c r="U80" i="261"/>
  <c r="Z28" i="265"/>
  <c r="U29" i="261"/>
  <c r="I3087" i="288"/>
  <c r="I141" i="288"/>
  <c r="Z59" i="265"/>
  <c r="I76" i="288"/>
  <c r="I27" i="288"/>
  <c r="J3221" i="288"/>
  <c r="Y73" i="262"/>
  <c r="S70" i="264"/>
  <c r="V40" i="261"/>
  <c r="C637" i="229"/>
  <c r="C359" i="229"/>
  <c r="Z33" i="262"/>
  <c r="Y41" i="264"/>
  <c r="C1323" i="288"/>
  <c r="Z76" i="264"/>
  <c r="V62" i="264"/>
  <c r="T70" i="261"/>
  <c r="I783" i="229"/>
  <c r="V32" i="264"/>
  <c r="U38" i="264"/>
  <c r="S98" i="265"/>
  <c r="V16" i="261"/>
  <c r="V42" i="264"/>
  <c r="W45" i="261"/>
  <c r="J1093" i="229"/>
  <c r="J3662" i="229"/>
  <c r="W60" i="262"/>
  <c r="D2912" i="229"/>
  <c r="X42" i="261"/>
  <c r="W73" i="264"/>
  <c r="D3204" i="229"/>
  <c r="J2063" i="229"/>
  <c r="Z70" i="265"/>
  <c r="C962" i="229"/>
  <c r="S84" i="265"/>
  <c r="X56" i="264"/>
  <c r="X85" i="261"/>
  <c r="T41" i="261"/>
  <c r="U57" i="265"/>
  <c r="I3561" i="229"/>
  <c r="Y62" i="265"/>
  <c r="D2668" i="229"/>
  <c r="C1494" i="288"/>
  <c r="W94" i="261"/>
  <c r="V61" i="261"/>
  <c r="S60" i="261"/>
  <c r="U45" i="265"/>
  <c r="C1067" i="288"/>
  <c r="Y67" i="265"/>
  <c r="U19" i="265"/>
  <c r="Y42" i="261"/>
  <c r="J848" i="229"/>
  <c r="D3139" i="229"/>
  <c r="W25" i="264"/>
  <c r="X20" i="263"/>
  <c r="S57" i="261"/>
  <c r="C1566" i="288"/>
  <c r="V25" i="264"/>
  <c r="T17" i="262"/>
  <c r="S45" i="265"/>
  <c r="W73" i="262"/>
  <c r="Y51" i="265"/>
  <c r="X64" i="264"/>
  <c r="I1498" i="229"/>
  <c r="C832" i="229"/>
  <c r="V72" i="262"/>
  <c r="T63" i="262"/>
  <c r="Y46" i="264"/>
  <c r="I1011" i="229"/>
  <c r="S36" i="264"/>
  <c r="Z37" i="265"/>
  <c r="D278" i="229"/>
  <c r="Y100" i="261"/>
  <c r="T43" i="265"/>
  <c r="W65" i="261"/>
  <c r="Y29" i="261"/>
  <c r="S54" i="264"/>
  <c r="C483" i="288"/>
  <c r="S71" i="264"/>
  <c r="X83" i="265"/>
  <c r="I572" i="229"/>
  <c r="J2765" i="229"/>
  <c r="X25" i="264"/>
  <c r="T16" i="261"/>
  <c r="D2357" i="229"/>
  <c r="I2734" i="288"/>
  <c r="I1515" i="229"/>
  <c r="C1979" i="288"/>
  <c r="Z26" i="261"/>
  <c r="X14" i="262"/>
  <c r="S60" i="265"/>
  <c r="C2996" i="288"/>
  <c r="Y20" i="261"/>
  <c r="X40" i="262"/>
  <c r="X65" i="265"/>
  <c r="J2145" i="229"/>
  <c r="S64" i="261"/>
  <c r="Z47" i="264"/>
  <c r="I3102" i="288"/>
  <c r="S71" i="262"/>
  <c r="S17" i="261"/>
  <c r="C3829" i="229"/>
  <c r="T22" i="261"/>
  <c r="V58" i="264"/>
  <c r="Z33" i="261"/>
  <c r="V78" i="261"/>
  <c r="Y85" i="261"/>
  <c r="X52" i="261"/>
  <c r="C3281" i="288"/>
  <c r="J767" i="229"/>
  <c r="U19" i="266"/>
  <c r="C3371" i="229"/>
  <c r="Z34" i="264"/>
  <c r="J2568" i="229"/>
  <c r="W51" i="265"/>
  <c r="D2684" i="229"/>
  <c r="V34" i="264"/>
  <c r="D1320" i="229"/>
  <c r="Y44" i="264"/>
  <c r="Y46" i="261"/>
  <c r="I1252" i="288"/>
  <c r="J1321" i="229"/>
  <c r="D1353" i="229"/>
  <c r="V77" i="264"/>
  <c r="Z66" i="262"/>
  <c r="W55" i="264"/>
  <c r="Y68" i="264"/>
  <c r="I2014" i="229"/>
  <c r="X29" i="262"/>
  <c r="S32" i="261"/>
  <c r="W38" i="264"/>
  <c r="S42" i="262"/>
  <c r="I2663" i="288"/>
  <c r="D2600" i="229"/>
  <c r="Y90" i="261"/>
  <c r="S70" i="262"/>
  <c r="I1238" i="229"/>
  <c r="J1173" i="229"/>
  <c r="D2292" i="229"/>
  <c r="T75" i="261"/>
  <c r="V88" i="261"/>
  <c r="J2847" i="229"/>
  <c r="S73" i="262"/>
  <c r="W35" i="264"/>
  <c r="J816" i="229"/>
  <c r="Z42" i="262"/>
  <c r="C3762" i="229"/>
  <c r="V55" i="262"/>
  <c r="Y20" i="263"/>
  <c r="C27" i="288"/>
  <c r="D1418" i="229"/>
  <c r="U51" i="261"/>
  <c r="W77" i="262"/>
  <c r="Y53" i="261"/>
  <c r="S72" i="261"/>
  <c r="D1238" i="229"/>
  <c r="Z62" i="261"/>
  <c r="Y20" i="265"/>
  <c r="T21" i="264"/>
  <c r="D2701" i="229"/>
  <c r="T22" i="265"/>
  <c r="D2766" i="229"/>
  <c r="J2535" i="229"/>
  <c r="V57" i="265"/>
  <c r="I897" i="229"/>
  <c r="C3845" i="229"/>
  <c r="Z75" i="265"/>
  <c r="X90" i="265"/>
  <c r="T75" i="265"/>
  <c r="I2765" i="229"/>
  <c r="J556" i="229"/>
  <c r="D2307" i="229"/>
  <c r="X33" i="261"/>
  <c r="C294" i="229"/>
  <c r="Z39" i="264"/>
  <c r="Z22" i="265"/>
  <c r="K632" i="328"/>
  <c r="Y15" i="262"/>
  <c r="Y78" i="262" s="1"/>
  <c r="C1960" i="288"/>
  <c r="D1960" i="288" s="1"/>
  <c r="D1969" i="288" s="1"/>
  <c r="I2593" i="229"/>
  <c r="J2593" i="229" s="1"/>
  <c r="C3231" i="229"/>
  <c r="D3231" i="229" s="1"/>
  <c r="C2017" i="288"/>
  <c r="D2017" i="288" s="1"/>
  <c r="D2026" i="288" s="1"/>
  <c r="I3416" i="229"/>
  <c r="J3416" i="229" s="1"/>
  <c r="C3197" i="229"/>
  <c r="D3197" i="229" s="1"/>
  <c r="D3208" i="229" s="1"/>
  <c r="I2677" i="229"/>
  <c r="J2677" i="229" s="1"/>
  <c r="J2688" i="229" s="1"/>
  <c r="C876" i="229"/>
  <c r="D876" i="229" s="1"/>
  <c r="C2872" i="288"/>
  <c r="D2872" i="288" s="1"/>
  <c r="D2881" i="288" s="1"/>
  <c r="I3053" i="229"/>
  <c r="J3053" i="229" s="1"/>
  <c r="I1835" i="229"/>
  <c r="J1835" i="229" s="1"/>
  <c r="C1334" i="288"/>
  <c r="D1334" i="288" s="1"/>
  <c r="I1635" i="288"/>
  <c r="J1635" i="288" s="1"/>
  <c r="C1920" i="288"/>
  <c r="D1920" i="288" s="1"/>
  <c r="C1753" i="229"/>
  <c r="D1753" i="229" s="1"/>
  <c r="C1818" i="229"/>
  <c r="D1818" i="229" s="1"/>
  <c r="I569" i="229"/>
  <c r="J569" i="229" s="1"/>
  <c r="I356" i="229"/>
  <c r="J356" i="229" s="1"/>
  <c r="C2190" i="288"/>
  <c r="D2190" i="288" s="1"/>
  <c r="I1786" i="229"/>
  <c r="J1786" i="229" s="1"/>
  <c r="I3024" i="288"/>
  <c r="J3024" i="288" s="1"/>
  <c r="I1721" i="229"/>
  <c r="J1721" i="229" s="1"/>
  <c r="C2255" i="229"/>
  <c r="D2255" i="229" s="1"/>
  <c r="I504" i="229"/>
  <c r="J504" i="229" s="1"/>
  <c r="C1292" i="288"/>
  <c r="D1292" i="288" s="1"/>
  <c r="I3554" i="229"/>
  <c r="J3554" i="229" s="1"/>
  <c r="C681" i="229"/>
  <c r="D681" i="229" s="1"/>
  <c r="C732" i="229"/>
  <c r="D732" i="229" s="1"/>
  <c r="I1087" i="229"/>
  <c r="J1087" i="229" s="1"/>
  <c r="C3087" i="229"/>
  <c r="D3087" i="229" s="1"/>
  <c r="I95" i="229"/>
  <c r="J95" i="229" s="1"/>
  <c r="I3070" i="288"/>
  <c r="J3070" i="288" s="1"/>
  <c r="I3451" i="229"/>
  <c r="J3451" i="229" s="1"/>
  <c r="C1911" i="229"/>
  <c r="D1911" i="229" s="1"/>
  <c r="C744" i="328"/>
  <c r="E744" i="328" s="1"/>
  <c r="I2476" i="288"/>
  <c r="J2476" i="288" s="1"/>
  <c r="C1736" i="288"/>
  <c r="D1736" i="288" s="1"/>
  <c r="D1737" i="288" s="1"/>
  <c r="C1576" i="288"/>
  <c r="D1576" i="288" s="1"/>
  <c r="C892" i="229"/>
  <c r="D892" i="229" s="1"/>
  <c r="C1861" i="288"/>
  <c r="D1861" i="288" s="1"/>
  <c r="I3069" i="229"/>
  <c r="J3069" i="229" s="1"/>
  <c r="C2188" i="288"/>
  <c r="D2188" i="288" s="1"/>
  <c r="D2197" i="288" s="1"/>
  <c r="I3384" i="229"/>
  <c r="J3384" i="229" s="1"/>
  <c r="I741" i="328"/>
  <c r="K741" i="328" s="1"/>
  <c r="I69" i="288"/>
  <c r="J69" i="288" s="1"/>
  <c r="J80" i="288" s="1"/>
  <c r="I193" i="229"/>
  <c r="J193" i="229" s="1"/>
  <c r="I1896" i="229"/>
  <c r="J1896" i="229" s="1"/>
  <c r="C307" i="288"/>
  <c r="D307" i="288" s="1"/>
  <c r="D316" i="288" s="1"/>
  <c r="C3332" i="288"/>
  <c r="D3332" i="288" s="1"/>
  <c r="I267" i="288"/>
  <c r="J267" i="288" s="1"/>
  <c r="I1475" i="229"/>
  <c r="J1475" i="229" s="1"/>
  <c r="J1486" i="229" s="1"/>
  <c r="I1946" i="229"/>
  <c r="J1946" i="229" s="1"/>
  <c r="I3246" i="229"/>
  <c r="J3246" i="229" s="1"/>
  <c r="J3257" i="229" s="1"/>
  <c r="I1931" i="288"/>
  <c r="J1931" i="288" s="1"/>
  <c r="J1940" i="288" s="1"/>
  <c r="I2511" i="229"/>
  <c r="J2511" i="229" s="1"/>
  <c r="J2522" i="229" s="1"/>
  <c r="I1055" i="229"/>
  <c r="J1055" i="229" s="1"/>
  <c r="I762" i="229"/>
  <c r="J762" i="229" s="1"/>
  <c r="C2730" i="288"/>
  <c r="D2730" i="288" s="1"/>
  <c r="C3724" i="229"/>
  <c r="D3724" i="229" s="1"/>
  <c r="C995" i="288"/>
  <c r="D995" i="288" s="1"/>
  <c r="D996" i="288" s="1"/>
  <c r="I3085" i="229"/>
  <c r="J3085" i="229" s="1"/>
  <c r="I2009" i="229"/>
  <c r="J2009" i="229" s="1"/>
  <c r="C1888" i="288"/>
  <c r="D1888" i="288" s="1"/>
  <c r="D1897" i="288" s="1"/>
  <c r="C1995" i="229"/>
  <c r="D1995" i="229" s="1"/>
  <c r="C1329" i="229"/>
  <c r="D1329" i="229" s="1"/>
  <c r="D1340" i="229" s="1"/>
  <c r="I2416" i="288"/>
  <c r="J2416" i="288" s="1"/>
  <c r="J2425" i="288" s="1"/>
  <c r="I1378" i="229"/>
  <c r="J1378" i="229" s="1"/>
  <c r="J1389" i="229" s="1"/>
  <c r="C305" i="229"/>
  <c r="D305" i="229" s="1"/>
  <c r="I1361" i="229"/>
  <c r="J1361" i="229" s="1"/>
  <c r="J1372" i="229" s="1"/>
  <c r="I258" i="229"/>
  <c r="J258" i="229" s="1"/>
  <c r="C118" i="229"/>
  <c r="D118" i="229" s="1"/>
  <c r="I264" i="288"/>
  <c r="J264" i="288" s="1"/>
  <c r="J273" i="288" s="1"/>
  <c r="I3199" i="229"/>
  <c r="J3199" i="229" s="1"/>
  <c r="C1721" i="288"/>
  <c r="D1721" i="288" s="1"/>
  <c r="D1722" i="288" s="1"/>
  <c r="C2349" i="229"/>
  <c r="D2349" i="229" s="1"/>
  <c r="D2360" i="229" s="1"/>
  <c r="I2446" i="229"/>
  <c r="J2446" i="229" s="1"/>
  <c r="J2457" i="229" s="1"/>
  <c r="I3081" i="288"/>
  <c r="J3081" i="288" s="1"/>
  <c r="J3091" i="288" s="1"/>
  <c r="I1862" i="288"/>
  <c r="J1862" i="288" s="1"/>
  <c r="C2916" i="288"/>
  <c r="D2916" i="288" s="1"/>
  <c r="I1524" i="229"/>
  <c r="J1524" i="229" s="1"/>
  <c r="J1535" i="229" s="1"/>
  <c r="I4" i="229"/>
  <c r="J4" i="229" s="1"/>
  <c r="J15" i="229" s="1"/>
  <c r="C3085" i="229"/>
  <c r="D3085" i="229" s="1"/>
  <c r="R44" i="265"/>
  <c r="C1038" i="229"/>
  <c r="D1038" i="229" s="1"/>
  <c r="R53" i="265"/>
  <c r="R83" i="261"/>
  <c r="C189" i="229"/>
  <c r="D189" i="229" s="1"/>
  <c r="D200" i="229" s="1"/>
  <c r="C1556" i="229"/>
  <c r="D1556" i="229" s="1"/>
  <c r="D1567" i="229" s="1"/>
  <c r="I3345" i="229"/>
  <c r="J3345" i="229" s="1"/>
  <c r="J3357" i="229" s="1"/>
  <c r="I1910" i="229"/>
  <c r="J1910" i="229" s="1"/>
  <c r="J1921" i="229" s="1"/>
  <c r="C2544" i="229"/>
  <c r="D2544" i="229" s="1"/>
  <c r="D2555" i="229" s="1"/>
  <c r="C1801" i="229"/>
  <c r="D1801" i="229" s="1"/>
  <c r="C1755" i="229"/>
  <c r="D1755" i="229" s="1"/>
  <c r="C725" i="328"/>
  <c r="E725" i="328" s="1"/>
  <c r="C24" i="229"/>
  <c r="D24" i="229" s="1"/>
  <c r="R93" i="265"/>
  <c r="I1789" i="229"/>
  <c r="J1789" i="229" s="1"/>
  <c r="C3150" i="229"/>
  <c r="D3150" i="229" s="1"/>
  <c r="U14" i="264"/>
  <c r="U85" i="264" s="1"/>
  <c r="I1347" i="229"/>
  <c r="J1347" i="229" s="1"/>
  <c r="I1634" i="288"/>
  <c r="J1634" i="288" s="1"/>
  <c r="C2610" i="229"/>
  <c r="D2610" i="229" s="1"/>
  <c r="C2791" i="229"/>
  <c r="D2791" i="229" s="1"/>
  <c r="D2802" i="229" s="1"/>
  <c r="I1491" i="229"/>
  <c r="J1491" i="229" s="1"/>
  <c r="J1502" i="229" s="1"/>
  <c r="C2267" i="229"/>
  <c r="D2267" i="229" s="1"/>
  <c r="D2278" i="229" s="1"/>
  <c r="C430" i="229"/>
  <c r="D430" i="229" s="1"/>
  <c r="C2171" i="229"/>
  <c r="D2171" i="229" s="1"/>
  <c r="I3303" i="288"/>
  <c r="J3303" i="288" s="1"/>
  <c r="J3313" i="288" s="1"/>
  <c r="I1917" i="288"/>
  <c r="J1917" i="288" s="1"/>
  <c r="J1926" i="288" s="1"/>
  <c r="I2672" i="288"/>
  <c r="J2672" i="288" s="1"/>
  <c r="J2681" i="288" s="1"/>
  <c r="C2729" i="288"/>
  <c r="D2729" i="288" s="1"/>
  <c r="D2738" i="288" s="1"/>
  <c r="C2615" i="288"/>
  <c r="D2615" i="288" s="1"/>
  <c r="D2624" i="288" s="1"/>
  <c r="C2259" i="288"/>
  <c r="D2259" i="288" s="1"/>
  <c r="D2268" i="288" s="1"/>
  <c r="I1234" i="288"/>
  <c r="J1234" i="288" s="1"/>
  <c r="I746" i="229"/>
  <c r="J746" i="229" s="1"/>
  <c r="C1040" i="229"/>
  <c r="D1040" i="229" s="1"/>
  <c r="I3622" i="229"/>
  <c r="J3622" i="229" s="1"/>
  <c r="C179" i="288"/>
  <c r="D179" i="288" s="1"/>
  <c r="I3100" i="288"/>
  <c r="J3100" i="288" s="1"/>
  <c r="I3182" i="229"/>
  <c r="J3182" i="229" s="1"/>
  <c r="C9" i="229"/>
  <c r="D9" i="229" s="1"/>
  <c r="I1977" i="229"/>
  <c r="J1977" i="229" s="1"/>
  <c r="I3129" i="288"/>
  <c r="J3129" i="288" s="1"/>
  <c r="C3025" i="288"/>
  <c r="D3025" i="288" s="1"/>
  <c r="D3026" i="288" s="1"/>
  <c r="C381" i="288"/>
  <c r="D381" i="288" s="1"/>
  <c r="C665" i="229"/>
  <c r="D665" i="229" s="1"/>
  <c r="C2946" i="288"/>
  <c r="D2946" i="288" s="1"/>
  <c r="Y14" i="266"/>
  <c r="Y21" i="266" s="1"/>
  <c r="C2727" i="229"/>
  <c r="D2727" i="229" s="1"/>
  <c r="I2603" i="288"/>
  <c r="J2603" i="288" s="1"/>
  <c r="C1562" i="288"/>
  <c r="D1562" i="288" s="1"/>
  <c r="I3312" i="229"/>
  <c r="J3312" i="229" s="1"/>
  <c r="I1993" i="229"/>
  <c r="J1993" i="229" s="1"/>
  <c r="I1315" i="229"/>
  <c r="J1315" i="229" s="1"/>
  <c r="I1802" i="229"/>
  <c r="J1802" i="229" s="1"/>
  <c r="I634" i="229"/>
  <c r="J634" i="229" s="1"/>
  <c r="C3367" i="229"/>
  <c r="D3367" i="229" s="1"/>
  <c r="I3520" i="229"/>
  <c r="J3520" i="229" s="1"/>
  <c r="X15" i="261"/>
  <c r="X101" i="261" s="1"/>
  <c r="I2445" i="288"/>
  <c r="J2445" i="288" s="1"/>
  <c r="C465" i="288"/>
  <c r="D465" i="288" s="1"/>
  <c r="I3173" i="288"/>
  <c r="J3173" i="288" s="1"/>
  <c r="C1590" i="288"/>
  <c r="D1590" i="288" s="1"/>
  <c r="C1333" i="229"/>
  <c r="D1333" i="229" s="1"/>
  <c r="I2961" i="288"/>
  <c r="J2961" i="288" s="1"/>
  <c r="I537" i="229"/>
  <c r="J537" i="229" s="1"/>
  <c r="I2077" i="229"/>
  <c r="J2077" i="229" s="1"/>
  <c r="C1763" i="288"/>
  <c r="D1763" i="288" s="1"/>
  <c r="T15" i="262"/>
  <c r="T78" i="262" s="1"/>
  <c r="C1183" i="229"/>
  <c r="D1183" i="229" s="1"/>
  <c r="D1194" i="229" s="1"/>
  <c r="C630" i="229"/>
  <c r="D630" i="229" s="1"/>
  <c r="D641" i="229" s="1"/>
  <c r="C1361" i="229"/>
  <c r="D1361" i="229" s="1"/>
  <c r="D1372" i="229" s="1"/>
  <c r="C3206" i="288"/>
  <c r="D3206" i="288" s="1"/>
  <c r="D3207" i="288" s="1"/>
  <c r="I2727" i="229"/>
  <c r="J2727" i="229" s="1"/>
  <c r="I1853" i="229"/>
  <c r="J1853" i="229" s="1"/>
  <c r="I429" i="229"/>
  <c r="J429" i="229" s="1"/>
  <c r="C3518" i="229"/>
  <c r="D3518" i="229" s="1"/>
  <c r="D3530" i="229" s="1"/>
  <c r="I2614" i="229"/>
  <c r="J2614" i="229" s="1"/>
  <c r="Z15" i="261"/>
  <c r="Z101" i="261" s="1"/>
  <c r="I3148" i="229"/>
  <c r="J3148" i="229" s="1"/>
  <c r="J3159" i="229" s="1"/>
  <c r="I2154" i="229"/>
  <c r="J2154" i="229" s="1"/>
  <c r="J2165" i="229" s="1"/>
  <c r="V15" i="258"/>
  <c r="V111" i="258" s="1"/>
  <c r="I1410" i="229"/>
  <c r="J1410" i="229" s="1"/>
  <c r="J1421" i="229" s="1"/>
  <c r="C3101" i="229"/>
  <c r="D3101" i="229" s="1"/>
  <c r="I3655" i="229"/>
  <c r="J3655" i="229" s="1"/>
  <c r="C2175" i="288"/>
  <c r="D2175" i="288" s="1"/>
  <c r="V15" i="264"/>
  <c r="V109" i="264" s="1"/>
  <c r="C2040" i="229"/>
  <c r="D2040" i="229" s="1"/>
  <c r="D2051" i="229" s="1"/>
  <c r="I2874" i="229"/>
  <c r="J2874" i="229" s="1"/>
  <c r="C3070" i="288"/>
  <c r="D3070" i="288" s="1"/>
  <c r="I2059" i="288"/>
  <c r="J2059" i="288" s="1"/>
  <c r="J2068" i="288" s="1"/>
  <c r="I3670" i="229"/>
  <c r="J3670" i="229" s="1"/>
  <c r="I2986" i="229"/>
  <c r="J2986" i="229" s="1"/>
  <c r="J2997" i="229" s="1"/>
  <c r="C3605" i="229"/>
  <c r="D3605" i="229" s="1"/>
  <c r="I3620" i="229"/>
  <c r="J3620" i="229" s="1"/>
  <c r="J3632" i="229" s="1"/>
  <c r="C1737" i="229"/>
  <c r="D1737" i="229" s="1"/>
  <c r="C3071" i="229"/>
  <c r="D3071" i="229" s="1"/>
  <c r="I2904" i="229"/>
  <c r="J2904" i="229" s="1"/>
  <c r="J2915" i="229" s="1"/>
  <c r="I3653" i="229"/>
  <c r="J3653" i="229" s="1"/>
  <c r="J3665" i="229" s="1"/>
  <c r="C2742" i="229"/>
  <c r="D2742" i="229" s="1"/>
  <c r="D2753" i="229" s="1"/>
  <c r="C910" i="229"/>
  <c r="D910" i="229" s="1"/>
  <c r="C3809" i="229"/>
  <c r="D3809" i="229" s="1"/>
  <c r="I2462" i="229"/>
  <c r="J2462" i="229" s="1"/>
  <c r="J2473" i="229" s="1"/>
  <c r="C2954" i="229"/>
  <c r="D2954" i="229" s="1"/>
  <c r="I2056" i="229"/>
  <c r="J2056" i="229" s="1"/>
  <c r="J2067" i="229" s="1"/>
  <c r="C3397" i="229"/>
  <c r="D3397" i="229" s="1"/>
  <c r="D3409" i="229" s="1"/>
  <c r="I1736" i="288"/>
  <c r="J1736" i="288" s="1"/>
  <c r="J1737" i="288" s="1"/>
  <c r="C2963" i="288"/>
  <c r="D2963" i="288" s="1"/>
  <c r="I3217" i="229"/>
  <c r="J3217" i="229" s="1"/>
  <c r="I2807" i="229"/>
  <c r="J2807" i="229" s="1"/>
  <c r="J2818" i="229" s="1"/>
  <c r="I2414" i="229"/>
  <c r="J2414" i="229" s="1"/>
  <c r="J2425" i="229" s="1"/>
  <c r="I2601" i="288"/>
  <c r="J2601" i="288" s="1"/>
  <c r="J2610" i="288" s="1"/>
  <c r="I3719" i="229"/>
  <c r="J3719" i="229" s="1"/>
  <c r="J3731" i="229" s="1"/>
  <c r="C2202" i="288"/>
  <c r="D2202" i="288" s="1"/>
  <c r="D2211" i="288" s="1"/>
  <c r="I2290" i="288"/>
  <c r="J2290" i="288" s="1"/>
  <c r="C2611" i="229"/>
  <c r="D2611" i="229" s="1"/>
  <c r="I1150" i="229"/>
  <c r="J1150" i="229" s="1"/>
  <c r="J1161" i="229" s="1"/>
  <c r="I2259" i="288"/>
  <c r="J2259" i="288" s="1"/>
  <c r="J2268" i="288" s="1"/>
  <c r="C1789" i="288"/>
  <c r="D1789" i="288" s="1"/>
  <c r="D1798" i="288" s="1"/>
  <c r="C928" i="229"/>
  <c r="D928" i="229" s="1"/>
  <c r="C291" i="229"/>
  <c r="D291" i="229" s="1"/>
  <c r="C3401" i="229"/>
  <c r="D3401" i="229" s="1"/>
  <c r="I2945" i="288"/>
  <c r="J2945" i="288" s="1"/>
  <c r="I3468" i="229"/>
  <c r="J3468" i="229" s="1"/>
  <c r="I226" i="229"/>
  <c r="J226" i="229" s="1"/>
  <c r="C843" i="229"/>
  <c r="D843" i="229" s="1"/>
  <c r="C553" i="229"/>
  <c r="D553" i="229" s="1"/>
  <c r="C3131" i="288"/>
  <c r="D3131" i="288" s="1"/>
  <c r="C22" i="229"/>
  <c r="D22" i="229" s="1"/>
  <c r="I177" i="229"/>
  <c r="J177" i="229" s="1"/>
  <c r="C3588" i="229"/>
  <c r="D3588" i="229" s="1"/>
  <c r="I1380" i="229"/>
  <c r="J1380" i="229" s="1"/>
  <c r="C683" i="229"/>
  <c r="D683" i="229" s="1"/>
  <c r="I1492" i="288"/>
  <c r="J1492" i="288" s="1"/>
  <c r="C3384" i="229"/>
  <c r="D3384" i="229" s="1"/>
  <c r="C3418" i="229"/>
  <c r="D3418" i="229" s="1"/>
  <c r="I3571" i="229"/>
  <c r="J3571" i="229" s="1"/>
  <c r="I3401" i="229"/>
  <c r="J3401" i="229" s="1"/>
  <c r="I1292" i="288"/>
  <c r="J1292" i="288" s="1"/>
  <c r="C1091" i="288"/>
  <c r="D1091" i="288" s="1"/>
  <c r="I1705" i="229"/>
  <c r="J1705" i="229" s="1"/>
  <c r="C1992" i="288"/>
  <c r="D1992" i="288" s="1"/>
  <c r="D1993" i="288" s="1"/>
  <c r="I3673" i="229"/>
  <c r="J3673" i="229" s="1"/>
  <c r="I1563" i="288"/>
  <c r="J1563" i="288" s="1"/>
  <c r="I1528" i="229"/>
  <c r="J1528" i="229" s="1"/>
  <c r="I208" i="288"/>
  <c r="J208" i="288" s="1"/>
  <c r="I2391" i="288"/>
  <c r="J2391" i="288" s="1"/>
  <c r="J2392" i="288" s="1"/>
  <c r="V14" i="265"/>
  <c r="V99" i="265" s="1"/>
  <c r="I2026" i="229"/>
  <c r="J2026" i="229" s="1"/>
  <c r="I2709" i="229"/>
  <c r="J2709" i="229" s="1"/>
  <c r="J2720" i="229" s="1"/>
  <c r="C2560" i="288"/>
  <c r="D2560" i="288" s="1"/>
  <c r="I2387" i="288"/>
  <c r="J2387" i="288" s="1"/>
  <c r="J2396" i="288" s="1"/>
  <c r="C2726" i="229"/>
  <c r="D2726" i="229" s="1"/>
  <c r="D2737" i="229" s="1"/>
  <c r="I3639" i="229"/>
  <c r="J3639" i="229" s="1"/>
  <c r="C258" i="229"/>
  <c r="D258" i="229" s="1"/>
  <c r="I3183" i="229"/>
  <c r="J3183" i="229" s="1"/>
  <c r="C2890" i="229"/>
  <c r="D2890" i="229" s="1"/>
  <c r="C1248" i="229"/>
  <c r="D1248" i="229" s="1"/>
  <c r="D1259" i="229" s="1"/>
  <c r="I892" i="229"/>
  <c r="J892" i="229" s="1"/>
  <c r="C2558" i="288"/>
  <c r="D2558" i="288" s="1"/>
  <c r="D2567" i="288" s="1"/>
  <c r="C3303" i="288"/>
  <c r="D3303" i="288" s="1"/>
  <c r="D3313" i="288" s="1"/>
  <c r="C1101" i="229"/>
  <c r="D1101" i="229" s="1"/>
  <c r="D1112" i="229" s="1"/>
  <c r="C1846" i="288"/>
  <c r="D1846" i="288" s="1"/>
  <c r="D1855" i="288" s="1"/>
  <c r="I2031" i="288"/>
  <c r="J2031" i="288" s="1"/>
  <c r="J2040" i="288" s="1"/>
  <c r="C1134" i="229"/>
  <c r="D1134" i="229" s="1"/>
  <c r="D1145" i="229" s="1"/>
  <c r="I2040" i="229"/>
  <c r="J2040" i="229" s="1"/>
  <c r="J2051" i="229" s="1"/>
  <c r="C2511" i="229"/>
  <c r="D2511" i="229" s="1"/>
  <c r="D2522" i="229" s="1"/>
  <c r="C3128" i="288"/>
  <c r="D3128" i="288" s="1"/>
  <c r="I2612" i="229"/>
  <c r="J2612" i="229" s="1"/>
  <c r="I2886" i="288"/>
  <c r="J2886" i="288" s="1"/>
  <c r="J2895" i="288" s="1"/>
  <c r="I2690" i="288"/>
  <c r="J2690" i="288" s="1"/>
  <c r="J2691" i="288" s="1"/>
  <c r="I3822" i="229"/>
  <c r="J3822" i="229" s="1"/>
  <c r="C2145" i="288"/>
  <c r="D2145" i="288" s="1"/>
  <c r="D2154" i="288" s="1"/>
  <c r="C3760" i="229"/>
  <c r="D3760" i="229" s="1"/>
  <c r="I3274" i="288"/>
  <c r="J3274" i="288" s="1"/>
  <c r="J3284" i="288" s="1"/>
  <c r="C878" i="229"/>
  <c r="D878" i="229" s="1"/>
  <c r="I2823" i="229"/>
  <c r="J2823" i="229" s="1"/>
  <c r="J2834" i="229" s="1"/>
  <c r="I2856" i="229"/>
  <c r="J2856" i="229" s="1"/>
  <c r="J2867" i="229" s="1"/>
  <c r="C3317" i="288"/>
  <c r="D3317" i="288" s="1"/>
  <c r="D3327" i="288" s="1"/>
  <c r="C1996" i="229"/>
  <c r="D1996" i="229" s="1"/>
  <c r="I3117" i="288"/>
  <c r="J3117" i="288" s="1"/>
  <c r="J3118" i="288" s="1"/>
  <c r="I1491" i="288"/>
  <c r="J1491" i="288" s="1"/>
  <c r="C3248" i="229"/>
  <c r="D3248" i="229" s="1"/>
  <c r="C2713" i="229"/>
  <c r="D2713" i="229" s="1"/>
  <c r="I2515" i="288"/>
  <c r="J2515" i="288" s="1"/>
  <c r="J2524" i="288" s="1"/>
  <c r="C2672" i="288"/>
  <c r="D2672" i="288" s="1"/>
  <c r="D2681" i="288" s="1"/>
  <c r="C2121" i="229"/>
  <c r="D2121" i="229" s="1"/>
  <c r="D2132" i="229" s="1"/>
  <c r="I324" i="288"/>
  <c r="J324" i="288" s="1"/>
  <c r="I2615" i="288"/>
  <c r="J2615" i="288" s="1"/>
  <c r="J2624" i="288" s="1"/>
  <c r="I843" i="229"/>
  <c r="J843" i="229" s="1"/>
  <c r="I381" i="288"/>
  <c r="J381" i="288" s="1"/>
  <c r="I2613" i="229"/>
  <c r="J2613" i="229" s="1"/>
  <c r="X15" i="262"/>
  <c r="X78" i="262" s="1"/>
  <c r="I1874" i="288"/>
  <c r="J1874" i="288" s="1"/>
  <c r="J1883" i="288" s="1"/>
  <c r="C537" i="229"/>
  <c r="D537" i="229" s="1"/>
  <c r="S15" i="261"/>
  <c r="S101" i="261" s="1"/>
  <c r="C1919" i="288"/>
  <c r="D1919" i="288" s="1"/>
  <c r="C1345" i="229"/>
  <c r="D1345" i="229" s="1"/>
  <c r="D1356" i="229" s="1"/>
  <c r="C536" i="288"/>
  <c r="D536" i="288" s="1"/>
  <c r="C2955" i="229"/>
  <c r="D2955" i="229" s="1"/>
  <c r="C2173" i="229"/>
  <c r="D2173" i="229" s="1"/>
  <c r="I323" i="288"/>
  <c r="J323" i="288" s="1"/>
  <c r="I2597" i="229"/>
  <c r="J2597" i="229" s="1"/>
  <c r="I957" i="229"/>
  <c r="J957" i="229" s="1"/>
  <c r="I537" i="288"/>
  <c r="J537" i="288" s="1"/>
  <c r="I276" i="229"/>
  <c r="J276" i="229" s="1"/>
  <c r="I3009" i="288"/>
  <c r="J3009" i="288" s="1"/>
  <c r="C2612" i="229"/>
  <c r="D2612" i="229" s="1"/>
  <c r="I1282" i="229"/>
  <c r="J1282" i="229" s="1"/>
  <c r="I470" i="229"/>
  <c r="J470" i="229" s="1"/>
  <c r="C616" i="229"/>
  <c r="D616" i="229" s="1"/>
  <c r="I2447" i="229"/>
  <c r="J2447" i="229" s="1"/>
  <c r="I780" i="229"/>
  <c r="J780" i="229" s="1"/>
  <c r="C1994" i="229"/>
  <c r="D1994" i="229" s="1"/>
  <c r="I1578" i="288"/>
  <c r="J1578" i="288" s="1"/>
  <c r="C730" i="229"/>
  <c r="D730" i="229" s="1"/>
  <c r="I2401" i="229"/>
  <c r="J2401" i="229" s="1"/>
  <c r="C1463" i="288"/>
  <c r="D1463" i="288" s="1"/>
  <c r="X14" i="266"/>
  <c r="X21" i="266" s="1"/>
  <c r="I3330" i="229"/>
  <c r="J3330" i="229" s="1"/>
  <c r="C2289" i="288"/>
  <c r="D2289" i="288" s="1"/>
  <c r="C307" i="229"/>
  <c r="D307" i="229" s="1"/>
  <c r="C2420" i="288"/>
  <c r="D2420" i="288" s="1"/>
  <c r="D2421" i="288" s="1"/>
  <c r="I1427" i="229"/>
  <c r="J1427" i="229" s="1"/>
  <c r="I665" i="229"/>
  <c r="J665" i="229" s="1"/>
  <c r="I1804" i="229"/>
  <c r="J1804" i="229" s="1"/>
  <c r="C3841" i="229"/>
  <c r="D3841" i="229" s="1"/>
  <c r="I1405" i="288"/>
  <c r="J1405" i="288" s="1"/>
  <c r="I2431" i="229"/>
  <c r="J2431" i="229" s="1"/>
  <c r="C134" i="229"/>
  <c r="D134" i="229" s="1"/>
  <c r="I910" i="229"/>
  <c r="J910" i="229" s="1"/>
  <c r="I3433" i="229"/>
  <c r="J3433" i="229" s="1"/>
  <c r="C1363" i="288"/>
  <c r="D1363" i="288" s="1"/>
  <c r="I2479" i="229"/>
  <c r="J2479" i="229" s="1"/>
  <c r="J2490" i="229" s="1"/>
  <c r="I1607" i="229"/>
  <c r="J1607" i="229" s="1"/>
  <c r="C2060" i="229"/>
  <c r="D2060" i="229" s="1"/>
  <c r="C1004" i="229"/>
  <c r="D1004" i="229" s="1"/>
  <c r="D1015" i="229" s="1"/>
  <c r="C3311" i="229"/>
  <c r="D3311" i="229" s="1"/>
  <c r="D3323" i="229" s="1"/>
  <c r="I2359" i="288"/>
  <c r="J2359" i="288" s="1"/>
  <c r="J2368" i="288" s="1"/>
  <c r="C2800" i="288"/>
  <c r="D2800" i="288" s="1"/>
  <c r="D2809" i="288" s="1"/>
  <c r="C1166" i="229"/>
  <c r="D1166" i="229" s="1"/>
  <c r="D1177" i="229" s="1"/>
  <c r="C3449" i="229"/>
  <c r="D3449" i="229" s="1"/>
  <c r="D3461" i="229" s="1"/>
  <c r="C795" i="229"/>
  <c r="D795" i="229" s="1"/>
  <c r="I1504" i="288"/>
  <c r="J1504" i="288" s="1"/>
  <c r="J1513" i="288" s="1"/>
  <c r="C1148" i="288"/>
  <c r="D1148" i="288" s="1"/>
  <c r="C679" i="229"/>
  <c r="D679" i="229" s="1"/>
  <c r="D690" i="229" s="1"/>
  <c r="C2674" i="288"/>
  <c r="D2674" i="288" s="1"/>
  <c r="C691" i="288"/>
  <c r="D691" i="288" s="1"/>
  <c r="D700" i="288" s="1"/>
  <c r="I1852" i="229"/>
  <c r="J1852" i="229" s="1"/>
  <c r="C3274" i="288"/>
  <c r="D3274" i="288" s="1"/>
  <c r="D3284" i="288" s="1"/>
  <c r="I1995" i="229"/>
  <c r="J1995" i="229" s="1"/>
  <c r="I1345" i="229"/>
  <c r="J1345" i="229" s="1"/>
  <c r="J1356" i="229" s="1"/>
  <c r="I1120" i="229"/>
  <c r="J1120" i="229" s="1"/>
  <c r="I2969" i="229"/>
  <c r="J2969" i="229" s="1"/>
  <c r="J2980" i="229" s="1"/>
  <c r="C2131" i="288"/>
  <c r="D2131" i="288" s="1"/>
  <c r="D2140" i="288" s="1"/>
  <c r="I3686" i="229"/>
  <c r="J3686" i="229" s="1"/>
  <c r="J3698" i="229" s="1"/>
  <c r="I1926" i="229"/>
  <c r="J1926" i="229" s="1"/>
  <c r="J1937" i="229" s="1"/>
  <c r="C1391" i="288"/>
  <c r="D1391" i="288" s="1"/>
  <c r="C2102" i="288"/>
  <c r="D2102" i="288" s="1"/>
  <c r="D2111" i="288" s="1"/>
  <c r="I2397" i="229"/>
  <c r="J2397" i="229" s="1"/>
  <c r="J2408" i="229" s="1"/>
  <c r="I585" i="229"/>
  <c r="J585" i="229" s="1"/>
  <c r="I581" i="288"/>
  <c r="J581" i="288" s="1"/>
  <c r="J582" i="288" s="1"/>
  <c r="C1942" i="229"/>
  <c r="D1942" i="229" s="1"/>
  <c r="D1953" i="229" s="1"/>
  <c r="I2937" i="229"/>
  <c r="J2937" i="229" s="1"/>
  <c r="J2948" i="229" s="1"/>
  <c r="I1394" i="229"/>
  <c r="J1394" i="229" s="1"/>
  <c r="J1405" i="229" s="1"/>
  <c r="Z14" i="258"/>
  <c r="Z25" i="258" s="1"/>
  <c r="I472" i="229"/>
  <c r="J472" i="229" s="1"/>
  <c r="I2202" i="288"/>
  <c r="J2202" i="288" s="1"/>
  <c r="J2211" i="288" s="1"/>
  <c r="I2105" i="229"/>
  <c r="J2105" i="229" s="1"/>
  <c r="J2116" i="229" s="1"/>
  <c r="I845" i="229"/>
  <c r="J845" i="229" s="1"/>
  <c r="C1732" i="288"/>
  <c r="D1732" i="288" s="1"/>
  <c r="D1741" i="288" s="1"/>
  <c r="I3051" i="229"/>
  <c r="J3051" i="229" s="1"/>
  <c r="J3062" i="229" s="1"/>
  <c r="C3380" i="229"/>
  <c r="D3380" i="229" s="1"/>
  <c r="D3392" i="229" s="1"/>
  <c r="I3086" i="288"/>
  <c r="J3086" i="288" s="1"/>
  <c r="J3087" i="288" s="1"/>
  <c r="C1078" i="288"/>
  <c r="D1078" i="288" s="1"/>
  <c r="I1800" i="229"/>
  <c r="J1800" i="229" s="1"/>
  <c r="J1811" i="229" s="1"/>
  <c r="I1009" i="229"/>
  <c r="J1009" i="229" s="1"/>
  <c r="C3069" i="229"/>
  <c r="D3069" i="229" s="1"/>
  <c r="C1463" i="229"/>
  <c r="D1463" i="229" s="1"/>
  <c r="I1961" i="229"/>
  <c r="J1961" i="229" s="1"/>
  <c r="C3586" i="229"/>
  <c r="D3586" i="229" s="1"/>
  <c r="D3598" i="229" s="1"/>
  <c r="I779" i="288"/>
  <c r="J779" i="288" s="1"/>
  <c r="I2743" i="288"/>
  <c r="J2743" i="288" s="1"/>
  <c r="J2752" i="288" s="1"/>
  <c r="C1912" i="229"/>
  <c r="D1912" i="229" s="1"/>
  <c r="I663" i="288"/>
  <c r="J663" i="288" s="1"/>
  <c r="J672" i="288" s="1"/>
  <c r="W14" i="265"/>
  <c r="W99" i="265" s="1"/>
  <c r="C3166" i="229"/>
  <c r="D3166" i="229" s="1"/>
  <c r="I2369" i="229"/>
  <c r="J2369" i="229" s="1"/>
  <c r="I681" i="229"/>
  <c r="J681" i="229" s="1"/>
  <c r="C2106" i="288"/>
  <c r="D2106" i="288" s="1"/>
  <c r="D2107" i="288" s="1"/>
  <c r="C2046" i="288"/>
  <c r="D2046" i="288" s="1"/>
  <c r="C2175" i="229"/>
  <c r="D2175" i="229" s="1"/>
  <c r="I748" i="229"/>
  <c r="J748" i="229" s="1"/>
  <c r="I2289" i="288"/>
  <c r="J2289" i="288" s="1"/>
  <c r="I2888" i="229"/>
  <c r="J2888" i="229" s="1"/>
  <c r="J2899" i="229" s="1"/>
  <c r="C1296" i="229"/>
  <c r="D1296" i="229" s="1"/>
  <c r="D1307" i="229" s="1"/>
  <c r="I2349" i="229"/>
  <c r="J2349" i="229" s="1"/>
  <c r="J2360" i="229" s="1"/>
  <c r="I3605" i="229"/>
  <c r="J3605" i="229" s="1"/>
  <c r="C2186" i="229"/>
  <c r="D2186" i="229" s="1"/>
  <c r="D2197" i="229" s="1"/>
  <c r="I278" i="288"/>
  <c r="J278" i="288" s="1"/>
  <c r="J287" i="288" s="1"/>
  <c r="R16" i="266"/>
  <c r="I647" i="229"/>
  <c r="J647" i="229" s="1"/>
  <c r="C2661" i="229"/>
  <c r="D2661" i="229" s="1"/>
  <c r="D2672" i="229" s="1"/>
  <c r="R88" i="261"/>
  <c r="I8" i="229"/>
  <c r="J8" i="229" s="1"/>
  <c r="C860" i="229"/>
  <c r="D860" i="229" s="1"/>
  <c r="I291" i="229"/>
  <c r="J291" i="229" s="1"/>
  <c r="C1526" i="229"/>
  <c r="D1526" i="229" s="1"/>
  <c r="I3399" i="229"/>
  <c r="J3399" i="229" s="1"/>
  <c r="R20" i="266"/>
  <c r="C3152" i="229"/>
  <c r="D3152" i="229" s="1"/>
  <c r="C3366" i="229"/>
  <c r="D3366" i="229" s="1"/>
  <c r="C2431" i="288"/>
  <c r="D2431" i="288" s="1"/>
  <c r="I207" i="229"/>
  <c r="J207" i="229" s="1"/>
  <c r="I1903" i="288"/>
  <c r="J1903" i="288" s="1"/>
  <c r="J1912" i="288" s="1"/>
  <c r="I2558" i="288"/>
  <c r="J2558" i="288" s="1"/>
  <c r="J2567" i="288" s="1"/>
  <c r="C322" i="288"/>
  <c r="D322" i="288" s="1"/>
  <c r="C2251" i="229"/>
  <c r="D2251" i="229" s="1"/>
  <c r="D2262" i="229" s="1"/>
  <c r="C3466" i="229"/>
  <c r="D3466" i="229" s="1"/>
  <c r="D3478" i="229" s="1"/>
  <c r="C1992" i="229"/>
  <c r="D1992" i="229" s="1"/>
  <c r="I1850" i="229"/>
  <c r="J1850" i="229" s="1"/>
  <c r="R84" i="265"/>
  <c r="C62" i="229"/>
  <c r="D62" i="229" s="1"/>
  <c r="I1134" i="229"/>
  <c r="J1134" i="229" s="1"/>
  <c r="J1145" i="229" s="1"/>
  <c r="I2774" i="229"/>
  <c r="J2774" i="229" s="1"/>
  <c r="J2785" i="229" s="1"/>
  <c r="I3134" i="229"/>
  <c r="J3134" i="229" s="1"/>
  <c r="C3186" i="288"/>
  <c r="D3186" i="288" s="1"/>
  <c r="D3196" i="288" s="1"/>
  <c r="C3116" i="229"/>
  <c r="D3116" i="229" s="1"/>
  <c r="D3127" i="229" s="1"/>
  <c r="I3245" i="288"/>
  <c r="J3245" i="288" s="1"/>
  <c r="J3255" i="288" s="1"/>
  <c r="C1975" i="288"/>
  <c r="D1975" i="288" s="1"/>
  <c r="R80" i="265"/>
  <c r="C1200" i="229"/>
  <c r="D1200" i="229" s="1"/>
  <c r="I380" i="288"/>
  <c r="J380" i="288" s="1"/>
  <c r="C2172" i="229"/>
  <c r="D2172" i="229" s="1"/>
  <c r="C2614" i="229"/>
  <c r="D2614" i="229" s="1"/>
  <c r="I2596" i="229"/>
  <c r="J2596" i="229" s="1"/>
  <c r="C3215" i="229"/>
  <c r="D3215" i="229" s="1"/>
  <c r="I1703" i="288"/>
  <c r="J1703" i="288" s="1"/>
  <c r="J1712" i="288" s="1"/>
  <c r="C293" i="288"/>
  <c r="D293" i="288" s="1"/>
  <c r="C1977" i="229"/>
  <c r="D1977" i="229" s="1"/>
  <c r="T14" i="266"/>
  <c r="T21" i="266" s="1"/>
  <c r="I3470" i="229"/>
  <c r="J3470" i="229" s="1"/>
  <c r="C3431" i="229"/>
  <c r="D3431" i="229" s="1"/>
  <c r="D3443" i="229" s="1"/>
  <c r="C235" i="288"/>
  <c r="D235" i="288" s="1"/>
  <c r="D244" i="288" s="1"/>
  <c r="I1525" i="229"/>
  <c r="J1525" i="229" s="1"/>
  <c r="R92" i="261"/>
  <c r="I1736" i="229"/>
  <c r="J1736" i="229" s="1"/>
  <c r="I1166" i="229"/>
  <c r="J1166" i="229" s="1"/>
  <c r="J1177" i="229" s="1"/>
  <c r="C3006" i="288"/>
  <c r="D3006" i="288" s="1"/>
  <c r="I907" i="229"/>
  <c r="J907" i="229" s="1"/>
  <c r="I928" i="229"/>
  <c r="J928" i="229" s="1"/>
  <c r="I3804" i="229"/>
  <c r="J3804" i="229" s="1"/>
  <c r="J3816" i="229" s="1"/>
  <c r="C2202" i="229"/>
  <c r="D2202" i="229" s="1"/>
  <c r="D2213" i="229" s="1"/>
  <c r="C1459" i="229"/>
  <c r="D1459" i="229" s="1"/>
  <c r="D1470" i="229" s="1"/>
  <c r="I1192" i="288"/>
  <c r="J1192" i="288" s="1"/>
  <c r="I3736" i="229"/>
  <c r="J3736" i="229" s="1"/>
  <c r="J3748" i="229" s="1"/>
  <c r="R97" i="261"/>
  <c r="C1317" i="229"/>
  <c r="D1317" i="229" s="1"/>
  <c r="C1689" i="288"/>
  <c r="D1689" i="288" s="1"/>
  <c r="D1698" i="288" s="1"/>
  <c r="I134" i="229"/>
  <c r="J134" i="229" s="1"/>
  <c r="I2017" i="288"/>
  <c r="J2017" i="288" s="1"/>
  <c r="J2026" i="288" s="1"/>
  <c r="I178" i="288"/>
  <c r="J178" i="288" s="1"/>
  <c r="J187" i="288" s="1"/>
  <c r="I3118" i="229"/>
  <c r="J3118" i="229" s="1"/>
  <c r="R98" i="261"/>
  <c r="I2527" i="229"/>
  <c r="J2527" i="229" s="1"/>
  <c r="J2538" i="229" s="1"/>
  <c r="I1787" i="229"/>
  <c r="J1787" i="229" s="1"/>
  <c r="I3366" i="229"/>
  <c r="J3366" i="229" s="1"/>
  <c r="I2791" i="229"/>
  <c r="J2791" i="229" s="1"/>
  <c r="J2802" i="229" s="1"/>
  <c r="C3148" i="229"/>
  <c r="D3148" i="229" s="1"/>
  <c r="D3159" i="229" s="1"/>
  <c r="C1419" i="288"/>
  <c r="D1419" i="288" s="1"/>
  <c r="C2613" i="229"/>
  <c r="D2613" i="229" s="1"/>
  <c r="C2161" i="288"/>
  <c r="D2161" i="288" s="1"/>
  <c r="I1888" i="288"/>
  <c r="J1888" i="288" s="1"/>
  <c r="J1897" i="288" s="1"/>
  <c r="I550" i="288"/>
  <c r="J550" i="288" s="1"/>
  <c r="I2251" i="229"/>
  <c r="J2251" i="229" s="1"/>
  <c r="J2262" i="229" s="1"/>
  <c r="I3449" i="229"/>
  <c r="J3449" i="229" s="1"/>
  <c r="J3461" i="229" s="1"/>
  <c r="I3132" i="229"/>
  <c r="J3132" i="229" s="1"/>
  <c r="J3143" i="229" s="1"/>
  <c r="C3415" i="229"/>
  <c r="D3415" i="229" s="1"/>
  <c r="I292" i="288"/>
  <c r="J292" i="288" s="1"/>
  <c r="J301" i="288" s="1"/>
  <c r="R23" i="265"/>
  <c r="I1978" i="288"/>
  <c r="J1978" i="288" s="1"/>
  <c r="J1979" i="288" s="1"/>
  <c r="R23" i="262"/>
  <c r="I1675" i="288"/>
  <c r="J1675" i="288" s="1"/>
  <c r="J1684" i="288" s="1"/>
  <c r="I923" i="229"/>
  <c r="J923" i="229" s="1"/>
  <c r="J934" i="229" s="1"/>
  <c r="C715" i="229"/>
  <c r="D715" i="229" s="1"/>
  <c r="I2900" i="288"/>
  <c r="J2900" i="288" s="1"/>
  <c r="J2909" i="288" s="1"/>
  <c r="I6" i="229"/>
  <c r="J6" i="229" s="1"/>
  <c r="C955" i="229"/>
  <c r="D955" i="229" s="1"/>
  <c r="D966" i="229" s="1"/>
  <c r="I3500" i="229"/>
  <c r="J3500" i="229" s="1"/>
  <c r="J3512" i="229" s="1"/>
  <c r="I1817" i="288"/>
  <c r="J1817" i="288" s="1"/>
  <c r="J1826" i="288" s="1"/>
  <c r="R77" i="261"/>
  <c r="C3039" i="288"/>
  <c r="D3039" i="288" s="1"/>
  <c r="C2594" i="229"/>
  <c r="D2594" i="229" s="1"/>
  <c r="C618" i="229"/>
  <c r="D618" i="229" s="1"/>
  <c r="I2267" i="229"/>
  <c r="J2267" i="229" s="1"/>
  <c r="J2278" i="229" s="1"/>
  <c r="I3603" i="229"/>
  <c r="J3603" i="229" s="1"/>
  <c r="J3615" i="229" s="1"/>
  <c r="I3588" i="229"/>
  <c r="J3588" i="229" s="1"/>
  <c r="R63" i="261"/>
  <c r="I506" i="288"/>
  <c r="J506" i="288" s="1"/>
  <c r="J515" i="288" s="1"/>
  <c r="I776" i="229"/>
  <c r="J776" i="229" s="1"/>
  <c r="J787" i="229" s="1"/>
  <c r="R68" i="261"/>
  <c r="C2666" i="229"/>
  <c r="D2666" i="229" s="1"/>
  <c r="C1803" i="288"/>
  <c r="D1803" i="288" s="1"/>
  <c r="D1812" i="288" s="1"/>
  <c r="C2758" i="229"/>
  <c r="D2758" i="229" s="1"/>
  <c r="D2769" i="229" s="1"/>
  <c r="R46" i="261"/>
  <c r="I2206" i="229"/>
  <c r="J2206" i="229" s="1"/>
  <c r="I1248" i="229"/>
  <c r="J1248" i="229" s="1"/>
  <c r="J1259" i="229" s="1"/>
  <c r="I2610" i="229"/>
  <c r="J2610" i="229" s="1"/>
  <c r="C2473" i="288"/>
  <c r="D2473" i="288" s="1"/>
  <c r="D2482" i="288" s="1"/>
  <c r="I3278" i="229"/>
  <c r="J3278" i="229" s="1"/>
  <c r="J3289" i="229" s="1"/>
  <c r="I1249" i="229"/>
  <c r="J1249" i="229" s="1"/>
  <c r="C2530" i="288"/>
  <c r="D2530" i="288" s="1"/>
  <c r="D2539" i="288" s="1"/>
  <c r="I583" i="229"/>
  <c r="J583" i="229" s="1"/>
  <c r="C3345" i="229"/>
  <c r="D3345" i="229" s="1"/>
  <c r="D3357" i="229" s="1"/>
  <c r="C2216" i="288"/>
  <c r="D2216" i="288" s="1"/>
  <c r="D2225" i="288" s="1"/>
  <c r="I520" i="229"/>
  <c r="J520" i="229" s="1"/>
  <c r="R40" i="261"/>
  <c r="I1329" i="229"/>
  <c r="J1329" i="229" s="1"/>
  <c r="J1340" i="229" s="1"/>
  <c r="R59" i="265"/>
  <c r="C1804" i="288"/>
  <c r="D1804" i="288" s="1"/>
  <c r="C3203" i="288"/>
  <c r="D3203" i="288" s="1"/>
  <c r="C3280" i="288"/>
  <c r="D3280" i="288" s="1"/>
  <c r="D3281" i="288" s="1"/>
  <c r="R20" i="262"/>
  <c r="R73" i="265"/>
  <c r="I1251" i="288"/>
  <c r="J1251" i="288" s="1"/>
  <c r="J1252" i="288" s="1"/>
  <c r="R30" i="262"/>
  <c r="C2923" i="229"/>
  <c r="D2923" i="229" s="1"/>
  <c r="R20" i="263"/>
  <c r="C1248" i="288"/>
  <c r="D1248" i="288" s="1"/>
  <c r="C2939" i="229"/>
  <c r="D2939" i="229" s="1"/>
  <c r="C1860" i="288"/>
  <c r="D1860" i="288" s="1"/>
  <c r="D1869" i="288" s="1"/>
  <c r="C964" i="288"/>
  <c r="D964" i="288" s="1"/>
  <c r="C2760" i="288"/>
  <c r="D2760" i="288" s="1"/>
  <c r="I842" i="229"/>
  <c r="J842" i="229" s="1"/>
  <c r="C2057" i="229"/>
  <c r="D2057" i="229" s="1"/>
  <c r="I1541" i="229"/>
  <c r="J1541" i="229" s="1"/>
  <c r="I2163" i="288"/>
  <c r="J2163" i="288" s="1"/>
  <c r="J2164" i="288" s="1"/>
  <c r="C3133" i="229"/>
  <c r="D3133" i="229" s="1"/>
  <c r="I3133" i="229"/>
  <c r="J3133" i="229" s="1"/>
  <c r="I1477" i="229"/>
  <c r="J1477" i="229" s="1"/>
  <c r="C3205" i="288"/>
  <c r="D3205" i="288" s="1"/>
  <c r="I62" i="229"/>
  <c r="J62" i="229" s="1"/>
  <c r="C3199" i="229"/>
  <c r="D3199" i="229" s="1"/>
  <c r="I602" i="229"/>
  <c r="J602" i="229" s="1"/>
  <c r="I699" i="229"/>
  <c r="J699" i="229" s="1"/>
  <c r="I1337" i="288"/>
  <c r="J1337" i="288" s="1"/>
  <c r="J1338" i="288" s="1"/>
  <c r="I3144" i="288"/>
  <c r="J3144" i="288" s="1"/>
  <c r="C3505" i="229"/>
  <c r="D3505" i="229" s="1"/>
  <c r="C2593" i="229"/>
  <c r="D2593" i="229" s="1"/>
  <c r="I2419" i="288"/>
  <c r="J2419" i="288" s="1"/>
  <c r="C994" i="229"/>
  <c r="D994" i="229" s="1"/>
  <c r="I2503" i="288"/>
  <c r="J2503" i="288" s="1"/>
  <c r="I168" i="288"/>
  <c r="J168" i="288" s="1"/>
  <c r="J169" i="288" s="1"/>
  <c r="C2448" i="229"/>
  <c r="D2448" i="229" s="1"/>
  <c r="I1254" i="229"/>
  <c r="J1254" i="229" s="1"/>
  <c r="V15" i="263"/>
  <c r="V111" i="263" s="1"/>
  <c r="C1448" i="288"/>
  <c r="D1448" i="288" s="1"/>
  <c r="I1449" i="288"/>
  <c r="J1449" i="288" s="1"/>
  <c r="C1392" i="288"/>
  <c r="D1392" i="288" s="1"/>
  <c r="C1120" i="288"/>
  <c r="D1120" i="288" s="1"/>
  <c r="C2976" i="288"/>
  <c r="D2976" i="288" s="1"/>
  <c r="I3019" i="229"/>
  <c r="J3019" i="229" s="1"/>
  <c r="C3187" i="288"/>
  <c r="D3187" i="288" s="1"/>
  <c r="C3722" i="229"/>
  <c r="D3722" i="229" s="1"/>
  <c r="C2204" i="288"/>
  <c r="D2204" i="288" s="1"/>
  <c r="C2573" i="288"/>
  <c r="D2573" i="288" s="1"/>
  <c r="C2532" i="229"/>
  <c r="D2532" i="229" s="1"/>
  <c r="I2857" i="229"/>
  <c r="J2857" i="229" s="1"/>
  <c r="C2220" i="288"/>
  <c r="D2220" i="288" s="1"/>
  <c r="D2221" i="288" s="1"/>
  <c r="I3644" i="229"/>
  <c r="J3644" i="229" s="1"/>
  <c r="I323" i="229"/>
  <c r="J323" i="229" s="1"/>
  <c r="C3056" i="288"/>
  <c r="D3056" i="288" s="1"/>
  <c r="D3057" i="288" s="1"/>
  <c r="I1547" i="288"/>
  <c r="J1547" i="288" s="1"/>
  <c r="I2716" i="288"/>
  <c r="J2716" i="288" s="1"/>
  <c r="C1364" i="229"/>
  <c r="D1364" i="229" s="1"/>
  <c r="C2177" i="288"/>
  <c r="D2177" i="288" s="1"/>
  <c r="D2178" i="288" s="1"/>
  <c r="I836" i="288"/>
  <c r="J836" i="288" s="1"/>
  <c r="C1063" i="288"/>
  <c r="D1063" i="288" s="1"/>
  <c r="I2138" i="229"/>
  <c r="J2138" i="229" s="1"/>
  <c r="C63" i="229"/>
  <c r="D63" i="229" s="1"/>
  <c r="I21" i="229"/>
  <c r="J21" i="229" s="1"/>
  <c r="C96" i="229"/>
  <c r="D96" i="229" s="1"/>
  <c r="I137" i="288"/>
  <c r="J137" i="288" s="1"/>
  <c r="I3382" i="229"/>
  <c r="J3382" i="229" s="1"/>
  <c r="R58" i="265"/>
  <c r="I2534" i="288"/>
  <c r="J2534" i="288" s="1"/>
  <c r="J2535" i="288" s="1"/>
  <c r="C292" i="288"/>
  <c r="D292" i="288" s="1"/>
  <c r="D301" i="288" s="1"/>
  <c r="C1947" i="288"/>
  <c r="D1947" i="288" s="1"/>
  <c r="C264" i="288"/>
  <c r="D264" i="288" s="1"/>
  <c r="D273" i="288" s="1"/>
  <c r="C2018" i="288"/>
  <c r="D2018" i="288" s="1"/>
  <c r="I3279" i="288"/>
  <c r="J3279" i="288" s="1"/>
  <c r="I239" i="288"/>
  <c r="J239" i="288" s="1"/>
  <c r="C1705" i="288"/>
  <c r="D1705" i="288" s="1"/>
  <c r="C2155" i="229"/>
  <c r="D2155" i="229" s="1"/>
  <c r="I894" i="229"/>
  <c r="J894" i="229" s="1"/>
  <c r="C352" i="229"/>
  <c r="D352" i="229" s="1"/>
  <c r="D363" i="229" s="1"/>
  <c r="I1762" i="288"/>
  <c r="J1762" i="288" s="1"/>
  <c r="I1053" i="229"/>
  <c r="J1053" i="229" s="1"/>
  <c r="J1064" i="229" s="1"/>
  <c r="C1318" i="288"/>
  <c r="D1318" i="288" s="1"/>
  <c r="D1327" i="288" s="1"/>
  <c r="C1123" i="229"/>
  <c r="D1123" i="229" s="1"/>
  <c r="C506" i="288"/>
  <c r="D506" i="288" s="1"/>
  <c r="D515" i="288" s="1"/>
  <c r="C3323" i="288"/>
  <c r="D3323" i="288" s="1"/>
  <c r="D3324" i="288" s="1"/>
  <c r="I2544" i="229"/>
  <c r="J2544" i="229" s="1"/>
  <c r="J2555" i="229" s="1"/>
  <c r="I3808" i="229"/>
  <c r="J3808" i="229" s="1"/>
  <c r="I1690" i="288"/>
  <c r="J1690" i="288" s="1"/>
  <c r="I221" i="288"/>
  <c r="J221" i="288" s="1"/>
  <c r="J230" i="288" s="1"/>
  <c r="I1895" i="229"/>
  <c r="J1895" i="229" s="1"/>
  <c r="I1434" i="288"/>
  <c r="J1434" i="288" s="1"/>
  <c r="C1070" i="229"/>
  <c r="D1070" i="229" s="1"/>
  <c r="C2759" i="288"/>
  <c r="D2759" i="288" s="1"/>
  <c r="C632" i="229"/>
  <c r="D632" i="229" s="1"/>
  <c r="I3540" i="229"/>
  <c r="J3540" i="229" s="1"/>
  <c r="C2286" i="229"/>
  <c r="D2286" i="229" s="1"/>
  <c r="C1461" i="288"/>
  <c r="D1461" i="288" s="1"/>
  <c r="D1470" i="288" s="1"/>
  <c r="C1249" i="229"/>
  <c r="D1249" i="229" s="1"/>
  <c r="I1863" i="288"/>
  <c r="J1863" i="288" s="1"/>
  <c r="I3332" i="288"/>
  <c r="J3332" i="288" s="1"/>
  <c r="C2156" i="229"/>
  <c r="D2156" i="229" s="1"/>
  <c r="C1281" i="229"/>
  <c r="D1281" i="229" s="1"/>
  <c r="C2858" i="288"/>
  <c r="D2858" i="288" s="1"/>
  <c r="C1476" i="288"/>
  <c r="D1476" i="288" s="1"/>
  <c r="C2986" i="229"/>
  <c r="D2986" i="229" s="1"/>
  <c r="D2997" i="229" s="1"/>
  <c r="I2417" i="229"/>
  <c r="J2417" i="229" s="1"/>
  <c r="I3790" i="229"/>
  <c r="J3790" i="229" s="1"/>
  <c r="I878" i="229"/>
  <c r="J878" i="229" s="1"/>
  <c r="C1301" i="229"/>
  <c r="D1301" i="229" s="1"/>
  <c r="I2906" i="229"/>
  <c r="J2906" i="229" s="1"/>
  <c r="C1319" i="288"/>
  <c r="D1319" i="288" s="1"/>
  <c r="C2678" i="229"/>
  <c r="D2678" i="229" s="1"/>
  <c r="I863" i="288"/>
  <c r="J863" i="288" s="1"/>
  <c r="C445" i="229"/>
  <c r="D445" i="229" s="1"/>
  <c r="I3638" i="229"/>
  <c r="J3638" i="229" s="1"/>
  <c r="I3235" i="288"/>
  <c r="J3235" i="288" s="1"/>
  <c r="I765" i="288"/>
  <c r="J765" i="288" s="1"/>
  <c r="I2562" i="229"/>
  <c r="J2562" i="229" s="1"/>
  <c r="C3149" i="229"/>
  <c r="D3149" i="229" s="1"/>
  <c r="I3280" i="288"/>
  <c r="J3280" i="288" s="1"/>
  <c r="J3281" i="288" s="1"/>
  <c r="I2703" i="288"/>
  <c r="J2703" i="288" s="1"/>
  <c r="I2147" i="288"/>
  <c r="J2147" i="288" s="1"/>
  <c r="I1022" i="229"/>
  <c r="J1022" i="229" s="1"/>
  <c r="C3034" i="229"/>
  <c r="D3034" i="229" s="1"/>
  <c r="D3045" i="229" s="1"/>
  <c r="C2847" i="288"/>
  <c r="D2847" i="288" s="1"/>
  <c r="D2848" i="288" s="1"/>
  <c r="C3399" i="229"/>
  <c r="D3399" i="229" s="1"/>
  <c r="I3709" i="229"/>
  <c r="J3709" i="229" s="1"/>
  <c r="I600" i="229"/>
  <c r="J600" i="229" s="1"/>
  <c r="I3117" i="229"/>
  <c r="J3117" i="229" s="1"/>
  <c r="I72" i="288"/>
  <c r="J72" i="288" s="1"/>
  <c r="C2301" i="229"/>
  <c r="D2301" i="229" s="1"/>
  <c r="I1223" i="288"/>
  <c r="J1223" i="288" s="1"/>
  <c r="J1224" i="288" s="1"/>
  <c r="C2027" i="229"/>
  <c r="D2027" i="229" s="1"/>
  <c r="I2840" i="229"/>
  <c r="J2840" i="229" s="1"/>
  <c r="I729" i="229"/>
  <c r="J729" i="229" s="1"/>
  <c r="I1184" i="229"/>
  <c r="J1184" i="229" s="1"/>
  <c r="I1960" i="229"/>
  <c r="J1960" i="229" s="1"/>
  <c r="I1834" i="229"/>
  <c r="J1834" i="229" s="1"/>
  <c r="I3604" i="229"/>
  <c r="J3604" i="229" s="1"/>
  <c r="C2091" i="229"/>
  <c r="D2091" i="229" s="1"/>
  <c r="C2808" i="229"/>
  <c r="D2808" i="229" s="1"/>
  <c r="I1107" i="288"/>
  <c r="J1107" i="288" s="1"/>
  <c r="C862" i="229"/>
  <c r="D862" i="229" s="1"/>
  <c r="C1265" i="229"/>
  <c r="D1265" i="229" s="1"/>
  <c r="C3024" i="288"/>
  <c r="D3024" i="288" s="1"/>
  <c r="C2139" i="229"/>
  <c r="D2139" i="229" s="1"/>
  <c r="U14" i="266"/>
  <c r="U21" i="266" s="1"/>
  <c r="C2025" i="229"/>
  <c r="D2025" i="229" s="1"/>
  <c r="R18" i="263"/>
  <c r="I3570" i="229"/>
  <c r="J3570" i="229" s="1"/>
  <c r="I150" i="288"/>
  <c r="J150" i="288" s="1"/>
  <c r="J159" i="288" s="1"/>
  <c r="I3704" i="229"/>
  <c r="J3704" i="229" s="1"/>
  <c r="I1284" i="229"/>
  <c r="J1284" i="229" s="1"/>
  <c r="I1704" i="288"/>
  <c r="J1704" i="288" s="1"/>
  <c r="I679" i="229"/>
  <c r="J679" i="229" s="1"/>
  <c r="J690" i="229" s="1"/>
  <c r="I2560" i="288"/>
  <c r="J2560" i="288" s="1"/>
  <c r="I1463" i="288"/>
  <c r="J1463" i="288" s="1"/>
  <c r="C3569" i="229"/>
  <c r="D3569" i="229" s="1"/>
  <c r="D3581" i="229" s="1"/>
  <c r="I1945" i="288"/>
  <c r="J1945" i="288" s="1"/>
  <c r="J1954" i="288" s="1"/>
  <c r="C2009" i="229"/>
  <c r="D2009" i="229" s="1"/>
  <c r="C1874" i="288"/>
  <c r="D1874" i="288" s="1"/>
  <c r="D1883" i="288" s="1"/>
  <c r="C1975" i="229"/>
  <c r="D1975" i="229" s="1"/>
  <c r="D1986" i="229" s="1"/>
  <c r="I1988" i="288"/>
  <c r="J1988" i="288" s="1"/>
  <c r="J1997" i="288" s="1"/>
  <c r="C2937" i="229"/>
  <c r="D2937" i="229" s="1"/>
  <c r="D2948" i="229" s="1"/>
  <c r="I697" i="229"/>
  <c r="J697" i="229" s="1"/>
  <c r="I2693" i="229"/>
  <c r="J2693" i="229" s="1"/>
  <c r="J2704" i="229" s="1"/>
  <c r="C2074" i="288"/>
  <c r="D2074" i="288" s="1"/>
  <c r="D2083" i="288" s="1"/>
  <c r="I3418" i="229"/>
  <c r="J3418" i="229" s="1"/>
  <c r="R69" i="261"/>
  <c r="R56" i="265"/>
  <c r="C3554" i="229"/>
  <c r="D3554" i="229" s="1"/>
  <c r="I1860" i="288"/>
  <c r="J1860" i="288" s="1"/>
  <c r="J1869" i="288" s="1"/>
  <c r="I3552" i="229"/>
  <c r="J3552" i="229" s="1"/>
  <c r="J3564" i="229" s="1"/>
  <c r="I1215" i="229"/>
  <c r="J1215" i="229" s="1"/>
  <c r="J1226" i="229" s="1"/>
  <c r="C2219" i="229"/>
  <c r="D2219" i="229" s="1"/>
  <c r="D2230" i="229" s="1"/>
  <c r="I1789" i="288"/>
  <c r="J1789" i="288" s="1"/>
  <c r="J1798" i="288" s="1"/>
  <c r="C3020" i="288"/>
  <c r="D3020" i="288" s="1"/>
  <c r="D3030" i="288" s="1"/>
  <c r="R50" i="265"/>
  <c r="I118" i="229"/>
  <c r="J118" i="229" s="1"/>
  <c r="I778" i="288"/>
  <c r="J778" i="288" s="1"/>
  <c r="C429" i="229"/>
  <c r="D429" i="229" s="1"/>
  <c r="C2381" i="229"/>
  <c r="D2381" i="229" s="1"/>
  <c r="D2392" i="229" s="1"/>
  <c r="C2886" i="288"/>
  <c r="D2886" i="288" s="1"/>
  <c r="D2895" i="288" s="1"/>
  <c r="I955" i="229"/>
  <c r="J955" i="229" s="1"/>
  <c r="J966" i="229" s="1"/>
  <c r="C978" i="288"/>
  <c r="D978" i="288" s="1"/>
  <c r="C2961" i="288"/>
  <c r="D2961" i="288" s="1"/>
  <c r="I2188" i="288"/>
  <c r="J2188" i="288" s="1"/>
  <c r="J2197" i="288" s="1"/>
  <c r="R46" i="265"/>
  <c r="C3366" i="288"/>
  <c r="D3366" i="288" s="1"/>
  <c r="I2044" i="229"/>
  <c r="J2044" i="229" s="1"/>
  <c r="C1945" i="288"/>
  <c r="D1945" i="288" s="1"/>
  <c r="D1954" i="288" s="1"/>
  <c r="C2874" i="229"/>
  <c r="D2874" i="229" s="1"/>
  <c r="C1818" i="288"/>
  <c r="D1818" i="288" s="1"/>
  <c r="C1395" i="229"/>
  <c r="D1395" i="229" s="1"/>
  <c r="C551" i="229"/>
  <c r="D551" i="229" s="1"/>
  <c r="C3451" i="229"/>
  <c r="D3451" i="229" s="1"/>
  <c r="C3621" i="229"/>
  <c r="D3621" i="229" s="1"/>
  <c r="I339" i="229"/>
  <c r="J339" i="229" s="1"/>
  <c r="I713" i="229"/>
  <c r="J713" i="229" s="1"/>
  <c r="C3736" i="229"/>
  <c r="D3736" i="229" s="1"/>
  <c r="D3748" i="229" s="1"/>
  <c r="C3659" i="229"/>
  <c r="D3659" i="229" s="1"/>
  <c r="I1101" i="229"/>
  <c r="J1101" i="229" s="1"/>
  <c r="J1112" i="229" s="1"/>
  <c r="I1928" i="229"/>
  <c r="J1928" i="229" s="1"/>
  <c r="I3002" i="229"/>
  <c r="J3002" i="229" s="1"/>
  <c r="J3013" i="229" s="1"/>
  <c r="I449" i="288"/>
  <c r="J449" i="288" s="1"/>
  <c r="J458" i="288" s="1"/>
  <c r="I2839" i="229"/>
  <c r="J2839" i="229" s="1"/>
  <c r="J2850" i="229" s="1"/>
  <c r="I3066" i="288"/>
  <c r="J3066" i="288" s="1"/>
  <c r="J3076" i="288" s="1"/>
  <c r="C2373" i="288"/>
  <c r="D2373" i="288" s="1"/>
  <c r="D2382" i="288" s="1"/>
  <c r="C2693" i="229"/>
  <c r="D2693" i="229" s="1"/>
  <c r="D2704" i="229" s="1"/>
  <c r="R19" i="262"/>
  <c r="X14" i="264"/>
  <c r="X85" i="264" s="1"/>
  <c r="R52" i="261"/>
  <c r="C1477" i="288"/>
  <c r="D1477" i="288" s="1"/>
  <c r="I683" i="229"/>
  <c r="J683" i="229" s="1"/>
  <c r="I2776" i="229"/>
  <c r="J2776" i="229" s="1"/>
  <c r="R64" i="261"/>
  <c r="I1785" i="229"/>
  <c r="J1785" i="229" s="1"/>
  <c r="C1215" i="229"/>
  <c r="D1215" i="229" s="1"/>
  <c r="D1226" i="229" s="1"/>
  <c r="I2159" i="288"/>
  <c r="J2159" i="288" s="1"/>
  <c r="J2168" i="288" s="1"/>
  <c r="C2002" i="288"/>
  <c r="D2002" i="288" s="1"/>
  <c r="D2011" i="288" s="1"/>
  <c r="C2359" i="288"/>
  <c r="D2359" i="288" s="1"/>
  <c r="D2368" i="288" s="1"/>
  <c r="I1589" i="229"/>
  <c r="J1589" i="229" s="1"/>
  <c r="J1600" i="229" s="1"/>
  <c r="I2988" i="229"/>
  <c r="J2988" i="229" s="1"/>
  <c r="R89" i="265"/>
  <c r="I3099" i="229"/>
  <c r="J3099" i="229" s="1"/>
  <c r="J3110" i="229" s="1"/>
  <c r="C2758" i="288"/>
  <c r="D2758" i="288" s="1"/>
  <c r="D2767" i="288" s="1"/>
  <c r="I3035" i="288"/>
  <c r="J3035" i="288" s="1"/>
  <c r="J3045" i="288" s="1"/>
  <c r="C2496" i="229"/>
  <c r="D2496" i="229" s="1"/>
  <c r="R41" i="262"/>
  <c r="I3146" i="288"/>
  <c r="J3146" i="288" s="1"/>
  <c r="R87" i="261"/>
  <c r="R29" i="261"/>
  <c r="C1993" i="229"/>
  <c r="D1993" i="229" s="1"/>
  <c r="I1577" i="288"/>
  <c r="J1577" i="288" s="1"/>
  <c r="I2430" i="288"/>
  <c r="J2430" i="288" s="1"/>
  <c r="J2439" i="288" s="1"/>
  <c r="C1903" i="288"/>
  <c r="D1903" i="288" s="1"/>
  <c r="D1912" i="288" s="1"/>
  <c r="C443" i="229"/>
  <c r="D443" i="229" s="1"/>
  <c r="I648" i="229"/>
  <c r="J648" i="229" s="1"/>
  <c r="C3288" i="288"/>
  <c r="D3288" i="288" s="1"/>
  <c r="D3298" i="288" s="1"/>
  <c r="I2088" i="288"/>
  <c r="J2088" i="288" s="1"/>
  <c r="J2097" i="288" s="1"/>
  <c r="I1085" i="229"/>
  <c r="J1085" i="229" s="1"/>
  <c r="J1096" i="229" s="1"/>
  <c r="C535" i="229"/>
  <c r="D535" i="229" s="1"/>
  <c r="I971" i="229"/>
  <c r="J971" i="229" s="1"/>
  <c r="J982" i="229" s="1"/>
  <c r="C2230" i="288"/>
  <c r="D2230" i="288" s="1"/>
  <c r="D2239" i="288" s="1"/>
  <c r="I1313" i="229"/>
  <c r="J1313" i="229" s="1"/>
  <c r="J1324" i="229" s="1"/>
  <c r="R55" i="262"/>
  <c r="C549" i="288"/>
  <c r="D549" i="288" s="1"/>
  <c r="D558" i="288" s="1"/>
  <c r="C2397" i="229"/>
  <c r="D2397" i="229" s="1"/>
  <c r="D2408" i="229" s="1"/>
  <c r="I36" i="229"/>
  <c r="J36" i="229" s="1"/>
  <c r="J47" i="229" s="1"/>
  <c r="C2003" i="288"/>
  <c r="D2003" i="288" s="1"/>
  <c r="C2045" i="288"/>
  <c r="D2045" i="288" s="1"/>
  <c r="D2054" i="288" s="1"/>
  <c r="C2137" i="229"/>
  <c r="D2137" i="229" s="1"/>
  <c r="D2148" i="229" s="1"/>
  <c r="C86" i="288"/>
  <c r="D86" i="288" s="1"/>
  <c r="I2487" i="288"/>
  <c r="J2487" i="288" s="1"/>
  <c r="J2496" i="288" s="1"/>
  <c r="C1508" i="229"/>
  <c r="D1508" i="229" s="1"/>
  <c r="D1519" i="229" s="1"/>
  <c r="I3328" i="229"/>
  <c r="J3328" i="229" s="1"/>
  <c r="J3340" i="229" s="1"/>
  <c r="I1296" i="229"/>
  <c r="J1296" i="229" s="1"/>
  <c r="J1307" i="229" s="1"/>
  <c r="R79" i="261"/>
  <c r="I3586" i="229"/>
  <c r="J3586" i="229" s="1"/>
  <c r="J3598" i="229" s="1"/>
  <c r="R59" i="262"/>
  <c r="I2365" i="229"/>
  <c r="J2365" i="229" s="1"/>
  <c r="J2376" i="229" s="1"/>
  <c r="I2074" i="288"/>
  <c r="J2074" i="288" s="1"/>
  <c r="J2083" i="288" s="1"/>
  <c r="I553" i="229"/>
  <c r="J553" i="229" s="1"/>
  <c r="I1199" i="229"/>
  <c r="J1199" i="229" s="1"/>
  <c r="J1210" i="229" s="1"/>
  <c r="C614" i="229"/>
  <c r="D614" i="229" s="1"/>
  <c r="D625" i="229" s="1"/>
  <c r="C2024" i="229"/>
  <c r="D2024" i="229" s="1"/>
  <c r="D2035" i="229" s="1"/>
  <c r="R57" i="265"/>
  <c r="C1774" i="288"/>
  <c r="D1774" i="288" s="1"/>
  <c r="D1783" i="288" s="1"/>
  <c r="I3669" i="229"/>
  <c r="J3669" i="229" s="1"/>
  <c r="J3681" i="229" s="1"/>
  <c r="C1831" i="288"/>
  <c r="D1831" i="288" s="1"/>
  <c r="D1840" i="288" s="1"/>
  <c r="C1734" i="288"/>
  <c r="D1734" i="288" s="1"/>
  <c r="C1746" i="288"/>
  <c r="D1746" i="288" s="1"/>
  <c r="D1755" i="288" s="1"/>
  <c r="I2121" i="229"/>
  <c r="J2121" i="229" s="1"/>
  <c r="J2132" i="229" s="1"/>
  <c r="R21" i="261"/>
  <c r="I1167" i="229"/>
  <c r="J1167" i="229" s="1"/>
  <c r="C2035" i="288"/>
  <c r="D2035" i="288" s="1"/>
  <c r="D2036" i="288" s="1"/>
  <c r="I1206" i="288"/>
  <c r="J1206" i="288" s="1"/>
  <c r="C922" i="288"/>
  <c r="D922" i="288" s="1"/>
  <c r="C810" i="229"/>
  <c r="D810" i="229" s="1"/>
  <c r="C1509" i="229"/>
  <c r="D1509" i="229" s="1"/>
  <c r="C3290" i="288"/>
  <c r="D3290" i="288" s="1"/>
  <c r="C1862" i="288"/>
  <c r="D1862" i="288" s="1"/>
  <c r="C792" i="288"/>
  <c r="D792" i="288" s="1"/>
  <c r="C2546" i="288"/>
  <c r="D2546" i="288" s="1"/>
  <c r="I1191" i="288"/>
  <c r="J1191" i="288" s="1"/>
  <c r="C1721" i="229"/>
  <c r="D1721" i="229" s="1"/>
  <c r="C3536" i="229"/>
  <c r="D3536" i="229" s="1"/>
  <c r="I2731" i="288"/>
  <c r="J2731" i="288" s="1"/>
  <c r="C2747" i="288"/>
  <c r="D2747" i="288" s="1"/>
  <c r="D2748" i="288" s="1"/>
  <c r="I2778" i="229"/>
  <c r="J2778" i="229" s="1"/>
  <c r="C2149" i="288"/>
  <c r="D2149" i="288" s="1"/>
  <c r="D2150" i="288" s="1"/>
  <c r="I3654" i="229"/>
  <c r="J3654" i="229" s="1"/>
  <c r="C3068" i="288"/>
  <c r="D3068" i="288" s="1"/>
  <c r="I3214" i="229"/>
  <c r="J3214" i="229" s="1"/>
  <c r="I1590" i="229"/>
  <c r="J1590" i="229" s="1"/>
  <c r="C2192" i="288"/>
  <c r="D2192" i="288" s="1"/>
  <c r="D2193" i="288" s="1"/>
  <c r="C3606" i="229"/>
  <c r="D3606" i="229" s="1"/>
  <c r="I2159" i="229"/>
  <c r="J2159" i="229" s="1"/>
  <c r="I2219" i="288"/>
  <c r="J2219" i="288" s="1"/>
  <c r="C2041" i="229"/>
  <c r="D2041" i="229" s="1"/>
  <c r="I152" i="229"/>
  <c r="J152" i="229" s="1"/>
  <c r="C3822" i="229"/>
  <c r="D3822" i="229" s="1"/>
  <c r="C1723" i="229"/>
  <c r="D1723" i="229" s="1"/>
  <c r="C842" i="229"/>
  <c r="D842" i="229" s="1"/>
  <c r="C1961" i="229"/>
  <c r="D1961" i="229" s="1"/>
  <c r="I1510" i="229"/>
  <c r="J1510" i="229" s="1"/>
  <c r="C1277" i="288"/>
  <c r="D1277" i="288" s="1"/>
  <c r="C41" i="229"/>
  <c r="D41" i="229" s="1"/>
  <c r="I956" i="229"/>
  <c r="J956" i="229" s="1"/>
  <c r="I1508" i="288"/>
  <c r="J1508" i="288" s="1"/>
  <c r="J1509" i="288" s="1"/>
  <c r="I1263" i="288"/>
  <c r="J1263" i="288" s="1"/>
  <c r="I2929" i="288"/>
  <c r="J2929" i="288" s="1"/>
  <c r="J2939" i="288" s="1"/>
  <c r="I1691" i="288"/>
  <c r="J1691" i="288" s="1"/>
  <c r="C1427" i="229"/>
  <c r="D1427" i="229" s="1"/>
  <c r="C3639" i="229"/>
  <c r="D3639" i="229" s="1"/>
  <c r="C2146" i="288"/>
  <c r="D2146" i="288" s="1"/>
  <c r="C3364" i="229"/>
  <c r="D3364" i="229" s="1"/>
  <c r="C2889" i="288"/>
  <c r="D2889" i="288" s="1"/>
  <c r="I2149" i="288"/>
  <c r="J2149" i="288" s="1"/>
  <c r="J2150" i="288" s="1"/>
  <c r="I1025" i="229"/>
  <c r="J1025" i="229" s="1"/>
  <c r="I1406" i="288"/>
  <c r="J1406" i="288" s="1"/>
  <c r="X14" i="265"/>
  <c r="X99" i="265" s="1"/>
  <c r="C2859" i="288"/>
  <c r="D2859" i="288" s="1"/>
  <c r="I2545" i="229"/>
  <c r="J2545" i="229" s="1"/>
  <c r="I2090" i="288"/>
  <c r="J2090" i="288" s="1"/>
  <c r="C3083" i="288"/>
  <c r="D3083" i="288" s="1"/>
  <c r="I2629" i="288"/>
  <c r="J2629" i="288" s="1"/>
  <c r="J2638" i="288" s="1"/>
  <c r="I980" i="288"/>
  <c r="J980" i="288" s="1"/>
  <c r="J981" i="288" s="1"/>
  <c r="C2974" i="288"/>
  <c r="D2974" i="288" s="1"/>
  <c r="D2984" i="288" s="1"/>
  <c r="I1905" i="288"/>
  <c r="J1905" i="288" s="1"/>
  <c r="I437" i="288"/>
  <c r="J437" i="288" s="1"/>
  <c r="I2232" i="288"/>
  <c r="J2232" i="288" s="1"/>
  <c r="I1803" i="288"/>
  <c r="J1803" i="288" s="1"/>
  <c r="J1812" i="288" s="1"/>
  <c r="C667" i="229"/>
  <c r="D667" i="229" s="1"/>
  <c r="Y14" i="264"/>
  <c r="Y85" i="264" s="1"/>
  <c r="C2245" i="288"/>
  <c r="D2245" i="288" s="1"/>
  <c r="D2254" i="288" s="1"/>
  <c r="C1751" i="229"/>
  <c r="D1751" i="229" s="1"/>
  <c r="D1762" i="229" s="1"/>
  <c r="I2389" i="288"/>
  <c r="J2389" i="288" s="1"/>
  <c r="C762" i="229"/>
  <c r="D762" i="229" s="1"/>
  <c r="C2261" i="288"/>
  <c r="D2261" i="288" s="1"/>
  <c r="C1525" i="229"/>
  <c r="D1525" i="229" s="1"/>
  <c r="I616" i="229"/>
  <c r="J616" i="229" s="1"/>
  <c r="C3487" i="229"/>
  <c r="D3487" i="229" s="1"/>
  <c r="C2300" i="229"/>
  <c r="D2300" i="229" s="1"/>
  <c r="D2311" i="229" s="1"/>
  <c r="C3188" i="288"/>
  <c r="D3188" i="288" s="1"/>
  <c r="I3485" i="229"/>
  <c r="J3485" i="229" s="1"/>
  <c r="I2496" i="229"/>
  <c r="J2496" i="229" s="1"/>
  <c r="I1163" i="288"/>
  <c r="J1163" i="288" s="1"/>
  <c r="I3519" i="229"/>
  <c r="J3519" i="229" s="1"/>
  <c r="I2808" i="229"/>
  <c r="J2808" i="229" s="1"/>
  <c r="I148" i="229"/>
  <c r="J148" i="229" s="1"/>
  <c r="I3280" i="229"/>
  <c r="J3280" i="229" s="1"/>
  <c r="I149" i="229"/>
  <c r="J149" i="229" s="1"/>
  <c r="C3593" i="229"/>
  <c r="D3593" i="229" s="1"/>
  <c r="C849" i="288"/>
  <c r="D849" i="288" s="1"/>
  <c r="C2978" i="288"/>
  <c r="D2978" i="288" s="1"/>
  <c r="I270" i="229"/>
  <c r="J270" i="229" s="1"/>
  <c r="J281" i="229" s="1"/>
  <c r="C3009" i="288"/>
  <c r="D3009" i="288" s="1"/>
  <c r="I909" i="288"/>
  <c r="J909" i="288" s="1"/>
  <c r="J910" i="288" s="1"/>
  <c r="I2123" i="229"/>
  <c r="J2123" i="229" s="1"/>
  <c r="I3220" i="288"/>
  <c r="J3220" i="288" s="1"/>
  <c r="C206" i="229"/>
  <c r="D206" i="229" s="1"/>
  <c r="C3198" i="229"/>
  <c r="D3198" i="229" s="1"/>
  <c r="I1412" i="229"/>
  <c r="J1412" i="229" s="1"/>
  <c r="I2776" i="288"/>
  <c r="J2776" i="288" s="1"/>
  <c r="J2777" i="288" s="1"/>
  <c r="I1350" i="229"/>
  <c r="J1350" i="229" s="1"/>
  <c r="I2261" i="288"/>
  <c r="J2261" i="288" s="1"/>
  <c r="I2089" i="229"/>
  <c r="J2089" i="229" s="1"/>
  <c r="J2100" i="229" s="1"/>
  <c r="C2596" i="229"/>
  <c r="D2596" i="229" s="1"/>
  <c r="I1689" i="288"/>
  <c r="J1689" i="288" s="1"/>
  <c r="J1698" i="288" s="1"/>
  <c r="I3502" i="229"/>
  <c r="J3502" i="229" s="1"/>
  <c r="I2239" i="229"/>
  <c r="J2239" i="229" s="1"/>
  <c r="I1558" i="229"/>
  <c r="J1558" i="229" s="1"/>
  <c r="I3436" i="229"/>
  <c r="J3436" i="229" s="1"/>
  <c r="R47" i="261"/>
  <c r="I3304" i="288"/>
  <c r="J3304" i="288" s="1"/>
  <c r="R79" i="265"/>
  <c r="I1399" i="229"/>
  <c r="J1399" i="229" s="1"/>
  <c r="I2908" i="229"/>
  <c r="J2908" i="229" s="1"/>
  <c r="C3790" i="229"/>
  <c r="D3790" i="229" s="1"/>
  <c r="I2218" i="288"/>
  <c r="J2218" i="288" s="1"/>
  <c r="C463" i="288"/>
  <c r="D463" i="288" s="1"/>
  <c r="D472" i="288" s="1"/>
  <c r="I488" i="229"/>
  <c r="J488" i="229" s="1"/>
  <c r="C435" i="288"/>
  <c r="D435" i="288" s="1"/>
  <c r="D444" i="288" s="1"/>
  <c r="C3786" i="229"/>
  <c r="D3786" i="229" s="1"/>
  <c r="D3798" i="229" s="1"/>
  <c r="I235" i="288"/>
  <c r="J235" i="288" s="1"/>
  <c r="J244" i="288" s="1"/>
  <c r="C2361" i="288"/>
  <c r="D2361" i="288" s="1"/>
  <c r="I935" i="288"/>
  <c r="J935" i="288" s="1"/>
  <c r="C2548" i="288"/>
  <c r="D2548" i="288" s="1"/>
  <c r="D2549" i="288" s="1"/>
  <c r="C1563" i="288"/>
  <c r="D1563" i="288" s="1"/>
  <c r="I1450" i="288"/>
  <c r="J1450" i="288" s="1"/>
  <c r="C1379" i="229"/>
  <c r="D1379" i="229" s="1"/>
  <c r="C101" i="288"/>
  <c r="D101" i="288" s="1"/>
  <c r="D112" i="288" s="1"/>
  <c r="I319" i="229"/>
  <c r="J319" i="229" s="1"/>
  <c r="J330" i="229" s="1"/>
  <c r="I2971" i="229"/>
  <c r="J2971" i="229" s="1"/>
  <c r="C2431" i="229"/>
  <c r="D2431" i="229" s="1"/>
  <c r="I1008" i="229"/>
  <c r="J1008" i="229" s="1"/>
  <c r="I778" i="229"/>
  <c r="J778" i="229" s="1"/>
  <c r="I1350" i="288"/>
  <c r="J1350" i="288" s="1"/>
  <c r="C251" i="288"/>
  <c r="D251" i="288" s="1"/>
  <c r="I1376" i="288"/>
  <c r="J1376" i="288" s="1"/>
  <c r="I3084" i="229"/>
  <c r="J3084" i="229" s="1"/>
  <c r="I1429" i="229"/>
  <c r="J1429" i="229" s="1"/>
  <c r="C1574" i="229"/>
  <c r="D1574" i="229" s="1"/>
  <c r="C3432" i="229"/>
  <c r="D3432" i="229" s="1"/>
  <c r="I2103" i="288"/>
  <c r="J2103" i="288" s="1"/>
  <c r="I1152" i="229"/>
  <c r="J1152" i="229" s="1"/>
  <c r="C242" i="229"/>
  <c r="D242" i="229" s="1"/>
  <c r="I335" i="229"/>
  <c r="J335" i="229" s="1"/>
  <c r="J346" i="229" s="1"/>
  <c r="I3067" i="229"/>
  <c r="J3067" i="229" s="1"/>
  <c r="J3078" i="229" s="1"/>
  <c r="I650" i="229"/>
  <c r="J650" i="229" s="1"/>
  <c r="I2530" i="288"/>
  <c r="J2530" i="288" s="1"/>
  <c r="J2539" i="288" s="1"/>
  <c r="C1264" i="229"/>
  <c r="D1264" i="229" s="1"/>
  <c r="D1275" i="229" s="1"/>
  <c r="I3262" i="229"/>
  <c r="J3262" i="229" s="1"/>
  <c r="J3273" i="229" s="1"/>
  <c r="I2772" i="288"/>
  <c r="J2772" i="288" s="1"/>
  <c r="J2781" i="288" s="1"/>
  <c r="C1944" i="229"/>
  <c r="D1944" i="229" s="1"/>
  <c r="I920" i="288"/>
  <c r="J920" i="288" s="1"/>
  <c r="C79" i="229"/>
  <c r="D79" i="229" s="1"/>
  <c r="C1837" i="229"/>
  <c r="D1837" i="229" s="1"/>
  <c r="I1788" i="229"/>
  <c r="J1788" i="229" s="1"/>
  <c r="C1085" i="229"/>
  <c r="D1085" i="229" s="1"/>
  <c r="D1096" i="229" s="1"/>
  <c r="I1737" i="229"/>
  <c r="J1737" i="229" s="1"/>
  <c r="C1717" i="288"/>
  <c r="D1717" i="288" s="1"/>
  <c r="D1726" i="288" s="1"/>
  <c r="C2715" i="288"/>
  <c r="D2715" i="288" s="1"/>
  <c r="D2724" i="288" s="1"/>
  <c r="C2872" i="229"/>
  <c r="D2872" i="229" s="1"/>
  <c r="D2883" i="229" s="1"/>
  <c r="C2235" i="229"/>
  <c r="D2235" i="229" s="1"/>
  <c r="D2246" i="229" s="1"/>
  <c r="I1964" i="288"/>
  <c r="J1964" i="288" s="1"/>
  <c r="J1965" i="288" s="1"/>
  <c r="C3098" i="288"/>
  <c r="D3098" i="288" s="1"/>
  <c r="I2430" i="229"/>
  <c r="J2430" i="229" s="1"/>
  <c r="J2441" i="229" s="1"/>
  <c r="C939" i="229"/>
  <c r="D939" i="229" s="1"/>
  <c r="D950" i="229" s="1"/>
  <c r="I2729" i="288"/>
  <c r="J2729" i="288" s="1"/>
  <c r="J2738" i="288" s="1"/>
  <c r="C1591" i="288"/>
  <c r="D1591" i="288" s="1"/>
  <c r="C2088" i="288"/>
  <c r="D2088" i="288" s="1"/>
  <c r="D2097" i="288" s="1"/>
  <c r="C1675" i="288"/>
  <c r="D1675" i="288" s="1"/>
  <c r="D1684" i="288" s="1"/>
  <c r="C1378" i="229"/>
  <c r="D1378" i="229" s="1"/>
  <c r="D1389" i="229" s="1"/>
  <c r="I1185" i="229"/>
  <c r="J1185" i="229" s="1"/>
  <c r="C3020" i="229"/>
  <c r="D3020" i="229" s="1"/>
  <c r="I4" i="288"/>
  <c r="J4" i="288" s="1"/>
  <c r="J15" i="288" s="1"/>
  <c r="C2249" i="288"/>
  <c r="D2249" i="288" s="1"/>
  <c r="D2250" i="288" s="1"/>
  <c r="C1762" i="288"/>
  <c r="D1762" i="288" s="1"/>
  <c r="I2611" i="229"/>
  <c r="J2611" i="229" s="1"/>
  <c r="Z15" i="262"/>
  <c r="Z78" i="262" s="1"/>
  <c r="I1851" i="229"/>
  <c r="J1851" i="229" s="1"/>
  <c r="C3453" i="229"/>
  <c r="D3453" i="229" s="1"/>
  <c r="C1313" i="229"/>
  <c r="D1313" i="229" s="1"/>
  <c r="D1324" i="229" s="1"/>
  <c r="C380" i="288"/>
  <c r="D380" i="288" s="1"/>
  <c r="C3552" i="229"/>
  <c r="D3552" i="229" s="1"/>
  <c r="D3564" i="229" s="1"/>
  <c r="C52" i="288"/>
  <c r="D52" i="288" s="1"/>
  <c r="D63" i="288" s="1"/>
  <c r="C813" i="229"/>
  <c r="D813" i="229" s="1"/>
  <c r="C1910" i="229"/>
  <c r="D1910" i="229" s="1"/>
  <c r="D1921" i="229" s="1"/>
  <c r="R16" i="263"/>
  <c r="C2430" i="288"/>
  <c r="D2430" i="288" s="1"/>
  <c r="D2439" i="288" s="1"/>
  <c r="I3018" i="229"/>
  <c r="J3018" i="229" s="1"/>
  <c r="J3029" i="229" s="1"/>
  <c r="C2056" i="229"/>
  <c r="D2056" i="229" s="1"/>
  <c r="D2067" i="229" s="1"/>
  <c r="I1007" i="288"/>
  <c r="J1007" i="288" s="1"/>
  <c r="C1089" i="229"/>
  <c r="D1089" i="229" s="1"/>
  <c r="I3487" i="229"/>
  <c r="J3487" i="229" s="1"/>
  <c r="C895" i="288"/>
  <c r="D895" i="288" s="1"/>
  <c r="D896" i="288" s="1"/>
  <c r="I710" i="288"/>
  <c r="J710" i="288" s="1"/>
  <c r="J711" i="288" s="1"/>
  <c r="C3249" i="229"/>
  <c r="D3249" i="229" s="1"/>
  <c r="I2559" i="288"/>
  <c r="J2559" i="288" s="1"/>
  <c r="C3129" i="288"/>
  <c r="D3129" i="288" s="1"/>
  <c r="I2594" i="229"/>
  <c r="J2594" i="229" s="1"/>
  <c r="C3653" i="229"/>
  <c r="D3653" i="229" s="1"/>
  <c r="D3665" i="229" s="1"/>
  <c r="R72" i="265"/>
  <c r="C2446" i="229"/>
  <c r="D2446" i="229" s="1"/>
  <c r="D2457" i="229" s="1"/>
  <c r="I2661" i="229"/>
  <c r="J2661" i="229" s="1"/>
  <c r="J2672" i="229" s="1"/>
  <c r="C845" i="229"/>
  <c r="D845" i="229" s="1"/>
  <c r="C3004" i="229"/>
  <c r="D3004" i="229" s="1"/>
  <c r="I1774" i="288"/>
  <c r="J1774" i="288" s="1"/>
  <c r="J1783" i="288" s="1"/>
  <c r="C3330" i="229"/>
  <c r="D3330" i="229" s="1"/>
  <c r="C592" i="288"/>
  <c r="D592" i="288" s="1"/>
  <c r="D601" i="288" s="1"/>
  <c r="I1250" i="229"/>
  <c r="J1250" i="229" s="1"/>
  <c r="I1426" i="229"/>
  <c r="J1426" i="229" s="1"/>
  <c r="J1437" i="229" s="1"/>
  <c r="I2576" i="229"/>
  <c r="J2576" i="229" s="1"/>
  <c r="J2587" i="229" s="1"/>
  <c r="C1835" i="229"/>
  <c r="D1835" i="229" s="1"/>
  <c r="I2002" i="288"/>
  <c r="J2002" i="288" s="1"/>
  <c r="J2011" i="288" s="1"/>
  <c r="I3569" i="229"/>
  <c r="J3569" i="229" s="1"/>
  <c r="J3581" i="229" s="1"/>
  <c r="I2872" i="288"/>
  <c r="J2872" i="288" s="1"/>
  <c r="J2881" i="288" s="1"/>
  <c r="C2487" i="288"/>
  <c r="D2487" i="288" s="1"/>
  <c r="D2496" i="288" s="1"/>
  <c r="C3483" i="229"/>
  <c r="D3483" i="229" s="1"/>
  <c r="D3495" i="229" s="1"/>
  <c r="C2601" i="288"/>
  <c r="D2601" i="288" s="1"/>
  <c r="D2610" i="288" s="1"/>
  <c r="C2444" i="288"/>
  <c r="D2444" i="288" s="1"/>
  <c r="D2453" i="288" s="1"/>
  <c r="C2105" i="229"/>
  <c r="D2105" i="229" s="1"/>
  <c r="D2116" i="229" s="1"/>
  <c r="C2479" i="229"/>
  <c r="D2479" i="229" s="1"/>
  <c r="D2490" i="229" s="1"/>
  <c r="C3262" i="229"/>
  <c r="D3262" i="229" s="1"/>
  <c r="D3273" i="229" s="1"/>
  <c r="R34" i="261"/>
  <c r="I2572" i="288"/>
  <c r="J2572" i="288" s="1"/>
  <c r="J2581" i="288" s="1"/>
  <c r="C1491" i="229"/>
  <c r="D1491" i="229" s="1"/>
  <c r="D1502" i="229" s="1"/>
  <c r="I2300" i="229"/>
  <c r="J2300" i="229" s="1"/>
  <c r="J2311" i="229" s="1"/>
  <c r="C1557" i="229"/>
  <c r="D1557" i="229" s="1"/>
  <c r="R94" i="265"/>
  <c r="I1459" i="229"/>
  <c r="J1459" i="229" s="1"/>
  <c r="J1470" i="229" s="1"/>
  <c r="C1118" i="229"/>
  <c r="D1118" i="229" s="1"/>
  <c r="D1129" i="229" s="1"/>
  <c r="C150" i="288"/>
  <c r="D150" i="288" s="1"/>
  <c r="D159" i="288" s="1"/>
  <c r="C3067" i="229"/>
  <c r="D3067" i="229" s="1"/>
  <c r="D3078" i="229" s="1"/>
  <c r="I2401" i="288"/>
  <c r="J2401" i="288" s="1"/>
  <c r="J2410" i="288" s="1"/>
  <c r="R26" i="265"/>
  <c r="R45" i="265"/>
  <c r="C3689" i="229"/>
  <c r="D3689" i="229" s="1"/>
  <c r="C1770" i="229"/>
  <c r="D1770" i="229" s="1"/>
  <c r="C2829" i="288"/>
  <c r="D2829" i="288" s="1"/>
  <c r="D2838" i="288" s="1"/>
  <c r="I1960" i="288"/>
  <c r="J1960" i="288" s="1"/>
  <c r="J1969" i="288" s="1"/>
  <c r="I1854" i="229"/>
  <c r="J1854" i="229" s="1"/>
  <c r="I2701" i="288"/>
  <c r="J2701" i="288" s="1"/>
  <c r="J2710" i="288" s="1"/>
  <c r="T14" i="265"/>
  <c r="T99" i="265" s="1"/>
  <c r="C3362" i="229"/>
  <c r="D3362" i="229" s="1"/>
  <c r="D3374" i="229" s="1"/>
  <c r="R14" i="262"/>
  <c r="C2042" i="229"/>
  <c r="D2042" i="229" s="1"/>
  <c r="C650" i="229"/>
  <c r="D650" i="229" s="1"/>
  <c r="R21" i="262"/>
  <c r="C3347" i="229"/>
  <c r="D3347" i="229" s="1"/>
  <c r="I1989" i="288"/>
  <c r="J1989" i="288" s="1"/>
  <c r="I164" i="288"/>
  <c r="J164" i="288" s="1"/>
  <c r="J173" i="288" s="1"/>
  <c r="R30" i="261"/>
  <c r="C827" i="229"/>
  <c r="D827" i="229" s="1"/>
  <c r="R65" i="262"/>
  <c r="C988" i="229"/>
  <c r="D988" i="229" s="1"/>
  <c r="D999" i="229" s="1"/>
  <c r="C2174" i="229"/>
  <c r="D2174" i="229" s="1"/>
  <c r="C254" i="229"/>
  <c r="D254" i="229" s="1"/>
  <c r="D265" i="229" s="1"/>
  <c r="I2219" i="229"/>
  <c r="J2219" i="229" s="1"/>
  <c r="J2230" i="229" s="1"/>
  <c r="C1817" i="288"/>
  <c r="D1817" i="288" s="1"/>
  <c r="D1826" i="288" s="1"/>
  <c r="I1020" i="229"/>
  <c r="J1020" i="229" s="1"/>
  <c r="J1031" i="229" s="1"/>
  <c r="C134" i="288"/>
  <c r="D134" i="288" s="1"/>
  <c r="D145" i="288" s="1"/>
  <c r="I3362" i="229"/>
  <c r="J3362" i="229" s="1"/>
  <c r="J3374" i="229" s="1"/>
  <c r="C2900" i="288"/>
  <c r="D2900" i="288" s="1"/>
  <c r="D2909" i="288" s="1"/>
  <c r="C1959" i="229"/>
  <c r="D1959" i="229" s="1"/>
  <c r="D1970" i="229" s="1"/>
  <c r="R37" i="262"/>
  <c r="C2887" i="288"/>
  <c r="D2887" i="288" s="1"/>
  <c r="C2031" i="288"/>
  <c r="D2031" i="288" s="1"/>
  <c r="D2040" i="288" s="1"/>
  <c r="C1443" i="229"/>
  <c r="D1443" i="229" s="1"/>
  <c r="D1454" i="229" s="1"/>
  <c r="R18" i="266"/>
  <c r="I2173" i="288"/>
  <c r="J2173" i="288" s="1"/>
  <c r="J2182" i="288" s="1"/>
  <c r="C2501" i="288"/>
  <c r="D2501" i="288" s="1"/>
  <c r="D2510" i="288" s="1"/>
  <c r="I1760" i="288"/>
  <c r="J1760" i="288" s="1"/>
  <c r="J1769" i="288" s="1"/>
  <c r="C3414" i="229"/>
  <c r="D3414" i="229" s="1"/>
  <c r="D3426" i="229" s="1"/>
  <c r="C2059" i="288"/>
  <c r="D2059" i="288" s="1"/>
  <c r="D2068" i="288" s="1"/>
  <c r="I3143" i="288"/>
  <c r="J3143" i="288" s="1"/>
  <c r="R75" i="265"/>
  <c r="I1069" i="229"/>
  <c r="J1069" i="229" s="1"/>
  <c r="J1080" i="229" s="1"/>
  <c r="I1717" i="288"/>
  <c r="J1717" i="288" s="1"/>
  <c r="J1726" i="288" s="1"/>
  <c r="C3620" i="229"/>
  <c r="D3620" i="229" s="1"/>
  <c r="D3632" i="229" s="1"/>
  <c r="R27" i="261"/>
  <c r="R52" i="265"/>
  <c r="C2969" i="229"/>
  <c r="D2969" i="229" s="1"/>
  <c r="D2980" i="229" s="1"/>
  <c r="C152" i="229"/>
  <c r="D152" i="229" s="1"/>
  <c r="C734" i="288"/>
  <c r="D734" i="288" s="1"/>
  <c r="D743" i="288" s="1"/>
  <c r="C1907" i="288"/>
  <c r="D1907" i="288" s="1"/>
  <c r="D1908" i="288" s="1"/>
  <c r="I3319" i="288"/>
  <c r="J3319" i="288" s="1"/>
  <c r="I336" i="229"/>
  <c r="J336" i="229" s="1"/>
  <c r="I3708" i="229"/>
  <c r="J3708" i="229" s="1"/>
  <c r="I2946" i="288"/>
  <c r="J2946" i="288" s="1"/>
  <c r="C1185" i="229"/>
  <c r="D1185" i="229" s="1"/>
  <c r="C3217" i="288"/>
  <c r="D3217" i="288" s="1"/>
  <c r="I1348" i="288"/>
  <c r="J1348" i="288" s="1"/>
  <c r="I3101" i="229"/>
  <c r="J3101" i="229" s="1"/>
  <c r="C2744" i="229"/>
  <c r="D2744" i="229" s="1"/>
  <c r="I3777" i="229"/>
  <c r="J3777" i="229" s="1"/>
  <c r="I824" i="288"/>
  <c r="J824" i="288" s="1"/>
  <c r="J825" i="288" s="1"/>
  <c r="C3337" i="288"/>
  <c r="D3337" i="288" s="1"/>
  <c r="D3338" i="288" s="1"/>
  <c r="C2528" i="229"/>
  <c r="D2528" i="229" s="1"/>
  <c r="C53" i="288"/>
  <c r="D53" i="288" s="1"/>
  <c r="C2094" i="229"/>
  <c r="D2094" i="229" s="1"/>
  <c r="I2992" i="288"/>
  <c r="J2992" i="288" s="1"/>
  <c r="C2975" i="288"/>
  <c r="D2975" i="288" s="1"/>
  <c r="C2529" i="229"/>
  <c r="D2529" i="229" s="1"/>
  <c r="I2809" i="229"/>
  <c r="J2809" i="229" s="1"/>
  <c r="I3346" i="229"/>
  <c r="J3346" i="229" s="1"/>
  <c r="C2389" i="288"/>
  <c r="D2389" i="288" s="1"/>
  <c r="I949" i="288"/>
  <c r="J949" i="288" s="1"/>
  <c r="C1892" i="288"/>
  <c r="D1892" i="288" s="1"/>
  <c r="D1893" i="288" s="1"/>
  <c r="I1149" i="288"/>
  <c r="J1149" i="288" s="1"/>
  <c r="C2925" i="229"/>
  <c r="D2925" i="229" s="1"/>
  <c r="I507" i="288"/>
  <c r="J507" i="288" s="1"/>
  <c r="C1192" i="288"/>
  <c r="D1192" i="288" s="1"/>
  <c r="C2719" i="288"/>
  <c r="D2719" i="288" s="1"/>
  <c r="D2720" i="288" s="1"/>
  <c r="I75" i="288"/>
  <c r="J75" i="288" s="1"/>
  <c r="J76" i="288" s="1"/>
  <c r="W14" i="263"/>
  <c r="W21" i="263" s="1"/>
  <c r="C3470" i="229"/>
  <c r="D3470" i="229" s="1"/>
  <c r="I1008" i="288"/>
  <c r="J1008" i="288" s="1"/>
  <c r="C3622" i="229"/>
  <c r="D3622" i="229" s="1"/>
  <c r="C1719" i="288"/>
  <c r="D1719" i="288" s="1"/>
  <c r="C2873" i="229"/>
  <c r="D2873" i="229" s="1"/>
  <c r="C1465" i="288"/>
  <c r="D1465" i="288" s="1"/>
  <c r="D1466" i="288" s="1"/>
  <c r="C485" i="229"/>
  <c r="D485" i="229" s="1"/>
  <c r="C1706" i="229"/>
  <c r="D1706" i="229" s="1"/>
  <c r="C3381" i="229"/>
  <c r="D3381" i="229" s="1"/>
  <c r="C1707" i="288"/>
  <c r="D1707" i="288" s="1"/>
  <c r="D1708" i="288" s="1"/>
  <c r="I1719" i="288"/>
  <c r="J1719" i="288" s="1"/>
  <c r="C3250" i="288"/>
  <c r="D3250" i="288" s="1"/>
  <c r="I2135" i="288"/>
  <c r="J2135" i="288" s="1"/>
  <c r="J2136" i="288" s="1"/>
  <c r="C1541" i="229"/>
  <c r="D1541" i="229" s="1"/>
  <c r="C3350" i="288"/>
  <c r="D3350" i="288" s="1"/>
  <c r="I667" i="229"/>
  <c r="J667" i="229" s="1"/>
  <c r="I3435" i="229"/>
  <c r="J3435" i="229" s="1"/>
  <c r="C3296" i="229"/>
  <c r="D3296" i="229" s="1"/>
  <c r="C3655" i="229"/>
  <c r="D3655" i="229" s="1"/>
  <c r="C1577" i="229"/>
  <c r="D1577" i="229" s="1"/>
  <c r="C1532" i="288"/>
  <c r="D1532" i="288" s="1"/>
  <c r="D1541" i="288" s="1"/>
  <c r="I85" i="288"/>
  <c r="J85" i="288" s="1"/>
  <c r="J96" i="288" s="1"/>
  <c r="I696" i="229"/>
  <c r="J696" i="229" s="1"/>
  <c r="C151" i="288"/>
  <c r="D151" i="288" s="1"/>
  <c r="C2772" i="288"/>
  <c r="D2772" i="288" s="1"/>
  <c r="D2781" i="288" s="1"/>
  <c r="I1947" i="288"/>
  <c r="J1947" i="288" s="1"/>
  <c r="C3468" i="229"/>
  <c r="D3468" i="229" s="1"/>
  <c r="I1577" i="229"/>
  <c r="J1577" i="229" s="1"/>
  <c r="C3433" i="229"/>
  <c r="D3433" i="229" s="1"/>
  <c r="C2495" i="229"/>
  <c r="D2495" i="229" s="1"/>
  <c r="D2506" i="229" s="1"/>
  <c r="C1252" i="229"/>
  <c r="D1252" i="229" s="1"/>
  <c r="C3036" i="229"/>
  <c r="D3036" i="229" s="1"/>
  <c r="C778" i="229"/>
  <c r="D778" i="229" s="1"/>
  <c r="C1889" i="288"/>
  <c r="D1889" i="288" s="1"/>
  <c r="C2033" i="288"/>
  <c r="D2033" i="288" s="1"/>
  <c r="C114" i="229"/>
  <c r="D114" i="229" s="1"/>
  <c r="D125" i="229" s="1"/>
  <c r="C569" i="229"/>
  <c r="D569" i="229" s="1"/>
  <c r="V14" i="258"/>
  <c r="V25" i="258" s="1"/>
  <c r="I502" i="229"/>
  <c r="J502" i="229" s="1"/>
  <c r="I1301" i="229"/>
  <c r="J1301" i="229" s="1"/>
  <c r="C1337" i="288"/>
  <c r="D1337" i="288" s="1"/>
  <c r="D1338" i="288" s="1"/>
  <c r="C2414" i="229"/>
  <c r="D2414" i="229" s="1"/>
  <c r="D2425" i="229" s="1"/>
  <c r="C3071" i="288"/>
  <c r="D3071" i="288" s="1"/>
  <c r="D3072" i="288" s="1"/>
  <c r="C533" i="229"/>
  <c r="D533" i="229" s="1"/>
  <c r="D544" i="229" s="1"/>
  <c r="C10" i="288"/>
  <c r="D10" i="288" s="1"/>
  <c r="D11" i="288" s="1"/>
  <c r="I2061" i="229"/>
  <c r="J2061" i="229" s="1"/>
  <c r="C1177" i="288"/>
  <c r="D1177" i="288" s="1"/>
  <c r="C2232" i="288"/>
  <c r="D2232" i="288" s="1"/>
  <c r="C3262" i="288"/>
  <c r="D3262" i="288" s="1"/>
  <c r="C3773" i="229"/>
  <c r="D3773" i="229" s="1"/>
  <c r="I2876" i="229"/>
  <c r="J2876" i="229" s="1"/>
  <c r="C2447" i="288"/>
  <c r="D2447" i="288" s="1"/>
  <c r="I1548" i="288"/>
  <c r="J1548" i="288" s="1"/>
  <c r="C2415" i="229"/>
  <c r="D2415" i="229" s="1"/>
  <c r="C1268" i="229"/>
  <c r="D1268" i="229" s="1"/>
  <c r="C3232" i="288"/>
  <c r="D3232" i="288" s="1"/>
  <c r="C2532" i="288"/>
  <c r="D2532" i="288" s="1"/>
  <c r="W15" i="262"/>
  <c r="W78" i="262" s="1"/>
  <c r="C8" i="229"/>
  <c r="D8" i="229" s="1"/>
  <c r="I2633" i="288"/>
  <c r="J2633" i="288" s="1"/>
  <c r="J2634" i="288" s="1"/>
  <c r="C324" i="229"/>
  <c r="D324" i="229" s="1"/>
  <c r="I1512" i="229"/>
  <c r="J1512" i="229" s="1"/>
  <c r="I3025" i="288"/>
  <c r="J3025" i="288" s="1"/>
  <c r="J3026" i="288" s="1"/>
  <c r="I436" i="288"/>
  <c r="J436" i="288" s="1"/>
  <c r="C835" i="288"/>
  <c r="D835" i="288" s="1"/>
  <c r="I1164" i="288"/>
  <c r="J1164" i="288" s="1"/>
  <c r="I908" i="229"/>
  <c r="J908" i="229" s="1"/>
  <c r="I943" i="229"/>
  <c r="J943" i="229" s="1"/>
  <c r="I2519" i="288"/>
  <c r="J2519" i="288" s="1"/>
  <c r="J2520" i="288" s="1"/>
  <c r="I1532" i="288"/>
  <c r="J1532" i="288" s="1"/>
  <c r="J1541" i="288" s="1"/>
  <c r="Y14" i="258"/>
  <c r="Y25" i="258" s="1"/>
  <c r="C2709" i="229"/>
  <c r="D2709" i="229" s="1"/>
  <c r="D2720" i="229" s="1"/>
  <c r="I3051" i="288"/>
  <c r="J3051" i="288" s="1"/>
  <c r="J3061" i="288" s="1"/>
  <c r="C3051" i="229"/>
  <c r="D3051" i="229" s="1"/>
  <c r="D3062" i="229" s="1"/>
  <c r="I2948" i="288"/>
  <c r="J2948" i="288" s="1"/>
  <c r="C2804" i="288"/>
  <c r="D2804" i="288" s="1"/>
  <c r="D2805" i="288" s="1"/>
  <c r="I2901" i="288"/>
  <c r="J2901" i="288" s="1"/>
  <c r="I2743" i="229"/>
  <c r="J2743" i="229" s="1"/>
  <c r="C2434" i="229"/>
  <c r="D2434" i="229" s="1"/>
  <c r="I1330" i="229"/>
  <c r="J1330" i="229" s="1"/>
  <c r="C2138" i="229"/>
  <c r="D2138" i="229" s="1"/>
  <c r="C222" i="288"/>
  <c r="D222" i="288" s="1"/>
  <c r="I3305" i="288"/>
  <c r="J3305" i="288" s="1"/>
  <c r="I1944" i="229"/>
  <c r="J1944" i="229" s="1"/>
  <c r="I1930" i="229"/>
  <c r="J1930" i="229" s="1"/>
  <c r="I422" i="288"/>
  <c r="J422" i="288" s="1"/>
  <c r="I665" i="288"/>
  <c r="J665" i="288" s="1"/>
  <c r="C2103" i="288"/>
  <c r="D2103" i="288" s="1"/>
  <c r="C567" i="288"/>
  <c r="D567" i="288" s="1"/>
  <c r="D568" i="288" s="1"/>
  <c r="C2833" i="288"/>
  <c r="D2833" i="288" s="1"/>
  <c r="D2834" i="288" s="1"/>
  <c r="C208" i="288"/>
  <c r="D208" i="288" s="1"/>
  <c r="C2673" i="288"/>
  <c r="D2673" i="288" s="1"/>
  <c r="C2801" i="288"/>
  <c r="D2801" i="288" s="1"/>
  <c r="C3604" i="229"/>
  <c r="D3604" i="229" s="1"/>
  <c r="C2463" i="229"/>
  <c r="D2463" i="229" s="1"/>
  <c r="C2790" i="288"/>
  <c r="D2790" i="288" s="1"/>
  <c r="D2791" i="288" s="1"/>
  <c r="I1217" i="229"/>
  <c r="J1217" i="229" s="1"/>
  <c r="C3723" i="229"/>
  <c r="D3723" i="229" s="1"/>
  <c r="X14" i="263"/>
  <c r="X21" i="263" s="1"/>
  <c r="I3794" i="229"/>
  <c r="J3794" i="229" s="1"/>
  <c r="C2597" i="229"/>
  <c r="D2597" i="229" s="1"/>
  <c r="I151" i="229"/>
  <c r="J151" i="229" s="1"/>
  <c r="I876" i="229"/>
  <c r="J876" i="229" s="1"/>
  <c r="C472" i="229"/>
  <c r="D472" i="229" s="1"/>
  <c r="R54" i="261"/>
  <c r="I827" i="229"/>
  <c r="J827" i="229" s="1"/>
  <c r="C3083" i="229"/>
  <c r="D3083" i="229" s="1"/>
  <c r="D3094" i="229" s="1"/>
  <c r="C1524" i="229"/>
  <c r="D1524" i="229" s="1"/>
  <c r="D1535" i="229" s="1"/>
  <c r="C2154" i="229"/>
  <c r="D2154" i="229" s="1"/>
  <c r="D2165" i="229" s="1"/>
  <c r="I2845" i="288"/>
  <c r="J2845" i="288" s="1"/>
  <c r="C1190" i="288"/>
  <c r="D1190" i="288" s="1"/>
  <c r="D1199" i="288" s="1"/>
  <c r="I91" i="229"/>
  <c r="J91" i="229" s="1"/>
  <c r="J102" i="229" s="1"/>
  <c r="I2595" i="229"/>
  <c r="J2595" i="229" s="1"/>
  <c r="C3637" i="229"/>
  <c r="D3637" i="229" s="1"/>
  <c r="D3649" i="229" s="1"/>
  <c r="C3769" i="229"/>
  <c r="D3769" i="229" s="1"/>
  <c r="D3781" i="229" s="1"/>
  <c r="I1231" i="229"/>
  <c r="J1231" i="229" s="1"/>
  <c r="J1242" i="229" s="1"/>
  <c r="C600" i="229"/>
  <c r="D600" i="229" s="1"/>
  <c r="U15" i="262"/>
  <c r="U78" i="262" s="1"/>
  <c r="I2978" i="288"/>
  <c r="J2978" i="288" s="1"/>
  <c r="C3570" i="229"/>
  <c r="D3570" i="229" s="1"/>
  <c r="C1049" i="288"/>
  <c r="D1049" i="288" s="1"/>
  <c r="C2716" i="288"/>
  <c r="D2716" i="288" s="1"/>
  <c r="I2102" i="288"/>
  <c r="J2102" i="288" s="1"/>
  <c r="J2111" i="288" s="1"/>
  <c r="I1732" i="288"/>
  <c r="J1732" i="288" s="1"/>
  <c r="J1741" i="288" s="1"/>
  <c r="I79" i="229"/>
  <c r="J79" i="229" s="1"/>
  <c r="I1974" i="288"/>
  <c r="J1974" i="288" s="1"/>
  <c r="J1983" i="288" s="1"/>
  <c r="C486" i="229"/>
  <c r="D486" i="229" s="1"/>
  <c r="I720" i="288"/>
  <c r="J720" i="288" s="1"/>
  <c r="J729" i="288" s="1"/>
  <c r="I189" i="229"/>
  <c r="J189" i="229" s="1"/>
  <c r="J200" i="229" s="1"/>
  <c r="C3164" i="229"/>
  <c r="D3164" i="229" s="1"/>
  <c r="D3175" i="229" s="1"/>
  <c r="C3278" i="229"/>
  <c r="D3278" i="229" s="1"/>
  <c r="D3289" i="229" s="1"/>
  <c r="C908" i="229"/>
  <c r="D908" i="229" s="1"/>
  <c r="I2819" i="288"/>
  <c r="J2819" i="288" s="1"/>
  <c r="J2820" i="288" s="1"/>
  <c r="I1907" i="288"/>
  <c r="J1907" i="288" s="1"/>
  <c r="J1908" i="288" s="1"/>
  <c r="I1818" i="229"/>
  <c r="J1818" i="229" s="1"/>
  <c r="C238" i="229"/>
  <c r="D238" i="229" s="1"/>
  <c r="D249" i="229" s="1"/>
  <c r="I1911" i="229"/>
  <c r="J1911" i="229" s="1"/>
  <c r="I2758" i="229"/>
  <c r="J2758" i="229" s="1"/>
  <c r="J2769" i="229" s="1"/>
  <c r="I2915" i="288"/>
  <c r="J2915" i="288" s="1"/>
  <c r="I3005" i="288"/>
  <c r="J3005" i="288" s="1"/>
  <c r="J3015" i="288" s="1"/>
  <c r="C210" i="229"/>
  <c r="D210" i="229" s="1"/>
  <c r="I849" i="288"/>
  <c r="J849" i="288" s="1"/>
  <c r="R87" i="265"/>
  <c r="I2774" i="288"/>
  <c r="J2774" i="288" s="1"/>
  <c r="I3097" i="288"/>
  <c r="J3097" i="288" s="1"/>
  <c r="C2994" i="288"/>
  <c r="D2994" i="288" s="1"/>
  <c r="I892" i="288"/>
  <c r="J892" i="288" s="1"/>
  <c r="C2823" i="229"/>
  <c r="D2823" i="229" s="1"/>
  <c r="D2834" i="229" s="1"/>
  <c r="C1931" i="288"/>
  <c r="D1931" i="288" s="1"/>
  <c r="D1940" i="288" s="1"/>
  <c r="C2116" i="288"/>
  <c r="D2116" i="288" s="1"/>
  <c r="D2125" i="288" s="1"/>
  <c r="C598" i="229"/>
  <c r="D598" i="229" s="1"/>
  <c r="D609" i="229" s="1"/>
  <c r="I3311" i="229"/>
  <c r="J3311" i="229" s="1"/>
  <c r="J3323" i="229" s="1"/>
  <c r="C3132" i="229"/>
  <c r="D3132" i="229" s="1"/>
  <c r="D3143" i="229" s="1"/>
  <c r="I797" i="229"/>
  <c r="J797" i="229" s="1"/>
  <c r="C3757" i="229"/>
  <c r="D3757" i="229" s="1"/>
  <c r="C3467" i="229"/>
  <c r="D3467" i="229" s="1"/>
  <c r="R19" i="265"/>
  <c r="R68" i="265"/>
  <c r="C2988" i="229"/>
  <c r="D2988" i="229" s="1"/>
  <c r="C2316" i="229"/>
  <c r="D2316" i="229" s="1"/>
  <c r="D2327" i="229" s="1"/>
  <c r="I1183" i="229"/>
  <c r="J1183" i="229" s="1"/>
  <c r="J1194" i="229" s="1"/>
  <c r="C2527" i="229"/>
  <c r="D2527" i="229" s="1"/>
  <c r="D2538" i="229" s="1"/>
  <c r="I1280" i="229"/>
  <c r="J1280" i="229" s="1"/>
  <c r="J1291" i="229" s="1"/>
  <c r="I1846" i="288"/>
  <c r="J1846" i="288" s="1"/>
  <c r="J1855" i="288" s="1"/>
  <c r="I1919" i="288"/>
  <c r="J1919" i="288" s="1"/>
  <c r="I1561" i="288"/>
  <c r="J1561" i="288" s="1"/>
  <c r="J1570" i="288" s="1"/>
  <c r="I2045" i="288"/>
  <c r="J2045" i="288" s="1"/>
  <c r="J2054" i="288" s="1"/>
  <c r="C1589" i="229"/>
  <c r="D1589" i="229" s="1"/>
  <c r="D1600" i="229" s="1"/>
  <c r="C3603" i="229"/>
  <c r="D3603" i="229" s="1"/>
  <c r="D3615" i="229" s="1"/>
  <c r="R66" i="265"/>
  <c r="C2873" i="288"/>
  <c r="D2873" i="288" s="1"/>
  <c r="C1703" i="288"/>
  <c r="D1703" i="288" s="1"/>
  <c r="D1712" i="288" s="1"/>
  <c r="I864" i="288"/>
  <c r="J864" i="288" s="1"/>
  <c r="C1926" i="229"/>
  <c r="D1926" i="229" s="1"/>
  <c r="D1937" i="229" s="1"/>
  <c r="I430" i="229"/>
  <c r="J430" i="229" s="1"/>
  <c r="I2890" i="229"/>
  <c r="J2890" i="229" s="1"/>
  <c r="I2373" i="288"/>
  <c r="J2373" i="288" s="1"/>
  <c r="J2382" i="288" s="1"/>
  <c r="I925" i="229"/>
  <c r="J925" i="229" s="1"/>
  <c r="I2923" i="229"/>
  <c r="J2923" i="229" s="1"/>
  <c r="C1988" i="288"/>
  <c r="D1988" i="288" s="1"/>
  <c r="D1997" i="288" s="1"/>
  <c r="I3313" i="229"/>
  <c r="J3313" i="229" s="1"/>
  <c r="C1069" i="229"/>
  <c r="D1069" i="229" s="1"/>
  <c r="D1080" i="229" s="1"/>
  <c r="R22" i="265"/>
  <c r="R82" i="265"/>
  <c r="R25" i="262"/>
  <c r="C323" i="229"/>
  <c r="D323" i="229" s="1"/>
  <c r="I2381" i="229"/>
  <c r="J2381" i="229" s="1"/>
  <c r="J2392" i="229" s="1"/>
  <c r="R63" i="265"/>
  <c r="I1755" i="229"/>
  <c r="J1755" i="229" s="1"/>
  <c r="R47" i="262"/>
  <c r="C441" i="229"/>
  <c r="D441" i="229" s="1"/>
  <c r="D452" i="229" s="1"/>
  <c r="R75" i="262"/>
  <c r="R53" i="262"/>
  <c r="C2953" i="229"/>
  <c r="D2953" i="229" s="1"/>
  <c r="D2964" i="229" s="1"/>
  <c r="I2116" i="288"/>
  <c r="J2116" i="288" s="1"/>
  <c r="J2125" i="288" s="1"/>
  <c r="I1542" i="229"/>
  <c r="J1542" i="229" s="1"/>
  <c r="I2495" i="229"/>
  <c r="J2495" i="229" s="1"/>
  <c r="J2506" i="229" s="1"/>
  <c r="I2560" i="229"/>
  <c r="J2560" i="229" s="1"/>
  <c r="J2571" i="229" s="1"/>
  <c r="C3053" i="229"/>
  <c r="D3053" i="229" s="1"/>
  <c r="I1264" i="229"/>
  <c r="J1264" i="229" s="1"/>
  <c r="J1275" i="229" s="1"/>
  <c r="C1540" i="229"/>
  <c r="D1540" i="229" s="1"/>
  <c r="D1551" i="229" s="1"/>
  <c r="R60" i="261"/>
  <c r="I1746" i="288"/>
  <c r="J1746" i="288" s="1"/>
  <c r="J1755" i="288" s="1"/>
  <c r="C1150" i="229"/>
  <c r="D1150" i="229" s="1"/>
  <c r="D1161" i="229" s="1"/>
  <c r="I577" i="288"/>
  <c r="J577" i="288" s="1"/>
  <c r="J586" i="288" s="1"/>
  <c r="R40" i="265"/>
  <c r="R78" i="261"/>
  <c r="R67" i="261"/>
  <c r="C2284" i="229"/>
  <c r="D2284" i="229" s="1"/>
  <c r="D2295" i="229" s="1"/>
  <c r="C1790" i="288"/>
  <c r="D1790" i="288" s="1"/>
  <c r="I1752" i="229"/>
  <c r="J1752" i="229" s="1"/>
  <c r="C2730" i="229"/>
  <c r="D2730" i="229" s="1"/>
  <c r="C504" i="229"/>
  <c r="D504" i="229" s="1"/>
  <c r="R39" i="261"/>
  <c r="I1445" i="229"/>
  <c r="J1445" i="229" s="1"/>
  <c r="R16" i="262"/>
  <c r="I193" i="288"/>
  <c r="J193" i="288" s="1"/>
  <c r="J202" i="288" s="1"/>
  <c r="I2361" i="288"/>
  <c r="J2361" i="288" s="1"/>
  <c r="C26" i="288"/>
  <c r="D26" i="288" s="1"/>
  <c r="D27" i="288" s="1"/>
  <c r="C3117" i="229"/>
  <c r="D3117" i="229" s="1"/>
  <c r="I2460" i="288"/>
  <c r="J2460" i="288" s="1"/>
  <c r="I2801" i="288"/>
  <c r="J2801" i="288" s="1"/>
  <c r="C3553" i="229"/>
  <c r="D3553" i="229" s="1"/>
  <c r="C1351" i="288"/>
  <c r="D1351" i="288" s="1"/>
  <c r="D1352" i="288" s="1"/>
  <c r="I2811" i="229"/>
  <c r="J2811" i="229" s="1"/>
  <c r="C2992" i="288"/>
  <c r="D2992" i="288" s="1"/>
  <c r="I3247" i="229"/>
  <c r="J3247" i="229" s="1"/>
  <c r="I2203" i="229"/>
  <c r="J2203" i="229" s="1"/>
  <c r="C1005" i="229"/>
  <c r="D1005" i="229" s="1"/>
  <c r="I3337" i="288"/>
  <c r="J3337" i="288" s="1"/>
  <c r="J3338" i="288" s="1"/>
  <c r="I2905" i="229"/>
  <c r="J2905" i="229" s="1"/>
  <c r="I1770" i="229"/>
  <c r="J1770" i="229" s="1"/>
  <c r="I535" i="229"/>
  <c r="J535" i="229" s="1"/>
  <c r="I3587" i="229"/>
  <c r="J3587" i="229" s="1"/>
  <c r="C1620" i="288"/>
  <c r="D1620" i="288" s="1"/>
  <c r="C1034" i="288"/>
  <c r="D1034" i="288" s="1"/>
  <c r="I1049" i="288"/>
  <c r="J1049" i="288" s="1"/>
  <c r="I692" i="288"/>
  <c r="J692" i="288" s="1"/>
  <c r="I2949" i="288"/>
  <c r="J2949" i="288" s="1"/>
  <c r="J2950" i="288" s="1"/>
  <c r="C2206" i="288"/>
  <c r="D2206" i="288" s="1"/>
  <c r="D2207" i="288" s="1"/>
  <c r="I2505" i="288"/>
  <c r="J2505" i="288" s="1"/>
  <c r="J2506" i="288" s="1"/>
  <c r="I811" i="229"/>
  <c r="J811" i="229" s="1"/>
  <c r="I603" i="229"/>
  <c r="J603" i="229" s="1"/>
  <c r="I2546" i="288"/>
  <c r="J2546" i="288" s="1"/>
  <c r="C678" i="288"/>
  <c r="D678" i="288" s="1"/>
  <c r="C3787" i="229"/>
  <c r="D3787" i="229" s="1"/>
  <c r="I795" i="229"/>
  <c r="J795" i="229" s="1"/>
  <c r="C2906" i="229"/>
  <c r="D2906" i="229" s="1"/>
  <c r="C2697" i="229"/>
  <c r="D2697" i="229" s="1"/>
  <c r="I3264" i="229"/>
  <c r="J3264" i="229" s="1"/>
  <c r="I3687" i="229"/>
  <c r="J3687" i="229" s="1"/>
  <c r="I3347" i="229"/>
  <c r="J3347" i="229" s="1"/>
  <c r="I1064" i="288"/>
  <c r="J1064" i="288" s="1"/>
  <c r="C3336" i="288"/>
  <c r="D3336" i="288" s="1"/>
  <c r="C2876" i="288"/>
  <c r="D2876" i="288" s="1"/>
  <c r="D2877" i="288" s="1"/>
  <c r="C2220" i="229"/>
  <c r="D2220" i="229" s="1"/>
  <c r="C2498" i="229"/>
  <c r="D2498" i="229" s="1"/>
  <c r="C3266" i="288"/>
  <c r="D3266" i="288" s="1"/>
  <c r="D3267" i="288" s="1"/>
  <c r="C502" i="229"/>
  <c r="D502" i="229" s="1"/>
  <c r="C1221" i="288"/>
  <c r="D1221" i="288" s="1"/>
  <c r="C3134" i="229"/>
  <c r="D3134" i="229" s="1"/>
  <c r="I2841" i="229"/>
  <c r="J2841" i="229" s="1"/>
  <c r="C3821" i="229"/>
  <c r="D3821" i="229" s="1"/>
  <c r="C2702" i="288"/>
  <c r="D2702" i="288" s="1"/>
  <c r="C696" i="229"/>
  <c r="D696" i="229" s="1"/>
  <c r="I2686" i="288"/>
  <c r="J2686" i="288" s="1"/>
  <c r="J2695" i="288" s="1"/>
  <c r="I2172" i="229"/>
  <c r="J2172" i="229" s="1"/>
  <c r="C1478" i="288"/>
  <c r="D1478" i="288" s="1"/>
  <c r="I551" i="229"/>
  <c r="J551" i="229" s="1"/>
  <c r="C3055" i="288"/>
  <c r="D3055" i="288" s="1"/>
  <c r="C1691" i="288"/>
  <c r="D1691" i="288" s="1"/>
  <c r="Z14" i="264"/>
  <c r="Z85" i="264" s="1"/>
  <c r="I1461" i="229"/>
  <c r="J1461" i="229" s="1"/>
  <c r="I1036" i="229"/>
  <c r="J1036" i="229" s="1"/>
  <c r="J1047" i="229" s="1"/>
  <c r="C2807" i="229"/>
  <c r="D2807" i="229" s="1"/>
  <c r="D2818" i="229" s="1"/>
  <c r="I2035" i="288"/>
  <c r="J2035" i="288" s="1"/>
  <c r="J2036" i="288" s="1"/>
  <c r="C822" i="288"/>
  <c r="D822" i="288" s="1"/>
  <c r="C3279" i="288"/>
  <c r="D3279" i="288" s="1"/>
  <c r="I3132" i="288"/>
  <c r="J3132" i="288" s="1"/>
  <c r="J3133" i="288" s="1"/>
  <c r="I1557" i="229"/>
  <c r="J1557" i="229" s="1"/>
  <c r="C1297" i="229"/>
  <c r="D1297" i="229" s="1"/>
  <c r="C699" i="229"/>
  <c r="D699" i="229" s="1"/>
  <c r="I567" i="229"/>
  <c r="J567" i="229" s="1"/>
  <c r="I940" i="229"/>
  <c r="J940" i="229" s="1"/>
  <c r="C697" i="229"/>
  <c r="D697" i="229" s="1"/>
  <c r="C193" i="229"/>
  <c r="D193" i="229" s="1"/>
  <c r="C3435" i="229"/>
  <c r="D3435" i="229" s="1"/>
  <c r="I1849" i="288"/>
  <c r="J1849" i="288" s="1"/>
  <c r="C3313" i="229"/>
  <c r="D3313" i="229" s="1"/>
  <c r="V14" i="264"/>
  <c r="V85" i="264" s="1"/>
  <c r="I1847" i="288"/>
  <c r="J1847" i="288" s="1"/>
  <c r="I1591" i="288"/>
  <c r="J1591" i="288" s="1"/>
  <c r="C2388" i="288"/>
  <c r="D2388" i="288" s="1"/>
  <c r="C3147" i="288"/>
  <c r="D3147" i="288" s="1"/>
  <c r="D3148" i="288" s="1"/>
  <c r="C3333" i="288"/>
  <c r="D3333" i="288" s="1"/>
  <c r="C720" i="288"/>
  <c r="D720" i="288" s="1"/>
  <c r="C2516" i="288"/>
  <c r="D2516" i="288" s="1"/>
  <c r="C2960" i="288"/>
  <c r="D2960" i="288" s="1"/>
  <c r="C1237" i="288"/>
  <c r="D1237" i="288" s="1"/>
  <c r="D1238" i="288" s="1"/>
  <c r="C3726" i="229"/>
  <c r="D3726" i="229" s="1"/>
  <c r="I3263" i="229"/>
  <c r="J3263" i="229" s="1"/>
  <c r="I3787" i="229"/>
  <c r="J3787" i="229" s="1"/>
  <c r="I353" i="229"/>
  <c r="J353" i="229" s="1"/>
  <c r="I820" i="288"/>
  <c r="J820" i="288" s="1"/>
  <c r="J829" i="288" s="1"/>
  <c r="C821" i="288"/>
  <c r="D821" i="288" s="1"/>
  <c r="C2662" i="229"/>
  <c r="D2662" i="229" s="1"/>
  <c r="C2746" i="229"/>
  <c r="D2746" i="229" s="1"/>
  <c r="I3218" i="229"/>
  <c r="J3218" i="229" s="1"/>
  <c r="C2026" i="229"/>
  <c r="D2026" i="229" s="1"/>
  <c r="I2990" i="288"/>
  <c r="J2990" i="288" s="1"/>
  <c r="J3000" i="288" s="1"/>
  <c r="C3761" i="229"/>
  <c r="D3761" i="229" s="1"/>
  <c r="C3097" i="288"/>
  <c r="D3097" i="288" s="1"/>
  <c r="I2715" i="288"/>
  <c r="J2715" i="288" s="1"/>
  <c r="J2724" i="288" s="1"/>
  <c r="R49" i="261"/>
  <c r="C907" i="229"/>
  <c r="D907" i="229" s="1"/>
  <c r="C2731" i="288"/>
  <c r="D2731" i="288" s="1"/>
  <c r="C2072" i="229"/>
  <c r="D2072" i="229" s="1"/>
  <c r="D2083" i="229" s="1"/>
  <c r="I534" i="229"/>
  <c r="J534" i="229" s="1"/>
  <c r="C3776" i="229"/>
  <c r="D3776" i="229" s="1"/>
  <c r="C1378" i="288"/>
  <c r="D1378" i="288" s="1"/>
  <c r="I1205" i="288"/>
  <c r="J1205" i="288" s="1"/>
  <c r="C2560" i="229"/>
  <c r="D2560" i="229" s="1"/>
  <c r="D2571" i="229" s="1"/>
  <c r="C3144" i="288"/>
  <c r="D3144" i="288" s="1"/>
  <c r="C807" i="288"/>
  <c r="D807" i="288" s="1"/>
  <c r="C722" i="288"/>
  <c r="D722" i="288" s="1"/>
  <c r="I1605" i="229"/>
  <c r="J1605" i="229" s="1"/>
  <c r="J1616" i="229" s="1"/>
  <c r="C1406" i="288"/>
  <c r="D1406" i="288" s="1"/>
  <c r="R43" i="265"/>
  <c r="C1006" i="288"/>
  <c r="D1006" i="288" s="1"/>
  <c r="I2888" i="288"/>
  <c r="J2888" i="288" s="1"/>
  <c r="I2028" i="229"/>
  <c r="J2028" i="229" s="1"/>
  <c r="C1187" i="229"/>
  <c r="D1187" i="229" s="1"/>
  <c r="I225" i="288"/>
  <c r="J225" i="288" s="1"/>
  <c r="J226" i="288" s="1"/>
  <c r="C1191" i="288"/>
  <c r="D1191" i="288" s="1"/>
  <c r="C3127" i="288"/>
  <c r="D3127" i="288" s="1"/>
  <c r="D3137" i="288" s="1"/>
  <c r="I2916" i="288"/>
  <c r="J2916" i="288" s="1"/>
  <c r="I2024" i="229"/>
  <c r="J2024" i="229" s="1"/>
  <c r="J2035" i="229" s="1"/>
  <c r="C36" i="288"/>
  <c r="D36" i="288" s="1"/>
  <c r="D47" i="288" s="1"/>
  <c r="C3019" i="229"/>
  <c r="D3019" i="229" s="1"/>
  <c r="I667" i="288"/>
  <c r="J667" i="288" s="1"/>
  <c r="J668" i="288" s="1"/>
  <c r="I1976" i="288"/>
  <c r="J1976" i="288" s="1"/>
  <c r="I2203" i="288"/>
  <c r="J2203" i="288" s="1"/>
  <c r="I3265" i="288"/>
  <c r="J3265" i="288" s="1"/>
  <c r="I1707" i="229"/>
  <c r="J1707" i="229" s="1"/>
  <c r="C3328" i="229"/>
  <c r="D3328" i="229" s="1"/>
  <c r="D3340" i="229" s="1"/>
  <c r="C1050" i="288"/>
  <c r="D1050" i="288" s="1"/>
  <c r="C453" i="288"/>
  <c r="D453" i="288" s="1"/>
  <c r="D454" i="288" s="1"/>
  <c r="C323" i="288"/>
  <c r="D323" i="288" s="1"/>
  <c r="C3218" i="229"/>
  <c r="D3218" i="229" s="1"/>
  <c r="C1435" i="288"/>
  <c r="D1435" i="288" s="1"/>
  <c r="I1306" i="288"/>
  <c r="J1306" i="288" s="1"/>
  <c r="C972" i="229"/>
  <c r="D972" i="229" s="1"/>
  <c r="C1449" i="288"/>
  <c r="D1449" i="288" s="1"/>
  <c r="C3173" i="288"/>
  <c r="D3173" i="288" s="1"/>
  <c r="I3349" i="229"/>
  <c r="J3349" i="229" s="1"/>
  <c r="C3520" i="229"/>
  <c r="D3520" i="229" s="1"/>
  <c r="I2658" i="288"/>
  <c r="J2658" i="288" s="1"/>
  <c r="J2667" i="288" s="1"/>
  <c r="C879" i="229"/>
  <c r="D879" i="229" s="1"/>
  <c r="C165" i="288"/>
  <c r="D165" i="288" s="1"/>
  <c r="I1232" i="229"/>
  <c r="J1232" i="229" s="1"/>
  <c r="C779" i="288"/>
  <c r="D779" i="288" s="1"/>
  <c r="C119" i="288"/>
  <c r="D119" i="288" s="1"/>
  <c r="I1448" i="288"/>
  <c r="J1448" i="288" s="1"/>
  <c r="I2933" i="288"/>
  <c r="J2933" i="288" s="1"/>
  <c r="I3724" i="229"/>
  <c r="J3724" i="229" s="1"/>
  <c r="C638" i="288"/>
  <c r="D638" i="288" s="1"/>
  <c r="D639" i="288" s="1"/>
  <c r="C3690" i="229"/>
  <c r="D3690" i="229" s="1"/>
  <c r="I1942" i="229"/>
  <c r="J1942" i="229" s="1"/>
  <c r="J1953" i="229" s="1"/>
  <c r="I307" i="229"/>
  <c r="J307" i="229" s="1"/>
  <c r="C3331" i="288"/>
  <c r="D3331" i="288" s="1"/>
  <c r="D3341" i="288" s="1"/>
  <c r="I1477" i="288"/>
  <c r="J1477" i="288" s="1"/>
  <c r="C2401" i="288"/>
  <c r="D2401" i="288" s="1"/>
  <c r="D2410" i="288" s="1"/>
  <c r="I2202" i="229"/>
  <c r="J2202" i="229" s="1"/>
  <c r="J2213" i="229" s="1"/>
  <c r="C1786" i="229"/>
  <c r="D1786" i="229" s="1"/>
  <c r="I3573" i="229"/>
  <c r="J3573" i="229" s="1"/>
  <c r="I650" i="288"/>
  <c r="J650" i="288" s="1"/>
  <c r="I2317" i="229"/>
  <c r="J2317" i="229" s="1"/>
  <c r="C2011" i="229"/>
  <c r="D2011" i="229" s="1"/>
  <c r="C1199" i="229"/>
  <c r="D1199" i="229" s="1"/>
  <c r="D1210" i="229" s="1"/>
  <c r="I3466" i="229"/>
  <c r="J3466" i="229" s="1"/>
  <c r="J3478" i="229" s="1"/>
  <c r="U14" i="265"/>
  <c r="U99" i="265" s="1"/>
  <c r="C1119" i="229"/>
  <c r="D1119" i="229" s="1"/>
  <c r="R17" i="263"/>
  <c r="R93" i="261"/>
  <c r="C2475" i="288"/>
  <c r="D2475" i="288" s="1"/>
  <c r="C1073" i="229"/>
  <c r="D1073" i="229" s="1"/>
  <c r="I3216" i="288"/>
  <c r="J3216" i="288" s="1"/>
  <c r="J3226" i="288" s="1"/>
  <c r="C500" i="229"/>
  <c r="D500" i="229" s="1"/>
  <c r="D511" i="229" s="1"/>
  <c r="C3055" i="229"/>
  <c r="D3055" i="229" s="1"/>
  <c r="I2316" i="229"/>
  <c r="J2316" i="229" s="1"/>
  <c r="J2327" i="229" s="1"/>
  <c r="I2174" i="288"/>
  <c r="J2174" i="288" s="1"/>
  <c r="I1317" i="229"/>
  <c r="J1317" i="229" s="1"/>
  <c r="U14" i="258"/>
  <c r="U25" i="258" s="1"/>
  <c r="C2717" i="288"/>
  <c r="D2717" i="288" s="1"/>
  <c r="C3738" i="229"/>
  <c r="D3738" i="229" s="1"/>
  <c r="R25" i="265"/>
  <c r="C2824" i="229"/>
  <c r="D2824" i="229" s="1"/>
  <c r="R24" i="261"/>
  <c r="R29" i="265"/>
  <c r="C2006" i="288"/>
  <c r="D2006" i="288" s="1"/>
  <c r="D2007" i="288" s="1"/>
  <c r="I977" i="288"/>
  <c r="J977" i="288" s="1"/>
  <c r="C634" i="288"/>
  <c r="D634" i="288" s="1"/>
  <c r="D643" i="288" s="1"/>
  <c r="R41" i="261"/>
  <c r="I825" i="229"/>
  <c r="J825" i="229" s="1"/>
  <c r="J836" i="229" s="1"/>
  <c r="C1718" i="288"/>
  <c r="D1718" i="288" s="1"/>
  <c r="C3099" i="288"/>
  <c r="D3099" i="288" s="1"/>
  <c r="C3053" i="288"/>
  <c r="D3053" i="288" s="1"/>
  <c r="R74" i="261"/>
  <c r="C3022" i="288"/>
  <c r="D3022" i="288" s="1"/>
  <c r="C1464" i="229"/>
  <c r="D1464" i="229" s="1"/>
  <c r="R95" i="261"/>
  <c r="I1375" i="288"/>
  <c r="J1375" i="288" s="1"/>
  <c r="J1384" i="288" s="1"/>
  <c r="C250" i="288"/>
  <c r="D250" i="288" s="1"/>
  <c r="D259" i="288" s="1"/>
  <c r="C585" i="229"/>
  <c r="D585" i="229" s="1"/>
  <c r="I1379" i="229"/>
  <c r="J1379" i="229" s="1"/>
  <c r="C3113" i="288"/>
  <c r="D3113" i="288" s="1"/>
  <c r="R31" i="262"/>
  <c r="I2458" i="288"/>
  <c r="J2458" i="288" s="1"/>
  <c r="J2467" i="288" s="1"/>
  <c r="R69" i="265"/>
  <c r="I518" i="229"/>
  <c r="J518" i="229" s="1"/>
  <c r="T14" i="258"/>
  <c r="T25" i="258" s="1"/>
  <c r="C1606" i="229"/>
  <c r="D1606" i="229" s="1"/>
  <c r="R60" i="262"/>
  <c r="C2474" i="288"/>
  <c r="D2474" i="288" s="1"/>
  <c r="R48" i="265"/>
  <c r="C3523" i="229"/>
  <c r="D3523" i="229" s="1"/>
  <c r="I478" i="288"/>
  <c r="J478" i="288" s="1"/>
  <c r="J487" i="288" s="1"/>
  <c r="R22" i="262"/>
  <c r="I254" i="229"/>
  <c r="J254" i="229" s="1"/>
  <c r="J265" i="229" s="1"/>
  <c r="C2701" i="288"/>
  <c r="D2701" i="288" s="1"/>
  <c r="D2710" i="288" s="1"/>
  <c r="C177" i="229"/>
  <c r="D177" i="229" s="1"/>
  <c r="C3755" i="229"/>
  <c r="D3755" i="229" s="1"/>
  <c r="C1928" i="229"/>
  <c r="D1928" i="229" s="1"/>
  <c r="C3245" i="288"/>
  <c r="D3245" i="288" s="1"/>
  <c r="D3255" i="288" s="1"/>
  <c r="I242" i="229"/>
  <c r="J242" i="229" s="1"/>
  <c r="C422" i="288"/>
  <c r="D422" i="288" s="1"/>
  <c r="I2145" i="288"/>
  <c r="J2145" i="288" s="1"/>
  <c r="J2154" i="288" s="1"/>
  <c r="R80" i="261"/>
  <c r="C2949" i="288"/>
  <c r="D2949" i="288" s="1"/>
  <c r="D2950" i="288" s="1"/>
  <c r="C780" i="229"/>
  <c r="D780" i="229" s="1"/>
  <c r="C3805" i="229"/>
  <c r="D3805" i="229" s="1"/>
  <c r="C520" i="229"/>
  <c r="D520" i="229" s="1"/>
  <c r="I3738" i="229"/>
  <c r="J3738" i="229" s="1"/>
  <c r="I1609" i="229"/>
  <c r="J1609" i="229" s="1"/>
  <c r="C1519" i="288"/>
  <c r="D1519" i="288" s="1"/>
  <c r="C1679" i="288"/>
  <c r="D1679" i="288" s="1"/>
  <c r="D1680" i="288" s="1"/>
  <c r="C3744" i="229"/>
  <c r="D3744" i="229" s="1"/>
  <c r="I1134" i="288"/>
  <c r="J1134" i="288" s="1"/>
  <c r="I777" i="288"/>
  <c r="J777" i="288" s="1"/>
  <c r="J786" i="288" s="1"/>
  <c r="I965" i="288"/>
  <c r="J965" i="288" s="1"/>
  <c r="I2829" i="288"/>
  <c r="J2829" i="288" s="1"/>
  <c r="J2838" i="288" s="1"/>
  <c r="R15" i="265"/>
  <c r="I2117" i="288"/>
  <c r="J2117" i="288" s="1"/>
  <c r="C1854" i="229"/>
  <c r="D1854" i="229" s="1"/>
  <c r="C2433" i="288"/>
  <c r="D2433" i="288" s="1"/>
  <c r="R45" i="261"/>
  <c r="R76" i="261"/>
  <c r="C1447" i="229"/>
  <c r="D1447" i="229" s="1"/>
  <c r="R75" i="261"/>
  <c r="R76" i="262"/>
  <c r="C3176" i="288"/>
  <c r="D3176" i="288" s="1"/>
  <c r="D3177" i="288" s="1"/>
  <c r="I1448" i="229"/>
  <c r="J1448" i="229" s="1"/>
  <c r="R81" i="265"/>
  <c r="C1603" i="288"/>
  <c r="D1603" i="288" s="1"/>
  <c r="D1612" i="288" s="1"/>
  <c r="I2857" i="288"/>
  <c r="J2857" i="288" s="1"/>
  <c r="J2866" i="288" s="1"/>
  <c r="C1405" i="288"/>
  <c r="D1405" i="288" s="1"/>
  <c r="C488" i="229"/>
  <c r="D488" i="229" s="1"/>
  <c r="I1961" i="288"/>
  <c r="J1961" i="288" s="1"/>
  <c r="R91" i="261"/>
  <c r="C518" i="229"/>
  <c r="D518" i="229" s="1"/>
  <c r="I2216" i="288"/>
  <c r="J2216" i="288" s="1"/>
  <c r="J2225" i="288" s="1"/>
  <c r="I1878" i="288"/>
  <c r="J1878" i="288" s="1"/>
  <c r="J1879" i="288" s="1"/>
  <c r="R42" i="262"/>
  <c r="I1991" i="229"/>
  <c r="J1991" i="229" s="1"/>
  <c r="J2002" i="229" s="1"/>
  <c r="C648" i="229"/>
  <c r="D648" i="229" s="1"/>
  <c r="C37" i="288"/>
  <c r="D37" i="288" s="1"/>
  <c r="I3217" i="288"/>
  <c r="J3217" i="288" s="1"/>
  <c r="C1622" i="288"/>
  <c r="D1622" i="288" s="1"/>
  <c r="D1623" i="288" s="1"/>
  <c r="I206" i="229"/>
  <c r="J206" i="229" s="1"/>
  <c r="I1253" i="229"/>
  <c r="J1253" i="229" s="1"/>
  <c r="C3279" i="229"/>
  <c r="D3279" i="229" s="1"/>
  <c r="I1265" i="229"/>
  <c r="J1265" i="229" s="1"/>
  <c r="C3450" i="229"/>
  <c r="D3450" i="229" s="1"/>
  <c r="Z14" i="266"/>
  <c r="Z21" i="266" s="1"/>
  <c r="C2160" i="288"/>
  <c r="D2160" i="288" s="1"/>
  <c r="I2591" i="288"/>
  <c r="J2591" i="288" s="1"/>
  <c r="J2592" i="288" s="1"/>
  <c r="R48" i="261"/>
  <c r="C3727" i="229"/>
  <c r="D3727" i="229" s="1"/>
  <c r="C2959" i="288"/>
  <c r="D2959" i="288" s="1"/>
  <c r="D2969" i="288" s="1"/>
  <c r="I564" i="288"/>
  <c r="J564" i="288" s="1"/>
  <c r="C2660" i="288"/>
  <c r="D2660" i="288" s="1"/>
  <c r="C811" i="229"/>
  <c r="D811" i="229" s="1"/>
  <c r="I594" i="288"/>
  <c r="J594" i="288" s="1"/>
  <c r="I1006" i="288"/>
  <c r="J1006" i="288" s="1"/>
  <c r="I1947" i="229"/>
  <c r="J1947" i="229" s="1"/>
  <c r="I1544" i="229"/>
  <c r="J1544" i="229" s="1"/>
  <c r="I3772" i="229"/>
  <c r="J3772" i="229" s="1"/>
  <c r="C3266" i="229"/>
  <c r="D3266" i="229" s="1"/>
  <c r="I236" i="288"/>
  <c r="J236" i="288" s="1"/>
  <c r="I524" i="288"/>
  <c r="J524" i="288" s="1"/>
  <c r="J525" i="288" s="1"/>
  <c r="I3383" i="229"/>
  <c r="J3383" i="229" s="1"/>
  <c r="C750" i="288"/>
  <c r="D750" i="288" s="1"/>
  <c r="I2545" i="288"/>
  <c r="J2545" i="288" s="1"/>
  <c r="C282" i="288"/>
  <c r="D282" i="288" s="1"/>
  <c r="D283" i="288" s="1"/>
  <c r="I1833" i="288"/>
  <c r="J1833" i="288" s="1"/>
  <c r="I2306" i="229"/>
  <c r="J2306" i="229" s="1"/>
  <c r="C751" i="288"/>
  <c r="D751" i="288" s="1"/>
  <c r="I2124" i="229"/>
  <c r="J2124" i="229" s="1"/>
  <c r="I2561" i="229"/>
  <c r="J2561" i="229" s="1"/>
  <c r="I2796" i="229"/>
  <c r="J2796" i="229" s="1"/>
  <c r="I3071" i="288"/>
  <c r="J3071" i="288" s="1"/>
  <c r="J3072" i="288" s="1"/>
  <c r="I3152" i="229"/>
  <c r="J3152" i="229" s="1"/>
  <c r="C225" i="288"/>
  <c r="D225" i="288" s="1"/>
  <c r="D226" i="288" s="1"/>
  <c r="C596" i="288"/>
  <c r="D596" i="288" s="1"/>
  <c r="D597" i="288" s="1"/>
  <c r="I2108" i="229"/>
  <c r="J2108" i="229" s="1"/>
  <c r="I3292" i="288"/>
  <c r="J3292" i="288" s="1"/>
  <c r="I1821" i="229"/>
  <c r="J1821" i="229" s="1"/>
  <c r="I24" i="288"/>
  <c r="J24" i="288" s="1"/>
  <c r="I3040" i="229"/>
  <c r="J3040" i="229" s="1"/>
  <c r="C211" i="288"/>
  <c r="D211" i="288" s="1"/>
  <c r="D212" i="288" s="1"/>
  <c r="I3789" i="229"/>
  <c r="J3789" i="229" s="1"/>
  <c r="C684" i="229"/>
  <c r="D684" i="229" s="1"/>
  <c r="I9" i="288"/>
  <c r="J9" i="288" s="1"/>
  <c r="I922" i="288"/>
  <c r="J922" i="288" s="1"/>
  <c r="C2238" i="229"/>
  <c r="D2238" i="229" s="1"/>
  <c r="I2176" i="288"/>
  <c r="J2176" i="288" s="1"/>
  <c r="C2289" i="229"/>
  <c r="D2289" i="229" s="1"/>
  <c r="C2419" i="229"/>
  <c r="D2419" i="229" s="1"/>
  <c r="I2847" i="288"/>
  <c r="J2847" i="288" s="1"/>
  <c r="J2848" i="288" s="1"/>
  <c r="C566" i="229"/>
  <c r="D566" i="229" s="1"/>
  <c r="C2889" i="229"/>
  <c r="D2889" i="229" s="1"/>
  <c r="I3250" i="288"/>
  <c r="J3250" i="288" s="1"/>
  <c r="I2760" i="288"/>
  <c r="J2760" i="288" s="1"/>
  <c r="I1777" i="288"/>
  <c r="J1777" i="288" s="1"/>
  <c r="I92" i="229"/>
  <c r="J92" i="229" s="1"/>
  <c r="C1314" i="229"/>
  <c r="D1314" i="229" s="1"/>
  <c r="C1693" i="288"/>
  <c r="D1693" i="288" s="1"/>
  <c r="D1694" i="288" s="1"/>
  <c r="C3261" i="288"/>
  <c r="D3261" i="288" s="1"/>
  <c r="C667" i="288"/>
  <c r="D667" i="288" s="1"/>
  <c r="D668" i="288" s="1"/>
  <c r="I3262" i="288"/>
  <c r="J3262" i="288" s="1"/>
  <c r="C211" i="229"/>
  <c r="D211" i="229" s="1"/>
  <c r="I37" i="288"/>
  <c r="J37" i="288" s="1"/>
  <c r="C742" i="328"/>
  <c r="E742" i="328" s="1"/>
  <c r="I1382" i="229"/>
  <c r="J1382" i="229" s="1"/>
  <c r="I3352" i="288"/>
  <c r="J3352" i="288" s="1"/>
  <c r="J3353" i="288" s="1"/>
  <c r="C780" i="288"/>
  <c r="D780" i="288" s="1"/>
  <c r="C136" i="288"/>
  <c r="D136" i="288" s="1"/>
  <c r="I1041" i="229"/>
  <c r="J1041" i="229" s="1"/>
  <c r="C863" i="229"/>
  <c r="D863" i="229" s="1"/>
  <c r="I2548" i="229"/>
  <c r="J2548" i="229" s="1"/>
  <c r="C1609" i="229"/>
  <c r="D1609" i="229" s="1"/>
  <c r="C2147" i="288"/>
  <c r="D2147" i="288" s="1"/>
  <c r="C2915" i="288"/>
  <c r="D2915" i="288" s="1"/>
  <c r="R51" i="261"/>
  <c r="R68" i="262"/>
  <c r="T14" i="263"/>
  <c r="T21" i="263" s="1"/>
  <c r="C1894" i="229"/>
  <c r="D1894" i="229" s="1"/>
  <c r="D1905" i="229" s="1"/>
  <c r="C1119" i="288"/>
  <c r="D1119" i="288" s="1"/>
  <c r="D1128" i="288" s="1"/>
  <c r="I3289" i="288"/>
  <c r="J3289" i="288" s="1"/>
  <c r="C120" i="288"/>
  <c r="D120" i="288" s="1"/>
  <c r="C1305" i="288"/>
  <c r="D1305" i="288" s="1"/>
  <c r="I617" i="229"/>
  <c r="J617" i="229" s="1"/>
  <c r="C3502" i="229"/>
  <c r="D3502" i="229" s="1"/>
  <c r="I2377" i="288"/>
  <c r="J2377" i="288" s="1"/>
  <c r="J2378" i="288" s="1"/>
  <c r="I1363" i="288"/>
  <c r="J1363" i="288" s="1"/>
  <c r="I2991" i="229"/>
  <c r="J2991" i="229" s="1"/>
  <c r="I631" i="229"/>
  <c r="J631" i="229" s="1"/>
  <c r="C1057" i="229"/>
  <c r="D1057" i="229" s="1"/>
  <c r="I2253" i="229"/>
  <c r="J2253" i="229" s="1"/>
  <c r="I2350" i="229"/>
  <c r="J2350" i="229" s="1"/>
  <c r="C2802" i="288"/>
  <c r="D2802" i="288" s="1"/>
  <c r="C1678" i="288"/>
  <c r="D1678" i="288" s="1"/>
  <c r="C3162" i="288"/>
  <c r="D3162" i="288" s="1"/>
  <c r="D3163" i="288" s="1"/>
  <c r="C2519" i="288"/>
  <c r="D2519" i="288" s="1"/>
  <c r="D2520" i="288" s="1"/>
  <c r="C2793" i="229"/>
  <c r="D2793" i="229" s="1"/>
  <c r="I21" i="288"/>
  <c r="J21" i="288" s="1"/>
  <c r="I1318" i="288"/>
  <c r="J1318" i="288" s="1"/>
  <c r="J1327" i="288" s="1"/>
  <c r="I1411" i="229"/>
  <c r="J1411" i="229" s="1"/>
  <c r="C2271" i="229"/>
  <c r="D2271" i="229" s="1"/>
  <c r="C3136" i="229"/>
  <c r="D3136" i="229" s="1"/>
  <c r="I1992" i="288"/>
  <c r="J1992" i="288" s="1"/>
  <c r="J1993" i="288" s="1"/>
  <c r="I2941" i="229"/>
  <c r="J2941" i="229" s="1"/>
  <c r="I2027" i="229"/>
  <c r="J2027" i="229" s="1"/>
  <c r="C273" i="229"/>
  <c r="D273" i="229" s="1"/>
  <c r="C2699" i="229"/>
  <c r="D2699" i="229" s="1"/>
  <c r="I3145" i="288"/>
  <c r="J3145" i="288" s="1"/>
  <c r="I2160" i="288"/>
  <c r="J2160" i="288" s="1"/>
  <c r="I260" i="229"/>
  <c r="J260" i="229" s="1"/>
  <c r="I2061" i="288"/>
  <c r="J2061" i="288" s="1"/>
  <c r="I1505" i="288"/>
  <c r="J1505" i="288" s="1"/>
  <c r="C1933" i="288"/>
  <c r="D1933" i="288" s="1"/>
  <c r="I173" i="229"/>
  <c r="J173" i="229" s="1"/>
  <c r="J184" i="229" s="1"/>
  <c r="I2697" i="229"/>
  <c r="J2697" i="229" s="1"/>
  <c r="C2465" i="229"/>
  <c r="D2465" i="229" s="1"/>
  <c r="C1805" i="229"/>
  <c r="D1805" i="229" s="1"/>
  <c r="C3742" i="229"/>
  <c r="D3742" i="229" s="1"/>
  <c r="I2332" i="229"/>
  <c r="J2332" i="229" s="1"/>
  <c r="J2343" i="229" s="1"/>
  <c r="C2126" i="229"/>
  <c r="D2126" i="229" s="1"/>
  <c r="C3306" i="288"/>
  <c r="D3306" i="288" s="1"/>
  <c r="C2576" i="229"/>
  <c r="D2576" i="229" s="1"/>
  <c r="D2587" i="229" s="1"/>
  <c r="C2677" i="229"/>
  <c r="D2677" i="229" s="1"/>
  <c r="D2688" i="229" s="1"/>
  <c r="I2710" i="229"/>
  <c r="J2710" i="229" s="1"/>
  <c r="C1008" i="229"/>
  <c r="D1008" i="229" s="1"/>
  <c r="I271" i="229"/>
  <c r="J271" i="229" s="1"/>
  <c r="C2418" i="229"/>
  <c r="D2418" i="229" s="1"/>
  <c r="C1253" i="229"/>
  <c r="D1253" i="229" s="1"/>
  <c r="C962" i="288"/>
  <c r="D962" i="288" s="1"/>
  <c r="D971" i="288" s="1"/>
  <c r="C104" i="288"/>
  <c r="D104" i="288" s="1"/>
  <c r="I1319" i="288"/>
  <c r="J1319" i="288" s="1"/>
  <c r="C2932" i="288"/>
  <c r="D2932" i="288" s="1"/>
  <c r="C2971" i="229"/>
  <c r="D2971" i="229" s="1"/>
  <c r="C836" i="288"/>
  <c r="D836" i="288" s="1"/>
  <c r="I2122" i="229"/>
  <c r="J2122" i="229" s="1"/>
  <c r="C7" i="229"/>
  <c r="D7" i="229" s="1"/>
  <c r="I3187" i="288"/>
  <c r="J3187" i="288" s="1"/>
  <c r="R36" i="262"/>
  <c r="C2122" i="229"/>
  <c r="D2122" i="229" s="1"/>
  <c r="C1548" i="288"/>
  <c r="D1548" i="288" s="1"/>
  <c r="I1278" i="288"/>
  <c r="J1278" i="288" s="1"/>
  <c r="C1133" i="288"/>
  <c r="D1133" i="288" s="1"/>
  <c r="D1142" i="288" s="1"/>
  <c r="I3553" i="229"/>
  <c r="J3553" i="229" s="1"/>
  <c r="I620" i="288"/>
  <c r="J620" i="288" s="1"/>
  <c r="J629" i="288" s="1"/>
  <c r="I934" i="288"/>
  <c r="J934" i="288" s="1"/>
  <c r="J943" i="288" s="1"/>
  <c r="I3694" i="229"/>
  <c r="J3694" i="229" s="1"/>
  <c r="C2482" i="229"/>
  <c r="D2482" i="229" s="1"/>
  <c r="I1106" i="288"/>
  <c r="J1106" i="288" s="1"/>
  <c r="I244" i="229"/>
  <c r="J244" i="229" s="1"/>
  <c r="I1892" i="288"/>
  <c r="J1892" i="288" s="1"/>
  <c r="J1893" i="288" s="1"/>
  <c r="C1135" i="288"/>
  <c r="D1135" i="288" s="1"/>
  <c r="I2386" i="229"/>
  <c r="J2386" i="229" s="1"/>
  <c r="I3201" i="288"/>
  <c r="J3201" i="288" s="1"/>
  <c r="J3211" i="288" s="1"/>
  <c r="I724" i="288"/>
  <c r="J724" i="288" s="1"/>
  <c r="J725" i="288" s="1"/>
  <c r="C3213" i="229"/>
  <c r="D3213" i="229" s="1"/>
  <c r="D3224" i="229" s="1"/>
  <c r="I618" i="229"/>
  <c r="J618" i="229" s="1"/>
  <c r="I1249" i="288"/>
  <c r="J1249" i="288" s="1"/>
  <c r="I1021" i="229"/>
  <c r="J1021" i="229" s="1"/>
  <c r="C3346" i="288"/>
  <c r="D3346" i="288" s="1"/>
  <c r="D3356" i="288" s="1"/>
  <c r="C2248" i="288"/>
  <c r="D2248" i="288" s="1"/>
  <c r="I3820" i="229"/>
  <c r="J3820" i="229" s="1"/>
  <c r="J3832" i="229" s="1"/>
  <c r="R22" i="261"/>
  <c r="I1943" i="229"/>
  <c r="J1943" i="229" s="1"/>
  <c r="C2305" i="229"/>
  <c r="D2305" i="229" s="1"/>
  <c r="I2388" i="288"/>
  <c r="J2388" i="288" s="1"/>
  <c r="C274" i="229"/>
  <c r="D274" i="229" s="1"/>
  <c r="R96" i="261"/>
  <c r="I1676" i="288"/>
  <c r="J1676" i="288" s="1"/>
  <c r="C2795" i="229"/>
  <c r="D2795" i="229" s="1"/>
  <c r="I3637" i="229"/>
  <c r="J3637" i="229" s="1"/>
  <c r="J3649" i="229" s="1"/>
  <c r="I2876" i="288"/>
  <c r="J2876" i="288" s="1"/>
  <c r="J2877" i="288" s="1"/>
  <c r="I860" i="229"/>
  <c r="J860" i="229" s="1"/>
  <c r="C3743" i="229"/>
  <c r="D3743" i="229" s="1"/>
  <c r="I3352" i="229"/>
  <c r="J3352" i="229" s="1"/>
  <c r="I3773" i="229"/>
  <c r="J3773" i="229" s="1"/>
  <c r="I919" i="288"/>
  <c r="J919" i="288" s="1"/>
  <c r="J928" i="288" s="1"/>
  <c r="I3164" i="229"/>
  <c r="J3164" i="229" s="1"/>
  <c r="J3175" i="229" s="1"/>
  <c r="I829" i="229"/>
  <c r="J829" i="229" s="1"/>
  <c r="C2159" i="288"/>
  <c r="D2159" i="288" s="1"/>
  <c r="D2168" i="288" s="1"/>
  <c r="C123" i="288"/>
  <c r="D123" i="288" s="1"/>
  <c r="D124" i="288" s="1"/>
  <c r="R50" i="262"/>
  <c r="R28" i="261"/>
  <c r="I3364" i="229"/>
  <c r="J3364" i="229" s="1"/>
  <c r="I1035" i="288"/>
  <c r="J1035" i="288" s="1"/>
  <c r="I752" i="288"/>
  <c r="J752" i="288" s="1"/>
  <c r="J753" i="288" s="1"/>
  <c r="T15" i="261"/>
  <c r="T101" i="261" s="1"/>
  <c r="C1905" i="288"/>
  <c r="D1905" i="288" s="1"/>
  <c r="I2576" i="288"/>
  <c r="J2576" i="288" s="1"/>
  <c r="J2577" i="288" s="1"/>
  <c r="R32" i="262"/>
  <c r="C2007" i="229"/>
  <c r="D2007" i="229" s="1"/>
  <c r="D2018" i="229" s="1"/>
  <c r="I2131" i="288"/>
  <c r="J2131" i="288" s="1"/>
  <c r="J2140" i="288" s="1"/>
  <c r="R31" i="265"/>
  <c r="I2742" i="229"/>
  <c r="J2742" i="229" s="1"/>
  <c r="J2753" i="229" s="1"/>
  <c r="R43" i="262"/>
  <c r="R57" i="262"/>
  <c r="C1974" i="288"/>
  <c r="D1974" i="288" s="1"/>
  <c r="D1983" i="288" s="1"/>
  <c r="C117" i="288"/>
  <c r="D117" i="288" s="1"/>
  <c r="D128" i="288" s="1"/>
  <c r="C966" i="288"/>
  <c r="D966" i="288" s="1"/>
  <c r="D967" i="288" s="1"/>
  <c r="I209" i="229"/>
  <c r="J209" i="229" s="1"/>
  <c r="R77" i="265"/>
  <c r="C85" i="288"/>
  <c r="D85" i="288" s="1"/>
  <c r="D96" i="288" s="1"/>
  <c r="C2705" i="288"/>
  <c r="D2705" i="288" s="1"/>
  <c r="D2706" i="288" s="1"/>
  <c r="C1618" i="288"/>
  <c r="D1618" i="288" s="1"/>
  <c r="D1627" i="288" s="1"/>
  <c r="C2362" i="288"/>
  <c r="D2362" i="288" s="1"/>
  <c r="I1707" i="288"/>
  <c r="J1707" i="288" s="1"/>
  <c r="J1708" i="288" s="1"/>
  <c r="I3128" i="288"/>
  <c r="J3128" i="288" s="1"/>
  <c r="I130" i="229"/>
  <c r="J130" i="229" s="1"/>
  <c r="J141" i="229" s="1"/>
  <c r="I467" i="288"/>
  <c r="J467" i="288" s="1"/>
  <c r="J468" i="288" s="1"/>
  <c r="C3673" i="229"/>
  <c r="D3673" i="229" s="1"/>
  <c r="C3638" i="229"/>
  <c r="D3638" i="229" s="1"/>
  <c r="C2273" i="288"/>
  <c r="D2273" i="288" s="1"/>
  <c r="D2282" i="288" s="1"/>
  <c r="C960" i="229"/>
  <c r="D960" i="229" s="1"/>
  <c r="C3005" i="288"/>
  <c r="D3005" i="288" s="1"/>
  <c r="D3015" i="288" s="1"/>
  <c r="C1383" i="229"/>
  <c r="D1383" i="229" s="1"/>
  <c r="I2844" i="288"/>
  <c r="J2844" i="288" s="1"/>
  <c r="C1362" i="229"/>
  <c r="D1362" i="229" s="1"/>
  <c r="C1322" i="288"/>
  <c r="D1322" i="288" s="1"/>
  <c r="D1323" i="288" s="1"/>
  <c r="C1876" i="288"/>
  <c r="D1876" i="288" s="1"/>
  <c r="I3168" i="229"/>
  <c r="J3168" i="229" s="1"/>
  <c r="R40" i="262"/>
  <c r="C1365" i="229"/>
  <c r="D1365" i="229" s="1"/>
  <c r="I1190" i="288"/>
  <c r="J1190" i="288" s="1"/>
  <c r="J1199" i="288" s="1"/>
  <c r="R20" i="261"/>
  <c r="C2921" i="229"/>
  <c r="D2921" i="229" s="1"/>
  <c r="D2932" i="229" s="1"/>
  <c r="C2830" i="288"/>
  <c r="D2830" i="288" s="1"/>
  <c r="R26" i="261"/>
  <c r="C1035" i="288"/>
  <c r="D1035" i="288" s="1"/>
  <c r="R17" i="261"/>
  <c r="C147" i="229"/>
  <c r="D147" i="229" s="1"/>
  <c r="D158" i="229" s="1"/>
  <c r="I3484" i="229"/>
  <c r="J3484" i="229" s="1"/>
  <c r="R90" i="265"/>
  <c r="C874" i="229"/>
  <c r="D874" i="229" s="1"/>
  <c r="D885" i="229" s="1"/>
  <c r="I1118" i="229"/>
  <c r="J1118" i="229" s="1"/>
  <c r="J1129" i="229" s="1"/>
  <c r="R41" i="265"/>
  <c r="C748" i="229"/>
  <c r="D748" i="229" s="1"/>
  <c r="I309" i="288"/>
  <c r="J309" i="288" s="1"/>
  <c r="R54" i="265"/>
  <c r="R73" i="261"/>
  <c r="I1252" i="229"/>
  <c r="J1252" i="229" s="1"/>
  <c r="I101" i="288"/>
  <c r="J101" i="288" s="1"/>
  <c r="J112" i="288" s="1"/>
  <c r="R35" i="261"/>
  <c r="I2964" i="288"/>
  <c r="J2964" i="288" s="1"/>
  <c r="J2965" i="288" s="1"/>
  <c r="C2774" i="229"/>
  <c r="D2774" i="229" s="1"/>
  <c r="D2785" i="229" s="1"/>
  <c r="I40" i="229"/>
  <c r="J40" i="229" s="1"/>
  <c r="I2921" i="229"/>
  <c r="J2921" i="229" s="1"/>
  <c r="J2932" i="229" s="1"/>
  <c r="C2857" i="229"/>
  <c r="D2857" i="229" s="1"/>
  <c r="C2533" i="288"/>
  <c r="D2533" i="288" s="1"/>
  <c r="C3791" i="229"/>
  <c r="D3791" i="229" s="1"/>
  <c r="I3279" i="229"/>
  <c r="J3279" i="229" s="1"/>
  <c r="C1605" i="288"/>
  <c r="D1605" i="288" s="1"/>
  <c r="I1574" i="229"/>
  <c r="J1574" i="229" s="1"/>
  <c r="I2230" i="288"/>
  <c r="J2230" i="288" s="1"/>
  <c r="J2239" i="288" s="1"/>
  <c r="C738" i="328"/>
  <c r="E738" i="328" s="1"/>
  <c r="C468" i="229"/>
  <c r="D468" i="229" s="1"/>
  <c r="D479" i="229" s="1"/>
  <c r="R61" i="265"/>
  <c r="I3055" i="288"/>
  <c r="J3055" i="288" s="1"/>
  <c r="I2827" i="229"/>
  <c r="J2827" i="229" s="1"/>
  <c r="C3840" i="229"/>
  <c r="D3840" i="229" s="1"/>
  <c r="C3363" i="288"/>
  <c r="D3363" i="288" s="1"/>
  <c r="C1350" i="229"/>
  <c r="D1350" i="229" s="1"/>
  <c r="I3741" i="229"/>
  <c r="J3741" i="229" s="1"/>
  <c r="I1108" i="288"/>
  <c r="J1108" i="288" s="1"/>
  <c r="C3671" i="229"/>
  <c r="D3671" i="229" s="1"/>
  <c r="I2162" i="288"/>
  <c r="J2162" i="288" s="1"/>
  <c r="C2317" i="229"/>
  <c r="D2317" i="229" s="1"/>
  <c r="I1321" i="288"/>
  <c r="J1321" i="288" s="1"/>
  <c r="C76" i="229"/>
  <c r="D76" i="229" s="1"/>
  <c r="C1850" i="229"/>
  <c r="D1850" i="229" s="1"/>
  <c r="C2938" i="229"/>
  <c r="D2938" i="229" s="1"/>
  <c r="R65" i="261"/>
  <c r="R84" i="261"/>
  <c r="I739" i="328"/>
  <c r="K739" i="328" s="1"/>
  <c r="C2060" i="288"/>
  <c r="D2060" i="288" s="1"/>
  <c r="C3315" i="229"/>
  <c r="D3315" i="229" s="1"/>
  <c r="C3687" i="229"/>
  <c r="D3687" i="229" s="1"/>
  <c r="I1216" i="229"/>
  <c r="J1216" i="229" s="1"/>
  <c r="I1605" i="288"/>
  <c r="J1605" i="288" s="1"/>
  <c r="I2678" i="229"/>
  <c r="J2678" i="229" s="1"/>
  <c r="I3707" i="229"/>
  <c r="J3707" i="229" s="1"/>
  <c r="C957" i="229"/>
  <c r="D957" i="229" s="1"/>
  <c r="I1383" i="229"/>
  <c r="J1383" i="229" s="1"/>
  <c r="I3454" i="229"/>
  <c r="J3454" i="229" s="1"/>
  <c r="C721" i="328"/>
  <c r="E721" i="328" s="1"/>
  <c r="C3335" i="229"/>
  <c r="D3335" i="229" s="1"/>
  <c r="I1420" i="288"/>
  <c r="J1420" i="288" s="1"/>
  <c r="I2788" i="288"/>
  <c r="J2788" i="288" s="1"/>
  <c r="I679" i="288"/>
  <c r="J679" i="288" s="1"/>
  <c r="C1634" i="288"/>
  <c r="D1634" i="288" s="1"/>
  <c r="C2252" i="229"/>
  <c r="D2252" i="229" s="1"/>
  <c r="I1778" i="288"/>
  <c r="J1778" i="288" s="1"/>
  <c r="J1779" i="288" s="1"/>
  <c r="I2719" i="288"/>
  <c r="J2719" i="288" s="1"/>
  <c r="J2720" i="288" s="1"/>
  <c r="I490" i="229"/>
  <c r="J490" i="229" s="1"/>
  <c r="I211" i="288"/>
  <c r="J211" i="288" s="1"/>
  <c r="J212" i="288" s="1"/>
  <c r="C2840" i="229"/>
  <c r="D2840" i="229" s="1"/>
  <c r="I2759" i="288"/>
  <c r="J2759" i="288" s="1"/>
  <c r="I154" i="288"/>
  <c r="J154" i="288" s="1"/>
  <c r="J155" i="288" s="1"/>
  <c r="C2290" i="229"/>
  <c r="D2290" i="229" s="1"/>
  <c r="I3153" i="229"/>
  <c r="J3153" i="229" s="1"/>
  <c r="I929" i="229"/>
  <c r="J929" i="229" s="1"/>
  <c r="I2761" i="288"/>
  <c r="J2761" i="288" s="1"/>
  <c r="I450" i="288"/>
  <c r="J450" i="288" s="1"/>
  <c r="I1821" i="288"/>
  <c r="J1821" i="288" s="1"/>
  <c r="J1822" i="288" s="1"/>
  <c r="C579" i="288"/>
  <c r="D579" i="288" s="1"/>
  <c r="C1041" i="229"/>
  <c r="D1041" i="229" s="1"/>
  <c r="C2512" i="229"/>
  <c r="D2512" i="229" s="1"/>
  <c r="C2589" i="288"/>
  <c r="D2589" i="288" s="1"/>
  <c r="C2132" i="288"/>
  <c r="D2132" i="288" s="1"/>
  <c r="C1154" i="229"/>
  <c r="D1154" i="229" s="1"/>
  <c r="C2403" i="229"/>
  <c r="D2403" i="229" s="1"/>
  <c r="C2794" i="229"/>
  <c r="D2794" i="229" s="1"/>
  <c r="I2175" i="229"/>
  <c r="J2175" i="229" s="1"/>
  <c r="I2403" i="229"/>
  <c r="J2403" i="229" s="1"/>
  <c r="C926" i="229"/>
  <c r="D926" i="229" s="1"/>
  <c r="C2013" i="229"/>
  <c r="D2013" i="229" s="1"/>
  <c r="C3739" i="229"/>
  <c r="D3739" i="229" s="1"/>
  <c r="C2375" i="288"/>
  <c r="D2375" i="288" s="1"/>
  <c r="I2062" i="229"/>
  <c r="J2062" i="229" s="1"/>
  <c r="I3278" i="288"/>
  <c r="J3278" i="288" s="1"/>
  <c r="I167" i="288"/>
  <c r="J167" i="288" s="1"/>
  <c r="C797" i="229"/>
  <c r="D797" i="229" s="1"/>
  <c r="I308" i="229"/>
  <c r="J308" i="229" s="1"/>
  <c r="C1194" i="288"/>
  <c r="D1194" i="288" s="1"/>
  <c r="D1195" i="288" s="1"/>
  <c r="C1821" i="288"/>
  <c r="D1821" i="288" s="1"/>
  <c r="D1822" i="288" s="1"/>
  <c r="C3052" i="229"/>
  <c r="D3052" i="229" s="1"/>
  <c r="I3040" i="288"/>
  <c r="J3040" i="288" s="1"/>
  <c r="J3041" i="288" s="1"/>
  <c r="C1492" i="229"/>
  <c r="D1492" i="229" s="1"/>
  <c r="C599" i="229"/>
  <c r="D599" i="229" s="1"/>
  <c r="C94" i="229"/>
  <c r="D94" i="229" s="1"/>
  <c r="C2676" i="288"/>
  <c r="D2676" i="288" s="1"/>
  <c r="D2677" i="288" s="1"/>
  <c r="I2107" i="229"/>
  <c r="J2107" i="229" s="1"/>
  <c r="C3130" i="288"/>
  <c r="D3130" i="288" s="1"/>
  <c r="I1208" i="288"/>
  <c r="J1208" i="288" s="1"/>
  <c r="J1209" i="288" s="1"/>
  <c r="I2647" i="288"/>
  <c r="J2647" i="288" s="1"/>
  <c r="I3710" i="229"/>
  <c r="J3710" i="229" s="1"/>
  <c r="I2475" i="288"/>
  <c r="J2475" i="288" s="1"/>
  <c r="I814" i="229"/>
  <c r="J814" i="229" s="1"/>
  <c r="C2948" i="288"/>
  <c r="D2948" i="288" s="1"/>
  <c r="C1961" i="288"/>
  <c r="D1961" i="288" s="1"/>
  <c r="I494" i="288"/>
  <c r="J494" i="288" s="1"/>
  <c r="R74" i="262"/>
  <c r="C2787" i="288"/>
  <c r="D2787" i="288" s="1"/>
  <c r="C935" i="288"/>
  <c r="D935" i="288" s="1"/>
  <c r="V15" i="266"/>
  <c r="V111" i="266" s="1"/>
  <c r="I2563" i="229"/>
  <c r="J2563" i="229" s="1"/>
  <c r="I3261" i="288"/>
  <c r="J3261" i="288" s="1"/>
  <c r="C1203" i="229"/>
  <c r="D1203" i="229" s="1"/>
  <c r="C2073" i="229"/>
  <c r="D2073" i="229" s="1"/>
  <c r="W14" i="266"/>
  <c r="W21" i="266" s="1"/>
  <c r="I3197" i="229"/>
  <c r="J3197" i="229" s="1"/>
  <c r="J3208" i="229" s="1"/>
  <c r="C1178" i="288"/>
  <c r="D1178" i="288" s="1"/>
  <c r="C3436" i="229"/>
  <c r="D3436" i="229" s="1"/>
  <c r="I1080" i="288"/>
  <c r="J1080" i="288" s="1"/>
  <c r="J1081" i="288" s="1"/>
  <c r="I2255" i="229"/>
  <c r="J2255" i="229" s="1"/>
  <c r="I2673" i="288"/>
  <c r="J2673" i="288" s="1"/>
  <c r="I3760" i="229"/>
  <c r="J3760" i="229" s="1"/>
  <c r="C2107" i="229"/>
  <c r="D2107" i="229" s="1"/>
  <c r="C2118" i="288"/>
  <c r="D2118" i="288" s="1"/>
  <c r="I2132" i="288"/>
  <c r="J2132" i="288" s="1"/>
  <c r="I2963" i="288"/>
  <c r="J2963" i="288" s="1"/>
  <c r="C324" i="288"/>
  <c r="D324" i="288" s="1"/>
  <c r="C2063" i="288"/>
  <c r="D2063" i="288" s="1"/>
  <c r="D2064" i="288" s="1"/>
  <c r="I1977" i="288"/>
  <c r="J1977" i="288" s="1"/>
  <c r="I3236" i="288"/>
  <c r="J3236" i="288" s="1"/>
  <c r="J3237" i="288" s="1"/>
  <c r="I2548" i="288"/>
  <c r="J2548" i="288" s="1"/>
  <c r="J2549" i="288" s="1"/>
  <c r="I834" i="288"/>
  <c r="J834" i="288" s="1"/>
  <c r="J843" i="288" s="1"/>
  <c r="C1592" i="288"/>
  <c r="D1592" i="288" s="1"/>
  <c r="C2977" i="288"/>
  <c r="D2977" i="288" s="1"/>
  <c r="I738" i="288"/>
  <c r="J738" i="288" s="1"/>
  <c r="J739" i="288" s="1"/>
  <c r="I1514" i="229"/>
  <c r="J1514" i="229" s="1"/>
  <c r="I1561" i="229"/>
  <c r="J1561" i="229" s="1"/>
  <c r="I1178" i="288"/>
  <c r="J1178" i="288" s="1"/>
  <c r="I1057" i="229"/>
  <c r="J1057" i="229" s="1"/>
  <c r="C22" i="288"/>
  <c r="D22" i="288" s="1"/>
  <c r="C1964" i="229"/>
  <c r="D1964" i="229" s="1"/>
  <c r="C3789" i="229"/>
  <c r="D3789" i="229" s="1"/>
  <c r="C3252" i="229"/>
  <c r="D3252" i="229" s="1"/>
  <c r="I3771" i="229"/>
  <c r="J3771" i="229" s="1"/>
  <c r="C3105" i="229"/>
  <c r="D3105" i="229" s="1"/>
  <c r="I2894" i="229"/>
  <c r="J2894" i="229" s="1"/>
  <c r="C3539" i="229"/>
  <c r="D3539" i="229" s="1"/>
  <c r="C2247" i="288"/>
  <c r="D2247" i="288" s="1"/>
  <c r="I2126" i="229"/>
  <c r="J2126" i="229" s="1"/>
  <c r="I2010" i="229"/>
  <c r="J2010" i="229" s="1"/>
  <c r="C3386" i="229"/>
  <c r="D3386" i="229" s="1"/>
  <c r="I152" i="288"/>
  <c r="J152" i="288" s="1"/>
  <c r="I1751" i="229"/>
  <c r="J1751" i="229" s="1"/>
  <c r="J1762" i="229" s="1"/>
  <c r="I1189" i="229"/>
  <c r="J1189" i="229" s="1"/>
  <c r="C2530" i="229"/>
  <c r="D2530" i="229" s="1"/>
  <c r="C3608" i="229"/>
  <c r="D3608" i="229" s="1"/>
  <c r="C1300" i="229"/>
  <c r="D1300" i="229" s="1"/>
  <c r="C2908" i="229"/>
  <c r="D2908" i="229" s="1"/>
  <c r="C21" i="288"/>
  <c r="D21" i="288" s="1"/>
  <c r="I2587" i="288"/>
  <c r="J2587" i="288" s="1"/>
  <c r="J2596" i="288" s="1"/>
  <c r="I522" i="229"/>
  <c r="J522" i="229" s="1"/>
  <c r="I3023" i="229"/>
  <c r="J3023" i="229" s="1"/>
  <c r="C1298" i="229"/>
  <c r="D1298" i="229" s="1"/>
  <c r="I2713" i="229"/>
  <c r="J2713" i="229" s="1"/>
  <c r="C636" i="229"/>
  <c r="D636" i="229" s="1"/>
  <c r="I862" i="288"/>
  <c r="J862" i="288" s="1"/>
  <c r="J871" i="288" s="1"/>
  <c r="I2844" i="229"/>
  <c r="J2844" i="229" s="1"/>
  <c r="I91" i="288"/>
  <c r="J91" i="288" s="1"/>
  <c r="J92" i="288" s="1"/>
  <c r="I1222" i="288"/>
  <c r="J1222" i="288" s="1"/>
  <c r="C1479" i="288"/>
  <c r="D1479" i="288" s="1"/>
  <c r="D1480" i="288" s="1"/>
  <c r="I2747" i="288"/>
  <c r="J2747" i="288" s="1"/>
  <c r="J2748" i="288" s="1"/>
  <c r="I3114" i="288"/>
  <c r="J3114" i="288" s="1"/>
  <c r="C2559" i="288"/>
  <c r="D2559" i="288" s="1"/>
  <c r="I1447" i="288"/>
  <c r="J1447" i="288" s="1"/>
  <c r="J1456" i="288" s="1"/>
  <c r="I1237" i="229"/>
  <c r="J1237" i="229" s="1"/>
  <c r="C2021" i="288"/>
  <c r="D2021" i="288" s="1"/>
  <c r="D2022" i="288" s="1"/>
  <c r="I2532" i="288"/>
  <c r="J2532" i="288" s="1"/>
  <c r="C2744" i="288"/>
  <c r="D2744" i="288" s="1"/>
  <c r="I2205" i="229"/>
  <c r="J2205" i="229" s="1"/>
  <c r="I1262" i="288"/>
  <c r="J1262" i="288" s="1"/>
  <c r="I1540" i="229"/>
  <c r="J1540" i="229" s="1"/>
  <c r="J1551" i="229" s="1"/>
  <c r="C2417" i="288"/>
  <c r="D2417" i="288" s="1"/>
  <c r="I207" i="288"/>
  <c r="J207" i="288" s="1"/>
  <c r="J216" i="288" s="1"/>
  <c r="C1251" i="288"/>
  <c r="D1251" i="288" s="1"/>
  <c r="D1252" i="288" s="1"/>
  <c r="C680" i="229"/>
  <c r="D680" i="229" s="1"/>
  <c r="C3275" i="288"/>
  <c r="D3275" i="288" s="1"/>
  <c r="I3248" i="229"/>
  <c r="J3248" i="229" s="1"/>
  <c r="R19" i="266"/>
  <c r="I3166" i="229"/>
  <c r="J3166" i="229" s="1"/>
  <c r="I1536" i="288"/>
  <c r="J1536" i="288" s="1"/>
  <c r="J1537" i="288" s="1"/>
  <c r="C1053" i="229"/>
  <c r="D1053" i="229" s="1"/>
  <c r="D1064" i="229" s="1"/>
  <c r="I2705" i="288"/>
  <c r="J2705" i="288" s="1"/>
  <c r="J2706" i="288" s="1"/>
  <c r="C2904" i="288"/>
  <c r="D2904" i="288" s="1"/>
  <c r="D2905" i="288" s="1"/>
  <c r="C578" i="288"/>
  <c r="D578" i="288" s="1"/>
  <c r="C3037" i="229"/>
  <c r="D3037" i="229" s="1"/>
  <c r="C1351" i="229"/>
  <c r="D1351" i="229" s="1"/>
  <c r="I2991" i="288"/>
  <c r="J2991" i="288" s="1"/>
  <c r="C2221" i="229"/>
  <c r="D2221" i="229" s="1"/>
  <c r="I2663" i="229"/>
  <c r="J2663" i="229" s="1"/>
  <c r="I2190" i="229"/>
  <c r="J2190" i="229" s="1"/>
  <c r="I3099" i="288"/>
  <c r="J3099" i="288" s="1"/>
  <c r="C1299" i="229"/>
  <c r="D1299" i="229" s="1"/>
  <c r="I464" i="288"/>
  <c r="J464" i="288" s="1"/>
  <c r="C943" i="229"/>
  <c r="D943" i="229" s="1"/>
  <c r="I3806" i="229"/>
  <c r="J3806" i="229" s="1"/>
  <c r="I2221" i="229"/>
  <c r="J2221" i="229" s="1"/>
  <c r="C1294" i="288"/>
  <c r="D1294" i="288" s="1"/>
  <c r="D1295" i="288" s="1"/>
  <c r="C555" i="229"/>
  <c r="D555" i="229" s="1"/>
  <c r="I3006" i="229"/>
  <c r="J3006" i="229" s="1"/>
  <c r="C2269" i="229"/>
  <c r="D2269" i="229" s="1"/>
  <c r="C3506" i="229"/>
  <c r="D3506" i="229" s="1"/>
  <c r="C1607" i="288"/>
  <c r="D1607" i="288" s="1"/>
  <c r="D1608" i="288" s="1"/>
  <c r="C647" i="229"/>
  <c r="D647" i="229" s="1"/>
  <c r="I1138" i="229"/>
  <c r="J1138" i="229" s="1"/>
  <c r="I609" i="288"/>
  <c r="J609" i="288" s="1"/>
  <c r="C3691" i="229"/>
  <c r="D3691" i="229" s="1"/>
  <c r="I3656" i="229"/>
  <c r="J3656" i="229" s="1"/>
  <c r="C799" i="229"/>
  <c r="D799" i="229" s="1"/>
  <c r="I2225" i="229"/>
  <c r="J2225" i="229" s="1"/>
  <c r="C2888" i="229"/>
  <c r="D2888" i="229" s="1"/>
  <c r="D2899" i="229" s="1"/>
  <c r="C1136" i="229"/>
  <c r="D1136" i="229" s="1"/>
  <c r="I990" i="229"/>
  <c r="J990" i="229" s="1"/>
  <c r="I1361" i="288"/>
  <c r="J1361" i="288" s="1"/>
  <c r="J1370" i="288" s="1"/>
  <c r="I735" i="288"/>
  <c r="J735" i="288" s="1"/>
  <c r="I2934" i="288"/>
  <c r="J2934" i="288" s="1"/>
  <c r="J2935" i="288" s="1"/>
  <c r="C191" i="229"/>
  <c r="D191" i="229" s="1"/>
  <c r="I1875" i="288"/>
  <c r="J1875" i="288" s="1"/>
  <c r="I2260" i="288"/>
  <c r="J2260" i="288" s="1"/>
  <c r="I2958" i="229"/>
  <c r="J2958" i="229" s="1"/>
  <c r="C2231" i="288"/>
  <c r="D2231" i="288" s="1"/>
  <c r="I2432" i="288"/>
  <c r="J2432" i="288" s="1"/>
  <c r="I924" i="229"/>
  <c r="J924" i="229" s="1"/>
  <c r="I1037" i="229"/>
  <c r="J1037" i="229" s="1"/>
  <c r="I1091" i="288"/>
  <c r="J1091" i="288" s="1"/>
  <c r="I2745" i="288"/>
  <c r="J2745" i="288" s="1"/>
  <c r="I722" i="328"/>
  <c r="K722" i="328" s="1"/>
  <c r="C151" i="229"/>
  <c r="D151" i="229" s="1"/>
  <c r="R85" i="261"/>
  <c r="I191" i="229"/>
  <c r="J191" i="229" s="1"/>
  <c r="C624" i="288"/>
  <c r="D624" i="288" s="1"/>
  <c r="D625" i="288" s="1"/>
  <c r="C2574" i="288"/>
  <c r="D2574" i="288" s="1"/>
  <c r="C3501" i="229"/>
  <c r="D3501" i="229" s="1"/>
  <c r="C356" i="229"/>
  <c r="D356" i="229" s="1"/>
  <c r="C891" i="288"/>
  <c r="D891" i="288" s="1"/>
  <c r="D900" i="288" s="1"/>
  <c r="I621" i="288"/>
  <c r="J621" i="288" s="1"/>
  <c r="C2762" i="229"/>
  <c r="D2762" i="229" s="1"/>
  <c r="C794" i="229"/>
  <c r="D794" i="229" s="1"/>
  <c r="R26" i="262"/>
  <c r="I1876" i="288"/>
  <c r="J1876" i="288" s="1"/>
  <c r="C825" i="229"/>
  <c r="D825" i="229" s="1"/>
  <c r="D836" i="229" s="1"/>
  <c r="I2187" i="229"/>
  <c r="J2187" i="229" s="1"/>
  <c r="I1914" i="229"/>
  <c r="J1914" i="229" s="1"/>
  <c r="R70" i="262"/>
  <c r="I2446" i="288"/>
  <c r="J2446" i="288" s="1"/>
  <c r="R89" i="261"/>
  <c r="C3654" i="229"/>
  <c r="D3654" i="229" s="1"/>
  <c r="C781" i="229"/>
  <c r="D781" i="229" s="1"/>
  <c r="I2398" i="229"/>
  <c r="J2398" i="229" s="1"/>
  <c r="C1168" i="229"/>
  <c r="D1168" i="229" s="1"/>
  <c r="C1690" i="288"/>
  <c r="D1690" i="288" s="1"/>
  <c r="C3021" i="229"/>
  <c r="D3021" i="229" s="1"/>
  <c r="I1024" i="229"/>
  <c r="J1024" i="229" s="1"/>
  <c r="C2743" i="229"/>
  <c r="D2743" i="229" s="1"/>
  <c r="C563" i="288"/>
  <c r="D563" i="288" s="1"/>
  <c r="D572" i="288" s="1"/>
  <c r="I307" i="288"/>
  <c r="J307" i="288" s="1"/>
  <c r="J316" i="288" s="1"/>
  <c r="C3122" i="229"/>
  <c r="D3122" i="229" s="1"/>
  <c r="I3098" i="288"/>
  <c r="J3098" i="288" s="1"/>
  <c r="C2203" i="288"/>
  <c r="D2203" i="288" s="1"/>
  <c r="I1119" i="229"/>
  <c r="J1119" i="229" s="1"/>
  <c r="I2160" i="229"/>
  <c r="J2160" i="229" s="1"/>
  <c r="I20" i="229"/>
  <c r="J20" i="229" s="1"/>
  <c r="J31" i="229" s="1"/>
  <c r="C707" i="288"/>
  <c r="D707" i="288" s="1"/>
  <c r="I303" i="229"/>
  <c r="J303" i="229" s="1"/>
  <c r="J314" i="229" s="1"/>
  <c r="I238" i="229"/>
  <c r="J238" i="229" s="1"/>
  <c r="J249" i="229" s="1"/>
  <c r="R38" i="262"/>
  <c r="C608" i="288"/>
  <c r="D608" i="288" s="1"/>
  <c r="I989" i="229"/>
  <c r="J989" i="229" s="1"/>
  <c r="R39" i="262"/>
  <c r="C207" i="229"/>
  <c r="D207" i="229" s="1"/>
  <c r="I1975" i="229"/>
  <c r="J1975" i="229" s="1"/>
  <c r="J1986" i="229" s="1"/>
  <c r="C1231" i="229"/>
  <c r="D1231" i="229" s="1"/>
  <c r="D1242" i="229" s="1"/>
  <c r="R19" i="263"/>
  <c r="R69" i="262"/>
  <c r="C1346" i="229"/>
  <c r="D1346" i="229" s="1"/>
  <c r="C1793" i="288"/>
  <c r="D1793" i="288" s="1"/>
  <c r="D1794" i="288" s="1"/>
  <c r="I1753" i="229"/>
  <c r="J1753" i="229" s="1"/>
  <c r="I153" i="229"/>
  <c r="J153" i="229" s="1"/>
  <c r="C936" i="288"/>
  <c r="D936" i="288" s="1"/>
  <c r="C1475" i="229"/>
  <c r="D1475" i="229" s="1"/>
  <c r="D1486" i="229" s="1"/>
  <c r="I2245" i="288"/>
  <c r="J2245" i="288" s="1"/>
  <c r="J2254" i="288" s="1"/>
  <c r="I2955" i="229"/>
  <c r="J2955" i="229" s="1"/>
  <c r="R100" i="261"/>
  <c r="C746" i="229"/>
  <c r="D746" i="229" s="1"/>
  <c r="I2072" i="229"/>
  <c r="J2072" i="229" s="1"/>
  <c r="J2083" i="229" s="1"/>
  <c r="R42" i="261"/>
  <c r="R20" i="265"/>
  <c r="I1005" i="229"/>
  <c r="J1005" i="229" s="1"/>
  <c r="C2786" i="288"/>
  <c r="D2786" i="288" s="1"/>
  <c r="D2795" i="288" s="1"/>
  <c r="R24" i="262"/>
  <c r="U14" i="263"/>
  <c r="U21" i="263" s="1"/>
  <c r="C1024" i="229"/>
  <c r="D1024" i="229" s="1"/>
  <c r="I1831" i="288"/>
  <c r="J1831" i="288" s="1"/>
  <c r="J1840" i="288" s="1"/>
  <c r="C1092" i="288"/>
  <c r="D1092" i="288" s="1"/>
  <c r="R16" i="265"/>
  <c r="I1519" i="288"/>
  <c r="J1519" i="288" s="1"/>
  <c r="Y14" i="265"/>
  <c r="Y99" i="265" s="1"/>
  <c r="R50" i="261"/>
  <c r="I2702" i="288"/>
  <c r="J2702" i="288" s="1"/>
  <c r="C3146" i="288"/>
  <c r="D3146" i="288" s="1"/>
  <c r="R19" i="258"/>
  <c r="R71" i="261"/>
  <c r="C1460" i="229"/>
  <c r="D1460" i="229" s="1"/>
  <c r="I1837" i="229"/>
  <c r="J1837" i="229" s="1"/>
  <c r="I2062" i="288"/>
  <c r="J2062" i="288" s="1"/>
  <c r="C2447" i="229"/>
  <c r="D2447" i="229" s="1"/>
  <c r="C1005" i="288"/>
  <c r="D1005" i="288" s="1"/>
  <c r="D1014" i="288" s="1"/>
  <c r="I118" i="288"/>
  <c r="J118" i="288" s="1"/>
  <c r="C3100" i="229"/>
  <c r="D3100" i="229" s="1"/>
  <c r="I190" i="229"/>
  <c r="J190" i="229" s="1"/>
  <c r="I1090" i="288"/>
  <c r="J1090" i="288" s="1"/>
  <c r="J1099" i="288" s="1"/>
  <c r="R34" i="262"/>
  <c r="I1447" i="229"/>
  <c r="J1447" i="229" s="1"/>
  <c r="I764" i="288"/>
  <c r="J764" i="288" s="1"/>
  <c r="I1890" i="288"/>
  <c r="J1890" i="288" s="1"/>
  <c r="R44" i="261"/>
  <c r="R17" i="265"/>
  <c r="I2773" i="288"/>
  <c r="J2773" i="288" s="1"/>
  <c r="R73" i="262"/>
  <c r="C3793" i="229"/>
  <c r="D3793" i="229" s="1"/>
  <c r="I715" i="229"/>
  <c r="J715" i="229" s="1"/>
  <c r="R66" i="261"/>
  <c r="I3150" i="229"/>
  <c r="J3150" i="229" s="1"/>
  <c r="R43" i="261"/>
  <c r="R60" i="265"/>
  <c r="R38" i="261"/>
  <c r="R67" i="262"/>
  <c r="C287" i="229"/>
  <c r="D287" i="229" s="1"/>
  <c r="D298" i="229" s="1"/>
  <c r="C583" i="229"/>
  <c r="D583" i="229" s="1"/>
  <c r="I2007" i="229"/>
  <c r="J2007" i="229" s="1"/>
  <c r="J2018" i="229" s="1"/>
  <c r="C1135" i="229"/>
  <c r="D1135" i="229" s="1"/>
  <c r="C2402" i="288"/>
  <c r="D2402" i="288" s="1"/>
  <c r="I3415" i="229"/>
  <c r="J3415" i="229" s="1"/>
  <c r="C3758" i="229"/>
  <c r="D3758" i="229" s="1"/>
  <c r="C3118" i="229"/>
  <c r="D3118" i="229" s="1"/>
  <c r="C875" i="229"/>
  <c r="D875" i="229" s="1"/>
  <c r="I3364" i="288"/>
  <c r="J3364" i="288" s="1"/>
  <c r="I1066" i="288"/>
  <c r="J1066" i="288" s="1"/>
  <c r="J1067" i="288" s="1"/>
  <c r="I2979" i="288"/>
  <c r="J2979" i="288" s="1"/>
  <c r="J2980" i="288" s="1"/>
  <c r="Y15" i="261"/>
  <c r="Y101" i="261" s="1"/>
  <c r="I3294" i="288"/>
  <c r="J3294" i="288" s="1"/>
  <c r="J3295" i="288" s="1"/>
  <c r="C1062" i="288"/>
  <c r="D1062" i="288" s="1"/>
  <c r="D1071" i="288" s="1"/>
  <c r="C3571" i="229"/>
  <c r="D3571" i="229" s="1"/>
  <c r="I1248" i="288"/>
  <c r="J1248" i="288" s="1"/>
  <c r="I3723" i="229"/>
  <c r="J3723" i="229" s="1"/>
  <c r="I3190" i="288"/>
  <c r="J3190" i="288" s="1"/>
  <c r="I2662" i="288"/>
  <c r="J2662" i="288" s="1"/>
  <c r="J2663" i="288" s="1"/>
  <c r="I3811" i="229"/>
  <c r="J3811" i="229" s="1"/>
  <c r="C1725" i="229"/>
  <c r="D1725" i="229" s="1"/>
  <c r="C3172" i="288"/>
  <c r="D3172" i="288" s="1"/>
  <c r="I1535" i="288"/>
  <c r="J1535" i="288" s="1"/>
  <c r="C70" i="288"/>
  <c r="D70" i="288" s="1"/>
  <c r="C2633" i="288"/>
  <c r="D2633" i="288" s="1"/>
  <c r="D2634" i="288" s="1"/>
  <c r="C1415" i="229"/>
  <c r="D1415" i="229" s="1"/>
  <c r="C1204" i="229"/>
  <c r="D1204" i="229" s="1"/>
  <c r="I1835" i="288"/>
  <c r="J1835" i="288" s="1"/>
  <c r="J1836" i="288" s="1"/>
  <c r="I1318" i="229"/>
  <c r="J1318" i="229" s="1"/>
  <c r="C373" i="229"/>
  <c r="D373" i="229" s="1"/>
  <c r="C1172" i="229"/>
  <c r="D1172" i="229" s="1"/>
  <c r="C2318" i="229"/>
  <c r="D2318" i="229" s="1"/>
  <c r="I1734" i="288"/>
  <c r="J1734" i="288" s="1"/>
  <c r="I1050" i="288"/>
  <c r="J1050" i="288" s="1"/>
  <c r="I1235" i="229"/>
  <c r="J1235" i="229" s="1"/>
  <c r="I70" i="288"/>
  <c r="J70" i="288" s="1"/>
  <c r="C3218" i="288"/>
  <c r="D3218" i="288" s="1"/>
  <c r="I3758" i="229"/>
  <c r="J3758" i="229" s="1"/>
  <c r="C1122" i="288"/>
  <c r="D1122" i="288" s="1"/>
  <c r="C2667" i="229"/>
  <c r="D2667" i="229" s="1"/>
  <c r="C3086" i="229"/>
  <c r="D3086" i="229" s="1"/>
  <c r="I3131" i="288"/>
  <c r="J3131" i="288" s="1"/>
  <c r="C894" i="288"/>
  <c r="D894" i="288" s="1"/>
  <c r="I3642" i="229"/>
  <c r="J3642" i="229" s="1"/>
  <c r="C3191" i="288"/>
  <c r="D3191" i="288" s="1"/>
  <c r="D3192" i="288" s="1"/>
  <c r="C1575" i="229"/>
  <c r="D1575" i="229" s="1"/>
  <c r="I2275" i="288"/>
  <c r="J2275" i="288" s="1"/>
  <c r="C2338" i="229"/>
  <c r="D2338" i="229" s="1"/>
  <c r="C2907" i="229"/>
  <c r="D2907" i="229" s="1"/>
  <c r="C192" i="229"/>
  <c r="D192" i="229" s="1"/>
  <c r="C3807" i="229"/>
  <c r="D3807" i="229" s="1"/>
  <c r="C2491" i="288"/>
  <c r="D2491" i="288" s="1"/>
  <c r="D2492" i="288" s="1"/>
  <c r="C2813" i="229"/>
  <c r="D2813" i="229" s="1"/>
  <c r="C2141" i="229"/>
  <c r="D2141" i="229" s="1"/>
  <c r="I907" i="288"/>
  <c r="J907" i="288" s="1"/>
  <c r="I3677" i="229"/>
  <c r="J3677" i="229" s="1"/>
  <c r="C3312" i="229"/>
  <c r="D3312" i="229" s="1"/>
  <c r="C2285" i="229"/>
  <c r="D2285" i="229" s="1"/>
  <c r="I1362" i="288"/>
  <c r="J1362" i="288" s="1"/>
  <c r="C2844" i="288"/>
  <c r="D2844" i="288" s="1"/>
  <c r="I1022" i="288"/>
  <c r="J1022" i="288" s="1"/>
  <c r="C895" i="229"/>
  <c r="D895" i="229" s="1"/>
  <c r="C2888" i="288"/>
  <c r="D2888" i="288" s="1"/>
  <c r="C196" i="288"/>
  <c r="D196" i="288" s="1"/>
  <c r="I1575" i="229"/>
  <c r="J1575" i="229" s="1"/>
  <c r="I2748" i="229"/>
  <c r="J2748" i="229" s="1"/>
  <c r="C1208" i="288"/>
  <c r="D1208" i="288" s="1"/>
  <c r="D1209" i="288" s="1"/>
  <c r="I2972" i="229"/>
  <c r="J2972" i="229" s="1"/>
  <c r="I1801" i="229"/>
  <c r="J1801" i="229" s="1"/>
  <c r="I906" i="288"/>
  <c r="J906" i="288" s="1"/>
  <c r="C1022" i="288"/>
  <c r="D1022" i="288" s="1"/>
  <c r="C3808" i="229"/>
  <c r="D3808" i="229" s="1"/>
  <c r="I255" i="229"/>
  <c r="J255" i="229" s="1"/>
  <c r="I1187" i="229"/>
  <c r="J1187" i="229" s="1"/>
  <c r="I2033" i="288"/>
  <c r="J2033" i="288" s="1"/>
  <c r="I2042" i="229"/>
  <c r="J2042" i="229" s="1"/>
  <c r="C1906" i="288"/>
  <c r="D1906" i="288" s="1"/>
  <c r="C1559" i="229"/>
  <c r="D1559" i="229" s="1"/>
  <c r="C1735" i="229"/>
  <c r="D1735" i="229" s="1"/>
  <c r="D1746" i="229" s="1"/>
  <c r="R55" i="261"/>
  <c r="C894" i="229"/>
  <c r="D894" i="229" s="1"/>
  <c r="C1832" i="288"/>
  <c r="D1832" i="288" s="1"/>
  <c r="C1164" i="288"/>
  <c r="D1164" i="288" s="1"/>
  <c r="C1362" i="288"/>
  <c r="D1362" i="288" s="1"/>
  <c r="C3231" i="288"/>
  <c r="D3231" i="288" s="1"/>
  <c r="I2746" i="229"/>
  <c r="J2746" i="229" s="1"/>
  <c r="C3247" i="229"/>
  <c r="D3247" i="229" s="1"/>
  <c r="I3555" i="229"/>
  <c r="J3555" i="229" s="1"/>
  <c r="C664" i="288"/>
  <c r="D664" i="288" s="1"/>
  <c r="I3739" i="229"/>
  <c r="J3739" i="229" s="1"/>
  <c r="C2460" i="288"/>
  <c r="D2460" i="288" s="1"/>
  <c r="C905" i="288"/>
  <c r="D905" i="288" s="1"/>
  <c r="D914" i="288" s="1"/>
  <c r="C1900" i="229"/>
  <c r="D1900" i="229" s="1"/>
  <c r="C1899" i="229"/>
  <c r="D1899" i="229" s="1"/>
  <c r="C1565" i="288"/>
  <c r="D1565" i="288" s="1"/>
  <c r="D1566" i="288" s="1"/>
  <c r="I879" i="288"/>
  <c r="J879" i="288" s="1"/>
  <c r="C1330" i="229"/>
  <c r="D1330" i="229" s="1"/>
  <c r="I295" i="288"/>
  <c r="J295" i="288" s="1"/>
  <c r="C3693" i="229"/>
  <c r="D3693" i="229" s="1"/>
  <c r="C2256" i="229"/>
  <c r="D2256" i="229" s="1"/>
  <c r="I3711" i="229"/>
  <c r="J3711" i="229" s="1"/>
  <c r="I2284" i="229"/>
  <c r="J2284" i="229" s="1"/>
  <c r="J2295" i="229" s="1"/>
  <c r="C20" i="229"/>
  <c r="D20" i="229" s="1"/>
  <c r="D31" i="229" s="1"/>
  <c r="I310" i="288"/>
  <c r="J310" i="288" s="1"/>
  <c r="I2515" i="229"/>
  <c r="J2515" i="229" s="1"/>
  <c r="C2105" i="288"/>
  <c r="D2105" i="288" s="1"/>
  <c r="C3826" i="229"/>
  <c r="D3826" i="229" s="1"/>
  <c r="C604" i="229"/>
  <c r="D604" i="229" s="1"/>
  <c r="C2515" i="288"/>
  <c r="D2515" i="288" s="1"/>
  <c r="D2524" i="288" s="1"/>
  <c r="C2681" i="229"/>
  <c r="D2681" i="229" s="1"/>
  <c r="I3536" i="229"/>
  <c r="J3536" i="229" s="1"/>
  <c r="C3190" i="288"/>
  <c r="D3190" i="288" s="1"/>
  <c r="I2220" i="288"/>
  <c r="J2220" i="288" s="1"/>
  <c r="J2221" i="288" s="1"/>
  <c r="C565" i="288"/>
  <c r="D565" i="288" s="1"/>
  <c r="C724" i="328"/>
  <c r="E724" i="328" s="1"/>
  <c r="C2432" i="229"/>
  <c r="D2432" i="229" s="1"/>
  <c r="C3828" i="229"/>
  <c r="D3828" i="229" s="1"/>
  <c r="I2235" i="229"/>
  <c r="J2235" i="229" s="1"/>
  <c r="J2246" i="229" s="1"/>
  <c r="I2337" i="229"/>
  <c r="J2337" i="229" s="1"/>
  <c r="C1916" i="229"/>
  <c r="D1916" i="229" s="1"/>
  <c r="C538" i="229"/>
  <c r="D538" i="229" s="1"/>
  <c r="I3103" i="229"/>
  <c r="J3103" i="229" s="1"/>
  <c r="C1065" i="288"/>
  <c r="D1065" i="288" s="1"/>
  <c r="I1220" i="229"/>
  <c r="J1220" i="229" s="1"/>
  <c r="C288" i="229"/>
  <c r="D288" i="229" s="1"/>
  <c r="I134" i="288"/>
  <c r="J134" i="288" s="1"/>
  <c r="J145" i="288" s="1"/>
  <c r="C271" i="229"/>
  <c r="D271" i="229" s="1"/>
  <c r="I290" i="229"/>
  <c r="J290" i="229" s="1"/>
  <c r="I1705" i="288"/>
  <c r="J1705" i="288" s="1"/>
  <c r="I3037" i="288"/>
  <c r="J3037" i="288" s="1"/>
  <c r="C631" i="229"/>
  <c r="D631" i="229" s="1"/>
  <c r="C3168" i="229"/>
  <c r="D3168" i="229" s="1"/>
  <c r="I1033" i="288"/>
  <c r="J1033" i="288" s="1"/>
  <c r="J1042" i="288" s="1"/>
  <c r="I3363" i="229"/>
  <c r="J3363" i="229" s="1"/>
  <c r="C3100" i="288"/>
  <c r="D3100" i="288" s="1"/>
  <c r="R25" i="261"/>
  <c r="R47" i="265"/>
  <c r="R58" i="261"/>
  <c r="I3366" i="288"/>
  <c r="J3366" i="288" s="1"/>
  <c r="C1677" i="288"/>
  <c r="D1677" i="288" s="1"/>
  <c r="I479" i="288"/>
  <c r="J479" i="288" s="1"/>
  <c r="R52" i="262"/>
  <c r="I2831" i="288"/>
  <c r="J2831" i="288" s="1"/>
  <c r="I2057" i="229"/>
  <c r="J2057" i="229" s="1"/>
  <c r="C664" i="229"/>
  <c r="D664" i="229" s="1"/>
  <c r="C131" i="229"/>
  <c r="D131" i="229" s="1"/>
  <c r="I2729" i="229"/>
  <c r="J2729" i="229" s="1"/>
  <c r="C1262" i="288"/>
  <c r="D1262" i="288" s="1"/>
  <c r="I866" i="288"/>
  <c r="J866" i="288" s="1"/>
  <c r="J867" i="288" s="1"/>
  <c r="I25" i="229"/>
  <c r="J25" i="229" s="1"/>
  <c r="C1819" i="288"/>
  <c r="D1819" i="288" s="1"/>
  <c r="I1105" i="288"/>
  <c r="J1105" i="288" s="1"/>
  <c r="J1114" i="288" s="1"/>
  <c r="C2718" i="288"/>
  <c r="D2718" i="288" s="1"/>
  <c r="C2745" i="288"/>
  <c r="D2745" i="288" s="1"/>
  <c r="I2732" i="229"/>
  <c r="J2732" i="229" s="1"/>
  <c r="I2775" i="229"/>
  <c r="J2775" i="229" s="1"/>
  <c r="C1787" i="229"/>
  <c r="D1787" i="229" s="1"/>
  <c r="C3692" i="229"/>
  <c r="D3692" i="229" s="1"/>
  <c r="C1188" i="229"/>
  <c r="D1188" i="229" s="1"/>
  <c r="I1606" i="229"/>
  <c r="J1606" i="229" s="1"/>
  <c r="I795" i="288"/>
  <c r="J795" i="288" s="1"/>
  <c r="J796" i="288" s="1"/>
  <c r="C1233" i="288"/>
  <c r="D1233" i="288" s="1"/>
  <c r="D1242" i="288" s="1"/>
  <c r="C3627" i="229"/>
  <c r="D3627" i="229" s="1"/>
  <c r="I1207" i="288"/>
  <c r="J1207" i="288" s="1"/>
  <c r="I2589" i="288"/>
  <c r="J2589" i="288" s="1"/>
  <c r="I1394" i="288"/>
  <c r="J1394" i="288" s="1"/>
  <c r="J1395" i="288" s="1"/>
  <c r="C102" i="288"/>
  <c r="D102" i="288" s="1"/>
  <c r="C2578" i="229"/>
  <c r="D2578" i="229" s="1"/>
  <c r="I6" i="288"/>
  <c r="J6" i="288" s="1"/>
  <c r="I2918" i="288"/>
  <c r="J2918" i="288" s="1"/>
  <c r="J2919" i="288" s="1"/>
  <c r="I1526" i="229"/>
  <c r="J1526" i="229" s="1"/>
  <c r="C3232" i="229"/>
  <c r="D3232" i="229" s="1"/>
  <c r="I3246" i="288"/>
  <c r="J3246" i="288" s="1"/>
  <c r="C1432" i="229"/>
  <c r="D1432" i="229" s="1"/>
  <c r="I2666" i="229"/>
  <c r="J2666" i="229" s="1"/>
  <c r="I1595" i="229"/>
  <c r="J1595" i="229" s="1"/>
  <c r="I2992" i="229"/>
  <c r="J2992" i="229" s="1"/>
  <c r="I2400" i="229"/>
  <c r="J2400" i="229" s="1"/>
  <c r="C3489" i="229"/>
  <c r="D3489" i="229" s="1"/>
  <c r="I3591" i="229"/>
  <c r="J3591" i="229" s="1"/>
  <c r="C3353" i="229"/>
  <c r="D3353" i="229" s="1"/>
  <c r="C3350" i="229"/>
  <c r="D3350" i="229" s="1"/>
  <c r="I1530" i="229"/>
  <c r="J1530" i="229" s="1"/>
  <c r="C3491" i="229"/>
  <c r="D3491" i="229" s="1"/>
  <c r="C3153" i="229"/>
  <c r="D3153" i="229" s="1"/>
  <c r="C3023" i="288"/>
  <c r="D3023" i="288" s="1"/>
  <c r="C1788" i="229"/>
  <c r="D1788" i="229" s="1"/>
  <c r="I510" i="288"/>
  <c r="J510" i="288" s="1"/>
  <c r="J511" i="288" s="1"/>
  <c r="I874" i="229"/>
  <c r="J874" i="229" s="1"/>
  <c r="J885" i="229" s="1"/>
  <c r="I2447" i="288"/>
  <c r="J2447" i="288" s="1"/>
  <c r="I2630" i="288"/>
  <c r="J2630" i="288" s="1"/>
  <c r="R39" i="265"/>
  <c r="I2118" i="288"/>
  <c r="J2118" i="288" s="1"/>
  <c r="C1021" i="229"/>
  <c r="D1021" i="229" s="1"/>
  <c r="C3398" i="229"/>
  <c r="D3398" i="229" s="1"/>
  <c r="R17" i="266"/>
  <c r="C2502" i="288"/>
  <c r="D2502" i="288" s="1"/>
  <c r="C2219" i="288"/>
  <c r="D2219" i="288" s="1"/>
  <c r="C2448" i="288"/>
  <c r="D2448" i="288" s="1"/>
  <c r="D2449" i="288" s="1"/>
  <c r="C2019" i="288"/>
  <c r="D2019" i="288" s="1"/>
  <c r="C1411" i="229"/>
  <c r="D1411" i="229" s="1"/>
  <c r="I1135" i="288"/>
  <c r="J1135" i="288" s="1"/>
  <c r="I3034" i="229"/>
  <c r="J3034" i="229" s="1"/>
  <c r="J3045" i="229" s="1"/>
  <c r="I2976" i="288"/>
  <c r="J2976" i="288" s="1"/>
  <c r="C1703" i="229"/>
  <c r="D1703" i="229" s="1"/>
  <c r="D1714" i="229" s="1"/>
  <c r="C3112" i="288"/>
  <c r="D3112" i="288" s="1"/>
  <c r="D3122" i="288" s="1"/>
  <c r="R56" i="261"/>
  <c r="C977" i="288"/>
  <c r="D977" i="288" s="1"/>
  <c r="R18" i="262"/>
  <c r="I238" i="288"/>
  <c r="J238" i="288" s="1"/>
  <c r="C2694" i="229"/>
  <c r="D2694" i="229" s="1"/>
  <c r="I2877" i="229"/>
  <c r="J2877" i="229" s="1"/>
  <c r="V14" i="266"/>
  <c r="V21" i="266" s="1"/>
  <c r="I1377" i="288"/>
  <c r="J1377" i="288" s="1"/>
  <c r="I3222" i="288"/>
  <c r="J3222" i="288" s="1"/>
  <c r="J3223" i="288" s="1"/>
  <c r="C3669" i="229"/>
  <c r="D3669" i="229" s="1"/>
  <c r="D3681" i="229" s="1"/>
  <c r="R37" i="261"/>
  <c r="R77" i="262"/>
  <c r="I3036" i="229"/>
  <c r="J3036" i="229" s="1"/>
  <c r="R70" i="261"/>
  <c r="C3537" i="229"/>
  <c r="D3537" i="229" s="1"/>
  <c r="I2161" i="288"/>
  <c r="J2161" i="288" s="1"/>
  <c r="C606" i="288"/>
  <c r="D606" i="288" s="1"/>
  <c r="D615" i="288" s="1"/>
  <c r="C1890" i="288"/>
  <c r="D1890" i="288" s="1"/>
  <c r="C949" i="288"/>
  <c r="D949" i="288" s="1"/>
  <c r="C3319" i="288"/>
  <c r="D3319" i="288" s="1"/>
  <c r="I486" i="229"/>
  <c r="J486" i="229" s="1"/>
  <c r="I2616" i="288"/>
  <c r="J2616" i="288" s="1"/>
  <c r="C3051" i="288"/>
  <c r="D3051" i="288" s="1"/>
  <c r="D3061" i="288" s="1"/>
  <c r="R45" i="262"/>
  <c r="I3020" i="229"/>
  <c r="J3020" i="229" s="1"/>
  <c r="C2260" i="288"/>
  <c r="D2260" i="288" s="1"/>
  <c r="C1943" i="229"/>
  <c r="D1943" i="229" s="1"/>
  <c r="I3203" i="288"/>
  <c r="J3203" i="288" s="1"/>
  <c r="C3236" i="288"/>
  <c r="D3236" i="288" s="1"/>
  <c r="D3237" i="288" s="1"/>
  <c r="R71" i="265"/>
  <c r="I3453" i="229"/>
  <c r="J3453" i="229" s="1"/>
  <c r="I1297" i="229"/>
  <c r="J1297" i="229" s="1"/>
  <c r="R82" i="261"/>
  <c r="I878" i="288"/>
  <c r="J878" i="288" s="1"/>
  <c r="C2488" i="288"/>
  <c r="D2488" i="288" s="1"/>
  <c r="R72" i="261"/>
  <c r="C956" i="229"/>
  <c r="D956" i="229" s="1"/>
  <c r="I736" i="288"/>
  <c r="J736" i="288" s="1"/>
  <c r="C3382" i="229"/>
  <c r="D3382" i="229" s="1"/>
  <c r="C1426" i="229"/>
  <c r="D1426" i="229" s="1"/>
  <c r="D1437" i="229" s="1"/>
  <c r="R64" i="265"/>
  <c r="I3537" i="229"/>
  <c r="J3537" i="229" s="1"/>
  <c r="R66" i="262"/>
  <c r="C634" i="229"/>
  <c r="D634" i="229" s="1"/>
  <c r="R57" i="261"/>
  <c r="C209" i="229"/>
  <c r="D209" i="229" s="1"/>
  <c r="I1151" i="229"/>
  <c r="J1151" i="229" s="1"/>
  <c r="C1851" i="229"/>
  <c r="D1851" i="229" s="1"/>
  <c r="I3004" i="229"/>
  <c r="J3004" i="229" s="1"/>
  <c r="R33" i="262"/>
  <c r="R16" i="261"/>
  <c r="C319" i="229"/>
  <c r="D319" i="229" s="1"/>
  <c r="D330" i="229" s="1"/>
  <c r="W14" i="258"/>
  <c r="W25" i="258" s="1"/>
  <c r="I2562" i="288"/>
  <c r="J2562" i="288" s="1"/>
  <c r="J2563" i="288" s="1"/>
  <c r="C69" i="288"/>
  <c r="D69" i="288" s="1"/>
  <c r="D80" i="288" s="1"/>
  <c r="C92" i="229"/>
  <c r="D92" i="229" s="1"/>
  <c r="R90" i="261"/>
  <c r="C1733" i="288"/>
  <c r="D1733" i="288" s="1"/>
  <c r="C713" i="229"/>
  <c r="D713" i="229" s="1"/>
  <c r="C494" i="288"/>
  <c r="D494" i="288" s="1"/>
  <c r="S15" i="262"/>
  <c r="S78" i="262" s="1"/>
  <c r="I1221" i="288"/>
  <c r="J1221" i="288" s="1"/>
  <c r="I976" i="288"/>
  <c r="J976" i="288" s="1"/>
  <c r="J985" i="288" s="1"/>
  <c r="C3295" i="229"/>
  <c r="D3295" i="229" s="1"/>
  <c r="I482" i="288"/>
  <c r="J482" i="288" s="1"/>
  <c r="J483" i="288" s="1"/>
  <c r="I1019" i="288"/>
  <c r="J1019" i="288" s="1"/>
  <c r="J1028" i="288" s="1"/>
  <c r="C2416" i="288"/>
  <c r="D2416" i="288" s="1"/>
  <c r="D2425" i="288" s="1"/>
  <c r="I2902" i="288"/>
  <c r="J2902" i="288" s="1"/>
  <c r="I501" i="229"/>
  <c r="J501" i="229" s="1"/>
  <c r="R18" i="261"/>
  <c r="R36" i="261"/>
  <c r="I421" i="288"/>
  <c r="J421" i="288" s="1"/>
  <c r="J430" i="288" s="1"/>
  <c r="C2531" i="288"/>
  <c r="D2531" i="288" s="1"/>
  <c r="I3535" i="229"/>
  <c r="J3535" i="229" s="1"/>
  <c r="J3547" i="229" s="1"/>
  <c r="I3036" i="288"/>
  <c r="J3036" i="288" s="1"/>
  <c r="C2430" i="229"/>
  <c r="D2430" i="229" s="1"/>
  <c r="D2441" i="229" s="1"/>
  <c r="C1193" i="288"/>
  <c r="D1193" i="288" s="1"/>
  <c r="C2481" i="229"/>
  <c r="D2481" i="229" s="1"/>
  <c r="I274" i="229"/>
  <c r="J274" i="229" s="1"/>
  <c r="I1280" i="288"/>
  <c r="J1280" i="288" s="1"/>
  <c r="J1281" i="288" s="1"/>
  <c r="C1976" i="288"/>
  <c r="D1976" i="288" s="1"/>
  <c r="C3704" i="229"/>
  <c r="D3704" i="229" s="1"/>
  <c r="C907" i="288"/>
  <c r="D907" i="288" s="1"/>
  <c r="C25" i="229"/>
  <c r="D25" i="229" s="1"/>
  <c r="C649" i="288"/>
  <c r="D649" i="288" s="1"/>
  <c r="D658" i="288" s="1"/>
  <c r="U15" i="261"/>
  <c r="U101" i="261" s="1"/>
  <c r="I2434" i="288"/>
  <c r="J2434" i="288" s="1"/>
  <c r="J2435" i="288" s="1"/>
  <c r="I2046" i="288"/>
  <c r="J2046" i="288" s="1"/>
  <c r="C75" i="229"/>
  <c r="D75" i="229" s="1"/>
  <c r="D86" i="229" s="1"/>
  <c r="C1476" i="229"/>
  <c r="D1476" i="229" s="1"/>
  <c r="C764" i="229"/>
  <c r="D764" i="229" s="1"/>
  <c r="C1932" i="288"/>
  <c r="D1932" i="288" s="1"/>
  <c r="I174" i="229"/>
  <c r="J174" i="229" s="1"/>
  <c r="C1220" i="288"/>
  <c r="D1220" i="288" s="1"/>
  <c r="C2762" i="288"/>
  <c r="D2762" i="288" s="1"/>
  <c r="D2763" i="288" s="1"/>
  <c r="I3793" i="229"/>
  <c r="J3793" i="229" s="1"/>
  <c r="I1793" i="288"/>
  <c r="J1793" i="288" s="1"/>
  <c r="J1794" i="288" s="1"/>
  <c r="I2860" i="229"/>
  <c r="J2860" i="229" s="1"/>
  <c r="C3281" i="229"/>
  <c r="D3281" i="229" s="1"/>
  <c r="I3083" i="288"/>
  <c r="J3083" i="288" s="1"/>
  <c r="C2695" i="229"/>
  <c r="D2695" i="229" s="1"/>
  <c r="C355" i="229"/>
  <c r="D355" i="229" s="1"/>
  <c r="C2350" i="229"/>
  <c r="D2350" i="229" s="1"/>
  <c r="I638" i="288"/>
  <c r="J638" i="288" s="1"/>
  <c r="J639" i="288" s="1"/>
  <c r="C3347" i="288"/>
  <c r="D3347" i="288" s="1"/>
  <c r="I465" i="288"/>
  <c r="J465" i="288" s="1"/>
  <c r="C239" i="229"/>
  <c r="D239" i="229" s="1"/>
  <c r="I807" i="288"/>
  <c r="J807" i="288" s="1"/>
  <c r="C255" i="229"/>
  <c r="D255" i="229" s="1"/>
  <c r="C325" i="288"/>
  <c r="D325" i="288" s="1"/>
  <c r="C3473" i="229"/>
  <c r="D3473" i="229" s="1"/>
  <c r="C1302" i="229"/>
  <c r="D1302" i="229" s="1"/>
  <c r="C224" i="229"/>
  <c r="D224" i="229" s="1"/>
  <c r="I1397" i="229"/>
  <c r="J1397" i="229" s="1"/>
  <c r="I1805" i="288"/>
  <c r="J1805" i="288" s="1"/>
  <c r="I3160" i="288"/>
  <c r="J3160" i="288" s="1"/>
  <c r="I1071" i="229"/>
  <c r="J1071" i="229" s="1"/>
  <c r="C1855" i="229"/>
  <c r="D1855" i="229" s="1"/>
  <c r="I3247" i="288"/>
  <c r="J3247" i="288" s="1"/>
  <c r="C584" i="229"/>
  <c r="D584" i="229" s="1"/>
  <c r="I2715" i="229"/>
  <c r="J2715" i="229" s="1"/>
  <c r="C2943" i="229"/>
  <c r="D2943" i="229" s="1"/>
  <c r="C594" i="288"/>
  <c r="D594" i="288" s="1"/>
  <c r="I140" i="288"/>
  <c r="J140" i="288" s="1"/>
  <c r="J141" i="288" s="1"/>
  <c r="I1351" i="229"/>
  <c r="J1351" i="229" s="1"/>
  <c r="C1269" i="229"/>
  <c r="D1269" i="229" s="1"/>
  <c r="C727" i="328"/>
  <c r="E727" i="328" s="1"/>
  <c r="C908" i="288"/>
  <c r="D908" i="288" s="1"/>
  <c r="I750" i="229"/>
  <c r="J750" i="229" s="1"/>
  <c r="C961" i="229"/>
  <c r="D961" i="229" s="1"/>
  <c r="I1608" i="229"/>
  <c r="J1608" i="229" s="1"/>
  <c r="I2127" i="229"/>
  <c r="J2127" i="229" s="1"/>
  <c r="I937" i="288"/>
  <c r="J937" i="288" s="1"/>
  <c r="C938" i="288"/>
  <c r="D938" i="288" s="1"/>
  <c r="D939" i="288" s="1"/>
  <c r="C650" i="288"/>
  <c r="D650" i="288" s="1"/>
  <c r="C1278" i="288"/>
  <c r="D1278" i="288" s="1"/>
  <c r="I2491" i="288"/>
  <c r="J2491" i="288" s="1"/>
  <c r="J2492" i="288" s="1"/>
  <c r="I1269" i="229"/>
  <c r="J1269" i="229" s="1"/>
  <c r="C223" i="229"/>
  <c r="D223" i="229" s="1"/>
  <c r="C3363" i="229"/>
  <c r="D3363" i="229" s="1"/>
  <c r="I3351" i="288"/>
  <c r="J3351" i="288" s="1"/>
  <c r="C815" i="229"/>
  <c r="D815" i="229" s="1"/>
  <c r="I24" i="229"/>
  <c r="J24" i="229" s="1"/>
  <c r="I3501" i="229"/>
  <c r="J3501" i="229" s="1"/>
  <c r="I1155" i="229"/>
  <c r="J1155" i="229" s="1"/>
  <c r="C2877" i="229"/>
  <c r="D2877" i="229" s="1"/>
  <c r="I2489" i="288"/>
  <c r="J2489" i="288" s="1"/>
  <c r="I2890" i="288"/>
  <c r="J2890" i="288" s="1"/>
  <c r="J2891" i="288" s="1"/>
  <c r="I1335" i="288"/>
  <c r="J1335" i="288" s="1"/>
  <c r="R63" i="262"/>
  <c r="C178" i="288"/>
  <c r="D178" i="288" s="1"/>
  <c r="D187" i="288" s="1"/>
  <c r="C372" i="229"/>
  <c r="D372" i="229" s="1"/>
  <c r="C1444" i="229"/>
  <c r="D1444" i="229" s="1"/>
  <c r="C2687" i="288"/>
  <c r="D2687" i="288" s="1"/>
  <c r="C1134" i="288"/>
  <c r="D1134" i="288" s="1"/>
  <c r="I894" i="288"/>
  <c r="J894" i="288" s="1"/>
  <c r="R28" i="265"/>
  <c r="I2234" i="288"/>
  <c r="J2234" i="288" s="1"/>
  <c r="J2235" i="288" s="1"/>
  <c r="I962" i="288"/>
  <c r="J962" i="288" s="1"/>
  <c r="J971" i="288" s="1"/>
  <c r="I3774" i="229"/>
  <c r="J3774" i="229" s="1"/>
  <c r="I1476" i="229"/>
  <c r="J1476" i="229" s="1"/>
  <c r="C2241" i="229"/>
  <c r="D2241" i="229" s="1"/>
  <c r="C1960" i="229"/>
  <c r="D1960" i="229" s="1"/>
  <c r="C3216" i="288"/>
  <c r="D3216" i="288" s="1"/>
  <c r="D3226" i="288" s="1"/>
  <c r="I649" i="288"/>
  <c r="J649" i="288" s="1"/>
  <c r="J658" i="288" s="1"/>
  <c r="C311" i="288"/>
  <c r="D311" i="288" s="1"/>
  <c r="D312" i="288" s="1"/>
  <c r="I1136" i="229"/>
  <c r="J1136" i="229" s="1"/>
  <c r="I706" i="288"/>
  <c r="J706" i="288" s="1"/>
  <c r="J715" i="288" s="1"/>
  <c r="I2477" i="288"/>
  <c r="J2477" i="288" s="1"/>
  <c r="J2478" i="288" s="1"/>
  <c r="C306" i="229"/>
  <c r="D306" i="229" s="1"/>
  <c r="C1102" i="229"/>
  <c r="D1102" i="229" s="1"/>
  <c r="C3082" i="288"/>
  <c r="D3082" i="288" s="1"/>
  <c r="C2856" i="229"/>
  <c r="D2856" i="229" s="1"/>
  <c r="D2867" i="229" s="1"/>
  <c r="I3812" i="229"/>
  <c r="J3812" i="229" s="1"/>
  <c r="C521" i="288"/>
  <c r="D521" i="288" s="1"/>
  <c r="C2874" i="288"/>
  <c r="D2874" i="288" s="1"/>
  <c r="C20" i="288"/>
  <c r="D20" i="288" s="1"/>
  <c r="D31" i="288" s="1"/>
  <c r="I732" i="229"/>
  <c r="J732" i="229" s="1"/>
  <c r="I1073" i="229"/>
  <c r="J1073" i="229" s="1"/>
  <c r="I496" i="288"/>
  <c r="J496" i="288" s="1"/>
  <c r="J497" i="288" s="1"/>
  <c r="S14" i="264"/>
  <c r="S85" i="264" s="1"/>
  <c r="I1281" i="229"/>
  <c r="J1281" i="229" s="1"/>
  <c r="C945" i="229"/>
  <c r="D945" i="229" s="1"/>
  <c r="I2889" i="229"/>
  <c r="J2889" i="229" s="1"/>
  <c r="I2843" i="229"/>
  <c r="J2843" i="229" s="1"/>
  <c r="C167" i="288"/>
  <c r="D167" i="288" s="1"/>
  <c r="C1561" i="229"/>
  <c r="D1561" i="229" s="1"/>
  <c r="C2432" i="288"/>
  <c r="D2432" i="288" s="1"/>
  <c r="C2049" i="288"/>
  <c r="D2049" i="288" s="1"/>
  <c r="D2050" i="288" s="1"/>
  <c r="I2518" i="288"/>
  <c r="J2518" i="288" s="1"/>
  <c r="I3380" i="229"/>
  <c r="J3380" i="229" s="1"/>
  <c r="J3392" i="229" s="1"/>
  <c r="C2174" i="288"/>
  <c r="D2174" i="288" s="1"/>
  <c r="I94" i="229"/>
  <c r="J94" i="229" s="1"/>
  <c r="I738" i="328"/>
  <c r="K738" i="328" s="1"/>
  <c r="C1336" i="288"/>
  <c r="D1336" i="288" s="1"/>
  <c r="C1059" i="229"/>
  <c r="D1059" i="229" s="1"/>
  <c r="I1819" i="288"/>
  <c r="J1819" i="288" s="1"/>
  <c r="C2831" i="288"/>
  <c r="D2831" i="288" s="1"/>
  <c r="C1088" i="229"/>
  <c r="D1088" i="229" s="1"/>
  <c r="I521" i="288"/>
  <c r="J521" i="288" s="1"/>
  <c r="C877" i="229"/>
  <c r="D877" i="229" s="1"/>
  <c r="I471" i="229"/>
  <c r="J471" i="229" s="1"/>
  <c r="C1179" i="288"/>
  <c r="D1179" i="288" s="1"/>
  <c r="C844" i="229"/>
  <c r="D844" i="229" s="1"/>
  <c r="C2959" i="229"/>
  <c r="D2959" i="229" s="1"/>
  <c r="I2974" i="288"/>
  <c r="J2974" i="288" s="1"/>
  <c r="J2984" i="288" s="1"/>
  <c r="I500" i="229"/>
  <c r="J500" i="229" s="1"/>
  <c r="J511" i="229" s="1"/>
  <c r="C237" i="288"/>
  <c r="D237" i="288" s="1"/>
  <c r="C1963" i="229"/>
  <c r="D1963" i="229" s="1"/>
  <c r="I1286" i="229"/>
  <c r="J1286" i="229" s="1"/>
  <c r="I2420" i="288"/>
  <c r="J2420" i="288" s="1"/>
  <c r="J2421" i="288" s="1"/>
  <c r="C796" i="229"/>
  <c r="D796" i="229" s="1"/>
  <c r="I3142" i="288"/>
  <c r="J3142" i="288" s="1"/>
  <c r="J3152" i="288" s="1"/>
  <c r="C2188" i="229"/>
  <c r="D2188" i="229" s="1"/>
  <c r="I614" i="229"/>
  <c r="J614" i="229" s="1"/>
  <c r="J625" i="229" s="1"/>
  <c r="C3454" i="229"/>
  <c r="D3454" i="229" s="1"/>
  <c r="C2333" i="229"/>
  <c r="D2333" i="229" s="1"/>
  <c r="C2645" i="288"/>
  <c r="D2645" i="288" s="1"/>
  <c r="C3500" i="229"/>
  <c r="D3500" i="229" s="1"/>
  <c r="D3512" i="229" s="1"/>
  <c r="I2694" i="229"/>
  <c r="J2694" i="229" s="1"/>
  <c r="C1750" i="288"/>
  <c r="D1750" i="288" s="1"/>
  <c r="D1751" i="288" s="1"/>
  <c r="I2092" i="288"/>
  <c r="J2092" i="288" s="1"/>
  <c r="J2093" i="288" s="1"/>
  <c r="I2604" i="288"/>
  <c r="J2604" i="288" s="1"/>
  <c r="I1088" i="229"/>
  <c r="J1088" i="229" s="1"/>
  <c r="C2277" i="288"/>
  <c r="D2277" i="288" s="1"/>
  <c r="D2278" i="288" s="1"/>
  <c r="I566" i="229"/>
  <c r="J566" i="229" s="1"/>
  <c r="I2285" i="229"/>
  <c r="J2285" i="229" s="1"/>
  <c r="C791" i="288"/>
  <c r="D791" i="288" s="1"/>
  <c r="D800" i="288" s="1"/>
  <c r="C207" i="288"/>
  <c r="D207" i="288" s="1"/>
  <c r="D216" i="288" s="1"/>
  <c r="I3052" i="229"/>
  <c r="J3052" i="229" s="1"/>
  <c r="I3293" i="288"/>
  <c r="J3293" i="288" s="1"/>
  <c r="C2503" i="288"/>
  <c r="D2503" i="288" s="1"/>
  <c r="C2616" i="288"/>
  <c r="D2616" i="288" s="1"/>
  <c r="I862" i="229"/>
  <c r="J862" i="229" s="1"/>
  <c r="C1107" i="288"/>
  <c r="D1107" i="288" s="1"/>
  <c r="C2363" i="288"/>
  <c r="D2363" i="288" s="1"/>
  <c r="D2364" i="288" s="1"/>
  <c r="C1577" i="288"/>
  <c r="D1577" i="288" s="1"/>
  <c r="C3708" i="229"/>
  <c r="D3708" i="229" s="1"/>
  <c r="R24" i="265"/>
  <c r="I3455" i="229"/>
  <c r="J3455" i="229" s="1"/>
  <c r="I2759" i="229"/>
  <c r="J2759" i="229" s="1"/>
  <c r="I1414" i="229"/>
  <c r="J1414" i="229" s="1"/>
  <c r="C852" i="288"/>
  <c r="D852" i="288" s="1"/>
  <c r="D853" i="288" s="1"/>
  <c r="C2352" i="229"/>
  <c r="D2352" i="229" s="1"/>
  <c r="I1077" i="288"/>
  <c r="J1077" i="288" s="1"/>
  <c r="C3525" i="229"/>
  <c r="D3525" i="229" s="1"/>
  <c r="C2377" i="288"/>
  <c r="D2377" i="288" s="1"/>
  <c r="D2378" i="288" s="1"/>
  <c r="C1074" i="229"/>
  <c r="D1074" i="229" s="1"/>
  <c r="I634" i="288"/>
  <c r="J634" i="288" s="1"/>
  <c r="J643" i="288" s="1"/>
  <c r="C1054" i="229"/>
  <c r="D1054" i="229" s="1"/>
  <c r="C2160" i="229"/>
  <c r="D2160" i="229" s="1"/>
  <c r="I25" i="288"/>
  <c r="J25" i="288" s="1"/>
  <c r="I3008" i="288"/>
  <c r="J3008" i="288" s="1"/>
  <c r="C524" i="288"/>
  <c r="D524" i="288" s="1"/>
  <c r="D525" i="288" s="1"/>
  <c r="I1422" i="288"/>
  <c r="J1422" i="288" s="1"/>
  <c r="J1423" i="288" s="1"/>
  <c r="C2844" i="229"/>
  <c r="D2844" i="229" s="1"/>
  <c r="I3219" i="229"/>
  <c r="J3219" i="229" s="1"/>
  <c r="I1251" i="229"/>
  <c r="J1251" i="229" s="1"/>
  <c r="I3504" i="229"/>
  <c r="J3504" i="229" s="1"/>
  <c r="C2516" i="229"/>
  <c r="D2516" i="229" s="1"/>
  <c r="C1834" i="288"/>
  <c r="D1834" i="288" s="1"/>
  <c r="I136" i="288"/>
  <c r="J136" i="288" s="1"/>
  <c r="C1738" i="229"/>
  <c r="D1738" i="229" s="1"/>
  <c r="I993" i="229"/>
  <c r="J993" i="229" s="1"/>
  <c r="I2573" i="288"/>
  <c r="J2573" i="288" s="1"/>
  <c r="I1004" i="229"/>
  <c r="J1004" i="229" s="1"/>
  <c r="J1015" i="229" s="1"/>
  <c r="I1308" i="288"/>
  <c r="J1308" i="288" s="1"/>
  <c r="J1309" i="288" s="1"/>
  <c r="C153" i="229"/>
  <c r="D153" i="229" s="1"/>
  <c r="C924" i="229"/>
  <c r="D924" i="229" s="1"/>
  <c r="C3452" i="229"/>
  <c r="D3452" i="229" s="1"/>
  <c r="V14" i="263"/>
  <c r="V21" i="263" s="1"/>
  <c r="C2034" i="288"/>
  <c r="D2034" i="288" s="1"/>
  <c r="I2273" i="229"/>
  <c r="J2273" i="229" s="1"/>
  <c r="I865" i="288"/>
  <c r="J865" i="288" s="1"/>
  <c r="I3187" i="229"/>
  <c r="J3187" i="229" s="1"/>
  <c r="C793" i="288"/>
  <c r="D793" i="288" s="1"/>
  <c r="I2173" i="229"/>
  <c r="J2173" i="229" s="1"/>
  <c r="C991" i="288"/>
  <c r="D991" i="288" s="1"/>
  <c r="D1000" i="288" s="1"/>
  <c r="I3263" i="288"/>
  <c r="J3263" i="288" s="1"/>
  <c r="I3186" i="288"/>
  <c r="J3186" i="288" s="1"/>
  <c r="J3196" i="288" s="1"/>
  <c r="C1137" i="288"/>
  <c r="D1137" i="288" s="1"/>
  <c r="D1138" i="288" s="1"/>
  <c r="C1234" i="288"/>
  <c r="D1234" i="288" s="1"/>
  <c r="I3116" i="229"/>
  <c r="J3116" i="229" s="1"/>
  <c r="J3127" i="229" s="1"/>
  <c r="I1322" i="288"/>
  <c r="J1322" i="288" s="1"/>
  <c r="J1323" i="288" s="1"/>
  <c r="I1147" i="288"/>
  <c r="J1147" i="288" s="1"/>
  <c r="J1156" i="288" s="1"/>
  <c r="C1206" i="288"/>
  <c r="D1206" i="288" s="1"/>
  <c r="I2786" i="288"/>
  <c r="J2786" i="288" s="1"/>
  <c r="J2795" i="288" s="1"/>
  <c r="C881" i="288"/>
  <c r="D881" i="288" s="1"/>
  <c r="D882" i="288" s="1"/>
  <c r="I1039" i="229"/>
  <c r="J1039" i="229" s="1"/>
  <c r="I1775" i="288"/>
  <c r="J1775" i="288" s="1"/>
  <c r="C3609" i="229"/>
  <c r="D3609" i="229" s="1"/>
  <c r="I223" i="288"/>
  <c r="J223" i="288" s="1"/>
  <c r="C793" i="229"/>
  <c r="D793" i="229" s="1"/>
  <c r="D804" i="229" s="1"/>
  <c r="C3591" i="229"/>
  <c r="D3591" i="229" s="1"/>
  <c r="I3121" i="229"/>
  <c r="J3121" i="229" s="1"/>
  <c r="C2661" i="288"/>
  <c r="D2661" i="288" s="1"/>
  <c r="C3672" i="229"/>
  <c r="D3672" i="229" s="1"/>
  <c r="I812" i="229"/>
  <c r="J812" i="229" s="1"/>
  <c r="I1476" i="288"/>
  <c r="J1476" i="288" s="1"/>
  <c r="R49" i="262"/>
  <c r="R35" i="262"/>
  <c r="R62" i="261"/>
  <c r="C2365" i="229"/>
  <c r="D2365" i="229" s="1"/>
  <c r="D2376" i="229" s="1"/>
  <c r="R86" i="261"/>
  <c r="I2177" i="288"/>
  <c r="J2177" i="288" s="1"/>
  <c r="J2178" i="288" s="1"/>
  <c r="C635" i="288"/>
  <c r="D635" i="288" s="1"/>
  <c r="C3352" i="288"/>
  <c r="D3352" i="288" s="1"/>
  <c r="D3353" i="288" s="1"/>
  <c r="C193" i="288"/>
  <c r="D193" i="288" s="1"/>
  <c r="D202" i="288" s="1"/>
  <c r="R42" i="265"/>
  <c r="I3100" i="229"/>
  <c r="J3100" i="229" s="1"/>
  <c r="I2301" i="229"/>
  <c r="J2301" i="229" s="1"/>
  <c r="C2253" i="229"/>
  <c r="D2253" i="229" s="1"/>
  <c r="I992" i="288"/>
  <c r="J992" i="288" s="1"/>
  <c r="I52" i="288"/>
  <c r="J52" i="288" s="1"/>
  <c r="J63" i="288" s="1"/>
  <c r="I2631" i="288"/>
  <c r="J2631" i="288" s="1"/>
  <c r="I3720" i="229"/>
  <c r="J3720" i="229" s="1"/>
  <c r="C3040" i="229"/>
  <c r="D3040" i="229" s="1"/>
  <c r="R61" i="262"/>
  <c r="I36" i="288"/>
  <c r="J36" i="288" s="1"/>
  <c r="J47" i="288" s="1"/>
  <c r="C335" i="229"/>
  <c r="D335" i="229" s="1"/>
  <c r="D346" i="229" s="1"/>
  <c r="C722" i="328"/>
  <c r="E722" i="328" s="1"/>
  <c r="C3705" i="229"/>
  <c r="D3705" i="229" s="1"/>
  <c r="C1280" i="229"/>
  <c r="D1280" i="229" s="1"/>
  <c r="D1291" i="229" s="1"/>
  <c r="I3740" i="229"/>
  <c r="J3740" i="229" s="1"/>
  <c r="C1479" i="229"/>
  <c r="D1479" i="229" s="1"/>
  <c r="I1364" i="288"/>
  <c r="J1364" i="288" s="1"/>
  <c r="I2588" i="288"/>
  <c r="J2588" i="288" s="1"/>
  <c r="C1347" i="288"/>
  <c r="D1347" i="288" s="1"/>
  <c r="D1356" i="288" s="1"/>
  <c r="I2817" i="288"/>
  <c r="J2817" i="288" s="1"/>
  <c r="X14" i="258"/>
  <c r="X25" i="258" s="1"/>
  <c r="I875" i="229"/>
  <c r="J875" i="229" s="1"/>
  <c r="I2790" i="288"/>
  <c r="J2790" i="288" s="1"/>
  <c r="J2791" i="288" s="1"/>
  <c r="C1151" i="229"/>
  <c r="D1151" i="229" s="1"/>
  <c r="I3329" i="229"/>
  <c r="J3329" i="229" s="1"/>
  <c r="C2602" i="288"/>
  <c r="D2602" i="288" s="1"/>
  <c r="I1188" i="229"/>
  <c r="J1188" i="229" s="1"/>
  <c r="C794" i="288"/>
  <c r="D794" i="288" s="1"/>
  <c r="C3069" i="288"/>
  <c r="D3069" i="288" s="1"/>
  <c r="C3456" i="229"/>
  <c r="D3456" i="229" s="1"/>
  <c r="I2947" i="288"/>
  <c r="J2947" i="288" s="1"/>
  <c r="I958" i="229"/>
  <c r="J958" i="229" s="1"/>
  <c r="C135" i="229"/>
  <c r="D135" i="229" s="1"/>
  <c r="C116" i="229"/>
  <c r="D116" i="229" s="1"/>
  <c r="I1418" i="288"/>
  <c r="J1418" i="288" s="1"/>
  <c r="J1427" i="288" s="1"/>
  <c r="C1167" i="229"/>
  <c r="D1167" i="229" s="1"/>
  <c r="C2832" i="288"/>
  <c r="D2832" i="288" s="1"/>
  <c r="I3575" i="229"/>
  <c r="J3575" i="229" s="1"/>
  <c r="C1236" i="288"/>
  <c r="D1236" i="288" s="1"/>
  <c r="C3657" i="229"/>
  <c r="D3657" i="229" s="1"/>
  <c r="C3115" i="288"/>
  <c r="D3115" i="288" s="1"/>
  <c r="I539" i="229"/>
  <c r="J539" i="229" s="1"/>
  <c r="I3422" i="229"/>
  <c r="J3422" i="229" s="1"/>
  <c r="I2322" i="229"/>
  <c r="J2322" i="229" s="1"/>
  <c r="C1222" i="288"/>
  <c r="D1222" i="288" s="1"/>
  <c r="C2962" i="288"/>
  <c r="D2962" i="288" s="1"/>
  <c r="R83" i="265"/>
  <c r="C1445" i="229"/>
  <c r="D1445" i="229" s="1"/>
  <c r="I39" i="229"/>
  <c r="J39" i="229" s="1"/>
  <c r="C2924" i="229"/>
  <c r="D2924" i="229" s="1"/>
  <c r="C1393" i="288"/>
  <c r="D1393" i="288" s="1"/>
  <c r="I2333" i="229"/>
  <c r="J2333" i="229" s="1"/>
  <c r="C593" i="288"/>
  <c r="D593" i="288" s="1"/>
  <c r="I2517" i="229"/>
  <c r="J2517" i="229" s="1"/>
  <c r="I495" i="288"/>
  <c r="J495" i="288" s="1"/>
  <c r="I3318" i="288"/>
  <c r="J3318" i="288" s="1"/>
  <c r="C265" i="288"/>
  <c r="D265" i="288" s="1"/>
  <c r="C765" i="288"/>
  <c r="D765" i="288" s="1"/>
  <c r="C2987" i="229"/>
  <c r="D2987" i="229" s="1"/>
  <c r="C2274" i="288"/>
  <c r="D2274" i="288" s="1"/>
  <c r="C2225" i="229"/>
  <c r="D2225" i="229" s="1"/>
  <c r="C3099" i="229"/>
  <c r="D3099" i="229" s="1"/>
  <c r="D3110" i="229" s="1"/>
  <c r="T14" i="264"/>
  <c r="T85" i="264" s="1"/>
  <c r="C93" i="229"/>
  <c r="D93" i="229" s="1"/>
  <c r="I2804" i="288"/>
  <c r="J2804" i="288" s="1"/>
  <c r="J2805" i="288" s="1"/>
  <c r="C1895" i="229"/>
  <c r="D1895" i="229" s="1"/>
  <c r="C2419" i="288"/>
  <c r="D2419" i="288" s="1"/>
  <c r="I707" i="288"/>
  <c r="J707" i="288" s="1"/>
  <c r="C2565" i="229"/>
  <c r="D2565" i="229" s="1"/>
  <c r="C60" i="229"/>
  <c r="D60" i="229" s="1"/>
  <c r="C1462" i="288"/>
  <c r="D1462" i="288" s="1"/>
  <c r="I294" i="288"/>
  <c r="J294" i="288" s="1"/>
  <c r="C975" i="229"/>
  <c r="D975" i="229" s="1"/>
  <c r="I1748" i="288"/>
  <c r="J1748" i="288" s="1"/>
  <c r="I1070" i="229"/>
  <c r="J1070" i="229" s="1"/>
  <c r="C1820" i="288"/>
  <c r="D1820" i="288" s="1"/>
  <c r="I2813" i="229"/>
  <c r="J2813" i="229" s="1"/>
  <c r="I961" i="229"/>
  <c r="J961" i="229" s="1"/>
  <c r="I3088" i="229"/>
  <c r="J3088" i="229" s="1"/>
  <c r="I3350" i="229"/>
  <c r="J3350" i="229" s="1"/>
  <c r="C879" i="288"/>
  <c r="D879" i="288" s="1"/>
  <c r="C3161" i="288"/>
  <c r="D3161" i="288" s="1"/>
  <c r="I2675" i="288"/>
  <c r="J2675" i="288" s="1"/>
  <c r="I3202" i="229"/>
  <c r="J3202" i="229" s="1"/>
  <c r="I131" i="229"/>
  <c r="J131" i="229" s="1"/>
  <c r="C3165" i="229"/>
  <c r="D3165" i="229" s="1"/>
  <c r="I439" i="288"/>
  <c r="J439" i="288" s="1"/>
  <c r="J440" i="288" s="1"/>
  <c r="I2049" i="288"/>
  <c r="J2049" i="288" s="1"/>
  <c r="J2050" i="288" s="1"/>
  <c r="C3368" i="288"/>
  <c r="D3368" i="288" s="1"/>
  <c r="D3369" i="288" s="1"/>
  <c r="I684" i="229"/>
  <c r="J684" i="229" s="1"/>
  <c r="I1379" i="288"/>
  <c r="J1379" i="288" s="1"/>
  <c r="J1380" i="288" s="1"/>
  <c r="C3587" i="229"/>
  <c r="D3587" i="229" s="1"/>
  <c r="I2217" i="288"/>
  <c r="J2217" i="288" s="1"/>
  <c r="C2382" i="229"/>
  <c r="D2382" i="229" s="1"/>
  <c r="C3318" i="288"/>
  <c r="D3318" i="288" s="1"/>
  <c r="C1619" i="288"/>
  <c r="D1619" i="288" s="1"/>
  <c r="I3158" i="288"/>
  <c r="J3158" i="288" s="1"/>
  <c r="C2545" i="288"/>
  <c r="D2545" i="288" s="1"/>
  <c r="C2104" i="288"/>
  <c r="D2104" i="288" s="1"/>
  <c r="C3706" i="229"/>
  <c r="D3706" i="229" s="1"/>
  <c r="I1171" i="229"/>
  <c r="J1171" i="229" s="1"/>
  <c r="C2690" i="288"/>
  <c r="D2690" i="288" s="1"/>
  <c r="D2691" i="288" s="1"/>
  <c r="I2237" i="229"/>
  <c r="J2237" i="229" s="1"/>
  <c r="I636" i="288"/>
  <c r="J636" i="288" s="1"/>
  <c r="I3188" i="288"/>
  <c r="J3188" i="288" s="1"/>
  <c r="I1546" i="229"/>
  <c r="J1546" i="229" s="1"/>
  <c r="C1091" i="229"/>
  <c r="D1091" i="229" s="1"/>
  <c r="I280" i="288"/>
  <c r="J280" i="288" s="1"/>
  <c r="I2892" i="229"/>
  <c r="J2892" i="229" s="1"/>
  <c r="I1877" i="288"/>
  <c r="J1877" i="288" s="1"/>
  <c r="C2459" i="288"/>
  <c r="D2459" i="288" s="1"/>
  <c r="C2842" i="229"/>
  <c r="D2842" i="229" s="1"/>
  <c r="I852" i="288"/>
  <c r="J852" i="288" s="1"/>
  <c r="J853" i="288" s="1"/>
  <c r="C2826" i="229"/>
  <c r="D2826" i="229" s="1"/>
  <c r="I744" i="328"/>
  <c r="K744" i="328" s="1"/>
  <c r="C952" i="288"/>
  <c r="D952" i="288" s="1"/>
  <c r="D953" i="288" s="1"/>
  <c r="I2120" i="288"/>
  <c r="J2120" i="288" s="1"/>
  <c r="J2121" i="288" s="1"/>
  <c r="C1863" i="288"/>
  <c r="D1863" i="288" s="1"/>
  <c r="I78" i="229"/>
  <c r="J78" i="229" s="1"/>
  <c r="C700" i="229"/>
  <c r="D700" i="229" s="1"/>
  <c r="C2797" i="229"/>
  <c r="D2797" i="229" s="1"/>
  <c r="C3644" i="229"/>
  <c r="D3644" i="229" s="1"/>
  <c r="I2190" i="288"/>
  <c r="J2190" i="288" s="1"/>
  <c r="I1739" i="229"/>
  <c r="J1739" i="229" s="1"/>
  <c r="C3824" i="229"/>
  <c r="D3824" i="229" s="1"/>
  <c r="C3737" i="229"/>
  <c r="D3737" i="229" s="1"/>
  <c r="I2546" i="229"/>
  <c r="J2546" i="229" s="1"/>
  <c r="I619" i="229"/>
  <c r="J619" i="229" s="1"/>
  <c r="C1220" i="229"/>
  <c r="D1220" i="229" s="1"/>
  <c r="I71" i="288"/>
  <c r="J71" i="288" s="1"/>
  <c r="C3610" i="229"/>
  <c r="D3610" i="229" s="1"/>
  <c r="C2417" i="229"/>
  <c r="D2417" i="229" s="1"/>
  <c r="I1102" i="229"/>
  <c r="J1102" i="229" s="1"/>
  <c r="C1218" i="229"/>
  <c r="D1218" i="229" s="1"/>
  <c r="C3334" i="229"/>
  <c r="D3334" i="229" s="1"/>
  <c r="C3420" i="229"/>
  <c r="D3420" i="229" s="1"/>
  <c r="I3089" i="229"/>
  <c r="J3089" i="229" s="1"/>
  <c r="I2498" i="229"/>
  <c r="J2498" i="229" s="1"/>
  <c r="C1007" i="288"/>
  <c r="D1007" i="288" s="1"/>
  <c r="C665" i="288"/>
  <c r="D665" i="288" s="1"/>
  <c r="C3174" i="288"/>
  <c r="D3174" i="288" s="1"/>
  <c r="I3008" i="229"/>
  <c r="J3008" i="229" s="1"/>
  <c r="I2241" i="229"/>
  <c r="J2241" i="229" s="1"/>
  <c r="I3201" i="229"/>
  <c r="J3201" i="229" s="1"/>
  <c r="C993" i="288"/>
  <c r="D993" i="288" s="1"/>
  <c r="C194" i="288"/>
  <c r="D194" i="288" s="1"/>
  <c r="C3405" i="229"/>
  <c r="D3405" i="229" s="1"/>
  <c r="I2792" i="229"/>
  <c r="J2792" i="229" s="1"/>
  <c r="C166" i="288"/>
  <c r="D166" i="288" s="1"/>
  <c r="C553" i="288"/>
  <c r="D553" i="288" s="1"/>
  <c r="D554" i="288" s="1"/>
  <c r="I39" i="288"/>
  <c r="J39" i="288" s="1"/>
  <c r="C153" i="288"/>
  <c r="D153" i="288" s="1"/>
  <c r="I2480" i="229"/>
  <c r="J2480" i="229" s="1"/>
  <c r="C2446" i="288"/>
  <c r="D2446" i="288" s="1"/>
  <c r="I2662" i="229"/>
  <c r="J2662" i="229" s="1"/>
  <c r="I921" i="288"/>
  <c r="J921" i="288" s="1"/>
  <c r="C3364" i="288"/>
  <c r="D3364" i="288" s="1"/>
  <c r="I2192" i="288"/>
  <c r="J2192" i="288" s="1"/>
  <c r="J2193" i="288" s="1"/>
  <c r="C181" i="288"/>
  <c r="D181" i="288" s="1"/>
  <c r="I237" i="288"/>
  <c r="J237" i="288" s="1"/>
  <c r="C959" i="229"/>
  <c r="D959" i="229" s="1"/>
  <c r="I3471" i="229"/>
  <c r="J3471" i="229" s="1"/>
  <c r="C2089" i="288"/>
  <c r="D2089" i="288" s="1"/>
  <c r="C1506" i="288"/>
  <c r="D1506" i="288" s="1"/>
  <c r="I3172" i="288"/>
  <c r="J3172" i="288" s="1"/>
  <c r="C2203" i="229"/>
  <c r="D2203" i="229" s="1"/>
  <c r="I2682" i="229"/>
  <c r="J2682" i="229" s="1"/>
  <c r="C3772" i="229"/>
  <c r="D3772" i="229" s="1"/>
  <c r="C1980" i="229"/>
  <c r="D1980" i="229" s="1"/>
  <c r="I3284" i="229"/>
  <c r="J3284" i="229" s="1"/>
  <c r="I680" i="229"/>
  <c r="J680" i="229" s="1"/>
  <c r="C911" i="229"/>
  <c r="D911" i="229" s="1"/>
  <c r="C2577" i="229"/>
  <c r="D2577" i="229" s="1"/>
  <c r="I926" i="229"/>
  <c r="J926" i="229" s="1"/>
  <c r="C2964" i="288"/>
  <c r="D2964" i="288" s="1"/>
  <c r="D2965" i="288" s="1"/>
  <c r="I3508" i="229"/>
  <c r="J3508" i="229" s="1"/>
  <c r="C2631" i="288"/>
  <c r="D2631" i="288" s="1"/>
  <c r="I2403" i="288"/>
  <c r="J2403" i="288" s="1"/>
  <c r="I635" i="229"/>
  <c r="J635" i="229" s="1"/>
  <c r="I2777" i="229"/>
  <c r="J2777" i="229" s="1"/>
  <c r="C3820" i="229"/>
  <c r="D3820" i="229" s="1"/>
  <c r="D3832" i="229" s="1"/>
  <c r="I624" i="288"/>
  <c r="J624" i="288" s="1"/>
  <c r="J625" i="288" s="1"/>
  <c r="I1720" i="229"/>
  <c r="J1720" i="229" s="1"/>
  <c r="C2384" i="229"/>
  <c r="D2384" i="229" s="1"/>
  <c r="C977" i="229"/>
  <c r="D977" i="229" s="1"/>
  <c r="I3147" i="288"/>
  <c r="J3147" i="288" s="1"/>
  <c r="J3148" i="288" s="1"/>
  <c r="C3838" i="229"/>
  <c r="D3838" i="229" s="1"/>
  <c r="I2887" i="288"/>
  <c r="J2887" i="288" s="1"/>
  <c r="I936" i="288"/>
  <c r="J936" i="288" s="1"/>
  <c r="I636" i="229"/>
  <c r="J636" i="229" s="1"/>
  <c r="C1280" i="288"/>
  <c r="D1280" i="288" s="1"/>
  <c r="D1281" i="288" s="1"/>
  <c r="C2135" i="288"/>
  <c r="D2135" i="288" s="1"/>
  <c r="D2136" i="288" s="1"/>
  <c r="I2338" i="229"/>
  <c r="J2338" i="229" s="1"/>
  <c r="C3524" i="229"/>
  <c r="D3524" i="229" s="1"/>
  <c r="I1959" i="229"/>
  <c r="J1959" i="229" s="1"/>
  <c r="J1970" i="229" s="1"/>
  <c r="C940" i="229"/>
  <c r="D940" i="229" s="1"/>
  <c r="C2972" i="229"/>
  <c r="D2972" i="229" s="1"/>
  <c r="I3206" i="288"/>
  <c r="J3206" i="288" s="1"/>
  <c r="J3207" i="288" s="1"/>
  <c r="C2862" i="229"/>
  <c r="D2862" i="229" s="1"/>
  <c r="C3607" i="229"/>
  <c r="D3607" i="229" s="1"/>
  <c r="I952" i="288"/>
  <c r="J952" i="288" s="1"/>
  <c r="J953" i="288" s="1"/>
  <c r="I1365" i="288"/>
  <c r="J1365" i="288" s="1"/>
  <c r="J1366" i="288" s="1"/>
  <c r="C1408" i="288"/>
  <c r="D1408" i="288" s="1"/>
  <c r="D1409" i="288" s="1"/>
  <c r="I959" i="229"/>
  <c r="J959" i="229" s="1"/>
  <c r="I1906" i="288"/>
  <c r="J1906" i="288" s="1"/>
  <c r="C341" i="229"/>
  <c r="D341" i="229" s="1"/>
  <c r="I681" i="288"/>
  <c r="J681" i="288" s="1"/>
  <c r="J682" i="288" s="1"/>
  <c r="I1037" i="288"/>
  <c r="J1037" i="288" s="1"/>
  <c r="J1038" i="288" s="1"/>
  <c r="I2795" i="229"/>
  <c r="J2795" i="229" s="1"/>
  <c r="I3676" i="229"/>
  <c r="J3676" i="229" s="1"/>
  <c r="I2617" i="288"/>
  <c r="J2617" i="288" s="1"/>
  <c r="I668" i="229"/>
  <c r="J668" i="229" s="1"/>
  <c r="C3265" i="288"/>
  <c r="D3265" i="288" s="1"/>
  <c r="I2236" i="229"/>
  <c r="J2236" i="229" s="1"/>
  <c r="I180" i="288"/>
  <c r="J180" i="288" s="1"/>
  <c r="C1981" i="229"/>
  <c r="D1981" i="229" s="1"/>
  <c r="C107" i="288"/>
  <c r="D107" i="288" s="1"/>
  <c r="D108" i="288" s="1"/>
  <c r="I1220" i="288"/>
  <c r="J1220" i="288" s="1"/>
  <c r="C5" i="288"/>
  <c r="D5" i="288" s="1"/>
  <c r="I1693" i="288"/>
  <c r="J1693" i="288" s="1"/>
  <c r="J1694" i="288" s="1"/>
  <c r="C2288" i="288"/>
  <c r="D2288" i="288" s="1"/>
  <c r="I1618" i="288"/>
  <c r="J1618" i="288" s="1"/>
  <c r="J1627" i="288" s="1"/>
  <c r="I1444" i="229"/>
  <c r="J1444" i="229" s="1"/>
  <c r="I2078" i="288"/>
  <c r="J2078" i="288" s="1"/>
  <c r="J2079" i="288" s="1"/>
  <c r="I117" i="229"/>
  <c r="J117" i="229" s="1"/>
  <c r="I3606" i="229"/>
  <c r="J3606" i="229" s="1"/>
  <c r="C2109" i="229"/>
  <c r="D2109" i="229" s="1"/>
  <c r="I1817" i="229"/>
  <c r="J1817" i="229" s="1"/>
  <c r="C357" i="229"/>
  <c r="D357" i="229" s="1"/>
  <c r="C1108" i="288"/>
  <c r="D1108" i="288" s="1"/>
  <c r="C1791" i="288"/>
  <c r="D1791" i="288" s="1"/>
  <c r="C766" i="229"/>
  <c r="D766" i="229" s="1"/>
  <c r="C1576" i="229"/>
  <c r="D1576" i="229" s="1"/>
  <c r="I3641" i="229"/>
  <c r="J3641" i="229" s="1"/>
  <c r="C3641" i="229"/>
  <c r="D3641" i="229" s="1"/>
  <c r="C1547" i="288"/>
  <c r="D1547" i="288" s="1"/>
  <c r="I287" i="229"/>
  <c r="J287" i="229" s="1"/>
  <c r="J298" i="229" s="1"/>
  <c r="C176" i="229"/>
  <c r="D176" i="229" s="1"/>
  <c r="I1267" i="229"/>
  <c r="J1267" i="229" s="1"/>
  <c r="C222" i="229"/>
  <c r="D222" i="229" s="1"/>
  <c r="D233" i="229" s="1"/>
  <c r="I224" i="229"/>
  <c r="J224" i="229" s="1"/>
  <c r="C3024" i="229"/>
  <c r="D3024" i="229" s="1"/>
  <c r="C1807" i="288"/>
  <c r="D1807" i="288" s="1"/>
  <c r="D1808" i="288" s="1"/>
  <c r="C2561" i="229"/>
  <c r="D2561" i="229" s="1"/>
  <c r="C3220" i="288"/>
  <c r="D3220" i="288" s="1"/>
  <c r="C1800" i="229"/>
  <c r="D1800" i="229" s="1"/>
  <c r="D1811" i="229" s="1"/>
  <c r="C180" i="288"/>
  <c r="D180" i="288" s="1"/>
  <c r="I2659" i="288"/>
  <c r="J2659" i="288" s="1"/>
  <c r="C1021" i="288"/>
  <c r="D1021" i="288" s="1"/>
  <c r="C2576" i="288"/>
  <c r="D2576" i="288" s="1"/>
  <c r="D2577" i="288" s="1"/>
  <c r="I838" i="288"/>
  <c r="J838" i="288" s="1"/>
  <c r="J839" i="288" s="1"/>
  <c r="C2778" i="229"/>
  <c r="D2778" i="229" s="1"/>
  <c r="C2371" i="229"/>
  <c r="D2371" i="229" s="1"/>
  <c r="C539" i="229"/>
  <c r="D539" i="229" s="1"/>
  <c r="C1429" i="229"/>
  <c r="D1429" i="229" s="1"/>
  <c r="C944" i="229"/>
  <c r="D944" i="229" s="1"/>
  <c r="C1621" i="288"/>
  <c r="D1621" i="288" s="1"/>
  <c r="I355" i="229"/>
  <c r="J355" i="229" s="1"/>
  <c r="I1805" i="229"/>
  <c r="J1805" i="229" s="1"/>
  <c r="C581" i="288"/>
  <c r="D581" i="288" s="1"/>
  <c r="D582" i="288" s="1"/>
  <c r="C906" i="229"/>
  <c r="D906" i="229" s="1"/>
  <c r="D917" i="229" s="1"/>
  <c r="I694" i="288"/>
  <c r="J694" i="288" s="1"/>
  <c r="I320" i="229"/>
  <c r="J320" i="229" s="1"/>
  <c r="I2171" i="229"/>
  <c r="J2171" i="229" s="1"/>
  <c r="C3135" i="229"/>
  <c r="D3135" i="229" s="1"/>
  <c r="C2562" i="229"/>
  <c r="D2562" i="229" s="1"/>
  <c r="C1491" i="288"/>
  <c r="D1491" i="288" s="1"/>
  <c r="I848" i="288"/>
  <c r="J848" i="288" s="1"/>
  <c r="J857" i="288" s="1"/>
  <c r="I42" i="288"/>
  <c r="J42" i="288" s="1"/>
  <c r="J43" i="288" s="1"/>
  <c r="C2929" i="288"/>
  <c r="D2929" i="288" s="1"/>
  <c r="D2939" i="288" s="1"/>
  <c r="I3688" i="229"/>
  <c r="J3688" i="229" s="1"/>
  <c r="C2843" i="229"/>
  <c r="D2843" i="229" s="1"/>
  <c r="C1927" i="229"/>
  <c r="D1927" i="229" s="1"/>
  <c r="C437" i="288"/>
  <c r="D437" i="288" s="1"/>
  <c r="I2696" i="229"/>
  <c r="J2696" i="229" s="1"/>
  <c r="I266" i="288"/>
  <c r="J266" i="288" s="1"/>
  <c r="C663" i="229"/>
  <c r="D663" i="229" s="1"/>
  <c r="D674" i="229" s="1"/>
  <c r="C2792" i="229"/>
  <c r="D2792" i="229" s="1"/>
  <c r="I793" i="288"/>
  <c r="J793" i="288" s="1"/>
  <c r="C1284" i="229"/>
  <c r="D1284" i="229" s="1"/>
  <c r="I765" i="229"/>
  <c r="J765" i="229" s="1"/>
  <c r="I2648" i="288"/>
  <c r="J2648" i="288" s="1"/>
  <c r="J2649" i="288" s="1"/>
  <c r="C577" i="288"/>
  <c r="D577" i="288" s="1"/>
  <c r="D586" i="288" s="1"/>
  <c r="I3542" i="229"/>
  <c r="J3542" i="229" s="1"/>
  <c r="C3276" i="288"/>
  <c r="D3276" i="288" s="1"/>
  <c r="I881" i="288"/>
  <c r="J881" i="288" s="1"/>
  <c r="J882" i="288" s="1"/>
  <c r="I2399" i="229"/>
  <c r="J2399" i="229" s="1"/>
  <c r="I289" i="229"/>
  <c r="J289" i="229" s="1"/>
  <c r="C1722" i="229"/>
  <c r="D1722" i="229" s="1"/>
  <c r="I2500" i="229"/>
  <c r="J2500" i="229" s="1"/>
  <c r="I2433" i="288"/>
  <c r="J2433" i="288" s="1"/>
  <c r="I2747" i="229"/>
  <c r="J2747" i="229" s="1"/>
  <c r="I568" i="229"/>
  <c r="J568" i="229" s="1"/>
  <c r="I3560" i="229"/>
  <c r="J3560" i="229" s="1"/>
  <c r="I3400" i="229"/>
  <c r="J3400" i="229" s="1"/>
  <c r="I3368" i="229"/>
  <c r="J3368" i="229" s="1"/>
  <c r="I3725" i="229"/>
  <c r="J3725" i="229" s="1"/>
  <c r="C2204" i="229"/>
  <c r="D2204" i="229" s="1"/>
  <c r="C682" i="229"/>
  <c r="D682" i="229" s="1"/>
  <c r="I1299" i="229"/>
  <c r="J1299" i="229" s="1"/>
  <c r="C2732" i="229"/>
  <c r="D2732" i="229" s="1"/>
  <c r="I2466" i="229"/>
  <c r="J2466" i="229" s="1"/>
  <c r="I3318" i="229"/>
  <c r="J3318" i="229" s="1"/>
  <c r="C1254" i="229"/>
  <c r="D1254" i="229" s="1"/>
  <c r="I2990" i="229"/>
  <c r="J2990" i="229" s="1"/>
  <c r="C421" i="288"/>
  <c r="D421" i="288" s="1"/>
  <c r="D430" i="288" s="1"/>
  <c r="I1997" i="229"/>
  <c r="J1997" i="229" s="1"/>
  <c r="I2335" i="229"/>
  <c r="J2335" i="229" s="1"/>
  <c r="I2109" i="229"/>
  <c r="J2109" i="229" s="1"/>
  <c r="C2698" i="229"/>
  <c r="D2698" i="229" s="1"/>
  <c r="I1622" i="288"/>
  <c r="J1622" i="288" s="1"/>
  <c r="J1623" i="288" s="1"/>
  <c r="C3811" i="229"/>
  <c r="D3811" i="229" s="1"/>
  <c r="C3365" i="229"/>
  <c r="D3365" i="229" s="1"/>
  <c r="I2687" i="288"/>
  <c r="J2687" i="288" s="1"/>
  <c r="I1435" i="288"/>
  <c r="J1435" i="288" s="1"/>
  <c r="I3159" i="288"/>
  <c r="J3159" i="288" s="1"/>
  <c r="C1235" i="288"/>
  <c r="D1235" i="288" s="1"/>
  <c r="C1804" i="229"/>
  <c r="D1804" i="229" s="1"/>
  <c r="C118" i="288"/>
  <c r="D118" i="288" s="1"/>
  <c r="C1138" i="229"/>
  <c r="D1138" i="229" s="1"/>
  <c r="C501" i="229"/>
  <c r="D501" i="229" s="1"/>
  <c r="C1904" i="288"/>
  <c r="D1904" i="288" s="1"/>
  <c r="I1316" i="229"/>
  <c r="J1316" i="229" s="1"/>
  <c r="I1336" i="288"/>
  <c r="J1336" i="288" s="1"/>
  <c r="I2787" i="288"/>
  <c r="J2787" i="288" s="1"/>
  <c r="C75" i="288"/>
  <c r="D75" i="288" s="1"/>
  <c r="D76" i="288" s="1"/>
  <c r="C693" i="288"/>
  <c r="D693" i="288" s="1"/>
  <c r="C570" i="229"/>
  <c r="D570" i="229" s="1"/>
  <c r="C509" i="288"/>
  <c r="D509" i="288" s="1"/>
  <c r="I1749" i="288"/>
  <c r="J1749" i="288" s="1"/>
  <c r="I3290" i="288"/>
  <c r="J3290" i="288" s="1"/>
  <c r="C309" i="288"/>
  <c r="D309" i="288" s="1"/>
  <c r="I1123" i="229"/>
  <c r="J1123" i="229" s="1"/>
  <c r="C2974" i="229"/>
  <c r="D2974" i="229" s="1"/>
  <c r="I1560" i="229"/>
  <c r="J1560" i="229" s="1"/>
  <c r="I763" i="229"/>
  <c r="J763" i="229" s="1"/>
  <c r="I2416" i="229"/>
  <c r="J2416" i="229" s="1"/>
  <c r="I308" i="288"/>
  <c r="J308" i="288" s="1"/>
  <c r="C1949" i="288"/>
  <c r="D1949" i="288" s="1"/>
  <c r="D1950" i="288" s="1"/>
  <c r="C2499" i="229"/>
  <c r="D2499" i="229" s="1"/>
  <c r="C2957" i="229"/>
  <c r="D2957" i="229" s="1"/>
  <c r="I3369" i="229"/>
  <c r="J3369" i="229" s="1"/>
  <c r="C865" i="288"/>
  <c r="D865" i="288" s="1"/>
  <c r="I2744" i="229"/>
  <c r="J2744" i="229" s="1"/>
  <c r="C3721" i="229"/>
  <c r="D3721" i="229" s="1"/>
  <c r="I3539" i="229"/>
  <c r="J3539" i="229" s="1"/>
  <c r="I265" i="288"/>
  <c r="J265" i="288" s="1"/>
  <c r="C567" i="229"/>
  <c r="D567" i="229" s="1"/>
  <c r="R19" i="261"/>
  <c r="R27" i="262"/>
  <c r="I806" i="288"/>
  <c r="J806" i="288" s="1"/>
  <c r="R99" i="261"/>
  <c r="R33" i="261"/>
  <c r="I2512" i="229"/>
  <c r="J2512" i="229" s="1"/>
  <c r="C1363" i="229"/>
  <c r="D1363" i="229" s="1"/>
  <c r="I1390" i="288"/>
  <c r="J1390" i="288" s="1"/>
  <c r="J1399" i="288" s="1"/>
  <c r="C2078" i="288"/>
  <c r="D2078" i="288" s="1"/>
  <c r="D2079" i="288" s="1"/>
  <c r="I964" i="288"/>
  <c r="J964" i="288" s="1"/>
  <c r="R18" i="265"/>
  <c r="I2975" i="288"/>
  <c r="J2975" i="288" s="1"/>
  <c r="C2387" i="288"/>
  <c r="D2387" i="288" s="1"/>
  <c r="D2396" i="288" s="1"/>
  <c r="C3170" i="229"/>
  <c r="D3170" i="229" s="1"/>
  <c r="I777" i="229"/>
  <c r="J777" i="229" s="1"/>
  <c r="I1451" i="288"/>
  <c r="J1451" i="288" s="1"/>
  <c r="J1452" i="288" s="1"/>
  <c r="I1148" i="288"/>
  <c r="J1148" i="288" s="1"/>
  <c r="C921" i="288"/>
  <c r="D921" i="288" s="1"/>
  <c r="C609" i="288"/>
  <c r="D609" i="288" s="1"/>
  <c r="I3757" i="229"/>
  <c r="J3757" i="229" s="1"/>
  <c r="I1091" i="229"/>
  <c r="J1091" i="229" s="1"/>
  <c r="I2142" i="229"/>
  <c r="J2142" i="229" s="1"/>
  <c r="C2922" i="229"/>
  <c r="D2922" i="229" s="1"/>
  <c r="C2788" i="288"/>
  <c r="D2788" i="288" s="1"/>
  <c r="I2374" i="288"/>
  <c r="J2374" i="288" s="1"/>
  <c r="R21" i="265"/>
  <c r="C3201" i="288"/>
  <c r="D3201" i="288" s="1"/>
  <c r="D3211" i="288" s="1"/>
  <c r="Z14" i="265"/>
  <c r="Z99" i="265" s="1"/>
  <c r="C1335" i="288"/>
  <c r="D1335" i="288" s="1"/>
  <c r="C2518" i="288"/>
  <c r="D2518" i="288" s="1"/>
  <c r="C3289" i="288"/>
  <c r="D3289" i="288" s="1"/>
  <c r="C522" i="229"/>
  <c r="D522" i="229" s="1"/>
  <c r="I2263" i="288"/>
  <c r="J2263" i="288" s="1"/>
  <c r="J2264" i="288" s="1"/>
  <c r="I1334" i="288"/>
  <c r="J1334" i="288" s="1"/>
  <c r="I2247" i="288"/>
  <c r="J2247" i="288" s="1"/>
  <c r="I2619" i="288"/>
  <c r="J2619" i="288" s="1"/>
  <c r="J2620" i="288" s="1"/>
  <c r="I3691" i="229"/>
  <c r="J3691" i="229" s="1"/>
  <c r="I1140" i="229"/>
  <c r="J1140" i="229" s="1"/>
  <c r="I2003" i="288"/>
  <c r="J2003" i="288" s="1"/>
  <c r="I1508" i="229"/>
  <c r="J1508" i="229" s="1"/>
  <c r="J1519" i="229" s="1"/>
  <c r="I734" i="288"/>
  <c r="J734" i="288" s="1"/>
  <c r="J743" i="288" s="1"/>
  <c r="C1315" i="229"/>
  <c r="D1315" i="229" s="1"/>
  <c r="I1137" i="288"/>
  <c r="J1137" i="288" s="1"/>
  <c r="J1138" i="288" s="1"/>
  <c r="I357" i="229"/>
  <c r="J357" i="229" s="1"/>
  <c r="I3213" i="229"/>
  <c r="J3213" i="229" s="1"/>
  <c r="J3224" i="229" s="1"/>
  <c r="R96" i="265"/>
  <c r="I425" i="288"/>
  <c r="J425" i="288" s="1"/>
  <c r="J426" i="288" s="1"/>
  <c r="I1948" i="229"/>
  <c r="J1948" i="229" s="1"/>
  <c r="C2334" i="229"/>
  <c r="D2334" i="229" s="1"/>
  <c r="C2236" i="229"/>
  <c r="D2236" i="229" s="1"/>
  <c r="I1395" i="229"/>
  <c r="J1395" i="229" s="1"/>
  <c r="I2733" i="288"/>
  <c r="J2733" i="288" s="1"/>
  <c r="J2734" i="288" s="1"/>
  <c r="I3005" i="229"/>
  <c r="J3005" i="229" s="1"/>
  <c r="I2063" i="288"/>
  <c r="J2063" i="288" s="1"/>
  <c r="J2064" i="288" s="1"/>
  <c r="I2104" i="288"/>
  <c r="J2104" i="288" s="1"/>
  <c r="I1204" i="288"/>
  <c r="J1204" i="288" s="1"/>
  <c r="J1213" i="288" s="1"/>
  <c r="C1573" i="229"/>
  <c r="D1573" i="229" s="1"/>
  <c r="D1584" i="229" s="1"/>
  <c r="C1375" i="288"/>
  <c r="D1375" i="288" s="1"/>
  <c r="D1384" i="288" s="1"/>
  <c r="C1518" i="288"/>
  <c r="D1518" i="288" s="1"/>
  <c r="D1527" i="288" s="1"/>
  <c r="C496" i="288"/>
  <c r="D496" i="288" s="1"/>
  <c r="D497" i="288" s="1"/>
  <c r="C777" i="229"/>
  <c r="D777" i="229" s="1"/>
  <c r="C2688" i="288"/>
  <c r="D2688" i="288" s="1"/>
  <c r="I2566" i="229"/>
  <c r="J2566" i="229" s="1"/>
  <c r="I796" i="229"/>
  <c r="J796" i="229" s="1"/>
  <c r="C507" i="288"/>
  <c r="D507" i="288" s="1"/>
  <c r="I194" i="229"/>
  <c r="J194" i="229" s="1"/>
  <c r="C3117" i="288"/>
  <c r="D3117" i="288" s="1"/>
  <c r="D3118" i="288" s="1"/>
  <c r="C695" i="288"/>
  <c r="D695" i="288" s="1"/>
  <c r="D696" i="288" s="1"/>
  <c r="C135" i="288"/>
  <c r="D135" i="288" s="1"/>
  <c r="I3488" i="229"/>
  <c r="J3488" i="229" s="1"/>
  <c r="I763" i="288"/>
  <c r="J763" i="288" s="1"/>
  <c r="J772" i="288" s="1"/>
  <c r="C3219" i="288"/>
  <c r="D3219" i="288" s="1"/>
  <c r="C1493" i="229"/>
  <c r="D1493" i="229" s="1"/>
  <c r="I3167" i="229"/>
  <c r="J3167" i="229" s="1"/>
  <c r="C2320" i="229"/>
  <c r="D2320" i="229" s="1"/>
  <c r="C3023" i="229"/>
  <c r="D3023" i="229" s="1"/>
  <c r="C2233" i="288"/>
  <c r="D2233" i="288" s="1"/>
  <c r="I1023" i="229"/>
  <c r="J1023" i="229" s="1"/>
  <c r="I3557" i="229"/>
  <c r="J3557" i="229" s="1"/>
  <c r="C2095" i="229"/>
  <c r="D2095" i="229" s="1"/>
  <c r="I3775" i="229"/>
  <c r="J3775" i="229" s="1"/>
  <c r="C2445" i="288"/>
  <c r="D2445" i="288" s="1"/>
  <c r="I2744" i="288"/>
  <c r="J2744" i="288" s="1"/>
  <c r="I2938" i="229"/>
  <c r="J2938" i="229" s="1"/>
  <c r="I38" i="288"/>
  <c r="J38" i="288" s="1"/>
  <c r="C2860" i="288"/>
  <c r="D2860" i="288" s="1"/>
  <c r="I1494" i="229"/>
  <c r="J1494" i="229" s="1"/>
  <c r="I1109" i="288"/>
  <c r="J1109" i="288" s="1"/>
  <c r="J1110" i="288" s="1"/>
  <c r="I2903" i="288"/>
  <c r="J2903" i="288" s="1"/>
  <c r="C752" i="288"/>
  <c r="D752" i="288" s="1"/>
  <c r="D753" i="288" s="1"/>
  <c r="C3292" i="288"/>
  <c r="D3292" i="288" s="1"/>
  <c r="C2223" i="229"/>
  <c r="D2223" i="229" s="1"/>
  <c r="I2366" i="229"/>
  <c r="J2366" i="229" s="1"/>
  <c r="I2695" i="229"/>
  <c r="J2695" i="229" s="1"/>
  <c r="C766" i="288"/>
  <c r="D766" i="288" s="1"/>
  <c r="I2125" i="229"/>
  <c r="J2125" i="229" s="1"/>
  <c r="I745" i="229"/>
  <c r="J745" i="229" s="1"/>
  <c r="C941" i="229"/>
  <c r="D941" i="229" s="1"/>
  <c r="I3021" i="288"/>
  <c r="J3021" i="288" s="1"/>
  <c r="I2497" i="229"/>
  <c r="J2497" i="229" s="1"/>
  <c r="C3297" i="229"/>
  <c r="D3297" i="229" s="1"/>
  <c r="C2958" i="229"/>
  <c r="D2958" i="229" s="1"/>
  <c r="I2661" i="288"/>
  <c r="J2661" i="288" s="1"/>
  <c r="C610" i="288"/>
  <c r="D610" i="288" s="1"/>
  <c r="D611" i="288" s="1"/>
  <c r="I1179" i="288"/>
  <c r="J1179" i="288" s="1"/>
  <c r="I288" i="229"/>
  <c r="J288" i="229" s="1"/>
  <c r="C226" i="229"/>
  <c r="D226" i="229" s="1"/>
  <c r="C223" i="288"/>
  <c r="D223" i="288" s="1"/>
  <c r="C2405" i="288"/>
  <c r="D2405" i="288" s="1"/>
  <c r="D2406" i="288" s="1"/>
  <c r="I1708" i="229"/>
  <c r="J1708" i="229" s="1"/>
  <c r="I1921" i="288"/>
  <c r="J1921" i="288" s="1"/>
  <c r="J1922" i="288" s="1"/>
  <c r="C3560" i="229"/>
  <c r="D3560" i="229" s="1"/>
  <c r="C1307" i="288"/>
  <c r="D1307" i="288" s="1"/>
  <c r="C965" i="288"/>
  <c r="D965" i="288" s="1"/>
  <c r="I1607" i="288"/>
  <c r="J1607" i="288" s="1"/>
  <c r="J1608" i="288" s="1"/>
  <c r="C581" i="229"/>
  <c r="D581" i="229" s="1"/>
  <c r="D592" i="229" s="1"/>
  <c r="C91" i="229"/>
  <c r="D91" i="229" s="1"/>
  <c r="D102" i="229" s="1"/>
  <c r="I2699" i="229"/>
  <c r="J2699" i="229" s="1"/>
  <c r="C3222" i="288"/>
  <c r="D3222" i="288" s="1"/>
  <c r="D3223" i="288" s="1"/>
  <c r="C2501" i="229"/>
  <c r="D2501" i="229" s="1"/>
  <c r="I632" i="229"/>
  <c r="J632" i="229" s="1"/>
  <c r="I3336" i="288"/>
  <c r="J3336" i="288" s="1"/>
  <c r="C3282" i="229"/>
  <c r="D3282" i="229" s="1"/>
  <c r="I942" i="229"/>
  <c r="J942" i="229" s="1"/>
  <c r="I211" i="229"/>
  <c r="J211" i="229" s="1"/>
  <c r="C3656" i="229"/>
  <c r="D3656" i="229" s="1"/>
  <c r="C1948" i="288"/>
  <c r="D1948" i="288" s="1"/>
  <c r="I3003" i="229"/>
  <c r="J3003" i="229" s="1"/>
  <c r="C439" i="288"/>
  <c r="D439" i="288" s="1"/>
  <c r="D440" i="288" s="1"/>
  <c r="C1398" i="229"/>
  <c r="D1398" i="229" s="1"/>
  <c r="C7" i="288"/>
  <c r="D7" i="288" s="1"/>
  <c r="I2058" i="229"/>
  <c r="J2058" i="229" s="1"/>
  <c r="I649" i="229"/>
  <c r="J649" i="229" s="1"/>
  <c r="C738" i="288"/>
  <c r="D738" i="288" s="1"/>
  <c r="D739" i="288" s="1"/>
  <c r="I826" i="229"/>
  <c r="J826" i="229" s="1"/>
  <c r="C1848" i="288"/>
  <c r="D1848" i="288" s="1"/>
  <c r="C2665" i="229"/>
  <c r="D2665" i="229" s="1"/>
  <c r="C1778" i="288"/>
  <c r="D1778" i="288" s="1"/>
  <c r="D1779" i="288" s="1"/>
  <c r="I951" i="288"/>
  <c r="J951" i="288" s="1"/>
  <c r="C1379" i="288"/>
  <c r="D1379" i="288" s="1"/>
  <c r="D1380" i="288" s="1"/>
  <c r="C1705" i="229"/>
  <c r="D1705" i="229" s="1"/>
  <c r="I1891" i="288"/>
  <c r="J1891" i="288" s="1"/>
  <c r="C622" i="288"/>
  <c r="D622" i="288" s="1"/>
  <c r="I1513" i="229"/>
  <c r="J1513" i="229" s="1"/>
  <c r="W14" i="264"/>
  <c r="W85" i="264" s="1"/>
  <c r="I2402" i="229"/>
  <c r="J2402" i="229" s="1"/>
  <c r="C254" i="288"/>
  <c r="D254" i="288" s="1"/>
  <c r="D255" i="288" s="1"/>
  <c r="C2322" i="229"/>
  <c r="D2322" i="229" s="1"/>
  <c r="I1534" i="288"/>
  <c r="J1534" i="288" s="1"/>
  <c r="C2534" i="288"/>
  <c r="D2534" i="288" s="1"/>
  <c r="D2535" i="288" s="1"/>
  <c r="I1509" i="229"/>
  <c r="J1509" i="229" s="1"/>
  <c r="C828" i="229"/>
  <c r="D828" i="229" s="1"/>
  <c r="C2353" i="229"/>
  <c r="D2353" i="229" s="1"/>
  <c r="I2528" i="229"/>
  <c r="J2528" i="229" s="1"/>
  <c r="C23" i="288"/>
  <c r="D23" i="288" s="1"/>
  <c r="I2249" i="288"/>
  <c r="J2249" i="288" s="1"/>
  <c r="J2250" i="288" s="1"/>
  <c r="I3039" i="288"/>
  <c r="J3039" i="288" s="1"/>
  <c r="C42" i="229"/>
  <c r="D42" i="229" s="1"/>
  <c r="I994" i="229"/>
  <c r="J994" i="229" s="1"/>
  <c r="I3218" i="288"/>
  <c r="J3218" i="288" s="1"/>
  <c r="I2954" i="229"/>
  <c r="J2954" i="229" s="1"/>
  <c r="C607" i="288"/>
  <c r="D607" i="288" s="1"/>
  <c r="I3660" i="229"/>
  <c r="J3660" i="229" s="1"/>
  <c r="I2939" i="229"/>
  <c r="J2939" i="229" s="1"/>
  <c r="I2091" i="229"/>
  <c r="J2091" i="229" s="1"/>
  <c r="I2667" i="229"/>
  <c r="J2667" i="229" s="1"/>
  <c r="I166" i="288"/>
  <c r="J166" i="288" s="1"/>
  <c r="C3574" i="229"/>
  <c r="D3574" i="229" s="1"/>
  <c r="I2764" i="229"/>
  <c r="J2764" i="229" s="1"/>
  <c r="I3457" i="229"/>
  <c r="J3457" i="229" s="1"/>
  <c r="C3777" i="229"/>
  <c r="D3777" i="229" s="1"/>
  <c r="I1136" i="288"/>
  <c r="J1136" i="288" s="1"/>
  <c r="C59" i="229"/>
  <c r="D59" i="229" s="1"/>
  <c r="C374" i="229"/>
  <c r="D374" i="229" s="1"/>
  <c r="I1393" i="288"/>
  <c r="J1393" i="288" s="1"/>
  <c r="C1283" i="229"/>
  <c r="D1283" i="229" s="1"/>
  <c r="C3038" i="288"/>
  <c r="D3038" i="288" s="1"/>
  <c r="S14" i="263"/>
  <c r="S21" i="263" s="1"/>
  <c r="C3268" i="229"/>
  <c r="D3268" i="229" s="1"/>
  <c r="I2927" i="229"/>
  <c r="J2927" i="229" s="1"/>
  <c r="I2089" i="288"/>
  <c r="J2089" i="288" s="1"/>
  <c r="C1564" i="288"/>
  <c r="D1564" i="288" s="1"/>
  <c r="I3521" i="229"/>
  <c r="J3521" i="229" s="1"/>
  <c r="I1413" i="229"/>
  <c r="J1413" i="229" s="1"/>
  <c r="I3456" i="229"/>
  <c r="J3456" i="229" s="1"/>
  <c r="C923" i="288"/>
  <c r="D923" i="288" s="1"/>
  <c r="D924" i="288" s="1"/>
  <c r="I1156" i="229"/>
  <c r="J1156" i="229" s="1"/>
  <c r="C3067" i="288"/>
  <c r="D3067" i="288" s="1"/>
  <c r="C3676" i="229"/>
  <c r="D3676" i="229" s="1"/>
  <c r="I1464" i="229"/>
  <c r="J1464" i="229" s="1"/>
  <c r="C115" i="229"/>
  <c r="D115" i="229" s="1"/>
  <c r="C2989" i="229"/>
  <c r="D2989" i="229" s="1"/>
  <c r="I3317" i="288"/>
  <c r="J3317" i="288" s="1"/>
  <c r="J3327" i="288" s="1"/>
  <c r="C564" i="288"/>
  <c r="D564" i="288" s="1"/>
  <c r="I3069" i="288"/>
  <c r="J3069" i="288" s="1"/>
  <c r="C270" i="229"/>
  <c r="D270" i="229" s="1"/>
  <c r="D281" i="229" s="1"/>
  <c r="I508" i="288"/>
  <c r="J508" i="288" s="1"/>
  <c r="I988" i="229"/>
  <c r="J988" i="229" s="1"/>
  <c r="J999" i="229" s="1"/>
  <c r="I1433" i="288"/>
  <c r="J1433" i="288" s="1"/>
  <c r="I2646" i="288"/>
  <c r="J2646" i="288" s="1"/>
  <c r="I1520" i="288"/>
  <c r="J1520" i="288" s="1"/>
  <c r="C2945" i="288"/>
  <c r="D2945" i="288" s="1"/>
  <c r="I927" i="229"/>
  <c r="J927" i="229" s="1"/>
  <c r="I3624" i="229"/>
  <c r="J3624" i="229" s="1"/>
  <c r="I3805" i="229"/>
  <c r="J3805" i="229" s="1"/>
  <c r="I2303" i="229"/>
  <c r="J2303" i="229" s="1"/>
  <c r="I2106" i="288"/>
  <c r="J2106" i="288" s="1"/>
  <c r="J2107" i="288" s="1"/>
  <c r="C3837" i="229"/>
  <c r="D3837" i="229" s="1"/>
  <c r="I2060" i="288"/>
  <c r="J2060" i="288" s="1"/>
  <c r="C2515" i="229"/>
  <c r="D2515" i="229" s="1"/>
  <c r="C3686" i="229"/>
  <c r="D3686" i="229" s="1"/>
  <c r="D3698" i="229" s="1"/>
  <c r="C2276" i="288"/>
  <c r="D2276" i="288" s="1"/>
  <c r="C3249" i="288"/>
  <c r="D3249" i="288" s="1"/>
  <c r="I830" i="229"/>
  <c r="J830" i="229" s="1"/>
  <c r="I3623" i="229"/>
  <c r="J3623" i="229" s="1"/>
  <c r="I2859" i="288"/>
  <c r="J2859" i="288" s="1"/>
  <c r="C3741" i="229"/>
  <c r="D3741" i="229" s="1"/>
  <c r="C369" i="229"/>
  <c r="D369" i="229" s="1"/>
  <c r="I2459" i="288"/>
  <c r="J2459" i="288" s="1"/>
  <c r="I3420" i="229"/>
  <c r="J3420" i="229" s="1"/>
  <c r="I3162" i="288"/>
  <c r="J3162" i="288" s="1"/>
  <c r="J3163" i="288" s="1"/>
  <c r="I1392" i="288"/>
  <c r="J1392" i="288" s="1"/>
  <c r="I2993" i="288"/>
  <c r="J2993" i="288" s="1"/>
  <c r="I1963" i="229"/>
  <c r="J1963" i="229" s="1"/>
  <c r="I3405" i="229"/>
  <c r="J3405" i="229" s="1"/>
  <c r="I3157" i="288"/>
  <c r="J3157" i="288" s="1"/>
  <c r="J3167" i="288" s="1"/>
  <c r="C812" i="229"/>
  <c r="D812" i="229" s="1"/>
  <c r="C3070" i="229"/>
  <c r="D3070" i="229" s="1"/>
  <c r="I3185" i="229"/>
  <c r="J3185" i="229" s="1"/>
  <c r="C2893" i="229"/>
  <c r="D2893" i="229" s="1"/>
  <c r="C2548" i="229"/>
  <c r="D2548" i="229" s="1"/>
  <c r="C781" i="288"/>
  <c r="D781" i="288" s="1"/>
  <c r="D782" i="288" s="1"/>
  <c r="C77" i="229"/>
  <c r="D77" i="229" s="1"/>
  <c r="C3318" i="229"/>
  <c r="D3318" i="229" s="1"/>
  <c r="C1820" i="229"/>
  <c r="D1820" i="229" s="1"/>
  <c r="C3298" i="229"/>
  <c r="D3298" i="229" s="1"/>
  <c r="I2858" i="229"/>
  <c r="J2858" i="229" s="1"/>
  <c r="C549" i="229"/>
  <c r="D549" i="229" s="1"/>
  <c r="C2205" i="288"/>
  <c r="D2205" i="288" s="1"/>
  <c r="I2272" i="229"/>
  <c r="J2272" i="229" s="1"/>
  <c r="C2776" i="229"/>
  <c r="D2776" i="229" s="1"/>
  <c r="C3349" i="288"/>
  <c r="D3349" i="288" s="1"/>
  <c r="C1319" i="229"/>
  <c r="D1319" i="229" s="1"/>
  <c r="C2091" i="288"/>
  <c r="D2091" i="288" s="1"/>
  <c r="I311" i="288"/>
  <c r="J311" i="288" s="1"/>
  <c r="J312" i="288" s="1"/>
  <c r="I1168" i="229"/>
  <c r="J1168" i="229" s="1"/>
  <c r="I3404" i="229"/>
  <c r="J3404" i="229" s="1"/>
  <c r="C133" i="229"/>
  <c r="D133" i="229" s="1"/>
  <c r="I3692" i="229"/>
  <c r="J3692" i="229" s="1"/>
  <c r="I3151" i="229"/>
  <c r="J3151" i="229" s="1"/>
  <c r="I2288" i="229"/>
  <c r="J2288" i="229" s="1"/>
  <c r="I709" i="288"/>
  <c r="J709" i="288" s="1"/>
  <c r="C1051" i="288"/>
  <c r="D1051" i="288" s="1"/>
  <c r="I1026" i="229"/>
  <c r="J1026" i="229" s="1"/>
  <c r="C1772" i="229"/>
  <c r="D1772" i="229" s="1"/>
  <c r="I3524" i="229"/>
  <c r="J3524" i="229" s="1"/>
  <c r="C3145" i="288"/>
  <c r="D3145" i="288" s="1"/>
  <c r="C1334" i="229"/>
  <c r="D1334" i="229" s="1"/>
  <c r="C2092" i="229"/>
  <c r="D2092" i="229" s="1"/>
  <c r="C619" i="229"/>
  <c r="D619" i="229" s="1"/>
  <c r="C550" i="229"/>
  <c r="D550" i="229" s="1"/>
  <c r="I1464" i="288"/>
  <c r="J1464" i="288" s="1"/>
  <c r="C3322" i="288"/>
  <c r="D3322" i="288" s="1"/>
  <c r="C2905" i="229"/>
  <c r="D2905" i="229" s="1"/>
  <c r="C3304" i="288"/>
  <c r="D3304" i="288" s="1"/>
  <c r="I1384" i="229"/>
  <c r="J1384" i="229" s="1"/>
  <c r="I905" i="288"/>
  <c r="J905" i="288" s="1"/>
  <c r="J914" i="288" s="1"/>
  <c r="C3036" i="288"/>
  <c r="D3036" i="288" s="1"/>
  <c r="C850" i="288"/>
  <c r="D850" i="288" s="1"/>
  <c r="C3010" i="288"/>
  <c r="D3010" i="288" s="1"/>
  <c r="D3011" i="288" s="1"/>
  <c r="C2970" i="229"/>
  <c r="D2970" i="229" s="1"/>
  <c r="W15" i="261"/>
  <c r="W101" i="261" s="1"/>
  <c r="C1250" i="288"/>
  <c r="D1250" i="288" s="1"/>
  <c r="I1038" i="229"/>
  <c r="J1038" i="229" s="1"/>
  <c r="I1619" i="288"/>
  <c r="J1619" i="288" s="1"/>
  <c r="C2990" i="288"/>
  <c r="D2990" i="288" s="1"/>
  <c r="D3000" i="288" s="1"/>
  <c r="C1263" i="288"/>
  <c r="D1263" i="288" s="1"/>
  <c r="C190" i="229"/>
  <c r="D190" i="229" s="1"/>
  <c r="I324" i="229"/>
  <c r="J324" i="229" s="1"/>
  <c r="C2234" i="288"/>
  <c r="D2234" i="288" s="1"/>
  <c r="D2235" i="288" s="1"/>
  <c r="I1094" i="288"/>
  <c r="J1094" i="288" s="1"/>
  <c r="J1095" i="288" s="1"/>
  <c r="C1891" i="288"/>
  <c r="D1891" i="288" s="1"/>
  <c r="C2404" i="288"/>
  <c r="D2404" i="288" s="1"/>
  <c r="C1376" i="288"/>
  <c r="D1376" i="288" s="1"/>
  <c r="C3143" i="288"/>
  <c r="D3143" i="288" s="1"/>
  <c r="I2419" i="229"/>
  <c r="J2419" i="229" s="1"/>
  <c r="I275" i="229"/>
  <c r="J275" i="229" s="1"/>
  <c r="C1543" i="229"/>
  <c r="D1543" i="229" s="1"/>
  <c r="I550" i="229"/>
  <c r="J550" i="229" s="1"/>
  <c r="I10" i="288"/>
  <c r="J10" i="288" s="1"/>
  <c r="J11" i="288" s="1"/>
  <c r="I1889" i="288"/>
  <c r="J1889" i="288" s="1"/>
  <c r="C992" i="229"/>
  <c r="D992" i="229" s="1"/>
  <c r="R64" i="262"/>
  <c r="C3707" i="229"/>
  <c r="D3707" i="229" s="1"/>
  <c r="C2876" i="229"/>
  <c r="D2876" i="229" s="1"/>
  <c r="I2223" i="229"/>
  <c r="J2223" i="229" s="1"/>
  <c r="I1593" i="288"/>
  <c r="J1593" i="288" s="1"/>
  <c r="J1594" i="288" s="1"/>
  <c r="C2550" i="229"/>
  <c r="D2550" i="229" s="1"/>
  <c r="C1202" i="229"/>
  <c r="D1202" i="229" s="1"/>
  <c r="C2360" i="288"/>
  <c r="D2360" i="288" s="1"/>
  <c r="C1527" i="229"/>
  <c r="D1527" i="229" s="1"/>
  <c r="C2875" i="229"/>
  <c r="D2875" i="229" s="1"/>
  <c r="I2451" i="229"/>
  <c r="J2451" i="229" s="1"/>
  <c r="C992" i="288"/>
  <c r="D992" i="288" s="1"/>
  <c r="C2004" i="288"/>
  <c r="D2004" i="288" s="1"/>
  <c r="C2979" i="288"/>
  <c r="D2979" i="288" s="1"/>
  <c r="D2980" i="288" s="1"/>
  <c r="I3348" i="229"/>
  <c r="J3348" i="229" s="1"/>
  <c r="C2763" i="229"/>
  <c r="D2763" i="229" s="1"/>
  <c r="I2875" i="288"/>
  <c r="J2875" i="288" s="1"/>
  <c r="C1896" i="229"/>
  <c r="D1896" i="229" s="1"/>
  <c r="C739" i="328"/>
  <c r="E739" i="328" s="1"/>
  <c r="I3558" i="229"/>
  <c r="J3558" i="229" s="1"/>
  <c r="C371" i="229"/>
  <c r="D371" i="229" s="1"/>
  <c r="C820" i="288"/>
  <c r="D820" i="288" s="1"/>
  <c r="D829" i="288" s="1"/>
  <c r="C602" i="229"/>
  <c r="D602" i="229" s="1"/>
  <c r="C663" i="288"/>
  <c r="D663" i="288" s="1"/>
  <c r="D672" i="288" s="1"/>
  <c r="C1775" i="288"/>
  <c r="D1775" i="288" s="1"/>
  <c r="C2748" i="229"/>
  <c r="D2748" i="229" s="1"/>
  <c r="C322" i="229"/>
  <c r="D322" i="229" s="1"/>
  <c r="I3419" i="229"/>
  <c r="J3419" i="229" s="1"/>
  <c r="I2175" i="288"/>
  <c r="J2175" i="288" s="1"/>
  <c r="I1979" i="229"/>
  <c r="J1979" i="229" s="1"/>
  <c r="C3329" i="229"/>
  <c r="D3329" i="229" s="1"/>
  <c r="C1875" i="288"/>
  <c r="D1875" i="288" s="1"/>
  <c r="I2252" i="229"/>
  <c r="J2252" i="229" s="1"/>
  <c r="C3309" i="288"/>
  <c r="D3309" i="288" s="1"/>
  <c r="D3310" i="288" s="1"/>
  <c r="C2418" i="288"/>
  <c r="D2418" i="288" s="1"/>
  <c r="R22" i="258"/>
  <c r="I2006" i="288"/>
  <c r="J2006" i="288" s="1"/>
  <c r="J2007" i="288" s="1"/>
  <c r="I1351" i="288"/>
  <c r="J1351" i="288" s="1"/>
  <c r="J1352" i="288" s="1"/>
  <c r="I1565" i="288"/>
  <c r="J1565" i="288" s="1"/>
  <c r="J1566" i="288" s="1"/>
  <c r="C1505" i="288"/>
  <c r="D1505" i="288" s="1"/>
  <c r="I3020" i="288"/>
  <c r="J3020" i="288" s="1"/>
  <c r="J3030" i="288" s="1"/>
  <c r="I2268" i="229"/>
  <c r="J2268" i="229" s="1"/>
  <c r="R32" i="261"/>
  <c r="R53" i="261"/>
  <c r="I80" i="229"/>
  <c r="J80" i="229" s="1"/>
  <c r="C1249" i="288"/>
  <c r="D1249" i="288" s="1"/>
  <c r="C717" i="229"/>
  <c r="D717" i="229" s="1"/>
  <c r="R21" i="258"/>
  <c r="I1776" i="288"/>
  <c r="J1776" i="288" s="1"/>
  <c r="R20" i="258"/>
  <c r="C763" i="288"/>
  <c r="D763" i="288" s="1"/>
  <c r="D772" i="288" s="1"/>
  <c r="C909" i="288"/>
  <c r="D909" i="288" s="1"/>
  <c r="D910" i="288" s="1"/>
  <c r="C950" i="288"/>
  <c r="D950" i="288" s="1"/>
  <c r="I1506" i="288"/>
  <c r="J1506" i="288" s="1"/>
  <c r="I1529" i="229"/>
  <c r="J1529" i="229" s="1"/>
  <c r="I3056" i="229"/>
  <c r="J3056" i="229" s="1"/>
  <c r="C1166" i="288"/>
  <c r="D1166" i="288" s="1"/>
  <c r="D1167" i="288" s="1"/>
  <c r="I435" i="288"/>
  <c r="J435" i="288" s="1"/>
  <c r="J444" i="288" s="1"/>
  <c r="I721" i="288"/>
  <c r="J721" i="288" s="1"/>
  <c r="C2076" i="288"/>
  <c r="D2076" i="288" s="1"/>
  <c r="R58" i="262"/>
  <c r="C3488" i="229"/>
  <c r="D3488" i="229" s="1"/>
  <c r="I2779" i="229"/>
  <c r="J2779" i="229" s="1"/>
  <c r="C3293" i="288"/>
  <c r="D3293" i="288" s="1"/>
  <c r="I3174" i="288"/>
  <c r="J3174" i="288" s="1"/>
  <c r="C256" i="229"/>
  <c r="D256" i="229" s="1"/>
  <c r="C2117" i="288"/>
  <c r="D2117" i="288" s="1"/>
  <c r="C8" i="288"/>
  <c r="D8" i="288" s="1"/>
  <c r="I1861" i="288"/>
  <c r="J1861" i="288" s="1"/>
  <c r="I2363" i="288"/>
  <c r="J2363" i="288" s="1"/>
  <c r="J2364" i="288" s="1"/>
  <c r="C1932" i="229"/>
  <c r="D1932" i="229" s="1"/>
  <c r="C1106" i="229"/>
  <c r="D1106" i="229" s="1"/>
  <c r="C337" i="229"/>
  <c r="D337" i="229" s="1"/>
  <c r="C1377" i="288"/>
  <c r="D1377" i="288" s="1"/>
  <c r="C1704" i="288"/>
  <c r="D1704" i="288" s="1"/>
  <c r="I539" i="288"/>
  <c r="J539" i="288" s="1"/>
  <c r="J540" i="288" s="1"/>
  <c r="I2514" i="229"/>
  <c r="J2514" i="229" s="1"/>
  <c r="C3674" i="229"/>
  <c r="D3674" i="229" s="1"/>
  <c r="C478" i="288"/>
  <c r="D478" i="288" s="1"/>
  <c r="D487" i="288" s="1"/>
  <c r="I1932" i="229"/>
  <c r="J1932" i="229" s="1"/>
  <c r="I1166" i="288"/>
  <c r="J1166" i="288" s="1"/>
  <c r="J1167" i="288" s="1"/>
  <c r="C571" i="229"/>
  <c r="D571" i="229" s="1"/>
  <c r="I3490" i="229"/>
  <c r="J3490" i="229" s="1"/>
  <c r="C3725" i="229"/>
  <c r="D3725" i="229" s="1"/>
  <c r="C735" i="288"/>
  <c r="D735" i="288" s="1"/>
  <c r="I3658" i="229"/>
  <c r="J3658" i="229" s="1"/>
  <c r="I1250" i="288"/>
  <c r="J1250" i="288" s="1"/>
  <c r="C2468" i="229"/>
  <c r="D2468" i="229" s="1"/>
  <c r="C929" i="229"/>
  <c r="D929" i="229" s="1"/>
  <c r="C3096" i="288"/>
  <c r="D3096" i="288" s="1"/>
  <c r="D3106" i="288" s="1"/>
  <c r="I1920" i="288"/>
  <c r="J1920" i="288" s="1"/>
  <c r="R33" i="265"/>
  <c r="I749" i="288"/>
  <c r="J749" i="288" s="1"/>
  <c r="I1332" i="229"/>
  <c r="J1332" i="229" s="1"/>
  <c r="C3299" i="229"/>
  <c r="D3299" i="229" s="1"/>
  <c r="I1819" i="229"/>
  <c r="J1819" i="229" s="1"/>
  <c r="I1093" i="288"/>
  <c r="J1093" i="288" s="1"/>
  <c r="C3002" i="229"/>
  <c r="D3002" i="229" s="1"/>
  <c r="D3013" i="229" s="1"/>
  <c r="C4" i="288"/>
  <c r="D4" i="288" s="1"/>
  <c r="D15" i="288" s="1"/>
  <c r="C510" i="288"/>
  <c r="D510" i="288" s="1"/>
  <c r="D511" i="288" s="1"/>
  <c r="C3037" i="288"/>
  <c r="D3037" i="288" s="1"/>
  <c r="I352" i="229"/>
  <c r="J352" i="229" s="1"/>
  <c r="J363" i="229" s="1"/>
  <c r="I1054" i="229"/>
  <c r="J1054" i="229" s="1"/>
  <c r="I195" i="229"/>
  <c r="J195" i="229" s="1"/>
  <c r="C3040" i="288"/>
  <c r="D3040" i="288" s="1"/>
  <c r="D3041" i="288" s="1"/>
  <c r="C3348" i="288"/>
  <c r="D3348" i="288" s="1"/>
  <c r="I2444" i="288"/>
  <c r="J2444" i="288" s="1"/>
  <c r="J2453" i="288" s="1"/>
  <c r="R61" i="261"/>
  <c r="I3398" i="229"/>
  <c r="J3398" i="229" s="1"/>
  <c r="C36" i="229"/>
  <c r="D36" i="229" s="1"/>
  <c r="D47" i="229" s="1"/>
  <c r="C3167" i="229"/>
  <c r="D3167" i="229" s="1"/>
  <c r="I1962" i="288"/>
  <c r="J1962" i="288" s="1"/>
  <c r="I3322" i="288"/>
  <c r="J3322" i="288" s="1"/>
  <c r="C2401" i="229"/>
  <c r="D2401" i="229" s="1"/>
  <c r="I586" i="229"/>
  <c r="J586" i="229" s="1"/>
  <c r="I565" i="288"/>
  <c r="J565" i="288" s="1"/>
  <c r="C782" i="229"/>
  <c r="D782" i="229" s="1"/>
  <c r="I2833" i="288"/>
  <c r="J2833" i="288" s="1"/>
  <c r="J2834" i="288" s="1"/>
  <c r="I552" i="229"/>
  <c r="J552" i="229" s="1"/>
  <c r="C537" i="288"/>
  <c r="D537" i="288" s="1"/>
  <c r="C1020" i="288"/>
  <c r="D1020" i="288" s="1"/>
  <c r="C1747" i="288"/>
  <c r="D1747" i="288" s="1"/>
  <c r="V15" i="261"/>
  <c r="V101" i="261" s="1"/>
  <c r="C1321" i="288"/>
  <c r="D1321" i="288" s="1"/>
  <c r="I1305" i="288"/>
  <c r="J1305" i="288" s="1"/>
  <c r="I493" i="288"/>
  <c r="J493" i="288" s="1"/>
  <c r="I1346" i="229"/>
  <c r="J1346" i="229" s="1"/>
  <c r="C436" i="288"/>
  <c r="D436" i="288" s="1"/>
  <c r="C2630" i="288"/>
  <c r="D2630" i="288" s="1"/>
  <c r="I22" i="229"/>
  <c r="J22" i="229" s="1"/>
  <c r="C2934" i="288"/>
  <c r="D2934" i="288" s="1"/>
  <c r="D2935" i="288" s="1"/>
  <c r="I536" i="288"/>
  <c r="J536" i="288" s="1"/>
  <c r="I1177" i="288"/>
  <c r="J1177" i="288" s="1"/>
  <c r="C669" i="229"/>
  <c r="D669" i="229" s="1"/>
  <c r="C304" i="229"/>
  <c r="D304" i="229" s="1"/>
  <c r="C1513" i="229"/>
  <c r="D1513" i="229" s="1"/>
  <c r="C239" i="288"/>
  <c r="D239" i="288" s="1"/>
  <c r="D240" i="288" s="1"/>
  <c r="C275" i="229"/>
  <c r="D275" i="229" s="1"/>
  <c r="I1236" i="288"/>
  <c r="J1236" i="288" s="1"/>
  <c r="C3624" i="229"/>
  <c r="D3624" i="229" s="1"/>
  <c r="C2846" i="288"/>
  <c r="D2846" i="288" s="1"/>
  <c r="I2826" i="229"/>
  <c r="J2826" i="229" s="1"/>
  <c r="I749" i="229"/>
  <c r="J749" i="229" s="1"/>
  <c r="C3159" i="288"/>
  <c r="D3159" i="288" s="1"/>
  <c r="I652" i="288"/>
  <c r="J652" i="288" s="1"/>
  <c r="C2604" i="288"/>
  <c r="D2604" i="288" s="1"/>
  <c r="C3132" i="288"/>
  <c r="D3132" i="288" s="1"/>
  <c r="D3133" i="288" s="1"/>
  <c r="I469" i="229"/>
  <c r="J469" i="229" s="1"/>
  <c r="I1349" i="288"/>
  <c r="J1349" i="288" s="1"/>
  <c r="I2048" i="288"/>
  <c r="J2048" i="288" s="1"/>
  <c r="I911" i="229"/>
  <c r="J911" i="229" s="1"/>
  <c r="I22" i="288"/>
  <c r="J22" i="288" s="1"/>
  <c r="I1431" i="229"/>
  <c r="J1431" i="229" s="1"/>
  <c r="I1172" i="229"/>
  <c r="J1172" i="229" s="1"/>
  <c r="I731" i="229"/>
  <c r="J731" i="229" s="1"/>
  <c r="C891" i="229"/>
  <c r="D891" i="229" s="1"/>
  <c r="C1216" i="229"/>
  <c r="D1216" i="229" s="1"/>
  <c r="C1058" i="229"/>
  <c r="D1058" i="229" s="1"/>
  <c r="C280" i="288"/>
  <c r="D280" i="288" s="1"/>
  <c r="C3233" i="229"/>
  <c r="D3233" i="229" s="1"/>
  <c r="I2861" i="229"/>
  <c r="J2861" i="229" s="1"/>
  <c r="I567" i="288"/>
  <c r="J567" i="288" s="1"/>
  <c r="J568" i="288" s="1"/>
  <c r="I2590" i="288"/>
  <c r="J2590" i="288" s="1"/>
  <c r="C927" i="229"/>
  <c r="D927" i="229" s="1"/>
  <c r="I666" i="288"/>
  <c r="J666" i="288" s="1"/>
  <c r="C808" i="288"/>
  <c r="D808" i="288" s="1"/>
  <c r="I3281" i="229"/>
  <c r="J3281" i="229" s="1"/>
  <c r="C2663" i="229"/>
  <c r="D2663" i="229" s="1"/>
  <c r="C2467" i="229"/>
  <c r="D2467" i="229" s="1"/>
  <c r="C2366" i="229"/>
  <c r="D2366" i="229" s="1"/>
  <c r="I1522" i="288"/>
  <c r="J1522" i="288" s="1"/>
  <c r="J1523" i="288" s="1"/>
  <c r="C3333" i="229"/>
  <c r="D3333" i="229" s="1"/>
  <c r="I3055" i="229"/>
  <c r="J3055" i="229" s="1"/>
  <c r="C3008" i="229"/>
  <c r="D3008" i="229" s="1"/>
  <c r="C3039" i="229"/>
  <c r="D3039" i="229" s="1"/>
  <c r="C3084" i="229"/>
  <c r="D3084" i="229" s="1"/>
  <c r="C861" i="229"/>
  <c r="D861" i="229" s="1"/>
  <c r="C1530" i="229"/>
  <c r="D1530" i="229" s="1"/>
  <c r="C3348" i="229"/>
  <c r="D3348" i="229" s="1"/>
  <c r="C320" i="229"/>
  <c r="D320" i="229" s="1"/>
  <c r="C1381" i="229"/>
  <c r="D1381" i="229" s="1"/>
  <c r="I3538" i="229"/>
  <c r="J3538" i="229" s="1"/>
  <c r="I293" i="288"/>
  <c r="J293" i="288" s="1"/>
  <c r="I3268" i="229"/>
  <c r="J3268" i="229" s="1"/>
  <c r="C2605" i="288"/>
  <c r="D2605" i="288" s="1"/>
  <c r="D2606" i="288" s="1"/>
  <c r="I3347" i="288"/>
  <c r="J3347" i="288" s="1"/>
  <c r="I607" i="288"/>
  <c r="J607" i="288" s="1"/>
  <c r="C1366" i="229"/>
  <c r="D1366" i="229" s="1"/>
  <c r="C444" i="229"/>
  <c r="D444" i="229" s="1"/>
  <c r="I698" i="229"/>
  <c r="J698" i="229" s="1"/>
  <c r="C3021" i="288"/>
  <c r="D3021" i="288" s="1"/>
  <c r="I3165" i="229"/>
  <c r="J3165" i="229" s="1"/>
  <c r="C2400" i="229"/>
  <c r="D2400" i="229" s="1"/>
  <c r="C225" i="229"/>
  <c r="D225" i="229" s="1"/>
  <c r="I135" i="229"/>
  <c r="J135" i="229" s="1"/>
  <c r="I2375" i="288"/>
  <c r="J2375" i="288" s="1"/>
  <c r="I734" i="229"/>
  <c r="J734" i="229" s="1"/>
  <c r="C1037" i="229"/>
  <c r="D1037" i="229" s="1"/>
  <c r="I1233" i="229"/>
  <c r="J1233" i="229" s="1"/>
  <c r="C1461" i="229"/>
  <c r="D1461" i="229" s="1"/>
  <c r="I2012" i="229"/>
  <c r="J2012" i="229" s="1"/>
  <c r="I717" i="229"/>
  <c r="J717" i="229" s="1"/>
  <c r="C88" i="288"/>
  <c r="D88" i="288" s="1"/>
  <c r="C3120" i="229"/>
  <c r="D3120" i="229" s="1"/>
  <c r="C2776" i="288"/>
  <c r="D2776" i="288" s="1"/>
  <c r="D2777" i="288" s="1"/>
  <c r="I2547" i="229"/>
  <c r="J2547" i="229" s="1"/>
  <c r="I165" i="288"/>
  <c r="J165" i="288" s="1"/>
  <c r="I1763" i="288"/>
  <c r="J1763" i="288" s="1"/>
  <c r="I979" i="288"/>
  <c r="J979" i="288" s="1"/>
  <c r="C1149" i="288"/>
  <c r="D1149" i="288" s="1"/>
  <c r="C3402" i="229"/>
  <c r="D3402" i="229" s="1"/>
  <c r="C2043" i="229"/>
  <c r="D2043" i="229" s="1"/>
  <c r="I480" i="288"/>
  <c r="J480" i="288" s="1"/>
  <c r="I1832" i="288"/>
  <c r="J1832" i="288" s="1"/>
  <c r="I563" i="288"/>
  <c r="J563" i="288" s="1"/>
  <c r="J572" i="288" s="1"/>
  <c r="I581" i="229"/>
  <c r="J581" i="229" s="1"/>
  <c r="J592" i="229" s="1"/>
  <c r="C2975" i="229"/>
  <c r="D2975" i="229" s="1"/>
  <c r="I7" i="229"/>
  <c r="J7" i="229" s="1"/>
  <c r="I1349" i="229"/>
  <c r="J1349" i="229" s="1"/>
  <c r="C923" i="229"/>
  <c r="D923" i="229" s="1"/>
  <c r="D934" i="229" s="1"/>
  <c r="I2565" i="229"/>
  <c r="J2565" i="229" s="1"/>
  <c r="C480" i="288"/>
  <c r="D480" i="288" s="1"/>
  <c r="C1739" i="229"/>
  <c r="D1739" i="229" s="1"/>
  <c r="I519" i="229"/>
  <c r="J519" i="229" s="1"/>
  <c r="C1076" i="288"/>
  <c r="D1076" i="288" s="1"/>
  <c r="D1085" i="288" s="1"/>
  <c r="C2759" i="229"/>
  <c r="D2759" i="229" s="1"/>
  <c r="C1397" i="229"/>
  <c r="D1397" i="229" s="1"/>
  <c r="C3643" i="229"/>
  <c r="D3643" i="229" s="1"/>
  <c r="I3609" i="229"/>
  <c r="J3609" i="229" s="1"/>
  <c r="I2473" i="288"/>
  <c r="J2473" i="288" s="1"/>
  <c r="J2482" i="288" s="1"/>
  <c r="I695" i="288"/>
  <c r="J695" i="288" s="1"/>
  <c r="J696" i="288" s="1"/>
  <c r="C3469" i="229"/>
  <c r="D3469" i="229" s="1"/>
  <c r="I3559" i="229"/>
  <c r="J3559" i="229" s="1"/>
  <c r="I354" i="229"/>
  <c r="J354" i="229" s="1"/>
  <c r="I1348" i="229"/>
  <c r="J1348" i="229" s="1"/>
  <c r="C2111" i="229"/>
  <c r="D2111" i="229" s="1"/>
  <c r="C449" i="288"/>
  <c r="D449" i="288" s="1"/>
  <c r="D458" i="288" s="1"/>
  <c r="I1479" i="229"/>
  <c r="J1479" i="229" s="1"/>
  <c r="I712" i="229"/>
  <c r="J712" i="229" s="1"/>
  <c r="C2462" i="288"/>
  <c r="D2462" i="288" s="1"/>
  <c r="D2463" i="288" s="1"/>
  <c r="C464" i="288"/>
  <c r="D464" i="288" s="1"/>
  <c r="I306" i="229"/>
  <c r="J306" i="229" s="1"/>
  <c r="I2431" i="288"/>
  <c r="J2431" i="288" s="1"/>
  <c r="I2816" i="288"/>
  <c r="J2816" i="288" s="1"/>
  <c r="C2514" i="229"/>
  <c r="D2514" i="229" s="1"/>
  <c r="C3331" i="229"/>
  <c r="D3331" i="229" s="1"/>
  <c r="C1072" i="229"/>
  <c r="D1072" i="229" s="1"/>
  <c r="I1333" i="229"/>
  <c r="J1333" i="229" s="1"/>
  <c r="I251" i="288"/>
  <c r="J251" i="288" s="1"/>
  <c r="C3114" i="288"/>
  <c r="D3114" i="288" s="1"/>
  <c r="I1733" i="288"/>
  <c r="J1733" i="288" s="1"/>
  <c r="I117" i="288"/>
  <c r="J117" i="288" s="1"/>
  <c r="J128" i="288" s="1"/>
  <c r="C2504" i="288"/>
  <c r="D2504" i="288" s="1"/>
  <c r="I3776" i="229"/>
  <c r="J3776" i="229" s="1"/>
  <c r="I1475" i="288"/>
  <c r="J1475" i="288" s="1"/>
  <c r="J1484" i="288" s="1"/>
  <c r="C1935" i="288"/>
  <c r="D1935" i="288" s="1"/>
  <c r="D1936" i="288" s="1"/>
  <c r="I1010" i="229"/>
  <c r="J1010" i="229" s="1"/>
  <c r="I268" i="288"/>
  <c r="J268" i="288" s="1"/>
  <c r="J269" i="288" s="1"/>
  <c r="I2073" i="229"/>
  <c r="J2073" i="229" s="1"/>
  <c r="I2561" i="288"/>
  <c r="J2561" i="288" s="1"/>
  <c r="I1261" i="288"/>
  <c r="J1261" i="288" s="1"/>
  <c r="J1270" i="288" s="1"/>
  <c r="C3625" i="229"/>
  <c r="D3625" i="229" s="1"/>
  <c r="I102" i="288"/>
  <c r="J102" i="288" s="1"/>
  <c r="C303" i="229"/>
  <c r="D303" i="229" s="1"/>
  <c r="D314" i="229" s="1"/>
  <c r="C2890" i="288"/>
  <c r="D2890" i="288" s="1"/>
  <c r="D2891" i="288" s="1"/>
  <c r="I119" i="288"/>
  <c r="J119" i="288" s="1"/>
  <c r="C3486" i="229"/>
  <c r="D3486" i="229" s="1"/>
  <c r="I2205" i="288"/>
  <c r="J2205" i="288" s="1"/>
  <c r="I976" i="229"/>
  <c r="J976" i="229" s="1"/>
  <c r="C636" i="288"/>
  <c r="D636" i="288" s="1"/>
  <c r="I3334" i="229"/>
  <c r="J3334" i="229" s="1"/>
  <c r="C976" i="288"/>
  <c r="D976" i="288" s="1"/>
  <c r="D985" i="288" s="1"/>
  <c r="I3072" i="229"/>
  <c r="J3072" i="229" s="1"/>
  <c r="C1270" i="229"/>
  <c r="D1270" i="229" s="1"/>
  <c r="C3559" i="229"/>
  <c r="D3559" i="229" s="1"/>
  <c r="I1391" i="288"/>
  <c r="J1391" i="288" s="1"/>
  <c r="I2574" i="288"/>
  <c r="J2574" i="288" s="1"/>
  <c r="I1290" i="288"/>
  <c r="J1290" i="288" s="1"/>
  <c r="J1299" i="288" s="1"/>
  <c r="I2382" i="229"/>
  <c r="J2382" i="229" s="1"/>
  <c r="C1264" i="288"/>
  <c r="D1264" i="288" s="1"/>
  <c r="I2775" i="288"/>
  <c r="J2775" i="288" s="1"/>
  <c r="I3309" i="288"/>
  <c r="J3309" i="288" s="1"/>
  <c r="J3310" i="288" s="1"/>
  <c r="C708" i="288"/>
  <c r="D708" i="288" s="1"/>
  <c r="I2688" i="288"/>
  <c r="J2688" i="288" s="1"/>
  <c r="C294" i="288"/>
  <c r="D294" i="288" s="1"/>
  <c r="I1408" i="288"/>
  <c r="J1408" i="288" s="1"/>
  <c r="J1409" i="288" s="1"/>
  <c r="I1247" i="288"/>
  <c r="J1247" i="288" s="1"/>
  <c r="J1256" i="288" s="1"/>
  <c r="C1434" i="288"/>
  <c r="D1434" i="288" s="1"/>
  <c r="C3720" i="229"/>
  <c r="D3720" i="229" s="1"/>
  <c r="C1611" i="229"/>
  <c r="D1611" i="229" s="1"/>
  <c r="C2858" i="229"/>
  <c r="D2858" i="229" s="1"/>
  <c r="C179" i="229"/>
  <c r="D179" i="229" s="1"/>
  <c r="I3625" i="229"/>
  <c r="J3625" i="229" s="1"/>
  <c r="I2233" i="288"/>
  <c r="J2233" i="288" s="1"/>
  <c r="C3294" i="288"/>
  <c r="D3294" i="288" s="1"/>
  <c r="D3295" i="288" s="1"/>
  <c r="I3792" i="229"/>
  <c r="J3792" i="229" s="1"/>
  <c r="C2262" i="288"/>
  <c r="D2262" i="288" s="1"/>
  <c r="I1416" i="229"/>
  <c r="J1416" i="229" s="1"/>
  <c r="C1850" i="288"/>
  <c r="D1850" i="288" s="1"/>
  <c r="D1851" i="288" s="1"/>
  <c r="I1559" i="229"/>
  <c r="J1559" i="229" s="1"/>
  <c r="C1109" i="288"/>
  <c r="D1109" i="288" s="1"/>
  <c r="D1110" i="288" s="1"/>
  <c r="C2450" i="229"/>
  <c r="D2450" i="229" s="1"/>
  <c r="I104" i="288"/>
  <c r="J104" i="288" s="1"/>
  <c r="I3320" i="288"/>
  <c r="J3320" i="288" s="1"/>
  <c r="C1708" i="229"/>
  <c r="D1708" i="229" s="1"/>
  <c r="I835" i="288"/>
  <c r="J835" i="288" s="1"/>
  <c r="C2075" i="288"/>
  <c r="D2075" i="288" s="1"/>
  <c r="C729" i="229"/>
  <c r="D729" i="229" s="1"/>
  <c r="C1776" i="288"/>
  <c r="D1776" i="288" s="1"/>
  <c r="C1777" i="288"/>
  <c r="D1777" i="288" s="1"/>
  <c r="C1090" i="288"/>
  <c r="D1090" i="288" s="1"/>
  <c r="D1099" i="288" s="1"/>
  <c r="C2892" i="229"/>
  <c r="D2892" i="229" s="1"/>
  <c r="C534" i="229"/>
  <c r="D534" i="229" s="1"/>
  <c r="C748" i="288"/>
  <c r="D748" i="288" s="1"/>
  <c r="D757" i="288" s="1"/>
  <c r="I3231" i="288"/>
  <c r="J3231" i="288" s="1"/>
  <c r="I2660" i="288"/>
  <c r="J2660" i="288" s="1"/>
  <c r="I2434" i="229"/>
  <c r="J2434" i="229" s="1"/>
  <c r="C2789" i="288"/>
  <c r="D2789" i="288" s="1"/>
  <c r="C2480" i="229"/>
  <c r="D2480" i="229" s="1"/>
  <c r="I1203" i="229"/>
  <c r="J1203" i="229" s="1"/>
  <c r="I3022" i="288"/>
  <c r="J3022" i="288" s="1"/>
  <c r="I466" i="288"/>
  <c r="J466" i="288" s="1"/>
  <c r="I222" i="288"/>
  <c r="J222" i="288" s="1"/>
  <c r="C1449" i="229"/>
  <c r="D1449" i="229" s="1"/>
  <c r="C2222" i="229"/>
  <c r="D2222" i="229" s="1"/>
  <c r="I1806" i="288"/>
  <c r="J1806" i="288" s="1"/>
  <c r="I2302" i="229"/>
  <c r="J2302" i="229" s="1"/>
  <c r="C3541" i="229"/>
  <c r="D3541" i="229" s="1"/>
  <c r="C846" i="229"/>
  <c r="D846" i="229" s="1"/>
  <c r="I3053" i="288"/>
  <c r="J3053" i="288" s="1"/>
  <c r="C974" i="229"/>
  <c r="D974" i="229" s="1"/>
  <c r="C979" i="288"/>
  <c r="D979" i="288" s="1"/>
  <c r="I723" i="288"/>
  <c r="J723" i="288" s="1"/>
  <c r="I799" i="229"/>
  <c r="J799" i="229" s="1"/>
  <c r="I2728" i="229"/>
  <c r="J2728" i="229" s="1"/>
  <c r="C3626" i="229"/>
  <c r="D3626" i="229" s="1"/>
  <c r="C293" i="229"/>
  <c r="D293" i="229" s="1"/>
  <c r="C3068" i="229"/>
  <c r="D3068" i="229" s="1"/>
  <c r="C3216" i="229"/>
  <c r="D3216" i="229" s="1"/>
  <c r="C2729" i="229"/>
  <c r="D2729" i="229" s="1"/>
  <c r="I3085" i="288"/>
  <c r="J3085" i="288" s="1"/>
  <c r="I1839" i="229"/>
  <c r="J1839" i="229" s="1"/>
  <c r="C1931" i="229"/>
  <c r="D1931" i="229" s="1"/>
  <c r="C3219" i="229"/>
  <c r="D3219" i="229" s="1"/>
  <c r="I3827" i="229"/>
  <c r="J3827" i="229" s="1"/>
  <c r="I794" i="288"/>
  <c r="J794" i="288" s="1"/>
  <c r="C3320" i="288"/>
  <c r="D3320" i="288" s="1"/>
  <c r="C3352" i="229"/>
  <c r="D3352" i="229" s="1"/>
  <c r="C1140" i="229"/>
  <c r="D1140" i="229" s="1"/>
  <c r="C3008" i="288"/>
  <c r="D3008" i="288" s="1"/>
  <c r="C3116" i="288"/>
  <c r="D3116" i="288" s="1"/>
  <c r="C3246" i="288"/>
  <c r="D3246" i="288" s="1"/>
  <c r="C2288" i="229"/>
  <c r="D2288" i="229" s="1"/>
  <c r="I3101" i="288"/>
  <c r="J3101" i="288" s="1"/>
  <c r="J3102" i="288" s="1"/>
  <c r="C554" i="229"/>
  <c r="D554" i="229" s="1"/>
  <c r="C991" i="229"/>
  <c r="D991" i="229" s="1"/>
  <c r="C495" i="288"/>
  <c r="D495" i="288" s="1"/>
  <c r="C1006" i="229"/>
  <c r="D1006" i="229" s="1"/>
  <c r="I1718" i="288"/>
  <c r="J1718" i="288" s="1"/>
  <c r="C3202" i="288"/>
  <c r="D3202" i="288" s="1"/>
  <c r="C550" i="288"/>
  <c r="D550" i="288" s="1"/>
  <c r="C1064" i="288"/>
  <c r="D1064" i="288" s="1"/>
  <c r="C1306" i="288"/>
  <c r="D1306" i="288" s="1"/>
  <c r="C1769" i="229"/>
  <c r="D1769" i="229" s="1"/>
  <c r="C1432" i="288"/>
  <c r="D1432" i="288" s="1"/>
  <c r="D1441" i="288" s="1"/>
  <c r="I182" i="288"/>
  <c r="J182" i="288" s="1"/>
  <c r="J183" i="288" s="1"/>
  <c r="C3484" i="229"/>
  <c r="D3484" i="229" s="1"/>
  <c r="I2970" i="229"/>
  <c r="J2970" i="229" s="1"/>
  <c r="C2659" i="288"/>
  <c r="D2659" i="288" s="1"/>
  <c r="C1635" i="288"/>
  <c r="D1635" i="288" s="1"/>
  <c r="I1137" i="229"/>
  <c r="J1137" i="229" s="1"/>
  <c r="I2517" i="288"/>
  <c r="J2517" i="288" s="1"/>
  <c r="I2256" i="229"/>
  <c r="J2256" i="229" s="1"/>
  <c r="I3275" i="288"/>
  <c r="J3275" i="288" s="1"/>
  <c r="C452" i="288"/>
  <c r="D452" i="288" s="1"/>
  <c r="I3067" i="288"/>
  <c r="J3067" i="288" s="1"/>
  <c r="C1594" i="229"/>
  <c r="D1594" i="229" s="1"/>
  <c r="I223" i="229"/>
  <c r="J223" i="229" s="1"/>
  <c r="I2025" i="229"/>
  <c r="J2025" i="229" s="1"/>
  <c r="I2277" i="288"/>
  <c r="J2277" i="288" s="1"/>
  <c r="J2278" i="288" s="1"/>
  <c r="C2189" i="288"/>
  <c r="D2189" i="288" s="1"/>
  <c r="I2047" i="288"/>
  <c r="J2047" i="288" s="1"/>
  <c r="C3233" i="288"/>
  <c r="D3233" i="288" s="1"/>
  <c r="C2861" i="229"/>
  <c r="D2861" i="229" s="1"/>
  <c r="C3201" i="229"/>
  <c r="D3201" i="229" s="1"/>
  <c r="I2577" i="229"/>
  <c r="J2577" i="229" s="1"/>
  <c r="I1363" i="229"/>
  <c r="J1363" i="229" s="1"/>
  <c r="C1735" i="288"/>
  <c r="D1735" i="288" s="1"/>
  <c r="I175" i="229"/>
  <c r="J175" i="229" s="1"/>
  <c r="C1529" i="229"/>
  <c r="D1529" i="229" s="1"/>
  <c r="C3416" i="229"/>
  <c r="D3416" i="229" s="1"/>
  <c r="R95" i="265"/>
  <c r="I1151" i="288"/>
  <c r="J1151" i="288" s="1"/>
  <c r="J1152" i="288" s="1"/>
  <c r="C2374" i="288"/>
  <c r="D2374" i="288" s="1"/>
  <c r="R94" i="261"/>
  <c r="R29" i="262"/>
  <c r="R28" i="262"/>
  <c r="C268" i="288"/>
  <c r="D268" i="288" s="1"/>
  <c r="D269" i="288" s="1"/>
  <c r="C2901" i="288"/>
  <c r="D2901" i="288" s="1"/>
  <c r="I2019" i="288"/>
  <c r="J2019" i="288" s="1"/>
  <c r="I3276" i="288"/>
  <c r="J3276" i="288" s="1"/>
  <c r="C3246" i="229"/>
  <c r="D3246" i="229" s="1"/>
  <c r="D3257" i="229" s="1"/>
  <c r="I3621" i="229"/>
  <c r="J3621" i="229" s="1"/>
  <c r="I1042" i="229"/>
  <c r="J1042" i="229" s="1"/>
  <c r="C734" i="229"/>
  <c r="D734" i="229" s="1"/>
  <c r="C2093" i="229"/>
  <c r="D2093" i="229" s="1"/>
  <c r="C3214" i="229"/>
  <c r="D3214" i="229" s="1"/>
  <c r="I2802" i="288"/>
  <c r="J2802" i="288" s="1"/>
  <c r="C1176" i="288"/>
  <c r="D1176" i="288" s="1"/>
  <c r="D1185" i="288" s="1"/>
  <c r="C2648" i="288"/>
  <c r="D2648" i="288" s="1"/>
  <c r="D2649" i="288" s="1"/>
  <c r="C552" i="229"/>
  <c r="D552" i="229" s="1"/>
  <c r="C38" i="288"/>
  <c r="D38" i="288" s="1"/>
  <c r="I1604" i="288"/>
  <c r="J1604" i="288" s="1"/>
  <c r="C91" i="288"/>
  <c r="D91" i="288" s="1"/>
  <c r="C450" i="288"/>
  <c r="D450" i="288" s="1"/>
  <c r="C469" i="229"/>
  <c r="D469" i="229" s="1"/>
  <c r="C1428" i="229"/>
  <c r="D1428" i="229" s="1"/>
  <c r="I3690" i="229"/>
  <c r="J3690" i="229" s="1"/>
  <c r="C493" i="288"/>
  <c r="D493" i="288" s="1"/>
  <c r="I764" i="229"/>
  <c r="J764" i="229" s="1"/>
  <c r="I2793" i="229"/>
  <c r="J2793" i="229" s="1"/>
  <c r="I2580" i="229"/>
  <c r="J2580" i="229" s="1"/>
  <c r="I1462" i="229"/>
  <c r="J1462" i="229" s="1"/>
  <c r="C764" i="288"/>
  <c r="D764" i="288" s="1"/>
  <c r="I1822" i="229"/>
  <c r="J1822" i="229" s="1"/>
  <c r="R59" i="261"/>
  <c r="I2959" i="288"/>
  <c r="J2959" i="288" s="1"/>
  <c r="J2969" i="288" s="1"/>
  <c r="C3035" i="288"/>
  <c r="D3035" i="288" s="1"/>
  <c r="D3045" i="288" s="1"/>
  <c r="C1749" i="288"/>
  <c r="D1749" i="288" s="1"/>
  <c r="I3469" i="229"/>
  <c r="J3469" i="229" s="1"/>
  <c r="I3250" i="229"/>
  <c r="J3250" i="229" s="1"/>
  <c r="I87" i="288"/>
  <c r="J87" i="288" s="1"/>
  <c r="C3321" i="288"/>
  <c r="D3321" i="288" s="1"/>
  <c r="I3505" i="229"/>
  <c r="J3505" i="229" s="1"/>
  <c r="C473" i="229"/>
  <c r="D473" i="229" s="1"/>
  <c r="I3759" i="229"/>
  <c r="J3759" i="229" s="1"/>
  <c r="I2940" i="229"/>
  <c r="J2940" i="229" s="1"/>
  <c r="I1899" i="229"/>
  <c r="J1899" i="229" s="1"/>
  <c r="I646" i="229"/>
  <c r="J646" i="229" s="1"/>
  <c r="J657" i="229" s="1"/>
  <c r="I2488" i="288"/>
  <c r="J2488" i="288" s="1"/>
  <c r="C154" i="288"/>
  <c r="D154" i="288" s="1"/>
  <c r="D155" i="288" s="1"/>
  <c r="I3672" i="229"/>
  <c r="J3672" i="229" s="1"/>
  <c r="I725" i="328"/>
  <c r="K725" i="328" s="1"/>
  <c r="I923" i="288"/>
  <c r="J923" i="288" s="1"/>
  <c r="J924" i="288" s="1"/>
  <c r="I2704" i="288"/>
  <c r="J2704" i="288" s="1"/>
  <c r="R44" i="262"/>
  <c r="I792" i="288"/>
  <c r="J792" i="288" s="1"/>
  <c r="I950" i="288"/>
  <c r="J950" i="288" s="1"/>
  <c r="C2263" i="288"/>
  <c r="D2263" i="288" s="1"/>
  <c r="D2264" i="288" s="1"/>
  <c r="C2595" i="229"/>
  <c r="D2595" i="229" s="1"/>
  <c r="I1119" i="288"/>
  <c r="J1119" i="288" s="1"/>
  <c r="J1128" i="288" s="1"/>
  <c r="C1478" i="229"/>
  <c r="D1478" i="229" s="1"/>
  <c r="C2461" i="288"/>
  <c r="D2461" i="288" s="1"/>
  <c r="I877" i="288"/>
  <c r="J877" i="288" s="1"/>
  <c r="J886" i="288" s="1"/>
  <c r="C1433" i="288"/>
  <c r="D1433" i="288" s="1"/>
  <c r="I3288" i="288"/>
  <c r="J3288" i="288" s="1"/>
  <c r="J3298" i="288" s="1"/>
  <c r="I20" i="288"/>
  <c r="J20" i="288" s="1"/>
  <c r="J31" i="288" s="1"/>
  <c r="C3003" i="229"/>
  <c r="D3003" i="229" s="1"/>
  <c r="C479" i="288"/>
  <c r="D479" i="288" s="1"/>
  <c r="C1235" i="229"/>
  <c r="D1235" i="229" s="1"/>
  <c r="I1059" i="229"/>
  <c r="J1059" i="229" s="1"/>
  <c r="I3306" i="288"/>
  <c r="J3306" i="288" s="1"/>
  <c r="C2875" i="288"/>
  <c r="D2875" i="288" s="1"/>
  <c r="I3627" i="229"/>
  <c r="J3627" i="229" s="1"/>
  <c r="C3300" i="229"/>
  <c r="D3300" i="229" s="1"/>
  <c r="I1931" i="229"/>
  <c r="J1931" i="229" s="1"/>
  <c r="C3628" i="229"/>
  <c r="D3628" i="229" s="1"/>
  <c r="C3403" i="229"/>
  <c r="D3403" i="229" s="1"/>
  <c r="C2517" i="229"/>
  <c r="D2517" i="229" s="1"/>
  <c r="C1724" i="229"/>
  <c r="D1724" i="229" s="1"/>
  <c r="C2918" i="288"/>
  <c r="D2918" i="288" s="1"/>
  <c r="D2919" i="288" s="1"/>
  <c r="I3659" i="229"/>
  <c r="J3659" i="229" s="1"/>
  <c r="I1621" i="288"/>
  <c r="J1621" i="288" s="1"/>
  <c r="I1747" i="288"/>
  <c r="J1747" i="288" s="1"/>
  <c r="I1820" i="229"/>
  <c r="J1820" i="229" s="1"/>
  <c r="C2187" i="229"/>
  <c r="D2187" i="229" s="1"/>
  <c r="I1320" i="288"/>
  <c r="J1320" i="288" s="1"/>
  <c r="I2305" i="229"/>
  <c r="J2305" i="229" s="1"/>
  <c r="I1400" i="229"/>
  <c r="J1400" i="229" s="1"/>
  <c r="I3370" i="229"/>
  <c r="J3370" i="229" s="1"/>
  <c r="I2076" i="288"/>
  <c r="J2076" i="288" s="1"/>
  <c r="C3284" i="229"/>
  <c r="D3284" i="229" s="1"/>
  <c r="C3305" i="288"/>
  <c r="D3305" i="288" s="1"/>
  <c r="C2679" i="229"/>
  <c r="D2679" i="229" s="1"/>
  <c r="I1460" i="229"/>
  <c r="J1460" i="229" s="1"/>
  <c r="I1023" i="288"/>
  <c r="J1023" i="288" s="1"/>
  <c r="J1024" i="288" s="1"/>
  <c r="I3826" i="229"/>
  <c r="J3826" i="229" s="1"/>
  <c r="C989" i="229"/>
  <c r="D989" i="229" s="1"/>
  <c r="I1838" i="229"/>
  <c r="J1838" i="229" s="1"/>
  <c r="C471" i="229"/>
  <c r="D471" i="229" s="1"/>
  <c r="C2140" i="229"/>
  <c r="D2140" i="229" s="1"/>
  <c r="I1764" i="288"/>
  <c r="J1764" i="288" s="1"/>
  <c r="J1765" i="288" s="1"/>
  <c r="I3472" i="229"/>
  <c r="J3472" i="229" s="1"/>
  <c r="C3084" i="288"/>
  <c r="D3084" i="288" s="1"/>
  <c r="C3677" i="229"/>
  <c r="D3677" i="229" s="1"/>
  <c r="I1946" i="288"/>
  <c r="J1946" i="288" s="1"/>
  <c r="I2383" i="229"/>
  <c r="J2383" i="229" s="1"/>
  <c r="C1898" i="229"/>
  <c r="D1898" i="229" s="1"/>
  <c r="I3308" i="288"/>
  <c r="J3308" i="288" s="1"/>
  <c r="C1009" i="229"/>
  <c r="D1009" i="229" s="1"/>
  <c r="I535" i="288"/>
  <c r="J535" i="288" s="1"/>
  <c r="J544" i="288" s="1"/>
  <c r="I2904" i="288"/>
  <c r="J2904" i="288" s="1"/>
  <c r="J2905" i="288" s="1"/>
  <c r="C880" i="288"/>
  <c r="D880" i="288" s="1"/>
  <c r="I1120" i="288"/>
  <c r="J1120" i="288" s="1"/>
  <c r="C2078" i="229"/>
  <c r="D2078" i="229" s="1"/>
  <c r="C2332" i="229"/>
  <c r="D2332" i="229" s="1"/>
  <c r="D2343" i="229" s="1"/>
  <c r="I3381" i="229"/>
  <c r="J3381" i="229" s="1"/>
  <c r="C2933" i="288"/>
  <c r="D2933" i="288" s="1"/>
  <c r="C2092" i="288"/>
  <c r="D2092" i="288" s="1"/>
  <c r="D2093" i="288" s="1"/>
  <c r="I3266" i="288"/>
  <c r="J3266" i="288" s="1"/>
  <c r="J3267" i="288" s="1"/>
  <c r="I3200" i="229"/>
  <c r="J3200" i="229" s="1"/>
  <c r="I630" i="229"/>
  <c r="J630" i="229" s="1"/>
  <c r="J641" i="229" s="1"/>
  <c r="C120" i="229"/>
  <c r="D120" i="229" s="1"/>
  <c r="C1819" i="229"/>
  <c r="D1819" i="229" s="1"/>
  <c r="I7" i="288"/>
  <c r="J7" i="288" s="1"/>
  <c r="C2192" i="229"/>
  <c r="D2192" i="229" s="1"/>
  <c r="C1636" i="288"/>
  <c r="D1636" i="288" s="1"/>
  <c r="D1637" i="288" s="1"/>
  <c r="C586" i="229"/>
  <c r="D586" i="229" s="1"/>
  <c r="I1415" i="229"/>
  <c r="J1415" i="229" s="1"/>
  <c r="C2206" i="229"/>
  <c r="D2206" i="229" s="1"/>
  <c r="I3742" i="229"/>
  <c r="J3742" i="229" s="1"/>
  <c r="C3102" i="229"/>
  <c r="D3102" i="229" s="1"/>
  <c r="I700" i="229"/>
  <c r="J700" i="229" s="1"/>
  <c r="I3526" i="229"/>
  <c r="J3526" i="229" s="1"/>
  <c r="C467" i="288"/>
  <c r="D467" i="288" s="1"/>
  <c r="D468" i="288" s="1"/>
  <c r="I54" i="288"/>
  <c r="J54" i="288" s="1"/>
  <c r="I147" i="229"/>
  <c r="J147" i="229" s="1"/>
  <c r="J158" i="229" s="1"/>
  <c r="C712" i="229"/>
  <c r="D712" i="229" s="1"/>
  <c r="C3519" i="229"/>
  <c r="D3519" i="229" s="1"/>
  <c r="C1934" i="288"/>
  <c r="D1934" i="288" s="1"/>
  <c r="C3788" i="229"/>
  <c r="D3788" i="229" s="1"/>
  <c r="C2547" i="288"/>
  <c r="D2547" i="288" s="1"/>
  <c r="I761" i="229"/>
  <c r="J761" i="229" s="1"/>
  <c r="C2774" i="288"/>
  <c r="D2774" i="288" s="1"/>
  <c r="I2501" i="229"/>
  <c r="J2501" i="229" s="1"/>
  <c r="C80" i="229"/>
  <c r="D80" i="229" s="1"/>
  <c r="C3774" i="229"/>
  <c r="D3774" i="229" s="1"/>
  <c r="C830" i="229"/>
  <c r="D830" i="229" s="1"/>
  <c r="I2468" i="229"/>
  <c r="J2468" i="229" s="1"/>
  <c r="I2665" i="229"/>
  <c r="J2665" i="229" s="1"/>
  <c r="I767" i="288"/>
  <c r="J767" i="288" s="1"/>
  <c r="J768" i="288" s="1"/>
  <c r="I1935" i="288"/>
  <c r="J1935" i="288" s="1"/>
  <c r="J1936" i="288" s="1"/>
  <c r="I2448" i="288"/>
  <c r="J2448" i="288" s="1"/>
  <c r="J2449" i="288" s="1"/>
  <c r="C178" i="229"/>
  <c r="D178" i="229" s="1"/>
  <c r="I1169" i="229"/>
  <c r="J1169" i="229" s="1"/>
  <c r="I1333" i="288"/>
  <c r="J1333" i="288" s="1"/>
  <c r="J1342" i="288" s="1"/>
  <c r="C1265" i="288"/>
  <c r="D1265" i="288" s="1"/>
  <c r="D1266" i="288" s="1"/>
  <c r="C1591" i="229"/>
  <c r="D1591" i="229" s="1"/>
  <c r="I3640" i="229"/>
  <c r="J3640" i="229" s="1"/>
  <c r="I2730" i="229"/>
  <c r="J2730" i="229" s="1"/>
  <c r="I2974" i="229"/>
  <c r="J2974" i="229" s="1"/>
  <c r="I1927" i="229"/>
  <c r="J1927" i="229" s="1"/>
  <c r="I685" i="229"/>
  <c r="J685" i="229" s="1"/>
  <c r="C132" i="229"/>
  <c r="D132" i="229" s="1"/>
  <c r="C3754" i="229"/>
  <c r="D3754" i="229" s="1"/>
  <c r="I3402" i="229"/>
  <c r="J3402" i="229" s="1"/>
  <c r="I1992" i="229"/>
  <c r="J1992" i="229" s="1"/>
  <c r="C906" i="288"/>
  <c r="D906" i="288" s="1"/>
  <c r="I3260" i="288"/>
  <c r="J3260" i="288" s="1"/>
  <c r="J3270" i="288" s="1"/>
  <c r="C1286" i="229"/>
  <c r="D1286" i="229" s="1"/>
  <c r="I637" i="288"/>
  <c r="J637" i="288" s="1"/>
  <c r="C81" i="229"/>
  <c r="D81" i="229" s="1"/>
  <c r="C1384" i="229"/>
  <c r="D1384" i="229" s="1"/>
  <c r="I1294" i="288"/>
  <c r="J1294" i="288" s="1"/>
  <c r="J1295" i="288" s="1"/>
  <c r="I809" i="288"/>
  <c r="J809" i="288" s="1"/>
  <c r="J810" i="288" s="1"/>
  <c r="I1592" i="229"/>
  <c r="J1592" i="229" s="1"/>
  <c r="C3471" i="229"/>
  <c r="D3471" i="229" s="1"/>
  <c r="I2465" i="229"/>
  <c r="J2465" i="229" s="1"/>
  <c r="C958" i="229"/>
  <c r="D958" i="229" s="1"/>
  <c r="I2450" i="229"/>
  <c r="J2450" i="229" s="1"/>
  <c r="C2484" i="229"/>
  <c r="D2484" i="229" s="1"/>
  <c r="C2108" i="229"/>
  <c r="D2108" i="229" s="1"/>
  <c r="I2418" i="229"/>
  <c r="J2418" i="229" s="1"/>
  <c r="I2532" i="229"/>
  <c r="J2532" i="229" s="1"/>
  <c r="C1147" i="288"/>
  <c r="D1147" i="288" s="1"/>
  <c r="D1156" i="288" s="1"/>
  <c r="C5" i="229"/>
  <c r="D5" i="229" s="1"/>
  <c r="C3419" i="229"/>
  <c r="D3419" i="229" s="1"/>
  <c r="C21" i="229"/>
  <c r="D21" i="229" s="1"/>
  <c r="I1204" i="229"/>
  <c r="J1204" i="229" s="1"/>
  <c r="I2189" i="288"/>
  <c r="J2189" i="288" s="1"/>
  <c r="I3770" i="229"/>
  <c r="J3770" i="229" s="1"/>
  <c r="C2268" i="229"/>
  <c r="D2268" i="229" s="1"/>
  <c r="C3770" i="229"/>
  <c r="D3770" i="229" s="1"/>
  <c r="I3754" i="229"/>
  <c r="J3754" i="229" s="1"/>
  <c r="I1291" i="288"/>
  <c r="J1291" i="288" s="1"/>
  <c r="I2858" i="288"/>
  <c r="J2858" i="288" s="1"/>
  <c r="I1590" i="288"/>
  <c r="J1590" i="288" s="1"/>
  <c r="I2220" i="229"/>
  <c r="J2220" i="229" s="1"/>
  <c r="I859" i="229"/>
  <c r="J859" i="229" s="1"/>
  <c r="C681" i="288"/>
  <c r="D681" i="288" s="1"/>
  <c r="D682" i="288" s="1"/>
  <c r="C3088" i="229"/>
  <c r="D3088" i="229" s="1"/>
  <c r="C760" i="229"/>
  <c r="D760" i="229" s="1"/>
  <c r="D771" i="229" s="1"/>
  <c r="I2146" i="288"/>
  <c r="J2146" i="288" s="1"/>
  <c r="C2120" i="288"/>
  <c r="D2120" i="288" s="1"/>
  <c r="D2121" i="288" s="1"/>
  <c r="C2466" i="229"/>
  <c r="D2466" i="229" s="1"/>
  <c r="C1204" i="288"/>
  <c r="D1204" i="288" s="1"/>
  <c r="D1213" i="288" s="1"/>
  <c r="I1105" i="229"/>
  <c r="J1105" i="229" s="1"/>
  <c r="C1590" i="229"/>
  <c r="D1590" i="229" s="1"/>
  <c r="C2321" i="229"/>
  <c r="D2321" i="229" s="1"/>
  <c r="I1620" i="288"/>
  <c r="J1620" i="288" s="1"/>
  <c r="C1151" i="288"/>
  <c r="D1151" i="288" s="1"/>
  <c r="D1152" i="288" s="1"/>
  <c r="C1420" i="288"/>
  <c r="D1420" i="288" s="1"/>
  <c r="C1853" i="229"/>
  <c r="D1853" i="229" s="1"/>
  <c r="C1549" i="288"/>
  <c r="D1549" i="288" s="1"/>
  <c r="C1162" i="288"/>
  <c r="D1162" i="288" s="1"/>
  <c r="D1171" i="288" s="1"/>
  <c r="C1990" i="288"/>
  <c r="D1990" i="288" s="1"/>
  <c r="I2059" i="229"/>
  <c r="J2059" i="229" s="1"/>
  <c r="I1186" i="229"/>
  <c r="J1186" i="229" s="1"/>
  <c r="I3333" i="288"/>
  <c r="J3333" i="288" s="1"/>
  <c r="I492" i="288"/>
  <c r="J492" i="288" s="1"/>
  <c r="J501" i="288" s="1"/>
  <c r="C2947" i="288"/>
  <c r="D2947" i="288" s="1"/>
  <c r="I489" i="229"/>
  <c r="J489" i="229" s="1"/>
  <c r="I3006" i="288"/>
  <c r="J3006" i="288" s="1"/>
  <c r="I1404" i="288"/>
  <c r="J1404" i="288" s="1"/>
  <c r="J1413" i="288" s="1"/>
  <c r="I2204" i="229"/>
  <c r="J2204" i="229" s="1"/>
  <c r="C1475" i="288"/>
  <c r="D1475" i="288" s="1"/>
  <c r="D1484" i="288" s="1"/>
  <c r="I599" i="229"/>
  <c r="J599" i="229" s="1"/>
  <c r="I2909" i="229"/>
  <c r="J2909" i="229" s="1"/>
  <c r="C3507" i="229"/>
  <c r="D3507" i="229" s="1"/>
  <c r="C1201" i="229"/>
  <c r="D1201" i="229" s="1"/>
  <c r="C2048" i="288"/>
  <c r="D2048" i="288" s="1"/>
  <c r="I2257" i="229"/>
  <c r="J2257" i="229" s="1"/>
  <c r="I2564" i="229"/>
  <c r="J2564" i="229" s="1"/>
  <c r="I1918" i="288"/>
  <c r="J1918" i="288" s="1"/>
  <c r="C896" i="229"/>
  <c r="D896" i="229" s="1"/>
  <c r="C2302" i="229"/>
  <c r="D2302" i="229" s="1"/>
  <c r="I3219" i="288"/>
  <c r="J3219" i="288" s="1"/>
  <c r="I42" i="229"/>
  <c r="J42" i="229" s="1"/>
  <c r="C1007" i="229"/>
  <c r="D1007" i="229" s="1"/>
  <c r="C3314" i="229"/>
  <c r="D3314" i="229" s="1"/>
  <c r="C2581" i="229"/>
  <c r="D2581" i="229" s="1"/>
  <c r="C2812" i="229"/>
  <c r="D2812" i="229" s="1"/>
  <c r="C3709" i="229"/>
  <c r="D3709" i="229" s="1"/>
  <c r="C728" i="229"/>
  <c r="D728" i="229" s="1"/>
  <c r="D739" i="229" s="1"/>
  <c r="I135" i="288"/>
  <c r="J135" i="288" s="1"/>
  <c r="I228" i="229"/>
  <c r="J228" i="229" s="1"/>
  <c r="C1606" i="288"/>
  <c r="D1606" i="288" s="1"/>
  <c r="C290" i="229"/>
  <c r="D290" i="229" s="1"/>
  <c r="C3688" i="229"/>
  <c r="D3688" i="229" s="1"/>
  <c r="I3169" i="229"/>
  <c r="J3169" i="229" s="1"/>
  <c r="C2208" i="229"/>
  <c r="D2208" i="229" s="1"/>
  <c r="C1962" i="229"/>
  <c r="D1962" i="229" s="1"/>
  <c r="C2733" i="288"/>
  <c r="D2733" i="288" s="1"/>
  <c r="D2734" i="288" s="1"/>
  <c r="I2889" i="288"/>
  <c r="J2889" i="288" s="1"/>
  <c r="I1912" i="229"/>
  <c r="J1912" i="229" s="1"/>
  <c r="C1291" i="288"/>
  <c r="D1291" i="288" s="1"/>
  <c r="C1709" i="229"/>
  <c r="D1709" i="229" s="1"/>
  <c r="C2603" i="288"/>
  <c r="D2603" i="288" s="1"/>
  <c r="I844" i="229"/>
  <c r="J844" i="229" s="1"/>
  <c r="C776" i="229"/>
  <c r="D776" i="229" s="1"/>
  <c r="D787" i="229" s="1"/>
  <c r="C2319" i="229"/>
  <c r="D2319" i="229" s="1"/>
  <c r="I423" i="288"/>
  <c r="J423" i="288" s="1"/>
  <c r="C2710" i="229"/>
  <c r="D2710" i="229" s="1"/>
  <c r="I1020" i="288"/>
  <c r="J1020" i="288" s="1"/>
  <c r="C2546" i="229"/>
  <c r="D2546" i="229" s="1"/>
  <c r="C2662" i="288"/>
  <c r="D2662" i="288" s="1"/>
  <c r="D2663" i="288" s="1"/>
  <c r="I3161" i="288"/>
  <c r="J3161" i="288" s="1"/>
  <c r="C1121" i="288"/>
  <c r="D1121" i="288" s="1"/>
  <c r="C1349" i="229"/>
  <c r="D1349" i="229" s="1"/>
  <c r="I2926" i="229"/>
  <c r="J2926" i="229" s="1"/>
  <c r="C3370" i="229"/>
  <c r="D3370" i="229" s="1"/>
  <c r="C2712" i="229"/>
  <c r="D2712" i="229" s="1"/>
  <c r="I41" i="229"/>
  <c r="J41" i="229" s="1"/>
  <c r="I822" i="288"/>
  <c r="J822" i="288" s="1"/>
  <c r="I296" i="288"/>
  <c r="J296" i="288" s="1"/>
  <c r="J297" i="288" s="1"/>
  <c r="C2390" i="288"/>
  <c r="D2390" i="288" s="1"/>
  <c r="I1757" i="229"/>
  <c r="J1757" i="229" s="1"/>
  <c r="I2800" i="288"/>
  <c r="J2800" i="288" s="1"/>
  <c r="J2809" i="288" s="1"/>
  <c r="I1005" i="288"/>
  <c r="J1005" i="288" s="1"/>
  <c r="J1014" i="288" s="1"/>
  <c r="C736" i="328"/>
  <c r="D740" i="328" s="1"/>
  <c r="I2977" i="288"/>
  <c r="J2977" i="288" s="1"/>
  <c r="C308" i="288"/>
  <c r="D308" i="288" s="1"/>
  <c r="I281" i="288"/>
  <c r="J281" i="288" s="1"/>
  <c r="C2629" i="288"/>
  <c r="D2629" i="288" s="1"/>
  <c r="D2638" i="288" s="1"/>
  <c r="I972" i="229"/>
  <c r="J972" i="229" s="1"/>
  <c r="C1496" i="229"/>
  <c r="D1496" i="229" s="1"/>
  <c r="C506" i="229"/>
  <c r="D506" i="229" s="1"/>
  <c r="I3703" i="229"/>
  <c r="J3703" i="229" s="1"/>
  <c r="J3715" i="229" s="1"/>
  <c r="I3809" i="229"/>
  <c r="J3809" i="229" s="1"/>
  <c r="R16" i="258"/>
  <c r="AC16" i="258" s="1"/>
  <c r="AD16" i="258" s="1"/>
  <c r="AE16" i="258" s="1"/>
  <c r="C909" i="229"/>
  <c r="D909" i="229" s="1"/>
  <c r="C521" i="229"/>
  <c r="D521" i="229" s="1"/>
  <c r="C1864" i="288"/>
  <c r="D1864" i="288" s="1"/>
  <c r="D1865" i="288" s="1"/>
  <c r="Z14" i="263"/>
  <c r="Z21" i="263" s="1"/>
  <c r="C1382" i="229"/>
  <c r="D1382" i="229" s="1"/>
  <c r="C1184" i="229"/>
  <c r="D1184" i="229" s="1"/>
  <c r="C1349" i="288"/>
  <c r="D1349" i="288" s="1"/>
  <c r="C710" i="288"/>
  <c r="D710" i="288" s="1"/>
  <c r="D711" i="288" s="1"/>
  <c r="I1913" i="229"/>
  <c r="J1913" i="229" s="1"/>
  <c r="I3249" i="229"/>
  <c r="J3249" i="229" s="1"/>
  <c r="C295" i="288"/>
  <c r="D295" i="288" s="1"/>
  <c r="I1266" i="229"/>
  <c r="J1266" i="229" s="1"/>
  <c r="I1932" i="288"/>
  <c r="J1932" i="288" s="1"/>
  <c r="I2462" i="288"/>
  <c r="J2462" i="288" s="1"/>
  <c r="J2463" i="288" s="1"/>
  <c r="C3349" i="229"/>
  <c r="D3349" i="229" s="1"/>
  <c r="I93" i="229"/>
  <c r="J93" i="229" s="1"/>
  <c r="I2582" i="229"/>
  <c r="J2582" i="229" s="1"/>
  <c r="I635" i="288"/>
  <c r="J635" i="288" s="1"/>
  <c r="C920" i="288"/>
  <c r="D920" i="288" s="1"/>
  <c r="I633" i="229"/>
  <c r="J633" i="229" s="1"/>
  <c r="C119" i="229"/>
  <c r="D119" i="229" s="1"/>
  <c r="I664" i="229"/>
  <c r="J664" i="229" s="1"/>
  <c r="R72" i="262"/>
  <c r="C2711" i="229"/>
  <c r="D2711" i="229" s="1"/>
  <c r="C2062" i="288"/>
  <c r="D2062" i="288" s="1"/>
  <c r="I3590" i="229"/>
  <c r="J3590" i="229" s="1"/>
  <c r="C668" i="229"/>
  <c r="D668" i="229" s="1"/>
  <c r="C1333" i="288"/>
  <c r="D1333" i="288" s="1"/>
  <c r="D1342" i="288" s="1"/>
  <c r="C1422" i="288"/>
  <c r="D1422" i="288" s="1"/>
  <c r="D1423" i="288" s="1"/>
  <c r="C2133" i="288"/>
  <c r="D2133" i="288" s="1"/>
  <c r="C3346" i="229"/>
  <c r="D3346" i="229" s="1"/>
  <c r="R48" i="262"/>
  <c r="I2717" i="288"/>
  <c r="J2717" i="288" s="1"/>
  <c r="I680" i="288"/>
  <c r="J680" i="288" s="1"/>
  <c r="C2926" i="229"/>
  <c r="D2926" i="229" s="1"/>
  <c r="I2208" i="229"/>
  <c r="J2208" i="229" s="1"/>
  <c r="C809" i="288"/>
  <c r="D809" i="288" s="1"/>
  <c r="D810" i="288" s="1"/>
  <c r="C1534" i="288"/>
  <c r="D1534" i="288" s="1"/>
  <c r="R27" i="265"/>
  <c r="I2730" i="288"/>
  <c r="J2730" i="288" s="1"/>
  <c r="C1232" i="229"/>
  <c r="D1232" i="229" s="1"/>
  <c r="I798" i="229"/>
  <c r="J798" i="229" s="1"/>
  <c r="I2368" i="229"/>
  <c r="J2368" i="229" s="1"/>
  <c r="I309" i="229"/>
  <c r="J309" i="229" s="1"/>
  <c r="C2517" i="288"/>
  <c r="D2517" i="288" s="1"/>
  <c r="C1736" i="229"/>
  <c r="D1736" i="229" s="1"/>
  <c r="I750" i="288"/>
  <c r="J750" i="288" s="1"/>
  <c r="C565" i="229"/>
  <c r="D565" i="229" s="1"/>
  <c r="D576" i="229" s="1"/>
  <c r="I63" i="229"/>
  <c r="J63" i="229" s="1"/>
  <c r="C3623" i="229"/>
  <c r="D3623" i="229" s="1"/>
  <c r="I3113" i="288"/>
  <c r="J3113" i="288" s="1"/>
  <c r="I3693" i="229"/>
  <c r="J3693" i="229" s="1"/>
  <c r="C1490" i="288"/>
  <c r="D1490" i="288" s="1"/>
  <c r="C470" i="229"/>
  <c r="D470" i="229" s="1"/>
  <c r="I1298" i="229"/>
  <c r="J1298" i="229" s="1"/>
  <c r="C3142" i="288"/>
  <c r="D3142" i="288" s="1"/>
  <c r="D3152" i="288" s="1"/>
  <c r="I2170" i="229"/>
  <c r="J2170" i="229" s="1"/>
  <c r="J2181" i="229" s="1"/>
  <c r="I3489" i="229"/>
  <c r="J3489" i="229" s="1"/>
  <c r="H90" i="31"/>
  <c r="C3234" i="288"/>
  <c r="D3234" i="288" s="1"/>
  <c r="I3608" i="229"/>
  <c r="J3608" i="229" s="1"/>
  <c r="I2133" i="288"/>
  <c r="J2133" i="288" s="1"/>
  <c r="I2930" i="288"/>
  <c r="J2930" i="288" s="1"/>
  <c r="C3575" i="229"/>
  <c r="D3575" i="229" s="1"/>
  <c r="C425" i="288"/>
  <c r="D425" i="288" s="1"/>
  <c r="D426" i="288" s="1"/>
  <c r="I3786" i="229"/>
  <c r="J3786" i="229" s="1"/>
  <c r="J3798" i="229" s="1"/>
  <c r="C2845" i="229"/>
  <c r="D2845" i="229" s="1"/>
  <c r="I2718" i="288"/>
  <c r="J2718" i="288" s="1"/>
  <c r="C164" i="288"/>
  <c r="D164" i="288" s="1"/>
  <c r="D173" i="288" s="1"/>
  <c r="C321" i="229"/>
  <c r="D321" i="229" s="1"/>
  <c r="C847" i="229"/>
  <c r="D847" i="229" s="1"/>
  <c r="C281" i="288"/>
  <c r="D281" i="288" s="1"/>
  <c r="I1007" i="229"/>
  <c r="J1007" i="229" s="1"/>
  <c r="C2451" i="229"/>
  <c r="D2451" i="229" s="1"/>
  <c r="I2273" i="288"/>
  <c r="J2273" i="288" s="1"/>
  <c r="J2282" i="288" s="1"/>
  <c r="C694" i="288"/>
  <c r="D694" i="288" s="1"/>
  <c r="C973" i="229"/>
  <c r="D973" i="229" s="1"/>
  <c r="I3791" i="229"/>
  <c r="J3791" i="229" s="1"/>
  <c r="R49" i="265"/>
  <c r="I2513" i="229"/>
  <c r="J2513" i="229" s="1"/>
  <c r="C2462" i="229"/>
  <c r="D2462" i="229" s="1"/>
  <c r="D2473" i="229" s="1"/>
  <c r="I1121" i="288"/>
  <c r="J1121" i="288" s="1"/>
  <c r="I179" i="288"/>
  <c r="J179" i="288" s="1"/>
  <c r="C2582" i="229"/>
  <c r="D2582" i="229" s="1"/>
  <c r="I5" i="229"/>
  <c r="J5" i="229" s="1"/>
  <c r="I2354" i="229"/>
  <c r="J2354" i="229" s="1"/>
  <c r="I2018" i="288"/>
  <c r="J2018" i="288" s="1"/>
  <c r="C893" i="288"/>
  <c r="D893" i="288" s="1"/>
  <c r="C3052" i="288"/>
  <c r="D3052" i="288" s="1"/>
  <c r="R51" i="262"/>
  <c r="I252" i="288"/>
  <c r="J252" i="288" s="1"/>
  <c r="I2824" i="229"/>
  <c r="J2824" i="229" s="1"/>
  <c r="C3154" i="229"/>
  <c r="D3154" i="229" s="1"/>
  <c r="C1446" i="229"/>
  <c r="D1446" i="229" s="1"/>
  <c r="C637" i="288"/>
  <c r="D637" i="288" s="1"/>
  <c r="C826" i="229"/>
  <c r="D826" i="229" s="1"/>
  <c r="C1589" i="288"/>
  <c r="D1589" i="288" s="1"/>
  <c r="D1598" i="288" s="1"/>
  <c r="C3264" i="288"/>
  <c r="D3264" i="288" s="1"/>
  <c r="C1396" i="229"/>
  <c r="D1396" i="229" s="1"/>
  <c r="I272" i="229"/>
  <c r="J272" i="229" s="1"/>
  <c r="C1546" i="288"/>
  <c r="D1546" i="288" s="1"/>
  <c r="D1555" i="288" s="1"/>
  <c r="I2155" i="229"/>
  <c r="J2155" i="229" s="1"/>
  <c r="C310" i="288"/>
  <c r="D310" i="288" s="1"/>
  <c r="I9" i="229"/>
  <c r="J9" i="229" s="1"/>
  <c r="C2189" i="229"/>
  <c r="D2189" i="229" s="1"/>
  <c r="C140" i="288"/>
  <c r="D140" i="288" s="1"/>
  <c r="D141" i="288" s="1"/>
  <c r="I3202" i="288"/>
  <c r="J3202" i="288" s="1"/>
  <c r="I3350" i="288"/>
  <c r="J3350" i="288" s="1"/>
  <c r="C1522" i="288"/>
  <c r="D1522" i="288" s="1"/>
  <c r="D1523" i="288" s="1"/>
  <c r="C2715" i="229"/>
  <c r="D2715" i="229" s="1"/>
  <c r="I3388" i="229"/>
  <c r="J3388" i="229" s="1"/>
  <c r="I3705" i="229"/>
  <c r="J3705" i="229" s="1"/>
  <c r="C1023" i="288"/>
  <c r="D1023" i="288" s="1"/>
  <c r="D1024" i="288" s="1"/>
  <c r="I3450" i="229"/>
  <c r="J3450" i="229" s="1"/>
  <c r="I2803" i="288"/>
  <c r="J2803" i="288" s="1"/>
  <c r="I536" i="229"/>
  <c r="J536" i="229" s="1"/>
  <c r="C2399" i="229"/>
  <c r="D2399" i="229" s="1"/>
  <c r="C942" i="229"/>
  <c r="D942" i="229" s="1"/>
  <c r="C2045" i="229"/>
  <c r="D2045" i="229" s="1"/>
  <c r="I1791" i="288"/>
  <c r="J1791" i="288" s="1"/>
  <c r="C39" i="288"/>
  <c r="D39" i="288" s="1"/>
  <c r="C3843" i="229"/>
  <c r="D3843" i="229" s="1"/>
  <c r="C1962" i="288"/>
  <c r="D1962" i="288" s="1"/>
  <c r="I2760" i="229"/>
  <c r="J2760" i="229" s="1"/>
  <c r="C1318" i="229"/>
  <c r="D1318" i="229" s="1"/>
  <c r="C692" i="288"/>
  <c r="D692" i="288" s="1"/>
  <c r="C208" i="229"/>
  <c r="D208" i="229" s="1"/>
  <c r="C3572" i="229"/>
  <c r="D3572" i="229" s="1"/>
  <c r="C117" i="229"/>
  <c r="D117" i="229" s="1"/>
  <c r="C1400" i="229"/>
  <c r="D1400" i="229" s="1"/>
  <c r="I2139" i="229"/>
  <c r="J2139" i="229" s="1"/>
  <c r="C3160" i="288"/>
  <c r="D3160" i="288" s="1"/>
  <c r="C2398" i="229"/>
  <c r="D2398" i="229" s="1"/>
  <c r="C3263" i="229"/>
  <c r="D3263" i="229" s="1"/>
  <c r="I1090" i="229"/>
  <c r="J1090" i="229" s="1"/>
  <c r="I1723" i="229"/>
  <c r="J1723" i="229" s="1"/>
  <c r="C880" i="229"/>
  <c r="D880" i="229" s="1"/>
  <c r="C798" i="229"/>
  <c r="D798" i="229" s="1"/>
  <c r="I1533" i="288"/>
  <c r="J1533" i="288" s="1"/>
  <c r="C1550" i="288"/>
  <c r="D1550" i="288" s="1"/>
  <c r="D1551" i="288" s="1"/>
  <c r="C2588" i="288"/>
  <c r="D2588" i="288" s="1"/>
  <c r="C2483" i="229"/>
  <c r="D2483" i="229" s="1"/>
  <c r="I1268" i="229"/>
  <c r="J1268" i="229" s="1"/>
  <c r="I2679" i="229"/>
  <c r="J2679" i="229" s="1"/>
  <c r="C1947" i="229"/>
  <c r="D1947" i="229" s="1"/>
  <c r="C2533" i="229"/>
  <c r="D2533" i="229" s="1"/>
  <c r="C442" i="229"/>
  <c r="D442" i="229" s="1"/>
  <c r="C2990" i="229"/>
  <c r="D2990" i="229" s="1"/>
  <c r="I1579" i="229"/>
  <c r="J1579" i="229" s="1"/>
  <c r="I3023" i="288"/>
  <c r="J3023" i="288" s="1"/>
  <c r="C2941" i="229"/>
  <c r="D2941" i="229" s="1"/>
  <c r="I3577" i="229"/>
  <c r="J3577" i="229" s="1"/>
  <c r="C3307" i="288"/>
  <c r="D3307" i="288" s="1"/>
  <c r="I2745" i="229"/>
  <c r="J2745" i="229" s="1"/>
  <c r="I2860" i="288"/>
  <c r="J2860" i="288" s="1"/>
  <c r="I653" i="288"/>
  <c r="J653" i="288" s="1"/>
  <c r="J654" i="288" s="1"/>
  <c r="I3474" i="229"/>
  <c r="J3474" i="229" s="1"/>
  <c r="C2376" i="288"/>
  <c r="D2376" i="288" s="1"/>
  <c r="I64" i="229"/>
  <c r="J64" i="229" s="1"/>
  <c r="I2206" i="288"/>
  <c r="J2206" i="288" s="1"/>
  <c r="J2207" i="288" s="1"/>
  <c r="C2845" i="288"/>
  <c r="D2845" i="288" s="1"/>
  <c r="C582" i="229"/>
  <c r="D582" i="229" s="1"/>
  <c r="C2272" i="229"/>
  <c r="D2272" i="229" s="1"/>
  <c r="C519" i="229"/>
  <c r="D519" i="229" s="1"/>
  <c r="C2207" i="229"/>
  <c r="D2207" i="229" s="1"/>
  <c r="I240" i="229"/>
  <c r="J240" i="229" s="1"/>
  <c r="I1121" i="229"/>
  <c r="J1121" i="229" s="1"/>
  <c r="C2931" i="288"/>
  <c r="D2931" i="288" s="1"/>
  <c r="I3421" i="229"/>
  <c r="J3421" i="229" s="1"/>
  <c r="I2353" i="229"/>
  <c r="J2353" i="229" s="1"/>
  <c r="C236" i="288"/>
  <c r="D236" i="288" s="1"/>
  <c r="C2773" i="288"/>
  <c r="D2773" i="288" s="1"/>
  <c r="C174" i="229"/>
  <c r="D174" i="229" s="1"/>
  <c r="C620" i="229"/>
  <c r="D620" i="229" s="1"/>
  <c r="I2433" i="229"/>
  <c r="J2433" i="229" s="1"/>
  <c r="I468" i="229"/>
  <c r="J468" i="229" s="1"/>
  <c r="J479" i="229" s="1"/>
  <c r="I2789" i="288"/>
  <c r="J2789" i="288" s="1"/>
  <c r="C1399" i="229"/>
  <c r="D1399" i="229" s="1"/>
  <c r="I2248" i="288"/>
  <c r="J2248" i="288" s="1"/>
  <c r="C289" i="229"/>
  <c r="D289" i="229" s="1"/>
  <c r="I2188" i="229"/>
  <c r="J2188" i="229" s="1"/>
  <c r="I3203" i="229"/>
  <c r="J3203" i="229" s="1"/>
  <c r="C3670" i="229"/>
  <c r="D3670" i="229" s="1"/>
  <c r="I2360" i="288"/>
  <c r="J2360" i="288" s="1"/>
  <c r="I3068" i="229"/>
  <c r="J3068" i="229" s="1"/>
  <c r="I1603" i="288"/>
  <c r="J1603" i="288" s="1"/>
  <c r="J1612" i="288" s="1"/>
  <c r="I1768" i="229"/>
  <c r="J1768" i="229" s="1"/>
  <c r="J1779" i="229" s="1"/>
  <c r="C276" i="229"/>
  <c r="D276" i="229" s="1"/>
  <c r="C370" i="229"/>
  <c r="D370" i="229" s="1"/>
  <c r="C2020" i="288"/>
  <c r="D2020" i="288" s="1"/>
  <c r="C1163" i="288"/>
  <c r="D1163" i="288" s="1"/>
  <c r="C2061" i="288"/>
  <c r="D2061" i="288" s="1"/>
  <c r="C3558" i="229"/>
  <c r="D3558" i="229" s="1"/>
  <c r="C1748" i="288"/>
  <c r="D1748" i="288" s="1"/>
  <c r="C3839" i="229"/>
  <c r="D3839" i="229" s="1"/>
  <c r="C2841" i="229"/>
  <c r="D2841" i="229" s="1"/>
  <c r="C3291" i="288"/>
  <c r="D3291" i="288" s="1"/>
  <c r="I3186" i="229"/>
  <c r="J3186" i="229" s="1"/>
  <c r="C1450" i="288"/>
  <c r="D1450" i="288" s="1"/>
  <c r="C2125" i="229"/>
  <c r="D2125" i="229" s="1"/>
  <c r="C1361" i="288"/>
  <c r="D1361" i="288" s="1"/>
  <c r="D1370" i="288" s="1"/>
  <c r="I3334" i="288"/>
  <c r="J3334" i="288" s="1"/>
  <c r="I424" i="288"/>
  <c r="J424" i="288" s="1"/>
  <c r="I224" i="288"/>
  <c r="J224" i="288" s="1"/>
  <c r="I3267" i="229"/>
  <c r="J3267" i="229" s="1"/>
  <c r="C1754" i="229"/>
  <c r="D1754" i="229" s="1"/>
  <c r="I3138" i="229"/>
  <c r="J3138" i="229" s="1"/>
  <c r="C745" i="229"/>
  <c r="D745" i="229" s="1"/>
  <c r="C1267" i="229"/>
  <c r="D1267" i="229" s="1"/>
  <c r="I2289" i="229"/>
  <c r="J2289" i="229" s="1"/>
  <c r="C2028" i="229"/>
  <c r="D2028" i="229" s="1"/>
  <c r="C1803" i="229"/>
  <c r="D1803" i="229" s="1"/>
  <c r="I1836" i="229"/>
  <c r="J1836" i="229" s="1"/>
  <c r="I256" i="229"/>
  <c r="J256" i="229" s="1"/>
  <c r="I132" i="229"/>
  <c r="J132" i="229" s="1"/>
  <c r="I973" i="229"/>
  <c r="J973" i="229" s="1"/>
  <c r="I2794" i="229"/>
  <c r="J2794" i="229" s="1"/>
  <c r="I2956" i="229"/>
  <c r="J2956" i="229" s="1"/>
  <c r="C778" i="288"/>
  <c r="D778" i="288" s="1"/>
  <c r="I116" i="229"/>
  <c r="J116" i="229" s="1"/>
  <c r="I5" i="288"/>
  <c r="J5" i="288" s="1"/>
  <c r="I1201" i="229"/>
  <c r="J1201" i="229" s="1"/>
  <c r="C3280" i="229"/>
  <c r="D3280" i="229" s="1"/>
  <c r="I1709" i="229"/>
  <c r="J1709" i="229" s="1"/>
  <c r="I596" i="288"/>
  <c r="J596" i="288" s="1"/>
  <c r="J597" i="288" s="1"/>
  <c r="I3483" i="229"/>
  <c r="J3483" i="229" s="1"/>
  <c r="J3495" i="229" s="1"/>
  <c r="I253" i="288"/>
  <c r="J253" i="288" s="1"/>
  <c r="I780" i="288"/>
  <c r="J780" i="288" s="1"/>
  <c r="I2384" i="229"/>
  <c r="J2384" i="229" s="1"/>
  <c r="C353" i="229"/>
  <c r="D353" i="229" s="1"/>
  <c r="I1898" i="229"/>
  <c r="J1898" i="229" s="1"/>
  <c r="C723" i="288"/>
  <c r="D723" i="288" s="1"/>
  <c r="I908" i="288"/>
  <c r="J908" i="288" s="1"/>
  <c r="C2306" i="229"/>
  <c r="D2306" i="229" s="1"/>
  <c r="I2732" i="288"/>
  <c r="J2732" i="288" s="1"/>
  <c r="C137" i="288"/>
  <c r="D137" i="288" s="1"/>
  <c r="I1283" i="229"/>
  <c r="J1283" i="229" s="1"/>
  <c r="C1504" i="288"/>
  <c r="D1504" i="288" s="1"/>
  <c r="D1513" i="288" s="1"/>
  <c r="I2962" i="288"/>
  <c r="J2962" i="288" s="1"/>
  <c r="I250" i="288"/>
  <c r="J250" i="288" s="1"/>
  <c r="J259" i="288" s="1"/>
  <c r="I107" i="288"/>
  <c r="J107" i="288" s="1"/>
  <c r="J108" i="288" s="1"/>
  <c r="C2370" i="229"/>
  <c r="D2370" i="229" s="1"/>
  <c r="I3119" i="229"/>
  <c r="J3119" i="229" s="1"/>
  <c r="C1075" i="229"/>
  <c r="D1075" i="229" s="1"/>
  <c r="C1692" i="288"/>
  <c r="D1692" i="288" s="1"/>
  <c r="C1977" i="288"/>
  <c r="D1977" i="288" s="1"/>
  <c r="C1104" i="229"/>
  <c r="D1104" i="229" s="1"/>
  <c r="C2704" i="288"/>
  <c r="D2704" i="288" s="1"/>
  <c r="I2825" i="229"/>
  <c r="J2825" i="229" s="1"/>
  <c r="I2041" i="229"/>
  <c r="J2041" i="229" s="1"/>
  <c r="C3439" i="229"/>
  <c r="D3439" i="229" s="1"/>
  <c r="I1176" i="288"/>
  <c r="J1176" i="288" s="1"/>
  <c r="J1185" i="288" s="1"/>
  <c r="I227" i="229"/>
  <c r="J227" i="229" s="1"/>
  <c r="I565" i="229"/>
  <c r="J565" i="229" s="1"/>
  <c r="J576" i="229" s="1"/>
  <c r="I2533" i="229"/>
  <c r="J2533" i="229" s="1"/>
  <c r="C1607" i="229"/>
  <c r="D1607" i="229" s="1"/>
  <c r="C3577" i="229"/>
  <c r="D3577" i="229" s="1"/>
  <c r="C1963" i="288"/>
  <c r="D1963" i="288" s="1"/>
  <c r="C1365" i="288"/>
  <c r="D1365" i="288" s="1"/>
  <c r="D1366" i="288" s="1"/>
  <c r="I1576" i="229"/>
  <c r="J1576" i="229" s="1"/>
  <c r="I912" i="229"/>
  <c r="J912" i="229" s="1"/>
  <c r="C152" i="288"/>
  <c r="D152" i="288" s="1"/>
  <c r="I893" i="288"/>
  <c r="J893" i="288" s="1"/>
  <c r="I808" i="288"/>
  <c r="J808" i="288" s="1"/>
  <c r="I3452" i="229"/>
  <c r="J3452" i="229" s="1"/>
  <c r="I1735" i="288"/>
  <c r="J1735" i="288" s="1"/>
  <c r="I2417" i="288"/>
  <c r="J2417" i="288" s="1"/>
  <c r="I503" i="229"/>
  <c r="J503" i="229" s="1"/>
  <c r="I1237" i="288"/>
  <c r="J1237" i="288" s="1"/>
  <c r="J1238" i="288" s="1"/>
  <c r="C1756" i="229"/>
  <c r="D1756" i="229" s="1"/>
  <c r="C2059" i="229"/>
  <c r="D2059" i="229" s="1"/>
  <c r="C3007" i="229"/>
  <c r="D3007" i="229" s="1"/>
  <c r="C3086" i="288"/>
  <c r="D3086" i="288" s="1"/>
  <c r="D3087" i="288" s="1"/>
  <c r="C2545" i="229"/>
  <c r="D2545" i="229" s="1"/>
  <c r="I3137" i="229"/>
  <c r="J3137" i="229" s="1"/>
  <c r="C210" i="288"/>
  <c r="D210" i="288" s="1"/>
  <c r="C723" i="328"/>
  <c r="R84" i="264"/>
  <c r="C2904" i="229"/>
  <c r="D2904" i="229" s="1"/>
  <c r="R52" i="264"/>
  <c r="R22" i="264"/>
  <c r="R68" i="264"/>
  <c r="I728" i="229"/>
  <c r="J728" i="229" s="1"/>
  <c r="R24" i="258"/>
  <c r="I1079" i="288"/>
  <c r="J1079" i="288" s="1"/>
  <c r="I3486" i="229"/>
  <c r="J3486" i="229" s="1"/>
  <c r="I891" i="229"/>
  <c r="J891" i="229" s="1"/>
  <c r="I2605" i="288"/>
  <c r="J2605" i="288" s="1"/>
  <c r="J2606" i="288" s="1"/>
  <c r="C3217" i="229"/>
  <c r="D3217" i="229" s="1"/>
  <c r="I2975" i="229"/>
  <c r="J2975" i="229" s="1"/>
  <c r="C150" i="229"/>
  <c r="D150" i="229" s="1"/>
  <c r="I821" i="288"/>
  <c r="J821" i="288" s="1"/>
  <c r="C71" i="288"/>
  <c r="D71" i="288" s="1"/>
  <c r="I1772" i="229"/>
  <c r="J1772" i="229" s="1"/>
  <c r="C266" i="288"/>
  <c r="D266" i="288" s="1"/>
  <c r="I938" i="288"/>
  <c r="J938" i="288" s="1"/>
  <c r="J939" i="288" s="1"/>
  <c r="C2012" i="229"/>
  <c r="D2012" i="229" s="1"/>
  <c r="C2942" i="229"/>
  <c r="D2942" i="229" s="1"/>
  <c r="C1380" i="229"/>
  <c r="D1380" i="229" s="1"/>
  <c r="C1308" i="288"/>
  <c r="D1308" i="288" s="1"/>
  <c r="D1309" i="288" s="1"/>
  <c r="C1290" i="288"/>
  <c r="D1290" i="288" s="1"/>
  <c r="D1299" i="288" s="1"/>
  <c r="C3694" i="229"/>
  <c r="D3694" i="229" s="1"/>
  <c r="I1233" i="288"/>
  <c r="J1233" i="288" s="1"/>
  <c r="J1242" i="288" s="1"/>
  <c r="C731" i="229"/>
  <c r="D731" i="229" s="1"/>
  <c r="C2531" i="229"/>
  <c r="D2531" i="229" s="1"/>
  <c r="I1122" i="229"/>
  <c r="J1122" i="229" s="1"/>
  <c r="R71" i="262"/>
  <c r="R18" i="258"/>
  <c r="C3842" i="229"/>
  <c r="D3842" i="229" s="1"/>
  <c r="C653" i="288"/>
  <c r="D653" i="288" s="1"/>
  <c r="D654" i="288" s="1"/>
  <c r="I485" i="229"/>
  <c r="J485" i="229" s="1"/>
  <c r="I828" i="229"/>
  <c r="J828" i="229" s="1"/>
  <c r="C3251" i="288"/>
  <c r="D3251" i="288" s="1"/>
  <c r="D3252" i="288" s="1"/>
  <c r="I3149" i="229"/>
  <c r="J3149" i="229" s="1"/>
  <c r="C1019" i="288"/>
  <c r="D1019" i="288" s="1"/>
  <c r="D1028" i="288" s="1"/>
  <c r="I2499" i="229"/>
  <c r="J2499" i="229" s="1"/>
  <c r="C205" i="229"/>
  <c r="D205" i="229" s="1"/>
  <c r="D216" i="229" s="1"/>
  <c r="C1978" i="288"/>
  <c r="D1978" i="288" s="1"/>
  <c r="D1979" i="288" s="1"/>
  <c r="I1816" i="229"/>
  <c r="J1816" i="229" s="1"/>
  <c r="J1827" i="229" s="1"/>
  <c r="I1546" i="288"/>
  <c r="J1546" i="288" s="1"/>
  <c r="J1555" i="288" s="1"/>
  <c r="I3082" i="288"/>
  <c r="J3082" i="288" s="1"/>
  <c r="R17" i="262"/>
  <c r="C2032" i="288"/>
  <c r="D2032" i="288" s="1"/>
  <c r="C1165" i="288"/>
  <c r="D1165" i="288" s="1"/>
  <c r="C2351" i="229"/>
  <c r="D2351" i="229" s="1"/>
  <c r="R54" i="262"/>
  <c r="R31" i="261"/>
  <c r="I3171" i="288"/>
  <c r="J3171" i="288" s="1"/>
  <c r="J3181" i="288" s="1"/>
  <c r="I3181" i="229"/>
  <c r="J3181" i="229" s="1"/>
  <c r="J3192" i="229" s="1"/>
  <c r="I610" i="288"/>
  <c r="J610" i="288" s="1"/>
  <c r="J611" i="288" s="1"/>
  <c r="C858" i="229"/>
  <c r="D858" i="229" s="1"/>
  <c r="D869" i="229" s="1"/>
  <c r="I2405" i="288"/>
  <c r="J2405" i="288" s="1"/>
  <c r="J2406" i="288" s="1"/>
  <c r="R30" i="265"/>
  <c r="I273" i="229"/>
  <c r="J273" i="229" s="1"/>
  <c r="I863" i="229"/>
  <c r="J863" i="229" s="1"/>
  <c r="C3054" i="229"/>
  <c r="D3054" i="229" s="1"/>
  <c r="I2004" i="288"/>
  <c r="J2004" i="288" s="1"/>
  <c r="I608" i="288"/>
  <c r="J608" i="288" s="1"/>
  <c r="I2698" i="229"/>
  <c r="J2698" i="229" s="1"/>
  <c r="C3229" i="229"/>
  <c r="D3229" i="229" s="1"/>
  <c r="D3240" i="229" s="1"/>
  <c r="C749" i="288"/>
  <c r="D749" i="288" s="1"/>
  <c r="C1507" i="288"/>
  <c r="D1507" i="288" s="1"/>
  <c r="I1165" i="288"/>
  <c r="J1165" i="288" s="1"/>
  <c r="I2240" i="229"/>
  <c r="J2240" i="229" s="1"/>
  <c r="C3073" i="229"/>
  <c r="D3073" i="229" s="1"/>
  <c r="C2775" i="229"/>
  <c r="D2775" i="229" s="1"/>
  <c r="C1105" i="229"/>
  <c r="D1105" i="229" s="1"/>
  <c r="I3070" i="229"/>
  <c r="J3070" i="229" s="1"/>
  <c r="C3836" i="229"/>
  <c r="D3836" i="229" s="1"/>
  <c r="D3848" i="229" s="1"/>
  <c r="C1707" i="229"/>
  <c r="D1707" i="229" s="1"/>
  <c r="C1390" i="288"/>
  <c r="D1390" i="288" s="1"/>
  <c r="D1399" i="288" s="1"/>
  <c r="I781" i="288"/>
  <c r="J781" i="288" s="1"/>
  <c r="J782" i="288" s="1"/>
  <c r="C1250" i="229"/>
  <c r="D1250" i="229" s="1"/>
  <c r="I179" i="229"/>
  <c r="J179" i="229" s="1"/>
  <c r="I945" i="229"/>
  <c r="J945" i="229" s="1"/>
  <c r="C3594" i="229"/>
  <c r="D3594" i="229" s="1"/>
  <c r="I2925" i="229"/>
  <c r="J2925" i="229" s="1"/>
  <c r="I3216" i="229"/>
  <c r="J3216" i="229" s="1"/>
  <c r="I1834" i="288"/>
  <c r="J1834" i="288" s="1"/>
  <c r="C1121" i="229"/>
  <c r="D1121" i="229" s="1"/>
  <c r="C2205" i="229"/>
  <c r="D2205" i="229" s="1"/>
  <c r="I3439" i="229"/>
  <c r="J3439" i="229" s="1"/>
  <c r="C568" i="229"/>
  <c r="D568" i="229" s="1"/>
  <c r="C1106" i="288"/>
  <c r="D1106" i="288" s="1"/>
  <c r="I3205" i="288"/>
  <c r="J3205" i="288" s="1"/>
  <c r="I282" i="288"/>
  <c r="J282" i="288" s="1"/>
  <c r="J283" i="288" s="1"/>
  <c r="I2376" i="288"/>
  <c r="J2376" i="288" s="1"/>
  <c r="I2436" i="229"/>
  <c r="J2436" i="229" s="1"/>
  <c r="C3265" i="229"/>
  <c r="D3265" i="229" s="1"/>
  <c r="I3321" i="288"/>
  <c r="J3321" i="288" s="1"/>
  <c r="C3794" i="229"/>
  <c r="D3794" i="229" s="1"/>
  <c r="C3589" i="229"/>
  <c r="D3589" i="229" s="1"/>
  <c r="C1494" i="229"/>
  <c r="D1494" i="229" s="1"/>
  <c r="C2878" i="229"/>
  <c r="D2878" i="229" s="1"/>
  <c r="I1480" i="229"/>
  <c r="J1480" i="229" s="1"/>
  <c r="C78" i="229"/>
  <c r="D78" i="229" s="1"/>
  <c r="C3332" i="229"/>
  <c r="D3332" i="229" s="1"/>
  <c r="C1416" i="229"/>
  <c r="D1416" i="229" s="1"/>
  <c r="I3761" i="229"/>
  <c r="J3761" i="229" s="1"/>
  <c r="I1193" i="288"/>
  <c r="J1193" i="288" s="1"/>
  <c r="C2580" i="229"/>
  <c r="D2580" i="229" s="1"/>
  <c r="C3543" i="229"/>
  <c r="D3543" i="229" s="1"/>
  <c r="C3421" i="229"/>
  <c r="D3421" i="229" s="1"/>
  <c r="I2995" i="288"/>
  <c r="J2995" i="288" s="1"/>
  <c r="J2996" i="288" s="1"/>
  <c r="I2174" i="229"/>
  <c r="J2174" i="229" s="1"/>
  <c r="C1834" i="229"/>
  <c r="D1834" i="229" s="1"/>
  <c r="I1381" i="229"/>
  <c r="J1381" i="229" s="1"/>
  <c r="I2207" i="229"/>
  <c r="J2207" i="229" s="1"/>
  <c r="I2712" i="229"/>
  <c r="J2712" i="229" s="1"/>
  <c r="I86" i="288"/>
  <c r="J86" i="288" s="1"/>
  <c r="I2091" i="288"/>
  <c r="J2091" i="288" s="1"/>
  <c r="I341" i="229"/>
  <c r="J341" i="229" s="1"/>
  <c r="I210" i="229"/>
  <c r="J210" i="229" s="1"/>
  <c r="I3706" i="229"/>
  <c r="J3706" i="229" s="1"/>
  <c r="C851" i="288"/>
  <c r="D851" i="288" s="1"/>
  <c r="C3557" i="229"/>
  <c r="D3557" i="229" s="1"/>
  <c r="I3628" i="229"/>
  <c r="J3628" i="229" s="1"/>
  <c r="I2290" i="229"/>
  <c r="J2290" i="229" s="1"/>
  <c r="I2994" i="288"/>
  <c r="J2994" i="288" s="1"/>
  <c r="C2257" i="229"/>
  <c r="D2257" i="229" s="1"/>
  <c r="I2318" i="229"/>
  <c r="J2318" i="229" s="1"/>
  <c r="C2860" i="229"/>
  <c r="D2860" i="229" s="1"/>
  <c r="C2761" i="288"/>
  <c r="D2761" i="288" s="1"/>
  <c r="C168" i="288"/>
  <c r="D168" i="288" s="1"/>
  <c r="D169" i="288" s="1"/>
  <c r="C1839" i="229"/>
  <c r="D1839" i="229" s="1"/>
  <c r="I1592" i="288"/>
  <c r="J1592" i="288" s="1"/>
  <c r="I3368" i="288"/>
  <c r="J3368" i="288" s="1"/>
  <c r="J3369" i="288" s="1"/>
  <c r="I991" i="229"/>
  <c r="J991" i="229" s="1"/>
  <c r="I474" i="229"/>
  <c r="J474" i="229" s="1"/>
  <c r="C3235" i="229"/>
  <c r="D3235" i="229" s="1"/>
  <c r="C2513" i="229"/>
  <c r="D2513" i="229" s="1"/>
  <c r="I1771" i="229"/>
  <c r="J1771" i="229" s="1"/>
  <c r="I2842" i="229"/>
  <c r="J2842" i="229" s="1"/>
  <c r="I1761" i="288"/>
  <c r="J1761" i="288" s="1"/>
  <c r="I1769" i="229"/>
  <c r="J1769" i="229" s="1"/>
  <c r="I505" i="229"/>
  <c r="J505" i="229" s="1"/>
  <c r="I3657" i="229"/>
  <c r="J3657" i="229" s="1"/>
  <c r="I2914" i="288"/>
  <c r="J2914" i="288" s="1"/>
  <c r="I2932" i="288"/>
  <c r="J2932" i="288" s="1"/>
  <c r="C1771" i="229"/>
  <c r="D1771" i="229" s="1"/>
  <c r="I678" i="288"/>
  <c r="J678" i="288" s="1"/>
  <c r="C446" i="229"/>
  <c r="D446" i="229" s="1"/>
  <c r="C3369" i="229"/>
  <c r="D3369" i="229" s="1"/>
  <c r="C1237" i="229"/>
  <c r="D1237" i="229" s="1"/>
  <c r="I3349" i="288"/>
  <c r="J3349" i="288" s="1"/>
  <c r="C325" i="229"/>
  <c r="D325" i="229" s="1"/>
  <c r="C2930" i="288"/>
  <c r="D2930" i="288" s="1"/>
  <c r="I521" i="229"/>
  <c r="J521" i="229" s="1"/>
  <c r="C1077" i="288"/>
  <c r="D1077" i="288" s="1"/>
  <c r="I1194" i="288"/>
  <c r="J1194" i="288" s="1"/>
  <c r="J1195" i="288" s="1"/>
  <c r="I1497" i="229"/>
  <c r="J1497" i="229" s="1"/>
  <c r="C423" i="288"/>
  <c r="D423" i="288" s="1"/>
  <c r="C523" i="288"/>
  <c r="D523" i="288" s="1"/>
  <c r="I1610" i="229"/>
  <c r="J1610" i="229" s="1"/>
  <c r="I1527" i="229"/>
  <c r="J1527" i="229" s="1"/>
  <c r="C1897" i="229"/>
  <c r="D1897" i="229" s="1"/>
  <c r="I1432" i="229"/>
  <c r="J1432" i="229" s="1"/>
  <c r="I2271" i="229"/>
  <c r="J2271" i="229" s="1"/>
  <c r="C2500" i="229"/>
  <c r="D2500" i="229" s="1"/>
  <c r="C3645" i="229"/>
  <c r="D3645" i="229" s="1"/>
  <c r="I3351" i="229"/>
  <c r="J3351" i="229" s="1"/>
  <c r="I2530" i="229"/>
  <c r="J2530" i="229" s="1"/>
  <c r="C2940" i="229"/>
  <c r="D2940" i="229" s="1"/>
  <c r="C221" i="288"/>
  <c r="D221" i="288" s="1"/>
  <c r="D230" i="288" s="1"/>
  <c r="C2159" i="229"/>
  <c r="D2159" i="229" s="1"/>
  <c r="C3169" i="229"/>
  <c r="D3169" i="229" s="1"/>
  <c r="C3810" i="229"/>
  <c r="D3810" i="229" s="1"/>
  <c r="I2449" i="229"/>
  <c r="J2449" i="229" s="1"/>
  <c r="I2812" i="229"/>
  <c r="J2812" i="229" s="1"/>
  <c r="C2275" i="288"/>
  <c r="D2275" i="288" s="1"/>
  <c r="C3400" i="229"/>
  <c r="D3400" i="229" s="1"/>
  <c r="C2062" i="229"/>
  <c r="D2062" i="229" s="1"/>
  <c r="C1593" i="229"/>
  <c r="D1593" i="229" s="1"/>
  <c r="I2482" i="229"/>
  <c r="J2482" i="229" s="1"/>
  <c r="C2809" i="229"/>
  <c r="D2809" i="229" s="1"/>
  <c r="I517" i="229"/>
  <c r="J517" i="229" s="1"/>
  <c r="I566" i="288"/>
  <c r="J566" i="288" s="1"/>
  <c r="C1234" i="229"/>
  <c r="D1234" i="229" s="1"/>
  <c r="C2761" i="229"/>
  <c r="D2761" i="229" s="1"/>
  <c r="I3403" i="229"/>
  <c r="J3403" i="229" s="1"/>
  <c r="C481" i="288"/>
  <c r="D481" i="288" s="1"/>
  <c r="I3755" i="229"/>
  <c r="J3755" i="229" s="1"/>
  <c r="C1412" i="229"/>
  <c r="D1412" i="229" s="1"/>
  <c r="I1980" i="229"/>
  <c r="J1980" i="229" s="1"/>
  <c r="I3645" i="229"/>
  <c r="J3645" i="229" s="1"/>
  <c r="C837" i="288"/>
  <c r="D837" i="288" s="1"/>
  <c r="I3726" i="229"/>
  <c r="J3726" i="229" s="1"/>
  <c r="I2960" i="288"/>
  <c r="J2960" i="288" s="1"/>
  <c r="C1521" i="288"/>
  <c r="D1521" i="288" s="1"/>
  <c r="C3368" i="229"/>
  <c r="D3368" i="229" s="1"/>
  <c r="I1124" i="229"/>
  <c r="J1124" i="229" s="1"/>
  <c r="I241" i="229"/>
  <c r="J241" i="229" s="1"/>
  <c r="C3526" i="229"/>
  <c r="D3526" i="229" s="1"/>
  <c r="I3518" i="229"/>
  <c r="J3518" i="229" s="1"/>
  <c r="J3530" i="229" s="1"/>
  <c r="I2321" i="229"/>
  <c r="J2321" i="229" s="1"/>
  <c r="C535" i="288"/>
  <c r="D535" i="288" s="1"/>
  <c r="D544" i="288" s="1"/>
  <c r="I522" i="288"/>
  <c r="J522" i="288" s="1"/>
  <c r="I1265" i="288"/>
  <c r="J1265" i="288" s="1"/>
  <c r="J1266" i="288" s="1"/>
  <c r="C2843" i="288"/>
  <c r="D2843" i="288" s="1"/>
  <c r="D2852" i="288" s="1"/>
  <c r="I2893" i="229"/>
  <c r="J2893" i="229" s="1"/>
  <c r="C24" i="288"/>
  <c r="D24" i="288" s="1"/>
  <c r="C649" i="229"/>
  <c r="D649" i="229" s="1"/>
  <c r="C3283" i="229"/>
  <c r="D3283" i="229" s="1"/>
  <c r="C864" i="229"/>
  <c r="D864" i="229" s="1"/>
  <c r="C1009" i="288"/>
  <c r="D1009" i="288" s="1"/>
  <c r="D1010" i="288" s="1"/>
  <c r="C1042" i="229"/>
  <c r="D1042" i="229" s="1"/>
  <c r="C2686" i="288"/>
  <c r="D2686" i="288" s="1"/>
  <c r="D2695" i="288" s="1"/>
  <c r="C1561" i="288"/>
  <c r="D1561" i="288" s="1"/>
  <c r="D1570" i="288" s="1"/>
  <c r="I1334" i="229"/>
  <c r="J1334" i="229" s="1"/>
  <c r="C2303" i="229"/>
  <c r="D2303" i="229" s="1"/>
  <c r="C3316" i="229"/>
  <c r="D3316" i="229" s="1"/>
  <c r="C1025" i="229"/>
  <c r="D1025" i="229" s="1"/>
  <c r="C677" i="288"/>
  <c r="D677" i="288" s="1"/>
  <c r="D686" i="288" s="1"/>
  <c r="I1219" i="229"/>
  <c r="J1219" i="229" s="1"/>
  <c r="C1464" i="288"/>
  <c r="D1464" i="288" s="1"/>
  <c r="I1006" i="229"/>
  <c r="J1006" i="229" s="1"/>
  <c r="I695" i="229"/>
  <c r="J695" i="229" s="1"/>
  <c r="J706" i="229" s="1"/>
  <c r="C737" i="288"/>
  <c r="D737" i="288" s="1"/>
  <c r="I1139" i="229"/>
  <c r="J1139" i="229" s="1"/>
  <c r="I3316" i="229"/>
  <c r="J3316" i="229" s="1"/>
  <c r="I463" i="288"/>
  <c r="J463" i="288" s="1"/>
  <c r="J472" i="288" s="1"/>
  <c r="C3335" i="288"/>
  <c r="D3335" i="288" s="1"/>
  <c r="C3387" i="229"/>
  <c r="D3387" i="229" s="1"/>
  <c r="I766" i="288"/>
  <c r="J766" i="288" s="1"/>
  <c r="I279" i="288"/>
  <c r="J279" i="288" s="1"/>
  <c r="C2354" i="229"/>
  <c r="D2354" i="229" s="1"/>
  <c r="I3071" i="229"/>
  <c r="J3071" i="229" s="1"/>
  <c r="C1964" i="288"/>
  <c r="D1964" i="288" s="1"/>
  <c r="D1965" i="288" s="1"/>
  <c r="I3136" i="229"/>
  <c r="J3136" i="229" s="1"/>
  <c r="I1074" i="229"/>
  <c r="J1074" i="229" s="1"/>
  <c r="C61" i="229"/>
  <c r="D61" i="229" s="1"/>
  <c r="C1528" i="229"/>
  <c r="D1528" i="229" s="1"/>
  <c r="I2095" i="229"/>
  <c r="J2095" i="229" s="1"/>
  <c r="C1465" i="229"/>
  <c r="D1465" i="229" s="1"/>
  <c r="I3387" i="229"/>
  <c r="J3387" i="229" s="1"/>
  <c r="C666" i="288"/>
  <c r="D666" i="288" s="1"/>
  <c r="I549" i="288"/>
  <c r="J549" i="288" s="1"/>
  <c r="J558" i="288" s="1"/>
  <c r="I2859" i="229"/>
  <c r="J2859" i="229" s="1"/>
  <c r="I2334" i="229"/>
  <c r="J2334" i="229" s="1"/>
  <c r="I737" i="328"/>
  <c r="K737" i="328" s="1"/>
  <c r="R35" i="264"/>
  <c r="V15" i="262"/>
  <c r="R43" i="264"/>
  <c r="R42" i="264"/>
  <c r="I2504" i="288"/>
  <c r="J2504" i="288" s="1"/>
  <c r="C1036" i="288"/>
  <c r="D1036" i="288" s="1"/>
  <c r="C1578" i="229"/>
  <c r="D1578" i="229" s="1"/>
  <c r="I3727" i="229"/>
  <c r="J3727" i="229" s="1"/>
  <c r="I1692" i="288"/>
  <c r="J1692" i="288" s="1"/>
  <c r="C3759" i="229"/>
  <c r="D3759" i="229" s="1"/>
  <c r="I1740" i="229"/>
  <c r="J1740" i="229" s="1"/>
  <c r="I209" i="288"/>
  <c r="J209" i="288" s="1"/>
  <c r="C767" i="288"/>
  <c r="D767" i="288" s="1"/>
  <c r="D768" i="288" s="1"/>
  <c r="I3434" i="229"/>
  <c r="J3434" i="229" s="1"/>
  <c r="C2828" i="229"/>
  <c r="D2828" i="229" s="1"/>
  <c r="I1092" i="288"/>
  <c r="J1092" i="288" s="1"/>
  <c r="C3319" i="229"/>
  <c r="D3319" i="229" s="1"/>
  <c r="I551" i="288"/>
  <c r="J551" i="288" s="1"/>
  <c r="C2476" i="288"/>
  <c r="D2476" i="288" s="1"/>
  <c r="I1820" i="288"/>
  <c r="J1820" i="288" s="1"/>
  <c r="I948" i="288"/>
  <c r="J948" i="288" s="1"/>
  <c r="J957" i="288" s="1"/>
  <c r="C890" i="229"/>
  <c r="D890" i="229" s="1"/>
  <c r="D901" i="229" s="1"/>
  <c r="I2110" i="229"/>
  <c r="J2110" i="229" s="1"/>
  <c r="I751" i="288"/>
  <c r="J751" i="288" s="1"/>
  <c r="I1963" i="288"/>
  <c r="J1963" i="288" s="1"/>
  <c r="C2680" i="229"/>
  <c r="D2680" i="229" s="1"/>
  <c r="I598" i="229"/>
  <c r="J598" i="229" s="1"/>
  <c r="J609" i="229" s="1"/>
  <c r="C1838" i="229"/>
  <c r="D1838" i="229" s="1"/>
  <c r="C227" i="229"/>
  <c r="D227" i="229" s="1"/>
  <c r="I3506" i="229"/>
  <c r="J3506" i="229" s="1"/>
  <c r="C2134" i="288"/>
  <c r="D2134" i="288" s="1"/>
  <c r="I3104" i="229"/>
  <c r="J3104" i="229" s="1"/>
  <c r="C2077" i="288"/>
  <c r="D2077" i="288" s="1"/>
  <c r="I1123" i="288"/>
  <c r="J1123" i="288" s="1"/>
  <c r="J1124" i="288" s="1"/>
  <c r="C1413" i="229"/>
  <c r="D1413" i="229" s="1"/>
  <c r="C58" i="229"/>
  <c r="D58" i="229" s="1"/>
  <c r="D69" i="229" s="1"/>
  <c r="I538" i="288"/>
  <c r="J538" i="288" s="1"/>
  <c r="I708" i="288"/>
  <c r="J708" i="288" s="1"/>
  <c r="I3331" i="229"/>
  <c r="J3331" i="229" s="1"/>
  <c r="I115" i="229"/>
  <c r="J115" i="229" s="1"/>
  <c r="I516" i="229"/>
  <c r="J516" i="229" s="1"/>
  <c r="J527" i="229" s="1"/>
  <c r="I579" i="288"/>
  <c r="J579" i="288" s="1"/>
  <c r="I1040" i="229"/>
  <c r="J1040" i="229" s="1"/>
  <c r="C2591" i="288"/>
  <c r="D2591" i="288" s="1"/>
  <c r="D2592" i="288" s="1"/>
  <c r="I2157" i="229"/>
  <c r="J2157" i="229" s="1"/>
  <c r="I2008" i="229"/>
  <c r="J2008" i="229" s="1"/>
  <c r="C508" i="288"/>
  <c r="D508" i="288" s="1"/>
  <c r="C866" i="288"/>
  <c r="D866" i="288" s="1"/>
  <c r="D867" i="288" s="1"/>
  <c r="I1103" i="229"/>
  <c r="J1103" i="229" s="1"/>
  <c r="I3251" i="288"/>
  <c r="J3251" i="288" s="1"/>
  <c r="J3252" i="288" s="1"/>
  <c r="I2943" i="229"/>
  <c r="J2943" i="229" s="1"/>
  <c r="C779" i="229"/>
  <c r="D779" i="229" s="1"/>
  <c r="C539" i="288"/>
  <c r="D539" i="288" s="1"/>
  <c r="D540" i="288" s="1"/>
  <c r="C2383" i="229"/>
  <c r="D2383" i="229" s="1"/>
  <c r="I81" i="229"/>
  <c r="J81" i="229" s="1"/>
  <c r="I3626" i="229"/>
  <c r="J3626" i="229" s="1"/>
  <c r="I2516" i="288"/>
  <c r="J2516" i="288" s="1"/>
  <c r="I119" i="229"/>
  <c r="J119" i="229" s="1"/>
  <c r="C1039" i="229"/>
  <c r="D1039" i="229" s="1"/>
  <c r="I1679" i="288"/>
  <c r="J1679" i="288" s="1"/>
  <c r="J1680" i="288" s="1"/>
  <c r="I1076" i="288"/>
  <c r="J1076" i="288" s="1"/>
  <c r="J1085" i="288" s="1"/>
  <c r="C1304" i="288"/>
  <c r="D1304" i="288" s="1"/>
  <c r="D1313" i="288" s="1"/>
  <c r="I3788" i="229"/>
  <c r="J3788" i="229" s="1"/>
  <c r="C2369" i="229"/>
  <c r="D2369" i="229" s="1"/>
  <c r="C10" i="229"/>
  <c r="D10" i="229" s="1"/>
  <c r="C3072" i="229"/>
  <c r="D3072" i="229" s="1"/>
  <c r="I975" i="229"/>
  <c r="J975" i="229" s="1"/>
  <c r="I2602" i="288"/>
  <c r="J2602" i="288" s="1"/>
  <c r="I1235" i="288"/>
  <c r="J1235" i="288" s="1"/>
  <c r="I2874" i="288"/>
  <c r="J2874" i="288" s="1"/>
  <c r="C3081" i="288"/>
  <c r="D3081" i="288" s="1"/>
  <c r="D3091" i="288" s="1"/>
  <c r="C595" i="288"/>
  <c r="D595" i="288" s="1"/>
  <c r="I2676" i="288"/>
  <c r="J2676" i="288" s="1"/>
  <c r="J2677" i="288" s="1"/>
  <c r="I779" i="229"/>
  <c r="J779" i="229" s="1"/>
  <c r="I880" i="229"/>
  <c r="J880" i="229" s="1"/>
  <c r="I3737" i="229"/>
  <c r="J3737" i="229" s="1"/>
  <c r="C1805" i="288"/>
  <c r="D1805" i="288" s="1"/>
  <c r="I452" i="288"/>
  <c r="J452" i="288" s="1"/>
  <c r="I2674" i="288"/>
  <c r="J2674" i="288" s="1"/>
  <c r="I3056" i="288"/>
  <c r="J3056" i="288" s="1"/>
  <c r="J3057" i="288" s="1"/>
  <c r="I123" i="288"/>
  <c r="J123" i="288" s="1"/>
  <c r="J124" i="288" s="1"/>
  <c r="I606" i="288"/>
  <c r="J606" i="288" s="1"/>
  <c r="J615" i="288" s="1"/>
  <c r="C1835" i="288"/>
  <c r="D1835" i="288" s="1"/>
  <c r="D1836" i="288" s="1"/>
  <c r="I3265" i="229"/>
  <c r="J3265" i="229" s="1"/>
  <c r="I1236" i="229"/>
  <c r="J1236" i="229" s="1"/>
  <c r="I2402" i="288"/>
  <c r="J2402" i="288" s="1"/>
  <c r="C1266" i="229"/>
  <c r="D1266" i="229" s="1"/>
  <c r="C3204" i="288"/>
  <c r="D3204" i="288" s="1"/>
  <c r="C2590" i="288"/>
  <c r="D2590" i="288" s="1"/>
  <c r="I340" i="229"/>
  <c r="J340" i="229" s="1"/>
  <c r="C2046" i="229"/>
  <c r="D2046" i="229" s="1"/>
  <c r="I2924" i="229"/>
  <c r="J2924" i="229" s="1"/>
  <c r="C3006" i="229"/>
  <c r="D3006" i="229" s="1"/>
  <c r="C3404" i="229"/>
  <c r="D3404" i="229" s="1"/>
  <c r="C40" i="229"/>
  <c r="D40" i="229" s="1"/>
  <c r="C149" i="229"/>
  <c r="D149" i="229" s="1"/>
  <c r="I1446" i="229"/>
  <c r="J1446" i="229" s="1"/>
  <c r="C601" i="229"/>
  <c r="D601" i="229" s="1"/>
  <c r="I1365" i="229"/>
  <c r="J1365" i="229" s="1"/>
  <c r="C2367" i="229"/>
  <c r="D2367" i="229" s="1"/>
  <c r="C1768" i="229"/>
  <c r="D1768" i="229" s="1"/>
  <c r="D1779" i="229" s="1"/>
  <c r="I1362" i="229"/>
  <c r="J1362" i="229" s="1"/>
  <c r="I520" i="288"/>
  <c r="J520" i="288" s="1"/>
  <c r="J529" i="288" s="1"/>
  <c r="C3576" i="229"/>
  <c r="D3576" i="229" s="1"/>
  <c r="I75" i="229"/>
  <c r="J75" i="229" s="1"/>
  <c r="J86" i="229" s="1"/>
  <c r="C2564" i="229"/>
  <c r="D2564" i="229" s="1"/>
  <c r="C3189" i="288"/>
  <c r="D3189" i="288" s="1"/>
  <c r="C2563" i="229"/>
  <c r="D2563" i="229" s="1"/>
  <c r="C1207" i="288"/>
  <c r="D1207" i="288" s="1"/>
  <c r="C194" i="229"/>
  <c r="D194" i="229" s="1"/>
  <c r="C2173" i="288"/>
  <c r="D2173" i="288" s="1"/>
  <c r="D2182" i="288" s="1"/>
  <c r="I2336" i="229"/>
  <c r="J2336" i="229" s="1"/>
  <c r="I570" i="229"/>
  <c r="J570" i="229" s="1"/>
  <c r="C2743" i="288"/>
  <c r="D2743" i="288" s="1"/>
  <c r="D2752" i="288" s="1"/>
  <c r="I3266" i="229"/>
  <c r="J3266" i="229" s="1"/>
  <c r="C1508" i="288"/>
  <c r="D1508" i="288" s="1"/>
  <c r="D1509" i="288" s="1"/>
  <c r="C3417" i="229"/>
  <c r="D3417" i="229" s="1"/>
  <c r="C1010" i="229"/>
  <c r="D1010" i="229" s="1"/>
  <c r="I3543" i="229"/>
  <c r="J3543" i="229" s="1"/>
  <c r="I59" i="229"/>
  <c r="J59" i="229" s="1"/>
  <c r="I1462" i="288"/>
  <c r="J1462" i="288" s="1"/>
  <c r="C130" i="229"/>
  <c r="D130" i="229" s="1"/>
  <c r="D141" i="229" s="1"/>
  <c r="I3127" i="288"/>
  <c r="J3127" i="288" s="1"/>
  <c r="J3137" i="288" s="1"/>
  <c r="I3068" i="288"/>
  <c r="J3068" i="288" s="1"/>
  <c r="C736" i="288"/>
  <c r="D736" i="288" s="1"/>
  <c r="I3282" i="229"/>
  <c r="J3282" i="229" s="1"/>
  <c r="C2902" i="288"/>
  <c r="D2902" i="288" s="1"/>
  <c r="I1804" i="288"/>
  <c r="J1804" i="288" s="1"/>
  <c r="I730" i="229"/>
  <c r="J730" i="229" s="1"/>
  <c r="I1314" i="229"/>
  <c r="J1314" i="229" s="1"/>
  <c r="C2089" i="229"/>
  <c r="D2089" i="229" s="1"/>
  <c r="D2100" i="229" s="1"/>
  <c r="I1806" i="229"/>
  <c r="J1806" i="229" s="1"/>
  <c r="C2385" i="229"/>
  <c r="D2385" i="229" s="1"/>
  <c r="C1293" i="288"/>
  <c r="D1293" i="288" s="1"/>
  <c r="C2647" i="288"/>
  <c r="D2647" i="288" s="1"/>
  <c r="I1021" i="288"/>
  <c r="J1021" i="288" s="1"/>
  <c r="R23" i="258"/>
  <c r="I1543" i="229"/>
  <c r="J1543" i="229" s="1"/>
  <c r="I744" i="229"/>
  <c r="J744" i="229" s="1"/>
  <c r="J755" i="229" s="1"/>
  <c r="C2544" i="288"/>
  <c r="D2544" i="288" s="1"/>
  <c r="D2553" i="288" s="1"/>
  <c r="I2944" i="288"/>
  <c r="J2944" i="288" s="1"/>
  <c r="J2954" i="288" s="1"/>
  <c r="I691" i="288"/>
  <c r="J691" i="288" s="1"/>
  <c r="J700" i="288" s="1"/>
  <c r="I97" i="229"/>
  <c r="J97" i="229" s="1"/>
  <c r="I1934" i="288"/>
  <c r="J1934" i="288" s="1"/>
  <c r="I2320" i="229"/>
  <c r="J2320" i="229" s="1"/>
  <c r="I1150" i="288"/>
  <c r="J1150" i="288" s="1"/>
  <c r="I620" i="229"/>
  <c r="J620" i="229" s="1"/>
  <c r="C863" i="288"/>
  <c r="D863" i="288" s="1"/>
  <c r="C87" i="288"/>
  <c r="D87" i="288" s="1"/>
  <c r="C1205" i="288"/>
  <c r="D1205" i="288" s="1"/>
  <c r="C2246" i="288"/>
  <c r="D2246" i="288" s="1"/>
  <c r="C2290" i="288"/>
  <c r="D2290" i="288" s="1"/>
  <c r="C587" i="229"/>
  <c r="D587" i="229" s="1"/>
  <c r="I1848" i="288"/>
  <c r="J1848" i="288" s="1"/>
  <c r="I2021" i="288"/>
  <c r="J2021" i="288" s="1"/>
  <c r="J2022" i="288" s="1"/>
  <c r="C701" i="229"/>
  <c r="D701" i="229" s="1"/>
  <c r="I3252" i="229"/>
  <c r="J3252" i="229" s="1"/>
  <c r="I1949" i="288"/>
  <c r="J1949" i="288" s="1"/>
  <c r="J1950" i="288" s="1"/>
  <c r="C3057" i="229"/>
  <c r="D3057" i="229" s="1"/>
  <c r="I3507" i="229"/>
  <c r="J3507" i="229" s="1"/>
  <c r="C1493" i="288"/>
  <c r="D1493" i="288" s="1"/>
  <c r="D1494" i="288" s="1"/>
  <c r="I1493" i="229"/>
  <c r="J1493" i="229" s="1"/>
  <c r="C1817" i="229"/>
  <c r="D1817" i="229" s="1"/>
  <c r="I1436" i="288"/>
  <c r="J1436" i="288" s="1"/>
  <c r="J1437" i="288" s="1"/>
  <c r="C1139" i="229"/>
  <c r="D1139" i="229" s="1"/>
  <c r="I61" i="229"/>
  <c r="J61" i="229" s="1"/>
  <c r="C1752" i="229"/>
  <c r="D1752" i="229" s="1"/>
  <c r="I1234" i="229"/>
  <c r="J1234" i="229" s="1"/>
  <c r="C1849" i="288"/>
  <c r="D1849" i="288" s="1"/>
  <c r="I3365" i="229"/>
  <c r="J3365" i="229" s="1"/>
  <c r="I2156" i="229"/>
  <c r="J2156" i="229" s="1"/>
  <c r="C2497" i="229"/>
  <c r="D2497" i="229" s="1"/>
  <c r="C3103" i="229"/>
  <c r="D3103" i="229" s="1"/>
  <c r="C257" i="229"/>
  <c r="D257" i="229" s="1"/>
  <c r="Y14" i="263"/>
  <c r="Y21" i="263" s="1"/>
  <c r="I2452" i="229"/>
  <c r="J2452" i="229" s="1"/>
  <c r="I2140" i="229"/>
  <c r="J2140" i="229" s="1"/>
  <c r="C1251" i="229"/>
  <c r="D1251" i="229" s="1"/>
  <c r="C2617" i="288"/>
  <c r="D2617" i="288" s="1"/>
  <c r="I1773" i="229"/>
  <c r="J1773" i="229" s="1"/>
  <c r="S14" i="265"/>
  <c r="S99" i="265" s="1"/>
  <c r="C1930" i="229"/>
  <c r="D1930" i="229" s="1"/>
  <c r="I1549" i="288"/>
  <c r="J1549" i="288" s="1"/>
  <c r="C3351" i="288"/>
  <c r="D3351" i="288" s="1"/>
  <c r="I3574" i="229"/>
  <c r="J3574" i="229" s="1"/>
  <c r="I1449" i="229"/>
  <c r="J1449" i="229" s="1"/>
  <c r="C1633" i="288"/>
  <c r="D1633" i="288" s="1"/>
  <c r="C1544" i="229"/>
  <c r="D1544" i="229" s="1"/>
  <c r="C2368" i="229"/>
  <c r="D2368" i="229" s="1"/>
  <c r="I2549" i="229"/>
  <c r="J2549" i="229" s="1"/>
  <c r="I3825" i="229"/>
  <c r="J3825" i="229" s="1"/>
  <c r="I2029" i="229"/>
  <c r="J2029" i="229" s="1"/>
  <c r="C2075" i="229"/>
  <c r="D2075" i="229" s="1"/>
  <c r="C1948" i="229"/>
  <c r="D1948" i="229" s="1"/>
  <c r="I1107" i="229"/>
  <c r="J1107" i="229" s="1"/>
  <c r="C2077" i="229"/>
  <c r="D2077" i="229" s="1"/>
  <c r="I3643" i="229"/>
  <c r="J3643" i="229" s="1"/>
  <c r="C3457" i="229"/>
  <c r="D3457" i="229" s="1"/>
  <c r="C6" i="229"/>
  <c r="D6" i="229" s="1"/>
  <c r="C3007" i="288"/>
  <c r="D3007" i="288" s="1"/>
  <c r="C2416" i="229"/>
  <c r="D2416" i="229" s="1"/>
  <c r="C474" i="229"/>
  <c r="D474" i="229" s="1"/>
  <c r="C1773" i="229"/>
  <c r="D1773" i="229" s="1"/>
  <c r="C64" i="229"/>
  <c r="D64" i="229" s="1"/>
  <c r="I2385" i="229"/>
  <c r="J2385" i="229" s="1"/>
  <c r="I2680" i="229"/>
  <c r="J2680" i="229" s="1"/>
  <c r="C3175" i="288"/>
  <c r="D3175" i="288" s="1"/>
  <c r="I2046" i="229"/>
  <c r="J2046" i="229" s="1"/>
  <c r="I977" i="229"/>
  <c r="J977" i="229" s="1"/>
  <c r="I3592" i="229"/>
  <c r="J3592" i="229" s="1"/>
  <c r="C447" i="229"/>
  <c r="D447" i="229" s="1"/>
  <c r="I893" i="229"/>
  <c r="J893" i="229" s="1"/>
  <c r="I197" i="288"/>
  <c r="J197" i="288" s="1"/>
  <c r="J198" i="288" s="1"/>
  <c r="I1721" i="288"/>
  <c r="J1721" i="288" s="1"/>
  <c r="J1722" i="288" s="1"/>
  <c r="I325" i="229"/>
  <c r="J325" i="229" s="1"/>
  <c r="I3251" i="229"/>
  <c r="J3251" i="229" s="1"/>
  <c r="I3198" i="229"/>
  <c r="J3198" i="229" s="1"/>
  <c r="I3611" i="229"/>
  <c r="J3611" i="229" s="1"/>
  <c r="C740" i="328"/>
  <c r="C3056" i="229"/>
  <c r="D3056" i="229" s="1"/>
  <c r="C878" i="288"/>
  <c r="D878" i="288" s="1"/>
  <c r="C2335" i="229"/>
  <c r="D2335" i="229" s="1"/>
  <c r="C2402" i="229"/>
  <c r="D2402" i="229" s="1"/>
  <c r="C744" i="229"/>
  <c r="D744" i="229" s="1"/>
  <c r="D755" i="229" s="1"/>
  <c r="I877" i="229"/>
  <c r="J877" i="229" s="1"/>
  <c r="I2032" i="288"/>
  <c r="J2032" i="288" s="1"/>
  <c r="C2973" i="229"/>
  <c r="D2973" i="229" s="1"/>
  <c r="C1421" i="288"/>
  <c r="D1421" i="288" s="1"/>
  <c r="C3230" i="229"/>
  <c r="D3230" i="229" s="1"/>
  <c r="C2992" i="229"/>
  <c r="D2992" i="229" s="1"/>
  <c r="C1806" i="229"/>
  <c r="D1806" i="229" s="1"/>
  <c r="C1676" i="288"/>
  <c r="D1676" i="288" s="1"/>
  <c r="C1495" i="229"/>
  <c r="D1495" i="229" s="1"/>
  <c r="I2319" i="229"/>
  <c r="J2319" i="229" s="1"/>
  <c r="C1170" i="229"/>
  <c r="D1170" i="229" s="1"/>
  <c r="C2477" i="288"/>
  <c r="D2477" i="288" s="1"/>
  <c r="D2478" i="288" s="1"/>
  <c r="C2058" i="229"/>
  <c r="D2058" i="229" s="1"/>
  <c r="I1981" i="229"/>
  <c r="J1981" i="229" s="1"/>
  <c r="I615" i="229"/>
  <c r="J615" i="229" s="1"/>
  <c r="C2061" i="229"/>
  <c r="D2061" i="229" s="1"/>
  <c r="I243" i="229"/>
  <c r="J243" i="229" s="1"/>
  <c r="I3233" i="288"/>
  <c r="J3233" i="288" s="1"/>
  <c r="I1818" i="288"/>
  <c r="J1818" i="288" s="1"/>
  <c r="I3721" i="229"/>
  <c r="J3721" i="229" s="1"/>
  <c r="C2777" i="229"/>
  <c r="D2777" i="229" s="1"/>
  <c r="C877" i="288"/>
  <c r="D877" i="288" s="1"/>
  <c r="D886" i="288" s="1"/>
  <c r="C1978" i="229"/>
  <c r="D1978" i="229" s="1"/>
  <c r="C1090" i="229"/>
  <c r="D1090" i="229" s="1"/>
  <c r="C1020" i="229"/>
  <c r="D1020" i="229" s="1"/>
  <c r="D1031" i="229" s="1"/>
  <c r="C2732" i="288"/>
  <c r="D2732" i="288" s="1"/>
  <c r="C990" i="229"/>
  <c r="D990" i="229" s="1"/>
  <c r="I114" i="229"/>
  <c r="J114" i="229" s="1"/>
  <c r="J125" i="229" s="1"/>
  <c r="I1479" i="288"/>
  <c r="J1479" i="288" s="1"/>
  <c r="J1480" i="288" s="1"/>
  <c r="C651" i="288"/>
  <c r="D651" i="288" s="1"/>
  <c r="I2746" i="288"/>
  <c r="J2746" i="288" s="1"/>
  <c r="I3283" i="229"/>
  <c r="J3283" i="229" s="1"/>
  <c r="C763" i="229"/>
  <c r="D763" i="229" s="1"/>
  <c r="I1366" i="229"/>
  <c r="J1366" i="229" s="1"/>
  <c r="I1034" i="288"/>
  <c r="J1034" i="288" s="1"/>
  <c r="C1536" i="288"/>
  <c r="D1536" i="288" s="1"/>
  <c r="D1537" i="288" s="1"/>
  <c r="C1915" i="229"/>
  <c r="D1915" i="229" s="1"/>
  <c r="C3661" i="229"/>
  <c r="D3661" i="229" s="1"/>
  <c r="I1790" i="288"/>
  <c r="J1790" i="288" s="1"/>
  <c r="I3607" i="229"/>
  <c r="J3607" i="229" s="1"/>
  <c r="I1720" i="288"/>
  <c r="J1720" i="288" s="1"/>
  <c r="I994" i="288"/>
  <c r="J994" i="288" s="1"/>
  <c r="I663" i="229"/>
  <c r="J663" i="229" s="1"/>
  <c r="J674" i="229" s="1"/>
  <c r="I523" i="288"/>
  <c r="J523" i="288" s="1"/>
  <c r="C197" i="288"/>
  <c r="D197" i="288" s="1"/>
  <c r="D198" i="288" s="1"/>
  <c r="C2110" i="229"/>
  <c r="D2110" i="229" s="1"/>
  <c r="C1562" i="229"/>
  <c r="D1562" i="229" s="1"/>
  <c r="I831" i="229"/>
  <c r="J831" i="229" s="1"/>
  <c r="I2910" i="229"/>
  <c r="J2910" i="229" s="1"/>
  <c r="I3385" i="229"/>
  <c r="J3385" i="229" s="1"/>
  <c r="I3335" i="288"/>
  <c r="J3335" i="288" s="1"/>
  <c r="I2467" i="229"/>
  <c r="J2467" i="229" s="1"/>
  <c r="C711" i="229"/>
  <c r="D711" i="229" s="1"/>
  <c r="D722" i="229" s="1"/>
  <c r="I3414" i="229"/>
  <c r="J3414" i="229" s="1"/>
  <c r="J3426" i="229" s="1"/>
  <c r="C3485" i="229"/>
  <c r="D3485" i="229" s="1"/>
  <c r="I2158" i="229"/>
  <c r="J2158" i="229" s="1"/>
  <c r="I88" i="288"/>
  <c r="J88" i="288" s="1"/>
  <c r="I3189" i="288"/>
  <c r="J3189" i="288" s="1"/>
  <c r="C1462" i="229"/>
  <c r="D1462" i="229" s="1"/>
  <c r="I1978" i="229"/>
  <c r="J1978" i="229" s="1"/>
  <c r="I96" i="229"/>
  <c r="J96" i="229" s="1"/>
  <c r="I1578" i="229"/>
  <c r="J1578" i="229" s="1"/>
  <c r="I701" i="229"/>
  <c r="J701" i="229" s="1"/>
  <c r="I810" i="229"/>
  <c r="J810" i="229" s="1"/>
  <c r="I651" i="288"/>
  <c r="J651" i="288" s="1"/>
  <c r="I3115" i="288"/>
  <c r="J3115" i="288" s="1"/>
  <c r="C1152" i="229"/>
  <c r="D1152" i="229" s="1"/>
  <c r="I1754" i="229"/>
  <c r="J1754" i="229" s="1"/>
  <c r="C829" i="229"/>
  <c r="D829" i="229" s="1"/>
  <c r="I3438" i="229"/>
  <c r="J3438" i="229" s="1"/>
  <c r="I23" i="288"/>
  <c r="J23" i="288" s="1"/>
  <c r="C1451" i="288"/>
  <c r="D1451" i="288" s="1"/>
  <c r="D1452" i="288" s="1"/>
  <c r="I669" i="229"/>
  <c r="J669" i="229" s="1"/>
  <c r="C95" i="229"/>
  <c r="D95" i="229" s="1"/>
  <c r="I3335" i="229"/>
  <c r="J3335" i="229" s="1"/>
  <c r="C3710" i="229"/>
  <c r="D3710" i="229" s="1"/>
  <c r="C2191" i="229"/>
  <c r="D2191" i="229" s="1"/>
  <c r="I847" i="229"/>
  <c r="J847" i="229" s="1"/>
  <c r="C1720" i="229"/>
  <c r="D1720" i="229" s="1"/>
  <c r="I2390" i="288"/>
  <c r="J2390" i="288" s="1"/>
  <c r="I1703" i="229"/>
  <c r="J1703" i="229" s="1"/>
  <c r="J1714" i="229" s="1"/>
  <c r="C2796" i="229"/>
  <c r="D2796" i="229" s="1"/>
  <c r="C3792" i="229"/>
  <c r="D3792" i="229" s="1"/>
  <c r="C308" i="229"/>
  <c r="D308" i="229" s="1"/>
  <c r="I960" i="229"/>
  <c r="J960" i="229" s="1"/>
  <c r="C2270" i="229"/>
  <c r="D2270" i="229" s="1"/>
  <c r="C2044" i="229"/>
  <c r="D2044" i="229" s="1"/>
  <c r="C1757" i="229"/>
  <c r="D1757" i="229" s="1"/>
  <c r="I3264" i="288"/>
  <c r="J3264" i="288" s="1"/>
  <c r="I593" i="288"/>
  <c r="J593" i="288" s="1"/>
  <c r="C838" i="288"/>
  <c r="D838" i="288" s="1"/>
  <c r="D839" i="288" s="1"/>
  <c r="I3057" i="229"/>
  <c r="J3057" i="229" s="1"/>
  <c r="I664" i="288"/>
  <c r="J664" i="288" s="1"/>
  <c r="I3175" i="288"/>
  <c r="J3175" i="288" s="1"/>
  <c r="C2827" i="229"/>
  <c r="D2827" i="229" s="1"/>
  <c r="C1558" i="229"/>
  <c r="D1558" i="229" s="1"/>
  <c r="C3611" i="229"/>
  <c r="D3611" i="229" s="1"/>
  <c r="C1579" i="288"/>
  <c r="D1579" i="288" s="1"/>
  <c r="D1580" i="288" s="1"/>
  <c r="C706" i="288"/>
  <c r="D706" i="288" s="1"/>
  <c r="D715" i="288" s="1"/>
  <c r="I2516" i="229"/>
  <c r="J2516" i="229" s="1"/>
  <c r="R67" i="265"/>
  <c r="C1123" i="288"/>
  <c r="D1123" i="288" s="1"/>
  <c r="D1124" i="288" s="1"/>
  <c r="I1677" i="288"/>
  <c r="J1677" i="288" s="1"/>
  <c r="C2619" i="288"/>
  <c r="D2619" i="288" s="1"/>
  <c r="D2620" i="288" s="1"/>
  <c r="C2505" i="288"/>
  <c r="D2505" i="288" s="1"/>
  <c r="D2506" i="288" s="1"/>
  <c r="I2531" i="288"/>
  <c r="J2531" i="288" s="1"/>
  <c r="C1414" i="229"/>
  <c r="D1414" i="229" s="1"/>
  <c r="I3522" i="229"/>
  <c r="J3522" i="229" s="1"/>
  <c r="C1946" i="288"/>
  <c r="D1946" i="288" s="1"/>
  <c r="C3756" i="229"/>
  <c r="D3756" i="229" s="1"/>
  <c r="I1396" i="229"/>
  <c r="J1396" i="229" s="1"/>
  <c r="I3054" i="229"/>
  <c r="J3054" i="229" s="1"/>
  <c r="I2490" i="288"/>
  <c r="J2490" i="288" s="1"/>
  <c r="C1087" i="229"/>
  <c r="D1087" i="229" s="1"/>
  <c r="I974" i="229"/>
  <c r="J974" i="229" s="1"/>
  <c r="C2452" i="229"/>
  <c r="D2452" i="229" s="1"/>
  <c r="C2658" i="288"/>
  <c r="D2658" i="288" s="1"/>
  <c r="D2667" i="288" s="1"/>
  <c r="C2217" i="288"/>
  <c r="D2217" i="288" s="1"/>
  <c r="I2830" i="288"/>
  <c r="J2830" i="288" s="1"/>
  <c r="I3010" i="288"/>
  <c r="J3010" i="288" s="1"/>
  <c r="J3011" i="288" s="1"/>
  <c r="C552" i="288"/>
  <c r="D552" i="288" s="1"/>
  <c r="I3824" i="229"/>
  <c r="J3824" i="229" s="1"/>
  <c r="C2995" i="288"/>
  <c r="D2995" i="288" s="1"/>
  <c r="D2996" i="288" s="1"/>
  <c r="I322" i="229"/>
  <c r="J322" i="229" s="1"/>
  <c r="C615" i="229"/>
  <c r="D615" i="229" s="1"/>
  <c r="C2490" i="288"/>
  <c r="D2490" i="288" s="1"/>
  <c r="I2134" i="288"/>
  <c r="J2134" i="288" s="1"/>
  <c r="C2944" i="288"/>
  <c r="D2944" i="288" s="1"/>
  <c r="D2954" i="288" s="1"/>
  <c r="I2544" i="288"/>
  <c r="J2544" i="288" s="1"/>
  <c r="C3535" i="229"/>
  <c r="D3535" i="229" s="1"/>
  <c r="D3547" i="229" s="1"/>
  <c r="I1463" i="229"/>
  <c r="J1463" i="229" s="1"/>
  <c r="I1347" i="288"/>
  <c r="J1347" i="288" s="1"/>
  <c r="J1356" i="288" s="1"/>
  <c r="C1394" i="288"/>
  <c r="D1394" i="288" s="1"/>
  <c r="D1395" i="288" s="1"/>
  <c r="C1477" i="229"/>
  <c r="D1477" i="229" s="1"/>
  <c r="C3719" i="229"/>
  <c r="D3719" i="229" s="1"/>
  <c r="D3731" i="229" s="1"/>
  <c r="C3827" i="229"/>
  <c r="D3827" i="229" s="1"/>
  <c r="I1833" i="229"/>
  <c r="J1833" i="229" s="1"/>
  <c r="J1844" i="229" s="1"/>
  <c r="I2501" i="288"/>
  <c r="J2501" i="288" s="1"/>
  <c r="J2510" i="288" s="1"/>
  <c r="I978" i="288"/>
  <c r="J978" i="288" s="1"/>
  <c r="C173" i="229"/>
  <c r="D173" i="229" s="1"/>
  <c r="D184" i="229" s="1"/>
  <c r="C3230" i="288"/>
  <c r="D3230" i="288" s="1"/>
  <c r="D3240" i="288" s="1"/>
  <c r="C2434" i="288"/>
  <c r="D2434" i="288" s="1"/>
  <c r="D2435" i="288" s="1"/>
  <c r="C3085" i="288"/>
  <c r="D3085" i="288" s="1"/>
  <c r="I742" i="328"/>
  <c r="K742" i="328" s="1"/>
  <c r="I3307" i="288"/>
  <c r="J3307" i="288" s="1"/>
  <c r="C603" i="229"/>
  <c r="D603" i="229" s="1"/>
  <c r="I1078" i="288"/>
  <c r="J1078" i="288" s="1"/>
  <c r="I2463" i="229"/>
  <c r="J2463" i="229" s="1"/>
  <c r="C806" i="288"/>
  <c r="D806" i="288" s="1"/>
  <c r="C1542" i="229"/>
  <c r="D1542" i="229" s="1"/>
  <c r="C3104" i="229"/>
  <c r="D3104" i="229" s="1"/>
  <c r="C517" i="229"/>
  <c r="D517" i="229" s="1"/>
  <c r="C2123" i="229"/>
  <c r="D2123" i="229" s="1"/>
  <c r="C6" i="288"/>
  <c r="D6" i="288" s="1"/>
  <c r="C1086" i="229"/>
  <c r="D1086" i="229" s="1"/>
  <c r="I3037" i="229"/>
  <c r="J3037" i="229" s="1"/>
  <c r="I1086" i="229"/>
  <c r="J1086" i="229" s="1"/>
  <c r="C1048" i="288"/>
  <c r="D1048" i="288" s="1"/>
  <c r="D1057" i="288" s="1"/>
  <c r="I2274" i="288"/>
  <c r="J2274" i="288" s="1"/>
  <c r="I2030" i="229"/>
  <c r="J2030" i="229" s="1"/>
  <c r="I3821" i="229"/>
  <c r="J3821" i="229" s="1"/>
  <c r="C1512" i="229"/>
  <c r="D1512" i="229" s="1"/>
  <c r="I1421" i="288"/>
  <c r="J1421" i="288" s="1"/>
  <c r="I3333" i="229"/>
  <c r="J3333" i="229" s="1"/>
  <c r="C2224" i="229"/>
  <c r="D2224" i="229" s="1"/>
  <c r="C3775" i="229"/>
  <c r="D3775" i="229" s="1"/>
  <c r="C2158" i="229"/>
  <c r="D2158" i="229" s="1"/>
  <c r="I722" i="288"/>
  <c r="J722" i="288" s="1"/>
  <c r="I782" i="229"/>
  <c r="J782" i="229" s="1"/>
  <c r="I895" i="288"/>
  <c r="J895" i="288" s="1"/>
  <c r="J896" i="288" s="1"/>
  <c r="I1738" i="229"/>
  <c r="J1738" i="229" s="1"/>
  <c r="C2008" i="229"/>
  <c r="D2008" i="229" s="1"/>
  <c r="C72" i="288"/>
  <c r="D72" i="288" s="1"/>
  <c r="C679" i="288"/>
  <c r="D679" i="288" s="1"/>
  <c r="I3007" i="229"/>
  <c r="J3007" i="229" s="1"/>
  <c r="I3610" i="229"/>
  <c r="J3610" i="229" s="1"/>
  <c r="C1789" i="229"/>
  <c r="D1789" i="229" s="1"/>
  <c r="C3137" i="229"/>
  <c r="D3137" i="229" s="1"/>
  <c r="C336" i="229"/>
  <c r="D336" i="229" s="1"/>
  <c r="C795" i="288"/>
  <c r="D795" i="288" s="1"/>
  <c r="D796" i="288" s="1"/>
  <c r="C354" i="229"/>
  <c r="D354" i="229" s="1"/>
  <c r="I2415" i="229"/>
  <c r="J2415" i="229" s="1"/>
  <c r="I2818" i="288"/>
  <c r="J2818" i="288" s="1"/>
  <c r="I305" i="229"/>
  <c r="J305" i="229" s="1"/>
  <c r="C148" i="229"/>
  <c r="D148" i="229" s="1"/>
  <c r="C2728" i="229"/>
  <c r="D2728" i="229" s="1"/>
  <c r="I2371" i="229"/>
  <c r="J2371" i="229" s="1"/>
  <c r="I766" i="229"/>
  <c r="J766" i="229" s="1"/>
  <c r="I1564" i="288"/>
  <c r="J1564" i="288" s="1"/>
  <c r="C1965" i="229"/>
  <c r="D1965" i="229" s="1"/>
  <c r="C1079" i="288"/>
  <c r="D1079" i="288" s="1"/>
  <c r="I3365" i="288"/>
  <c r="J3365" i="288" s="1"/>
  <c r="I1496" i="229"/>
  <c r="J1496" i="229" s="1"/>
  <c r="I55" i="288"/>
  <c r="J55" i="288" s="1"/>
  <c r="C893" i="229"/>
  <c r="D893" i="229" s="1"/>
  <c r="C2218" i="288"/>
  <c r="D2218" i="288" s="1"/>
  <c r="C937" i="288"/>
  <c r="D937" i="288" s="1"/>
  <c r="C3437" i="229"/>
  <c r="D3437" i="229" s="1"/>
  <c r="I2077" i="288"/>
  <c r="J2077" i="288" s="1"/>
  <c r="I851" i="288"/>
  <c r="J851" i="288" s="1"/>
  <c r="I716" i="229"/>
  <c r="J716" i="229" s="1"/>
  <c r="C566" i="288"/>
  <c r="D566" i="288" s="1"/>
  <c r="C536" i="229"/>
  <c r="D536" i="229" s="1"/>
  <c r="I208" i="229"/>
  <c r="J208" i="229" s="1"/>
  <c r="C1136" i="288"/>
  <c r="D1136" i="288" s="1"/>
  <c r="I3135" i="229"/>
  <c r="J3135" i="229" s="1"/>
  <c r="I2797" i="229"/>
  <c r="J2797" i="229" s="1"/>
  <c r="C2239" i="229"/>
  <c r="D2239" i="229" s="1"/>
  <c r="C3267" i="229"/>
  <c r="D3267" i="229" s="1"/>
  <c r="C240" i="229"/>
  <c r="D240" i="229" s="1"/>
  <c r="I1072" i="229"/>
  <c r="J1072" i="229" s="1"/>
  <c r="I1122" i="288"/>
  <c r="J1122" i="288" s="1"/>
  <c r="I3491" i="229"/>
  <c r="J3491" i="229" s="1"/>
  <c r="I1904" i="288"/>
  <c r="J1904" i="288" s="1"/>
  <c r="I693" i="288"/>
  <c r="J693" i="288" s="1"/>
  <c r="C1520" i="288"/>
  <c r="D1520" i="288" s="1"/>
  <c r="I3154" i="229"/>
  <c r="J3154" i="229" s="1"/>
  <c r="I1975" i="288"/>
  <c r="J1975" i="288" s="1"/>
  <c r="C1367" i="229"/>
  <c r="D1367" i="229" s="1"/>
  <c r="I2873" i="229"/>
  <c r="J2873" i="229" s="1"/>
  <c r="I1221" i="229"/>
  <c r="J1221" i="229" s="1"/>
  <c r="I2547" i="288"/>
  <c r="J2547" i="288" s="1"/>
  <c r="C3844" i="229"/>
  <c r="D3844" i="229" s="1"/>
  <c r="I76" i="229"/>
  <c r="J76" i="229" s="1"/>
  <c r="C1221" i="229"/>
  <c r="D1221" i="229" s="1"/>
  <c r="I1991" i="288"/>
  <c r="J1991" i="288" s="1"/>
  <c r="C1610" i="229"/>
  <c r="D1610" i="229" s="1"/>
  <c r="C2485" i="229"/>
  <c r="D2485" i="229" s="1"/>
  <c r="C1802" i="229"/>
  <c r="D1802" i="229" s="1"/>
  <c r="C2090" i="288"/>
  <c r="D2090" i="288" s="1"/>
  <c r="C259" i="229"/>
  <c r="D259" i="229" s="1"/>
  <c r="I944" i="229"/>
  <c r="J944" i="229" s="1"/>
  <c r="I1774" i="229"/>
  <c r="J1774" i="229" s="1"/>
  <c r="C698" i="229"/>
  <c r="D698" i="229" s="1"/>
  <c r="C2148" i="288"/>
  <c r="D2148" i="288" s="1"/>
  <c r="C2106" i="229"/>
  <c r="D2106" i="229" s="1"/>
  <c r="C2176" i="288"/>
  <c r="D2176" i="288" s="1"/>
  <c r="C1055" i="229"/>
  <c r="D1055" i="229" s="1"/>
  <c r="I747" i="229"/>
  <c r="J747" i="229" s="1"/>
  <c r="I2762" i="288"/>
  <c r="J2762" i="288" s="1"/>
  <c r="J2763" i="288" s="1"/>
  <c r="C2703" i="288"/>
  <c r="D2703" i="288" s="1"/>
  <c r="C3540" i="229"/>
  <c r="D3540" i="229" s="1"/>
  <c r="C2779" i="229"/>
  <c r="D2779" i="229" s="1"/>
  <c r="C1122" i="229"/>
  <c r="D1122" i="229" s="1"/>
  <c r="I733" i="229"/>
  <c r="J733" i="229" s="1"/>
  <c r="C2143" i="229"/>
  <c r="D2143" i="229" s="1"/>
  <c r="C2632" i="288"/>
  <c r="D2632" i="288" s="1"/>
  <c r="I222" i="229"/>
  <c r="J222" i="229" s="1"/>
  <c r="J233" i="229" s="1"/>
  <c r="I1202" i="229"/>
  <c r="J1202" i="229" s="1"/>
  <c r="I3319" i="229"/>
  <c r="J3319" i="229" s="1"/>
  <c r="C777" i="288"/>
  <c r="D777" i="288" s="1"/>
  <c r="D786" i="288" s="1"/>
  <c r="I1511" i="229"/>
  <c r="J1511" i="229" s="1"/>
  <c r="I2481" i="229"/>
  <c r="J2481" i="229" s="1"/>
  <c r="I1724" i="229"/>
  <c r="J1724" i="229" s="1"/>
  <c r="C2030" i="229"/>
  <c r="D2030" i="229" s="1"/>
  <c r="I2078" i="229"/>
  <c r="J2078" i="229" s="1"/>
  <c r="C1945" i="229"/>
  <c r="D1945" i="229" s="1"/>
  <c r="C3157" i="288"/>
  <c r="D3157" i="288" s="1"/>
  <c r="D3167" i="288" s="1"/>
  <c r="I38" i="229"/>
  <c r="J38" i="229" s="1"/>
  <c r="C1150" i="288"/>
  <c r="D1150" i="288" s="1"/>
  <c r="I451" i="288"/>
  <c r="J451" i="288" s="1"/>
  <c r="C2157" i="229"/>
  <c r="D2157" i="229" s="1"/>
  <c r="I837" i="288"/>
  <c r="J837" i="288" s="1"/>
  <c r="I2862" i="229"/>
  <c r="J2862" i="229" s="1"/>
  <c r="C292" i="229"/>
  <c r="D292" i="229" s="1"/>
  <c r="I487" i="229"/>
  <c r="J487" i="229" s="1"/>
  <c r="C3250" i="229"/>
  <c r="D3250" i="229" s="1"/>
  <c r="I2845" i="229"/>
  <c r="J2845" i="229" s="1"/>
  <c r="C2119" i="288"/>
  <c r="D2119" i="288" s="1"/>
  <c r="I760" i="229"/>
  <c r="J760" i="229" s="1"/>
  <c r="J771" i="229" s="1"/>
  <c r="C3388" i="229"/>
  <c r="D3388" i="229" s="1"/>
  <c r="I239" i="229"/>
  <c r="J239" i="229" s="1"/>
  <c r="C2859" i="229"/>
  <c r="D2859" i="229" s="1"/>
  <c r="I2276" i="288"/>
  <c r="J2276" i="288" s="1"/>
  <c r="I3661" i="229"/>
  <c r="J3661" i="229" s="1"/>
  <c r="I3572" i="229"/>
  <c r="J3572" i="229" s="1"/>
  <c r="I2351" i="229"/>
  <c r="J2351" i="229" s="1"/>
  <c r="I1495" i="229"/>
  <c r="J1495" i="229" s="1"/>
  <c r="C466" i="288"/>
  <c r="D466" i="288" s="1"/>
  <c r="I2815" i="288"/>
  <c r="J2815" i="288" s="1"/>
  <c r="J2824" i="288" s="1"/>
  <c r="I2246" i="288"/>
  <c r="J2246" i="288" s="1"/>
  <c r="C3151" i="229"/>
  <c r="D3151" i="229" s="1"/>
  <c r="I2352" i="229"/>
  <c r="J2352" i="229" s="1"/>
  <c r="C2991" i="288"/>
  <c r="D2991" i="288" s="1"/>
  <c r="C971" i="229"/>
  <c r="D971" i="229" s="1"/>
  <c r="D982" i="229" s="1"/>
  <c r="I1264" i="288"/>
  <c r="J1264" i="288" s="1"/>
  <c r="I1916" i="229"/>
  <c r="J1916" i="229" s="1"/>
  <c r="I3336" i="229"/>
  <c r="J3336" i="229" s="1"/>
  <c r="I2846" i="288"/>
  <c r="J2846" i="288" s="1"/>
  <c r="I813" i="229"/>
  <c r="J813" i="229" s="1"/>
  <c r="I1170" i="229"/>
  <c r="J1170" i="229" s="1"/>
  <c r="I1803" i="229"/>
  <c r="J1803" i="229" s="1"/>
  <c r="I2953" i="229"/>
  <c r="J2953" i="229" s="1"/>
  <c r="J2964" i="229" s="1"/>
  <c r="C1822" i="229"/>
  <c r="D1822" i="229" s="1"/>
  <c r="I2090" i="229"/>
  <c r="J2090" i="229" s="1"/>
  <c r="C912" i="229"/>
  <c r="D912" i="229" s="1"/>
  <c r="C2433" i="229"/>
  <c r="D2433" i="229" s="1"/>
  <c r="I2148" i="288"/>
  <c r="J2148" i="288" s="1"/>
  <c r="C2579" i="229"/>
  <c r="D2579" i="229" s="1"/>
  <c r="C823" i="288"/>
  <c r="D823" i="288" s="1"/>
  <c r="C1976" i="229"/>
  <c r="D1976" i="229" s="1"/>
  <c r="I3807" i="229"/>
  <c r="J3807" i="229" s="1"/>
  <c r="I2873" i="288"/>
  <c r="J2873" i="288" s="1"/>
  <c r="C2386" i="229"/>
  <c r="D2386" i="229" s="1"/>
  <c r="I1153" i="229"/>
  <c r="J1153" i="229" s="1"/>
  <c r="C489" i="229"/>
  <c r="D489" i="229" s="1"/>
  <c r="I3417" i="229"/>
  <c r="J3417" i="229" s="1"/>
  <c r="C2861" i="288"/>
  <c r="D2861" i="288" s="1"/>
  <c r="D2862" i="288" s="1"/>
  <c r="C2562" i="288"/>
  <c r="D2562" i="288" s="1"/>
  <c r="D2563" i="288" s="1"/>
  <c r="C2903" i="288"/>
  <c r="D2903" i="288" s="1"/>
  <c r="C824" i="288"/>
  <c r="D824" i="288" s="1"/>
  <c r="D825" i="288" s="1"/>
  <c r="I3323" i="288"/>
  <c r="J3323" i="288" s="1"/>
  <c r="J3324" i="288" s="1"/>
  <c r="C3675" i="229"/>
  <c r="D3675" i="229" s="1"/>
  <c r="I1850" i="288"/>
  <c r="J1850" i="288" s="1"/>
  <c r="J1851" i="288" s="1"/>
  <c r="I1962" i="229"/>
  <c r="J1962" i="229" s="1"/>
  <c r="C623" i="288"/>
  <c r="D623" i="288" s="1"/>
  <c r="C3365" i="288"/>
  <c r="D3365" i="288" s="1"/>
  <c r="C3054" i="288"/>
  <c r="D3054" i="288" s="1"/>
  <c r="C3522" i="229"/>
  <c r="D3522" i="229" s="1"/>
  <c r="I1492" i="229"/>
  <c r="J1492" i="229" s="1"/>
  <c r="I2758" i="288"/>
  <c r="J2758" i="288" s="1"/>
  <c r="J2767" i="288" s="1"/>
  <c r="I2485" i="229"/>
  <c r="J2485" i="229" s="1"/>
  <c r="C3422" i="229"/>
  <c r="D3422" i="229" s="1"/>
  <c r="C3035" i="229"/>
  <c r="D3035" i="229" s="1"/>
  <c r="I2238" i="229"/>
  <c r="J2238" i="229" s="1"/>
  <c r="I587" i="229"/>
  <c r="J587" i="229" s="1"/>
  <c r="I337" i="229"/>
  <c r="J337" i="229" s="1"/>
  <c r="C2664" i="229"/>
  <c r="D2664" i="229" s="1"/>
  <c r="C1560" i="229"/>
  <c r="D1560" i="229" s="1"/>
  <c r="C490" i="229"/>
  <c r="D490" i="229" s="1"/>
  <c r="C26" i="229"/>
  <c r="D26" i="229" s="1"/>
  <c r="I1304" i="288"/>
  <c r="J1304" i="288" s="1"/>
  <c r="J1313" i="288" s="1"/>
  <c r="C862" i="288"/>
  <c r="D862" i="288" s="1"/>
  <c r="D871" i="288" s="1"/>
  <c r="C1497" i="229"/>
  <c r="D1497" i="229" s="1"/>
  <c r="I3362" i="288"/>
  <c r="J3362" i="288" s="1"/>
  <c r="I3102" i="229"/>
  <c r="J3102" i="229" s="1"/>
  <c r="C3508" i="229"/>
  <c r="D3508" i="229" s="1"/>
  <c r="R78" i="264"/>
  <c r="R54" i="264"/>
  <c r="C3089" i="229"/>
  <c r="D3089" i="229" s="1"/>
  <c r="C805" i="288"/>
  <c r="D805" i="288" s="1"/>
  <c r="D814" i="288" s="1"/>
  <c r="I2269" i="229"/>
  <c r="J2269" i="229" s="1"/>
  <c r="I23" i="229"/>
  <c r="J23" i="229" s="1"/>
  <c r="I846" i="229"/>
  <c r="J846" i="229" s="1"/>
  <c r="C580" i="288"/>
  <c r="D580" i="288" s="1"/>
  <c r="C1103" i="229"/>
  <c r="D1103" i="229" s="1"/>
  <c r="I438" i="288"/>
  <c r="J438" i="288" s="1"/>
  <c r="I1792" i="288"/>
  <c r="J1792" i="288" s="1"/>
  <c r="I2362" i="288"/>
  <c r="J2362" i="288" s="1"/>
  <c r="C919" i="288"/>
  <c r="D919" i="288" s="1"/>
  <c r="D928" i="288" s="1"/>
  <c r="C3263" i="288"/>
  <c r="D3263" i="288" s="1"/>
  <c r="I2763" i="229"/>
  <c r="J2763" i="229" s="1"/>
  <c r="C1407" i="288"/>
  <c r="D1407" i="288" s="1"/>
  <c r="I682" i="229"/>
  <c r="J682" i="229" s="1"/>
  <c r="I103" i="288"/>
  <c r="J103" i="288" s="1"/>
  <c r="I3674" i="229"/>
  <c r="J3674" i="229" s="1"/>
  <c r="C3351" i="229"/>
  <c r="D3351" i="229" s="1"/>
  <c r="I259" i="229"/>
  <c r="J259" i="229" s="1"/>
  <c r="I2287" i="229"/>
  <c r="J2287" i="229" s="1"/>
  <c r="I2579" i="229"/>
  <c r="J2579" i="229" s="1"/>
  <c r="C2489" i="288"/>
  <c r="D2489" i="288" s="1"/>
  <c r="C1052" i="288"/>
  <c r="D1052" i="288" s="1"/>
  <c r="D1053" i="288" s="1"/>
  <c r="C1447" i="288"/>
  <c r="D1447" i="288" s="1"/>
  <c r="D1456" i="288" s="1"/>
  <c r="I1009" i="288"/>
  <c r="J1009" i="288" s="1"/>
  <c r="J1010" i="288" s="1"/>
  <c r="C2337" i="229"/>
  <c r="D2337" i="229" s="1"/>
  <c r="C503" i="229"/>
  <c r="D503" i="229" s="1"/>
  <c r="C994" i="288"/>
  <c r="D994" i="288" s="1"/>
  <c r="I2780" i="229"/>
  <c r="J2780" i="229" s="1"/>
  <c r="I740" i="328"/>
  <c r="C1093" i="288"/>
  <c r="D1093" i="288" s="1"/>
  <c r="C685" i="229"/>
  <c r="D685" i="229" s="1"/>
  <c r="I3541" i="229"/>
  <c r="J3541" i="229" s="1"/>
  <c r="C1348" i="229"/>
  <c r="D1348" i="229" s="1"/>
  <c r="C2810" i="229"/>
  <c r="D2810" i="229" s="1"/>
  <c r="C1410" i="229"/>
  <c r="D1410" i="229" s="1"/>
  <c r="I3083" i="229"/>
  <c r="J3083" i="229" s="1"/>
  <c r="J3094" i="229" s="1"/>
  <c r="I578" i="288"/>
  <c r="J578" i="288" s="1"/>
  <c r="C2240" i="229"/>
  <c r="D2240" i="229" s="1"/>
  <c r="C1364" i="288"/>
  <c r="D1364" i="288" s="1"/>
  <c r="I3432" i="229"/>
  <c r="J3432" i="229" s="1"/>
  <c r="I3248" i="288"/>
  <c r="J3248" i="288" s="1"/>
  <c r="I3120" i="229"/>
  <c r="J3120" i="229" s="1"/>
  <c r="C3806" i="229"/>
  <c r="D3806" i="229" s="1"/>
  <c r="I714" i="229"/>
  <c r="J714" i="229" s="1"/>
  <c r="C814" i="229"/>
  <c r="D814" i="229" s="1"/>
  <c r="I571" i="229"/>
  <c r="J571" i="229" s="1"/>
  <c r="C438" i="288"/>
  <c r="D438" i="288" s="1"/>
  <c r="C2683" i="229"/>
  <c r="D2683" i="229" s="1"/>
  <c r="I2959" i="229"/>
  <c r="J2959" i="229" s="1"/>
  <c r="I58" i="229"/>
  <c r="J58" i="229" s="1"/>
  <c r="J69" i="229" s="1"/>
  <c r="I292" i="229"/>
  <c r="J292" i="229" s="1"/>
  <c r="I176" i="229"/>
  <c r="J176" i="229" s="1"/>
  <c r="I2020" i="288"/>
  <c r="J2020" i="288" s="1"/>
  <c r="C175" i="229"/>
  <c r="D175" i="229" s="1"/>
  <c r="C2993" i="288"/>
  <c r="D2993" i="288" s="1"/>
  <c r="I2011" i="229"/>
  <c r="J2011" i="229" s="1"/>
  <c r="C1261" i="288"/>
  <c r="D1261" i="288" s="1"/>
  <c r="D1270" i="288" s="1"/>
  <c r="I2075" i="288"/>
  <c r="J2075" i="288" s="1"/>
  <c r="I1180" i="288"/>
  <c r="J1180" i="288" s="1"/>
  <c r="J1181" i="288" s="1"/>
  <c r="C3555" i="229"/>
  <c r="D3555" i="229" s="1"/>
  <c r="I509" i="288"/>
  <c r="J509" i="288" s="1"/>
  <c r="C3362" i="288"/>
  <c r="D3362" i="288" s="1"/>
  <c r="I192" i="229"/>
  <c r="J192" i="229" s="1"/>
  <c r="C1792" i="288"/>
  <c r="D1792" i="288" s="1"/>
  <c r="I484" i="229"/>
  <c r="J484" i="229" s="1"/>
  <c r="J495" i="229" s="1"/>
  <c r="I2224" i="229"/>
  <c r="J2224" i="229" s="1"/>
  <c r="C9" i="288"/>
  <c r="D9" i="288" s="1"/>
  <c r="C1546" i="229"/>
  <c r="D1546" i="229" s="1"/>
  <c r="I1706" i="288"/>
  <c r="J1706" i="288" s="1"/>
  <c r="C1071" i="229"/>
  <c r="D1071" i="229" s="1"/>
  <c r="C3158" i="288"/>
  <c r="D3158" i="288" s="1"/>
  <c r="I3038" i="288"/>
  <c r="J3038" i="288" s="1"/>
  <c r="I1398" i="229"/>
  <c r="J1398" i="229" s="1"/>
  <c r="C1331" i="229"/>
  <c r="D1331" i="229" s="1"/>
  <c r="I595" i="288"/>
  <c r="J595" i="288" s="1"/>
  <c r="I225" i="229"/>
  <c r="J225" i="229" s="1"/>
  <c r="C1578" i="288"/>
  <c r="D1578" i="288" s="1"/>
  <c r="R35" i="265"/>
  <c r="C2689" i="288"/>
  <c r="D2689" i="288" s="1"/>
  <c r="I3593" i="229"/>
  <c r="J3593" i="229" s="1"/>
  <c r="C1335" i="229"/>
  <c r="D1335" i="229" s="1"/>
  <c r="I2632" i="288"/>
  <c r="J2632" i="288" s="1"/>
  <c r="I2581" i="229"/>
  <c r="J2581" i="229" s="1"/>
  <c r="I2891" i="229"/>
  <c r="J2891" i="229" s="1"/>
  <c r="C278" i="288"/>
  <c r="D278" i="288" s="1"/>
  <c r="D287" i="288" s="1"/>
  <c r="I1461" i="288"/>
  <c r="J1461" i="288" s="1"/>
  <c r="J1470" i="288" s="1"/>
  <c r="I1364" i="229"/>
  <c r="J1364" i="229" s="1"/>
  <c r="I2731" i="229"/>
  <c r="J2731" i="229" s="1"/>
  <c r="C2291" i="288"/>
  <c r="D2291" i="288" s="1"/>
  <c r="D2292" i="288" s="1"/>
  <c r="I1036" i="288"/>
  <c r="J1036" i="288" s="1"/>
  <c r="C2047" i="288"/>
  <c r="D2047" i="288" s="1"/>
  <c r="C1022" i="229"/>
  <c r="D1022" i="229" s="1"/>
  <c r="I1135" i="229"/>
  <c r="J1135" i="229" s="1"/>
  <c r="I205" i="229"/>
  <c r="J205" i="229" s="1"/>
  <c r="J216" i="229" s="1"/>
  <c r="I3170" i="229"/>
  <c r="J3170" i="229" s="1"/>
  <c r="I3052" i="288"/>
  <c r="J3052" i="288" s="1"/>
  <c r="C2917" i="288"/>
  <c r="D2917" i="288" s="1"/>
  <c r="I2435" i="229"/>
  <c r="J2435" i="229" s="1"/>
  <c r="C3385" i="229"/>
  <c r="D3385" i="229" s="1"/>
  <c r="R18" i="264"/>
  <c r="C2572" i="288"/>
  <c r="D2572" i="288" s="1"/>
  <c r="I723" i="328"/>
  <c r="R14" i="265"/>
  <c r="I880" i="288"/>
  <c r="J880" i="288" s="1"/>
  <c r="I1994" i="229"/>
  <c r="J1994" i="229" s="1"/>
  <c r="C2435" i="229"/>
  <c r="D2435" i="229" s="1"/>
  <c r="I453" i="288"/>
  <c r="J453" i="288" s="1"/>
  <c r="J454" i="288" s="1"/>
  <c r="C1124" i="229"/>
  <c r="D1124" i="229" s="1"/>
  <c r="C1285" i="229"/>
  <c r="D1285" i="229" s="1"/>
  <c r="I2575" i="288"/>
  <c r="J2575" i="288" s="1"/>
  <c r="C1785" i="229"/>
  <c r="D1785" i="229" s="1"/>
  <c r="I2270" i="229"/>
  <c r="J2270" i="229" s="1"/>
  <c r="I1897" i="229"/>
  <c r="J1897" i="229" s="1"/>
  <c r="C1155" i="229"/>
  <c r="D1155" i="229" s="1"/>
  <c r="C1533" i="288"/>
  <c r="D1533" i="288" s="1"/>
  <c r="C934" i="288"/>
  <c r="D934" i="288" s="1"/>
  <c r="D943" i="288" s="1"/>
  <c r="I2448" i="229"/>
  <c r="J2448" i="229" s="1"/>
  <c r="C3247" i="288"/>
  <c r="D3247" i="288" s="1"/>
  <c r="I1300" i="229"/>
  <c r="J1300" i="229" s="1"/>
  <c r="C1394" i="229"/>
  <c r="D1394" i="229" s="1"/>
  <c r="D1405" i="229" s="1"/>
  <c r="I473" i="229"/>
  <c r="J473" i="229" s="1"/>
  <c r="C1186" i="229"/>
  <c r="D1186" i="229" s="1"/>
  <c r="I2005" i="288"/>
  <c r="J2005" i="288" s="1"/>
  <c r="I2618" i="288"/>
  <c r="J2618" i="288" s="1"/>
  <c r="I1948" i="288"/>
  <c r="J1948" i="288" s="1"/>
  <c r="I3576" i="229"/>
  <c r="J3576" i="229" s="1"/>
  <c r="I3473" i="229"/>
  <c r="J3473" i="229" s="1"/>
  <c r="C2127" i="229"/>
  <c r="D2127" i="229" s="1"/>
  <c r="I2367" i="229"/>
  <c r="J2367" i="229" s="1"/>
  <c r="I791" i="288"/>
  <c r="J791" i="288" s="1"/>
  <c r="J800" i="288" s="1"/>
  <c r="C505" i="229"/>
  <c r="D505" i="229" s="1"/>
  <c r="I736" i="328"/>
  <c r="J740" i="328" s="1"/>
  <c r="S14" i="258"/>
  <c r="S25" i="258" s="1"/>
  <c r="I592" i="288"/>
  <c r="J592" i="288" s="1"/>
  <c r="J601" i="288" s="1"/>
  <c r="I254" i="288"/>
  <c r="J254" i="288" s="1"/>
  <c r="J255" i="288" s="1"/>
  <c r="I3594" i="229"/>
  <c r="J3594" i="229" s="1"/>
  <c r="C2458" i="288"/>
  <c r="D2458" i="288" s="1"/>
  <c r="D2467" i="288" s="1"/>
  <c r="C58" i="288"/>
  <c r="D58" i="288" s="1"/>
  <c r="D59" i="288" s="1"/>
  <c r="R74" i="265"/>
  <c r="I1154" i="229"/>
  <c r="J1154" i="229" s="1"/>
  <c r="C1914" i="229"/>
  <c r="D1914" i="229" s="1"/>
  <c r="R70" i="265"/>
  <c r="I2461" i="288"/>
  <c r="J2461" i="288" s="1"/>
  <c r="C1037" i="288"/>
  <c r="D1037" i="288" s="1"/>
  <c r="D1038" i="288" s="1"/>
  <c r="I3315" i="229"/>
  <c r="J3315" i="229" s="1"/>
  <c r="C980" i="288"/>
  <c r="D980" i="288" s="1"/>
  <c r="D981" i="288" s="1"/>
  <c r="C733" i="229"/>
  <c r="D733" i="229" s="1"/>
  <c r="I2907" i="229"/>
  <c r="J2907" i="229" s="1"/>
  <c r="C2076" i="229"/>
  <c r="D2076" i="229" s="1"/>
  <c r="C2010" i="229"/>
  <c r="D2010" i="229" s="1"/>
  <c r="C666" i="229"/>
  <c r="D666" i="229" s="1"/>
  <c r="I1293" i="288"/>
  <c r="J1293" i="288" s="1"/>
  <c r="I909" i="229"/>
  <c r="J909" i="229" s="1"/>
  <c r="I3332" i="229"/>
  <c r="J3332" i="229" s="1"/>
  <c r="I966" i="288"/>
  <c r="J966" i="288" s="1"/>
  <c r="J967" i="288" s="1"/>
  <c r="C3438" i="229"/>
  <c r="D3438" i="229" s="1"/>
  <c r="I879" i="229"/>
  <c r="J879" i="229" s="1"/>
  <c r="C680" i="288"/>
  <c r="D680" i="288" s="1"/>
  <c r="C3455" i="229"/>
  <c r="D3455" i="229" s="1"/>
  <c r="C1105" i="288"/>
  <c r="D1105" i="288" s="1"/>
  <c r="D1114" i="288" s="1"/>
  <c r="I2013" i="229"/>
  <c r="J2013" i="229" s="1"/>
  <c r="I555" i="229"/>
  <c r="J555" i="229" s="1"/>
  <c r="C695" i="229"/>
  <c r="D695" i="229" s="1"/>
  <c r="D706" i="229" s="1"/>
  <c r="R86" i="265"/>
  <c r="C267" i="288"/>
  <c r="D267" i="288" s="1"/>
  <c r="I552" i="288"/>
  <c r="J552" i="288" s="1"/>
  <c r="C809" i="229"/>
  <c r="D809" i="229" s="1"/>
  <c r="D820" i="229" s="1"/>
  <c r="I1219" i="288"/>
  <c r="J1219" i="288" s="1"/>
  <c r="J1228" i="288" s="1"/>
  <c r="C1481" i="229"/>
  <c r="D1481" i="229" s="1"/>
  <c r="C1989" i="288"/>
  <c r="D1989" i="288" s="1"/>
  <c r="C1156" i="229"/>
  <c r="D1156" i="229" s="1"/>
  <c r="I1929" i="229"/>
  <c r="J1929" i="229" s="1"/>
  <c r="I2192" i="229"/>
  <c r="J2192" i="229" s="1"/>
  <c r="I941" i="229"/>
  <c r="J941" i="229" s="1"/>
  <c r="I1200" i="229"/>
  <c r="J1200" i="229" s="1"/>
  <c r="C37" i="229"/>
  <c r="D37" i="229" s="1"/>
  <c r="C2561" i="288"/>
  <c r="D2561" i="288" s="1"/>
  <c r="I3431" i="229"/>
  <c r="J3431" i="229" s="1"/>
  <c r="J3443" i="229" s="1"/>
  <c r="I1051" i="288"/>
  <c r="J1051" i="288" s="1"/>
  <c r="I3054" i="288"/>
  <c r="J3054" i="288" s="1"/>
  <c r="C993" i="229"/>
  <c r="D993" i="229" s="1"/>
  <c r="C1821" i="229"/>
  <c r="D1821" i="229" s="1"/>
  <c r="C1878" i="288"/>
  <c r="D1878" i="288" s="1"/>
  <c r="D1879" i="288" s="1"/>
  <c r="I2076" i="229"/>
  <c r="J2076" i="229" s="1"/>
  <c r="I677" i="288"/>
  <c r="J677" i="288" s="1"/>
  <c r="J686" i="288" s="1"/>
  <c r="I2483" i="229"/>
  <c r="J2483" i="229" s="1"/>
  <c r="C1833" i="288"/>
  <c r="D1833" i="288" s="1"/>
  <c r="I120" i="288"/>
  <c r="J120" i="288" s="1"/>
  <c r="C2746" i="288"/>
  <c r="D2746" i="288" s="1"/>
  <c r="I3556" i="229"/>
  <c r="J3556" i="229" s="1"/>
  <c r="I2474" i="288"/>
  <c r="J2474" i="288" s="1"/>
  <c r="I2420" i="229"/>
  <c r="J2420" i="229" s="1"/>
  <c r="C1350" i="288"/>
  <c r="D1350" i="288" s="1"/>
  <c r="I77" i="229"/>
  <c r="J77" i="229" s="1"/>
  <c r="R62" i="265"/>
  <c r="C1282" i="229"/>
  <c r="D1282" i="229" s="1"/>
  <c r="C749" i="229"/>
  <c r="D749" i="229" s="1"/>
  <c r="C2811" i="229"/>
  <c r="D2811" i="229" s="1"/>
  <c r="I2045" i="229"/>
  <c r="J2045" i="229" s="1"/>
  <c r="I26" i="229"/>
  <c r="J26" i="229" s="1"/>
  <c r="C2387" i="229"/>
  <c r="D2387" i="229" s="1"/>
  <c r="C620" i="288"/>
  <c r="D620" i="288" s="1"/>
  <c r="D629" i="288" s="1"/>
  <c r="I991" i="288"/>
  <c r="J991" i="288" s="1"/>
  <c r="J1000" i="288" s="1"/>
  <c r="I939" i="229"/>
  <c r="J939" i="229" s="1"/>
  <c r="J950" i="229" s="1"/>
  <c r="I1589" i="288"/>
  <c r="J1589" i="288" s="1"/>
  <c r="J1598" i="288" s="1"/>
  <c r="C1189" i="229"/>
  <c r="D1189" i="229" s="1"/>
  <c r="C1066" i="288"/>
  <c r="D1066" i="288" s="1"/>
  <c r="D1067" i="288" s="1"/>
  <c r="C38" i="229"/>
  <c r="D38" i="229" s="1"/>
  <c r="I3191" i="288"/>
  <c r="J3191" i="288" s="1"/>
  <c r="J3192" i="288" s="1"/>
  <c r="I553" i="288"/>
  <c r="J553" i="288" s="1"/>
  <c r="J554" i="288" s="1"/>
  <c r="C1180" i="288"/>
  <c r="D1180" i="288" s="1"/>
  <c r="D1181" i="288" s="1"/>
  <c r="R62" i="262"/>
  <c r="C296" i="288"/>
  <c r="D296" i="288" s="1"/>
  <c r="R72" i="264"/>
  <c r="R48" i="264"/>
  <c r="R63" i="264"/>
  <c r="I720" i="328"/>
  <c r="K720" i="328" s="1"/>
  <c r="C1595" i="229"/>
  <c r="D1595" i="229" s="1"/>
  <c r="I2106" i="229"/>
  <c r="J2106" i="229" s="1"/>
  <c r="C721" i="288"/>
  <c r="D721" i="288" s="1"/>
  <c r="C339" i="229"/>
  <c r="D339" i="229" s="1"/>
  <c r="C238" i="288"/>
  <c r="D238" i="288" s="1"/>
  <c r="I2989" i="229"/>
  <c r="J2989" i="229" s="1"/>
  <c r="C3542" i="229"/>
  <c r="D3542" i="229" s="1"/>
  <c r="R65" i="265"/>
  <c r="I153" i="288"/>
  <c r="J153" i="288" s="1"/>
  <c r="I554" i="229"/>
  <c r="J554" i="229" s="1"/>
  <c r="C747" i="229"/>
  <c r="D747" i="229" s="1"/>
  <c r="I3215" i="229"/>
  <c r="J3215" i="229" s="1"/>
  <c r="I2060" i="229"/>
  <c r="J2060" i="229" s="1"/>
  <c r="C2857" i="288"/>
  <c r="D2857" i="288" s="1"/>
  <c r="D2866" i="288" s="1"/>
  <c r="C2191" i="288"/>
  <c r="D2191" i="288" s="1"/>
  <c r="I2529" i="229"/>
  <c r="J2529" i="229" s="1"/>
  <c r="C765" i="229"/>
  <c r="D765" i="229" s="1"/>
  <c r="I727" i="328"/>
  <c r="K727" i="328" s="1"/>
  <c r="C1480" i="229"/>
  <c r="D1480" i="229" s="1"/>
  <c r="I1725" i="229"/>
  <c r="J1725" i="229" s="1"/>
  <c r="C3825" i="229"/>
  <c r="D3825" i="229" s="1"/>
  <c r="I1807" i="288"/>
  <c r="J1807" i="288" s="1"/>
  <c r="J1808" i="288" s="1"/>
  <c r="C2547" i="229"/>
  <c r="D2547" i="229" s="1"/>
  <c r="I1591" i="229"/>
  <c r="J1591" i="229" s="1"/>
  <c r="I2286" i="229"/>
  <c r="J2286" i="229" s="1"/>
  <c r="I178" i="229"/>
  <c r="J178" i="229" s="1"/>
  <c r="I1104" i="229"/>
  <c r="J1104" i="229" s="1"/>
  <c r="I10" i="229"/>
  <c r="J10" i="229" s="1"/>
  <c r="I891" i="288"/>
  <c r="J891" i="288" s="1"/>
  <c r="J900" i="288" s="1"/>
  <c r="C195" i="229"/>
  <c r="D195" i="229" s="1"/>
  <c r="I2418" i="288"/>
  <c r="J2418" i="288" s="1"/>
  <c r="I538" i="229"/>
  <c r="J538" i="229" s="1"/>
  <c r="C1774" i="229"/>
  <c r="D1774" i="229" s="1"/>
  <c r="C2566" i="229"/>
  <c r="D2566" i="229" s="1"/>
  <c r="C1740" i="229"/>
  <c r="D1740" i="229" s="1"/>
  <c r="C3538" i="229"/>
  <c r="D3538" i="229" s="1"/>
  <c r="I133" i="229"/>
  <c r="J133" i="229" s="1"/>
  <c r="C2355" i="229"/>
  <c r="D2355" i="229" s="1"/>
  <c r="R92" i="265"/>
  <c r="I3007" i="288"/>
  <c r="J3007" i="288" s="1"/>
  <c r="C621" i="288"/>
  <c r="D621" i="288" s="1"/>
  <c r="C1706" i="288"/>
  <c r="D1706" i="288" s="1"/>
  <c r="C3138" i="229"/>
  <c r="D3138" i="229" s="1"/>
  <c r="C2825" i="229"/>
  <c r="D2825" i="229" s="1"/>
  <c r="I1428" i="229"/>
  <c r="J1428" i="229" s="1"/>
  <c r="I1750" i="288"/>
  <c r="J1750" i="288" s="1"/>
  <c r="J1751" i="288" s="1"/>
  <c r="C1431" i="229"/>
  <c r="D1431" i="229" s="1"/>
  <c r="I3503" i="229"/>
  <c r="J3503" i="229" s="1"/>
  <c r="C976" i="229"/>
  <c r="D976" i="229" s="1"/>
  <c r="C2391" i="288"/>
  <c r="D2391" i="288" s="1"/>
  <c r="D2392" i="288" s="1"/>
  <c r="C2644" i="288"/>
  <c r="D2644" i="288" s="1"/>
  <c r="D2653" i="288" s="1"/>
  <c r="C864" i="288"/>
  <c r="D864" i="288" s="1"/>
  <c r="I2922" i="229"/>
  <c r="J2922" i="229" s="1"/>
  <c r="C1233" i="229"/>
  <c r="D1233" i="229" s="1"/>
  <c r="C2991" i="229"/>
  <c r="D2991" i="229" s="1"/>
  <c r="C3503" i="229"/>
  <c r="D3503" i="229" s="1"/>
  <c r="R38" i="265"/>
  <c r="C424" i="288"/>
  <c r="D424" i="288" s="1"/>
  <c r="I1864" i="288"/>
  <c r="J1864" i="288" s="1"/>
  <c r="J1865" i="288" s="1"/>
  <c r="I2681" i="229"/>
  <c r="J2681" i="229" s="1"/>
  <c r="I194" i="288"/>
  <c r="J194" i="288" s="1"/>
  <c r="C3101" i="288"/>
  <c r="D3101" i="288" s="1"/>
  <c r="D3102" i="288" s="1"/>
  <c r="I2829" i="229"/>
  <c r="J2829" i="229" s="1"/>
  <c r="I1378" i="288"/>
  <c r="J1378" i="288" s="1"/>
  <c r="I2917" i="288"/>
  <c r="J2917" i="288" s="1"/>
  <c r="C243" i="229"/>
  <c r="D243" i="229" s="1"/>
  <c r="C1223" i="288"/>
  <c r="D1223" i="288" s="1"/>
  <c r="D1224" i="288" s="1"/>
  <c r="R23" i="264"/>
  <c r="I1573" i="229"/>
  <c r="J1573" i="229" s="1"/>
  <c r="R39" i="264"/>
  <c r="R59" i="264"/>
  <c r="R20" i="264"/>
  <c r="R47" i="264"/>
  <c r="R66" i="264"/>
  <c r="I995" i="288"/>
  <c r="J995" i="288" s="1"/>
  <c r="J996" i="288" s="1"/>
  <c r="I2644" i="288"/>
  <c r="J2644" i="288" s="1"/>
  <c r="J2653" i="288" s="1"/>
  <c r="C3490" i="229"/>
  <c r="D3490" i="229" s="1"/>
  <c r="I3589" i="229"/>
  <c r="J3589" i="229" s="1"/>
  <c r="C1719" i="229"/>
  <c r="D1719" i="229" s="1"/>
  <c r="D1730" i="229" s="1"/>
  <c r="C2074" i="229"/>
  <c r="D2074" i="229" s="1"/>
  <c r="C253" i="288"/>
  <c r="D253" i="288" s="1"/>
  <c r="C1026" i="229"/>
  <c r="D1026" i="229" s="1"/>
  <c r="C1008" i="288"/>
  <c r="D1008" i="288" s="1"/>
  <c r="C1492" i="288"/>
  <c r="D1492" i="288" s="1"/>
  <c r="C209" i="288"/>
  <c r="D209" i="288" s="1"/>
  <c r="I210" i="288"/>
  <c r="J210" i="288" s="1"/>
  <c r="I3314" i="229"/>
  <c r="J3314" i="229" s="1"/>
  <c r="I2464" i="229"/>
  <c r="J2464" i="229" s="1"/>
  <c r="C2646" i="288"/>
  <c r="D2646" i="288" s="1"/>
  <c r="I3073" i="229"/>
  <c r="J3073" i="229" s="1"/>
  <c r="I3525" i="229"/>
  <c r="J3525" i="229" s="1"/>
  <c r="C1436" i="288"/>
  <c r="D1436" i="288" s="1"/>
  <c r="D1437" i="288" s="1"/>
  <c r="C2780" i="229"/>
  <c r="D2780" i="229" s="1"/>
  <c r="I53" i="288"/>
  <c r="J53" i="288" s="1"/>
  <c r="I2484" i="229"/>
  <c r="J2484" i="229" s="1"/>
  <c r="C3812" i="229"/>
  <c r="D3812" i="229" s="1"/>
  <c r="C1847" i="288"/>
  <c r="D1847" i="288" s="1"/>
  <c r="C3703" i="229"/>
  <c r="D3703" i="229" s="1"/>
  <c r="D3715" i="229" s="1"/>
  <c r="I1367" i="229"/>
  <c r="J1367" i="229" s="1"/>
  <c r="I861" i="229"/>
  <c r="J861" i="229" s="1"/>
  <c r="C3200" i="229"/>
  <c r="D3200" i="229" s="1"/>
  <c r="R46" i="262"/>
  <c r="AC46" i="262" s="1"/>
  <c r="AD46" i="262" s="1"/>
  <c r="AE46" i="262" s="1"/>
  <c r="AG46" i="262" s="1"/>
  <c r="I195" i="288"/>
  <c r="J195" i="288" s="1"/>
  <c r="C2598" i="229"/>
  <c r="D2598" i="229" s="1"/>
  <c r="I1719" i="229"/>
  <c r="J1719" i="229" s="1"/>
  <c r="J1730" i="229" s="1"/>
  <c r="R56" i="262"/>
  <c r="C1448" i="229"/>
  <c r="D1448" i="229" s="1"/>
  <c r="I1302" i="229"/>
  <c r="J1302" i="229" s="1"/>
  <c r="C2273" i="229"/>
  <c r="D2273" i="229" s="1"/>
  <c r="C2894" i="229"/>
  <c r="D2894" i="229" s="1"/>
  <c r="I2034" i="288"/>
  <c r="J2034" i="288" s="1"/>
  <c r="C3121" i="229"/>
  <c r="D3121" i="229" s="1"/>
  <c r="C2254" i="229"/>
  <c r="D2254" i="229" s="1"/>
  <c r="C1219" i="229"/>
  <c r="D1219" i="229" s="1"/>
  <c r="C714" i="229"/>
  <c r="D714" i="229" s="1"/>
  <c r="C1545" i="229"/>
  <c r="D1545" i="229" s="1"/>
  <c r="I1741" i="229"/>
  <c r="J1741" i="229" s="1"/>
  <c r="C1236" i="229"/>
  <c r="D1236" i="229" s="1"/>
  <c r="I2094" i="229"/>
  <c r="J2094" i="229" s="1"/>
  <c r="C963" i="288"/>
  <c r="D963" i="288" s="1"/>
  <c r="C224" i="288"/>
  <c r="D224" i="288" s="1"/>
  <c r="C252" i="288"/>
  <c r="D252" i="288" s="1"/>
  <c r="I793" i="229"/>
  <c r="J793" i="229" s="1"/>
  <c r="J804" i="229" s="1"/>
  <c r="C1593" i="288"/>
  <c r="D1593" i="288" s="1"/>
  <c r="D1594" i="288" s="1"/>
  <c r="C3260" i="288"/>
  <c r="D3260" i="288" s="1"/>
  <c r="D3270" i="288" s="1"/>
  <c r="I2404" i="288"/>
  <c r="J2404" i="288" s="1"/>
  <c r="R78" i="265"/>
  <c r="I136" i="229"/>
  <c r="J136" i="229" s="1"/>
  <c r="C2162" i="288"/>
  <c r="D2162" i="288" s="1"/>
  <c r="I2111" i="229"/>
  <c r="J2111" i="229" s="1"/>
  <c r="I963" i="288"/>
  <c r="J963" i="288" s="1"/>
  <c r="I1089" i="229"/>
  <c r="J1089" i="229" s="1"/>
  <c r="C652" i="229"/>
  <c r="D652" i="229" s="1"/>
  <c r="C1316" i="229"/>
  <c r="D1316" i="229" s="1"/>
  <c r="C522" i="288"/>
  <c r="D522" i="288" s="1"/>
  <c r="R55" i="265"/>
  <c r="I1562" i="229"/>
  <c r="J1562" i="229" s="1"/>
  <c r="I3523" i="229"/>
  <c r="J3523" i="229" s="1"/>
  <c r="I2074" i="229"/>
  <c r="J2074" i="229" s="1"/>
  <c r="C2675" i="288"/>
  <c r="D2675" i="288" s="1"/>
  <c r="I3038" i="229"/>
  <c r="J3038" i="229" s="1"/>
  <c r="R85" i="265"/>
  <c r="C2449" i="229"/>
  <c r="D2449" i="229" s="1"/>
  <c r="R51" i="265"/>
  <c r="I1550" i="288"/>
  <c r="J1550" i="288" s="1"/>
  <c r="J1551" i="288" s="1"/>
  <c r="I1419" i="288"/>
  <c r="J1419" i="288" s="1"/>
  <c r="C3823" i="229"/>
  <c r="D3823" i="229" s="1"/>
  <c r="C1205" i="229"/>
  <c r="D1205" i="229" s="1"/>
  <c r="C2618" i="288"/>
  <c r="D2618" i="288" s="1"/>
  <c r="C358" i="229"/>
  <c r="D358" i="229" s="1"/>
  <c r="I3122" i="229"/>
  <c r="J3122" i="229" s="1"/>
  <c r="C520" i="288"/>
  <c r="D520" i="288" s="1"/>
  <c r="D529" i="288" s="1"/>
  <c r="C3264" i="229"/>
  <c r="D3264" i="229" s="1"/>
  <c r="I2533" i="288"/>
  <c r="J2533" i="288" s="1"/>
  <c r="I2714" i="229"/>
  <c r="J2714" i="229" s="1"/>
  <c r="I864" i="229"/>
  <c r="J864" i="229" s="1"/>
  <c r="I1065" i="288"/>
  <c r="J1065" i="288" s="1"/>
  <c r="I3722" i="229"/>
  <c r="J3722" i="229" s="1"/>
  <c r="C2190" i="229"/>
  <c r="D2190" i="229" s="1"/>
  <c r="I1606" i="288"/>
  <c r="J1606" i="288" s="1"/>
  <c r="C516" i="229"/>
  <c r="D516" i="229" s="1"/>
  <c r="D527" i="229" s="1"/>
  <c r="C2910" i="229"/>
  <c r="D2910" i="229" s="1"/>
  <c r="C228" i="229"/>
  <c r="D228" i="229" s="1"/>
  <c r="I794" i="229"/>
  <c r="J794" i="229" s="1"/>
  <c r="C951" i="288"/>
  <c r="D951" i="288" s="1"/>
  <c r="I1964" i="229"/>
  <c r="J1964" i="229" s="1"/>
  <c r="I2832" i="288"/>
  <c r="J2832" i="288" s="1"/>
  <c r="I1521" i="288"/>
  <c r="J1521" i="288" s="1"/>
  <c r="C831" i="229"/>
  <c r="D831" i="229" s="1"/>
  <c r="C1806" i="288"/>
  <c r="D1806" i="288" s="1"/>
  <c r="R88" i="265"/>
  <c r="C1320" i="288"/>
  <c r="D1320" i="288" s="1"/>
  <c r="I3744" i="229"/>
  <c r="J3744" i="229" s="1"/>
  <c r="I737" i="288"/>
  <c r="J737" i="288" s="1"/>
  <c r="I8" i="288"/>
  <c r="J8" i="288" s="1"/>
  <c r="I1058" i="229"/>
  <c r="J1058" i="229" s="1"/>
  <c r="I1205" i="229"/>
  <c r="J1205" i="229" s="1"/>
  <c r="C1033" i="288"/>
  <c r="D1033" i="288" s="1"/>
  <c r="D1042" i="288" s="1"/>
  <c r="R21" i="264"/>
  <c r="R30" i="264"/>
  <c r="R29" i="264"/>
  <c r="C720" i="328"/>
  <c r="E720" i="328" s="1"/>
  <c r="R25" i="264"/>
  <c r="R70" i="264"/>
  <c r="R46" i="264"/>
  <c r="R15" i="266"/>
  <c r="R61" i="264"/>
  <c r="R31" i="264"/>
  <c r="I2872" i="229"/>
  <c r="J2872" i="229" s="1"/>
  <c r="I90" i="31"/>
  <c r="R14" i="263"/>
  <c r="R71" i="264"/>
  <c r="R26" i="264"/>
  <c r="R57" i="264"/>
  <c r="C1605" i="229"/>
  <c r="D1605" i="229" s="1"/>
  <c r="D1616" i="229" s="1"/>
  <c r="C2914" i="288"/>
  <c r="D2914" i="288" s="1"/>
  <c r="D2923" i="288" s="1"/>
  <c r="C1632" i="288"/>
  <c r="D1632" i="288" s="1"/>
  <c r="D1641" i="288" s="1"/>
  <c r="C1784" i="229"/>
  <c r="D1784" i="229" s="1"/>
  <c r="D1795" i="229" s="1"/>
  <c r="E86" i="334"/>
  <c r="C368" i="229"/>
  <c r="D368" i="229" s="1"/>
  <c r="D379" i="229" s="1"/>
  <c r="R69" i="264"/>
  <c r="R15" i="258"/>
  <c r="R14" i="264"/>
  <c r="R34" i="264"/>
  <c r="R24" i="264"/>
  <c r="R75" i="264"/>
  <c r="C2287" i="288"/>
  <c r="D2287" i="288" s="1"/>
  <c r="D2296" i="288" s="1"/>
  <c r="C1247" i="288"/>
  <c r="D1247" i="288" s="1"/>
  <c r="I1990" i="288"/>
  <c r="J1990" i="288" s="1"/>
  <c r="I2262" i="288"/>
  <c r="J2262" i="288" s="1"/>
  <c r="I1481" i="229"/>
  <c r="J1481" i="229" s="1"/>
  <c r="C1579" i="229"/>
  <c r="D1579" i="229" s="1"/>
  <c r="C617" i="229"/>
  <c r="D617" i="229" s="1"/>
  <c r="I2861" i="288"/>
  <c r="J2861" i="288" s="1"/>
  <c r="J2862" i="288" s="1"/>
  <c r="I304" i="229"/>
  <c r="J304" i="229" s="1"/>
  <c r="I1900" i="229"/>
  <c r="J1900" i="229" s="1"/>
  <c r="C25" i="288"/>
  <c r="D25" i="288" s="1"/>
  <c r="I2137" i="229"/>
  <c r="J2137" i="229" s="1"/>
  <c r="J2148" i="229" s="1"/>
  <c r="C2803" i="288"/>
  <c r="D2803" i="288" s="1"/>
  <c r="C1852" i="229"/>
  <c r="D1852" i="229" s="1"/>
  <c r="C2005" i="288"/>
  <c r="D2005" i="288" s="1"/>
  <c r="C42" i="288"/>
  <c r="D42" i="288" s="1"/>
  <c r="I1965" i="229"/>
  <c r="J1965" i="229" s="1"/>
  <c r="I26" i="288"/>
  <c r="J26" i="288" s="1"/>
  <c r="I3743" i="229"/>
  <c r="J3743" i="229" s="1"/>
  <c r="C1080" i="288"/>
  <c r="D1080" i="288" s="1"/>
  <c r="D1081" i="288" s="1"/>
  <c r="C103" i="288"/>
  <c r="D103" i="288" s="1"/>
  <c r="I3021" i="229"/>
  <c r="J3021" i="229" s="1"/>
  <c r="I2973" i="229"/>
  <c r="J2973" i="229" s="1"/>
  <c r="C3202" i="229"/>
  <c r="D3202" i="229" s="1"/>
  <c r="C3590" i="229"/>
  <c r="D3590" i="229" s="1"/>
  <c r="I60" i="229"/>
  <c r="J60" i="229" s="1"/>
  <c r="I533" i="229"/>
  <c r="J533" i="229" s="1"/>
  <c r="J544" i="229" s="1"/>
  <c r="I1478" i="229"/>
  <c r="J1478" i="229" s="1"/>
  <c r="I2387" i="229"/>
  <c r="J2387" i="229" s="1"/>
  <c r="C2090" i="229"/>
  <c r="D2090" i="229" s="1"/>
  <c r="C3660" i="229"/>
  <c r="D3660" i="229" s="1"/>
  <c r="C2682" i="229"/>
  <c r="D2682" i="229" s="1"/>
  <c r="C2336" i="229"/>
  <c r="D2336" i="229" s="1"/>
  <c r="I2645" i="288"/>
  <c r="J2645" i="288" s="1"/>
  <c r="I1507" i="288"/>
  <c r="J1507" i="288" s="1"/>
  <c r="I1735" i="229"/>
  <c r="J1735" i="229" s="1"/>
  <c r="J1746" i="229" s="1"/>
  <c r="I1465" i="288"/>
  <c r="J1465" i="288" s="1"/>
  <c r="J1466" i="288" s="1"/>
  <c r="C1510" i="229"/>
  <c r="D1510" i="229" s="1"/>
  <c r="I2843" i="288"/>
  <c r="J2843" i="288" s="1"/>
  <c r="J2852" i="288" s="1"/>
  <c r="I1335" i="229"/>
  <c r="J1335" i="229" s="1"/>
  <c r="C3308" i="288"/>
  <c r="D3308" i="288" s="1"/>
  <c r="C1877" i="288"/>
  <c r="D1877" i="288" s="1"/>
  <c r="R32" i="265"/>
  <c r="I1933" i="288"/>
  <c r="J1933" i="288" s="1"/>
  <c r="I3086" i="229"/>
  <c r="J3086" i="229" s="1"/>
  <c r="I2957" i="229"/>
  <c r="J2957" i="229" s="1"/>
  <c r="C635" i="229"/>
  <c r="D635" i="229" s="1"/>
  <c r="C1430" i="229"/>
  <c r="D1430" i="229" s="1"/>
  <c r="R23" i="261"/>
  <c r="AC23" i="261" s="1"/>
  <c r="AD23" i="261" s="1"/>
  <c r="AE23" i="261" s="1"/>
  <c r="I3386" i="229"/>
  <c r="J3386" i="229" s="1"/>
  <c r="I3249" i="288"/>
  <c r="J3249" i="288" s="1"/>
  <c r="C2304" i="229"/>
  <c r="D2304" i="229" s="1"/>
  <c r="I3353" i="229"/>
  <c r="J3353" i="229" s="1"/>
  <c r="I3084" i="288"/>
  <c r="J3084" i="288" s="1"/>
  <c r="C3234" i="229"/>
  <c r="D3234" i="229" s="1"/>
  <c r="I37" i="229"/>
  <c r="J37" i="229" s="1"/>
  <c r="C340" i="229"/>
  <c r="D340" i="229" s="1"/>
  <c r="R37" i="265"/>
  <c r="I3756" i="229"/>
  <c r="J3756" i="229" s="1"/>
  <c r="I3087" i="229"/>
  <c r="J3087" i="229" s="1"/>
  <c r="I2204" i="288"/>
  <c r="J2204" i="288" s="1"/>
  <c r="I150" i="229"/>
  <c r="J150" i="229" s="1"/>
  <c r="C1535" i="288"/>
  <c r="D1535" i="288" s="1"/>
  <c r="C195" i="288"/>
  <c r="D195" i="288" s="1"/>
  <c r="I3675" i="229"/>
  <c r="J3675" i="229" s="1"/>
  <c r="C2909" i="229"/>
  <c r="D2909" i="229" s="1"/>
  <c r="I321" i="229"/>
  <c r="J321" i="229" s="1"/>
  <c r="C136" i="229"/>
  <c r="D136" i="229" s="1"/>
  <c r="I338" i="229"/>
  <c r="J338" i="229" s="1"/>
  <c r="R19" i="264"/>
  <c r="R49" i="264"/>
  <c r="I1075" i="229"/>
  <c r="J1075" i="229" s="1"/>
  <c r="C848" i="288"/>
  <c r="D848" i="288" s="1"/>
  <c r="D857" i="288" s="1"/>
  <c r="C39" i="229"/>
  <c r="D39" i="229" s="1"/>
  <c r="C241" i="229"/>
  <c r="D241" i="229" s="1"/>
  <c r="C1608" i="229"/>
  <c r="D1608" i="229" s="1"/>
  <c r="I3753" i="229"/>
  <c r="J3753" i="229" s="1"/>
  <c r="J3765" i="229" s="1"/>
  <c r="C3521" i="229"/>
  <c r="D3521" i="229" s="1"/>
  <c r="I3039" i="229"/>
  <c r="J3039" i="229" s="1"/>
  <c r="C859" i="229"/>
  <c r="D859" i="229" s="1"/>
  <c r="C97" i="229"/>
  <c r="D97" i="229" s="1"/>
  <c r="C1720" i="288"/>
  <c r="D1720" i="288" s="1"/>
  <c r="I3112" i="288"/>
  <c r="J3112" i="288" s="1"/>
  <c r="J3122" i="288" s="1"/>
  <c r="I2683" i="229"/>
  <c r="J2683" i="229" s="1"/>
  <c r="I2810" i="229"/>
  <c r="J2810" i="229" s="1"/>
  <c r="I3130" i="288"/>
  <c r="J3130" i="288" s="1"/>
  <c r="C1107" i="229"/>
  <c r="D1107" i="229" s="1"/>
  <c r="I2143" i="229"/>
  <c r="J2143" i="229" s="1"/>
  <c r="I3232" i="288"/>
  <c r="J3232" i="288" s="1"/>
  <c r="C1946" i="229"/>
  <c r="D1946" i="229" s="1"/>
  <c r="I3024" i="229"/>
  <c r="J3024" i="229" s="1"/>
  <c r="I1915" i="229"/>
  <c r="J1915" i="229" s="1"/>
  <c r="C55" i="288"/>
  <c r="D55" i="288" s="1"/>
  <c r="C716" i="229"/>
  <c r="D716" i="229" s="1"/>
  <c r="C1332" i="229"/>
  <c r="D1332" i="229" s="1"/>
  <c r="C3248" i="288"/>
  <c r="D3248" i="288" s="1"/>
  <c r="I3810" i="229"/>
  <c r="J3810" i="229" s="1"/>
  <c r="C3336" i="229"/>
  <c r="D3336" i="229" s="1"/>
  <c r="I2075" i="229"/>
  <c r="J2075" i="229" s="1"/>
  <c r="I1478" i="288"/>
  <c r="J1478" i="288" s="1"/>
  <c r="I120" i="229"/>
  <c r="J120" i="229" s="1"/>
  <c r="I3184" i="229"/>
  <c r="J3184" i="229" s="1"/>
  <c r="I2942" i="229"/>
  <c r="J2942" i="229" s="1"/>
  <c r="C309" i="229"/>
  <c r="D309" i="229" s="1"/>
  <c r="C2714" i="229"/>
  <c r="D2714" i="229" s="1"/>
  <c r="I841" i="229"/>
  <c r="J841" i="229" s="1"/>
  <c r="J852" i="229" s="1"/>
  <c r="C1604" i="288"/>
  <c r="D1604" i="288" s="1"/>
  <c r="C1023" i="229"/>
  <c r="D1023" i="229" s="1"/>
  <c r="I1218" i="229"/>
  <c r="J1218" i="229" s="1"/>
  <c r="I3769" i="229"/>
  <c r="J3769" i="229" s="1"/>
  <c r="J3781" i="229" s="1"/>
  <c r="I3022" i="229"/>
  <c r="J3022" i="229" s="1"/>
  <c r="I781" i="229"/>
  <c r="J781" i="229" s="1"/>
  <c r="C4" i="229"/>
  <c r="D4" i="229" s="1"/>
  <c r="D15" i="229" s="1"/>
  <c r="I3467" i="229"/>
  <c r="J3467" i="229" s="1"/>
  <c r="C1418" i="288"/>
  <c r="D1418" i="288" s="1"/>
  <c r="D1427" i="288" s="1"/>
  <c r="C484" i="229"/>
  <c r="D484" i="229" s="1"/>
  <c r="D495" i="229" s="1"/>
  <c r="C1979" i="229"/>
  <c r="D1979" i="229" s="1"/>
  <c r="I2878" i="229"/>
  <c r="J2878" i="229" s="1"/>
  <c r="C724" i="288"/>
  <c r="D724" i="288" s="1"/>
  <c r="D725" i="288" s="1"/>
  <c r="I1276" i="288"/>
  <c r="J1276" i="288" s="1"/>
  <c r="J1285" i="288" s="1"/>
  <c r="I1594" i="229"/>
  <c r="J1594" i="229" s="1"/>
  <c r="I1611" i="229"/>
  <c r="J1611" i="229" s="1"/>
  <c r="I3105" i="229"/>
  <c r="J3105" i="229" s="1"/>
  <c r="I1133" i="288"/>
  <c r="J1133" i="288" s="1"/>
  <c r="J1142" i="288" s="1"/>
  <c r="C338" i="229"/>
  <c r="D338" i="229" s="1"/>
  <c r="I1285" i="229"/>
  <c r="J1285" i="229" s="1"/>
  <c r="R17" i="258"/>
  <c r="I1056" i="229"/>
  <c r="J1056" i="229" s="1"/>
  <c r="C646" i="229"/>
  <c r="D646" i="229" s="1"/>
  <c r="D657" i="229" s="1"/>
  <c r="I622" i="288"/>
  <c r="J622" i="288" s="1"/>
  <c r="I1307" i="288"/>
  <c r="J1307" i="288" s="1"/>
  <c r="C1741" i="229"/>
  <c r="D1741" i="229" s="1"/>
  <c r="I1432" i="288"/>
  <c r="J1432" i="288" s="1"/>
  <c r="J1441" i="288" s="1"/>
  <c r="C2436" i="229"/>
  <c r="D2436" i="229" s="1"/>
  <c r="C2747" i="229"/>
  <c r="D2747" i="229" s="1"/>
  <c r="I1704" i="229"/>
  <c r="J1704" i="229" s="1"/>
  <c r="C451" i="288"/>
  <c r="D451" i="288" s="1"/>
  <c r="C2287" i="229"/>
  <c r="D2287" i="229" s="1"/>
  <c r="C1279" i="288"/>
  <c r="D1279" i="288" s="1"/>
  <c r="C3556" i="229"/>
  <c r="D3556" i="229" s="1"/>
  <c r="I584" i="229"/>
  <c r="J584" i="229" s="1"/>
  <c r="I2931" i="288"/>
  <c r="J2931" i="288" s="1"/>
  <c r="C3640" i="229"/>
  <c r="D3640" i="229" s="1"/>
  <c r="I1106" i="229"/>
  <c r="J1106" i="229" s="1"/>
  <c r="I1407" i="288"/>
  <c r="J1407" i="288" s="1"/>
  <c r="C1219" i="288"/>
  <c r="D1219" i="288" s="1"/>
  <c r="D1228" i="288" s="1"/>
  <c r="I651" i="229"/>
  <c r="J651" i="229" s="1"/>
  <c r="R76" i="265"/>
  <c r="I1996" i="229"/>
  <c r="J1996" i="229" s="1"/>
  <c r="I1319" i="229"/>
  <c r="J1319" i="229" s="1"/>
  <c r="I2875" i="229"/>
  <c r="J2875" i="229" s="1"/>
  <c r="C2775" i="288"/>
  <c r="D2775" i="288" s="1"/>
  <c r="C3119" i="229"/>
  <c r="D3119" i="229" s="1"/>
  <c r="I2191" i="229"/>
  <c r="J2191" i="229" s="1"/>
  <c r="C1833" i="229"/>
  <c r="D1833" i="229" s="1"/>
  <c r="D1844" i="229" s="1"/>
  <c r="I2711" i="229"/>
  <c r="J2711" i="229" s="1"/>
  <c r="I1331" i="229"/>
  <c r="J1331" i="229" s="1"/>
  <c r="C2142" i="229"/>
  <c r="D2142" i="229" s="1"/>
  <c r="I1279" i="288"/>
  <c r="J1279" i="288" s="1"/>
  <c r="C23" i="229"/>
  <c r="D23" i="229" s="1"/>
  <c r="I196" i="288"/>
  <c r="J196" i="288" s="1"/>
  <c r="I3317" i="229"/>
  <c r="J3317" i="229" s="1"/>
  <c r="C3038" i="229"/>
  <c r="D3038" i="229" s="1"/>
  <c r="C482" i="288"/>
  <c r="D482" i="288" s="1"/>
  <c r="D483" i="288" s="1"/>
  <c r="C1816" i="229"/>
  <c r="D1816" i="229" s="1"/>
  <c r="D1827" i="229" s="1"/>
  <c r="C834" i="288"/>
  <c r="D834" i="288" s="1"/>
  <c r="D843" i="288" s="1"/>
  <c r="C3573" i="229"/>
  <c r="D3573" i="229" s="1"/>
  <c r="I2119" i="288"/>
  <c r="J2119" i="288" s="1"/>
  <c r="C2029" i="229"/>
  <c r="D2029" i="229" s="1"/>
  <c r="C244" i="229"/>
  <c r="D244" i="229" s="1"/>
  <c r="C3251" i="229"/>
  <c r="D3251" i="229" s="1"/>
  <c r="C948" i="288"/>
  <c r="D948" i="288" s="1"/>
  <c r="D957" i="288" s="1"/>
  <c r="C2745" i="229"/>
  <c r="D2745" i="229" s="1"/>
  <c r="I890" i="229"/>
  <c r="J890" i="229" s="1"/>
  <c r="J901" i="229" s="1"/>
  <c r="I3096" i="288"/>
  <c r="J3096" i="288" s="1"/>
  <c r="J3106" i="288" s="1"/>
  <c r="I2355" i="229"/>
  <c r="J2355" i="229" s="1"/>
  <c r="C709" i="288"/>
  <c r="D709" i="288" s="1"/>
  <c r="C676" i="328"/>
  <c r="E676" i="328" s="1"/>
  <c r="B633" i="328"/>
  <c r="R32" i="264"/>
  <c r="R98" i="265"/>
  <c r="R64" i="264"/>
  <c r="R83" i="264"/>
  <c r="R33" i="264"/>
  <c r="R36" i="264"/>
  <c r="R16" i="264"/>
  <c r="R50" i="264"/>
  <c r="R65" i="264"/>
  <c r="C737" i="328"/>
  <c r="E737" i="328" s="1"/>
  <c r="R28" i="264"/>
  <c r="R14" i="266"/>
  <c r="C1489" i="288"/>
  <c r="D1489" i="288" s="1"/>
  <c r="D1498" i="288" s="1"/>
  <c r="R15" i="261"/>
  <c r="R14" i="258"/>
  <c r="C3804" i="229"/>
  <c r="D3804" i="229" s="1"/>
  <c r="D3816" i="229" s="1"/>
  <c r="R15" i="262"/>
  <c r="R62" i="264"/>
  <c r="R73" i="264"/>
  <c r="R40" i="264"/>
  <c r="R60" i="264"/>
  <c r="R17" i="264"/>
  <c r="C2592" i="229"/>
  <c r="D2592" i="229" s="1"/>
  <c r="D2603" i="229" s="1"/>
  <c r="R27" i="264"/>
  <c r="R53" i="264"/>
  <c r="I2616" i="229"/>
  <c r="I3346" i="288"/>
  <c r="J3346" i="288" s="1"/>
  <c r="J3356" i="288" s="1"/>
  <c r="C272" i="229"/>
  <c r="D272" i="229" s="1"/>
  <c r="C2575" i="288"/>
  <c r="D2575" i="288" s="1"/>
  <c r="C1347" i="229"/>
  <c r="D1347" i="229" s="1"/>
  <c r="I1593" i="229"/>
  <c r="J1593" i="229" s="1"/>
  <c r="I2664" i="229"/>
  <c r="J2664" i="229" s="1"/>
  <c r="C2696" i="229"/>
  <c r="D2696" i="229" s="1"/>
  <c r="C633" i="229"/>
  <c r="D633" i="229" s="1"/>
  <c r="I3823" i="229"/>
  <c r="J3823" i="229" s="1"/>
  <c r="C651" i="229"/>
  <c r="D651" i="229" s="1"/>
  <c r="I1722" i="229"/>
  <c r="J1722" i="229" s="1"/>
  <c r="C487" i="229"/>
  <c r="D487" i="229" s="1"/>
  <c r="I1277" i="288"/>
  <c r="J1277" i="288" s="1"/>
  <c r="C1120" i="229"/>
  <c r="D1120" i="229" s="1"/>
  <c r="C892" i="288"/>
  <c r="D892" i="288" s="1"/>
  <c r="I3291" i="288"/>
  <c r="J3291" i="288" s="1"/>
  <c r="I601" i="229"/>
  <c r="J601" i="229" s="1"/>
  <c r="C538" i="288"/>
  <c r="D538" i="288" s="1"/>
  <c r="I1756" i="229"/>
  <c r="J1756" i="229" s="1"/>
  <c r="I992" i="229"/>
  <c r="J992" i="229" s="1"/>
  <c r="I858" i="229"/>
  <c r="J858" i="229" s="1"/>
  <c r="J869" i="229" s="1"/>
  <c r="I604" i="229"/>
  <c r="J604" i="229" s="1"/>
  <c r="C3434" i="229"/>
  <c r="D3434" i="229" s="1"/>
  <c r="I1162" i="288"/>
  <c r="J1162" i="288" s="1"/>
  <c r="J1171" i="288" s="1"/>
  <c r="I2304" i="229"/>
  <c r="J2304" i="229" s="1"/>
  <c r="I2550" i="229"/>
  <c r="J2550" i="229" s="1"/>
  <c r="I2222" i="229"/>
  <c r="J2222" i="229" s="1"/>
  <c r="I1706" i="229"/>
  <c r="J1706" i="229" s="1"/>
  <c r="I3689" i="229"/>
  <c r="J3689" i="229" s="1"/>
  <c r="I3331" i="288"/>
  <c r="J3331" i="288" s="1"/>
  <c r="J3341" i="288" s="1"/>
  <c r="I711" i="229"/>
  <c r="J711" i="229" s="1"/>
  <c r="J722" i="229" s="1"/>
  <c r="I3234" i="288"/>
  <c r="J3234" i="288" s="1"/>
  <c r="I896" i="229"/>
  <c r="J896" i="229" s="1"/>
  <c r="C54" i="288"/>
  <c r="D54" i="288" s="1"/>
  <c r="I2176" i="229"/>
  <c r="J2176" i="229" s="1"/>
  <c r="C1704" i="229"/>
  <c r="D1704" i="229" s="1"/>
  <c r="C1991" i="288"/>
  <c r="D1991" i="288" s="1"/>
  <c r="C1511" i="229"/>
  <c r="D1511" i="229" s="1"/>
  <c r="C3642" i="229"/>
  <c r="D3642" i="229" s="1"/>
  <c r="I2141" i="229"/>
  <c r="J2141" i="229" s="1"/>
  <c r="C182" i="288"/>
  <c r="D182" i="288" s="1"/>
  <c r="C719" i="328"/>
  <c r="D723" i="328" s="1"/>
  <c r="C2839" i="229"/>
  <c r="D2839" i="229" s="1"/>
  <c r="D2850" i="229" s="1"/>
  <c r="I623" i="288"/>
  <c r="J623" i="288" s="1"/>
  <c r="I3204" i="288"/>
  <c r="J3204" i="288" s="1"/>
  <c r="C3066" i="288"/>
  <c r="D3066" i="288" s="1"/>
  <c r="D3076" i="288" s="1"/>
  <c r="C1137" i="229"/>
  <c r="D1137" i="229" s="1"/>
  <c r="I2093" i="229"/>
  <c r="J2093" i="229" s="1"/>
  <c r="C2956" i="229"/>
  <c r="D2956" i="229" s="1"/>
  <c r="C1153" i="229"/>
  <c r="D1153" i="229" s="1"/>
  <c r="I293" i="229"/>
  <c r="J293" i="229" s="1"/>
  <c r="C1094" i="288"/>
  <c r="D1094" i="288" s="1"/>
  <c r="D1095" i="288" s="1"/>
  <c r="I2761" i="229"/>
  <c r="J2761" i="229" s="1"/>
  <c r="C1348" i="288"/>
  <c r="D1348" i="288" s="1"/>
  <c r="C3005" i="229"/>
  <c r="D3005" i="229" s="1"/>
  <c r="I3671" i="229"/>
  <c r="J3671" i="229" s="1"/>
  <c r="I358" i="229"/>
  <c r="J358" i="229" s="1"/>
  <c r="I580" i="288"/>
  <c r="J580" i="288" s="1"/>
  <c r="I2191" i="288"/>
  <c r="J2191" i="288" s="1"/>
  <c r="C3740" i="229"/>
  <c r="D3740" i="229" s="1"/>
  <c r="C3334" i="288"/>
  <c r="D3334" i="288" s="1"/>
  <c r="C2927" i="229"/>
  <c r="D2927" i="229" s="1"/>
  <c r="I151" i="288"/>
  <c r="J151" i="288" s="1"/>
  <c r="C2163" i="288"/>
  <c r="D2163" i="288" s="1"/>
  <c r="D2164" i="288" s="1"/>
  <c r="C2587" i="288"/>
  <c r="D2587" i="288" s="1"/>
  <c r="D2596" i="288" s="1"/>
  <c r="I1894" i="229"/>
  <c r="J1894" i="229" s="1"/>
  <c r="J1905" i="229" s="1"/>
  <c r="I1556" i="229"/>
  <c r="J1556" i="229" s="1"/>
  <c r="J1567" i="229" s="1"/>
  <c r="C1592" i="229"/>
  <c r="D1592" i="229" s="1"/>
  <c r="I3176" i="288"/>
  <c r="J3176" i="288" s="1"/>
  <c r="J3177" i="288" s="1"/>
  <c r="I1063" i="288"/>
  <c r="J1063" i="288" s="1"/>
  <c r="C1514" i="229"/>
  <c r="D1514" i="229" s="1"/>
  <c r="I1790" i="229"/>
  <c r="J1790" i="229" s="1"/>
  <c r="C1056" i="229"/>
  <c r="D1056" i="229" s="1"/>
  <c r="I582" i="229"/>
  <c r="J582" i="229" s="1"/>
  <c r="I3277" i="288"/>
  <c r="J3277" i="288" s="1"/>
  <c r="R36" i="265"/>
  <c r="I3230" i="288"/>
  <c r="J3230" i="288" s="1"/>
  <c r="J3240" i="288" s="1"/>
  <c r="I2092" i="229"/>
  <c r="J2092" i="229" s="1"/>
  <c r="I2231" i="288"/>
  <c r="J2231" i="288" s="1"/>
  <c r="C2464" i="229"/>
  <c r="D2464" i="229" s="1"/>
  <c r="C3203" i="229"/>
  <c r="D3203" i="229" s="1"/>
  <c r="C2420" i="229"/>
  <c r="D2420" i="229" s="1"/>
  <c r="C3658" i="229"/>
  <c r="D3658" i="229" s="1"/>
  <c r="I3035" i="229"/>
  <c r="J3035" i="229" s="1"/>
  <c r="C1790" i="229"/>
  <c r="D1790" i="229" s="1"/>
  <c r="C3472" i="229"/>
  <c r="D3472" i="229" s="1"/>
  <c r="I1562" i="288"/>
  <c r="J1562" i="288" s="1"/>
  <c r="C3504" i="229"/>
  <c r="D3504" i="229" s="1"/>
  <c r="I2502" i="288"/>
  <c r="J2502" i="288" s="1"/>
  <c r="C652" i="288"/>
  <c r="D652" i="288" s="1"/>
  <c r="I815" i="229"/>
  <c r="J815" i="229" s="1"/>
  <c r="I823" i="288"/>
  <c r="J823" i="288" s="1"/>
  <c r="S14" i="266"/>
  <c r="S21" i="266" s="1"/>
  <c r="C2829" i="229"/>
  <c r="D2829" i="229" s="1"/>
  <c r="I2254" i="229"/>
  <c r="J2254" i="229" s="1"/>
  <c r="C492" i="288"/>
  <c r="D492" i="288" s="1"/>
  <c r="I2105" i="288"/>
  <c r="J2105" i="288" s="1"/>
  <c r="C3018" i="229"/>
  <c r="D3018" i="229" s="1"/>
  <c r="D3029" i="229" s="1"/>
  <c r="I1465" i="229"/>
  <c r="J1465" i="229" s="1"/>
  <c r="C260" i="229"/>
  <c r="D260" i="229" s="1"/>
  <c r="C1169" i="229"/>
  <c r="D1169" i="229" s="1"/>
  <c r="I2578" i="229"/>
  <c r="J2578" i="229" s="1"/>
  <c r="C3278" i="288"/>
  <c r="D3278" i="288" s="1"/>
  <c r="C1404" i="288"/>
  <c r="D1404" i="288" s="1"/>
  <c r="D1413" i="288" s="1"/>
  <c r="I895" i="229"/>
  <c r="J895" i="229" s="1"/>
  <c r="C3383" i="229"/>
  <c r="D3383" i="229" s="1"/>
  <c r="I850" i="288"/>
  <c r="J850" i="288" s="1"/>
  <c r="C925" i="229"/>
  <c r="D925" i="229" s="1"/>
  <c r="C3171" i="288"/>
  <c r="D3171" i="288" s="1"/>
  <c r="D3181" i="288" s="1"/>
  <c r="C551" i="288"/>
  <c r="D551" i="288" s="1"/>
  <c r="C1171" i="229"/>
  <c r="D1171" i="229" s="1"/>
  <c r="C2124" i="229"/>
  <c r="D2124" i="229" s="1"/>
  <c r="I1945" i="229"/>
  <c r="J1945" i="229" s="1"/>
  <c r="I3116" i="288"/>
  <c r="J3116" i="288" s="1"/>
  <c r="I3367" i="229"/>
  <c r="J3367" i="229" s="1"/>
  <c r="R91" i="265"/>
  <c r="I2689" i="288"/>
  <c r="J2689" i="288" s="1"/>
  <c r="I3437" i="229"/>
  <c r="J3437" i="229" s="1"/>
  <c r="R34" i="265"/>
  <c r="I1545" i="229"/>
  <c r="J1545" i="229" s="1"/>
  <c r="I1443" i="229"/>
  <c r="J1443" i="229" s="1"/>
  <c r="J1454" i="229" s="1"/>
  <c r="I1052" i="288"/>
  <c r="J1052" i="288" s="1"/>
  <c r="J1053" i="288" s="1"/>
  <c r="I748" i="288"/>
  <c r="J748" i="288" s="1"/>
  <c r="J757" i="288" s="1"/>
  <c r="I2987" i="229"/>
  <c r="J2987" i="229" s="1"/>
  <c r="I666" i="229"/>
  <c r="J666" i="229" s="1"/>
  <c r="C1276" i="288"/>
  <c r="D1276" i="288" s="1"/>
  <c r="D1285" i="288" s="1"/>
  <c r="C1913" i="229"/>
  <c r="D1913" i="229" s="1"/>
  <c r="I1678" i="288"/>
  <c r="J1678" i="288" s="1"/>
  <c r="I506" i="229"/>
  <c r="J506" i="229" s="1"/>
  <c r="C2403" i="288"/>
  <c r="D2403" i="288" s="1"/>
  <c r="I719" i="328"/>
  <c r="J723" i="328" s="1"/>
  <c r="C1836" i="229"/>
  <c r="D1836" i="229" s="1"/>
  <c r="C3022" i="229"/>
  <c r="D3022" i="229" s="1"/>
  <c r="I2186" i="229"/>
  <c r="J2186" i="229" s="1"/>
  <c r="J2197" i="229" s="1"/>
  <c r="C1036" i="229"/>
  <c r="D1036" i="229" s="1"/>
  <c r="D1047" i="229" s="1"/>
  <c r="C3277" i="288"/>
  <c r="D3277" i="288" s="1"/>
  <c r="R81" i="261"/>
  <c r="I3348" i="288"/>
  <c r="J3348" i="288" s="1"/>
  <c r="C1929" i="229"/>
  <c r="D1929" i="229" s="1"/>
  <c r="I652" i="229"/>
  <c r="J652" i="229" s="1"/>
  <c r="C750" i="229"/>
  <c r="D750" i="229" s="1"/>
  <c r="I2828" i="229"/>
  <c r="J2828" i="229" s="1"/>
  <c r="I1430" i="229"/>
  <c r="J1430" i="229" s="1"/>
  <c r="C3711" i="229"/>
  <c r="D3711" i="229" s="1"/>
  <c r="I809" i="229"/>
  <c r="J809" i="229" s="1"/>
  <c r="J820" i="229" s="1"/>
  <c r="C3771" i="229"/>
  <c r="D3771" i="229" s="1"/>
  <c r="C2760" i="229"/>
  <c r="D2760" i="229" s="1"/>
  <c r="C2891" i="229"/>
  <c r="D2891" i="229" s="1"/>
  <c r="C2731" i="229"/>
  <c r="D2731" i="229" s="1"/>
  <c r="I724" i="328"/>
  <c r="K724" i="328" s="1"/>
  <c r="I2762" i="229"/>
  <c r="J2762" i="229" s="1"/>
  <c r="I2043" i="229"/>
  <c r="J2043" i="229" s="1"/>
  <c r="I181" i="288"/>
  <c r="J181" i="288" s="1"/>
  <c r="I549" i="229"/>
  <c r="J549" i="229" s="1"/>
  <c r="J560" i="229" s="1"/>
  <c r="I1062" i="288"/>
  <c r="J1062" i="288" s="1"/>
  <c r="J1071" i="288" s="1"/>
  <c r="I2370" i="229"/>
  <c r="J2370" i="229" s="1"/>
  <c r="C761" i="229"/>
  <c r="D761" i="229" s="1"/>
  <c r="I481" i="288"/>
  <c r="J481" i="288" s="1"/>
  <c r="C2237" i="229"/>
  <c r="D2237" i="229" s="1"/>
  <c r="C2549" i="229"/>
  <c r="D2549" i="229" s="1"/>
  <c r="C3753" i="229"/>
  <c r="D3753" i="229" s="1"/>
  <c r="D3765" i="229" s="1"/>
  <c r="C3474" i="229"/>
  <c r="D3474" i="229" s="1"/>
  <c r="I58" i="288"/>
  <c r="J58" i="288" s="1"/>
  <c r="J59" i="288" s="1"/>
  <c r="I1976" i="229"/>
  <c r="J1976" i="229" s="1"/>
  <c r="I3828" i="229"/>
  <c r="J3828" i="229" s="1"/>
  <c r="C1217" i="229"/>
  <c r="D1217" i="229" s="1"/>
  <c r="C2764" i="229"/>
  <c r="D2764" i="229" s="1"/>
  <c r="I1518" i="288"/>
  <c r="J1518" i="288" s="1"/>
  <c r="J1527" i="288" s="1"/>
  <c r="C3592" i="229"/>
  <c r="D3592" i="229" s="1"/>
  <c r="I2432" i="229"/>
  <c r="J2432" i="229" s="1"/>
  <c r="C279" i="288"/>
  <c r="D279" i="288" s="1"/>
  <c r="I2189" i="229"/>
  <c r="J2189" i="229" s="1"/>
  <c r="I993" i="288"/>
  <c r="J993" i="288" s="1"/>
  <c r="I2531" i="229"/>
  <c r="J2531" i="229" s="1"/>
  <c r="R97" i="265"/>
  <c r="I1270" i="229"/>
  <c r="J1270" i="229" s="1"/>
  <c r="I2726" i="229"/>
  <c r="J2726" i="229" s="1"/>
  <c r="J2737" i="229" s="1"/>
  <c r="I1048" i="288"/>
  <c r="J1048" i="288" s="1"/>
  <c r="J1057" i="288" s="1"/>
  <c r="C3317" i="229"/>
  <c r="D3317" i="229" s="1"/>
  <c r="I3397" i="229"/>
  <c r="J3397" i="229" s="1"/>
  <c r="J3409" i="229" s="1"/>
  <c r="R15" i="263"/>
  <c r="R81" i="264"/>
  <c r="R51" i="264"/>
  <c r="R15" i="264"/>
  <c r="AC15" i="264" s="1"/>
  <c r="R41" i="264"/>
  <c r="R38" i="264"/>
  <c r="R82" i="264"/>
  <c r="R74" i="264"/>
  <c r="AC74" i="264" s="1"/>
  <c r="R58" i="264"/>
  <c r="R55" i="264"/>
  <c r="R76" i="264"/>
  <c r="C427" i="229"/>
  <c r="D427" i="229" s="1"/>
  <c r="C1849" i="229"/>
  <c r="D1849" i="229" s="1"/>
  <c r="D1860" i="229" s="1"/>
  <c r="C1575" i="288"/>
  <c r="D1575" i="288" s="1"/>
  <c r="D1584" i="288" s="1"/>
  <c r="R80" i="264"/>
  <c r="I805" i="288"/>
  <c r="J805" i="288" s="1"/>
  <c r="J814" i="288" s="1"/>
  <c r="R37" i="264"/>
  <c r="I906" i="229"/>
  <c r="J906" i="229" s="1"/>
  <c r="J917" i="229" s="1"/>
  <c r="C841" i="229"/>
  <c r="D841" i="229" s="1"/>
  <c r="D852" i="229" s="1"/>
  <c r="I257" i="229"/>
  <c r="J257" i="229" s="1"/>
  <c r="I2287" i="288"/>
  <c r="J2287" i="288" s="1"/>
  <c r="C669" i="328"/>
  <c r="E669" i="328" s="1"/>
  <c r="R77" i="264"/>
  <c r="R45" i="264"/>
  <c r="AC45" i="264" s="1"/>
  <c r="R56" i="264"/>
  <c r="R67" i="264"/>
  <c r="C3294" i="229"/>
  <c r="D3294" i="229" s="1"/>
  <c r="D3305" i="229" s="1"/>
  <c r="R44" i="264"/>
  <c r="AC44" i="264" s="1"/>
  <c r="C321" i="288"/>
  <c r="D321" i="288" s="1"/>
  <c r="D330" i="288" s="1"/>
  <c r="S97" i="257"/>
  <c r="S98" i="31" s="1"/>
  <c r="Q91" i="257"/>
  <c r="T98" i="257"/>
  <c r="I710" i="328" s="1"/>
  <c r="K710" i="328" s="1"/>
  <c r="T97" i="257"/>
  <c r="AP318" i="115"/>
  <c r="AA10" i="115"/>
  <c r="AA461" i="115" s="1"/>
  <c r="Q21" i="263"/>
  <c r="O14" i="263"/>
  <c r="O21" i="263" s="1"/>
  <c r="S95" i="257"/>
  <c r="S96" i="31" s="1"/>
  <c r="S98" i="257"/>
  <c r="S99" i="31" s="1"/>
  <c r="P98" i="257"/>
  <c r="P99" i="31" s="1"/>
  <c r="P95" i="257"/>
  <c r="P96" i="31" s="1"/>
  <c r="P97" i="257"/>
  <c r="P98" i="31" s="1"/>
  <c r="R10" i="321"/>
  <c r="R9" i="321" s="1"/>
  <c r="R180" i="321" s="1"/>
  <c r="U85" i="321"/>
  <c r="U10" i="321" s="1"/>
  <c r="U9" i="321" s="1"/>
  <c r="U180" i="321" s="1"/>
  <c r="S96" i="257"/>
  <c r="S97" i="31" s="1"/>
  <c r="T96" i="257"/>
  <c r="I693" i="328" s="1"/>
  <c r="K693" i="328" s="1"/>
  <c r="P91" i="257"/>
  <c r="P92" i="31" s="1"/>
  <c r="T91" i="257"/>
  <c r="P94" i="257"/>
  <c r="Z94" i="257" s="1"/>
  <c r="P92" i="257"/>
  <c r="Z92" i="257" s="1"/>
  <c r="AC81" i="264" l="1"/>
  <c r="AC26" i="264"/>
  <c r="AC46" i="264"/>
  <c r="AC81" i="261"/>
  <c r="AD81" i="261" s="1"/>
  <c r="AE81" i="261" s="1"/>
  <c r="AC73" i="264"/>
  <c r="AC28" i="264"/>
  <c r="AC16" i="264"/>
  <c r="AC64" i="264"/>
  <c r="AC19" i="264"/>
  <c r="AC37" i="265"/>
  <c r="AD37" i="265" s="1"/>
  <c r="AE37" i="265" s="1"/>
  <c r="AC24" i="264"/>
  <c r="AC69" i="264"/>
  <c r="AC29" i="264"/>
  <c r="AC47" i="264"/>
  <c r="AC38" i="265"/>
  <c r="AD38" i="265" s="1"/>
  <c r="AE38" i="265" s="1"/>
  <c r="AC72" i="264"/>
  <c r="AC70" i="265"/>
  <c r="AD70" i="265" s="1"/>
  <c r="AE70" i="265" s="1"/>
  <c r="AC35" i="265"/>
  <c r="AD35" i="265" s="1"/>
  <c r="AE35" i="265" s="1"/>
  <c r="AC78" i="264"/>
  <c r="AC54" i="262"/>
  <c r="AD54" i="262" s="1"/>
  <c r="AE54" i="262" s="1"/>
  <c r="AG54" i="262" s="1"/>
  <c r="AC68" i="264"/>
  <c r="AC51" i="262"/>
  <c r="AD51" i="262" s="1"/>
  <c r="AE51" i="262" s="1"/>
  <c r="AG51" i="262" s="1"/>
  <c r="M90" i="31"/>
  <c r="K90" i="31"/>
  <c r="K108" i="257"/>
  <c r="AC59" i="261"/>
  <c r="AD59" i="261" s="1"/>
  <c r="AE59" i="261" s="1"/>
  <c r="Z91" i="31"/>
  <c r="Z96" i="31"/>
  <c r="Z99" i="257"/>
  <c r="AA99" i="257" s="1"/>
  <c r="AB99" i="257" s="1"/>
  <c r="Z95" i="257"/>
  <c r="AA95" i="257" s="1"/>
  <c r="AB95" i="257" s="1"/>
  <c r="O90" i="31"/>
  <c r="AA106" i="257"/>
  <c r="AB106" i="257" s="1"/>
  <c r="S107" i="31"/>
  <c r="Z107" i="31" s="1"/>
  <c r="I103" i="334" s="1"/>
  <c r="J103" i="334" s="1"/>
  <c r="M103" i="334" s="1"/>
  <c r="Z90" i="257"/>
  <c r="AA90" i="257" s="1"/>
  <c r="AB90" i="257" s="1"/>
  <c r="Z107" i="257"/>
  <c r="Z98" i="31"/>
  <c r="AC76" i="264"/>
  <c r="AD76" i="264" s="1"/>
  <c r="AE76" i="264" s="1"/>
  <c r="AC82" i="264"/>
  <c r="AG82" i="264" s="1"/>
  <c r="AC36" i="265"/>
  <c r="AD36" i="265" s="1"/>
  <c r="AE36" i="265" s="1"/>
  <c r="AC17" i="264"/>
  <c r="AG17" i="264" s="1"/>
  <c r="AC62" i="264"/>
  <c r="AG62" i="264" s="1"/>
  <c r="AC36" i="264"/>
  <c r="AD36" i="264" s="1"/>
  <c r="AE36" i="264" s="1"/>
  <c r="AC98" i="265"/>
  <c r="AD98" i="265" s="1"/>
  <c r="AE98" i="265" s="1"/>
  <c r="N3276" i="288" s="1"/>
  <c r="AC34" i="264"/>
  <c r="AD34" i="264" s="1"/>
  <c r="AE34" i="264" s="1"/>
  <c r="AC71" i="264"/>
  <c r="AD71" i="264" s="1"/>
  <c r="AE71" i="264" s="1"/>
  <c r="AC31" i="264"/>
  <c r="AG31" i="264" s="1"/>
  <c r="AC70" i="264"/>
  <c r="AG70" i="264" s="1"/>
  <c r="AC30" i="264"/>
  <c r="AG30" i="264" s="1"/>
  <c r="AC51" i="265"/>
  <c r="AD51" i="265" s="1"/>
  <c r="AE51" i="265" s="1"/>
  <c r="AC55" i="265"/>
  <c r="AD55" i="265" s="1"/>
  <c r="AE55" i="265" s="1"/>
  <c r="AC20" i="264"/>
  <c r="AG20" i="264" s="1"/>
  <c r="AC23" i="264"/>
  <c r="AG23" i="264" s="1"/>
  <c r="AC65" i="265"/>
  <c r="AD65" i="265" s="1"/>
  <c r="AE65" i="265" s="1"/>
  <c r="AC67" i="265"/>
  <c r="AD67" i="265" s="1"/>
  <c r="AE67" i="265" s="1"/>
  <c r="AC23" i="258"/>
  <c r="AD23" i="258" s="1"/>
  <c r="AE23" i="258" s="1"/>
  <c r="AC35" i="264"/>
  <c r="AD35" i="264" s="1"/>
  <c r="AE35" i="264" s="1"/>
  <c r="AC30" i="265"/>
  <c r="AD30" i="265" s="1"/>
  <c r="AE30" i="265" s="1"/>
  <c r="AC22" i="264"/>
  <c r="AD22" i="264" s="1"/>
  <c r="AE22" i="264" s="1"/>
  <c r="AC28" i="262"/>
  <c r="AD28" i="262" s="1"/>
  <c r="AE28" i="262" s="1"/>
  <c r="AG28" i="262" s="1"/>
  <c r="AC77" i="264"/>
  <c r="AD77" i="264" s="1"/>
  <c r="AE77" i="264" s="1"/>
  <c r="AC80" i="264"/>
  <c r="AD80" i="264" s="1"/>
  <c r="AE80" i="264" s="1"/>
  <c r="AC51" i="264"/>
  <c r="AD51" i="264" s="1"/>
  <c r="AE51" i="264" s="1"/>
  <c r="AC91" i="265"/>
  <c r="AD91" i="265" s="1"/>
  <c r="AE91" i="265" s="1"/>
  <c r="AC67" i="264"/>
  <c r="AD67" i="264" s="1"/>
  <c r="AE67" i="264" s="1"/>
  <c r="AC55" i="264"/>
  <c r="AG55" i="264" s="1"/>
  <c r="AC38" i="264"/>
  <c r="AG38" i="264" s="1"/>
  <c r="AC97" i="265"/>
  <c r="AD97" i="265" s="1"/>
  <c r="AE97" i="265" s="1"/>
  <c r="AC34" i="265"/>
  <c r="AD34" i="265" s="1"/>
  <c r="AE34" i="265" s="1"/>
  <c r="AC53" i="264"/>
  <c r="AG53" i="264" s="1"/>
  <c r="AC60" i="264"/>
  <c r="AG60" i="264" s="1"/>
  <c r="AC65" i="264"/>
  <c r="AD65" i="264" s="1"/>
  <c r="AE65" i="264" s="1"/>
  <c r="AC33" i="264"/>
  <c r="AD33" i="264" s="1"/>
  <c r="AE33" i="264" s="1"/>
  <c r="AC32" i="264"/>
  <c r="AG32" i="264" s="1"/>
  <c r="AC76" i="265"/>
  <c r="AD76" i="265" s="1"/>
  <c r="AE76" i="265" s="1"/>
  <c r="AC61" i="264"/>
  <c r="AG61" i="264" s="1"/>
  <c r="AC25" i="264"/>
  <c r="AG25" i="264" s="1"/>
  <c r="AC21" i="264"/>
  <c r="AG21" i="264" s="1"/>
  <c r="AC88" i="265"/>
  <c r="AD88" i="265" s="1"/>
  <c r="AE88" i="265" s="1"/>
  <c r="AC78" i="265"/>
  <c r="AD78" i="265" s="1"/>
  <c r="AE78" i="265" s="1"/>
  <c r="AC59" i="264"/>
  <c r="AG59" i="264" s="1"/>
  <c r="AC92" i="265"/>
  <c r="AD92" i="265" s="1"/>
  <c r="AE92" i="265" s="1"/>
  <c r="AC63" i="264"/>
  <c r="AG63" i="264" s="1"/>
  <c r="AC62" i="262"/>
  <c r="AD62" i="262" s="1"/>
  <c r="AE62" i="262" s="1"/>
  <c r="AG62" i="262" s="1"/>
  <c r="AC86" i="265"/>
  <c r="AD86" i="265" s="1"/>
  <c r="AE86" i="265" s="1"/>
  <c r="AC18" i="264"/>
  <c r="AD18" i="264" s="1"/>
  <c r="AE18" i="264" s="1"/>
  <c r="AC42" i="264"/>
  <c r="AG42" i="264" s="1"/>
  <c r="AC24" i="258"/>
  <c r="AD24" i="258" s="1"/>
  <c r="AE24" i="258" s="1"/>
  <c r="AC52" i="264"/>
  <c r="AG52" i="264" s="1"/>
  <c r="AC48" i="262"/>
  <c r="AD48" i="262" s="1"/>
  <c r="AE48" i="262" s="1"/>
  <c r="AG48" i="262" s="1"/>
  <c r="AC95" i="265"/>
  <c r="AD95" i="265" s="1"/>
  <c r="AE95" i="265" s="1"/>
  <c r="AC99" i="261"/>
  <c r="AD99" i="261" s="1"/>
  <c r="AE99" i="261" s="1"/>
  <c r="Z99" i="31"/>
  <c r="I95" i="334" s="1"/>
  <c r="AC56" i="264"/>
  <c r="AD56" i="264" s="1"/>
  <c r="AE56" i="264" s="1"/>
  <c r="AC37" i="264"/>
  <c r="AG37" i="264" s="1"/>
  <c r="AC58" i="264"/>
  <c r="AG58" i="264" s="1"/>
  <c r="AC41" i="264"/>
  <c r="AD41" i="264" s="1"/>
  <c r="AE41" i="264" s="1"/>
  <c r="AC27" i="264"/>
  <c r="AD27" i="264" s="1"/>
  <c r="AE27" i="264" s="1"/>
  <c r="AC40" i="264"/>
  <c r="AD40" i="264" s="1"/>
  <c r="AE40" i="264" s="1"/>
  <c r="AC50" i="264"/>
  <c r="AG50" i="264" s="1"/>
  <c r="AC83" i="264"/>
  <c r="AG83" i="264" s="1"/>
  <c r="AC49" i="264"/>
  <c r="AD49" i="264" s="1"/>
  <c r="AE49" i="264" s="1"/>
  <c r="AC32" i="265"/>
  <c r="AD32" i="265" s="1"/>
  <c r="AE32" i="265" s="1"/>
  <c r="AC75" i="264"/>
  <c r="AG75" i="264" s="1"/>
  <c r="AC15" i="258"/>
  <c r="AD15" i="258" s="1"/>
  <c r="AE15" i="258" s="1"/>
  <c r="I15" i="31"/>
  <c r="I185" i="31" s="1"/>
  <c r="AC85" i="265"/>
  <c r="AD85" i="265" s="1"/>
  <c r="AE85" i="265" s="1"/>
  <c r="AC56" i="262"/>
  <c r="AD56" i="262" s="1"/>
  <c r="AE56" i="262" s="1"/>
  <c r="AG56" i="262" s="1"/>
  <c r="AC66" i="264"/>
  <c r="AG66" i="264" s="1"/>
  <c r="AC62" i="265"/>
  <c r="AD62" i="265" s="1"/>
  <c r="AE62" i="265" s="1"/>
  <c r="AC74" i="265"/>
  <c r="AD74" i="265" s="1"/>
  <c r="AE74" i="265" s="1"/>
  <c r="O15" i="262"/>
  <c r="O78" i="262" s="1"/>
  <c r="Z98" i="257"/>
  <c r="AA98" i="257" s="1"/>
  <c r="AB98" i="257" s="1"/>
  <c r="Z97" i="257"/>
  <c r="O97" i="31"/>
  <c r="Z97" i="31" s="1"/>
  <c r="I93" i="334" s="1"/>
  <c r="Z96" i="257"/>
  <c r="AC64" i="262"/>
  <c r="AD64" i="262" s="1"/>
  <c r="AE64" i="262" s="1"/>
  <c r="AG64" i="262" s="1"/>
  <c r="AC15" i="266"/>
  <c r="AD15" i="266" s="1"/>
  <c r="AE15" i="266" s="1"/>
  <c r="AC17" i="262"/>
  <c r="AD17" i="262" s="1"/>
  <c r="AE17" i="262" s="1"/>
  <c r="AG17" i="262" s="1"/>
  <c r="AC84" i="264"/>
  <c r="AG84" i="264" s="1"/>
  <c r="AC18" i="258"/>
  <c r="AD18" i="258" s="1"/>
  <c r="AE18" i="258" s="1"/>
  <c r="AC61" i="261"/>
  <c r="AD61" i="261" s="1"/>
  <c r="AE61" i="261" s="1"/>
  <c r="AC53" i="261"/>
  <c r="AD53" i="261" s="1"/>
  <c r="AE53" i="261" s="1"/>
  <c r="AC22" i="258"/>
  <c r="AD22" i="258" s="1"/>
  <c r="AE22" i="258" s="1"/>
  <c r="AC15" i="263"/>
  <c r="AD15" i="263" s="1"/>
  <c r="AE15" i="263" s="1"/>
  <c r="AC17" i="258"/>
  <c r="AD17" i="258" s="1"/>
  <c r="AE17" i="258" s="1"/>
  <c r="AC57" i="264"/>
  <c r="AG57" i="264" s="1"/>
  <c r="AC39" i="264"/>
  <c r="AG39" i="264" s="1"/>
  <c r="AC48" i="264"/>
  <c r="AD48" i="264" s="1"/>
  <c r="AE48" i="264" s="1"/>
  <c r="AC54" i="264"/>
  <c r="AD54" i="264" s="1"/>
  <c r="AE54" i="264" s="1"/>
  <c r="AC43" i="264"/>
  <c r="AD43" i="264" s="1"/>
  <c r="AE43" i="264" s="1"/>
  <c r="AC49" i="265"/>
  <c r="AD49" i="265" s="1"/>
  <c r="AE49" i="265" s="1"/>
  <c r="Z100" i="31"/>
  <c r="I96" i="334" s="1"/>
  <c r="J96" i="334" s="1"/>
  <c r="M96" i="334" s="1"/>
  <c r="Z103" i="31"/>
  <c r="I99" i="334" s="1"/>
  <c r="Z108" i="31"/>
  <c r="I104" i="334" s="1"/>
  <c r="J104" i="334" s="1"/>
  <c r="M104" i="334" s="1"/>
  <c r="Z106" i="31"/>
  <c r="I102" i="334" s="1"/>
  <c r="J102" i="334" s="1"/>
  <c r="M102" i="334" s="1"/>
  <c r="C1417" i="229"/>
  <c r="Z104" i="31"/>
  <c r="AA104" i="31" s="1"/>
  <c r="AC104" i="31" s="1"/>
  <c r="Z102" i="31"/>
  <c r="I98" i="334" s="1"/>
  <c r="Z105" i="31"/>
  <c r="I87" i="334"/>
  <c r="I721" i="328"/>
  <c r="K721" i="328" s="1"/>
  <c r="Z101" i="31"/>
  <c r="I97" i="334" s="1"/>
  <c r="I92" i="334"/>
  <c r="I94" i="334"/>
  <c r="I101" i="334"/>
  <c r="AC52" i="262"/>
  <c r="AD52" i="262" s="1"/>
  <c r="AE52" i="262" s="1"/>
  <c r="AG52" i="262" s="1"/>
  <c r="J27" i="288"/>
  <c r="AC44" i="262"/>
  <c r="AD44" i="262" s="1"/>
  <c r="AE44" i="262" s="1"/>
  <c r="AG44" i="262" s="1"/>
  <c r="AC20" i="258"/>
  <c r="AD20" i="258" s="1"/>
  <c r="AE20" i="258" s="1"/>
  <c r="AC24" i="265"/>
  <c r="AD24" i="265" s="1"/>
  <c r="AE24" i="265" s="1"/>
  <c r="AC66" i="262"/>
  <c r="AD66" i="262" s="1"/>
  <c r="AE66" i="262" s="1"/>
  <c r="AG66" i="262" s="1"/>
  <c r="AC18" i="262"/>
  <c r="AD18" i="262" s="1"/>
  <c r="AE18" i="262" s="1"/>
  <c r="AG18" i="262" s="1"/>
  <c r="AC17" i="266"/>
  <c r="AD17" i="266" s="1"/>
  <c r="AE17" i="266" s="1"/>
  <c r="C743" i="328"/>
  <c r="E743" i="328" s="1"/>
  <c r="S91" i="257"/>
  <c r="S92" i="31" s="1"/>
  <c r="Q92" i="31"/>
  <c r="AA92" i="257"/>
  <c r="AB92" i="257" s="1"/>
  <c r="P93" i="31"/>
  <c r="AA94" i="257"/>
  <c r="AB94" i="257" s="1"/>
  <c r="P95" i="31"/>
  <c r="AC20" i="265"/>
  <c r="AD20" i="265" s="1"/>
  <c r="AE20" i="265" s="1"/>
  <c r="J2553" i="288"/>
  <c r="AC42" i="265"/>
  <c r="AD42" i="265" s="1"/>
  <c r="AE42" i="265" s="1"/>
  <c r="AC49" i="262"/>
  <c r="AD49" i="262" s="1"/>
  <c r="AE49" i="262" s="1"/>
  <c r="AG49" i="262" s="1"/>
  <c r="AC38" i="261"/>
  <c r="AD38" i="261" s="1"/>
  <c r="AE38" i="261" s="1"/>
  <c r="AC50" i="261"/>
  <c r="AD50" i="261" s="1"/>
  <c r="AE50" i="261" s="1"/>
  <c r="D183" i="288"/>
  <c r="AC82" i="261"/>
  <c r="AD82" i="261" s="1"/>
  <c r="AE82" i="261" s="1"/>
  <c r="AC54" i="265"/>
  <c r="AD54" i="265" s="1"/>
  <c r="AE54" i="265" s="1"/>
  <c r="V15" i="31"/>
  <c r="V185" i="31" s="1"/>
  <c r="D73" i="283" s="1"/>
  <c r="G73" i="283" s="1"/>
  <c r="H73" i="283" s="1"/>
  <c r="AA105" i="31"/>
  <c r="AC105" i="31" s="1"/>
  <c r="AC58" i="262"/>
  <c r="AD58" i="262" s="1"/>
  <c r="AE58" i="262" s="1"/>
  <c r="AG58" i="262" s="1"/>
  <c r="AC71" i="265"/>
  <c r="AD71" i="265" s="1"/>
  <c r="AE71" i="265" s="1"/>
  <c r="AC29" i="262"/>
  <c r="AD29" i="262" s="1"/>
  <c r="AE29" i="262" s="1"/>
  <c r="AG29" i="262" s="1"/>
  <c r="AC33" i="265"/>
  <c r="AD33" i="265" s="1"/>
  <c r="AE33" i="265" s="1"/>
  <c r="AC21" i="258"/>
  <c r="AD21" i="258" s="1"/>
  <c r="AE21" i="258" s="1"/>
  <c r="AC35" i="262"/>
  <c r="AD35" i="262" s="1"/>
  <c r="AE35" i="262" s="1"/>
  <c r="AG35" i="262" s="1"/>
  <c r="AC31" i="261"/>
  <c r="AD31" i="261" s="1"/>
  <c r="AE31" i="261" s="1"/>
  <c r="AC71" i="262"/>
  <c r="AD71" i="262" s="1"/>
  <c r="AE71" i="262" s="1"/>
  <c r="AG71" i="262" s="1"/>
  <c r="AC27" i="265"/>
  <c r="AD27" i="265" s="1"/>
  <c r="AE27" i="265" s="1"/>
  <c r="AC72" i="262"/>
  <c r="AD72" i="262" s="1"/>
  <c r="AE72" i="262" s="1"/>
  <c r="AG72" i="262" s="1"/>
  <c r="AC94" i="261"/>
  <c r="AD94" i="261" s="1"/>
  <c r="AE94" i="261" s="1"/>
  <c r="AC32" i="261"/>
  <c r="AD32" i="261" s="1"/>
  <c r="AE32" i="261" s="1"/>
  <c r="D326" i="288"/>
  <c r="AC76" i="262"/>
  <c r="AD76" i="262" s="1"/>
  <c r="AE76" i="262" s="1"/>
  <c r="AG76" i="262" s="1"/>
  <c r="S93" i="257"/>
  <c r="S94" i="31" s="1"/>
  <c r="Z94" i="31" s="1"/>
  <c r="I90" i="334" s="1"/>
  <c r="AC57" i="261"/>
  <c r="AD57" i="261" s="1"/>
  <c r="AE57" i="261" s="1"/>
  <c r="AC35" i="261"/>
  <c r="AD35" i="261" s="1"/>
  <c r="AE35" i="261" s="1"/>
  <c r="AC75" i="261"/>
  <c r="AD75" i="261" s="1"/>
  <c r="AE75" i="261" s="1"/>
  <c r="AC75" i="262"/>
  <c r="AD75" i="262" s="1"/>
  <c r="AE75" i="262" s="1"/>
  <c r="AG75" i="262" s="1"/>
  <c r="AC77" i="262"/>
  <c r="AD77" i="262" s="1"/>
  <c r="AE77" i="262" s="1"/>
  <c r="AG77" i="262" s="1"/>
  <c r="AC24" i="262"/>
  <c r="AD24" i="262" s="1"/>
  <c r="AE24" i="262" s="1"/>
  <c r="AG24" i="262" s="1"/>
  <c r="AC38" i="262"/>
  <c r="AD38" i="262" s="1"/>
  <c r="AE38" i="262" s="1"/>
  <c r="AG38" i="262" s="1"/>
  <c r="AC87" i="261"/>
  <c r="AD87" i="261" s="1"/>
  <c r="AE87" i="261" s="1"/>
  <c r="AC19" i="261"/>
  <c r="AD19" i="261" s="1"/>
  <c r="AE19" i="261" s="1"/>
  <c r="AC62" i="261"/>
  <c r="AD62" i="261" s="1"/>
  <c r="AE62" i="261" s="1"/>
  <c r="AC26" i="261"/>
  <c r="AD26" i="261" s="1"/>
  <c r="AE26" i="261" s="1"/>
  <c r="AC34" i="261"/>
  <c r="AD34" i="261" s="1"/>
  <c r="AE34" i="261" s="1"/>
  <c r="AC64" i="265"/>
  <c r="AD64" i="265" s="1"/>
  <c r="AE64" i="265" s="1"/>
  <c r="AC67" i="262"/>
  <c r="AD67" i="262" s="1"/>
  <c r="AE67" i="262" s="1"/>
  <c r="AG67" i="262" s="1"/>
  <c r="AC48" i="261"/>
  <c r="AD48" i="261" s="1"/>
  <c r="AE48" i="261" s="1"/>
  <c r="AC29" i="265"/>
  <c r="AD29" i="265" s="1"/>
  <c r="AE29" i="265" s="1"/>
  <c r="AC28" i="265"/>
  <c r="AD28" i="265" s="1"/>
  <c r="AE28" i="265" s="1"/>
  <c r="AC56" i="261"/>
  <c r="AD56" i="261" s="1"/>
  <c r="AE56" i="261" s="1"/>
  <c r="AC16" i="265"/>
  <c r="AD16" i="265" s="1"/>
  <c r="AE16" i="265" s="1"/>
  <c r="AC26" i="262"/>
  <c r="AD26" i="262" s="1"/>
  <c r="AE26" i="262" s="1"/>
  <c r="AG26" i="262" s="1"/>
  <c r="AC32" i="262"/>
  <c r="AD32" i="262" s="1"/>
  <c r="AE32" i="262" s="1"/>
  <c r="AG32" i="262" s="1"/>
  <c r="AC50" i="262"/>
  <c r="AD50" i="262" s="1"/>
  <c r="AE50" i="262" s="1"/>
  <c r="AG50" i="262" s="1"/>
  <c r="AC68" i="262"/>
  <c r="AD68" i="262" s="1"/>
  <c r="AE68" i="262" s="1"/>
  <c r="AG68" i="262" s="1"/>
  <c r="AC69" i="265"/>
  <c r="AD69" i="265" s="1"/>
  <c r="AE69" i="265" s="1"/>
  <c r="AC16" i="262"/>
  <c r="AD16" i="262" s="1"/>
  <c r="AE16" i="262" s="1"/>
  <c r="AG16" i="262" s="1"/>
  <c r="AC20" i="262"/>
  <c r="AD20" i="262" s="1"/>
  <c r="AE20" i="262" s="1"/>
  <c r="AG20" i="262" s="1"/>
  <c r="AC18" i="265"/>
  <c r="AD18" i="265" s="1"/>
  <c r="AE18" i="265" s="1"/>
  <c r="AC83" i="265"/>
  <c r="AD83" i="265" s="1"/>
  <c r="AE83" i="265" s="1"/>
  <c r="AC86" i="261"/>
  <c r="AD86" i="261" s="1"/>
  <c r="AE86" i="261" s="1"/>
  <c r="AC24" i="261"/>
  <c r="AD24" i="261" s="1"/>
  <c r="AE24" i="261" s="1"/>
  <c r="AC37" i="261"/>
  <c r="AD37" i="261" s="1"/>
  <c r="AE37" i="261" s="1"/>
  <c r="AC19" i="263"/>
  <c r="AD19" i="263" s="1"/>
  <c r="AE19" i="263" s="1"/>
  <c r="AC90" i="265"/>
  <c r="AD90" i="265" s="1"/>
  <c r="AE90" i="265" s="1"/>
  <c r="AC77" i="265"/>
  <c r="AD77" i="265" s="1"/>
  <c r="AE77" i="265" s="1"/>
  <c r="AC19" i="258"/>
  <c r="AD19" i="258" s="1"/>
  <c r="AE19" i="258" s="1"/>
  <c r="AC76" i="261"/>
  <c r="AD76" i="261" s="1"/>
  <c r="AE76" i="261" s="1"/>
  <c r="AC66" i="265"/>
  <c r="AD66" i="265" s="1"/>
  <c r="AE66" i="265" s="1"/>
  <c r="AC90" i="261"/>
  <c r="AD90" i="261" s="1"/>
  <c r="AE90" i="261" s="1"/>
  <c r="AC73" i="262"/>
  <c r="AD73" i="262" s="1"/>
  <c r="AE73" i="262" s="1"/>
  <c r="AG73" i="262" s="1"/>
  <c r="AC100" i="261"/>
  <c r="AD100" i="261" s="1"/>
  <c r="AE100" i="261" s="1"/>
  <c r="AC19" i="266"/>
  <c r="AD19" i="266" s="1"/>
  <c r="AE19" i="266" s="1"/>
  <c r="AC81" i="265"/>
  <c r="AD81" i="265" s="1"/>
  <c r="AE81" i="265" s="1"/>
  <c r="AC41" i="261"/>
  <c r="AD41" i="261" s="1"/>
  <c r="AE41" i="261" s="1"/>
  <c r="AC17" i="263"/>
  <c r="AD17" i="263" s="1"/>
  <c r="AE17" i="263" s="1"/>
  <c r="AC82" i="265"/>
  <c r="AD82" i="265" s="1"/>
  <c r="AE82" i="265" s="1"/>
  <c r="AC85" i="261"/>
  <c r="AD85" i="261" s="1"/>
  <c r="AE85" i="261" s="1"/>
  <c r="AC96" i="261"/>
  <c r="AD96" i="261" s="1"/>
  <c r="AE96" i="261" s="1"/>
  <c r="AC91" i="261"/>
  <c r="AD91" i="261" s="1"/>
  <c r="AE91" i="261" s="1"/>
  <c r="AC60" i="262"/>
  <c r="AD60" i="262" s="1"/>
  <c r="AE60" i="262" s="1"/>
  <c r="AG60" i="262" s="1"/>
  <c r="AC95" i="261"/>
  <c r="AD95" i="261" s="1"/>
  <c r="AE95" i="261" s="1"/>
  <c r="AC67" i="261"/>
  <c r="AD67" i="261" s="1"/>
  <c r="AE67" i="261" s="1"/>
  <c r="AC63" i="265"/>
  <c r="AD63" i="265" s="1"/>
  <c r="AE63" i="265" s="1"/>
  <c r="AC26" i="265"/>
  <c r="AD26" i="265" s="1"/>
  <c r="AE26" i="265" s="1"/>
  <c r="AC19" i="262"/>
  <c r="AD19" i="262" s="1"/>
  <c r="AE19" i="262" s="1"/>
  <c r="AG19" i="262" s="1"/>
  <c r="AC56" i="265"/>
  <c r="AD56" i="265" s="1"/>
  <c r="AE56" i="265" s="1"/>
  <c r="AC80" i="265"/>
  <c r="AD80" i="265" s="1"/>
  <c r="AE80" i="265" s="1"/>
  <c r="AC93" i="265"/>
  <c r="AD93" i="265" s="1"/>
  <c r="AE93" i="265" s="1"/>
  <c r="D297" i="288"/>
  <c r="AC42" i="261"/>
  <c r="AD42" i="261" s="1"/>
  <c r="AE42" i="261" s="1"/>
  <c r="AC65" i="262"/>
  <c r="AD65" i="262" s="1"/>
  <c r="AE65" i="262" s="1"/>
  <c r="AG65" i="262" s="1"/>
  <c r="AC72" i="265"/>
  <c r="AD72" i="265" s="1"/>
  <c r="AE72" i="265" s="1"/>
  <c r="D1421" i="229"/>
  <c r="AC50" i="265"/>
  <c r="AD50" i="265" s="1"/>
  <c r="AE50" i="265" s="1"/>
  <c r="AC33" i="261"/>
  <c r="AD33" i="261" s="1"/>
  <c r="AE33" i="261" s="1"/>
  <c r="AC61" i="262"/>
  <c r="AD61" i="262" s="1"/>
  <c r="AE61" i="262" s="1"/>
  <c r="AG61" i="262" s="1"/>
  <c r="AC63" i="262"/>
  <c r="AD63" i="262" s="1"/>
  <c r="AE63" i="262" s="1"/>
  <c r="AG63" i="262" s="1"/>
  <c r="AC18" i="261"/>
  <c r="AD18" i="261" s="1"/>
  <c r="AE18" i="261" s="1"/>
  <c r="AC33" i="262"/>
  <c r="AD33" i="262" s="1"/>
  <c r="AE33" i="262" s="1"/>
  <c r="AG33" i="262" s="1"/>
  <c r="AC70" i="261"/>
  <c r="AD70" i="261" s="1"/>
  <c r="AE70" i="261" s="1"/>
  <c r="AC39" i="265"/>
  <c r="AD39" i="265" s="1"/>
  <c r="AE39" i="265" s="1"/>
  <c r="AC25" i="261"/>
  <c r="AD25" i="261" s="1"/>
  <c r="AE25" i="261" s="1"/>
  <c r="AC55" i="261"/>
  <c r="AD55" i="261" s="1"/>
  <c r="AE55" i="261" s="1"/>
  <c r="AC43" i="261"/>
  <c r="AD43" i="261" s="1"/>
  <c r="AE43" i="261" s="1"/>
  <c r="AC44" i="261"/>
  <c r="AD44" i="261" s="1"/>
  <c r="AE44" i="261" s="1"/>
  <c r="AC34" i="262"/>
  <c r="AD34" i="262" s="1"/>
  <c r="AE34" i="262" s="1"/>
  <c r="AG34" i="262" s="1"/>
  <c r="AC70" i="262"/>
  <c r="AD70" i="262" s="1"/>
  <c r="AE70" i="262" s="1"/>
  <c r="AG70" i="262" s="1"/>
  <c r="AC65" i="261"/>
  <c r="AD65" i="261" s="1"/>
  <c r="AE65" i="261" s="1"/>
  <c r="AC73" i="261"/>
  <c r="AD73" i="261" s="1"/>
  <c r="AE73" i="261" s="1"/>
  <c r="AC41" i="265"/>
  <c r="AD41" i="265" s="1"/>
  <c r="AE41" i="265" s="1"/>
  <c r="AC43" i="262"/>
  <c r="AD43" i="262" s="1"/>
  <c r="AE43" i="262" s="1"/>
  <c r="AG43" i="262" s="1"/>
  <c r="AC28" i="261"/>
  <c r="AD28" i="261" s="1"/>
  <c r="AE28" i="261" s="1"/>
  <c r="AC22" i="261"/>
  <c r="AD22" i="261" s="1"/>
  <c r="AE22" i="261" s="1"/>
  <c r="AC36" i="262"/>
  <c r="AD36" i="262" s="1"/>
  <c r="AE36" i="262" s="1"/>
  <c r="AG36" i="262" s="1"/>
  <c r="AC45" i="261"/>
  <c r="AD45" i="261" s="1"/>
  <c r="AE45" i="261" s="1"/>
  <c r="AC15" i="265"/>
  <c r="AD15" i="265" s="1"/>
  <c r="AE15" i="265" s="1"/>
  <c r="AC22" i="262"/>
  <c r="AD22" i="262" s="1"/>
  <c r="AE22" i="262" s="1"/>
  <c r="AG22" i="262" s="1"/>
  <c r="AC74" i="261"/>
  <c r="AD74" i="261" s="1"/>
  <c r="AE74" i="261" s="1"/>
  <c r="AC25" i="265"/>
  <c r="AD25" i="265" s="1"/>
  <c r="AE25" i="265" s="1"/>
  <c r="AC93" i="261"/>
  <c r="AD93" i="261" s="1"/>
  <c r="AE93" i="261" s="1"/>
  <c r="AC43" i="265"/>
  <c r="AD43" i="265" s="1"/>
  <c r="AE43" i="265" s="1"/>
  <c r="AC53" i="262"/>
  <c r="AD53" i="262" s="1"/>
  <c r="AE53" i="262" s="1"/>
  <c r="AG53" i="262" s="1"/>
  <c r="AC25" i="262"/>
  <c r="AD25" i="262" s="1"/>
  <c r="AE25" i="262" s="1"/>
  <c r="AG25" i="262" s="1"/>
  <c r="AC19" i="265"/>
  <c r="AD19" i="265" s="1"/>
  <c r="AE19" i="265" s="1"/>
  <c r="AC54" i="261"/>
  <c r="AD54" i="261" s="1"/>
  <c r="AE54" i="261" s="1"/>
  <c r="AC27" i="261"/>
  <c r="AD27" i="261" s="1"/>
  <c r="AE27" i="261" s="1"/>
  <c r="AC75" i="265"/>
  <c r="AD75" i="265" s="1"/>
  <c r="AE75" i="265" s="1"/>
  <c r="AC30" i="261"/>
  <c r="AD30" i="261" s="1"/>
  <c r="AE30" i="261" s="1"/>
  <c r="AC21" i="262"/>
  <c r="AD21" i="262" s="1"/>
  <c r="AE21" i="262" s="1"/>
  <c r="AG21" i="262" s="1"/>
  <c r="AC45" i="265"/>
  <c r="AD45" i="265" s="1"/>
  <c r="AE45" i="265" s="1"/>
  <c r="AC16" i="263"/>
  <c r="AD16" i="263" s="1"/>
  <c r="AE16" i="263" s="1"/>
  <c r="AC47" i="261"/>
  <c r="AD47" i="261" s="1"/>
  <c r="AE47" i="261" s="1"/>
  <c r="AC73" i="265"/>
  <c r="AD73" i="265" s="1"/>
  <c r="AE73" i="265" s="1"/>
  <c r="AC23" i="265"/>
  <c r="AD23" i="265" s="1"/>
  <c r="AE23" i="265" s="1"/>
  <c r="AC98" i="261"/>
  <c r="AD98" i="261" s="1"/>
  <c r="AE98" i="261" s="1"/>
  <c r="AC53" i="265"/>
  <c r="AD53" i="265" s="1"/>
  <c r="AE53" i="265" s="1"/>
  <c r="AC72" i="261"/>
  <c r="AD72" i="261" s="1"/>
  <c r="AE72" i="261" s="1"/>
  <c r="AC45" i="262"/>
  <c r="AD45" i="262" s="1"/>
  <c r="AE45" i="262" s="1"/>
  <c r="AG45" i="262" s="1"/>
  <c r="AC58" i="261"/>
  <c r="AD58" i="261" s="1"/>
  <c r="AE58" i="261" s="1"/>
  <c r="AC66" i="261"/>
  <c r="AD66" i="261" s="1"/>
  <c r="AE66" i="261" s="1"/>
  <c r="AC71" i="261"/>
  <c r="AD71" i="261" s="1"/>
  <c r="AE71" i="261" s="1"/>
  <c r="AC69" i="262"/>
  <c r="AD69" i="262" s="1"/>
  <c r="AE69" i="262" s="1"/>
  <c r="AG69" i="262" s="1"/>
  <c r="AC89" i="261"/>
  <c r="AD89" i="261" s="1"/>
  <c r="AE89" i="261" s="1"/>
  <c r="AC74" i="262"/>
  <c r="AD74" i="262" s="1"/>
  <c r="AE74" i="262" s="1"/>
  <c r="AG74" i="262" s="1"/>
  <c r="AC17" i="261"/>
  <c r="AD17" i="261" s="1"/>
  <c r="AE17" i="261" s="1"/>
  <c r="AC40" i="262"/>
  <c r="AD40" i="262" s="1"/>
  <c r="AE40" i="262" s="1"/>
  <c r="AG40" i="262" s="1"/>
  <c r="AC31" i="265"/>
  <c r="AD31" i="265" s="1"/>
  <c r="AE31" i="265" s="1"/>
  <c r="AC51" i="261"/>
  <c r="AD51" i="261" s="1"/>
  <c r="AE51" i="261" s="1"/>
  <c r="AC80" i="261"/>
  <c r="AD80" i="261" s="1"/>
  <c r="AE80" i="261" s="1"/>
  <c r="AC49" i="261"/>
  <c r="AD49" i="261" s="1"/>
  <c r="AE49" i="261" s="1"/>
  <c r="AC78" i="261"/>
  <c r="AD78" i="261" s="1"/>
  <c r="AE78" i="261" s="1"/>
  <c r="AC22" i="265"/>
  <c r="AD22" i="265" s="1"/>
  <c r="AE22" i="265" s="1"/>
  <c r="AC87" i="265"/>
  <c r="AD87" i="265" s="1"/>
  <c r="AE87" i="265" s="1"/>
  <c r="AC79" i="265"/>
  <c r="AD79" i="265" s="1"/>
  <c r="AE79" i="265" s="1"/>
  <c r="AC41" i="262"/>
  <c r="AD41" i="262" s="1"/>
  <c r="AE41" i="262" s="1"/>
  <c r="AG41" i="262" s="1"/>
  <c r="AC18" i="263"/>
  <c r="AD18" i="263" s="1"/>
  <c r="AE18" i="263" s="1"/>
  <c r="AC23" i="262"/>
  <c r="AD23" i="262" s="1"/>
  <c r="AE23" i="262" s="1"/>
  <c r="AG23" i="262" s="1"/>
  <c r="AC92" i="261"/>
  <c r="AD92" i="261" s="1"/>
  <c r="AE92" i="261" s="1"/>
  <c r="AC20" i="266"/>
  <c r="AD20" i="266" s="1"/>
  <c r="AE20" i="266" s="1"/>
  <c r="AC44" i="265"/>
  <c r="AD44" i="265" s="1"/>
  <c r="AE44" i="265" s="1"/>
  <c r="AC96" i="265"/>
  <c r="AD96" i="265" s="1"/>
  <c r="AE96" i="265" s="1"/>
  <c r="AC21" i="265"/>
  <c r="AD21" i="265" s="1"/>
  <c r="AE21" i="265" s="1"/>
  <c r="AC27" i="262"/>
  <c r="AD27" i="262" s="1"/>
  <c r="AE27" i="262" s="1"/>
  <c r="AG27" i="262" s="1"/>
  <c r="AC36" i="261"/>
  <c r="AD36" i="261" s="1"/>
  <c r="AE36" i="261" s="1"/>
  <c r="AC16" i="261"/>
  <c r="AD16" i="261" s="1"/>
  <c r="AE16" i="261" s="1"/>
  <c r="AC47" i="265"/>
  <c r="AD47" i="265" s="1"/>
  <c r="AE47" i="265" s="1"/>
  <c r="AC60" i="265"/>
  <c r="AD60" i="265" s="1"/>
  <c r="AE60" i="265" s="1"/>
  <c r="AC17" i="265"/>
  <c r="AD17" i="265" s="1"/>
  <c r="AE17" i="265" s="1"/>
  <c r="AC39" i="262"/>
  <c r="AD39" i="262" s="1"/>
  <c r="AE39" i="262" s="1"/>
  <c r="AG39" i="262" s="1"/>
  <c r="AC84" i="261"/>
  <c r="AD84" i="261" s="1"/>
  <c r="AE84" i="261" s="1"/>
  <c r="AC61" i="265"/>
  <c r="AD61" i="265" s="1"/>
  <c r="AE61" i="265" s="1"/>
  <c r="AC20" i="261"/>
  <c r="AD20" i="261" s="1"/>
  <c r="AE20" i="261" s="1"/>
  <c r="AC57" i="262"/>
  <c r="AD57" i="262" s="1"/>
  <c r="AE57" i="262" s="1"/>
  <c r="AG57" i="262" s="1"/>
  <c r="AC42" i="262"/>
  <c r="AD42" i="262" s="1"/>
  <c r="AE42" i="262" s="1"/>
  <c r="AG42" i="262" s="1"/>
  <c r="AC48" i="265"/>
  <c r="AD48" i="265" s="1"/>
  <c r="AE48" i="265" s="1"/>
  <c r="AC31" i="262"/>
  <c r="AD31" i="262" s="1"/>
  <c r="AE31" i="262" s="1"/>
  <c r="AG31" i="262" s="1"/>
  <c r="AC39" i="261"/>
  <c r="AD39" i="261" s="1"/>
  <c r="AE39" i="261" s="1"/>
  <c r="AC40" i="265"/>
  <c r="AD40" i="265" s="1"/>
  <c r="AE40" i="265" s="1"/>
  <c r="AC60" i="261"/>
  <c r="AD60" i="261" s="1"/>
  <c r="AE60" i="261" s="1"/>
  <c r="AC47" i="262"/>
  <c r="AD47" i="262" s="1"/>
  <c r="AE47" i="262" s="1"/>
  <c r="AG47" i="262" s="1"/>
  <c r="AC68" i="265"/>
  <c r="AD68" i="265" s="1"/>
  <c r="AE68" i="265" s="1"/>
  <c r="AC52" i="265"/>
  <c r="AD52" i="265" s="1"/>
  <c r="AE52" i="265" s="1"/>
  <c r="AC18" i="266"/>
  <c r="AD18" i="266" s="1"/>
  <c r="AE18" i="266" s="1"/>
  <c r="AC37" i="262"/>
  <c r="AD37" i="262" s="1"/>
  <c r="AE37" i="262" s="1"/>
  <c r="AG37" i="262" s="1"/>
  <c r="AC14" i="262"/>
  <c r="AC94" i="265"/>
  <c r="AD94" i="265" s="1"/>
  <c r="AE94" i="265" s="1"/>
  <c r="AC59" i="262"/>
  <c r="AD59" i="262" s="1"/>
  <c r="AE59" i="262" s="1"/>
  <c r="AG59" i="262" s="1"/>
  <c r="AC89" i="265"/>
  <c r="AD89" i="265" s="1"/>
  <c r="AE89" i="265" s="1"/>
  <c r="AC64" i="261"/>
  <c r="AD64" i="261" s="1"/>
  <c r="AE64" i="261" s="1"/>
  <c r="AC46" i="265"/>
  <c r="AD46" i="265" s="1"/>
  <c r="AE46" i="265" s="1"/>
  <c r="AC58" i="265"/>
  <c r="AD58" i="265" s="1"/>
  <c r="AE58" i="265" s="1"/>
  <c r="AC40" i="261"/>
  <c r="AD40" i="261" s="1"/>
  <c r="AE40" i="261" s="1"/>
  <c r="AC16" i="266"/>
  <c r="AD16" i="266" s="1"/>
  <c r="AE16" i="266" s="1"/>
  <c r="AC21" i="261"/>
  <c r="AD21" i="261" s="1"/>
  <c r="AE21" i="261" s="1"/>
  <c r="AC79" i="261"/>
  <c r="AD79" i="261" s="1"/>
  <c r="AE79" i="261" s="1"/>
  <c r="AC59" i="265"/>
  <c r="AD59" i="265" s="1"/>
  <c r="AE59" i="265" s="1"/>
  <c r="AC77" i="261"/>
  <c r="AD77" i="261" s="1"/>
  <c r="AE77" i="261" s="1"/>
  <c r="D501" i="288"/>
  <c r="L2311" i="288"/>
  <c r="L3276" i="288" s="1"/>
  <c r="L378" i="288"/>
  <c r="L3273" i="288" s="1"/>
  <c r="L3281" i="288" s="1"/>
  <c r="D43" i="288"/>
  <c r="J1584" i="229"/>
  <c r="D2915" i="229"/>
  <c r="AC20" i="263"/>
  <c r="AD20" i="263" s="1"/>
  <c r="AE20" i="263" s="1"/>
  <c r="D729" i="288"/>
  <c r="AC97" i="261"/>
  <c r="AD97" i="261" s="1"/>
  <c r="AE97" i="261" s="1"/>
  <c r="AC57" i="265"/>
  <c r="AD57" i="265" s="1"/>
  <c r="AE57" i="265" s="1"/>
  <c r="AC88" i="261"/>
  <c r="AD88" i="261" s="1"/>
  <c r="AE88" i="261" s="1"/>
  <c r="E740" i="328"/>
  <c r="AA96" i="257"/>
  <c r="AB96" i="257" s="1"/>
  <c r="J2883" i="229"/>
  <c r="L1848" i="229"/>
  <c r="L3708" i="229" s="1"/>
  <c r="AC69" i="261"/>
  <c r="AD69" i="261" s="1"/>
  <c r="AE69" i="261" s="1"/>
  <c r="AC30" i="262"/>
  <c r="AD30" i="262" s="1"/>
  <c r="AE30" i="262" s="1"/>
  <c r="AG30" i="262" s="1"/>
  <c r="AC63" i="261"/>
  <c r="AD63" i="261" s="1"/>
  <c r="AE63" i="261" s="1"/>
  <c r="AC84" i="265"/>
  <c r="AD84" i="265" s="1"/>
  <c r="AE84" i="265" s="1"/>
  <c r="AA97" i="257"/>
  <c r="AB97" i="257" s="1"/>
  <c r="C710" i="328"/>
  <c r="E710" i="328" s="1"/>
  <c r="L1631" i="288"/>
  <c r="L3279" i="288" s="1"/>
  <c r="C2176" i="229"/>
  <c r="D2176" i="229" s="1"/>
  <c r="D92" i="288"/>
  <c r="AC29" i="261"/>
  <c r="AD29" i="261" s="1"/>
  <c r="AE29" i="261" s="1"/>
  <c r="AC52" i="261"/>
  <c r="AD52" i="261" s="1"/>
  <c r="AE52" i="261" s="1"/>
  <c r="AC46" i="261"/>
  <c r="AD46" i="261" s="1"/>
  <c r="AE46" i="261" s="1"/>
  <c r="AC68" i="261"/>
  <c r="AD68" i="261" s="1"/>
  <c r="AE68" i="261" s="1"/>
  <c r="AC83" i="261"/>
  <c r="AD83" i="261" s="1"/>
  <c r="AE83" i="261" s="1"/>
  <c r="J240" i="288"/>
  <c r="AA107" i="257"/>
  <c r="AB107" i="257" s="1"/>
  <c r="H99" i="31"/>
  <c r="AC55" i="262"/>
  <c r="AD55" i="262" s="1"/>
  <c r="AE55" i="262" s="1"/>
  <c r="AG55" i="262" s="1"/>
  <c r="I3363" i="288"/>
  <c r="J3363" i="288" s="1"/>
  <c r="I743" i="328"/>
  <c r="K743" i="328" s="1"/>
  <c r="AD53" i="264"/>
  <c r="AE53" i="264" s="1"/>
  <c r="AG28" i="264"/>
  <c r="AD28" i="264"/>
  <c r="AE28" i="264" s="1"/>
  <c r="AD81" i="264"/>
  <c r="AE81" i="264" s="1"/>
  <c r="AG81" i="264"/>
  <c r="G90" i="31"/>
  <c r="G86" i="334" s="1"/>
  <c r="C686" i="328"/>
  <c r="E686" i="328" s="1"/>
  <c r="C1917" i="288"/>
  <c r="D1917" i="288" s="1"/>
  <c r="L3270" i="288"/>
  <c r="L3278" i="288" s="1"/>
  <c r="L3698" i="229"/>
  <c r="L3707" i="229" s="1"/>
  <c r="AG65" i="264"/>
  <c r="AG24" i="264"/>
  <c r="AD24" i="264"/>
  <c r="AE24" i="264" s="1"/>
  <c r="AG69" i="264"/>
  <c r="AD69" i="264"/>
  <c r="AE69" i="264" s="1"/>
  <c r="I676" i="328"/>
  <c r="K676" i="328" s="1"/>
  <c r="I659" i="328"/>
  <c r="K659" i="328" s="1"/>
  <c r="C659" i="328"/>
  <c r="E659" i="328" s="1"/>
  <c r="R99" i="265"/>
  <c r="AJ99" i="265" s="1"/>
  <c r="AC14" i="265"/>
  <c r="I1575" i="288"/>
  <c r="J1575" i="288" s="1"/>
  <c r="C652" i="328"/>
  <c r="E652" i="328" s="1"/>
  <c r="I427" i="229"/>
  <c r="J427" i="229" s="1"/>
  <c r="J739" i="229"/>
  <c r="C1997" i="229"/>
  <c r="D1997" i="229" s="1"/>
  <c r="I642" i="328"/>
  <c r="K642" i="328" s="1"/>
  <c r="D43" i="229"/>
  <c r="C1922" i="288"/>
  <c r="J2600" i="229"/>
  <c r="J27" i="229"/>
  <c r="J1857" i="229"/>
  <c r="I2292" i="288"/>
  <c r="R108" i="257"/>
  <c r="D36" i="317" s="1"/>
  <c r="G36" i="317" s="1"/>
  <c r="I36" i="317" s="1"/>
  <c r="O108" i="257"/>
  <c r="I636" i="328"/>
  <c r="K636" i="328" s="1"/>
  <c r="C707" i="328"/>
  <c r="E707" i="328" s="1"/>
  <c r="H91" i="31"/>
  <c r="H96" i="31"/>
  <c r="H94" i="31"/>
  <c r="H93" i="31"/>
  <c r="H98" i="31"/>
  <c r="C708" i="328"/>
  <c r="E708" i="328" s="1"/>
  <c r="I673" i="328"/>
  <c r="K673" i="328" s="1"/>
  <c r="I639" i="328"/>
  <c r="K639" i="328" s="1"/>
  <c r="AG64" i="264"/>
  <c r="AD64" i="264"/>
  <c r="AE64" i="264" s="1"/>
  <c r="AA464" i="115"/>
  <c r="AA465" i="115"/>
  <c r="AG56" i="264"/>
  <c r="L1582" i="288"/>
  <c r="L3280" i="288" s="1"/>
  <c r="AD74" i="264"/>
  <c r="AE74" i="264" s="1"/>
  <c r="AG74" i="264"/>
  <c r="AD15" i="264"/>
  <c r="AE15" i="264" s="1"/>
  <c r="AG15" i="264"/>
  <c r="C703" i="328"/>
  <c r="E703" i="328" s="1"/>
  <c r="C378" i="288"/>
  <c r="D378" i="288" s="1"/>
  <c r="L2618" i="229"/>
  <c r="AG73" i="264"/>
  <c r="AD73" i="264"/>
  <c r="AE73" i="264" s="1"/>
  <c r="R25" i="258"/>
  <c r="AC14" i="258"/>
  <c r="AC14" i="266"/>
  <c r="R21" i="266"/>
  <c r="C636" i="328"/>
  <c r="E636" i="328" s="1"/>
  <c r="E632" i="328"/>
  <c r="C642" i="328"/>
  <c r="E642" i="328" s="1"/>
  <c r="C639" i="328"/>
  <c r="E639" i="328" s="1"/>
  <c r="C635" i="328"/>
  <c r="E635" i="328" s="1"/>
  <c r="C634" i="328"/>
  <c r="D638" i="328" s="1"/>
  <c r="L427" i="229"/>
  <c r="L3702" i="229" s="1"/>
  <c r="AG46" i="264"/>
  <c r="AD46" i="264"/>
  <c r="AE46" i="264" s="1"/>
  <c r="AG29" i="264"/>
  <c r="AD29" i="264"/>
  <c r="AE29" i="264" s="1"/>
  <c r="I703" i="328"/>
  <c r="K703" i="328" s="1"/>
  <c r="I2615" i="229"/>
  <c r="J2615" i="229" s="1"/>
  <c r="I2598" i="229"/>
  <c r="J2598" i="229" s="1"/>
  <c r="I652" i="328"/>
  <c r="K652" i="328" s="1"/>
  <c r="I686" i="328"/>
  <c r="K686" i="328" s="1"/>
  <c r="I321" i="288"/>
  <c r="J321" i="288" s="1"/>
  <c r="AG68" i="264"/>
  <c r="AD68" i="264"/>
  <c r="AE68" i="264" s="1"/>
  <c r="I378" i="288"/>
  <c r="J378" i="288" s="1"/>
  <c r="C2177" i="229"/>
  <c r="C432" i="229"/>
  <c r="I2599" i="229"/>
  <c r="D342" i="229"/>
  <c r="D98" i="229"/>
  <c r="D2178" i="229"/>
  <c r="D1999" i="229"/>
  <c r="C1765" i="288"/>
  <c r="I707" i="328"/>
  <c r="K707" i="328" s="1"/>
  <c r="C702" i="328"/>
  <c r="D706" i="328" s="1"/>
  <c r="I656" i="328"/>
  <c r="K656" i="328" s="1"/>
  <c r="C685" i="328"/>
  <c r="D689" i="328" s="1"/>
  <c r="C651" i="328"/>
  <c r="D655" i="328" s="1"/>
  <c r="AD44" i="264"/>
  <c r="AE44" i="264" s="1"/>
  <c r="AG44" i="264"/>
  <c r="AG16" i="264"/>
  <c r="AD16" i="264"/>
  <c r="AE16" i="264" s="1"/>
  <c r="AD19" i="264"/>
  <c r="AE19" i="264" s="1"/>
  <c r="AG19" i="264"/>
  <c r="R85" i="264"/>
  <c r="AC14" i="264"/>
  <c r="C86" i="334"/>
  <c r="R21" i="263"/>
  <c r="AJ21" i="263" s="1"/>
  <c r="AC14" i="263"/>
  <c r="AG47" i="264"/>
  <c r="AD47" i="264"/>
  <c r="AE47" i="264" s="1"/>
  <c r="I669" i="328"/>
  <c r="K669" i="328" s="1"/>
  <c r="K723" i="328"/>
  <c r="E723" i="328"/>
  <c r="E732" i="328" s="1"/>
  <c r="C1760" i="288"/>
  <c r="D1760" i="288" s="1"/>
  <c r="I634" i="328"/>
  <c r="J638" i="328" s="1"/>
  <c r="C2615" i="229"/>
  <c r="D2615" i="229" s="1"/>
  <c r="D560" i="229"/>
  <c r="I1637" i="288"/>
  <c r="I432" i="229"/>
  <c r="I1580" i="288"/>
  <c r="I1856" i="229"/>
  <c r="J277" i="229"/>
  <c r="C2616" i="229"/>
  <c r="D212" i="229"/>
  <c r="Z461" i="115"/>
  <c r="X474" i="115" s="1"/>
  <c r="K12" i="235"/>
  <c r="K13" i="235" s="1"/>
  <c r="P108" i="257"/>
  <c r="T108" i="257"/>
  <c r="J89" i="257"/>
  <c r="H108" i="257"/>
  <c r="I12" i="333" s="1"/>
  <c r="I14" i="333" s="1"/>
  <c r="I19" i="333" s="1"/>
  <c r="H95" i="31"/>
  <c r="I640" i="328"/>
  <c r="K640" i="328" s="1"/>
  <c r="C653" i="328"/>
  <c r="E653" i="328" s="1"/>
  <c r="I702" i="328"/>
  <c r="J706" i="328" s="1"/>
  <c r="I708" i="328"/>
  <c r="K708" i="328" s="1"/>
  <c r="H92" i="31"/>
  <c r="W466" i="115"/>
  <c r="W471" i="115"/>
  <c r="AD45" i="264"/>
  <c r="AE45" i="264" s="1"/>
  <c r="AG45" i="264"/>
  <c r="R101" i="261"/>
  <c r="AC15" i="261"/>
  <c r="R78" i="262"/>
  <c r="AI78" i="262" s="1"/>
  <c r="AC15" i="262"/>
  <c r="N3705" i="229"/>
  <c r="D1256" i="288"/>
  <c r="L1493" i="288" s="1"/>
  <c r="L3275" i="288" s="1"/>
  <c r="L1793" i="229"/>
  <c r="L3709" i="229" s="1"/>
  <c r="AD26" i="264"/>
  <c r="AE26" i="264" s="1"/>
  <c r="AG26" i="264"/>
  <c r="C690" i="328"/>
  <c r="E690" i="328" s="1"/>
  <c r="C693" i="328"/>
  <c r="E693" i="328" s="1"/>
  <c r="AD72" i="264"/>
  <c r="AE72" i="264" s="1"/>
  <c r="AG72" i="264"/>
  <c r="I1489" i="288"/>
  <c r="J1489" i="288" s="1"/>
  <c r="D2581" i="288"/>
  <c r="K740" i="328"/>
  <c r="AD78" i="264"/>
  <c r="AE78" i="264" s="1"/>
  <c r="AG78" i="264"/>
  <c r="I1855" i="229"/>
  <c r="J1855" i="229" s="1"/>
  <c r="V78" i="262"/>
  <c r="V115" i="262"/>
  <c r="I635" i="328"/>
  <c r="K635" i="328" s="1"/>
  <c r="I1632" i="288"/>
  <c r="J1632" i="288" s="1"/>
  <c r="C383" i="288"/>
  <c r="I326" i="288"/>
  <c r="J1792" i="229"/>
  <c r="I1791" i="229"/>
  <c r="D375" i="229"/>
  <c r="C1998" i="229"/>
  <c r="I1494" i="288"/>
  <c r="I383" i="288"/>
  <c r="Q108" i="257"/>
  <c r="S89" i="257"/>
  <c r="S90" i="31" s="1"/>
  <c r="Z90" i="31" s="1"/>
  <c r="I86" i="334" s="1"/>
  <c r="G89" i="257"/>
  <c r="M108" i="257"/>
  <c r="I685" i="328"/>
  <c r="J689" i="328" s="1"/>
  <c r="I668" i="328"/>
  <c r="J672" i="328" s="1"/>
  <c r="C670" i="328"/>
  <c r="E670" i="328" s="1"/>
  <c r="I651" i="328"/>
  <c r="J655" i="328" s="1"/>
  <c r="C668" i="328"/>
  <c r="D672" i="328" s="1"/>
  <c r="AG40" i="264" l="1"/>
  <c r="AD60" i="264"/>
  <c r="AE60" i="264" s="1"/>
  <c r="D45" i="235"/>
  <c r="G45" i="235" s="1"/>
  <c r="L2919" i="288"/>
  <c r="L3277" i="288" s="1"/>
  <c r="AD57" i="264"/>
  <c r="AE57" i="264" s="1"/>
  <c r="AG18" i="264"/>
  <c r="AD32" i="264"/>
  <c r="AE32" i="264" s="1"/>
  <c r="AD21" i="264"/>
  <c r="AE21" i="264" s="1"/>
  <c r="AG80" i="264"/>
  <c r="AG54" i="264"/>
  <c r="AD55" i="264"/>
  <c r="AE55" i="264" s="1"/>
  <c r="AG27" i="264"/>
  <c r="AG49" i="264"/>
  <c r="AG76" i="264"/>
  <c r="AD62" i="264"/>
  <c r="AE62" i="264" s="1"/>
  <c r="AG71" i="264"/>
  <c r="AD23" i="264"/>
  <c r="AE23" i="264" s="1"/>
  <c r="AD30" i="264"/>
  <c r="AE30" i="264" s="1"/>
  <c r="AG36" i="264"/>
  <c r="AD82" i="264"/>
  <c r="AE82" i="264" s="1"/>
  <c r="AD31" i="264"/>
  <c r="AE31" i="264" s="1"/>
  <c r="AD63" i="264"/>
  <c r="AE63" i="264" s="1"/>
  <c r="D33" i="317"/>
  <c r="G33" i="317" s="1"/>
  <c r="M12" i="333"/>
  <c r="M14" i="333" s="1"/>
  <c r="M19" i="333" s="1"/>
  <c r="D35" i="317"/>
  <c r="G35" i="317" s="1"/>
  <c r="I35" i="317" s="1"/>
  <c r="O12" i="333"/>
  <c r="O14" i="333" s="1"/>
  <c r="O19" i="333" s="1"/>
  <c r="D34" i="317"/>
  <c r="G34" i="317" s="1"/>
  <c r="I34" i="317" s="1"/>
  <c r="N12" i="333"/>
  <c r="N14" i="333" s="1"/>
  <c r="N19" i="333" s="1"/>
  <c r="Z89" i="257"/>
  <c r="Z91" i="257"/>
  <c r="AA91" i="257" s="1"/>
  <c r="AB91" i="257" s="1"/>
  <c r="Z93" i="257"/>
  <c r="AA93" i="257" s="1"/>
  <c r="AB93" i="257" s="1"/>
  <c r="AD75" i="264"/>
  <c r="AE75" i="264" s="1"/>
  <c r="AD20" i="264"/>
  <c r="AE20" i="264" s="1"/>
  <c r="AD61" i="264"/>
  <c r="AE61" i="264" s="1"/>
  <c r="AD70" i="264"/>
  <c r="AE70" i="264" s="1"/>
  <c r="AD50" i="264"/>
  <c r="AE50" i="264" s="1"/>
  <c r="AD58" i="264"/>
  <c r="AE58" i="264" s="1"/>
  <c r="AD84" i="264"/>
  <c r="AE84" i="264" s="1"/>
  <c r="AD38" i="264"/>
  <c r="AE38" i="264" s="1"/>
  <c r="AD42" i="264"/>
  <c r="AE42" i="264" s="1"/>
  <c r="AG22" i="264"/>
  <c r="AG51" i="264"/>
  <c r="AG43" i="264"/>
  <c r="AD37" i="264"/>
  <c r="AE37" i="264" s="1"/>
  <c r="L89" i="257"/>
  <c r="N89" i="257" s="1"/>
  <c r="J108" i="257"/>
  <c r="AG34" i="264"/>
  <c r="AG48" i="264"/>
  <c r="AG35" i="264"/>
  <c r="AD66" i="264"/>
  <c r="AE66" i="264" s="1"/>
  <c r="AG33" i="264"/>
  <c r="AD17" i="264"/>
  <c r="AE17" i="264" s="1"/>
  <c r="AD59" i="264"/>
  <c r="AE59" i="264" s="1"/>
  <c r="AD52" i="264"/>
  <c r="AE52" i="264" s="1"/>
  <c r="AD25" i="264"/>
  <c r="AE25" i="264" s="1"/>
  <c r="K732" i="328"/>
  <c r="AD83" i="264"/>
  <c r="AE83" i="264" s="1"/>
  <c r="AG41" i="264"/>
  <c r="AG67" i="264"/>
  <c r="AG77" i="264"/>
  <c r="AD39" i="264"/>
  <c r="AE39" i="264" s="1"/>
  <c r="I100" i="334"/>
  <c r="J100" i="334" s="1"/>
  <c r="Z93" i="31"/>
  <c r="I89" i="334" s="1"/>
  <c r="Z95" i="31"/>
  <c r="I91" i="334" s="1"/>
  <c r="Z92" i="31"/>
  <c r="I88" i="334" s="1"/>
  <c r="AA106" i="31"/>
  <c r="AC106" i="31" s="1"/>
  <c r="E749" i="328"/>
  <c r="AA102" i="31"/>
  <c r="AC102" i="31" s="1"/>
  <c r="I687" i="328"/>
  <c r="K687" i="328" s="1"/>
  <c r="C657" i="328"/>
  <c r="E657" i="328" s="1"/>
  <c r="C674" i="328"/>
  <c r="E674" i="328" s="1"/>
  <c r="I704" i="328"/>
  <c r="K704" i="328" s="1"/>
  <c r="C640" i="328"/>
  <c r="E640" i="328" s="1"/>
  <c r="C691" i="328"/>
  <c r="E691" i="328" s="1"/>
  <c r="C656" i="328"/>
  <c r="E656" i="328" s="1"/>
  <c r="C704" i="328"/>
  <c r="E704" i="328" s="1"/>
  <c r="C673" i="328"/>
  <c r="E673" i="328" s="1"/>
  <c r="I657" i="328"/>
  <c r="K657" i="328" s="1"/>
  <c r="I691" i="328"/>
  <c r="K691" i="328" s="1"/>
  <c r="C687" i="328"/>
  <c r="E687" i="328" s="1"/>
  <c r="I674" i="328"/>
  <c r="K674" i="328" s="1"/>
  <c r="I690" i="328"/>
  <c r="K690" i="328" s="1"/>
  <c r="I670" i="328"/>
  <c r="K670" i="328" s="1"/>
  <c r="I653" i="328"/>
  <c r="K653" i="328" s="1"/>
  <c r="J98" i="334"/>
  <c r="M98" i="334" s="1"/>
  <c r="AA103" i="31"/>
  <c r="AC103" i="31" s="1"/>
  <c r="J99" i="334"/>
  <c r="M99" i="334" s="1"/>
  <c r="L3301" i="229"/>
  <c r="L3706" i="229" s="1"/>
  <c r="M1692" i="229"/>
  <c r="L3704" i="229" s="1"/>
  <c r="L801" i="288"/>
  <c r="L3274" i="288" s="1"/>
  <c r="O3274" i="288" s="1"/>
  <c r="J101" i="334"/>
  <c r="AA107" i="31"/>
  <c r="AC107" i="31" s="1"/>
  <c r="H15" i="31"/>
  <c r="H185" i="31" s="1"/>
  <c r="M15" i="31"/>
  <c r="M185" i="31" s="1"/>
  <c r="K749" i="328"/>
  <c r="L902" i="229"/>
  <c r="L3703" i="229" s="1"/>
  <c r="O3703" i="229" s="1"/>
  <c r="P3703" i="229" s="1"/>
  <c r="P15" i="31"/>
  <c r="P185" i="31" s="1"/>
  <c r="D69" i="283" s="1"/>
  <c r="G69" i="283" s="1"/>
  <c r="H69" i="283" s="1"/>
  <c r="R15" i="31"/>
  <c r="E47" i="283"/>
  <c r="G47" i="283" s="1"/>
  <c r="H47" i="283" s="1"/>
  <c r="Q15" i="31"/>
  <c r="Q185" i="31" s="1"/>
  <c r="AA100" i="31"/>
  <c r="AC100" i="31" s="1"/>
  <c r="AC101" i="261"/>
  <c r="AD15" i="261"/>
  <c r="E39" i="283"/>
  <c r="O15" i="31"/>
  <c r="O185" i="31" s="1"/>
  <c r="AC21" i="263"/>
  <c r="AD14" i="263"/>
  <c r="L3710" i="229"/>
  <c r="AA466" i="115"/>
  <c r="E34" i="235"/>
  <c r="G34" i="235" s="1"/>
  <c r="I1849" i="229"/>
  <c r="J1849" i="229" s="1"/>
  <c r="C1991" i="229"/>
  <c r="D1991" i="229" s="1"/>
  <c r="C2170" i="229"/>
  <c r="D2170" i="229" s="1"/>
  <c r="I2609" i="229"/>
  <c r="J2609" i="229" s="1"/>
  <c r="I2592" i="229"/>
  <c r="J2592" i="229" s="1"/>
  <c r="I1784" i="229"/>
  <c r="J1784" i="229" s="1"/>
  <c r="C2609" i="229"/>
  <c r="D2609" i="229" s="1"/>
  <c r="AC78" i="262"/>
  <c r="AD15" i="262"/>
  <c r="AG14" i="264"/>
  <c r="AC85" i="264"/>
  <c r="AD14" i="264"/>
  <c r="AC21" i="266"/>
  <c r="AD14" i="266"/>
  <c r="E40" i="283"/>
  <c r="E38" i="283"/>
  <c r="I671" i="328"/>
  <c r="K671" i="328" s="1"/>
  <c r="I688" i="328"/>
  <c r="K688" i="328" s="1"/>
  <c r="I705" i="328"/>
  <c r="K705" i="328" s="1"/>
  <c r="C671" i="328"/>
  <c r="E671" i="328" s="1"/>
  <c r="C688" i="328"/>
  <c r="E688" i="328" s="1"/>
  <c r="C705" i="328"/>
  <c r="E705" i="328" s="1"/>
  <c r="I637" i="328"/>
  <c r="K637" i="328" s="1"/>
  <c r="C654" i="328"/>
  <c r="E654" i="328" s="1"/>
  <c r="I654" i="328"/>
  <c r="K654" i="328" s="1"/>
  <c r="S108" i="257"/>
  <c r="J99" i="31"/>
  <c r="L99" i="31" s="1"/>
  <c r="J95" i="31"/>
  <c r="L95" i="31" s="1"/>
  <c r="J98" i="31"/>
  <c r="L98" i="31" s="1"/>
  <c r="J91" i="31"/>
  <c r="L91" i="31" s="1"/>
  <c r="J97" i="31"/>
  <c r="L97" i="31" s="1"/>
  <c r="J90" i="31"/>
  <c r="L90" i="31" s="1"/>
  <c r="J94" i="31"/>
  <c r="L94" i="31" s="1"/>
  <c r="J96" i="31"/>
  <c r="L96" i="31" s="1"/>
  <c r="J93" i="31"/>
  <c r="L93" i="31" s="1"/>
  <c r="J92" i="31"/>
  <c r="L92" i="31" s="1"/>
  <c r="AA108" i="31"/>
  <c r="AC108" i="31" s="1"/>
  <c r="AC25" i="258"/>
  <c r="AD14" i="258"/>
  <c r="L3705" i="229"/>
  <c r="AD14" i="265"/>
  <c r="AC99" i="265"/>
  <c r="L3283" i="288"/>
  <c r="Z108" i="257" l="1"/>
  <c r="S12" i="333" s="1"/>
  <c r="S14" i="333" s="1"/>
  <c r="S19" i="333" s="1"/>
  <c r="I32" i="317" s="1"/>
  <c r="D37" i="317"/>
  <c r="Q12" i="333"/>
  <c r="Q14" i="333" s="1"/>
  <c r="Q19" i="333" s="1"/>
  <c r="L108" i="257"/>
  <c r="K12" i="333" s="1"/>
  <c r="K19" i="333" s="1"/>
  <c r="L1850" i="229"/>
  <c r="L1693" i="229"/>
  <c r="O101" i="334"/>
  <c r="M101" i="334"/>
  <c r="D41" i="235"/>
  <c r="G41" i="235" s="1"/>
  <c r="L904" i="229"/>
  <c r="AA96" i="31"/>
  <c r="AC96" i="31" s="1"/>
  <c r="O100" i="334"/>
  <c r="M100" i="334"/>
  <c r="AA95" i="31"/>
  <c r="AC95" i="31" s="1"/>
  <c r="G38" i="283"/>
  <c r="E26" i="235"/>
  <c r="E37" i="283"/>
  <c r="AF90" i="264"/>
  <c r="AF91" i="264" s="1"/>
  <c r="L3714" i="229"/>
  <c r="D40" i="235"/>
  <c r="D68" i="283"/>
  <c r="AE15" i="261"/>
  <c r="AE101" i="261" s="1"/>
  <c r="AD101" i="261"/>
  <c r="AE14" i="265"/>
  <c r="AE99" i="265" s="1"/>
  <c r="AD99" i="265"/>
  <c r="S15" i="31"/>
  <c r="S185" i="31" s="1"/>
  <c r="D42" i="235" s="1"/>
  <c r="G42" i="235" s="1"/>
  <c r="J2616" i="229"/>
  <c r="I692" i="328"/>
  <c r="K692" i="328" s="1"/>
  <c r="C1918" i="288"/>
  <c r="D1918" i="288" s="1"/>
  <c r="I379" i="288"/>
  <c r="J379" i="288" s="1"/>
  <c r="C675" i="328"/>
  <c r="E675" i="328" s="1"/>
  <c r="C1761" i="288"/>
  <c r="D1761" i="288" s="1"/>
  <c r="I1633" i="288"/>
  <c r="J1633" i="288" s="1"/>
  <c r="C709" i="328"/>
  <c r="E709" i="328" s="1"/>
  <c r="D1998" i="229"/>
  <c r="J2599" i="229"/>
  <c r="I322" i="288"/>
  <c r="J322" i="288" s="1"/>
  <c r="I641" i="328"/>
  <c r="K641" i="328" s="1"/>
  <c r="I2288" i="288"/>
  <c r="J2288" i="288" s="1"/>
  <c r="I658" i="328"/>
  <c r="K658" i="328" s="1"/>
  <c r="J1856" i="229"/>
  <c r="D2177" i="229"/>
  <c r="I1490" i="288"/>
  <c r="J1490" i="288" s="1"/>
  <c r="C692" i="328"/>
  <c r="E692" i="328" s="1"/>
  <c r="C428" i="229"/>
  <c r="D428" i="229" s="1"/>
  <c r="J1791" i="229"/>
  <c r="D2616" i="229"/>
  <c r="I709" i="328"/>
  <c r="K709" i="328" s="1"/>
  <c r="C379" i="288"/>
  <c r="D379" i="288" s="1"/>
  <c r="I675" i="328"/>
  <c r="K675" i="328" s="1"/>
  <c r="I1576" i="288"/>
  <c r="J1576" i="288" s="1"/>
  <c r="C658" i="328"/>
  <c r="E658" i="328" s="1"/>
  <c r="I428" i="229"/>
  <c r="J428" i="229" s="1"/>
  <c r="C641" i="328"/>
  <c r="E641" i="328" s="1"/>
  <c r="AA92" i="31"/>
  <c r="AC92" i="31" s="1"/>
  <c r="I431" i="229"/>
  <c r="J431" i="229" s="1"/>
  <c r="J432" i="229" s="1"/>
  <c r="C431" i="229"/>
  <c r="D431" i="229" s="1"/>
  <c r="D432" i="229" s="1"/>
  <c r="C1764" i="288"/>
  <c r="D1764" i="288" s="1"/>
  <c r="D1765" i="288" s="1"/>
  <c r="I2291" i="288"/>
  <c r="J2291" i="288" s="1"/>
  <c r="J2292" i="288" s="1"/>
  <c r="I1579" i="288"/>
  <c r="J1579" i="288" s="1"/>
  <c r="J1580" i="288" s="1"/>
  <c r="I1493" i="288"/>
  <c r="J1493" i="288" s="1"/>
  <c r="J1494" i="288" s="1"/>
  <c r="I382" i="288"/>
  <c r="J382" i="288" s="1"/>
  <c r="J383" i="288" s="1"/>
  <c r="C382" i="288"/>
  <c r="D382" i="288" s="1"/>
  <c r="D383" i="288" s="1"/>
  <c r="I1636" i="288"/>
  <c r="J1636" i="288" s="1"/>
  <c r="J1637" i="288" s="1"/>
  <c r="I325" i="288"/>
  <c r="J325" i="288" s="1"/>
  <c r="J326" i="288" s="1"/>
  <c r="C1921" i="288"/>
  <c r="D1921" i="288" s="1"/>
  <c r="D1922" i="288" s="1"/>
  <c r="AA94" i="31"/>
  <c r="AC94" i="31" s="1"/>
  <c r="G40" i="283"/>
  <c r="H40" i="283" s="1"/>
  <c r="E28" i="235"/>
  <c r="G28" i="235" s="1"/>
  <c r="AD21" i="263"/>
  <c r="AE14" i="263"/>
  <c r="AE21" i="263" s="1"/>
  <c r="AE14" i="258"/>
  <c r="AE25" i="258" s="1"/>
  <c r="AD25" i="258"/>
  <c r="J15" i="31"/>
  <c r="J185" i="31" s="1"/>
  <c r="C706" i="328"/>
  <c r="E706" i="328" s="1"/>
  <c r="I706" i="328"/>
  <c r="K706" i="328" s="1"/>
  <c r="I689" i="328"/>
  <c r="K689" i="328" s="1"/>
  <c r="C655" i="328"/>
  <c r="E655" i="328" s="1"/>
  <c r="I638" i="328"/>
  <c r="K638" i="328" s="1"/>
  <c r="C689" i="328"/>
  <c r="E689" i="328" s="1"/>
  <c r="C672" i="328"/>
  <c r="E672" i="328" s="1"/>
  <c r="I672" i="328"/>
  <c r="K672" i="328" s="1"/>
  <c r="I655" i="328"/>
  <c r="K655" i="328" s="1"/>
  <c r="C638" i="328"/>
  <c r="E638" i="328" s="1"/>
  <c r="AA91" i="31"/>
  <c r="AC91" i="31" s="1"/>
  <c r="AA99" i="31"/>
  <c r="AC99" i="31" s="1"/>
  <c r="AF110" i="257"/>
  <c r="AD78" i="262"/>
  <c r="AE15" i="262"/>
  <c r="O104" i="334"/>
  <c r="AA93" i="31"/>
  <c r="AC93" i="31" s="1"/>
  <c r="AA98" i="31"/>
  <c r="AC98" i="31" s="1"/>
  <c r="AA97" i="31"/>
  <c r="AC97" i="31" s="1"/>
  <c r="AD21" i="266"/>
  <c r="AE14" i="266"/>
  <c r="AE21" i="266" s="1"/>
  <c r="AE14" i="264"/>
  <c r="AE85" i="264" s="1"/>
  <c r="AD85" i="264"/>
  <c r="E27" i="235"/>
  <c r="G27" i="235" s="1"/>
  <c r="G39" i="283"/>
  <c r="H39" i="283" s="1"/>
  <c r="E698" i="328" l="1"/>
  <c r="G37" i="317"/>
  <c r="D32" i="317"/>
  <c r="K698" i="328"/>
  <c r="K647" i="328"/>
  <c r="E715" i="328"/>
  <c r="K664" i="328"/>
  <c r="K715" i="328"/>
  <c r="E681" i="328"/>
  <c r="K681" i="328"/>
  <c r="E664" i="328"/>
  <c r="AG15" i="262"/>
  <c r="AE78" i="262"/>
  <c r="D67" i="283"/>
  <c r="G68" i="283"/>
  <c r="G26" i="235"/>
  <c r="G25" i="235" s="1"/>
  <c r="E25" i="235"/>
  <c r="AG25" i="258"/>
  <c r="M3709" i="229"/>
  <c r="O3709" i="229" s="1"/>
  <c r="M3280" i="288"/>
  <c r="O3280" i="288" s="1"/>
  <c r="M3705" i="229"/>
  <c r="O3705" i="229" s="1"/>
  <c r="P3705" i="229" s="1"/>
  <c r="AG99" i="265"/>
  <c r="L2619" i="229"/>
  <c r="L2620" i="229" s="1"/>
  <c r="AF102" i="265"/>
  <c r="M3276" i="288"/>
  <c r="O3276" i="288" s="1"/>
  <c r="D39" i="235"/>
  <c r="G40" i="235"/>
  <c r="G39" i="235" s="1"/>
  <c r="G37" i="283"/>
  <c r="H38" i="283"/>
  <c r="H37" i="283" s="1"/>
  <c r="M3277" i="288"/>
  <c r="O3277" i="288" s="1"/>
  <c r="AF87" i="264"/>
  <c r="M3706" i="229"/>
  <c r="O3706" i="229" s="1"/>
  <c r="P3706" i="229" s="1"/>
  <c r="AF86" i="264"/>
  <c r="AG85" i="264" s="1"/>
  <c r="M3708" i="229"/>
  <c r="O3708" i="229" s="1"/>
  <c r="AG21" i="263"/>
  <c r="AF22" i="263"/>
  <c r="M3279" i="288"/>
  <c r="O3279" i="288" s="1"/>
  <c r="Z15" i="31"/>
  <c r="Z185" i="31" s="1"/>
  <c r="J94" i="334"/>
  <c r="J88" i="334"/>
  <c r="M88" i="334" s="1"/>
  <c r="J93" i="334"/>
  <c r="O93" i="334" s="1"/>
  <c r="J90" i="334"/>
  <c r="M90" i="334" s="1"/>
  <c r="J95" i="334"/>
  <c r="J89" i="334"/>
  <c r="O89" i="334" s="1"/>
  <c r="J92" i="334"/>
  <c r="J91" i="334"/>
  <c r="J87" i="334"/>
  <c r="O87" i="334" s="1"/>
  <c r="AF106" i="261"/>
  <c r="M1693" i="229"/>
  <c r="M1694" i="229" s="1"/>
  <c r="AF103" i="261"/>
  <c r="M3275" i="288"/>
  <c r="O3275" i="288" s="1"/>
  <c r="AG101" i="261"/>
  <c r="M3704" i="229"/>
  <c r="O3704" i="229" s="1"/>
  <c r="P3704" i="229" s="1"/>
  <c r="I37" i="317" l="1"/>
  <c r="G32" i="317"/>
  <c r="I14" i="317"/>
  <c r="J14" i="317" s="1"/>
  <c r="M91" i="334"/>
  <c r="O91" i="334"/>
  <c r="O92" i="334"/>
  <c r="M92" i="334"/>
  <c r="M95" i="334"/>
  <c r="O95" i="334"/>
  <c r="M94" i="334"/>
  <c r="O94" i="334"/>
  <c r="O90" i="334"/>
  <c r="O88" i="334"/>
  <c r="M87" i="334"/>
  <c r="M93" i="334"/>
  <c r="M89" i="334"/>
  <c r="I105" i="334"/>
  <c r="I212" i="334" s="1"/>
  <c r="I216" i="334" s="1"/>
  <c r="I40" i="235"/>
  <c r="I19" i="235"/>
  <c r="G14" i="235"/>
  <c r="G67" i="283"/>
  <c r="G14" i="283" s="1"/>
  <c r="G13" i="283" s="1"/>
  <c r="G85" i="283" s="1"/>
  <c r="H68" i="283"/>
  <c r="H67" i="283" s="1"/>
  <c r="H14" i="283" s="1"/>
  <c r="M3707" i="229"/>
  <c r="O3707" i="229" s="1"/>
  <c r="P3707" i="229" s="1"/>
  <c r="AG78" i="262"/>
  <c r="M3278" i="288"/>
  <c r="O3278" i="288" s="1"/>
  <c r="AF81" i="262"/>
  <c r="AG81" i="262" s="1"/>
  <c r="L3699" i="229"/>
  <c r="L3700" i="229" s="1"/>
  <c r="K32" i="317" l="1"/>
  <c r="J33" i="317"/>
  <c r="J32" i="317"/>
  <c r="J20" i="235"/>
  <c r="G13" i="235"/>
  <c r="G58" i="235" s="1"/>
  <c r="H13" i="283"/>
  <c r="H85" i="283" s="1"/>
  <c r="L85" i="283"/>
  <c r="J58" i="235" l="1"/>
  <c r="K55" i="235"/>
  <c r="I47" i="235"/>
  <c r="I59" i="235"/>
  <c r="K58" i="235" s="1"/>
  <c r="I26" i="235"/>
  <c r="K86" i="283"/>
  <c r="M85" i="283" s="1"/>
  <c r="N90" i="283"/>
  <c r="N100" i="283" s="1"/>
  <c r="N108" i="257" l="1"/>
  <c r="L12" i="333" s="1"/>
  <c r="L14" i="333" s="1"/>
  <c r="L19" i="333" s="1"/>
  <c r="N90" i="31" l="1"/>
  <c r="AA90" i="31" s="1"/>
  <c r="AC90" i="31" s="1"/>
  <c r="AA89" i="257"/>
  <c r="AB89" i="257" s="1"/>
  <c r="I20" i="317"/>
  <c r="J20" i="317" s="1"/>
  <c r="H86" i="334" l="1"/>
  <c r="H105" i="334" s="1"/>
  <c r="H212" i="334" s="1"/>
  <c r="H216" i="334" s="1"/>
  <c r="C637" i="328"/>
  <c r="E637" i="328" s="1"/>
  <c r="E647" i="328" s="1"/>
  <c r="N15" i="31"/>
  <c r="N185" i="31" s="1"/>
  <c r="I15" i="235" s="1"/>
  <c r="I16" i="235" s="1"/>
  <c r="J86" i="334" l="1"/>
  <c r="O86" i="334" s="1"/>
  <c r="M86" i="334" l="1"/>
  <c r="AC185" i="31" l="1"/>
  <c r="I14" i="235" s="1"/>
  <c r="J14" i="235" s="1"/>
  <c r="AA185" i="31"/>
  <c r="I13" i="317" s="1"/>
  <c r="M10" i="321"/>
  <c r="M9" i="321" s="1"/>
  <c r="M180" i="321" s="1"/>
  <c r="F15" i="31"/>
  <c r="Q96" i="321"/>
  <c r="Q10" i="321" s="1"/>
  <c r="Q9" i="321" s="1"/>
  <c r="AF186" i="31" l="1"/>
  <c r="J14" i="283"/>
  <c r="J15" i="283" s="1"/>
  <c r="AC96" i="321"/>
  <c r="AC10" i="321" s="1"/>
  <c r="AC9" i="321" s="1"/>
  <c r="AC180" i="321" s="1"/>
  <c r="D39" i="317"/>
  <c r="G39" i="317" s="1"/>
  <c r="G13" i="317" s="1"/>
  <c r="G12" i="333"/>
  <c r="G14" i="333" s="1"/>
  <c r="G19" i="333" s="1"/>
  <c r="T4" i="321"/>
  <c r="AG108" i="321"/>
  <c r="Q180" i="321"/>
  <c r="AI8" i="321"/>
  <c r="AG9" i="321"/>
  <c r="G100" i="257"/>
  <c r="G101" i="31"/>
  <c r="AA101" i="31" l="1"/>
  <c r="G97" i="334"/>
  <c r="G15" i="31"/>
  <c r="G185" i="31" s="1"/>
  <c r="G108" i="257"/>
  <c r="H12" i="333" s="1"/>
  <c r="AA100" i="257"/>
  <c r="J13" i="317"/>
  <c r="G12" i="317"/>
  <c r="G47" i="317" l="1"/>
  <c r="I47" i="317" s="1"/>
  <c r="H14" i="333"/>
  <c r="H19" i="333" s="1"/>
  <c r="T12" i="333"/>
  <c r="J97" i="334"/>
  <c r="G105" i="334"/>
  <c r="G212" i="334" s="1"/>
  <c r="G216" i="334" s="1"/>
  <c r="AA108" i="257"/>
  <c r="AB100" i="257"/>
  <c r="AB108" i="257" s="1"/>
  <c r="AC101" i="31"/>
  <c r="AC15" i="31" s="1"/>
  <c r="AA15" i="31"/>
  <c r="M97" i="334" l="1"/>
  <c r="M105" i="334" s="1"/>
  <c r="J105" i="334"/>
  <c r="C3" i="338"/>
  <c r="M3273" i="288"/>
  <c r="L428" i="229"/>
  <c r="L429" i="229" s="1"/>
  <c r="L430" i="229" s="1"/>
  <c r="L379" i="288"/>
  <c r="L380" i="288" s="1"/>
  <c r="L381" i="288" s="1"/>
  <c r="M3702" i="229"/>
  <c r="Y12" i="333"/>
  <c r="T14" i="333"/>
  <c r="T19" i="333" s="1"/>
  <c r="V12" i="333"/>
  <c r="X12" i="333" s="1"/>
  <c r="AE109" i="257"/>
  <c r="AE185" i="31"/>
  <c r="M3281" i="288" l="1"/>
  <c r="O3273" i="288"/>
  <c r="M3710" i="229"/>
  <c r="O3702" i="229"/>
  <c r="P3702" i="229" s="1"/>
  <c r="C5" i="338"/>
  <c r="D5" i="338" s="1"/>
  <c r="F5" i="338" s="1"/>
  <c r="D3" i="338"/>
  <c r="P105" i="334"/>
  <c r="J212" i="334"/>
  <c r="J216" i="334" s="1"/>
  <c r="V14" i="333"/>
  <c r="V19" i="333" s="1"/>
  <c r="Y19" i="333" s="1"/>
  <c r="M212" i="334"/>
  <c r="M216" i="334" s="1"/>
  <c r="O105" i="334"/>
  <c r="O3710" i="229" l="1"/>
  <c r="N3712" i="229"/>
  <c r="O3712" i="229" s="1"/>
  <c r="N3282" i="288"/>
  <c r="O3282" i="288" s="1"/>
  <c r="O3281" i="288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<sst xmlns="http://schemas.openxmlformats.org/spreadsheetml/2006/main" count="52200" uniqueCount="3487">
  <si>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</si>
  <si>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</si>
  <si>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</si>
  <si>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</si>
  <si>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</si>
  <si>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</si>
  <si>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</si>
  <si>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</si>
  <si>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</si>
  <si>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</si>
  <si>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</si>
  <si>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</si>
  <si>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</si>
  <si>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</si>
  <si>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</si>
  <si>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</si>
  <si>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</si>
  <si>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</si>
  <si>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</si>
  <si>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</si>
  <si>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</si>
  <si>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</si>
  <si>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</si>
  <si>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</si>
  <si>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</si>
  <si>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</si>
  <si>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</si>
  <si>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</si>
  <si>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</si>
  <si>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</si>
  <si>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</si>
  <si>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</si>
  <si>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</si>
  <si>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</si>
  <si>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</si>
  <si>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</si>
  <si>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</si>
  <si>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</si>
  <si>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</si>
  <si>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</si>
  <si>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</si>
  <si>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</si>
  <si>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</si>
  <si>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</si>
  <si>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</si>
  <si>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</si>
  <si>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</si>
  <si>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</si>
  <si>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</si>
  <si>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</si>
  <si>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</si>
  <si>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</si>
  <si>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</si>
  <si>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</si>
  <si>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</si>
  <si>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</si>
  <si>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</si>
  <si>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</si>
  <si>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</si>
  <si>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</si>
  <si>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</si>
  <si>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</si>
  <si>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</si>
  <si>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</si>
  <si>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</si>
  <si>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</si>
  <si>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</si>
  <si>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</si>
  <si>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</si>
  <si>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</si>
  <si>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</si>
  <si>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</si>
  <si>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</si>
  <si>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</si>
  <si>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</si>
  <si>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</si>
  <si>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</si>
  <si>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</si>
  <si>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</si>
  <si>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</si>
  <si>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</si>
  <si>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</si>
  <si>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</si>
  <si>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</si>
  <si>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</si>
  <si>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</si>
  <si>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</si>
  <si>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</si>
  <si>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</si>
  <si>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</si>
  <si>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</si>
  <si>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</si>
  <si>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</si>
  <si>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</si>
  <si>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</si>
  <si>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</si>
  <si>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</si>
  <si>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</si>
  <si>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</si>
  <si>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</si>
  <si>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</si>
  <si>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</si>
  <si>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</si>
  <si>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</si>
  <si>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</si>
  <si>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</si>
  <si>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</si>
  <si>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</si>
  <si>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</si>
  <si>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</si>
  <si>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</si>
  <si>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</si>
  <si>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</si>
  <si>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</si>
  <si>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</si>
  <si>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</si>
  <si>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</si>
  <si>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</si>
  <si>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</si>
  <si>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</si>
  <si>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</si>
  <si>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</si>
  <si>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</si>
  <si>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</si>
  <si>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</si>
  <si>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</si>
  <si>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</si>
  <si>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</si>
  <si>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</si>
  <si>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</si>
  <si>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</si>
  <si>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</si>
  <si>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</si>
  <si>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</si>
  <si>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</si>
  <si>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</si>
  <si>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</si>
  <si>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</si>
  <si>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</si>
  <si>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</si>
  <si>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</si>
  <si>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</si>
  <si>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</si>
  <si>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</si>
  <si>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</si>
  <si>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</si>
  <si>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</si>
  <si>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</si>
  <si>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</si>
  <si>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</si>
  <si>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</si>
  <si>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</si>
  <si>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</si>
  <si>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</si>
  <si>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</si>
  <si>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</si>
  <si>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</si>
  <si>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</si>
  <si>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</si>
  <si>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</si>
  <si>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</si>
  <si>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</si>
  <si>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</si>
  <si>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</si>
  <si>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</si>
  <si>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</si>
  <si>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</si>
  <si>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</si>
  <si>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</si>
  <si>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</si>
  <si>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</si>
  <si>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</si>
  <si>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</si>
  <si>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</si>
  <si>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</si>
  <si>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</si>
  <si>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</si>
  <si>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</si>
  <si>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</si>
  <si>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</si>
  <si>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</si>
  <si>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</si>
  <si>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</si>
  <si>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</si>
  <si>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</si>
  <si>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</si>
  <si>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</si>
  <si>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</si>
  <si>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</si>
  <si>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</si>
  <si>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</si>
  <si>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</si>
  <si>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</si>
  <si>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</si>
  <si>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</si>
  <si>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</si>
  <si>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</si>
  <si>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</si>
  <si>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</si>
  <si>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</si>
  <si>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</si>
  <si>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</si>
  <si>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</si>
  <si>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</si>
  <si>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</si>
  <si>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</si>
  <si>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</si>
  <si>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</si>
  <si>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</si>
  <si>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</si>
  <si>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</si>
  <si>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</si>
  <si>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</si>
  <si>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</si>
  <si>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</si>
  <si>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</si>
  <si>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</si>
  <si>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</si>
  <si>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</si>
  <si>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</si>
  <si>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</si>
  <si>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</si>
  <si>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</si>
  <si>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</si>
  <si>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</si>
  <si>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</si>
  <si>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</si>
  <si>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</si>
  <si>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</si>
  <si>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</si>
  <si>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</si>
  <si>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</si>
  <si>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</si>
  <si>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</si>
  <si>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</si>
  <si>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</si>
  <si>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</si>
  <si>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</si>
  <si>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</si>
  <si>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</si>
  <si>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</si>
  <si>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</si>
  <si>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</si>
  <si>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</si>
  <si>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</si>
  <si>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</si>
  <si>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</si>
  <si>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</si>
  <si>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</si>
  <si>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</si>
  <si>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</si>
  <si>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</si>
  <si>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</si>
  <si>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</si>
  <si>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</si>
  <si>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</si>
  <si>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</si>
  <si>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</si>
  <si>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</si>
  <si>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</si>
  <si>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</si>
  <si>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</si>
  <si>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</si>
  <si>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</si>
  <si>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</si>
  <si>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</si>
  <si>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</si>
  <si>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</si>
  <si>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</si>
  <si>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</si>
  <si>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</si>
  <si>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</si>
  <si>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</si>
  <si>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</si>
  <si>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</si>
  <si>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</si>
  <si>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</si>
  <si>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</si>
  <si>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</si>
  <si>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</si>
  <si>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</si>
  <si>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</si>
  <si>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</si>
  <si>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</si>
  <si>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</si>
  <si>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</si>
  <si>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</si>
  <si>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</si>
  <si>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</si>
  <si>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</si>
  <si>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</si>
  <si>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</si>
  <si>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</si>
  <si>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</si>
  <si>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</si>
  <si>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</si>
  <si>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</si>
  <si>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</si>
  <si>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</si>
  <si>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</si>
  <si>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</si>
  <si>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</si>
  <si>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</si>
  <si>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</si>
  <si>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</si>
  <si>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</si>
  <si>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</si>
  <si>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</si>
  <si>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</si>
  <si>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</si>
  <si>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</si>
  <si>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</si>
  <si>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</si>
  <si>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</si>
  <si>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</si>
  <si>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</si>
  <si>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</si>
  <si>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</si>
  <si>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</si>
  <si>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</si>
  <si>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</si>
  <si>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</si>
  <si>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</si>
  <si>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</si>
  <si>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</si>
  <si>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</si>
  <si>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</si>
  <si>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</si>
  <si>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</si>
  <si>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</si>
  <si>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</si>
  <si>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</si>
  <si>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</si>
  <si>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</si>
  <si>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</si>
  <si>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</si>
  <si>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</si>
  <si>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</si>
  <si>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</si>
  <si>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</si>
  <si>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</si>
  <si>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</si>
  <si>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</si>
  <si>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</si>
  <si>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</si>
  <si>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</si>
  <si>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</si>
  <si>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</si>
  <si>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</si>
  <si>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</si>
  <si>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</si>
  <si>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</si>
  <si>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</si>
  <si>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</si>
  <si>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</si>
  <si>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</si>
  <si>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</si>
  <si>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</si>
  <si>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</si>
  <si>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</si>
  <si>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</si>
  <si>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</si>
  <si>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</si>
  <si>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</si>
  <si>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</si>
  <si>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</si>
  <si>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</si>
  <si>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</si>
  <si>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</si>
  <si>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</si>
  <si>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</si>
  <si>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</si>
  <si>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</si>
  <si>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</si>
  <si>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</si>
  <si>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</si>
  <si>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</si>
  <si>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</si>
  <si>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</si>
  <si>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</si>
  <si>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</si>
  <si>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</si>
  <si>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</si>
  <si>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</si>
  <si>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</si>
  <si>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</si>
  <si>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</si>
  <si>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</si>
  <si>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</si>
  <si>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</si>
  <si>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</si>
  <si>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</si>
  <si>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</si>
  <si>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</si>
  <si>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</si>
  <si>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</si>
  <si>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</si>
  <si>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</si>
  <si>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</si>
  <si>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</si>
  <si>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</si>
  <si>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</si>
  <si>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</si>
  <si>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</si>
  <si>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</si>
  <si>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</si>
  <si>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</si>
  <si>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</si>
  <si>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</si>
  <si>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</si>
  <si>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</si>
  <si>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</si>
  <si>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</si>
  <si>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</si>
  <si>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</si>
  <si>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</si>
  <si>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</si>
  <si>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</si>
  <si>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</si>
  <si>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</si>
  <si>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</si>
  <si>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</si>
  <si>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</si>
  <si>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</si>
  <si>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</si>
  <si>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</si>
  <si>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</si>
  <si>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</si>
  <si>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</si>
  <si>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</si>
  <si>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</si>
  <si>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</si>
  <si>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</si>
  <si>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</si>
  <si>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</si>
  <si>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</si>
  <si>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</si>
  <si>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</si>
  <si>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</si>
  <si>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</si>
  <si>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</si>
  <si>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</si>
  <si>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</si>
  <si>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</si>
  <si>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</si>
  <si>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</si>
  <si>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</si>
  <si>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</si>
  <si>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</si>
  <si>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</si>
  <si>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</si>
  <si>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</si>
  <si>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</si>
  <si>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</si>
  <si>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</si>
  <si>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</si>
  <si>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</si>
  <si>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</si>
  <si>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</si>
  <si>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</si>
  <si>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</si>
  <si>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</si>
  <si>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</si>
  <si>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</si>
  <si>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</si>
  <si>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</si>
  <si>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</si>
  <si>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</si>
  <si>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</si>
  <si>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</si>
  <si>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</si>
  <si>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</si>
  <si>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</si>
  <si>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</si>
  <si>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</si>
  <si>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</si>
  <si>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</si>
  <si>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</si>
  <si>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</si>
  <si>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</si>
  <si>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</si>
  <si>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</si>
  <si>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</si>
  <si>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</si>
  <si>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</si>
  <si>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</si>
  <si>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</si>
  <si>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</si>
  <si>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</si>
  <si>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</si>
  <si>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</si>
  <si>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</si>
  <si>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</si>
  <si>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</si>
  <si>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</si>
  <si>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</si>
  <si>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</si>
  <si>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</si>
  <si>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</si>
  <si>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</si>
  <si>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</si>
  <si>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</si>
  <si>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</si>
  <si>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</si>
  <si>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</si>
  <si>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</si>
  <si>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</si>
  <si>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</si>
  <si>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</si>
  <si>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</si>
  <si>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</si>
  <si>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</si>
  <si>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</si>
  <si>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</si>
  <si>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</si>
  <si>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</si>
  <si>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</si>
  <si>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</si>
  <si>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</si>
  <si>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</si>
  <si>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</si>
  <si>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</si>
  <si>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</si>
  <si>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</si>
  <si>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</si>
  <si>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</si>
  <si>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</si>
  <si>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</si>
  <si>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</si>
  <si>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</si>
  <si>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</si>
  <si>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</si>
  <si>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</si>
  <si>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</si>
  <si>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</si>
  <si>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</si>
  <si>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</si>
  <si>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</si>
  <si>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</si>
  <si>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</si>
  <si>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</si>
  <si>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</si>
  <si>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</si>
  <si>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</si>
  <si>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</si>
  <si>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</si>
  <si>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</si>
  <si>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</si>
  <si>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</si>
  <si>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</si>
  <si>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</si>
  <si>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</si>
  <si>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</si>
  <si>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</si>
  <si>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</si>
  <si>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</si>
  <si>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</si>
  <si>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</si>
  <si>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</si>
  <si>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</si>
  <si>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</si>
  <si>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</si>
  <si>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</si>
  <si>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</si>
  <si>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</si>
  <si>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</si>
  <si>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</si>
  <si>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</si>
  <si>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</si>
  <si>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</si>
  <si>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</si>
  <si>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</si>
  <si>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</si>
  <si>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</si>
  <si>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</si>
  <si>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</si>
  <si>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</si>
  <si>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</si>
  <si>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</si>
  <si>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</si>
  <si>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</si>
  <si>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</si>
  <si>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</si>
  <si>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</si>
  <si>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</si>
  <si>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</si>
  <si>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</si>
  <si>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</si>
  <si>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</si>
  <si>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</si>
  <si>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</si>
  <si>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</si>
  <si>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</si>
  <si>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</si>
  <si>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</si>
  <si>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</si>
  <si>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</si>
  <si>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</si>
  <si>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</si>
  <si>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</si>
  <si>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</si>
  <si>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</si>
  <si>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</si>
  <si>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</si>
  <si>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</si>
  <si>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</si>
  <si>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</si>
  <si>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</si>
  <si>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</si>
  <si>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</si>
  <si>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</si>
  <si>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</si>
  <si>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</si>
  <si>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</si>
  <si>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</si>
  <si>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</si>
  <si>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</si>
  <si>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</si>
  <si>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</si>
  <si>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</si>
  <si>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</si>
  <si>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</si>
  <si>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</si>
  <si>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</si>
  <si>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</si>
  <si>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</si>
  <si>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</si>
  <si>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</si>
  <si>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</si>
  <si>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</si>
  <si>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</si>
  <si>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</si>
  <si>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</si>
  <si>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</si>
  <si>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</si>
  <si>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</si>
  <si>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</si>
  <si>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</si>
  <si>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</si>
  <si>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</si>
  <si>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</si>
  <si>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</si>
  <si>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</si>
  <si>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</si>
  <si>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</si>
  <si>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</si>
  <si>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</si>
  <si>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</si>
  <si>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</si>
  <si>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</si>
  <si>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</si>
  <si>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</si>
  <si>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</si>
  <si>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</si>
  <si>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</si>
  <si>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</si>
  <si>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</si>
  <si>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</si>
  <si>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</si>
  <si>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</si>
  <si>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</si>
  <si>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</si>
  <si>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</si>
  <si>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</si>
  <si>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</si>
  <si>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</si>
  <si>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</si>
  <si>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</si>
  <si>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</si>
  <si>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</si>
  <si>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</si>
  <si>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</si>
  <si>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</si>
  <si>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</si>
  <si>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</si>
  <si>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</si>
  <si>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</si>
  <si>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</si>
  <si>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</si>
  <si>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</si>
  <si>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</si>
  <si>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</si>
  <si>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</si>
  <si>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</si>
  <si>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</si>
  <si>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</si>
  <si>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</si>
  <si>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</si>
  <si>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</si>
  <si>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</si>
  <si>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</si>
  <si>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</si>
  <si>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</si>
  <si>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</si>
  <si>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</si>
  <si>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</si>
  <si>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</si>
  <si>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</si>
  <si>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</si>
  <si>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</si>
  <si>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</si>
  <si>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</si>
  <si>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</si>
  <si>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</si>
  <si>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</si>
  <si>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</si>
  <si>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</si>
  <si>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</si>
  <si>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</si>
  <si>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</si>
  <si>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</si>
  <si>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</si>
  <si>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</si>
  <si>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</si>
  <si>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</si>
  <si>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</si>
  <si>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</si>
  <si>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</si>
  <si>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</si>
  <si>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</si>
  <si>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</si>
  <si>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</si>
  <si>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</si>
  <si>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</si>
  <si>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</si>
  <si>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</si>
  <si>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</si>
  <si>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</si>
  <si>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</si>
  <si>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</si>
  <si>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</si>
  <si>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</si>
  <si>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</si>
  <si>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</si>
  <si>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</si>
  <si>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</si>
  <si>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</si>
  <si>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</si>
  <si>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</si>
  <si>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</si>
  <si>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</si>
  <si>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</si>
  <si>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</si>
  <si>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</si>
  <si>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</si>
  <si>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</si>
  <si>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</si>
  <si>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</si>
  <si>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</si>
  <si>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</si>
  <si>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</si>
  <si>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</si>
  <si>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</si>
  <si>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</si>
  <si>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</si>
  <si>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</si>
  <si>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</si>
  <si>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</si>
  <si>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</si>
  <si>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</si>
  <si>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</si>
  <si>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</si>
  <si>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</si>
  <si>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</si>
  <si>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</si>
  <si>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</si>
  <si>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</si>
  <si>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</si>
  <si>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</si>
  <si>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</si>
  <si>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</si>
  <si>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</si>
  <si>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</si>
  <si>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</si>
  <si>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</si>
  <si>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</si>
  <si>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</si>
  <si>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</si>
  <si>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</si>
  <si>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</si>
  <si>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</si>
  <si>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</si>
  <si>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</si>
  <si>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</si>
  <si>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</si>
  <si>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</si>
  <si>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</si>
  <si>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</si>
  <si>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</si>
  <si>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</si>
  <si>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</si>
  <si>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</si>
  <si>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</si>
  <si>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</si>
  <si>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</si>
  <si>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</si>
  <si>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</si>
  <si>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</si>
  <si>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</si>
  <si>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</si>
  <si>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</si>
  <si>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</si>
  <si>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</si>
  <si>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</si>
  <si>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</si>
  <si>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</si>
  <si>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</si>
  <si>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</si>
  <si>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</si>
  <si>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</si>
  <si>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</si>
  <si>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</si>
  <si>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</si>
  <si>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</si>
  <si>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</si>
  <si>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</si>
  <si>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</si>
  <si>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</si>
  <si>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</si>
  <si>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</si>
  <si>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</si>
  <si>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</si>
  <si>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</si>
  <si>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</si>
  <si>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</si>
  <si>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</si>
  <si>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</si>
  <si>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</si>
  <si>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</si>
  <si>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</si>
  <si>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</si>
  <si>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</si>
  <si>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</si>
  <si>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</si>
  <si>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</si>
  <si>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</si>
  <si>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</si>
  <si>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</si>
  <si>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</si>
  <si>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</si>
  <si>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</si>
  <si>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</si>
  <si>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</si>
  <si>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</si>
  <si>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</si>
  <si>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</si>
  <si>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</si>
  <si>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</si>
  <si>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</si>
  <si>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</si>
  <si>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</si>
  <si>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</si>
  <si>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</si>
  <si>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</si>
  <si>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</si>
  <si>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</si>
  <si>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</si>
  <si>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</si>
  <si>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</si>
  <si>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</si>
  <si>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</si>
  <si>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</si>
  <si>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</si>
  <si>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</si>
  <si>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</si>
  <si>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</si>
  <si>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</si>
  <si>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</si>
  <si>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</si>
  <si>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</si>
  <si>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</si>
  <si>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</si>
  <si>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</si>
  <si>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</si>
  <si>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</si>
  <si>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</si>
  <si>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</si>
  <si>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</si>
  <si>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</si>
  <si>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</si>
  <si>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</si>
  <si>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</si>
  <si>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</si>
  <si>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</si>
  <si>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</si>
  <si>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</si>
  <si>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</si>
  <si>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</si>
  <si>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</si>
  <si>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</si>
  <si>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</si>
  <si>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</si>
  <si>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</si>
  <si>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</si>
  <si>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</si>
  <si>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</si>
  <si>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</si>
  <si>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</si>
  <si>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</si>
  <si>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</si>
  <si>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</si>
  <si>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</si>
  <si>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</si>
  <si>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</si>
  <si>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</si>
  <si>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</si>
  <si>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</si>
  <si>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</si>
  <si>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</si>
  <si>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</si>
  <si>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</si>
  <si>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</si>
  <si>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</si>
  <si>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</si>
  <si>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</si>
  <si>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</si>
  <si>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</si>
  <si>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</si>
  <si>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</si>
  <si>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</si>
  <si>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</si>
  <si>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</si>
  <si>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</si>
  <si>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</si>
  <si>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</si>
  <si>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</si>
  <si>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</si>
  <si>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</si>
  <si>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</si>
  <si>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</si>
  <si>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</si>
  <si>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</si>
  <si>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</si>
  <si>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</si>
  <si>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</si>
  <si>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</si>
  <si>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</si>
  <si>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</si>
  <si>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</si>
  <si>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</si>
  <si>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</si>
  <si>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</si>
  <si>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</si>
  <si>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</si>
  <si>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</si>
  <si>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</si>
  <si>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</si>
  <si>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</si>
  <si>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</si>
  <si>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</si>
  <si>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</si>
  <si>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</si>
  <si>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</si>
  <si>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</si>
  <si>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</si>
  <si>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</si>
  <si>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</si>
  <si>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</si>
  <si>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</si>
  <si>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</si>
  <si>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</si>
  <si>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</si>
  <si>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</si>
  <si>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</si>
  <si>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</si>
  <si>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</si>
  <si>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</si>
  <si>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</si>
  <si>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</si>
  <si>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</si>
  <si>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</si>
  <si>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</si>
  <si>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</si>
  <si>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</si>
  <si>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</si>
  <si>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</si>
  <si>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</si>
  <si>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</si>
  <si>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</si>
  <si>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</si>
  <si>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</si>
  <si>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</si>
  <si>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</si>
  <si>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</si>
  <si>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</si>
  <si>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</si>
  <si>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</si>
  <si>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</si>
  <si>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</si>
  <si>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</si>
  <si>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</si>
  <si>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</si>
  <si>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</si>
  <si>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</si>
  <si>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</si>
  <si>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</si>
  <si>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</si>
  <si>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</si>
  <si>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</si>
  <si>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</si>
  <si>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</si>
  <si>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</si>
  <si>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</si>
  <si>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</si>
  <si>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</si>
  <si>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</si>
  <si>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</si>
  <si>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</si>
  <si>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</si>
  <si>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</si>
  <si>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</si>
  <si>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</si>
  <si>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</si>
  <si>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</si>
  <si>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</si>
  <si>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</si>
  <si>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</si>
  <si>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</si>
  <si>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</si>
  <si>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</si>
  <si>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</si>
  <si>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</si>
  <si>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</si>
  <si>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</si>
  <si>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</si>
  <si>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</si>
  <si>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</si>
  <si>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</si>
  <si>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</si>
  <si>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</si>
  <si>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</si>
  <si>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</si>
  <si>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</si>
  <si>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</si>
  <si>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</si>
  <si>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</si>
  <si>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</si>
  <si>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</si>
  <si>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</si>
  <si>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</si>
  <si>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</si>
  <si>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</si>
  <si>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</si>
  <si>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</si>
  <si>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</si>
  <si>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</si>
  <si>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</si>
  <si>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</si>
  <si>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</si>
  <si>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</si>
  <si>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</si>
  <si>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</si>
  <si>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</si>
  <si>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</si>
  <si>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</si>
  <si>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</si>
  <si>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</si>
  <si>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</si>
  <si>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</si>
  <si>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</si>
  <si>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</si>
  <si>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</si>
  <si>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</si>
  <si>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</si>
  <si>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</si>
  <si>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</si>
  <si>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</si>
  <si>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</si>
  <si>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</si>
  <si>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</si>
  <si>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</si>
  <si>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</si>
  <si>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</si>
  <si>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</si>
  <si>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</si>
  <si>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</si>
  <si>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</si>
  <si>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</si>
  <si>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</si>
  <si>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</si>
  <si>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</si>
  <si>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</si>
  <si>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</si>
  <si>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</si>
  <si>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</si>
  <si>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</si>
  <si>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</si>
  <si>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</si>
  <si>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</si>
  <si>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</si>
  <si>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</si>
  <si>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</si>
  <si>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</si>
  <si>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</si>
  <si>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</si>
  <si>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</si>
  <si>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</si>
  <si>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</si>
  <si>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</si>
  <si>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</si>
  <si>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</si>
  <si>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</si>
  <si>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</si>
  <si>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</si>
  <si>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</si>
  <si>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</si>
  <si>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</si>
  <si>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</si>
  <si>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</si>
  <si>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</si>
  <si>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</si>
  <si>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</si>
  <si>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</si>
  <si>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</si>
  <si>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</si>
  <si>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</si>
  <si>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</si>
  <si>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</si>
  <si>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</si>
  <si>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</si>
  <si>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</si>
  <si>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</si>
  <si>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</si>
  <si>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</si>
  <si>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</si>
  <si>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</si>
  <si>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</si>
  <si>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</si>
  <si>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</si>
  <si>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</si>
  <si>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</si>
  <si>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</si>
  <si>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</si>
  <si>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</si>
  <si>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</si>
  <si>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</si>
  <si>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</si>
  <si>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</si>
  <si>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</si>
  <si>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</si>
  <si>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</si>
  <si>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</si>
  <si>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</si>
  <si>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</si>
  <si>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</si>
  <si>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</si>
  <si>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</si>
  <si>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</si>
  <si>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</si>
  <si>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</si>
  <si>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</si>
  <si>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</si>
  <si>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</si>
  <si>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</si>
  <si>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</si>
  <si>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</si>
  <si>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</si>
  <si>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</si>
  <si>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</si>
  <si>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</si>
  <si>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</si>
  <si>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</si>
  <si>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</si>
  <si>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</si>
  <si>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</si>
  <si>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</si>
  <si>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</si>
  <si>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</si>
  <si>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</si>
  <si>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</si>
  <si>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</si>
  <si>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</si>
  <si>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</si>
  <si>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</si>
  <si>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</si>
  <si>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</si>
  <si>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</si>
  <si>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</si>
  <si>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</si>
  <si>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</si>
  <si>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</si>
  <si>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</si>
  <si>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</si>
  <si>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</si>
  <si>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</si>
  <si>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</si>
  <si>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</si>
  <si>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</si>
  <si>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</si>
  <si>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</si>
  <si>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</si>
  <si>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</si>
  <si>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</si>
  <si>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</si>
  <si>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</si>
  <si>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</si>
  <si>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</si>
  <si>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</si>
  <si>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</si>
  <si>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</si>
  <si>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</si>
  <si>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</si>
  <si>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</si>
  <si>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</si>
  <si>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</si>
  <si>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</si>
  <si>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</si>
  <si>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</si>
  <si>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</si>
  <si>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</si>
  <si>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</si>
  <si>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</si>
  <si>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</si>
  <si>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</si>
  <si>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</si>
  <si>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</si>
  <si>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</si>
  <si>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</si>
  <si>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</si>
  <si>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</si>
  <si>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</si>
  <si>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</si>
  <si>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</si>
  <si>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</si>
  <si>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</si>
  <si>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</si>
  <si>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</si>
  <si>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</si>
  <si>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</si>
  <si>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</si>
  <si>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</si>
  <si>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</si>
  <si>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</si>
  <si>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</si>
  <si>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</si>
  <si>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</si>
  <si>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</si>
  <si>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</si>
  <si>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</si>
  <si>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</si>
  <si>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</si>
  <si>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</si>
  <si>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</si>
  <si>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</si>
  <si>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</si>
  <si>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</si>
  <si>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</si>
  <si>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</si>
  <si>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</si>
  <si>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</si>
  <si>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</si>
  <si>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</si>
  <si>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</si>
  <si>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</si>
  <si>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</si>
  <si>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</si>
  <si>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</si>
  <si>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</si>
  <si>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</si>
  <si>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</si>
  <si>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</si>
  <si>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</si>
  <si>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</si>
  <si>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</si>
  <si>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</si>
  <si>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</si>
  <si>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</si>
  <si>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</si>
  <si>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</si>
  <si>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</si>
  <si>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</si>
  <si>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</si>
  <si>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</si>
  <si>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</si>
  <si>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</si>
  <si>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</si>
  <si>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</si>
  <si>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</si>
  <si>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</si>
  <si>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</si>
  <si>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</si>
  <si>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</si>
  <si>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</si>
  <si>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</si>
  <si>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</si>
  <si>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</si>
  <si>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</si>
  <si>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</si>
  <si>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</si>
  <si>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</si>
  <si>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</si>
  <si>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</si>
  <si>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</si>
  <si>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</si>
  <si>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</si>
  <si>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</si>
  <si>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</si>
  <si>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</si>
  <si>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</si>
  <si>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</si>
  <si>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</si>
  <si>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</si>
  <si>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</si>
  <si>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</si>
  <si>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</si>
  <si>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</si>
  <si>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</si>
  <si>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</si>
  <si>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</si>
  <si>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</si>
  <si>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</si>
  <si>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</si>
  <si>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</si>
  <si>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</si>
  <si>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</si>
  <si>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</si>
  <si>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</si>
  <si>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</si>
  <si>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</si>
  <si>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</si>
  <si>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</si>
  <si>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</si>
  <si>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</si>
  <si>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</si>
  <si>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</si>
  <si>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</si>
  <si>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</si>
  <si>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</si>
  <si>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</si>
  <si>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</si>
  <si>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</si>
  <si>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</si>
  <si>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</si>
  <si>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</si>
  <si>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</si>
  <si>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</si>
  <si>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</si>
  <si>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</si>
  <si>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</si>
  <si>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</si>
  <si>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</si>
  <si>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</si>
  <si>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</si>
  <si>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</si>
  <si>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</si>
  <si>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</si>
  <si>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</si>
  <si>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</si>
  <si>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</si>
  <si>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</si>
  <si>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</si>
  <si>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</si>
  <si>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</si>
  <si>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</si>
  <si>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</si>
  <si>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</si>
  <si>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</si>
  <si>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</si>
  <si>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</si>
  <si>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</si>
  <si>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</si>
  <si>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</si>
  <si>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</si>
  <si>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</si>
  <si>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</si>
  <si>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</si>
  <si>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</si>
  <si>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</si>
  <si>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</si>
  <si>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</si>
  <si>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</si>
  <si>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</si>
  <si>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</si>
  <si>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</si>
  <si>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</si>
  <si>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</si>
  <si>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</si>
  <si>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</si>
  <si>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</si>
  <si>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</si>
  <si>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</si>
  <si>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</si>
  <si>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</si>
  <si>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</si>
  <si>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</si>
  <si>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</si>
  <si>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</si>
  <si>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</si>
  <si>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</si>
  <si>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</si>
  <si>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</si>
  <si>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</si>
  <si>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</si>
  <si>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</si>
  <si>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</si>
  <si>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</si>
  <si>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</si>
  <si>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</si>
  <si>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</si>
  <si>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</si>
  <si>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</si>
  <si>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</si>
  <si>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</si>
  <si>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</si>
  <si>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</si>
  <si>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</si>
  <si>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</si>
  <si>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</si>
  <si>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</si>
  <si>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</si>
  <si>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</si>
  <si>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</si>
  <si>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</si>
  <si>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</si>
  <si>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</si>
  <si>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</si>
  <si>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</si>
  <si>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</si>
  <si>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</si>
  <si>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</si>
  <si>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</si>
  <si>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</si>
  <si>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</si>
  <si>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</si>
  <si>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</si>
  <si>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</si>
  <si>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</si>
  <si>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</si>
  <si>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</si>
  <si>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</si>
  <si>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</si>
  <si>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</si>
  <si>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</si>
  <si>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</si>
  <si>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</si>
  <si>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</si>
  <si>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</si>
  <si>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</si>
  <si>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</si>
  <si>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</si>
  <si>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</si>
  <si>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</si>
  <si>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</si>
  <si>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</si>
  <si>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</si>
  <si>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</si>
  <si>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</si>
  <si>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</si>
  <si>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</si>
  <si>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</si>
  <si>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</si>
  <si>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</si>
  <si>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</si>
  <si>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</si>
  <si>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</si>
  <si>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</si>
  <si>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</si>
  <si>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</si>
  <si>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</si>
  <si>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</si>
  <si>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</si>
  <si>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</si>
  <si>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</si>
  <si>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</si>
  <si>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</si>
  <si>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</si>
  <si>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</si>
  <si>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</si>
  <si>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</si>
  <si>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</si>
  <si>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</si>
  <si>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</si>
  <si>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</si>
  <si>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</si>
  <si>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</si>
  <si>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</si>
  <si>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</si>
  <si>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</si>
  <si>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</si>
  <si>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</si>
  <si>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</si>
  <si>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</si>
  <si>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</si>
  <si>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</si>
  <si>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</si>
  <si>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</si>
  <si>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</si>
  <si>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</si>
  <si>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</si>
  <si>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</si>
  <si>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</si>
  <si>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</si>
  <si>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</si>
  <si>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</si>
  <si>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</si>
  <si>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</si>
  <si>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</si>
  <si>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</si>
  <si>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</si>
  <si>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</si>
  <si>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</si>
  <si>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</si>
  <si>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</si>
  <si>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</si>
  <si>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</si>
  <si>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</si>
  <si>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</si>
  <si>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</si>
  <si>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</si>
  <si>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</si>
  <si>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</si>
  <si>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</si>
  <si>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</si>
  <si>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</si>
  <si>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</si>
  <si>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</si>
  <si>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</si>
  <si>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</si>
  <si>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</si>
  <si>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</si>
  <si>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</si>
  <si>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</si>
  <si>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</si>
  <si>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</si>
  <si>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</si>
  <si>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</si>
  <si>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</si>
  <si>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</si>
  <si>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</si>
  <si>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</si>
  <si>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</si>
  <si>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</si>
  <si>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</si>
  <si>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</si>
  <si>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</si>
  <si>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</si>
  <si>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</si>
  <si>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</si>
  <si>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</si>
  <si>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</si>
  <si>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</si>
  <si>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</si>
  <si>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</si>
  <si>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</si>
  <si>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</si>
  <si>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</si>
  <si>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</si>
  <si>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</si>
  <si>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</si>
  <si>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</si>
  <si>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</si>
  <si>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</si>
  <si>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</si>
  <si>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</si>
  <si>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</si>
  <si>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</si>
  <si>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</si>
  <si>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</si>
  <si>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</si>
  <si>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</si>
  <si>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</si>
  <si>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</si>
  <si>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</si>
  <si>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</si>
  <si>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</si>
  <si>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</si>
  <si>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</si>
  <si>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</si>
  <si>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</si>
  <si>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</si>
  <si>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</si>
  <si>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</si>
  <si>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</si>
  <si>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</si>
  <si>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</si>
  <si>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</si>
  <si>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</si>
  <si>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</si>
  <si>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</si>
  <si>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</si>
  <si>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</si>
  <si>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</si>
  <si>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</si>
  <si>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</si>
  <si>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</si>
  <si>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</si>
  <si>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</si>
  <si>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</si>
  <si>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</si>
  <si>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</si>
  <si>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</si>
  <si>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</si>
  <si>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</si>
  <si>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</si>
  <si>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</si>
  <si>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</si>
  <si>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</si>
  <si>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</si>
  <si>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</si>
  <si>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</si>
  <si>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</si>
  <si>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</si>
  <si>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</si>
  <si>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</si>
  <si>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</si>
  <si>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</si>
  <si>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</si>
  <si>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</si>
  <si>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</si>
  <si>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</si>
  <si>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</si>
  <si>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</si>
  <si>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</si>
  <si>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</si>
  <si>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</si>
  <si>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</si>
  <si>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</si>
  <si>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</si>
  <si>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</si>
  <si>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</si>
  <si>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</si>
  <si>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</si>
  <si>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</si>
  <si>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</si>
  <si>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</si>
  <si>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</si>
  <si>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</si>
  <si>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</si>
  <si>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</si>
  <si>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</si>
  <si>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</si>
  <si>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</si>
  <si>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</si>
  <si>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</si>
  <si>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</si>
  <si>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</si>
  <si>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</si>
  <si>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</si>
  <si>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</si>
  <si>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</si>
  <si>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</si>
  <si>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</si>
  <si>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</si>
  <si>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</si>
  <si>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</si>
  <si>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</si>
  <si>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</si>
  <si>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</si>
  <si>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</si>
  <si>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</si>
  <si>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</si>
  <si>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</si>
  <si>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</si>
  <si>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</si>
  <si>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</si>
  <si>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</si>
  <si>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</si>
  <si>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</si>
  <si>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</si>
  <si>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</si>
  <si>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</si>
  <si>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</si>
  <si>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</si>
  <si>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</si>
  <si>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</si>
  <si>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</si>
  <si>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</si>
  <si>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</si>
  <si>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</si>
  <si>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</si>
  <si>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</si>
  <si>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</si>
  <si>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</si>
  <si>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</si>
  <si>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</si>
  <si>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</si>
  <si>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</si>
  <si>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</si>
  <si>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</si>
  <si>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</si>
  <si>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</si>
  <si>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</si>
  <si>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</si>
  <si>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</si>
  <si>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</si>
  <si>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</si>
  <si>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</si>
  <si>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</si>
  <si>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</si>
  <si>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</si>
  <si>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</si>
  <si>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</si>
  <si>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</si>
  <si>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</si>
  <si>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</si>
  <si>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</si>
  <si>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</si>
  <si>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</si>
  <si>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</si>
  <si>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</si>
  <si>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</si>
  <si>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</si>
  <si>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</si>
  <si>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</si>
  <si>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</si>
  <si>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</si>
  <si>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</si>
  <si>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</si>
  <si>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</si>
  <si>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</si>
  <si>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</si>
  <si>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</si>
  <si>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</si>
  <si>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</si>
  <si>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</si>
  <si>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</si>
  <si>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</si>
  <si>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</si>
  <si>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</si>
  <si>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</si>
  <si>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</si>
  <si>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</si>
  <si>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</si>
  <si>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</si>
  <si>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</si>
  <si>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</si>
  <si>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</si>
  <si>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</si>
  <si>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</si>
  <si>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</si>
  <si>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</si>
  <si>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</si>
  <si>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</si>
  <si>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</si>
  <si>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</si>
  <si>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</si>
  <si>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</si>
  <si>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</si>
  <si>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</si>
  <si>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</si>
  <si>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</si>
  <si>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</si>
  <si>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</si>
  <si>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</si>
  <si>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</si>
  <si>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</si>
  <si>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</si>
  <si>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</si>
  <si>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</si>
  <si>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</si>
  <si>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</si>
  <si>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</si>
  <si>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</si>
  <si>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</si>
  <si>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</si>
  <si>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</si>
  <si>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</si>
  <si>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</si>
  <si>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</si>
  <si>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</si>
  <si>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</si>
  <si>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</si>
  <si>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</si>
  <si>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</si>
  <si>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</si>
  <si>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</si>
  <si>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</si>
  <si>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</si>
  <si>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</si>
  <si>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</si>
  <si>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</si>
  <si>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</si>
  <si>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</si>
  <si>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</si>
  <si>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</si>
  <si>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</si>
  <si>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</si>
  <si>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</si>
  <si>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</si>
  <si>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</si>
  <si>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</si>
  <si>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</si>
  <si>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</si>
  <si>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</si>
  <si>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</si>
  <si>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</si>
  <si>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</si>
  <si>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</si>
  <si>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</si>
  <si>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</si>
  <si>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</si>
  <si>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</si>
  <si>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</si>
  <si>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</si>
  <si>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</si>
  <si>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</si>
  <si>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</si>
  <si>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</si>
  <si>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</si>
  <si>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</si>
  <si>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</si>
  <si>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</si>
  <si>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</si>
  <si>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</si>
  <si>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</si>
  <si>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</si>
  <si>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</si>
  <si>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</si>
  <si>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</si>
  <si>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</si>
  <si>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</si>
  <si>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</si>
  <si>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</si>
  <si>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</si>
  <si>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</si>
  <si>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</si>
  <si>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</si>
  <si>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</si>
  <si>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</si>
  <si>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</si>
  <si>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</si>
  <si>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</si>
  <si>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</si>
  <si>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</si>
  <si>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</si>
  <si>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</si>
  <si>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</si>
  <si>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</si>
  <si>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</si>
  <si>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</si>
  <si>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</si>
  <si>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</si>
  <si>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</si>
  <si>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</si>
  <si>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</si>
  <si>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</si>
  <si>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</si>
  <si>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</si>
  <si>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</si>
  <si>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</si>
  <si>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</si>
  <si>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</si>
  <si>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</si>
  <si>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</si>
  <si>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</si>
  <si>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</si>
  <si>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</si>
  <si>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</si>
  <si>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</si>
  <si>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</si>
  <si>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</si>
  <si>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</si>
  <si>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</si>
  <si>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</si>
  <si>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</si>
  <si>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</si>
  <si>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</si>
  <si>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</si>
  <si>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</si>
  <si>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</si>
  <si>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</si>
  <si>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</si>
  <si>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</si>
  <si>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</si>
  <si>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</si>
  <si>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</si>
  <si>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</si>
  <si>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</si>
  <si>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</si>
  <si>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</si>
  <si>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</si>
  <si>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</si>
  <si>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</si>
  <si>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</si>
  <si>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</si>
  <si>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</si>
  <si>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</si>
  <si>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</si>
  <si>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</si>
  <si>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</si>
  <si>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</si>
  <si>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</si>
  <si>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</si>
  <si>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</si>
  <si>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</si>
  <si>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</si>
  <si>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</si>
  <si>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</si>
  <si>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</si>
  <si>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</si>
  <si>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</si>
  <si>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</si>
  <si>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</si>
  <si>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</si>
  <si>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</si>
  <si>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</si>
  <si>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</si>
  <si>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</si>
  <si>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</si>
  <si>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</si>
  <si>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</si>
  <si>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</si>
  <si>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</si>
  <si>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</si>
  <si>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</si>
  <si>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</si>
  <si>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</si>
  <si>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</si>
  <si>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</si>
  <si>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</si>
  <si>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</si>
  <si>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</si>
  <si>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</si>
  <si>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</si>
  <si>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</si>
  <si>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</si>
  <si>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</si>
  <si>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</si>
  <si>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</si>
  <si>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</si>
  <si>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</si>
  <si>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</si>
  <si>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</si>
  <si>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</si>
  <si>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</si>
  <si>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</si>
  <si>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</si>
  <si>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</si>
  <si>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</si>
  <si>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</si>
  <si>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</si>
  <si>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</si>
  <si>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</si>
  <si>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</si>
  <si>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</si>
  <si>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</si>
  <si>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</si>
  <si>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</si>
  <si>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</si>
  <si>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</si>
  <si>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</si>
  <si>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</si>
  <si>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</si>
  <si>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</si>
  <si>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</si>
  <si>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</si>
  <si>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</si>
  <si>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</si>
  <si>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</si>
  <si>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</si>
  <si>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</si>
  <si>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</si>
  <si>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</si>
  <si>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</si>
  <si>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</si>
  <si>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</si>
  <si>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</si>
  <si>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</si>
  <si>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</si>
  <si>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</si>
  <si>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</si>
  <si>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</si>
  <si>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</si>
  <si>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</si>
  <si>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</si>
  <si>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</si>
  <si>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</si>
  <si>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</si>
  <si>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</si>
  <si>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</si>
  <si>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</si>
  <si>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</si>
  <si>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</si>
  <si>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</si>
  <si>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</si>
  <si>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</si>
  <si>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</si>
  <si>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</si>
  <si>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</si>
  <si>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</si>
  <si>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</si>
  <si>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</si>
  <si>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</si>
  <si>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</si>
  <si>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</si>
  <si>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</si>
  <si>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</si>
  <si>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</si>
  <si>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</si>
  <si>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</si>
  <si>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</si>
  <si>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</si>
  <si>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</si>
  <si>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</si>
  <si>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</si>
  <si>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</si>
  <si>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</si>
  <si>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</si>
  <si>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</si>
  <si>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</si>
  <si>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</si>
  <si>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</si>
  <si>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</si>
  <si>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</si>
  <si>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</si>
  <si>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</si>
  <si>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</si>
  <si>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</si>
  <si>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</si>
  <si>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</si>
  <si>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</si>
  <si>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</si>
  <si>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</si>
  <si>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</si>
  <si>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</si>
  <si>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</si>
  <si>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</si>
  <si>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</si>
  <si>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</si>
  <si>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</si>
  <si>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</si>
  <si>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</si>
  <si>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</si>
  <si>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</si>
  <si>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</si>
  <si>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</si>
  <si>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</si>
  <si>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</si>
  <si>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</si>
  <si>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</si>
  <si>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</si>
  <si>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</si>
  <si>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</si>
  <si>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</si>
  <si>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</si>
  <si>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</si>
  <si>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</si>
  <si>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</si>
  <si>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</si>
  <si>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</si>
  <si>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</si>
  <si>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</si>
  <si>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</si>
  <si>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</si>
  <si>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</si>
  <si>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</si>
  <si>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</si>
  <si>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</si>
  <si>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</si>
  <si>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</si>
  <si>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</si>
  <si>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</si>
  <si>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</si>
  <si>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</si>
  <si>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</si>
  <si>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</si>
  <si>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</si>
  <si>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</si>
  <si>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</si>
  <si>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</si>
  <si>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</si>
  <si>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</si>
  <si>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</si>
  <si>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</si>
  <si>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</si>
  <si>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</si>
  <si>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</si>
  <si>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</si>
  <si>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</si>
  <si>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</si>
  <si>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</si>
  <si>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</si>
  <si>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</si>
  <si>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</si>
  <si>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</si>
  <si>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</si>
  <si>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</si>
  <si>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</si>
  <si>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</si>
  <si>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</si>
  <si>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</si>
  <si>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</si>
  <si>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</si>
  <si>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</si>
  <si>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</si>
  <si>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</si>
  <si>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</si>
  <si>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</si>
  <si>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</si>
  <si>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</si>
  <si>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</si>
  <si>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</si>
  <si>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</si>
  <si>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</si>
  <si>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</si>
  <si>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</si>
  <si>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</si>
  <si>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</si>
  <si>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</si>
  <si>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</si>
  <si>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</si>
  <si>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</si>
  <si>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</si>
  <si>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</si>
  <si>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</si>
  <si>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</si>
  <si>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</si>
  <si>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</si>
  <si>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</si>
  <si>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</si>
  <si>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</si>
  <si>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</si>
  <si>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</si>
  <si>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</si>
  <si>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</si>
  <si>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</si>
  <si>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</si>
  <si>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</si>
  <si>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</si>
  <si>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</si>
  <si>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</si>
  <si>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</si>
  <si>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</si>
  <si>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</si>
  <si>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</si>
  <si>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</si>
  <si>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</si>
  <si>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</si>
  <si>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</si>
  <si>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</si>
  <si>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</si>
  <si>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</si>
  <si>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</si>
  <si>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</si>
  <si>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</si>
  <si>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</si>
  <si>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</si>
  <si>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</si>
  <si>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</si>
  <si>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</si>
  <si>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</si>
  <si>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</si>
  <si>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</si>
  <si>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</si>
  <si>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</si>
  <si>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</si>
  <si>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</si>
  <si>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</si>
  <si>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</si>
  <si>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</si>
  <si>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</si>
  <si>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</si>
  <si>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</si>
  <si>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</si>
  <si>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</si>
  <si>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</si>
  <si>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</si>
  <si>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</si>
  <si>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</si>
  <si>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</si>
  <si>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</si>
  <si>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</si>
  <si>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</si>
  <si>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</si>
  <si>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</si>
  <si>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</si>
  <si>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</si>
  <si>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</si>
  <si>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</si>
  <si>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</si>
  <si>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</si>
  <si>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</si>
  <si>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</si>
  <si>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</si>
  <si>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</si>
  <si>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</si>
  <si>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</si>
  <si>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</si>
  <si>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</si>
  <si>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</si>
  <si>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</si>
  <si>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</si>
  <si>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</si>
  <si>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</si>
  <si>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</si>
  <si>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</si>
  <si>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</si>
  <si>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</si>
  <si>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</si>
  <si>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</si>
  <si>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</si>
  <si>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</si>
  <si>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</si>
  <si>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</si>
  <si>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</si>
  <si>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</si>
  <si>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</si>
  <si>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</si>
  <si>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</si>
  <si>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</si>
  <si>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</si>
  <si>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</si>
  <si>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</si>
  <si>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</si>
  <si>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</si>
  <si>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</si>
  <si>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</si>
  <si>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</si>
  <si>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</si>
  <si>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</si>
  <si>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</si>
  <si>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</si>
  <si>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</si>
  <si>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</si>
  <si>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</si>
  <si>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</si>
  <si>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</si>
  <si>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</si>
  <si>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</si>
  <si>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</si>
  <si>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</si>
  <si>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</si>
  <si>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</si>
  <si>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</si>
  <si>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</si>
  <si>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</si>
  <si>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</si>
  <si>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</si>
  <si>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</si>
  <si>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</si>
  <si>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</si>
  <si>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</si>
  <si>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</si>
  <si>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</si>
  <si>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</si>
  <si>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</si>
  <si>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</si>
  <si>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</si>
  <si>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</si>
  <si>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</si>
  <si>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</si>
  <si>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</si>
  <si>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</si>
  <si>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</si>
  <si>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</si>
  <si>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</si>
  <si>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</si>
  <si>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</si>
  <si>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</si>
  <si>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</si>
  <si>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</si>
  <si>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</si>
  <si>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</si>
  <si>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</si>
  <si>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</si>
  <si>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</si>
  <si>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</si>
  <si>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</si>
  <si>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</si>
  <si>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</si>
  <si>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</si>
  <si>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</si>
  <si>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</si>
  <si>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</si>
  <si>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</si>
  <si>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</si>
  <si>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</si>
  <si>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</si>
  <si>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</si>
  <si>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</si>
  <si>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</si>
  <si>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</si>
  <si>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</si>
  <si>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</si>
  <si>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</si>
  <si>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</si>
  <si>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</si>
  <si>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</si>
  <si>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</si>
  <si>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</si>
  <si>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</si>
  <si>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</si>
  <si>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</si>
  <si>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</si>
  <si>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</si>
  <si>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</si>
  <si>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</si>
  <si>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</si>
  <si>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</si>
  <si>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</si>
  <si>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</si>
  <si>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</si>
  <si>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</si>
  <si>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</si>
  <si>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</si>
  <si>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</si>
  <si>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</si>
  <si>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</si>
  <si>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</si>
  <si>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</si>
  <si>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</si>
  <si>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</si>
  <si>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</si>
  <si>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</si>
  <si>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</si>
  <si>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</si>
  <si>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</si>
  <si>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</si>
  <si>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</si>
  <si>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</si>
  <si>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</si>
  <si>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</si>
  <si>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</si>
  <si>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</si>
  <si>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</si>
  <si>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</si>
  <si>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</si>
  <si>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</si>
  <si>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</si>
  <si>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</si>
  <si>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</si>
  <si>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</si>
  <si>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</si>
  <si>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</si>
  <si>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</si>
  <si>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</si>
  <si>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</si>
  <si>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</si>
  <si>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</si>
  <si>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</si>
  <si>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</si>
  <si>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</si>
  <si>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</si>
  <si>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</si>
  <si>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</si>
  <si>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</si>
  <si>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</si>
  <si>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</si>
  <si>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</si>
  <si>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</si>
  <si>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</si>
  <si>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</si>
  <si>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</si>
  <si>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</si>
  <si>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</si>
  <si>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</si>
  <si>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</si>
  <si>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</si>
  <si>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</si>
  <si>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</si>
  <si>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</si>
  <si>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</si>
  <si>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</si>
  <si>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</si>
  <si>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</si>
  <si>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</si>
  <si>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</si>
  <si>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</si>
  <si>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</si>
  <si>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</si>
  <si>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</si>
  <si>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</si>
  <si>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</si>
  <si>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</si>
  <si>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</si>
  <si>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</si>
  <si>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</si>
  <si>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</si>
  <si>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</si>
  <si>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</si>
  <si>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</si>
  <si>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</si>
  <si>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</si>
  <si>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</si>
  <si>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</si>
  <si>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</si>
  <si>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</si>
  <si>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</si>
  <si>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</si>
  <si>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</si>
  <si>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</si>
  <si>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</si>
  <si>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</si>
  <si>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</si>
  <si>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</si>
  <si>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</si>
  <si>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</si>
  <si>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</si>
  <si>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</si>
  <si>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</si>
  <si>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</si>
  <si>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</si>
  <si>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</si>
  <si>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</si>
  <si>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</si>
  <si>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</si>
  <si>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</si>
  <si>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</si>
  <si>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</si>
  <si>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</si>
  <si>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</si>
  <si>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</si>
  <si>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</si>
  <si>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</si>
  <si>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</si>
  <si>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</si>
  <si>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</si>
  <si>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</si>
  <si>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</si>
  <si>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</si>
  <si>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</si>
  <si>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</si>
  <si>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</si>
  <si>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</si>
  <si>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</si>
  <si>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</si>
  <si>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</si>
  <si>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</si>
  <si>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</si>
  <si>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</si>
  <si>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</si>
  <si>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</si>
  <si>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</si>
  <si>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</si>
  <si>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</si>
  <si>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</si>
  <si>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</si>
  <si>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</si>
  <si>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</si>
  <si>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</si>
  <si>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</si>
  <si>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</si>
  <si>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</si>
  <si>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</si>
  <si>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</si>
  <si>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</si>
  <si>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</si>
  <si>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</si>
  <si>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</si>
  <si>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</si>
  <si>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</si>
  <si>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</si>
  <si>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</si>
  <si>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</si>
  <si>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</si>
  <si>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</si>
  <si>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</si>
  <si>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</si>
  <si>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</si>
  <si>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</si>
  <si>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</si>
  <si>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</si>
  <si>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</si>
  <si>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</si>
  <si>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</si>
  <si>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</si>
  <si>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</si>
  <si>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</si>
  <si>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</si>
  <si>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</si>
  <si>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</si>
  <si>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</si>
  <si>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</si>
  <si>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</si>
  <si>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</si>
  <si>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</si>
  <si>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</si>
  <si>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</si>
  <si>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</si>
  <si>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</si>
  <si>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</si>
  <si>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</si>
  <si>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</si>
  <si>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</si>
  <si>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</si>
  <si>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</si>
  <si>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</si>
  <si>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</si>
  <si>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</si>
  <si>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</si>
  <si>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</si>
  <si>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</si>
  <si>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</si>
  <si>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</si>
  <si>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</si>
  <si>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</si>
  <si>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</si>
  <si>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</si>
  <si>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</si>
  <si>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</si>
  <si>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</si>
  <si>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</si>
  <si>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</si>
  <si>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</si>
  <si>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</si>
  <si>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</si>
  <si>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</si>
  <si>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</si>
  <si>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</si>
  <si>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</si>
  <si>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</si>
  <si>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</si>
  <si>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</si>
  <si>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</si>
  <si>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</si>
  <si>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</si>
  <si>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</si>
  <si>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</si>
  <si>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</si>
  <si>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</si>
  <si>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</si>
  <si>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</si>
  <si>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</si>
  <si>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</si>
  <si>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</si>
  <si>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</si>
  <si>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</si>
  <si>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</si>
  <si>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</si>
  <si>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</si>
  <si>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</si>
  <si>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</si>
  <si>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</si>
  <si>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</si>
  <si>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</si>
  <si>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</si>
  <si>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</si>
  <si>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</si>
  <si>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</si>
  <si>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</si>
  <si>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</si>
  <si>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</si>
  <si>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</si>
  <si>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</si>
  <si>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</si>
  <si>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</si>
  <si>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</si>
  <si>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</si>
  <si>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</si>
  <si>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</si>
  <si>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</si>
  <si>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</si>
  <si>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</si>
  <si>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</si>
  <si>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</si>
  <si>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</si>
  <si>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</si>
  <si>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</si>
  <si>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</si>
  <si>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</si>
  <si>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</si>
  <si>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</si>
  <si>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</si>
  <si>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</si>
  <si>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</si>
  <si>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</si>
  <si>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</si>
  <si>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</si>
  <si>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</si>
  <si>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</si>
  <si>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</si>
  <si>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</si>
  <si>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</si>
  <si>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</si>
  <si>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</si>
  <si>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</si>
  <si>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</si>
  <si>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</si>
  <si>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</si>
  <si>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</si>
  <si>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</si>
  <si>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</si>
  <si>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</si>
  <si>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</si>
  <si>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</si>
  <si>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</si>
  <si>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</si>
  <si>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</si>
  <si>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</si>
  <si>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</si>
  <si>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</si>
  <si>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</si>
  <si>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</si>
  <si>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</si>
  <si>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</si>
  <si>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</si>
  <si>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</si>
  <si>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</si>
  <si>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</si>
  <si>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</si>
  <si>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</si>
  <si>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</si>
  <si>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</si>
  <si>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</si>
  <si>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</si>
  <si>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</si>
  <si>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</si>
  <si>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</si>
  <si>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</si>
  <si>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</si>
  <si>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</si>
  <si>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</si>
  <si>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</si>
  <si>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</si>
  <si>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</si>
  <si>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</si>
  <si>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</si>
  <si>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</si>
  <si>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</si>
  <si>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</si>
  <si>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</si>
  <si>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</si>
  <si>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</si>
  <si>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</si>
  <si>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</si>
  <si>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</si>
  <si>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</si>
  <si>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</si>
  <si>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</si>
  <si>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</si>
  <si>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</si>
  <si>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</si>
  <si>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</si>
  <si>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</si>
  <si>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</si>
  <si>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</si>
  <si>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</si>
  <si>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</si>
  <si>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</si>
  <si>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</si>
  <si>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</si>
  <si>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</si>
  <si>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</si>
  <si>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</si>
  <si>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</si>
  <si>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</si>
  <si>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</si>
  <si>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</si>
  <si>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</si>
  <si>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</si>
  <si>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</si>
  <si>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</si>
  <si>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</si>
  <si>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</si>
  <si>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</si>
  <si>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</si>
  <si>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</si>
  <si>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</si>
  <si>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</si>
  <si>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</si>
  <si>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</si>
  <si>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</si>
  <si>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</si>
  <si>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</si>
  <si>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</si>
  <si>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</si>
  <si>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</si>
  <si>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</si>
  <si>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</si>
  <si>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</si>
  <si>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</si>
  <si>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</si>
  <si>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</si>
  <si>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</si>
  <si>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</si>
  <si>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</si>
  <si>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</si>
  <si>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</si>
  <si>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</si>
  <si>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</si>
  <si>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</si>
  <si>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</si>
  <si>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</si>
  <si>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</si>
  <si>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</si>
  <si>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</si>
  <si>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</si>
  <si>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</si>
  <si>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</si>
  <si>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</si>
  <si>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</si>
  <si>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</si>
  <si>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</si>
  <si>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</si>
  <si>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</si>
  <si>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</si>
  <si>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</si>
  <si>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</si>
  <si>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</si>
  <si>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</si>
  <si>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</si>
  <si>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</si>
  <si>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</si>
  <si>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</si>
  <si>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</si>
  <si>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</si>
  <si>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</si>
  <si>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</si>
  <si>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</si>
  <si>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</si>
  <si>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</si>
  <si>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</si>
  <si>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</si>
  <si>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</si>
  <si>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</si>
  <si>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</si>
  <si>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</si>
  <si>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</si>
  <si>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</si>
  <si>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</si>
  <si>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</si>
  <si>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</si>
  <si>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</si>
  <si>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</si>
  <si>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</si>
  <si>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</si>
  <si>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</si>
  <si>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</si>
  <si>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</si>
  <si>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</si>
  <si>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</si>
  <si>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</si>
  <si>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</si>
  <si>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</si>
  <si>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</si>
  <si>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</si>
  <si>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</si>
  <si>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</si>
  <si>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</si>
  <si>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</si>
  <si>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</si>
  <si>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</si>
  <si>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</si>
  <si>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</si>
  <si>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</si>
  <si>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</si>
  <si>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</si>
  <si>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</si>
  <si>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</si>
  <si>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</si>
  <si>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</si>
  <si>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</si>
  <si>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</si>
  <si>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</si>
  <si>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</si>
  <si>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</si>
  <si>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</si>
  <si>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</si>
  <si>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</si>
  <si>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</si>
  <si>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</si>
  <si>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</si>
  <si>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</si>
  <si>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</si>
  <si>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</si>
  <si>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</si>
  <si>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</si>
  <si>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</si>
  <si>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</si>
  <si>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</si>
  <si>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</si>
  <si>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</si>
  <si>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</si>
  <si>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</si>
  <si>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</si>
  <si>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</si>
  <si>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</si>
  <si>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</si>
  <si>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</si>
  <si>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</si>
  <si>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</si>
  <si>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</si>
  <si>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</si>
  <si>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</si>
  <si>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</si>
  <si>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</si>
  <si>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</si>
  <si>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</si>
  <si>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</si>
  <si>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</si>
  <si>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</si>
  <si>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</si>
  <si>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</si>
  <si>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</si>
  <si>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</si>
  <si>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</si>
  <si>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</si>
  <si>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</si>
  <si>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</si>
  <si>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</si>
  <si>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</si>
  <si>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</si>
  <si>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</si>
  <si>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</si>
  <si>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</si>
  <si>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</si>
  <si>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</si>
  <si>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</si>
  <si>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</si>
  <si>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</si>
  <si>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</si>
  <si>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</si>
  <si>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</si>
  <si>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</si>
  <si>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</si>
  <si>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</si>
  <si>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</si>
  <si>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</si>
  <si>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</si>
  <si>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</si>
  <si>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</si>
  <si>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</si>
  <si>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</si>
  <si>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</si>
  <si>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</si>
  <si>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</si>
  <si>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</si>
  <si>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</si>
  <si>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</si>
  <si>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</si>
  <si>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</si>
  <si>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</si>
  <si>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</si>
  <si>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</si>
  <si>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</si>
  <si>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</si>
  <si>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</si>
  <si>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</si>
  <si>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</si>
  <si>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</si>
  <si>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</si>
  <si>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</si>
  <si>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</si>
  <si>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</si>
  <si>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</si>
  <si>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</si>
  <si>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</si>
  <si>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</si>
  <si>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</si>
  <si>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</si>
  <si>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</si>
  <si>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</si>
  <si>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</si>
  <si>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</si>
  <si>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</si>
  <si>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</si>
  <si>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</si>
  <si>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</si>
  <si>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</si>
  <si>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</si>
  <si>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</si>
  <si>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</si>
  <si>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</si>
  <si>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</si>
  <si>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</si>
  <si>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</si>
  <si>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</si>
  <si>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</si>
  <si>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</si>
  <si>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</si>
  <si>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</si>
  <si>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</si>
  <si>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</si>
  <si>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</si>
  <si>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</si>
  <si>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</si>
  <si>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</si>
  <si>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</si>
  <si>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</si>
  <si>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</si>
  <si>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</si>
  <si>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</si>
  <si>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</si>
  <si>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</si>
  <si>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</si>
  <si>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</si>
  <si>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</si>
  <si>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</si>
  <si>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</si>
  <si>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</si>
  <si>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</si>
  <si>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</si>
  <si>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</si>
  <si>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</si>
  <si>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</si>
  <si>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</si>
  <si>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</si>
  <si>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</si>
  <si>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</si>
  <si>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</si>
  <si>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</si>
  <si>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</si>
  <si>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</si>
  <si>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</si>
  <si>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</si>
  <si>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</si>
  <si>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</si>
  <si>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</si>
  <si>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</si>
  <si>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</si>
  <si>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</si>
  <si>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</si>
  <si>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</si>
  <si>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</si>
  <si>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</si>
  <si>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</si>
  <si>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</si>
  <si>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</si>
  <si>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</si>
  <si>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</si>
  <si>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</si>
  <si>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</si>
  <si>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</si>
  <si>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</si>
  <si>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</si>
  <si>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</si>
  <si>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</si>
  <si>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</si>
  <si>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</si>
  <si>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</si>
  <si>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</si>
  <si>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</si>
  <si>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</si>
  <si>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</si>
  <si>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</si>
  <si>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</si>
  <si>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</si>
  <si>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</si>
  <si>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</si>
  <si>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</si>
  <si>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</si>
  <si>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</si>
  <si>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</si>
  <si>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</si>
  <si>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</si>
  <si>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</si>
  <si>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</si>
  <si>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</si>
  <si>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</si>
  <si>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</si>
  <si>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</si>
  <si>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</si>
  <si>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</si>
  <si>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</si>
  <si>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</si>
  <si>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</si>
  <si>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</si>
  <si>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</si>
  <si>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</si>
  <si>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</si>
  <si>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</si>
  <si>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</si>
  <si>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</si>
  <si>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</si>
  <si>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</si>
  <si>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</si>
  <si>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</si>
  <si>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</si>
  <si>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</si>
  <si>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</si>
  <si>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</si>
  <si>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</si>
  <si>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</si>
  <si>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</si>
  <si>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</si>
  <si>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</si>
  <si>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</si>
  <si>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</si>
  <si>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</si>
  <si>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</si>
  <si>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</si>
  <si>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</si>
  <si>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</si>
  <si>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</si>
  <si>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</si>
  <si>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</si>
  <si>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</si>
  <si>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</si>
  <si>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</si>
  <si>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</si>
  <si>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</si>
  <si>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</si>
  <si>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</si>
  <si>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</si>
  <si>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</si>
  <si>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</si>
  <si>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</si>
  <si>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</si>
  <si>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</si>
  <si>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</si>
  <si>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</si>
  <si>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</si>
  <si>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</si>
  <si>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</si>
  <si>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</si>
  <si>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</si>
  <si>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</si>
  <si>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</si>
  <si>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</si>
  <si>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</si>
  <si>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</si>
  <si>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</si>
  <si>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</si>
  <si>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</si>
  <si>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</si>
  <si>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</si>
  <si>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</si>
  <si>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</si>
  <si>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</si>
  <si>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</si>
  <si>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</si>
  <si>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</si>
  <si>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</si>
  <si>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</si>
  <si>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</si>
  <si>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</si>
  <si>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</si>
  <si>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</si>
  <si>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</si>
  <si>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</si>
  <si>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</si>
  <si>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</si>
  <si>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</si>
  <si>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</si>
  <si>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</si>
  <si>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</si>
  <si>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</si>
  <si>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</si>
  <si>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</si>
  <si>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</si>
  <si>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</si>
  <si>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</si>
  <si>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</si>
  <si>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</si>
  <si>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</si>
  <si>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</si>
  <si>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</si>
  <si>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</si>
  <si>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</si>
  <si>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</si>
  <si>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</si>
  <si>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</si>
  <si>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</si>
  <si>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</si>
  <si>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</si>
  <si>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</si>
  <si>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</si>
  <si>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</si>
  <si>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</si>
  <si>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</si>
  <si>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</si>
  <si>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</si>
  <si>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</si>
  <si>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</si>
  <si>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</si>
  <si>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</si>
  <si>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</si>
  <si>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</si>
  <si>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</si>
  <si>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</si>
  <si>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</si>
  <si>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</si>
  <si>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</si>
  <si>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</si>
  <si>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</si>
  <si>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</si>
  <si>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</si>
  <si>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</si>
  <si>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</si>
  <si>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</si>
  <si>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</si>
  <si>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</si>
  <si>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</si>
  <si>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</si>
  <si>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</si>
  <si>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</si>
  <si>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</si>
  <si>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</si>
  <si>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</si>
  <si>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</si>
  <si>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</si>
  <si>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</si>
  <si>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</si>
  <si>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</si>
  <si>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</si>
  <si>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</si>
  <si>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</si>
  <si>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</si>
  <si>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</si>
  <si>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</si>
  <si>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</si>
  <si>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VC KINH DOANH NĂM 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</si>
  <si>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</si>
  <si>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</si>
  <si>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</si>
  <si>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</si>
  <si>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</si>
  <si>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</si>
  <si>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</si>
  <si>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</si>
  <si>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</si>
  <si>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Phon Xa May</t>
  </si>
  <si>
    <t>Son Xa May</t>
  </si>
  <si>
    <t>Pha Đi</t>
  </si>
  <si>
    <t>Khút Thong</t>
  </si>
  <si>
    <t xml:space="preserve">Đao </t>
  </si>
  <si>
    <t>Lôn</t>
  </si>
  <si>
    <t>04086</t>
  </si>
  <si>
    <t>02735</t>
  </si>
  <si>
    <t>03518</t>
  </si>
  <si>
    <t>04087</t>
  </si>
  <si>
    <t>04088</t>
  </si>
  <si>
    <t>03545</t>
  </si>
  <si>
    <t>04089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</si>
  <si>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</si>
  <si>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</si>
  <si>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</si>
  <si>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</si>
  <si>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</si>
  <si>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</si>
  <si>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</si>
  <si>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</si>
  <si>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</si>
  <si>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</si>
  <si>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</si>
  <si>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</si>
  <si>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</si>
  <si>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</si>
  <si>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</si>
  <si>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</si>
  <si>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</si>
  <si>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</si>
  <si>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</si>
  <si>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</si>
  <si>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</si>
  <si>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</si>
  <si>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</si>
  <si>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</si>
  <si>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</si>
  <si>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</si>
  <si>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</si>
  <si>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</si>
  <si>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</si>
  <si>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</si>
  <si>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</si>
  <si>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</si>
  <si>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</si>
  <si>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</si>
  <si>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</si>
  <si>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</si>
  <si>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</si>
  <si>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</si>
  <si>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</si>
  <si>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</si>
  <si>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</si>
  <si>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</si>
  <si>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</si>
  <si>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</si>
  <si>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</si>
  <si>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</si>
  <si>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</si>
  <si>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</si>
  <si>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</si>
  <si>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</si>
  <si>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</si>
  <si>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</si>
  <si>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</si>
  <si>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</si>
  <si>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</si>
  <si>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</si>
  <si>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</si>
  <si>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</si>
  <si>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</si>
  <si>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</si>
  <si>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</si>
  <si>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</si>
  <si>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</si>
  <si>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</si>
  <si>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04122</t>
  </si>
  <si>
    <t>03649</t>
  </si>
  <si>
    <t>03675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</si>
  <si>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</si>
  <si>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</si>
  <si>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</si>
  <si>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</si>
  <si>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</si>
  <si>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</si>
  <si>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</si>
  <si>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</si>
  <si>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</si>
  <si>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</si>
  <si>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</si>
  <si>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</si>
  <si>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</si>
  <si>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</si>
  <si>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</si>
  <si>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</si>
  <si>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</si>
  <si>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</si>
  <si>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</si>
  <si>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</si>
  <si>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</si>
  <si>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</si>
  <si>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</si>
  <si>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</si>
  <si>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</si>
  <si>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</si>
  <si>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</si>
  <si>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</si>
  <si>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</si>
  <si>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</si>
  <si>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</si>
  <si>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</si>
  <si>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</si>
  <si>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</si>
  <si>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</si>
  <si>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</si>
  <si>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</si>
  <si>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</si>
  <si>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</si>
  <si>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</si>
  <si>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</si>
  <si>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</si>
  <si>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</si>
  <si>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Nàng Eng</t>
  </si>
  <si>
    <t>Thảo Ca Thon</t>
  </si>
  <si>
    <t>Hà Đức Văn</t>
  </si>
  <si>
    <t>Thảo Mon</t>
  </si>
  <si>
    <t>Thảo Túy</t>
  </si>
  <si>
    <t>Nàng A Nẹp</t>
  </si>
  <si>
    <t>Thảo Hung</t>
  </si>
  <si>
    <t>Cạo 2 lát chủ nhật</t>
  </si>
  <si>
    <t>Chủ nhật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</si>
  <si>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</si>
  <si>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</si>
  <si>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</si>
  <si>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</si>
  <si>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</si>
  <si>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</si>
  <si>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</si>
  <si>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</si>
  <si>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</si>
  <si>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</si>
  <si>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</si>
  <si>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</si>
  <si>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</si>
  <si>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</si>
  <si>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</si>
  <si>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</si>
  <si>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</si>
  <si>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</si>
  <si>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</si>
  <si>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</si>
  <si>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</si>
  <si>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</si>
  <si>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</si>
  <si>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</si>
  <si>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</si>
  <si>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</si>
  <si>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</si>
  <si>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</si>
  <si>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</si>
  <si>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</si>
  <si>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</si>
  <si>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</si>
  <si>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</si>
  <si>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</si>
  <si>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</si>
  <si>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</si>
  <si>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t>HỌ VÀ TÊN</t>
  </si>
  <si>
    <t>Bảo vệ (Trạm 1)</t>
  </si>
  <si>
    <t>Bảo vệ (Trạm 2)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</si>
  <si>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</si>
  <si>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</si>
  <si>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</si>
  <si>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</si>
  <si>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</si>
  <si>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</si>
  <si>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</si>
  <si>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</si>
  <si>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</si>
  <si>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</si>
  <si>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</si>
  <si>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</si>
  <si>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</si>
  <si>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</si>
  <si>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</si>
  <si>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</si>
  <si>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</si>
  <si>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</si>
  <si>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</si>
  <si>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</si>
  <si>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</si>
  <si>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</si>
  <si>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</si>
  <si>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</si>
  <si>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</si>
  <si>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</si>
  <si>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Tun</t>
  </si>
  <si>
    <t>Mẹ khút</t>
  </si>
  <si>
    <t xml:space="preserve">               P.PHÒNG PHỤ TRÁCH</t>
  </si>
  <si>
    <t xml:space="preserve">        ĐỘI TRƯỞNG</t>
  </si>
  <si>
    <t>Phụ cấp ngày công cạo 2 lát</t>
  </si>
  <si>
    <t>Số tiền bằng chữ: Năm triệu kíp.</t>
  </si>
  <si>
    <t>Buonkhune Apat</t>
  </si>
  <si>
    <t>Nàng Lênh</t>
  </si>
  <si>
    <t>Thảo Xiều</t>
  </si>
  <si>
    <t>Thảo Phút</t>
  </si>
  <si>
    <t>Thảo Thủy</t>
  </si>
  <si>
    <t>Thảo Ngân</t>
  </si>
  <si>
    <t>Nàng Văn Đay</t>
  </si>
  <si>
    <t>Thảo Tô</t>
  </si>
  <si>
    <t>Thảo Keo</t>
  </si>
  <si>
    <t>Thảo Tun</t>
  </si>
  <si>
    <t>Thảo Xiêm</t>
  </si>
  <si>
    <t>Thảo Cốp</t>
  </si>
  <si>
    <t>Thảo Nọi B</t>
  </si>
  <si>
    <t>Phụ cấp cạo ngửa</t>
  </si>
  <si>
    <t>công</t>
  </si>
  <si>
    <t>Phụ cấp cạo ngửa (20.000 kíp/ phần/ ngày)</t>
  </si>
  <si>
    <t>(Số tiền bằng chữ: Một tỷ, không trăm năm mươi tư triệu, bốn trăm mười lăm ngàn, chín trăm bốn mươi tám kíp.)</t>
  </si>
  <si>
    <t>I. CB.CNV người Lào</t>
  </si>
  <si>
    <t>II. Bảo vệ vườn cây</t>
  </si>
  <si>
    <t>Nàng Keo (63)</t>
  </si>
  <si>
    <t>avan</t>
  </si>
  <si>
    <t>Phay A</t>
  </si>
  <si>
    <t>Chày A</t>
  </si>
  <si>
    <t>MayA</t>
  </si>
  <si>
    <t>Thảo Ỉa</t>
  </si>
  <si>
    <t>Thảo Phút râu</t>
  </si>
  <si>
    <t>Thảo Khẹt</t>
  </si>
  <si>
    <t>Thảo Khọp</t>
  </si>
  <si>
    <t>Mủ sirum</t>
  </si>
  <si>
    <t>Cạo 2 lát</t>
  </si>
  <si>
    <t>Phụ cấp thêm cạo 2 lát 100.000 kíp/ngày</t>
  </si>
  <si>
    <t>TỔNG CỘNG</t>
  </si>
  <si>
    <t>Phụ cấp ngày công cạo 2 lát chủ nhật</t>
  </si>
  <si>
    <t>Phụ cấp cạo ngửa 20.000 kíp/phần/ngày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</si>
  <si>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</si>
  <si>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</si>
  <si>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</si>
  <si>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</si>
  <si>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</si>
  <si>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</si>
  <si>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bảo vệ vườn cây (2)</t>
  </si>
  <si>
    <t>Tổng tiền lương CB - CNV người Lào (3)</t>
  </si>
  <si>
    <t>(Bằng chữ: Một tỷ, không trăm sáu mươi sáu triệu, không trăm tám mươi bảy ngàn, hai trăm tám mươi ba kíp)</t>
  </si>
  <si>
    <t>TỔNG GIÁM ĐỐC            PHÒNG TC - KT            PHÒNG TC - HC            P.PHÒNG PHỤ TRÁCH            ĐỘI TRƯỞNG            NGƯỜI LẬP</t>
  </si>
  <si>
    <t>pc thêm cạo 2 lát 100.000 kíp/ ngày</t>
  </si>
  <si>
    <t>Lương làm việc trong tháng</t>
  </si>
  <si>
    <t xml:space="preserve">  Tiền lương còn lại  </t>
  </si>
  <si>
    <t>Truy lĩnh lương Tháng 08</t>
  </si>
  <si>
    <t>CB.CNV người Lào</t>
  </si>
  <si>
    <t>Tiền phụ cấp người Việt Nam</t>
  </si>
  <si>
    <t>Phụ cấp thêm cạo 2 lát</t>
  </si>
  <si>
    <t>Phụ cấp cạo ngửa</t>
  </si>
  <si>
    <t>LƯƠNG THÁNG 08/2025</t>
  </si>
  <si>
    <t>T. Lê</t>
  </si>
  <si>
    <t>N. La Ty</t>
  </si>
  <si>
    <t>N. Tỏi</t>
  </si>
  <si>
    <t>N. Đeng (2)</t>
  </si>
  <si>
    <t>N. Bay</t>
  </si>
  <si>
    <t>T. Lu</t>
  </si>
  <si>
    <t>N. Khun Mi</t>
  </si>
  <si>
    <t>T. Pon</t>
  </si>
  <si>
    <t>T. Ly</t>
  </si>
  <si>
    <t xml:space="preserve">Chày </t>
  </si>
  <si>
    <t>T. Ừm</t>
  </si>
  <si>
    <t>T. Phù</t>
  </si>
  <si>
    <t>T. Om</t>
  </si>
  <si>
    <t>T Xinh</t>
  </si>
  <si>
    <t>N. Đôn</t>
  </si>
  <si>
    <t>Chăn Đen</t>
  </si>
  <si>
    <t xml:space="preserve">T. Lăm  </t>
  </si>
  <si>
    <t>Un Seng</t>
  </si>
  <si>
    <t>N . Lạ</t>
  </si>
  <si>
    <t>N. Xôm Pheng</t>
  </si>
  <si>
    <t>A. Nóc</t>
  </si>
  <si>
    <t>T. Lăm Chê</t>
  </si>
  <si>
    <t>T. Teo</t>
  </si>
  <si>
    <t>N. Vông</t>
  </si>
  <si>
    <t>T. Vạt</t>
  </si>
  <si>
    <t>T. Chay</t>
  </si>
  <si>
    <t xml:space="preserve">Văn Na  </t>
  </si>
  <si>
    <t>N. Lẹ</t>
  </si>
  <si>
    <t>T. Mút</t>
  </si>
  <si>
    <t>T. Lươn</t>
  </si>
  <si>
    <t>N. Su Pha</t>
  </si>
  <si>
    <t>N. Lọi</t>
  </si>
  <si>
    <t>T. Nin</t>
  </si>
  <si>
    <t>T. Vỹ</t>
  </si>
  <si>
    <t>04134</t>
  </si>
  <si>
    <t>Huyện Phìn, ngày 02 tháng 11 năm 2025</t>
  </si>
  <si>
    <t xml:space="preserve">  Huyện Phìn, ngày 02 tháng 11 năm 2025</t>
  </si>
  <si>
    <t>BẢNG THANH TOÁN TIỀN PHỤ CẤP THÁNG 10 NĂM 2025</t>
  </si>
  <si>
    <t>BẢNG TỔNG HỢP CÔNG VIỆC KHÁC THÁNG 10 NĂM 2025</t>
  </si>
  <si>
    <t>BẢNG LƯƠNG KHAI THÁC THÁNG 10 NĂM 2025</t>
  </si>
  <si>
    <t>BẢNG LƯƠNG CÁN BỘ QUẢN LÝ VÀ CÔNG NHÂN TRỰC TIẾP NGƯỜI LÀO THÁNG 10 NĂM 2025</t>
  </si>
  <si>
    <t>Thảo Buồng</t>
  </si>
  <si>
    <t>Thảo Khổ</t>
  </si>
  <si>
    <t>Nàng Ni Khăm</t>
  </si>
  <si>
    <t>Thảo Vông 1</t>
  </si>
  <si>
    <t>Nàng Chưa</t>
  </si>
  <si>
    <t>Thảo Pi</t>
  </si>
  <si>
    <t>Nàng Nhầy</t>
  </si>
  <si>
    <t>Nàng Pằng</t>
  </si>
  <si>
    <t>Dọn dẹp nhà kho, sửa chữa nhà cho công nhân ở.</t>
  </si>
  <si>
    <t>( Bằng chữ: Một triệu ba trăm nghìn kíp).</t>
  </si>
  <si>
    <t xml:space="preserve">I </t>
  </si>
  <si>
    <t>Thanh toán chi phí  thuê xe chở công nhân bản Lavay qua cầu.</t>
  </si>
  <si>
    <t>Ủi</t>
  </si>
  <si>
    <t>Con</t>
  </si>
  <si>
    <t>Chặt cọc thiết kế</t>
  </si>
  <si>
    <t>Thiết kế hàng trồng</t>
  </si>
  <si>
    <t>Đào hố + trồng mới</t>
  </si>
  <si>
    <t>Đào hố + trồng dặm</t>
  </si>
  <si>
    <t>Làm cỏ hàng vun gốc</t>
  </si>
  <si>
    <t>Phun diệt cỏ</t>
  </si>
  <si>
    <t>Phun diệt mối</t>
  </si>
  <si>
    <t>Teng</t>
  </si>
  <si>
    <t>Bảo vệ (VK)</t>
  </si>
  <si>
    <t>Tổng trả lương</t>
  </si>
  <si>
    <t>Mủ quy khô T10(Kg)</t>
  </si>
  <si>
    <t>Mủ quy khô truy lĩnh T8 (kg)</t>
  </si>
  <si>
    <t>cn</t>
  </si>
  <si>
    <t>đ</t>
  </si>
  <si>
    <t>Mủ tạp (kg</t>
  </si>
  <si>
    <t>Mủ sirum (kg)</t>
  </si>
  <si>
    <t>Mủ quy khô (kg)</t>
  </si>
  <si>
    <t>Lương phụ cấp ngày công khai thác</t>
  </si>
  <si>
    <t>VC kinh doanh</t>
  </si>
  <si>
    <t>TỔNG GIÁM ĐỐC                            PHÒNG TC - KT                            PHÒNG TC - HC                            P.PHÒNG PHỤ TRÁCH                            ĐỘI TRƯỞNG                            NGƯỜI LẬP</t>
  </si>
  <si>
    <t>Phụ cấp người Việt</t>
  </si>
  <si>
    <t>Vườn keo lai</t>
  </si>
  <si>
    <t>Vườn keo Lai</t>
  </si>
  <si>
    <t>VƯỜN KEO LAI</t>
  </si>
  <si>
    <t>Số công</t>
  </si>
  <si>
    <t>Thành tiền (kíp)</t>
  </si>
  <si>
    <t>Công việc khác</t>
  </si>
  <si>
    <t>Thuê xe chở CN qua cầu</t>
  </si>
  <si>
    <t>Dọn dẹp, sửa chữa nhà kho</t>
  </si>
  <si>
    <t>TỔNG GIÁM ĐỐC          PHÒNG TC-KT          PHÒNG TC-HC          P.PHÒNG PHỤ TRÁCH          ĐỘI TRƯỞNG         NGƯỜI LẬP</t>
  </si>
  <si>
    <t>(Bằng chữ: Một triệu, hai trăm bốn mươi nghìn kíp ).</t>
  </si>
  <si>
    <t xml:space="preserve">            TỔNG GIÁM ĐỐC                           PHÒNG TC - KT                           PHÒNG TC - HC                           P.PHÒNG PHỤ TRÁCH                           ĐỘI TRƯỞNG                           NGƯỜI LẬP</t>
  </si>
  <si>
    <t xml:space="preserve">         TỔNG GIÁM ĐỐC                                PHÒNG TC - KT                                PHÒNG TC - HC                                P.PHÒNG PHỤ TRÁCH                                ĐỘI TRƯỞNG                                NGƯỜI LẬP</t>
  </si>
  <si>
    <t>TỔNG GIÁM ĐỐC                               PHÒNG TC-KT                               PHÒNG TC-HC                               PHÒNG QLKT                               P.PHÒNG PHỤ TRÁCH                               ĐỘI TRƯỞNG                    NGƯỜI LẬP</t>
  </si>
  <si>
    <t>Tổng tiền lương vườn keo lai (4)</t>
  </si>
  <si>
    <t>Tổng cộng (1) + (2) + (3) + (4)</t>
  </si>
  <si>
    <t>Mủ tạp quy khô T12</t>
  </si>
  <si>
    <t>Mủ tạp quy khô truy lĩnh T1,4,5,7,9</t>
  </si>
  <si>
    <t>BẢNG THEO DÕI SẢN LƯỢNG MỦ SERUM THÁNG 12 NĂM 2025</t>
  </si>
  <si>
    <t>T12</t>
  </si>
  <si>
    <t>TRUY THU</t>
  </si>
  <si>
    <t xml:space="preserve">                 Huyện Phìn, ngày 02 tháng 01 năm 2026</t>
  </si>
  <si>
    <t>Huyện Phìn, ngày 02 tháng 01 năm 2026</t>
  </si>
  <si>
    <t>BẢNG LƯƠNG KHAI THÁC TRẠM 1 THÁNG 12 NĂM 2025</t>
  </si>
  <si>
    <t>BẢNG LƯƠNG KHAI THÁC TRẠM 2 THÁNG 12 NĂM 2025</t>
  </si>
  <si>
    <t>Sản lượng giao kế hoạch</t>
  </si>
  <si>
    <t>BẢNG CHẤM CÔNG CB.CNV NGƯỜI LÀO THÁNG 12 NĂM 2025</t>
  </si>
  <si>
    <t>BẢNG LƯƠNG CB - CNV NGƯỜI LÀO THÁNG 12 NĂM 2025</t>
  </si>
  <si>
    <t>BẢNG TỔNG HỢP LƯƠNG THÁNG 12 NĂM 2025</t>
  </si>
  <si>
    <t xml:space="preserve">  Huyện Phìn, ngày 02 tháng 01 năm 2026</t>
  </si>
  <si>
    <t xml:space="preserve"> BẢNG CHẤM CÔNG PHỤ CẤP XĂNG XE THÁNG ́12 NĂM 2025</t>
  </si>
  <si>
    <t>BẢNG THANH TOÁN TIỀN CHI PHÍ KHÁC THÁNG 12 NĂM 2025</t>
  </si>
  <si>
    <t>DANH SÁCH CB - CNV NỘP THUẾ TNCN THÁNG 12/2025</t>
  </si>
  <si>
    <t>BẢNG PHÂN TOÁN TIỀN LƯƠNG THÁNG 12 NĂM 2025</t>
  </si>
  <si>
    <t>1 bản</t>
  </si>
  <si>
    <t>2 bản</t>
  </si>
  <si>
    <t>Chênh lệch</t>
  </si>
  <si>
    <t>Huyện Phìn, ngày 02 tháng 01 năm 2025</t>
  </si>
  <si>
    <t>(Từ ngày 01 đến 31/12/2025)</t>
  </si>
  <si>
    <t>Tỷ giá: 600</t>
  </si>
  <si>
    <t>BẢNG TÍNH LƯƠNG CB.CNV ĐỘI SẢN XUẤT THÁNG 12 NĂM 2025</t>
  </si>
  <si>
    <t xml:space="preserve"> Huyện Phìn, ngày 02 tháng 01 năm 2026</t>
  </si>
  <si>
    <t>Mủ quy khô T12(Kg)</t>
  </si>
  <si>
    <t>Mủ quy khô truy lĩnh (kg)</t>
  </si>
  <si>
    <t>Sản lượng truy lĩnh (tấn)</t>
  </si>
  <si>
    <t>Tỷ lệ truy lĩnh (%)</t>
  </si>
  <si>
    <t>Lương truy lĩnh</t>
  </si>
  <si>
    <t>(Số tiền bằng chữ: Sáu trăm, sáu mươi bốn triệu, hai trăm bốn mươi nghìn, tám trăm lẻ chín kíp.)</t>
  </si>
  <si>
    <t>(Số tiền bằng chữ: Bốn trăm hai mươi triệu, bảy trăm chín mươi sáu nghìn, sáu trăm hai mươi lăm kíp.)</t>
  </si>
  <si>
    <t>Sản lượng giao kế hoạch tháng 12 (tấn)</t>
  </si>
  <si>
    <t>Sản lượng thực hiện trong tháng 12 (tấn)</t>
  </si>
  <si>
    <t>(Số tiền bằng chữ: Ba mươi lăm triệu, không trăm mười lăm nghìn, không trăm bốn mươi hai kíp.)</t>
  </si>
  <si>
    <t>(Bằng chữ: Một tỷ, một trăm hai mươi triệu, không trăm năm mươi hai nghìn, bốn trăm bảy mươi sáu kíp.)</t>
  </si>
  <si>
    <t>Số tiền bằng chữ:  Một tỷ, một trăm hai mươi triệu, không trăm năm mươi hai nghìn, bốn trăm bảy mươi sáu kíp./.</t>
  </si>
  <si>
    <t>(Bằng chữ: Bốn trăm sáu mươi bảy nghìn, sáu trăm bảy mươi chín kíp.)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</si>
</sst>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9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  <numFmt numFmtId="252" formatCode="#,##0.000000000000"/>
  </numFmts>
  <fonts count="279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28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b/>
      <i/>
      <sz val="10"/>
      <name val="Tahoma"/>
      <family val="1"/>
      <scheme val="major"/>
    </font>
    <font>
      <b/>
      <i/>
      <sz val="8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sz val="9"/>
      <color rgb="FF0000FF"/>
      <name val="Times New Roman"/>
      <family val="1"/>
    </font>
    <font>
      <b/>
      <i/>
      <sz val="13"/>
      <name val="Times New Roman"/>
      <family val="1"/>
    </font>
    <font>
      <b/>
      <i/>
      <sz val="10"/>
      <name val="Times New Roman"/>
      <family val="1"/>
    </font>
    <font>
      <i/>
      <sz val="13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8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sz val="13"/>
      <color indexed="8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</font>
    <font>
      <sz val="13"/>
      <name val="VNI-Times"/>
      <charset val="134"/>
    </font>
    <font>
      <i/>
      <sz val="8"/>
      <name val="Times New Roman"/>
      <family val="1"/>
    </font>
    <font>
      <sz val="8"/>
      <name val="VNI-Times"/>
      <charset val="134"/>
    </font>
    <font>
      <b/>
      <sz val="13"/>
      <color indexed="10"/>
      <name val="Times New Roman"/>
      <family val="1"/>
    </font>
    <font>
      <b/>
      <sz val="13"/>
      <name val="VNI-Times"/>
      <charset val="134"/>
    </font>
    <font>
      <b/>
      <sz val="12"/>
      <name val="VNI-Times"/>
      <charset val="134"/>
    </font>
    <font>
      <b/>
      <sz val="13"/>
      <color theme="3"/>
      <name val="Times New Roman"/>
      <family val="1"/>
    </font>
    <font>
      <sz val="36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8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  <xf numFmtId="188" fontId="270" fillId="0" borderId="0" applyFont="0" applyFill="0" applyBorder="0" applyAlignment="0" applyProtection="0"/>
  </cellStyleXfs>
  <cellXfs count="30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89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0" fillId="2" borderId="0" xfId="528" applyFont="1" applyFill="1"/>
    <xf numFmtId="0" fontId="15" fillId="2" borderId="0" xfId="491" applyFont="1" applyFill="1"/>
    <xf numFmtId="217" fontId="190" fillId="2" borderId="0" xfId="1" applyNumberFormat="1" applyFont="1" applyFill="1" applyAlignment="1"/>
    <xf numFmtId="0" fontId="190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38" fontId="24" fillId="2" borderId="0" xfId="0" applyNumberFormat="1" applyFont="1" applyFill="1"/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2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3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0" fillId="2" borderId="0" xfId="625" applyFont="1" applyFill="1"/>
    <xf numFmtId="0" fontId="190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194" fillId="2" borderId="0" xfId="497" applyFont="1" applyFill="1" applyAlignment="1">
      <alignment vertical="center"/>
    </xf>
    <xf numFmtId="0" fontId="194" fillId="2" borderId="3" xfId="497" applyFont="1" applyFill="1" applyBorder="1" applyAlignment="1">
      <alignment vertical="center"/>
    </xf>
    <xf numFmtId="218" fontId="194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195" fillId="2" borderId="0" xfId="528" applyFont="1" applyFill="1"/>
    <xf numFmtId="224" fontId="17" fillId="2" borderId="0" xfId="91" applyNumberFormat="1" applyFont="1" applyFill="1"/>
    <xf numFmtId="0" fontId="196" fillId="2" borderId="0" xfId="528" applyFont="1" applyFill="1"/>
    <xf numFmtId="217" fontId="196" fillId="2" borderId="0" xfId="1" applyNumberFormat="1" applyFont="1" applyFill="1"/>
    <xf numFmtId="3" fontId="196" fillId="2" borderId="0" xfId="528" applyNumberFormat="1" applyFont="1" applyFill="1"/>
    <xf numFmtId="3" fontId="190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193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194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3" fillId="2" borderId="0" xfId="562" applyFont="1" applyFill="1" applyAlignment="1">
      <alignment horizontal="center" vertical="center"/>
    </xf>
    <xf numFmtId="223" fontId="193" fillId="2" borderId="0" xfId="132" applyNumberFormat="1" applyFont="1" applyFill="1" applyBorder="1" applyAlignment="1">
      <alignment vertical="center" wrapText="1"/>
    </xf>
    <xf numFmtId="0" fontId="198" fillId="2" borderId="0" xfId="0" applyFont="1" applyFill="1" applyAlignment="1">
      <alignment vertical="center"/>
    </xf>
    <xf numFmtId="0" fontId="199" fillId="2" borderId="0" xfId="562" applyFont="1" applyFill="1" applyAlignment="1">
      <alignment horizontal="center"/>
    </xf>
    <xf numFmtId="0" fontId="194" fillId="2" borderId="0" xfId="562" applyFont="1" applyFill="1" applyAlignment="1">
      <alignment horizontal="center"/>
    </xf>
    <xf numFmtId="223" fontId="194" fillId="2" borderId="0" xfId="132" applyNumberFormat="1" applyFont="1" applyFill="1" applyBorder="1" applyAlignment="1">
      <alignment wrapText="1"/>
    </xf>
    <xf numFmtId="0" fontId="198" fillId="2" borderId="0" xfId="0" applyFont="1" applyFill="1"/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46" fontId="202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4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05" fillId="0" borderId="51" xfId="1" applyNumberFormat="1" applyFont="1" applyFill="1" applyBorder="1" applyAlignment="1">
      <alignment horizontal="center" vertical="center" wrapText="1"/>
    </xf>
    <xf numFmtId="249" fontId="205" fillId="0" borderId="51" xfId="1" applyNumberFormat="1" applyFont="1" applyFill="1" applyBorder="1" applyAlignment="1">
      <alignment horizontal="center" vertical="center" wrapText="1"/>
    </xf>
    <xf numFmtId="227" fontId="204" fillId="0" borderId="51" xfId="0" applyNumberFormat="1" applyFont="1" applyFill="1" applyBorder="1"/>
    <xf numFmtId="2" fontId="206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07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199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05" fillId="0" borderId="60" xfId="0" applyNumberFormat="1" applyFont="1" applyFill="1" applyBorder="1" applyAlignment="1">
      <alignment horizontal="center" vertical="center"/>
    </xf>
    <xf numFmtId="1" fontId="205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05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199" fillId="0" borderId="15" xfId="0" applyFont="1" applyFill="1" applyBorder="1" applyAlignment="1">
      <alignment horizontal="left" vertical="center" wrapText="1" indent="1"/>
    </xf>
    <xf numFmtId="1" fontId="199" fillId="0" borderId="15" xfId="0" quotePrefix="1" applyNumberFormat="1" applyFont="1" applyFill="1" applyBorder="1" applyAlignment="1">
      <alignment horizontal="left" vertical="center" indent="1"/>
    </xf>
    <xf numFmtId="3" fontId="199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05" fillId="0" borderId="58" xfId="0" applyNumberFormat="1" applyFont="1" applyFill="1" applyBorder="1" applyAlignment="1">
      <alignment horizontal="center" vertical="center"/>
    </xf>
    <xf numFmtId="1" fontId="205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203" fillId="0" borderId="51" xfId="0" applyFont="1" applyFill="1" applyBorder="1" applyAlignment="1">
      <alignment horizontal="center" vertical="center" shrinkToFit="1"/>
    </xf>
    <xf numFmtId="245" fontId="203" fillId="37" borderId="51" xfId="1" applyNumberFormat="1" applyFont="1" applyFill="1" applyBorder="1" applyAlignment="1">
      <alignment horizontal="center"/>
    </xf>
    <xf numFmtId="245" fontId="203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05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06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09" fillId="0" borderId="0" xfId="1" applyNumberFormat="1" applyFont="1" applyFill="1" applyBorder="1" applyAlignment="1">
      <alignment horizontal="center" vertical="center"/>
    </xf>
    <xf numFmtId="1" fontId="209" fillId="0" borderId="0" xfId="1" applyNumberFormat="1" applyFont="1" applyFill="1" applyBorder="1" applyAlignment="1">
      <alignment vertical="center"/>
    </xf>
    <xf numFmtId="1" fontId="208" fillId="0" borderId="0" xfId="1" applyNumberFormat="1" applyFont="1" applyFill="1" applyAlignment="1">
      <alignment vertical="center"/>
    </xf>
    <xf numFmtId="1" fontId="210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3" fillId="0" borderId="1" xfId="1" applyNumberFormat="1" applyFont="1" applyFill="1" applyBorder="1" applyAlignment="1">
      <alignment horizontal="center" vertical="center" wrapText="1"/>
    </xf>
    <xf numFmtId="0" fontId="213" fillId="2" borderId="0" xfId="494" applyFont="1" applyFill="1"/>
    <xf numFmtId="10" fontId="213" fillId="2" borderId="0" xfId="2" applyNumberFormat="1" applyFont="1" applyFill="1"/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vertical="center"/>
    </xf>
    <xf numFmtId="1" fontId="214" fillId="0" borderId="51" xfId="1" applyNumberFormat="1" applyFont="1" applyFill="1" applyBorder="1" applyAlignment="1">
      <alignment horizontal="right" vertical="center"/>
    </xf>
    <xf numFmtId="2" fontId="214" fillId="0" borderId="51" xfId="1" applyNumberFormat="1" applyFont="1" applyFill="1" applyBorder="1" applyAlignment="1">
      <alignment horizontal="right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center" vertical="center"/>
    </xf>
    <xf numFmtId="1" fontId="210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 wrapText="1"/>
    </xf>
    <xf numFmtId="2" fontId="210" fillId="0" borderId="51" xfId="1" applyNumberFormat="1" applyFont="1" applyFill="1" applyBorder="1" applyAlignment="1">
      <alignment horizontal="right" vertical="center" wrapText="1"/>
    </xf>
    <xf numFmtId="218" fontId="210" fillId="0" borderId="51" xfId="1" applyNumberFormat="1" applyFont="1" applyFill="1" applyBorder="1" applyAlignment="1">
      <alignment horizontal="right" vertical="center" wrapText="1"/>
    </xf>
    <xf numFmtId="1" fontId="208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08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32" fontId="208" fillId="0" borderId="51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Alignment="1">
      <alignment vertical="center"/>
    </xf>
    <xf numFmtId="1" fontId="210" fillId="0" borderId="0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17" fillId="0" borderId="0" xfId="1" applyNumberFormat="1" applyFont="1" applyFill="1"/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196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196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196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1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2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196" fillId="0" borderId="0" xfId="0" applyFont="1" applyBorder="1" applyAlignment="1"/>
    <xf numFmtId="0" fontId="17" fillId="0" borderId="51" xfId="0" applyFont="1" applyFill="1" applyBorder="1" applyAlignment="1">
      <alignment horizontal="left" vertical="center"/>
    </xf>
    <xf numFmtId="0" fontId="217" fillId="2" borderId="0" xfId="0" applyFont="1" applyFill="1"/>
    <xf numFmtId="0" fontId="217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24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07" fillId="2" borderId="51" xfId="0" applyFont="1" applyFill="1" applyBorder="1" applyAlignment="1">
      <alignment vertical="center" wrapText="1"/>
    </xf>
    <xf numFmtId="0" fontId="219" fillId="2" borderId="51" xfId="0" applyFont="1" applyFill="1" applyBorder="1" applyAlignment="1">
      <alignment horizontal="center" vertical="center" wrapText="1"/>
    </xf>
    <xf numFmtId="248" fontId="207" fillId="2" borderId="51" xfId="1" applyNumberFormat="1" applyFont="1" applyFill="1" applyBorder="1" applyAlignment="1">
      <alignment vertical="center" wrapText="1"/>
    </xf>
    <xf numFmtId="0" fontId="207" fillId="2" borderId="51" xfId="0" applyFont="1" applyFill="1" applyBorder="1" applyAlignment="1">
      <alignment vertical="center"/>
    </xf>
    <xf numFmtId="0" fontId="207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17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17" fillId="2" borderId="0" xfId="1" applyNumberFormat="1" applyFont="1" applyFill="1"/>
    <xf numFmtId="248" fontId="217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17" fillId="2" borderId="3" xfId="516" applyFont="1" applyFill="1" applyBorder="1" applyAlignment="1">
      <alignment horizontal="lef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25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25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25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26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vertical="center"/>
    </xf>
    <xf numFmtId="216" fontId="205" fillId="0" borderId="51" xfId="0" applyNumberFormat="1" applyFont="1" applyFill="1" applyBorder="1" applyAlignment="1">
      <alignment horizontal="left" vertical="center"/>
    </xf>
    <xf numFmtId="216" fontId="226" fillId="0" borderId="64" xfId="0" applyNumberFormat="1" applyFont="1" applyFill="1" applyBorder="1" applyAlignment="1">
      <alignment vertical="center"/>
    </xf>
    <xf numFmtId="216" fontId="227" fillId="0" borderId="51" xfId="0" applyNumberFormat="1" applyFont="1" applyFill="1" applyBorder="1" applyAlignment="1">
      <alignment horizontal="right" vertical="center"/>
    </xf>
    <xf numFmtId="216" fontId="228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3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3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05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3" fillId="2" borderId="51" xfId="1" applyNumberFormat="1" applyFont="1" applyFill="1" applyBorder="1" applyAlignment="1">
      <alignment horizont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17" fillId="2" borderId="53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0" fillId="2" borderId="0" xfId="625" applyFont="1" applyFill="1" applyAlignment="1">
      <alignment horizontal="left" vertical="center"/>
    </xf>
    <xf numFmtId="218" fontId="193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218" fontId="24" fillId="2" borderId="3" xfId="1" applyNumberFormat="1" applyFont="1" applyFill="1" applyBorder="1" applyAlignment="1">
      <alignment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" fillId="2" borderId="51" xfId="0" applyNumberFormat="1" applyFont="1" applyFill="1" applyBorder="1"/>
    <xf numFmtId="0" fontId="14" fillId="0" borderId="51" xfId="0" applyFont="1" applyBorder="1"/>
    <xf numFmtId="4" fontId="17" fillId="2" borderId="51" xfId="1" applyNumberFormat="1" applyFont="1" applyFill="1" applyBorder="1" applyAlignment="1">
      <alignment horizontal="right" vertical="center"/>
    </xf>
    <xf numFmtId="248" fontId="14" fillId="0" borderId="20" xfId="1" applyNumberFormat="1" applyFont="1" applyFill="1" applyBorder="1" applyAlignment="1">
      <alignment horizontal="center" vertical="center" shrinkToFit="1"/>
    </xf>
    <xf numFmtId="0" fontId="17" fillId="2" borderId="0" xfId="491" applyFont="1" applyFill="1" applyBorder="1"/>
    <xf numFmtId="0" fontId="17" fillId="0" borderId="51" xfId="0" applyFont="1" applyBorder="1" applyAlignment="1">
      <alignment horizontal="center" vertical="center"/>
    </xf>
    <xf numFmtId="0" fontId="17" fillId="0" borderId="51" xfId="210" applyFont="1" applyBorder="1" applyAlignment="1">
      <alignment horizontal="left" vertical="center" wrapText="1"/>
    </xf>
    <xf numFmtId="4" fontId="17" fillId="0" borderId="51" xfId="210" applyNumberFormat="1" applyFont="1" applyBorder="1" applyAlignment="1">
      <alignment horizontal="right" vertical="center"/>
    </xf>
    <xf numFmtId="3" fontId="17" fillId="0" borderId="51" xfId="1" applyNumberFormat="1" applyFont="1" applyFill="1" applyBorder="1" applyAlignment="1">
      <alignment horizontal="right" vertical="center"/>
    </xf>
    <xf numFmtId="4" fontId="15" fillId="0" borderId="51" xfId="1" applyNumberFormat="1" applyFont="1" applyFill="1" applyBorder="1" applyAlignment="1">
      <alignment horizontal="right" vertical="center"/>
    </xf>
    <xf numFmtId="0" fontId="19" fillId="2" borderId="51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31" fontId="13" fillId="3" borderId="51" xfId="1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201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vertical="center"/>
    </xf>
    <xf numFmtId="232" fontId="231" fillId="0" borderId="51" xfId="1" applyNumberFormat="1" applyFont="1" applyFill="1" applyBorder="1" applyAlignment="1">
      <alignment horizontal="right" vertical="center"/>
    </xf>
    <xf numFmtId="0" fontId="14" fillId="0" borderId="61" xfId="0" applyFont="1" applyFill="1" applyBorder="1" applyAlignment="1">
      <alignment horizontal="center" vertical="center" shrinkToFit="1"/>
    </xf>
    <xf numFmtId="190" fontId="107" fillId="0" borderId="61" xfId="1" applyNumberFormat="1" applyFont="1" applyFill="1" applyBorder="1" applyAlignment="1">
      <alignment horizontal="center" vertical="center" shrinkToFit="1"/>
    </xf>
    <xf numFmtId="200" fontId="14" fillId="0" borderId="20" xfId="1" applyNumberFormat="1" applyFont="1" applyFill="1" applyBorder="1" applyAlignment="1">
      <alignment horizontal="center" vertical="center" shrinkToFit="1"/>
    </xf>
    <xf numFmtId="188" fontId="14" fillId="0" borderId="20" xfId="1" applyNumberFormat="1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233" fillId="2" borderId="0" xfId="0" applyFont="1" applyFill="1" applyAlignment="1">
      <alignment vertical="center"/>
    </xf>
    <xf numFmtId="0" fontId="233" fillId="2" borderId="0" xfId="0" applyFont="1" applyFill="1" applyAlignment="1">
      <alignment horizontal="center" vertical="center"/>
    </xf>
    <xf numFmtId="0" fontId="234" fillId="2" borderId="0" xfId="0" applyFont="1" applyFill="1" applyAlignment="1">
      <alignment vertical="center"/>
    </xf>
    <xf numFmtId="0" fontId="233" fillId="2" borderId="0" xfId="0" applyFont="1" applyFill="1" applyAlignment="1">
      <alignment horizontal="right" vertical="center"/>
    </xf>
    <xf numFmtId="0" fontId="235" fillId="2" borderId="0" xfId="0" applyFont="1" applyFill="1" applyAlignment="1">
      <alignment horizontal="left" vertical="center"/>
    </xf>
    <xf numFmtId="216" fontId="233" fillId="2" borderId="0" xfId="0" applyNumberFormat="1" applyFont="1" applyFill="1" applyAlignment="1">
      <alignment vertical="center"/>
    </xf>
    <xf numFmtId="0" fontId="236" fillId="2" borderId="0" xfId="0" applyFont="1" applyFill="1"/>
    <xf numFmtId="10" fontId="237" fillId="2" borderId="0" xfId="2" applyNumberFormat="1" applyFont="1" applyFill="1"/>
    <xf numFmtId="216" fontId="235" fillId="2" borderId="51" xfId="0" applyNumberFormat="1" applyFont="1" applyFill="1" applyBorder="1" applyAlignment="1">
      <alignment horizontal="left" vertical="center"/>
    </xf>
    <xf numFmtId="3" fontId="238" fillId="2" borderId="0" xfId="0" applyNumberFormat="1" applyFont="1" applyFill="1" applyAlignment="1">
      <alignment vertical="center"/>
    </xf>
    <xf numFmtId="0" fontId="239" fillId="2" borderId="51" xfId="0" applyFont="1" applyFill="1" applyBorder="1" applyAlignment="1">
      <alignment horizontal="left" vertical="center"/>
    </xf>
    <xf numFmtId="3" fontId="240" fillId="2" borderId="0" xfId="0" applyNumberFormat="1" applyFont="1" applyFill="1" applyAlignment="1">
      <alignment vertical="center"/>
    </xf>
    <xf numFmtId="0" fontId="240" fillId="2" borderId="0" xfId="0" applyFont="1" applyFill="1" applyAlignment="1">
      <alignment vertical="center"/>
    </xf>
    <xf numFmtId="0" fontId="235" fillId="2" borderId="51" xfId="0" applyFont="1" applyFill="1" applyBorder="1" applyAlignment="1">
      <alignment horizontal="left" vertical="center"/>
    </xf>
    <xf numFmtId="0" fontId="238" fillId="2" borderId="0" xfId="0" applyFont="1" applyFill="1" applyAlignment="1">
      <alignment vertical="center"/>
    </xf>
    <xf numFmtId="3" fontId="242" fillId="2" borderId="51" xfId="1" applyNumberFormat="1" applyFont="1" applyFill="1" applyBorder="1" applyAlignment="1">
      <alignment horizontal="right" vertical="center"/>
    </xf>
    <xf numFmtId="3" fontId="243" fillId="2" borderId="0" xfId="0" applyNumberFormat="1" applyFont="1" applyFill="1" applyAlignment="1">
      <alignment vertical="center"/>
    </xf>
    <xf numFmtId="3" fontId="242" fillId="2" borderId="51" xfId="0" applyNumberFormat="1" applyFont="1" applyFill="1" applyBorder="1" applyAlignment="1">
      <alignment horizontal="left" vertical="center"/>
    </xf>
    <xf numFmtId="188" fontId="243" fillId="2" borderId="0" xfId="0" applyNumberFormat="1" applyFont="1" applyFill="1" applyAlignment="1">
      <alignment vertical="center"/>
    </xf>
    <xf numFmtId="188" fontId="233" fillId="2" borderId="0" xfId="0" applyNumberFormat="1" applyFont="1" applyFill="1" applyAlignment="1">
      <alignment horizontal="center"/>
    </xf>
    <xf numFmtId="0" fontId="233" fillId="2" borderId="0" xfId="0" applyFont="1" applyFill="1" applyAlignment="1">
      <alignment horizontal="center"/>
    </xf>
    <xf numFmtId="0" fontId="245" fillId="2" borderId="0" xfId="0" applyFont="1" applyFill="1" applyAlignment="1">
      <alignment horizontal="center"/>
    </xf>
    <xf numFmtId="4" fontId="233" fillId="2" borderId="0" xfId="0" applyNumberFormat="1" applyFont="1" applyFill="1" applyAlignment="1">
      <alignment vertical="center"/>
    </xf>
    <xf numFmtId="43" fontId="233" fillId="2" borderId="0" xfId="1" applyFont="1" applyFill="1" applyAlignment="1">
      <alignment horizontal="center" vertical="center"/>
    </xf>
    <xf numFmtId="3" fontId="233" fillId="2" borderId="0" xfId="0" applyNumberFormat="1" applyFont="1" applyFill="1" applyAlignment="1">
      <alignment horizontal="right" vertical="center"/>
    </xf>
    <xf numFmtId="240" fontId="233" fillId="2" borderId="0" xfId="0" applyNumberFormat="1" applyFont="1" applyFill="1" applyAlignment="1">
      <alignment vertical="center"/>
    </xf>
    <xf numFmtId="0" fontId="235" fillId="2" borderId="0" xfId="0" applyFont="1" applyFill="1" applyAlignment="1">
      <alignment vertical="center"/>
    </xf>
    <xf numFmtId="0" fontId="235" fillId="2" borderId="0" xfId="0" applyFont="1" applyFill="1" applyAlignment="1">
      <alignment horizontal="center" vertical="center"/>
    </xf>
    <xf numFmtId="0" fontId="248" fillId="2" borderId="0" xfId="0" applyFont="1" applyFill="1" applyAlignment="1">
      <alignment horizontal="right" vertical="center"/>
    </xf>
    <xf numFmtId="0" fontId="248" fillId="2" borderId="0" xfId="0" applyFont="1" applyFill="1" applyAlignment="1">
      <alignment vertical="center"/>
    </xf>
    <xf numFmtId="217" fontId="233" fillId="2" borderId="0" xfId="1" applyNumberFormat="1" applyFont="1" applyFill="1" applyAlignment="1">
      <alignment vertical="center"/>
    </xf>
    <xf numFmtId="0" fontId="233" fillId="2" borderId="0" xfId="0" applyFont="1" applyFill="1" applyAlignment="1">
      <alignment horizontal="left" vertical="center"/>
    </xf>
    <xf numFmtId="0" fontId="243" fillId="2" borderId="0" xfId="0" applyFont="1" applyFill="1" applyAlignment="1">
      <alignment vertical="center"/>
    </xf>
    <xf numFmtId="43" fontId="233" fillId="2" borderId="0" xfId="0" applyNumberFormat="1" applyFont="1" applyFill="1" applyAlignment="1">
      <alignment horizontal="center" vertical="center"/>
    </xf>
    <xf numFmtId="4" fontId="233" fillId="2" borderId="0" xfId="0" applyNumberFormat="1" applyFont="1" applyFill="1" applyAlignment="1">
      <alignment horizontal="right" vertical="center"/>
    </xf>
    <xf numFmtId="41" fontId="233" fillId="2" borderId="0" xfId="0" applyNumberFormat="1" applyFont="1" applyFill="1" applyAlignment="1">
      <alignment vertical="center"/>
    </xf>
    <xf numFmtId="188" fontId="233" fillId="2" borderId="0" xfId="0" applyNumberFormat="1" applyFont="1" applyFill="1" applyAlignment="1">
      <alignment vertical="center"/>
    </xf>
    <xf numFmtId="3" fontId="234" fillId="2" borderId="0" xfId="0" applyNumberFormat="1" applyFont="1" applyFill="1" applyAlignment="1">
      <alignment horizontal="center" vertical="center"/>
    </xf>
    <xf numFmtId="3" fontId="234" fillId="2" borderId="0" xfId="0" applyNumberFormat="1" applyFont="1" applyFill="1" applyAlignment="1">
      <alignment horizontal="right" vertical="center"/>
    </xf>
    <xf numFmtId="3" fontId="234" fillId="2" borderId="0" xfId="0" applyNumberFormat="1" applyFont="1" applyFill="1" applyAlignment="1">
      <alignment vertical="center"/>
    </xf>
    <xf numFmtId="0" fontId="250" fillId="2" borderId="0" xfId="0" applyFont="1" applyFill="1" applyAlignment="1">
      <alignment horizontal="center" vertical="center"/>
    </xf>
    <xf numFmtId="3" fontId="250" fillId="2" borderId="0" xfId="0" applyNumberFormat="1" applyFont="1" applyFill="1" applyAlignment="1">
      <alignment vertical="center"/>
    </xf>
    <xf numFmtId="0" fontId="251" fillId="2" borderId="0" xfId="0" applyFont="1" applyFill="1" applyAlignment="1">
      <alignment vertical="center"/>
    </xf>
    <xf numFmtId="3" fontId="252" fillId="2" borderId="0" xfId="0" applyNumberFormat="1" applyFont="1" applyFill="1" applyAlignment="1">
      <alignment horizontal="center" vertical="center"/>
    </xf>
    <xf numFmtId="4" fontId="252" fillId="2" borderId="0" xfId="0" applyNumberFormat="1" applyFont="1" applyFill="1" applyAlignment="1">
      <alignment horizontal="center" vertical="center"/>
    </xf>
    <xf numFmtId="217" fontId="253" fillId="2" borderId="0" xfId="1" applyNumberFormat="1" applyFont="1" applyFill="1" applyAlignment="1">
      <alignment vertical="center"/>
    </xf>
    <xf numFmtId="4" fontId="234" fillId="2" borderId="0" xfId="0" applyNumberFormat="1" applyFont="1" applyFill="1" applyAlignment="1">
      <alignment horizontal="center" vertical="center"/>
    </xf>
    <xf numFmtId="3" fontId="252" fillId="2" borderId="0" xfId="0" applyNumberFormat="1" applyFont="1" applyFill="1" applyAlignment="1">
      <alignment vertical="center"/>
    </xf>
    <xf numFmtId="0" fontId="254" fillId="2" borderId="0" xfId="0" applyFont="1" applyFill="1" applyAlignment="1">
      <alignment horizontal="left" vertical="center"/>
    </xf>
    <xf numFmtId="3" fontId="233" fillId="2" borderId="0" xfId="0" applyNumberFormat="1" applyFont="1" applyFill="1" applyAlignment="1">
      <alignment vertical="center"/>
    </xf>
    <xf numFmtId="216" fontId="250" fillId="2" borderId="0" xfId="0" applyNumberFormat="1" applyFont="1" applyFill="1"/>
    <xf numFmtId="3" fontId="233" fillId="2" borderId="0" xfId="0" applyNumberFormat="1" applyFont="1" applyFill="1" applyAlignment="1">
      <alignment horizontal="center" vertical="center"/>
    </xf>
    <xf numFmtId="3" fontId="193" fillId="2" borderId="51" xfId="1" applyNumberFormat="1" applyFont="1" applyFill="1" applyBorder="1" applyAlignment="1">
      <alignment horizontal="right" vertical="center"/>
    </xf>
    <xf numFmtId="3" fontId="17" fillId="2" borderId="51" xfId="0" applyNumberFormat="1" applyFont="1" applyFill="1" applyBorder="1" applyAlignment="1">
      <alignment horizontal="right" vertical="center"/>
    </xf>
    <xf numFmtId="0" fontId="15" fillId="2" borderId="51" xfId="497" applyFont="1" applyFill="1" applyBorder="1" applyAlignment="1" applyProtection="1">
      <alignment horizontal="center" vertical="center"/>
      <protection hidden="1"/>
    </xf>
    <xf numFmtId="43" fontId="1" fillId="2" borderId="3" xfId="1" applyNumberFormat="1" applyFont="1" applyFill="1" applyBorder="1" applyAlignment="1">
      <alignment vertical="center"/>
    </xf>
    <xf numFmtId="3" fontId="242" fillId="2" borderId="51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49" fillId="2" borderId="0" xfId="0" applyFont="1" applyFill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1" fontId="17" fillId="2" borderId="51" xfId="0" applyNumberFormat="1" applyFont="1" applyFill="1" applyBorder="1" applyAlignment="1">
      <alignment horizontal="center" vertical="center" wrapText="1"/>
    </xf>
    <xf numFmtId="0" fontId="255" fillId="2" borderId="51" xfId="0" applyFont="1" applyFill="1" applyBorder="1" applyAlignment="1">
      <alignment horizontal="left" vertical="center"/>
    </xf>
    <xf numFmtId="3" fontId="17" fillId="2" borderId="51" xfId="0" applyNumberFormat="1" applyFont="1" applyFill="1" applyBorder="1" applyAlignment="1">
      <alignment horizontal="left" vertical="center"/>
    </xf>
    <xf numFmtId="3" fontId="15" fillId="2" borderId="51" xfId="0" applyNumberFormat="1" applyFont="1" applyFill="1" applyBorder="1" applyAlignment="1">
      <alignment horizontal="right" vertical="center"/>
    </xf>
    <xf numFmtId="216" fontId="15" fillId="2" borderId="51" xfId="0" applyNumberFormat="1" applyFont="1" applyFill="1" applyBorder="1" applyAlignment="1">
      <alignment horizontal="left" vertical="center"/>
    </xf>
    <xf numFmtId="3" fontId="15" fillId="2" borderId="51" xfId="1" applyNumberFormat="1" applyFont="1" applyFill="1" applyBorder="1" applyAlignment="1">
      <alignment horizontal="right" vertical="center"/>
    </xf>
    <xf numFmtId="0" fontId="256" fillId="2" borderId="51" xfId="0" applyFont="1" applyFill="1" applyBorder="1" applyAlignment="1">
      <alignment horizontal="left" vertical="center"/>
    </xf>
    <xf numFmtId="4" fontId="15" fillId="2" borderId="51" xfId="1" applyNumberFormat="1" applyFont="1" applyFill="1" applyBorder="1" applyAlignment="1">
      <alignment horizontal="right" vertical="center"/>
    </xf>
    <xf numFmtId="0" fontId="15" fillId="2" borderId="51" xfId="0" applyFont="1" applyFill="1" applyBorder="1" applyAlignment="1">
      <alignment horizontal="left" vertical="center"/>
    </xf>
    <xf numFmtId="3" fontId="17" fillId="2" borderId="51" xfId="0" quotePrefix="1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 wrapText="1"/>
    </xf>
    <xf numFmtId="0" fontId="257" fillId="2" borderId="51" xfId="0" applyFont="1" applyFill="1" applyBorder="1"/>
    <xf numFmtId="4" fontId="17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right" vertical="center"/>
    </xf>
    <xf numFmtId="3" fontId="17" fillId="2" borderId="51" xfId="93" applyNumberFormat="1" applyFont="1" applyFill="1" applyBorder="1" applyAlignment="1">
      <alignment horizontal="right" vertical="center"/>
    </xf>
    <xf numFmtId="4" fontId="15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left" vertical="center"/>
    </xf>
    <xf numFmtId="3" fontId="259" fillId="2" borderId="51" xfId="1" applyNumberFormat="1" applyFont="1" applyFill="1" applyBorder="1" applyAlignment="1">
      <alignment horizontal="right" vertical="center"/>
    </xf>
    <xf numFmtId="0" fontId="260" fillId="2" borderId="51" xfId="0" applyFont="1" applyFill="1" applyBorder="1" applyAlignment="1">
      <alignment horizontal="left" vertical="center"/>
    </xf>
    <xf numFmtId="4" fontId="259" fillId="2" borderId="51" xfId="1" applyNumberFormat="1" applyFont="1" applyFill="1" applyBorder="1" applyAlignment="1">
      <alignment horizontal="right" vertical="center"/>
    </xf>
    <xf numFmtId="0" fontId="258" fillId="2" borderId="53" xfId="0" applyFont="1" applyFill="1" applyBorder="1" applyAlignment="1">
      <alignment vertical="center"/>
    </xf>
    <xf numFmtId="0" fontId="258" fillId="2" borderId="54" xfId="0" applyFont="1" applyFill="1" applyBorder="1" applyAlignment="1">
      <alignment vertical="center"/>
    </xf>
    <xf numFmtId="3" fontId="259" fillId="2" borderId="51" xfId="0" applyNumberFormat="1" applyFont="1" applyFill="1" applyBorder="1" applyAlignment="1">
      <alignment horizontal="left" vertical="center"/>
    </xf>
    <xf numFmtId="43" fontId="20" fillId="2" borderId="0" xfId="1" applyFont="1" applyFill="1" applyAlignment="1">
      <alignment horizontal="center" vertical="center"/>
    </xf>
    <xf numFmtId="217" fontId="31" fillId="2" borderId="0" xfId="1" applyNumberFormat="1" applyFont="1" applyFill="1" applyAlignment="1">
      <alignment vertical="center"/>
    </xf>
    <xf numFmtId="0" fontId="262" fillId="2" borderId="0" xfId="0" applyFont="1" applyFill="1"/>
    <xf numFmtId="0" fontId="261" fillId="2" borderId="0" xfId="0" applyFont="1" applyFill="1"/>
    <xf numFmtId="0" fontId="249" fillId="2" borderId="0" xfId="0" applyFont="1" applyFill="1" applyAlignment="1">
      <alignment horizontal="center"/>
    </xf>
    <xf numFmtId="0" fontId="249" fillId="2" borderId="0" xfId="0" applyFont="1" applyFill="1"/>
    <xf numFmtId="3" fontId="247" fillId="2" borderId="0" xfId="0" applyNumberFormat="1" applyFont="1" applyFill="1"/>
    <xf numFmtId="0" fontId="247" fillId="2" borderId="0" xfId="0" applyFont="1" applyFill="1"/>
    <xf numFmtId="3" fontId="264" fillId="2" borderId="0" xfId="0" applyNumberFormat="1" applyFont="1" applyFill="1" applyAlignment="1">
      <alignment horizontal="right"/>
    </xf>
    <xf numFmtId="3" fontId="249" fillId="2" borderId="0" xfId="0" applyNumberFormat="1" applyFont="1" applyFill="1"/>
    <xf numFmtId="0" fontId="249" fillId="3" borderId="0" xfId="0" applyFont="1" applyFill="1"/>
    <xf numFmtId="0" fontId="233" fillId="2" borderId="1" xfId="0" applyFont="1" applyFill="1" applyBorder="1"/>
    <xf numFmtId="0" fontId="265" fillId="2" borderId="0" xfId="0" applyFont="1" applyFill="1" applyAlignment="1">
      <alignment horizontal="center"/>
    </xf>
    <xf numFmtId="3" fontId="249" fillId="2" borderId="0" xfId="0" applyNumberFormat="1" applyFont="1" applyFill="1" applyAlignment="1">
      <alignment horizontal="center"/>
    </xf>
    <xf numFmtId="220" fontId="235" fillId="2" borderId="51" xfId="1" applyNumberFormat="1" applyFont="1" applyFill="1" applyBorder="1" applyAlignment="1">
      <alignment horizontal="center" vertical="center" wrapText="1"/>
    </xf>
    <xf numFmtId="218" fontId="235" fillId="2" borderId="51" xfId="1" applyNumberFormat="1" applyFont="1" applyFill="1" applyBorder="1" applyAlignment="1">
      <alignment horizontal="center" vertical="center" wrapText="1"/>
    </xf>
    <xf numFmtId="0" fontId="235" fillId="2" borderId="52" xfId="0" applyFont="1" applyFill="1" applyBorder="1" applyAlignment="1">
      <alignment horizontal="center" vertical="center" wrapText="1"/>
    </xf>
    <xf numFmtId="3" fontId="238" fillId="2" borderId="0" xfId="0" applyNumberFormat="1" applyFont="1" applyFill="1" applyAlignment="1">
      <alignment horizontal="center" vertical="center"/>
    </xf>
    <xf numFmtId="0" fontId="238" fillId="2" borderId="0" xfId="0" applyFont="1" applyFill="1" applyAlignment="1">
      <alignment horizontal="center" vertical="center"/>
    </xf>
    <xf numFmtId="3" fontId="264" fillId="2" borderId="0" xfId="0" applyNumberFormat="1" applyFont="1" applyFill="1" applyAlignment="1">
      <alignment horizontal="right" vertical="center"/>
    </xf>
    <xf numFmtId="0" fontId="235" fillId="2" borderId="51" xfId="0" applyFont="1" applyFill="1" applyBorder="1" applyAlignment="1">
      <alignment horizontal="center" vertical="distributed" wrapText="1"/>
    </xf>
    <xf numFmtId="216" fontId="235" fillId="2" borderId="51" xfId="0" applyNumberFormat="1" applyFont="1" applyFill="1" applyBorder="1" applyAlignment="1">
      <alignment horizontal="right" vertical="distributed" wrapText="1"/>
    </xf>
    <xf numFmtId="0" fontId="238" fillId="2" borderId="21" xfId="0" applyFont="1" applyFill="1" applyBorder="1" applyAlignment="1">
      <alignment horizontal="center" vertical="center" wrapText="1"/>
    </xf>
    <xf numFmtId="3" fontId="249" fillId="2" borderId="0" xfId="0" applyNumberFormat="1" applyFont="1" applyFill="1" applyAlignment="1">
      <alignment horizontal="center" vertical="center"/>
    </xf>
    <xf numFmtId="3" fontId="266" fillId="2" borderId="0" xfId="0" applyNumberFormat="1" applyFont="1" applyFill="1" applyAlignment="1">
      <alignment horizontal="right" vertical="center"/>
    </xf>
    <xf numFmtId="1" fontId="239" fillId="2" borderId="51" xfId="0" applyNumberFormat="1" applyFont="1" applyFill="1" applyBorder="1" applyAlignment="1">
      <alignment horizontal="center" vertical="center"/>
    </xf>
    <xf numFmtId="0" fontId="239" fillId="2" borderId="51" xfId="0" applyFont="1" applyFill="1" applyBorder="1" applyAlignment="1">
      <alignment vertical="center"/>
    </xf>
    <xf numFmtId="0" fontId="239" fillId="2" borderId="51" xfId="516" applyFont="1" applyFill="1" applyBorder="1" applyAlignment="1">
      <alignment horizontal="left" vertical="center" wrapText="1"/>
    </xf>
    <xf numFmtId="216" fontId="239" fillId="2" borderId="51" xfId="0" applyNumberFormat="1" applyFont="1" applyFill="1" applyBorder="1" applyAlignment="1">
      <alignment horizontal="center" vertical="center"/>
    </xf>
    <xf numFmtId="216" fontId="239" fillId="2" borderId="51" xfId="1" applyNumberFormat="1" applyFont="1" applyFill="1" applyBorder="1" applyAlignment="1">
      <alignment horizontal="right" vertical="center" wrapText="1"/>
    </xf>
    <xf numFmtId="3" fontId="267" fillId="2" borderId="51" xfId="93" applyNumberFormat="1" applyFont="1" applyFill="1" applyBorder="1" applyAlignment="1">
      <alignment vertical="center"/>
    </xf>
    <xf numFmtId="216" fontId="239" fillId="2" borderId="51" xfId="0" applyNumberFormat="1" applyFont="1" applyFill="1" applyBorder="1" applyAlignment="1">
      <alignment horizontal="right" vertical="center"/>
    </xf>
    <xf numFmtId="226" fontId="240" fillId="2" borderId="21" xfId="0" applyNumberFormat="1" applyFont="1" applyFill="1" applyBorder="1" applyAlignment="1">
      <alignment horizontal="right" vertical="center"/>
    </xf>
    <xf numFmtId="226" fontId="240" fillId="2" borderId="0" xfId="0" applyNumberFormat="1" applyFont="1" applyFill="1" applyAlignment="1">
      <alignment horizontal="right" vertical="center"/>
    </xf>
    <xf numFmtId="252" fontId="240" fillId="2" borderId="0" xfId="0" applyNumberFormat="1" applyFont="1" applyFill="1" applyAlignment="1">
      <alignment vertical="center"/>
    </xf>
    <xf numFmtId="1" fontId="235" fillId="2" borderId="51" xfId="0" applyNumberFormat="1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vertical="center"/>
    </xf>
    <xf numFmtId="0" fontId="235" fillId="2" borderId="51" xfId="516" applyFont="1" applyFill="1" applyBorder="1" applyAlignment="1">
      <alignment horizontal="left" vertical="center"/>
    </xf>
    <xf numFmtId="216" fontId="235" fillId="2" borderId="51" xfId="0" applyNumberFormat="1" applyFont="1" applyFill="1" applyBorder="1" applyAlignment="1">
      <alignment horizontal="center" vertical="center"/>
    </xf>
    <xf numFmtId="216" fontId="235" fillId="2" borderId="51" xfId="0" applyNumberFormat="1" applyFont="1" applyFill="1" applyBorder="1" applyAlignment="1">
      <alignment horizontal="right" vertical="center"/>
    </xf>
    <xf numFmtId="216" fontId="235" fillId="2" borderId="51" xfId="1" applyNumberFormat="1" applyFont="1" applyFill="1" applyBorder="1" applyAlignment="1">
      <alignment horizontal="right" vertical="center" wrapText="1"/>
    </xf>
    <xf numFmtId="226" fontId="238" fillId="2" borderId="21" xfId="0" applyNumberFormat="1" applyFont="1" applyFill="1" applyBorder="1" applyAlignment="1">
      <alignment horizontal="right" vertical="center"/>
    </xf>
    <xf numFmtId="226" fontId="238" fillId="2" borderId="0" xfId="0" applyNumberFormat="1" applyFont="1" applyFill="1" applyAlignment="1">
      <alignment horizontal="right" vertical="center"/>
    </xf>
    <xf numFmtId="252" fontId="238" fillId="2" borderId="0" xfId="0" applyNumberFormat="1" applyFont="1" applyFill="1" applyAlignment="1">
      <alignment vertical="center"/>
    </xf>
    <xf numFmtId="0" fontId="235" fillId="2" borderId="51" xfId="516" applyFont="1" applyFill="1" applyBorder="1" applyAlignment="1">
      <alignment vertical="center"/>
    </xf>
    <xf numFmtId="227" fontId="235" fillId="2" borderId="51" xfId="0" applyNumberFormat="1" applyFont="1" applyFill="1" applyBorder="1" applyAlignment="1">
      <alignment vertical="center"/>
    </xf>
    <xf numFmtId="218" fontId="238" fillId="2" borderId="54" xfId="1" applyNumberFormat="1" applyFont="1" applyFill="1" applyBorder="1" applyAlignment="1">
      <alignment vertical="center" shrinkToFit="1"/>
    </xf>
    <xf numFmtId="218" fontId="238" fillId="2" borderId="51" xfId="0" applyNumberFormat="1" applyFont="1" applyFill="1" applyBorder="1" applyAlignment="1">
      <alignment horizontal="right" vertical="center"/>
    </xf>
    <xf numFmtId="218" fontId="268" fillId="2" borderId="0" xfId="0" applyNumberFormat="1" applyFont="1" applyFill="1" applyAlignment="1">
      <alignment vertical="center"/>
    </xf>
    <xf numFmtId="3" fontId="268" fillId="2" borderId="0" xfId="0" applyNumberFormat="1" applyFont="1" applyFill="1" applyAlignment="1">
      <alignment horizontal="right" vertical="center"/>
    </xf>
    <xf numFmtId="218" fontId="238" fillId="2" borderId="0" xfId="1" applyNumberFormat="1" applyFont="1" applyFill="1" applyBorder="1" applyAlignment="1">
      <alignment vertical="center" shrinkToFit="1"/>
    </xf>
    <xf numFmtId="218" fontId="238" fillId="2" borderId="0" xfId="0" applyNumberFormat="1" applyFont="1" applyFill="1" applyAlignment="1">
      <alignment horizontal="right" vertical="center"/>
    </xf>
    <xf numFmtId="217" fontId="233" fillId="2" borderId="0" xfId="1" applyNumberFormat="1" applyFont="1" applyFill="1" applyAlignment="1">
      <alignment horizontal="center"/>
    </xf>
    <xf numFmtId="0" fontId="239" fillId="2" borderId="0" xfId="0" applyFont="1" applyFill="1" applyAlignment="1">
      <alignment horizontal="center"/>
    </xf>
    <xf numFmtId="0" fontId="239" fillId="2" borderId="0" xfId="0" applyFont="1" applyFill="1" applyAlignment="1">
      <alignment shrinkToFit="1"/>
    </xf>
    <xf numFmtId="0" fontId="239" fillId="2" borderId="0" xfId="0" applyFont="1" applyFill="1"/>
    <xf numFmtId="43" fontId="239" fillId="2" borderId="0" xfId="1" applyFont="1" applyFill="1"/>
    <xf numFmtId="218" fontId="239" fillId="2" borderId="0" xfId="0" applyNumberFormat="1" applyFont="1" applyFill="1"/>
    <xf numFmtId="218" fontId="239" fillId="2" borderId="0" xfId="1" applyNumberFormat="1" applyFont="1" applyFill="1"/>
    <xf numFmtId="218" fontId="269" fillId="2" borderId="0" xfId="0" applyNumberFormat="1" applyFont="1" applyFill="1" applyAlignment="1">
      <alignment vertical="center"/>
    </xf>
    <xf numFmtId="216" fontId="240" fillId="2" borderId="0" xfId="0" applyNumberFormat="1" applyFont="1" applyFill="1"/>
    <xf numFmtId="3" fontId="240" fillId="2" borderId="0" xfId="0" applyNumberFormat="1" applyFont="1" applyFill="1" applyAlignment="1">
      <alignment horizontal="right"/>
    </xf>
    <xf numFmtId="0" fontId="240" fillId="2" borderId="0" xfId="0" applyFont="1" applyFill="1"/>
    <xf numFmtId="0" fontId="235" fillId="2" borderId="0" xfId="0" applyFont="1" applyFill="1" applyAlignment="1">
      <alignment horizontal="center"/>
    </xf>
    <xf numFmtId="0" fontId="235" fillId="2" borderId="0" xfId="0" applyFont="1" applyFill="1"/>
    <xf numFmtId="3" fontId="235" fillId="2" borderId="0" xfId="0" applyNumberFormat="1" applyFont="1" applyFill="1"/>
    <xf numFmtId="227" fontId="239" fillId="2" borderId="0" xfId="0" applyNumberFormat="1" applyFont="1" applyFill="1"/>
    <xf numFmtId="0" fontId="233" fillId="2" borderId="0" xfId="0" applyFont="1" applyFill="1"/>
    <xf numFmtId="217" fontId="233" fillId="2" borderId="0" xfId="1" applyNumberFormat="1" applyFont="1" applyFill="1" applyAlignment="1"/>
    <xf numFmtId="43" fontId="240" fillId="2" borderId="0" xfId="0" applyNumberFormat="1" applyFont="1" applyFill="1"/>
    <xf numFmtId="218" fontId="233" fillId="2" borderId="0" xfId="0" applyNumberFormat="1" applyFont="1" applyFill="1"/>
    <xf numFmtId="3" fontId="233" fillId="2" borderId="0" xfId="0" applyNumberFormat="1" applyFont="1" applyFill="1"/>
    <xf numFmtId="43" fontId="233" fillId="2" borderId="0" xfId="1" applyFont="1" applyFill="1" applyAlignment="1"/>
    <xf numFmtId="3" fontId="234" fillId="2" borderId="0" xfId="0" applyNumberFormat="1" applyFont="1" applyFill="1"/>
    <xf numFmtId="43" fontId="233" fillId="2" borderId="0" xfId="0" applyNumberFormat="1" applyFont="1" applyFill="1"/>
    <xf numFmtId="218" fontId="233" fillId="2" borderId="0" xfId="0" applyNumberFormat="1" applyFont="1" applyFill="1" applyAlignment="1">
      <alignment horizontal="center"/>
    </xf>
    <xf numFmtId="227" fontId="233" fillId="2" borderId="0" xfId="0" applyNumberFormat="1" applyFont="1" applyFill="1"/>
    <xf numFmtId="217" fontId="240" fillId="2" borderId="0" xfId="0" applyNumberFormat="1" applyFont="1" applyFill="1"/>
    <xf numFmtId="218" fontId="250" fillId="2" borderId="0" xfId="0" applyNumberFormat="1" applyFont="1" applyFill="1"/>
    <xf numFmtId="43" fontId="247" fillId="2" borderId="0" xfId="1" applyFont="1" applyFill="1" applyAlignment="1"/>
    <xf numFmtId="43" fontId="247" fillId="2" borderId="0" xfId="1" applyFont="1" applyFill="1" applyBorder="1" applyAlignment="1"/>
    <xf numFmtId="3" fontId="247" fillId="2" borderId="0" xfId="0" applyNumberFormat="1" applyFont="1" applyFill="1" applyAlignment="1">
      <alignment horizontal="right"/>
    </xf>
    <xf numFmtId="216" fontId="233" fillId="2" borderId="0" xfId="0" applyNumberFormat="1" applyFont="1" applyFill="1"/>
    <xf numFmtId="43" fontId="240" fillId="2" borderId="0" xfId="1" applyFont="1" applyFill="1" applyAlignment="1">
      <alignment horizontal="center"/>
    </xf>
    <xf numFmtId="43" fontId="234" fillId="2" borderId="0" xfId="0" applyNumberFormat="1" applyFont="1" applyFill="1" applyAlignment="1">
      <alignment horizontal="center"/>
    </xf>
    <xf numFmtId="43" fontId="240" fillId="2" borderId="0" xfId="1" applyFont="1" applyFill="1"/>
    <xf numFmtId="0" fontId="247" fillId="2" borderId="0" xfId="0" applyFont="1" applyFill="1" applyAlignment="1">
      <alignment horizontal="center"/>
    </xf>
    <xf numFmtId="0" fontId="247" fillId="2" borderId="0" xfId="0" applyFont="1" applyFill="1" applyAlignment="1">
      <alignment shrinkToFit="1"/>
    </xf>
    <xf numFmtId="220" fontId="247" fillId="2" borderId="0" xfId="1" applyNumberFormat="1" applyFont="1" applyFill="1"/>
    <xf numFmtId="0" fontId="13" fillId="3" borderId="60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/>
    </xf>
    <xf numFmtId="0" fontId="14" fillId="3" borderId="59" xfId="0" applyFont="1" applyFill="1" applyBorder="1" applyAlignment="1">
      <alignment horizontal="left"/>
    </xf>
    <xf numFmtId="0" fontId="13" fillId="2" borderId="3" xfId="562" applyFont="1" applyFill="1" applyBorder="1" applyAlignment="1">
      <alignment horizontal="center" vertical="center"/>
    </xf>
    <xf numFmtId="2" fontId="107" fillId="2" borderId="20" xfId="0" applyNumberFormat="1" applyFont="1" applyFill="1" applyBorder="1" applyAlignment="1">
      <alignment horizontal="center" vertical="center" shrinkToFit="1"/>
    </xf>
    <xf numFmtId="0" fontId="29" fillId="37" borderId="3" xfId="0" applyFont="1" applyFill="1" applyBorder="1"/>
    <xf numFmtId="10" fontId="21" fillId="37" borderId="3" xfId="2" applyNumberFormat="1" applyFont="1" applyFill="1" applyBorder="1"/>
    <xf numFmtId="0" fontId="21" fillId="37" borderId="3" xfId="0" applyFont="1" applyFill="1" applyBorder="1"/>
    <xf numFmtId="0" fontId="13" fillId="2" borderId="60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left"/>
    </xf>
    <xf numFmtId="188" fontId="107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 vertical="center" shrinkToFit="1"/>
    </xf>
    <xf numFmtId="0" fontId="271" fillId="2" borderId="0" xfId="0" applyFont="1" applyFill="1"/>
    <xf numFmtId="0" fontId="21" fillId="2" borderId="0" xfId="0" applyFont="1" applyFill="1" applyAlignment="1">
      <alignment horizontal="center"/>
    </xf>
    <xf numFmtId="49" fontId="272" fillId="2" borderId="0" xfId="0" applyNumberFormat="1" applyFont="1" applyFill="1" applyAlignment="1">
      <alignment horizontal="right"/>
    </xf>
    <xf numFmtId="0" fontId="273" fillId="2" borderId="0" xfId="0" applyFont="1" applyFill="1"/>
    <xf numFmtId="0" fontId="72" fillId="2" borderId="0" xfId="0" applyFont="1" applyFill="1"/>
    <xf numFmtId="218" fontId="15" fillId="2" borderId="51" xfId="1" applyNumberFormat="1" applyFont="1" applyFill="1" applyBorder="1" applyAlignment="1">
      <alignment horizontal="center" vertical="center"/>
    </xf>
    <xf numFmtId="0" fontId="274" fillId="2" borderId="51" xfId="0" applyFont="1" applyFill="1" applyBorder="1" applyAlignment="1">
      <alignment vertical="center"/>
    </xf>
    <xf numFmtId="218" fontId="15" fillId="2" borderId="51" xfId="1" applyNumberFormat="1" applyFont="1" applyFill="1" applyBorder="1"/>
    <xf numFmtId="0" fontId="15" fillId="2" borderId="51" xfId="0" applyFont="1" applyFill="1" applyBorder="1"/>
    <xf numFmtId="0" fontId="275" fillId="2" borderId="0" xfId="0" applyFont="1" applyFill="1"/>
    <xf numFmtId="3" fontId="17" fillId="2" borderId="51" xfId="0" applyNumberFormat="1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center" vertical="center"/>
    </xf>
    <xf numFmtId="218" fontId="17" fillId="2" borderId="51" xfId="1" applyNumberFormat="1" applyFont="1" applyFill="1" applyBorder="1"/>
    <xf numFmtId="0" fontId="17" fillId="2" borderId="51" xfId="0" applyFont="1" applyFill="1" applyBorder="1"/>
    <xf numFmtId="188" fontId="271" fillId="2" borderId="0" xfId="627" applyFont="1" applyFill="1" applyAlignment="1">
      <alignment horizontal="center"/>
    </xf>
    <xf numFmtId="188" fontId="271" fillId="2" borderId="0" xfId="627" applyFont="1" applyFill="1"/>
    <xf numFmtId="218" fontId="275" fillId="2" borderId="0" xfId="0" applyNumberFormat="1" applyFont="1" applyFill="1"/>
    <xf numFmtId="0" fontId="71" fillId="2" borderId="0" xfId="0" applyFont="1" applyFill="1"/>
    <xf numFmtId="0" fontId="271" fillId="2" borderId="0" xfId="0" applyFont="1" applyFill="1" applyAlignment="1">
      <alignment horizontal="center"/>
    </xf>
    <xf numFmtId="0" fontId="276" fillId="2" borderId="0" xfId="0" applyFont="1" applyFill="1"/>
    <xf numFmtId="0" fontId="17" fillId="2" borderId="51" xfId="516" applyFont="1" applyFill="1" applyBorder="1" applyAlignment="1">
      <alignment horizontal="left" vertical="center" wrapText="1"/>
    </xf>
    <xf numFmtId="217" fontId="218" fillId="2" borderId="51" xfId="1" applyNumberFormat="1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18" fontId="23" fillId="2" borderId="3" xfId="1" applyNumberFormat="1" applyFont="1" applyFill="1" applyBorder="1" applyAlignment="1">
      <alignment horizontal="center" vertical="center" wrapText="1"/>
    </xf>
    <xf numFmtId="217" fontId="19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190" fontId="23" fillId="2" borderId="51" xfId="1" applyNumberFormat="1" applyFont="1" applyFill="1" applyBorder="1" applyAlignment="1">
      <alignment horizontal="center" vertical="center" wrapText="1"/>
    </xf>
    <xf numFmtId="190" fontId="24" fillId="2" borderId="51" xfId="1" applyNumberFormat="1" applyFont="1" applyFill="1" applyBorder="1" applyAlignment="1">
      <alignment horizontal="center" vertical="distributed" wrapText="1"/>
    </xf>
    <xf numFmtId="218" fontId="17" fillId="2" borderId="51" xfId="93" applyNumberFormat="1" applyFont="1" applyFill="1" applyBorder="1" applyAlignment="1">
      <alignment vertical="center" shrinkToFit="1"/>
    </xf>
    <xf numFmtId="3" fontId="15" fillId="2" borderId="51" xfId="1" applyNumberFormat="1" applyFont="1" applyFill="1" applyBorder="1" applyAlignment="1">
      <alignment horizontal="right" vertical="center" wrapText="1"/>
    </xf>
    <xf numFmtId="0" fontId="23" fillId="2" borderId="0" xfId="0" applyFont="1" applyFill="1" applyAlignment="1">
      <alignment horizontal="center"/>
    </xf>
    <xf numFmtId="10" fontId="21" fillId="3" borderId="3" xfId="2" applyNumberFormat="1" applyFont="1" applyFill="1" applyBorder="1"/>
    <xf numFmtId="43" fontId="5" fillId="2" borderId="51" xfId="1" quotePrefix="1" applyFont="1" applyFill="1" applyBorder="1" applyAlignment="1">
      <alignment horizontal="center" vertical="center"/>
    </xf>
    <xf numFmtId="43" fontId="1" fillId="2" borderId="51" xfId="1" applyFont="1" applyFill="1" applyBorder="1" applyAlignment="1">
      <alignment vertical="center"/>
    </xf>
    <xf numFmtId="10" fontId="17" fillId="2" borderId="51" xfId="2" applyNumberFormat="1" applyFont="1" applyFill="1" applyBorder="1" applyAlignment="1">
      <alignment horizontal="center" vertical="center"/>
    </xf>
    <xf numFmtId="217" fontId="17" fillId="2" borderId="51" xfId="1" applyNumberFormat="1" applyFont="1" applyFill="1" applyBorder="1" applyAlignment="1">
      <alignment vertical="center"/>
    </xf>
    <xf numFmtId="235" fontId="218" fillId="2" borderId="51" xfId="1" applyNumberFormat="1" applyFont="1" applyFill="1" applyBorder="1" applyAlignment="1">
      <alignment horizontal="center" vertical="center"/>
    </xf>
    <xf numFmtId="43" fontId="218" fillId="2" borderId="51" xfId="1" applyNumberFormat="1" applyFont="1" applyFill="1" applyBorder="1" applyAlignment="1">
      <alignment horizontal="center" vertical="center"/>
    </xf>
    <xf numFmtId="216" fontId="193" fillId="2" borderId="51" xfId="0" applyNumberFormat="1" applyFont="1" applyFill="1" applyBorder="1" applyAlignment="1">
      <alignment horizontal="right" vertical="center"/>
    </xf>
    <xf numFmtId="3" fontId="17" fillId="2" borderId="0" xfId="491" applyNumberFormat="1" applyFont="1" applyFill="1" applyAlignment="1">
      <alignment horizontal="right"/>
    </xf>
    <xf numFmtId="0" fontId="23" fillId="3" borderId="0" xfId="491" applyFont="1" applyFill="1"/>
    <xf numFmtId="0" fontId="15" fillId="2" borderId="51" xfId="0" applyFont="1" applyFill="1" applyBorder="1" applyAlignment="1">
      <alignment horizontal="center" vertical="center" wrapText="1"/>
    </xf>
    <xf numFmtId="0" fontId="235" fillId="2" borderId="51" xfId="0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horizontal="center" vertical="center" wrapText="1"/>
    </xf>
    <xf numFmtId="0" fontId="233" fillId="2" borderId="0" xfId="0" applyFont="1" applyFill="1" applyAlignment="1">
      <alignment horizontal="center" vertical="center"/>
    </xf>
    <xf numFmtId="0" fontId="235" fillId="2" borderId="51" xfId="0" applyFont="1" applyFill="1" applyBorder="1" applyAlignment="1">
      <alignment horizontal="center" vertical="center" shrinkToFit="1"/>
    </xf>
    <xf numFmtId="216" fontId="235" fillId="2" borderId="51" xfId="0" applyNumberFormat="1" applyFont="1" applyFill="1" applyBorder="1" applyAlignment="1">
      <alignment horizontal="center" vertical="distributed" wrapText="1"/>
    </xf>
    <xf numFmtId="3" fontId="52" fillId="2" borderId="51" xfId="1" applyNumberFormat="1" applyFont="1" applyFill="1" applyBorder="1" applyAlignment="1">
      <alignment horizontal="right" vertical="center"/>
    </xf>
    <xf numFmtId="3" fontId="17" fillId="2" borderId="51" xfId="1" applyNumberFormat="1" applyFont="1" applyFill="1" applyBorder="1" applyAlignment="1">
      <alignment vertical="center"/>
    </xf>
    <xf numFmtId="3" fontId="242" fillId="2" borderId="51" xfId="1" applyNumberFormat="1" applyFont="1" applyFill="1" applyBorder="1" applyAlignment="1">
      <alignment vertical="center"/>
    </xf>
    <xf numFmtId="3" fontId="277" fillId="2" borderId="51" xfId="1" applyNumberFormat="1" applyFont="1" applyFill="1" applyBorder="1" applyAlignment="1">
      <alignment horizontal="right" vertical="center"/>
    </xf>
    <xf numFmtId="0" fontId="244" fillId="2" borderId="51" xfId="0" applyFont="1" applyFill="1" applyBorder="1" applyAlignment="1"/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24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190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38" fontId="41" fillId="2" borderId="0" xfId="0" applyNumberFormat="1" applyFont="1" applyFill="1"/>
    <xf numFmtId="1" fontId="17" fillId="2" borderId="3" xfId="1" applyNumberFormat="1" applyFont="1" applyFill="1" applyBorder="1" applyAlignment="1">
      <alignment vertical="center"/>
    </xf>
    <xf numFmtId="0" fontId="15" fillId="2" borderId="51" xfId="0" applyFont="1" applyFill="1" applyBorder="1" applyAlignment="1">
      <alignment horizontal="left" vertical="center"/>
    </xf>
    <xf numFmtId="190" fontId="17" fillId="2" borderId="0" xfId="91" applyNumberFormat="1" applyFont="1" applyFill="1"/>
    <xf numFmtId="1" fontId="15" fillId="2" borderId="51" xfId="0" applyNumberFormat="1" applyFont="1" applyFill="1" applyBorder="1" applyAlignment="1">
      <alignment horizontal="center" vertical="center"/>
    </xf>
    <xf numFmtId="0" fontId="15" fillId="2" borderId="51" xfId="516" applyFont="1" applyFill="1" applyBorder="1" applyAlignment="1">
      <alignment horizontal="left" vertical="center" wrapText="1"/>
    </xf>
    <xf numFmtId="1" fontId="17" fillId="2" borderId="51" xfId="0" applyNumberFormat="1" applyFont="1" applyFill="1" applyBorder="1" applyAlignment="1">
      <alignment horizontal="center" vertical="center"/>
    </xf>
    <xf numFmtId="43" fontId="239" fillId="2" borderId="51" xfId="1" applyFont="1" applyFill="1" applyBorder="1" applyAlignment="1">
      <alignment horizontal="center" vertical="center"/>
    </xf>
    <xf numFmtId="226" fontId="22" fillId="2" borderId="21" xfId="0" applyNumberFormat="1" applyFont="1" applyFill="1" applyBorder="1" applyAlignment="1">
      <alignment horizontal="right" vertical="center"/>
    </xf>
    <xf numFmtId="226" fontId="22" fillId="2" borderId="0" xfId="0" applyNumberFormat="1" applyFont="1" applyFill="1" applyAlignment="1">
      <alignment horizontal="right" vertical="center"/>
    </xf>
    <xf numFmtId="252" fontId="22" fillId="2" borderId="0" xfId="0" applyNumberFormat="1" applyFont="1" applyFill="1" applyAlignment="1">
      <alignment vertical="center"/>
    </xf>
    <xf numFmtId="216" fontId="15" fillId="2" borderId="51" xfId="0" applyNumberFormat="1" applyFont="1" applyFill="1" applyBorder="1" applyAlignment="1">
      <alignment horizontal="center" vertical="center"/>
    </xf>
    <xf numFmtId="2" fontId="17" fillId="2" borderId="5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left" vertical="center"/>
    </xf>
    <xf numFmtId="0" fontId="17" fillId="2" borderId="51" xfId="0" applyFont="1" applyFill="1" applyBorder="1" applyAlignment="1">
      <alignment horizontal="center"/>
    </xf>
    <xf numFmtId="218" fontId="17" fillId="3" borderId="36" xfId="1" applyNumberFormat="1" applyFont="1" applyFill="1" applyBorder="1" applyAlignment="1">
      <alignment vertical="center"/>
    </xf>
    <xf numFmtId="3" fontId="17" fillId="3" borderId="2" xfId="0" applyNumberFormat="1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3" fontId="17" fillId="3" borderId="0" xfId="0" applyNumberFormat="1" applyFont="1" applyFill="1" applyAlignment="1">
      <alignment horizontal="right" vertical="center"/>
    </xf>
    <xf numFmtId="218" fontId="17" fillId="3" borderId="0" xfId="0" applyNumberFormat="1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left" vertical="center"/>
    </xf>
    <xf numFmtId="0" fontId="241" fillId="2" borderId="52" xfId="0" applyFont="1" applyFill="1" applyBorder="1" applyAlignment="1">
      <alignment vertical="center"/>
    </xf>
    <xf numFmtId="0" fontId="13" fillId="2" borderId="3" xfId="562" applyFont="1" applyFill="1" applyBorder="1" applyAlignment="1">
      <alignment horizontal="center" vertical="center"/>
    </xf>
    <xf numFmtId="1" fontId="278" fillId="0" borderId="51" xfId="1" applyNumberFormat="1" applyFont="1" applyFill="1" applyBorder="1" applyAlignment="1">
      <alignment horizontal="center" vertical="center"/>
    </xf>
    <xf numFmtId="1" fontId="278" fillId="0" borderId="51" xfId="1" applyNumberFormat="1" applyFont="1" applyFill="1" applyBorder="1" applyAlignment="1">
      <alignment horizontal="right" vertical="center"/>
    </xf>
    <xf numFmtId="235" fontId="218" fillId="2" borderId="51" xfId="0" applyNumberFormat="1" applyFont="1" applyFill="1" applyBorder="1" applyAlignment="1">
      <alignment horizontal="center" vertical="center"/>
    </xf>
    <xf numFmtId="235" fontId="1" fillId="2" borderId="51" xfId="93" applyNumberFormat="1" applyFont="1" applyFill="1" applyBorder="1" applyAlignment="1">
      <alignment horizontal="center" vertical="center"/>
    </xf>
    <xf numFmtId="0" fontId="109" fillId="0" borderId="0" xfId="0" applyFont="1"/>
    <xf numFmtId="0" fontId="0" fillId="0" borderId="51" xfId="0" applyBorder="1"/>
    <xf numFmtId="0" fontId="109" fillId="0" borderId="51" xfId="0" applyFont="1" applyBorder="1"/>
    <xf numFmtId="0" fontId="109" fillId="0" borderId="51" xfId="0" applyFont="1" applyBorder="1" applyAlignment="1">
      <alignment horizont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26" fillId="2" borderId="22" xfId="5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7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223" fontId="193" fillId="2" borderId="52" xfId="132" applyNumberFormat="1" applyFont="1" applyFill="1" applyBorder="1" applyAlignment="1">
      <alignment horizontal="center" vertical="center" wrapText="1"/>
    </xf>
    <xf numFmtId="223" fontId="193" fillId="2" borderId="53" xfId="132" applyNumberFormat="1" applyFont="1" applyFill="1" applyBorder="1" applyAlignment="1">
      <alignment horizontal="center" vertical="center" wrapText="1"/>
    </xf>
    <xf numFmtId="223" fontId="193" fillId="2" borderId="54" xfId="132" applyNumberFormat="1" applyFont="1" applyFill="1" applyBorder="1" applyAlignment="1">
      <alignment horizontal="center" vertical="center" wrapText="1"/>
    </xf>
    <xf numFmtId="3" fontId="193" fillId="2" borderId="52" xfId="132" applyNumberFormat="1" applyFont="1" applyFill="1" applyBorder="1" applyAlignment="1">
      <alignment horizontal="center" vertical="center" wrapText="1"/>
    </xf>
    <xf numFmtId="3" fontId="193" fillId="2" borderId="53" xfId="132" applyNumberFormat="1" applyFont="1" applyFill="1" applyBorder="1" applyAlignment="1">
      <alignment horizontal="center" vertical="center" wrapText="1"/>
    </xf>
    <xf numFmtId="3" fontId="193" fillId="2" borderId="54" xfId="132" applyNumberFormat="1" applyFont="1" applyFill="1" applyBorder="1" applyAlignment="1">
      <alignment horizontal="center" vertical="center" wrapText="1"/>
    </xf>
    <xf numFmtId="4" fontId="193" fillId="2" borderId="52" xfId="132" applyNumberFormat="1" applyFont="1" applyFill="1" applyBorder="1" applyAlignment="1">
      <alignment horizontal="center" vertical="center" wrapText="1"/>
    </xf>
    <xf numFmtId="4" fontId="193" fillId="2" borderId="53" xfId="132" applyNumberFormat="1" applyFont="1" applyFill="1" applyBorder="1" applyAlignment="1">
      <alignment horizontal="center" vertical="center" wrapText="1"/>
    </xf>
    <xf numFmtId="4" fontId="193" fillId="2" borderId="54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wrapText="1"/>
    </xf>
    <xf numFmtId="217" fontId="193" fillId="2" borderId="51" xfId="1" applyNumberFormat="1" applyFont="1" applyFill="1" applyBorder="1" applyAlignment="1">
      <alignment horizontal="center" vertical="center" wrapText="1"/>
    </xf>
    <xf numFmtId="43" fontId="193" fillId="2" borderId="52" xfId="1" applyFont="1" applyFill="1" applyBorder="1" applyAlignment="1">
      <alignment horizontal="center" vertical="center" wrapText="1"/>
    </xf>
    <xf numFmtId="43" fontId="193" fillId="2" borderId="53" xfId="1" applyFont="1" applyFill="1" applyBorder="1" applyAlignment="1">
      <alignment horizontal="center" vertical="center" wrapText="1"/>
    </xf>
    <xf numFmtId="43" fontId="193" fillId="2" borderId="54" xfId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wrapText="1"/>
    </xf>
    <xf numFmtId="0" fontId="193" fillId="2" borderId="51" xfId="562" applyFont="1" applyFill="1" applyBorder="1" applyAlignment="1">
      <alignment horizontal="center" vertical="center"/>
    </xf>
    <xf numFmtId="3" fontId="193" fillId="2" borderId="51" xfId="132" applyNumberFormat="1" applyFont="1" applyFill="1" applyBorder="1" applyAlignment="1">
      <alignment horizontal="center" vertical="center" wrapText="1"/>
    </xf>
    <xf numFmtId="223" fontId="17" fillId="2" borderId="51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0" fontId="22" fillId="2" borderId="0" xfId="562" applyFont="1" applyFill="1" applyAlignment="1">
      <alignment horizont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0" fontId="13" fillId="2" borderId="3" xfId="562" applyFont="1" applyFill="1" applyBorder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51" xfId="562" applyNumberFormat="1" applyFont="1" applyFill="1" applyBorder="1" applyAlignment="1">
      <alignment horizontal="center" vertical="center" wrapText="1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1" fontId="13" fillId="2" borderId="58" xfId="562" applyNumberFormat="1" applyFont="1" applyFill="1" applyBorder="1" applyAlignment="1">
      <alignment horizontal="center" vertical="center" wrapText="1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208" fillId="0" borderId="51" xfId="1" applyNumberFormat="1" applyFont="1" applyFill="1" applyBorder="1" applyAlignment="1">
      <alignment horizontal="center" vertical="center" wrapText="1"/>
    </xf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horizontal="center" vertical="center"/>
    </xf>
    <xf numFmtId="1" fontId="210" fillId="0" borderId="0" xfId="1" applyNumberFormat="1" applyFont="1" applyFill="1" applyAlignment="1">
      <alignment horizontal="center" vertical="center"/>
    </xf>
    <xf numFmtId="1" fontId="211" fillId="0" borderId="0" xfId="1" applyNumberFormat="1" applyFont="1" applyFill="1" applyBorder="1" applyAlignment="1">
      <alignment horizontal="center" vertical="center"/>
    </xf>
    <xf numFmtId="1" fontId="212" fillId="0" borderId="1" xfId="1" applyNumberFormat="1" applyFont="1" applyFill="1" applyBorder="1" applyAlignment="1">
      <alignment horizontal="left" vertical="center"/>
    </xf>
    <xf numFmtId="1" fontId="208" fillId="0" borderId="0" xfId="1" quotePrefix="1" applyNumberFormat="1" applyFont="1" applyFill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07" fillId="3" borderId="51" xfId="0" applyFont="1" applyFill="1" applyBorder="1" applyAlignment="1">
      <alignment horizontal="center" vertical="center" wrapText="1"/>
    </xf>
    <xf numFmtId="4" fontId="20" fillId="0" borderId="0" xfId="0" applyNumberFormat="1" applyFont="1" applyFill="1" applyAlignment="1">
      <alignment horizontal="center"/>
    </xf>
    <xf numFmtId="0" fontId="13" fillId="0" borderId="51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 shrinkToFit="1"/>
    </xf>
    <xf numFmtId="0" fontId="203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203" fillId="2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203" fillId="37" borderId="51" xfId="0" applyFont="1" applyFill="1" applyBorder="1" applyAlignment="1">
      <alignment horizontal="center" vertical="center" wrapText="1"/>
    </xf>
    <xf numFmtId="0" fontId="203" fillId="3" borderId="51" xfId="0" applyFont="1" applyFill="1" applyBorder="1" applyAlignment="1">
      <alignment horizontal="center" vertical="center" wrapText="1"/>
    </xf>
    <xf numFmtId="0" fontId="204" fillId="0" borderId="51" xfId="0" applyFont="1" applyFill="1" applyBorder="1" applyAlignment="1">
      <alignment wrapText="1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7" fillId="37" borderId="51" xfId="0" applyFont="1" applyFill="1" applyBorder="1" applyAlignment="1">
      <alignment horizontal="center" vertical="center" wrapText="1"/>
    </xf>
    <xf numFmtId="0" fontId="13" fillId="0" borderId="51" xfId="1" applyNumberFormat="1" applyFont="1" applyFill="1" applyBorder="1" applyAlignment="1">
      <alignment horizontal="center" vertical="center" wrapText="1"/>
    </xf>
    <xf numFmtId="0" fontId="204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04" fillId="0" borderId="51" xfId="0" applyNumberFormat="1" applyFont="1" applyFill="1" applyBorder="1"/>
    <xf numFmtId="0" fontId="18" fillId="0" borderId="1" xfId="0" applyFont="1" applyFill="1" applyBorder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0" xfId="0" applyFont="1" applyFill="1" applyAlignment="1">
      <alignment horizontal="left"/>
    </xf>
    <xf numFmtId="3" fontId="22" fillId="2" borderId="13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21" fillId="2" borderId="0" xfId="0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218" fontId="23" fillId="2" borderId="51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114" fillId="3" borderId="51" xfId="0" applyFont="1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218" fontId="19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2" borderId="52" xfId="497" applyFont="1" applyFill="1" applyBorder="1" applyAlignment="1">
      <alignment horizontal="left" vertical="center"/>
    </xf>
    <xf numFmtId="0" fontId="15" fillId="2" borderId="53" xfId="497" applyFont="1" applyFill="1" applyBorder="1" applyAlignment="1">
      <alignment horizontal="left" vertical="center"/>
    </xf>
    <xf numFmtId="0" fontId="15" fillId="2" borderId="54" xfId="497" applyFont="1" applyFill="1" applyBorder="1" applyAlignment="1">
      <alignment horizontal="left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232" fillId="2" borderId="0" xfId="0" applyFont="1" applyFill="1" applyAlignment="1">
      <alignment horizontal="center" vertical="center"/>
    </xf>
    <xf numFmtId="0" fontId="261" fillId="2" borderId="0" xfId="0" applyFont="1" applyFill="1" applyAlignment="1">
      <alignment horizontal="center"/>
    </xf>
    <xf numFmtId="0" fontId="261" fillId="2" borderId="0" xfId="0" quotePrefix="1" applyFont="1" applyFill="1" applyAlignment="1">
      <alignment horizontal="center"/>
    </xf>
    <xf numFmtId="0" fontId="263" fillId="2" borderId="0" xfId="0" quotePrefix="1" applyFont="1" applyFill="1" applyAlignment="1">
      <alignment horizontal="center"/>
    </xf>
    <xf numFmtId="0" fontId="263" fillId="2" borderId="0" xfId="0" applyFont="1" applyFill="1" applyAlignment="1">
      <alignment horizontal="center"/>
    </xf>
    <xf numFmtId="0" fontId="235" fillId="2" borderId="0" xfId="0" applyFont="1" applyFill="1" applyAlignment="1">
      <alignment horizontal="center" vertical="center"/>
    </xf>
    <xf numFmtId="218" fontId="238" fillId="2" borderId="57" xfId="0" applyNumberFormat="1" applyFont="1" applyFill="1" applyBorder="1" applyAlignment="1">
      <alignment horizontal="center" vertical="center" wrapText="1"/>
    </xf>
    <xf numFmtId="218" fontId="238" fillId="2" borderId="12" xfId="0" applyNumberFormat="1" applyFont="1" applyFill="1" applyBorder="1" applyAlignment="1">
      <alignment horizontal="center" vertical="center" wrapText="1"/>
    </xf>
    <xf numFmtId="0" fontId="233" fillId="2" borderId="1" xfId="0" applyFont="1" applyFill="1" applyBorder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39" fillId="2" borderId="51" xfId="0" applyFont="1" applyFill="1" applyBorder="1" applyAlignment="1">
      <alignment horizontal="center" vertical="center" wrapText="1"/>
    </xf>
    <xf numFmtId="0" fontId="235" fillId="2" borderId="58" xfId="0" applyFont="1" applyFill="1" applyBorder="1" applyAlignment="1">
      <alignment horizontal="center" vertical="center" shrinkToFit="1"/>
    </xf>
    <xf numFmtId="0" fontId="235" fillId="2" borderId="13" xfId="0" applyFont="1" applyFill="1" applyBorder="1" applyAlignment="1">
      <alignment horizontal="center" vertical="center" shrinkToFit="1"/>
    </xf>
    <xf numFmtId="218" fontId="235" fillId="2" borderId="52" xfId="1" applyNumberFormat="1" applyFont="1" applyFill="1" applyBorder="1" applyAlignment="1">
      <alignment horizontal="center"/>
    </xf>
    <xf numFmtId="218" fontId="235" fillId="2" borderId="53" xfId="1" applyNumberFormat="1" applyFont="1" applyFill="1" applyBorder="1" applyAlignment="1">
      <alignment horizontal="center"/>
    </xf>
    <xf numFmtId="218" fontId="235" fillId="2" borderId="51" xfId="1" applyNumberFormat="1" applyFont="1" applyFill="1" applyBorder="1" applyAlignment="1">
      <alignment horizontal="center" vertical="center" wrapText="1"/>
    </xf>
    <xf numFmtId="218" fontId="235" fillId="2" borderId="58" xfId="1" applyNumberFormat="1" applyFont="1" applyFill="1" applyBorder="1" applyAlignment="1">
      <alignment horizontal="center" vertical="center" wrapText="1"/>
    </xf>
    <xf numFmtId="218" fontId="235" fillId="2" borderId="13" xfId="1" applyNumberFormat="1" applyFont="1" applyFill="1" applyBorder="1" applyAlignment="1">
      <alignment horizontal="center" vertical="center" wrapText="1"/>
    </xf>
    <xf numFmtId="218" fontId="235" fillId="2" borderId="20" xfId="1" applyNumberFormat="1" applyFont="1" applyFill="1" applyBorder="1" applyAlignment="1">
      <alignment horizontal="center" vertical="center" wrapText="1"/>
    </xf>
    <xf numFmtId="0" fontId="235" fillId="2" borderId="51" xfId="0" applyFont="1" applyFill="1" applyBorder="1" applyAlignment="1">
      <alignment horizontal="center" vertical="center" shrinkToFit="1"/>
    </xf>
    <xf numFmtId="217" fontId="233" fillId="2" borderId="0" xfId="1" applyNumberFormat="1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218" fontId="246" fillId="2" borderId="22" xfId="0" applyNumberFormat="1" applyFont="1" applyFill="1" applyBorder="1" applyAlignment="1">
      <alignment horizontal="center" vertical="center"/>
    </xf>
    <xf numFmtId="0" fontId="235" fillId="2" borderId="0" xfId="0" applyFont="1" applyFill="1" applyAlignment="1">
      <alignment horizontal="center"/>
    </xf>
    <xf numFmtId="218" fontId="250" fillId="2" borderId="0" xfId="0" applyNumberFormat="1" applyFont="1" applyFill="1" applyAlignment="1">
      <alignment horizontal="center"/>
    </xf>
    <xf numFmtId="43" fontId="249" fillId="2" borderId="0" xfId="1" applyFont="1" applyFill="1" applyBorder="1" applyAlignment="1">
      <alignment horizontal="center"/>
    </xf>
    <xf numFmtId="0" fontId="249" fillId="2" borderId="0" xfId="0" applyFont="1" applyFill="1" applyAlignment="1">
      <alignment horizontal="center"/>
    </xf>
    <xf numFmtId="0" fontId="250" fillId="2" borderId="0" xfId="0" applyFont="1" applyFill="1" applyAlignment="1">
      <alignment horizontal="center"/>
    </xf>
    <xf numFmtId="43" fontId="240" fillId="2" borderId="0" xfId="1" applyFont="1" applyFill="1" applyAlignment="1">
      <alignment horizontal="center"/>
    </xf>
    <xf numFmtId="0" fontId="233" fillId="2" borderId="0" xfId="0" applyFont="1" applyFill="1" applyAlignment="1">
      <alignment horizontal="center" vertical="center"/>
    </xf>
    <xf numFmtId="0" fontId="235" fillId="2" borderId="51" xfId="0" applyFont="1" applyFill="1" applyBorder="1" applyAlignment="1">
      <alignment horizontal="center" vertical="center"/>
    </xf>
    <xf numFmtId="0" fontId="235" fillId="2" borderId="0" xfId="0" quotePrefix="1" applyFont="1" applyFill="1" applyAlignment="1">
      <alignment horizontal="center" vertical="center"/>
    </xf>
    <xf numFmtId="0" fontId="247" fillId="2" borderId="0" xfId="0" applyFont="1" applyFill="1" applyAlignment="1">
      <alignment horizontal="center" vertical="center"/>
    </xf>
    <xf numFmtId="0" fontId="249" fillId="2" borderId="0" xfId="0" applyFont="1" applyFill="1" applyAlignment="1">
      <alignment horizontal="center" vertic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235" fillId="2" borderId="52" xfId="0" applyFont="1" applyFill="1" applyBorder="1" applyAlignment="1">
      <alignment horizontal="center" vertical="center"/>
    </xf>
    <xf numFmtId="0" fontId="235" fillId="2" borderId="53" xfId="0" applyFont="1" applyFill="1" applyBorder="1" applyAlignment="1">
      <alignment horizontal="center" vertical="center"/>
    </xf>
    <xf numFmtId="0" fontId="235" fillId="2" borderId="54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3" fontId="250" fillId="2" borderId="0" xfId="0" applyNumberFormat="1" applyFont="1" applyFill="1" applyAlignment="1">
      <alignment horizontal="right" vertical="center"/>
    </xf>
    <xf numFmtId="0" fontId="241" fillId="2" borderId="51" xfId="0" applyFont="1" applyFill="1" applyBorder="1" applyAlignment="1">
      <alignment horizontal="center" vertical="center"/>
    </xf>
    <xf numFmtId="0" fontId="246" fillId="2" borderId="0" xfId="0" applyFont="1" applyFill="1" applyAlignment="1">
      <alignment horizontal="center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46" fillId="2" borderId="0" xfId="625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 vertical="center"/>
    </xf>
    <xf numFmtId="0" fontId="57" fillId="2" borderId="0" xfId="625" applyFont="1" applyFill="1" applyAlignment="1">
      <alignment horizontal="right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0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93" fillId="2" borderId="51" xfId="0" applyFont="1" applyFill="1" applyBorder="1" applyAlignment="1">
      <alignment horizontal="center" vertical="center"/>
    </xf>
    <xf numFmtId="0" fontId="57" fillId="2" borderId="55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Border="1" applyAlignment="1">
      <alignment horizontal="left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248" fontId="217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58" xfId="1" applyNumberFormat="1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4" fontId="19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0" fontId="190" fillId="0" borderId="0" xfId="0" applyFont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0" fillId="0" borderId="51" xfId="0" applyFont="1" applyBorder="1" applyAlignment="1">
      <alignment horizontal="center" vertical="center"/>
    </xf>
    <xf numFmtId="0" fontId="223" fillId="0" borderId="55" xfId="0" applyFont="1" applyBorder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19" fillId="0" borderId="0" xfId="0" applyFont="1" applyFill="1" applyAlignment="1">
      <alignment horizontal="center"/>
    </xf>
    <xf numFmtId="0" fontId="220" fillId="0" borderId="0" xfId="0" applyFont="1" applyFill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35" fillId="2" borderId="3" xfId="0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218" fontId="57" fillId="2" borderId="0" xfId="497" applyNumberFormat="1" applyFont="1" applyFill="1" applyAlignment="1">
      <alignment horizontal="right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0" fontId="42" fillId="2" borderId="0" xfId="497" applyFont="1" applyFill="1" applyAlignment="1">
      <alignment horizontal="center"/>
    </xf>
    <xf numFmtId="0" fontId="56" fillId="2" borderId="51" xfId="497" applyFont="1" applyFill="1" applyBorder="1" applyAlignment="1">
      <alignment horizontal="center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229" fillId="37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3" fontId="19" fillId="2" borderId="0" xfId="0" applyNumberFormat="1" applyFont="1" applyFill="1" applyAlignment="1">
      <alignment horizontal="center" vertical="center"/>
    </xf>
    <xf numFmtId="0" fontId="15" fillId="2" borderId="51" xfId="0" applyFont="1" applyFill="1" applyBorder="1" applyAlignment="1">
      <alignment horizontal="left" vertical="center"/>
    </xf>
    <xf numFmtId="0" fontId="258" fillId="2" borderId="52" xfId="0" applyFont="1" applyFill="1" applyBorder="1" applyAlignment="1">
      <alignment horizontal="center" vertical="center"/>
    </xf>
    <xf numFmtId="0" fontId="258" fillId="2" borderId="53" xfId="0" applyFont="1" applyFill="1" applyBorder="1" applyAlignment="1">
      <alignment horizontal="center" vertical="center"/>
    </xf>
    <xf numFmtId="0" fontId="258" fillId="2" borderId="54" xfId="0" applyFont="1" applyFill="1" applyBorder="1" applyAlignment="1">
      <alignment horizontal="center" vertical="center"/>
    </xf>
    <xf numFmtId="0" fontId="258" fillId="2" borderId="52" xfId="0" applyFont="1" applyFill="1" applyBorder="1" applyAlignment="1">
      <alignment horizontal="left" vertical="center"/>
    </xf>
    <xf numFmtId="0" fontId="258" fillId="2" borderId="53" xfId="0" applyFont="1" applyFill="1" applyBorder="1" applyAlignment="1">
      <alignment horizontal="left" vertical="center"/>
    </xf>
    <xf numFmtId="0" fontId="258" fillId="2" borderId="54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241" fillId="2" borderId="52" xfId="0" applyFont="1" applyFill="1" applyBorder="1" applyAlignment="1">
      <alignment horizontal="left" vertical="center"/>
    </xf>
    <xf numFmtId="0" fontId="23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218" fontId="2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" xfId="627" builtinId="6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5.xml"/><Relationship Id="rId68" Type="http://schemas.openxmlformats.org/officeDocument/2006/relationships/externalLink" Target="externalLinks/externalLink1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2.xml"/><Relationship Id="rId65" Type="http://schemas.openxmlformats.org/officeDocument/2006/relationships/externalLink" Target="externalLinks/externalLink7.xml"/><Relationship Id="rId73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6.xml"/><Relationship Id="rId69" Type="http://schemas.openxmlformats.org/officeDocument/2006/relationships/externalLink" Target="externalLinks/externalLink11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67" Type="http://schemas.openxmlformats.org/officeDocument/2006/relationships/externalLink" Target="externalLinks/externalLink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4.xml"/><Relationship Id="rId70" Type="http://schemas.openxmlformats.org/officeDocument/2006/relationships/externalLink" Target="externalLinks/externalLink1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532396</xdr:colOff>
      <xdr:row>4</xdr:row>
      <xdr:rowOff>234188</xdr:rowOff>
    </xdr:from>
    <xdr:to>
      <xdr:col>5</xdr:col>
      <xdr:colOff>257977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183396" y="1197271"/>
          <a:ext cx="11754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566850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4</xdr:row>
      <xdr:rowOff>220111</xdr:rowOff>
    </xdr:from>
    <xdr:to>
      <xdr:col>6</xdr:col>
      <xdr:colOff>192882</xdr:colOff>
      <xdr:row>4</xdr:row>
      <xdr:rowOff>223838</xdr:rowOff>
    </xdr:to>
    <xdr:cxnSp macro="">
      <xdr:nvCxnSpPr>
        <xdr:cNvPr id="2" name="Straight Connector 1"/>
        <xdr:cNvCxnSpPr/>
      </xdr:nvCxnSpPr>
      <xdr:spPr>
        <a:xfrm>
          <a:off x="1412081" y="1124986"/>
          <a:ext cx="935832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D0256145-5868-4902-9DBF-E58B1CA19E93}"/>
            </a:ext>
          </a:extLst>
        </xdr:cNvPr>
        <xdr:cNvSpPr>
          <a:spLocks noChangeShapeType="1"/>
        </xdr:cNvSpPr>
      </xdr:nvSpPr>
      <xdr:spPr>
        <a:xfrm>
          <a:off x="625792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866775</xdr:colOff>
      <xdr:row>4</xdr:row>
      <xdr:rowOff>190500</xdr:rowOff>
    </xdr:from>
    <xdr:to>
      <xdr:col>2</xdr:col>
      <xdr:colOff>685800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CC69F07C-A0AB-431E-875F-BF7442449E19}"/>
            </a:ext>
          </a:extLst>
        </xdr:cNvPr>
        <xdr:cNvCxnSpPr/>
      </xdr:nvCxnSpPr>
      <xdr:spPr>
        <a:xfrm>
          <a:off x="1276350" y="102870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5%20TH&#193;NG%2012.2025%201%20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10.%20&#272;&#7896;I%205%20-%20Copy/L&#431;&#416;NG%20&#272;&#7896;I%205%20TH&#193;NG%2010.2025%201%20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AppData/Local/Temp/Zalo%20Temp/TempDownloads/L&#431;&#416;NG%20&#272;&#7896;I%205%20TH&#193;NG%2009.2025%201%20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8.%20&#272;&#7896;I%205/L&#431;&#416;NG%20&#272;&#7896;I%205%20TH&#193;NG%2008.2025%201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SIRUM"/>
      <sheetName val="CHẤM CÔNG "/>
      <sheetName val="TONGHOPCONGDOI"/>
      <sheetName val="TRẠM 1"/>
      <sheetName val="TRẠM 2"/>
      <sheetName val="Công cây non"/>
      <sheetName val="THCKT"/>
      <sheetName val="PLC  "/>
      <sheetName val="bảng kê công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CÁCH TÍNH LƯƠNG"/>
      <sheetName val="CHẤM CÔNG NGƯỜI LÀO"/>
      <sheetName val="LƯƠNG ĐỘI"/>
      <sheetName val="TH LƯƠNG"/>
      <sheetName val="BẢNG PHÂN TOÁN "/>
      <sheetName val="DS NỘP THUẾ "/>
      <sheetName val="TT CVK"/>
      <sheetName val="CHẤM CÔNG XXE"/>
      <sheetName val="CHẤM CÔNG NGƯỜI VIỆT"/>
      <sheetName val="PC NGƯỜI VIỆT"/>
      <sheetName val="Chấm công BV2"/>
      <sheetName val="THPT"/>
      <sheetName val="BẢNG PHÂN TOÁN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L con"/>
      <sheetName val="LƯƠNG KT"/>
      <sheetName val="TRỰC TIẾP 2"/>
      <sheetName val="TỔNG HỢP CVK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8">
          <cell r="Z108">
            <v>658531974</v>
          </cell>
        </row>
      </sheetData>
      <sheetData sheetId="14">
        <row r="90">
          <cell r="Z90">
            <v>426505460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7">
          <cell r="G47">
            <v>1119744687.0342622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SIRUM"/>
      <sheetName val="CHẤM CÔNG "/>
      <sheetName val="TONGHOPCONGDOI"/>
      <sheetName val="TRẠM 1"/>
      <sheetName val="TRẠM 2"/>
      <sheetName val="Công cây non"/>
      <sheetName val="THCKT"/>
      <sheetName val="PLC  "/>
      <sheetName val="bảng kê công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CÁCH TÍNH LƯƠNG"/>
      <sheetName val="CHẤM CÔNG NGƯỜI LÀO"/>
      <sheetName val="LƯƠNG ĐỘI"/>
      <sheetName val="TH LƯƠNG"/>
      <sheetName val="TRỰC TIẾP 2"/>
      <sheetName val="PC NGƯỜI VIỆT"/>
      <sheetName val="BẢNG PHÂN TOÁN "/>
      <sheetName val="Chấm công BV2"/>
      <sheetName val="THPT"/>
      <sheetName val="BẢNG PHÂN TOÁN"/>
      <sheetName val="DS NỘP THUẾ "/>
      <sheetName val="TỔNG HỢP CVK"/>
      <sheetName val="TT CVK"/>
      <sheetName val="CHẤM CÔNG XXE"/>
      <sheetName val="CHẤM CÔNG NGƯỜI VIỆT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L con"/>
      <sheetName val="LƯƠNG KT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0">
          <cell r="L90">
            <v>219981047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TRỰC TIẾP"/>
      <sheetName val="CHẤM CÔNG NGƯỜI LÀO"/>
      <sheetName val="CÁCH TÍNH LƯƠNG"/>
      <sheetName val="BẢNG PHÂN TOÁN "/>
      <sheetName val="LƯƠNG ĐỘI"/>
      <sheetName val="Chấm công BV2"/>
      <sheetName val="THPT"/>
      <sheetName val="BẢNG PHÂN TOÁN"/>
      <sheetName val="DS NỘP THUẾ "/>
      <sheetName val="TỔNG HỢP CVK"/>
      <sheetName val="BTT CP khác"/>
      <sheetName val="THANH TOÁN CVK"/>
      <sheetName val="CHẤM CÔNG XXE"/>
      <sheetName val="THANH TOÁN XXE"/>
      <sheetName val="CHẤM CÔNG NGƯỜI VIỆT"/>
      <sheetName val="PL con"/>
      <sheetName val="THANH TOÁN CVK THUẾ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HÂN TOÁN CVK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2">
          <cell r="B12" t="str">
            <v>Tun</v>
          </cell>
        </row>
      </sheetData>
      <sheetData sheetId="39" refreshError="1"/>
      <sheetData sheetId="40" refreshError="1">
        <row r="14">
          <cell r="B14" t="str">
            <v>Trần Đăng Tám</v>
          </cell>
        </row>
        <row r="15">
          <cell r="B15" t="str">
            <v>Nguyễn Quốc Triệu Phú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HẤM CÔNG BẢO VỆ"/>
      <sheetName val="BV9THUC"/>
      <sheetName val="CÁCH TÍNH LƯƠNG"/>
      <sheetName val="LƯƠNG ĐỘI"/>
      <sheetName val="CC NVKT Lào"/>
      <sheetName val="LƯƠNG CNTT"/>
      <sheetName val="Chấm công BV2"/>
      <sheetName val="THPT"/>
      <sheetName val="BẢNG PHÂN TOÁN"/>
      <sheetName val="BẢNG PHÂN TOÁN "/>
      <sheetName val="PC NGƯỜI VIỆT"/>
      <sheetName val="DS NỘP THUẾ "/>
      <sheetName val="TỔNG HỢP CVK"/>
      <sheetName val="THANH TOÁN CVK (2)"/>
      <sheetName val="THANH TOÁN CVK"/>
      <sheetName val="PHÂN TOÁN CVK"/>
      <sheetName val="CHẤM CÔNG XXE"/>
      <sheetName val="THANH TOÁN XXE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NGƯỜI VIỆT"/>
      <sheetName val="PL con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B10">
            <v>0</v>
          </cell>
          <cell r="C10">
            <v>0</v>
          </cell>
        </row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4">
          <cell r="B104">
            <v>0</v>
          </cell>
          <cell r="C104">
            <v>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2">
          <cell r="B112">
            <v>0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4">
          <cell r="B124">
            <v>0</v>
          </cell>
          <cell r="C124">
            <v>0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7">
          <cell r="B207">
            <v>0</v>
          </cell>
          <cell r="C207">
            <v>0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7">
          <cell r="B277">
            <v>0</v>
          </cell>
          <cell r="C277">
            <v>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5">
          <cell r="B285">
            <v>0</v>
          </cell>
          <cell r="C285">
            <v>0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3">
          <cell r="B343">
            <v>0</v>
          </cell>
          <cell r="C343">
            <v>0</v>
          </cell>
        </row>
        <row r="344">
          <cell r="B344">
            <v>0</v>
          </cell>
          <cell r="C344">
            <v>0</v>
          </cell>
        </row>
        <row r="345">
          <cell r="B345">
            <v>0</v>
          </cell>
          <cell r="C345">
            <v>0</v>
          </cell>
        </row>
        <row r="346">
          <cell r="B346">
            <v>0</v>
          </cell>
          <cell r="C346">
            <v>0</v>
          </cell>
        </row>
        <row r="347">
          <cell r="B347">
            <v>0</v>
          </cell>
          <cell r="C34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4">
          <cell r="E14" t="str">
            <v>Sổm Phanh</v>
          </cell>
          <cell r="F14" t="str">
            <v>Lái xe</v>
          </cell>
          <cell r="G14">
            <v>0</v>
          </cell>
          <cell r="H14" t="e">
            <v>#REF!</v>
          </cell>
          <cell r="I14">
            <v>350</v>
          </cell>
          <cell r="J14">
            <v>0</v>
          </cell>
          <cell r="K14">
            <v>0</v>
          </cell>
          <cell r="L14">
            <v>0</v>
          </cell>
          <cell r="M14" t="e">
            <v>#REF!</v>
          </cell>
          <cell r="N14" t="str">
            <v>USD</v>
          </cell>
          <cell r="O14" t="e">
            <v>#REF!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G15">
            <v>0</v>
          </cell>
          <cell r="H15" t="e">
            <v>#REF!</v>
          </cell>
          <cell r="I15">
            <v>350</v>
          </cell>
          <cell r="J15">
            <v>0</v>
          </cell>
          <cell r="K15">
            <v>50</v>
          </cell>
          <cell r="L15">
            <v>0</v>
          </cell>
          <cell r="M15" t="e">
            <v>#REF!</v>
          </cell>
          <cell r="N15" t="str">
            <v>USD</v>
          </cell>
          <cell r="O15" t="e">
            <v>#REF!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G16">
            <v>0</v>
          </cell>
          <cell r="H16" t="e">
            <v>#REF!</v>
          </cell>
          <cell r="I16">
            <v>310</v>
          </cell>
          <cell r="J16">
            <v>0</v>
          </cell>
          <cell r="K16">
            <v>0</v>
          </cell>
          <cell r="L16">
            <v>0</v>
          </cell>
          <cell r="M16" t="e">
            <v>#REF!</v>
          </cell>
          <cell r="N16" t="str">
            <v>USD</v>
          </cell>
          <cell r="O16" t="e">
            <v>#REF!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G17">
            <v>0</v>
          </cell>
          <cell r="H17" t="e">
            <v>#REF!</v>
          </cell>
          <cell r="I17">
            <v>310</v>
          </cell>
          <cell r="J17">
            <v>0</v>
          </cell>
          <cell r="K17">
            <v>0</v>
          </cell>
          <cell r="L17">
            <v>0</v>
          </cell>
          <cell r="M17" t="e">
            <v>#REF!</v>
          </cell>
          <cell r="N17" t="str">
            <v>USD</v>
          </cell>
          <cell r="O17" t="e">
            <v>#REF!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F18">
            <v>0</v>
          </cell>
          <cell r="G18">
            <v>0</v>
          </cell>
          <cell r="H18">
            <v>30</v>
          </cell>
          <cell r="I18">
            <v>2000000</v>
          </cell>
          <cell r="J18">
            <v>0</v>
          </cell>
          <cell r="K18">
            <v>0</v>
          </cell>
          <cell r="L18">
            <v>0</v>
          </cell>
          <cell r="M18">
            <v>2000000.0000000002</v>
          </cell>
          <cell r="N18">
            <v>0</v>
          </cell>
          <cell r="O18">
            <v>2000000.0000000002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2000000.0000000002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G19">
            <v>0</v>
          </cell>
          <cell r="H19">
            <v>30</v>
          </cell>
          <cell r="I19">
            <v>2000000</v>
          </cell>
          <cell r="J19">
            <v>0</v>
          </cell>
          <cell r="K19">
            <v>0</v>
          </cell>
          <cell r="L19">
            <v>0</v>
          </cell>
          <cell r="M19">
            <v>2000000.0000000002</v>
          </cell>
          <cell r="N19" t="str">
            <v>Kip</v>
          </cell>
          <cell r="O19">
            <v>2000000.0000000002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2000000.0000000002</v>
          </cell>
          <cell r="U19">
            <v>0</v>
          </cell>
        </row>
        <row r="20">
          <cell r="U20" t="e">
            <v>#REF!</v>
          </cell>
        </row>
      </sheetData>
      <sheetData sheetId="26"/>
      <sheetData sheetId="27">
        <row r="8">
          <cell r="G8">
            <v>667.1</v>
          </cell>
        </row>
        <row r="16">
          <cell r="AA16">
            <v>8734872</v>
          </cell>
        </row>
        <row r="17">
          <cell r="AA17">
            <v>9836151</v>
          </cell>
        </row>
        <row r="18">
          <cell r="AA18">
            <v>9848960</v>
          </cell>
        </row>
        <row r="19">
          <cell r="AA19">
            <v>9481160</v>
          </cell>
        </row>
        <row r="20">
          <cell r="AA20">
            <v>6736155</v>
          </cell>
        </row>
        <row r="21">
          <cell r="AA21">
            <v>9512268</v>
          </cell>
        </row>
        <row r="22">
          <cell r="AA22">
            <v>8985559</v>
          </cell>
        </row>
        <row r="23">
          <cell r="AA23">
            <v>8942704</v>
          </cell>
        </row>
        <row r="24">
          <cell r="AA24">
            <v>8886664</v>
          </cell>
        </row>
        <row r="25">
          <cell r="AA25">
            <v>8339335</v>
          </cell>
        </row>
        <row r="26">
          <cell r="AA26">
            <v>9519587</v>
          </cell>
        </row>
        <row r="27">
          <cell r="AA27">
            <v>6434818</v>
          </cell>
        </row>
        <row r="28">
          <cell r="AA28">
            <v>6145547</v>
          </cell>
        </row>
        <row r="29">
          <cell r="AA29">
            <v>9530566</v>
          </cell>
        </row>
        <row r="30">
          <cell r="AA30">
            <v>7876983</v>
          </cell>
        </row>
        <row r="31">
          <cell r="AA31">
            <v>8905802</v>
          </cell>
        </row>
        <row r="32">
          <cell r="AA32">
            <v>8119753</v>
          </cell>
        </row>
        <row r="33">
          <cell r="AA33">
            <v>6773867</v>
          </cell>
        </row>
        <row r="34">
          <cell r="AA34">
            <v>9035032</v>
          </cell>
        </row>
        <row r="35">
          <cell r="AA35">
            <v>8052709</v>
          </cell>
        </row>
        <row r="36">
          <cell r="AA36">
            <v>7609046</v>
          </cell>
        </row>
        <row r="37">
          <cell r="AA37">
            <v>6285760</v>
          </cell>
        </row>
        <row r="38">
          <cell r="AA38">
            <v>7095788</v>
          </cell>
        </row>
        <row r="39">
          <cell r="AA39">
            <v>9567517</v>
          </cell>
        </row>
        <row r="40">
          <cell r="AA40">
            <v>9969730</v>
          </cell>
        </row>
        <row r="41">
          <cell r="AA41">
            <v>10952358</v>
          </cell>
        </row>
        <row r="42">
          <cell r="AA42">
            <v>10123437</v>
          </cell>
        </row>
        <row r="43">
          <cell r="AA43">
            <v>10758184</v>
          </cell>
        </row>
        <row r="44">
          <cell r="AA44">
            <v>10729116</v>
          </cell>
        </row>
        <row r="45">
          <cell r="AA45">
            <v>8734732</v>
          </cell>
        </row>
        <row r="46">
          <cell r="AA46">
            <v>9573007</v>
          </cell>
        </row>
        <row r="47">
          <cell r="AA47">
            <v>9585816</v>
          </cell>
        </row>
        <row r="48">
          <cell r="AA48">
            <v>7516833</v>
          </cell>
        </row>
        <row r="49">
          <cell r="AA49">
            <v>10698009</v>
          </cell>
        </row>
        <row r="50">
          <cell r="AA50">
            <v>7680045</v>
          </cell>
        </row>
        <row r="51">
          <cell r="AA51">
            <v>9583986</v>
          </cell>
        </row>
        <row r="52">
          <cell r="AA52">
            <v>9534226</v>
          </cell>
        </row>
        <row r="53">
          <cell r="AA53">
            <v>9224917</v>
          </cell>
        </row>
        <row r="54">
          <cell r="AA54">
            <v>7809964</v>
          </cell>
        </row>
        <row r="55">
          <cell r="AA55">
            <v>7623864</v>
          </cell>
        </row>
        <row r="56">
          <cell r="AA56">
            <v>7857845</v>
          </cell>
        </row>
        <row r="57">
          <cell r="AA57">
            <v>9940452</v>
          </cell>
        </row>
        <row r="58">
          <cell r="AA58">
            <v>7667025</v>
          </cell>
        </row>
        <row r="59">
          <cell r="AA59">
            <v>9453292</v>
          </cell>
        </row>
        <row r="60">
          <cell r="AA60">
            <v>9300185</v>
          </cell>
        </row>
        <row r="61">
          <cell r="AA61">
            <v>7818118</v>
          </cell>
        </row>
        <row r="62">
          <cell r="AA62">
            <v>7518293</v>
          </cell>
        </row>
        <row r="63">
          <cell r="AA63">
            <v>9352381</v>
          </cell>
        </row>
        <row r="64">
          <cell r="AA64">
            <v>9704402</v>
          </cell>
        </row>
        <row r="65">
          <cell r="AA65">
            <v>7929449</v>
          </cell>
        </row>
        <row r="66">
          <cell r="AA66">
            <v>8999190</v>
          </cell>
        </row>
        <row r="67">
          <cell r="AA67">
            <v>8538128</v>
          </cell>
        </row>
        <row r="68">
          <cell r="AA68">
            <v>7847406</v>
          </cell>
        </row>
        <row r="69">
          <cell r="AA69">
            <v>9801383</v>
          </cell>
        </row>
        <row r="70">
          <cell r="AA70">
            <v>9817852</v>
          </cell>
        </row>
        <row r="71">
          <cell r="AA71">
            <v>9079590</v>
          </cell>
        </row>
        <row r="72">
          <cell r="AA72">
            <v>9944112</v>
          </cell>
        </row>
        <row r="73">
          <cell r="AA73">
            <v>11153928</v>
          </cell>
        </row>
        <row r="74">
          <cell r="AA74">
            <v>11034988</v>
          </cell>
        </row>
        <row r="75">
          <cell r="AA75">
            <v>9821512</v>
          </cell>
        </row>
        <row r="76">
          <cell r="AA76">
            <v>8505851</v>
          </cell>
        </row>
        <row r="77">
          <cell r="AA77">
            <v>9230761</v>
          </cell>
        </row>
        <row r="78">
          <cell r="AA78">
            <v>9215832</v>
          </cell>
        </row>
        <row r="79">
          <cell r="AA79">
            <v>10476892</v>
          </cell>
        </row>
        <row r="80">
          <cell r="AA80">
            <v>9247230</v>
          </cell>
        </row>
        <row r="81">
          <cell r="AA81">
            <v>9680614</v>
          </cell>
        </row>
        <row r="82">
          <cell r="AA82">
            <v>8301508</v>
          </cell>
        </row>
        <row r="83">
          <cell r="AA83">
            <v>9749068</v>
          </cell>
        </row>
        <row r="84">
          <cell r="AA84">
            <v>10864525</v>
          </cell>
        </row>
        <row r="85">
          <cell r="AA85">
            <v>10884654</v>
          </cell>
        </row>
        <row r="86">
          <cell r="AA86">
            <v>9543729</v>
          </cell>
        </row>
        <row r="87">
          <cell r="AA87">
            <v>9665975</v>
          </cell>
        </row>
        <row r="88">
          <cell r="AA88">
            <v>9034603</v>
          </cell>
        </row>
        <row r="89">
          <cell r="AA89">
            <v>7797566</v>
          </cell>
        </row>
        <row r="90">
          <cell r="AA90">
            <v>7617435</v>
          </cell>
        </row>
        <row r="91">
          <cell r="AA91">
            <v>3352650</v>
          </cell>
        </row>
        <row r="92">
          <cell r="AA92">
            <v>642365</v>
          </cell>
        </row>
        <row r="93">
          <cell r="AA93">
            <v>655409</v>
          </cell>
        </row>
        <row r="94">
          <cell r="AA94">
            <v>610911</v>
          </cell>
        </row>
        <row r="95">
          <cell r="AA95">
            <v>267278</v>
          </cell>
        </row>
        <row r="96">
          <cell r="AA96">
            <v>0</v>
          </cell>
        </row>
        <row r="97">
          <cell r="AA97">
            <v>0</v>
          </cell>
        </row>
        <row r="98">
          <cell r="AA98">
            <v>0</v>
          </cell>
        </row>
        <row r="99">
          <cell r="AA99">
            <v>0</v>
          </cell>
        </row>
        <row r="100">
          <cell r="AA100">
            <v>0</v>
          </cell>
        </row>
        <row r="101">
          <cell r="AA101">
            <v>0</v>
          </cell>
        </row>
        <row r="102">
          <cell r="AA102">
            <v>33114000</v>
          </cell>
        </row>
        <row r="178">
          <cell r="Y178">
            <v>1054415948</v>
          </cell>
        </row>
      </sheetData>
      <sheetData sheetId="28"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4">
          <cell r="C24">
            <v>0</v>
          </cell>
        </row>
      </sheetData>
      <sheetData sheetId="29">
        <row r="27">
          <cell r="I27">
            <v>1200000</v>
          </cell>
          <cell r="K27">
            <v>5200000</v>
          </cell>
        </row>
      </sheetData>
      <sheetData sheetId="30"/>
      <sheetData sheetId="31"/>
      <sheetData sheetId="32"/>
      <sheetData sheetId="33">
        <row r="207">
          <cell r="M207">
            <v>1065755148.9090183</v>
          </cell>
        </row>
      </sheetData>
      <sheetData sheetId="34"/>
      <sheetData sheetId="35"/>
      <sheetData sheetId="36"/>
      <sheetData sheetId="37">
        <row r="42">
          <cell r="G42">
            <v>1071087283.2244647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3">
          <cell r="F13">
            <v>0</v>
          </cell>
        </row>
      </sheetData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3" customWidth="1"/>
    <col min="2" max="2" width="5.5703125" style="1173" customWidth="1"/>
    <col min="3" max="4" width="9" style="1173" hidden="1" customWidth="1"/>
    <col min="5" max="5" width="21.7109375" style="1173" customWidth="1"/>
    <col min="6" max="6" width="10.5703125" style="1173" customWidth="1"/>
    <col min="7" max="7" width="19.28515625" style="1173" customWidth="1"/>
    <col min="8" max="8" width="15.85546875" style="1173" customWidth="1"/>
    <col min="9" max="9" width="18.28515625" style="1173" customWidth="1"/>
    <col min="10" max="16384" width="9.140625" style="1173"/>
  </cols>
  <sheetData>
    <row r="1" spans="1:9" ht="16.5">
      <c r="A1" s="2356" t="s">
        <v>0</v>
      </c>
      <c r="B1" s="2356"/>
      <c r="C1" s="2356"/>
      <c r="D1" s="2356"/>
      <c r="E1" s="2356"/>
      <c r="F1" s="2356"/>
      <c r="G1" s="2356"/>
      <c r="H1" s="2356"/>
      <c r="I1" s="2356"/>
    </row>
    <row r="2" spans="1:9" ht="16.5">
      <c r="A2" s="2356" t="s">
        <v>1</v>
      </c>
      <c r="B2" s="2356"/>
      <c r="C2" s="2356"/>
      <c r="D2" s="2356"/>
      <c r="E2" s="2356"/>
      <c r="F2" s="2356"/>
      <c r="G2" s="2356"/>
      <c r="H2" s="2356"/>
      <c r="I2" s="2356"/>
    </row>
    <row r="3" spans="1:9" ht="16.5">
      <c r="A3" s="2357" t="s">
        <v>2</v>
      </c>
      <c r="B3" s="2356"/>
      <c r="C3" s="2356"/>
      <c r="D3" s="2356"/>
      <c r="E3" s="2356"/>
      <c r="F3" s="2356"/>
      <c r="G3" s="2356"/>
      <c r="H3" s="2356"/>
      <c r="I3" s="2356"/>
    </row>
    <row r="4" spans="1:9" ht="10.5" customHeight="1">
      <c r="A4" s="1174"/>
      <c r="B4" s="1175"/>
      <c r="C4" s="1175"/>
      <c r="D4" s="1175"/>
      <c r="E4" s="1175"/>
      <c r="F4" s="1175"/>
      <c r="G4" s="1175"/>
      <c r="H4" s="1175"/>
      <c r="I4" s="1175"/>
    </row>
    <row r="5" spans="1:9" ht="15.75">
      <c r="A5" s="2358" t="s">
        <v>3</v>
      </c>
      <c r="B5" s="2358"/>
      <c r="C5" s="2358"/>
      <c r="D5" s="2358"/>
      <c r="E5" s="2358"/>
      <c r="F5" s="2358"/>
      <c r="G5" s="2358"/>
      <c r="H5" s="1176"/>
      <c r="I5" s="1188"/>
    </row>
    <row r="6" spans="1:9" ht="19.5" customHeight="1">
      <c r="A6" s="2359" t="s">
        <v>4</v>
      </c>
      <c r="B6" s="2359"/>
      <c r="C6" s="2359"/>
      <c r="D6" s="2359"/>
      <c r="E6" s="2359"/>
      <c r="F6" s="2359"/>
      <c r="G6" s="2359"/>
      <c r="H6" s="1178"/>
      <c r="I6" s="1188"/>
    </row>
    <row r="7" spans="1:9" ht="16.5">
      <c r="A7" s="1177"/>
      <c r="B7" s="1177"/>
      <c r="C7" s="1177"/>
      <c r="D7" s="1177"/>
      <c r="E7" s="1177"/>
      <c r="F7" s="1177"/>
      <c r="G7" s="1177"/>
      <c r="H7" s="1177"/>
      <c r="I7" s="1188"/>
    </row>
    <row r="8" spans="1:9" ht="48.75" customHeight="1">
      <c r="A8" s="2353" t="s">
        <v>5</v>
      </c>
      <c r="B8" s="2353"/>
      <c r="C8" s="2353"/>
      <c r="D8" s="2353"/>
      <c r="E8" s="2353"/>
      <c r="F8" s="2353"/>
      <c r="G8" s="2353"/>
      <c r="H8" s="2353"/>
      <c r="I8" s="2353"/>
    </row>
    <row r="9" spans="1:9" ht="19.5">
      <c r="A9" s="2354"/>
      <c r="B9" s="2354"/>
      <c r="C9" s="2354"/>
      <c r="D9" s="2354"/>
      <c r="E9" s="2354"/>
      <c r="F9" s="2354"/>
      <c r="G9" s="2354"/>
      <c r="H9" s="2354"/>
      <c r="I9" s="1189"/>
    </row>
    <row r="10" spans="1:9" ht="73.5" customHeight="1">
      <c r="A10" s="2355" t="s">
        <v>6</v>
      </c>
      <c r="B10" s="2355"/>
      <c r="C10" s="1179" t="s">
        <v>7</v>
      </c>
      <c r="D10" s="1180"/>
      <c r="E10" s="1180" t="s">
        <v>8</v>
      </c>
      <c r="F10" s="1180" t="s">
        <v>9</v>
      </c>
      <c r="G10" s="1179" t="s">
        <v>10</v>
      </c>
      <c r="H10" s="1179" t="s">
        <v>11</v>
      </c>
      <c r="I10" s="1190" t="s">
        <v>12</v>
      </c>
    </row>
    <row r="11" spans="1:9" ht="18.75" customHeight="1">
      <c r="A11" s="2346" t="s">
        <v>13</v>
      </c>
      <c r="B11" s="2347"/>
      <c r="C11" s="2347"/>
      <c r="D11" s="2347"/>
      <c r="E11" s="2347"/>
      <c r="F11" s="2348"/>
      <c r="G11" s="1181">
        <f>SUM(G12:G54)</f>
        <v>21500000</v>
      </c>
      <c r="H11" s="1181"/>
      <c r="I11" s="1181"/>
    </row>
    <row r="12" spans="1:9" ht="18.75" customHeight="1">
      <c r="A12" s="1182">
        <v>1</v>
      </c>
      <c r="B12" s="1183">
        <v>1</v>
      </c>
      <c r="C12" s="1184"/>
      <c r="D12" s="1184"/>
      <c r="E12" s="1185" t="s">
        <v>14</v>
      </c>
      <c r="F12" s="1184" t="s">
        <v>15</v>
      </c>
      <c r="G12" s="1186">
        <v>500000</v>
      </c>
      <c r="H12" s="1187"/>
      <c r="I12" s="1191" t="str">
        <f t="shared" ref="I12:I54" si="0">E12</f>
        <v>Bôn</v>
      </c>
    </row>
    <row r="13" spans="1:9" ht="18.75" customHeight="1">
      <c r="A13" s="1182">
        <v>2</v>
      </c>
      <c r="B13" s="1183">
        <v>2</v>
      </c>
      <c r="C13" s="1184"/>
      <c r="D13" s="1184"/>
      <c r="E13" s="1185" t="s">
        <v>16</v>
      </c>
      <c r="F13" s="1184" t="s">
        <v>15</v>
      </c>
      <c r="G13" s="1186">
        <v>500000</v>
      </c>
      <c r="H13" s="1187"/>
      <c r="I13" s="1191" t="str">
        <f t="shared" si="0"/>
        <v>E</v>
      </c>
    </row>
    <row r="14" spans="1:9" ht="18.75" customHeight="1">
      <c r="A14" s="1182">
        <v>3</v>
      </c>
      <c r="B14" s="1183">
        <v>3</v>
      </c>
      <c r="C14" s="1184"/>
      <c r="D14" s="1184"/>
      <c r="E14" s="1185" t="s">
        <v>17</v>
      </c>
      <c r="F14" s="1184" t="s">
        <v>15</v>
      </c>
      <c r="G14" s="1186">
        <v>500000</v>
      </c>
      <c r="H14" s="1187"/>
      <c r="I14" s="1191" t="str">
        <f t="shared" si="0"/>
        <v>Khương (3)</v>
      </c>
    </row>
    <row r="15" spans="1:9" ht="18.75" customHeight="1">
      <c r="A15" s="1182">
        <v>4</v>
      </c>
      <c r="B15" s="1183">
        <v>4</v>
      </c>
      <c r="C15" s="1184"/>
      <c r="D15" s="1184"/>
      <c r="E15" s="1185" t="s">
        <v>18</v>
      </c>
      <c r="F15" s="1184" t="s">
        <v>15</v>
      </c>
      <c r="G15" s="1186">
        <v>500000</v>
      </c>
      <c r="H15" s="1187"/>
      <c r="I15" s="1191" t="str">
        <f t="shared" si="0"/>
        <v>Nít Ni Lanh</v>
      </c>
    </row>
    <row r="16" spans="1:9" ht="18.75" customHeight="1">
      <c r="A16" s="1182">
        <v>5</v>
      </c>
      <c r="B16" s="1183">
        <v>5</v>
      </c>
      <c r="C16" s="1184"/>
      <c r="D16" s="1184"/>
      <c r="E16" s="1185" t="s">
        <v>19</v>
      </c>
      <c r="F16" s="1184" t="s">
        <v>15</v>
      </c>
      <c r="G16" s="1186">
        <v>500000</v>
      </c>
      <c r="H16" s="1187"/>
      <c r="I16" s="1191" t="str">
        <f t="shared" si="0"/>
        <v>Khăm Đeng</v>
      </c>
    </row>
    <row r="17" spans="1:9" ht="18.75" customHeight="1">
      <c r="A17" s="1182">
        <v>6</v>
      </c>
      <c r="B17" s="1183">
        <v>6</v>
      </c>
      <c r="C17" s="1184"/>
      <c r="D17" s="1184"/>
      <c r="E17" s="1185" t="s">
        <v>20</v>
      </c>
      <c r="F17" s="1184" t="s">
        <v>15</v>
      </c>
      <c r="G17" s="1186">
        <v>500000</v>
      </c>
      <c r="H17" s="1187"/>
      <c r="I17" s="1191" t="str">
        <f t="shared" si="0"/>
        <v>Nàng  Năt</v>
      </c>
    </row>
    <row r="18" spans="1:9" ht="18.75" customHeight="1">
      <c r="A18" s="1182">
        <v>7</v>
      </c>
      <c r="B18" s="1183">
        <v>7</v>
      </c>
      <c r="C18" s="1184"/>
      <c r="D18" s="1184"/>
      <c r="E18" s="1185" t="s">
        <v>21</v>
      </c>
      <c r="F18" s="1184" t="s">
        <v>15</v>
      </c>
      <c r="G18" s="1186">
        <v>500000</v>
      </c>
      <c r="H18" s="1187"/>
      <c r="I18" s="1191" t="str">
        <f t="shared" si="0"/>
        <v>Xay (3)</v>
      </c>
    </row>
    <row r="19" spans="1:9" ht="18.75" customHeight="1">
      <c r="A19" s="1182">
        <v>8</v>
      </c>
      <c r="B19" s="1183">
        <v>8</v>
      </c>
      <c r="C19" s="1184"/>
      <c r="D19" s="1184"/>
      <c r="E19" s="1185" t="s">
        <v>22</v>
      </c>
      <c r="F19" s="1184" t="s">
        <v>15</v>
      </c>
      <c r="G19" s="1186">
        <v>500000</v>
      </c>
      <c r="H19" s="1187"/>
      <c r="I19" s="1191" t="str">
        <f t="shared" si="0"/>
        <v>Xôn</v>
      </c>
    </row>
    <row r="20" spans="1:9" ht="18.75" customHeight="1">
      <c r="A20" s="1182">
        <v>9</v>
      </c>
      <c r="B20" s="1183">
        <v>9</v>
      </c>
      <c r="C20" s="1184"/>
      <c r="D20" s="1184"/>
      <c r="E20" s="1185" t="s">
        <v>23</v>
      </c>
      <c r="F20" s="1184" t="s">
        <v>15</v>
      </c>
      <c r="G20" s="1186">
        <v>500000</v>
      </c>
      <c r="H20" s="1187"/>
      <c r="I20" s="1191" t="str">
        <f t="shared" si="0"/>
        <v>Phum Hom</v>
      </c>
    </row>
    <row r="21" spans="1:9" ht="18.75" customHeight="1">
      <c r="A21" s="1182">
        <v>10</v>
      </c>
      <c r="B21" s="1183">
        <v>10</v>
      </c>
      <c r="C21" s="1184"/>
      <c r="D21" s="1184"/>
      <c r="E21" s="1185" t="s">
        <v>24</v>
      </c>
      <c r="F21" s="1184" t="s">
        <v>15</v>
      </c>
      <c r="G21" s="1186">
        <v>500000</v>
      </c>
      <c r="H21" s="1187"/>
      <c r="I21" s="1191" t="str">
        <f t="shared" si="0"/>
        <v>Pa Lay</v>
      </c>
    </row>
    <row r="22" spans="1:9" ht="18.75" customHeight="1">
      <c r="A22" s="1182">
        <v>11</v>
      </c>
      <c r="B22" s="1183">
        <v>11</v>
      </c>
      <c r="C22" s="1184"/>
      <c r="D22" s="1184"/>
      <c r="E22" s="1185" t="s">
        <v>25</v>
      </c>
      <c r="F22" s="1184" t="s">
        <v>15</v>
      </c>
      <c r="G22" s="1186">
        <v>500000</v>
      </c>
      <c r="H22" s="1187"/>
      <c r="I22" s="1191" t="str">
        <f t="shared" si="0"/>
        <v>Măm</v>
      </c>
    </row>
    <row r="23" spans="1:9" ht="18.75" customHeight="1">
      <c r="A23" s="1182">
        <v>12</v>
      </c>
      <c r="B23" s="1183">
        <v>12</v>
      </c>
      <c r="C23" s="1184"/>
      <c r="D23" s="1184"/>
      <c r="E23" s="1185" t="s">
        <v>26</v>
      </c>
      <c r="F23" s="1184" t="s">
        <v>15</v>
      </c>
      <c r="G23" s="1186">
        <v>500000</v>
      </c>
      <c r="H23" s="1187"/>
      <c r="I23" s="1191" t="str">
        <f t="shared" si="0"/>
        <v>Muôi</v>
      </c>
    </row>
    <row r="24" spans="1:9" ht="18.75" customHeight="1">
      <c r="A24" s="1182">
        <v>13</v>
      </c>
      <c r="B24" s="1183">
        <v>13</v>
      </c>
      <c r="C24" s="1184"/>
      <c r="D24" s="1184"/>
      <c r="E24" s="1185" t="s">
        <v>27</v>
      </c>
      <c r="F24" s="1184" t="s">
        <v>15</v>
      </c>
      <c r="G24" s="1186">
        <v>500000</v>
      </c>
      <c r="H24" s="1187"/>
      <c r="I24" s="1191" t="str">
        <f t="shared" si="0"/>
        <v>Vat Sa Na</v>
      </c>
    </row>
    <row r="25" spans="1:9" ht="18.75" customHeight="1">
      <c r="A25" s="1182">
        <v>14</v>
      </c>
      <c r="B25" s="1183">
        <v>14</v>
      </c>
      <c r="C25" s="1184"/>
      <c r="D25" s="1184"/>
      <c r="E25" s="1185" t="s">
        <v>28</v>
      </c>
      <c r="F25" s="1184" t="s">
        <v>15</v>
      </c>
      <c r="G25" s="1186">
        <v>500000</v>
      </c>
      <c r="H25" s="1187"/>
      <c r="I25" s="1191" t="str">
        <f t="shared" si="0"/>
        <v>Xi La</v>
      </c>
    </row>
    <row r="26" spans="1:9" ht="18.75" customHeight="1">
      <c r="A26" s="1182">
        <v>15</v>
      </c>
      <c r="B26" s="1183">
        <v>15</v>
      </c>
      <c r="C26" s="1184"/>
      <c r="D26" s="1184"/>
      <c r="E26" s="1185" t="s">
        <v>29</v>
      </c>
      <c r="F26" s="1184" t="s">
        <v>15</v>
      </c>
      <c r="G26" s="1186">
        <v>500000</v>
      </c>
      <c r="H26" s="1187"/>
      <c r="I26" s="1191" t="str">
        <f t="shared" si="0"/>
        <v>Me Nhon</v>
      </c>
    </row>
    <row r="27" spans="1:9" ht="18.75" customHeight="1">
      <c r="A27" s="1182">
        <v>16</v>
      </c>
      <c r="B27" s="1183">
        <v>16</v>
      </c>
      <c r="C27" s="1184"/>
      <c r="D27" s="1184"/>
      <c r="E27" s="1185" t="s">
        <v>30</v>
      </c>
      <c r="F27" s="1184" t="s">
        <v>15</v>
      </c>
      <c r="G27" s="1186">
        <v>500000</v>
      </c>
      <c r="H27" s="1187"/>
      <c r="I27" s="1191" t="str">
        <f t="shared" si="0"/>
        <v>Ten (3)</v>
      </c>
    </row>
    <row r="28" spans="1:9" ht="18.75" customHeight="1">
      <c r="A28" s="1182">
        <v>17</v>
      </c>
      <c r="B28" s="1183">
        <v>17</v>
      </c>
      <c r="C28" s="1184"/>
      <c r="D28" s="1184"/>
      <c r="E28" s="1185" t="s">
        <v>31</v>
      </c>
      <c r="F28" s="1184" t="s">
        <v>15</v>
      </c>
      <c r="G28" s="1186">
        <v>500000</v>
      </c>
      <c r="H28" s="1187"/>
      <c r="I28" s="1191" t="str">
        <f t="shared" si="0"/>
        <v>Ki</v>
      </c>
    </row>
    <row r="29" spans="1:9" ht="18.75" customHeight="1">
      <c r="A29" s="1182">
        <v>18</v>
      </c>
      <c r="B29" s="1183">
        <v>18</v>
      </c>
      <c r="C29" s="1184"/>
      <c r="D29" s="1184"/>
      <c r="E29" s="1185" t="s">
        <v>32</v>
      </c>
      <c r="F29" s="1184" t="s">
        <v>15</v>
      </c>
      <c r="G29" s="1186">
        <v>500000</v>
      </c>
      <c r="H29" s="1187"/>
      <c r="I29" s="1191" t="str">
        <f t="shared" si="0"/>
        <v>Phết (3)</v>
      </c>
    </row>
    <row r="30" spans="1:9" ht="18.75" customHeight="1">
      <c r="A30" s="1182">
        <v>19</v>
      </c>
      <c r="B30" s="1183">
        <v>19</v>
      </c>
      <c r="C30" s="1184"/>
      <c r="D30" s="1184"/>
      <c r="E30" s="1185" t="s">
        <v>33</v>
      </c>
      <c r="F30" s="1184" t="s">
        <v>15</v>
      </c>
      <c r="G30" s="1186">
        <v>500000</v>
      </c>
      <c r="H30" s="1187"/>
      <c r="I30" s="1191" t="str">
        <f t="shared" si="0"/>
        <v>Phon (3)</v>
      </c>
    </row>
    <row r="31" spans="1:9" ht="18.75" customHeight="1">
      <c r="A31" s="1182">
        <v>20</v>
      </c>
      <c r="B31" s="1183">
        <v>20</v>
      </c>
      <c r="C31" s="1184"/>
      <c r="D31" s="1184"/>
      <c r="E31" s="1185" t="s">
        <v>34</v>
      </c>
      <c r="F31" s="1184" t="s">
        <v>15</v>
      </c>
      <c r="G31" s="1186">
        <v>500000</v>
      </c>
      <c r="H31" s="1187"/>
      <c r="I31" s="1191" t="str">
        <f t="shared" si="0"/>
        <v>Nang Vone</v>
      </c>
    </row>
    <row r="32" spans="1:9" ht="18.75" customHeight="1">
      <c r="A32" s="1182">
        <v>21</v>
      </c>
      <c r="B32" s="1183">
        <v>21</v>
      </c>
      <c r="C32" s="1184"/>
      <c r="D32" s="1184"/>
      <c r="E32" s="1185" t="s">
        <v>35</v>
      </c>
      <c r="F32" s="1184" t="s">
        <v>15</v>
      </c>
      <c r="G32" s="1186">
        <v>500000</v>
      </c>
      <c r="H32" s="1187"/>
      <c r="I32" s="1191" t="str">
        <f t="shared" si="0"/>
        <v>Lăng A</v>
      </c>
    </row>
    <row r="33" spans="1:9" ht="18.75" customHeight="1">
      <c r="A33" s="1182">
        <v>22</v>
      </c>
      <c r="B33" s="1183">
        <v>22</v>
      </c>
      <c r="C33" s="1184"/>
      <c r="D33" s="1184"/>
      <c r="E33" s="1185" t="s">
        <v>36</v>
      </c>
      <c r="F33" s="1184" t="s">
        <v>15</v>
      </c>
      <c r="G33" s="1186">
        <v>500000</v>
      </c>
      <c r="H33" s="1187"/>
      <c r="I33" s="1191" t="str">
        <f t="shared" si="0"/>
        <v>Nút</v>
      </c>
    </row>
    <row r="34" spans="1:9" ht="18.75" customHeight="1">
      <c r="A34" s="1182">
        <v>23</v>
      </c>
      <c r="B34" s="1183">
        <v>23</v>
      </c>
      <c r="C34" s="1184"/>
      <c r="D34" s="1184"/>
      <c r="E34" s="1185" t="s">
        <v>37</v>
      </c>
      <c r="F34" s="1184" t="s">
        <v>15</v>
      </c>
      <c r="G34" s="1186">
        <v>500000</v>
      </c>
      <c r="H34" s="1187"/>
      <c r="I34" s="1191" t="str">
        <f t="shared" si="0"/>
        <v>Xit</v>
      </c>
    </row>
    <row r="35" spans="1:9" ht="18.75" customHeight="1">
      <c r="A35" s="1182">
        <v>24</v>
      </c>
      <c r="B35" s="1183">
        <v>24</v>
      </c>
      <c r="C35" s="1184"/>
      <c r="D35" s="1184"/>
      <c r="E35" s="1185" t="s">
        <v>38</v>
      </c>
      <c r="F35" s="1184" t="s">
        <v>15</v>
      </c>
      <c r="G35" s="1186">
        <v>500000</v>
      </c>
      <c r="H35" s="1187"/>
      <c r="I35" s="1191" t="str">
        <f t="shared" si="0"/>
        <v>Kum Man</v>
      </c>
    </row>
    <row r="36" spans="1:9" ht="18.75" customHeight="1">
      <c r="A36" s="1182">
        <v>25</v>
      </c>
      <c r="B36" s="1183">
        <v>25</v>
      </c>
      <c r="C36" s="1184"/>
      <c r="D36" s="1184"/>
      <c r="E36" s="1185" t="s">
        <v>39</v>
      </c>
      <c r="F36" s="1184" t="s">
        <v>15</v>
      </c>
      <c r="G36" s="1186">
        <v>500000</v>
      </c>
      <c r="H36" s="1187"/>
      <c r="I36" s="1191" t="str">
        <f t="shared" si="0"/>
        <v>Xai Ta</v>
      </c>
    </row>
    <row r="37" spans="1:9" ht="18.75" customHeight="1">
      <c r="A37" s="1182">
        <v>26</v>
      </c>
      <c r="B37" s="1183">
        <v>26</v>
      </c>
      <c r="C37" s="1184"/>
      <c r="D37" s="1184"/>
      <c r="E37" s="1185" t="s">
        <v>40</v>
      </c>
      <c r="F37" s="1184" t="s">
        <v>15</v>
      </c>
      <c r="G37" s="1186">
        <v>500000</v>
      </c>
      <c r="H37" s="1187"/>
      <c r="I37" s="1191" t="str">
        <f t="shared" si="0"/>
        <v>Lươn</v>
      </c>
    </row>
    <row r="38" spans="1:9" ht="18.75" customHeight="1">
      <c r="A38" s="1182">
        <v>27</v>
      </c>
      <c r="B38" s="1183">
        <v>27</v>
      </c>
      <c r="C38" s="1184"/>
      <c r="D38" s="1184"/>
      <c r="E38" s="1185" t="s">
        <v>41</v>
      </c>
      <c r="F38" s="1184" t="s">
        <v>15</v>
      </c>
      <c r="G38" s="1186">
        <v>500000</v>
      </c>
      <c r="H38" s="1187"/>
      <c r="I38" s="1191" t="str">
        <f t="shared" si="0"/>
        <v>Nàng Lên</v>
      </c>
    </row>
    <row r="39" spans="1:9" ht="18.75" customHeight="1">
      <c r="A39" s="1182">
        <v>28</v>
      </c>
      <c r="B39" s="1183">
        <v>28</v>
      </c>
      <c r="C39" s="1184"/>
      <c r="D39" s="1184"/>
      <c r="E39" s="1185" t="s">
        <v>42</v>
      </c>
      <c r="F39" s="1184" t="s">
        <v>15</v>
      </c>
      <c r="G39" s="1186">
        <v>500000</v>
      </c>
      <c r="H39" s="1187"/>
      <c r="I39" s="1191" t="str">
        <f t="shared" si="0"/>
        <v>Nọi (3)</v>
      </c>
    </row>
    <row r="40" spans="1:9" ht="18.75" customHeight="1">
      <c r="A40" s="1182">
        <v>29</v>
      </c>
      <c r="B40" s="1183">
        <v>29</v>
      </c>
      <c r="C40" s="1184"/>
      <c r="D40" s="1184"/>
      <c r="E40" s="1185" t="s">
        <v>43</v>
      </c>
      <c r="F40" s="1184" t="s">
        <v>15</v>
      </c>
      <c r="G40" s="1186">
        <v>500000</v>
      </c>
      <c r="H40" s="1187"/>
      <c r="I40" s="1191" t="str">
        <f t="shared" si="0"/>
        <v>Lên</v>
      </c>
    </row>
    <row r="41" spans="1:9" ht="18.75" customHeight="1">
      <c r="A41" s="1182">
        <v>30</v>
      </c>
      <c r="B41" s="1183">
        <v>30</v>
      </c>
      <c r="C41" s="1184"/>
      <c r="D41" s="1184"/>
      <c r="E41" s="1185" t="s">
        <v>44</v>
      </c>
      <c r="F41" s="1184" t="s">
        <v>15</v>
      </c>
      <c r="G41" s="1186">
        <v>500000</v>
      </c>
      <c r="H41" s="1187"/>
      <c r="I41" s="1191" t="str">
        <f t="shared" si="0"/>
        <v>Khắn</v>
      </c>
    </row>
    <row r="42" spans="1:9" ht="18.75" customHeight="1">
      <c r="A42" s="1182">
        <v>31</v>
      </c>
      <c r="B42" s="1183">
        <v>31</v>
      </c>
      <c r="C42" s="1184"/>
      <c r="D42" s="1184"/>
      <c r="E42" s="1185" t="s">
        <v>45</v>
      </c>
      <c r="F42" s="1184" t="s">
        <v>15</v>
      </c>
      <c r="G42" s="1186">
        <v>500000</v>
      </c>
      <c r="H42" s="1187"/>
      <c r="I42" s="1191" t="str">
        <f t="shared" si="0"/>
        <v>XumMai</v>
      </c>
    </row>
    <row r="43" spans="1:9" ht="18.75" customHeight="1">
      <c r="A43" s="1182">
        <v>32</v>
      </c>
      <c r="B43" s="1183">
        <v>32</v>
      </c>
      <c r="C43" s="1184"/>
      <c r="D43" s="1184"/>
      <c r="E43" s="1185" t="s">
        <v>46</v>
      </c>
      <c r="F43" s="1184" t="s">
        <v>15</v>
      </c>
      <c r="G43" s="1186">
        <v>500000</v>
      </c>
      <c r="H43" s="1187"/>
      <c r="I43" s="1191" t="str">
        <f t="shared" si="0"/>
        <v>Nang Ny</v>
      </c>
    </row>
    <row r="44" spans="1:9" ht="18.75" customHeight="1">
      <c r="A44" s="1182">
        <v>33</v>
      </c>
      <c r="B44" s="1183">
        <v>33</v>
      </c>
      <c r="C44" s="1184"/>
      <c r="D44" s="1184"/>
      <c r="E44" s="1185" t="s">
        <v>47</v>
      </c>
      <c r="F44" s="1184" t="s">
        <v>15</v>
      </c>
      <c r="G44" s="1186">
        <v>500000</v>
      </c>
      <c r="H44" s="1187"/>
      <c r="I44" s="1191" t="str">
        <f t="shared" si="0"/>
        <v>Kẹo Ta</v>
      </c>
    </row>
    <row r="45" spans="1:9" ht="18.75" customHeight="1">
      <c r="A45" s="1182">
        <v>34</v>
      </c>
      <c r="B45" s="1183">
        <v>34</v>
      </c>
      <c r="C45" s="1184"/>
      <c r="D45" s="1184"/>
      <c r="E45" s="1185" t="s">
        <v>48</v>
      </c>
      <c r="F45" s="1184" t="s">
        <v>15</v>
      </c>
      <c r="G45" s="1186">
        <v>500000</v>
      </c>
      <c r="H45" s="1187"/>
      <c r="I45" s="1191" t="str">
        <f t="shared" si="0"/>
        <v>Pom</v>
      </c>
    </row>
    <row r="46" spans="1:9" ht="18.75" customHeight="1">
      <c r="A46" s="1182">
        <v>35</v>
      </c>
      <c r="B46" s="1183">
        <v>35</v>
      </c>
      <c r="C46" s="1184"/>
      <c r="D46" s="1184"/>
      <c r="E46" s="1185" t="s">
        <v>49</v>
      </c>
      <c r="F46" s="1184" t="s">
        <v>15</v>
      </c>
      <c r="G46" s="1186">
        <v>500000</v>
      </c>
      <c r="H46" s="1187"/>
      <c r="I46" s="1191" t="str">
        <f t="shared" si="0"/>
        <v>Cong</v>
      </c>
    </row>
    <row r="47" spans="1:9" ht="18.75" customHeight="1">
      <c r="A47" s="1182">
        <v>36</v>
      </c>
      <c r="B47" s="1183">
        <v>36</v>
      </c>
      <c r="C47" s="1184"/>
      <c r="D47" s="1184"/>
      <c r="E47" s="1185" t="s">
        <v>50</v>
      </c>
      <c r="F47" s="1184" t="s">
        <v>15</v>
      </c>
      <c r="G47" s="1186">
        <v>500000</v>
      </c>
      <c r="H47" s="1187"/>
      <c r="I47" s="1191" t="str">
        <f t="shared" si="0"/>
        <v>Khăm B</v>
      </c>
    </row>
    <row r="48" spans="1:9" ht="18.75" customHeight="1">
      <c r="A48" s="1182">
        <v>37</v>
      </c>
      <c r="B48" s="1183">
        <v>37</v>
      </c>
      <c r="C48" s="1184"/>
      <c r="D48" s="1184"/>
      <c r="E48" s="1185" t="s">
        <v>51</v>
      </c>
      <c r="F48" s="1184" t="s">
        <v>15</v>
      </c>
      <c r="G48" s="1186">
        <v>500000</v>
      </c>
      <c r="H48" s="1187"/>
      <c r="I48" s="1191" t="str">
        <f t="shared" si="0"/>
        <v>Khôn</v>
      </c>
    </row>
    <row r="49" spans="1:9" ht="18.75" customHeight="1">
      <c r="A49" s="1182">
        <v>38</v>
      </c>
      <c r="B49" s="1183">
        <v>38</v>
      </c>
      <c r="C49" s="1184"/>
      <c r="D49" s="1184"/>
      <c r="E49" s="1185" t="s">
        <v>52</v>
      </c>
      <c r="F49" s="1184" t="s">
        <v>15</v>
      </c>
      <c r="G49" s="1186">
        <v>500000</v>
      </c>
      <c r="H49" s="1187"/>
      <c r="I49" s="1191" t="str">
        <f t="shared" si="0"/>
        <v>Xing</v>
      </c>
    </row>
    <row r="50" spans="1:9" ht="18.75" customHeight="1">
      <c r="A50" s="1182">
        <v>39</v>
      </c>
      <c r="B50" s="1183">
        <v>39</v>
      </c>
      <c r="C50" s="1184"/>
      <c r="D50" s="1184"/>
      <c r="E50" s="1185" t="s">
        <v>53</v>
      </c>
      <c r="F50" s="1184" t="s">
        <v>15</v>
      </c>
      <c r="G50" s="1186">
        <v>500000</v>
      </c>
      <c r="H50" s="1187"/>
      <c r="I50" s="1191" t="str">
        <f t="shared" si="0"/>
        <v>Kị To</v>
      </c>
    </row>
    <row r="51" spans="1:9" ht="18.75" customHeight="1">
      <c r="A51" s="1182">
        <v>40</v>
      </c>
      <c r="B51" s="1183">
        <v>40</v>
      </c>
      <c r="C51" s="1184"/>
      <c r="D51" s="1184"/>
      <c r="E51" s="1185" t="s">
        <v>54</v>
      </c>
      <c r="F51" s="1184" t="s">
        <v>15</v>
      </c>
      <c r="G51" s="1186">
        <v>500000</v>
      </c>
      <c r="H51" s="1187"/>
      <c r="I51" s="1191" t="str">
        <f t="shared" si="0"/>
        <v>Thảo Ký</v>
      </c>
    </row>
    <row r="52" spans="1:9" ht="18.75" customHeight="1">
      <c r="A52" s="1182">
        <v>41</v>
      </c>
      <c r="B52" s="1183">
        <v>41</v>
      </c>
      <c r="C52" s="1184"/>
      <c r="D52" s="1184"/>
      <c r="E52" s="1185" t="s">
        <v>55</v>
      </c>
      <c r="F52" s="1184" t="s">
        <v>15</v>
      </c>
      <c r="G52" s="1186">
        <v>500000</v>
      </c>
      <c r="H52" s="1187"/>
      <c r="I52" s="1191" t="str">
        <f t="shared" si="0"/>
        <v>Nam Phon</v>
      </c>
    </row>
    <row r="53" spans="1:9" ht="18.75" customHeight="1">
      <c r="A53" s="1182">
        <v>42</v>
      </c>
      <c r="B53" s="1183">
        <v>42</v>
      </c>
      <c r="C53" s="1184"/>
      <c r="D53" s="1184"/>
      <c r="E53" s="1185" t="s">
        <v>56</v>
      </c>
      <c r="F53" s="1184" t="s">
        <v>15</v>
      </c>
      <c r="G53" s="1186">
        <v>500000</v>
      </c>
      <c r="H53" s="1187"/>
      <c r="I53" s="1191" t="str">
        <f t="shared" si="0"/>
        <v>Lon</v>
      </c>
    </row>
    <row r="54" spans="1:9" ht="18.75" customHeight="1">
      <c r="A54" s="1182">
        <v>43</v>
      </c>
      <c r="B54" s="1183">
        <v>43</v>
      </c>
      <c r="C54" s="1184"/>
      <c r="D54" s="1184"/>
      <c r="E54" s="1185" t="s">
        <v>57</v>
      </c>
      <c r="F54" s="1184" t="s">
        <v>15</v>
      </c>
      <c r="G54" s="1186">
        <v>500000</v>
      </c>
      <c r="H54" s="1187"/>
      <c r="I54" s="1191" t="str">
        <f t="shared" si="0"/>
        <v>Me Son</v>
      </c>
    </row>
    <row r="55" spans="1:9" ht="18.75" customHeight="1">
      <c r="A55" s="2346" t="s">
        <v>58</v>
      </c>
      <c r="B55" s="2347"/>
      <c r="C55" s="2347"/>
      <c r="D55" s="2347"/>
      <c r="E55" s="2347"/>
      <c r="F55" s="2348"/>
      <c r="G55" s="1181">
        <f>SUM(G56:G112)</f>
        <v>28500000</v>
      </c>
      <c r="H55" s="1181"/>
      <c r="I55" s="1181"/>
    </row>
    <row r="56" spans="1:9" ht="18.75" customHeight="1">
      <c r="A56" s="1182">
        <v>44</v>
      </c>
      <c r="B56" s="1183">
        <v>1</v>
      </c>
      <c r="C56" s="1184"/>
      <c r="D56" s="1184"/>
      <c r="E56" s="1185" t="s">
        <v>14</v>
      </c>
      <c r="F56" s="1184" t="s">
        <v>15</v>
      </c>
      <c r="G56" s="1186">
        <v>500000</v>
      </c>
      <c r="H56" s="1187"/>
      <c r="I56" s="1191" t="str">
        <f t="shared" ref="I56:I112" si="1">E56</f>
        <v>Bôn</v>
      </c>
    </row>
    <row r="57" spans="1:9" ht="18.75" customHeight="1">
      <c r="A57" s="1182">
        <v>45</v>
      </c>
      <c r="B57" s="1183">
        <v>2</v>
      </c>
      <c r="C57" s="1184"/>
      <c r="D57" s="1184"/>
      <c r="E57" s="1185" t="s">
        <v>16</v>
      </c>
      <c r="F57" s="1184" t="s">
        <v>15</v>
      </c>
      <c r="G57" s="1186">
        <v>500000</v>
      </c>
      <c r="H57" s="1187"/>
      <c r="I57" s="1191" t="str">
        <f t="shared" si="1"/>
        <v>E</v>
      </c>
    </row>
    <row r="58" spans="1:9" ht="18.75" customHeight="1">
      <c r="A58" s="1182">
        <v>46</v>
      </c>
      <c r="B58" s="1183">
        <v>3</v>
      </c>
      <c r="C58" s="1184"/>
      <c r="D58" s="1184"/>
      <c r="E58" s="1185" t="s">
        <v>17</v>
      </c>
      <c r="F58" s="1184" t="s">
        <v>15</v>
      </c>
      <c r="G58" s="1186">
        <v>500000</v>
      </c>
      <c r="H58" s="1187"/>
      <c r="I58" s="1191" t="str">
        <f t="shared" si="1"/>
        <v>Khương (3)</v>
      </c>
    </row>
    <row r="59" spans="1:9" ht="18.75" customHeight="1">
      <c r="A59" s="1182">
        <v>47</v>
      </c>
      <c r="B59" s="1183">
        <v>4</v>
      </c>
      <c r="C59" s="1184"/>
      <c r="D59" s="1184"/>
      <c r="E59" s="1185" t="s">
        <v>18</v>
      </c>
      <c r="F59" s="1184" t="s">
        <v>15</v>
      </c>
      <c r="G59" s="1186">
        <v>500000</v>
      </c>
      <c r="H59" s="1187"/>
      <c r="I59" s="1191" t="str">
        <f t="shared" si="1"/>
        <v>Nít Ni Lanh</v>
      </c>
    </row>
    <row r="60" spans="1:9" ht="18.75" customHeight="1">
      <c r="A60" s="1182">
        <v>48</v>
      </c>
      <c r="B60" s="1183">
        <v>5</v>
      </c>
      <c r="C60" s="1184"/>
      <c r="D60" s="1184"/>
      <c r="E60" s="1185" t="s">
        <v>19</v>
      </c>
      <c r="F60" s="1184" t="s">
        <v>15</v>
      </c>
      <c r="G60" s="1186">
        <v>500000</v>
      </c>
      <c r="H60" s="1187"/>
      <c r="I60" s="1191" t="str">
        <f t="shared" si="1"/>
        <v>Khăm Đeng</v>
      </c>
    </row>
    <row r="61" spans="1:9" ht="18.75" customHeight="1">
      <c r="A61" s="1182">
        <v>49</v>
      </c>
      <c r="B61" s="1183">
        <v>6</v>
      </c>
      <c r="C61" s="1184"/>
      <c r="D61" s="1184"/>
      <c r="E61" s="1185" t="s">
        <v>20</v>
      </c>
      <c r="F61" s="1184" t="s">
        <v>15</v>
      </c>
      <c r="G61" s="1186">
        <v>500000</v>
      </c>
      <c r="H61" s="1187"/>
      <c r="I61" s="1191" t="str">
        <f t="shared" si="1"/>
        <v>Nàng  Năt</v>
      </c>
    </row>
    <row r="62" spans="1:9" ht="18.75" customHeight="1">
      <c r="A62" s="1182">
        <v>50</v>
      </c>
      <c r="B62" s="1183">
        <v>7</v>
      </c>
      <c r="C62" s="1184"/>
      <c r="D62" s="1184"/>
      <c r="E62" s="1185" t="s">
        <v>21</v>
      </c>
      <c r="F62" s="1184" t="s">
        <v>15</v>
      </c>
      <c r="G62" s="1186">
        <v>500000</v>
      </c>
      <c r="H62" s="1187"/>
      <c r="I62" s="1191" t="str">
        <f t="shared" si="1"/>
        <v>Xay (3)</v>
      </c>
    </row>
    <row r="63" spans="1:9" ht="18.75" customHeight="1">
      <c r="A63" s="1182">
        <v>51</v>
      </c>
      <c r="B63" s="1183">
        <v>8</v>
      </c>
      <c r="C63" s="1184"/>
      <c r="D63" s="1184"/>
      <c r="E63" s="1185" t="s">
        <v>22</v>
      </c>
      <c r="F63" s="1184" t="s">
        <v>15</v>
      </c>
      <c r="G63" s="1186">
        <v>500000</v>
      </c>
      <c r="H63" s="1187"/>
      <c r="I63" s="1191" t="str">
        <f t="shared" si="1"/>
        <v>Xôn</v>
      </c>
    </row>
    <row r="64" spans="1:9" ht="18.75" customHeight="1">
      <c r="A64" s="1182">
        <v>52</v>
      </c>
      <c r="B64" s="1183">
        <v>9</v>
      </c>
      <c r="C64" s="1184"/>
      <c r="D64" s="1184"/>
      <c r="E64" s="1185" t="s">
        <v>23</v>
      </c>
      <c r="F64" s="1184" t="s">
        <v>15</v>
      </c>
      <c r="G64" s="1186">
        <v>500000</v>
      </c>
      <c r="H64" s="1187"/>
      <c r="I64" s="1191" t="str">
        <f t="shared" si="1"/>
        <v>Phum Hom</v>
      </c>
    </row>
    <row r="65" spans="1:9" ht="18.75" customHeight="1">
      <c r="A65" s="1182">
        <v>53</v>
      </c>
      <c r="B65" s="1183">
        <v>10</v>
      </c>
      <c r="C65" s="1184"/>
      <c r="D65" s="1184"/>
      <c r="E65" s="1185" t="s">
        <v>24</v>
      </c>
      <c r="F65" s="1184" t="s">
        <v>15</v>
      </c>
      <c r="G65" s="1186">
        <v>500000</v>
      </c>
      <c r="H65" s="1187"/>
      <c r="I65" s="1191" t="str">
        <f t="shared" si="1"/>
        <v>Pa Lay</v>
      </c>
    </row>
    <row r="66" spans="1:9" ht="18.75" customHeight="1">
      <c r="A66" s="1182">
        <v>54</v>
      </c>
      <c r="B66" s="1183">
        <v>11</v>
      </c>
      <c r="C66" s="1184"/>
      <c r="D66" s="1184"/>
      <c r="E66" s="1185" t="s">
        <v>25</v>
      </c>
      <c r="F66" s="1184" t="s">
        <v>15</v>
      </c>
      <c r="G66" s="1186">
        <v>500000</v>
      </c>
      <c r="H66" s="1187"/>
      <c r="I66" s="1191" t="str">
        <f t="shared" si="1"/>
        <v>Măm</v>
      </c>
    </row>
    <row r="67" spans="1:9" ht="18.75" customHeight="1">
      <c r="A67" s="1182">
        <v>55</v>
      </c>
      <c r="B67" s="1183">
        <v>12</v>
      </c>
      <c r="C67" s="1184"/>
      <c r="D67" s="1184"/>
      <c r="E67" s="1185" t="s">
        <v>26</v>
      </c>
      <c r="F67" s="1184" t="s">
        <v>15</v>
      </c>
      <c r="G67" s="1186">
        <v>500000</v>
      </c>
      <c r="H67" s="1187"/>
      <c r="I67" s="1191" t="str">
        <f t="shared" si="1"/>
        <v>Muôi</v>
      </c>
    </row>
    <row r="68" spans="1:9" ht="18.75" customHeight="1">
      <c r="A68" s="1182">
        <v>56</v>
      </c>
      <c r="B68" s="1183">
        <v>13</v>
      </c>
      <c r="C68" s="1184"/>
      <c r="D68" s="1184"/>
      <c r="E68" s="1185" t="s">
        <v>27</v>
      </c>
      <c r="F68" s="1184" t="s">
        <v>15</v>
      </c>
      <c r="G68" s="1186">
        <v>500000</v>
      </c>
      <c r="H68" s="1187"/>
      <c r="I68" s="1191" t="str">
        <f t="shared" si="1"/>
        <v>Vat Sa Na</v>
      </c>
    </row>
    <row r="69" spans="1:9" ht="18.75" customHeight="1">
      <c r="A69" s="1182">
        <v>57</v>
      </c>
      <c r="B69" s="1183">
        <v>14</v>
      </c>
      <c r="C69" s="1184"/>
      <c r="D69" s="1184"/>
      <c r="E69" s="1185" t="s">
        <v>28</v>
      </c>
      <c r="F69" s="1184" t="s">
        <v>15</v>
      </c>
      <c r="G69" s="1186">
        <v>500000</v>
      </c>
      <c r="H69" s="1187"/>
      <c r="I69" s="1191" t="str">
        <f t="shared" si="1"/>
        <v>Xi La</v>
      </c>
    </row>
    <row r="70" spans="1:9" ht="18.75" customHeight="1">
      <c r="A70" s="1182">
        <v>58</v>
      </c>
      <c r="B70" s="1183">
        <v>15</v>
      </c>
      <c r="C70" s="1184"/>
      <c r="D70" s="1184"/>
      <c r="E70" s="1185" t="s">
        <v>29</v>
      </c>
      <c r="F70" s="1184" t="s">
        <v>15</v>
      </c>
      <c r="G70" s="1186">
        <v>500000</v>
      </c>
      <c r="H70" s="1187"/>
      <c r="I70" s="1191" t="str">
        <f t="shared" si="1"/>
        <v>Me Nhon</v>
      </c>
    </row>
    <row r="71" spans="1:9" ht="18.75" customHeight="1">
      <c r="A71" s="1182">
        <v>59</v>
      </c>
      <c r="B71" s="1183">
        <v>16</v>
      </c>
      <c r="C71" s="1184"/>
      <c r="D71" s="1184"/>
      <c r="E71" s="1185" t="s">
        <v>30</v>
      </c>
      <c r="F71" s="1184" t="s">
        <v>15</v>
      </c>
      <c r="G71" s="1186">
        <v>500000</v>
      </c>
      <c r="H71" s="1187"/>
      <c r="I71" s="1191" t="str">
        <f t="shared" si="1"/>
        <v>Ten (3)</v>
      </c>
    </row>
    <row r="72" spans="1:9" ht="18.75" customHeight="1">
      <c r="A72" s="1182">
        <v>60</v>
      </c>
      <c r="B72" s="1183">
        <v>17</v>
      </c>
      <c r="C72" s="1184"/>
      <c r="D72" s="1184"/>
      <c r="E72" s="1185" t="s">
        <v>31</v>
      </c>
      <c r="F72" s="1184" t="s">
        <v>15</v>
      </c>
      <c r="G72" s="1186">
        <v>500000</v>
      </c>
      <c r="H72" s="1187"/>
      <c r="I72" s="1191" t="str">
        <f t="shared" si="1"/>
        <v>Ki</v>
      </c>
    </row>
    <row r="73" spans="1:9" ht="18.75" customHeight="1">
      <c r="A73" s="1182">
        <v>61</v>
      </c>
      <c r="B73" s="1183">
        <v>18</v>
      </c>
      <c r="C73" s="1184"/>
      <c r="D73" s="1184"/>
      <c r="E73" s="1185" t="s">
        <v>32</v>
      </c>
      <c r="F73" s="1184" t="s">
        <v>15</v>
      </c>
      <c r="G73" s="1186">
        <v>500000</v>
      </c>
      <c r="H73" s="1187"/>
      <c r="I73" s="1191" t="str">
        <f t="shared" si="1"/>
        <v>Phết (3)</v>
      </c>
    </row>
    <row r="74" spans="1:9" ht="18.75" customHeight="1">
      <c r="A74" s="1182">
        <v>62</v>
      </c>
      <c r="B74" s="1183">
        <v>19</v>
      </c>
      <c r="C74" s="1184"/>
      <c r="D74" s="1184"/>
      <c r="E74" s="1185" t="s">
        <v>33</v>
      </c>
      <c r="F74" s="1184" t="s">
        <v>15</v>
      </c>
      <c r="G74" s="1186">
        <v>500000</v>
      </c>
      <c r="H74" s="1187"/>
      <c r="I74" s="1191" t="str">
        <f t="shared" si="1"/>
        <v>Phon (3)</v>
      </c>
    </row>
    <row r="75" spans="1:9" ht="18.75" customHeight="1">
      <c r="A75" s="1182">
        <v>63</v>
      </c>
      <c r="B75" s="1183">
        <v>20</v>
      </c>
      <c r="C75" s="1184"/>
      <c r="D75" s="1184"/>
      <c r="E75" s="1185" t="s">
        <v>34</v>
      </c>
      <c r="F75" s="1184" t="s">
        <v>15</v>
      </c>
      <c r="G75" s="1186">
        <v>500000</v>
      </c>
      <c r="H75" s="1187"/>
      <c r="I75" s="1191" t="str">
        <f t="shared" si="1"/>
        <v>Nang Vone</v>
      </c>
    </row>
    <row r="76" spans="1:9" ht="18.75" customHeight="1">
      <c r="A76" s="1182">
        <v>64</v>
      </c>
      <c r="B76" s="1183">
        <v>21</v>
      </c>
      <c r="C76" s="1184"/>
      <c r="D76" s="1184"/>
      <c r="E76" s="1185" t="s">
        <v>35</v>
      </c>
      <c r="F76" s="1184" t="s">
        <v>15</v>
      </c>
      <c r="G76" s="1186">
        <v>500000</v>
      </c>
      <c r="H76" s="1187"/>
      <c r="I76" s="1191" t="str">
        <f t="shared" si="1"/>
        <v>Lăng A</v>
      </c>
    </row>
    <row r="77" spans="1:9" ht="18.75" customHeight="1">
      <c r="A77" s="1182">
        <v>65</v>
      </c>
      <c r="B77" s="1183">
        <v>22</v>
      </c>
      <c r="C77" s="1184"/>
      <c r="D77" s="1184"/>
      <c r="E77" s="1185" t="s">
        <v>36</v>
      </c>
      <c r="F77" s="1184" t="s">
        <v>15</v>
      </c>
      <c r="G77" s="1186">
        <v>500000</v>
      </c>
      <c r="H77" s="1187"/>
      <c r="I77" s="1191" t="str">
        <f t="shared" si="1"/>
        <v>Nút</v>
      </c>
    </row>
    <row r="78" spans="1:9" ht="18.75" customHeight="1">
      <c r="A78" s="1182">
        <v>66</v>
      </c>
      <c r="B78" s="1183">
        <v>23</v>
      </c>
      <c r="C78" s="1184"/>
      <c r="D78" s="1184"/>
      <c r="E78" s="1185" t="s">
        <v>37</v>
      </c>
      <c r="F78" s="1184" t="s">
        <v>15</v>
      </c>
      <c r="G78" s="1186">
        <v>500000</v>
      </c>
      <c r="H78" s="1187"/>
      <c r="I78" s="1191" t="str">
        <f t="shared" si="1"/>
        <v>Xit</v>
      </c>
    </row>
    <row r="79" spans="1:9" ht="18.75" customHeight="1">
      <c r="A79" s="1182">
        <v>67</v>
      </c>
      <c r="B79" s="1183">
        <v>24</v>
      </c>
      <c r="C79" s="1184"/>
      <c r="D79" s="1184"/>
      <c r="E79" s="1185" t="s">
        <v>38</v>
      </c>
      <c r="F79" s="1184" t="s">
        <v>15</v>
      </c>
      <c r="G79" s="1186">
        <v>500000</v>
      </c>
      <c r="H79" s="1187"/>
      <c r="I79" s="1191" t="str">
        <f t="shared" si="1"/>
        <v>Kum Man</v>
      </c>
    </row>
    <row r="80" spans="1:9" ht="18.75" customHeight="1">
      <c r="A80" s="1182">
        <v>68</v>
      </c>
      <c r="B80" s="1183">
        <v>25</v>
      </c>
      <c r="C80" s="1184"/>
      <c r="D80" s="1184"/>
      <c r="E80" s="1185" t="s">
        <v>39</v>
      </c>
      <c r="F80" s="1184" t="s">
        <v>15</v>
      </c>
      <c r="G80" s="1186">
        <v>500000</v>
      </c>
      <c r="H80" s="1187"/>
      <c r="I80" s="1191" t="str">
        <f t="shared" si="1"/>
        <v>Xai Ta</v>
      </c>
    </row>
    <row r="81" spans="1:9" ht="18.75" customHeight="1">
      <c r="A81" s="1182">
        <v>69</v>
      </c>
      <c r="B81" s="1183">
        <v>26</v>
      </c>
      <c r="C81" s="1184"/>
      <c r="D81" s="1184"/>
      <c r="E81" s="1185" t="s">
        <v>40</v>
      </c>
      <c r="F81" s="1184" t="s">
        <v>15</v>
      </c>
      <c r="G81" s="1186">
        <v>500000</v>
      </c>
      <c r="H81" s="1187"/>
      <c r="I81" s="1191" t="str">
        <f t="shared" si="1"/>
        <v>Lươn</v>
      </c>
    </row>
    <row r="82" spans="1:9" ht="18.75" customHeight="1">
      <c r="A82" s="1182">
        <v>70</v>
      </c>
      <c r="B82" s="1183">
        <v>27</v>
      </c>
      <c r="C82" s="1184"/>
      <c r="D82" s="1184"/>
      <c r="E82" s="1185" t="s">
        <v>41</v>
      </c>
      <c r="F82" s="1184" t="s">
        <v>15</v>
      </c>
      <c r="G82" s="1186">
        <v>500000</v>
      </c>
      <c r="H82" s="1187"/>
      <c r="I82" s="1191" t="str">
        <f t="shared" si="1"/>
        <v>Nàng Lên</v>
      </c>
    </row>
    <row r="83" spans="1:9" ht="18.75" customHeight="1">
      <c r="A83" s="1182">
        <v>71</v>
      </c>
      <c r="B83" s="1183">
        <v>28</v>
      </c>
      <c r="C83" s="1184"/>
      <c r="D83" s="1184"/>
      <c r="E83" s="1185" t="s">
        <v>42</v>
      </c>
      <c r="F83" s="1184" t="s">
        <v>15</v>
      </c>
      <c r="G83" s="1186">
        <v>500000</v>
      </c>
      <c r="H83" s="1187"/>
      <c r="I83" s="1191" t="str">
        <f t="shared" si="1"/>
        <v>Nọi (3)</v>
      </c>
    </row>
    <row r="84" spans="1:9" ht="18.75" customHeight="1">
      <c r="A84" s="1182">
        <v>72</v>
      </c>
      <c r="B84" s="1183">
        <v>29</v>
      </c>
      <c r="C84" s="1184"/>
      <c r="D84" s="1184"/>
      <c r="E84" s="1185" t="s">
        <v>43</v>
      </c>
      <c r="F84" s="1184" t="s">
        <v>15</v>
      </c>
      <c r="G84" s="1186">
        <v>500000</v>
      </c>
      <c r="H84" s="1187"/>
      <c r="I84" s="1191" t="str">
        <f t="shared" si="1"/>
        <v>Lên</v>
      </c>
    </row>
    <row r="85" spans="1:9" ht="18.75" customHeight="1">
      <c r="A85" s="1182">
        <v>73</v>
      </c>
      <c r="B85" s="1183">
        <v>30</v>
      </c>
      <c r="C85" s="1184"/>
      <c r="D85" s="1184"/>
      <c r="E85" s="1185" t="s">
        <v>44</v>
      </c>
      <c r="F85" s="1184" t="s">
        <v>15</v>
      </c>
      <c r="G85" s="1186">
        <v>500000</v>
      </c>
      <c r="H85" s="1187"/>
      <c r="I85" s="1191" t="str">
        <f t="shared" si="1"/>
        <v>Khắn</v>
      </c>
    </row>
    <row r="86" spans="1:9" ht="18.75" customHeight="1">
      <c r="A86" s="1182">
        <v>74</v>
      </c>
      <c r="B86" s="1183">
        <v>31</v>
      </c>
      <c r="C86" s="1184"/>
      <c r="D86" s="1184"/>
      <c r="E86" s="1185" t="s">
        <v>45</v>
      </c>
      <c r="F86" s="1184" t="s">
        <v>15</v>
      </c>
      <c r="G86" s="1186">
        <v>500000</v>
      </c>
      <c r="H86" s="1187"/>
      <c r="I86" s="1191" t="str">
        <f t="shared" si="1"/>
        <v>XumMai</v>
      </c>
    </row>
    <row r="87" spans="1:9" ht="18.75" customHeight="1">
      <c r="A87" s="1182">
        <v>75</v>
      </c>
      <c r="B87" s="1183">
        <v>32</v>
      </c>
      <c r="C87" s="1184"/>
      <c r="D87" s="1184"/>
      <c r="E87" s="1185" t="s">
        <v>46</v>
      </c>
      <c r="F87" s="1184" t="s">
        <v>15</v>
      </c>
      <c r="G87" s="1186">
        <v>500000</v>
      </c>
      <c r="H87" s="1187"/>
      <c r="I87" s="1191" t="str">
        <f t="shared" si="1"/>
        <v>Nang Ny</v>
      </c>
    </row>
    <row r="88" spans="1:9" ht="18.75" customHeight="1">
      <c r="A88" s="1182">
        <v>76</v>
      </c>
      <c r="B88" s="1183">
        <v>33</v>
      </c>
      <c r="C88" s="1184"/>
      <c r="D88" s="1184"/>
      <c r="E88" s="1185" t="s">
        <v>47</v>
      </c>
      <c r="F88" s="1184" t="s">
        <v>15</v>
      </c>
      <c r="G88" s="1186">
        <v>500000</v>
      </c>
      <c r="H88" s="1187"/>
      <c r="I88" s="1191" t="str">
        <f t="shared" si="1"/>
        <v>Kẹo Ta</v>
      </c>
    </row>
    <row r="89" spans="1:9" ht="18.75" customHeight="1">
      <c r="A89" s="1182">
        <v>77</v>
      </c>
      <c r="B89" s="1183">
        <v>34</v>
      </c>
      <c r="C89" s="1184"/>
      <c r="D89" s="1184"/>
      <c r="E89" s="1185" t="s">
        <v>48</v>
      </c>
      <c r="F89" s="1184" t="s">
        <v>15</v>
      </c>
      <c r="G89" s="1186">
        <v>500000</v>
      </c>
      <c r="H89" s="1187"/>
      <c r="I89" s="1191" t="str">
        <f t="shared" si="1"/>
        <v>Pom</v>
      </c>
    </row>
    <row r="90" spans="1:9" ht="18.75" customHeight="1">
      <c r="A90" s="1182">
        <v>78</v>
      </c>
      <c r="B90" s="1183">
        <v>35</v>
      </c>
      <c r="C90" s="1184"/>
      <c r="D90" s="1184"/>
      <c r="E90" s="1185" t="s">
        <v>49</v>
      </c>
      <c r="F90" s="1184" t="s">
        <v>15</v>
      </c>
      <c r="G90" s="1186">
        <v>500000</v>
      </c>
      <c r="H90" s="1187"/>
      <c r="I90" s="1191" t="str">
        <f t="shared" si="1"/>
        <v>Cong</v>
      </c>
    </row>
    <row r="91" spans="1:9" ht="18.75" customHeight="1">
      <c r="A91" s="1182">
        <v>79</v>
      </c>
      <c r="B91" s="1183">
        <v>36</v>
      </c>
      <c r="C91" s="1184"/>
      <c r="D91" s="1184"/>
      <c r="E91" s="1185" t="s">
        <v>50</v>
      </c>
      <c r="F91" s="1184" t="s">
        <v>15</v>
      </c>
      <c r="G91" s="1186">
        <v>500000</v>
      </c>
      <c r="H91" s="1187"/>
      <c r="I91" s="1191" t="str">
        <f t="shared" si="1"/>
        <v>Khăm B</v>
      </c>
    </row>
    <row r="92" spans="1:9" ht="18.75" customHeight="1">
      <c r="A92" s="1182">
        <v>80</v>
      </c>
      <c r="B92" s="1183">
        <v>37</v>
      </c>
      <c r="C92" s="1184"/>
      <c r="D92" s="1184"/>
      <c r="E92" s="1185" t="s">
        <v>51</v>
      </c>
      <c r="F92" s="1184" t="s">
        <v>15</v>
      </c>
      <c r="G92" s="1186">
        <v>500000</v>
      </c>
      <c r="H92" s="1187"/>
      <c r="I92" s="1191" t="str">
        <f t="shared" si="1"/>
        <v>Khôn</v>
      </c>
    </row>
    <row r="93" spans="1:9" ht="18.75" customHeight="1">
      <c r="A93" s="1182">
        <v>81</v>
      </c>
      <c r="B93" s="1183">
        <v>38</v>
      </c>
      <c r="C93" s="1184"/>
      <c r="D93" s="1184"/>
      <c r="E93" s="1185" t="s">
        <v>52</v>
      </c>
      <c r="F93" s="1184" t="s">
        <v>15</v>
      </c>
      <c r="G93" s="1186">
        <v>500000</v>
      </c>
      <c r="H93" s="1187"/>
      <c r="I93" s="1191" t="str">
        <f t="shared" si="1"/>
        <v>Xing</v>
      </c>
    </row>
    <row r="94" spans="1:9" ht="18.75" customHeight="1">
      <c r="A94" s="1182">
        <v>82</v>
      </c>
      <c r="B94" s="1183">
        <v>39</v>
      </c>
      <c r="C94" s="1184"/>
      <c r="D94" s="1184"/>
      <c r="E94" s="1185" t="s">
        <v>53</v>
      </c>
      <c r="F94" s="1184" t="s">
        <v>15</v>
      </c>
      <c r="G94" s="1186">
        <v>500000</v>
      </c>
      <c r="H94" s="1187"/>
      <c r="I94" s="1191" t="str">
        <f t="shared" si="1"/>
        <v>Kị To</v>
      </c>
    </row>
    <row r="95" spans="1:9" ht="18.75" customHeight="1">
      <c r="A95" s="1182">
        <v>83</v>
      </c>
      <c r="B95" s="1183">
        <v>40</v>
      </c>
      <c r="C95" s="1184"/>
      <c r="D95" s="1184"/>
      <c r="E95" s="1185" t="s">
        <v>54</v>
      </c>
      <c r="F95" s="1184" t="s">
        <v>15</v>
      </c>
      <c r="G95" s="1186">
        <v>500000</v>
      </c>
      <c r="H95" s="1187"/>
      <c r="I95" s="1191" t="str">
        <f t="shared" si="1"/>
        <v>Thảo Ký</v>
      </c>
    </row>
    <row r="96" spans="1:9" ht="18.75" customHeight="1">
      <c r="A96" s="1182">
        <v>84</v>
      </c>
      <c r="B96" s="1183">
        <v>41</v>
      </c>
      <c r="C96" s="1184"/>
      <c r="D96" s="1184"/>
      <c r="E96" s="1185" t="s">
        <v>55</v>
      </c>
      <c r="F96" s="1184" t="s">
        <v>15</v>
      </c>
      <c r="G96" s="1186">
        <v>500000</v>
      </c>
      <c r="H96" s="1187"/>
      <c r="I96" s="1191" t="str">
        <f t="shared" si="1"/>
        <v>Nam Phon</v>
      </c>
    </row>
    <row r="97" spans="1:17" ht="18.75" customHeight="1">
      <c r="A97" s="1182">
        <v>85</v>
      </c>
      <c r="B97" s="1183">
        <v>42</v>
      </c>
      <c r="C97" s="1184"/>
      <c r="D97" s="1184"/>
      <c r="E97" s="1185" t="s">
        <v>56</v>
      </c>
      <c r="F97" s="1184" t="s">
        <v>15</v>
      </c>
      <c r="G97" s="1186">
        <v>500000</v>
      </c>
      <c r="H97" s="1187"/>
      <c r="I97" s="1191" t="str">
        <f t="shared" si="1"/>
        <v>Lon</v>
      </c>
    </row>
    <row r="98" spans="1:17" ht="18.75" customHeight="1">
      <c r="A98" s="1182">
        <v>86</v>
      </c>
      <c r="B98" s="1183">
        <v>43</v>
      </c>
      <c r="C98" s="1184"/>
      <c r="D98" s="1184"/>
      <c r="E98" s="1185" t="s">
        <v>57</v>
      </c>
      <c r="F98" s="1184" t="s">
        <v>15</v>
      </c>
      <c r="G98" s="1186">
        <v>500000</v>
      </c>
      <c r="H98" s="1187"/>
      <c r="I98" s="1191" t="str">
        <f t="shared" si="1"/>
        <v>Me Son</v>
      </c>
    </row>
    <row r="99" spans="1:17" ht="18.75" customHeight="1">
      <c r="A99" s="1182">
        <v>87</v>
      </c>
      <c r="B99" s="1183">
        <v>44</v>
      </c>
      <c r="C99" s="1184"/>
      <c r="D99" s="1184"/>
      <c r="E99" s="1185" t="s">
        <v>59</v>
      </c>
      <c r="F99" s="1184" t="s">
        <v>15</v>
      </c>
      <c r="G99" s="1186">
        <v>500000</v>
      </c>
      <c r="H99" s="1187"/>
      <c r="I99" s="1191" t="str">
        <f t="shared" si="1"/>
        <v>Nít</v>
      </c>
    </row>
    <row r="100" spans="1:17" ht="18.75" customHeight="1">
      <c r="A100" s="1182">
        <v>88</v>
      </c>
      <c r="B100" s="1183">
        <v>45</v>
      </c>
      <c r="C100" s="1184"/>
      <c r="D100" s="1184"/>
      <c r="E100" s="1185" t="s">
        <v>60</v>
      </c>
      <c r="F100" s="1184" t="s">
        <v>15</v>
      </c>
      <c r="G100" s="1186">
        <v>500000</v>
      </c>
      <c r="H100" s="1187"/>
      <c r="I100" s="1191" t="str">
        <f t="shared" si="1"/>
        <v>Nui</v>
      </c>
      <c r="Q100" s="1192">
        <f>760.5-48.5</f>
        <v>712</v>
      </c>
    </row>
    <row r="101" spans="1:17" ht="18.75" customHeight="1">
      <c r="A101" s="1182">
        <v>89</v>
      </c>
      <c r="B101" s="1183">
        <v>46</v>
      </c>
      <c r="C101" s="1184"/>
      <c r="D101" s="1184"/>
      <c r="E101" s="1185" t="s">
        <v>61</v>
      </c>
      <c r="F101" s="1184" t="s">
        <v>15</v>
      </c>
      <c r="G101" s="1186">
        <v>500000</v>
      </c>
      <c r="H101" s="1187"/>
      <c r="I101" s="1191" t="str">
        <f t="shared" si="1"/>
        <v>Đuông Chăn</v>
      </c>
      <c r="Q101" s="1173">
        <f>+Q100*30</f>
        <v>21360</v>
      </c>
    </row>
    <row r="102" spans="1:17" ht="18.75" customHeight="1">
      <c r="A102" s="1182">
        <v>90</v>
      </c>
      <c r="B102" s="1183">
        <v>47</v>
      </c>
      <c r="C102" s="1184"/>
      <c r="D102" s="1184"/>
      <c r="E102" s="1185" t="s">
        <v>62</v>
      </c>
      <c r="F102" s="1184" t="s">
        <v>15</v>
      </c>
      <c r="G102" s="1186">
        <v>500000</v>
      </c>
      <c r="H102" s="1187"/>
      <c r="I102" s="1191" t="str">
        <f t="shared" si="1"/>
        <v>Đăm (3)</v>
      </c>
    </row>
    <row r="103" spans="1:17" ht="18.75" customHeight="1">
      <c r="A103" s="1182">
        <v>91</v>
      </c>
      <c r="B103" s="1183">
        <v>48</v>
      </c>
      <c r="C103" s="1184"/>
      <c r="D103" s="1184"/>
      <c r="E103" s="1185" t="s">
        <v>63</v>
      </c>
      <c r="F103" s="1184" t="s">
        <v>15</v>
      </c>
      <c r="G103" s="1186">
        <v>500000</v>
      </c>
      <c r="H103" s="1187"/>
      <c r="I103" s="1191" t="str">
        <f t="shared" si="1"/>
        <v>Hăm Nọi A</v>
      </c>
    </row>
    <row r="104" spans="1:17" ht="18.75" customHeight="1">
      <c r="A104" s="1182">
        <v>92</v>
      </c>
      <c r="B104" s="1183">
        <v>49</v>
      </c>
      <c r="C104" s="1184"/>
      <c r="D104" s="1184"/>
      <c r="E104" s="1185" t="s">
        <v>64</v>
      </c>
      <c r="F104" s="1184" t="s">
        <v>15</v>
      </c>
      <c r="G104" s="1186">
        <v>500000</v>
      </c>
      <c r="H104" s="1187"/>
      <c r="I104" s="1191" t="str">
        <f t="shared" si="1"/>
        <v>Hip</v>
      </c>
    </row>
    <row r="105" spans="1:17" ht="18.75" customHeight="1">
      <c r="A105" s="1182">
        <v>93</v>
      </c>
      <c r="B105" s="1183">
        <v>50</v>
      </c>
      <c r="C105" s="1184"/>
      <c r="D105" s="1184"/>
      <c r="E105" s="1185" t="s">
        <v>65</v>
      </c>
      <c r="F105" s="1184" t="s">
        <v>15</v>
      </c>
      <c r="G105" s="1186">
        <v>500000</v>
      </c>
      <c r="H105" s="1187"/>
      <c r="I105" s="1191" t="str">
        <f t="shared" si="1"/>
        <v>Hăm Noi B</v>
      </c>
    </row>
    <row r="106" spans="1:17" ht="18.75" customHeight="1">
      <c r="A106" s="1182">
        <v>94</v>
      </c>
      <c r="B106" s="1183">
        <v>51</v>
      </c>
      <c r="C106" s="1184"/>
      <c r="D106" s="1184"/>
      <c r="E106" s="1185" t="s">
        <v>66</v>
      </c>
      <c r="F106" s="1184" t="s">
        <v>15</v>
      </c>
      <c r="G106" s="1186">
        <v>500000</v>
      </c>
      <c r="H106" s="1187"/>
      <c r="I106" s="1191" t="str">
        <f t="shared" si="1"/>
        <v>Tụp</v>
      </c>
    </row>
    <row r="107" spans="1:17" ht="18.75" customHeight="1">
      <c r="A107" s="1182">
        <v>95</v>
      </c>
      <c r="B107" s="1183">
        <v>52</v>
      </c>
      <c r="C107" s="1184"/>
      <c r="D107" s="1184"/>
      <c r="E107" s="1185" t="s">
        <v>67</v>
      </c>
      <c r="F107" s="1184" t="s">
        <v>15</v>
      </c>
      <c r="G107" s="1186">
        <v>500000</v>
      </c>
      <c r="H107" s="1187"/>
      <c r="I107" s="1191" t="str">
        <f t="shared" si="1"/>
        <v>S Ting</v>
      </c>
    </row>
    <row r="108" spans="1:17" ht="18.75" customHeight="1">
      <c r="A108" s="1182">
        <v>96</v>
      </c>
      <c r="B108" s="1183">
        <v>53</v>
      </c>
      <c r="C108" s="1184"/>
      <c r="D108" s="1184"/>
      <c r="E108" s="1185" t="s">
        <v>68</v>
      </c>
      <c r="F108" s="1184" t="s">
        <v>15</v>
      </c>
      <c r="G108" s="1186">
        <v>500000</v>
      </c>
      <c r="H108" s="1187"/>
      <c r="I108" s="1191" t="str">
        <f t="shared" si="1"/>
        <v>Tom</v>
      </c>
    </row>
    <row r="109" spans="1:17" ht="18.75" customHeight="1">
      <c r="A109" s="1182">
        <v>97</v>
      </c>
      <c r="B109" s="1183">
        <v>54</v>
      </c>
      <c r="C109" s="1184"/>
      <c r="D109" s="1184"/>
      <c r="E109" s="1185" t="s">
        <v>69</v>
      </c>
      <c r="F109" s="1184" t="s">
        <v>15</v>
      </c>
      <c r="G109" s="1186">
        <v>500000</v>
      </c>
      <c r="H109" s="1187"/>
      <c r="I109" s="1191" t="str">
        <f t="shared" si="1"/>
        <v>Nang Py</v>
      </c>
    </row>
    <row r="110" spans="1:17" ht="18.75" customHeight="1">
      <c r="A110" s="1182">
        <v>98</v>
      </c>
      <c r="B110" s="1183">
        <v>55</v>
      </c>
      <c r="C110" s="1184"/>
      <c r="D110" s="1184"/>
      <c r="E110" s="1185" t="s">
        <v>70</v>
      </c>
      <c r="F110" s="1184" t="s">
        <v>15</v>
      </c>
      <c r="G110" s="1186">
        <v>500000</v>
      </c>
      <c r="H110" s="1187"/>
      <c r="I110" s="1191" t="str">
        <f t="shared" si="1"/>
        <v>Ô</v>
      </c>
    </row>
    <row r="111" spans="1:17" ht="18.75" customHeight="1">
      <c r="A111" s="1182">
        <v>99</v>
      </c>
      <c r="B111" s="1183">
        <v>56</v>
      </c>
      <c r="C111" s="1184"/>
      <c r="D111" s="1184"/>
      <c r="E111" s="1185" t="s">
        <v>71</v>
      </c>
      <c r="F111" s="1184" t="s">
        <v>15</v>
      </c>
      <c r="G111" s="1186">
        <v>500000</v>
      </c>
      <c r="H111" s="1187"/>
      <c r="I111" s="1191" t="str">
        <f t="shared" si="1"/>
        <v>Văn Thong</v>
      </c>
    </row>
    <row r="112" spans="1:17" ht="18.75" customHeight="1">
      <c r="A112" s="1182">
        <v>100</v>
      </c>
      <c r="B112" s="1183">
        <v>57</v>
      </c>
      <c r="C112" s="1184"/>
      <c r="D112" s="1184"/>
      <c r="E112" s="1185" t="s">
        <v>72</v>
      </c>
      <c r="F112" s="1184" t="s">
        <v>15</v>
      </c>
      <c r="G112" s="1186">
        <v>500000</v>
      </c>
      <c r="H112" s="1187"/>
      <c r="I112" s="1191" t="str">
        <f t="shared" si="1"/>
        <v>Va</v>
      </c>
    </row>
    <row r="113" spans="1:9" ht="18.75" customHeight="1">
      <c r="A113" s="2346" t="s">
        <v>73</v>
      </c>
      <c r="B113" s="2347"/>
      <c r="C113" s="2347"/>
      <c r="D113" s="2347"/>
      <c r="E113" s="2347"/>
      <c r="F113" s="2348"/>
      <c r="G113" s="1181">
        <f>SUM(G114:G199)</f>
        <v>43000000</v>
      </c>
      <c r="H113" s="1181"/>
      <c r="I113" s="1181"/>
    </row>
    <row r="114" spans="1:9" ht="18.75" customHeight="1">
      <c r="A114" s="1182">
        <v>101</v>
      </c>
      <c r="B114" s="1183">
        <v>1</v>
      </c>
      <c r="C114" s="1184"/>
      <c r="D114" s="1184"/>
      <c r="E114" s="1185" t="s">
        <v>14</v>
      </c>
      <c r="F114" s="1184" t="s">
        <v>15</v>
      </c>
      <c r="G114" s="1186">
        <v>500000</v>
      </c>
      <c r="H114" s="1187"/>
      <c r="I114" s="1191" t="str">
        <f t="shared" ref="I114:I177" si="2">E114</f>
        <v>Bôn</v>
      </c>
    </row>
    <row r="115" spans="1:9" ht="18.75" customHeight="1">
      <c r="A115" s="1182">
        <v>102</v>
      </c>
      <c r="B115" s="1183">
        <v>2</v>
      </c>
      <c r="C115" s="1184"/>
      <c r="D115" s="1184"/>
      <c r="E115" s="1185" t="s">
        <v>16</v>
      </c>
      <c r="F115" s="1184" t="s">
        <v>15</v>
      </c>
      <c r="G115" s="1186">
        <v>500000</v>
      </c>
      <c r="H115" s="1187"/>
      <c r="I115" s="1191" t="str">
        <f t="shared" si="2"/>
        <v>E</v>
      </c>
    </row>
    <row r="116" spans="1:9" ht="18.75" customHeight="1">
      <c r="A116" s="1182">
        <v>103</v>
      </c>
      <c r="B116" s="1183">
        <v>3</v>
      </c>
      <c r="C116" s="1184"/>
      <c r="D116" s="1184"/>
      <c r="E116" s="1185" t="s">
        <v>17</v>
      </c>
      <c r="F116" s="1184" t="s">
        <v>15</v>
      </c>
      <c r="G116" s="1186">
        <v>500000</v>
      </c>
      <c r="H116" s="1187"/>
      <c r="I116" s="1191" t="str">
        <f t="shared" si="2"/>
        <v>Khương (3)</v>
      </c>
    </row>
    <row r="117" spans="1:9" ht="18.75" customHeight="1">
      <c r="A117" s="1182">
        <v>104</v>
      </c>
      <c r="B117" s="1183">
        <v>4</v>
      </c>
      <c r="C117" s="1184"/>
      <c r="D117" s="1184"/>
      <c r="E117" s="1185" t="s">
        <v>18</v>
      </c>
      <c r="F117" s="1184" t="s">
        <v>15</v>
      </c>
      <c r="G117" s="1186">
        <v>500000</v>
      </c>
      <c r="H117" s="1187"/>
      <c r="I117" s="1191" t="str">
        <f t="shared" si="2"/>
        <v>Nít Ni Lanh</v>
      </c>
    </row>
    <row r="118" spans="1:9" ht="18.75" customHeight="1">
      <c r="A118" s="1182">
        <v>105</v>
      </c>
      <c r="B118" s="1183">
        <v>5</v>
      </c>
      <c r="C118" s="1184"/>
      <c r="D118" s="1184"/>
      <c r="E118" s="1185" t="s">
        <v>19</v>
      </c>
      <c r="F118" s="1184" t="s">
        <v>15</v>
      </c>
      <c r="G118" s="1186">
        <v>500000</v>
      </c>
      <c r="H118" s="1187"/>
      <c r="I118" s="1191" t="str">
        <f t="shared" si="2"/>
        <v>Khăm Đeng</v>
      </c>
    </row>
    <row r="119" spans="1:9" ht="18.75" customHeight="1">
      <c r="A119" s="1182">
        <v>106</v>
      </c>
      <c r="B119" s="1183">
        <v>6</v>
      </c>
      <c r="C119" s="1184"/>
      <c r="D119" s="1184"/>
      <c r="E119" s="1185" t="s">
        <v>20</v>
      </c>
      <c r="F119" s="1184" t="s">
        <v>15</v>
      </c>
      <c r="G119" s="1186">
        <v>500000</v>
      </c>
      <c r="H119" s="1187"/>
      <c r="I119" s="1191" t="str">
        <f t="shared" si="2"/>
        <v>Nàng  Năt</v>
      </c>
    </row>
    <row r="120" spans="1:9" ht="18.75" customHeight="1">
      <c r="A120" s="1182">
        <v>107</v>
      </c>
      <c r="B120" s="1183">
        <v>7</v>
      </c>
      <c r="C120" s="1184"/>
      <c r="D120" s="1184"/>
      <c r="E120" s="1185" t="s">
        <v>21</v>
      </c>
      <c r="F120" s="1184" t="s">
        <v>15</v>
      </c>
      <c r="G120" s="1186">
        <v>500000</v>
      </c>
      <c r="H120" s="1187"/>
      <c r="I120" s="1191" t="str">
        <f t="shared" si="2"/>
        <v>Xay (3)</v>
      </c>
    </row>
    <row r="121" spans="1:9" ht="18.75" customHeight="1">
      <c r="A121" s="1182">
        <v>108</v>
      </c>
      <c r="B121" s="1183">
        <v>8</v>
      </c>
      <c r="C121" s="1184"/>
      <c r="D121" s="1184"/>
      <c r="E121" s="1185" t="s">
        <v>22</v>
      </c>
      <c r="F121" s="1184" t="s">
        <v>15</v>
      </c>
      <c r="G121" s="1186">
        <v>500000</v>
      </c>
      <c r="H121" s="1187"/>
      <c r="I121" s="1191" t="str">
        <f t="shared" si="2"/>
        <v>Xôn</v>
      </c>
    </row>
    <row r="122" spans="1:9" ht="18.75" customHeight="1">
      <c r="A122" s="1182">
        <v>109</v>
      </c>
      <c r="B122" s="1183">
        <v>9</v>
      </c>
      <c r="C122" s="1184"/>
      <c r="D122" s="1184"/>
      <c r="E122" s="1185" t="s">
        <v>23</v>
      </c>
      <c r="F122" s="1184" t="s">
        <v>15</v>
      </c>
      <c r="G122" s="1186">
        <v>500000</v>
      </c>
      <c r="H122" s="1187"/>
      <c r="I122" s="1191" t="str">
        <f t="shared" si="2"/>
        <v>Phum Hom</v>
      </c>
    </row>
    <row r="123" spans="1:9" ht="18.75" customHeight="1">
      <c r="A123" s="1182">
        <v>110</v>
      </c>
      <c r="B123" s="1183">
        <v>10</v>
      </c>
      <c r="C123" s="1184"/>
      <c r="D123" s="1184"/>
      <c r="E123" s="1185" t="s">
        <v>24</v>
      </c>
      <c r="F123" s="1184" t="s">
        <v>15</v>
      </c>
      <c r="G123" s="1186">
        <v>500000</v>
      </c>
      <c r="H123" s="1187"/>
      <c r="I123" s="1191" t="str">
        <f t="shared" si="2"/>
        <v>Pa Lay</v>
      </c>
    </row>
    <row r="124" spans="1:9" ht="18.75" customHeight="1">
      <c r="A124" s="1182">
        <v>111</v>
      </c>
      <c r="B124" s="1183">
        <v>11</v>
      </c>
      <c r="C124" s="1184"/>
      <c r="D124" s="1184"/>
      <c r="E124" s="1185" t="s">
        <v>25</v>
      </c>
      <c r="F124" s="1184" t="s">
        <v>15</v>
      </c>
      <c r="G124" s="1186">
        <v>500000</v>
      </c>
      <c r="H124" s="1187"/>
      <c r="I124" s="1191" t="str">
        <f t="shared" si="2"/>
        <v>Măm</v>
      </c>
    </row>
    <row r="125" spans="1:9" ht="18.75" customHeight="1">
      <c r="A125" s="1182">
        <v>112</v>
      </c>
      <c r="B125" s="1183">
        <v>12</v>
      </c>
      <c r="C125" s="1184"/>
      <c r="D125" s="1184"/>
      <c r="E125" s="1185" t="s">
        <v>26</v>
      </c>
      <c r="F125" s="1184" t="s">
        <v>15</v>
      </c>
      <c r="G125" s="1186">
        <v>500000</v>
      </c>
      <c r="H125" s="1187"/>
      <c r="I125" s="1191" t="str">
        <f t="shared" si="2"/>
        <v>Muôi</v>
      </c>
    </row>
    <row r="126" spans="1:9" ht="18.75" customHeight="1">
      <c r="A126" s="1182">
        <v>113</v>
      </c>
      <c r="B126" s="1183">
        <v>13</v>
      </c>
      <c r="C126" s="1184"/>
      <c r="D126" s="1184"/>
      <c r="E126" s="1185" t="s">
        <v>27</v>
      </c>
      <c r="F126" s="1184" t="s">
        <v>15</v>
      </c>
      <c r="G126" s="1186">
        <v>500000</v>
      </c>
      <c r="H126" s="1187"/>
      <c r="I126" s="1191" t="str">
        <f t="shared" si="2"/>
        <v>Vat Sa Na</v>
      </c>
    </row>
    <row r="127" spans="1:9" ht="18.75" customHeight="1">
      <c r="A127" s="1182">
        <v>114</v>
      </c>
      <c r="B127" s="1183">
        <v>14</v>
      </c>
      <c r="C127" s="1184"/>
      <c r="D127" s="1184"/>
      <c r="E127" s="1185" t="s">
        <v>28</v>
      </c>
      <c r="F127" s="1184" t="s">
        <v>15</v>
      </c>
      <c r="G127" s="1186">
        <v>500000</v>
      </c>
      <c r="H127" s="1187"/>
      <c r="I127" s="1191" t="str">
        <f t="shared" si="2"/>
        <v>Xi La</v>
      </c>
    </row>
    <row r="128" spans="1:9" ht="18.75" customHeight="1">
      <c r="A128" s="1182">
        <v>115</v>
      </c>
      <c r="B128" s="1183">
        <v>15</v>
      </c>
      <c r="C128" s="1184"/>
      <c r="D128" s="1184"/>
      <c r="E128" s="1185" t="s">
        <v>29</v>
      </c>
      <c r="F128" s="1184" t="s">
        <v>15</v>
      </c>
      <c r="G128" s="1186">
        <v>500000</v>
      </c>
      <c r="H128" s="1187"/>
      <c r="I128" s="1191" t="str">
        <f t="shared" si="2"/>
        <v>Me Nhon</v>
      </c>
    </row>
    <row r="129" spans="1:9" ht="18.75" customHeight="1">
      <c r="A129" s="1182">
        <v>116</v>
      </c>
      <c r="B129" s="1183">
        <v>16</v>
      </c>
      <c r="C129" s="1184"/>
      <c r="D129" s="1184"/>
      <c r="E129" s="1185" t="s">
        <v>30</v>
      </c>
      <c r="F129" s="1184" t="s">
        <v>15</v>
      </c>
      <c r="G129" s="1186">
        <v>500000</v>
      </c>
      <c r="H129" s="1187"/>
      <c r="I129" s="1191" t="str">
        <f t="shared" si="2"/>
        <v>Ten (3)</v>
      </c>
    </row>
    <row r="130" spans="1:9" ht="18.75" customHeight="1">
      <c r="A130" s="1182">
        <v>117</v>
      </c>
      <c r="B130" s="1183">
        <v>17</v>
      </c>
      <c r="C130" s="1184"/>
      <c r="D130" s="1184"/>
      <c r="E130" s="1185" t="s">
        <v>31</v>
      </c>
      <c r="F130" s="1184" t="s">
        <v>15</v>
      </c>
      <c r="G130" s="1186">
        <v>500000</v>
      </c>
      <c r="H130" s="1187"/>
      <c r="I130" s="1191" t="str">
        <f t="shared" si="2"/>
        <v>Ki</v>
      </c>
    </row>
    <row r="131" spans="1:9" ht="18.75" customHeight="1">
      <c r="A131" s="1182">
        <v>118</v>
      </c>
      <c r="B131" s="1183">
        <v>18</v>
      </c>
      <c r="C131" s="1184"/>
      <c r="D131" s="1184"/>
      <c r="E131" s="1185" t="s">
        <v>32</v>
      </c>
      <c r="F131" s="1184" t="s">
        <v>15</v>
      </c>
      <c r="G131" s="1186">
        <v>500000</v>
      </c>
      <c r="H131" s="1187"/>
      <c r="I131" s="1191" t="str">
        <f t="shared" si="2"/>
        <v>Phết (3)</v>
      </c>
    </row>
    <row r="132" spans="1:9" ht="18.75" customHeight="1">
      <c r="A132" s="1182">
        <v>119</v>
      </c>
      <c r="B132" s="1183">
        <v>19</v>
      </c>
      <c r="C132" s="1184"/>
      <c r="D132" s="1184"/>
      <c r="E132" s="1185" t="s">
        <v>33</v>
      </c>
      <c r="F132" s="1184" t="s">
        <v>15</v>
      </c>
      <c r="G132" s="1186">
        <v>500000</v>
      </c>
      <c r="H132" s="1187"/>
      <c r="I132" s="1191" t="str">
        <f t="shared" si="2"/>
        <v>Phon (3)</v>
      </c>
    </row>
    <row r="133" spans="1:9" ht="18.75" customHeight="1">
      <c r="A133" s="1182">
        <v>120</v>
      </c>
      <c r="B133" s="1183">
        <v>20</v>
      </c>
      <c r="C133" s="1184"/>
      <c r="D133" s="1184"/>
      <c r="E133" s="1185" t="s">
        <v>34</v>
      </c>
      <c r="F133" s="1184" t="s">
        <v>15</v>
      </c>
      <c r="G133" s="1186">
        <v>500000</v>
      </c>
      <c r="H133" s="1187"/>
      <c r="I133" s="1191" t="str">
        <f t="shared" si="2"/>
        <v>Nang Vone</v>
      </c>
    </row>
    <row r="134" spans="1:9" ht="18.75" customHeight="1">
      <c r="A134" s="1182">
        <v>121</v>
      </c>
      <c r="B134" s="1183">
        <v>21</v>
      </c>
      <c r="C134" s="1184"/>
      <c r="D134" s="1184"/>
      <c r="E134" s="1185" t="s">
        <v>35</v>
      </c>
      <c r="F134" s="1184" t="s">
        <v>15</v>
      </c>
      <c r="G134" s="1186">
        <v>500000</v>
      </c>
      <c r="H134" s="1187"/>
      <c r="I134" s="1191" t="str">
        <f t="shared" si="2"/>
        <v>Lăng A</v>
      </c>
    </row>
    <row r="135" spans="1:9" ht="18.75" customHeight="1">
      <c r="A135" s="1182">
        <v>122</v>
      </c>
      <c r="B135" s="1183">
        <v>22</v>
      </c>
      <c r="C135" s="1184"/>
      <c r="D135" s="1184"/>
      <c r="E135" s="1185" t="s">
        <v>36</v>
      </c>
      <c r="F135" s="1184" t="s">
        <v>15</v>
      </c>
      <c r="G135" s="1186">
        <v>500000</v>
      </c>
      <c r="H135" s="1187"/>
      <c r="I135" s="1191" t="str">
        <f t="shared" si="2"/>
        <v>Nút</v>
      </c>
    </row>
    <row r="136" spans="1:9" ht="18.75" customHeight="1">
      <c r="A136" s="1182">
        <v>123</v>
      </c>
      <c r="B136" s="1183">
        <v>23</v>
      </c>
      <c r="C136" s="1184"/>
      <c r="D136" s="1184"/>
      <c r="E136" s="1185" t="s">
        <v>37</v>
      </c>
      <c r="F136" s="1184" t="s">
        <v>15</v>
      </c>
      <c r="G136" s="1186">
        <v>500000</v>
      </c>
      <c r="H136" s="1187"/>
      <c r="I136" s="1191" t="str">
        <f t="shared" si="2"/>
        <v>Xit</v>
      </c>
    </row>
    <row r="137" spans="1:9" ht="18.75" customHeight="1">
      <c r="A137" s="1182">
        <v>124</v>
      </c>
      <c r="B137" s="1183">
        <v>24</v>
      </c>
      <c r="C137" s="1184"/>
      <c r="D137" s="1184"/>
      <c r="E137" s="1185" t="s">
        <v>38</v>
      </c>
      <c r="F137" s="1184" t="s">
        <v>15</v>
      </c>
      <c r="G137" s="1186">
        <v>500000</v>
      </c>
      <c r="H137" s="1187"/>
      <c r="I137" s="1191" t="str">
        <f t="shared" si="2"/>
        <v>Kum Man</v>
      </c>
    </row>
    <row r="138" spans="1:9" ht="18.75" customHeight="1">
      <c r="A138" s="1182">
        <v>125</v>
      </c>
      <c r="B138" s="1183">
        <v>25</v>
      </c>
      <c r="C138" s="1184"/>
      <c r="D138" s="1184"/>
      <c r="E138" s="1185" t="s">
        <v>39</v>
      </c>
      <c r="F138" s="1184" t="s">
        <v>15</v>
      </c>
      <c r="G138" s="1186">
        <v>500000</v>
      </c>
      <c r="H138" s="1187"/>
      <c r="I138" s="1191" t="str">
        <f t="shared" si="2"/>
        <v>Xai Ta</v>
      </c>
    </row>
    <row r="139" spans="1:9" ht="18.75" customHeight="1">
      <c r="A139" s="1182">
        <v>126</v>
      </c>
      <c r="B139" s="1183">
        <v>26</v>
      </c>
      <c r="C139" s="1184"/>
      <c r="D139" s="1184"/>
      <c r="E139" s="1185" t="s">
        <v>40</v>
      </c>
      <c r="F139" s="1184" t="s">
        <v>15</v>
      </c>
      <c r="G139" s="1186">
        <v>500000</v>
      </c>
      <c r="H139" s="1187"/>
      <c r="I139" s="1191" t="str">
        <f t="shared" si="2"/>
        <v>Lươn</v>
      </c>
    </row>
    <row r="140" spans="1:9" ht="18.75" customHeight="1">
      <c r="A140" s="1182">
        <v>127</v>
      </c>
      <c r="B140" s="1183">
        <v>27</v>
      </c>
      <c r="C140" s="1184"/>
      <c r="D140" s="1184"/>
      <c r="E140" s="1185" t="s">
        <v>41</v>
      </c>
      <c r="F140" s="1184" t="s">
        <v>15</v>
      </c>
      <c r="G140" s="1186">
        <v>500000</v>
      </c>
      <c r="H140" s="1187"/>
      <c r="I140" s="1191" t="str">
        <f t="shared" si="2"/>
        <v>Nàng Lên</v>
      </c>
    </row>
    <row r="141" spans="1:9" ht="18.75" customHeight="1">
      <c r="A141" s="1182">
        <v>128</v>
      </c>
      <c r="B141" s="1183">
        <v>28</v>
      </c>
      <c r="C141" s="1184"/>
      <c r="D141" s="1184"/>
      <c r="E141" s="1185" t="s">
        <v>42</v>
      </c>
      <c r="F141" s="1184" t="s">
        <v>15</v>
      </c>
      <c r="G141" s="1186">
        <v>500000</v>
      </c>
      <c r="H141" s="1187"/>
      <c r="I141" s="1191" t="str">
        <f t="shared" si="2"/>
        <v>Nọi (3)</v>
      </c>
    </row>
    <row r="142" spans="1:9" ht="18.75" customHeight="1">
      <c r="A142" s="1182">
        <v>129</v>
      </c>
      <c r="B142" s="1183">
        <v>29</v>
      </c>
      <c r="C142" s="1184"/>
      <c r="D142" s="1184"/>
      <c r="E142" s="1185" t="s">
        <v>43</v>
      </c>
      <c r="F142" s="1184" t="s">
        <v>15</v>
      </c>
      <c r="G142" s="1186">
        <v>500000</v>
      </c>
      <c r="H142" s="1187"/>
      <c r="I142" s="1191" t="str">
        <f t="shared" si="2"/>
        <v>Lên</v>
      </c>
    </row>
    <row r="143" spans="1:9" ht="18.75" customHeight="1">
      <c r="A143" s="1182">
        <v>130</v>
      </c>
      <c r="B143" s="1183">
        <v>30</v>
      </c>
      <c r="C143" s="1184"/>
      <c r="D143" s="1184"/>
      <c r="E143" s="1185" t="s">
        <v>44</v>
      </c>
      <c r="F143" s="1184" t="s">
        <v>15</v>
      </c>
      <c r="G143" s="1186">
        <v>500000</v>
      </c>
      <c r="H143" s="1187"/>
      <c r="I143" s="1191" t="str">
        <f t="shared" si="2"/>
        <v>Khắn</v>
      </c>
    </row>
    <row r="144" spans="1:9" ht="18.75" customHeight="1">
      <c r="A144" s="1182">
        <v>131</v>
      </c>
      <c r="B144" s="1183">
        <v>31</v>
      </c>
      <c r="C144" s="1184"/>
      <c r="D144" s="1184"/>
      <c r="E144" s="1185" t="s">
        <v>45</v>
      </c>
      <c r="F144" s="1184" t="s">
        <v>15</v>
      </c>
      <c r="G144" s="1186">
        <v>500000</v>
      </c>
      <c r="H144" s="1187"/>
      <c r="I144" s="1191" t="str">
        <f t="shared" si="2"/>
        <v>XumMai</v>
      </c>
    </row>
    <row r="145" spans="1:17" ht="18.75" customHeight="1">
      <c r="A145" s="1182">
        <v>132</v>
      </c>
      <c r="B145" s="1183">
        <v>32</v>
      </c>
      <c r="C145" s="1184"/>
      <c r="D145" s="1184"/>
      <c r="E145" s="1185" t="s">
        <v>46</v>
      </c>
      <c r="F145" s="1184" t="s">
        <v>15</v>
      </c>
      <c r="G145" s="1186">
        <v>500000</v>
      </c>
      <c r="H145" s="1187"/>
      <c r="I145" s="1191" t="str">
        <f t="shared" si="2"/>
        <v>Nang Ny</v>
      </c>
    </row>
    <row r="146" spans="1:17" ht="18.75" customHeight="1">
      <c r="A146" s="1182">
        <v>133</v>
      </c>
      <c r="B146" s="1183">
        <v>33</v>
      </c>
      <c r="C146" s="1184"/>
      <c r="D146" s="1184"/>
      <c r="E146" s="1185" t="s">
        <v>47</v>
      </c>
      <c r="F146" s="1184" t="s">
        <v>15</v>
      </c>
      <c r="G146" s="1186">
        <v>500000</v>
      </c>
      <c r="H146" s="1187"/>
      <c r="I146" s="1191" t="str">
        <f t="shared" si="2"/>
        <v>Kẹo Ta</v>
      </c>
    </row>
    <row r="147" spans="1:17" ht="18.75" customHeight="1">
      <c r="A147" s="1182">
        <v>134</v>
      </c>
      <c r="B147" s="1183">
        <v>34</v>
      </c>
      <c r="C147" s="1184"/>
      <c r="D147" s="1184"/>
      <c r="E147" s="1185" t="s">
        <v>48</v>
      </c>
      <c r="F147" s="1184" t="s">
        <v>15</v>
      </c>
      <c r="G147" s="1186">
        <v>500000</v>
      </c>
      <c r="H147" s="1187"/>
      <c r="I147" s="1191" t="str">
        <f t="shared" si="2"/>
        <v>Pom</v>
      </c>
    </row>
    <row r="148" spans="1:17" ht="18.75" customHeight="1">
      <c r="A148" s="1182">
        <v>135</v>
      </c>
      <c r="B148" s="1183">
        <v>35</v>
      </c>
      <c r="C148" s="1184"/>
      <c r="D148" s="1184"/>
      <c r="E148" s="1185" t="s">
        <v>49</v>
      </c>
      <c r="F148" s="1184" t="s">
        <v>15</v>
      </c>
      <c r="G148" s="1186">
        <v>500000</v>
      </c>
      <c r="H148" s="1187"/>
      <c r="I148" s="1191" t="str">
        <f t="shared" si="2"/>
        <v>Cong</v>
      </c>
    </row>
    <row r="149" spans="1:17" ht="18.75" customHeight="1">
      <c r="A149" s="1182">
        <v>136</v>
      </c>
      <c r="B149" s="1183">
        <v>36</v>
      </c>
      <c r="C149" s="1184"/>
      <c r="D149" s="1184"/>
      <c r="E149" s="1185" t="s">
        <v>50</v>
      </c>
      <c r="F149" s="1184" t="s">
        <v>15</v>
      </c>
      <c r="G149" s="1186">
        <v>500000</v>
      </c>
      <c r="H149" s="1187"/>
      <c r="I149" s="1191" t="str">
        <f t="shared" si="2"/>
        <v>Khăm B</v>
      </c>
    </row>
    <row r="150" spans="1:17" ht="18.75" customHeight="1">
      <c r="A150" s="1182">
        <v>137</v>
      </c>
      <c r="B150" s="1183">
        <v>37</v>
      </c>
      <c r="C150" s="1184"/>
      <c r="D150" s="1184"/>
      <c r="E150" s="1185" t="s">
        <v>51</v>
      </c>
      <c r="F150" s="1184" t="s">
        <v>15</v>
      </c>
      <c r="G150" s="1186">
        <v>500000</v>
      </c>
      <c r="H150" s="1187"/>
      <c r="I150" s="1191" t="str">
        <f t="shared" si="2"/>
        <v>Khôn</v>
      </c>
    </row>
    <row r="151" spans="1:17" ht="18.75" customHeight="1">
      <c r="A151" s="1182">
        <v>138</v>
      </c>
      <c r="B151" s="1183">
        <v>38</v>
      </c>
      <c r="C151" s="1184"/>
      <c r="D151" s="1184"/>
      <c r="E151" s="1185" t="s">
        <v>52</v>
      </c>
      <c r="F151" s="1184" t="s">
        <v>15</v>
      </c>
      <c r="G151" s="1186">
        <v>500000</v>
      </c>
      <c r="H151" s="1187"/>
      <c r="I151" s="1191" t="str">
        <f t="shared" si="2"/>
        <v>Xing</v>
      </c>
    </row>
    <row r="152" spans="1:17" ht="18.75" customHeight="1">
      <c r="A152" s="1182">
        <v>139</v>
      </c>
      <c r="B152" s="1183">
        <v>39</v>
      </c>
      <c r="C152" s="1184"/>
      <c r="D152" s="1184"/>
      <c r="E152" s="1185" t="s">
        <v>53</v>
      </c>
      <c r="F152" s="1184" t="s">
        <v>15</v>
      </c>
      <c r="G152" s="1186">
        <v>500000</v>
      </c>
      <c r="H152" s="1187"/>
      <c r="I152" s="1191" t="str">
        <f t="shared" si="2"/>
        <v>Kị To</v>
      </c>
    </row>
    <row r="153" spans="1:17" ht="18.75" customHeight="1">
      <c r="A153" s="1182">
        <v>140</v>
      </c>
      <c r="B153" s="1183">
        <v>40</v>
      </c>
      <c r="C153" s="1184"/>
      <c r="D153" s="1184"/>
      <c r="E153" s="1185" t="s">
        <v>54</v>
      </c>
      <c r="F153" s="1184" t="s">
        <v>15</v>
      </c>
      <c r="G153" s="1186">
        <v>500000</v>
      </c>
      <c r="H153" s="1187"/>
      <c r="I153" s="1191" t="str">
        <f t="shared" si="2"/>
        <v>Thảo Ký</v>
      </c>
    </row>
    <row r="154" spans="1:17" ht="18.75" customHeight="1">
      <c r="A154" s="1182">
        <v>141</v>
      </c>
      <c r="B154" s="1183">
        <v>41</v>
      </c>
      <c r="C154" s="1184"/>
      <c r="D154" s="1184"/>
      <c r="E154" s="1185" t="s">
        <v>55</v>
      </c>
      <c r="F154" s="1184" t="s">
        <v>15</v>
      </c>
      <c r="G154" s="1186">
        <v>500000</v>
      </c>
      <c r="H154" s="1187"/>
      <c r="I154" s="1191" t="str">
        <f t="shared" si="2"/>
        <v>Nam Phon</v>
      </c>
    </row>
    <row r="155" spans="1:17" ht="18.75" customHeight="1">
      <c r="A155" s="1182">
        <v>142</v>
      </c>
      <c r="B155" s="1183">
        <v>42</v>
      </c>
      <c r="C155" s="1184"/>
      <c r="D155" s="1184"/>
      <c r="E155" s="1185" t="s">
        <v>56</v>
      </c>
      <c r="F155" s="1184" t="s">
        <v>15</v>
      </c>
      <c r="G155" s="1186">
        <v>500000</v>
      </c>
      <c r="H155" s="1187"/>
      <c r="I155" s="1191" t="str">
        <f t="shared" si="2"/>
        <v>Lon</v>
      </c>
    </row>
    <row r="156" spans="1:17" ht="18.75" customHeight="1">
      <c r="A156" s="1182">
        <v>143</v>
      </c>
      <c r="B156" s="1183">
        <v>43</v>
      </c>
      <c r="C156" s="1184"/>
      <c r="D156" s="1184"/>
      <c r="E156" s="1185" t="s">
        <v>57</v>
      </c>
      <c r="F156" s="1184" t="s">
        <v>15</v>
      </c>
      <c r="G156" s="1186">
        <v>500000</v>
      </c>
      <c r="H156" s="1187"/>
      <c r="I156" s="1191" t="str">
        <f t="shared" si="2"/>
        <v>Me Son</v>
      </c>
    </row>
    <row r="157" spans="1:17" ht="18.75" customHeight="1">
      <c r="A157" s="1182">
        <v>144</v>
      </c>
      <c r="B157" s="1183">
        <v>44</v>
      </c>
      <c r="C157" s="1184"/>
      <c r="D157" s="1184"/>
      <c r="E157" s="1185" t="s">
        <v>59</v>
      </c>
      <c r="F157" s="1184" t="s">
        <v>15</v>
      </c>
      <c r="G157" s="1186">
        <v>500000</v>
      </c>
      <c r="H157" s="1187"/>
      <c r="I157" s="1191" t="str">
        <f t="shared" si="2"/>
        <v>Nít</v>
      </c>
    </row>
    <row r="158" spans="1:17" ht="18.75" customHeight="1">
      <c r="A158" s="1182">
        <v>145</v>
      </c>
      <c r="B158" s="1183">
        <v>45</v>
      </c>
      <c r="C158" s="1184"/>
      <c r="D158" s="1184"/>
      <c r="E158" s="1185" t="s">
        <v>60</v>
      </c>
      <c r="F158" s="1184" t="s">
        <v>15</v>
      </c>
      <c r="G158" s="1186">
        <v>500000</v>
      </c>
      <c r="H158" s="1187"/>
      <c r="I158" s="1191" t="str">
        <f t="shared" si="2"/>
        <v>Nui</v>
      </c>
      <c r="Q158" s="1192">
        <f>760.5-48.5</f>
        <v>712</v>
      </c>
    </row>
    <row r="159" spans="1:17" ht="18.75" customHeight="1">
      <c r="A159" s="1182">
        <v>146</v>
      </c>
      <c r="B159" s="1183">
        <v>46</v>
      </c>
      <c r="C159" s="1184"/>
      <c r="D159" s="1184"/>
      <c r="E159" s="1185" t="s">
        <v>61</v>
      </c>
      <c r="F159" s="1184" t="s">
        <v>15</v>
      </c>
      <c r="G159" s="1186">
        <v>500000</v>
      </c>
      <c r="H159" s="1187"/>
      <c r="I159" s="1191" t="str">
        <f t="shared" si="2"/>
        <v>Đuông Chăn</v>
      </c>
      <c r="Q159" s="1173">
        <f>+Q158*30</f>
        <v>21360</v>
      </c>
    </row>
    <row r="160" spans="1:17" ht="18.75" customHeight="1">
      <c r="A160" s="1182">
        <v>147</v>
      </c>
      <c r="B160" s="1183">
        <v>47</v>
      </c>
      <c r="C160" s="1184"/>
      <c r="D160" s="1184"/>
      <c r="E160" s="1185" t="s">
        <v>62</v>
      </c>
      <c r="F160" s="1184" t="s">
        <v>15</v>
      </c>
      <c r="G160" s="1186">
        <v>500000</v>
      </c>
      <c r="H160" s="1187"/>
      <c r="I160" s="1191" t="str">
        <f t="shared" si="2"/>
        <v>Đăm (3)</v>
      </c>
    </row>
    <row r="161" spans="1:9" ht="18.75" customHeight="1">
      <c r="A161" s="1182">
        <v>148</v>
      </c>
      <c r="B161" s="1183">
        <v>48</v>
      </c>
      <c r="C161" s="1184"/>
      <c r="D161" s="1184"/>
      <c r="E161" s="1185" t="s">
        <v>63</v>
      </c>
      <c r="F161" s="1184" t="s">
        <v>15</v>
      </c>
      <c r="G161" s="1186">
        <v>500000</v>
      </c>
      <c r="H161" s="1187"/>
      <c r="I161" s="1191" t="str">
        <f t="shared" si="2"/>
        <v>Hăm Nọi A</v>
      </c>
    </row>
    <row r="162" spans="1:9" ht="18.75" customHeight="1">
      <c r="A162" s="1182">
        <v>149</v>
      </c>
      <c r="B162" s="1183">
        <v>49</v>
      </c>
      <c r="C162" s="1184"/>
      <c r="D162" s="1184"/>
      <c r="E162" s="1185" t="s">
        <v>64</v>
      </c>
      <c r="F162" s="1184" t="s">
        <v>15</v>
      </c>
      <c r="G162" s="1186">
        <v>500000</v>
      </c>
      <c r="H162" s="1187"/>
      <c r="I162" s="1191" t="str">
        <f t="shared" si="2"/>
        <v>Hip</v>
      </c>
    </row>
    <row r="163" spans="1:9" ht="18.75" customHeight="1">
      <c r="A163" s="1182">
        <v>150</v>
      </c>
      <c r="B163" s="1183">
        <v>50</v>
      </c>
      <c r="C163" s="1184"/>
      <c r="D163" s="1184"/>
      <c r="E163" s="1185" t="s">
        <v>65</v>
      </c>
      <c r="F163" s="1184" t="s">
        <v>15</v>
      </c>
      <c r="G163" s="1186">
        <v>500000</v>
      </c>
      <c r="H163" s="1187"/>
      <c r="I163" s="1191" t="str">
        <f t="shared" si="2"/>
        <v>Hăm Noi B</v>
      </c>
    </row>
    <row r="164" spans="1:9" ht="18.75" customHeight="1">
      <c r="A164" s="1182">
        <v>151</v>
      </c>
      <c r="B164" s="1183">
        <v>51</v>
      </c>
      <c r="C164" s="1184"/>
      <c r="D164" s="1184"/>
      <c r="E164" s="1185" t="s">
        <v>66</v>
      </c>
      <c r="F164" s="1184" t="s">
        <v>15</v>
      </c>
      <c r="G164" s="1186">
        <v>500000</v>
      </c>
      <c r="H164" s="1187"/>
      <c r="I164" s="1191" t="str">
        <f t="shared" si="2"/>
        <v>Tụp</v>
      </c>
    </row>
    <row r="165" spans="1:9" ht="18.75" customHeight="1">
      <c r="A165" s="1182">
        <v>152</v>
      </c>
      <c r="B165" s="1183">
        <v>52</v>
      </c>
      <c r="C165" s="1184"/>
      <c r="D165" s="1184"/>
      <c r="E165" s="1185" t="s">
        <v>67</v>
      </c>
      <c r="F165" s="1184" t="s">
        <v>15</v>
      </c>
      <c r="G165" s="1186">
        <v>500000</v>
      </c>
      <c r="H165" s="1187"/>
      <c r="I165" s="1191" t="str">
        <f t="shared" si="2"/>
        <v>S Ting</v>
      </c>
    </row>
    <row r="166" spans="1:9" ht="18.75" customHeight="1">
      <c r="A166" s="1182">
        <v>153</v>
      </c>
      <c r="B166" s="1183">
        <v>53</v>
      </c>
      <c r="C166" s="1184"/>
      <c r="D166" s="1184"/>
      <c r="E166" s="1185" t="s">
        <v>68</v>
      </c>
      <c r="F166" s="1184" t="s">
        <v>15</v>
      </c>
      <c r="G166" s="1186">
        <v>500000</v>
      </c>
      <c r="H166" s="1187"/>
      <c r="I166" s="1191" t="str">
        <f t="shared" si="2"/>
        <v>Tom</v>
      </c>
    </row>
    <row r="167" spans="1:9" ht="18.75" customHeight="1">
      <c r="A167" s="1182">
        <v>154</v>
      </c>
      <c r="B167" s="1183">
        <v>54</v>
      </c>
      <c r="C167" s="1184"/>
      <c r="D167" s="1184"/>
      <c r="E167" s="1185" t="s">
        <v>69</v>
      </c>
      <c r="F167" s="1184" t="s">
        <v>15</v>
      </c>
      <c r="G167" s="1186">
        <v>500000</v>
      </c>
      <c r="H167" s="1187"/>
      <c r="I167" s="1191" t="str">
        <f t="shared" si="2"/>
        <v>Nang Py</v>
      </c>
    </row>
    <row r="168" spans="1:9" ht="18.75" customHeight="1">
      <c r="A168" s="1182">
        <v>155</v>
      </c>
      <c r="B168" s="1183">
        <v>55</v>
      </c>
      <c r="C168" s="1184"/>
      <c r="D168" s="1184"/>
      <c r="E168" s="1185" t="s">
        <v>70</v>
      </c>
      <c r="F168" s="1184" t="s">
        <v>15</v>
      </c>
      <c r="G168" s="1186">
        <v>500000</v>
      </c>
      <c r="H168" s="1187"/>
      <c r="I168" s="1191" t="str">
        <f t="shared" si="2"/>
        <v>Ô</v>
      </c>
    </row>
    <row r="169" spans="1:9" ht="18.75" customHeight="1">
      <c r="A169" s="1182">
        <v>156</v>
      </c>
      <c r="B169" s="1183">
        <v>56</v>
      </c>
      <c r="C169" s="1184"/>
      <c r="D169" s="1184"/>
      <c r="E169" s="1185" t="s">
        <v>71</v>
      </c>
      <c r="F169" s="1184" t="s">
        <v>15</v>
      </c>
      <c r="G169" s="1186">
        <v>500000</v>
      </c>
      <c r="H169" s="1187"/>
      <c r="I169" s="1191" t="str">
        <f t="shared" si="2"/>
        <v>Văn Thong</v>
      </c>
    </row>
    <row r="170" spans="1:9" ht="18.75" customHeight="1">
      <c r="A170" s="1182">
        <v>157</v>
      </c>
      <c r="B170" s="1183">
        <v>57</v>
      </c>
      <c r="C170" s="1184"/>
      <c r="D170" s="1184"/>
      <c r="E170" s="1185" t="s">
        <v>72</v>
      </c>
      <c r="F170" s="1184" t="s">
        <v>15</v>
      </c>
      <c r="G170" s="1186">
        <v>500000</v>
      </c>
      <c r="H170" s="1187"/>
      <c r="I170" s="1191" t="str">
        <f t="shared" si="2"/>
        <v>Va</v>
      </c>
    </row>
    <row r="171" spans="1:9" ht="18.75" customHeight="1">
      <c r="A171" s="1182">
        <v>158</v>
      </c>
      <c r="B171" s="1183">
        <v>58</v>
      </c>
      <c r="C171" s="1184"/>
      <c r="D171" s="1184"/>
      <c r="E171" s="1185" t="s">
        <v>74</v>
      </c>
      <c r="F171" s="1184" t="s">
        <v>15</v>
      </c>
      <c r="G171" s="1186">
        <v>500000</v>
      </c>
      <c r="H171" s="1187"/>
      <c r="I171" s="1191" t="str">
        <f t="shared" si="2"/>
        <v>Pông</v>
      </c>
    </row>
    <row r="172" spans="1:9" ht="18.75" customHeight="1">
      <c r="A172" s="1182">
        <v>159</v>
      </c>
      <c r="B172" s="1183">
        <v>59</v>
      </c>
      <c r="C172" s="1184"/>
      <c r="D172" s="1184"/>
      <c r="E172" s="1185" t="s">
        <v>75</v>
      </c>
      <c r="F172" s="1184" t="s">
        <v>15</v>
      </c>
      <c r="G172" s="1186">
        <v>500000</v>
      </c>
      <c r="H172" s="1187"/>
      <c r="I172" s="1191" t="str">
        <f t="shared" si="2"/>
        <v>Nang Híp</v>
      </c>
    </row>
    <row r="173" spans="1:9" ht="18.75" customHeight="1">
      <c r="A173" s="1182">
        <v>160</v>
      </c>
      <c r="B173" s="1183">
        <v>60</v>
      </c>
      <c r="C173" s="1184"/>
      <c r="D173" s="1184"/>
      <c r="E173" s="1185" t="s">
        <v>76</v>
      </c>
      <c r="F173" s="1184" t="s">
        <v>15</v>
      </c>
      <c r="G173" s="1186">
        <v>500000</v>
      </c>
      <c r="H173" s="1187"/>
      <c r="I173" s="1191" t="str">
        <f t="shared" si="2"/>
        <v>Khăn Ma</v>
      </c>
    </row>
    <row r="174" spans="1:9" ht="18.75" customHeight="1">
      <c r="A174" s="1182">
        <v>161</v>
      </c>
      <c r="B174" s="1183">
        <v>61</v>
      </c>
      <c r="C174" s="1184"/>
      <c r="D174" s="1184"/>
      <c r="E174" s="1185" t="s">
        <v>77</v>
      </c>
      <c r="F174" s="1184" t="s">
        <v>15</v>
      </c>
      <c r="G174" s="1186">
        <v>500000</v>
      </c>
      <c r="H174" s="1187"/>
      <c r="I174" s="1191" t="str">
        <f t="shared" si="2"/>
        <v>Nàng Son</v>
      </c>
    </row>
    <row r="175" spans="1:9" ht="18.75" customHeight="1">
      <c r="A175" s="1182">
        <v>162</v>
      </c>
      <c r="B175" s="1183">
        <v>62</v>
      </c>
      <c r="C175" s="1184"/>
      <c r="D175" s="1184"/>
      <c r="E175" s="1185" t="s">
        <v>78</v>
      </c>
      <c r="F175" s="1184" t="s">
        <v>15</v>
      </c>
      <c r="G175" s="1186">
        <v>500000</v>
      </c>
      <c r="H175" s="1187"/>
      <c r="I175" s="1191" t="str">
        <f t="shared" si="2"/>
        <v>Khăm Bun</v>
      </c>
    </row>
    <row r="176" spans="1:9" ht="18.75" customHeight="1">
      <c r="A176" s="1182">
        <v>163</v>
      </c>
      <c r="B176" s="1183">
        <v>63</v>
      </c>
      <c r="C176" s="1184"/>
      <c r="D176" s="1184"/>
      <c r="E176" s="1185" t="s">
        <v>79</v>
      </c>
      <c r="F176" s="1184" t="s">
        <v>15</v>
      </c>
      <c r="G176" s="1186">
        <v>500000</v>
      </c>
      <c r="H176" s="1187"/>
      <c r="I176" s="1191" t="str">
        <f t="shared" si="2"/>
        <v>Chọt</v>
      </c>
    </row>
    <row r="177" spans="1:9" ht="18.75" customHeight="1">
      <c r="A177" s="1182">
        <v>164</v>
      </c>
      <c r="B177" s="1183">
        <v>64</v>
      </c>
      <c r="C177" s="1184"/>
      <c r="D177" s="1184"/>
      <c r="E177" s="1185" t="s">
        <v>80</v>
      </c>
      <c r="F177" s="1184" t="s">
        <v>15</v>
      </c>
      <c r="G177" s="1186">
        <v>500000</v>
      </c>
      <c r="H177" s="1187"/>
      <c r="I177" s="1191" t="str">
        <f t="shared" si="2"/>
        <v>Đen</v>
      </c>
    </row>
    <row r="178" spans="1:9" ht="18.75" customHeight="1">
      <c r="A178" s="1182">
        <v>165</v>
      </c>
      <c r="B178" s="1183">
        <v>65</v>
      </c>
      <c r="C178" s="1184"/>
      <c r="D178" s="1184"/>
      <c r="E178" s="1185" t="s">
        <v>81</v>
      </c>
      <c r="F178" s="1184" t="s">
        <v>15</v>
      </c>
      <c r="G178" s="1186">
        <v>500000</v>
      </c>
      <c r="H178" s="1187"/>
      <c r="I178" s="1191" t="str">
        <f t="shared" ref="I178:I199" si="3">E178</f>
        <v>Tà (3)</v>
      </c>
    </row>
    <row r="179" spans="1:9" ht="18.75" customHeight="1">
      <c r="A179" s="1182">
        <v>166</v>
      </c>
      <c r="B179" s="1183">
        <v>66</v>
      </c>
      <c r="C179" s="1184"/>
      <c r="D179" s="1184"/>
      <c r="E179" s="1185" t="s">
        <v>82</v>
      </c>
      <c r="F179" s="1184" t="s">
        <v>15</v>
      </c>
      <c r="G179" s="1186">
        <v>500000</v>
      </c>
      <c r="H179" s="1187"/>
      <c r="I179" s="1191" t="str">
        <f t="shared" si="3"/>
        <v>Nang Hắc</v>
      </c>
    </row>
    <row r="180" spans="1:9" ht="18.75" customHeight="1">
      <c r="A180" s="1182">
        <v>167</v>
      </c>
      <c r="B180" s="1183">
        <v>67</v>
      </c>
      <c r="C180" s="1184"/>
      <c r="D180" s="1184"/>
      <c r="E180" s="1185" t="s">
        <v>83</v>
      </c>
      <c r="F180" s="1184" t="s">
        <v>15</v>
      </c>
      <c r="G180" s="1186">
        <v>500000</v>
      </c>
      <c r="H180" s="1187"/>
      <c r="I180" s="1191" t="str">
        <f t="shared" si="3"/>
        <v>Tia</v>
      </c>
    </row>
    <row r="181" spans="1:9" ht="18.75" customHeight="1">
      <c r="A181" s="1182">
        <v>168</v>
      </c>
      <c r="B181" s="1183">
        <v>68</v>
      </c>
      <c r="C181" s="1184"/>
      <c r="D181" s="1184"/>
      <c r="E181" s="1185" t="s">
        <v>84</v>
      </c>
      <c r="F181" s="1184" t="s">
        <v>15</v>
      </c>
      <c r="G181" s="1186">
        <v>500000</v>
      </c>
      <c r="H181" s="1187"/>
      <c r="I181" s="1191" t="str">
        <f t="shared" si="3"/>
        <v>Lăm Phon (3)</v>
      </c>
    </row>
    <row r="182" spans="1:9" ht="18.75" customHeight="1">
      <c r="A182" s="1182">
        <v>169</v>
      </c>
      <c r="B182" s="1183">
        <v>69</v>
      </c>
      <c r="C182" s="1184"/>
      <c r="D182" s="1184"/>
      <c r="E182" s="1185" t="s">
        <v>85</v>
      </c>
      <c r="F182" s="1184" t="s">
        <v>15</v>
      </c>
      <c r="G182" s="1186">
        <v>500000</v>
      </c>
      <c r="H182" s="1187"/>
      <c r="I182" s="1191" t="str">
        <f t="shared" si="3"/>
        <v xml:space="preserve">Chít </v>
      </c>
    </row>
    <row r="183" spans="1:9" ht="18.75" customHeight="1">
      <c r="A183" s="1182">
        <v>170</v>
      </c>
      <c r="B183" s="1183">
        <v>70</v>
      </c>
      <c r="C183" s="1184"/>
      <c r="D183" s="1184"/>
      <c r="E183" s="1185" t="s">
        <v>86</v>
      </c>
      <c r="F183" s="1184" t="s">
        <v>15</v>
      </c>
      <c r="G183" s="1186">
        <v>500000</v>
      </c>
      <c r="H183" s="1187"/>
      <c r="I183" s="1191" t="str">
        <f t="shared" si="3"/>
        <v>Lay</v>
      </c>
    </row>
    <row r="184" spans="1:9" ht="18.75" customHeight="1">
      <c r="A184" s="1182">
        <v>171</v>
      </c>
      <c r="B184" s="1183">
        <v>71</v>
      </c>
      <c r="C184" s="1184"/>
      <c r="D184" s="1184"/>
      <c r="E184" s="1185" t="s">
        <v>87</v>
      </c>
      <c r="F184" s="1184" t="s">
        <v>15</v>
      </c>
      <c r="G184" s="1186">
        <v>500000</v>
      </c>
      <c r="H184" s="1187"/>
      <c r="I184" s="1191" t="str">
        <f t="shared" si="3"/>
        <v>Thá</v>
      </c>
    </row>
    <row r="185" spans="1:9" ht="18.75" customHeight="1">
      <c r="A185" s="1182">
        <v>172</v>
      </c>
      <c r="B185" s="1183">
        <v>72</v>
      </c>
      <c r="C185" s="1184"/>
      <c r="D185" s="1184"/>
      <c r="E185" s="1185" t="s">
        <v>88</v>
      </c>
      <c r="F185" s="1184" t="s">
        <v>15</v>
      </c>
      <c r="G185" s="1186">
        <v>500000</v>
      </c>
      <c r="H185" s="1187"/>
      <c r="I185" s="1191" t="str">
        <f t="shared" si="3"/>
        <v>Lệ</v>
      </c>
    </row>
    <row r="186" spans="1:9" ht="18.75" customHeight="1">
      <c r="A186" s="1182">
        <v>173</v>
      </c>
      <c r="B186" s="1183">
        <v>73</v>
      </c>
      <c r="C186" s="1184"/>
      <c r="D186" s="1184"/>
      <c r="E186" s="1185" t="s">
        <v>89</v>
      </c>
      <c r="F186" s="1184" t="s">
        <v>15</v>
      </c>
      <c r="G186" s="1186">
        <v>500000</v>
      </c>
      <c r="H186" s="1187"/>
      <c r="I186" s="1191" t="str">
        <f t="shared" si="3"/>
        <v>Ling</v>
      </c>
    </row>
    <row r="187" spans="1:9" ht="18.75" customHeight="1">
      <c r="A187" s="1182">
        <v>174</v>
      </c>
      <c r="B187" s="1183">
        <v>74</v>
      </c>
      <c r="C187" s="1184"/>
      <c r="D187" s="1184"/>
      <c r="E187" s="1185" t="s">
        <v>90</v>
      </c>
      <c r="F187" s="1184" t="s">
        <v>15</v>
      </c>
      <c r="G187" s="1186">
        <v>500000</v>
      </c>
      <c r="H187" s="1187"/>
      <c r="I187" s="1191" t="str">
        <f t="shared" si="3"/>
        <v>Loi</v>
      </c>
    </row>
    <row r="188" spans="1:9" ht="18.75" customHeight="1">
      <c r="A188" s="1182">
        <v>175</v>
      </c>
      <c r="B188" s="1183">
        <v>75</v>
      </c>
      <c r="C188" s="1184"/>
      <c r="D188" s="1184"/>
      <c r="E188" s="1185" t="s">
        <v>91</v>
      </c>
      <c r="F188" s="1184" t="s">
        <v>15</v>
      </c>
      <c r="G188" s="1186">
        <v>500000</v>
      </c>
      <c r="H188" s="1187"/>
      <c r="I188" s="1191" t="str">
        <f t="shared" si="3"/>
        <v>Thảo Pha</v>
      </c>
    </row>
    <row r="189" spans="1:9" ht="18.75" customHeight="1">
      <c r="A189" s="1182">
        <v>176</v>
      </c>
      <c r="B189" s="1183">
        <v>76</v>
      </c>
      <c r="C189" s="1184"/>
      <c r="D189" s="1184"/>
      <c r="E189" s="1185" t="s">
        <v>92</v>
      </c>
      <c r="F189" s="1184" t="s">
        <v>15</v>
      </c>
      <c r="G189" s="1186">
        <v>500000</v>
      </c>
      <c r="H189" s="1187"/>
      <c r="I189" s="1191" t="str">
        <f t="shared" si="3"/>
        <v>Ka Te</v>
      </c>
    </row>
    <row r="190" spans="1:9" ht="18.75" customHeight="1">
      <c r="A190" s="1182">
        <v>177</v>
      </c>
      <c r="B190" s="1183">
        <v>77</v>
      </c>
      <c r="C190" s="1184"/>
      <c r="D190" s="1184"/>
      <c r="E190" s="1185" t="s">
        <v>93</v>
      </c>
      <c r="F190" s="1184" t="s">
        <v>15</v>
      </c>
      <c r="G190" s="1186">
        <v>500000</v>
      </c>
      <c r="H190" s="1187"/>
      <c r="I190" s="1191" t="str">
        <f t="shared" si="3"/>
        <v>In Đia</v>
      </c>
    </row>
    <row r="191" spans="1:9" ht="18.75" customHeight="1">
      <c r="A191" s="1182">
        <v>178</v>
      </c>
      <c r="B191" s="1183">
        <v>78</v>
      </c>
      <c r="C191" s="1184"/>
      <c r="D191" s="1184"/>
      <c r="E191" s="1185" t="s">
        <v>94</v>
      </c>
      <c r="F191" s="1184" t="s">
        <v>15</v>
      </c>
      <c r="G191" s="1186">
        <v>500000</v>
      </c>
      <c r="H191" s="1187"/>
      <c r="I191" s="1191" t="str">
        <f t="shared" si="3"/>
        <v>Khăm Mừn</v>
      </c>
    </row>
    <row r="192" spans="1:9" ht="18.75" customHeight="1">
      <c r="A192" s="1182">
        <v>179</v>
      </c>
      <c r="B192" s="1183">
        <v>79</v>
      </c>
      <c r="C192" s="1184"/>
      <c r="D192" s="1184"/>
      <c r="E192" s="1185" t="s">
        <v>95</v>
      </c>
      <c r="F192" s="1184" t="s">
        <v>15</v>
      </c>
      <c r="G192" s="1186">
        <v>500000</v>
      </c>
      <c r="H192" s="1187"/>
      <c r="I192" s="1191" t="str">
        <f t="shared" si="3"/>
        <v>Choi (3)</v>
      </c>
    </row>
    <row r="193" spans="1:9" ht="18.75" customHeight="1">
      <c r="A193" s="1182">
        <v>180</v>
      </c>
      <c r="B193" s="1183">
        <v>80</v>
      </c>
      <c r="C193" s="1184"/>
      <c r="D193" s="1184"/>
      <c r="E193" s="1185" t="s">
        <v>96</v>
      </c>
      <c r="F193" s="1184" t="s">
        <v>15</v>
      </c>
      <c r="G193" s="1186">
        <v>500000</v>
      </c>
      <c r="H193" s="1187"/>
      <c r="I193" s="1191" t="str">
        <f t="shared" si="3"/>
        <v>Xi No</v>
      </c>
    </row>
    <row r="194" spans="1:9" ht="18.75" customHeight="1">
      <c r="A194" s="1182">
        <v>181</v>
      </c>
      <c r="B194" s="1183">
        <v>81</v>
      </c>
      <c r="C194" s="1184"/>
      <c r="D194" s="1184"/>
      <c r="E194" s="1185" t="s">
        <v>97</v>
      </c>
      <c r="F194" s="1184" t="s">
        <v>15</v>
      </c>
      <c r="G194" s="1186">
        <v>500000</v>
      </c>
      <c r="H194" s="1187"/>
      <c r="I194" s="1191" t="str">
        <f t="shared" si="3"/>
        <v>Lói</v>
      </c>
    </row>
    <row r="195" spans="1:9" ht="18.75" customHeight="1">
      <c r="A195" s="1182">
        <v>182</v>
      </c>
      <c r="B195" s="1183">
        <v>82</v>
      </c>
      <c r="C195" s="1184"/>
      <c r="D195" s="1184"/>
      <c r="E195" s="1185" t="s">
        <v>98</v>
      </c>
      <c r="F195" s="1184" t="s">
        <v>15</v>
      </c>
      <c r="G195" s="1186">
        <v>500000</v>
      </c>
      <c r="H195" s="1187"/>
      <c r="I195" s="1191" t="str">
        <f t="shared" si="3"/>
        <v>Ót</v>
      </c>
    </row>
    <row r="196" spans="1:9" ht="18.75" customHeight="1">
      <c r="A196" s="1182">
        <v>183</v>
      </c>
      <c r="B196" s="1183">
        <v>83</v>
      </c>
      <c r="C196" s="1184"/>
      <c r="D196" s="1184"/>
      <c r="E196" s="1185" t="s">
        <v>99</v>
      </c>
      <c r="F196" s="1184" t="s">
        <v>15</v>
      </c>
      <c r="G196" s="1186">
        <v>500000</v>
      </c>
      <c r="H196" s="1187"/>
      <c r="I196" s="1191" t="str">
        <f t="shared" si="3"/>
        <v xml:space="preserve">Son </v>
      </c>
    </row>
    <row r="197" spans="1:9" ht="18.75" customHeight="1">
      <c r="A197" s="1182">
        <v>184</v>
      </c>
      <c r="B197" s="1183">
        <v>84</v>
      </c>
      <c r="C197" s="1184"/>
      <c r="D197" s="1184"/>
      <c r="E197" s="1185" t="s">
        <v>100</v>
      </c>
      <c r="F197" s="1184" t="s">
        <v>15</v>
      </c>
      <c r="G197" s="1186">
        <v>500000</v>
      </c>
      <c r="H197" s="1187"/>
      <c r="I197" s="1191" t="str">
        <f t="shared" si="3"/>
        <v>Sét</v>
      </c>
    </row>
    <row r="198" spans="1:9" ht="18.75" customHeight="1">
      <c r="A198" s="1182">
        <v>185</v>
      </c>
      <c r="B198" s="1183">
        <v>85</v>
      </c>
      <c r="C198" s="1184"/>
      <c r="D198" s="1184"/>
      <c r="E198" s="1185" t="s">
        <v>101</v>
      </c>
      <c r="F198" s="1184" t="s">
        <v>15</v>
      </c>
      <c r="G198" s="1186">
        <v>500000</v>
      </c>
      <c r="H198" s="1187"/>
      <c r="I198" s="1191" t="str">
        <f t="shared" si="3"/>
        <v>Lan (3)</v>
      </c>
    </row>
    <row r="199" spans="1:9" ht="18.75" customHeight="1">
      <c r="A199" s="1182">
        <v>186</v>
      </c>
      <c r="B199" s="1183">
        <v>86</v>
      </c>
      <c r="C199" s="1184"/>
      <c r="D199" s="1184"/>
      <c r="E199" s="1185" t="s">
        <v>102</v>
      </c>
      <c r="F199" s="1184" t="s">
        <v>15</v>
      </c>
      <c r="G199" s="1186">
        <v>500000</v>
      </c>
      <c r="H199" s="1187"/>
      <c r="I199" s="1191" t="str">
        <f t="shared" si="3"/>
        <v>Tha Mon Ta</v>
      </c>
    </row>
    <row r="200" spans="1:9" ht="18.75" customHeight="1">
      <c r="A200" s="2346" t="s">
        <v>103</v>
      </c>
      <c r="B200" s="2347"/>
      <c r="C200" s="2347"/>
      <c r="D200" s="2347"/>
      <c r="E200" s="2347"/>
      <c r="F200" s="2348"/>
      <c r="G200" s="1193">
        <f>SUM(G201:G211)</f>
        <v>5500000</v>
      </c>
      <c r="H200" s="1194"/>
      <c r="I200" s="1194"/>
    </row>
    <row r="201" spans="1:9" ht="18.75" customHeight="1">
      <c r="A201" s="1182">
        <v>187</v>
      </c>
      <c r="B201" s="1183">
        <v>1</v>
      </c>
      <c r="C201" s="1184"/>
      <c r="D201" s="1184"/>
      <c r="E201" s="1195" t="s">
        <v>104</v>
      </c>
      <c r="F201" s="1184" t="s">
        <v>15</v>
      </c>
      <c r="G201" s="1186">
        <v>500000</v>
      </c>
      <c r="H201" s="1187"/>
      <c r="I201" s="1191" t="str">
        <f t="shared" ref="I201:I267" si="4">E201</f>
        <v xml:space="preserve">Thon </v>
      </c>
    </row>
    <row r="202" spans="1:9" ht="18.75" customHeight="1">
      <c r="A202" s="1182">
        <v>188</v>
      </c>
      <c r="B202" s="1183">
        <v>2</v>
      </c>
      <c r="C202" s="1184"/>
      <c r="D202" s="1184"/>
      <c r="E202" s="1195" t="s">
        <v>105</v>
      </c>
      <c r="F202" s="1184" t="s">
        <v>15</v>
      </c>
      <c r="G202" s="1186">
        <v>500000</v>
      </c>
      <c r="H202" s="1187"/>
      <c r="I202" s="1191" t="str">
        <f t="shared" si="4"/>
        <v>Nhon</v>
      </c>
    </row>
    <row r="203" spans="1:9" ht="18.75" customHeight="1">
      <c r="A203" s="1182">
        <v>189</v>
      </c>
      <c r="B203" s="1183">
        <v>3</v>
      </c>
      <c r="C203" s="1184"/>
      <c r="D203" s="1184"/>
      <c r="E203" s="1195" t="s">
        <v>106</v>
      </c>
      <c r="F203" s="1184" t="s">
        <v>15</v>
      </c>
      <c r="G203" s="1186">
        <v>500000</v>
      </c>
      <c r="H203" s="1187"/>
      <c r="I203" s="1191" t="str">
        <f t="shared" si="4"/>
        <v>Nàng Núi</v>
      </c>
    </row>
    <row r="204" spans="1:9" ht="18.75" customHeight="1">
      <c r="A204" s="1182">
        <v>190</v>
      </c>
      <c r="B204" s="1183">
        <v>4</v>
      </c>
      <c r="C204" s="1184"/>
      <c r="D204" s="1184"/>
      <c r="E204" s="1195" t="s">
        <v>107</v>
      </c>
      <c r="F204" s="1184" t="s">
        <v>15</v>
      </c>
      <c r="G204" s="1186">
        <v>500000</v>
      </c>
      <c r="H204" s="1187"/>
      <c r="I204" s="1191" t="str">
        <f t="shared" si="4"/>
        <v>Nàng Nú</v>
      </c>
    </row>
    <row r="205" spans="1:9" ht="18.75" customHeight="1">
      <c r="A205" s="1182">
        <v>191</v>
      </c>
      <c r="B205" s="1183">
        <v>5</v>
      </c>
      <c r="C205" s="1184"/>
      <c r="D205" s="1184"/>
      <c r="E205" s="1195" t="s">
        <v>108</v>
      </c>
      <c r="F205" s="1184" t="s">
        <v>15</v>
      </c>
      <c r="G205" s="1186">
        <v>500000</v>
      </c>
      <c r="H205" s="1187"/>
      <c r="I205" s="1191" t="str">
        <f t="shared" si="4"/>
        <v>Khăm</v>
      </c>
    </row>
    <row r="206" spans="1:9" ht="18.75" customHeight="1">
      <c r="A206" s="1182">
        <v>192</v>
      </c>
      <c r="B206" s="1183">
        <v>6</v>
      </c>
      <c r="C206" s="1184"/>
      <c r="D206" s="1184"/>
      <c r="E206" s="1195" t="s">
        <v>109</v>
      </c>
      <c r="F206" s="1184" t="s">
        <v>15</v>
      </c>
      <c r="G206" s="1186">
        <v>500000</v>
      </c>
      <c r="H206" s="1187"/>
      <c r="I206" s="1191" t="str">
        <f t="shared" si="4"/>
        <v>Nàng Bát</v>
      </c>
    </row>
    <row r="207" spans="1:9" ht="18.75" customHeight="1">
      <c r="A207" s="1182">
        <v>193</v>
      </c>
      <c r="B207" s="1183">
        <v>7</v>
      </c>
      <c r="C207" s="1184"/>
      <c r="D207" s="1184"/>
      <c r="E207" s="1195" t="s">
        <v>110</v>
      </c>
      <c r="F207" s="1184" t="s">
        <v>15</v>
      </c>
      <c r="G207" s="1186">
        <v>500000</v>
      </c>
      <c r="H207" s="1187"/>
      <c r="I207" s="1191" t="str">
        <f t="shared" si="4"/>
        <v>Dộc</v>
      </c>
    </row>
    <row r="208" spans="1:9" ht="18.75" customHeight="1">
      <c r="A208" s="1182">
        <v>194</v>
      </c>
      <c r="B208" s="1183">
        <v>8</v>
      </c>
      <c r="C208" s="1184"/>
      <c r="D208" s="1184"/>
      <c r="E208" s="1195" t="s">
        <v>111</v>
      </c>
      <c r="F208" s="1184" t="s">
        <v>15</v>
      </c>
      <c r="G208" s="1186">
        <v>500000</v>
      </c>
      <c r="H208" s="1187"/>
      <c r="I208" s="1191" t="str">
        <f t="shared" ref="I208:I209" si="5">E208</f>
        <v>Chăn (3)</v>
      </c>
    </row>
    <row r="209" spans="1:9" ht="18.75" customHeight="1">
      <c r="A209" s="1182">
        <v>195</v>
      </c>
      <c r="B209" s="1183">
        <v>9</v>
      </c>
      <c r="C209" s="1184"/>
      <c r="D209" s="1184"/>
      <c r="E209" s="1195" t="s">
        <v>112</v>
      </c>
      <c r="F209" s="1184" t="s">
        <v>15</v>
      </c>
      <c r="G209" s="1186">
        <v>500000</v>
      </c>
      <c r="H209" s="1187"/>
      <c r="I209" s="1191" t="str">
        <f t="shared" si="5"/>
        <v>Hát</v>
      </c>
    </row>
    <row r="210" spans="1:9" ht="18.75" customHeight="1">
      <c r="A210" s="1182">
        <v>196</v>
      </c>
      <c r="B210" s="1183">
        <v>8</v>
      </c>
      <c r="C210" s="1184"/>
      <c r="D210" s="1184"/>
      <c r="E210" s="1195" t="s">
        <v>113</v>
      </c>
      <c r="F210" s="1184" t="s">
        <v>15</v>
      </c>
      <c r="G210" s="1186">
        <v>500000</v>
      </c>
      <c r="H210" s="1187"/>
      <c r="I210" s="1191" t="str">
        <f t="shared" si="4"/>
        <v>Bun (3)</v>
      </c>
    </row>
    <row r="211" spans="1:9" ht="18.75" customHeight="1">
      <c r="A211" s="1182">
        <v>197</v>
      </c>
      <c r="B211" s="1183">
        <v>9</v>
      </c>
      <c r="C211" s="1184"/>
      <c r="D211" s="1184"/>
      <c r="E211" s="1195" t="s">
        <v>114</v>
      </c>
      <c r="F211" s="1184" t="s">
        <v>15</v>
      </c>
      <c r="G211" s="1186">
        <v>500000</v>
      </c>
      <c r="H211" s="1187"/>
      <c r="I211" s="1191" t="str">
        <f t="shared" si="4"/>
        <v>Hông Khăm</v>
      </c>
    </row>
    <row r="212" spans="1:9" ht="18.75" customHeight="1">
      <c r="A212" s="2346" t="s">
        <v>115</v>
      </c>
      <c r="B212" s="2347"/>
      <c r="C212" s="2347"/>
      <c r="D212" s="2347"/>
      <c r="E212" s="2347"/>
      <c r="F212" s="2348"/>
      <c r="G212" s="1193">
        <f>SUM(G213:G219)</f>
        <v>3500000</v>
      </c>
      <c r="H212" s="1194"/>
      <c r="I212" s="1191">
        <f t="shared" si="4"/>
        <v>0</v>
      </c>
    </row>
    <row r="213" spans="1:9" ht="18.75" customHeight="1">
      <c r="A213" s="1182">
        <v>198</v>
      </c>
      <c r="B213" s="1183">
        <v>1</v>
      </c>
      <c r="C213" s="1184"/>
      <c r="D213" s="1184"/>
      <c r="E213" s="1195" t="s">
        <v>116</v>
      </c>
      <c r="F213" s="1184" t="s">
        <v>15</v>
      </c>
      <c r="G213" s="1186">
        <v>500000</v>
      </c>
      <c r="H213" s="1187"/>
      <c r="I213" s="1191" t="str">
        <f t="shared" si="4"/>
        <v>Pan</v>
      </c>
    </row>
    <row r="214" spans="1:9" ht="18.75" customHeight="1">
      <c r="A214" s="1182">
        <v>199</v>
      </c>
      <c r="B214" s="1183">
        <v>2</v>
      </c>
      <c r="C214" s="1184"/>
      <c r="D214" s="1184"/>
      <c r="E214" s="1195" t="s">
        <v>117</v>
      </c>
      <c r="F214" s="1184" t="s">
        <v>15</v>
      </c>
      <c r="G214" s="1186">
        <v>500000</v>
      </c>
      <c r="H214" s="1187"/>
      <c r="I214" s="1191" t="str">
        <f t="shared" si="4"/>
        <v>Vi Say</v>
      </c>
    </row>
    <row r="215" spans="1:9" ht="18.75" customHeight="1">
      <c r="A215" s="1182">
        <v>200</v>
      </c>
      <c r="B215" s="1183">
        <v>3</v>
      </c>
      <c r="C215" s="1184"/>
      <c r="D215" s="1184"/>
      <c r="E215" s="1195" t="s">
        <v>118</v>
      </c>
      <c r="F215" s="1184" t="s">
        <v>15</v>
      </c>
      <c r="G215" s="1186">
        <v>500000</v>
      </c>
      <c r="H215" s="1187"/>
      <c r="I215" s="1191" t="str">
        <f t="shared" si="4"/>
        <v xml:space="preserve">Ka Púc </v>
      </c>
    </row>
    <row r="216" spans="1:9" ht="18.75" customHeight="1">
      <c r="A216" s="1182">
        <v>201</v>
      </c>
      <c r="B216" s="1183">
        <v>4</v>
      </c>
      <c r="C216" s="1184"/>
      <c r="D216" s="1184"/>
      <c r="E216" s="1195" t="s">
        <v>119</v>
      </c>
      <c r="F216" s="1184" t="s">
        <v>15</v>
      </c>
      <c r="G216" s="1186">
        <v>500000</v>
      </c>
      <c r="H216" s="1187"/>
      <c r="I216" s="1191" t="str">
        <f t="shared" si="4"/>
        <v>Chay Đi</v>
      </c>
    </row>
    <row r="217" spans="1:9" ht="18.75" customHeight="1">
      <c r="A217" s="1182">
        <v>202</v>
      </c>
      <c r="B217" s="1183">
        <v>5</v>
      </c>
      <c r="C217" s="1184"/>
      <c r="D217" s="1184"/>
      <c r="E217" s="1195" t="s">
        <v>120</v>
      </c>
      <c r="F217" s="1184" t="s">
        <v>15</v>
      </c>
      <c r="G217" s="1186">
        <v>500000</v>
      </c>
      <c r="H217" s="1187"/>
      <c r="I217" s="1191" t="str">
        <f t="shared" si="4"/>
        <v>Lăng B</v>
      </c>
    </row>
    <row r="218" spans="1:9" ht="18.75" customHeight="1">
      <c r="A218" s="1182">
        <v>203</v>
      </c>
      <c r="B218" s="1183">
        <v>6</v>
      </c>
      <c r="C218" s="1184"/>
      <c r="D218" s="1184"/>
      <c r="E218" s="1195" t="s">
        <v>121</v>
      </c>
      <c r="F218" s="1184" t="s">
        <v>15</v>
      </c>
      <c r="G218" s="1186">
        <v>500000</v>
      </c>
      <c r="H218" s="1187"/>
      <c r="I218" s="1191" t="str">
        <f t="shared" si="4"/>
        <v>Tuc</v>
      </c>
    </row>
    <row r="219" spans="1:9" ht="18.75" customHeight="1">
      <c r="A219" s="1182">
        <v>204</v>
      </c>
      <c r="B219" s="1183">
        <v>7</v>
      </c>
      <c r="C219" s="1184"/>
      <c r="D219" s="1184"/>
      <c r="E219" s="1195" t="s">
        <v>122</v>
      </c>
      <c r="F219" s="1184" t="s">
        <v>15</v>
      </c>
      <c r="G219" s="1186">
        <v>500000</v>
      </c>
      <c r="H219" s="1187"/>
      <c r="I219" s="1191" t="str">
        <f t="shared" si="4"/>
        <v>On</v>
      </c>
    </row>
    <row r="220" spans="1:9" ht="18.75" customHeight="1">
      <c r="A220" s="2346" t="s">
        <v>123</v>
      </c>
      <c r="B220" s="2347"/>
      <c r="C220" s="2347"/>
      <c r="D220" s="2347"/>
      <c r="E220" s="2347"/>
      <c r="F220" s="2348"/>
      <c r="G220" s="1193">
        <f>SUM(G221:G302)</f>
        <v>41000000</v>
      </c>
      <c r="H220" s="1194"/>
      <c r="I220" s="1191">
        <f t="shared" si="4"/>
        <v>0</v>
      </c>
    </row>
    <row r="221" spans="1:9" ht="18.75" customHeight="1">
      <c r="A221" s="1182">
        <v>205</v>
      </c>
      <c r="B221" s="1183">
        <v>1</v>
      </c>
      <c r="C221" s="1184"/>
      <c r="D221" s="1184"/>
      <c r="E221" s="1195" t="s">
        <v>124</v>
      </c>
      <c r="F221" s="1184" t="s">
        <v>15</v>
      </c>
      <c r="G221" s="1186">
        <v>500000</v>
      </c>
      <c r="H221" s="1187"/>
      <c r="I221" s="1191" t="str">
        <f t="shared" si="4"/>
        <v>Sốt</v>
      </c>
    </row>
    <row r="222" spans="1:9" ht="18.75" customHeight="1">
      <c r="A222" s="1182">
        <v>206</v>
      </c>
      <c r="B222" s="1183">
        <v>2</v>
      </c>
      <c r="C222" s="1184"/>
      <c r="D222" s="1184"/>
      <c r="E222" s="1195" t="s">
        <v>125</v>
      </c>
      <c r="F222" s="1184" t="s">
        <v>15</v>
      </c>
      <c r="G222" s="1186">
        <v>500000</v>
      </c>
      <c r="H222" s="1187"/>
      <c r="I222" s="1191" t="str">
        <f t="shared" si="4"/>
        <v>Thảo A Tiền</v>
      </c>
    </row>
    <row r="223" spans="1:9" ht="18.75" customHeight="1">
      <c r="A223" s="1182">
        <v>207</v>
      </c>
      <c r="B223" s="1183">
        <v>3</v>
      </c>
      <c r="C223" s="1184"/>
      <c r="D223" s="1184"/>
      <c r="E223" s="1195" t="s">
        <v>126</v>
      </c>
      <c r="F223" s="1184" t="s">
        <v>15</v>
      </c>
      <c r="G223" s="1186">
        <v>500000</v>
      </c>
      <c r="H223" s="1187"/>
      <c r="I223" s="1191" t="str">
        <f t="shared" si="4"/>
        <v>Sít</v>
      </c>
    </row>
    <row r="224" spans="1:9" ht="18.75" customHeight="1">
      <c r="A224" s="1182">
        <v>208</v>
      </c>
      <c r="B224" s="1183">
        <v>4</v>
      </c>
      <c r="C224" s="1184"/>
      <c r="D224" s="1184"/>
      <c r="E224" s="1195" t="s">
        <v>127</v>
      </c>
      <c r="F224" s="1184" t="s">
        <v>15</v>
      </c>
      <c r="G224" s="1186">
        <v>500000</v>
      </c>
      <c r="H224" s="1187"/>
      <c r="I224" s="1191" t="str">
        <f t="shared" si="4"/>
        <v>Nghiệp</v>
      </c>
    </row>
    <row r="225" spans="1:9" ht="18.75" customHeight="1">
      <c r="A225" s="1182">
        <v>209</v>
      </c>
      <c r="B225" s="1183">
        <v>5</v>
      </c>
      <c r="C225" s="1184"/>
      <c r="D225" s="1184"/>
      <c r="E225" s="1195" t="s">
        <v>128</v>
      </c>
      <c r="F225" s="1184" t="s">
        <v>15</v>
      </c>
      <c r="G225" s="1186">
        <v>500000</v>
      </c>
      <c r="H225" s="1187"/>
      <c r="I225" s="1191" t="str">
        <f t="shared" si="4"/>
        <v>Bun Theo</v>
      </c>
    </row>
    <row r="226" spans="1:9" ht="18.75" customHeight="1">
      <c r="A226" s="1182">
        <v>210</v>
      </c>
      <c r="B226" s="1183">
        <v>6</v>
      </c>
      <c r="C226" s="1184"/>
      <c r="D226" s="1184"/>
      <c r="E226" s="1195" t="s">
        <v>129</v>
      </c>
      <c r="F226" s="1184" t="s">
        <v>15</v>
      </c>
      <c r="G226" s="1186">
        <v>500000</v>
      </c>
      <c r="H226" s="1187"/>
      <c r="I226" s="1191" t="str">
        <f t="shared" si="4"/>
        <v>Núi</v>
      </c>
    </row>
    <row r="227" spans="1:9" ht="18.75" customHeight="1">
      <c r="A227" s="1182">
        <v>211</v>
      </c>
      <c r="B227" s="1183">
        <v>7</v>
      </c>
      <c r="C227" s="1184"/>
      <c r="D227" s="1184"/>
      <c r="E227" s="1195" t="s">
        <v>130</v>
      </c>
      <c r="F227" s="1184" t="s">
        <v>15</v>
      </c>
      <c r="G227" s="1186">
        <v>500000</v>
      </c>
      <c r="H227" s="1187"/>
      <c r="I227" s="1191" t="str">
        <f t="shared" si="4"/>
        <v>Xa Mon</v>
      </c>
    </row>
    <row r="228" spans="1:9" ht="18.75" customHeight="1">
      <c r="A228" s="1182">
        <v>212</v>
      </c>
      <c r="B228" s="1183">
        <v>8</v>
      </c>
      <c r="C228" s="1184"/>
      <c r="D228" s="1184"/>
      <c r="E228" s="1195" t="s">
        <v>131</v>
      </c>
      <c r="F228" s="1184" t="s">
        <v>15</v>
      </c>
      <c r="G228" s="1186">
        <v>500000</v>
      </c>
      <c r="H228" s="1187"/>
      <c r="I228" s="1191" t="str">
        <f t="shared" si="4"/>
        <v>Thảo Thúc</v>
      </c>
    </row>
    <row r="229" spans="1:9" ht="18.75" customHeight="1">
      <c r="A229" s="1182">
        <v>213</v>
      </c>
      <c r="B229" s="1183">
        <v>9</v>
      </c>
      <c r="C229" s="1184"/>
      <c r="D229" s="1184"/>
      <c r="E229" s="1195" t="s">
        <v>132</v>
      </c>
      <c r="F229" s="1184" t="s">
        <v>15</v>
      </c>
      <c r="G229" s="1186">
        <v>500000</v>
      </c>
      <c r="H229" s="1187"/>
      <c r="I229" s="1191" t="str">
        <f t="shared" si="4"/>
        <v>Bo Loi</v>
      </c>
    </row>
    <row r="230" spans="1:9" ht="18.75" customHeight="1">
      <c r="A230" s="1182">
        <v>214</v>
      </c>
      <c r="B230" s="1183">
        <v>10</v>
      </c>
      <c r="C230" s="1184"/>
      <c r="D230" s="1184"/>
      <c r="E230" s="1195" t="s">
        <v>133</v>
      </c>
      <c r="F230" s="1184" t="s">
        <v>15</v>
      </c>
      <c r="G230" s="1186">
        <v>500000</v>
      </c>
      <c r="H230" s="1187"/>
      <c r="I230" s="1191" t="str">
        <f t="shared" si="4"/>
        <v>Xoong</v>
      </c>
    </row>
    <row r="231" spans="1:9" ht="18.75" customHeight="1">
      <c r="A231" s="1182">
        <v>215</v>
      </c>
      <c r="B231" s="1183">
        <v>11</v>
      </c>
      <c r="C231" s="1184"/>
      <c r="D231" s="1184"/>
      <c r="E231" s="1195" t="s">
        <v>134</v>
      </c>
      <c r="F231" s="1184" t="s">
        <v>15</v>
      </c>
      <c r="G231" s="1186">
        <v>500000</v>
      </c>
      <c r="H231" s="1187"/>
      <c r="I231" s="1191" t="str">
        <f t="shared" si="4"/>
        <v>Ta Văn</v>
      </c>
    </row>
    <row r="232" spans="1:9" ht="18.75" customHeight="1">
      <c r="A232" s="1182">
        <v>216</v>
      </c>
      <c r="B232" s="1183">
        <v>12</v>
      </c>
      <c r="C232" s="1184"/>
      <c r="D232" s="1184"/>
      <c r="E232" s="1195" t="s">
        <v>135</v>
      </c>
      <c r="F232" s="1184" t="s">
        <v>15</v>
      </c>
      <c r="G232" s="1186">
        <v>500000</v>
      </c>
      <c r="H232" s="1187"/>
      <c r="I232" s="1191" t="str">
        <f t="shared" si="4"/>
        <v>Khăm Măn</v>
      </c>
    </row>
    <row r="233" spans="1:9" ht="18.75" customHeight="1">
      <c r="A233" s="1182">
        <v>217</v>
      </c>
      <c r="B233" s="1183">
        <v>13</v>
      </c>
      <c r="C233" s="1184"/>
      <c r="D233" s="1184"/>
      <c r="E233" s="1195" t="s">
        <v>136</v>
      </c>
      <c r="F233" s="1184" t="s">
        <v>15</v>
      </c>
      <c r="G233" s="1186">
        <v>500000</v>
      </c>
      <c r="H233" s="1187"/>
      <c r="I233" s="1191" t="str">
        <f t="shared" si="4"/>
        <v>Vôn</v>
      </c>
    </row>
    <row r="234" spans="1:9" ht="18.75" customHeight="1">
      <c r="A234" s="1182">
        <v>218</v>
      </c>
      <c r="B234" s="1183">
        <v>14</v>
      </c>
      <c r="C234" s="1184"/>
      <c r="D234" s="1184"/>
      <c r="E234" s="1195" t="s">
        <v>137</v>
      </c>
      <c r="F234" s="1184" t="s">
        <v>15</v>
      </c>
      <c r="G234" s="1186">
        <v>500000</v>
      </c>
      <c r="H234" s="1187"/>
      <c r="I234" s="1191" t="str">
        <f t="shared" si="4"/>
        <v>Khăm Thạ Von</v>
      </c>
    </row>
    <row r="235" spans="1:9" ht="18.75" customHeight="1">
      <c r="A235" s="1182">
        <v>219</v>
      </c>
      <c r="B235" s="1183">
        <v>15</v>
      </c>
      <c r="C235" s="1184"/>
      <c r="D235" s="1184"/>
      <c r="E235" s="1195" t="s">
        <v>138</v>
      </c>
      <c r="F235" s="1184" t="s">
        <v>15</v>
      </c>
      <c r="G235" s="1186">
        <v>500000</v>
      </c>
      <c r="H235" s="1187"/>
      <c r="I235" s="1191" t="str">
        <f t="shared" si="4"/>
        <v>Minh</v>
      </c>
    </row>
    <row r="236" spans="1:9" ht="18.75" customHeight="1">
      <c r="A236" s="1182">
        <v>220</v>
      </c>
      <c r="B236" s="1183">
        <v>16</v>
      </c>
      <c r="C236" s="1184"/>
      <c r="D236" s="1184"/>
      <c r="E236" s="1195" t="s">
        <v>139</v>
      </c>
      <c r="F236" s="1184" t="s">
        <v>15</v>
      </c>
      <c r="G236" s="1186">
        <v>500000</v>
      </c>
      <c r="H236" s="1187"/>
      <c r="I236" s="1191" t="str">
        <f t="shared" si="4"/>
        <v>Đan</v>
      </c>
    </row>
    <row r="237" spans="1:9" ht="18.75" customHeight="1">
      <c r="A237" s="1182">
        <v>221</v>
      </c>
      <c r="B237" s="1183">
        <v>17</v>
      </c>
      <c r="C237" s="1184"/>
      <c r="D237" s="1184"/>
      <c r="E237" s="1195" t="s">
        <v>140</v>
      </c>
      <c r="F237" s="1184" t="s">
        <v>15</v>
      </c>
      <c r="G237" s="1186">
        <v>500000</v>
      </c>
      <c r="H237" s="1187"/>
      <c r="I237" s="1191" t="str">
        <f t="shared" si="4"/>
        <v>Nội</v>
      </c>
    </row>
    <row r="238" spans="1:9" ht="18.75" customHeight="1">
      <c r="A238" s="1182">
        <v>222</v>
      </c>
      <c r="B238" s="1183">
        <v>18</v>
      </c>
      <c r="C238" s="1184"/>
      <c r="D238" s="1184"/>
      <c r="E238" s="1195" t="s">
        <v>141</v>
      </c>
      <c r="F238" s="1184" t="s">
        <v>15</v>
      </c>
      <c r="G238" s="1186">
        <v>500000</v>
      </c>
      <c r="H238" s="1187"/>
      <c r="I238" s="1191" t="str">
        <f t="shared" si="4"/>
        <v>Keo La</v>
      </c>
    </row>
    <row r="239" spans="1:9" ht="18.75" customHeight="1">
      <c r="A239" s="1182">
        <v>223</v>
      </c>
      <c r="B239" s="1183">
        <v>19</v>
      </c>
      <c r="C239" s="1184"/>
      <c r="D239" s="1184"/>
      <c r="E239" s="1195" t="s">
        <v>142</v>
      </c>
      <c r="F239" s="1184" t="s">
        <v>15</v>
      </c>
      <c r="G239" s="1186">
        <v>500000</v>
      </c>
      <c r="H239" s="1187"/>
      <c r="I239" s="1191" t="str">
        <f t="shared" si="4"/>
        <v>Chăn Thi</v>
      </c>
    </row>
    <row r="240" spans="1:9" ht="18.75" customHeight="1">
      <c r="A240" s="1182">
        <v>224</v>
      </c>
      <c r="B240" s="1183">
        <v>20</v>
      </c>
      <c r="C240" s="1184"/>
      <c r="D240" s="1184"/>
      <c r="E240" s="1195" t="s">
        <v>143</v>
      </c>
      <c r="F240" s="1184" t="s">
        <v>15</v>
      </c>
      <c r="G240" s="1186">
        <v>500000</v>
      </c>
      <c r="H240" s="1187"/>
      <c r="I240" s="1191" t="str">
        <f t="shared" si="4"/>
        <v xml:space="preserve">Đon </v>
      </c>
    </row>
    <row r="241" spans="1:9" ht="18.75" customHeight="1">
      <c r="A241" s="1182">
        <v>225</v>
      </c>
      <c r="B241" s="1183">
        <v>21</v>
      </c>
      <c r="C241" s="1184"/>
      <c r="D241" s="1184"/>
      <c r="E241" s="1195" t="s">
        <v>144</v>
      </c>
      <c r="F241" s="1184" t="s">
        <v>15</v>
      </c>
      <c r="G241" s="1186">
        <v>500000</v>
      </c>
      <c r="H241" s="1187"/>
      <c r="I241" s="1191" t="str">
        <f t="shared" si="4"/>
        <v>Thảo Con Khăm</v>
      </c>
    </row>
    <row r="242" spans="1:9" ht="18.75" customHeight="1">
      <c r="A242" s="1182">
        <v>226</v>
      </c>
      <c r="B242" s="1183">
        <v>22</v>
      </c>
      <c r="C242" s="1184"/>
      <c r="D242" s="1184"/>
      <c r="E242" s="1195" t="s">
        <v>145</v>
      </c>
      <c r="F242" s="1184" t="s">
        <v>15</v>
      </c>
      <c r="G242" s="1186">
        <v>500000</v>
      </c>
      <c r="H242" s="1187"/>
      <c r="I242" s="1191" t="str">
        <f t="shared" si="4"/>
        <v>Bun Ma Tu</v>
      </c>
    </row>
    <row r="243" spans="1:9" ht="18.75" customHeight="1">
      <c r="A243" s="1182">
        <v>227</v>
      </c>
      <c r="B243" s="1183">
        <v>23</v>
      </c>
      <c r="C243" s="1184"/>
      <c r="D243" s="1184"/>
      <c r="E243" s="1195" t="s">
        <v>146</v>
      </c>
      <c r="F243" s="1184" t="s">
        <v>15</v>
      </c>
      <c r="G243" s="1186">
        <v>500000</v>
      </c>
      <c r="H243" s="1187"/>
      <c r="I243" s="1191" t="str">
        <f t="shared" si="4"/>
        <v>Nay (4)</v>
      </c>
    </row>
    <row r="244" spans="1:9" ht="18.75" customHeight="1">
      <c r="A244" s="1182">
        <v>228</v>
      </c>
      <c r="B244" s="1183">
        <v>24</v>
      </c>
      <c r="C244" s="1184"/>
      <c r="D244" s="1184"/>
      <c r="E244" s="1195" t="s">
        <v>147</v>
      </c>
      <c r="F244" s="1184" t="s">
        <v>15</v>
      </c>
      <c r="G244" s="1186">
        <v>500000</v>
      </c>
      <c r="H244" s="1187"/>
      <c r="I244" s="1191" t="str">
        <f t="shared" si="4"/>
        <v>Ta Phúc</v>
      </c>
    </row>
    <row r="245" spans="1:9" ht="18.75" customHeight="1">
      <c r="A245" s="1182">
        <v>229</v>
      </c>
      <c r="B245" s="1183">
        <v>25</v>
      </c>
      <c r="C245" s="1184"/>
      <c r="D245" s="1184"/>
      <c r="E245" s="1195" t="s">
        <v>148</v>
      </c>
      <c r="F245" s="1184" t="s">
        <v>15</v>
      </c>
      <c r="G245" s="1186">
        <v>500000</v>
      </c>
      <c r="H245" s="1187"/>
      <c r="I245" s="1191" t="str">
        <f t="shared" si="4"/>
        <v>Mơ</v>
      </c>
    </row>
    <row r="246" spans="1:9" ht="18.75" customHeight="1">
      <c r="A246" s="1182">
        <v>230</v>
      </c>
      <c r="B246" s="1183">
        <v>26</v>
      </c>
      <c r="C246" s="1184"/>
      <c r="D246" s="1184"/>
      <c r="E246" s="1195" t="s">
        <v>149</v>
      </c>
      <c r="F246" s="1184" t="s">
        <v>15</v>
      </c>
      <c r="G246" s="1186">
        <v>500000</v>
      </c>
      <c r="H246" s="1187"/>
      <c r="I246" s="1191" t="str">
        <f t="shared" si="4"/>
        <v>Bun Ma (4)</v>
      </c>
    </row>
    <row r="247" spans="1:9" ht="18.75" customHeight="1">
      <c r="A247" s="1182">
        <v>231</v>
      </c>
      <c r="B247" s="1183">
        <v>27</v>
      </c>
      <c r="C247" s="1184"/>
      <c r="D247" s="1184"/>
      <c r="E247" s="1195" t="s">
        <v>150</v>
      </c>
      <c r="F247" s="1184" t="s">
        <v>15</v>
      </c>
      <c r="G247" s="1186">
        <v>500000</v>
      </c>
      <c r="H247" s="1187"/>
      <c r="I247" s="1191" t="str">
        <f t="shared" si="4"/>
        <v>Đuông Ma La</v>
      </c>
    </row>
    <row r="248" spans="1:9" ht="18.75" customHeight="1">
      <c r="A248" s="1182">
        <v>232</v>
      </c>
      <c r="B248" s="1183">
        <v>28</v>
      </c>
      <c r="C248" s="1184"/>
      <c r="D248" s="1184"/>
      <c r="E248" s="1195" t="s">
        <v>151</v>
      </c>
      <c r="F248" s="1184" t="s">
        <v>15</v>
      </c>
      <c r="G248" s="1186">
        <v>500000</v>
      </c>
      <c r="H248" s="1187"/>
      <c r="I248" s="1191" t="str">
        <f t="shared" si="4"/>
        <v>Lâm B</v>
      </c>
    </row>
    <row r="249" spans="1:9" ht="18.75" customHeight="1">
      <c r="A249" s="1182">
        <v>233</v>
      </c>
      <c r="B249" s="1183">
        <v>29</v>
      </c>
      <c r="C249" s="1184"/>
      <c r="D249" s="1184"/>
      <c r="E249" s="1195" t="s">
        <v>152</v>
      </c>
      <c r="F249" s="1184" t="s">
        <v>15</v>
      </c>
      <c r="G249" s="1186">
        <v>500000</v>
      </c>
      <c r="H249" s="1187"/>
      <c r="I249" s="1191" t="str">
        <f t="shared" si="4"/>
        <v>Lâm A</v>
      </c>
    </row>
    <row r="250" spans="1:9" ht="18.75" customHeight="1">
      <c r="A250" s="1182">
        <v>234</v>
      </c>
      <c r="B250" s="1183">
        <v>30</v>
      </c>
      <c r="C250" s="1184"/>
      <c r="D250" s="1184"/>
      <c r="E250" s="1195" t="s">
        <v>153</v>
      </c>
      <c r="F250" s="1184" t="s">
        <v>15</v>
      </c>
      <c r="G250" s="1186">
        <v>500000</v>
      </c>
      <c r="H250" s="1187"/>
      <c r="I250" s="1191" t="str">
        <f t="shared" si="4"/>
        <v>Bun Phong</v>
      </c>
    </row>
    <row r="251" spans="1:9" ht="18.75" customHeight="1">
      <c r="A251" s="1182">
        <v>235</v>
      </c>
      <c r="B251" s="1183">
        <v>31</v>
      </c>
      <c r="C251" s="1184"/>
      <c r="D251" s="1184"/>
      <c r="E251" s="1195" t="s">
        <v>154</v>
      </c>
      <c r="F251" s="1184" t="s">
        <v>15</v>
      </c>
      <c r="G251" s="1186">
        <v>500000</v>
      </c>
      <c r="H251" s="1187"/>
      <c r="I251" s="1191" t="str">
        <f t="shared" si="4"/>
        <v>Keo (4)</v>
      </c>
    </row>
    <row r="252" spans="1:9" ht="18.75" customHeight="1">
      <c r="A252" s="1182">
        <v>236</v>
      </c>
      <c r="B252" s="1183">
        <v>32</v>
      </c>
      <c r="C252" s="1184"/>
      <c r="D252" s="1184"/>
      <c r="E252" s="1195" t="s">
        <v>155</v>
      </c>
      <c r="F252" s="1184" t="s">
        <v>15</v>
      </c>
      <c r="G252" s="1186">
        <v>500000</v>
      </c>
      <c r="H252" s="1187"/>
      <c r="I252" s="1191" t="str">
        <f t="shared" si="4"/>
        <v>Van Ta</v>
      </c>
    </row>
    <row r="253" spans="1:9" ht="18.75" customHeight="1">
      <c r="A253" s="1182">
        <v>237</v>
      </c>
      <c r="B253" s="1183">
        <v>33</v>
      </c>
      <c r="C253" s="1184"/>
      <c r="D253" s="1184"/>
      <c r="E253" s="1195" t="s">
        <v>156</v>
      </c>
      <c r="F253" s="1184" t="s">
        <v>15</v>
      </c>
      <c r="G253" s="1186">
        <v>500000</v>
      </c>
      <c r="H253" s="1187"/>
      <c r="I253" s="1191" t="str">
        <f t="shared" si="4"/>
        <v>Peng</v>
      </c>
    </row>
    <row r="254" spans="1:9" ht="18.75" customHeight="1">
      <c r="A254" s="1182">
        <v>238</v>
      </c>
      <c r="B254" s="1183">
        <v>34</v>
      </c>
      <c r="C254" s="1184"/>
      <c r="D254" s="1184"/>
      <c r="E254" s="1195" t="s">
        <v>157</v>
      </c>
      <c r="F254" s="1184" t="s">
        <v>15</v>
      </c>
      <c r="G254" s="1186">
        <v>500000</v>
      </c>
      <c r="H254" s="1187"/>
      <c r="I254" s="1191" t="str">
        <f t="shared" si="4"/>
        <v>Coi</v>
      </c>
    </row>
    <row r="255" spans="1:9" ht="18.75" customHeight="1">
      <c r="A255" s="1182">
        <v>239</v>
      </c>
      <c r="B255" s="1183">
        <v>35</v>
      </c>
      <c r="C255" s="1184"/>
      <c r="D255" s="1184"/>
      <c r="E255" s="1195" t="s">
        <v>158</v>
      </c>
      <c r="F255" s="1184" t="s">
        <v>15</v>
      </c>
      <c r="G255" s="1186">
        <v>500000</v>
      </c>
      <c r="H255" s="1187"/>
      <c r="I255" s="1191" t="str">
        <f t="shared" si="4"/>
        <v>Khăm Lã</v>
      </c>
    </row>
    <row r="256" spans="1:9" ht="18.75" customHeight="1">
      <c r="A256" s="1182">
        <v>240</v>
      </c>
      <c r="B256" s="1183">
        <v>36</v>
      </c>
      <c r="C256" s="1184"/>
      <c r="D256" s="1184"/>
      <c r="E256" s="1195" t="s">
        <v>159</v>
      </c>
      <c r="F256" s="1184" t="s">
        <v>15</v>
      </c>
      <c r="G256" s="1186">
        <v>500000</v>
      </c>
      <c r="H256" s="1187"/>
      <c r="I256" s="1191" t="str">
        <f t="shared" si="4"/>
        <v>Boóc</v>
      </c>
    </row>
    <row r="257" spans="1:9" ht="18.75" customHeight="1">
      <c r="A257" s="1182">
        <v>241</v>
      </c>
      <c r="B257" s="1183">
        <v>37</v>
      </c>
      <c r="C257" s="1184"/>
      <c r="D257" s="1184"/>
      <c r="E257" s="1195" t="s">
        <v>160</v>
      </c>
      <c r="F257" s="1184" t="s">
        <v>15</v>
      </c>
      <c r="G257" s="1186">
        <v>500000</v>
      </c>
      <c r="H257" s="1187"/>
      <c r="I257" s="1191" t="str">
        <f t="shared" si="4"/>
        <v>Bun Ta</v>
      </c>
    </row>
    <row r="258" spans="1:9" ht="18.75" customHeight="1">
      <c r="A258" s="1182">
        <v>242</v>
      </c>
      <c r="B258" s="1183">
        <v>38</v>
      </c>
      <c r="C258" s="1184"/>
      <c r="D258" s="1184"/>
      <c r="E258" s="1195" t="s">
        <v>161</v>
      </c>
      <c r="F258" s="1184" t="s">
        <v>15</v>
      </c>
      <c r="G258" s="1186">
        <v>500000</v>
      </c>
      <c r="H258" s="1187"/>
      <c r="I258" s="1191" t="str">
        <f t="shared" si="4"/>
        <v>Túc</v>
      </c>
    </row>
    <row r="259" spans="1:9" ht="18.75" customHeight="1">
      <c r="A259" s="1182">
        <v>243</v>
      </c>
      <c r="B259" s="1183">
        <v>39</v>
      </c>
      <c r="C259" s="1184"/>
      <c r="D259" s="1184"/>
      <c r="E259" s="1195" t="s">
        <v>162</v>
      </c>
      <c r="F259" s="1184" t="s">
        <v>15</v>
      </c>
      <c r="G259" s="1186">
        <v>500000</v>
      </c>
      <c r="H259" s="1187"/>
      <c r="I259" s="1191" t="str">
        <f t="shared" si="4"/>
        <v>Sái Khăm</v>
      </c>
    </row>
    <row r="260" spans="1:9" ht="18.75" customHeight="1">
      <c r="A260" s="1182">
        <v>244</v>
      </c>
      <c r="B260" s="1183">
        <v>40</v>
      </c>
      <c r="C260" s="1184"/>
      <c r="D260" s="1184"/>
      <c r="E260" s="1195" t="s">
        <v>163</v>
      </c>
      <c r="F260" s="1184" t="s">
        <v>15</v>
      </c>
      <c r="G260" s="1186">
        <v>500000</v>
      </c>
      <c r="H260" s="1187"/>
      <c r="I260" s="1191" t="str">
        <f t="shared" si="4"/>
        <v>Xi Đa (4)</v>
      </c>
    </row>
    <row r="261" spans="1:9" ht="18.75" customHeight="1">
      <c r="A261" s="1182">
        <v>245</v>
      </c>
      <c r="B261" s="1183">
        <v>41</v>
      </c>
      <c r="C261" s="1184"/>
      <c r="D261" s="1184"/>
      <c r="E261" s="1195" t="s">
        <v>164</v>
      </c>
      <c r="F261" s="1184" t="s">
        <v>15</v>
      </c>
      <c r="G261" s="1186">
        <v>500000</v>
      </c>
      <c r="H261" s="1187"/>
      <c r="I261" s="1191" t="str">
        <f t="shared" si="4"/>
        <v>Bon</v>
      </c>
    </row>
    <row r="262" spans="1:9" ht="18.75" customHeight="1">
      <c r="A262" s="1182">
        <v>246</v>
      </c>
      <c r="B262" s="1183">
        <v>42</v>
      </c>
      <c r="C262" s="1184"/>
      <c r="D262" s="1184"/>
      <c r="E262" s="1195" t="s">
        <v>165</v>
      </c>
      <c r="F262" s="1184" t="s">
        <v>15</v>
      </c>
      <c r="G262" s="1186">
        <v>500000</v>
      </c>
      <c r="H262" s="1187"/>
      <c r="I262" s="1191" t="str">
        <f t="shared" si="4"/>
        <v>In</v>
      </c>
    </row>
    <row r="263" spans="1:9" ht="18.75" customHeight="1">
      <c r="A263" s="1182">
        <v>247</v>
      </c>
      <c r="B263" s="1183">
        <v>43</v>
      </c>
      <c r="C263" s="1184"/>
      <c r="D263" s="1184"/>
      <c r="E263" s="1195" t="s">
        <v>166</v>
      </c>
      <c r="F263" s="1184" t="s">
        <v>15</v>
      </c>
      <c r="G263" s="1186">
        <v>500000</v>
      </c>
      <c r="H263" s="1187"/>
      <c r="I263" s="1191" t="str">
        <f t="shared" si="4"/>
        <v>Lai</v>
      </c>
    </row>
    <row r="264" spans="1:9" ht="18.75" customHeight="1">
      <c r="A264" s="1182">
        <v>248</v>
      </c>
      <c r="B264" s="1183">
        <v>44</v>
      </c>
      <c r="C264" s="1184"/>
      <c r="D264" s="1184"/>
      <c r="E264" s="1195" t="s">
        <v>167</v>
      </c>
      <c r="F264" s="1184" t="s">
        <v>15</v>
      </c>
      <c r="G264" s="1186">
        <v>500000</v>
      </c>
      <c r="H264" s="1187"/>
      <c r="I264" s="1191" t="str">
        <f t="shared" si="4"/>
        <v>Sui</v>
      </c>
    </row>
    <row r="265" spans="1:9" ht="18.75" customHeight="1">
      <c r="A265" s="1182">
        <v>249</v>
      </c>
      <c r="B265" s="1183">
        <v>45</v>
      </c>
      <c r="C265" s="1184"/>
      <c r="D265" s="1184"/>
      <c r="E265" s="1195" t="s">
        <v>168</v>
      </c>
      <c r="F265" s="1184" t="s">
        <v>15</v>
      </c>
      <c r="G265" s="1186">
        <v>500000</v>
      </c>
      <c r="H265" s="1187"/>
      <c r="I265" s="1191" t="str">
        <f t="shared" si="4"/>
        <v>Pong (4)</v>
      </c>
    </row>
    <row r="266" spans="1:9" ht="18.75" customHeight="1">
      <c r="A266" s="1182">
        <v>250</v>
      </c>
      <c r="B266" s="1183">
        <v>46</v>
      </c>
      <c r="C266" s="1184"/>
      <c r="D266" s="1184"/>
      <c r="E266" s="1195" t="s">
        <v>169</v>
      </c>
      <c r="F266" s="1184" t="s">
        <v>15</v>
      </c>
      <c r="G266" s="1186">
        <v>500000</v>
      </c>
      <c r="H266" s="1187"/>
      <c r="I266" s="1191" t="str">
        <f t="shared" si="4"/>
        <v>Lắt</v>
      </c>
    </row>
    <row r="267" spans="1:9" ht="18.75" customHeight="1">
      <c r="A267" s="1182">
        <v>251</v>
      </c>
      <c r="B267" s="1183">
        <v>47</v>
      </c>
      <c r="C267" s="1184"/>
      <c r="D267" s="1184"/>
      <c r="E267" s="1195" t="s">
        <v>170</v>
      </c>
      <c r="F267" s="1184" t="s">
        <v>15</v>
      </c>
      <c r="G267" s="1186">
        <v>500000</v>
      </c>
      <c r="H267" s="1187"/>
      <c r="I267" s="1191" t="str">
        <f t="shared" si="4"/>
        <v>Thái</v>
      </c>
    </row>
    <row r="268" spans="1:9" ht="18.75" customHeight="1">
      <c r="A268" s="1182">
        <v>252</v>
      </c>
      <c r="B268" s="1183">
        <v>48</v>
      </c>
      <c r="C268" s="1184"/>
      <c r="D268" s="1184"/>
      <c r="E268" s="1195" t="s">
        <v>171</v>
      </c>
      <c r="F268" s="1184" t="s">
        <v>15</v>
      </c>
      <c r="G268" s="1186">
        <v>500000</v>
      </c>
      <c r="H268" s="1187"/>
      <c r="I268" s="1191" t="str">
        <f t="shared" ref="I268:I331" si="6">E268</f>
        <v>Chăn (4)</v>
      </c>
    </row>
    <row r="269" spans="1:9" ht="18.75" customHeight="1">
      <c r="A269" s="1182">
        <v>253</v>
      </c>
      <c r="B269" s="1183">
        <v>49</v>
      </c>
      <c r="C269" s="1184"/>
      <c r="D269" s="1184"/>
      <c r="E269" s="1195" t="s">
        <v>172</v>
      </c>
      <c r="F269" s="1184" t="s">
        <v>15</v>
      </c>
      <c r="G269" s="1186">
        <v>500000</v>
      </c>
      <c r="H269" s="1187"/>
      <c r="I269" s="1191" t="str">
        <f t="shared" si="6"/>
        <v>Si</v>
      </c>
    </row>
    <row r="270" spans="1:9" ht="18.75" customHeight="1">
      <c r="A270" s="1182">
        <v>254</v>
      </c>
      <c r="B270" s="1183">
        <v>50</v>
      </c>
      <c r="C270" s="1184"/>
      <c r="D270" s="1184"/>
      <c r="E270" s="1195" t="s">
        <v>173</v>
      </c>
      <c r="F270" s="1184" t="s">
        <v>15</v>
      </c>
      <c r="G270" s="1186">
        <v>500000</v>
      </c>
      <c r="H270" s="1187"/>
      <c r="I270" s="1191" t="str">
        <f t="shared" si="6"/>
        <v>Pheng Ta</v>
      </c>
    </row>
    <row r="271" spans="1:9" ht="18.75" customHeight="1">
      <c r="A271" s="1182">
        <v>255</v>
      </c>
      <c r="B271" s="1183">
        <v>51</v>
      </c>
      <c r="C271" s="1184"/>
      <c r="D271" s="1184"/>
      <c r="E271" s="1195" t="s">
        <v>174</v>
      </c>
      <c r="F271" s="1184" t="s">
        <v>15</v>
      </c>
      <c r="G271" s="1186">
        <v>500000</v>
      </c>
      <c r="H271" s="1187"/>
      <c r="I271" s="1191" t="str">
        <f t="shared" si="6"/>
        <v>Sệ</v>
      </c>
    </row>
    <row r="272" spans="1:9" ht="18.75" customHeight="1">
      <c r="A272" s="1182">
        <v>256</v>
      </c>
      <c r="B272" s="1183">
        <v>52</v>
      </c>
      <c r="C272" s="1184"/>
      <c r="D272" s="1184"/>
      <c r="E272" s="1195" t="s">
        <v>175</v>
      </c>
      <c r="F272" s="1184" t="s">
        <v>15</v>
      </c>
      <c r="G272" s="1186">
        <v>500000</v>
      </c>
      <c r="H272" s="1187"/>
      <c r="I272" s="1191" t="str">
        <f t="shared" si="6"/>
        <v>Bà</v>
      </c>
    </row>
    <row r="273" spans="1:9" ht="18.75" customHeight="1">
      <c r="A273" s="1182">
        <v>257</v>
      </c>
      <c r="B273" s="1183">
        <v>53</v>
      </c>
      <c r="C273" s="1184"/>
      <c r="D273" s="1184"/>
      <c r="E273" s="1195" t="s">
        <v>176</v>
      </c>
      <c r="F273" s="1184" t="s">
        <v>15</v>
      </c>
      <c r="G273" s="1186">
        <v>500000</v>
      </c>
      <c r="H273" s="1187"/>
      <c r="I273" s="1191" t="str">
        <f t="shared" si="6"/>
        <v>Xay Du</v>
      </c>
    </row>
    <row r="274" spans="1:9" ht="18.75" customHeight="1">
      <c r="A274" s="1182">
        <v>258</v>
      </c>
      <c r="B274" s="1183">
        <v>54</v>
      </c>
      <c r="C274" s="1184"/>
      <c r="D274" s="1184"/>
      <c r="E274" s="1195" t="s">
        <v>177</v>
      </c>
      <c r="F274" s="1184" t="s">
        <v>15</v>
      </c>
      <c r="G274" s="1186">
        <v>500000</v>
      </c>
      <c r="H274" s="1187"/>
      <c r="I274" s="1191" t="str">
        <f t="shared" si="6"/>
        <v>Lẹ</v>
      </c>
    </row>
    <row r="275" spans="1:9" ht="18.75" customHeight="1">
      <c r="A275" s="1182">
        <v>259</v>
      </c>
      <c r="B275" s="1183">
        <v>55</v>
      </c>
      <c r="C275" s="1184"/>
      <c r="D275" s="1184"/>
      <c r="E275" s="1195" t="s">
        <v>178</v>
      </c>
      <c r="F275" s="1184" t="s">
        <v>15</v>
      </c>
      <c r="G275" s="1186">
        <v>500000</v>
      </c>
      <c r="H275" s="1187"/>
      <c r="I275" s="1191" t="str">
        <f t="shared" si="6"/>
        <v>Bà B</v>
      </c>
    </row>
    <row r="276" spans="1:9" ht="18.75" customHeight="1">
      <c r="A276" s="1182">
        <v>260</v>
      </c>
      <c r="B276" s="1183">
        <v>56</v>
      </c>
      <c r="C276" s="1184"/>
      <c r="D276" s="1184"/>
      <c r="E276" s="1195" t="s">
        <v>179</v>
      </c>
      <c r="F276" s="1184" t="s">
        <v>15</v>
      </c>
      <c r="G276" s="1186">
        <v>500000</v>
      </c>
      <c r="H276" s="1187"/>
      <c r="I276" s="1191" t="str">
        <f t="shared" si="6"/>
        <v>Muôn</v>
      </c>
    </row>
    <row r="277" spans="1:9" ht="18.75" customHeight="1">
      <c r="A277" s="1182">
        <v>261</v>
      </c>
      <c r="B277" s="1183">
        <v>57</v>
      </c>
      <c r="C277" s="1184"/>
      <c r="D277" s="1184"/>
      <c r="E277" s="1195" t="s">
        <v>180</v>
      </c>
      <c r="F277" s="1184" t="s">
        <v>15</v>
      </c>
      <c r="G277" s="1186">
        <v>500000</v>
      </c>
      <c r="H277" s="1187"/>
      <c r="I277" s="1191" t="str">
        <f t="shared" si="6"/>
        <v>Pha</v>
      </c>
    </row>
    <row r="278" spans="1:9" ht="18.75" customHeight="1">
      <c r="A278" s="1182">
        <v>262</v>
      </c>
      <c r="B278" s="1183">
        <v>58</v>
      </c>
      <c r="C278" s="1184"/>
      <c r="D278" s="1184"/>
      <c r="E278" s="1195" t="s">
        <v>181</v>
      </c>
      <c r="F278" s="1184" t="s">
        <v>15</v>
      </c>
      <c r="G278" s="1186">
        <v>500000</v>
      </c>
      <c r="H278" s="1187"/>
      <c r="I278" s="1191" t="str">
        <f t="shared" si="6"/>
        <v>Nét (4)</v>
      </c>
    </row>
    <row r="279" spans="1:9" ht="18.75" customHeight="1">
      <c r="A279" s="1182">
        <v>263</v>
      </c>
      <c r="B279" s="1183">
        <v>59</v>
      </c>
      <c r="C279" s="1184"/>
      <c r="D279" s="1184"/>
      <c r="E279" s="1195" t="s">
        <v>182</v>
      </c>
      <c r="F279" s="1184" t="s">
        <v>15</v>
      </c>
      <c r="G279" s="1186">
        <v>500000</v>
      </c>
      <c r="H279" s="1187"/>
      <c r="I279" s="1191" t="str">
        <f t="shared" si="6"/>
        <v>Sun</v>
      </c>
    </row>
    <row r="280" spans="1:9" ht="18.75" customHeight="1">
      <c r="A280" s="1182">
        <v>264</v>
      </c>
      <c r="B280" s="1183">
        <v>60</v>
      </c>
      <c r="C280" s="1184"/>
      <c r="D280" s="1184"/>
      <c r="E280" s="1195" t="s">
        <v>183</v>
      </c>
      <c r="F280" s="1184" t="s">
        <v>15</v>
      </c>
      <c r="G280" s="1186">
        <v>500000</v>
      </c>
      <c r="H280" s="1187"/>
      <c r="I280" s="1191" t="str">
        <f t="shared" si="6"/>
        <v>Phon (4)</v>
      </c>
    </row>
    <row r="281" spans="1:9" ht="18.75" customHeight="1">
      <c r="A281" s="1182">
        <v>265</v>
      </c>
      <c r="B281" s="1183">
        <v>61</v>
      </c>
      <c r="C281" s="1184"/>
      <c r="D281" s="1184"/>
      <c r="E281" s="1195" t="s">
        <v>184</v>
      </c>
      <c r="F281" s="1184" t="s">
        <v>15</v>
      </c>
      <c r="G281" s="1186">
        <v>500000</v>
      </c>
      <c r="H281" s="1187"/>
      <c r="I281" s="1191" t="str">
        <f t="shared" si="6"/>
        <v>Thên</v>
      </c>
    </row>
    <row r="282" spans="1:9" ht="18.75" customHeight="1">
      <c r="A282" s="1182">
        <v>266</v>
      </c>
      <c r="B282" s="1183">
        <v>62</v>
      </c>
      <c r="C282" s="1184"/>
      <c r="D282" s="1184"/>
      <c r="E282" s="1195" t="s">
        <v>185</v>
      </c>
      <c r="F282" s="1184" t="s">
        <v>15</v>
      </c>
      <c r="G282" s="1186">
        <v>500000</v>
      </c>
      <c r="H282" s="1187"/>
      <c r="I282" s="1191" t="str">
        <f t="shared" si="6"/>
        <v>Na Linh</v>
      </c>
    </row>
    <row r="283" spans="1:9" ht="18.75" customHeight="1">
      <c r="A283" s="1182">
        <v>267</v>
      </c>
      <c r="B283" s="1183">
        <v>63</v>
      </c>
      <c r="C283" s="1184"/>
      <c r="D283" s="1184"/>
      <c r="E283" s="1195" t="s">
        <v>186</v>
      </c>
      <c r="F283" s="1184" t="s">
        <v>15</v>
      </c>
      <c r="G283" s="1186">
        <v>500000</v>
      </c>
      <c r="H283" s="1187"/>
      <c r="I283" s="1191" t="str">
        <f t="shared" si="6"/>
        <v>Hải</v>
      </c>
    </row>
    <row r="284" spans="1:9" ht="18.75" customHeight="1">
      <c r="A284" s="1182">
        <v>268</v>
      </c>
      <c r="B284" s="1183">
        <v>64</v>
      </c>
      <c r="C284" s="1184"/>
      <c r="D284" s="1184"/>
      <c r="E284" s="1195" t="s">
        <v>187</v>
      </c>
      <c r="F284" s="1184" t="s">
        <v>15</v>
      </c>
      <c r="G284" s="1186">
        <v>500000</v>
      </c>
      <c r="H284" s="1187"/>
      <c r="I284" s="1191" t="str">
        <f t="shared" si="6"/>
        <v>Bun Khăm</v>
      </c>
    </row>
    <row r="285" spans="1:9" ht="18.75" customHeight="1">
      <c r="A285" s="1182">
        <v>269</v>
      </c>
      <c r="B285" s="1183">
        <v>65</v>
      </c>
      <c r="C285" s="1184"/>
      <c r="D285" s="1184"/>
      <c r="E285" s="1195" t="s">
        <v>188</v>
      </c>
      <c r="F285" s="1184" t="s">
        <v>15</v>
      </c>
      <c r="G285" s="1186">
        <v>500000</v>
      </c>
      <c r="H285" s="1187"/>
      <c r="I285" s="1191" t="str">
        <f t="shared" si="6"/>
        <v>Nàng Nang</v>
      </c>
    </row>
    <row r="286" spans="1:9" ht="18.75" customHeight="1">
      <c r="A286" s="1182">
        <v>270</v>
      </c>
      <c r="B286" s="1183">
        <v>66</v>
      </c>
      <c r="C286" s="1184"/>
      <c r="D286" s="1184"/>
      <c r="E286" s="1195" t="s">
        <v>189</v>
      </c>
      <c r="F286" s="1184" t="s">
        <v>15</v>
      </c>
      <c r="G286" s="1186">
        <v>500000</v>
      </c>
      <c r="H286" s="1187"/>
      <c r="I286" s="1191" t="str">
        <f t="shared" si="6"/>
        <v>Kong Ta</v>
      </c>
    </row>
    <row r="287" spans="1:9" ht="18.75" customHeight="1">
      <c r="A287" s="1182">
        <v>271</v>
      </c>
      <c r="B287" s="1183">
        <v>67</v>
      </c>
      <c r="C287" s="1184"/>
      <c r="D287" s="1184"/>
      <c r="E287" s="1195" t="s">
        <v>190</v>
      </c>
      <c r="F287" s="1184" t="s">
        <v>15</v>
      </c>
      <c r="G287" s="1186">
        <v>500000</v>
      </c>
      <c r="H287" s="1187"/>
      <c r="I287" s="1191" t="str">
        <f t="shared" si="6"/>
        <v>Ni Đa</v>
      </c>
    </row>
    <row r="288" spans="1:9" ht="18.75" customHeight="1">
      <c r="A288" s="1182">
        <v>272</v>
      </c>
      <c r="B288" s="1183">
        <v>68</v>
      </c>
      <c r="C288" s="1184"/>
      <c r="D288" s="1184"/>
      <c r="E288" s="1195" t="s">
        <v>191</v>
      </c>
      <c r="F288" s="1184" t="s">
        <v>15</v>
      </c>
      <c r="G288" s="1186">
        <v>500000</v>
      </c>
      <c r="H288" s="1187"/>
      <c r="I288" s="1191" t="str">
        <f t="shared" si="6"/>
        <v>Ninh</v>
      </c>
    </row>
    <row r="289" spans="1:9" ht="18.75" customHeight="1">
      <c r="A289" s="1182">
        <v>273</v>
      </c>
      <c r="B289" s="1183">
        <v>69</v>
      </c>
      <c r="C289" s="1184"/>
      <c r="D289" s="1184"/>
      <c r="E289" s="1195" t="s">
        <v>192</v>
      </c>
      <c r="F289" s="1184" t="s">
        <v>15</v>
      </c>
      <c r="G289" s="1186">
        <v>500000</v>
      </c>
      <c r="H289" s="1187"/>
      <c r="I289" s="1191" t="str">
        <f t="shared" si="6"/>
        <v>Hắc Xa Mi</v>
      </c>
    </row>
    <row r="290" spans="1:9" ht="18.75" customHeight="1">
      <c r="A290" s="1182">
        <v>274</v>
      </c>
      <c r="B290" s="1183">
        <v>70</v>
      </c>
      <c r="C290" s="1184"/>
      <c r="D290" s="1184"/>
      <c r="E290" s="1195" t="s">
        <v>193</v>
      </c>
      <c r="F290" s="1184" t="s">
        <v>15</v>
      </c>
      <c r="G290" s="1186">
        <v>500000</v>
      </c>
      <c r="H290" s="1187"/>
      <c r="I290" s="1191" t="str">
        <f t="shared" si="6"/>
        <v>Mi (4)</v>
      </c>
    </row>
    <row r="291" spans="1:9" ht="18.75" customHeight="1">
      <c r="A291" s="1182">
        <v>275</v>
      </c>
      <c r="B291" s="1183">
        <v>71</v>
      </c>
      <c r="C291" s="1184"/>
      <c r="D291" s="1184"/>
      <c r="E291" s="1195" t="s">
        <v>194</v>
      </c>
      <c r="F291" s="1184" t="s">
        <v>15</v>
      </c>
      <c r="G291" s="1186">
        <v>500000</v>
      </c>
      <c r="H291" s="1187"/>
      <c r="I291" s="1191" t="str">
        <f t="shared" si="6"/>
        <v>Phô Phi Xít</v>
      </c>
    </row>
    <row r="292" spans="1:9" ht="18.75" customHeight="1">
      <c r="A292" s="1182">
        <v>276</v>
      </c>
      <c r="B292" s="1183">
        <v>72</v>
      </c>
      <c r="C292" s="1184"/>
      <c r="D292" s="1184"/>
      <c r="E292" s="1195" t="s">
        <v>195</v>
      </c>
      <c r="F292" s="1184" t="s">
        <v>15</v>
      </c>
      <c r="G292" s="1186">
        <v>500000</v>
      </c>
      <c r="H292" s="1187"/>
      <c r="I292" s="1191" t="str">
        <f t="shared" si="6"/>
        <v>Mom</v>
      </c>
    </row>
    <row r="293" spans="1:9" ht="18.75" customHeight="1">
      <c r="A293" s="1182">
        <v>277</v>
      </c>
      <c r="B293" s="1183">
        <v>73</v>
      </c>
      <c r="C293" s="1184"/>
      <c r="D293" s="1184"/>
      <c r="E293" s="1195" t="s">
        <v>196</v>
      </c>
      <c r="F293" s="1184" t="s">
        <v>15</v>
      </c>
      <c r="G293" s="1186">
        <v>500000</v>
      </c>
      <c r="H293" s="1187"/>
      <c r="I293" s="1191" t="str">
        <f t="shared" si="6"/>
        <v>Ben</v>
      </c>
    </row>
    <row r="294" spans="1:9" ht="18.75" customHeight="1">
      <c r="A294" s="1182">
        <v>278</v>
      </c>
      <c r="B294" s="1183">
        <v>74</v>
      </c>
      <c r="C294" s="1184"/>
      <c r="D294" s="1184"/>
      <c r="E294" s="1195" t="s">
        <v>197</v>
      </c>
      <c r="F294" s="1184" t="s">
        <v>15</v>
      </c>
      <c r="G294" s="1186">
        <v>500000</v>
      </c>
      <c r="H294" s="1187"/>
      <c r="I294" s="1191" t="str">
        <f t="shared" si="6"/>
        <v>A Cum (4)</v>
      </c>
    </row>
    <row r="295" spans="1:9" ht="18.75" customHeight="1">
      <c r="A295" s="1182">
        <v>279</v>
      </c>
      <c r="B295" s="1183">
        <v>75</v>
      </c>
      <c r="C295" s="1184"/>
      <c r="D295" s="1184"/>
      <c r="E295" s="1195" t="s">
        <v>198</v>
      </c>
      <c r="F295" s="1184" t="s">
        <v>15</v>
      </c>
      <c r="G295" s="1186">
        <v>500000</v>
      </c>
      <c r="H295" s="1187"/>
      <c r="I295" s="1191" t="str">
        <f t="shared" si="6"/>
        <v>Thông Đeng</v>
      </c>
    </row>
    <row r="296" spans="1:9" ht="18.75" customHeight="1">
      <c r="A296" s="1182">
        <v>280</v>
      </c>
      <c r="B296" s="1183">
        <v>76</v>
      </c>
      <c r="C296" s="1184"/>
      <c r="D296" s="1184"/>
      <c r="E296" s="1195" t="s">
        <v>199</v>
      </c>
      <c r="F296" s="1184" t="s">
        <v>15</v>
      </c>
      <c r="G296" s="1186">
        <v>500000</v>
      </c>
      <c r="H296" s="1187"/>
      <c r="I296" s="1191" t="str">
        <f t="shared" si="6"/>
        <v>Phu Vanh</v>
      </c>
    </row>
    <row r="297" spans="1:9" ht="18.75" customHeight="1">
      <c r="A297" s="1182">
        <v>281</v>
      </c>
      <c r="B297" s="1183">
        <v>77</v>
      </c>
      <c r="C297" s="1184"/>
      <c r="D297" s="1184"/>
      <c r="E297" s="1195" t="s">
        <v>200</v>
      </c>
      <c r="F297" s="1184" t="s">
        <v>15</v>
      </c>
      <c r="G297" s="1186">
        <v>500000</v>
      </c>
      <c r="H297" s="1187"/>
      <c r="I297" s="1191" t="str">
        <f t="shared" si="6"/>
        <v>Ta</v>
      </c>
    </row>
    <row r="298" spans="1:9" ht="18.75" customHeight="1">
      <c r="A298" s="1182">
        <v>282</v>
      </c>
      <c r="B298" s="1183">
        <v>78</v>
      </c>
      <c r="C298" s="1184"/>
      <c r="D298" s="1184"/>
      <c r="E298" s="1195" t="s">
        <v>201</v>
      </c>
      <c r="F298" s="1184" t="s">
        <v>15</v>
      </c>
      <c r="G298" s="1186">
        <v>500000</v>
      </c>
      <c r="H298" s="1187"/>
      <c r="I298" s="1191" t="str">
        <f t="shared" si="6"/>
        <v>Khôn (4)</v>
      </c>
    </row>
    <row r="299" spans="1:9" ht="18.75" customHeight="1">
      <c r="A299" s="1182">
        <v>283</v>
      </c>
      <c r="B299" s="1183">
        <v>79</v>
      </c>
      <c r="C299" s="1184"/>
      <c r="D299" s="1184"/>
      <c r="E299" s="1195" t="s">
        <v>202</v>
      </c>
      <c r="F299" s="1184" t="s">
        <v>15</v>
      </c>
      <c r="G299" s="1186">
        <v>500000</v>
      </c>
      <c r="H299" s="1187"/>
      <c r="I299" s="1191" t="str">
        <f t="shared" si="6"/>
        <v>Thọ</v>
      </c>
    </row>
    <row r="300" spans="1:9" ht="18.75" customHeight="1">
      <c r="A300" s="1182">
        <v>284</v>
      </c>
      <c r="B300" s="1183">
        <v>80</v>
      </c>
      <c r="C300" s="1184"/>
      <c r="D300" s="1184"/>
      <c r="E300" s="1195" t="s">
        <v>203</v>
      </c>
      <c r="F300" s="1184" t="s">
        <v>15</v>
      </c>
      <c r="G300" s="1186">
        <v>500000</v>
      </c>
      <c r="H300" s="1187"/>
      <c r="I300" s="1191" t="str">
        <f t="shared" si="6"/>
        <v>Ten (4)</v>
      </c>
    </row>
    <row r="301" spans="1:9" ht="18.75" customHeight="1">
      <c r="A301" s="1182">
        <v>285</v>
      </c>
      <c r="B301" s="1183">
        <v>81</v>
      </c>
      <c r="C301" s="1184"/>
      <c r="D301" s="1184"/>
      <c r="E301" s="1195" t="s">
        <v>204</v>
      </c>
      <c r="F301" s="1184" t="s">
        <v>15</v>
      </c>
      <c r="G301" s="1186">
        <v>500000</v>
      </c>
      <c r="H301" s="1187"/>
      <c r="I301" s="1191" t="str">
        <f t="shared" si="6"/>
        <v>Văn (4)</v>
      </c>
    </row>
    <row r="302" spans="1:9" ht="18.75" customHeight="1">
      <c r="A302" s="1182">
        <v>286</v>
      </c>
      <c r="B302" s="1183">
        <v>82</v>
      </c>
      <c r="C302" s="1184"/>
      <c r="D302" s="1184"/>
      <c r="E302" s="1195" t="s">
        <v>205</v>
      </c>
      <c r="F302" s="1184" t="s">
        <v>15</v>
      </c>
      <c r="G302" s="1186">
        <v>500000</v>
      </c>
      <c r="H302" s="1187"/>
      <c r="I302" s="1191" t="str">
        <f t="shared" si="6"/>
        <v>Khăm Lổ</v>
      </c>
    </row>
    <row r="303" spans="1:9" ht="18.75" customHeight="1">
      <c r="A303" s="2346" t="s">
        <v>123</v>
      </c>
      <c r="B303" s="2347"/>
      <c r="C303" s="2347"/>
      <c r="D303" s="2347"/>
      <c r="E303" s="2347"/>
      <c r="F303" s="2348"/>
      <c r="G303" s="1193">
        <f>SUM(G304:G374)</f>
        <v>35500000</v>
      </c>
      <c r="H303" s="1194"/>
      <c r="I303" s="1191">
        <f t="shared" si="6"/>
        <v>0</v>
      </c>
    </row>
    <row r="304" spans="1:9" ht="18.75" customHeight="1">
      <c r="A304" s="1182">
        <v>287</v>
      </c>
      <c r="B304" s="1183">
        <v>1</v>
      </c>
      <c r="C304" s="1184"/>
      <c r="D304" s="1184"/>
      <c r="E304" s="1195" t="s">
        <v>206</v>
      </c>
      <c r="F304" s="1184" t="s">
        <v>15</v>
      </c>
      <c r="G304" s="1186">
        <v>500000</v>
      </c>
      <c r="H304" s="1187"/>
      <c r="I304" s="1191" t="str">
        <f t="shared" si="6"/>
        <v>Nàng Mon</v>
      </c>
    </row>
    <row r="305" spans="1:9" ht="18.75" customHeight="1">
      <c r="A305" s="1182">
        <v>288</v>
      </c>
      <c r="B305" s="1183">
        <v>2</v>
      </c>
      <c r="C305" s="1184"/>
      <c r="D305" s="1184"/>
      <c r="E305" s="1195" t="s">
        <v>207</v>
      </c>
      <c r="F305" s="1184" t="s">
        <v>15</v>
      </c>
      <c r="G305" s="1186">
        <v>500000</v>
      </c>
      <c r="H305" s="1187"/>
      <c r="I305" s="1191" t="str">
        <f t="shared" si="6"/>
        <v>Bun</v>
      </c>
    </row>
    <row r="306" spans="1:9" ht="18.75" customHeight="1">
      <c r="A306" s="1182">
        <v>289</v>
      </c>
      <c r="B306" s="1183">
        <v>3</v>
      </c>
      <c r="C306" s="1184"/>
      <c r="D306" s="1184"/>
      <c r="E306" s="1195" t="s">
        <v>208</v>
      </c>
      <c r="F306" s="1184" t="s">
        <v>15</v>
      </c>
      <c r="G306" s="1186">
        <v>500000</v>
      </c>
      <c r="H306" s="1187"/>
      <c r="I306" s="1191" t="str">
        <f t="shared" si="6"/>
        <v>Xôm Bách</v>
      </c>
    </row>
    <row r="307" spans="1:9" ht="18.75" customHeight="1">
      <c r="A307" s="1182">
        <v>290</v>
      </c>
      <c r="B307" s="1183">
        <v>4</v>
      </c>
      <c r="C307" s="1184"/>
      <c r="D307" s="1184"/>
      <c r="E307" s="1195" t="s">
        <v>209</v>
      </c>
      <c r="F307" s="1184" t="s">
        <v>15</v>
      </c>
      <c r="G307" s="1186">
        <v>500000</v>
      </c>
      <c r="H307" s="1187"/>
      <c r="I307" s="1191" t="str">
        <f t="shared" si="6"/>
        <v>Thảo Tịa</v>
      </c>
    </row>
    <row r="308" spans="1:9" ht="18.75" customHeight="1">
      <c r="A308" s="1182">
        <v>291</v>
      </c>
      <c r="B308" s="1183">
        <v>5</v>
      </c>
      <c r="C308" s="1184"/>
      <c r="D308" s="1184"/>
      <c r="E308" s="1195" t="s">
        <v>210</v>
      </c>
      <c r="F308" s="1184" t="s">
        <v>15</v>
      </c>
      <c r="G308" s="1186">
        <v>500000</v>
      </c>
      <c r="H308" s="1187"/>
      <c r="I308" s="1191" t="str">
        <f t="shared" si="6"/>
        <v>Hám Lae</v>
      </c>
    </row>
    <row r="309" spans="1:9" ht="18.75" customHeight="1">
      <c r="A309" s="1182">
        <v>292</v>
      </c>
      <c r="B309" s="1183">
        <v>6</v>
      </c>
      <c r="C309" s="1184"/>
      <c r="D309" s="1184"/>
      <c r="E309" s="1195" t="s">
        <v>211</v>
      </c>
      <c r="F309" s="1184" t="s">
        <v>15</v>
      </c>
      <c r="G309" s="1186">
        <v>500000</v>
      </c>
      <c r="H309" s="1187"/>
      <c r="I309" s="1191" t="str">
        <f t="shared" si="6"/>
        <v>Lan (5)</v>
      </c>
    </row>
    <row r="310" spans="1:9" ht="18.75" customHeight="1">
      <c r="A310" s="1182">
        <v>293</v>
      </c>
      <c r="B310" s="1183">
        <v>7</v>
      </c>
      <c r="C310" s="1184"/>
      <c r="D310" s="1184"/>
      <c r="E310" s="1195" t="s">
        <v>212</v>
      </c>
      <c r="F310" s="1184" t="s">
        <v>15</v>
      </c>
      <c r="G310" s="1186">
        <v>500000</v>
      </c>
      <c r="H310" s="1187"/>
      <c r="I310" s="1191" t="str">
        <f t="shared" si="6"/>
        <v>Năm</v>
      </c>
    </row>
    <row r="311" spans="1:9" ht="18.75" customHeight="1">
      <c r="A311" s="1182">
        <v>294</v>
      </c>
      <c r="B311" s="1183">
        <v>8</v>
      </c>
      <c r="C311" s="1184"/>
      <c r="D311" s="1184"/>
      <c r="E311" s="1195" t="s">
        <v>213</v>
      </c>
      <c r="F311" s="1184" t="s">
        <v>15</v>
      </c>
      <c r="G311" s="1186">
        <v>500000</v>
      </c>
      <c r="H311" s="1187"/>
      <c r="I311" s="1191" t="str">
        <f t="shared" si="6"/>
        <v>Thảo Sum</v>
      </c>
    </row>
    <row r="312" spans="1:9" ht="18.75" customHeight="1">
      <c r="A312" s="1182">
        <v>295</v>
      </c>
      <c r="B312" s="1183">
        <v>9</v>
      </c>
      <c r="C312" s="1184"/>
      <c r="D312" s="1184"/>
      <c r="E312" s="1195" t="s">
        <v>214</v>
      </c>
      <c r="F312" s="1184" t="s">
        <v>15</v>
      </c>
      <c r="G312" s="1186">
        <v>500000</v>
      </c>
      <c r="H312" s="1187"/>
      <c r="I312" s="1191" t="str">
        <f t="shared" si="6"/>
        <v>A Sung</v>
      </c>
    </row>
    <row r="313" spans="1:9" ht="18.75" customHeight="1">
      <c r="A313" s="1182">
        <v>296</v>
      </c>
      <c r="B313" s="1183">
        <v>10</v>
      </c>
      <c r="C313" s="1184"/>
      <c r="D313" s="1184"/>
      <c r="E313" s="1195" t="s">
        <v>215</v>
      </c>
      <c r="F313" s="1184" t="s">
        <v>15</v>
      </c>
      <c r="G313" s="1186">
        <v>500000</v>
      </c>
      <c r="H313" s="1187"/>
      <c r="I313" s="1191" t="str">
        <f t="shared" si="6"/>
        <v>Phết Sa Mon</v>
      </c>
    </row>
    <row r="314" spans="1:9" ht="18.75" customHeight="1">
      <c r="A314" s="1182">
        <v>297</v>
      </c>
      <c r="B314" s="1183">
        <v>11</v>
      </c>
      <c r="C314" s="1184"/>
      <c r="D314" s="1184"/>
      <c r="E314" s="1195" t="s">
        <v>216</v>
      </c>
      <c r="F314" s="1184" t="s">
        <v>15</v>
      </c>
      <c r="G314" s="1186">
        <v>500000</v>
      </c>
      <c r="H314" s="1187"/>
      <c r="I314" s="1191" t="str">
        <f t="shared" si="6"/>
        <v xml:space="preserve">Nàng Von </v>
      </c>
    </row>
    <row r="315" spans="1:9" ht="18.75" customHeight="1">
      <c r="A315" s="1182">
        <v>298</v>
      </c>
      <c r="B315" s="1183">
        <v>12</v>
      </c>
      <c r="C315" s="1184"/>
      <c r="D315" s="1184"/>
      <c r="E315" s="1195" t="s">
        <v>217</v>
      </c>
      <c r="F315" s="1184" t="s">
        <v>15</v>
      </c>
      <c r="G315" s="1186">
        <v>500000</v>
      </c>
      <c r="H315" s="1187"/>
      <c r="I315" s="1191" t="str">
        <f t="shared" si="6"/>
        <v>T. Chòi</v>
      </c>
    </row>
    <row r="316" spans="1:9" ht="18.75" customHeight="1">
      <c r="A316" s="1182">
        <v>299</v>
      </c>
      <c r="B316" s="1183">
        <v>13</v>
      </c>
      <c r="C316" s="1184"/>
      <c r="D316" s="1184"/>
      <c r="E316" s="1195" t="s">
        <v>218</v>
      </c>
      <c r="F316" s="1184" t="s">
        <v>15</v>
      </c>
      <c r="G316" s="1186">
        <v>500000</v>
      </c>
      <c r="H316" s="1187"/>
      <c r="I316" s="1191" t="str">
        <f t="shared" si="6"/>
        <v>Văn (5)</v>
      </c>
    </row>
    <row r="317" spans="1:9" ht="18.75" customHeight="1">
      <c r="A317" s="1182">
        <v>300</v>
      </c>
      <c r="B317" s="1183">
        <v>14</v>
      </c>
      <c r="C317" s="1184"/>
      <c r="D317" s="1184"/>
      <c r="E317" s="1195" t="s">
        <v>219</v>
      </c>
      <c r="F317" s="1184" t="s">
        <v>15</v>
      </c>
      <c r="G317" s="1186">
        <v>500000</v>
      </c>
      <c r="H317" s="1187"/>
      <c r="I317" s="1191" t="str">
        <f t="shared" si="6"/>
        <v>Thảo Khon</v>
      </c>
    </row>
    <row r="318" spans="1:9" ht="18.75" customHeight="1">
      <c r="A318" s="1182">
        <v>301</v>
      </c>
      <c r="B318" s="1183">
        <v>15</v>
      </c>
      <c r="C318" s="1184"/>
      <c r="D318" s="1184"/>
      <c r="E318" s="1195" t="s">
        <v>220</v>
      </c>
      <c r="F318" s="1184" t="s">
        <v>15</v>
      </c>
      <c r="G318" s="1186">
        <v>500000</v>
      </c>
      <c r="H318" s="1187"/>
      <c r="I318" s="1191" t="str">
        <f t="shared" si="6"/>
        <v>A Tô</v>
      </c>
    </row>
    <row r="319" spans="1:9" ht="18.75" customHeight="1">
      <c r="A319" s="1182">
        <v>302</v>
      </c>
      <c r="B319" s="1183">
        <v>16</v>
      </c>
      <c r="C319" s="1184"/>
      <c r="D319" s="1184"/>
      <c r="E319" s="1195" t="s">
        <v>221</v>
      </c>
      <c r="F319" s="1184" t="s">
        <v>15</v>
      </c>
      <c r="G319" s="1186">
        <v>500000</v>
      </c>
      <c r="H319" s="1187"/>
      <c r="I319" s="1191" t="str">
        <f t="shared" si="6"/>
        <v>Đoan</v>
      </c>
    </row>
    <row r="320" spans="1:9" ht="18.75" customHeight="1">
      <c r="A320" s="1182">
        <v>303</v>
      </c>
      <c r="B320" s="1183">
        <v>17</v>
      </c>
      <c r="C320" s="1184"/>
      <c r="D320" s="1184"/>
      <c r="E320" s="1195" t="s">
        <v>222</v>
      </c>
      <c r="F320" s="1184" t="s">
        <v>15</v>
      </c>
      <c r="G320" s="1186">
        <v>500000</v>
      </c>
      <c r="H320" s="1187"/>
      <c r="I320" s="1191" t="str">
        <f t="shared" si="6"/>
        <v>Bun No</v>
      </c>
    </row>
    <row r="321" spans="1:9" ht="18.75" customHeight="1">
      <c r="A321" s="1182">
        <v>304</v>
      </c>
      <c r="B321" s="1183">
        <v>18</v>
      </c>
      <c r="C321" s="1184"/>
      <c r="D321" s="1184"/>
      <c r="E321" s="1195" t="s">
        <v>223</v>
      </c>
      <c r="F321" s="1184" t="s">
        <v>15</v>
      </c>
      <c r="G321" s="1186">
        <v>500000</v>
      </c>
      <c r="H321" s="1187"/>
      <c r="I321" s="1191" t="str">
        <f t="shared" si="6"/>
        <v>Nét (5)</v>
      </c>
    </row>
    <row r="322" spans="1:9" ht="18.75" customHeight="1">
      <c r="A322" s="1182">
        <v>305</v>
      </c>
      <c r="B322" s="1183">
        <v>19</v>
      </c>
      <c r="C322" s="1184"/>
      <c r="D322" s="1184"/>
      <c r="E322" s="1195" t="s">
        <v>224</v>
      </c>
      <c r="F322" s="1184" t="s">
        <v>15</v>
      </c>
      <c r="G322" s="1186">
        <v>500000</v>
      </c>
      <c r="H322" s="1187"/>
      <c r="I322" s="1191" t="str">
        <f t="shared" si="6"/>
        <v>Sen</v>
      </c>
    </row>
    <row r="323" spans="1:9" ht="18.75" customHeight="1">
      <c r="A323" s="1182">
        <v>306</v>
      </c>
      <c r="B323" s="1183">
        <v>20</v>
      </c>
      <c r="C323" s="1184"/>
      <c r="D323" s="1184"/>
      <c r="E323" s="1195" t="s">
        <v>225</v>
      </c>
      <c r="F323" s="1184" t="s">
        <v>15</v>
      </c>
      <c r="G323" s="1186">
        <v>500000</v>
      </c>
      <c r="H323" s="1187"/>
      <c r="I323" s="1191" t="str">
        <f t="shared" si="6"/>
        <v>Thảo Núc</v>
      </c>
    </row>
    <row r="324" spans="1:9" ht="18.75" customHeight="1">
      <c r="A324" s="1182">
        <v>307</v>
      </c>
      <c r="B324" s="1183">
        <v>21</v>
      </c>
      <c r="C324" s="1184"/>
      <c r="D324" s="1184"/>
      <c r="E324" s="1195" t="s">
        <v>226</v>
      </c>
      <c r="F324" s="1184" t="s">
        <v>15</v>
      </c>
      <c r="G324" s="1186">
        <v>500000</v>
      </c>
      <c r="H324" s="1187"/>
      <c r="I324" s="1191" t="str">
        <f t="shared" si="6"/>
        <v>A Đưng</v>
      </c>
    </row>
    <row r="325" spans="1:9" ht="18.75" customHeight="1">
      <c r="A325" s="1182">
        <v>308</v>
      </c>
      <c r="B325" s="1183">
        <v>22</v>
      </c>
      <c r="C325" s="1184"/>
      <c r="D325" s="1184"/>
      <c r="E325" s="1195" t="s">
        <v>227</v>
      </c>
      <c r="F325" s="1184" t="s">
        <v>15</v>
      </c>
      <c r="G325" s="1186">
        <v>500000</v>
      </c>
      <c r="H325" s="1187"/>
      <c r="I325" s="1191" t="str">
        <f t="shared" si="6"/>
        <v>Nàng Nọi (5)</v>
      </c>
    </row>
    <row r="326" spans="1:9" ht="18.75" customHeight="1">
      <c r="A326" s="1182">
        <v>309</v>
      </c>
      <c r="B326" s="1183">
        <v>23</v>
      </c>
      <c r="C326" s="1184"/>
      <c r="D326" s="1184"/>
      <c r="E326" s="1195" t="s">
        <v>228</v>
      </c>
      <c r="F326" s="1184" t="s">
        <v>15</v>
      </c>
      <c r="G326" s="1186">
        <v>500000</v>
      </c>
      <c r="H326" s="1187"/>
      <c r="I326" s="1191" t="str">
        <f t="shared" si="6"/>
        <v>Lúp</v>
      </c>
    </row>
    <row r="327" spans="1:9" ht="18.75" customHeight="1">
      <c r="A327" s="1182">
        <v>310</v>
      </c>
      <c r="B327" s="1183">
        <v>24</v>
      </c>
      <c r="C327" s="1184"/>
      <c r="D327" s="1184"/>
      <c r="E327" s="1195" t="s">
        <v>229</v>
      </c>
      <c r="F327" s="1184" t="s">
        <v>15</v>
      </c>
      <c r="G327" s="1186">
        <v>500000</v>
      </c>
      <c r="H327" s="1187"/>
      <c r="I327" s="1191" t="str">
        <f t="shared" si="6"/>
        <v>Xai (5)</v>
      </c>
    </row>
    <row r="328" spans="1:9" ht="18.75" customHeight="1">
      <c r="A328" s="1182">
        <v>311</v>
      </c>
      <c r="B328" s="1183">
        <v>25</v>
      </c>
      <c r="C328" s="1184"/>
      <c r="D328" s="1184"/>
      <c r="E328" s="1195" t="s">
        <v>230</v>
      </c>
      <c r="F328" s="1184" t="s">
        <v>15</v>
      </c>
      <c r="G328" s="1186">
        <v>500000</v>
      </c>
      <c r="H328" s="1187"/>
      <c r="I328" s="1191" t="str">
        <f t="shared" si="6"/>
        <v>A Bun Noi</v>
      </c>
    </row>
    <row r="329" spans="1:9" ht="18.75" customHeight="1">
      <c r="A329" s="1182">
        <v>312</v>
      </c>
      <c r="B329" s="1183">
        <v>26</v>
      </c>
      <c r="C329" s="1184"/>
      <c r="D329" s="1184"/>
      <c r="E329" s="1195" t="s">
        <v>231</v>
      </c>
      <c r="F329" s="1184" t="s">
        <v>15</v>
      </c>
      <c r="G329" s="1186">
        <v>500000</v>
      </c>
      <c r="H329" s="1187"/>
      <c r="I329" s="1191" t="str">
        <f t="shared" si="6"/>
        <v>E (5)</v>
      </c>
    </row>
    <row r="330" spans="1:9" ht="18.75" customHeight="1">
      <c r="A330" s="1182">
        <v>313</v>
      </c>
      <c r="B330" s="1183">
        <v>27</v>
      </c>
      <c r="C330" s="1184"/>
      <c r="D330" s="1184"/>
      <c r="E330" s="1195" t="s">
        <v>232</v>
      </c>
      <c r="F330" s="1184" t="s">
        <v>15</v>
      </c>
      <c r="G330" s="1186">
        <v>500000</v>
      </c>
      <c r="H330" s="1187"/>
      <c r="I330" s="1191" t="str">
        <f t="shared" si="6"/>
        <v>Bun Mi</v>
      </c>
    </row>
    <row r="331" spans="1:9" ht="18.75" customHeight="1">
      <c r="A331" s="1182">
        <v>314</v>
      </c>
      <c r="B331" s="1183">
        <v>28</v>
      </c>
      <c r="C331" s="1184"/>
      <c r="D331" s="1184"/>
      <c r="E331" s="1195" t="s">
        <v>233</v>
      </c>
      <c r="F331" s="1184" t="s">
        <v>15</v>
      </c>
      <c r="G331" s="1186">
        <v>500000</v>
      </c>
      <c r="H331" s="1187"/>
      <c r="I331" s="1191" t="str">
        <f t="shared" si="6"/>
        <v>Thảo Văn</v>
      </c>
    </row>
    <row r="332" spans="1:9" ht="18.75" customHeight="1">
      <c r="A332" s="1182">
        <v>315</v>
      </c>
      <c r="B332" s="1183">
        <v>29</v>
      </c>
      <c r="C332" s="1184"/>
      <c r="D332" s="1184"/>
      <c r="E332" s="1195" t="s">
        <v>234</v>
      </c>
      <c r="F332" s="1184" t="s">
        <v>15</v>
      </c>
      <c r="G332" s="1186">
        <v>500000</v>
      </c>
      <c r="H332" s="1187"/>
      <c r="I332" s="1191" t="str">
        <f t="shared" ref="I332:I397" si="7">E332</f>
        <v>Nàng Ngân</v>
      </c>
    </row>
    <row r="333" spans="1:9" ht="18.75" customHeight="1">
      <c r="A333" s="1182">
        <v>316</v>
      </c>
      <c r="B333" s="1183">
        <v>30</v>
      </c>
      <c r="C333" s="1184"/>
      <c r="D333" s="1184"/>
      <c r="E333" s="1195" t="s">
        <v>235</v>
      </c>
      <c r="F333" s="1184" t="s">
        <v>15</v>
      </c>
      <c r="G333" s="1186">
        <v>500000</v>
      </c>
      <c r="H333" s="1187"/>
      <c r="I333" s="1191" t="str">
        <f t="shared" si="7"/>
        <v>Nàng Pha</v>
      </c>
    </row>
    <row r="334" spans="1:9" ht="18.75" customHeight="1">
      <c r="A334" s="1182">
        <v>317</v>
      </c>
      <c r="B334" s="1183">
        <v>31</v>
      </c>
      <c r="C334" s="1184"/>
      <c r="D334" s="1184"/>
      <c r="E334" s="1195" t="s">
        <v>236</v>
      </c>
      <c r="F334" s="1184" t="s">
        <v>15</v>
      </c>
      <c r="G334" s="1186">
        <v>500000</v>
      </c>
      <c r="H334" s="1187"/>
      <c r="I334" s="1191" t="str">
        <f t="shared" si="7"/>
        <v>Thảo Ê</v>
      </c>
    </row>
    <row r="335" spans="1:9" ht="18.75" customHeight="1">
      <c r="A335" s="1182">
        <v>318</v>
      </c>
      <c r="B335" s="1183">
        <v>32</v>
      </c>
      <c r="C335" s="1184"/>
      <c r="D335" s="1184"/>
      <c r="E335" s="1195" t="s">
        <v>237</v>
      </c>
      <c r="F335" s="1184" t="s">
        <v>15</v>
      </c>
      <c r="G335" s="1186">
        <v>500000</v>
      </c>
      <c r="H335" s="1187"/>
      <c r="I335" s="1191" t="str">
        <f t="shared" si="7"/>
        <v>Nàng Ăm</v>
      </c>
    </row>
    <row r="336" spans="1:9" ht="18.75" customHeight="1">
      <c r="A336" s="1182">
        <v>319</v>
      </c>
      <c r="B336" s="1183">
        <v>33</v>
      </c>
      <c r="C336" s="1184"/>
      <c r="D336" s="1184"/>
      <c r="E336" s="1195" t="s">
        <v>238</v>
      </c>
      <c r="F336" s="1184" t="s">
        <v>15</v>
      </c>
      <c r="G336" s="1186">
        <v>500000</v>
      </c>
      <c r="H336" s="1187"/>
      <c r="I336" s="1191" t="str">
        <f t="shared" si="7"/>
        <v>Thảo Lợt</v>
      </c>
    </row>
    <row r="337" spans="1:9" ht="18.75" customHeight="1">
      <c r="A337" s="1182">
        <v>320</v>
      </c>
      <c r="B337" s="1183">
        <v>34</v>
      </c>
      <c r="C337" s="1184"/>
      <c r="D337" s="1184"/>
      <c r="E337" s="1195" t="s">
        <v>239</v>
      </c>
      <c r="F337" s="1184" t="s">
        <v>15</v>
      </c>
      <c r="G337" s="1186">
        <v>500000</v>
      </c>
      <c r="H337" s="1187"/>
      <c r="I337" s="1191" t="str">
        <f t="shared" si="7"/>
        <v>ViSay</v>
      </c>
    </row>
    <row r="338" spans="1:9" ht="18.75" customHeight="1">
      <c r="A338" s="1182">
        <v>321</v>
      </c>
      <c r="B338" s="1183">
        <v>35</v>
      </c>
      <c r="C338" s="1184"/>
      <c r="D338" s="1184"/>
      <c r="E338" s="1195" t="s">
        <v>240</v>
      </c>
      <c r="F338" s="1184" t="s">
        <v>15</v>
      </c>
      <c r="G338" s="1186">
        <v>500000</v>
      </c>
      <c r="H338" s="1187"/>
      <c r="I338" s="1191" t="str">
        <f t="shared" si="7"/>
        <v>Thảo Phơn</v>
      </c>
    </row>
    <row r="339" spans="1:9" ht="18.75" customHeight="1">
      <c r="A339" s="1182">
        <v>322</v>
      </c>
      <c r="B339" s="1183">
        <v>36</v>
      </c>
      <c r="C339" s="1184"/>
      <c r="D339" s="1184"/>
      <c r="E339" s="1195" t="s">
        <v>241</v>
      </c>
      <c r="F339" s="1184" t="s">
        <v>15</v>
      </c>
      <c r="G339" s="1186">
        <v>500000</v>
      </c>
      <c r="H339" s="1187"/>
      <c r="I339" s="1191" t="str">
        <f t="shared" si="7"/>
        <v>Nàng Oi</v>
      </c>
    </row>
    <row r="340" spans="1:9" ht="18.75" customHeight="1">
      <c r="A340" s="1182">
        <v>323</v>
      </c>
      <c r="B340" s="1183">
        <v>37</v>
      </c>
      <c r="C340" s="1184"/>
      <c r="D340" s="1184"/>
      <c r="E340" s="1195" t="s">
        <v>242</v>
      </c>
      <c r="F340" s="1184" t="s">
        <v>15</v>
      </c>
      <c r="G340" s="1186">
        <v>500000</v>
      </c>
      <c r="H340" s="1187"/>
      <c r="I340" s="1191" t="str">
        <f t="shared" si="7"/>
        <v>Nàng Ly</v>
      </c>
    </row>
    <row r="341" spans="1:9" ht="18.75" customHeight="1">
      <c r="A341" s="1182">
        <v>324</v>
      </c>
      <c r="B341" s="1183">
        <v>38</v>
      </c>
      <c r="C341" s="1184"/>
      <c r="D341" s="1184"/>
      <c r="E341" s="1195" t="s">
        <v>243</v>
      </c>
      <c r="F341" s="1184" t="s">
        <v>15</v>
      </c>
      <c r="G341" s="1186">
        <v>500000</v>
      </c>
      <c r="H341" s="1187"/>
      <c r="I341" s="1191" t="str">
        <f t="shared" si="7"/>
        <v>Thảo Ú</v>
      </c>
    </row>
    <row r="342" spans="1:9" ht="18.75" customHeight="1">
      <c r="A342" s="1182">
        <v>325</v>
      </c>
      <c r="B342" s="1183">
        <v>39</v>
      </c>
      <c r="C342" s="1184"/>
      <c r="D342" s="1184"/>
      <c r="E342" s="1195" t="s">
        <v>244</v>
      </c>
      <c r="F342" s="1184" t="s">
        <v>15</v>
      </c>
      <c r="G342" s="1186">
        <v>500000</v>
      </c>
      <c r="H342" s="1187"/>
      <c r="I342" s="1191" t="str">
        <f t="shared" si="7"/>
        <v>Bun Ùm</v>
      </c>
    </row>
    <row r="343" spans="1:9" ht="18.75" customHeight="1">
      <c r="A343" s="1182">
        <v>326</v>
      </c>
      <c r="B343" s="1183">
        <v>40</v>
      </c>
      <c r="C343" s="1184"/>
      <c r="D343" s="1184"/>
      <c r="E343" s="1195" t="s">
        <v>245</v>
      </c>
      <c r="F343" s="1184" t="s">
        <v>15</v>
      </c>
      <c r="G343" s="1186">
        <v>500000</v>
      </c>
      <c r="H343" s="1187"/>
      <c r="I343" s="1191" t="str">
        <f t="shared" si="7"/>
        <v>Bun Ma (5)</v>
      </c>
    </row>
    <row r="344" spans="1:9" ht="18.75" customHeight="1">
      <c r="A344" s="1182">
        <v>327</v>
      </c>
      <c r="B344" s="1183">
        <v>41</v>
      </c>
      <c r="C344" s="1184"/>
      <c r="D344" s="1184"/>
      <c r="E344" s="1195" t="s">
        <v>246</v>
      </c>
      <c r="F344" s="1184" t="s">
        <v>15</v>
      </c>
      <c r="G344" s="1186">
        <v>500000</v>
      </c>
      <c r="H344" s="1187"/>
      <c r="I344" s="1191" t="str">
        <f t="shared" si="7"/>
        <v>Keo (5)</v>
      </c>
    </row>
    <row r="345" spans="1:9" ht="18.75" customHeight="1">
      <c r="A345" s="1182">
        <v>328</v>
      </c>
      <c r="B345" s="1183">
        <v>42</v>
      </c>
      <c r="C345" s="1184"/>
      <c r="D345" s="1184"/>
      <c r="E345" s="1195" t="s">
        <v>247</v>
      </c>
      <c r="F345" s="1184" t="s">
        <v>15</v>
      </c>
      <c r="G345" s="1186">
        <v>500000</v>
      </c>
      <c r="H345" s="1187"/>
      <c r="I345" s="1191" t="str">
        <f t="shared" si="7"/>
        <v>Khám Tan</v>
      </c>
    </row>
    <row r="346" spans="1:9" ht="18.75" customHeight="1">
      <c r="A346" s="1182">
        <v>329</v>
      </c>
      <c r="B346" s="1183">
        <v>43</v>
      </c>
      <c r="C346" s="1184"/>
      <c r="D346" s="1184"/>
      <c r="E346" s="1195" t="s">
        <v>248</v>
      </c>
      <c r="F346" s="1184" t="s">
        <v>15</v>
      </c>
      <c r="G346" s="1186">
        <v>500000</v>
      </c>
      <c r="H346" s="1187"/>
      <c r="I346" s="1191" t="str">
        <f t="shared" si="7"/>
        <v>Nàng Súc</v>
      </c>
    </row>
    <row r="347" spans="1:9" ht="18.75" customHeight="1">
      <c r="A347" s="1182">
        <v>330</v>
      </c>
      <c r="B347" s="1183">
        <v>44</v>
      </c>
      <c r="C347" s="1184"/>
      <c r="D347" s="1184"/>
      <c r="E347" s="1195" t="s">
        <v>249</v>
      </c>
      <c r="F347" s="1184" t="s">
        <v>15</v>
      </c>
      <c r="G347" s="1186">
        <v>500000</v>
      </c>
      <c r="H347" s="1187"/>
      <c r="I347" s="1191" t="str">
        <f t="shared" si="7"/>
        <v>Khắn Thong</v>
      </c>
    </row>
    <row r="348" spans="1:9" ht="18.75" customHeight="1">
      <c r="A348" s="1182">
        <v>331</v>
      </c>
      <c r="B348" s="1183">
        <v>45</v>
      </c>
      <c r="C348" s="1184"/>
      <c r="D348" s="1184"/>
      <c r="E348" s="1195" t="s">
        <v>250</v>
      </c>
      <c r="F348" s="1184" t="s">
        <v>15</v>
      </c>
      <c r="G348" s="1186">
        <v>500000</v>
      </c>
      <c r="H348" s="1187"/>
      <c r="I348" s="1191" t="str">
        <f t="shared" si="7"/>
        <v>Keo Đăm</v>
      </c>
    </row>
    <row r="349" spans="1:9" ht="18.75" customHeight="1">
      <c r="A349" s="1182">
        <v>332</v>
      </c>
      <c r="B349" s="1183">
        <v>46</v>
      </c>
      <c r="C349" s="1184"/>
      <c r="D349" s="1184"/>
      <c r="E349" s="1195" t="s">
        <v>251</v>
      </c>
      <c r="F349" s="1184" t="s">
        <v>15</v>
      </c>
      <c r="G349" s="1186">
        <v>500000</v>
      </c>
      <c r="H349" s="1187"/>
      <c r="I349" s="1191" t="str">
        <f t="shared" si="7"/>
        <v>Ka Luân</v>
      </c>
    </row>
    <row r="350" spans="1:9" ht="18.75" customHeight="1">
      <c r="A350" s="1182">
        <v>333</v>
      </c>
      <c r="B350" s="1183">
        <v>47</v>
      </c>
      <c r="C350" s="1184"/>
      <c r="D350" s="1184"/>
      <c r="E350" s="1195" t="s">
        <v>252</v>
      </c>
      <c r="F350" s="1184" t="s">
        <v>15</v>
      </c>
      <c r="G350" s="1186">
        <v>500000</v>
      </c>
      <c r="H350" s="1187"/>
      <c r="I350" s="1191" t="str">
        <f t="shared" si="7"/>
        <v>Mừn</v>
      </c>
    </row>
    <row r="351" spans="1:9" ht="18.75" customHeight="1">
      <c r="A351" s="1182">
        <v>334</v>
      </c>
      <c r="B351" s="1183">
        <v>48</v>
      </c>
      <c r="C351" s="1184"/>
      <c r="D351" s="1184"/>
      <c r="E351" s="1195" t="s">
        <v>253</v>
      </c>
      <c r="F351" s="1184" t="s">
        <v>15</v>
      </c>
      <c r="G351" s="1186">
        <v>500000</v>
      </c>
      <c r="H351" s="1187"/>
      <c r="I351" s="1191" t="str">
        <f t="shared" si="7"/>
        <v>N. Lâm</v>
      </c>
    </row>
    <row r="352" spans="1:9" ht="18.75" customHeight="1">
      <c r="A352" s="1182">
        <v>335</v>
      </c>
      <c r="B352" s="1183">
        <v>49</v>
      </c>
      <c r="C352" s="1184"/>
      <c r="D352" s="1184"/>
      <c r="E352" s="1195" t="s">
        <v>254</v>
      </c>
      <c r="F352" s="1184" t="s">
        <v>15</v>
      </c>
      <c r="G352" s="1186">
        <v>500000</v>
      </c>
      <c r="H352" s="1187"/>
      <c r="I352" s="1191" t="str">
        <f t="shared" si="7"/>
        <v>T. Kợt</v>
      </c>
    </row>
    <row r="353" spans="1:9" ht="18.75" customHeight="1">
      <c r="A353" s="1182">
        <v>336</v>
      </c>
      <c r="B353" s="1183">
        <v>50</v>
      </c>
      <c r="C353" s="1184"/>
      <c r="D353" s="1184"/>
      <c r="E353" s="1195" t="s">
        <v>255</v>
      </c>
      <c r="F353" s="1184" t="s">
        <v>15</v>
      </c>
      <c r="G353" s="1186">
        <v>500000</v>
      </c>
      <c r="H353" s="1187"/>
      <c r="I353" s="1191" t="str">
        <f t="shared" si="7"/>
        <v>Sôm Sa Núc</v>
      </c>
    </row>
    <row r="354" spans="1:9" ht="18.75" customHeight="1">
      <c r="A354" s="1182">
        <v>337</v>
      </c>
      <c r="B354" s="1183">
        <v>51</v>
      </c>
      <c r="C354" s="1184"/>
      <c r="D354" s="1184"/>
      <c r="E354" s="1195" t="s">
        <v>256</v>
      </c>
      <c r="F354" s="1184" t="s">
        <v>15</v>
      </c>
      <c r="G354" s="1186">
        <v>500000</v>
      </c>
      <c r="H354" s="1187"/>
      <c r="I354" s="1191" t="str">
        <f t="shared" si="7"/>
        <v>Kay Thong</v>
      </c>
    </row>
    <row r="355" spans="1:9" ht="18.75" customHeight="1">
      <c r="A355" s="1182">
        <v>338</v>
      </c>
      <c r="B355" s="1183">
        <v>52</v>
      </c>
      <c r="C355" s="1184"/>
      <c r="D355" s="1184"/>
      <c r="E355" s="1195" t="s">
        <v>257</v>
      </c>
      <c r="F355" s="1184" t="s">
        <v>15</v>
      </c>
      <c r="G355" s="1186">
        <v>500000</v>
      </c>
      <c r="H355" s="1187"/>
      <c r="I355" s="1191" t="str">
        <f t="shared" si="7"/>
        <v>A Vun</v>
      </c>
    </row>
    <row r="356" spans="1:9" ht="18.75" customHeight="1">
      <c r="A356" s="1182">
        <v>339</v>
      </c>
      <c r="B356" s="1183">
        <v>53</v>
      </c>
      <c r="C356" s="1184"/>
      <c r="D356" s="1184"/>
      <c r="E356" s="1195" t="s">
        <v>258</v>
      </c>
      <c r="F356" s="1184" t="s">
        <v>15</v>
      </c>
      <c r="G356" s="1186">
        <v>500000</v>
      </c>
      <c r="H356" s="1187"/>
      <c r="I356" s="1191" t="str">
        <f t="shared" si="7"/>
        <v>T. Son</v>
      </c>
    </row>
    <row r="357" spans="1:9" ht="18.75" customHeight="1">
      <c r="A357" s="1182">
        <v>340</v>
      </c>
      <c r="B357" s="1183">
        <v>54</v>
      </c>
      <c r="C357" s="1184"/>
      <c r="D357" s="1184"/>
      <c r="E357" s="1195" t="s">
        <v>259</v>
      </c>
      <c r="F357" s="1184" t="s">
        <v>15</v>
      </c>
      <c r="G357" s="1186">
        <v>500000</v>
      </c>
      <c r="H357" s="1187"/>
      <c r="I357" s="1191" t="str">
        <f t="shared" si="7"/>
        <v>Sắc</v>
      </c>
    </row>
    <row r="358" spans="1:9" ht="18.75" customHeight="1">
      <c r="A358" s="1182">
        <v>341</v>
      </c>
      <c r="B358" s="1183">
        <v>55</v>
      </c>
      <c r="C358" s="1184"/>
      <c r="D358" s="1184"/>
      <c r="E358" s="1195" t="s">
        <v>260</v>
      </c>
      <c r="F358" s="1184" t="s">
        <v>15</v>
      </c>
      <c r="G358" s="1186">
        <v>500000</v>
      </c>
      <c r="H358" s="1187"/>
      <c r="I358" s="1191" t="str">
        <f t="shared" si="7"/>
        <v>Thảo Bơt</v>
      </c>
    </row>
    <row r="359" spans="1:9" ht="18.75" customHeight="1">
      <c r="A359" s="1182">
        <v>342</v>
      </c>
      <c r="B359" s="1183">
        <v>56</v>
      </c>
      <c r="C359" s="1184"/>
      <c r="D359" s="1184"/>
      <c r="E359" s="1195" t="s">
        <v>261</v>
      </c>
      <c r="F359" s="1184" t="s">
        <v>15</v>
      </c>
      <c r="G359" s="1186">
        <v>500000</v>
      </c>
      <c r="H359" s="1187"/>
      <c r="I359" s="1191" t="str">
        <f t="shared" si="7"/>
        <v>Say (5)</v>
      </c>
    </row>
    <row r="360" spans="1:9" ht="18.75" customHeight="1">
      <c r="A360" s="1182">
        <v>343</v>
      </c>
      <c r="B360" s="1183">
        <v>57</v>
      </c>
      <c r="C360" s="1184"/>
      <c r="D360" s="1184"/>
      <c r="E360" s="1195" t="s">
        <v>262</v>
      </c>
      <c r="F360" s="1184" t="s">
        <v>15</v>
      </c>
      <c r="G360" s="1186">
        <v>500000</v>
      </c>
      <c r="H360" s="1187"/>
      <c r="I360" s="1191" t="str">
        <f t="shared" si="7"/>
        <v>Đăm (5)</v>
      </c>
    </row>
    <row r="361" spans="1:9" ht="18.75" customHeight="1">
      <c r="A361" s="1182">
        <v>344</v>
      </c>
      <c r="B361" s="1183">
        <v>58</v>
      </c>
      <c r="C361" s="1184"/>
      <c r="D361" s="1184"/>
      <c r="E361" s="1195" t="s">
        <v>263</v>
      </c>
      <c r="F361" s="1184" t="s">
        <v>15</v>
      </c>
      <c r="G361" s="1186">
        <v>500000</v>
      </c>
      <c r="H361" s="1187"/>
      <c r="I361" s="1191" t="str">
        <f t="shared" si="7"/>
        <v>Viêng</v>
      </c>
    </row>
    <row r="362" spans="1:9" ht="18.75" customHeight="1">
      <c r="A362" s="1182">
        <v>345</v>
      </c>
      <c r="B362" s="1183">
        <v>59</v>
      </c>
      <c r="C362" s="1184"/>
      <c r="D362" s="1184"/>
      <c r="E362" s="1195" t="s">
        <v>264</v>
      </c>
      <c r="F362" s="1184" t="s">
        <v>15</v>
      </c>
      <c r="G362" s="1186">
        <v>500000</v>
      </c>
      <c r="H362" s="1187"/>
      <c r="I362" s="1191" t="str">
        <f t="shared" si="7"/>
        <v>Săn</v>
      </c>
    </row>
    <row r="363" spans="1:9" ht="18.75" customHeight="1">
      <c r="A363" s="1182">
        <v>346</v>
      </c>
      <c r="B363" s="1183">
        <v>60</v>
      </c>
      <c r="C363" s="1184"/>
      <c r="D363" s="1184"/>
      <c r="E363" s="1195" t="s">
        <v>265</v>
      </c>
      <c r="F363" s="1184" t="s">
        <v>15</v>
      </c>
      <c r="G363" s="1186">
        <v>500000</v>
      </c>
      <c r="H363" s="1187"/>
      <c r="I363" s="1191" t="str">
        <f t="shared" si="7"/>
        <v>Nàng Loi</v>
      </c>
    </row>
    <row r="364" spans="1:9" ht="18.75" customHeight="1">
      <c r="A364" s="1182">
        <v>347</v>
      </c>
      <c r="B364" s="1183">
        <v>61</v>
      </c>
      <c r="C364" s="1184"/>
      <c r="D364" s="1184"/>
      <c r="E364" s="1195" t="s">
        <v>266</v>
      </c>
      <c r="F364" s="1184" t="s">
        <v>15</v>
      </c>
      <c r="G364" s="1186">
        <v>500000</v>
      </c>
      <c r="H364" s="1187"/>
      <c r="I364" s="1191" t="str">
        <f t="shared" si="7"/>
        <v>A Săn</v>
      </c>
    </row>
    <row r="365" spans="1:9" ht="18.75" customHeight="1">
      <c r="A365" s="1182">
        <v>348</v>
      </c>
      <c r="B365" s="1183">
        <v>62</v>
      </c>
      <c r="C365" s="1184"/>
      <c r="D365" s="1184"/>
      <c r="E365" s="1195" t="s">
        <v>267</v>
      </c>
      <c r="F365" s="1184" t="s">
        <v>15</v>
      </c>
      <c r="G365" s="1186">
        <v>500000</v>
      </c>
      <c r="H365" s="1187"/>
      <c r="I365" s="1191" t="str">
        <f t="shared" si="7"/>
        <v>Sa Máy</v>
      </c>
    </row>
    <row r="366" spans="1:9" ht="18.75" customHeight="1">
      <c r="A366" s="1182">
        <v>349</v>
      </c>
      <c r="B366" s="1183">
        <v>63</v>
      </c>
      <c r="C366" s="1184"/>
      <c r="D366" s="1184"/>
      <c r="E366" s="1195" t="s">
        <v>268</v>
      </c>
      <c r="F366" s="1184" t="s">
        <v>15</v>
      </c>
      <c r="G366" s="1186">
        <v>500000</v>
      </c>
      <c r="H366" s="1187"/>
      <c r="I366" s="1191" t="str">
        <f t="shared" si="7"/>
        <v>Khăm Bay (5)</v>
      </c>
    </row>
    <row r="367" spans="1:9" ht="18.75" customHeight="1">
      <c r="A367" s="1182">
        <v>350</v>
      </c>
      <c r="B367" s="1183">
        <v>64</v>
      </c>
      <c r="C367" s="1184"/>
      <c r="D367" s="1184"/>
      <c r="E367" s="1195" t="s">
        <v>269</v>
      </c>
      <c r="F367" s="1184" t="s">
        <v>15</v>
      </c>
      <c r="G367" s="1186">
        <v>500000</v>
      </c>
      <c r="H367" s="1187"/>
      <c r="I367" s="1191" t="str">
        <f t="shared" si="7"/>
        <v>Chôn</v>
      </c>
    </row>
    <row r="368" spans="1:9" ht="18.75" customHeight="1">
      <c r="A368" s="1182">
        <v>351</v>
      </c>
      <c r="B368" s="1183">
        <v>65</v>
      </c>
      <c r="C368" s="1184"/>
      <c r="D368" s="1184"/>
      <c r="E368" s="1195" t="s">
        <v>270</v>
      </c>
      <c r="F368" s="1184" t="s">
        <v>15</v>
      </c>
      <c r="G368" s="1186">
        <v>500000</v>
      </c>
      <c r="H368" s="1187"/>
      <c r="I368" s="1191" t="str">
        <f t="shared" si="7"/>
        <v>Lâm Ngân</v>
      </c>
    </row>
    <row r="369" spans="1:9" ht="18.75" customHeight="1">
      <c r="A369" s="1182">
        <v>352</v>
      </c>
      <c r="B369" s="1183">
        <v>66</v>
      </c>
      <c r="C369" s="1184"/>
      <c r="D369" s="1184"/>
      <c r="E369" s="1195" t="s">
        <v>271</v>
      </c>
      <c r="F369" s="1184" t="s">
        <v>15</v>
      </c>
      <c r="G369" s="1186">
        <v>500000</v>
      </c>
      <c r="H369" s="1187"/>
      <c r="I369" s="1191" t="str">
        <f t="shared" si="7"/>
        <v>A Nha</v>
      </c>
    </row>
    <row r="370" spans="1:9" ht="18.75" customHeight="1">
      <c r="A370" s="1182">
        <v>353</v>
      </c>
      <c r="B370" s="1183">
        <v>67</v>
      </c>
      <c r="C370" s="1184"/>
      <c r="D370" s="1184"/>
      <c r="E370" s="1195" t="s">
        <v>272</v>
      </c>
      <c r="F370" s="1184" t="s">
        <v>15</v>
      </c>
      <c r="G370" s="1186">
        <v>500000</v>
      </c>
      <c r="H370" s="1187"/>
      <c r="I370" s="1191" t="str">
        <f t="shared" si="7"/>
        <v>Tảo Pheo</v>
      </c>
    </row>
    <row r="371" spans="1:9" ht="18.75" customHeight="1">
      <c r="A371" s="1182">
        <v>354</v>
      </c>
      <c r="B371" s="1183">
        <v>68</v>
      </c>
      <c r="C371" s="1184"/>
      <c r="D371" s="1184"/>
      <c r="E371" s="1195" t="s">
        <v>273</v>
      </c>
      <c r="F371" s="1184" t="s">
        <v>15</v>
      </c>
      <c r="G371" s="1186">
        <v>500000</v>
      </c>
      <c r="H371" s="1187"/>
      <c r="I371" s="1191" t="str">
        <f t="shared" ref="I371:I372" si="8">E371</f>
        <v>P. Mong</v>
      </c>
    </row>
    <row r="372" spans="1:9" ht="18.75" customHeight="1">
      <c r="A372" s="1182">
        <v>355</v>
      </c>
      <c r="B372" s="1183">
        <v>69</v>
      </c>
      <c r="C372" s="1184"/>
      <c r="D372" s="1184"/>
      <c r="E372" s="1195" t="s">
        <v>274</v>
      </c>
      <c r="F372" s="1184" t="s">
        <v>15</v>
      </c>
      <c r="G372" s="1186">
        <v>500000</v>
      </c>
      <c r="H372" s="1187"/>
      <c r="I372" s="1191" t="str">
        <f t="shared" si="8"/>
        <v>A Chon</v>
      </c>
    </row>
    <row r="373" spans="1:9" ht="18.75" customHeight="1">
      <c r="A373" s="1182">
        <v>356</v>
      </c>
      <c r="B373" s="1183">
        <v>70</v>
      </c>
      <c r="C373" s="1184"/>
      <c r="D373" s="1184"/>
      <c r="E373" s="1195" t="s">
        <v>275</v>
      </c>
      <c r="F373" s="1184" t="s">
        <v>15</v>
      </c>
      <c r="G373" s="1186">
        <v>500000</v>
      </c>
      <c r="H373" s="1187"/>
      <c r="I373" s="1191" t="str">
        <f t="shared" si="7"/>
        <v>Thảo Khon B</v>
      </c>
    </row>
    <row r="374" spans="1:9" ht="18.75" customHeight="1">
      <c r="A374" s="1182">
        <v>357</v>
      </c>
      <c r="B374" s="1183">
        <v>71</v>
      </c>
      <c r="C374" s="1184"/>
      <c r="D374" s="1184"/>
      <c r="E374" s="1195" t="s">
        <v>276</v>
      </c>
      <c r="F374" s="1184" t="s">
        <v>15</v>
      </c>
      <c r="G374" s="1186">
        <v>500000</v>
      </c>
      <c r="H374" s="1187"/>
      <c r="I374" s="1191" t="str">
        <f t="shared" si="7"/>
        <v>Nàng Chăn</v>
      </c>
    </row>
    <row r="375" spans="1:9" ht="18.75" customHeight="1">
      <c r="A375" s="2346" t="s">
        <v>277</v>
      </c>
      <c r="B375" s="2347"/>
      <c r="C375" s="2347"/>
      <c r="D375" s="2347"/>
      <c r="E375" s="2347"/>
      <c r="F375" s="2348"/>
      <c r="G375" s="1193">
        <f>SUM(G376:G382)</f>
        <v>3500000</v>
      </c>
      <c r="H375" s="1194"/>
      <c r="I375" s="1191">
        <f t="shared" si="7"/>
        <v>0</v>
      </c>
    </row>
    <row r="376" spans="1:9" ht="18.75" customHeight="1">
      <c r="A376" s="1182">
        <v>358</v>
      </c>
      <c r="B376" s="1183">
        <v>1</v>
      </c>
      <c r="C376" s="1184"/>
      <c r="D376" s="1184"/>
      <c r="E376" s="1195" t="s">
        <v>278</v>
      </c>
      <c r="F376" s="1184" t="s">
        <v>15</v>
      </c>
      <c r="G376" s="1186">
        <v>500000</v>
      </c>
      <c r="H376" s="1187"/>
      <c r="I376" s="1191" t="str">
        <f t="shared" si="7"/>
        <v>Tà Lòi</v>
      </c>
    </row>
    <row r="377" spans="1:9" ht="18.75" customHeight="1">
      <c r="A377" s="1182">
        <v>359</v>
      </c>
      <c r="B377" s="1183">
        <v>2</v>
      </c>
      <c r="C377" s="1184"/>
      <c r="D377" s="1184"/>
      <c r="E377" s="1195" t="s">
        <v>279</v>
      </c>
      <c r="F377" s="1184" t="s">
        <v>15</v>
      </c>
      <c r="G377" s="1186">
        <v>500000</v>
      </c>
      <c r="H377" s="1187"/>
      <c r="I377" s="1191" t="str">
        <f t="shared" si="7"/>
        <v>Lây</v>
      </c>
    </row>
    <row r="378" spans="1:9" ht="18.75" customHeight="1">
      <c r="A378" s="1182">
        <v>360</v>
      </c>
      <c r="B378" s="1183">
        <v>3</v>
      </c>
      <c r="C378" s="1184"/>
      <c r="D378" s="1184"/>
      <c r="E378" s="1195" t="s">
        <v>280</v>
      </c>
      <c r="F378" s="1184" t="s">
        <v>15</v>
      </c>
      <c r="G378" s="1186">
        <v>500000</v>
      </c>
      <c r="H378" s="1187"/>
      <c r="I378" s="1191" t="str">
        <f t="shared" si="7"/>
        <v>Tà (5)</v>
      </c>
    </row>
    <row r="379" spans="1:9" ht="18.75" customHeight="1">
      <c r="A379" s="1182">
        <v>361</v>
      </c>
      <c r="B379" s="1183">
        <v>4</v>
      </c>
      <c r="C379" s="1184"/>
      <c r="D379" s="1184"/>
      <c r="E379" s="1195" t="s">
        <v>281</v>
      </c>
      <c r="F379" s="1184" t="s">
        <v>15</v>
      </c>
      <c r="G379" s="1186">
        <v>500000</v>
      </c>
      <c r="H379" s="1187"/>
      <c r="I379" s="1191" t="str">
        <f t="shared" si="7"/>
        <v>Bay</v>
      </c>
    </row>
    <row r="380" spans="1:9" ht="18.75" customHeight="1">
      <c r="A380" s="1182">
        <v>362</v>
      </c>
      <c r="B380" s="1183">
        <v>5</v>
      </c>
      <c r="C380" s="1184"/>
      <c r="D380" s="1184"/>
      <c r="E380" s="1195" t="s">
        <v>282</v>
      </c>
      <c r="F380" s="1184" t="s">
        <v>15</v>
      </c>
      <c r="G380" s="1186">
        <v>500000</v>
      </c>
      <c r="H380" s="1187"/>
      <c r="I380" s="1191" t="str">
        <f t="shared" si="7"/>
        <v>Xay (5)</v>
      </c>
    </row>
    <row r="381" spans="1:9" ht="18.75" customHeight="1">
      <c r="A381" s="1182">
        <v>363</v>
      </c>
      <c r="B381" s="1183">
        <v>6</v>
      </c>
      <c r="C381" s="1184"/>
      <c r="D381" s="1184"/>
      <c r="E381" s="1195" t="s">
        <v>283</v>
      </c>
      <c r="F381" s="1184" t="s">
        <v>15</v>
      </c>
      <c r="G381" s="1186">
        <v>500000</v>
      </c>
      <c r="H381" s="1187"/>
      <c r="I381" s="1191" t="str">
        <f t="shared" si="7"/>
        <v>Lạc Khon</v>
      </c>
    </row>
    <row r="382" spans="1:9" ht="18.75" customHeight="1">
      <c r="A382" s="1182">
        <v>364</v>
      </c>
      <c r="B382" s="1183">
        <v>7</v>
      </c>
      <c r="C382" s="1184"/>
      <c r="D382" s="1184"/>
      <c r="E382" s="1195" t="s">
        <v>284</v>
      </c>
      <c r="F382" s="1184" t="s">
        <v>15</v>
      </c>
      <c r="G382" s="1186">
        <v>500000</v>
      </c>
      <c r="H382" s="1187"/>
      <c r="I382" s="1191" t="str">
        <f t="shared" si="7"/>
        <v>Ka Tun</v>
      </c>
    </row>
    <row r="383" spans="1:9" ht="18.75" customHeight="1">
      <c r="A383" s="2346" t="s">
        <v>285</v>
      </c>
      <c r="B383" s="2347"/>
      <c r="C383" s="2347"/>
      <c r="D383" s="2347"/>
      <c r="E383" s="2347"/>
      <c r="F383" s="2348"/>
      <c r="G383" s="1193">
        <f>SUM(G384:G446)</f>
        <v>31500000</v>
      </c>
      <c r="H383" s="1194"/>
      <c r="I383" s="1191">
        <f t="shared" si="7"/>
        <v>0</v>
      </c>
    </row>
    <row r="384" spans="1:9" ht="18.75" customHeight="1">
      <c r="A384" s="1182">
        <v>365</v>
      </c>
      <c r="B384" s="1183">
        <v>1</v>
      </c>
      <c r="C384" s="1184"/>
      <c r="D384" s="1184"/>
      <c r="E384" s="1195" t="s">
        <v>286</v>
      </c>
      <c r="F384" s="1184" t="s">
        <v>15</v>
      </c>
      <c r="G384" s="1186">
        <v>500000</v>
      </c>
      <c r="H384" s="1187"/>
      <c r="I384" s="1191" t="str">
        <f t="shared" si="7"/>
        <v>A Liên</v>
      </c>
    </row>
    <row r="385" spans="1:9" ht="18.75" customHeight="1">
      <c r="A385" s="1182">
        <v>366</v>
      </c>
      <c r="B385" s="1183">
        <v>2</v>
      </c>
      <c r="C385" s="1184"/>
      <c r="D385" s="1184"/>
      <c r="E385" s="1195" t="s">
        <v>287</v>
      </c>
      <c r="F385" s="1184" t="s">
        <v>15</v>
      </c>
      <c r="G385" s="1186">
        <v>500000</v>
      </c>
      <c r="H385" s="1187"/>
      <c r="I385" s="1191" t="str">
        <f t="shared" si="7"/>
        <v>Phu Ngân</v>
      </c>
    </row>
    <row r="386" spans="1:9" ht="18.75" customHeight="1">
      <c r="A386" s="1182">
        <v>367</v>
      </c>
      <c r="B386" s="1183">
        <v>3</v>
      </c>
      <c r="C386" s="1184"/>
      <c r="D386" s="1184"/>
      <c r="E386" s="1195" t="s">
        <v>288</v>
      </c>
      <c r="F386" s="1184" t="s">
        <v>15</v>
      </c>
      <c r="G386" s="1186">
        <v>500000</v>
      </c>
      <c r="H386" s="1187"/>
      <c r="I386" s="1191" t="str">
        <f t="shared" si="7"/>
        <v xml:space="preserve">Đăm </v>
      </c>
    </row>
    <row r="387" spans="1:9" ht="18.75" customHeight="1">
      <c r="A387" s="1182">
        <v>368</v>
      </c>
      <c r="B387" s="1183">
        <v>4</v>
      </c>
      <c r="C387" s="1184"/>
      <c r="D387" s="1184"/>
      <c r="E387" s="1195" t="s">
        <v>289</v>
      </c>
      <c r="F387" s="1184" t="s">
        <v>15</v>
      </c>
      <c r="G387" s="1186">
        <v>500000</v>
      </c>
      <c r="H387" s="1187"/>
      <c r="I387" s="1191" t="str">
        <f t="shared" si="7"/>
        <v>La</v>
      </c>
    </row>
    <row r="388" spans="1:9" ht="18.75" customHeight="1">
      <c r="A388" s="1182">
        <v>369</v>
      </c>
      <c r="B388" s="1183">
        <v>5</v>
      </c>
      <c r="C388" s="1184"/>
      <c r="D388" s="1184"/>
      <c r="E388" s="1195" t="s">
        <v>290</v>
      </c>
      <c r="F388" s="1184" t="s">
        <v>15</v>
      </c>
      <c r="G388" s="1186">
        <v>500000</v>
      </c>
      <c r="H388" s="1187"/>
      <c r="I388" s="1191" t="str">
        <f t="shared" si="7"/>
        <v>A Lua</v>
      </c>
    </row>
    <row r="389" spans="1:9" ht="18.75" customHeight="1">
      <c r="A389" s="1182">
        <v>370</v>
      </c>
      <c r="B389" s="1183">
        <v>6</v>
      </c>
      <c r="C389" s="1184"/>
      <c r="D389" s="1184"/>
      <c r="E389" s="1195" t="s">
        <v>291</v>
      </c>
      <c r="F389" s="1184" t="s">
        <v>15</v>
      </c>
      <c r="G389" s="1186">
        <v>500000</v>
      </c>
      <c r="H389" s="1187"/>
      <c r="I389" s="1191" t="str">
        <f t="shared" si="7"/>
        <v>Múc</v>
      </c>
    </row>
    <row r="390" spans="1:9" ht="18.75" customHeight="1">
      <c r="A390" s="1182">
        <v>371</v>
      </c>
      <c r="B390" s="1183">
        <v>7</v>
      </c>
      <c r="C390" s="1184"/>
      <c r="D390" s="1184"/>
      <c r="E390" s="1195" t="s">
        <v>292</v>
      </c>
      <c r="F390" s="1184" t="s">
        <v>15</v>
      </c>
      <c r="G390" s="1186">
        <v>500000</v>
      </c>
      <c r="H390" s="1187"/>
      <c r="I390" s="1191" t="str">
        <f t="shared" si="7"/>
        <v>Tia (6)</v>
      </c>
    </row>
    <row r="391" spans="1:9" ht="18.75" customHeight="1">
      <c r="A391" s="1182">
        <v>372</v>
      </c>
      <c r="B391" s="1183">
        <v>8</v>
      </c>
      <c r="C391" s="1184"/>
      <c r="D391" s="1184"/>
      <c r="E391" s="1195" t="s">
        <v>293</v>
      </c>
      <c r="F391" s="1184" t="s">
        <v>15</v>
      </c>
      <c r="G391" s="1186">
        <v>500000</v>
      </c>
      <c r="H391" s="1187"/>
      <c r="I391" s="1191" t="str">
        <f t="shared" si="7"/>
        <v>Đa</v>
      </c>
    </row>
    <row r="392" spans="1:9" ht="18.75" customHeight="1">
      <c r="A392" s="1182">
        <v>373</v>
      </c>
      <c r="B392" s="1183">
        <v>9</v>
      </c>
      <c r="C392" s="1184"/>
      <c r="D392" s="1184"/>
      <c r="E392" s="1195" t="s">
        <v>294</v>
      </c>
      <c r="F392" s="1184" t="s">
        <v>15</v>
      </c>
      <c r="G392" s="1186">
        <v>500000</v>
      </c>
      <c r="H392" s="1187"/>
      <c r="I392" s="1191" t="str">
        <f t="shared" si="7"/>
        <v>Lăm Say</v>
      </c>
    </row>
    <row r="393" spans="1:9" ht="18.75" customHeight="1">
      <c r="A393" s="1182">
        <v>374</v>
      </c>
      <c r="B393" s="1183">
        <v>10</v>
      </c>
      <c r="C393" s="1184"/>
      <c r="D393" s="1184"/>
      <c r="E393" s="1195" t="s">
        <v>295</v>
      </c>
      <c r="F393" s="1184" t="s">
        <v>15</v>
      </c>
      <c r="G393" s="1186">
        <v>500000</v>
      </c>
      <c r="H393" s="1187"/>
      <c r="I393" s="1191" t="str">
        <f t="shared" si="7"/>
        <v>Nga</v>
      </c>
    </row>
    <row r="394" spans="1:9" ht="18.75" customHeight="1">
      <c r="A394" s="1182">
        <v>375</v>
      </c>
      <c r="B394" s="1183">
        <v>11</v>
      </c>
      <c r="C394" s="1184"/>
      <c r="D394" s="1184"/>
      <c r="E394" s="1195" t="s">
        <v>296</v>
      </c>
      <c r="F394" s="1184" t="s">
        <v>15</v>
      </c>
      <c r="G394" s="1186">
        <v>500000</v>
      </c>
      <c r="H394" s="1187"/>
      <c r="I394" s="1191" t="str">
        <f t="shared" si="7"/>
        <v>Pong (6)</v>
      </c>
    </row>
    <row r="395" spans="1:9" ht="18.75" customHeight="1">
      <c r="A395" s="1182">
        <v>376</v>
      </c>
      <c r="B395" s="1183">
        <v>12</v>
      </c>
      <c r="C395" s="1184"/>
      <c r="D395" s="1184"/>
      <c r="E395" s="1195" t="s">
        <v>297</v>
      </c>
      <c r="F395" s="1184" t="s">
        <v>15</v>
      </c>
      <c r="G395" s="1186">
        <v>500000</v>
      </c>
      <c r="H395" s="1187"/>
      <c r="I395" s="1191" t="str">
        <f t="shared" si="7"/>
        <v xml:space="preserve">Típ </v>
      </c>
    </row>
    <row r="396" spans="1:9" ht="18.75" customHeight="1">
      <c r="A396" s="1182">
        <v>377</v>
      </c>
      <c r="B396" s="1183">
        <v>13</v>
      </c>
      <c r="C396" s="1184"/>
      <c r="D396" s="1184"/>
      <c r="E396" s="1195" t="s">
        <v>298</v>
      </c>
      <c r="F396" s="1184" t="s">
        <v>15</v>
      </c>
      <c r="G396" s="1186">
        <v>500000</v>
      </c>
      <c r="H396" s="1187"/>
      <c r="I396" s="1191" t="str">
        <f t="shared" si="7"/>
        <v>ÔĐay</v>
      </c>
    </row>
    <row r="397" spans="1:9" ht="18.75" customHeight="1">
      <c r="A397" s="1182">
        <v>378</v>
      </c>
      <c r="B397" s="1183">
        <v>14</v>
      </c>
      <c r="C397" s="1184"/>
      <c r="D397" s="1184"/>
      <c r="E397" s="1195" t="s">
        <v>299</v>
      </c>
      <c r="F397" s="1184" t="s">
        <v>15</v>
      </c>
      <c r="G397" s="1186">
        <v>500000</v>
      </c>
      <c r="H397" s="1187"/>
      <c r="I397" s="1191" t="str">
        <f t="shared" si="7"/>
        <v xml:space="preserve">Nhầy </v>
      </c>
    </row>
    <row r="398" spans="1:9" ht="18.75" customHeight="1">
      <c r="A398" s="1182">
        <v>379</v>
      </c>
      <c r="B398" s="1183">
        <v>15</v>
      </c>
      <c r="C398" s="1184"/>
      <c r="D398" s="1184"/>
      <c r="E398" s="1195" t="s">
        <v>300</v>
      </c>
      <c r="F398" s="1184" t="s">
        <v>15</v>
      </c>
      <c r="G398" s="1186">
        <v>500000</v>
      </c>
      <c r="H398" s="1187"/>
      <c r="I398" s="1191" t="str">
        <f t="shared" ref="I398:I446" si="9">E398</f>
        <v>Phôn</v>
      </c>
    </row>
    <row r="399" spans="1:9" ht="18.75" customHeight="1">
      <c r="A399" s="1182">
        <v>380</v>
      </c>
      <c r="B399" s="1183">
        <v>16</v>
      </c>
      <c r="C399" s="1184"/>
      <c r="D399" s="1184"/>
      <c r="E399" s="1195" t="s">
        <v>301</v>
      </c>
      <c r="F399" s="1184" t="s">
        <v>15</v>
      </c>
      <c r="G399" s="1186">
        <v>500000</v>
      </c>
      <c r="H399" s="1187"/>
      <c r="I399" s="1191" t="str">
        <f t="shared" si="9"/>
        <v>Xi Đon</v>
      </c>
    </row>
    <row r="400" spans="1:9" ht="18.75" customHeight="1">
      <c r="A400" s="1182">
        <v>381</v>
      </c>
      <c r="B400" s="1183">
        <v>17</v>
      </c>
      <c r="C400" s="1184"/>
      <c r="D400" s="1184"/>
      <c r="E400" s="1195" t="s">
        <v>302</v>
      </c>
      <c r="F400" s="1184" t="s">
        <v>15</v>
      </c>
      <c r="G400" s="1186">
        <v>500000</v>
      </c>
      <c r="H400" s="1187"/>
      <c r="I400" s="1191" t="str">
        <f t="shared" si="9"/>
        <v>Lăm (6)</v>
      </c>
    </row>
    <row r="401" spans="1:9" ht="18.75" customHeight="1">
      <c r="A401" s="1182">
        <v>382</v>
      </c>
      <c r="B401" s="1183">
        <v>18</v>
      </c>
      <c r="C401" s="1184"/>
      <c r="D401" s="1184"/>
      <c r="E401" s="1195" t="s">
        <v>303</v>
      </c>
      <c r="F401" s="1184" t="s">
        <v>15</v>
      </c>
      <c r="G401" s="1186">
        <v>500000</v>
      </c>
      <c r="H401" s="1187"/>
      <c r="I401" s="1191" t="str">
        <f t="shared" si="9"/>
        <v>Nát</v>
      </c>
    </row>
    <row r="402" spans="1:9" ht="18.75" customHeight="1">
      <c r="A402" s="1182">
        <v>383</v>
      </c>
      <c r="B402" s="1183">
        <v>19</v>
      </c>
      <c r="C402" s="1184"/>
      <c r="D402" s="1184"/>
      <c r="E402" s="1195" t="s">
        <v>304</v>
      </c>
      <c r="F402" s="1184" t="s">
        <v>15</v>
      </c>
      <c r="G402" s="1186">
        <v>500000</v>
      </c>
      <c r="H402" s="1187"/>
      <c r="I402" s="1191" t="str">
        <f t="shared" si="9"/>
        <v>Oi</v>
      </c>
    </row>
    <row r="403" spans="1:9" ht="18.75" customHeight="1">
      <c r="A403" s="1182">
        <v>384</v>
      </c>
      <c r="B403" s="1183">
        <v>20</v>
      </c>
      <c r="C403" s="1184"/>
      <c r="D403" s="1184"/>
      <c r="E403" s="1195" t="s">
        <v>305</v>
      </c>
      <c r="F403" s="1184" t="s">
        <v>15</v>
      </c>
      <c r="G403" s="1186">
        <v>500000</v>
      </c>
      <c r="H403" s="1187"/>
      <c r="I403" s="1191" t="str">
        <f t="shared" si="9"/>
        <v>Phò Dông</v>
      </c>
    </row>
    <row r="404" spans="1:9" ht="18.75" customHeight="1">
      <c r="A404" s="1182">
        <v>385</v>
      </c>
      <c r="B404" s="1183">
        <v>21</v>
      </c>
      <c r="C404" s="1184"/>
      <c r="D404" s="1184"/>
      <c r="E404" s="1195" t="s">
        <v>306</v>
      </c>
      <c r="F404" s="1184" t="s">
        <v>15</v>
      </c>
      <c r="G404" s="1186">
        <v>500000</v>
      </c>
      <c r="H404" s="1187"/>
      <c r="I404" s="1191" t="str">
        <f t="shared" si="9"/>
        <v>Cà Đăm (6)</v>
      </c>
    </row>
    <row r="405" spans="1:9" ht="18.75" customHeight="1">
      <c r="A405" s="1182">
        <v>386</v>
      </c>
      <c r="B405" s="1183">
        <v>22</v>
      </c>
      <c r="C405" s="1184"/>
      <c r="D405" s="1184"/>
      <c r="E405" s="1195" t="s">
        <v>307</v>
      </c>
      <c r="F405" s="1184" t="s">
        <v>15</v>
      </c>
      <c r="G405" s="1186">
        <v>500000</v>
      </c>
      <c r="H405" s="1187"/>
      <c r="I405" s="1191" t="str">
        <f t="shared" si="9"/>
        <v>Hùng</v>
      </c>
    </row>
    <row r="406" spans="1:9" ht="18.75" customHeight="1">
      <c r="A406" s="1182">
        <v>387</v>
      </c>
      <c r="B406" s="1183">
        <v>23</v>
      </c>
      <c r="C406" s="1184"/>
      <c r="D406" s="1184"/>
      <c r="E406" s="1195" t="s">
        <v>308</v>
      </c>
      <c r="F406" s="1184" t="s">
        <v>15</v>
      </c>
      <c r="G406" s="1186">
        <v>500000</v>
      </c>
      <c r="H406" s="1187"/>
      <c r="I406" s="1191" t="str">
        <f t="shared" si="9"/>
        <v>A Lem</v>
      </c>
    </row>
    <row r="407" spans="1:9" ht="18.75" customHeight="1">
      <c r="A407" s="1182">
        <v>388</v>
      </c>
      <c r="B407" s="1183">
        <v>24</v>
      </c>
      <c r="C407" s="1184"/>
      <c r="D407" s="1184"/>
      <c r="E407" s="1195" t="s">
        <v>309</v>
      </c>
      <c r="F407" s="1184" t="s">
        <v>15</v>
      </c>
      <c r="G407" s="1186">
        <v>500000</v>
      </c>
      <c r="H407" s="1187"/>
      <c r="I407" s="1191" t="str">
        <f t="shared" si="9"/>
        <v>Bun Nhèng</v>
      </c>
    </row>
    <row r="408" spans="1:9" ht="18.75" customHeight="1">
      <c r="A408" s="1182">
        <v>389</v>
      </c>
      <c r="B408" s="1183">
        <v>25</v>
      </c>
      <c r="C408" s="1184"/>
      <c r="D408" s="1184"/>
      <c r="E408" s="1195" t="s">
        <v>310</v>
      </c>
      <c r="F408" s="1184" t="s">
        <v>15</v>
      </c>
      <c r="G408" s="1186">
        <v>500000</v>
      </c>
      <c r="H408" s="1187"/>
      <c r="I408" s="1191" t="str">
        <f t="shared" si="9"/>
        <v>Tan</v>
      </c>
    </row>
    <row r="409" spans="1:9" ht="18.75" customHeight="1">
      <c r="A409" s="1182">
        <v>390</v>
      </c>
      <c r="B409" s="1183">
        <v>26</v>
      </c>
      <c r="C409" s="1184"/>
      <c r="D409" s="1184"/>
      <c r="E409" s="1195" t="s">
        <v>311</v>
      </c>
      <c r="F409" s="1184" t="s">
        <v>15</v>
      </c>
      <c r="G409" s="1186">
        <v>500000</v>
      </c>
      <c r="H409" s="1187"/>
      <c r="I409" s="1191" t="str">
        <f t="shared" si="9"/>
        <v>Phò Keo</v>
      </c>
    </row>
    <row r="410" spans="1:9" ht="18.75" customHeight="1">
      <c r="A410" s="1182">
        <v>391</v>
      </c>
      <c r="B410" s="1183">
        <v>27</v>
      </c>
      <c r="C410" s="1184"/>
      <c r="D410" s="1184"/>
      <c r="E410" s="1195" t="s">
        <v>312</v>
      </c>
      <c r="F410" s="1184" t="s">
        <v>15</v>
      </c>
      <c r="G410" s="1186">
        <v>500000</v>
      </c>
      <c r="H410" s="1187"/>
      <c r="I410" s="1191" t="str">
        <f t="shared" si="9"/>
        <v>Văn</v>
      </c>
    </row>
    <row r="411" spans="1:9" ht="18.75" customHeight="1">
      <c r="A411" s="1182">
        <v>392</v>
      </c>
      <c r="B411" s="1183">
        <v>28</v>
      </c>
      <c r="C411" s="1184"/>
      <c r="D411" s="1184"/>
      <c r="E411" s="1195" t="s">
        <v>313</v>
      </c>
      <c r="F411" s="1184" t="s">
        <v>15</v>
      </c>
      <c r="G411" s="1186">
        <v>500000</v>
      </c>
      <c r="H411" s="1187"/>
      <c r="I411" s="1191" t="str">
        <f t="shared" si="9"/>
        <v>A Son</v>
      </c>
    </row>
    <row r="412" spans="1:9" ht="18.75" customHeight="1">
      <c r="A412" s="1182">
        <v>393</v>
      </c>
      <c r="B412" s="1183">
        <v>29</v>
      </c>
      <c r="C412" s="1184"/>
      <c r="D412" s="1184"/>
      <c r="E412" s="1195" t="s">
        <v>314</v>
      </c>
      <c r="F412" s="1184" t="s">
        <v>15</v>
      </c>
      <c r="G412" s="1186">
        <v>500000</v>
      </c>
      <c r="H412" s="1187"/>
      <c r="I412" s="1191" t="str">
        <f t="shared" si="9"/>
        <v>Thôn</v>
      </c>
    </row>
    <row r="413" spans="1:9" ht="18.75" customHeight="1">
      <c r="A413" s="1182">
        <v>394</v>
      </c>
      <c r="B413" s="1183">
        <v>30</v>
      </c>
      <c r="C413" s="1184"/>
      <c r="D413" s="1184"/>
      <c r="E413" s="1195" t="s">
        <v>315</v>
      </c>
      <c r="F413" s="1184" t="s">
        <v>15</v>
      </c>
      <c r="G413" s="1186">
        <v>500000</v>
      </c>
      <c r="H413" s="1187"/>
      <c r="I413" s="1191" t="str">
        <f t="shared" si="9"/>
        <v>Ka Lóc</v>
      </c>
    </row>
    <row r="414" spans="1:9" ht="18.75" customHeight="1">
      <c r="A414" s="1182">
        <v>395</v>
      </c>
      <c r="B414" s="1183">
        <v>31</v>
      </c>
      <c r="C414" s="1184"/>
      <c r="D414" s="1184"/>
      <c r="E414" s="1195" t="s">
        <v>316</v>
      </c>
      <c r="F414" s="1184" t="s">
        <v>15</v>
      </c>
      <c r="G414" s="1186">
        <v>500000</v>
      </c>
      <c r="H414" s="1187"/>
      <c r="I414" s="1191" t="str">
        <f t="shared" si="9"/>
        <v>Kông Khăm</v>
      </c>
    </row>
    <row r="415" spans="1:9" ht="18.75" customHeight="1">
      <c r="A415" s="1182">
        <v>396</v>
      </c>
      <c r="B415" s="1183">
        <v>32</v>
      </c>
      <c r="C415" s="1184"/>
      <c r="D415" s="1184"/>
      <c r="E415" s="1195" t="s">
        <v>317</v>
      </c>
      <c r="F415" s="1184" t="s">
        <v>15</v>
      </c>
      <c r="G415" s="1186">
        <v>500000</v>
      </c>
      <c r="H415" s="1187"/>
      <c r="I415" s="1191" t="str">
        <f t="shared" si="9"/>
        <v>A Chít</v>
      </c>
    </row>
    <row r="416" spans="1:9" ht="18.75" customHeight="1">
      <c r="A416" s="1182">
        <v>397</v>
      </c>
      <c r="B416" s="1183">
        <v>33</v>
      </c>
      <c r="C416" s="1184"/>
      <c r="D416" s="1184"/>
      <c r="E416" s="1195" t="s">
        <v>318</v>
      </c>
      <c r="F416" s="1184" t="s">
        <v>15</v>
      </c>
      <c r="G416" s="1186">
        <v>500000</v>
      </c>
      <c r="H416" s="1187"/>
      <c r="I416" s="1191" t="str">
        <f t="shared" si="9"/>
        <v>Tím</v>
      </c>
    </row>
    <row r="417" spans="1:9" ht="18.75" customHeight="1">
      <c r="A417" s="1182">
        <v>398</v>
      </c>
      <c r="B417" s="1183">
        <v>34</v>
      </c>
      <c r="C417" s="1184"/>
      <c r="D417" s="1184"/>
      <c r="E417" s="1195" t="s">
        <v>319</v>
      </c>
      <c r="F417" s="1184" t="s">
        <v>15</v>
      </c>
      <c r="G417" s="1186">
        <v>500000</v>
      </c>
      <c r="H417" s="1187"/>
      <c r="I417" s="1191" t="str">
        <f t="shared" si="9"/>
        <v>A Nhim</v>
      </c>
    </row>
    <row r="418" spans="1:9" ht="18.75" customHeight="1">
      <c r="A418" s="1182">
        <v>399</v>
      </c>
      <c r="B418" s="1183">
        <v>35</v>
      </c>
      <c r="C418" s="1184"/>
      <c r="D418" s="1184"/>
      <c r="E418" s="1195" t="s">
        <v>320</v>
      </c>
      <c r="F418" s="1184" t="s">
        <v>15</v>
      </c>
      <c r="G418" s="1186">
        <v>500000</v>
      </c>
      <c r="H418" s="1187"/>
      <c r="I418" s="1191" t="str">
        <f t="shared" si="9"/>
        <v>Tơ</v>
      </c>
    </row>
    <row r="419" spans="1:9" ht="18.75" customHeight="1">
      <c r="A419" s="1182">
        <v>400</v>
      </c>
      <c r="B419" s="1183">
        <v>36</v>
      </c>
      <c r="C419" s="1184"/>
      <c r="D419" s="1184"/>
      <c r="E419" s="1195" t="s">
        <v>321</v>
      </c>
      <c r="F419" s="1184" t="s">
        <v>15</v>
      </c>
      <c r="G419" s="1186">
        <v>500000</v>
      </c>
      <c r="H419" s="1187"/>
      <c r="I419" s="1191" t="str">
        <f t="shared" si="9"/>
        <v>Nàng Cum</v>
      </c>
    </row>
    <row r="420" spans="1:9" ht="18.75" customHeight="1">
      <c r="A420" s="1182">
        <v>401</v>
      </c>
      <c r="B420" s="1183">
        <v>37</v>
      </c>
      <c r="C420" s="1184"/>
      <c r="D420" s="1184"/>
      <c r="E420" s="1195" t="s">
        <v>322</v>
      </c>
      <c r="F420" s="1184" t="s">
        <v>15</v>
      </c>
      <c r="G420" s="1186">
        <v>500000</v>
      </c>
      <c r="H420" s="1187"/>
      <c r="I420" s="1191" t="str">
        <f t="shared" si="9"/>
        <v>Chăn Tha La</v>
      </c>
    </row>
    <row r="421" spans="1:9" ht="18.75" customHeight="1">
      <c r="A421" s="1182">
        <v>402</v>
      </c>
      <c r="B421" s="1183">
        <v>38</v>
      </c>
      <c r="C421" s="1184"/>
      <c r="D421" s="1184"/>
      <c r="E421" s="1195" t="s">
        <v>323</v>
      </c>
      <c r="F421" s="1184" t="s">
        <v>15</v>
      </c>
      <c r="G421" s="1186">
        <v>500000</v>
      </c>
      <c r="H421" s="1187"/>
      <c r="I421" s="1191" t="str">
        <f t="shared" si="9"/>
        <v>Bi</v>
      </c>
    </row>
    <row r="422" spans="1:9" ht="18.75" customHeight="1">
      <c r="A422" s="1182">
        <v>403</v>
      </c>
      <c r="B422" s="1183">
        <v>39</v>
      </c>
      <c r="C422" s="1184"/>
      <c r="D422" s="1184"/>
      <c r="E422" s="1195" t="s">
        <v>324</v>
      </c>
      <c r="F422" s="1184" t="s">
        <v>15</v>
      </c>
      <c r="G422" s="1186">
        <v>500000</v>
      </c>
      <c r="H422" s="1187"/>
      <c r="I422" s="1191" t="str">
        <f t="shared" si="9"/>
        <v>Bun Na</v>
      </c>
    </row>
    <row r="423" spans="1:9" ht="18.75" customHeight="1">
      <c r="A423" s="1182">
        <v>404</v>
      </c>
      <c r="B423" s="1183">
        <v>40</v>
      </c>
      <c r="C423" s="1184"/>
      <c r="D423" s="1184"/>
      <c r="E423" s="1195" t="s">
        <v>325</v>
      </c>
      <c r="F423" s="1184" t="s">
        <v>15</v>
      </c>
      <c r="G423" s="1186">
        <v>500000</v>
      </c>
      <c r="H423" s="1187"/>
      <c r="I423" s="1191" t="str">
        <f t="shared" si="9"/>
        <v>Ka Lít</v>
      </c>
    </row>
    <row r="424" spans="1:9" ht="18.75" customHeight="1">
      <c r="A424" s="1182">
        <v>405</v>
      </c>
      <c r="B424" s="1183">
        <v>41</v>
      </c>
      <c r="C424" s="1184"/>
      <c r="D424" s="1184"/>
      <c r="E424" s="1195" t="s">
        <v>326</v>
      </c>
      <c r="F424" s="1184" t="s">
        <v>15</v>
      </c>
      <c r="G424" s="1186">
        <v>500000</v>
      </c>
      <c r="H424" s="1187"/>
      <c r="I424" s="1191" t="str">
        <f t="shared" si="9"/>
        <v>E (6)</v>
      </c>
    </row>
    <row r="425" spans="1:9" ht="18.75" customHeight="1">
      <c r="A425" s="1182">
        <v>406</v>
      </c>
      <c r="B425" s="1183">
        <v>42</v>
      </c>
      <c r="C425" s="1184"/>
      <c r="D425" s="1184"/>
      <c r="E425" s="1195" t="s">
        <v>327</v>
      </c>
      <c r="F425" s="1184" t="s">
        <v>15</v>
      </c>
      <c r="G425" s="1186">
        <v>500000</v>
      </c>
      <c r="H425" s="1187"/>
      <c r="I425" s="1191" t="str">
        <f t="shared" si="9"/>
        <v>Năt</v>
      </c>
    </row>
    <row r="426" spans="1:9" ht="18.75" customHeight="1">
      <c r="A426" s="1182">
        <v>407</v>
      </c>
      <c r="B426" s="1183">
        <v>43</v>
      </c>
      <c r="C426" s="1184"/>
      <c r="D426" s="1184"/>
      <c r="E426" s="1195" t="s">
        <v>328</v>
      </c>
      <c r="F426" s="1184" t="s">
        <v>15</v>
      </c>
      <c r="G426" s="1186">
        <v>500000</v>
      </c>
      <c r="H426" s="1187"/>
      <c r="I426" s="1191" t="str">
        <f t="shared" si="9"/>
        <v>Ly Ta</v>
      </c>
    </row>
    <row r="427" spans="1:9" ht="18.75" customHeight="1">
      <c r="A427" s="1182">
        <v>408</v>
      </c>
      <c r="B427" s="1183">
        <v>44</v>
      </c>
      <c r="C427" s="1184"/>
      <c r="D427" s="1184"/>
      <c r="E427" s="1195" t="s">
        <v>329</v>
      </c>
      <c r="F427" s="1184" t="s">
        <v>15</v>
      </c>
      <c r="G427" s="1186">
        <v>500000</v>
      </c>
      <c r="H427" s="1187"/>
      <c r="I427" s="1191" t="str">
        <f t="shared" si="9"/>
        <v>Khăm Bay (6)</v>
      </c>
    </row>
    <row r="428" spans="1:9" ht="18.75" customHeight="1">
      <c r="A428" s="1182">
        <v>409</v>
      </c>
      <c r="B428" s="1183">
        <v>45</v>
      </c>
      <c r="C428" s="1184"/>
      <c r="D428" s="1184"/>
      <c r="E428" s="1196" t="s">
        <v>330</v>
      </c>
      <c r="F428" s="1184" t="s">
        <v>15</v>
      </c>
      <c r="G428" s="1186">
        <v>500000</v>
      </c>
      <c r="H428" s="1187"/>
      <c r="I428" s="1191" t="str">
        <f t="shared" si="9"/>
        <v>Tụi</v>
      </c>
    </row>
    <row r="429" spans="1:9" ht="18.75" customHeight="1">
      <c r="A429" s="1182">
        <v>410</v>
      </c>
      <c r="B429" s="1183">
        <v>46</v>
      </c>
      <c r="C429" s="1184"/>
      <c r="D429" s="1184"/>
      <c r="E429" s="1196" t="s">
        <v>331</v>
      </c>
      <c r="F429" s="1184" t="s">
        <v>15</v>
      </c>
      <c r="G429" s="1186">
        <v>500000</v>
      </c>
      <c r="H429" s="1187"/>
      <c r="I429" s="1191" t="str">
        <f t="shared" si="9"/>
        <v>Nục</v>
      </c>
    </row>
    <row r="430" spans="1:9" ht="18.75" customHeight="1">
      <c r="A430" s="1182">
        <v>411</v>
      </c>
      <c r="B430" s="1183">
        <v>47</v>
      </c>
      <c r="C430" s="1184"/>
      <c r="D430" s="1184"/>
      <c r="E430" s="1196" t="s">
        <v>332</v>
      </c>
      <c r="F430" s="1184" t="s">
        <v>15</v>
      </c>
      <c r="G430" s="1186">
        <v>500000</v>
      </c>
      <c r="H430" s="1187"/>
      <c r="I430" s="1191" t="str">
        <f t="shared" si="9"/>
        <v>Khăm (6)</v>
      </c>
    </row>
    <row r="431" spans="1:9" ht="18.75" customHeight="1">
      <c r="A431" s="1182">
        <v>412</v>
      </c>
      <c r="B431" s="1183">
        <v>48</v>
      </c>
      <c r="C431" s="1184"/>
      <c r="D431" s="1184"/>
      <c r="E431" s="1196" t="s">
        <v>333</v>
      </c>
      <c r="F431" s="1184" t="s">
        <v>15</v>
      </c>
      <c r="G431" s="1186">
        <v>500000</v>
      </c>
      <c r="H431" s="1187"/>
      <c r="I431" s="1191" t="str">
        <f t="shared" si="9"/>
        <v>Ký</v>
      </c>
    </row>
    <row r="432" spans="1:9" ht="18.75" customHeight="1">
      <c r="A432" s="1182">
        <v>413</v>
      </c>
      <c r="B432" s="1183">
        <v>49</v>
      </c>
      <c r="C432" s="1184"/>
      <c r="D432" s="1184"/>
      <c r="E432" s="1196" t="s">
        <v>334</v>
      </c>
      <c r="F432" s="1184" t="s">
        <v>15</v>
      </c>
      <c r="G432" s="1186">
        <v>500000</v>
      </c>
      <c r="H432" s="1187"/>
      <c r="I432" s="1191" t="str">
        <f t="shared" si="9"/>
        <v>Khương (6)</v>
      </c>
    </row>
    <row r="433" spans="1:13" ht="18.75" customHeight="1">
      <c r="A433" s="1182">
        <v>414</v>
      </c>
      <c r="B433" s="1183">
        <v>50</v>
      </c>
      <c r="C433" s="1184"/>
      <c r="D433" s="1184"/>
      <c r="E433" s="1196" t="s">
        <v>335</v>
      </c>
      <c r="F433" s="1184" t="s">
        <v>15</v>
      </c>
      <c r="G433" s="1186">
        <v>500000</v>
      </c>
      <c r="H433" s="1187"/>
      <c r="I433" s="1191" t="str">
        <f t="shared" si="9"/>
        <v>A Buôn</v>
      </c>
    </row>
    <row r="434" spans="1:13" ht="18.75" customHeight="1">
      <c r="A434" s="1182">
        <v>415</v>
      </c>
      <c r="B434" s="1183">
        <v>51</v>
      </c>
      <c r="C434" s="1184"/>
      <c r="D434" s="1184"/>
      <c r="E434" s="1196" t="s">
        <v>336</v>
      </c>
      <c r="F434" s="1184" t="s">
        <v>15</v>
      </c>
      <c r="G434" s="1186">
        <v>500000</v>
      </c>
      <c r="H434" s="1187"/>
      <c r="I434" s="1191" t="str">
        <f t="shared" si="9"/>
        <v>Nay (6)</v>
      </c>
    </row>
    <row r="435" spans="1:13" ht="18.75" customHeight="1">
      <c r="A435" s="1182">
        <v>416</v>
      </c>
      <c r="B435" s="1183">
        <v>52</v>
      </c>
      <c r="C435" s="1184"/>
      <c r="D435" s="1184"/>
      <c r="E435" s="1196" t="s">
        <v>337</v>
      </c>
      <c r="F435" s="1184" t="s">
        <v>15</v>
      </c>
      <c r="G435" s="1186">
        <v>500000</v>
      </c>
      <c r="H435" s="1187"/>
      <c r="I435" s="1191" t="str">
        <f t="shared" si="9"/>
        <v>Mách</v>
      </c>
    </row>
    <row r="436" spans="1:13" ht="18.75" customHeight="1">
      <c r="A436" s="1182">
        <v>417</v>
      </c>
      <c r="B436" s="1183">
        <v>53</v>
      </c>
      <c r="C436" s="1184"/>
      <c r="D436" s="1184"/>
      <c r="E436" s="1196" t="s">
        <v>338</v>
      </c>
      <c r="F436" s="1184" t="s">
        <v>15</v>
      </c>
      <c r="G436" s="1186">
        <v>500000</v>
      </c>
      <c r="H436" s="1187"/>
      <c r="I436" s="1191" t="str">
        <f t="shared" si="9"/>
        <v>Sưa</v>
      </c>
    </row>
    <row r="437" spans="1:13" ht="18.75" customHeight="1">
      <c r="A437" s="1182">
        <v>418</v>
      </c>
      <c r="B437" s="1183">
        <v>54</v>
      </c>
      <c r="C437" s="1184"/>
      <c r="D437" s="1184"/>
      <c r="E437" s="1196" t="s">
        <v>339</v>
      </c>
      <c r="F437" s="1184" t="s">
        <v>15</v>
      </c>
      <c r="G437" s="1186">
        <v>500000</v>
      </c>
      <c r="H437" s="1187"/>
      <c r="I437" s="1191" t="str">
        <f t="shared" si="9"/>
        <v>Bắt</v>
      </c>
      <c r="M437" s="1173">
        <f>324*300</f>
        <v>97200</v>
      </c>
    </row>
    <row r="438" spans="1:13" ht="18.75" customHeight="1">
      <c r="A438" s="1182">
        <v>419</v>
      </c>
      <c r="B438" s="1183">
        <v>55</v>
      </c>
      <c r="C438" s="1184"/>
      <c r="D438" s="1184"/>
      <c r="E438" s="1196" t="s">
        <v>340</v>
      </c>
      <c r="F438" s="1184" t="s">
        <v>15</v>
      </c>
      <c r="G438" s="1186">
        <v>500000</v>
      </c>
      <c r="H438" s="1187"/>
      <c r="I438" s="1191" t="str">
        <f t="shared" si="9"/>
        <v>Bộ</v>
      </c>
    </row>
    <row r="439" spans="1:13" ht="18.75" customHeight="1">
      <c r="A439" s="1182">
        <v>420</v>
      </c>
      <c r="B439" s="1183">
        <v>56</v>
      </c>
      <c r="C439" s="1184"/>
      <c r="D439" s="1184"/>
      <c r="E439" s="1196" t="s">
        <v>341</v>
      </c>
      <c r="F439" s="1184" t="s">
        <v>15</v>
      </c>
      <c r="G439" s="1186">
        <v>500000</v>
      </c>
      <c r="H439" s="1187"/>
      <c r="I439" s="1191" t="str">
        <f t="shared" ref="I439:I440" si="10">E439</f>
        <v>Beng</v>
      </c>
    </row>
    <row r="440" spans="1:13" ht="18.75" customHeight="1">
      <c r="A440" s="1182">
        <v>421</v>
      </c>
      <c r="B440" s="1183">
        <v>57</v>
      </c>
      <c r="C440" s="1184"/>
      <c r="D440" s="1184"/>
      <c r="E440" s="1196" t="s">
        <v>342</v>
      </c>
      <c r="F440" s="1184" t="s">
        <v>15</v>
      </c>
      <c r="G440" s="1186">
        <v>500000</v>
      </c>
      <c r="H440" s="1187"/>
      <c r="I440" s="1191" t="str">
        <f t="shared" si="10"/>
        <v>A Xiên</v>
      </c>
    </row>
    <row r="441" spans="1:13" ht="18.75" customHeight="1">
      <c r="A441" s="1182">
        <v>422</v>
      </c>
      <c r="B441" s="1183">
        <v>58</v>
      </c>
      <c r="C441" s="1184"/>
      <c r="D441" s="1184"/>
      <c r="E441" s="1196" t="s">
        <v>343</v>
      </c>
      <c r="F441" s="1184" t="s">
        <v>15</v>
      </c>
      <c r="G441" s="1186">
        <v>500000</v>
      </c>
      <c r="H441" s="1187"/>
      <c r="I441" s="1191" t="str">
        <f t="shared" si="9"/>
        <v>Phò E</v>
      </c>
    </row>
    <row r="442" spans="1:13" ht="18.75" customHeight="1">
      <c r="A442" s="1182">
        <v>423</v>
      </c>
      <c r="B442" s="1183">
        <v>59</v>
      </c>
      <c r="C442" s="1184"/>
      <c r="D442" s="1184"/>
      <c r="E442" s="1196" t="s">
        <v>344</v>
      </c>
      <c r="F442" s="1184" t="s">
        <v>15</v>
      </c>
      <c r="G442" s="1186">
        <v>500000</v>
      </c>
      <c r="H442" s="1187"/>
      <c r="I442" s="1191" t="str">
        <f t="shared" si="9"/>
        <v>Xai (6)</v>
      </c>
    </row>
    <row r="443" spans="1:13" ht="18.75" customHeight="1">
      <c r="A443" s="1182">
        <v>424</v>
      </c>
      <c r="B443" s="1183">
        <v>60</v>
      </c>
      <c r="C443" s="1184"/>
      <c r="D443" s="1184"/>
      <c r="E443" s="1196" t="s">
        <v>345</v>
      </c>
      <c r="F443" s="1184" t="s">
        <v>15</v>
      </c>
      <c r="G443" s="1186">
        <v>500000</v>
      </c>
      <c r="H443" s="1187"/>
      <c r="I443" s="1191" t="str">
        <f t="shared" ref="I443:I444" si="11">E443</f>
        <v>Si Le (6)</v>
      </c>
    </row>
    <row r="444" spans="1:13" ht="18.75" customHeight="1">
      <c r="A444" s="1182">
        <v>425</v>
      </c>
      <c r="B444" s="1183">
        <v>61</v>
      </c>
      <c r="C444" s="1184"/>
      <c r="D444" s="1184"/>
      <c r="E444" s="1196" t="s">
        <v>346</v>
      </c>
      <c r="F444" s="1184" t="s">
        <v>15</v>
      </c>
      <c r="G444" s="1186">
        <v>500000</v>
      </c>
      <c r="H444" s="1187"/>
      <c r="I444" s="1191" t="str">
        <f t="shared" si="11"/>
        <v>Xi</v>
      </c>
    </row>
    <row r="445" spans="1:13" ht="18.75" customHeight="1">
      <c r="A445" s="1182">
        <v>426</v>
      </c>
      <c r="B445" s="1183">
        <v>62</v>
      </c>
      <c r="C445" s="1184"/>
      <c r="D445" s="1184"/>
      <c r="E445" s="1196" t="s">
        <v>347</v>
      </c>
      <c r="F445" s="1184" t="s">
        <v>15</v>
      </c>
      <c r="G445" s="1186">
        <v>500000</v>
      </c>
      <c r="H445" s="1187"/>
      <c r="I445" s="1191" t="str">
        <f t="shared" si="9"/>
        <v>Phắt</v>
      </c>
    </row>
    <row r="446" spans="1:13" ht="18.75" customHeight="1">
      <c r="A446" s="1182">
        <v>427</v>
      </c>
      <c r="B446" s="1183">
        <v>63</v>
      </c>
      <c r="C446" s="1184"/>
      <c r="D446" s="1184"/>
      <c r="E446" s="1196" t="s">
        <v>348</v>
      </c>
      <c r="F446" s="1184" t="s">
        <v>15</v>
      </c>
      <c r="G446" s="1186">
        <v>500000</v>
      </c>
      <c r="H446" s="1187"/>
      <c r="I446" s="1191" t="str">
        <f t="shared" si="9"/>
        <v>Hắm</v>
      </c>
    </row>
    <row r="447" spans="1:13" ht="16.5">
      <c r="A447" s="2349" t="s">
        <v>349</v>
      </c>
      <c r="B447" s="2350"/>
      <c r="C447" s="2350"/>
      <c r="D447" s="2350"/>
      <c r="E447" s="2350"/>
      <c r="F447" s="2351"/>
      <c r="G447" s="1197">
        <f>SUM(G383,G375,G303,G220,G212,G200,G11)</f>
        <v>142000000</v>
      </c>
      <c r="H447" s="1198"/>
      <c r="I447" s="1198"/>
    </row>
    <row r="448" spans="1:13" ht="16.5">
      <c r="A448" s="2346" t="s">
        <v>350</v>
      </c>
      <c r="B448" s="2347"/>
      <c r="C448" s="2347"/>
      <c r="D448" s="2347"/>
      <c r="E448" s="2347"/>
      <c r="F448" s="2347"/>
      <c r="G448" s="2347"/>
      <c r="H448" s="2347"/>
      <c r="I448" s="2348"/>
    </row>
    <row r="449" spans="1:9" ht="16.5">
      <c r="A449" s="1199"/>
      <c r="B449" s="1199"/>
      <c r="C449" s="1199"/>
      <c r="D449" s="1199"/>
      <c r="E449" s="1199"/>
      <c r="F449" s="1199"/>
      <c r="G449" s="1199"/>
      <c r="H449" s="1199"/>
      <c r="I449" s="1199"/>
    </row>
    <row r="450" spans="1:9" ht="16.5">
      <c r="A450" s="2352" t="s">
        <v>351</v>
      </c>
      <c r="B450" s="2352"/>
      <c r="C450" s="2352"/>
      <c r="D450" s="2352"/>
      <c r="E450" s="2352"/>
      <c r="F450" s="2352"/>
      <c r="G450" s="2352"/>
      <c r="H450" s="2352"/>
      <c r="I450" s="2352"/>
    </row>
    <row r="451" spans="1:9" ht="16.5">
      <c r="A451" s="2344" t="s">
        <v>352</v>
      </c>
      <c r="B451" s="2344"/>
      <c r="C451" s="2344"/>
      <c r="D451" s="2344"/>
      <c r="E451" s="2344"/>
      <c r="F451" s="2344"/>
      <c r="G451" s="2344"/>
      <c r="H451" s="2344"/>
      <c r="I451" s="2344"/>
    </row>
    <row r="455" spans="1:9" ht="33" customHeight="1"/>
    <row r="456" spans="1:9" ht="33" customHeight="1"/>
    <row r="459" spans="1:9" ht="16.5">
      <c r="A459" s="2345" t="s">
        <v>353</v>
      </c>
      <c r="B459" s="2345"/>
      <c r="C459" s="2345"/>
      <c r="D459" s="2345"/>
      <c r="E459" s="2345"/>
      <c r="F459" s="2345"/>
      <c r="G459" s="2345"/>
      <c r="H459" s="2345"/>
      <c r="I459" s="2345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5" width="15.42578125" style="898" customWidth="1"/>
    <col min="16" max="16" width="18.14062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5" ht="12" customHeight="1">
      <c r="A1" s="2361" t="s">
        <v>354</v>
      </c>
      <c r="B1" s="2361"/>
      <c r="C1" s="2361"/>
      <c r="D1" s="2361"/>
      <c r="E1" s="2361"/>
      <c r="F1" s="2361"/>
      <c r="G1" s="2361"/>
      <c r="H1" s="2361"/>
      <c r="I1" s="2361"/>
      <c r="J1" s="2361"/>
    </row>
    <row r="2" spans="1:15" ht="15" customHeight="1">
      <c r="A2" s="2360" t="str">
        <f>$K$2</f>
        <v>THÁNG 09/2024</v>
      </c>
      <c r="B2" s="2360"/>
      <c r="C2" s="2360"/>
      <c r="D2" s="2360"/>
      <c r="E2" s="903"/>
      <c r="F2" s="904"/>
      <c r="G2" s="2360" t="str">
        <f>$K$2</f>
        <v>THÁNG 09/2024</v>
      </c>
      <c r="H2" s="2360"/>
      <c r="I2" s="2360"/>
      <c r="J2" s="2360"/>
      <c r="K2" s="276" t="s">
        <v>355</v>
      </c>
    </row>
    <row r="3" spans="1:15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3">
        <v>680.47</v>
      </c>
      <c r="M3" s="933"/>
      <c r="N3" s="933"/>
      <c r="O3" s="933"/>
    </row>
    <row r="4" spans="1:15" ht="15" customHeight="1">
      <c r="A4" s="905" t="s">
        <v>359</v>
      </c>
      <c r="B4" s="939" t="s">
        <v>360</v>
      </c>
      <c r="C4" s="910" t="e">
        <f>VLOOKUP(B3,'LƯƠNG KT'!$D$16:$AC$184,3,0)</f>
        <v>#N/A</v>
      </c>
      <c r="D4" s="609" t="e">
        <f>+C4*25000</f>
        <v>#N/A</v>
      </c>
      <c r="E4" s="911"/>
      <c r="F4" s="911"/>
      <c r="G4" s="905" t="s">
        <v>359</v>
      </c>
      <c r="H4" s="939" t="s">
        <v>360</v>
      </c>
      <c r="I4" s="910" t="e">
        <f>VLOOKUP(H3,'LƯƠNG KT'!$D$16:$AC$184,3,0)</f>
        <v>#N/A</v>
      </c>
      <c r="J4" s="609" t="e">
        <f>+I4*25000</f>
        <v>#N/A</v>
      </c>
      <c r="K4" s="934" t="s">
        <v>361</v>
      </c>
      <c r="L4" s="935">
        <f>46.1*L3</f>
        <v>31369.667000000001</v>
      </c>
      <c r="M4" s="935"/>
      <c r="N4" s="935"/>
      <c r="O4" s="935"/>
    </row>
    <row r="5" spans="1:15" ht="15" customHeight="1">
      <c r="A5" s="905" t="s">
        <v>361</v>
      </c>
      <c r="B5" s="546" t="s">
        <v>362</v>
      </c>
      <c r="C5" s="910" t="e">
        <f>VLOOKUP(B3,'LƯƠNG KT'!$D$16:$AC$184,14,0)</f>
        <v>#N/A</v>
      </c>
      <c r="D5" s="609" t="e">
        <f>C5*$L$4</f>
        <v>#N/A</v>
      </c>
      <c r="E5" s="912"/>
      <c r="F5" s="912"/>
      <c r="G5" s="905" t="s">
        <v>361</v>
      </c>
      <c r="H5" s="546" t="s">
        <v>362</v>
      </c>
      <c r="I5" s="910" t="e">
        <f>VLOOKUP(H3,'LƯƠNG KT'!$D$16:$AC$184,14,0)</f>
        <v>#N/A</v>
      </c>
      <c r="J5" s="609" t="e">
        <f>I5*$L$4</f>
        <v>#N/A</v>
      </c>
      <c r="K5" s="934" t="s">
        <v>363</v>
      </c>
      <c r="L5" s="935">
        <f>76.9*L3</f>
        <v>52328.143000000004</v>
      </c>
      <c r="M5" s="935"/>
      <c r="N5" s="935"/>
      <c r="O5" s="935"/>
    </row>
    <row r="6" spans="1:15" ht="15" customHeight="1">
      <c r="A6" s="905" t="s">
        <v>364</v>
      </c>
      <c r="B6" s="546" t="s">
        <v>365</v>
      </c>
      <c r="C6" s="910" t="e">
        <f>VLOOKUP(B3,'LƯƠNG KT'!$D$16:$AC$184,15,0)</f>
        <v>#N/A</v>
      </c>
      <c r="D6" s="609" t="e">
        <f>C6*$L$5</f>
        <v>#N/A</v>
      </c>
      <c r="E6" s="912"/>
      <c r="F6" s="912"/>
      <c r="G6" s="905" t="s">
        <v>364</v>
      </c>
      <c r="H6" s="546" t="s">
        <v>365</v>
      </c>
      <c r="I6" s="910" t="e">
        <f>VLOOKUP(H3,'LƯƠNG KT'!$D$16:$AC$184,15,0)</f>
        <v>#N/A</v>
      </c>
      <c r="J6" s="609" t="e">
        <f>I6*$L$5</f>
        <v>#N/A</v>
      </c>
      <c r="K6" s="934" t="s">
        <v>366</v>
      </c>
      <c r="L6" s="898">
        <v>10000</v>
      </c>
    </row>
    <row r="7" spans="1:15" ht="15" customHeight="1">
      <c r="A7" s="905" t="s">
        <v>367</v>
      </c>
      <c r="B7" s="546"/>
      <c r="C7" s="910" t="e">
        <f>VLOOKUP(B3,'LƯƠNG KT'!$D$16:$AC$184,16,0)</f>
        <v>#N/A</v>
      </c>
      <c r="D7" s="609" t="e">
        <f>+C7*$L$6</f>
        <v>#N/A</v>
      </c>
      <c r="E7" s="912"/>
      <c r="F7" s="912"/>
      <c r="G7" s="905" t="s">
        <v>367</v>
      </c>
      <c r="H7" s="546"/>
      <c r="I7" s="910" t="e">
        <f>VLOOKUP(H3,'LƯƠNG KT'!$D$16:$AC$184,16,0)</f>
        <v>#N/A</v>
      </c>
      <c r="J7" s="609" t="e">
        <f>+I7*$L$6</f>
        <v>#N/A</v>
      </c>
      <c r="K7" s="934" t="s">
        <v>368</v>
      </c>
      <c r="L7" s="935">
        <f>30.7*L3</f>
        <v>20890.429</v>
      </c>
      <c r="M7" s="935"/>
      <c r="N7" s="935"/>
      <c r="O7" s="935"/>
    </row>
    <row r="8" spans="1:15" ht="15" customHeight="1">
      <c r="A8" s="905" t="s">
        <v>369</v>
      </c>
      <c r="B8" s="546"/>
      <c r="C8" s="910" t="e">
        <f>VLOOKUP(B4,'LƯƠNG KT'!$D$16:$AC$184,16,0)</f>
        <v>#N/A</v>
      </c>
      <c r="D8" s="609" t="e">
        <f t="shared" ref="D8:D9" si="0">+C8*$L$6</f>
        <v>#N/A</v>
      </c>
      <c r="E8" s="912"/>
      <c r="F8" s="912"/>
      <c r="G8" s="905" t="s">
        <v>367</v>
      </c>
      <c r="H8" s="546"/>
      <c r="I8" s="910" t="e">
        <f>VLOOKUP(H4,'LƯƠNG KT'!$D$16:$AC$184,16,0)</f>
        <v>#N/A</v>
      </c>
      <c r="J8" s="609" t="e">
        <f t="shared" ref="J8:J9" si="1">+I8*$L$6</f>
        <v>#N/A</v>
      </c>
      <c r="K8" s="934" t="s">
        <v>368</v>
      </c>
      <c r="L8" s="935">
        <f t="shared" ref="L8:L9" si="2">30.7*L4</f>
        <v>963048.77690000006</v>
      </c>
      <c r="M8" s="935"/>
      <c r="N8" s="935"/>
      <c r="O8" s="935"/>
    </row>
    <row r="9" spans="1:15" ht="15" customHeight="1">
      <c r="A9" s="905" t="s">
        <v>370</v>
      </c>
      <c r="B9" s="546"/>
      <c r="C9" s="910" t="e">
        <f>VLOOKUP(B5,'LƯƠNG KT'!$D$16:$AC$184,16,0)</f>
        <v>#N/A</v>
      </c>
      <c r="D9" s="609" t="e">
        <f t="shared" si="0"/>
        <v>#N/A</v>
      </c>
      <c r="E9" s="912"/>
      <c r="F9" s="912"/>
      <c r="G9" s="905" t="s">
        <v>367</v>
      </c>
      <c r="H9" s="546"/>
      <c r="I9" s="910" t="e">
        <f>VLOOKUP(H5,'LƯƠNG KT'!$D$16:$AC$184,16,0)</f>
        <v>#N/A</v>
      </c>
      <c r="J9" s="609" t="e">
        <f t="shared" si="1"/>
        <v>#N/A</v>
      </c>
      <c r="K9" s="934" t="s">
        <v>368</v>
      </c>
      <c r="L9" s="935">
        <f t="shared" si="2"/>
        <v>1606473.9901000001</v>
      </c>
      <c r="M9" s="935"/>
      <c r="N9" s="935"/>
      <c r="O9" s="935"/>
    </row>
    <row r="10" spans="1:15" ht="15" customHeight="1">
      <c r="A10" s="905" t="s">
        <v>371</v>
      </c>
      <c r="B10" s="546" t="s">
        <v>372</v>
      </c>
      <c r="C10" s="910" t="e">
        <f>VLOOKUP(B3,'LƯƠNG KT'!$D$16:$AC$184,9,0)*$L$10</f>
        <v>#N/A</v>
      </c>
      <c r="D10" s="609" t="e">
        <f>+C10*0.5*3000</f>
        <v>#N/A</v>
      </c>
      <c r="E10" s="912"/>
      <c r="F10" s="912"/>
      <c r="G10" s="905" t="s">
        <v>371</v>
      </c>
      <c r="H10" s="546" t="s">
        <v>372</v>
      </c>
      <c r="I10" s="910" t="e">
        <f>VLOOKUP(H3,'LƯƠNG KT'!$D$16:$AC$184,9,0)*$L$10</f>
        <v>#N/A</v>
      </c>
      <c r="J10" s="609" t="e">
        <f>+I10*0.5*3000</f>
        <v>#N/A</v>
      </c>
      <c r="K10" s="935" t="s">
        <v>373</v>
      </c>
      <c r="L10" s="1172">
        <v>0.5</v>
      </c>
      <c r="M10" s="1172"/>
      <c r="N10" s="1172"/>
      <c r="O10" s="1172"/>
    </row>
    <row r="11" spans="1:15" ht="15" customHeight="1">
      <c r="A11" s="905" t="s">
        <v>374</v>
      </c>
      <c r="B11" s="546" t="s">
        <v>375</v>
      </c>
      <c r="C11" s="910" t="e">
        <f>VLOOKUP(B3,'LƯƠNG KT'!$D$16:$AC$184,8,0)*$L$11</f>
        <v>#N/A</v>
      </c>
      <c r="D11" s="609" t="e">
        <f>VLOOKUP(B3,'LƯƠNG KT'!$D$16:$AC$184,13,0)-D10</f>
        <v>#N/A</v>
      </c>
      <c r="E11" s="914"/>
      <c r="F11" s="912"/>
      <c r="G11" s="905" t="s">
        <v>374</v>
      </c>
      <c r="H11" s="546" t="s">
        <v>375</v>
      </c>
      <c r="I11" s="910" t="e">
        <f>VLOOKUP(H3,'LƯƠNG KT'!$D$16:$AC$184,8,0)*$L$11</f>
        <v>#N/A</v>
      </c>
      <c r="J11" s="609" t="e">
        <f>VLOOKUP(H3,'LƯƠNG KT'!$D$16:$AC$184,13,0)-J10</f>
        <v>#N/A</v>
      </c>
      <c r="K11" s="935" t="s">
        <v>376</v>
      </c>
      <c r="L11" s="1172">
        <v>0.42315993895981302</v>
      </c>
      <c r="M11" s="1172"/>
      <c r="N11" s="1172"/>
      <c r="O11" s="1172"/>
    </row>
    <row r="12" spans="1:15" ht="15" customHeight="1">
      <c r="A12" s="609" t="s">
        <v>377</v>
      </c>
      <c r="B12" s="546" t="s">
        <v>378</v>
      </c>
      <c r="C12" s="910"/>
      <c r="D12" s="609"/>
      <c r="E12" s="916"/>
      <c r="F12" s="916"/>
      <c r="G12" s="609" t="s">
        <v>377</v>
      </c>
      <c r="H12" s="546" t="s">
        <v>378</v>
      </c>
      <c r="I12" s="910"/>
      <c r="J12" s="609"/>
    </row>
    <row r="13" spans="1:15" ht="15" customHeight="1">
      <c r="A13" s="547" t="s">
        <v>379</v>
      </c>
      <c r="B13" s="546" t="s">
        <v>380</v>
      </c>
      <c r="C13" s="910"/>
      <c r="D13" s="609">
        <f>56*25000</f>
        <v>1400000</v>
      </c>
      <c r="E13" s="914"/>
      <c r="F13" s="916"/>
      <c r="G13" s="547" t="s">
        <v>379</v>
      </c>
      <c r="H13" s="546" t="s">
        <v>380</v>
      </c>
      <c r="I13" s="910"/>
      <c r="J13" s="609">
        <f>56*25000</f>
        <v>1400000</v>
      </c>
    </row>
    <row r="14" spans="1:15" ht="15" customHeight="1">
      <c r="A14" s="905" t="s">
        <v>381</v>
      </c>
      <c r="B14" s="546" t="s">
        <v>382</v>
      </c>
      <c r="C14" s="910"/>
      <c r="D14" s="609">
        <f>D13</f>
        <v>1400000</v>
      </c>
      <c r="E14" s="917"/>
      <c r="F14" s="904"/>
      <c r="G14" s="905" t="s">
        <v>381</v>
      </c>
      <c r="H14" s="546" t="s">
        <v>382</v>
      </c>
      <c r="I14" s="910"/>
      <c r="J14" s="609">
        <f>J13</f>
        <v>1400000</v>
      </c>
    </row>
    <row r="15" spans="1:15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</row>
    <row r="16" spans="1:15" ht="12.6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L16" s="898" t="s">
        <v>369</v>
      </c>
      <c r="M16" s="898" t="s">
        <v>370</v>
      </c>
    </row>
    <row r="17" spans="1:15" ht="12.6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</row>
    <row r="18" spans="1:15" ht="15" customHeight="1">
      <c r="A18" s="2360" t="str">
        <f>$K$2</f>
        <v>THÁNG 09/2024</v>
      </c>
      <c r="B18" s="2360"/>
      <c r="C18" s="2360"/>
      <c r="D18" s="2360"/>
      <c r="E18" s="903"/>
      <c r="F18" s="904"/>
      <c r="G18" s="2360" t="str">
        <f>$K$2</f>
        <v>THÁNG 09/2024</v>
      </c>
      <c r="H18" s="2360"/>
      <c r="I18" s="2360"/>
      <c r="J18" s="2360"/>
      <c r="K18" s="276"/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386</v>
      </c>
      <c r="I19" s="546"/>
      <c r="J19" s="902"/>
      <c r="L19" s="938"/>
      <c r="M19" s="938"/>
      <c r="N19" s="938"/>
      <c r="O19" s="938"/>
    </row>
    <row r="20" spans="1:15" ht="15" customHeight="1">
      <c r="A20" s="905" t="s">
        <v>359</v>
      </c>
      <c r="B20" s="939" t="s">
        <v>360</v>
      </c>
      <c r="C20" s="910" t="e">
        <f>VLOOKUP(B19,'LƯƠNG KT'!$D$16:$AC$184,3,0)</f>
        <v>#N/A</v>
      </c>
      <c r="D20" s="609" t="e">
        <f>+C20*25000</f>
        <v>#N/A</v>
      </c>
      <c r="E20" s="911"/>
      <c r="F20" s="911"/>
      <c r="G20" s="905" t="s">
        <v>359</v>
      </c>
      <c r="H20" s="939" t="s">
        <v>360</v>
      </c>
      <c r="I20" s="910" t="e">
        <f>VLOOKUP(H19,'LƯƠNG KT'!$D$16:$AC$184,3,0)</f>
        <v>#N/A</v>
      </c>
      <c r="J20" s="609" t="e">
        <f>+I20*25000</f>
        <v>#N/A</v>
      </c>
      <c r="K20" s="935"/>
      <c r="L20" s="935"/>
      <c r="M20" s="935"/>
      <c r="N20" s="935"/>
      <c r="O20" s="935"/>
    </row>
    <row r="21" spans="1:15" ht="15" customHeight="1">
      <c r="A21" s="905" t="s">
        <v>361</v>
      </c>
      <c r="B21" s="546" t="s">
        <v>362</v>
      </c>
      <c r="C21" s="910" t="e">
        <f>VLOOKUP(B19,'LƯƠNG KT'!$D$16:$AC$184,14,0)</f>
        <v>#N/A</v>
      </c>
      <c r="D21" s="609" t="e">
        <f>C21*$L$4</f>
        <v>#N/A</v>
      </c>
      <c r="E21" s="912"/>
      <c r="F21" s="912"/>
      <c r="G21" s="905" t="s">
        <v>361</v>
      </c>
      <c r="H21" s="546" t="s">
        <v>362</v>
      </c>
      <c r="I21" s="910" t="e">
        <f>VLOOKUP(H19,'LƯƠNG KT'!$D$16:$AC$184,14,0)</f>
        <v>#N/A</v>
      </c>
      <c r="J21" s="609" t="e">
        <f>I21*$L$4</f>
        <v>#N/A</v>
      </c>
      <c r="K21" s="935"/>
      <c r="L21" s="935"/>
      <c r="M21" s="935"/>
      <c r="N21" s="935"/>
      <c r="O21" s="935"/>
    </row>
    <row r="22" spans="1:15" ht="15" customHeight="1">
      <c r="A22" s="905" t="s">
        <v>364</v>
      </c>
      <c r="B22" s="546" t="s">
        <v>365</v>
      </c>
      <c r="C22" s="910" t="e">
        <f>VLOOKUP(B19,'LƯƠNG KT'!$D$16:$AC$184,15,0)</f>
        <v>#N/A</v>
      </c>
      <c r="D22" s="609" t="e">
        <f>C22*$L$5</f>
        <v>#N/A</v>
      </c>
      <c r="E22" s="912"/>
      <c r="F22" s="912"/>
      <c r="G22" s="905" t="s">
        <v>364</v>
      </c>
      <c r="H22" s="546" t="s">
        <v>365</v>
      </c>
      <c r="I22" s="910" t="e">
        <f>VLOOKUP(H19,'LƯƠNG KT'!$D$16:$AC$184,15,0)</f>
        <v>#N/A</v>
      </c>
      <c r="J22" s="609" t="e">
        <f>I22*$L$5</f>
        <v>#N/A</v>
      </c>
      <c r="K22" s="935"/>
      <c r="L22" s="935"/>
      <c r="M22" s="935"/>
      <c r="N22" s="935"/>
      <c r="O22" s="935"/>
    </row>
    <row r="23" spans="1:15" ht="15" customHeight="1">
      <c r="A23" s="905" t="s">
        <v>367</v>
      </c>
      <c r="B23" s="546"/>
      <c r="C23" s="910" t="e">
        <f>VLOOKUP(B19,'LƯƠNG KT'!$D$16:$AC$184,16,0)</f>
        <v>#N/A</v>
      </c>
      <c r="D23" s="609" t="e">
        <f>+C23*$L$6</f>
        <v>#N/A</v>
      </c>
      <c r="E23" s="912"/>
      <c r="F23" s="912"/>
      <c r="G23" s="905" t="s">
        <v>367</v>
      </c>
      <c r="H23" s="546"/>
      <c r="I23" s="910" t="e">
        <f>VLOOKUP(H19,'LƯƠNG KT'!$D$16:$AC$184,16,0)</f>
        <v>#N/A</v>
      </c>
      <c r="J23" s="609" t="e">
        <f>+I23*$L$6</f>
        <v>#N/A</v>
      </c>
      <c r="K23" s="935"/>
      <c r="L23" s="935"/>
      <c r="M23" s="935">
        <f>425*50</f>
        <v>21250</v>
      </c>
      <c r="N23" s="935"/>
      <c r="O23" s="935"/>
    </row>
    <row r="24" spans="1:15" ht="15" customHeight="1">
      <c r="A24" s="905" t="s">
        <v>367</v>
      </c>
      <c r="B24" s="546"/>
      <c r="C24" s="910" t="e">
        <f>VLOOKUP(B20,'LƯƠNG KT'!$D$16:$AC$184,16,0)</f>
        <v>#N/A</v>
      </c>
      <c r="D24" s="609" t="e">
        <f t="shared" ref="D24:D25" si="3">+C24*$L$6</f>
        <v>#N/A</v>
      </c>
      <c r="E24" s="912"/>
      <c r="F24" s="912"/>
      <c r="G24" s="905" t="s">
        <v>367</v>
      </c>
      <c r="H24" s="546"/>
      <c r="I24" s="910" t="e">
        <f>VLOOKUP(H20,'LƯƠNG KT'!$D$16:$AC$184,16,0)</f>
        <v>#N/A</v>
      </c>
      <c r="J24" s="609" t="e">
        <f t="shared" ref="J24:J25" si="4">+I24*$L$6</f>
        <v>#N/A</v>
      </c>
      <c r="K24" s="935"/>
      <c r="L24" s="935"/>
      <c r="M24" s="935">
        <f t="shared" ref="M24:M25" si="5">425*50</f>
        <v>21250</v>
      </c>
      <c r="N24" s="935"/>
      <c r="O24" s="935"/>
    </row>
    <row r="25" spans="1:15" ht="15" customHeight="1">
      <c r="A25" s="905" t="s">
        <v>367</v>
      </c>
      <c r="B25" s="546"/>
      <c r="C25" s="910" t="e">
        <f>VLOOKUP(B21,'LƯƠNG KT'!$D$16:$AC$184,16,0)</f>
        <v>#N/A</v>
      </c>
      <c r="D25" s="609" t="e">
        <f t="shared" si="3"/>
        <v>#N/A</v>
      </c>
      <c r="E25" s="912"/>
      <c r="F25" s="912"/>
      <c r="G25" s="905" t="s">
        <v>367</v>
      </c>
      <c r="H25" s="546"/>
      <c r="I25" s="910" t="e">
        <f>VLOOKUP(H21,'LƯƠNG KT'!$D$16:$AC$184,16,0)</f>
        <v>#N/A</v>
      </c>
      <c r="J25" s="609" t="e">
        <f t="shared" si="4"/>
        <v>#N/A</v>
      </c>
      <c r="K25" s="935"/>
      <c r="L25" s="935"/>
      <c r="M25" s="935">
        <f t="shared" si="5"/>
        <v>21250</v>
      </c>
      <c r="N25" s="935"/>
      <c r="O25" s="935"/>
    </row>
    <row r="26" spans="1:15" ht="15" customHeight="1">
      <c r="A26" s="905" t="s">
        <v>371</v>
      </c>
      <c r="B26" s="546" t="s">
        <v>372</v>
      </c>
      <c r="C26" s="910" t="e">
        <f>VLOOKUP(B19,'LƯƠNG KT'!$D$16:$AC$184,9,0)*$L$10</f>
        <v>#N/A</v>
      </c>
      <c r="D26" s="609" t="e">
        <f>+C26*0.5*3000</f>
        <v>#N/A</v>
      </c>
      <c r="E26" s="912"/>
      <c r="F26" s="912"/>
      <c r="G26" s="905" t="s">
        <v>371</v>
      </c>
      <c r="H26" s="546" t="s">
        <v>372</v>
      </c>
      <c r="I26" s="910" t="e">
        <f>VLOOKUP(H19,'LƯƠNG KT'!$D$16:$AC$184,9,0)*$L$10</f>
        <v>#N/A</v>
      </c>
      <c r="J26" s="609" t="e">
        <f>+I26*0.5*3000</f>
        <v>#N/A</v>
      </c>
      <c r="K26" s="935"/>
      <c r="L26" s="935"/>
      <c r="M26" s="935"/>
      <c r="N26" s="935"/>
      <c r="O26" s="935"/>
    </row>
    <row r="27" spans="1:15" ht="15" customHeight="1">
      <c r="A27" s="905" t="s">
        <v>374</v>
      </c>
      <c r="B27" s="546" t="s">
        <v>375</v>
      </c>
      <c r="C27" s="910" t="e">
        <f>VLOOKUP(B19,'LƯƠNG KT'!$D$16:$AC$184,8,0)*$L$11</f>
        <v>#N/A</v>
      </c>
      <c r="D27" s="609" t="e">
        <f>VLOOKUP(B19,'LƯƠNG KT'!$D$16:$AC$184,13,0)-D26</f>
        <v>#N/A</v>
      </c>
      <c r="E27" s="914"/>
      <c r="F27" s="912"/>
      <c r="G27" s="905" t="s">
        <v>374</v>
      </c>
      <c r="H27" s="546" t="s">
        <v>375</v>
      </c>
      <c r="I27" s="910" t="e">
        <f>VLOOKUP(H19,'LƯƠNG KT'!$D$16:$AC$184,8,0)*$L$11</f>
        <v>#N/A</v>
      </c>
      <c r="J27" s="609" t="e">
        <f>VLOOKUP(H19,'LƯƠNG KT'!$D$16:$AC$184,13,0)-J26+I21*20000+I22*20000</f>
        <v>#N/A</v>
      </c>
      <c r="K27" s="935"/>
      <c r="L27" s="935"/>
      <c r="M27" s="935"/>
      <c r="N27" s="935"/>
      <c r="O27" s="935"/>
    </row>
    <row r="28" spans="1:15" ht="15" customHeight="1">
      <c r="A28" s="609" t="s">
        <v>377</v>
      </c>
      <c r="B28" s="546" t="s">
        <v>378</v>
      </c>
      <c r="C28" s="910"/>
      <c r="D28" s="609"/>
      <c r="E28" s="916"/>
      <c r="F28" s="916"/>
      <c r="G28" s="609" t="s">
        <v>377</v>
      </c>
      <c r="H28" s="546" t="s">
        <v>378</v>
      </c>
      <c r="I28" s="910"/>
      <c r="J28" s="609"/>
    </row>
    <row r="29" spans="1:15" ht="15" customHeight="1">
      <c r="A29" s="547" t="s">
        <v>379</v>
      </c>
      <c r="B29" s="546" t="s">
        <v>380</v>
      </c>
      <c r="C29" s="910"/>
      <c r="D29" s="609">
        <f>56*25000</f>
        <v>1400000</v>
      </c>
      <c r="E29" s="914"/>
      <c r="F29" s="916"/>
      <c r="G29" s="547" t="s">
        <v>379</v>
      </c>
      <c r="H29" s="546" t="s">
        <v>380</v>
      </c>
      <c r="I29" s="910"/>
      <c r="J29" s="609">
        <f>56*25000</f>
        <v>1400000</v>
      </c>
      <c r="M29" s="898">
        <f>425+9</f>
        <v>434</v>
      </c>
      <c r="N29" s="898">
        <f>+M29*20</f>
        <v>8680</v>
      </c>
    </row>
    <row r="30" spans="1:15" ht="15" customHeight="1">
      <c r="A30" s="905" t="s">
        <v>381</v>
      </c>
      <c r="B30" s="546" t="s">
        <v>382</v>
      </c>
      <c r="C30" s="910"/>
      <c r="D30" s="609">
        <f>D29</f>
        <v>1400000</v>
      </c>
      <c r="E30" s="917"/>
      <c r="F30" s="904"/>
      <c r="G30" s="905" t="s">
        <v>381</v>
      </c>
      <c r="H30" s="546" t="s">
        <v>382</v>
      </c>
      <c r="I30" s="910"/>
      <c r="J30" s="609">
        <f>J29</f>
        <v>1400000</v>
      </c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60" t="str">
        <f>$K$2</f>
        <v>THÁNG 09/2024</v>
      </c>
      <c r="B34" s="2360"/>
      <c r="C34" s="2360"/>
      <c r="D34" s="2360"/>
      <c r="E34" s="903"/>
      <c r="F34" s="904"/>
      <c r="G34" s="2360" t="str">
        <f>$K$2</f>
        <v>THÁNG 09/2024</v>
      </c>
      <c r="H34" s="2360"/>
      <c r="I34" s="2360"/>
      <c r="J34" s="2360"/>
      <c r="K34" s="276"/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/>
      <c r="N35" s="938"/>
      <c r="O35" s="938"/>
    </row>
    <row r="36" spans="1:15" ht="15" customHeight="1">
      <c r="A36" s="905" t="s">
        <v>359</v>
      </c>
      <c r="B36" s="939" t="s">
        <v>360</v>
      </c>
      <c r="C36" s="910" t="e">
        <f>VLOOKUP(B35,'LƯƠNG KT'!$D$16:$AC$184,3,0)</f>
        <v>#N/A</v>
      </c>
      <c r="D36" s="609" t="e">
        <f>+C36*25000</f>
        <v>#N/A</v>
      </c>
      <c r="E36" s="911"/>
      <c r="F36" s="911"/>
      <c r="G36" s="905" t="s">
        <v>359</v>
      </c>
      <c r="H36" s="939" t="s">
        <v>360</v>
      </c>
      <c r="I36" s="910" t="e">
        <f>VLOOKUP(H35,'LƯƠNG KT'!$D$16:$AC$184,3,0)</f>
        <v>#N/A</v>
      </c>
      <c r="J36" s="609" t="e">
        <f>+I36*25000</f>
        <v>#N/A</v>
      </c>
      <c r="K36" s="935"/>
      <c r="L36" s="935"/>
      <c r="M36" s="935"/>
      <c r="N36" s="935"/>
      <c r="O36" s="935"/>
    </row>
    <row r="37" spans="1:15" ht="15" customHeight="1">
      <c r="A37" s="905" t="s">
        <v>361</v>
      </c>
      <c r="B37" s="546" t="s">
        <v>362</v>
      </c>
      <c r="C37" s="910" t="e">
        <f>VLOOKUP(B35,'LƯƠNG KT'!$D$16:$AC$184,14,0)</f>
        <v>#N/A</v>
      </c>
      <c r="D37" s="609" t="e">
        <f>C37*$L$4</f>
        <v>#N/A</v>
      </c>
      <c r="E37" s="912"/>
      <c r="F37" s="912"/>
      <c r="G37" s="905" t="s">
        <v>361</v>
      </c>
      <c r="H37" s="546" t="s">
        <v>362</v>
      </c>
      <c r="I37" s="910" t="e">
        <f>VLOOKUP(H35,'LƯƠNG KT'!$D$16:$AC$184,14,0)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5" t="s">
        <v>364</v>
      </c>
      <c r="B38" s="546" t="s">
        <v>365</v>
      </c>
      <c r="C38" s="910" t="e">
        <f>VLOOKUP(B35,'LƯƠNG KT'!$D$16:$AC$184,15,0)</f>
        <v>#N/A</v>
      </c>
      <c r="D38" s="609" t="e">
        <f>C38*$L$5</f>
        <v>#N/A</v>
      </c>
      <c r="E38" s="912"/>
      <c r="F38" s="912"/>
      <c r="G38" s="905" t="s">
        <v>364</v>
      </c>
      <c r="H38" s="546" t="s">
        <v>365</v>
      </c>
      <c r="I38" s="910" t="e">
        <f>VLOOKUP(H35,'LƯƠNG KT'!$D$16:$AC$184,15,0)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5" t="s">
        <v>367</v>
      </c>
      <c r="B39" s="546"/>
      <c r="C39" s="910" t="e">
        <f>VLOOKUP(B35,'LƯƠNG KT'!$D$16:$AC$184,16,0)</f>
        <v>#N/A</v>
      </c>
      <c r="D39" s="609" t="e">
        <f>+C39*$L$6</f>
        <v>#N/A</v>
      </c>
      <c r="E39" s="912"/>
      <c r="F39" s="912"/>
      <c r="G39" s="905" t="s">
        <v>367</v>
      </c>
      <c r="H39" s="546"/>
      <c r="I39" s="910" t="e">
        <f>VLOOKUP(H35,'LƯƠNG KT'!$D$16:$AC$184,16,0)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5"/>
      <c r="B40" s="546"/>
      <c r="C40" s="910"/>
      <c r="D40" s="609"/>
      <c r="E40" s="912"/>
      <c r="F40" s="912"/>
      <c r="G40" s="905"/>
      <c r="H40" s="546"/>
      <c r="I40" s="910"/>
      <c r="J40" s="609"/>
      <c r="K40" s="935"/>
      <c r="L40" s="935"/>
      <c r="M40" s="935"/>
      <c r="N40" s="935"/>
      <c r="O40" s="935"/>
    </row>
    <row r="41" spans="1:15" ht="15" customHeight="1">
      <c r="A41" s="905"/>
      <c r="B41" s="546"/>
      <c r="C41" s="910"/>
      <c r="D41" s="609"/>
      <c r="E41" s="912"/>
      <c r="F41" s="912"/>
      <c r="G41" s="905"/>
      <c r="H41" s="546"/>
      <c r="I41" s="910"/>
      <c r="J41" s="609"/>
      <c r="K41" s="935"/>
      <c r="L41" s="935"/>
      <c r="M41" s="935"/>
      <c r="N41" s="935"/>
      <c r="O41" s="935"/>
    </row>
    <row r="42" spans="1:15" ht="15" customHeight="1">
      <c r="A42" s="905" t="s">
        <v>371</v>
      </c>
      <c r="B42" s="546" t="s">
        <v>372</v>
      </c>
      <c r="C42" s="910" t="e">
        <f>VLOOKUP(B35,'LƯƠNG KT'!$D$16:$AC$184,9,0)*$L$10</f>
        <v>#N/A</v>
      </c>
      <c r="D42" s="609" t="e">
        <f>+C42*0.5*3000</f>
        <v>#N/A</v>
      </c>
      <c r="E42" s="912"/>
      <c r="F42" s="912"/>
      <c r="G42" s="905" t="s">
        <v>371</v>
      </c>
      <c r="H42" s="546" t="s">
        <v>372</v>
      </c>
      <c r="I42" s="910" t="e">
        <f>VLOOKUP(H35,'LƯƠNG KT'!$D$16:$AC$184,9,0)*$L$10</f>
        <v>#N/A</v>
      </c>
      <c r="J42" s="609" t="e">
        <f>+I42*0.5*3000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546" t="s">
        <v>375</v>
      </c>
      <c r="C43" s="910" t="e">
        <f>VLOOKUP(B35,'LƯƠNG KT'!$D$16:$AC$184,8,0)*$L$11</f>
        <v>#N/A</v>
      </c>
      <c r="D43" s="609" t="e">
        <f>VLOOKUP(B35,'LƯƠNG KT'!$D$16:$AC$184,13,0)-D42+C37*20000+C38*20000</f>
        <v>#N/A</v>
      </c>
      <c r="E43" s="914"/>
      <c r="F43" s="912"/>
      <c r="G43" s="905" t="s">
        <v>374</v>
      </c>
      <c r="H43" s="546" t="s">
        <v>375</v>
      </c>
      <c r="I43" s="910" t="e">
        <f>VLOOKUP(H35,'LƯƠNG KT'!$D$16:$AC$184,8,0)*$L$11</f>
        <v>#N/A</v>
      </c>
      <c r="J43" s="609" t="e">
        <f>VLOOKUP(H35,'LƯƠNG KT'!$D$16:$AC$184,13,0)-J42</f>
        <v>#N/A</v>
      </c>
      <c r="K43" s="935"/>
      <c r="L43" s="935"/>
      <c r="M43" s="935"/>
      <c r="N43" s="935"/>
      <c r="O43" s="935"/>
    </row>
    <row r="44" spans="1:15" ht="15" customHeight="1">
      <c r="A44" s="609" t="s">
        <v>377</v>
      </c>
      <c r="B44" s="546" t="s">
        <v>378</v>
      </c>
      <c r="C44" s="910"/>
      <c r="D44" s="609"/>
      <c r="E44" s="916"/>
      <c r="F44" s="916"/>
      <c r="G44" s="609" t="s">
        <v>377</v>
      </c>
      <c r="H44" s="546" t="s">
        <v>378</v>
      </c>
      <c r="I44" s="910"/>
      <c r="J44" s="609"/>
    </row>
    <row r="45" spans="1:15" ht="15" customHeight="1">
      <c r="A45" s="547" t="s">
        <v>379</v>
      </c>
      <c r="B45" s="546" t="s">
        <v>380</v>
      </c>
      <c r="C45" s="910"/>
      <c r="D45" s="609">
        <f>56*25000</f>
        <v>1400000</v>
      </c>
      <c r="E45" s="914"/>
      <c r="F45" s="916"/>
      <c r="G45" s="547" t="s">
        <v>379</v>
      </c>
      <c r="H45" s="546" t="s">
        <v>380</v>
      </c>
      <c r="I45" s="910"/>
      <c r="J45" s="609">
        <f>56*25000</f>
        <v>1400000</v>
      </c>
    </row>
    <row r="46" spans="1:15" ht="15" customHeight="1">
      <c r="A46" s="905" t="s">
        <v>381</v>
      </c>
      <c r="B46" s="546" t="s">
        <v>382</v>
      </c>
      <c r="C46" s="910"/>
      <c r="D46" s="609">
        <f>D45</f>
        <v>1400000</v>
      </c>
      <c r="E46" s="917"/>
      <c r="F46" s="904"/>
      <c r="G46" s="905" t="s">
        <v>381</v>
      </c>
      <c r="H46" s="546" t="s">
        <v>382</v>
      </c>
      <c r="I46" s="910"/>
      <c r="J46" s="609">
        <f>J45</f>
        <v>1400000</v>
      </c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5"/>
      <c r="B49" s="925"/>
      <c r="C49" s="929"/>
      <c r="D49" s="930"/>
      <c r="E49" s="925"/>
      <c r="F49" s="931"/>
      <c r="G49" s="925"/>
      <c r="H49" s="925"/>
      <c r="I49" s="929"/>
      <c r="J49" s="930"/>
    </row>
    <row r="50" spans="1:15" ht="15" customHeight="1">
      <c r="A50" s="2360" t="str">
        <f>$K$2</f>
        <v>THÁNG 09/2024</v>
      </c>
      <c r="B50" s="2360"/>
      <c r="C50" s="2360"/>
      <c r="D50" s="2360"/>
      <c r="E50" s="903"/>
      <c r="F50" s="904"/>
      <c r="G50" s="2360" t="str">
        <f>$K$2</f>
        <v>THÁNG 09/2024</v>
      </c>
      <c r="H50" s="2360"/>
      <c r="I50" s="2360"/>
      <c r="J50" s="2360"/>
      <c r="K50" s="276"/>
    </row>
    <row r="51" spans="1:15" ht="15" customHeight="1">
      <c r="A51" s="905" t="s">
        <v>356</v>
      </c>
      <c r="B51" s="642" t="s">
        <v>389</v>
      </c>
      <c r="C51" s="546"/>
      <c r="D51" s="902"/>
      <c r="E51" s="906"/>
      <c r="F51" s="907"/>
      <c r="G51" s="905" t="s">
        <v>356</v>
      </c>
      <c r="H51" s="642" t="s">
        <v>390</v>
      </c>
      <c r="I51" s="546"/>
      <c r="J51" s="902"/>
      <c r="L51" s="938"/>
      <c r="M51" s="938"/>
      <c r="N51" s="938"/>
      <c r="O51" s="938"/>
    </row>
    <row r="52" spans="1:15" ht="15" customHeight="1">
      <c r="A52" s="905" t="s">
        <v>359</v>
      </c>
      <c r="B52" s="939" t="s">
        <v>360</v>
      </c>
      <c r="C52" s="910" t="e">
        <f>VLOOKUP(B51,'LƯƠNG KT'!$D$16:$AC$184,3,0)</f>
        <v>#N/A</v>
      </c>
      <c r="D52" s="609" t="e">
        <f>+C52*25000</f>
        <v>#N/A</v>
      </c>
      <c r="E52" s="911"/>
      <c r="F52" s="911"/>
      <c r="G52" s="905" t="s">
        <v>359</v>
      </c>
      <c r="H52" s="939" t="s">
        <v>360</v>
      </c>
      <c r="I52" s="910" t="e">
        <f>VLOOKUP(H51,'LƯƠNG KT'!$D$16:$AC$184,3,0)</f>
        <v>#N/A</v>
      </c>
      <c r="J52" s="609" t="e">
        <f>+I52*25000</f>
        <v>#N/A</v>
      </c>
      <c r="K52" s="935"/>
      <c r="L52" s="935"/>
      <c r="M52" s="935"/>
      <c r="N52" s="935"/>
      <c r="O52" s="935"/>
    </row>
    <row r="53" spans="1:15" ht="15" customHeight="1">
      <c r="A53" s="905" t="s">
        <v>361</v>
      </c>
      <c r="B53" s="546" t="s">
        <v>362</v>
      </c>
      <c r="C53" s="910" t="e">
        <f>VLOOKUP(B51,'LƯƠNG KT'!$D$16:$AC$184,14,0)</f>
        <v>#N/A</v>
      </c>
      <c r="D53" s="609" t="e">
        <f>C53*$L$4</f>
        <v>#N/A</v>
      </c>
      <c r="E53" s="912"/>
      <c r="F53" s="912"/>
      <c r="G53" s="905" t="s">
        <v>361</v>
      </c>
      <c r="H53" s="546" t="s">
        <v>362</v>
      </c>
      <c r="I53" s="910" t="e">
        <f>VLOOKUP(H51,'LƯƠNG KT'!$D$16:$AC$184,14,0)</f>
        <v>#N/A</v>
      </c>
      <c r="J53" s="609" t="e">
        <f>I53*$L$4</f>
        <v>#N/A</v>
      </c>
      <c r="K53" s="935"/>
      <c r="L53" s="935"/>
      <c r="M53" s="935"/>
      <c r="N53" s="935"/>
      <c r="O53" s="935"/>
    </row>
    <row r="54" spans="1:15" ht="15" customHeight="1">
      <c r="A54" s="905" t="s">
        <v>364</v>
      </c>
      <c r="B54" s="546" t="s">
        <v>365</v>
      </c>
      <c r="C54" s="910" t="e">
        <f>VLOOKUP(B51,'LƯƠNG KT'!$D$16:$AC$184,15,0)</f>
        <v>#N/A</v>
      </c>
      <c r="D54" s="609" t="e">
        <f>C54*$L$5</f>
        <v>#N/A</v>
      </c>
      <c r="E54" s="912"/>
      <c r="F54" s="912"/>
      <c r="G54" s="905" t="s">
        <v>364</v>
      </c>
      <c r="H54" s="546" t="s">
        <v>365</v>
      </c>
      <c r="I54" s="910" t="e">
        <f>VLOOKUP(H51,'LƯƠNG KT'!$D$16:$AC$184,15,0)</f>
        <v>#N/A</v>
      </c>
      <c r="J54" s="609" t="e">
        <f>I54*$L$5</f>
        <v>#N/A</v>
      </c>
      <c r="K54" s="935"/>
      <c r="L54" s="935"/>
      <c r="M54" s="935"/>
      <c r="N54" s="935"/>
      <c r="O54" s="935"/>
    </row>
    <row r="55" spans="1:15" ht="15" customHeight="1">
      <c r="A55" s="905" t="s">
        <v>367</v>
      </c>
      <c r="B55" s="546"/>
      <c r="C55" s="910" t="e">
        <f>VLOOKUP(B51,'LƯƠNG KT'!$D$16:$AC$184,16,0)</f>
        <v>#N/A</v>
      </c>
      <c r="D55" s="609" t="e">
        <f>+C55*$L$6</f>
        <v>#N/A</v>
      </c>
      <c r="E55" s="912"/>
      <c r="F55" s="912"/>
      <c r="G55" s="905" t="s">
        <v>367</v>
      </c>
      <c r="H55" s="546"/>
      <c r="I55" s="910" t="e">
        <f>VLOOKUP(H51,'LƯƠNG KT'!$D$16:$AC$184,16,0)</f>
        <v>#N/A</v>
      </c>
      <c r="J55" s="609" t="e">
        <f>+I55*$L$6</f>
        <v>#N/A</v>
      </c>
      <c r="K55" s="935"/>
      <c r="L55" s="935"/>
      <c r="M55" s="935"/>
      <c r="N55" s="935"/>
      <c r="O55" s="935"/>
    </row>
    <row r="56" spans="1:15" ht="15" customHeight="1">
      <c r="A56" s="905"/>
      <c r="B56" s="546"/>
      <c r="C56" s="910"/>
      <c r="D56" s="609"/>
      <c r="E56" s="912"/>
      <c r="F56" s="912"/>
      <c r="G56" s="905"/>
      <c r="H56" s="546"/>
      <c r="I56" s="910"/>
      <c r="J56" s="609"/>
      <c r="K56" s="935"/>
      <c r="L56" s="935"/>
      <c r="M56" s="935"/>
      <c r="N56" s="935"/>
      <c r="O56" s="935"/>
    </row>
    <row r="57" spans="1:15" ht="15" customHeight="1">
      <c r="A57" s="905"/>
      <c r="B57" s="546"/>
      <c r="C57" s="910"/>
      <c r="D57" s="609"/>
      <c r="E57" s="912"/>
      <c r="F57" s="912"/>
      <c r="G57" s="905"/>
      <c r="H57" s="546"/>
      <c r="I57" s="910"/>
      <c r="J57" s="609"/>
      <c r="K57" s="935"/>
      <c r="L57" s="935"/>
      <c r="M57" s="935"/>
      <c r="N57" s="935"/>
      <c r="O57" s="935"/>
    </row>
    <row r="58" spans="1:15" ht="15" customHeight="1">
      <c r="A58" s="905" t="s">
        <v>371</v>
      </c>
      <c r="B58" s="546" t="s">
        <v>372</v>
      </c>
      <c r="C58" s="910" t="e">
        <f>VLOOKUP(B51,'LƯƠNG KT'!$D$16:$AC$184,9,0)*$L$10</f>
        <v>#N/A</v>
      </c>
      <c r="D58" s="609" t="e">
        <f>+C58*0.5*3000</f>
        <v>#N/A</v>
      </c>
      <c r="E58" s="912"/>
      <c r="F58" s="912"/>
      <c r="G58" s="905" t="s">
        <v>371</v>
      </c>
      <c r="H58" s="546" t="s">
        <v>372</v>
      </c>
      <c r="I58" s="910" t="e">
        <f>VLOOKUP(H51,'LƯƠNG KT'!$D$16:$AC$184,9,0)*$L$10</f>
        <v>#N/A</v>
      </c>
      <c r="J58" s="609" t="e">
        <f>+I58*0.5*3000</f>
        <v>#N/A</v>
      </c>
      <c r="K58" s="935"/>
      <c r="L58" s="935"/>
      <c r="M58" s="935"/>
      <c r="N58" s="935"/>
      <c r="O58" s="935"/>
    </row>
    <row r="59" spans="1:15" ht="15" customHeight="1">
      <c r="A59" s="905" t="s">
        <v>374</v>
      </c>
      <c r="B59" s="546" t="s">
        <v>375</v>
      </c>
      <c r="C59" s="910" t="e">
        <f>VLOOKUP(B51,'LƯƠNG KT'!$D$16:$AC$184,8,0)*$L$11</f>
        <v>#N/A</v>
      </c>
      <c r="D59" s="609" t="e">
        <f>VLOOKUP(B51,'LƯƠNG KT'!$D$16:$AC$184,13,0)-D58</f>
        <v>#N/A</v>
      </c>
      <c r="E59" s="914"/>
      <c r="F59" s="912"/>
      <c r="G59" s="905" t="s">
        <v>374</v>
      </c>
      <c r="H59" s="546" t="s">
        <v>375</v>
      </c>
      <c r="I59" s="910" t="e">
        <f>VLOOKUP(H51,'LƯƠNG KT'!$D$16:$AC$184,8,0)*$L$11</f>
        <v>#N/A</v>
      </c>
      <c r="J59" s="609" t="e">
        <f>VLOOKUP(H51,'LƯƠNG KT'!$D$16:$AC$184,13,0)-J58</f>
        <v>#N/A</v>
      </c>
      <c r="K59" s="935"/>
      <c r="L59" s="935"/>
      <c r="M59" s="935"/>
      <c r="N59" s="935"/>
      <c r="O59" s="935"/>
    </row>
    <row r="60" spans="1:15" ht="15" customHeight="1">
      <c r="A60" s="609" t="s">
        <v>377</v>
      </c>
      <c r="B60" s="546" t="s">
        <v>378</v>
      </c>
      <c r="C60" s="910"/>
      <c r="D60" s="609"/>
      <c r="E60" s="916"/>
      <c r="F60" s="916"/>
      <c r="G60" s="609" t="s">
        <v>377</v>
      </c>
      <c r="H60" s="546" t="s">
        <v>378</v>
      </c>
      <c r="I60" s="910"/>
      <c r="J60" s="609"/>
    </row>
    <row r="61" spans="1:15" ht="15" customHeight="1">
      <c r="A61" s="547" t="s">
        <v>379</v>
      </c>
      <c r="B61" s="546" t="s">
        <v>380</v>
      </c>
      <c r="C61" s="910"/>
      <c r="D61" s="609">
        <f>56*25000</f>
        <v>1400000</v>
      </c>
      <c r="E61" s="914"/>
      <c r="F61" s="916"/>
      <c r="G61" s="547" t="s">
        <v>379</v>
      </c>
      <c r="H61" s="546" t="s">
        <v>380</v>
      </c>
      <c r="I61" s="910"/>
      <c r="J61" s="609">
        <f>56*25000</f>
        <v>1400000</v>
      </c>
    </row>
    <row r="62" spans="1:15" ht="15" customHeight="1">
      <c r="A62" s="905" t="s">
        <v>381</v>
      </c>
      <c r="B62" s="546" t="s">
        <v>382</v>
      </c>
      <c r="C62" s="910"/>
      <c r="D62" s="609">
        <f>D61</f>
        <v>1400000</v>
      </c>
      <c r="E62" s="917"/>
      <c r="F62" s="904"/>
      <c r="G62" s="905" t="s">
        <v>381</v>
      </c>
      <c r="H62" s="546" t="s">
        <v>382</v>
      </c>
      <c r="I62" s="910"/>
      <c r="J62" s="609">
        <f>J61</f>
        <v>1400000</v>
      </c>
    </row>
    <row r="63" spans="1:15" ht="15" customHeight="1">
      <c r="A63" s="918" t="s">
        <v>383</v>
      </c>
      <c r="B63" s="919" t="s">
        <v>384</v>
      </c>
      <c r="C63" s="920"/>
      <c r="D63" s="921" t="e">
        <f>SUM(D52:D59)-D62</f>
        <v>#N/A</v>
      </c>
      <c r="E63" s="922"/>
      <c r="F63" s="923"/>
      <c r="G63" s="918" t="s">
        <v>383</v>
      </c>
      <c r="H63" s="919" t="s">
        <v>384</v>
      </c>
      <c r="I63" s="920"/>
      <c r="J63" s="921" t="e">
        <f>SUM(J52:J59)-J62</f>
        <v>#N/A</v>
      </c>
    </row>
    <row r="64" spans="1:15" ht="15.75" customHeight="1">
      <c r="A64" s="924"/>
      <c r="B64" s="925"/>
      <c r="C64" s="926"/>
      <c r="D64" s="927"/>
      <c r="E64" s="927"/>
      <c r="F64" s="928"/>
      <c r="G64" s="924"/>
      <c r="H64" s="925"/>
      <c r="I64" s="926"/>
      <c r="J64" s="927"/>
    </row>
    <row r="66" spans="1:15" ht="12" customHeight="1">
      <c r="A66" s="2361"/>
      <c r="B66" s="2361"/>
      <c r="C66" s="2361"/>
      <c r="D66" s="2361"/>
      <c r="E66" s="2361"/>
      <c r="F66" s="2361"/>
      <c r="G66" s="2361"/>
      <c r="H66" s="2361"/>
      <c r="I66" s="2361"/>
      <c r="J66" s="2361"/>
    </row>
    <row r="67" spans="1:15" ht="15" customHeight="1">
      <c r="A67" s="2360" t="str">
        <f>$K$2</f>
        <v>THÁNG 09/2024</v>
      </c>
      <c r="B67" s="2360"/>
      <c r="C67" s="2360"/>
      <c r="D67" s="2360"/>
      <c r="E67" s="903"/>
      <c r="F67" s="904"/>
      <c r="G67" s="2360" t="str">
        <f>$K$2</f>
        <v>THÁNG 09/2024</v>
      </c>
      <c r="H67" s="2360"/>
      <c r="I67" s="2360"/>
      <c r="J67" s="2360"/>
      <c r="K67" s="276"/>
    </row>
    <row r="68" spans="1:15" ht="15" customHeight="1">
      <c r="A68" s="905" t="s">
        <v>356</v>
      </c>
      <c r="B68" s="642" t="s">
        <v>391</v>
      </c>
      <c r="C68" s="546"/>
      <c r="D68" s="902"/>
      <c r="E68" s="906"/>
      <c r="F68" s="907"/>
      <c r="G68" s="905" t="s">
        <v>356</v>
      </c>
      <c r="H68" s="642" t="s">
        <v>392</v>
      </c>
      <c r="I68" s="546"/>
      <c r="J68" s="902"/>
      <c r="L68" s="938"/>
      <c r="M68" s="938"/>
      <c r="N68" s="938"/>
      <c r="O68" s="938"/>
    </row>
    <row r="69" spans="1:15" ht="15" customHeight="1">
      <c r="A69" s="905" t="s">
        <v>359</v>
      </c>
      <c r="B69" s="939" t="s">
        <v>360</v>
      </c>
      <c r="C69" s="910" t="e">
        <f>VLOOKUP(B68,'LƯƠNG KT'!$D$16:$AC$184,3,0)</f>
        <v>#N/A</v>
      </c>
      <c r="D69" s="609" t="e">
        <f>+C69*25000</f>
        <v>#N/A</v>
      </c>
      <c r="E69" s="911"/>
      <c r="F69" s="911"/>
      <c r="G69" s="905" t="s">
        <v>359</v>
      </c>
      <c r="H69" s="939" t="s">
        <v>360</v>
      </c>
      <c r="I69" s="910" t="e">
        <f>VLOOKUP(H68,'LƯƠNG KT'!$D$16:$AC$184,3,0)</f>
        <v>#N/A</v>
      </c>
      <c r="J69" s="609" t="e">
        <f>+I69*25000</f>
        <v>#N/A</v>
      </c>
      <c r="K69" s="934"/>
      <c r="L69" s="935"/>
      <c r="M69" s="935"/>
      <c r="N69" s="935"/>
      <c r="O69" s="935"/>
    </row>
    <row r="70" spans="1:15" ht="15" customHeight="1">
      <c r="A70" s="905" t="s">
        <v>361</v>
      </c>
      <c r="B70" s="546" t="s">
        <v>362</v>
      </c>
      <c r="C70" s="910" t="e">
        <f>VLOOKUP(B68,'LƯƠNG KT'!$D$16:$AC$184,14,0)</f>
        <v>#N/A</v>
      </c>
      <c r="D70" s="609" t="e">
        <f>C70*$L$4</f>
        <v>#N/A</v>
      </c>
      <c r="E70" s="912"/>
      <c r="F70" s="912"/>
      <c r="G70" s="905" t="s">
        <v>361</v>
      </c>
      <c r="H70" s="546" t="s">
        <v>362</v>
      </c>
      <c r="I70" s="910" t="e">
        <f>VLOOKUP(H68,'LƯƠNG KT'!$D$16:$AC$184,14,0)</f>
        <v>#N/A</v>
      </c>
      <c r="J70" s="609" t="e">
        <f>I70*$L$4</f>
        <v>#N/A</v>
      </c>
      <c r="K70" s="934"/>
      <c r="L70" s="935"/>
      <c r="M70" s="935"/>
      <c r="N70" s="935"/>
      <c r="O70" s="935"/>
    </row>
    <row r="71" spans="1:15" ht="15" customHeight="1">
      <c r="A71" s="905" t="s">
        <v>364</v>
      </c>
      <c r="B71" s="546" t="s">
        <v>365</v>
      </c>
      <c r="C71" s="910" t="e">
        <f>VLOOKUP(B68,'LƯƠNG KT'!$D$16:$AC$184,15,0)</f>
        <v>#N/A</v>
      </c>
      <c r="D71" s="609" t="e">
        <f>C71*$L$5</f>
        <v>#N/A</v>
      </c>
      <c r="E71" s="912"/>
      <c r="F71" s="912"/>
      <c r="G71" s="905" t="s">
        <v>364</v>
      </c>
      <c r="H71" s="546" t="s">
        <v>365</v>
      </c>
      <c r="I71" s="910" t="e">
        <f>VLOOKUP(H68,'LƯƠNG KT'!$D$16:$AC$184,15,0)</f>
        <v>#N/A</v>
      </c>
      <c r="J71" s="609" t="e">
        <f>I71*$L$5</f>
        <v>#N/A</v>
      </c>
      <c r="K71" s="934"/>
      <c r="L71" s="935"/>
      <c r="M71" s="935"/>
      <c r="N71" s="935"/>
      <c r="O71" s="935"/>
    </row>
    <row r="72" spans="1:15" ht="15" customHeight="1">
      <c r="A72" s="905" t="s">
        <v>367</v>
      </c>
      <c r="B72" s="546"/>
      <c r="C72" s="910" t="e">
        <f>VLOOKUP(B68,'LƯƠNG KT'!$D$16:$AC$184,16,0)</f>
        <v>#N/A</v>
      </c>
      <c r="D72" s="609" t="e">
        <f>+C72*$L$6</f>
        <v>#N/A</v>
      </c>
      <c r="E72" s="912"/>
      <c r="F72" s="912"/>
      <c r="G72" s="905" t="s">
        <v>367</v>
      </c>
      <c r="H72" s="546"/>
      <c r="I72" s="910" t="e">
        <f>VLOOKUP(H68,'LƯƠNG KT'!$D$16:$AC$184,16,0)</f>
        <v>#N/A</v>
      </c>
      <c r="J72" s="609" t="e">
        <f>+I72*$L$6</f>
        <v>#N/A</v>
      </c>
      <c r="K72" s="935"/>
      <c r="L72" s="935"/>
      <c r="M72" s="935"/>
      <c r="N72" s="935"/>
      <c r="O72" s="935"/>
    </row>
    <row r="73" spans="1:15" ht="15" customHeight="1">
      <c r="A73" s="905"/>
      <c r="B73" s="546"/>
      <c r="C73" s="910"/>
      <c r="D73" s="609"/>
      <c r="E73" s="912"/>
      <c r="F73" s="912"/>
      <c r="G73" s="905"/>
      <c r="H73" s="546"/>
      <c r="I73" s="910"/>
      <c r="J73" s="609"/>
      <c r="K73" s="935"/>
      <c r="L73" s="935"/>
      <c r="M73" s="935"/>
      <c r="N73" s="935"/>
      <c r="O73" s="935"/>
    </row>
    <row r="74" spans="1:15" ht="15" customHeight="1">
      <c r="A74" s="905"/>
      <c r="B74" s="546"/>
      <c r="C74" s="910"/>
      <c r="D74" s="609"/>
      <c r="E74" s="912"/>
      <c r="F74" s="912"/>
      <c r="G74" s="905"/>
      <c r="H74" s="546"/>
      <c r="I74" s="910"/>
      <c r="J74" s="609"/>
      <c r="K74" s="935"/>
      <c r="L74" s="935"/>
      <c r="M74" s="935"/>
      <c r="N74" s="935"/>
      <c r="O74" s="935"/>
    </row>
    <row r="75" spans="1:15" ht="15" customHeight="1">
      <c r="A75" s="905" t="s">
        <v>371</v>
      </c>
      <c r="B75" s="546" t="s">
        <v>372</v>
      </c>
      <c r="C75" s="910" t="e">
        <f>VLOOKUP(B68,'LƯƠNG KT'!$D$16:$AC$184,9,0)*$L$10</f>
        <v>#N/A</v>
      </c>
      <c r="D75" s="609" t="e">
        <f>+C75*0.5*3000</f>
        <v>#N/A</v>
      </c>
      <c r="E75" s="912"/>
      <c r="F75" s="912"/>
      <c r="G75" s="905" t="s">
        <v>371</v>
      </c>
      <c r="H75" s="546" t="s">
        <v>372</v>
      </c>
      <c r="I75" s="910" t="e">
        <f>VLOOKUP(H68,'LƯƠNG KT'!$D$16:$AC$184,9,0)*$L$10</f>
        <v>#N/A</v>
      </c>
      <c r="J75" s="609" t="e">
        <f>+I75*0.5*3000</f>
        <v>#N/A</v>
      </c>
      <c r="K75" s="935"/>
      <c r="L75" s="935"/>
      <c r="M75" s="935"/>
      <c r="N75" s="935"/>
      <c r="O75" s="935"/>
    </row>
    <row r="76" spans="1:15" ht="15" customHeight="1">
      <c r="A76" s="905" t="s">
        <v>374</v>
      </c>
      <c r="B76" s="546" t="s">
        <v>375</v>
      </c>
      <c r="C76" s="910" t="e">
        <f>VLOOKUP(B68,'LƯƠNG KT'!$D$16:$AC$184,8,0)*$L$11</f>
        <v>#N/A</v>
      </c>
      <c r="D76" s="609" t="e">
        <f>VLOOKUP(B68,'LƯƠNG KT'!$D$16:$AC$184,13,0)-D75</f>
        <v>#N/A</v>
      </c>
      <c r="E76" s="914"/>
      <c r="F76" s="912"/>
      <c r="G76" s="905" t="s">
        <v>374</v>
      </c>
      <c r="H76" s="546" t="s">
        <v>375</v>
      </c>
      <c r="I76" s="910" t="e">
        <f>VLOOKUP(H68,'LƯƠNG KT'!$D$16:$AC$184,8,0)*$L$11</f>
        <v>#N/A</v>
      </c>
      <c r="J76" s="609" t="e">
        <f>VLOOKUP(H68,'LƯƠNG KT'!$D$16:$AC$184,13,0)-J75</f>
        <v>#N/A</v>
      </c>
      <c r="K76" s="935"/>
      <c r="L76" s="935"/>
      <c r="M76" s="935"/>
      <c r="N76" s="935"/>
      <c r="O76" s="935"/>
    </row>
    <row r="77" spans="1:15" ht="15" customHeight="1">
      <c r="A77" s="609" t="s">
        <v>377</v>
      </c>
      <c r="B77" s="546" t="s">
        <v>378</v>
      </c>
      <c r="C77" s="910"/>
      <c r="D77" s="609"/>
      <c r="E77" s="916"/>
      <c r="F77" s="916"/>
      <c r="G77" s="609" t="s">
        <v>377</v>
      </c>
      <c r="H77" s="546" t="s">
        <v>378</v>
      </c>
      <c r="I77" s="910"/>
      <c r="J77" s="609"/>
    </row>
    <row r="78" spans="1:15" ht="15" customHeight="1">
      <c r="A78" s="547" t="s">
        <v>379</v>
      </c>
      <c r="B78" s="546" t="s">
        <v>380</v>
      </c>
      <c r="C78" s="910"/>
      <c r="D78" s="609">
        <f>56*25000</f>
        <v>1400000</v>
      </c>
      <c r="E78" s="914"/>
      <c r="F78" s="916"/>
      <c r="G78" s="547" t="s">
        <v>379</v>
      </c>
      <c r="H78" s="546" t="s">
        <v>380</v>
      </c>
      <c r="I78" s="910"/>
      <c r="J78" s="609">
        <f>56*25000</f>
        <v>1400000</v>
      </c>
    </row>
    <row r="79" spans="1:15" ht="15" customHeight="1">
      <c r="A79" s="905" t="s">
        <v>381</v>
      </c>
      <c r="B79" s="546" t="s">
        <v>382</v>
      </c>
      <c r="C79" s="910"/>
      <c r="D79" s="609">
        <f>D78</f>
        <v>1400000</v>
      </c>
      <c r="E79" s="917"/>
      <c r="F79" s="904"/>
      <c r="G79" s="905" t="s">
        <v>381</v>
      </c>
      <c r="H79" s="546" t="s">
        <v>382</v>
      </c>
      <c r="I79" s="910"/>
      <c r="J79" s="609">
        <f>J78</f>
        <v>1400000</v>
      </c>
    </row>
    <row r="80" spans="1:15" ht="15" customHeight="1">
      <c r="A80" s="918" t="s">
        <v>383</v>
      </c>
      <c r="B80" s="919" t="s">
        <v>384</v>
      </c>
      <c r="C80" s="920"/>
      <c r="D80" s="921" t="e">
        <f>SUM(D69:D76)-D79</f>
        <v>#N/A</v>
      </c>
      <c r="E80" s="922"/>
      <c r="F80" s="923"/>
      <c r="G80" s="918" t="s">
        <v>383</v>
      </c>
      <c r="H80" s="919" t="s">
        <v>384</v>
      </c>
      <c r="I80" s="920"/>
      <c r="J80" s="921" t="e">
        <f>SUM(J69:J76)-J79</f>
        <v>#N/A</v>
      </c>
    </row>
    <row r="81" spans="1:15" ht="12.6" customHeight="1">
      <c r="A81" s="924"/>
      <c r="B81" s="925"/>
      <c r="C81" s="926"/>
      <c r="D81" s="927"/>
      <c r="E81" s="927"/>
      <c r="F81" s="928"/>
      <c r="G81" s="924"/>
      <c r="H81" s="925"/>
      <c r="I81" s="926"/>
      <c r="J81" s="927"/>
    </row>
    <row r="82" spans="1:15" ht="12.6" customHeight="1">
      <c r="A82" s="925"/>
      <c r="B82" s="925"/>
      <c r="C82" s="929"/>
      <c r="D82" s="930"/>
      <c r="E82" s="925"/>
      <c r="F82" s="931"/>
      <c r="G82" s="925"/>
      <c r="H82" s="925"/>
      <c r="I82" s="929"/>
      <c r="J82" s="930"/>
    </row>
    <row r="83" spans="1:15" ht="15" customHeight="1">
      <c r="A83" s="2360" t="str">
        <f>$K$2</f>
        <v>THÁNG 09/2024</v>
      </c>
      <c r="B83" s="2360"/>
      <c r="C83" s="2360"/>
      <c r="D83" s="2360"/>
      <c r="E83" s="903"/>
      <c r="F83" s="904"/>
      <c r="G83" s="2360" t="str">
        <f>$K$2</f>
        <v>THÁNG 09/2024</v>
      </c>
      <c r="H83" s="2360"/>
      <c r="I83" s="2360"/>
      <c r="J83" s="2360"/>
      <c r="K83" s="276"/>
    </row>
    <row r="84" spans="1:15" ht="15" customHeight="1">
      <c r="A84" s="905" t="s">
        <v>356</v>
      </c>
      <c r="B84" s="642" t="s">
        <v>393</v>
      </c>
      <c r="C84" s="546"/>
      <c r="D84" s="902"/>
      <c r="E84" s="906"/>
      <c r="F84" s="907"/>
      <c r="G84" s="905" t="s">
        <v>356</v>
      </c>
      <c r="H84" s="642" t="s">
        <v>394</v>
      </c>
      <c r="I84" s="546"/>
      <c r="J84" s="902"/>
      <c r="L84" s="938"/>
      <c r="M84" s="938"/>
      <c r="N84" s="938"/>
      <c r="O84" s="938"/>
    </row>
    <row r="85" spans="1:15" ht="15" customHeight="1">
      <c r="A85" s="905" t="s">
        <v>359</v>
      </c>
      <c r="B85" s="939" t="s">
        <v>360</v>
      </c>
      <c r="C85" s="910" t="e">
        <f>VLOOKUP(B84,'LƯƠNG KT'!$D$16:$AC$184,3,0)</f>
        <v>#N/A</v>
      </c>
      <c r="D85" s="609" t="e">
        <f>+C85*25000</f>
        <v>#N/A</v>
      </c>
      <c r="E85" s="911"/>
      <c r="F85" s="911"/>
      <c r="G85" s="905" t="s">
        <v>359</v>
      </c>
      <c r="H85" s="939" t="s">
        <v>360</v>
      </c>
      <c r="I85" s="910" t="e">
        <f>VLOOKUP(H84,'LƯƠNG KT'!$D$16:$AC$184,3,0)</f>
        <v>#N/A</v>
      </c>
      <c r="J85" s="609" t="e">
        <f>+I85*25000</f>
        <v>#N/A</v>
      </c>
      <c r="K85" s="935"/>
      <c r="L85" s="935"/>
      <c r="M85" s="935"/>
      <c r="N85" s="935"/>
      <c r="O85" s="935"/>
    </row>
    <row r="86" spans="1:15" ht="15" customHeight="1">
      <c r="A86" s="905" t="s">
        <v>361</v>
      </c>
      <c r="B86" s="546" t="s">
        <v>362</v>
      </c>
      <c r="C86" s="910" t="e">
        <f>VLOOKUP(B84,'LƯƠNG KT'!$D$16:$AC$184,14,0)</f>
        <v>#N/A</v>
      </c>
      <c r="D86" s="609" t="e">
        <f>C86*$L$4</f>
        <v>#N/A</v>
      </c>
      <c r="E86" s="912"/>
      <c r="F86" s="912"/>
      <c r="G86" s="905" t="s">
        <v>361</v>
      </c>
      <c r="H86" s="546" t="s">
        <v>362</v>
      </c>
      <c r="I86" s="910" t="e">
        <f>VLOOKUP(H84,'LƯƠNG KT'!$D$16:$AC$184,14,0)</f>
        <v>#N/A</v>
      </c>
      <c r="J86" s="609" t="e">
        <f>I86*$L$4</f>
        <v>#N/A</v>
      </c>
      <c r="K86" s="935"/>
      <c r="L86" s="935"/>
      <c r="M86" s="935"/>
      <c r="N86" s="935"/>
      <c r="O86" s="935"/>
    </row>
    <row r="87" spans="1:15" ht="15" customHeight="1">
      <c r="A87" s="905" t="s">
        <v>364</v>
      </c>
      <c r="B87" s="546" t="s">
        <v>365</v>
      </c>
      <c r="C87" s="910" t="e">
        <f>VLOOKUP(B84,'LƯƠNG KT'!$D$16:$AC$184,15,0)</f>
        <v>#N/A</v>
      </c>
      <c r="D87" s="609" t="e">
        <f>C87*$L$5</f>
        <v>#N/A</v>
      </c>
      <c r="E87" s="912"/>
      <c r="F87" s="912"/>
      <c r="G87" s="905" t="s">
        <v>364</v>
      </c>
      <c r="H87" s="546" t="s">
        <v>365</v>
      </c>
      <c r="I87" s="910" t="e">
        <f>VLOOKUP(H84,'LƯƠNG KT'!$D$16:$AC$184,15,0)</f>
        <v>#N/A</v>
      </c>
      <c r="J87" s="609" t="e">
        <f>I87*$L$5</f>
        <v>#N/A</v>
      </c>
      <c r="K87" s="935"/>
      <c r="L87" s="935"/>
      <c r="M87" s="935"/>
      <c r="N87" s="935"/>
      <c r="O87" s="935"/>
    </row>
    <row r="88" spans="1:15" ht="15" customHeight="1">
      <c r="A88" s="905" t="s">
        <v>367</v>
      </c>
      <c r="B88" s="546"/>
      <c r="C88" s="910" t="e">
        <f>VLOOKUP(B84,'LƯƠNG KT'!$D$16:$AC$184,16,0)</f>
        <v>#N/A</v>
      </c>
      <c r="D88" s="609" t="e">
        <f>+C88*$L$6</f>
        <v>#N/A</v>
      </c>
      <c r="E88" s="912"/>
      <c r="F88" s="912"/>
      <c r="G88" s="905" t="s">
        <v>367</v>
      </c>
      <c r="H88" s="546"/>
      <c r="I88" s="910" t="e">
        <f>VLOOKUP(H84,'LƯƠNG KT'!$D$16:$AC$184,16,0)</f>
        <v>#N/A</v>
      </c>
      <c r="J88" s="609" t="e">
        <f>+I88*$L$6</f>
        <v>#N/A</v>
      </c>
      <c r="K88" s="935"/>
      <c r="L88" s="935"/>
      <c r="M88" s="935"/>
      <c r="N88" s="935"/>
      <c r="O88" s="935"/>
    </row>
    <row r="89" spans="1:15" ht="15" customHeight="1">
      <c r="A89" s="905"/>
      <c r="B89" s="546"/>
      <c r="C89" s="910"/>
      <c r="D89" s="609"/>
      <c r="E89" s="912"/>
      <c r="F89" s="912"/>
      <c r="G89" s="905"/>
      <c r="H89" s="546"/>
      <c r="I89" s="910"/>
      <c r="J89" s="609"/>
      <c r="K89" s="935"/>
      <c r="L89" s="935"/>
      <c r="M89" s="935"/>
      <c r="N89" s="935"/>
      <c r="O89" s="935"/>
    </row>
    <row r="90" spans="1:15" ht="15" customHeight="1">
      <c r="A90" s="905"/>
      <c r="B90" s="546"/>
      <c r="C90" s="910"/>
      <c r="D90" s="609"/>
      <c r="E90" s="912"/>
      <c r="F90" s="912"/>
      <c r="G90" s="905"/>
      <c r="H90" s="546"/>
      <c r="I90" s="910"/>
      <c r="J90" s="609"/>
      <c r="K90" s="935"/>
      <c r="L90" s="935"/>
      <c r="M90" s="935"/>
      <c r="N90" s="935"/>
      <c r="O90" s="935"/>
    </row>
    <row r="91" spans="1:15" ht="15" customHeight="1">
      <c r="A91" s="905" t="s">
        <v>371</v>
      </c>
      <c r="B91" s="546" t="s">
        <v>372</v>
      </c>
      <c r="C91" s="910" t="e">
        <f>VLOOKUP(B84,'LƯƠNG KT'!$D$16:$AC$184,9,0)*$L$10</f>
        <v>#N/A</v>
      </c>
      <c r="D91" s="609" t="e">
        <f>+C91*0.5*3000</f>
        <v>#N/A</v>
      </c>
      <c r="E91" s="912"/>
      <c r="F91" s="912"/>
      <c r="G91" s="905" t="s">
        <v>371</v>
      </c>
      <c r="H91" s="546" t="s">
        <v>372</v>
      </c>
      <c r="I91" s="910" t="e">
        <f>VLOOKUP(H84,'LƯƠNG KT'!$D$16:$AC$184,9,0)*$L$10</f>
        <v>#N/A</v>
      </c>
      <c r="J91" s="609" t="e">
        <f>+I91*0.5*3000</f>
        <v>#N/A</v>
      </c>
      <c r="K91" s="935"/>
      <c r="L91" s="935"/>
      <c r="M91" s="935"/>
      <c r="N91" s="935"/>
      <c r="O91" s="935"/>
    </row>
    <row r="92" spans="1:15" ht="15" customHeight="1">
      <c r="A92" s="905" t="s">
        <v>374</v>
      </c>
      <c r="B92" s="546" t="s">
        <v>375</v>
      </c>
      <c r="C92" s="910" t="e">
        <f>VLOOKUP(B84,'LƯƠNG KT'!$D$16:$AC$184,8,0)*$L$11</f>
        <v>#N/A</v>
      </c>
      <c r="D92" s="609" t="e">
        <f>VLOOKUP(B84,'LƯƠNG KT'!$D$16:$AC$184,13,0)-D91+C86*20000+C87*20000</f>
        <v>#N/A</v>
      </c>
      <c r="E92" s="914"/>
      <c r="F92" s="912"/>
      <c r="G92" s="905" t="s">
        <v>374</v>
      </c>
      <c r="H92" s="546" t="s">
        <v>375</v>
      </c>
      <c r="I92" s="910" t="e">
        <f>VLOOKUP(H84,'LƯƠNG KT'!$D$16:$AC$184,8,0)*$L$11</f>
        <v>#N/A</v>
      </c>
      <c r="J92" s="609" t="e">
        <f>VLOOKUP(H84,'LƯƠNG KT'!$D$16:$AC$184,13,0)-J91</f>
        <v>#N/A</v>
      </c>
      <c r="K92" s="935"/>
      <c r="L92" s="935"/>
      <c r="M92" s="935"/>
      <c r="N92" s="935"/>
      <c r="O92" s="935"/>
    </row>
    <row r="93" spans="1:15" ht="15" customHeight="1">
      <c r="A93" s="609" t="s">
        <v>377</v>
      </c>
      <c r="B93" s="546" t="s">
        <v>378</v>
      </c>
      <c r="C93" s="910"/>
      <c r="D93" s="609"/>
      <c r="E93" s="916"/>
      <c r="F93" s="916"/>
      <c r="G93" s="609" t="s">
        <v>377</v>
      </c>
      <c r="H93" s="546" t="s">
        <v>378</v>
      </c>
      <c r="I93" s="910"/>
      <c r="J93" s="609"/>
    </row>
    <row r="94" spans="1:15" ht="15" customHeight="1">
      <c r="A94" s="547" t="s">
        <v>379</v>
      </c>
      <c r="B94" s="546" t="s">
        <v>380</v>
      </c>
      <c r="C94" s="910"/>
      <c r="D94" s="609">
        <f>56*25000</f>
        <v>1400000</v>
      </c>
      <c r="E94" s="914"/>
      <c r="F94" s="916"/>
      <c r="G94" s="547" t="s">
        <v>379</v>
      </c>
      <c r="H94" s="546" t="s">
        <v>380</v>
      </c>
      <c r="I94" s="910"/>
      <c r="J94" s="609">
        <f>56*25000</f>
        <v>1400000</v>
      </c>
    </row>
    <row r="95" spans="1:15" ht="15" customHeight="1">
      <c r="A95" s="905" t="s">
        <v>381</v>
      </c>
      <c r="B95" s="546" t="s">
        <v>382</v>
      </c>
      <c r="C95" s="910"/>
      <c r="D95" s="609">
        <f>D94</f>
        <v>1400000</v>
      </c>
      <c r="E95" s="917"/>
      <c r="F95" s="904"/>
      <c r="G95" s="905" t="s">
        <v>381</v>
      </c>
      <c r="H95" s="546" t="s">
        <v>382</v>
      </c>
      <c r="I95" s="910"/>
      <c r="J95" s="609">
        <f>J94</f>
        <v>1400000</v>
      </c>
    </row>
    <row r="96" spans="1:15" ht="15" customHeight="1">
      <c r="A96" s="918" t="s">
        <v>383</v>
      </c>
      <c r="B96" s="919" t="s">
        <v>384</v>
      </c>
      <c r="C96" s="920"/>
      <c r="D96" s="921" t="e">
        <f>SUM(D85:D92)-D95</f>
        <v>#N/A</v>
      </c>
      <c r="E96" s="922"/>
      <c r="F96" s="923"/>
      <c r="G96" s="918" t="s">
        <v>383</v>
      </c>
      <c r="H96" s="919" t="s">
        <v>384</v>
      </c>
      <c r="I96" s="920"/>
      <c r="J96" s="921" t="e">
        <f>SUM(J85:J92)-J95</f>
        <v>#N/A</v>
      </c>
    </row>
    <row r="97" spans="1:15" ht="18.75" customHeight="1">
      <c r="A97" s="924"/>
      <c r="B97" s="925"/>
      <c r="C97" s="926"/>
      <c r="D97" s="927"/>
      <c r="E97" s="927"/>
      <c r="F97" s="928"/>
      <c r="G97" s="924"/>
      <c r="H97" s="925"/>
      <c r="I97" s="926"/>
      <c r="J97" s="927"/>
    </row>
    <row r="98" spans="1:15" ht="18.75" customHeight="1">
      <c r="A98" s="925"/>
      <c r="B98" s="925"/>
      <c r="C98" s="929"/>
      <c r="D98" s="930"/>
      <c r="E98" s="925"/>
      <c r="F98" s="931"/>
      <c r="G98" s="925"/>
      <c r="H98" s="925"/>
      <c r="I98" s="929"/>
      <c r="J98" s="930"/>
    </row>
    <row r="99" spans="1:15" ht="15" customHeight="1">
      <c r="A99" s="2360" t="str">
        <f>$K$2</f>
        <v>THÁNG 09/2024</v>
      </c>
      <c r="B99" s="2360"/>
      <c r="C99" s="2360"/>
      <c r="D99" s="2360"/>
      <c r="E99" s="903"/>
      <c r="F99" s="904"/>
      <c r="G99" s="2360" t="str">
        <f>$K$2</f>
        <v>THÁNG 09/2024</v>
      </c>
      <c r="H99" s="2360"/>
      <c r="I99" s="2360"/>
      <c r="J99" s="2360"/>
      <c r="K99" s="276"/>
    </row>
    <row r="100" spans="1:15" ht="15" customHeight="1">
      <c r="A100" s="905" t="s">
        <v>356</v>
      </c>
      <c r="B100" s="642" t="s">
        <v>395</v>
      </c>
      <c r="C100" s="546"/>
      <c r="D100" s="902"/>
      <c r="E100" s="906"/>
      <c r="F100" s="907"/>
      <c r="G100" s="905" t="s">
        <v>356</v>
      </c>
      <c r="H100" s="642" t="s">
        <v>396</v>
      </c>
      <c r="I100" s="546"/>
      <c r="J100" s="902"/>
      <c r="L100" s="938"/>
      <c r="M100" s="938"/>
      <c r="N100" s="938"/>
      <c r="O100" s="938"/>
    </row>
    <row r="101" spans="1:15" ht="15" customHeight="1">
      <c r="A101" s="905" t="s">
        <v>359</v>
      </c>
      <c r="B101" s="939" t="s">
        <v>360</v>
      </c>
      <c r="C101" s="910" t="e">
        <f>VLOOKUP(B100,'LƯƠNG KT'!$D$16:$AC$184,3,0)</f>
        <v>#N/A</v>
      </c>
      <c r="D101" s="609" t="e">
        <f>+C101*25000</f>
        <v>#N/A</v>
      </c>
      <c r="E101" s="911"/>
      <c r="F101" s="911"/>
      <c r="G101" s="905" t="s">
        <v>359</v>
      </c>
      <c r="H101" s="939" t="s">
        <v>360</v>
      </c>
      <c r="I101" s="910" t="e">
        <f>VLOOKUP(H100,'LƯƠNG KT'!$D$16:$AC$184,3,0)</f>
        <v>#N/A</v>
      </c>
      <c r="J101" s="609" t="e">
        <f>+I101*25000</f>
        <v>#N/A</v>
      </c>
      <c r="K101" s="935"/>
      <c r="L101" s="935"/>
      <c r="M101" s="935"/>
      <c r="N101" s="935"/>
      <c r="O101" s="935"/>
    </row>
    <row r="102" spans="1:15" ht="15" customHeight="1">
      <c r="A102" s="905" t="s">
        <v>361</v>
      </c>
      <c r="B102" s="546" t="s">
        <v>362</v>
      </c>
      <c r="C102" s="910" t="e">
        <f>VLOOKUP(B100,'LƯƠNG KT'!$D$16:$AC$184,14,0)</f>
        <v>#N/A</v>
      </c>
      <c r="D102" s="609" t="e">
        <f>C102*$L$4</f>
        <v>#N/A</v>
      </c>
      <c r="E102" s="912"/>
      <c r="F102" s="912"/>
      <c r="G102" s="905" t="s">
        <v>361</v>
      </c>
      <c r="H102" s="546" t="s">
        <v>362</v>
      </c>
      <c r="I102" s="910" t="e">
        <f>VLOOKUP(H100,'LƯƠNG KT'!$D$16:$AC$184,14,0)</f>
        <v>#N/A</v>
      </c>
      <c r="J102" s="609" t="e">
        <f>I102*$L$4</f>
        <v>#N/A</v>
      </c>
      <c r="K102" s="935"/>
      <c r="L102" s="935"/>
      <c r="M102" s="935"/>
      <c r="N102" s="935"/>
      <c r="O102" s="935"/>
    </row>
    <row r="103" spans="1:15" ht="15" customHeight="1">
      <c r="A103" s="905" t="s">
        <v>364</v>
      </c>
      <c r="B103" s="546" t="s">
        <v>365</v>
      </c>
      <c r="C103" s="910" t="e">
        <f>VLOOKUP(B100,'LƯƠNG KT'!$D$16:$AC$184,15,0)</f>
        <v>#N/A</v>
      </c>
      <c r="D103" s="609" t="e">
        <f>C103*$L$5</f>
        <v>#N/A</v>
      </c>
      <c r="E103" s="912"/>
      <c r="F103" s="912"/>
      <c r="G103" s="905" t="s">
        <v>364</v>
      </c>
      <c r="H103" s="546" t="s">
        <v>365</v>
      </c>
      <c r="I103" s="910" t="e">
        <f>VLOOKUP(H100,'LƯƠNG KT'!$D$16:$AC$184,15,0)</f>
        <v>#N/A</v>
      </c>
      <c r="J103" s="609" t="e">
        <f>I103*$L$5</f>
        <v>#N/A</v>
      </c>
      <c r="K103" s="935"/>
      <c r="L103" s="935"/>
      <c r="M103" s="935"/>
      <c r="N103" s="935"/>
      <c r="O103" s="935"/>
    </row>
    <row r="104" spans="1:15" ht="15" customHeight="1">
      <c r="A104" s="905" t="s">
        <v>367</v>
      </c>
      <c r="B104" s="546"/>
      <c r="C104" s="910" t="e">
        <f>VLOOKUP(B100,'LƯƠNG KT'!$D$16:$AC$184,16,0)</f>
        <v>#N/A</v>
      </c>
      <c r="D104" s="609" t="e">
        <f>+C104*$L$6</f>
        <v>#N/A</v>
      </c>
      <c r="E104" s="912"/>
      <c r="F104" s="912"/>
      <c r="G104" s="905" t="s">
        <v>367</v>
      </c>
      <c r="H104" s="546"/>
      <c r="I104" s="910" t="e">
        <f>VLOOKUP(H100,'LƯƠNG KT'!$D$16:$AC$184,16,0)</f>
        <v>#N/A</v>
      </c>
      <c r="J104" s="609" t="e">
        <f>+I104*$L$6</f>
        <v>#N/A</v>
      </c>
      <c r="K104" s="935"/>
      <c r="L104" s="935"/>
      <c r="M104" s="935"/>
      <c r="N104" s="935"/>
      <c r="O104" s="935"/>
    </row>
    <row r="105" spans="1:15" ht="15" customHeight="1">
      <c r="A105" s="905"/>
      <c r="B105" s="546"/>
      <c r="C105" s="910"/>
      <c r="D105" s="609"/>
      <c r="E105" s="912"/>
      <c r="F105" s="912"/>
      <c r="G105" s="905"/>
      <c r="H105" s="546"/>
      <c r="I105" s="910"/>
      <c r="J105" s="609"/>
      <c r="K105" s="935"/>
      <c r="L105" s="935"/>
      <c r="M105" s="935"/>
      <c r="N105" s="935"/>
      <c r="O105" s="935"/>
    </row>
    <row r="106" spans="1:15" ht="15" customHeight="1">
      <c r="A106" s="905"/>
      <c r="B106" s="546"/>
      <c r="C106" s="910"/>
      <c r="D106" s="609"/>
      <c r="E106" s="912"/>
      <c r="F106" s="912"/>
      <c r="G106" s="905"/>
      <c r="H106" s="546"/>
      <c r="I106" s="910"/>
      <c r="J106" s="609"/>
      <c r="K106" s="935"/>
      <c r="L106" s="935"/>
      <c r="M106" s="935"/>
      <c r="N106" s="935"/>
      <c r="O106" s="935"/>
    </row>
    <row r="107" spans="1:15" ht="15" customHeight="1">
      <c r="A107" s="905" t="s">
        <v>371</v>
      </c>
      <c r="B107" s="546" t="s">
        <v>372</v>
      </c>
      <c r="C107" s="910" t="e">
        <f>VLOOKUP(B100,'LƯƠNG KT'!$D$16:$AC$184,9,0)*$L$10</f>
        <v>#N/A</v>
      </c>
      <c r="D107" s="609" t="e">
        <f>+C107*0.5*3000</f>
        <v>#N/A</v>
      </c>
      <c r="E107" s="912"/>
      <c r="F107" s="912"/>
      <c r="G107" s="905" t="s">
        <v>371</v>
      </c>
      <c r="H107" s="546" t="s">
        <v>372</v>
      </c>
      <c r="I107" s="910" t="e">
        <f>VLOOKUP(H100,'LƯƠNG KT'!$D$16:$AC$184,9,0)*$L$10</f>
        <v>#N/A</v>
      </c>
      <c r="J107" s="609" t="e">
        <f>+I107*0.5*3000</f>
        <v>#N/A</v>
      </c>
      <c r="K107" s="935"/>
      <c r="L107" s="935"/>
      <c r="M107" s="935"/>
      <c r="N107" s="935"/>
      <c r="O107" s="935"/>
    </row>
    <row r="108" spans="1:15" ht="15" customHeight="1">
      <c r="A108" s="905" t="s">
        <v>374</v>
      </c>
      <c r="B108" s="546" t="s">
        <v>375</v>
      </c>
      <c r="C108" s="910" t="e">
        <f>VLOOKUP(B100,'LƯƠNG KT'!$D$16:$AC$184,8,0)*$L$11</f>
        <v>#N/A</v>
      </c>
      <c r="D108" s="609" t="e">
        <f>VLOOKUP(B100,'LƯƠNG KT'!$D$16:$AC$184,13,0)-D107</f>
        <v>#N/A</v>
      </c>
      <c r="E108" s="914"/>
      <c r="F108" s="912"/>
      <c r="G108" s="905" t="s">
        <v>374</v>
      </c>
      <c r="H108" s="546" t="s">
        <v>375</v>
      </c>
      <c r="I108" s="910" t="e">
        <f>VLOOKUP(H100,'LƯƠNG KT'!$D$16:$AC$184,8,0)*$L$11</f>
        <v>#N/A</v>
      </c>
      <c r="J108" s="609" t="e">
        <f>VLOOKUP(H100,'LƯƠNG KT'!$D$16:$AC$184,13,0)-J107</f>
        <v>#N/A</v>
      </c>
      <c r="K108" s="935"/>
      <c r="L108" s="935"/>
      <c r="M108" s="935"/>
      <c r="N108" s="935"/>
      <c r="O108" s="935"/>
    </row>
    <row r="109" spans="1:15" ht="15" customHeight="1">
      <c r="A109" s="609" t="s">
        <v>377</v>
      </c>
      <c r="B109" s="546" t="s">
        <v>378</v>
      </c>
      <c r="C109" s="910"/>
      <c r="D109" s="609"/>
      <c r="E109" s="916"/>
      <c r="F109" s="916"/>
      <c r="G109" s="609" t="s">
        <v>377</v>
      </c>
      <c r="H109" s="546" t="s">
        <v>378</v>
      </c>
      <c r="I109" s="910"/>
      <c r="J109" s="609"/>
    </row>
    <row r="110" spans="1:15" ht="15" customHeight="1">
      <c r="A110" s="547" t="s">
        <v>379</v>
      </c>
      <c r="B110" s="546" t="s">
        <v>380</v>
      </c>
      <c r="C110" s="910"/>
      <c r="D110" s="609">
        <f>56*25000</f>
        <v>1400000</v>
      </c>
      <c r="E110" s="914"/>
      <c r="F110" s="916"/>
      <c r="G110" s="547" t="s">
        <v>379</v>
      </c>
      <c r="H110" s="546" t="s">
        <v>380</v>
      </c>
      <c r="I110" s="910"/>
      <c r="J110" s="609">
        <f>56*25000</f>
        <v>1400000</v>
      </c>
    </row>
    <row r="111" spans="1:15" ht="15" customHeight="1">
      <c r="A111" s="905" t="s">
        <v>381</v>
      </c>
      <c r="B111" s="546" t="s">
        <v>382</v>
      </c>
      <c r="C111" s="910"/>
      <c r="D111" s="609">
        <f>D110</f>
        <v>1400000</v>
      </c>
      <c r="E111" s="917"/>
      <c r="F111" s="904"/>
      <c r="G111" s="905" t="s">
        <v>381</v>
      </c>
      <c r="H111" s="546" t="s">
        <v>382</v>
      </c>
      <c r="I111" s="910"/>
      <c r="J111" s="609">
        <f>J110</f>
        <v>1400000</v>
      </c>
    </row>
    <row r="112" spans="1:15" ht="15" customHeight="1">
      <c r="A112" s="918" t="s">
        <v>383</v>
      </c>
      <c r="B112" s="919" t="s">
        <v>384</v>
      </c>
      <c r="C112" s="920"/>
      <c r="D112" s="921" t="e">
        <f>SUM(D101:D108)-D111</f>
        <v>#N/A</v>
      </c>
      <c r="E112" s="922"/>
      <c r="F112" s="923"/>
      <c r="G112" s="918" t="s">
        <v>383</v>
      </c>
      <c r="H112" s="919" t="s">
        <v>384</v>
      </c>
      <c r="I112" s="920"/>
      <c r="J112" s="921" t="e">
        <f>SUM(J101:J108)-J111</f>
        <v>#N/A</v>
      </c>
    </row>
    <row r="113" spans="1:15" ht="18.75" customHeight="1">
      <c r="A113" s="924"/>
      <c r="B113" s="925"/>
      <c r="C113" s="926"/>
      <c r="D113" s="927"/>
      <c r="E113" s="927"/>
      <c r="F113" s="928"/>
      <c r="G113" s="924"/>
      <c r="H113" s="925"/>
      <c r="I113" s="926"/>
      <c r="J113" s="927"/>
    </row>
    <row r="114" spans="1:15" ht="18.75" customHeight="1">
      <c r="A114" s="925"/>
      <c r="B114" s="925"/>
      <c r="C114" s="929"/>
      <c r="D114" s="930"/>
      <c r="E114" s="925"/>
      <c r="F114" s="931"/>
      <c r="G114" s="925"/>
      <c r="H114" s="925"/>
      <c r="I114" s="929"/>
      <c r="J114" s="930"/>
    </row>
    <row r="115" spans="1:15" ht="15" customHeight="1">
      <c r="A115" s="2360" t="str">
        <f>$K$2</f>
        <v>THÁNG 09/2024</v>
      </c>
      <c r="B115" s="2360"/>
      <c r="C115" s="2360"/>
      <c r="D115" s="2360"/>
      <c r="E115" s="903"/>
      <c r="F115" s="904"/>
      <c r="G115" s="2360" t="str">
        <f>$K$2</f>
        <v>THÁNG 09/2024</v>
      </c>
      <c r="H115" s="2360"/>
      <c r="I115" s="2360"/>
      <c r="J115" s="2360"/>
      <c r="K115" s="276"/>
    </row>
    <row r="116" spans="1:15" ht="15" customHeight="1">
      <c r="A116" s="905" t="s">
        <v>356</v>
      </c>
      <c r="B116" s="642" t="s">
        <v>397</v>
      </c>
      <c r="C116" s="546"/>
      <c r="D116" s="902"/>
      <c r="E116" s="906"/>
      <c r="F116" s="907"/>
      <c r="G116" s="905" t="s">
        <v>356</v>
      </c>
      <c r="H116" s="642" t="s">
        <v>398</v>
      </c>
      <c r="I116" s="546"/>
      <c r="J116" s="902"/>
      <c r="L116" s="938"/>
      <c r="M116" s="938"/>
      <c r="N116" s="938"/>
      <c r="O116" s="938"/>
    </row>
    <row r="117" spans="1:15" ht="15" customHeight="1">
      <c r="A117" s="905" t="s">
        <v>359</v>
      </c>
      <c r="B117" s="939" t="s">
        <v>360</v>
      </c>
      <c r="C117" s="910" t="e">
        <f>VLOOKUP(B116,'LƯƠNG KT'!$D$16:$AC$184,3,0)</f>
        <v>#N/A</v>
      </c>
      <c r="D117" s="609" t="e">
        <f>+C117*25000</f>
        <v>#N/A</v>
      </c>
      <c r="E117" s="911"/>
      <c r="F117" s="911"/>
      <c r="G117" s="905" t="s">
        <v>359</v>
      </c>
      <c r="H117" s="939" t="s">
        <v>360</v>
      </c>
      <c r="I117" s="910" t="e">
        <f>VLOOKUP(H116,'LƯƠNG KT'!$D$16:$AC$184,3,0)</f>
        <v>#N/A</v>
      </c>
      <c r="J117" s="609" t="e">
        <f>+I117*25000</f>
        <v>#N/A</v>
      </c>
      <c r="K117" s="935"/>
      <c r="L117" s="935"/>
      <c r="M117" s="935"/>
      <c r="N117" s="935"/>
      <c r="O117" s="935"/>
    </row>
    <row r="118" spans="1:15" ht="15" customHeight="1">
      <c r="A118" s="905" t="s">
        <v>361</v>
      </c>
      <c r="B118" s="546" t="s">
        <v>362</v>
      </c>
      <c r="C118" s="910" t="e">
        <f>VLOOKUP(B116,'LƯƠNG KT'!$D$16:$AC$184,14,0)</f>
        <v>#N/A</v>
      </c>
      <c r="D118" s="609" t="e">
        <f>C118*$L$4</f>
        <v>#N/A</v>
      </c>
      <c r="E118" s="912"/>
      <c r="F118" s="912"/>
      <c r="G118" s="905" t="s">
        <v>361</v>
      </c>
      <c r="H118" s="546" t="s">
        <v>362</v>
      </c>
      <c r="I118" s="910" t="e">
        <f>VLOOKUP(H116,'LƯƠNG KT'!$D$16:$AC$184,14,0)</f>
        <v>#N/A</v>
      </c>
      <c r="J118" s="609" t="e">
        <f>I118*$L$4</f>
        <v>#N/A</v>
      </c>
      <c r="K118" s="935"/>
      <c r="L118" s="935"/>
      <c r="M118" s="935"/>
      <c r="N118" s="935"/>
      <c r="O118" s="935"/>
    </row>
    <row r="119" spans="1:15" ht="15" customHeight="1">
      <c r="A119" s="905" t="s">
        <v>364</v>
      </c>
      <c r="B119" s="546" t="s">
        <v>365</v>
      </c>
      <c r="C119" s="910" t="e">
        <f>VLOOKUP(B116,'LƯƠNG KT'!$D$16:$AC$184,15,0)</f>
        <v>#N/A</v>
      </c>
      <c r="D119" s="609" t="e">
        <f>C119*$L$5</f>
        <v>#N/A</v>
      </c>
      <c r="E119" s="912"/>
      <c r="F119" s="912"/>
      <c r="G119" s="905" t="s">
        <v>364</v>
      </c>
      <c r="H119" s="546" t="s">
        <v>365</v>
      </c>
      <c r="I119" s="910" t="e">
        <f>VLOOKUP(H116,'LƯƠNG KT'!$D$16:$AC$184,15,0)</f>
        <v>#N/A</v>
      </c>
      <c r="J119" s="609" t="e">
        <f>I119*$L$5</f>
        <v>#N/A</v>
      </c>
      <c r="K119" s="935"/>
      <c r="L119" s="935"/>
      <c r="M119" s="935"/>
      <c r="N119" s="935"/>
      <c r="O119" s="935"/>
    </row>
    <row r="120" spans="1:15" ht="15" customHeight="1">
      <c r="A120" s="905" t="s">
        <v>367</v>
      </c>
      <c r="B120" s="546"/>
      <c r="C120" s="910" t="e">
        <f>VLOOKUP(B116,'LƯƠNG KT'!$D$16:$AC$184,16,0)</f>
        <v>#N/A</v>
      </c>
      <c r="D120" s="609" t="e">
        <f>+C120*$L$6</f>
        <v>#N/A</v>
      </c>
      <c r="E120" s="912"/>
      <c r="F120" s="912"/>
      <c r="G120" s="905" t="s">
        <v>367</v>
      </c>
      <c r="H120" s="546"/>
      <c r="I120" s="910" t="e">
        <f>VLOOKUP(H116,'LƯƠNG KT'!$D$16:$AC$184,16,0)</f>
        <v>#N/A</v>
      </c>
      <c r="J120" s="609" t="e">
        <f>+I120*$L$6</f>
        <v>#N/A</v>
      </c>
      <c r="K120" s="935"/>
      <c r="L120" s="935"/>
      <c r="M120" s="935"/>
      <c r="N120" s="935"/>
      <c r="O120" s="935"/>
    </row>
    <row r="121" spans="1:15" ht="15" customHeight="1">
      <c r="A121" s="905"/>
      <c r="B121" s="546"/>
      <c r="C121" s="910"/>
      <c r="D121" s="609"/>
      <c r="E121" s="912"/>
      <c r="F121" s="912"/>
      <c r="G121" s="905"/>
      <c r="H121" s="546"/>
      <c r="I121" s="910"/>
      <c r="J121" s="609"/>
      <c r="K121" s="935"/>
      <c r="L121" s="935"/>
      <c r="M121" s="935"/>
      <c r="N121" s="935"/>
      <c r="O121" s="935"/>
    </row>
    <row r="122" spans="1:15" ht="15" customHeight="1">
      <c r="A122" s="905"/>
      <c r="B122" s="546"/>
      <c r="C122" s="910"/>
      <c r="D122" s="609"/>
      <c r="E122" s="912"/>
      <c r="F122" s="912"/>
      <c r="G122" s="905"/>
      <c r="H122" s="546"/>
      <c r="I122" s="910"/>
      <c r="J122" s="609"/>
      <c r="K122" s="935"/>
      <c r="L122" s="935"/>
      <c r="M122" s="935"/>
      <c r="N122" s="935"/>
      <c r="O122" s="935"/>
    </row>
    <row r="123" spans="1:15" ht="15" customHeight="1">
      <c r="A123" s="905" t="s">
        <v>371</v>
      </c>
      <c r="B123" s="546" t="s">
        <v>372</v>
      </c>
      <c r="C123" s="910" t="e">
        <f>VLOOKUP(B116,'LƯƠNG KT'!$D$16:$AC$184,9,0)*$L$10</f>
        <v>#N/A</v>
      </c>
      <c r="D123" s="609" t="e">
        <f>+C123*0.5*3000</f>
        <v>#N/A</v>
      </c>
      <c r="E123" s="912"/>
      <c r="F123" s="912"/>
      <c r="G123" s="905" t="s">
        <v>371</v>
      </c>
      <c r="H123" s="546" t="s">
        <v>372</v>
      </c>
      <c r="I123" s="910" t="e">
        <f>VLOOKUP(H116,'LƯƠNG KT'!$D$16:$AC$184,9,0)*$L$10</f>
        <v>#N/A</v>
      </c>
      <c r="J123" s="609" t="e">
        <f>+I123*0.5*3000</f>
        <v>#N/A</v>
      </c>
      <c r="K123" s="935"/>
      <c r="L123" s="935"/>
      <c r="M123" s="935"/>
      <c r="N123" s="935"/>
      <c r="O123" s="935"/>
    </row>
    <row r="124" spans="1:15" ht="15" customHeight="1">
      <c r="A124" s="905" t="s">
        <v>374</v>
      </c>
      <c r="B124" s="546" t="s">
        <v>375</v>
      </c>
      <c r="C124" s="910" t="e">
        <f>VLOOKUP(B116,'LƯƠNG KT'!$D$16:$AC$184,8,0)*$L$11</f>
        <v>#N/A</v>
      </c>
      <c r="D124" s="609" t="e">
        <f>VLOOKUP(B116,'LƯƠNG KT'!$D$16:$AC$184,13,0)-D123</f>
        <v>#N/A</v>
      </c>
      <c r="E124" s="914"/>
      <c r="F124" s="912"/>
      <c r="G124" s="905" t="s">
        <v>374</v>
      </c>
      <c r="H124" s="546" t="s">
        <v>375</v>
      </c>
      <c r="I124" s="910" t="e">
        <f>VLOOKUP(H116,'LƯƠNG KT'!$D$16:$AC$184,8,0)*$L$11</f>
        <v>#N/A</v>
      </c>
      <c r="J124" s="609" t="e">
        <f>VLOOKUP(H116,'LƯƠNG KT'!$D$16:$AC$184,13,0)-J123</f>
        <v>#N/A</v>
      </c>
      <c r="K124" s="935"/>
      <c r="L124" s="935"/>
      <c r="M124" s="935"/>
      <c r="N124" s="935"/>
      <c r="O124" s="935"/>
    </row>
    <row r="125" spans="1:15" ht="15" customHeight="1">
      <c r="A125" s="609" t="s">
        <v>377</v>
      </c>
      <c r="B125" s="546" t="s">
        <v>378</v>
      </c>
      <c r="C125" s="910"/>
      <c r="D125" s="609"/>
      <c r="E125" s="916"/>
      <c r="F125" s="916"/>
      <c r="G125" s="609" t="s">
        <v>377</v>
      </c>
      <c r="H125" s="546" t="s">
        <v>378</v>
      </c>
      <c r="I125" s="910"/>
      <c r="J125" s="609"/>
    </row>
    <row r="126" spans="1:15" ht="15" customHeight="1">
      <c r="A126" s="547" t="s">
        <v>379</v>
      </c>
      <c r="B126" s="546" t="s">
        <v>380</v>
      </c>
      <c r="C126" s="910"/>
      <c r="D126" s="609">
        <f>56*25000</f>
        <v>1400000</v>
      </c>
      <c r="E126" s="914"/>
      <c r="F126" s="916"/>
      <c r="G126" s="547" t="s">
        <v>379</v>
      </c>
      <c r="H126" s="546" t="s">
        <v>380</v>
      </c>
      <c r="I126" s="910"/>
      <c r="J126" s="609">
        <f>56*25000</f>
        <v>1400000</v>
      </c>
    </row>
    <row r="127" spans="1:15" ht="15" customHeight="1">
      <c r="A127" s="905" t="s">
        <v>381</v>
      </c>
      <c r="B127" s="546" t="s">
        <v>382</v>
      </c>
      <c r="C127" s="910"/>
      <c r="D127" s="609">
        <f>D126</f>
        <v>1400000</v>
      </c>
      <c r="E127" s="917"/>
      <c r="F127" s="904"/>
      <c r="G127" s="905" t="s">
        <v>381</v>
      </c>
      <c r="H127" s="546" t="s">
        <v>382</v>
      </c>
      <c r="I127" s="910"/>
      <c r="J127" s="609">
        <f>J126</f>
        <v>1400000</v>
      </c>
    </row>
    <row r="128" spans="1:15" ht="15" customHeight="1">
      <c r="A128" s="918" t="s">
        <v>383</v>
      </c>
      <c r="B128" s="919" t="s">
        <v>384</v>
      </c>
      <c r="C128" s="920"/>
      <c r="D128" s="921" t="e">
        <f>SUM(D117:D124)-D127</f>
        <v>#N/A</v>
      </c>
      <c r="E128" s="922"/>
      <c r="F128" s="923"/>
      <c r="G128" s="918" t="s">
        <v>383</v>
      </c>
      <c r="H128" s="919" t="s">
        <v>384</v>
      </c>
      <c r="I128" s="920"/>
      <c r="J128" s="921" t="e">
        <f>SUM(J117:J124)-J127</f>
        <v>#N/A</v>
      </c>
    </row>
    <row r="129" spans="1:15" ht="15.75" customHeight="1">
      <c r="A129" s="924"/>
      <c r="B129" s="925"/>
      <c r="C129" s="926"/>
      <c r="D129" s="927"/>
      <c r="E129" s="927"/>
      <c r="F129" s="928"/>
      <c r="G129" s="924"/>
      <c r="H129" s="925"/>
      <c r="I129" s="926"/>
      <c r="J129" s="927"/>
    </row>
    <row r="131" spans="1:15" ht="12" customHeight="1">
      <c r="A131" s="2361"/>
      <c r="B131" s="2361"/>
      <c r="C131" s="2361"/>
      <c r="D131" s="2361"/>
      <c r="E131" s="2361"/>
      <c r="F131" s="2361"/>
      <c r="G131" s="2361"/>
      <c r="H131" s="2361"/>
      <c r="I131" s="2361"/>
      <c r="J131" s="2361"/>
    </row>
    <row r="132" spans="1:15" ht="15" customHeight="1">
      <c r="A132" s="2360" t="str">
        <f>$K$2</f>
        <v>THÁNG 09/2024</v>
      </c>
      <c r="B132" s="2360"/>
      <c r="C132" s="2360"/>
      <c r="D132" s="2360"/>
      <c r="E132" s="903"/>
      <c r="F132" s="904"/>
      <c r="G132" s="2360" t="str">
        <f>$K$2</f>
        <v>THÁNG 09/2024</v>
      </c>
      <c r="H132" s="2360"/>
      <c r="I132" s="2360"/>
      <c r="J132" s="2360"/>
      <c r="K132" s="276"/>
    </row>
    <row r="133" spans="1:15" ht="15" customHeight="1">
      <c r="A133" s="905" t="s">
        <v>356</v>
      </c>
      <c r="B133" s="642" t="s">
        <v>399</v>
      </c>
      <c r="C133" s="546"/>
      <c r="D133" s="902"/>
      <c r="E133" s="906"/>
      <c r="F133" s="907"/>
      <c r="G133" s="905" t="s">
        <v>356</v>
      </c>
      <c r="H133" s="642" t="s">
        <v>400</v>
      </c>
      <c r="I133" s="546"/>
      <c r="J133" s="902"/>
      <c r="L133" s="938"/>
      <c r="M133" s="938"/>
      <c r="N133" s="938"/>
      <c r="O133" s="938"/>
    </row>
    <row r="134" spans="1:15" ht="15" customHeight="1">
      <c r="A134" s="905" t="s">
        <v>359</v>
      </c>
      <c r="B134" s="939" t="s">
        <v>360</v>
      </c>
      <c r="C134" s="910" t="e">
        <f>VLOOKUP(B133,'LƯƠNG KT'!$D$16:$AC$184,3,0)</f>
        <v>#N/A</v>
      </c>
      <c r="D134" s="609" t="e">
        <f>+C134*25000</f>
        <v>#N/A</v>
      </c>
      <c r="E134" s="911"/>
      <c r="F134" s="911"/>
      <c r="G134" s="905" t="s">
        <v>359</v>
      </c>
      <c r="H134" s="939" t="s">
        <v>360</v>
      </c>
      <c r="I134" s="910" t="e">
        <f>VLOOKUP(H133,'LƯƠNG KT'!$D$16:$AC$184,3,0)</f>
        <v>#N/A</v>
      </c>
      <c r="J134" s="609" t="e">
        <f>+I134*25000</f>
        <v>#N/A</v>
      </c>
      <c r="K134" s="934"/>
      <c r="L134" s="935"/>
      <c r="M134" s="935"/>
      <c r="N134" s="935"/>
      <c r="O134" s="935"/>
    </row>
    <row r="135" spans="1:15" ht="15" customHeight="1">
      <c r="A135" s="905" t="s">
        <v>361</v>
      </c>
      <c r="B135" s="546" t="s">
        <v>362</v>
      </c>
      <c r="C135" s="910" t="e">
        <f>VLOOKUP(B133,'LƯƠNG KT'!$D$16:$AC$184,14,0)</f>
        <v>#N/A</v>
      </c>
      <c r="D135" s="609" t="e">
        <f>C135*$L$4</f>
        <v>#N/A</v>
      </c>
      <c r="E135" s="912"/>
      <c r="F135" s="912"/>
      <c r="G135" s="905" t="s">
        <v>361</v>
      </c>
      <c r="H135" s="546" t="s">
        <v>362</v>
      </c>
      <c r="I135" s="910" t="e">
        <f>VLOOKUP(H133,'LƯƠNG KT'!$D$16:$AC$184,14,0)</f>
        <v>#N/A</v>
      </c>
      <c r="J135" s="609" t="e">
        <f>I135*$L$4</f>
        <v>#N/A</v>
      </c>
      <c r="K135" s="934"/>
      <c r="L135" s="935"/>
      <c r="M135" s="935"/>
      <c r="N135" s="935"/>
      <c r="O135" s="935"/>
    </row>
    <row r="136" spans="1:15" ht="15" customHeight="1">
      <c r="A136" s="905" t="s">
        <v>364</v>
      </c>
      <c r="B136" s="546" t="s">
        <v>365</v>
      </c>
      <c r="C136" s="910" t="e">
        <f>VLOOKUP(B133,'LƯƠNG KT'!$D$16:$AC$184,15,0)</f>
        <v>#N/A</v>
      </c>
      <c r="D136" s="609" t="e">
        <f>C136*$L$5</f>
        <v>#N/A</v>
      </c>
      <c r="E136" s="912"/>
      <c r="F136" s="912"/>
      <c r="G136" s="905" t="s">
        <v>364</v>
      </c>
      <c r="H136" s="546" t="s">
        <v>365</v>
      </c>
      <c r="I136" s="910" t="e">
        <f>VLOOKUP(H133,'LƯƠNG KT'!$D$16:$AC$184,15,0)</f>
        <v>#N/A</v>
      </c>
      <c r="J136" s="609" t="e">
        <f>I136*$L$5</f>
        <v>#N/A</v>
      </c>
      <c r="K136" s="934"/>
      <c r="L136" s="935"/>
      <c r="M136" s="935"/>
      <c r="N136" s="935"/>
      <c r="O136" s="935"/>
    </row>
    <row r="137" spans="1:15" ht="15" customHeight="1">
      <c r="A137" s="905" t="s">
        <v>367</v>
      </c>
      <c r="B137" s="546"/>
      <c r="C137" s="910" t="e">
        <f>VLOOKUP(B133,'LƯƠNG KT'!$D$16:$AC$184,16,0)</f>
        <v>#N/A</v>
      </c>
      <c r="D137" s="609" t="e">
        <f>+C137*$L$6</f>
        <v>#N/A</v>
      </c>
      <c r="E137" s="912"/>
      <c r="F137" s="912"/>
      <c r="G137" s="905" t="s">
        <v>367</v>
      </c>
      <c r="H137" s="546"/>
      <c r="I137" s="910" t="e">
        <f>VLOOKUP(H133,'LƯƠNG KT'!$D$16:$AC$184,16,0)</f>
        <v>#N/A</v>
      </c>
      <c r="J137" s="609" t="e">
        <f>+I137*$L$6</f>
        <v>#N/A</v>
      </c>
      <c r="K137" s="935"/>
      <c r="L137" s="935"/>
      <c r="M137" s="935"/>
      <c r="N137" s="935"/>
      <c r="O137" s="935"/>
    </row>
    <row r="138" spans="1:15" ht="15" customHeight="1">
      <c r="A138" s="905"/>
      <c r="B138" s="546"/>
      <c r="C138" s="910"/>
      <c r="D138" s="609"/>
      <c r="E138" s="912"/>
      <c r="F138" s="912"/>
      <c r="G138" s="905"/>
      <c r="H138" s="546"/>
      <c r="I138" s="910"/>
      <c r="J138" s="609"/>
      <c r="K138" s="935"/>
      <c r="L138" s="935"/>
      <c r="M138" s="935"/>
      <c r="N138" s="935"/>
      <c r="O138" s="935"/>
    </row>
    <row r="139" spans="1:15" ht="15" customHeight="1">
      <c r="A139" s="905"/>
      <c r="B139" s="546"/>
      <c r="C139" s="910"/>
      <c r="D139" s="609"/>
      <c r="E139" s="912"/>
      <c r="F139" s="912"/>
      <c r="G139" s="905"/>
      <c r="H139" s="546"/>
      <c r="I139" s="910"/>
      <c r="J139" s="609"/>
      <c r="K139" s="935"/>
      <c r="L139" s="935"/>
      <c r="M139" s="935"/>
      <c r="N139" s="935"/>
      <c r="O139" s="935"/>
    </row>
    <row r="140" spans="1:15" ht="15" customHeight="1">
      <c r="A140" s="905" t="s">
        <v>371</v>
      </c>
      <c r="B140" s="546" t="s">
        <v>372</v>
      </c>
      <c r="C140" s="910" t="e">
        <f>VLOOKUP(B133,'LƯƠNG KT'!$D$16:$AC$184,9,0)*$L$10</f>
        <v>#N/A</v>
      </c>
      <c r="D140" s="609" t="e">
        <f>+C140*0.5*3000</f>
        <v>#N/A</v>
      </c>
      <c r="E140" s="912"/>
      <c r="F140" s="912"/>
      <c r="G140" s="905" t="s">
        <v>371</v>
      </c>
      <c r="H140" s="546" t="s">
        <v>372</v>
      </c>
      <c r="I140" s="910" t="e">
        <f>VLOOKUP(H133,'LƯƠNG KT'!$D$16:$AC$184,9,0)*$L$10</f>
        <v>#N/A</v>
      </c>
      <c r="J140" s="609" t="e">
        <f>+I140*0.5*3000</f>
        <v>#N/A</v>
      </c>
      <c r="K140" s="935"/>
      <c r="L140" s="935"/>
      <c r="M140" s="935"/>
      <c r="N140" s="935"/>
      <c r="O140" s="935"/>
    </row>
    <row r="141" spans="1:15" ht="15" customHeight="1">
      <c r="A141" s="905" t="s">
        <v>374</v>
      </c>
      <c r="B141" s="546" t="s">
        <v>375</v>
      </c>
      <c r="C141" s="910" t="e">
        <f>VLOOKUP(B133,'LƯƠNG KT'!$D$16:$AC$184,8,0)*$L$11</f>
        <v>#N/A</v>
      </c>
      <c r="D141" s="609" t="e">
        <f>VLOOKUP(B133,'LƯƠNG KT'!$D$16:$AC$184,13,0)-D140</f>
        <v>#N/A</v>
      </c>
      <c r="E141" s="914"/>
      <c r="F141" s="912"/>
      <c r="G141" s="905" t="s">
        <v>374</v>
      </c>
      <c r="H141" s="546" t="s">
        <v>375</v>
      </c>
      <c r="I141" s="910" t="e">
        <f>VLOOKUP(H133,'LƯƠNG KT'!$D$16:$AC$184,8,0)*$L$11</f>
        <v>#N/A</v>
      </c>
      <c r="J141" s="609" t="e">
        <f>VLOOKUP(H133,'LƯƠNG KT'!$D$16:$AC$184,13,0)-J140</f>
        <v>#N/A</v>
      </c>
      <c r="K141" s="935"/>
      <c r="L141" s="935"/>
      <c r="M141" s="935"/>
      <c r="N141" s="935"/>
      <c r="O141" s="935"/>
    </row>
    <row r="142" spans="1:15" ht="15" customHeight="1">
      <c r="A142" s="609" t="s">
        <v>377</v>
      </c>
      <c r="B142" s="546" t="s">
        <v>378</v>
      </c>
      <c r="C142" s="910"/>
      <c r="D142" s="609"/>
      <c r="E142" s="916"/>
      <c r="F142" s="916"/>
      <c r="G142" s="609" t="s">
        <v>377</v>
      </c>
      <c r="H142" s="546" t="s">
        <v>378</v>
      </c>
      <c r="I142" s="910"/>
      <c r="J142" s="609"/>
    </row>
    <row r="143" spans="1:15" ht="15" customHeight="1">
      <c r="A143" s="547" t="s">
        <v>379</v>
      </c>
      <c r="B143" s="546" t="s">
        <v>380</v>
      </c>
      <c r="C143" s="910"/>
      <c r="D143" s="609">
        <f>56*25000</f>
        <v>1400000</v>
      </c>
      <c r="E143" s="914"/>
      <c r="F143" s="916"/>
      <c r="G143" s="547" t="s">
        <v>379</v>
      </c>
      <c r="H143" s="546" t="s">
        <v>380</v>
      </c>
      <c r="I143" s="910"/>
      <c r="J143" s="609">
        <f>56*25000</f>
        <v>1400000</v>
      </c>
    </row>
    <row r="144" spans="1:15" ht="15" customHeight="1">
      <c r="A144" s="905" t="s">
        <v>381</v>
      </c>
      <c r="B144" s="546" t="s">
        <v>382</v>
      </c>
      <c r="C144" s="910"/>
      <c r="D144" s="609">
        <f>D143</f>
        <v>1400000</v>
      </c>
      <c r="E144" s="917"/>
      <c r="F144" s="904"/>
      <c r="G144" s="905" t="s">
        <v>381</v>
      </c>
      <c r="H144" s="546" t="s">
        <v>382</v>
      </c>
      <c r="I144" s="910"/>
      <c r="J144" s="609">
        <f>J143</f>
        <v>1400000</v>
      </c>
    </row>
    <row r="145" spans="1:15" ht="15" customHeight="1">
      <c r="A145" s="918" t="s">
        <v>383</v>
      </c>
      <c r="B145" s="919" t="s">
        <v>384</v>
      </c>
      <c r="C145" s="920"/>
      <c r="D145" s="921" t="e">
        <f>SUM(D134:D141)-D144</f>
        <v>#N/A</v>
      </c>
      <c r="E145" s="922"/>
      <c r="F145" s="923"/>
      <c r="G145" s="918" t="s">
        <v>383</v>
      </c>
      <c r="H145" s="919" t="s">
        <v>384</v>
      </c>
      <c r="I145" s="920"/>
      <c r="J145" s="921" t="e">
        <f>SUM(J134:J141)-J144</f>
        <v>#N/A</v>
      </c>
    </row>
    <row r="146" spans="1:15" ht="12.6" customHeight="1">
      <c r="A146" s="924"/>
      <c r="B146" s="925"/>
      <c r="C146" s="926"/>
      <c r="D146" s="927"/>
      <c r="E146" s="927"/>
      <c r="F146" s="928"/>
      <c r="G146" s="924"/>
      <c r="H146" s="925"/>
      <c r="I146" s="926"/>
      <c r="J146" s="927"/>
    </row>
    <row r="147" spans="1:15" ht="12.6" customHeight="1">
      <c r="A147" s="925"/>
      <c r="B147" s="925"/>
      <c r="C147" s="929"/>
      <c r="D147" s="930"/>
      <c r="E147" s="925"/>
      <c r="F147" s="931"/>
      <c r="G147" s="925"/>
      <c r="H147" s="925"/>
      <c r="I147" s="929"/>
      <c r="J147" s="930"/>
    </row>
    <row r="148" spans="1:15" ht="15" customHeight="1">
      <c r="A148" s="2360" t="str">
        <f>$K$2</f>
        <v>THÁNG 09/2024</v>
      </c>
      <c r="B148" s="2360"/>
      <c r="C148" s="2360"/>
      <c r="D148" s="2360"/>
      <c r="E148" s="903"/>
      <c r="F148" s="904"/>
      <c r="G148" s="2360" t="str">
        <f>$K$2</f>
        <v>THÁNG 09/2024</v>
      </c>
      <c r="H148" s="2360"/>
      <c r="I148" s="2360"/>
      <c r="J148" s="2360"/>
      <c r="K148" s="276"/>
    </row>
    <row r="149" spans="1:15" ht="15" customHeight="1">
      <c r="A149" s="905" t="s">
        <v>356</v>
      </c>
      <c r="B149" s="642" t="s">
        <v>401</v>
      </c>
      <c r="C149" s="546"/>
      <c r="D149" s="902"/>
      <c r="E149" s="906"/>
      <c r="F149" s="907"/>
      <c r="G149" s="905" t="s">
        <v>356</v>
      </c>
      <c r="H149" s="642" t="s">
        <v>402</v>
      </c>
      <c r="I149" s="546"/>
      <c r="J149" s="902"/>
      <c r="L149" s="938"/>
      <c r="M149" s="938"/>
      <c r="N149" s="938"/>
      <c r="O149" s="938"/>
    </row>
    <row r="150" spans="1:15" ht="15" customHeight="1">
      <c r="A150" s="905" t="s">
        <v>359</v>
      </c>
      <c r="B150" s="939" t="s">
        <v>360</v>
      </c>
      <c r="C150" s="910" t="e">
        <f>VLOOKUP(B149,'LƯƠNG KT'!$D$16:$AC$184,3,0)</f>
        <v>#N/A</v>
      </c>
      <c r="D150" s="609" t="e">
        <f>+C150*25000</f>
        <v>#N/A</v>
      </c>
      <c r="E150" s="911"/>
      <c r="F150" s="911"/>
      <c r="G150" s="905" t="s">
        <v>359</v>
      </c>
      <c r="H150" s="939" t="s">
        <v>360</v>
      </c>
      <c r="I150" s="910" t="e">
        <f>VLOOKUP(H149,'LƯƠNG KT'!$D$16:$AC$184,3,0)</f>
        <v>#N/A</v>
      </c>
      <c r="J150" s="609" t="e">
        <f>+I150*25000</f>
        <v>#N/A</v>
      </c>
      <c r="K150" s="935"/>
      <c r="L150" s="935"/>
      <c r="M150" s="935"/>
      <c r="N150" s="935"/>
      <c r="O150" s="935"/>
    </row>
    <row r="151" spans="1:15" ht="15" customHeight="1">
      <c r="A151" s="905" t="s">
        <v>361</v>
      </c>
      <c r="B151" s="546" t="s">
        <v>362</v>
      </c>
      <c r="C151" s="910" t="e">
        <f>VLOOKUP(B149,'LƯƠNG KT'!$D$16:$AC$184,14,0)</f>
        <v>#N/A</v>
      </c>
      <c r="D151" s="609" t="e">
        <f>C151*$L$4</f>
        <v>#N/A</v>
      </c>
      <c r="E151" s="912"/>
      <c r="F151" s="912"/>
      <c r="G151" s="905" t="s">
        <v>361</v>
      </c>
      <c r="H151" s="546" t="s">
        <v>362</v>
      </c>
      <c r="I151" s="910" t="e">
        <f>VLOOKUP(H149,'LƯƠNG KT'!$D$16:$AC$184,14,0)</f>
        <v>#N/A</v>
      </c>
      <c r="J151" s="609" t="e">
        <f>I151*$L$4</f>
        <v>#N/A</v>
      </c>
      <c r="K151" s="935"/>
      <c r="L151" s="935"/>
      <c r="M151" s="935"/>
      <c r="N151" s="935"/>
      <c r="O151" s="935"/>
    </row>
    <row r="152" spans="1:15" ht="15" customHeight="1">
      <c r="A152" s="905" t="s">
        <v>364</v>
      </c>
      <c r="B152" s="546" t="s">
        <v>365</v>
      </c>
      <c r="C152" s="910" t="e">
        <f>VLOOKUP(B149,'LƯƠNG KT'!$D$16:$AC$184,15,0)</f>
        <v>#N/A</v>
      </c>
      <c r="D152" s="609" t="e">
        <f>C152*$L$5</f>
        <v>#N/A</v>
      </c>
      <c r="E152" s="912"/>
      <c r="F152" s="912"/>
      <c r="G152" s="905" t="s">
        <v>364</v>
      </c>
      <c r="H152" s="546" t="s">
        <v>365</v>
      </c>
      <c r="I152" s="910" t="e">
        <f>VLOOKUP(H149,'LƯƠNG KT'!$D$16:$AC$184,15,0)</f>
        <v>#N/A</v>
      </c>
      <c r="J152" s="609" t="e">
        <f>I152*$L$5</f>
        <v>#N/A</v>
      </c>
      <c r="K152" s="935"/>
      <c r="L152" s="935"/>
      <c r="M152" s="935"/>
      <c r="N152" s="935"/>
      <c r="O152" s="935"/>
    </row>
    <row r="153" spans="1:15" ht="15" customHeight="1">
      <c r="A153" s="905" t="s">
        <v>367</v>
      </c>
      <c r="B153" s="546"/>
      <c r="C153" s="910" t="e">
        <f>VLOOKUP(B149,'LƯƠNG KT'!$D$16:$AC$184,16,0)</f>
        <v>#N/A</v>
      </c>
      <c r="D153" s="609" t="e">
        <f>+C153*$L$6</f>
        <v>#N/A</v>
      </c>
      <c r="E153" s="912"/>
      <c r="F153" s="912"/>
      <c r="G153" s="905" t="s">
        <v>367</v>
      </c>
      <c r="H153" s="546"/>
      <c r="I153" s="910" t="e">
        <f>VLOOKUP(H149,'LƯƠNG KT'!$D$16:$AC$184,16,0)</f>
        <v>#N/A</v>
      </c>
      <c r="J153" s="609" t="e">
        <f>+I153*$L$6</f>
        <v>#N/A</v>
      </c>
      <c r="K153" s="935"/>
      <c r="L153" s="935"/>
      <c r="M153" s="935"/>
      <c r="N153" s="935"/>
      <c r="O153" s="935"/>
    </row>
    <row r="154" spans="1:15" ht="15" customHeight="1">
      <c r="A154" s="905" t="s">
        <v>371</v>
      </c>
      <c r="B154" s="546" t="s">
        <v>372</v>
      </c>
      <c r="C154" s="910" t="e">
        <f>VLOOKUP(B149,'LƯƠNG KT'!$D$16:$AC$184,9,0)*$L$10</f>
        <v>#N/A</v>
      </c>
      <c r="D154" s="609" t="e">
        <f>+C154*0.5*3000</f>
        <v>#N/A</v>
      </c>
      <c r="E154" s="912"/>
      <c r="F154" s="912"/>
      <c r="G154" s="905" t="s">
        <v>371</v>
      </c>
      <c r="H154" s="546" t="s">
        <v>372</v>
      </c>
      <c r="I154" s="910" t="e">
        <f>VLOOKUP(H149,'LƯƠNG KT'!$D$16:$AC$184,9,0)*$L$10</f>
        <v>#N/A</v>
      </c>
      <c r="J154" s="609" t="e">
        <f>+I154*0.5*3000</f>
        <v>#N/A</v>
      </c>
      <c r="K154" s="935"/>
      <c r="L154" s="935"/>
      <c r="M154" s="935"/>
      <c r="N154" s="935"/>
      <c r="O154" s="935"/>
    </row>
    <row r="155" spans="1:15" ht="15" customHeight="1">
      <c r="A155" s="905" t="s">
        <v>374</v>
      </c>
      <c r="B155" s="546" t="s">
        <v>375</v>
      </c>
      <c r="C155" s="910" t="e">
        <f>VLOOKUP(B149,'LƯƠNG KT'!$D$16:$AC$184,8,0)*$L$11</f>
        <v>#N/A</v>
      </c>
      <c r="D155" s="609" t="e">
        <f>VLOOKUP(B149,'LƯƠNG KT'!$D$16:$AC$184,13,0)-D154</f>
        <v>#N/A</v>
      </c>
      <c r="E155" s="914"/>
      <c r="F155" s="912"/>
      <c r="G155" s="905" t="s">
        <v>374</v>
      </c>
      <c r="H155" s="546" t="s">
        <v>375</v>
      </c>
      <c r="I155" s="910" t="e">
        <f>VLOOKUP(H149,'LƯƠNG KT'!$D$16:$AC$184,8,0)*$L$11</f>
        <v>#N/A</v>
      </c>
      <c r="J155" s="609" t="e">
        <f>VLOOKUP(H149,'LƯƠNG KT'!$D$16:$AC$184,13,0)-J154</f>
        <v>#N/A</v>
      </c>
      <c r="K155" s="935"/>
      <c r="L155" s="935"/>
      <c r="M155" s="935"/>
      <c r="N155" s="935"/>
      <c r="O155" s="935"/>
    </row>
    <row r="156" spans="1:15" ht="15" customHeight="1">
      <c r="A156" s="609" t="s">
        <v>377</v>
      </c>
      <c r="B156" s="546" t="s">
        <v>378</v>
      </c>
      <c r="C156" s="910"/>
      <c r="D156" s="609"/>
      <c r="E156" s="916"/>
      <c r="F156" s="916"/>
      <c r="G156" s="609" t="s">
        <v>377</v>
      </c>
      <c r="H156" s="546" t="s">
        <v>378</v>
      </c>
      <c r="I156" s="910"/>
      <c r="J156" s="609"/>
    </row>
    <row r="157" spans="1:15" ht="15" customHeight="1">
      <c r="A157" s="547" t="s">
        <v>379</v>
      </c>
      <c r="B157" s="546" t="s">
        <v>380</v>
      </c>
      <c r="C157" s="910"/>
      <c r="D157" s="609">
        <f>56*25000</f>
        <v>1400000</v>
      </c>
      <c r="E157" s="914"/>
      <c r="F157" s="916"/>
      <c r="G157" s="547" t="s">
        <v>379</v>
      </c>
      <c r="H157" s="546" t="s">
        <v>380</v>
      </c>
      <c r="I157" s="910"/>
      <c r="J157" s="609">
        <f>56*25000</f>
        <v>1400000</v>
      </c>
    </row>
    <row r="158" spans="1:15" ht="15" customHeight="1">
      <c r="A158" s="905" t="s">
        <v>381</v>
      </c>
      <c r="B158" s="546" t="s">
        <v>382</v>
      </c>
      <c r="C158" s="910"/>
      <c r="D158" s="609">
        <f>D157</f>
        <v>1400000</v>
      </c>
      <c r="E158" s="917"/>
      <c r="F158" s="904"/>
      <c r="G158" s="905" t="s">
        <v>381</v>
      </c>
      <c r="H158" s="546" t="s">
        <v>382</v>
      </c>
      <c r="I158" s="910"/>
      <c r="J158" s="609">
        <f>J157</f>
        <v>1400000</v>
      </c>
    </row>
    <row r="159" spans="1:15" ht="15" customHeight="1">
      <c r="A159" s="918" t="s">
        <v>383</v>
      </c>
      <c r="B159" s="919" t="s">
        <v>384</v>
      </c>
      <c r="C159" s="920"/>
      <c r="D159" s="921" t="e">
        <f>SUM(D150:D155)-D158</f>
        <v>#N/A</v>
      </c>
      <c r="E159" s="922"/>
      <c r="F159" s="923"/>
      <c r="G159" s="918" t="s">
        <v>383</v>
      </c>
      <c r="H159" s="919" t="s">
        <v>384</v>
      </c>
      <c r="I159" s="920"/>
      <c r="J159" s="921" t="e">
        <f>SUM(J150:J155)-J158</f>
        <v>#N/A</v>
      </c>
    </row>
    <row r="160" spans="1:15" ht="18.75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8.75" customHeight="1">
      <c r="A161" s="925"/>
      <c r="B161" s="925"/>
      <c r="C161" s="929"/>
      <c r="D161" s="930"/>
      <c r="E161" s="925"/>
      <c r="F161" s="931"/>
      <c r="G161" s="925"/>
      <c r="H161" s="925"/>
      <c r="I161" s="929"/>
      <c r="J161" s="930"/>
    </row>
    <row r="162" spans="1:15" ht="15" customHeight="1">
      <c r="A162" s="2360" t="str">
        <f>$K$2</f>
        <v>THÁNG 09/2024</v>
      </c>
      <c r="B162" s="2360"/>
      <c r="C162" s="2360"/>
      <c r="D162" s="2360"/>
      <c r="E162" s="903"/>
      <c r="F162" s="904"/>
      <c r="G162" s="2360" t="str">
        <f>$K$2</f>
        <v>THÁNG 09/2024</v>
      </c>
      <c r="H162" s="2360"/>
      <c r="I162" s="2360"/>
      <c r="J162" s="2360"/>
      <c r="K162" s="276"/>
    </row>
    <row r="163" spans="1:15" ht="15" customHeight="1">
      <c r="A163" s="905" t="s">
        <v>356</v>
      </c>
      <c r="B163" s="642" t="s">
        <v>403</v>
      </c>
      <c r="C163" s="546"/>
      <c r="D163" s="902"/>
      <c r="E163" s="906"/>
      <c r="F163" s="907"/>
      <c r="G163" s="905" t="s">
        <v>356</v>
      </c>
      <c r="H163" s="642" t="s">
        <v>404</v>
      </c>
      <c r="I163" s="546"/>
      <c r="J163" s="902"/>
      <c r="L163" s="938"/>
      <c r="M163" s="938"/>
      <c r="N163" s="938"/>
      <c r="O163" s="938"/>
    </row>
    <row r="164" spans="1:15" ht="15" customHeight="1">
      <c r="A164" s="905" t="s">
        <v>359</v>
      </c>
      <c r="B164" s="939" t="s">
        <v>360</v>
      </c>
      <c r="C164" s="910" t="e">
        <f>VLOOKUP(B163,'LƯƠNG KT'!$D$16:$AC$184,3,0)</f>
        <v>#N/A</v>
      </c>
      <c r="D164" s="609" t="e">
        <f>+C164*25000</f>
        <v>#N/A</v>
      </c>
      <c r="E164" s="911"/>
      <c r="F164" s="911"/>
      <c r="G164" s="905" t="s">
        <v>359</v>
      </c>
      <c r="H164" s="939" t="s">
        <v>360</v>
      </c>
      <c r="I164" s="910" t="e">
        <f>VLOOKUP(H163,'LƯƠNG KT'!$D$16:$AC$184,3,0)</f>
        <v>#N/A</v>
      </c>
      <c r="J164" s="609" t="e">
        <f>+I164*25000</f>
        <v>#N/A</v>
      </c>
      <c r="K164" s="935"/>
      <c r="L164" s="935"/>
      <c r="M164" s="935"/>
      <c r="N164" s="935"/>
      <c r="O164" s="935"/>
    </row>
    <row r="165" spans="1:15" ht="15" customHeight="1">
      <c r="A165" s="905" t="s">
        <v>361</v>
      </c>
      <c r="B165" s="546" t="s">
        <v>362</v>
      </c>
      <c r="C165" s="910" t="e">
        <f>VLOOKUP(B163,'LƯƠNG KT'!$D$16:$AC$184,14,0)</f>
        <v>#N/A</v>
      </c>
      <c r="D165" s="609" t="e">
        <f>C165*$L$4</f>
        <v>#N/A</v>
      </c>
      <c r="E165" s="912"/>
      <c r="F165" s="912"/>
      <c r="G165" s="905" t="s">
        <v>361</v>
      </c>
      <c r="H165" s="546" t="s">
        <v>362</v>
      </c>
      <c r="I165" s="910" t="e">
        <f>VLOOKUP(H163,'LƯƠNG KT'!$D$16:$AC$184,14,0)</f>
        <v>#N/A</v>
      </c>
      <c r="J165" s="609" t="e">
        <f>I165*$L$4</f>
        <v>#N/A</v>
      </c>
      <c r="K165" s="935"/>
      <c r="L165" s="935"/>
      <c r="M165" s="935"/>
      <c r="N165" s="935"/>
      <c r="O165" s="935"/>
    </row>
    <row r="166" spans="1:15" ht="15" customHeight="1">
      <c r="A166" s="905" t="s">
        <v>364</v>
      </c>
      <c r="B166" s="546" t="s">
        <v>365</v>
      </c>
      <c r="C166" s="910" t="e">
        <f>VLOOKUP(B163,'LƯƠNG KT'!$D$16:$AC$184,15,0)</f>
        <v>#N/A</v>
      </c>
      <c r="D166" s="609" t="e">
        <f>C166*$L$5</f>
        <v>#N/A</v>
      </c>
      <c r="E166" s="912"/>
      <c r="F166" s="912"/>
      <c r="G166" s="905" t="s">
        <v>364</v>
      </c>
      <c r="H166" s="546" t="s">
        <v>365</v>
      </c>
      <c r="I166" s="910" t="e">
        <f>VLOOKUP(H163,'LƯƠNG KT'!$D$16:$AC$184,15,0)</f>
        <v>#N/A</v>
      </c>
      <c r="J166" s="609" t="e">
        <f>I166*$L$5</f>
        <v>#N/A</v>
      </c>
      <c r="K166" s="935"/>
      <c r="L166" s="935"/>
      <c r="M166" s="935"/>
      <c r="N166" s="935"/>
      <c r="O166" s="935"/>
    </row>
    <row r="167" spans="1:15" ht="15" customHeight="1">
      <c r="A167" s="905" t="s">
        <v>367</v>
      </c>
      <c r="B167" s="546"/>
      <c r="C167" s="910" t="e">
        <f>VLOOKUP(B163,'LƯƠNG KT'!$D$16:$AC$184,16,0)</f>
        <v>#N/A</v>
      </c>
      <c r="D167" s="609" t="e">
        <f>+C167*$L$6</f>
        <v>#N/A</v>
      </c>
      <c r="E167" s="912"/>
      <c r="F167" s="912"/>
      <c r="G167" s="905" t="s">
        <v>367</v>
      </c>
      <c r="H167" s="546"/>
      <c r="I167" s="910" t="e">
        <f>VLOOKUP(H163,'LƯƠNG KT'!$D$16:$AC$184,16,0)</f>
        <v>#N/A</v>
      </c>
      <c r="J167" s="609" t="e">
        <f>+I167*$L$6</f>
        <v>#N/A</v>
      </c>
      <c r="K167" s="935"/>
      <c r="L167" s="935"/>
      <c r="M167" s="935"/>
      <c r="N167" s="935"/>
      <c r="O167" s="935"/>
    </row>
    <row r="168" spans="1:15" ht="15" customHeight="1">
      <c r="A168" s="905" t="s">
        <v>371</v>
      </c>
      <c r="B168" s="546" t="s">
        <v>372</v>
      </c>
      <c r="C168" s="910" t="e">
        <f>VLOOKUP(B163,'LƯƠNG KT'!$D$16:$AC$184,9,0)*$L$10</f>
        <v>#N/A</v>
      </c>
      <c r="D168" s="609" t="e">
        <f>+C168*0.5*3000</f>
        <v>#N/A</v>
      </c>
      <c r="E168" s="912"/>
      <c r="F168" s="912"/>
      <c r="G168" s="905" t="s">
        <v>371</v>
      </c>
      <c r="H168" s="546" t="s">
        <v>372</v>
      </c>
      <c r="I168" s="910" t="e">
        <f>VLOOKUP(H163,'LƯƠNG KT'!$D$16:$AC$184,9,0)*$L$10</f>
        <v>#N/A</v>
      </c>
      <c r="J168" s="609" t="e">
        <f>+I168*0.5*3000</f>
        <v>#N/A</v>
      </c>
      <c r="K168" s="935"/>
      <c r="L168" s="935"/>
      <c r="M168" s="935"/>
      <c r="N168" s="935"/>
      <c r="O168" s="935"/>
    </row>
    <row r="169" spans="1:15" ht="15" customHeight="1">
      <c r="A169" s="905" t="s">
        <v>374</v>
      </c>
      <c r="B169" s="546" t="s">
        <v>375</v>
      </c>
      <c r="C169" s="910" t="e">
        <f>VLOOKUP(B163,'LƯƠNG KT'!$D$16:$AC$184,8,0)*$L$11</f>
        <v>#N/A</v>
      </c>
      <c r="D169" s="609" t="e">
        <f>VLOOKUP(B163,'LƯƠNG KT'!$D$16:$AC$184,13,0)-D168</f>
        <v>#N/A</v>
      </c>
      <c r="E169" s="914"/>
      <c r="F169" s="912"/>
      <c r="G169" s="905" t="s">
        <v>374</v>
      </c>
      <c r="H169" s="546" t="s">
        <v>375</v>
      </c>
      <c r="I169" s="910" t="e">
        <f>VLOOKUP(H163,'LƯƠNG KT'!$D$16:$AC$184,8,0)*$L$11</f>
        <v>#N/A</v>
      </c>
      <c r="J169" s="609" t="e">
        <f>VLOOKUP(H163,'LƯƠNG KT'!$D$16:$AC$184,13,0)-J168</f>
        <v>#N/A</v>
      </c>
      <c r="K169" s="935"/>
      <c r="L169" s="935"/>
      <c r="M169" s="935"/>
      <c r="N169" s="935"/>
      <c r="O169" s="935"/>
    </row>
    <row r="170" spans="1:15" ht="15" customHeight="1">
      <c r="A170" s="609" t="s">
        <v>377</v>
      </c>
      <c r="B170" s="546" t="s">
        <v>378</v>
      </c>
      <c r="C170" s="910"/>
      <c r="D170" s="609"/>
      <c r="E170" s="916"/>
      <c r="F170" s="916"/>
      <c r="G170" s="609" t="s">
        <v>377</v>
      </c>
      <c r="H170" s="546" t="s">
        <v>378</v>
      </c>
      <c r="I170" s="910"/>
      <c r="J170" s="609"/>
    </row>
    <row r="171" spans="1:15" ht="15" customHeight="1">
      <c r="A171" s="547" t="s">
        <v>379</v>
      </c>
      <c r="B171" s="546" t="s">
        <v>380</v>
      </c>
      <c r="C171" s="910"/>
      <c r="D171" s="609">
        <f>56*25000</f>
        <v>1400000</v>
      </c>
      <c r="E171" s="914"/>
      <c r="F171" s="916"/>
      <c r="G171" s="547" t="s">
        <v>379</v>
      </c>
      <c r="H171" s="546" t="s">
        <v>380</v>
      </c>
      <c r="I171" s="910"/>
      <c r="J171" s="609">
        <f>56*25000</f>
        <v>1400000</v>
      </c>
    </row>
    <row r="172" spans="1:15" ht="15" customHeight="1">
      <c r="A172" s="905" t="s">
        <v>381</v>
      </c>
      <c r="B172" s="546" t="s">
        <v>382</v>
      </c>
      <c r="C172" s="910"/>
      <c r="D172" s="609">
        <f>D171</f>
        <v>1400000</v>
      </c>
      <c r="E172" s="917"/>
      <c r="F172" s="904"/>
      <c r="G172" s="905" t="s">
        <v>381</v>
      </c>
      <c r="H172" s="546" t="s">
        <v>382</v>
      </c>
      <c r="I172" s="910"/>
      <c r="J172" s="609">
        <f>J171</f>
        <v>1400000</v>
      </c>
    </row>
    <row r="173" spans="1:15" ht="15" customHeight="1">
      <c r="A173" s="918" t="s">
        <v>383</v>
      </c>
      <c r="B173" s="919" t="s">
        <v>384</v>
      </c>
      <c r="C173" s="920"/>
      <c r="D173" s="921" t="e">
        <f>SUM(D164:D169)-D172</f>
        <v>#N/A</v>
      </c>
      <c r="E173" s="922"/>
      <c r="F173" s="923"/>
      <c r="G173" s="918" t="s">
        <v>383</v>
      </c>
      <c r="H173" s="919" t="s">
        <v>384</v>
      </c>
      <c r="I173" s="920"/>
      <c r="J173" s="921" t="e">
        <f>SUM(J164:J169)-J172</f>
        <v>#N/A</v>
      </c>
    </row>
    <row r="174" spans="1:15" ht="18.75" customHeight="1">
      <c r="A174" s="924"/>
      <c r="B174" s="925"/>
      <c r="C174" s="926"/>
      <c r="D174" s="927"/>
      <c r="E174" s="927"/>
      <c r="F174" s="928"/>
      <c r="G174" s="924"/>
      <c r="H174" s="925"/>
      <c r="I174" s="926"/>
      <c r="J174" s="927"/>
    </row>
    <row r="175" spans="1:15" ht="18.75" customHeight="1">
      <c r="A175" s="925"/>
      <c r="B175" s="925"/>
      <c r="C175" s="929"/>
      <c r="D175" s="930"/>
      <c r="E175" s="925"/>
      <c r="F175" s="931"/>
      <c r="G175" s="925"/>
      <c r="H175" s="925"/>
      <c r="I175" s="929"/>
      <c r="J175" s="930"/>
    </row>
    <row r="176" spans="1:15" ht="15" customHeight="1">
      <c r="A176" s="2360" t="str">
        <f>$K$2</f>
        <v>THÁNG 09/2024</v>
      </c>
      <c r="B176" s="2360"/>
      <c r="C176" s="2360"/>
      <c r="D176" s="2360"/>
      <c r="E176" s="903"/>
      <c r="F176" s="904"/>
      <c r="G176" s="2360" t="str">
        <f>$K$2</f>
        <v>THÁNG 09/2024</v>
      </c>
      <c r="H176" s="2360"/>
      <c r="I176" s="2360"/>
      <c r="J176" s="2360"/>
      <c r="K176" s="276"/>
    </row>
    <row r="177" spans="1:15" ht="15" customHeight="1">
      <c r="A177" s="905" t="s">
        <v>356</v>
      </c>
      <c r="B177" s="642" t="s">
        <v>405</v>
      </c>
      <c r="C177" s="546"/>
      <c r="D177" s="902"/>
      <c r="E177" s="906"/>
      <c r="F177" s="907"/>
      <c r="G177" s="905" t="s">
        <v>356</v>
      </c>
      <c r="H177" s="642" t="s">
        <v>406</v>
      </c>
      <c r="I177" s="546"/>
      <c r="J177" s="902"/>
      <c r="L177" s="938"/>
      <c r="M177" s="938"/>
      <c r="N177" s="938"/>
      <c r="O177" s="938"/>
    </row>
    <row r="178" spans="1:15" ht="15" customHeight="1">
      <c r="A178" s="905" t="s">
        <v>359</v>
      </c>
      <c r="B178" s="939" t="s">
        <v>360</v>
      </c>
      <c r="C178" s="910" t="e">
        <f>VLOOKUP(B177,'LƯƠNG KT'!$D$16:$AC$184,3,0)</f>
        <v>#N/A</v>
      </c>
      <c r="D178" s="609" t="e">
        <f>+C178*25000</f>
        <v>#N/A</v>
      </c>
      <c r="E178" s="911"/>
      <c r="F178" s="911"/>
      <c r="G178" s="905" t="s">
        <v>359</v>
      </c>
      <c r="H178" s="939" t="s">
        <v>360</v>
      </c>
      <c r="I178" s="910" t="e">
        <f>VLOOKUP(H177,'LƯƠNG KT'!$D$16:$AC$184,3,0)</f>
        <v>#N/A</v>
      </c>
      <c r="J178" s="609" t="e">
        <f>+I178*25000</f>
        <v>#N/A</v>
      </c>
      <c r="K178" s="935"/>
      <c r="L178" s="935"/>
      <c r="M178" s="935"/>
      <c r="N178" s="935"/>
      <c r="O178" s="935"/>
    </row>
    <row r="179" spans="1:15" ht="15" customHeight="1">
      <c r="A179" s="905" t="s">
        <v>361</v>
      </c>
      <c r="B179" s="546" t="s">
        <v>362</v>
      </c>
      <c r="C179" s="910" t="e">
        <f>VLOOKUP(B177,'LƯƠNG KT'!$D$16:$AC$184,14,0)</f>
        <v>#N/A</v>
      </c>
      <c r="D179" s="609" t="e">
        <f>C179*$L$4</f>
        <v>#N/A</v>
      </c>
      <c r="E179" s="912"/>
      <c r="F179" s="912"/>
      <c r="G179" s="905" t="s">
        <v>361</v>
      </c>
      <c r="H179" s="546" t="s">
        <v>362</v>
      </c>
      <c r="I179" s="910" t="e">
        <f>VLOOKUP(H177,'LƯƠNG KT'!$D$16:$AC$184,14,0)</f>
        <v>#N/A</v>
      </c>
      <c r="J179" s="609" t="e">
        <f>I179*$L$4</f>
        <v>#N/A</v>
      </c>
      <c r="K179" s="935"/>
      <c r="L179" s="935"/>
      <c r="M179" s="935"/>
      <c r="N179" s="935"/>
      <c r="O179" s="935"/>
    </row>
    <row r="180" spans="1:15" ht="15" customHeight="1">
      <c r="A180" s="905" t="s">
        <v>364</v>
      </c>
      <c r="B180" s="546" t="s">
        <v>365</v>
      </c>
      <c r="C180" s="910" t="e">
        <f>VLOOKUP(B177,'LƯƠNG KT'!$D$16:$AC$184,15,0)</f>
        <v>#N/A</v>
      </c>
      <c r="D180" s="609" t="e">
        <f>C180*$L$5</f>
        <v>#N/A</v>
      </c>
      <c r="E180" s="912"/>
      <c r="F180" s="912"/>
      <c r="G180" s="905" t="s">
        <v>364</v>
      </c>
      <c r="H180" s="546" t="s">
        <v>365</v>
      </c>
      <c r="I180" s="910" t="e">
        <f>VLOOKUP(H177,'LƯƠNG KT'!$D$16:$AC$184,15,0)</f>
        <v>#N/A</v>
      </c>
      <c r="J180" s="609" t="e">
        <f>I180*$L$5</f>
        <v>#N/A</v>
      </c>
      <c r="K180" s="935"/>
      <c r="L180" s="935"/>
      <c r="M180" s="935"/>
      <c r="N180" s="935"/>
      <c r="O180" s="935"/>
    </row>
    <row r="181" spans="1:15" ht="15" customHeight="1">
      <c r="A181" s="905" t="s">
        <v>367</v>
      </c>
      <c r="B181" s="546"/>
      <c r="C181" s="910" t="e">
        <f>VLOOKUP(B177,'LƯƠNG KT'!$D$16:$AC$184,16,0)</f>
        <v>#N/A</v>
      </c>
      <c r="D181" s="609" t="e">
        <f>+C181*$L$6</f>
        <v>#N/A</v>
      </c>
      <c r="E181" s="912"/>
      <c r="F181" s="912"/>
      <c r="G181" s="905" t="s">
        <v>367</v>
      </c>
      <c r="H181" s="546"/>
      <c r="I181" s="910" t="e">
        <f>VLOOKUP(H177,'LƯƠNG KT'!$D$16:$AC$184,16,0)</f>
        <v>#N/A</v>
      </c>
      <c r="J181" s="609" t="e">
        <f>+I181*$L$6</f>
        <v>#N/A</v>
      </c>
      <c r="K181" s="935"/>
      <c r="L181" s="935"/>
      <c r="M181" s="935"/>
      <c r="N181" s="935"/>
      <c r="O181" s="935"/>
    </row>
    <row r="182" spans="1:15" ht="15" customHeight="1">
      <c r="A182" s="905" t="s">
        <v>371</v>
      </c>
      <c r="B182" s="546" t="s">
        <v>372</v>
      </c>
      <c r="C182" s="910" t="e">
        <f>VLOOKUP(B177,'LƯƠNG KT'!$D$16:$AC$184,9,0)*$L$10</f>
        <v>#N/A</v>
      </c>
      <c r="D182" s="609" t="e">
        <f>+C182*0.5*3000</f>
        <v>#N/A</v>
      </c>
      <c r="E182" s="912"/>
      <c r="F182" s="912"/>
      <c r="G182" s="905" t="s">
        <v>371</v>
      </c>
      <c r="H182" s="546" t="s">
        <v>372</v>
      </c>
      <c r="I182" s="910" t="e">
        <f>VLOOKUP(H177,'LƯƠNG KT'!$D$16:$AC$184,9,0)*$L$10</f>
        <v>#N/A</v>
      </c>
      <c r="J182" s="609" t="e">
        <f>+I182*0.5*3000</f>
        <v>#N/A</v>
      </c>
      <c r="K182" s="935"/>
      <c r="L182" s="935"/>
      <c r="M182" s="935"/>
      <c r="N182" s="935"/>
      <c r="O182" s="935"/>
    </row>
    <row r="183" spans="1:15" ht="15" customHeight="1">
      <c r="A183" s="905" t="s">
        <v>374</v>
      </c>
      <c r="B183" s="546" t="s">
        <v>375</v>
      </c>
      <c r="C183" s="910" t="e">
        <f>VLOOKUP(B177,'LƯƠNG KT'!$D$16:$AC$184,8,0)*$L$11</f>
        <v>#N/A</v>
      </c>
      <c r="D183" s="609" t="e">
        <f>VLOOKUP(B177,'LƯƠNG KT'!$D$16:$AC$184,13,0)-D182+C179*20000+C180*20000</f>
        <v>#N/A</v>
      </c>
      <c r="E183" s="914"/>
      <c r="F183" s="912"/>
      <c r="G183" s="905" t="s">
        <v>374</v>
      </c>
      <c r="H183" s="546" t="s">
        <v>375</v>
      </c>
      <c r="I183" s="910" t="e">
        <f>VLOOKUP(H177,'LƯƠNG KT'!$D$16:$AC$184,8,0)*$L$11</f>
        <v>#N/A</v>
      </c>
      <c r="J183" s="609" t="e">
        <f>VLOOKUP(H177,'LƯƠNG KT'!$D$16:$AC$184,13,0)-J182</f>
        <v>#N/A</v>
      </c>
      <c r="K183" s="935"/>
      <c r="L183" s="935"/>
      <c r="M183" s="935"/>
      <c r="N183" s="935"/>
      <c r="O183" s="935"/>
    </row>
    <row r="184" spans="1:15" ht="15" customHeight="1">
      <c r="A184" s="609" t="s">
        <v>377</v>
      </c>
      <c r="B184" s="546" t="s">
        <v>378</v>
      </c>
      <c r="C184" s="910"/>
      <c r="D184" s="609"/>
      <c r="E184" s="916"/>
      <c r="F184" s="916"/>
      <c r="G184" s="609" t="s">
        <v>377</v>
      </c>
      <c r="H184" s="546" t="s">
        <v>378</v>
      </c>
      <c r="I184" s="910"/>
      <c r="J184" s="609"/>
    </row>
    <row r="185" spans="1:15" ht="15" customHeight="1">
      <c r="A185" s="547" t="s">
        <v>379</v>
      </c>
      <c r="B185" s="546" t="s">
        <v>380</v>
      </c>
      <c r="C185" s="910"/>
      <c r="D185" s="609">
        <f>56*25000</f>
        <v>1400000</v>
      </c>
      <c r="E185" s="914"/>
      <c r="F185" s="916"/>
      <c r="G185" s="547" t="s">
        <v>379</v>
      </c>
      <c r="H185" s="546" t="s">
        <v>380</v>
      </c>
      <c r="I185" s="910"/>
      <c r="J185" s="609">
        <f>56*25000</f>
        <v>1400000</v>
      </c>
    </row>
    <row r="186" spans="1:15" ht="15" customHeight="1">
      <c r="A186" s="905" t="s">
        <v>381</v>
      </c>
      <c r="B186" s="546" t="s">
        <v>382</v>
      </c>
      <c r="C186" s="910"/>
      <c r="D186" s="609">
        <f>D185</f>
        <v>1400000</v>
      </c>
      <c r="E186" s="917"/>
      <c r="F186" s="904"/>
      <c r="G186" s="905" t="s">
        <v>381</v>
      </c>
      <c r="H186" s="546" t="s">
        <v>382</v>
      </c>
      <c r="I186" s="910"/>
      <c r="J186" s="609">
        <f>J185</f>
        <v>1400000</v>
      </c>
    </row>
    <row r="187" spans="1:15" ht="15" customHeight="1">
      <c r="A187" s="918" t="s">
        <v>383</v>
      </c>
      <c r="B187" s="919" t="s">
        <v>384</v>
      </c>
      <c r="C187" s="920"/>
      <c r="D187" s="921" t="e">
        <f>SUM(D178:D183)-D186</f>
        <v>#N/A</v>
      </c>
      <c r="E187" s="922"/>
      <c r="F187" s="923"/>
      <c r="G187" s="918" t="s">
        <v>383</v>
      </c>
      <c r="H187" s="919" t="s">
        <v>384</v>
      </c>
      <c r="I187" s="920"/>
      <c r="J187" s="921" t="e">
        <f>SUM(J178:J183)-J186</f>
        <v>#N/A</v>
      </c>
    </row>
    <row r="188" spans="1:15" ht="15.75" customHeight="1">
      <c r="A188" s="924"/>
      <c r="B188" s="925"/>
      <c r="C188" s="926"/>
      <c r="D188" s="927"/>
      <c r="E188" s="927"/>
      <c r="F188" s="928"/>
      <c r="G188" s="924"/>
      <c r="H188" s="925"/>
      <c r="I188" s="926"/>
      <c r="J188" s="927"/>
    </row>
    <row r="190" spans="1:15" ht="12" customHeight="1">
      <c r="A190" s="2361"/>
      <c r="B190" s="2361"/>
      <c r="C190" s="2361"/>
      <c r="D190" s="2361"/>
      <c r="E190" s="2361"/>
      <c r="F190" s="2361"/>
      <c r="G190" s="2361"/>
      <c r="H190" s="2361"/>
      <c r="I190" s="2361"/>
      <c r="J190" s="2361"/>
    </row>
    <row r="191" spans="1:15" ht="15" customHeight="1">
      <c r="A191" s="2360" t="str">
        <f>$K$2</f>
        <v>THÁNG 09/2024</v>
      </c>
      <c r="B191" s="2360"/>
      <c r="C191" s="2360"/>
      <c r="D191" s="2360"/>
      <c r="E191" s="903"/>
      <c r="F191" s="904"/>
      <c r="G191" s="2360" t="str">
        <f>$K$2</f>
        <v>THÁNG 09/2024</v>
      </c>
      <c r="H191" s="2360"/>
      <c r="I191" s="2360"/>
      <c r="J191" s="2360"/>
      <c r="K191" s="276"/>
    </row>
    <row r="192" spans="1:15" ht="15" customHeight="1">
      <c r="A192" s="905" t="s">
        <v>356</v>
      </c>
      <c r="B192" s="642" t="s">
        <v>407</v>
      </c>
      <c r="C192" s="546"/>
      <c r="D192" s="902"/>
      <c r="E192" s="906"/>
      <c r="F192" s="907"/>
      <c r="G192" s="905" t="s">
        <v>356</v>
      </c>
      <c r="H192" s="642" t="s">
        <v>408</v>
      </c>
      <c r="I192" s="546"/>
      <c r="J192" s="902"/>
      <c r="L192" s="938"/>
      <c r="M192" s="938"/>
      <c r="N192" s="938"/>
      <c r="O192" s="938"/>
    </row>
    <row r="193" spans="1:15" ht="15" customHeight="1">
      <c r="A193" s="905" t="s">
        <v>359</v>
      </c>
      <c r="B193" s="939" t="s">
        <v>360</v>
      </c>
      <c r="C193" s="910" t="e">
        <f>VLOOKUP(B192,'LƯƠNG KT'!$D$16:$AC$184,3,0)</f>
        <v>#N/A</v>
      </c>
      <c r="D193" s="609" t="e">
        <f>+C193*25000</f>
        <v>#N/A</v>
      </c>
      <c r="E193" s="911"/>
      <c r="F193" s="911"/>
      <c r="G193" s="905" t="s">
        <v>359</v>
      </c>
      <c r="H193" s="939" t="s">
        <v>360</v>
      </c>
      <c r="I193" s="910" t="e">
        <f>VLOOKUP(H192,'LƯƠNG KT'!$D$16:$AC$184,3,0)</f>
        <v>#N/A</v>
      </c>
      <c r="J193" s="609" t="e">
        <f>+I193*25000</f>
        <v>#N/A</v>
      </c>
      <c r="K193" s="934"/>
      <c r="L193" s="935"/>
      <c r="M193" s="935"/>
      <c r="N193" s="935"/>
      <c r="O193" s="935"/>
    </row>
    <row r="194" spans="1:15" ht="15" customHeight="1">
      <c r="A194" s="905" t="s">
        <v>361</v>
      </c>
      <c r="B194" s="546" t="s">
        <v>362</v>
      </c>
      <c r="C194" s="910" t="e">
        <f>VLOOKUP(B192,'LƯƠNG KT'!$D$16:$AC$184,14,0)</f>
        <v>#N/A</v>
      </c>
      <c r="D194" s="609" t="e">
        <f>C194*$L$4</f>
        <v>#N/A</v>
      </c>
      <c r="E194" s="912"/>
      <c r="F194" s="912"/>
      <c r="G194" s="905" t="s">
        <v>361</v>
      </c>
      <c r="H194" s="546" t="s">
        <v>362</v>
      </c>
      <c r="I194" s="910" t="e">
        <f>VLOOKUP(H192,'LƯƠNG KT'!$D$16:$AC$184,14,0)</f>
        <v>#N/A</v>
      </c>
      <c r="J194" s="609" t="e">
        <f>I194*$L$4</f>
        <v>#N/A</v>
      </c>
      <c r="K194" s="934"/>
      <c r="L194" s="935"/>
      <c r="M194" s="935"/>
      <c r="N194" s="935"/>
      <c r="O194" s="935"/>
    </row>
    <row r="195" spans="1:15" ht="15" customHeight="1">
      <c r="A195" s="905" t="s">
        <v>364</v>
      </c>
      <c r="B195" s="546" t="s">
        <v>365</v>
      </c>
      <c r="C195" s="910" t="e">
        <f>VLOOKUP(B192,'LƯƠNG KT'!$D$16:$AC$184,15,0)</f>
        <v>#N/A</v>
      </c>
      <c r="D195" s="609" t="e">
        <f>C195*$L$5</f>
        <v>#N/A</v>
      </c>
      <c r="E195" s="912"/>
      <c r="F195" s="912"/>
      <c r="G195" s="905" t="s">
        <v>364</v>
      </c>
      <c r="H195" s="546" t="s">
        <v>365</v>
      </c>
      <c r="I195" s="910" t="e">
        <f>VLOOKUP(H192,'LƯƠNG KT'!$D$16:$AC$184,15,0)</f>
        <v>#N/A</v>
      </c>
      <c r="J195" s="609" t="e">
        <f>I195*$L$5</f>
        <v>#N/A</v>
      </c>
      <c r="K195" s="934"/>
      <c r="L195" s="935"/>
      <c r="M195" s="935"/>
      <c r="N195" s="935"/>
      <c r="O195" s="935"/>
    </row>
    <row r="196" spans="1:15" ht="15" customHeight="1">
      <c r="A196" s="905" t="s">
        <v>367</v>
      </c>
      <c r="B196" s="546"/>
      <c r="C196" s="910" t="e">
        <f>VLOOKUP(B192,'LƯƠNG KT'!$D$16:$AC$184,16,0)</f>
        <v>#N/A</v>
      </c>
      <c r="D196" s="609" t="e">
        <f>+C196*$L$6</f>
        <v>#N/A</v>
      </c>
      <c r="E196" s="912"/>
      <c r="F196" s="912"/>
      <c r="G196" s="905" t="s">
        <v>367</v>
      </c>
      <c r="H196" s="546"/>
      <c r="I196" s="910" t="e">
        <f>VLOOKUP(H192,'LƯƠNG KT'!$D$16:$AC$184,16,0)</f>
        <v>#N/A</v>
      </c>
      <c r="J196" s="609" t="e">
        <f>+I196*$L$6</f>
        <v>#N/A</v>
      </c>
      <c r="K196" s="935"/>
      <c r="L196" s="935"/>
      <c r="M196" s="935"/>
      <c r="N196" s="935"/>
      <c r="O196" s="935"/>
    </row>
    <row r="197" spans="1:15" ht="15" customHeight="1">
      <c r="A197" s="905" t="s">
        <v>371</v>
      </c>
      <c r="B197" s="546" t="s">
        <v>372</v>
      </c>
      <c r="C197" s="910" t="e">
        <f>VLOOKUP(B192,'LƯƠNG KT'!$D$16:$AC$184,9,0)*$L$10</f>
        <v>#N/A</v>
      </c>
      <c r="D197" s="609" t="e">
        <f>+C197*0.5*3000</f>
        <v>#N/A</v>
      </c>
      <c r="E197" s="912"/>
      <c r="F197" s="912"/>
      <c r="G197" s="905" t="s">
        <v>371</v>
      </c>
      <c r="H197" s="546" t="s">
        <v>372</v>
      </c>
      <c r="I197" s="910" t="e">
        <f>VLOOKUP(H192,'LƯƠNG KT'!$D$16:$AC$184,9,0)*$L$10</f>
        <v>#N/A</v>
      </c>
      <c r="J197" s="609" t="e">
        <f>+I197*0.5*3000</f>
        <v>#N/A</v>
      </c>
      <c r="K197" s="935"/>
      <c r="L197" s="935"/>
      <c r="M197" s="935"/>
      <c r="N197" s="935"/>
      <c r="O197" s="935"/>
    </row>
    <row r="198" spans="1:15" ht="15" customHeight="1">
      <c r="A198" s="905" t="s">
        <v>374</v>
      </c>
      <c r="B198" s="546" t="s">
        <v>375</v>
      </c>
      <c r="C198" s="910" t="e">
        <f>VLOOKUP(B192,'LƯƠNG KT'!$D$16:$AC$184,8,0)*$L$11</f>
        <v>#N/A</v>
      </c>
      <c r="D198" s="609" t="e">
        <f>VLOOKUP(B192,'LƯƠNG KT'!$D$16:$AC$184,13,0)-D197</f>
        <v>#N/A</v>
      </c>
      <c r="E198" s="914"/>
      <c r="F198" s="912"/>
      <c r="G198" s="905" t="s">
        <v>374</v>
      </c>
      <c r="H198" s="546" t="s">
        <v>375</v>
      </c>
      <c r="I198" s="910" t="e">
        <f>VLOOKUP(H192,'LƯƠNG KT'!$D$16:$AC$184,8,0)*$L$11</f>
        <v>#N/A</v>
      </c>
      <c r="J198" s="609" t="e">
        <f>VLOOKUP(H192,'LƯƠNG KT'!$D$16:$AC$184,13,0)-J197</f>
        <v>#N/A</v>
      </c>
      <c r="K198" s="935"/>
      <c r="L198" s="935"/>
      <c r="M198" s="935"/>
      <c r="N198" s="935"/>
      <c r="O198" s="935"/>
    </row>
    <row r="199" spans="1:15" ht="15" customHeight="1">
      <c r="A199" s="609" t="s">
        <v>377</v>
      </c>
      <c r="B199" s="546" t="s">
        <v>378</v>
      </c>
      <c r="C199" s="910"/>
      <c r="D199" s="609"/>
      <c r="E199" s="916"/>
      <c r="F199" s="916"/>
      <c r="G199" s="609" t="s">
        <v>377</v>
      </c>
      <c r="H199" s="546" t="s">
        <v>378</v>
      </c>
      <c r="I199" s="910"/>
      <c r="J199" s="609"/>
    </row>
    <row r="200" spans="1:15" ht="15" customHeight="1">
      <c r="A200" s="547" t="s">
        <v>379</v>
      </c>
      <c r="B200" s="546" t="s">
        <v>380</v>
      </c>
      <c r="C200" s="910"/>
      <c r="D200" s="609">
        <f>56*25000</f>
        <v>1400000</v>
      </c>
      <c r="E200" s="914"/>
      <c r="F200" s="916"/>
      <c r="G200" s="547" t="s">
        <v>379</v>
      </c>
      <c r="H200" s="546" t="s">
        <v>380</v>
      </c>
      <c r="I200" s="910"/>
      <c r="J200" s="609">
        <f>56*25000</f>
        <v>1400000</v>
      </c>
    </row>
    <row r="201" spans="1:15" ht="15" customHeight="1">
      <c r="A201" s="905" t="s">
        <v>381</v>
      </c>
      <c r="B201" s="546" t="s">
        <v>382</v>
      </c>
      <c r="C201" s="910"/>
      <c r="D201" s="609">
        <f>D200</f>
        <v>1400000</v>
      </c>
      <c r="E201" s="917"/>
      <c r="F201" s="904"/>
      <c r="G201" s="905" t="s">
        <v>381</v>
      </c>
      <c r="H201" s="546" t="s">
        <v>382</v>
      </c>
      <c r="I201" s="910"/>
      <c r="J201" s="609">
        <f>J200</f>
        <v>1400000</v>
      </c>
    </row>
    <row r="202" spans="1:15" ht="15" customHeight="1">
      <c r="A202" s="918" t="s">
        <v>383</v>
      </c>
      <c r="B202" s="919" t="s">
        <v>384</v>
      </c>
      <c r="C202" s="920"/>
      <c r="D202" s="921" t="e">
        <f>SUM(D193:D198)-D201</f>
        <v>#N/A</v>
      </c>
      <c r="E202" s="922"/>
      <c r="F202" s="923"/>
      <c r="G202" s="918" t="s">
        <v>383</v>
      </c>
      <c r="H202" s="919" t="s">
        <v>384</v>
      </c>
      <c r="I202" s="920"/>
      <c r="J202" s="921" t="e">
        <f>SUM(J193:J198)-J201</f>
        <v>#N/A</v>
      </c>
    </row>
    <row r="203" spans="1:15" ht="12.6" customHeight="1">
      <c r="A203" s="924"/>
      <c r="B203" s="925"/>
      <c r="C203" s="926"/>
      <c r="D203" s="927"/>
      <c r="E203" s="927"/>
      <c r="F203" s="928"/>
      <c r="G203" s="924"/>
      <c r="H203" s="925"/>
      <c r="I203" s="926"/>
      <c r="J203" s="927"/>
    </row>
    <row r="204" spans="1:15" ht="12.6" customHeight="1">
      <c r="A204" s="925"/>
      <c r="B204" s="925"/>
      <c r="C204" s="929"/>
      <c r="D204" s="930"/>
      <c r="E204" s="925"/>
      <c r="F204" s="931"/>
      <c r="G204" s="925"/>
      <c r="H204" s="925"/>
      <c r="I204" s="929"/>
      <c r="J204" s="930"/>
    </row>
    <row r="205" spans="1:15" ht="15" customHeight="1">
      <c r="A205" s="2360" t="str">
        <f>$K$2</f>
        <v>THÁNG 09/2024</v>
      </c>
      <c r="B205" s="2360"/>
      <c r="C205" s="2360"/>
      <c r="D205" s="2360"/>
      <c r="E205" s="903"/>
      <c r="F205" s="904"/>
      <c r="G205" s="2360" t="str">
        <f>$K$2</f>
        <v>THÁNG 09/2024</v>
      </c>
      <c r="H205" s="2360"/>
      <c r="I205" s="2360"/>
      <c r="J205" s="2360"/>
      <c r="K205" s="276"/>
    </row>
    <row r="206" spans="1:15" ht="15" customHeight="1">
      <c r="A206" s="905" t="s">
        <v>356</v>
      </c>
      <c r="B206" s="642" t="s">
        <v>409</v>
      </c>
      <c r="C206" s="546"/>
      <c r="D206" s="902"/>
      <c r="E206" s="906"/>
      <c r="F206" s="907"/>
      <c r="G206" s="905" t="s">
        <v>356</v>
      </c>
      <c r="H206" s="642" t="s">
        <v>410</v>
      </c>
      <c r="I206" s="546"/>
      <c r="J206" s="902"/>
      <c r="L206" s="938"/>
      <c r="M206" s="938"/>
      <c r="N206" s="938"/>
      <c r="O206" s="938"/>
    </row>
    <row r="207" spans="1:15" ht="15" customHeight="1">
      <c r="A207" s="905" t="s">
        <v>359</v>
      </c>
      <c r="B207" s="939" t="s">
        <v>360</v>
      </c>
      <c r="C207" s="910" t="e">
        <f>VLOOKUP(B206,'LƯƠNG KT'!$D$16:$AC$184,3,0)</f>
        <v>#N/A</v>
      </c>
      <c r="D207" s="609" t="e">
        <f>+C207*25000</f>
        <v>#N/A</v>
      </c>
      <c r="E207" s="911"/>
      <c r="F207" s="911"/>
      <c r="G207" s="905" t="s">
        <v>359</v>
      </c>
      <c r="H207" s="939" t="s">
        <v>360</v>
      </c>
      <c r="I207" s="910" t="e">
        <f>VLOOKUP(H206,'LƯƠNG KT'!$D$16:$AC$184,3,0)</f>
        <v>#N/A</v>
      </c>
      <c r="J207" s="609" t="e">
        <f>+I207*25000</f>
        <v>#N/A</v>
      </c>
      <c r="K207" s="935"/>
      <c r="L207" s="935"/>
      <c r="M207" s="935"/>
      <c r="N207" s="935"/>
      <c r="O207" s="935"/>
    </row>
    <row r="208" spans="1:15" ht="15" customHeight="1">
      <c r="A208" s="905" t="s">
        <v>361</v>
      </c>
      <c r="B208" s="546" t="s">
        <v>362</v>
      </c>
      <c r="C208" s="910" t="e">
        <f>VLOOKUP(B206,'LƯƠNG KT'!$D$16:$AC$184,14,0)</f>
        <v>#N/A</v>
      </c>
      <c r="D208" s="609" t="e">
        <f>C208*$L$4</f>
        <v>#N/A</v>
      </c>
      <c r="E208" s="912"/>
      <c r="F208" s="912"/>
      <c r="G208" s="905" t="s">
        <v>361</v>
      </c>
      <c r="H208" s="546" t="s">
        <v>362</v>
      </c>
      <c r="I208" s="910" t="e">
        <f>VLOOKUP(H206,'LƯƠNG KT'!$D$16:$AC$184,14,0)</f>
        <v>#N/A</v>
      </c>
      <c r="J208" s="609" t="e">
        <f>I208*$L$4</f>
        <v>#N/A</v>
      </c>
      <c r="K208" s="935"/>
      <c r="L208" s="935"/>
      <c r="M208" s="935"/>
      <c r="N208" s="935"/>
      <c r="O208" s="935"/>
    </row>
    <row r="209" spans="1:15" ht="15" customHeight="1">
      <c r="A209" s="905" t="s">
        <v>364</v>
      </c>
      <c r="B209" s="546" t="s">
        <v>365</v>
      </c>
      <c r="C209" s="910" t="e">
        <f>VLOOKUP(B206,'LƯƠNG KT'!$D$16:$AC$184,15,0)</f>
        <v>#N/A</v>
      </c>
      <c r="D209" s="609" t="e">
        <f>C209*$L$5</f>
        <v>#N/A</v>
      </c>
      <c r="E209" s="912"/>
      <c r="F209" s="912"/>
      <c r="G209" s="905" t="s">
        <v>364</v>
      </c>
      <c r="H209" s="546" t="s">
        <v>365</v>
      </c>
      <c r="I209" s="910" t="e">
        <f>VLOOKUP(H206,'LƯƠNG KT'!$D$16:$AC$184,15,0)</f>
        <v>#N/A</v>
      </c>
      <c r="J209" s="609" t="e">
        <f>I209*$L$5</f>
        <v>#N/A</v>
      </c>
      <c r="K209" s="935"/>
      <c r="L209" s="935"/>
      <c r="M209" s="935"/>
      <c r="N209" s="935"/>
      <c r="O209" s="935"/>
    </row>
    <row r="210" spans="1:15" ht="15" customHeight="1">
      <c r="A210" s="905" t="s">
        <v>367</v>
      </c>
      <c r="B210" s="546"/>
      <c r="C210" s="910" t="e">
        <f>VLOOKUP(B206,'LƯƠNG KT'!$D$16:$AC$184,16,0)</f>
        <v>#N/A</v>
      </c>
      <c r="D210" s="609" t="e">
        <f>+C210*$L$6</f>
        <v>#N/A</v>
      </c>
      <c r="E210" s="912"/>
      <c r="F210" s="912"/>
      <c r="G210" s="905" t="s">
        <v>367</v>
      </c>
      <c r="H210" s="546"/>
      <c r="I210" s="910" t="e">
        <f>VLOOKUP(H206,'LƯƠNG KT'!$D$16:$AC$184,16,0)</f>
        <v>#N/A</v>
      </c>
      <c r="J210" s="609" t="e">
        <f>+I210*$L$6</f>
        <v>#N/A</v>
      </c>
      <c r="K210" s="935"/>
      <c r="L210" s="935"/>
      <c r="M210" s="935"/>
      <c r="N210" s="935"/>
      <c r="O210" s="935"/>
    </row>
    <row r="211" spans="1:15" ht="15" customHeight="1">
      <c r="A211" s="905" t="s">
        <v>371</v>
      </c>
      <c r="B211" s="546" t="s">
        <v>372</v>
      </c>
      <c r="C211" s="910" t="e">
        <f>VLOOKUP(B206,'LƯƠNG KT'!$D$16:$AC$184,9,0)*$L$10</f>
        <v>#N/A</v>
      </c>
      <c r="D211" s="609" t="e">
        <f>+C211*0.5*3000</f>
        <v>#N/A</v>
      </c>
      <c r="E211" s="912"/>
      <c r="F211" s="912"/>
      <c r="G211" s="905" t="s">
        <v>371</v>
      </c>
      <c r="H211" s="546" t="s">
        <v>372</v>
      </c>
      <c r="I211" s="910" t="e">
        <f>VLOOKUP(H206,'LƯƠNG KT'!$D$16:$AC$184,9,0)*$L$10</f>
        <v>#N/A</v>
      </c>
      <c r="J211" s="609" t="e">
        <f>+I211*0.5*3000</f>
        <v>#N/A</v>
      </c>
      <c r="K211" s="935"/>
      <c r="L211" s="935"/>
      <c r="M211" s="935"/>
      <c r="N211" s="935"/>
      <c r="O211" s="935"/>
    </row>
    <row r="212" spans="1:15" ht="15" customHeight="1">
      <c r="A212" s="905" t="s">
        <v>374</v>
      </c>
      <c r="B212" s="546" t="s">
        <v>375</v>
      </c>
      <c r="C212" s="910" t="e">
        <f>VLOOKUP(B206,'LƯƠNG KT'!$D$16:$AC$184,8,0)*$L$11</f>
        <v>#N/A</v>
      </c>
      <c r="D212" s="609" t="e">
        <f>VLOOKUP(B206,'LƯƠNG KT'!$D$16:$AC$184,13,0)-D211</f>
        <v>#N/A</v>
      </c>
      <c r="E212" s="914"/>
      <c r="F212" s="912"/>
      <c r="G212" s="905" t="s">
        <v>374</v>
      </c>
      <c r="H212" s="546" t="s">
        <v>375</v>
      </c>
      <c r="I212" s="910" t="e">
        <f>VLOOKUP(H206,'LƯƠNG KT'!$D$16:$AC$184,8,0)*$L$11</f>
        <v>#N/A</v>
      </c>
      <c r="J212" s="609" t="e">
        <f>VLOOKUP(H206,'LƯƠNG KT'!$D$16:$AC$184,13,0)-J211</f>
        <v>#N/A</v>
      </c>
      <c r="K212" s="935"/>
      <c r="L212" s="935"/>
      <c r="M212" s="935"/>
      <c r="N212" s="935"/>
      <c r="O212" s="935"/>
    </row>
    <row r="213" spans="1:15" ht="15" customHeight="1">
      <c r="A213" s="609" t="s">
        <v>377</v>
      </c>
      <c r="B213" s="546" t="s">
        <v>378</v>
      </c>
      <c r="C213" s="910"/>
      <c r="D213" s="609"/>
      <c r="E213" s="916"/>
      <c r="F213" s="916"/>
      <c r="G213" s="609" t="s">
        <v>377</v>
      </c>
      <c r="H213" s="546" t="s">
        <v>378</v>
      </c>
      <c r="I213" s="910"/>
      <c r="J213" s="609"/>
    </row>
    <row r="214" spans="1:15" ht="15" customHeight="1">
      <c r="A214" s="547" t="s">
        <v>379</v>
      </c>
      <c r="B214" s="546" t="s">
        <v>380</v>
      </c>
      <c r="C214" s="910"/>
      <c r="D214" s="609">
        <f>56*25000</f>
        <v>1400000</v>
      </c>
      <c r="E214" s="914"/>
      <c r="F214" s="916"/>
      <c r="G214" s="547" t="s">
        <v>379</v>
      </c>
      <c r="H214" s="546" t="s">
        <v>380</v>
      </c>
      <c r="I214" s="910"/>
      <c r="J214" s="609">
        <f>56*25000</f>
        <v>1400000</v>
      </c>
    </row>
    <row r="215" spans="1:15" ht="15" customHeight="1">
      <c r="A215" s="905" t="s">
        <v>381</v>
      </c>
      <c r="B215" s="546" t="s">
        <v>382</v>
      </c>
      <c r="C215" s="910"/>
      <c r="D215" s="609">
        <f>D214</f>
        <v>1400000</v>
      </c>
      <c r="E215" s="917"/>
      <c r="F215" s="904"/>
      <c r="G215" s="905" t="s">
        <v>381</v>
      </c>
      <c r="H215" s="546" t="s">
        <v>382</v>
      </c>
      <c r="I215" s="910"/>
      <c r="J215" s="609">
        <f>J214</f>
        <v>1400000</v>
      </c>
    </row>
    <row r="216" spans="1:15" ht="15" customHeight="1">
      <c r="A216" s="918" t="s">
        <v>383</v>
      </c>
      <c r="B216" s="919" t="s">
        <v>384</v>
      </c>
      <c r="C216" s="920"/>
      <c r="D216" s="921" t="e">
        <f>SUM(D207:D212)-D215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SUM(J207:J212)-J215</f>
        <v>#N/A</v>
      </c>
    </row>
    <row r="217" spans="1:15" ht="18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8" spans="1:15" ht="18.75" customHeight="1">
      <c r="A218" s="925"/>
      <c r="B218" s="925"/>
      <c r="C218" s="929"/>
      <c r="D218" s="930"/>
      <c r="E218" s="925"/>
      <c r="F218" s="931"/>
      <c r="G218" s="925"/>
      <c r="H218" s="925"/>
      <c r="I218" s="929"/>
      <c r="J218" s="930"/>
    </row>
    <row r="219" spans="1:15" ht="15" customHeight="1">
      <c r="A219" s="2360" t="str">
        <f>$K$2</f>
        <v>THÁNG 09/2024</v>
      </c>
      <c r="B219" s="2360"/>
      <c r="C219" s="2360"/>
      <c r="D219" s="2360"/>
      <c r="E219" s="903"/>
      <c r="F219" s="904"/>
      <c r="G219" s="2360" t="str">
        <f>$K$2</f>
        <v>THÁNG 09/2024</v>
      </c>
      <c r="H219" s="2360"/>
      <c r="I219" s="2360"/>
      <c r="J219" s="2360"/>
      <c r="K219" s="276"/>
    </row>
    <row r="220" spans="1:15" ht="15" customHeight="1">
      <c r="A220" s="905" t="s">
        <v>356</v>
      </c>
      <c r="B220" s="642" t="s">
        <v>411</v>
      </c>
      <c r="C220" s="546"/>
      <c r="D220" s="902"/>
      <c r="E220" s="906"/>
      <c r="F220" s="907"/>
      <c r="G220" s="905" t="s">
        <v>356</v>
      </c>
      <c r="H220" s="642" t="s">
        <v>412</v>
      </c>
      <c r="I220" s="546"/>
      <c r="J220" s="902"/>
      <c r="L220" s="938"/>
      <c r="M220" s="938"/>
      <c r="N220" s="938"/>
      <c r="O220" s="938"/>
    </row>
    <row r="221" spans="1:15" ht="15" customHeight="1">
      <c r="A221" s="905" t="s">
        <v>359</v>
      </c>
      <c r="B221" s="939" t="s">
        <v>360</v>
      </c>
      <c r="C221" s="910" t="e">
        <f>VLOOKUP(B220,'LƯƠNG KT'!$D$16:$AC$184,3,0)</f>
        <v>#N/A</v>
      </c>
      <c r="D221" s="609" t="e">
        <f>+C221*25000</f>
        <v>#N/A</v>
      </c>
      <c r="E221" s="911"/>
      <c r="F221" s="911"/>
      <c r="G221" s="905" t="s">
        <v>359</v>
      </c>
      <c r="H221" s="939" t="s">
        <v>360</v>
      </c>
      <c r="I221" s="910" t="e">
        <f>VLOOKUP(H220,'LƯƠNG KT'!$D$16:$AC$184,3,0)</f>
        <v>#N/A</v>
      </c>
      <c r="J221" s="609" t="e">
        <f>+I221*25000</f>
        <v>#N/A</v>
      </c>
      <c r="K221" s="935"/>
      <c r="L221" s="935"/>
      <c r="M221" s="935"/>
      <c r="N221" s="935"/>
      <c r="O221" s="935"/>
    </row>
    <row r="222" spans="1:15" ht="15" customHeight="1">
      <c r="A222" s="905" t="s">
        <v>361</v>
      </c>
      <c r="B222" s="546" t="s">
        <v>362</v>
      </c>
      <c r="C222" s="910" t="e">
        <f>VLOOKUP(B220,'LƯƠNG KT'!$D$16:$AC$184,14,0)</f>
        <v>#N/A</v>
      </c>
      <c r="D222" s="609" t="e">
        <f>C222*$L$4</f>
        <v>#N/A</v>
      </c>
      <c r="E222" s="912"/>
      <c r="F222" s="912"/>
      <c r="G222" s="905" t="s">
        <v>361</v>
      </c>
      <c r="H222" s="546" t="s">
        <v>362</v>
      </c>
      <c r="I222" s="910" t="e">
        <f>VLOOKUP(H220,'LƯƠNG KT'!$D$16:$AC$184,14,0)</f>
        <v>#N/A</v>
      </c>
      <c r="J222" s="609" t="e">
        <f>I222*$L$4</f>
        <v>#N/A</v>
      </c>
      <c r="K222" s="935"/>
      <c r="L222" s="935"/>
      <c r="M222" s="935"/>
      <c r="N222" s="935"/>
      <c r="O222" s="935"/>
    </row>
    <row r="223" spans="1:15" ht="15" customHeight="1">
      <c r="A223" s="905" t="s">
        <v>364</v>
      </c>
      <c r="B223" s="546" t="s">
        <v>365</v>
      </c>
      <c r="C223" s="910" t="e">
        <f>VLOOKUP(B220,'LƯƠNG KT'!$D$16:$AC$184,15,0)</f>
        <v>#N/A</v>
      </c>
      <c r="D223" s="609" t="e">
        <f>C223*$L$5</f>
        <v>#N/A</v>
      </c>
      <c r="E223" s="912"/>
      <c r="F223" s="912"/>
      <c r="G223" s="905" t="s">
        <v>364</v>
      </c>
      <c r="H223" s="546" t="s">
        <v>365</v>
      </c>
      <c r="I223" s="910" t="e">
        <f>VLOOKUP(H220,'LƯƠNG KT'!$D$16:$AC$184,15,0)</f>
        <v>#N/A</v>
      </c>
      <c r="J223" s="609" t="e">
        <f>I223*$L$5</f>
        <v>#N/A</v>
      </c>
      <c r="K223" s="935"/>
      <c r="L223" s="935"/>
      <c r="M223" s="935"/>
      <c r="N223" s="935"/>
      <c r="O223" s="935"/>
    </row>
    <row r="224" spans="1:15" ht="15" customHeight="1">
      <c r="A224" s="905" t="s">
        <v>367</v>
      </c>
      <c r="B224" s="546"/>
      <c r="C224" s="910" t="e">
        <f>VLOOKUP(B220,'LƯƠNG KT'!$D$16:$AC$184,16,0)</f>
        <v>#N/A</v>
      </c>
      <c r="D224" s="609" t="e">
        <f>+C224*$L$6</f>
        <v>#N/A</v>
      </c>
      <c r="E224" s="912"/>
      <c r="F224" s="912"/>
      <c r="G224" s="905" t="s">
        <v>367</v>
      </c>
      <c r="H224" s="546"/>
      <c r="I224" s="910" t="e">
        <f>VLOOKUP(H220,'LƯƠNG KT'!$D$16:$AC$184,16,0)</f>
        <v>#N/A</v>
      </c>
      <c r="J224" s="609" t="e">
        <f>+I224*$L$6</f>
        <v>#N/A</v>
      </c>
      <c r="K224" s="935"/>
      <c r="L224" s="935"/>
      <c r="M224" s="935"/>
      <c r="N224" s="935"/>
      <c r="O224" s="935"/>
    </row>
    <row r="225" spans="1:15" ht="15" customHeight="1">
      <c r="A225" s="905" t="s">
        <v>371</v>
      </c>
      <c r="B225" s="546" t="s">
        <v>372</v>
      </c>
      <c r="C225" s="910" t="e">
        <f>VLOOKUP(B220,'LƯƠNG KT'!$D$16:$AC$184,9,0)*$L$10</f>
        <v>#N/A</v>
      </c>
      <c r="D225" s="609" t="e">
        <f>+C225*0.5*3000</f>
        <v>#N/A</v>
      </c>
      <c r="E225" s="912"/>
      <c r="F225" s="912"/>
      <c r="G225" s="905" t="s">
        <v>371</v>
      </c>
      <c r="H225" s="546" t="s">
        <v>372</v>
      </c>
      <c r="I225" s="910" t="e">
        <f>VLOOKUP(H220,'LƯƠNG KT'!$D$16:$AC$184,9,0)*$L$10</f>
        <v>#N/A</v>
      </c>
      <c r="J225" s="609" t="e">
        <f>+I225*0.5*3000</f>
        <v>#N/A</v>
      </c>
      <c r="K225" s="935"/>
      <c r="L225" s="935"/>
      <c r="M225" s="935"/>
      <c r="N225" s="935"/>
      <c r="O225" s="935"/>
    </row>
    <row r="226" spans="1:15" ht="15" customHeight="1">
      <c r="A226" s="905" t="s">
        <v>374</v>
      </c>
      <c r="B226" s="546" t="s">
        <v>375</v>
      </c>
      <c r="C226" s="910" t="e">
        <f>VLOOKUP(B220,'LƯƠNG KT'!$D$16:$AC$184,8,0)*$L$11</f>
        <v>#N/A</v>
      </c>
      <c r="D226" s="609" t="e">
        <f>VLOOKUP(B220,'LƯƠNG KT'!$D$16:$AC$184,13,0)-D225</f>
        <v>#N/A</v>
      </c>
      <c r="E226" s="914"/>
      <c r="F226" s="912"/>
      <c r="G226" s="905" t="s">
        <v>374</v>
      </c>
      <c r="H226" s="546" t="s">
        <v>375</v>
      </c>
      <c r="I226" s="910" t="e">
        <f>VLOOKUP(H220,'LƯƠNG KT'!$D$16:$AC$184,8,0)*$L$11</f>
        <v>#N/A</v>
      </c>
      <c r="J226" s="609" t="e">
        <f>VLOOKUP(H220,'LƯƠNG KT'!$D$16:$AC$184,13,0)-J225</f>
        <v>#N/A</v>
      </c>
      <c r="K226" s="935"/>
      <c r="L226" s="935"/>
      <c r="M226" s="935"/>
      <c r="N226" s="935"/>
      <c r="O226" s="935"/>
    </row>
    <row r="227" spans="1:15" ht="15" customHeight="1">
      <c r="A227" s="609" t="s">
        <v>377</v>
      </c>
      <c r="B227" s="546" t="s">
        <v>378</v>
      </c>
      <c r="C227" s="910"/>
      <c r="D227" s="609"/>
      <c r="E227" s="916"/>
      <c r="F227" s="916"/>
      <c r="G227" s="609" t="s">
        <v>377</v>
      </c>
      <c r="H227" s="546" t="s">
        <v>378</v>
      </c>
      <c r="I227" s="910"/>
      <c r="J227" s="609"/>
    </row>
    <row r="228" spans="1:15" ht="15" customHeight="1">
      <c r="A228" s="547" t="s">
        <v>379</v>
      </c>
      <c r="B228" s="546" t="s">
        <v>380</v>
      </c>
      <c r="C228" s="910"/>
      <c r="D228" s="609">
        <f>56*25000</f>
        <v>1400000</v>
      </c>
      <c r="E228" s="914"/>
      <c r="F228" s="916"/>
      <c r="G228" s="547" t="s">
        <v>379</v>
      </c>
      <c r="H228" s="546" t="s">
        <v>380</v>
      </c>
      <c r="I228" s="910"/>
      <c r="J228" s="609">
        <f>56*25000</f>
        <v>1400000</v>
      </c>
    </row>
    <row r="229" spans="1:15" ht="15" customHeight="1">
      <c r="A229" s="905" t="s">
        <v>381</v>
      </c>
      <c r="B229" s="546" t="s">
        <v>382</v>
      </c>
      <c r="C229" s="910"/>
      <c r="D229" s="609">
        <f>D228</f>
        <v>1400000</v>
      </c>
      <c r="E229" s="917"/>
      <c r="F229" s="904"/>
      <c r="G229" s="905" t="s">
        <v>381</v>
      </c>
      <c r="H229" s="546" t="s">
        <v>382</v>
      </c>
      <c r="I229" s="910"/>
      <c r="J229" s="609">
        <f>J228</f>
        <v>1400000</v>
      </c>
    </row>
    <row r="230" spans="1:15" ht="15" customHeight="1">
      <c r="A230" s="918" t="s">
        <v>383</v>
      </c>
      <c r="B230" s="919" t="s">
        <v>384</v>
      </c>
      <c r="C230" s="920"/>
      <c r="D230" s="921" t="e">
        <f>SUM(D221:D226)-D229</f>
        <v>#N/A</v>
      </c>
      <c r="E230" s="922"/>
      <c r="F230" s="923"/>
      <c r="G230" s="918" t="s">
        <v>383</v>
      </c>
      <c r="H230" s="919" t="s">
        <v>384</v>
      </c>
      <c r="I230" s="920"/>
      <c r="J230" s="921" t="e">
        <f>SUM(J221:J226)-J229</f>
        <v>#N/A</v>
      </c>
    </row>
    <row r="231" spans="1:15" ht="18.75" customHeight="1">
      <c r="A231" s="924"/>
      <c r="B231" s="925"/>
      <c r="C231" s="926"/>
      <c r="D231" s="927"/>
      <c r="E231" s="927"/>
      <c r="F231" s="928"/>
      <c r="G231" s="924"/>
      <c r="H231" s="925"/>
      <c r="I231" s="926"/>
      <c r="J231" s="927"/>
    </row>
    <row r="232" spans="1:15" ht="18.75" customHeight="1">
      <c r="A232" s="925"/>
      <c r="B232" s="925"/>
      <c r="C232" s="929"/>
      <c r="D232" s="930"/>
      <c r="E232" s="925"/>
      <c r="F232" s="931"/>
      <c r="G232" s="925"/>
      <c r="H232" s="925"/>
      <c r="I232" s="929"/>
      <c r="J232" s="930"/>
    </row>
    <row r="233" spans="1:15" ht="15" customHeight="1">
      <c r="A233" s="2360" t="str">
        <f>$K$2</f>
        <v>THÁNG 09/2024</v>
      </c>
      <c r="B233" s="2360"/>
      <c r="C233" s="2360"/>
      <c r="D233" s="2360"/>
      <c r="E233" s="903"/>
      <c r="F233" s="904"/>
      <c r="G233" s="2360" t="str">
        <f>$K$2</f>
        <v>THÁNG 09/2024</v>
      </c>
      <c r="H233" s="2360"/>
      <c r="I233" s="2360"/>
      <c r="J233" s="2360"/>
      <c r="K233" s="276"/>
    </row>
    <row r="234" spans="1:15" ht="15" customHeight="1">
      <c r="A234" s="905" t="s">
        <v>356</v>
      </c>
      <c r="B234" s="642" t="s">
        <v>413</v>
      </c>
      <c r="C234" s="546"/>
      <c r="D234" s="902"/>
      <c r="E234" s="906"/>
      <c r="F234" s="907"/>
      <c r="G234" s="905" t="s">
        <v>356</v>
      </c>
      <c r="H234" s="642" t="s">
        <v>414</v>
      </c>
      <c r="I234" s="546"/>
      <c r="J234" s="902"/>
      <c r="L234" s="938"/>
      <c r="M234" s="938"/>
      <c r="N234" s="938"/>
      <c r="O234" s="938"/>
    </row>
    <row r="235" spans="1:15" ht="15" customHeight="1">
      <c r="A235" s="905" t="s">
        <v>359</v>
      </c>
      <c r="B235" s="939" t="s">
        <v>360</v>
      </c>
      <c r="C235" s="910" t="e">
        <f>VLOOKUP(B234,'LƯƠNG KT'!$D$16:$AC$184,3,0)</f>
        <v>#N/A</v>
      </c>
      <c r="D235" s="609" t="e">
        <f>+C235*25000</f>
        <v>#N/A</v>
      </c>
      <c r="E235" s="911"/>
      <c r="F235" s="911"/>
      <c r="G235" s="905" t="s">
        <v>359</v>
      </c>
      <c r="H235" s="939" t="s">
        <v>360</v>
      </c>
      <c r="I235" s="910" t="e">
        <f>VLOOKUP(H234,'LƯƠNG KT'!$D$16:$AC$184,3,0)</f>
        <v>#N/A</v>
      </c>
      <c r="J235" s="609" t="e">
        <f>+I235*25000</f>
        <v>#N/A</v>
      </c>
      <c r="K235" s="935"/>
      <c r="L235" s="935"/>
      <c r="M235" s="935"/>
      <c r="N235" s="935"/>
      <c r="O235" s="935"/>
    </row>
    <row r="236" spans="1:15" ht="15" customHeight="1">
      <c r="A236" s="905" t="s">
        <v>361</v>
      </c>
      <c r="B236" s="546" t="s">
        <v>362</v>
      </c>
      <c r="C236" s="910" t="e">
        <f>VLOOKUP(B234,'LƯƠNG KT'!$D$16:$AC$184,14,0)</f>
        <v>#N/A</v>
      </c>
      <c r="D236" s="609" t="e">
        <f>C236*$L$4</f>
        <v>#N/A</v>
      </c>
      <c r="E236" s="912"/>
      <c r="F236" s="912"/>
      <c r="G236" s="905" t="s">
        <v>361</v>
      </c>
      <c r="H236" s="546" t="s">
        <v>362</v>
      </c>
      <c r="I236" s="910" t="e">
        <f>VLOOKUP(H234,'LƯƠNG KT'!$D$16:$AC$184,14,0)</f>
        <v>#N/A</v>
      </c>
      <c r="J236" s="609" t="e">
        <f>I236*$L$4</f>
        <v>#N/A</v>
      </c>
      <c r="K236" s="935"/>
      <c r="L236" s="935"/>
      <c r="M236" s="935"/>
      <c r="N236" s="935"/>
      <c r="O236" s="935"/>
    </row>
    <row r="237" spans="1:15" ht="15" customHeight="1">
      <c r="A237" s="905" t="s">
        <v>364</v>
      </c>
      <c r="B237" s="546" t="s">
        <v>365</v>
      </c>
      <c r="C237" s="910" t="e">
        <f>VLOOKUP(B234,'LƯƠNG KT'!$D$16:$AC$184,15,0)</f>
        <v>#N/A</v>
      </c>
      <c r="D237" s="609" t="e">
        <f>C237*$L$5</f>
        <v>#N/A</v>
      </c>
      <c r="E237" s="912"/>
      <c r="F237" s="912"/>
      <c r="G237" s="905" t="s">
        <v>364</v>
      </c>
      <c r="H237" s="546" t="s">
        <v>365</v>
      </c>
      <c r="I237" s="910" t="e">
        <f>VLOOKUP(H234,'LƯƠNG KT'!$D$16:$AC$184,15,0)</f>
        <v>#N/A</v>
      </c>
      <c r="J237" s="609" t="e">
        <f>I237*$L$5</f>
        <v>#N/A</v>
      </c>
      <c r="K237" s="935"/>
      <c r="L237" s="935"/>
      <c r="M237" s="935"/>
      <c r="N237" s="935"/>
      <c r="O237" s="935"/>
    </row>
    <row r="238" spans="1:15" ht="15" customHeight="1">
      <c r="A238" s="905" t="s">
        <v>367</v>
      </c>
      <c r="B238" s="546"/>
      <c r="C238" s="910" t="e">
        <f>VLOOKUP(B234,'LƯƠNG KT'!$D$16:$AC$184,16,0)</f>
        <v>#N/A</v>
      </c>
      <c r="D238" s="609" t="e">
        <f>+C238*$L$6</f>
        <v>#N/A</v>
      </c>
      <c r="E238" s="912"/>
      <c r="F238" s="912"/>
      <c r="G238" s="905" t="s">
        <v>367</v>
      </c>
      <c r="H238" s="546"/>
      <c r="I238" s="910" t="e">
        <f>VLOOKUP(H234,'LƯƠNG KT'!$D$16:$AC$184,16,0)</f>
        <v>#N/A</v>
      </c>
      <c r="J238" s="609" t="e">
        <f>+I238*$L$6</f>
        <v>#N/A</v>
      </c>
      <c r="K238" s="935"/>
      <c r="L238" s="935"/>
      <c r="M238" s="935"/>
      <c r="N238" s="935"/>
      <c r="O238" s="935"/>
    </row>
    <row r="239" spans="1:15" ht="15" customHeight="1">
      <c r="A239" s="905" t="s">
        <v>371</v>
      </c>
      <c r="B239" s="546" t="s">
        <v>372</v>
      </c>
      <c r="C239" s="910" t="e">
        <f>VLOOKUP(B234,'LƯƠNG KT'!$D$16:$AC$184,9,0)*$L$10</f>
        <v>#N/A</v>
      </c>
      <c r="D239" s="609" t="e">
        <f>+C239*0.5*3000</f>
        <v>#N/A</v>
      </c>
      <c r="E239" s="912"/>
      <c r="F239" s="912"/>
      <c r="G239" s="905" t="s">
        <v>371</v>
      </c>
      <c r="H239" s="546" t="s">
        <v>372</v>
      </c>
      <c r="I239" s="910" t="e">
        <f>VLOOKUP(H234,'LƯƠNG KT'!$D$16:$AC$184,9,0)*$L$10</f>
        <v>#N/A</v>
      </c>
      <c r="J239" s="609" t="e">
        <f>+I239*0.5*3000</f>
        <v>#N/A</v>
      </c>
      <c r="K239" s="935"/>
      <c r="L239" s="935"/>
      <c r="M239" s="935"/>
      <c r="N239" s="935"/>
      <c r="O239" s="935"/>
    </row>
    <row r="240" spans="1:15" ht="15" customHeight="1">
      <c r="A240" s="905" t="s">
        <v>374</v>
      </c>
      <c r="B240" s="546" t="s">
        <v>375</v>
      </c>
      <c r="C240" s="910" t="e">
        <f>VLOOKUP(B234,'LƯƠNG KT'!$D$16:$AC$184,8,0)*$L$11</f>
        <v>#N/A</v>
      </c>
      <c r="D240" s="609" t="e">
        <f>VLOOKUP(B234,'LƯƠNG KT'!$D$16:$AC$184,13,0)-D239</f>
        <v>#N/A</v>
      </c>
      <c r="E240" s="914"/>
      <c r="F240" s="912"/>
      <c r="G240" s="905" t="s">
        <v>374</v>
      </c>
      <c r="H240" s="546" t="s">
        <v>375</v>
      </c>
      <c r="I240" s="910" t="e">
        <f>VLOOKUP(H234,'LƯƠNG KT'!$D$16:$AC$184,8,0)*$L$11</f>
        <v>#N/A</v>
      </c>
      <c r="J240" s="609" t="e">
        <f>VLOOKUP(H234,'LƯƠNG KT'!$D$16:$AC$184,13,0)-J239+I236*20000+I237*20000</f>
        <v>#N/A</v>
      </c>
      <c r="K240" s="935"/>
      <c r="L240" s="935"/>
      <c r="M240" s="935"/>
      <c r="N240" s="935"/>
      <c r="O240" s="935"/>
    </row>
    <row r="241" spans="1:15" ht="15" customHeight="1">
      <c r="A241" s="609" t="s">
        <v>377</v>
      </c>
      <c r="B241" s="546" t="s">
        <v>378</v>
      </c>
      <c r="C241" s="910"/>
      <c r="D241" s="609"/>
      <c r="E241" s="916"/>
      <c r="F241" s="916"/>
      <c r="G241" s="609" t="s">
        <v>377</v>
      </c>
      <c r="H241" s="546" t="s">
        <v>378</v>
      </c>
      <c r="I241" s="910"/>
      <c r="J241" s="609"/>
    </row>
    <row r="242" spans="1:15" ht="15" customHeight="1">
      <c r="A242" s="547" t="s">
        <v>379</v>
      </c>
      <c r="B242" s="546" t="s">
        <v>380</v>
      </c>
      <c r="C242" s="910"/>
      <c r="D242" s="609">
        <f>56*25000</f>
        <v>1400000</v>
      </c>
      <c r="E242" s="914"/>
      <c r="F242" s="916"/>
      <c r="G242" s="547" t="s">
        <v>379</v>
      </c>
      <c r="H242" s="546" t="s">
        <v>380</v>
      </c>
      <c r="I242" s="910"/>
      <c r="J242" s="609">
        <f>56*25000</f>
        <v>1400000</v>
      </c>
    </row>
    <row r="243" spans="1:15" ht="15" customHeight="1">
      <c r="A243" s="905" t="s">
        <v>381</v>
      </c>
      <c r="B243" s="546" t="s">
        <v>382</v>
      </c>
      <c r="C243" s="910"/>
      <c r="D243" s="609">
        <f>D242</f>
        <v>1400000</v>
      </c>
      <c r="E243" s="917"/>
      <c r="F243" s="904"/>
      <c r="G243" s="905" t="s">
        <v>381</v>
      </c>
      <c r="H243" s="546" t="s">
        <v>382</v>
      </c>
      <c r="I243" s="910"/>
      <c r="J243" s="609">
        <f>J242</f>
        <v>1400000</v>
      </c>
    </row>
    <row r="244" spans="1:15" ht="15" customHeight="1">
      <c r="A244" s="918" t="s">
        <v>383</v>
      </c>
      <c r="B244" s="919" t="s">
        <v>384</v>
      </c>
      <c r="C244" s="920"/>
      <c r="D244" s="921" t="e">
        <f>SUM(D235:D240)-D243</f>
        <v>#N/A</v>
      </c>
      <c r="E244" s="922"/>
      <c r="F244" s="923"/>
      <c r="G244" s="918" t="s">
        <v>383</v>
      </c>
      <c r="H244" s="919" t="s">
        <v>384</v>
      </c>
      <c r="I244" s="920"/>
      <c r="J244" s="921" t="e">
        <f>SUM(J235:J240)-J243</f>
        <v>#N/A</v>
      </c>
    </row>
    <row r="245" spans="1:15" ht="15.75" customHeight="1">
      <c r="A245" s="924"/>
      <c r="B245" s="925"/>
      <c r="C245" s="926"/>
      <c r="D245" s="927"/>
      <c r="E245" s="927"/>
      <c r="F245" s="928"/>
      <c r="G245" s="924"/>
      <c r="H245" s="925"/>
      <c r="I245" s="926"/>
      <c r="J245" s="927"/>
    </row>
    <row r="247" spans="1:15" ht="12" customHeight="1">
      <c r="A247" s="2361"/>
      <c r="B247" s="2361"/>
      <c r="C247" s="2361"/>
      <c r="D247" s="2361"/>
      <c r="E247" s="2361"/>
      <c r="F247" s="2361"/>
      <c r="G247" s="2361"/>
      <c r="H247" s="2361"/>
      <c r="I247" s="2361"/>
      <c r="J247" s="2361"/>
    </row>
    <row r="248" spans="1:15" ht="15" customHeight="1">
      <c r="A248" s="2360" t="str">
        <f>$K$2</f>
        <v>THÁNG 09/2024</v>
      </c>
      <c r="B248" s="2360"/>
      <c r="C248" s="2360"/>
      <c r="D248" s="2360"/>
      <c r="E248" s="903"/>
      <c r="F248" s="904"/>
      <c r="G248" s="2360" t="str">
        <f>$K$2</f>
        <v>THÁNG 09/2024</v>
      </c>
      <c r="H248" s="2360"/>
      <c r="I248" s="2360"/>
      <c r="J248" s="2360"/>
      <c r="K248" s="276"/>
    </row>
    <row r="249" spans="1:15" ht="15" customHeight="1">
      <c r="A249" s="905" t="s">
        <v>356</v>
      </c>
      <c r="B249" s="642" t="s">
        <v>415</v>
      </c>
      <c r="C249" s="546"/>
      <c r="D249" s="902"/>
      <c r="E249" s="906"/>
      <c r="F249" s="907"/>
      <c r="G249" s="905" t="s">
        <v>356</v>
      </c>
      <c r="H249" s="642" t="s">
        <v>416</v>
      </c>
      <c r="I249" s="546"/>
      <c r="J249" s="902"/>
      <c r="L249" s="938"/>
      <c r="M249" s="938"/>
      <c r="N249" s="938"/>
      <c r="O249" s="938"/>
    </row>
    <row r="250" spans="1:15" ht="15" customHeight="1">
      <c r="A250" s="905" t="s">
        <v>359</v>
      </c>
      <c r="B250" s="939" t="s">
        <v>360</v>
      </c>
      <c r="C250" s="910" t="e">
        <f>VLOOKUP(B249,'LƯƠNG KT'!$D$16:$AC$184,3,0)</f>
        <v>#N/A</v>
      </c>
      <c r="D250" s="609" t="e">
        <f>+C250*25000</f>
        <v>#N/A</v>
      </c>
      <c r="E250" s="911"/>
      <c r="F250" s="911"/>
      <c r="G250" s="905" t="s">
        <v>359</v>
      </c>
      <c r="H250" s="939" t="s">
        <v>360</v>
      </c>
      <c r="I250" s="910" t="e">
        <f>VLOOKUP(H249,'LƯƠNG KT'!$D$16:$AC$184,3,0)</f>
        <v>#N/A</v>
      </c>
      <c r="J250" s="609" t="e">
        <f>+I250*25000</f>
        <v>#N/A</v>
      </c>
      <c r="K250" s="934"/>
      <c r="L250" s="935"/>
      <c r="M250" s="935"/>
      <c r="N250" s="935"/>
      <c r="O250" s="935"/>
    </row>
    <row r="251" spans="1:15" ht="15" customHeight="1">
      <c r="A251" s="905" t="s">
        <v>361</v>
      </c>
      <c r="B251" s="546" t="s">
        <v>362</v>
      </c>
      <c r="C251" s="910" t="e">
        <f>VLOOKUP(B249,'LƯƠNG KT'!$D$16:$AC$184,14,0)</f>
        <v>#N/A</v>
      </c>
      <c r="D251" s="609" t="e">
        <f>C251*$L$4</f>
        <v>#N/A</v>
      </c>
      <c r="E251" s="912"/>
      <c r="F251" s="912"/>
      <c r="G251" s="905" t="s">
        <v>361</v>
      </c>
      <c r="H251" s="546" t="s">
        <v>362</v>
      </c>
      <c r="I251" s="910" t="e">
        <f>VLOOKUP(H249,'LƯƠNG KT'!$D$16:$AC$184,14,0)</f>
        <v>#N/A</v>
      </c>
      <c r="J251" s="609" t="e">
        <f>I251*$L$4</f>
        <v>#N/A</v>
      </c>
      <c r="K251" s="934"/>
      <c r="L251" s="935"/>
      <c r="M251" s="935"/>
      <c r="N251" s="935"/>
      <c r="O251" s="935"/>
    </row>
    <row r="252" spans="1:15" ht="15" customHeight="1">
      <c r="A252" s="905" t="s">
        <v>364</v>
      </c>
      <c r="B252" s="546" t="s">
        <v>365</v>
      </c>
      <c r="C252" s="910" t="e">
        <f>VLOOKUP(B249,'LƯƠNG KT'!$D$16:$AC$184,15,0)</f>
        <v>#N/A</v>
      </c>
      <c r="D252" s="609" t="e">
        <f>C252*$L$5</f>
        <v>#N/A</v>
      </c>
      <c r="E252" s="912"/>
      <c r="F252" s="912"/>
      <c r="G252" s="905" t="s">
        <v>364</v>
      </c>
      <c r="H252" s="546" t="s">
        <v>365</v>
      </c>
      <c r="I252" s="910" t="e">
        <f>VLOOKUP(H249,'LƯƠNG KT'!$D$16:$AC$184,15,0)</f>
        <v>#N/A</v>
      </c>
      <c r="J252" s="609" t="e">
        <f>I252*$L$5</f>
        <v>#N/A</v>
      </c>
      <c r="K252" s="934"/>
      <c r="L252" s="935"/>
      <c r="M252" s="935"/>
      <c r="N252" s="935"/>
      <c r="O252" s="935"/>
    </row>
    <row r="253" spans="1:15" ht="15" customHeight="1">
      <c r="A253" s="905" t="s">
        <v>367</v>
      </c>
      <c r="B253" s="546"/>
      <c r="C253" s="910" t="e">
        <f>VLOOKUP(B249,'LƯƠNG KT'!$D$16:$AC$184,16,0)</f>
        <v>#N/A</v>
      </c>
      <c r="D253" s="609" t="e">
        <f>+C253*$L$6</f>
        <v>#N/A</v>
      </c>
      <c r="E253" s="912"/>
      <c r="F253" s="912"/>
      <c r="G253" s="905" t="s">
        <v>367</v>
      </c>
      <c r="H253" s="546"/>
      <c r="I253" s="910" t="e">
        <f>VLOOKUP(H249,'LƯƠNG KT'!$D$16:$AC$184,16,0)</f>
        <v>#N/A</v>
      </c>
      <c r="J253" s="609" t="e">
        <f>+I253*$L$6</f>
        <v>#N/A</v>
      </c>
      <c r="K253" s="935"/>
      <c r="L253" s="935"/>
      <c r="M253" s="935"/>
      <c r="N253" s="935"/>
      <c r="O253" s="935"/>
    </row>
    <row r="254" spans="1:15" ht="15" customHeight="1">
      <c r="A254" s="905" t="s">
        <v>371</v>
      </c>
      <c r="B254" s="546" t="s">
        <v>372</v>
      </c>
      <c r="C254" s="910" t="e">
        <f>VLOOKUP(B249,'LƯƠNG KT'!$D$16:$AC$184,9,0)*$L$10</f>
        <v>#N/A</v>
      </c>
      <c r="D254" s="609" t="e">
        <f>+C254*0.5*3000</f>
        <v>#N/A</v>
      </c>
      <c r="E254" s="912"/>
      <c r="F254" s="912"/>
      <c r="G254" s="905" t="s">
        <v>371</v>
      </c>
      <c r="H254" s="546" t="s">
        <v>372</v>
      </c>
      <c r="I254" s="910" t="e">
        <f>VLOOKUP(H249,'LƯƠNG KT'!$D$16:$AC$184,9,0)*$L$10</f>
        <v>#N/A</v>
      </c>
      <c r="J254" s="609" t="e">
        <f>+I254*0.5*3000</f>
        <v>#N/A</v>
      </c>
      <c r="K254" s="935"/>
      <c r="L254" s="935"/>
      <c r="M254" s="935"/>
      <c r="N254" s="935"/>
      <c r="O254" s="935"/>
    </row>
    <row r="255" spans="1:15" ht="15" customHeight="1">
      <c r="A255" s="905" t="s">
        <v>374</v>
      </c>
      <c r="B255" s="546" t="s">
        <v>375</v>
      </c>
      <c r="C255" s="910" t="e">
        <f>VLOOKUP(B249,'LƯƠNG KT'!$D$16:$AC$184,8,0)*$L$11</f>
        <v>#N/A</v>
      </c>
      <c r="D255" s="609" t="e">
        <f>VLOOKUP(B249,'LƯƠNG KT'!$D$16:$AC$184,13,0)-D254</f>
        <v>#N/A</v>
      </c>
      <c r="E255" s="914"/>
      <c r="F255" s="912"/>
      <c r="G255" s="905" t="s">
        <v>374</v>
      </c>
      <c r="H255" s="546" t="s">
        <v>375</v>
      </c>
      <c r="I255" s="910" t="e">
        <f>VLOOKUP(H249,'LƯƠNG KT'!$D$16:$AC$184,8,0)*$L$11</f>
        <v>#N/A</v>
      </c>
      <c r="J255" s="609" t="e">
        <f>VLOOKUP(H249,'LƯƠNG KT'!$D$16:$AC$184,13,0)-J254</f>
        <v>#N/A</v>
      </c>
      <c r="K255" s="935"/>
      <c r="L255" s="935"/>
      <c r="M255" s="935"/>
      <c r="N255" s="935"/>
      <c r="O255" s="935"/>
    </row>
    <row r="256" spans="1:15" ht="15" customHeight="1">
      <c r="A256" s="609" t="s">
        <v>377</v>
      </c>
      <c r="B256" s="546" t="s">
        <v>378</v>
      </c>
      <c r="C256" s="910"/>
      <c r="D256" s="609"/>
      <c r="E256" s="916"/>
      <c r="F256" s="916"/>
      <c r="G256" s="609" t="s">
        <v>377</v>
      </c>
      <c r="H256" s="546" t="s">
        <v>378</v>
      </c>
      <c r="I256" s="910"/>
      <c r="J256" s="609"/>
    </row>
    <row r="257" spans="1:15" ht="15" customHeight="1">
      <c r="A257" s="547" t="s">
        <v>379</v>
      </c>
      <c r="B257" s="546" t="s">
        <v>380</v>
      </c>
      <c r="C257" s="910"/>
      <c r="D257" s="609">
        <f>56*25000</f>
        <v>1400000</v>
      </c>
      <c r="E257" s="914"/>
      <c r="F257" s="916"/>
      <c r="G257" s="547" t="s">
        <v>379</v>
      </c>
      <c r="H257" s="546" t="s">
        <v>380</v>
      </c>
      <c r="I257" s="910"/>
      <c r="J257" s="609">
        <f>56*25000</f>
        <v>1400000</v>
      </c>
    </row>
    <row r="258" spans="1:15" ht="15" customHeight="1">
      <c r="A258" s="905" t="s">
        <v>381</v>
      </c>
      <c r="B258" s="546" t="s">
        <v>382</v>
      </c>
      <c r="C258" s="910"/>
      <c r="D258" s="609">
        <f>D257</f>
        <v>1400000</v>
      </c>
      <c r="E258" s="917"/>
      <c r="F258" s="904"/>
      <c r="G258" s="905" t="s">
        <v>381</v>
      </c>
      <c r="H258" s="546" t="s">
        <v>382</v>
      </c>
      <c r="I258" s="910"/>
      <c r="J258" s="609">
        <f>J257</f>
        <v>1400000</v>
      </c>
    </row>
    <row r="259" spans="1:15" ht="15" customHeight="1">
      <c r="A259" s="918" t="s">
        <v>383</v>
      </c>
      <c r="B259" s="919" t="s">
        <v>384</v>
      </c>
      <c r="C259" s="920"/>
      <c r="D259" s="921" t="e">
        <f>SUM(D250:D255)-D258</f>
        <v>#N/A</v>
      </c>
      <c r="E259" s="922"/>
      <c r="F259" s="923"/>
      <c r="G259" s="918" t="s">
        <v>383</v>
      </c>
      <c r="H259" s="919" t="s">
        <v>384</v>
      </c>
      <c r="I259" s="920"/>
      <c r="J259" s="921" t="e">
        <f>SUM(J250:J255)-J258</f>
        <v>#N/A</v>
      </c>
    </row>
    <row r="260" spans="1:15" ht="12.6" customHeight="1">
      <c r="A260" s="924"/>
      <c r="B260" s="925"/>
      <c r="C260" s="926"/>
      <c r="D260" s="927"/>
      <c r="E260" s="927"/>
      <c r="F260" s="928"/>
      <c r="G260" s="924"/>
      <c r="H260" s="925"/>
      <c r="I260" s="926"/>
      <c r="J260" s="927"/>
    </row>
    <row r="261" spans="1:15" ht="12.6" customHeight="1">
      <c r="A261" s="925"/>
      <c r="B261" s="925"/>
      <c r="C261" s="929"/>
      <c r="D261" s="930"/>
      <c r="E261" s="925"/>
      <c r="F261" s="931"/>
      <c r="G261" s="925"/>
      <c r="H261" s="925"/>
      <c r="I261" s="929"/>
      <c r="J261" s="930"/>
    </row>
    <row r="262" spans="1:15" ht="15" customHeight="1">
      <c r="A262" s="2360" t="str">
        <f>$K$2</f>
        <v>THÁNG 09/2024</v>
      </c>
      <c r="B262" s="2360"/>
      <c r="C262" s="2360"/>
      <c r="D262" s="2360"/>
      <c r="E262" s="903"/>
      <c r="F262" s="904"/>
      <c r="G262" s="2360" t="str">
        <f>$K$2</f>
        <v>THÁNG 09/2024</v>
      </c>
      <c r="H262" s="2360"/>
      <c r="I262" s="2360"/>
      <c r="J262" s="2360"/>
      <c r="K262" s="276"/>
    </row>
    <row r="263" spans="1:15" ht="15" customHeight="1">
      <c r="A263" s="905" t="s">
        <v>356</v>
      </c>
      <c r="B263" s="642" t="s">
        <v>417</v>
      </c>
      <c r="C263" s="546"/>
      <c r="D263" s="902"/>
      <c r="E263" s="906"/>
      <c r="F263" s="907"/>
      <c r="G263" s="905" t="s">
        <v>356</v>
      </c>
      <c r="H263" s="642" t="s">
        <v>418</v>
      </c>
      <c r="I263" s="546"/>
      <c r="J263" s="902"/>
      <c r="L263" s="938"/>
      <c r="M263" s="938"/>
      <c r="N263" s="938"/>
      <c r="O263" s="938"/>
    </row>
    <row r="264" spans="1:15" ht="15" customHeight="1">
      <c r="A264" s="905" t="s">
        <v>359</v>
      </c>
      <c r="B264" s="939" t="s">
        <v>360</v>
      </c>
      <c r="C264" s="910" t="e">
        <f>VLOOKUP(B263,'LƯƠNG KT'!$D$16:$AC$184,3,0)</f>
        <v>#N/A</v>
      </c>
      <c r="D264" s="609" t="e">
        <f>+C264*25000</f>
        <v>#N/A</v>
      </c>
      <c r="E264" s="911"/>
      <c r="F264" s="911"/>
      <c r="G264" s="905" t="s">
        <v>359</v>
      </c>
      <c r="H264" s="939" t="s">
        <v>360</v>
      </c>
      <c r="I264" s="910" t="e">
        <f>VLOOKUP(H263,'LƯƠNG KT'!$D$16:$AC$184,3,0)</f>
        <v>#N/A</v>
      </c>
      <c r="J264" s="609" t="e">
        <f>+I264*25000</f>
        <v>#N/A</v>
      </c>
      <c r="K264" s="935"/>
      <c r="L264" s="935"/>
      <c r="M264" s="935"/>
      <c r="N264" s="935"/>
      <c r="O264" s="935"/>
    </row>
    <row r="265" spans="1:15" ht="15" customHeight="1">
      <c r="A265" s="905" t="s">
        <v>361</v>
      </c>
      <c r="B265" s="546" t="s">
        <v>362</v>
      </c>
      <c r="C265" s="910" t="e">
        <f>VLOOKUP(B263,'LƯƠNG KT'!$D$16:$AC$184,14,0)</f>
        <v>#N/A</v>
      </c>
      <c r="D265" s="609" t="e">
        <f>C265*$L$4</f>
        <v>#N/A</v>
      </c>
      <c r="E265" s="912"/>
      <c r="F265" s="912"/>
      <c r="G265" s="905" t="s">
        <v>361</v>
      </c>
      <c r="H265" s="546" t="s">
        <v>362</v>
      </c>
      <c r="I265" s="910" t="e">
        <f>VLOOKUP(H263,'LƯƠNG KT'!$D$16:$AC$184,14,0)</f>
        <v>#N/A</v>
      </c>
      <c r="J265" s="609" t="e">
        <f>I265*$L$4</f>
        <v>#N/A</v>
      </c>
      <c r="K265" s="935"/>
      <c r="L265" s="935"/>
      <c r="M265" s="935"/>
      <c r="N265" s="935"/>
      <c r="O265" s="935"/>
    </row>
    <row r="266" spans="1:15" ht="15" customHeight="1">
      <c r="A266" s="905" t="s">
        <v>364</v>
      </c>
      <c r="B266" s="546" t="s">
        <v>365</v>
      </c>
      <c r="C266" s="910" t="e">
        <f>VLOOKUP(B263,'LƯƠNG KT'!$D$16:$AC$184,15,0)</f>
        <v>#N/A</v>
      </c>
      <c r="D266" s="609" t="e">
        <f>C266*$L$5</f>
        <v>#N/A</v>
      </c>
      <c r="E266" s="912"/>
      <c r="F266" s="912"/>
      <c r="G266" s="905" t="s">
        <v>364</v>
      </c>
      <c r="H266" s="546" t="s">
        <v>365</v>
      </c>
      <c r="I266" s="910" t="e">
        <f>VLOOKUP(H263,'LƯƠNG KT'!$D$16:$AC$184,15,0)</f>
        <v>#N/A</v>
      </c>
      <c r="J266" s="609" t="e">
        <f>I266*$L$5</f>
        <v>#N/A</v>
      </c>
      <c r="K266" s="935"/>
      <c r="L266" s="935"/>
      <c r="M266" s="935"/>
      <c r="N266" s="935"/>
      <c r="O266" s="935"/>
    </row>
    <row r="267" spans="1:15" ht="15" customHeight="1">
      <c r="A267" s="905" t="s">
        <v>367</v>
      </c>
      <c r="B267" s="546"/>
      <c r="C267" s="910" t="e">
        <f>VLOOKUP(B263,'LƯƠNG KT'!$D$16:$AC$184,16,0)</f>
        <v>#N/A</v>
      </c>
      <c r="D267" s="609" t="e">
        <f>+C267*$L$6</f>
        <v>#N/A</v>
      </c>
      <c r="E267" s="912"/>
      <c r="F267" s="912"/>
      <c r="G267" s="905" t="s">
        <v>367</v>
      </c>
      <c r="H267" s="546"/>
      <c r="I267" s="910" t="e">
        <f>VLOOKUP(H263,'LƯƠNG KT'!$D$16:$AC$184,16,0)</f>
        <v>#N/A</v>
      </c>
      <c r="J267" s="609" t="e">
        <f>+I267*$L$6</f>
        <v>#N/A</v>
      </c>
      <c r="K267" s="935"/>
      <c r="L267" s="935"/>
      <c r="M267" s="935"/>
      <c r="N267" s="935"/>
      <c r="O267" s="935"/>
    </row>
    <row r="268" spans="1:15" ht="15" customHeight="1">
      <c r="A268" s="905" t="s">
        <v>371</v>
      </c>
      <c r="B268" s="546" t="s">
        <v>372</v>
      </c>
      <c r="C268" s="910" t="e">
        <f>VLOOKUP(B263,'LƯƠNG KT'!$D$16:$AC$184,9,0)*$L$10</f>
        <v>#N/A</v>
      </c>
      <c r="D268" s="609" t="e">
        <f>+C268*0.5*3000</f>
        <v>#N/A</v>
      </c>
      <c r="E268" s="912"/>
      <c r="F268" s="912"/>
      <c r="G268" s="905" t="s">
        <v>371</v>
      </c>
      <c r="H268" s="546" t="s">
        <v>372</v>
      </c>
      <c r="I268" s="910" t="e">
        <f>VLOOKUP(H263,'LƯƠNG KT'!$D$16:$AC$184,9,0)*$L$10</f>
        <v>#N/A</v>
      </c>
      <c r="J268" s="609" t="e">
        <f>+I268*0.5*3000</f>
        <v>#N/A</v>
      </c>
      <c r="K268" s="935"/>
      <c r="L268" s="935"/>
      <c r="M268" s="935"/>
      <c r="N268" s="935"/>
      <c r="O268" s="935"/>
    </row>
    <row r="269" spans="1:15" ht="15" customHeight="1">
      <c r="A269" s="905" t="s">
        <v>374</v>
      </c>
      <c r="B269" s="546" t="s">
        <v>375</v>
      </c>
      <c r="C269" s="910" t="e">
        <f>VLOOKUP(B263,'LƯƠNG KT'!$D$16:$AC$184,8,0)*$L$11</f>
        <v>#N/A</v>
      </c>
      <c r="D269" s="609" t="e">
        <f>VLOOKUP(B263,'LƯƠNG KT'!$D$16:$AC$184,13,0)-D268</f>
        <v>#N/A</v>
      </c>
      <c r="E269" s="914"/>
      <c r="F269" s="912"/>
      <c r="G269" s="905" t="s">
        <v>374</v>
      </c>
      <c r="H269" s="546" t="s">
        <v>375</v>
      </c>
      <c r="I269" s="910" t="e">
        <f>VLOOKUP(H263,'LƯƠNG KT'!$D$16:$AC$184,8,0)*$L$11</f>
        <v>#N/A</v>
      </c>
      <c r="J269" s="609" t="e">
        <f>VLOOKUP(H263,'LƯƠNG KT'!$D$16:$AC$184,13,0)-J268</f>
        <v>#N/A</v>
      </c>
      <c r="K269" s="935"/>
      <c r="L269" s="935"/>
      <c r="M269" s="935"/>
      <c r="N269" s="935"/>
      <c r="O269" s="935"/>
    </row>
    <row r="270" spans="1:15" ht="15" customHeight="1">
      <c r="A270" s="609" t="s">
        <v>377</v>
      </c>
      <c r="B270" s="546" t="s">
        <v>378</v>
      </c>
      <c r="C270" s="910"/>
      <c r="D270" s="609"/>
      <c r="E270" s="916"/>
      <c r="F270" s="916"/>
      <c r="G270" s="609" t="s">
        <v>377</v>
      </c>
      <c r="H270" s="546" t="s">
        <v>378</v>
      </c>
      <c r="I270" s="910"/>
      <c r="J270" s="609"/>
    </row>
    <row r="271" spans="1:15" ht="15" customHeight="1">
      <c r="A271" s="547" t="s">
        <v>379</v>
      </c>
      <c r="B271" s="546" t="s">
        <v>380</v>
      </c>
      <c r="C271" s="910"/>
      <c r="D271" s="609">
        <f>56*25000</f>
        <v>1400000</v>
      </c>
      <c r="E271" s="914"/>
      <c r="F271" s="916"/>
      <c r="G271" s="547" t="s">
        <v>379</v>
      </c>
      <c r="H271" s="546" t="s">
        <v>380</v>
      </c>
      <c r="I271" s="910"/>
      <c r="J271" s="609">
        <f>56*25000</f>
        <v>1400000</v>
      </c>
    </row>
    <row r="272" spans="1:15" ht="15" customHeight="1">
      <c r="A272" s="905" t="s">
        <v>381</v>
      </c>
      <c r="B272" s="546" t="s">
        <v>382</v>
      </c>
      <c r="C272" s="910"/>
      <c r="D272" s="609">
        <f>D271</f>
        <v>1400000</v>
      </c>
      <c r="E272" s="917"/>
      <c r="F272" s="904"/>
      <c r="G272" s="905" t="s">
        <v>381</v>
      </c>
      <c r="H272" s="546" t="s">
        <v>382</v>
      </c>
      <c r="I272" s="910"/>
      <c r="J272" s="609">
        <f>J271</f>
        <v>1400000</v>
      </c>
    </row>
    <row r="273" spans="1:15" ht="15" customHeight="1">
      <c r="A273" s="918" t="s">
        <v>383</v>
      </c>
      <c r="B273" s="919" t="s">
        <v>384</v>
      </c>
      <c r="C273" s="920"/>
      <c r="D273" s="921" t="e">
        <f>SUM(D264:D269)-D272</f>
        <v>#N/A</v>
      </c>
      <c r="E273" s="922"/>
      <c r="F273" s="923"/>
      <c r="G273" s="918" t="s">
        <v>383</v>
      </c>
      <c r="H273" s="919" t="s">
        <v>384</v>
      </c>
      <c r="I273" s="920"/>
      <c r="J273" s="921" t="e">
        <f>SUM(J264:J269)-J272</f>
        <v>#N/A</v>
      </c>
    </row>
    <row r="274" spans="1:15" ht="18.75" customHeight="1">
      <c r="A274" s="924"/>
      <c r="B274" s="925"/>
      <c r="C274" s="926"/>
      <c r="D274" s="927"/>
      <c r="E274" s="927"/>
      <c r="F274" s="928"/>
      <c r="G274" s="924"/>
      <c r="H274" s="925"/>
      <c r="I274" s="926"/>
      <c r="J274" s="927"/>
    </row>
    <row r="275" spans="1:15" ht="18.75" customHeight="1">
      <c r="A275" s="925"/>
      <c r="B275" s="925"/>
      <c r="C275" s="929"/>
      <c r="D275" s="930"/>
      <c r="E275" s="925"/>
      <c r="F275" s="931"/>
      <c r="G275" s="925"/>
      <c r="H275" s="925"/>
      <c r="I275" s="929"/>
      <c r="J275" s="930"/>
    </row>
    <row r="276" spans="1:15" ht="15" customHeight="1">
      <c r="A276" s="2360" t="str">
        <f>$K$2</f>
        <v>THÁNG 09/2024</v>
      </c>
      <c r="B276" s="2360"/>
      <c r="C276" s="2360"/>
      <c r="D276" s="2360"/>
      <c r="E276" s="903"/>
      <c r="F276" s="904"/>
      <c r="G276" s="2360" t="str">
        <f>$K$2</f>
        <v>THÁNG 09/2024</v>
      </c>
      <c r="H276" s="2360"/>
      <c r="I276" s="2360"/>
      <c r="J276" s="2360"/>
      <c r="K276" s="276"/>
    </row>
    <row r="277" spans="1:15" ht="15" customHeight="1">
      <c r="A277" s="905" t="s">
        <v>356</v>
      </c>
      <c r="B277" s="642" t="s">
        <v>419</v>
      </c>
      <c r="C277" s="546"/>
      <c r="D277" s="902"/>
      <c r="E277" s="906"/>
      <c r="F277" s="907"/>
      <c r="G277" s="905" t="s">
        <v>356</v>
      </c>
      <c r="H277" s="642" t="s">
        <v>420</v>
      </c>
      <c r="I277" s="546"/>
      <c r="J277" s="902"/>
      <c r="L277" s="938"/>
      <c r="M277" s="938"/>
      <c r="N277" s="938"/>
      <c r="O277" s="938"/>
    </row>
    <row r="278" spans="1:15" ht="15" customHeight="1">
      <c r="A278" s="905" t="s">
        <v>359</v>
      </c>
      <c r="B278" s="939" t="s">
        <v>360</v>
      </c>
      <c r="C278" s="910" t="e">
        <f>VLOOKUP(B277,'LƯƠNG KT'!$D$16:$AC$184,3,0)</f>
        <v>#N/A</v>
      </c>
      <c r="D278" s="609" t="e">
        <f>+C278*25000</f>
        <v>#N/A</v>
      </c>
      <c r="E278" s="911"/>
      <c r="F278" s="911"/>
      <c r="G278" s="905" t="s">
        <v>359</v>
      </c>
      <c r="H278" s="939" t="s">
        <v>360</v>
      </c>
      <c r="I278" s="910" t="e">
        <f>VLOOKUP(H277,'LƯƠNG KT'!$D$16:$AC$184,3,0)</f>
        <v>#N/A</v>
      </c>
      <c r="J278" s="609" t="e">
        <f>+I278*25000</f>
        <v>#N/A</v>
      </c>
      <c r="K278" s="935"/>
      <c r="L278" s="935"/>
      <c r="M278" s="935"/>
      <c r="N278" s="935"/>
      <c r="O278" s="935"/>
    </row>
    <row r="279" spans="1:15" ht="15" customHeight="1">
      <c r="A279" s="905" t="s">
        <v>361</v>
      </c>
      <c r="B279" s="546" t="s">
        <v>362</v>
      </c>
      <c r="C279" s="910" t="e">
        <f>VLOOKUP(B277,'LƯƠNG KT'!$D$16:$AC$184,14,0)</f>
        <v>#N/A</v>
      </c>
      <c r="D279" s="609" t="e">
        <f>C279*$L$4</f>
        <v>#N/A</v>
      </c>
      <c r="E279" s="912"/>
      <c r="F279" s="912"/>
      <c r="G279" s="905" t="s">
        <v>361</v>
      </c>
      <c r="H279" s="546" t="s">
        <v>362</v>
      </c>
      <c r="I279" s="910" t="e">
        <f>VLOOKUP(H277,'LƯƠNG KT'!$D$16:$AC$184,14,0)</f>
        <v>#N/A</v>
      </c>
      <c r="J279" s="609" t="e">
        <f>I279*$L$4</f>
        <v>#N/A</v>
      </c>
      <c r="K279" s="935"/>
      <c r="L279" s="935"/>
      <c r="M279" s="935"/>
      <c r="N279" s="935"/>
      <c r="O279" s="935"/>
    </row>
    <row r="280" spans="1:15" ht="15" customHeight="1">
      <c r="A280" s="905" t="s">
        <v>364</v>
      </c>
      <c r="B280" s="546" t="s">
        <v>365</v>
      </c>
      <c r="C280" s="910" t="e">
        <f>VLOOKUP(B277,'LƯƠNG KT'!$D$16:$AC$184,15,0)</f>
        <v>#N/A</v>
      </c>
      <c r="D280" s="609" t="e">
        <f>C280*$L$5</f>
        <v>#N/A</v>
      </c>
      <c r="E280" s="912"/>
      <c r="F280" s="912"/>
      <c r="G280" s="905" t="s">
        <v>364</v>
      </c>
      <c r="H280" s="546" t="s">
        <v>365</v>
      </c>
      <c r="I280" s="910" t="e">
        <f>VLOOKUP(H277,'LƯƠNG KT'!$D$16:$AC$184,15,0)</f>
        <v>#N/A</v>
      </c>
      <c r="J280" s="609" t="e">
        <f>I280*$L$5</f>
        <v>#N/A</v>
      </c>
      <c r="K280" s="935"/>
      <c r="L280" s="935"/>
      <c r="M280" s="935"/>
      <c r="N280" s="935"/>
      <c r="O280" s="935"/>
    </row>
    <row r="281" spans="1:15" ht="15" customHeight="1">
      <c r="A281" s="905" t="s">
        <v>367</v>
      </c>
      <c r="B281" s="546"/>
      <c r="C281" s="910" t="e">
        <f>VLOOKUP(B277,'LƯƠNG KT'!$D$16:$AC$184,16,0)</f>
        <v>#N/A</v>
      </c>
      <c r="D281" s="609" t="e">
        <f>+C281*$L$6</f>
        <v>#N/A</v>
      </c>
      <c r="E281" s="912"/>
      <c r="F281" s="912"/>
      <c r="G281" s="905" t="s">
        <v>367</v>
      </c>
      <c r="H281" s="546"/>
      <c r="I281" s="910" t="e">
        <f>VLOOKUP(H277,'LƯƠNG KT'!$D$16:$AC$184,16,0)</f>
        <v>#N/A</v>
      </c>
      <c r="J281" s="609" t="e">
        <f>+I281*$L$6</f>
        <v>#N/A</v>
      </c>
      <c r="K281" s="935"/>
      <c r="L281" s="935"/>
      <c r="M281" s="935"/>
      <c r="N281" s="935"/>
      <c r="O281" s="935"/>
    </row>
    <row r="282" spans="1:15" ht="15" customHeight="1">
      <c r="A282" s="905" t="s">
        <v>371</v>
      </c>
      <c r="B282" s="546" t="s">
        <v>372</v>
      </c>
      <c r="C282" s="910" t="e">
        <f>VLOOKUP(B277,'LƯƠNG KT'!$D$16:$AC$184,9,0)*$L$10</f>
        <v>#N/A</v>
      </c>
      <c r="D282" s="609" t="e">
        <f>+C282*0.5*3000</f>
        <v>#N/A</v>
      </c>
      <c r="E282" s="912"/>
      <c r="F282" s="912"/>
      <c r="G282" s="905" t="s">
        <v>371</v>
      </c>
      <c r="H282" s="546" t="s">
        <v>372</v>
      </c>
      <c r="I282" s="910" t="e">
        <f>VLOOKUP(H277,'LƯƠNG KT'!$D$16:$AC$184,9,0)*$L$10</f>
        <v>#N/A</v>
      </c>
      <c r="J282" s="609" t="e">
        <f>+I282*0.5*3000</f>
        <v>#N/A</v>
      </c>
      <c r="K282" s="935"/>
      <c r="L282" s="935"/>
      <c r="M282" s="935"/>
      <c r="N282" s="935"/>
      <c r="O282" s="935"/>
    </row>
    <row r="283" spans="1:15" ht="15" customHeight="1">
      <c r="A283" s="905" t="s">
        <v>374</v>
      </c>
      <c r="B283" s="546" t="s">
        <v>375</v>
      </c>
      <c r="C283" s="910" t="e">
        <f>VLOOKUP(B277,'LƯƠNG KT'!$D$16:$AC$184,8,0)*$L$11</f>
        <v>#N/A</v>
      </c>
      <c r="D283" s="609" t="e">
        <f>VLOOKUP(B277,'LƯƠNG KT'!$D$16:$AC$184,13,0)-D282</f>
        <v>#N/A</v>
      </c>
      <c r="E283" s="914"/>
      <c r="F283" s="912"/>
      <c r="G283" s="905" t="s">
        <v>374</v>
      </c>
      <c r="H283" s="546" t="s">
        <v>375</v>
      </c>
      <c r="I283" s="910" t="e">
        <f>VLOOKUP(H277,'LƯƠNG KT'!$D$16:$AC$184,8,0)*$L$11</f>
        <v>#N/A</v>
      </c>
      <c r="J283" s="609" t="e">
        <f>VLOOKUP(H277,'LƯƠNG KT'!$D$16:$AC$184,13,0)-J282</f>
        <v>#N/A</v>
      </c>
      <c r="K283" s="935"/>
      <c r="L283" s="935"/>
      <c r="M283" s="935"/>
      <c r="N283" s="935"/>
      <c r="O283" s="935"/>
    </row>
    <row r="284" spans="1:15" ht="15" customHeight="1">
      <c r="A284" s="609" t="s">
        <v>377</v>
      </c>
      <c r="B284" s="546" t="s">
        <v>378</v>
      </c>
      <c r="C284" s="910"/>
      <c r="D284" s="609"/>
      <c r="E284" s="916"/>
      <c r="F284" s="916"/>
      <c r="G284" s="609" t="s">
        <v>377</v>
      </c>
      <c r="H284" s="546" t="s">
        <v>378</v>
      </c>
      <c r="I284" s="910"/>
      <c r="J284" s="609"/>
    </row>
    <row r="285" spans="1:15" ht="15" customHeight="1">
      <c r="A285" s="547" t="s">
        <v>379</v>
      </c>
      <c r="B285" s="546" t="s">
        <v>380</v>
      </c>
      <c r="C285" s="910"/>
      <c r="D285" s="609">
        <f>56*25000</f>
        <v>1400000</v>
      </c>
      <c r="E285" s="914"/>
      <c r="F285" s="916"/>
      <c r="G285" s="547" t="s">
        <v>379</v>
      </c>
      <c r="H285" s="546" t="s">
        <v>380</v>
      </c>
      <c r="I285" s="910"/>
      <c r="J285" s="609">
        <f>56*25000</f>
        <v>1400000</v>
      </c>
    </row>
    <row r="286" spans="1:15" ht="15" customHeight="1">
      <c r="A286" s="905" t="s">
        <v>381</v>
      </c>
      <c r="B286" s="546" t="s">
        <v>382</v>
      </c>
      <c r="C286" s="910"/>
      <c r="D286" s="609">
        <f>D285</f>
        <v>1400000</v>
      </c>
      <c r="E286" s="917"/>
      <c r="F286" s="904"/>
      <c r="G286" s="905" t="s">
        <v>381</v>
      </c>
      <c r="H286" s="546" t="s">
        <v>382</v>
      </c>
      <c r="I286" s="910"/>
      <c r="J286" s="609">
        <f>J285</f>
        <v>1400000</v>
      </c>
    </row>
    <row r="287" spans="1:15" ht="15" customHeight="1">
      <c r="A287" s="918" t="s">
        <v>383</v>
      </c>
      <c r="B287" s="919" t="s">
        <v>384</v>
      </c>
      <c r="C287" s="920"/>
      <c r="D287" s="921" t="e">
        <f>SUM(D278:D283)-D286</f>
        <v>#N/A</v>
      </c>
      <c r="E287" s="922"/>
      <c r="F287" s="923"/>
      <c r="G287" s="918" t="s">
        <v>383</v>
      </c>
      <c r="H287" s="919" t="s">
        <v>384</v>
      </c>
      <c r="I287" s="920"/>
      <c r="J287" s="921" t="e">
        <f>SUM(J278:J283)-J286</f>
        <v>#N/A</v>
      </c>
    </row>
    <row r="288" spans="1:15" ht="18.75" customHeight="1">
      <c r="A288" s="924"/>
      <c r="B288" s="925"/>
      <c r="C288" s="926"/>
      <c r="D288" s="927"/>
      <c r="E288" s="927"/>
      <c r="F288" s="928"/>
      <c r="G288" s="924"/>
      <c r="H288" s="925"/>
      <c r="I288" s="926"/>
      <c r="J288" s="927"/>
    </row>
    <row r="289" spans="1:15" ht="18.75" customHeight="1">
      <c r="A289" s="925"/>
      <c r="B289" s="925"/>
      <c r="C289" s="929"/>
      <c r="D289" s="930"/>
      <c r="E289" s="925"/>
      <c r="F289" s="931"/>
      <c r="G289" s="925"/>
      <c r="H289" s="925"/>
      <c r="I289" s="929"/>
      <c r="J289" s="930"/>
    </row>
    <row r="290" spans="1:15" ht="15" customHeight="1">
      <c r="A290" s="2360" t="str">
        <f>$K$2</f>
        <v>THÁNG 09/2024</v>
      </c>
      <c r="B290" s="2360"/>
      <c r="C290" s="2360"/>
      <c r="D290" s="2360"/>
      <c r="E290" s="903"/>
      <c r="F290" s="904"/>
      <c r="G290" s="2360" t="str">
        <f>$K$2</f>
        <v>THÁNG 09/2024</v>
      </c>
      <c r="H290" s="2360"/>
      <c r="I290" s="2360"/>
      <c r="J290" s="2360"/>
      <c r="K290" s="276"/>
    </row>
    <row r="291" spans="1:15" ht="15" customHeight="1">
      <c r="A291" s="905" t="s">
        <v>356</v>
      </c>
      <c r="B291" s="642" t="s">
        <v>421</v>
      </c>
      <c r="C291" s="546"/>
      <c r="D291" s="902"/>
      <c r="E291" s="906"/>
      <c r="F291" s="907"/>
      <c r="G291" s="905" t="s">
        <v>356</v>
      </c>
      <c r="H291" s="642" t="s">
        <v>422</v>
      </c>
      <c r="I291" s="546"/>
      <c r="J291" s="902"/>
      <c r="L291" s="938"/>
      <c r="M291" s="938"/>
      <c r="N291" s="938"/>
      <c r="O291" s="938"/>
    </row>
    <row r="292" spans="1:15" ht="15" customHeight="1">
      <c r="A292" s="905" t="s">
        <v>359</v>
      </c>
      <c r="B292" s="939" t="s">
        <v>360</v>
      </c>
      <c r="C292" s="910" t="e">
        <f>VLOOKUP(B291,'LƯƠNG KT'!$D$16:$AC$184,3,0)</f>
        <v>#N/A</v>
      </c>
      <c r="D292" s="609" t="e">
        <f>+C292*25000</f>
        <v>#N/A</v>
      </c>
      <c r="E292" s="911"/>
      <c r="F292" s="911"/>
      <c r="G292" s="905" t="s">
        <v>359</v>
      </c>
      <c r="H292" s="939" t="s">
        <v>360</v>
      </c>
      <c r="I292" s="910" t="e">
        <f>VLOOKUP(H291,'LƯƠNG KT'!$D$16:$AC$184,3,0)</f>
        <v>#N/A</v>
      </c>
      <c r="J292" s="609" t="e">
        <f>+I292*25000</f>
        <v>#N/A</v>
      </c>
      <c r="K292" s="935"/>
      <c r="L292" s="935"/>
      <c r="M292" s="935"/>
      <c r="N292" s="935"/>
      <c r="O292" s="935"/>
    </row>
    <row r="293" spans="1:15" ht="15" customHeight="1">
      <c r="A293" s="905" t="s">
        <v>361</v>
      </c>
      <c r="B293" s="546" t="s">
        <v>362</v>
      </c>
      <c r="C293" s="910" t="e">
        <f>VLOOKUP(B291,'LƯƠNG KT'!$D$16:$AC$184,14,0)</f>
        <v>#N/A</v>
      </c>
      <c r="D293" s="609" t="e">
        <f>C293*$L$4</f>
        <v>#N/A</v>
      </c>
      <c r="E293" s="912"/>
      <c r="F293" s="912"/>
      <c r="G293" s="905" t="s">
        <v>361</v>
      </c>
      <c r="H293" s="546" t="s">
        <v>362</v>
      </c>
      <c r="I293" s="910" t="e">
        <f>VLOOKUP(H291,'LƯƠNG KT'!$D$16:$AC$184,14,0)</f>
        <v>#N/A</v>
      </c>
      <c r="J293" s="609" t="e">
        <f>I293*$L$4</f>
        <v>#N/A</v>
      </c>
      <c r="K293" s="935"/>
      <c r="L293" s="935"/>
      <c r="M293" s="935"/>
      <c r="N293" s="935"/>
      <c r="O293" s="935"/>
    </row>
    <row r="294" spans="1:15" ht="15" customHeight="1">
      <c r="A294" s="905" t="s">
        <v>364</v>
      </c>
      <c r="B294" s="546" t="s">
        <v>365</v>
      </c>
      <c r="C294" s="910" t="e">
        <f>VLOOKUP(B291,'LƯƠNG KT'!$D$16:$AC$184,15,0)</f>
        <v>#N/A</v>
      </c>
      <c r="D294" s="609" t="e">
        <f>C294*$L$5</f>
        <v>#N/A</v>
      </c>
      <c r="E294" s="912"/>
      <c r="F294" s="912"/>
      <c r="G294" s="905" t="s">
        <v>364</v>
      </c>
      <c r="H294" s="546" t="s">
        <v>365</v>
      </c>
      <c r="I294" s="910" t="e">
        <f>VLOOKUP(H291,'LƯƠNG KT'!$D$16:$AC$184,15,0)</f>
        <v>#N/A</v>
      </c>
      <c r="J294" s="609" t="e">
        <f>I294*$L$5</f>
        <v>#N/A</v>
      </c>
      <c r="K294" s="935"/>
      <c r="L294" s="935"/>
      <c r="M294" s="935"/>
      <c r="N294" s="935"/>
      <c r="O294" s="935"/>
    </row>
    <row r="295" spans="1:15" ht="15" customHeight="1">
      <c r="A295" s="905" t="s">
        <v>367</v>
      </c>
      <c r="B295" s="546"/>
      <c r="C295" s="910" t="e">
        <f>VLOOKUP(B291,'LƯƠNG KT'!$D$16:$AC$184,16,0)</f>
        <v>#N/A</v>
      </c>
      <c r="D295" s="609" t="e">
        <f>+C295*$L$6</f>
        <v>#N/A</v>
      </c>
      <c r="E295" s="912"/>
      <c r="F295" s="912"/>
      <c r="G295" s="905" t="s">
        <v>367</v>
      </c>
      <c r="H295" s="546"/>
      <c r="I295" s="910" t="e">
        <f>VLOOKUP(H291,'LƯƠNG KT'!$D$16:$AC$184,16,0)</f>
        <v>#N/A</v>
      </c>
      <c r="J295" s="609" t="e">
        <f>+I295*$L$6</f>
        <v>#N/A</v>
      </c>
      <c r="K295" s="935"/>
      <c r="L295" s="935"/>
      <c r="M295" s="935"/>
      <c r="N295" s="935"/>
      <c r="O295" s="935"/>
    </row>
    <row r="296" spans="1:15" ht="15" customHeight="1">
      <c r="A296" s="905" t="s">
        <v>371</v>
      </c>
      <c r="B296" s="546" t="s">
        <v>372</v>
      </c>
      <c r="C296" s="910" t="e">
        <f>VLOOKUP(B291,'LƯƠNG KT'!$D$16:$AC$184,9,0)*$L$10</f>
        <v>#N/A</v>
      </c>
      <c r="D296" s="609" t="e">
        <f>+C296*0.5*3000</f>
        <v>#N/A</v>
      </c>
      <c r="E296" s="912"/>
      <c r="F296" s="912"/>
      <c r="G296" s="905" t="s">
        <v>371</v>
      </c>
      <c r="H296" s="546" t="s">
        <v>372</v>
      </c>
      <c r="I296" s="910" t="e">
        <f>VLOOKUP(H291,'LƯƠNG KT'!$D$16:$AC$184,9,0)*$L$10</f>
        <v>#N/A</v>
      </c>
      <c r="J296" s="609" t="e">
        <f>+I296*0.5*3000</f>
        <v>#N/A</v>
      </c>
      <c r="K296" s="935"/>
      <c r="L296" s="935"/>
      <c r="M296" s="935"/>
      <c r="N296" s="935"/>
      <c r="O296" s="935"/>
    </row>
    <row r="297" spans="1:15" ht="15" customHeight="1">
      <c r="A297" s="905" t="s">
        <v>374</v>
      </c>
      <c r="B297" s="546" t="s">
        <v>375</v>
      </c>
      <c r="C297" s="910" t="e">
        <f>VLOOKUP(B291,'LƯƠNG KT'!$D$16:$AC$184,8,0)*$L$11</f>
        <v>#N/A</v>
      </c>
      <c r="D297" s="609" t="e">
        <f>VLOOKUP(B291,'LƯƠNG KT'!$D$16:$AC$184,13,0)-D296+C293*20000+C294*20000</f>
        <v>#N/A</v>
      </c>
      <c r="E297" s="914"/>
      <c r="F297" s="912"/>
      <c r="G297" s="905" t="s">
        <v>374</v>
      </c>
      <c r="H297" s="546" t="s">
        <v>375</v>
      </c>
      <c r="I297" s="910" t="e">
        <f>VLOOKUP(H291,'LƯƠNG KT'!$D$16:$AC$184,8,0)*$L$11</f>
        <v>#N/A</v>
      </c>
      <c r="J297" s="609" t="e">
        <f>VLOOKUP(H291,'LƯƠNG KT'!$D$16:$AC$184,13,0)-J296</f>
        <v>#N/A</v>
      </c>
      <c r="K297" s="935"/>
      <c r="L297" s="935"/>
      <c r="M297" s="935"/>
      <c r="N297" s="935"/>
      <c r="O297" s="935"/>
    </row>
    <row r="298" spans="1:15" ht="15" customHeight="1">
      <c r="A298" s="609" t="s">
        <v>377</v>
      </c>
      <c r="B298" s="546" t="s">
        <v>378</v>
      </c>
      <c r="C298" s="910"/>
      <c r="D298" s="609"/>
      <c r="E298" s="916"/>
      <c r="F298" s="916"/>
      <c r="G298" s="609" t="s">
        <v>377</v>
      </c>
      <c r="H298" s="546" t="s">
        <v>378</v>
      </c>
      <c r="I298" s="910"/>
      <c r="J298" s="609"/>
    </row>
    <row r="299" spans="1:15" ht="15" customHeight="1">
      <c r="A299" s="547" t="s">
        <v>379</v>
      </c>
      <c r="B299" s="546" t="s">
        <v>380</v>
      </c>
      <c r="C299" s="910"/>
      <c r="D299" s="609">
        <f>56*25000</f>
        <v>1400000</v>
      </c>
      <c r="E299" s="914"/>
      <c r="F299" s="916"/>
      <c r="G299" s="547" t="s">
        <v>379</v>
      </c>
      <c r="H299" s="546" t="s">
        <v>380</v>
      </c>
      <c r="I299" s="910"/>
      <c r="J299" s="609">
        <f>56*25000</f>
        <v>1400000</v>
      </c>
    </row>
    <row r="300" spans="1:15" ht="15" customHeight="1">
      <c r="A300" s="905" t="s">
        <v>381</v>
      </c>
      <c r="B300" s="546" t="s">
        <v>382</v>
      </c>
      <c r="C300" s="910"/>
      <c r="D300" s="609">
        <f>D299</f>
        <v>1400000</v>
      </c>
      <c r="E300" s="917"/>
      <c r="F300" s="904"/>
      <c r="G300" s="905" t="s">
        <v>381</v>
      </c>
      <c r="H300" s="546" t="s">
        <v>382</v>
      </c>
      <c r="I300" s="910"/>
      <c r="J300" s="609">
        <f>J299</f>
        <v>1400000</v>
      </c>
    </row>
    <row r="301" spans="1:15" ht="15" customHeight="1">
      <c r="A301" s="918" t="s">
        <v>383</v>
      </c>
      <c r="B301" s="919" t="s">
        <v>384</v>
      </c>
      <c r="C301" s="920"/>
      <c r="D301" s="921" t="e">
        <f>SUM(D292:D297)-D300</f>
        <v>#N/A</v>
      </c>
      <c r="E301" s="922"/>
      <c r="F301" s="923"/>
      <c r="G301" s="918" t="s">
        <v>383</v>
      </c>
      <c r="H301" s="919" t="s">
        <v>384</v>
      </c>
      <c r="I301" s="920"/>
      <c r="J301" s="921" t="e">
        <f>SUM(J292:J297)-J300</f>
        <v>#N/A</v>
      </c>
    </row>
    <row r="302" spans="1:15" ht="15.75" customHeight="1">
      <c r="A302" s="924"/>
      <c r="B302" s="925"/>
      <c r="C302" s="926"/>
      <c r="D302" s="927"/>
      <c r="E302" s="927"/>
      <c r="F302" s="928"/>
      <c r="G302" s="924"/>
      <c r="H302" s="925"/>
      <c r="I302" s="926"/>
      <c r="J302" s="927"/>
    </row>
    <row r="304" spans="1:15" ht="12" customHeight="1">
      <c r="A304" s="2361"/>
      <c r="B304" s="2361"/>
      <c r="C304" s="2361"/>
      <c r="D304" s="2361"/>
      <c r="E304" s="2361"/>
      <c r="F304" s="2361"/>
      <c r="G304" s="2361"/>
      <c r="H304" s="2361"/>
      <c r="I304" s="2361"/>
      <c r="J304" s="2361"/>
    </row>
    <row r="305" spans="1:15" ht="15" customHeight="1">
      <c r="A305" s="2360" t="str">
        <f>$K$2</f>
        <v>THÁNG 09/2024</v>
      </c>
      <c r="B305" s="2360"/>
      <c r="C305" s="2360"/>
      <c r="D305" s="2360"/>
      <c r="E305" s="903"/>
      <c r="F305" s="904"/>
      <c r="G305" s="2360" t="str">
        <f>$K$2</f>
        <v>THÁNG 09/2024</v>
      </c>
      <c r="H305" s="2360"/>
      <c r="I305" s="2360"/>
      <c r="J305" s="2360"/>
      <c r="K305" s="276"/>
    </row>
    <row r="306" spans="1:15" ht="15" customHeight="1">
      <c r="A306" s="905" t="s">
        <v>356</v>
      </c>
      <c r="B306" s="642" t="s">
        <v>423</v>
      </c>
      <c r="C306" s="546"/>
      <c r="D306" s="902"/>
      <c r="E306" s="906"/>
      <c r="F306" s="907"/>
      <c r="G306" s="905" t="s">
        <v>356</v>
      </c>
      <c r="H306" s="642" t="s">
        <v>424</v>
      </c>
      <c r="I306" s="546"/>
      <c r="J306" s="902"/>
      <c r="L306" s="938"/>
      <c r="M306" s="938"/>
      <c r="N306" s="938"/>
      <c r="O306" s="938"/>
    </row>
    <row r="307" spans="1:15" ht="15" customHeight="1">
      <c r="A307" s="905" t="s">
        <v>359</v>
      </c>
      <c r="B307" s="939" t="s">
        <v>360</v>
      </c>
      <c r="C307" s="910" t="e">
        <f>VLOOKUP(B306,'LƯƠNG KT'!$D$16:$AC$184,3,0)</f>
        <v>#N/A</v>
      </c>
      <c r="D307" s="609" t="e">
        <f>+C307*25000</f>
        <v>#N/A</v>
      </c>
      <c r="E307" s="911"/>
      <c r="F307" s="911"/>
      <c r="G307" s="905" t="s">
        <v>359</v>
      </c>
      <c r="H307" s="939" t="s">
        <v>360</v>
      </c>
      <c r="I307" s="910" t="e">
        <f>VLOOKUP(H306,'LƯƠNG KT'!$D$16:$AC$184,3,0)</f>
        <v>#N/A</v>
      </c>
      <c r="J307" s="609" t="e">
        <f>+I307*25000</f>
        <v>#N/A</v>
      </c>
      <c r="K307" s="934"/>
      <c r="L307" s="935"/>
      <c r="M307" s="935"/>
      <c r="N307" s="935"/>
      <c r="O307" s="935"/>
    </row>
    <row r="308" spans="1:15" ht="15" customHeight="1">
      <c r="A308" s="905" t="s">
        <v>361</v>
      </c>
      <c r="B308" s="546" t="s">
        <v>362</v>
      </c>
      <c r="C308" s="910" t="e">
        <f>VLOOKUP(B306,'LƯƠNG KT'!$D$16:$AC$184,14,0)</f>
        <v>#N/A</v>
      </c>
      <c r="D308" s="609" t="e">
        <f>C308*$L$4</f>
        <v>#N/A</v>
      </c>
      <c r="E308" s="912"/>
      <c r="F308" s="912"/>
      <c r="G308" s="905" t="s">
        <v>361</v>
      </c>
      <c r="H308" s="546" t="s">
        <v>362</v>
      </c>
      <c r="I308" s="910" t="e">
        <f>VLOOKUP(H306,'LƯƠNG KT'!$D$16:$AC$184,14,0)</f>
        <v>#N/A</v>
      </c>
      <c r="J308" s="609" t="e">
        <f>I308*$L$4</f>
        <v>#N/A</v>
      </c>
      <c r="K308" s="934"/>
      <c r="L308" s="935"/>
      <c r="M308" s="935"/>
      <c r="N308" s="935"/>
      <c r="O308" s="935"/>
    </row>
    <row r="309" spans="1:15" ht="15" customHeight="1">
      <c r="A309" s="905" t="s">
        <v>364</v>
      </c>
      <c r="B309" s="546" t="s">
        <v>365</v>
      </c>
      <c r="C309" s="910" t="e">
        <f>VLOOKUP(B306,'LƯƠNG KT'!$D$16:$AC$184,15,0)</f>
        <v>#N/A</v>
      </c>
      <c r="D309" s="609" t="e">
        <f>C309*$L$5</f>
        <v>#N/A</v>
      </c>
      <c r="E309" s="912"/>
      <c r="F309" s="912"/>
      <c r="G309" s="905" t="s">
        <v>364</v>
      </c>
      <c r="H309" s="546" t="s">
        <v>365</v>
      </c>
      <c r="I309" s="910" t="e">
        <f>VLOOKUP(H306,'LƯƠNG KT'!$D$16:$AC$184,15,0)</f>
        <v>#N/A</v>
      </c>
      <c r="J309" s="609" t="e">
        <f>I309*$L$5</f>
        <v>#N/A</v>
      </c>
      <c r="K309" s="934"/>
      <c r="L309" s="935"/>
      <c r="M309" s="935"/>
      <c r="N309" s="935"/>
      <c r="O309" s="935"/>
    </row>
    <row r="310" spans="1:15" ht="15" customHeight="1">
      <c r="A310" s="905" t="s">
        <v>367</v>
      </c>
      <c r="B310" s="546"/>
      <c r="C310" s="910" t="e">
        <f>VLOOKUP(B306,'LƯƠNG KT'!$D$16:$AC$184,16,0)</f>
        <v>#N/A</v>
      </c>
      <c r="D310" s="609" t="e">
        <f>+C310*$L$6</f>
        <v>#N/A</v>
      </c>
      <c r="E310" s="912"/>
      <c r="F310" s="912"/>
      <c r="G310" s="905" t="s">
        <v>367</v>
      </c>
      <c r="H310" s="546"/>
      <c r="I310" s="910" t="e">
        <f>VLOOKUP(H306,'LƯƠNG KT'!$D$16:$AC$184,16,0)</f>
        <v>#N/A</v>
      </c>
      <c r="J310" s="609" t="e">
        <f>+I310*$L$6</f>
        <v>#N/A</v>
      </c>
      <c r="K310" s="935"/>
      <c r="L310" s="935"/>
      <c r="M310" s="935"/>
      <c r="N310" s="935"/>
      <c r="O310" s="935"/>
    </row>
    <row r="311" spans="1:15" ht="15" customHeight="1">
      <c r="A311" s="905" t="s">
        <v>371</v>
      </c>
      <c r="B311" s="546" t="s">
        <v>372</v>
      </c>
      <c r="C311" s="910" t="e">
        <f>VLOOKUP(B306,'LƯƠNG KT'!$D$16:$AC$184,9,0)*$L$10</f>
        <v>#N/A</v>
      </c>
      <c r="D311" s="609" t="e">
        <f>+C311*0.5*3000</f>
        <v>#N/A</v>
      </c>
      <c r="E311" s="912"/>
      <c r="F311" s="912"/>
      <c r="G311" s="905" t="s">
        <v>371</v>
      </c>
      <c r="H311" s="546" t="s">
        <v>372</v>
      </c>
      <c r="I311" s="910" t="e">
        <f>VLOOKUP(H306,'LƯƠNG KT'!$D$16:$AC$184,9,0)*$L$10</f>
        <v>#N/A</v>
      </c>
      <c r="J311" s="609" t="e">
        <f>+I311*0.5*3000</f>
        <v>#N/A</v>
      </c>
      <c r="K311" s="935"/>
      <c r="L311" s="935"/>
      <c r="M311" s="935"/>
      <c r="N311" s="935"/>
      <c r="O311" s="935"/>
    </row>
    <row r="312" spans="1:15" ht="15" customHeight="1">
      <c r="A312" s="905" t="s">
        <v>374</v>
      </c>
      <c r="B312" s="546" t="s">
        <v>375</v>
      </c>
      <c r="C312" s="910" t="e">
        <f>VLOOKUP(B306,'LƯƠNG KT'!$D$16:$AC$184,8,0)*$L$11</f>
        <v>#N/A</v>
      </c>
      <c r="D312" s="609" t="e">
        <f>VLOOKUP(B306,'LƯƠNG KT'!$D$16:$AC$184,13,0)-D311</f>
        <v>#N/A</v>
      </c>
      <c r="E312" s="914"/>
      <c r="F312" s="912"/>
      <c r="G312" s="905" t="s">
        <v>374</v>
      </c>
      <c r="H312" s="546" t="s">
        <v>375</v>
      </c>
      <c r="I312" s="910" t="e">
        <f>VLOOKUP(H306,'LƯƠNG KT'!$D$16:$AC$184,8,0)*$L$11</f>
        <v>#N/A</v>
      </c>
      <c r="J312" s="609" t="e">
        <f>VLOOKUP(H306,'LƯƠNG KT'!$D$16:$AC$184,13,0)-J311</f>
        <v>#N/A</v>
      </c>
      <c r="K312" s="935"/>
      <c r="L312" s="935"/>
      <c r="M312" s="935"/>
      <c r="N312" s="935"/>
      <c r="O312" s="935"/>
    </row>
    <row r="313" spans="1:15" ht="15" customHeight="1">
      <c r="A313" s="609" t="s">
        <v>377</v>
      </c>
      <c r="B313" s="546" t="s">
        <v>378</v>
      </c>
      <c r="C313" s="910"/>
      <c r="D313" s="609"/>
      <c r="E313" s="916"/>
      <c r="F313" s="916"/>
      <c r="G313" s="609" t="s">
        <v>377</v>
      </c>
      <c r="H313" s="546" t="s">
        <v>378</v>
      </c>
      <c r="I313" s="910"/>
      <c r="J313" s="609"/>
    </row>
    <row r="314" spans="1:15" ht="15" customHeight="1">
      <c r="A314" s="547" t="s">
        <v>379</v>
      </c>
      <c r="B314" s="546" t="s">
        <v>380</v>
      </c>
      <c r="C314" s="910"/>
      <c r="D314" s="609">
        <f>56*25000</f>
        <v>1400000</v>
      </c>
      <c r="E314" s="914"/>
      <c r="F314" s="916"/>
      <c r="G314" s="547" t="s">
        <v>379</v>
      </c>
      <c r="H314" s="546" t="s">
        <v>380</v>
      </c>
      <c r="I314" s="910"/>
      <c r="J314" s="609">
        <f>56*25000</f>
        <v>1400000</v>
      </c>
    </row>
    <row r="315" spans="1:15" ht="15" customHeight="1">
      <c r="A315" s="905" t="s">
        <v>381</v>
      </c>
      <c r="B315" s="546" t="s">
        <v>382</v>
      </c>
      <c r="C315" s="910"/>
      <c r="D315" s="609">
        <f>D314</f>
        <v>1400000</v>
      </c>
      <c r="E315" s="917"/>
      <c r="F315" s="904"/>
      <c r="G315" s="905" t="s">
        <v>381</v>
      </c>
      <c r="H315" s="546" t="s">
        <v>382</v>
      </c>
      <c r="I315" s="910"/>
      <c r="J315" s="609">
        <f>J314</f>
        <v>1400000</v>
      </c>
    </row>
    <row r="316" spans="1:15" ht="15" customHeight="1">
      <c r="A316" s="918" t="s">
        <v>383</v>
      </c>
      <c r="B316" s="919" t="s">
        <v>384</v>
      </c>
      <c r="C316" s="920"/>
      <c r="D316" s="921" t="e">
        <f>SUM(D307:D312)-D315</f>
        <v>#N/A</v>
      </c>
      <c r="E316" s="922"/>
      <c r="F316" s="923"/>
      <c r="G316" s="918" t="s">
        <v>383</v>
      </c>
      <c r="H316" s="919" t="s">
        <v>384</v>
      </c>
      <c r="I316" s="920"/>
      <c r="J316" s="921" t="e">
        <f>SUM(J307:J312)-J315</f>
        <v>#N/A</v>
      </c>
    </row>
    <row r="317" spans="1:15" ht="12.6" customHeight="1">
      <c r="A317" s="924"/>
      <c r="B317" s="925"/>
      <c r="C317" s="926"/>
      <c r="D317" s="927"/>
      <c r="E317" s="927"/>
      <c r="F317" s="928"/>
      <c r="G317" s="924"/>
      <c r="H317" s="925"/>
      <c r="I317" s="926"/>
      <c r="J317" s="927"/>
    </row>
    <row r="318" spans="1:15" ht="12.6" customHeight="1">
      <c r="A318" s="925"/>
      <c r="B318" s="925"/>
      <c r="C318" s="929"/>
      <c r="D318" s="930"/>
      <c r="E318" s="925"/>
      <c r="F318" s="931"/>
      <c r="G318" s="925"/>
      <c r="H318" s="925"/>
      <c r="I318" s="929"/>
      <c r="J318" s="930"/>
    </row>
    <row r="319" spans="1:15" ht="15" customHeight="1">
      <c r="A319" s="2360" t="str">
        <f>$K$2</f>
        <v>THÁNG 09/2024</v>
      </c>
      <c r="B319" s="2360"/>
      <c r="C319" s="2360"/>
      <c r="D319" s="2360"/>
      <c r="E319" s="903"/>
      <c r="F319" s="904"/>
      <c r="G319" s="2360" t="str">
        <f>$K$2</f>
        <v>THÁNG 09/2024</v>
      </c>
      <c r="H319" s="2360"/>
      <c r="I319" s="2360"/>
      <c r="J319" s="2360"/>
      <c r="K319" s="276"/>
    </row>
    <row r="320" spans="1:15" ht="15" customHeight="1">
      <c r="A320" s="905" t="s">
        <v>356</v>
      </c>
      <c r="B320" s="642" t="s">
        <v>425</v>
      </c>
      <c r="C320" s="546"/>
      <c r="D320" s="902"/>
      <c r="E320" s="906"/>
      <c r="F320" s="907"/>
      <c r="G320" s="905" t="s">
        <v>356</v>
      </c>
      <c r="H320" s="642"/>
      <c r="I320" s="546"/>
      <c r="J320" s="902"/>
      <c r="L320" s="938"/>
      <c r="M320" s="938"/>
      <c r="N320" s="938"/>
      <c r="O320" s="938"/>
    </row>
    <row r="321" spans="1:15" ht="15" customHeight="1">
      <c r="A321" s="905" t="s">
        <v>359</v>
      </c>
      <c r="B321" s="939" t="s">
        <v>360</v>
      </c>
      <c r="C321" s="910" t="e">
        <f>VLOOKUP(B320,'LƯƠNG KT'!$D$16:$AC$184,3,0)</f>
        <v>#N/A</v>
      </c>
      <c r="D321" s="609" t="e">
        <f>+C321*25000</f>
        <v>#N/A</v>
      </c>
      <c r="E321" s="911"/>
      <c r="F321" s="911"/>
      <c r="G321" s="905" t="s">
        <v>359</v>
      </c>
      <c r="H321" s="939" t="s">
        <v>360</v>
      </c>
      <c r="I321" s="910" t="e">
        <f>VLOOKUP(H320,'LƯƠNG KT'!$D$16:$AC$184,3,0)</f>
        <v>#N/A</v>
      </c>
      <c r="J321" s="609" t="e">
        <f>+I321*25000</f>
        <v>#N/A</v>
      </c>
      <c r="K321" s="935"/>
      <c r="L321" s="935"/>
      <c r="M321" s="935"/>
      <c r="N321" s="935"/>
      <c r="O321" s="935"/>
    </row>
    <row r="322" spans="1:15" ht="15" customHeight="1">
      <c r="A322" s="905" t="s">
        <v>361</v>
      </c>
      <c r="B322" s="546" t="s">
        <v>362</v>
      </c>
      <c r="C322" s="910" t="e">
        <f>VLOOKUP(B320,'LƯƠNG KT'!$D$16:$AC$184,14,0)</f>
        <v>#N/A</v>
      </c>
      <c r="D322" s="609" t="e">
        <f>C322*$L$4</f>
        <v>#N/A</v>
      </c>
      <c r="E322" s="912"/>
      <c r="F322" s="912"/>
      <c r="G322" s="905" t="s">
        <v>361</v>
      </c>
      <c r="H322" s="546" t="s">
        <v>362</v>
      </c>
      <c r="I322" s="910" t="e">
        <f>VLOOKUP(H320,'LƯƠNG KT'!$D$16:$AC$184,14,0)</f>
        <v>#N/A</v>
      </c>
      <c r="J322" s="609" t="e">
        <f>I322*$L$4</f>
        <v>#N/A</v>
      </c>
      <c r="K322" s="935"/>
      <c r="L322" s="935"/>
      <c r="M322" s="935"/>
      <c r="N322" s="935"/>
      <c r="O322" s="935"/>
    </row>
    <row r="323" spans="1:15" ht="15" customHeight="1">
      <c r="A323" s="905" t="s">
        <v>364</v>
      </c>
      <c r="B323" s="546" t="s">
        <v>365</v>
      </c>
      <c r="C323" s="910" t="e">
        <f>VLOOKUP(B320,'LƯƠNG KT'!$D$16:$AC$184,15,0)</f>
        <v>#N/A</v>
      </c>
      <c r="D323" s="609" t="e">
        <f>C323*$L$5</f>
        <v>#N/A</v>
      </c>
      <c r="E323" s="912"/>
      <c r="F323" s="912"/>
      <c r="G323" s="905" t="s">
        <v>364</v>
      </c>
      <c r="H323" s="546" t="s">
        <v>365</v>
      </c>
      <c r="I323" s="910" t="e">
        <f>VLOOKUP(H320,'LƯƠNG KT'!$D$16:$AC$184,15,0)</f>
        <v>#N/A</v>
      </c>
      <c r="J323" s="609" t="e">
        <f>I323*$L$5</f>
        <v>#N/A</v>
      </c>
      <c r="K323" s="935"/>
      <c r="L323" s="935"/>
      <c r="M323" s="935"/>
      <c r="N323" s="935"/>
      <c r="O323" s="935"/>
    </row>
    <row r="324" spans="1:15" ht="15" customHeight="1">
      <c r="A324" s="905" t="s">
        <v>367</v>
      </c>
      <c r="B324" s="546"/>
      <c r="C324" s="910" t="e">
        <f>VLOOKUP(B320,'LƯƠNG KT'!$D$16:$AC$184,16,0)</f>
        <v>#N/A</v>
      </c>
      <c r="D324" s="609" t="e">
        <f>+C324*$L$6</f>
        <v>#N/A</v>
      </c>
      <c r="E324" s="912"/>
      <c r="F324" s="912"/>
      <c r="G324" s="905" t="s">
        <v>367</v>
      </c>
      <c r="H324" s="546"/>
      <c r="I324" s="910" t="e">
        <f>VLOOKUP(H320,'LƯƠNG KT'!$D$16:$AC$184,16,0)</f>
        <v>#N/A</v>
      </c>
      <c r="J324" s="609" t="e">
        <f>+I324*$L$6</f>
        <v>#N/A</v>
      </c>
      <c r="K324" s="935"/>
      <c r="L324" s="935"/>
      <c r="M324" s="935"/>
      <c r="N324" s="935"/>
      <c r="O324" s="935"/>
    </row>
    <row r="325" spans="1:15" ht="15" customHeight="1">
      <c r="A325" s="905" t="s">
        <v>371</v>
      </c>
      <c r="B325" s="546" t="s">
        <v>372</v>
      </c>
      <c r="C325" s="910" t="e">
        <f>VLOOKUP(B320,'LƯƠNG KT'!$D$16:$AC$184,9,0)*$L$10</f>
        <v>#N/A</v>
      </c>
      <c r="D325" s="609" t="e">
        <f>+C325*0.5*3000</f>
        <v>#N/A</v>
      </c>
      <c r="E325" s="912"/>
      <c r="F325" s="912"/>
      <c r="G325" s="905" t="s">
        <v>371</v>
      </c>
      <c r="H325" s="546" t="s">
        <v>372</v>
      </c>
      <c r="I325" s="910" t="e">
        <f>VLOOKUP(H320,'LƯƠNG KT'!$D$16:$AC$184,9,0)*$L$10</f>
        <v>#N/A</v>
      </c>
      <c r="J325" s="609" t="e">
        <f>+I325*0.5*3000</f>
        <v>#N/A</v>
      </c>
      <c r="K325" s="935"/>
      <c r="L325" s="935"/>
      <c r="M325" s="935"/>
      <c r="N325" s="935"/>
      <c r="O325" s="935"/>
    </row>
    <row r="326" spans="1:15" ht="15" customHeight="1">
      <c r="A326" s="905" t="s">
        <v>374</v>
      </c>
      <c r="B326" s="546" t="s">
        <v>375</v>
      </c>
      <c r="C326" s="910" t="e">
        <f>VLOOKUP(B320,'LƯƠNG KT'!$D$16:$AC$184,8,0)*$L$11</f>
        <v>#N/A</v>
      </c>
      <c r="D326" s="609" t="e">
        <f>VLOOKUP(B320,'LƯƠNG KT'!$D$16:$AC$184,13,0)-D325+C322*20000+C323*20000</f>
        <v>#N/A</v>
      </c>
      <c r="E326" s="914"/>
      <c r="F326" s="912"/>
      <c r="G326" s="905" t="s">
        <v>374</v>
      </c>
      <c r="H326" s="546" t="s">
        <v>375</v>
      </c>
      <c r="I326" s="910" t="e">
        <f>VLOOKUP(H320,'LƯƠNG KT'!$D$16:$AC$184,8,0)*$L$11</f>
        <v>#N/A</v>
      </c>
      <c r="J326" s="609" t="e">
        <f>VLOOKUP(H320,'LƯƠNG KT'!$D$16:$AC$184,13,0)-J325</f>
        <v>#N/A</v>
      </c>
      <c r="K326" s="935"/>
      <c r="L326" s="935"/>
      <c r="M326" s="935"/>
      <c r="N326" s="935"/>
      <c r="O326" s="935"/>
    </row>
    <row r="327" spans="1:15" ht="15" customHeight="1">
      <c r="A327" s="609" t="s">
        <v>377</v>
      </c>
      <c r="B327" s="546" t="s">
        <v>378</v>
      </c>
      <c r="C327" s="910"/>
      <c r="D327" s="609"/>
      <c r="E327" s="916"/>
      <c r="F327" s="916"/>
      <c r="G327" s="609" t="s">
        <v>377</v>
      </c>
      <c r="H327" s="546" t="s">
        <v>378</v>
      </c>
      <c r="I327" s="910"/>
      <c r="J327" s="609"/>
    </row>
    <row r="328" spans="1:15" ht="15" customHeight="1">
      <c r="A328" s="547" t="s">
        <v>379</v>
      </c>
      <c r="B328" s="546" t="s">
        <v>380</v>
      </c>
      <c r="C328" s="910"/>
      <c r="D328" s="609">
        <f>56*25000</f>
        <v>1400000</v>
      </c>
      <c r="E328" s="914"/>
      <c r="F328" s="916"/>
      <c r="G328" s="547" t="s">
        <v>379</v>
      </c>
      <c r="H328" s="546" t="s">
        <v>380</v>
      </c>
      <c r="I328" s="910"/>
      <c r="J328" s="609"/>
    </row>
    <row r="329" spans="1:15" ht="15" customHeight="1">
      <c r="A329" s="905" t="s">
        <v>381</v>
      </c>
      <c r="B329" s="546" t="s">
        <v>382</v>
      </c>
      <c r="C329" s="910"/>
      <c r="D329" s="609">
        <f>D328</f>
        <v>1400000</v>
      </c>
      <c r="E329" s="917"/>
      <c r="F329" s="904"/>
      <c r="G329" s="905" t="s">
        <v>381</v>
      </c>
      <c r="H329" s="546" t="s">
        <v>382</v>
      </c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SUM(D321:D326)-D329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/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60" t="str">
        <f>$K$2</f>
        <v>THÁNG 09/2024</v>
      </c>
      <c r="B333" s="2360"/>
      <c r="C333" s="2360"/>
      <c r="D333" s="2360"/>
      <c r="E333" s="903"/>
      <c r="F333" s="904"/>
      <c r="G333" s="2360" t="str">
        <f>$K$2</f>
        <v>THÁNG 09/2024</v>
      </c>
      <c r="H333" s="2360"/>
      <c r="I333" s="2360"/>
      <c r="J333" s="2360"/>
      <c r="K333" s="276"/>
    </row>
    <row r="334" spans="1:15" ht="15" customHeight="1">
      <c r="A334" s="905" t="s">
        <v>356</v>
      </c>
      <c r="B334" s="642" t="s">
        <v>426</v>
      </c>
      <c r="C334" s="546"/>
      <c r="D334" s="902"/>
      <c r="E334" s="906"/>
      <c r="F334" s="907"/>
      <c r="G334" s="905" t="s">
        <v>356</v>
      </c>
      <c r="H334" s="642"/>
      <c r="I334" s="546"/>
      <c r="J334" s="902"/>
      <c r="L334" s="938"/>
      <c r="M334" s="938"/>
      <c r="N334" s="938"/>
      <c r="O334" s="938"/>
    </row>
    <row r="335" spans="1:15" ht="15" customHeight="1">
      <c r="A335" s="905" t="s">
        <v>359</v>
      </c>
      <c r="B335" s="939" t="s">
        <v>360</v>
      </c>
      <c r="C335" s="910"/>
      <c r="D335" s="609"/>
      <c r="E335" s="911"/>
      <c r="F335" s="911"/>
      <c r="G335" s="905" t="s">
        <v>359</v>
      </c>
      <c r="H335" s="939"/>
      <c r="I335" s="910"/>
      <c r="J335" s="609"/>
      <c r="K335" s="935"/>
      <c r="L335" s="935"/>
      <c r="M335" s="935"/>
      <c r="N335" s="935"/>
      <c r="O335" s="935"/>
    </row>
    <row r="336" spans="1:15" ht="15" customHeight="1">
      <c r="A336" s="905" t="s">
        <v>361</v>
      </c>
      <c r="B336" s="546" t="s">
        <v>362</v>
      </c>
      <c r="C336" s="910"/>
      <c r="D336" s="609"/>
      <c r="E336" s="912"/>
      <c r="F336" s="912"/>
      <c r="G336" s="905" t="s">
        <v>361</v>
      </c>
      <c r="H336" s="546"/>
      <c r="I336" s="910"/>
      <c r="J336" s="609"/>
      <c r="K336" s="935"/>
      <c r="L336" s="935"/>
      <c r="M336" s="935"/>
      <c r="N336" s="935"/>
      <c r="O336" s="935"/>
    </row>
    <row r="337" spans="1:15" ht="15" customHeight="1">
      <c r="A337" s="905" t="s">
        <v>364</v>
      </c>
      <c r="B337" s="546" t="s">
        <v>365</v>
      </c>
      <c r="C337" s="910"/>
      <c r="D337" s="609"/>
      <c r="E337" s="912"/>
      <c r="F337" s="912"/>
      <c r="G337" s="905" t="s">
        <v>364</v>
      </c>
      <c r="H337" s="546"/>
      <c r="I337" s="910"/>
      <c r="J337" s="609"/>
      <c r="K337" s="935"/>
      <c r="L337" s="935"/>
      <c r="M337" s="935"/>
      <c r="N337" s="935"/>
      <c r="O337" s="935"/>
    </row>
    <row r="338" spans="1:15" ht="15" customHeight="1">
      <c r="A338" s="905" t="s">
        <v>367</v>
      </c>
      <c r="B338" s="546"/>
      <c r="C338" s="910"/>
      <c r="D338" s="609"/>
      <c r="E338" s="912"/>
      <c r="F338" s="912"/>
      <c r="G338" s="905" t="s">
        <v>367</v>
      </c>
      <c r="H338" s="546"/>
      <c r="I338" s="910"/>
      <c r="J338" s="609"/>
      <c r="K338" s="935"/>
      <c r="L338" s="935"/>
      <c r="M338" s="935"/>
      <c r="N338" s="935"/>
      <c r="O338" s="935"/>
    </row>
    <row r="339" spans="1:15" ht="15" customHeight="1">
      <c r="A339" s="905" t="s">
        <v>371</v>
      </c>
      <c r="B339" s="546" t="s">
        <v>372</v>
      </c>
      <c r="C339" s="910"/>
      <c r="D339" s="609"/>
      <c r="E339" s="912"/>
      <c r="F339" s="912"/>
      <c r="G339" s="905" t="s">
        <v>371</v>
      </c>
      <c r="H339" s="546"/>
      <c r="I339" s="910"/>
      <c r="J339" s="609"/>
      <c r="K339" s="935"/>
      <c r="L339" s="935"/>
      <c r="M339" s="935"/>
      <c r="N339" s="935"/>
      <c r="O339" s="935"/>
    </row>
    <row r="340" spans="1:15" ht="15" customHeight="1">
      <c r="A340" s="905" t="s">
        <v>374</v>
      </c>
      <c r="B340" s="546" t="s">
        <v>375</v>
      </c>
      <c r="C340" s="910"/>
      <c r="D340" s="609"/>
      <c r="E340" s="914"/>
      <c r="F340" s="912"/>
      <c r="G340" s="905" t="s">
        <v>374</v>
      </c>
      <c r="H340" s="546"/>
      <c r="I340" s="910"/>
      <c r="J340" s="609"/>
      <c r="K340" s="935"/>
      <c r="L340" s="935"/>
      <c r="M340" s="935"/>
      <c r="N340" s="935"/>
      <c r="O340" s="935"/>
    </row>
    <row r="341" spans="1:15" ht="15" customHeight="1">
      <c r="A341" s="609" t="s">
        <v>377</v>
      </c>
      <c r="B341" s="546" t="s">
        <v>378</v>
      </c>
      <c r="C341" s="910"/>
      <c r="D341" s="609"/>
      <c r="E341" s="916"/>
      <c r="F341" s="916"/>
      <c r="G341" s="609" t="s">
        <v>377</v>
      </c>
      <c r="H341" s="546"/>
      <c r="I341" s="910"/>
      <c r="J341" s="609"/>
    </row>
    <row r="342" spans="1:15" ht="15" customHeight="1">
      <c r="A342" s="547" t="s">
        <v>379</v>
      </c>
      <c r="B342" s="546" t="s">
        <v>380</v>
      </c>
      <c r="C342" s="910"/>
      <c r="D342" s="609"/>
      <c r="E342" s="914"/>
      <c r="F342" s="916"/>
      <c r="G342" s="547" t="s">
        <v>379</v>
      </c>
      <c r="H342" s="546"/>
      <c r="I342" s="910"/>
      <c r="J342" s="609"/>
    </row>
    <row r="343" spans="1:15" ht="15" customHeight="1">
      <c r="A343" s="905" t="s">
        <v>381</v>
      </c>
      <c r="B343" s="546" t="s">
        <v>382</v>
      </c>
      <c r="C343" s="910"/>
      <c r="D343" s="609"/>
      <c r="E343" s="917"/>
      <c r="F343" s="904"/>
      <c r="G343" s="905" t="s">
        <v>381</v>
      </c>
      <c r="H343" s="546"/>
      <c r="I343" s="910"/>
      <c r="J343" s="609"/>
    </row>
    <row r="344" spans="1:15" ht="15" customHeight="1">
      <c r="A344" s="918" t="s">
        <v>383</v>
      </c>
      <c r="B344" s="919" t="s">
        <v>384</v>
      </c>
      <c r="C344" s="920"/>
      <c r="D344" s="921"/>
      <c r="E344" s="922"/>
      <c r="F344" s="923"/>
      <c r="G344" s="918" t="s">
        <v>383</v>
      </c>
      <c r="H344" s="919"/>
      <c r="I344" s="920"/>
      <c r="J344" s="921"/>
    </row>
    <row r="345" spans="1:15" ht="18.75" customHeight="1">
      <c r="A345" s="924"/>
      <c r="B345" s="925"/>
      <c r="C345" s="926"/>
      <c r="D345" s="927"/>
      <c r="E345" s="927"/>
      <c r="F345" s="928"/>
      <c r="G345" s="924"/>
      <c r="H345" s="925"/>
      <c r="I345" s="926"/>
      <c r="J345" s="927"/>
    </row>
    <row r="346" spans="1:15" ht="18.75" customHeight="1">
      <c r="A346" s="925"/>
      <c r="B346" s="925"/>
      <c r="C346" s="929"/>
      <c r="D346" s="930"/>
      <c r="E346" s="925"/>
      <c r="F346" s="931"/>
      <c r="G346" s="925"/>
      <c r="H346" s="925"/>
      <c r="I346" s="929"/>
      <c r="J346" s="930"/>
    </row>
    <row r="347" spans="1:15" ht="15" customHeight="1">
      <c r="A347" s="2360" t="str">
        <f>$K$2</f>
        <v>THÁNG 09/2024</v>
      </c>
      <c r="B347" s="2360"/>
      <c r="C347" s="2360"/>
      <c r="D347" s="2360"/>
      <c r="E347" s="903"/>
      <c r="F347" s="904"/>
      <c r="G347" s="2360" t="str">
        <f>$K$2</f>
        <v>THÁNG 09/2024</v>
      </c>
      <c r="H347" s="2360"/>
      <c r="I347" s="2360"/>
      <c r="J347" s="2360"/>
      <c r="K347" s="276"/>
    </row>
    <row r="348" spans="1:15" ht="15" customHeight="1">
      <c r="A348" s="905" t="s">
        <v>356</v>
      </c>
      <c r="B348" s="642"/>
      <c r="C348" s="546"/>
      <c r="D348" s="902"/>
      <c r="E348" s="906"/>
      <c r="F348" s="907"/>
      <c r="G348" s="905" t="s">
        <v>356</v>
      </c>
      <c r="H348" s="642"/>
      <c r="I348" s="546"/>
      <c r="J348" s="902"/>
      <c r="L348" s="938"/>
      <c r="M348" s="938"/>
      <c r="N348" s="938"/>
      <c r="O348" s="938"/>
    </row>
    <row r="349" spans="1:15" ht="15" customHeight="1">
      <c r="A349" s="905" t="s">
        <v>359</v>
      </c>
      <c r="B349" s="939"/>
      <c r="C349" s="910"/>
      <c r="D349" s="609"/>
      <c r="E349" s="911"/>
      <c r="F349" s="911"/>
      <c r="G349" s="905" t="s">
        <v>359</v>
      </c>
      <c r="H349" s="939"/>
      <c r="I349" s="910"/>
      <c r="J349" s="609"/>
      <c r="K349" s="935"/>
      <c r="L349" s="935"/>
      <c r="M349" s="935"/>
      <c r="N349" s="935"/>
      <c r="O349" s="935"/>
    </row>
    <row r="350" spans="1:15" ht="15" customHeight="1">
      <c r="A350" s="905" t="s">
        <v>361</v>
      </c>
      <c r="B350" s="546"/>
      <c r="C350" s="910"/>
      <c r="D350" s="609"/>
      <c r="E350" s="912"/>
      <c r="F350" s="912"/>
      <c r="G350" s="905" t="s">
        <v>361</v>
      </c>
      <c r="H350" s="546"/>
      <c r="I350" s="910"/>
      <c r="J350" s="609"/>
      <c r="K350" s="935"/>
      <c r="L350" s="935"/>
      <c r="M350" s="935"/>
      <c r="N350" s="935"/>
      <c r="O350" s="935"/>
    </row>
    <row r="351" spans="1:15" ht="15" customHeight="1">
      <c r="A351" s="905" t="s">
        <v>364</v>
      </c>
      <c r="B351" s="546"/>
      <c r="C351" s="910"/>
      <c r="D351" s="609"/>
      <c r="E351" s="912"/>
      <c r="F351" s="912"/>
      <c r="G351" s="905" t="s">
        <v>364</v>
      </c>
      <c r="H351" s="546"/>
      <c r="I351" s="910"/>
      <c r="J351" s="609"/>
      <c r="K351" s="935"/>
      <c r="L351" s="935"/>
      <c r="M351" s="935"/>
      <c r="N351" s="935"/>
      <c r="O351" s="935"/>
    </row>
    <row r="352" spans="1:15" ht="15" customHeight="1">
      <c r="A352" s="905" t="s">
        <v>367</v>
      </c>
      <c r="B352" s="546"/>
      <c r="C352" s="910"/>
      <c r="D352" s="609"/>
      <c r="E352" s="912"/>
      <c r="F352" s="912"/>
      <c r="G352" s="905" t="s">
        <v>367</v>
      </c>
      <c r="H352" s="546"/>
      <c r="I352" s="910"/>
      <c r="J352" s="609"/>
      <c r="K352" s="935"/>
      <c r="L352" s="935"/>
      <c r="M352" s="935"/>
      <c r="N352" s="935"/>
      <c r="O352" s="935"/>
    </row>
    <row r="353" spans="1:15" ht="15" customHeight="1">
      <c r="A353" s="905" t="s">
        <v>371</v>
      </c>
      <c r="B353" s="546"/>
      <c r="C353" s="910"/>
      <c r="D353" s="609"/>
      <c r="E353" s="912"/>
      <c r="F353" s="912"/>
      <c r="G353" s="905" t="s">
        <v>371</v>
      </c>
      <c r="H353" s="546"/>
      <c r="I353" s="910"/>
      <c r="J353" s="609"/>
      <c r="K353" s="935"/>
      <c r="L353" s="935"/>
      <c r="M353" s="935"/>
      <c r="N353" s="935"/>
      <c r="O353" s="935"/>
    </row>
    <row r="354" spans="1:15" ht="15" customHeight="1">
      <c r="A354" s="905" t="s">
        <v>374</v>
      </c>
      <c r="B354" s="546"/>
      <c r="C354" s="910"/>
      <c r="D354" s="609"/>
      <c r="E354" s="914"/>
      <c r="F354" s="912"/>
      <c r="G354" s="905" t="s">
        <v>374</v>
      </c>
      <c r="H354" s="546"/>
      <c r="I354" s="910"/>
      <c r="J354" s="609"/>
      <c r="K354" s="935"/>
      <c r="L354" s="935"/>
      <c r="M354" s="935"/>
      <c r="N354" s="935"/>
      <c r="O354" s="935"/>
    </row>
    <row r="355" spans="1:15" ht="15" customHeight="1">
      <c r="A355" s="609" t="s">
        <v>377</v>
      </c>
      <c r="B355" s="546"/>
      <c r="C355" s="910"/>
      <c r="D355" s="609"/>
      <c r="E355" s="916"/>
      <c r="F355" s="916"/>
      <c r="G355" s="609" t="s">
        <v>377</v>
      </c>
      <c r="H355" s="546"/>
      <c r="I355" s="910"/>
      <c r="J355" s="609"/>
    </row>
    <row r="356" spans="1:15" ht="15" customHeight="1">
      <c r="A356" s="547" t="s">
        <v>379</v>
      </c>
      <c r="B356" s="546"/>
      <c r="C356" s="910"/>
      <c r="D356" s="609"/>
      <c r="E356" s="914"/>
      <c r="F356" s="916"/>
      <c r="G356" s="547" t="s">
        <v>379</v>
      </c>
      <c r="H356" s="546"/>
      <c r="I356" s="910"/>
      <c r="J356" s="609"/>
    </row>
    <row r="357" spans="1:15" ht="15" customHeight="1">
      <c r="A357" s="905" t="s">
        <v>381</v>
      </c>
      <c r="B357" s="546"/>
      <c r="C357" s="910"/>
      <c r="D357" s="609"/>
      <c r="E357" s="917"/>
      <c r="F357" s="904"/>
      <c r="G357" s="905" t="s">
        <v>381</v>
      </c>
      <c r="H357" s="546"/>
      <c r="I357" s="910"/>
      <c r="J357" s="609"/>
    </row>
    <row r="358" spans="1:15" ht="15" customHeight="1">
      <c r="A358" s="918" t="s">
        <v>383</v>
      </c>
      <c r="B358" s="919"/>
      <c r="C358" s="920"/>
      <c r="D358" s="921"/>
      <c r="E358" s="922"/>
      <c r="F358" s="923"/>
      <c r="G358" s="918" t="s">
        <v>383</v>
      </c>
      <c r="H358" s="919"/>
      <c r="I358" s="920"/>
      <c r="J358" s="921"/>
    </row>
    <row r="359" spans="1:15" ht="15.75" customHeight="1">
      <c r="A359" s="924"/>
      <c r="B359" s="925"/>
      <c r="C359" s="926"/>
      <c r="D359" s="927"/>
      <c r="E359" s="927"/>
      <c r="F359" s="928"/>
      <c r="G359" s="924"/>
      <c r="H359" s="925"/>
      <c r="I359" s="926"/>
      <c r="J359" s="927"/>
    </row>
    <row r="361" spans="1:15" ht="12" customHeight="1">
      <c r="A361" s="2361"/>
      <c r="B361" s="2361"/>
      <c r="C361" s="2361"/>
      <c r="D361" s="2361"/>
      <c r="E361" s="2361"/>
      <c r="F361" s="2361"/>
      <c r="G361" s="2361"/>
      <c r="H361" s="2361"/>
      <c r="I361" s="2361"/>
      <c r="J361" s="2361"/>
    </row>
    <row r="362" spans="1:15" ht="15" customHeight="1">
      <c r="A362" s="2360" t="str">
        <f>$K$2</f>
        <v>THÁNG 09/2024</v>
      </c>
      <c r="B362" s="2360"/>
      <c r="C362" s="2360"/>
      <c r="D362" s="2360"/>
      <c r="E362" s="903"/>
      <c r="F362" s="904"/>
      <c r="G362" s="2360" t="str">
        <f>$K$2</f>
        <v>THÁNG 09/2024</v>
      </c>
      <c r="H362" s="2360"/>
      <c r="I362" s="2360"/>
      <c r="J362" s="2360"/>
      <c r="K362" s="276"/>
    </row>
    <row r="363" spans="1:15" ht="15" customHeight="1">
      <c r="A363" s="905" t="s">
        <v>356</v>
      </c>
      <c r="B363" s="642"/>
      <c r="C363" s="546"/>
      <c r="D363" s="902"/>
      <c r="E363" s="906"/>
      <c r="F363" s="907"/>
      <c r="G363" s="905" t="s">
        <v>356</v>
      </c>
      <c r="H363" s="642"/>
      <c r="I363" s="546"/>
      <c r="J363" s="902"/>
      <c r="L363" s="938"/>
      <c r="M363" s="938"/>
      <c r="N363" s="938"/>
      <c r="O363" s="938"/>
    </row>
    <row r="364" spans="1:15" ht="15" customHeight="1">
      <c r="A364" s="905" t="s">
        <v>359</v>
      </c>
      <c r="B364" s="939" t="s">
        <v>360</v>
      </c>
      <c r="C364" s="910"/>
      <c r="D364" s="609"/>
      <c r="E364" s="911"/>
      <c r="F364" s="911"/>
      <c r="G364" s="905" t="s">
        <v>359</v>
      </c>
      <c r="H364" s="939" t="s">
        <v>360</v>
      </c>
      <c r="I364" s="910"/>
      <c r="J364" s="609"/>
      <c r="K364" s="934"/>
      <c r="L364" s="935"/>
      <c r="M364" s="935"/>
      <c r="N364" s="935"/>
      <c r="O364" s="935"/>
    </row>
    <row r="365" spans="1:15" ht="15" customHeight="1">
      <c r="A365" s="905" t="s">
        <v>361</v>
      </c>
      <c r="B365" s="546" t="s">
        <v>362</v>
      </c>
      <c r="C365" s="910"/>
      <c r="D365" s="609"/>
      <c r="E365" s="912"/>
      <c r="F365" s="912"/>
      <c r="G365" s="905" t="s">
        <v>361</v>
      </c>
      <c r="H365" s="546" t="s">
        <v>362</v>
      </c>
      <c r="I365" s="910"/>
      <c r="J365" s="609"/>
      <c r="K365" s="934"/>
      <c r="L365" s="935"/>
      <c r="M365" s="935"/>
      <c r="N365" s="935"/>
      <c r="O365" s="935"/>
    </row>
    <row r="366" spans="1:15" ht="15" customHeight="1">
      <c r="A366" s="905" t="s">
        <v>364</v>
      </c>
      <c r="B366" s="546" t="s">
        <v>365</v>
      </c>
      <c r="C366" s="910"/>
      <c r="D366" s="609"/>
      <c r="E366" s="912"/>
      <c r="F366" s="912"/>
      <c r="G366" s="905" t="s">
        <v>364</v>
      </c>
      <c r="H366" s="546" t="s">
        <v>365</v>
      </c>
      <c r="I366" s="910"/>
      <c r="J366" s="609"/>
      <c r="K366" s="934"/>
      <c r="L366" s="935"/>
      <c r="M366" s="935"/>
      <c r="N366" s="935"/>
      <c r="O366" s="935"/>
    </row>
    <row r="367" spans="1:15" ht="15" customHeight="1">
      <c r="A367" s="905" t="s">
        <v>367</v>
      </c>
      <c r="B367" s="546"/>
      <c r="C367" s="910"/>
      <c r="D367" s="609"/>
      <c r="E367" s="912"/>
      <c r="F367" s="912"/>
      <c r="G367" s="905" t="s">
        <v>367</v>
      </c>
      <c r="H367" s="546"/>
      <c r="I367" s="910"/>
      <c r="J367" s="609"/>
      <c r="K367" s="935"/>
      <c r="L367" s="935"/>
      <c r="M367" s="935"/>
      <c r="N367" s="935"/>
      <c r="O367" s="935"/>
    </row>
    <row r="368" spans="1:15" ht="15" customHeight="1">
      <c r="A368" s="905" t="s">
        <v>371</v>
      </c>
      <c r="B368" s="546" t="s">
        <v>372</v>
      </c>
      <c r="C368" s="910"/>
      <c r="D368" s="609"/>
      <c r="E368" s="912"/>
      <c r="F368" s="912"/>
      <c r="G368" s="905" t="s">
        <v>371</v>
      </c>
      <c r="H368" s="546" t="s">
        <v>372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5" t="s">
        <v>374</v>
      </c>
      <c r="B369" s="546" t="s">
        <v>375</v>
      </c>
      <c r="C369" s="910"/>
      <c r="D369" s="609"/>
      <c r="E369" s="914"/>
      <c r="F369" s="912"/>
      <c r="G369" s="905" t="s">
        <v>374</v>
      </c>
      <c r="H369" s="546" t="s">
        <v>375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609" t="s">
        <v>377</v>
      </c>
      <c r="B370" s="546" t="s">
        <v>378</v>
      </c>
      <c r="C370" s="910"/>
      <c r="D370" s="609"/>
      <c r="E370" s="916"/>
      <c r="F370" s="916"/>
      <c r="G370" s="609" t="s">
        <v>377</v>
      </c>
      <c r="H370" s="546" t="s">
        <v>378</v>
      </c>
      <c r="I370" s="910"/>
      <c r="J370" s="609"/>
    </row>
    <row r="371" spans="1:15" ht="15" customHeight="1">
      <c r="A371" s="547" t="s">
        <v>379</v>
      </c>
      <c r="B371" s="546" t="s">
        <v>380</v>
      </c>
      <c r="C371" s="910"/>
      <c r="D371" s="609"/>
      <c r="E371" s="914"/>
      <c r="F371" s="916"/>
      <c r="G371" s="547" t="s">
        <v>379</v>
      </c>
      <c r="H371" s="546" t="s">
        <v>380</v>
      </c>
      <c r="I371" s="910"/>
      <c r="J371" s="609"/>
    </row>
    <row r="372" spans="1:15" ht="15" customHeight="1">
      <c r="A372" s="905" t="s">
        <v>381</v>
      </c>
      <c r="B372" s="546" t="s">
        <v>382</v>
      </c>
      <c r="C372" s="910"/>
      <c r="D372" s="609"/>
      <c r="E372" s="917"/>
      <c r="F372" s="904"/>
      <c r="G372" s="905" t="s">
        <v>381</v>
      </c>
      <c r="H372" s="546" t="s">
        <v>382</v>
      </c>
      <c r="I372" s="910"/>
      <c r="J372" s="609"/>
    </row>
    <row r="373" spans="1:15" ht="15" customHeight="1">
      <c r="A373" s="918" t="s">
        <v>383</v>
      </c>
      <c r="B373" s="919" t="s">
        <v>384</v>
      </c>
      <c r="C373" s="920"/>
      <c r="D373" s="921"/>
      <c r="E373" s="922"/>
      <c r="F373" s="923"/>
      <c r="G373" s="918" t="s">
        <v>383</v>
      </c>
      <c r="H373" s="919" t="s">
        <v>384</v>
      </c>
      <c r="I373" s="920"/>
      <c r="J373" s="921"/>
    </row>
    <row r="374" spans="1:15" ht="12.6" customHeight="1">
      <c r="A374" s="924"/>
      <c r="B374" s="925"/>
      <c r="C374" s="926"/>
      <c r="D374" s="927"/>
      <c r="E374" s="927"/>
      <c r="F374" s="928"/>
      <c r="G374" s="924"/>
      <c r="H374" s="925"/>
      <c r="I374" s="926"/>
      <c r="J374" s="927"/>
    </row>
    <row r="375" spans="1:15" ht="12.6" customHeight="1">
      <c r="A375" s="925"/>
      <c r="B375" s="925"/>
      <c r="C375" s="929"/>
      <c r="D375" s="930"/>
      <c r="E375" s="925"/>
      <c r="F375" s="931"/>
      <c r="G375" s="925"/>
      <c r="H375" s="925"/>
      <c r="I375" s="929"/>
      <c r="J375" s="930"/>
    </row>
    <row r="376" spans="1:15" ht="15" customHeight="1">
      <c r="A376" s="2360" t="str">
        <f>$K$2</f>
        <v>THÁNG 09/2024</v>
      </c>
      <c r="B376" s="2360"/>
      <c r="C376" s="2360"/>
      <c r="D376" s="2360"/>
      <c r="E376" s="903"/>
      <c r="F376" s="904"/>
      <c r="G376" s="2360" t="str">
        <f>$K$2</f>
        <v>THÁNG 09/2024</v>
      </c>
      <c r="H376" s="2360"/>
      <c r="I376" s="2360"/>
      <c r="J376" s="2360"/>
      <c r="K376" s="276"/>
    </row>
    <row r="377" spans="1:15" ht="15" customHeight="1">
      <c r="A377" s="905" t="s">
        <v>356</v>
      </c>
      <c r="B377" s="642"/>
      <c r="C377" s="546"/>
      <c r="D377" s="902"/>
      <c r="E377" s="906"/>
      <c r="F377" s="907"/>
      <c r="G377" s="905" t="s">
        <v>356</v>
      </c>
      <c r="H377" s="642"/>
      <c r="I377" s="546"/>
      <c r="J377" s="902"/>
      <c r="L377" s="938"/>
      <c r="M377" s="938"/>
      <c r="N377" s="938"/>
      <c r="O377" s="938"/>
    </row>
    <row r="378" spans="1:15" ht="15" customHeight="1">
      <c r="A378" s="905" t="s">
        <v>359</v>
      </c>
      <c r="B378" s="939" t="s">
        <v>360</v>
      </c>
      <c r="C378" s="910" t="e">
        <f>VLOOKUP(B377,'LƯƠNG KT'!$D$16:$AC$184,3,0)</f>
        <v>#N/A</v>
      </c>
      <c r="D378" s="609" t="e">
        <f>+C378*25000</f>
        <v>#N/A</v>
      </c>
      <c r="E378" s="911"/>
      <c r="F378" s="911"/>
      <c r="G378" s="905" t="s">
        <v>359</v>
      </c>
      <c r="H378" s="939" t="s">
        <v>360</v>
      </c>
      <c r="I378" s="910" t="e">
        <f>VLOOKUP(H377,'LƯƠNG KT'!$D$16:$AC$184,3,0)</f>
        <v>#N/A</v>
      </c>
      <c r="J378" s="609" t="e">
        <f>+I378*25000</f>
        <v>#N/A</v>
      </c>
      <c r="K378" s="940" t="s">
        <v>427</v>
      </c>
      <c r="L378" s="940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0"/>
      <c r="N378" s="940"/>
      <c r="O378" s="940"/>
    </row>
    <row r="379" spans="1:15" ht="15" customHeight="1">
      <c r="A379" s="905" t="s">
        <v>361</v>
      </c>
      <c r="B379" s="546" t="s">
        <v>362</v>
      </c>
      <c r="C379" s="910" t="e">
        <f>VLOOKUP(B377,'LƯƠNG KT'!$D$16:$AC$184,14,0)</f>
        <v>#N/A</v>
      </c>
      <c r="D379" s="609" t="e">
        <f>C379*$L$4</f>
        <v>#N/A</v>
      </c>
      <c r="E379" s="912"/>
      <c r="F379" s="912"/>
      <c r="G379" s="905" t="s">
        <v>361</v>
      </c>
      <c r="H379" s="546" t="s">
        <v>362</v>
      </c>
      <c r="I379" s="910" t="e">
        <f>VLOOKUP(H377,'LƯƠNG KT'!$D$16:$AC$184,14,0)</f>
        <v>#N/A</v>
      </c>
      <c r="J379" s="609" t="e">
        <f>I379*$L$4</f>
        <v>#N/A</v>
      </c>
      <c r="K379" s="935"/>
      <c r="L379" s="935" t="e">
        <f>'TRẠM 1'!AB108-'TRẠM 1'!#REF!</f>
        <v>#REF!</v>
      </c>
      <c r="M379" s="935"/>
      <c r="N379" s="935"/>
      <c r="O379" s="935"/>
    </row>
    <row r="380" spans="1:15" ht="15" customHeight="1">
      <c r="A380" s="905" t="s">
        <v>364</v>
      </c>
      <c r="B380" s="546" t="s">
        <v>365</v>
      </c>
      <c r="C380" s="910" t="e">
        <f>VLOOKUP(B377,'LƯƠNG KT'!$D$16:$AC$184,15,0)</f>
        <v>#N/A</v>
      </c>
      <c r="D380" s="609" t="e">
        <f>C380*$L$5</f>
        <v>#N/A</v>
      </c>
      <c r="E380" s="912"/>
      <c r="F380" s="912"/>
      <c r="G380" s="905" t="s">
        <v>364</v>
      </c>
      <c r="H380" s="546" t="s">
        <v>365</v>
      </c>
      <c r="I380" s="910" t="e">
        <f>VLOOKUP(H377,'LƯƠNG KT'!$D$16:$AC$184,15,0)</f>
        <v>#N/A</v>
      </c>
      <c r="J380" s="609" t="e">
        <f>I380*$L$5</f>
        <v>#N/A</v>
      </c>
      <c r="K380" s="935"/>
      <c r="L380" s="935" t="e">
        <f>+L379-L378</f>
        <v>#REF!</v>
      </c>
      <c r="M380" s="935"/>
      <c r="N380" s="935"/>
      <c r="O380" s="935"/>
    </row>
    <row r="381" spans="1:15" ht="15" customHeight="1">
      <c r="A381" s="905" t="s">
        <v>367</v>
      </c>
      <c r="B381" s="546"/>
      <c r="C381" s="910" t="e">
        <f>VLOOKUP(B377,'LƯƠNG KT'!$D$16:$AC$184,16,0)</f>
        <v>#N/A</v>
      </c>
      <c r="D381" s="609" t="e">
        <f>+C381*$L$6</f>
        <v>#N/A</v>
      </c>
      <c r="E381" s="912"/>
      <c r="F381" s="912"/>
      <c r="G381" s="905" t="s">
        <v>367</v>
      </c>
      <c r="H381" s="546"/>
      <c r="I381" s="910" t="e">
        <f>VLOOKUP(H377,'LƯƠNG KT'!$D$16:$AC$184,16,0)</f>
        <v>#N/A</v>
      </c>
      <c r="J381" s="609" t="e">
        <f>+I381*$L$6</f>
        <v>#N/A</v>
      </c>
      <c r="K381" s="935"/>
      <c r="L381" s="935" t="e">
        <f>+L380/20</f>
        <v>#REF!</v>
      </c>
      <c r="M381" s="935"/>
      <c r="N381" s="935"/>
      <c r="O381" s="935"/>
    </row>
    <row r="382" spans="1:15" ht="15" customHeight="1">
      <c r="A382" s="905" t="s">
        <v>371</v>
      </c>
      <c r="B382" s="546" t="s">
        <v>372</v>
      </c>
      <c r="C382" s="910" t="e">
        <f>VLOOKUP(B377,'LƯƠNG KT'!$D$16:$AC$184,9,0)*$L$10</f>
        <v>#N/A</v>
      </c>
      <c r="D382" s="609" t="e">
        <f>+C382*0.5*3000</f>
        <v>#N/A</v>
      </c>
      <c r="E382" s="912"/>
      <c r="F382" s="912"/>
      <c r="G382" s="905" t="s">
        <v>371</v>
      </c>
      <c r="H382" s="546" t="s">
        <v>372</v>
      </c>
      <c r="I382" s="910" t="e">
        <f>VLOOKUP(H377,'LƯƠNG KT'!$D$16:$AC$184,9,0)*$L$10</f>
        <v>#N/A</v>
      </c>
      <c r="J382" s="609" t="e">
        <f>+I382*0.5*3000</f>
        <v>#N/A</v>
      </c>
      <c r="K382" s="935"/>
      <c r="L382" s="935"/>
      <c r="M382" s="935"/>
      <c r="N382" s="935"/>
      <c r="O382" s="935"/>
    </row>
    <row r="383" spans="1:15" ht="15" customHeight="1">
      <c r="A383" s="905" t="s">
        <v>374</v>
      </c>
      <c r="B383" s="546" t="s">
        <v>375</v>
      </c>
      <c r="C383" s="910" t="e">
        <f>VLOOKUP(B377,'LƯƠNG KT'!$D$16:$AC$184,8,0)*$L$11</f>
        <v>#N/A</v>
      </c>
      <c r="D383" s="609" t="e">
        <f>VLOOKUP(B377,'LƯƠNG KT'!$D$16:$AC$184,13,0)-D382</f>
        <v>#N/A</v>
      </c>
      <c r="E383" s="914"/>
      <c r="F383" s="912"/>
      <c r="G383" s="905" t="s">
        <v>374</v>
      </c>
      <c r="H383" s="546" t="s">
        <v>375</v>
      </c>
      <c r="I383" s="910" t="e">
        <f>VLOOKUP(H377,'LƯƠNG KT'!$D$16:$AC$184,8,0)*$L$11</f>
        <v>#N/A</v>
      </c>
      <c r="J383" s="609" t="e">
        <f>VLOOKUP(H377,'LƯƠNG KT'!$D$16:$AC$184,13,0)-J382</f>
        <v>#N/A</v>
      </c>
      <c r="K383" s="935"/>
      <c r="L383" s="935"/>
      <c r="M383" s="935"/>
      <c r="N383" s="935"/>
      <c r="O383" s="935"/>
    </row>
    <row r="384" spans="1:15" ht="15" customHeight="1">
      <c r="A384" s="609" t="s">
        <v>377</v>
      </c>
      <c r="B384" s="546" t="s">
        <v>378</v>
      </c>
      <c r="C384" s="910"/>
      <c r="D384" s="609"/>
      <c r="E384" s="916"/>
      <c r="F384" s="916"/>
      <c r="G384" s="609" t="s">
        <v>377</v>
      </c>
      <c r="H384" s="546"/>
      <c r="I384" s="910"/>
      <c r="J384" s="609"/>
    </row>
    <row r="385" spans="1:15" ht="15" customHeight="1">
      <c r="A385" s="547" t="s">
        <v>379</v>
      </c>
      <c r="B385" s="546" t="s">
        <v>380</v>
      </c>
      <c r="C385" s="910"/>
      <c r="D385" s="609"/>
      <c r="E385" s="914"/>
      <c r="F385" s="916"/>
      <c r="G385" s="547" t="s">
        <v>379</v>
      </c>
      <c r="H385" s="546"/>
      <c r="I385" s="910"/>
      <c r="J385" s="609"/>
    </row>
    <row r="386" spans="1:15" ht="15" customHeight="1">
      <c r="A386" s="905" t="s">
        <v>381</v>
      </c>
      <c r="B386" s="546" t="s">
        <v>382</v>
      </c>
      <c r="C386" s="910"/>
      <c r="D386" s="609"/>
      <c r="E386" s="917"/>
      <c r="F386" s="904"/>
      <c r="G386" s="905" t="s">
        <v>381</v>
      </c>
      <c r="H386" s="546"/>
      <c r="I386" s="910"/>
      <c r="J386" s="609"/>
    </row>
    <row r="387" spans="1:15" ht="15" customHeight="1">
      <c r="A387" s="918" t="s">
        <v>383</v>
      </c>
      <c r="B387" s="919" t="s">
        <v>384</v>
      </c>
      <c r="C387" s="920"/>
      <c r="D387" s="921"/>
      <c r="E387" s="922"/>
      <c r="F387" s="923"/>
      <c r="G387" s="918" t="s">
        <v>383</v>
      </c>
      <c r="H387" s="919"/>
      <c r="I387" s="920"/>
      <c r="J387" s="921"/>
    </row>
    <row r="388" spans="1:15" ht="18.75" customHeight="1">
      <c r="A388" s="924"/>
      <c r="B388" s="925"/>
      <c r="C388" s="926"/>
      <c r="D388" s="927"/>
      <c r="E388" s="927"/>
      <c r="F388" s="928"/>
      <c r="G388" s="924"/>
      <c r="H388" s="925"/>
      <c r="I388" s="926"/>
      <c r="J388" s="927"/>
    </row>
    <row r="389" spans="1:15" ht="18.75" customHeight="1">
      <c r="A389" s="925"/>
      <c r="B389" s="925"/>
      <c r="C389" s="929"/>
      <c r="D389" s="930"/>
      <c r="E389" s="925"/>
      <c r="F389" s="931"/>
      <c r="G389" s="925"/>
      <c r="H389" s="925"/>
      <c r="I389" s="929"/>
      <c r="J389" s="930"/>
    </row>
    <row r="390" spans="1:15" ht="15" customHeight="1">
      <c r="A390" s="2360" t="str">
        <f>$K$2</f>
        <v>THÁNG 09/2024</v>
      </c>
      <c r="B390" s="2360"/>
      <c r="C390" s="2360"/>
      <c r="D390" s="2360"/>
      <c r="E390" s="903"/>
      <c r="F390" s="904"/>
      <c r="G390" s="2360" t="str">
        <f>$K$2</f>
        <v>THÁNG 09/2024</v>
      </c>
      <c r="H390" s="2360"/>
      <c r="I390" s="2360"/>
      <c r="J390" s="2360"/>
      <c r="K390" s="276"/>
    </row>
    <row r="391" spans="1:15" ht="15" customHeight="1">
      <c r="A391" s="905" t="s">
        <v>356</v>
      </c>
      <c r="B391" s="642" t="s">
        <v>428</v>
      </c>
      <c r="C391" s="546"/>
      <c r="D391" s="902"/>
      <c r="E391" s="906"/>
      <c r="F391" s="907"/>
      <c r="G391" s="905" t="s">
        <v>356</v>
      </c>
      <c r="H391" s="642"/>
      <c r="I391" s="546"/>
      <c r="J391" s="902"/>
      <c r="L391" s="938"/>
      <c r="M391" s="938"/>
      <c r="N391" s="938"/>
      <c r="O391" s="938"/>
    </row>
    <row r="392" spans="1:15" ht="15" customHeight="1">
      <c r="A392" s="905" t="s">
        <v>359</v>
      </c>
      <c r="B392" s="939" t="s">
        <v>360</v>
      </c>
      <c r="C392" s="910"/>
      <c r="D392" s="609"/>
      <c r="E392" s="911"/>
      <c r="F392" s="911"/>
      <c r="G392" s="905" t="s">
        <v>359</v>
      </c>
      <c r="H392" s="939"/>
      <c r="I392" s="910"/>
      <c r="J392" s="609"/>
      <c r="K392" s="935"/>
      <c r="L392" s="935"/>
      <c r="M392" s="935"/>
      <c r="N392" s="935"/>
      <c r="O392" s="935"/>
    </row>
    <row r="393" spans="1:15" ht="15" customHeight="1">
      <c r="A393" s="905" t="s">
        <v>361</v>
      </c>
      <c r="B393" s="546" t="s">
        <v>362</v>
      </c>
      <c r="C393" s="910"/>
      <c r="D393" s="609"/>
      <c r="E393" s="912"/>
      <c r="F393" s="912"/>
      <c r="G393" s="905" t="s">
        <v>361</v>
      </c>
      <c r="H393" s="546"/>
      <c r="I393" s="910"/>
      <c r="J393" s="609"/>
      <c r="K393" s="935"/>
      <c r="L393" s="935"/>
      <c r="M393" s="935"/>
      <c r="N393" s="935"/>
      <c r="O393" s="935"/>
    </row>
    <row r="394" spans="1:15" ht="15" customHeight="1">
      <c r="A394" s="905" t="s">
        <v>364</v>
      </c>
      <c r="B394" s="546" t="s">
        <v>365</v>
      </c>
      <c r="C394" s="910"/>
      <c r="D394" s="609"/>
      <c r="E394" s="912"/>
      <c r="F394" s="912"/>
      <c r="G394" s="905" t="s">
        <v>364</v>
      </c>
      <c r="H394" s="546"/>
      <c r="I394" s="910"/>
      <c r="J394" s="609"/>
      <c r="K394" s="935"/>
      <c r="L394" s="935"/>
      <c r="M394" s="935"/>
      <c r="N394" s="935"/>
      <c r="O394" s="935"/>
    </row>
    <row r="395" spans="1:15" ht="15" customHeight="1">
      <c r="A395" s="905" t="s">
        <v>367</v>
      </c>
      <c r="B395" s="546"/>
      <c r="C395" s="910"/>
      <c r="D395" s="609"/>
      <c r="E395" s="912"/>
      <c r="F395" s="912"/>
      <c r="G395" s="905" t="s">
        <v>367</v>
      </c>
      <c r="H395" s="546"/>
      <c r="I395" s="910"/>
      <c r="J395" s="609"/>
      <c r="K395" s="935"/>
      <c r="L395" s="935"/>
      <c r="M395" s="935"/>
      <c r="N395" s="935"/>
      <c r="O395" s="935"/>
    </row>
    <row r="396" spans="1:15" ht="15" customHeight="1">
      <c r="A396" s="905" t="s">
        <v>371</v>
      </c>
      <c r="B396" s="546" t="s">
        <v>372</v>
      </c>
      <c r="C396" s="910"/>
      <c r="D396" s="609"/>
      <c r="E396" s="912"/>
      <c r="F396" s="912"/>
      <c r="G396" s="905" t="s">
        <v>371</v>
      </c>
      <c r="H396" s="546"/>
      <c r="I396" s="910"/>
      <c r="J396" s="609"/>
      <c r="K396" s="935"/>
      <c r="L396" s="935"/>
      <c r="M396" s="935"/>
      <c r="N396" s="935"/>
      <c r="O396" s="935"/>
    </row>
    <row r="397" spans="1:15" ht="15" customHeight="1">
      <c r="A397" s="905" t="s">
        <v>374</v>
      </c>
      <c r="B397" s="546" t="s">
        <v>375</v>
      </c>
      <c r="C397" s="910"/>
      <c r="D397" s="609"/>
      <c r="E397" s="914"/>
      <c r="F397" s="912"/>
      <c r="G397" s="905" t="s">
        <v>374</v>
      </c>
      <c r="H397" s="546"/>
      <c r="I397" s="910"/>
      <c r="J397" s="609"/>
      <c r="K397" s="935"/>
      <c r="L397" s="935"/>
      <c r="M397" s="935"/>
      <c r="N397" s="935"/>
      <c r="O397" s="935"/>
    </row>
    <row r="398" spans="1:15" ht="15" customHeight="1">
      <c r="A398" s="609" t="s">
        <v>377</v>
      </c>
      <c r="B398" s="546" t="s">
        <v>378</v>
      </c>
      <c r="C398" s="910"/>
      <c r="D398" s="609"/>
      <c r="E398" s="916"/>
      <c r="F398" s="916"/>
      <c r="G398" s="609" t="s">
        <v>377</v>
      </c>
      <c r="H398" s="546"/>
      <c r="I398" s="910"/>
      <c r="J398" s="609"/>
    </row>
    <row r="399" spans="1:15" ht="15" customHeight="1">
      <c r="A399" s="547" t="s">
        <v>379</v>
      </c>
      <c r="B399" s="546" t="s">
        <v>380</v>
      </c>
      <c r="C399" s="910"/>
      <c r="D399" s="609"/>
      <c r="E399" s="914"/>
      <c r="F399" s="916"/>
      <c r="G399" s="547" t="s">
        <v>379</v>
      </c>
      <c r="H399" s="546"/>
      <c r="I399" s="910"/>
      <c r="J399" s="609"/>
    </row>
    <row r="400" spans="1:15" ht="15" customHeight="1">
      <c r="A400" s="905" t="s">
        <v>381</v>
      </c>
      <c r="B400" s="546" t="s">
        <v>382</v>
      </c>
      <c r="C400" s="910"/>
      <c r="D400" s="609"/>
      <c r="E400" s="917"/>
      <c r="F400" s="904"/>
      <c r="G400" s="905" t="s">
        <v>381</v>
      </c>
      <c r="H400" s="546"/>
      <c r="I400" s="910"/>
      <c r="J400" s="609"/>
    </row>
    <row r="401" spans="1:15" ht="15" customHeight="1">
      <c r="A401" s="918" t="s">
        <v>383</v>
      </c>
      <c r="B401" s="919" t="s">
        <v>384</v>
      </c>
      <c r="C401" s="920"/>
      <c r="D401" s="921"/>
      <c r="E401" s="922"/>
      <c r="F401" s="923"/>
      <c r="G401" s="918" t="s">
        <v>383</v>
      </c>
      <c r="H401" s="919"/>
      <c r="I401" s="920"/>
      <c r="J401" s="921"/>
    </row>
    <row r="402" spans="1:15" ht="18.75" customHeight="1">
      <c r="A402" s="924"/>
      <c r="B402" s="925"/>
      <c r="C402" s="926"/>
      <c r="D402" s="927"/>
      <c r="E402" s="927"/>
      <c r="F402" s="928"/>
      <c r="G402" s="924"/>
      <c r="H402" s="925"/>
      <c r="I402" s="926"/>
      <c r="J402" s="927"/>
    </row>
    <row r="403" spans="1:15" ht="18.75" customHeight="1">
      <c r="A403" s="925"/>
      <c r="B403" s="925"/>
      <c r="C403" s="929"/>
      <c r="D403" s="930"/>
      <c r="E403" s="925"/>
      <c r="F403" s="931"/>
      <c r="G403" s="925"/>
      <c r="H403" s="925"/>
      <c r="I403" s="929"/>
      <c r="J403" s="930"/>
    </row>
    <row r="404" spans="1:15" ht="15" customHeight="1">
      <c r="A404" s="2360" t="str">
        <f>$K$2</f>
        <v>THÁNG 09/2024</v>
      </c>
      <c r="B404" s="2360"/>
      <c r="C404" s="2360"/>
      <c r="D404" s="2360"/>
      <c r="E404" s="903"/>
      <c r="F404" s="904"/>
      <c r="G404" s="2360" t="str">
        <f>$K$2</f>
        <v>THÁNG 09/2024</v>
      </c>
      <c r="H404" s="2360"/>
      <c r="I404" s="2360"/>
      <c r="J404" s="2360"/>
      <c r="K404" s="276"/>
    </row>
    <row r="405" spans="1:15" ht="15" customHeight="1">
      <c r="A405" s="905"/>
      <c r="B405" s="642"/>
      <c r="C405" s="546"/>
      <c r="D405" s="902"/>
      <c r="E405" s="906"/>
      <c r="F405" s="907"/>
      <c r="G405" s="905"/>
      <c r="H405" s="642"/>
      <c r="I405" s="546"/>
      <c r="J405" s="902"/>
      <c r="L405" s="938"/>
      <c r="M405" s="938"/>
      <c r="N405" s="938"/>
      <c r="O405" s="938"/>
    </row>
    <row r="406" spans="1:15" ht="15" customHeight="1">
      <c r="A406" s="905"/>
      <c r="B406" s="939"/>
      <c r="C406" s="910"/>
      <c r="D406" s="609"/>
      <c r="E406" s="911"/>
      <c r="F406" s="911"/>
      <c r="G406" s="905"/>
      <c r="H406" s="939"/>
      <c r="I406" s="910"/>
      <c r="J406" s="609"/>
      <c r="K406" s="935"/>
      <c r="L406" s="935"/>
      <c r="M406" s="935"/>
      <c r="N406" s="935"/>
      <c r="O406" s="935"/>
    </row>
    <row r="407" spans="1:15" ht="15" customHeight="1">
      <c r="A407" s="905"/>
      <c r="B407" s="546"/>
      <c r="C407" s="910"/>
      <c r="D407" s="609"/>
      <c r="E407" s="912"/>
      <c r="F407" s="912"/>
      <c r="G407" s="905"/>
      <c r="H407" s="546"/>
      <c r="I407" s="910"/>
      <c r="J407" s="609"/>
      <c r="K407" s="935"/>
      <c r="L407" s="935"/>
      <c r="M407" s="935"/>
      <c r="N407" s="935"/>
      <c r="O407" s="935"/>
    </row>
    <row r="408" spans="1:15" ht="15" customHeight="1">
      <c r="A408" s="905"/>
      <c r="B408" s="546"/>
      <c r="C408" s="910"/>
      <c r="D408" s="609"/>
      <c r="E408" s="912"/>
      <c r="F408" s="912"/>
      <c r="G408" s="905"/>
      <c r="H408" s="546"/>
      <c r="I408" s="910"/>
      <c r="J408" s="609"/>
      <c r="K408" s="935"/>
      <c r="L408" s="935"/>
      <c r="M408" s="935"/>
      <c r="N408" s="935"/>
      <c r="O408" s="935"/>
    </row>
    <row r="409" spans="1:15" ht="15" customHeight="1">
      <c r="A409" s="905"/>
      <c r="B409" s="546"/>
      <c r="C409" s="910"/>
      <c r="D409" s="609"/>
      <c r="E409" s="912"/>
      <c r="F409" s="912"/>
      <c r="G409" s="905"/>
      <c r="H409" s="546"/>
      <c r="I409" s="910"/>
      <c r="J409" s="609"/>
      <c r="K409" s="935"/>
      <c r="L409" s="935"/>
      <c r="M409" s="935"/>
      <c r="N409" s="935"/>
      <c r="O409" s="935"/>
    </row>
    <row r="410" spans="1:15" ht="15" customHeight="1">
      <c r="A410" s="905"/>
      <c r="B410" s="546"/>
      <c r="C410" s="910"/>
      <c r="D410" s="609"/>
      <c r="E410" s="912"/>
      <c r="F410" s="912"/>
      <c r="G410" s="905"/>
      <c r="H410" s="546"/>
      <c r="I410" s="910"/>
      <c r="J410" s="609"/>
      <c r="K410" s="935"/>
      <c r="L410" s="935"/>
      <c r="M410" s="935"/>
      <c r="N410" s="935"/>
      <c r="O410" s="935"/>
    </row>
    <row r="411" spans="1:15" ht="15" customHeight="1">
      <c r="A411" s="905"/>
      <c r="B411" s="546"/>
      <c r="C411" s="910"/>
      <c r="D411" s="609"/>
      <c r="E411" s="914"/>
      <c r="F411" s="912"/>
      <c r="G411" s="905"/>
      <c r="H411" s="546"/>
      <c r="I411" s="910"/>
      <c r="J411" s="609"/>
      <c r="K411" s="935"/>
      <c r="L411" s="935"/>
      <c r="M411" s="935"/>
      <c r="N411" s="935"/>
      <c r="O411" s="935"/>
    </row>
    <row r="412" spans="1:15" ht="15" customHeight="1">
      <c r="A412" s="609"/>
      <c r="B412" s="546"/>
      <c r="C412" s="910"/>
      <c r="D412" s="609"/>
      <c r="E412" s="916"/>
      <c r="F412" s="916"/>
      <c r="G412" s="609"/>
      <c r="H412" s="546"/>
      <c r="I412" s="910"/>
      <c r="J412" s="609"/>
    </row>
    <row r="413" spans="1:15" ht="15" customHeight="1">
      <c r="A413" s="547"/>
      <c r="B413" s="546"/>
      <c r="C413" s="910"/>
      <c r="D413" s="609"/>
      <c r="E413" s="914"/>
      <c r="F413" s="916"/>
      <c r="G413" s="547"/>
      <c r="H413" s="546"/>
      <c r="I413" s="910"/>
      <c r="J413" s="609"/>
    </row>
    <row r="414" spans="1:15" ht="15" customHeight="1">
      <c r="A414" s="905"/>
      <c r="B414" s="546"/>
      <c r="C414" s="910"/>
      <c r="D414" s="609"/>
      <c r="E414" s="917"/>
      <c r="F414" s="904"/>
      <c r="G414" s="905"/>
      <c r="H414" s="546"/>
      <c r="I414" s="910"/>
      <c r="J414" s="609"/>
    </row>
    <row r="415" spans="1:15" ht="15" customHeight="1">
      <c r="A415" s="918"/>
      <c r="B415" s="919"/>
      <c r="C415" s="920"/>
      <c r="D415" s="921"/>
      <c r="E415" s="922"/>
      <c r="F415" s="923"/>
      <c r="G415" s="918"/>
      <c r="H415" s="919"/>
      <c r="I415" s="920"/>
      <c r="J415" s="921"/>
    </row>
    <row r="416" spans="1:15" ht="15.75" customHeight="1">
      <c r="A416" s="924"/>
      <c r="B416" s="925"/>
      <c r="C416" s="926"/>
      <c r="D416" s="927"/>
      <c r="E416" s="927"/>
      <c r="F416" s="928"/>
      <c r="G416" s="924"/>
      <c r="H416" s="925"/>
      <c r="I416" s="926"/>
      <c r="J416" s="927"/>
    </row>
    <row r="418" spans="1:15" ht="12" customHeight="1">
      <c r="A418" s="2362" t="s">
        <v>429</v>
      </c>
      <c r="B418" s="2362"/>
      <c r="C418" s="2362"/>
      <c r="D418" s="2362"/>
      <c r="E418" s="2362"/>
      <c r="F418" s="2362"/>
      <c r="G418" s="2362"/>
      <c r="H418" s="2362"/>
      <c r="I418" s="2362"/>
      <c r="J418" s="2362"/>
    </row>
    <row r="419" spans="1:15" ht="15" customHeight="1">
      <c r="A419" s="2360" t="str">
        <f>$K$2</f>
        <v>THÁNG 09/2024</v>
      </c>
      <c r="B419" s="2360"/>
      <c r="C419" s="2360"/>
      <c r="D419" s="2360"/>
      <c r="E419" s="903"/>
      <c r="F419" s="904"/>
      <c r="G419" s="2360" t="str">
        <f>$K$2</f>
        <v>THÁNG 09/2024</v>
      </c>
      <c r="H419" s="2360"/>
      <c r="I419" s="2360"/>
      <c r="J419" s="2360"/>
      <c r="K419" s="276"/>
    </row>
    <row r="420" spans="1:15" ht="15" customHeight="1">
      <c r="A420" s="905" t="s">
        <v>356</v>
      </c>
      <c r="B420" s="642" t="s">
        <v>430</v>
      </c>
      <c r="C420" s="546"/>
      <c r="D420" s="902"/>
      <c r="E420" s="906"/>
      <c r="F420" s="907"/>
      <c r="G420" s="905" t="s">
        <v>356</v>
      </c>
      <c r="H420" s="642" t="s">
        <v>431</v>
      </c>
      <c r="I420" s="546"/>
      <c r="J420" s="902"/>
      <c r="L420" s="938"/>
      <c r="M420" s="938"/>
      <c r="N420" s="938"/>
      <c r="O420" s="938"/>
    </row>
    <row r="421" spans="1:15" ht="15" customHeight="1">
      <c r="A421" s="905" t="s">
        <v>359</v>
      </c>
      <c r="B421" s="939" t="s">
        <v>360</v>
      </c>
      <c r="C421" s="910" t="e">
        <f>VLOOKUP(B420,'LƯƠNG KT'!$D$16:$AC$184,3,0)</f>
        <v>#N/A</v>
      </c>
      <c r="D421" s="609" t="e">
        <f>+C421*25000</f>
        <v>#N/A</v>
      </c>
      <c r="E421" s="911"/>
      <c r="F421" s="911"/>
      <c r="G421" s="905" t="s">
        <v>359</v>
      </c>
      <c r="H421" s="939" t="s">
        <v>360</v>
      </c>
      <c r="I421" s="910" t="e">
        <f>VLOOKUP(H420,'LƯƠNG KT'!$D$16:$AC$184,3,0)</f>
        <v>#N/A</v>
      </c>
      <c r="J421" s="609" t="e">
        <f>+I421*25000</f>
        <v>#N/A</v>
      </c>
      <c r="K421" s="934"/>
      <c r="L421" s="935"/>
      <c r="M421" s="935"/>
      <c r="N421" s="935"/>
      <c r="O421" s="935"/>
    </row>
    <row r="422" spans="1:15" ht="15" customHeight="1">
      <c r="A422" s="905" t="s">
        <v>361</v>
      </c>
      <c r="B422" s="546" t="s">
        <v>362</v>
      </c>
      <c r="C422" s="910" t="e">
        <f>VLOOKUP(B420,'LƯƠNG KT'!$D$16:$AC$184,14,0)</f>
        <v>#N/A</v>
      </c>
      <c r="D422" s="609" t="e">
        <f>C422*$L$4</f>
        <v>#N/A</v>
      </c>
      <c r="E422" s="912"/>
      <c r="F422" s="912"/>
      <c r="G422" s="905" t="s">
        <v>361</v>
      </c>
      <c r="H422" s="546" t="s">
        <v>362</v>
      </c>
      <c r="I422" s="910" t="e">
        <f>VLOOKUP(H420,'LƯƠNG KT'!$D$16:$AC$184,14,0)</f>
        <v>#N/A</v>
      </c>
      <c r="J422" s="609" t="e">
        <f>I422*$L$4</f>
        <v>#N/A</v>
      </c>
      <c r="K422" s="934"/>
      <c r="L422" s="935"/>
      <c r="M422" s="935"/>
      <c r="N422" s="935"/>
      <c r="O422" s="935"/>
    </row>
    <row r="423" spans="1:15" ht="15" customHeight="1">
      <c r="A423" s="905" t="s">
        <v>364</v>
      </c>
      <c r="B423" s="546" t="s">
        <v>365</v>
      </c>
      <c r="C423" s="910" t="e">
        <f>VLOOKUP(B420,'LƯƠNG KT'!$D$16:$AC$184,15,0)</f>
        <v>#N/A</v>
      </c>
      <c r="D423" s="609" t="e">
        <f>C423*$L$5</f>
        <v>#N/A</v>
      </c>
      <c r="E423" s="912"/>
      <c r="F423" s="912"/>
      <c r="G423" s="905" t="s">
        <v>364</v>
      </c>
      <c r="H423" s="546" t="s">
        <v>365</v>
      </c>
      <c r="I423" s="910" t="e">
        <f>VLOOKUP(H420,'LƯƠNG KT'!$D$16:$AC$184,15,0)</f>
        <v>#N/A</v>
      </c>
      <c r="J423" s="609" t="e">
        <f>I423*$L$5</f>
        <v>#N/A</v>
      </c>
      <c r="K423" s="934"/>
      <c r="L423" s="935"/>
      <c r="M423" s="935"/>
      <c r="N423" s="935"/>
      <c r="O423" s="935"/>
    </row>
    <row r="424" spans="1:15" ht="15" customHeight="1">
      <c r="A424" s="905" t="s">
        <v>367</v>
      </c>
      <c r="B424" s="546"/>
      <c r="C424" s="910" t="e">
        <f>VLOOKUP(B420,'LƯƠNG KT'!$D$16:$AC$184,16,0)</f>
        <v>#N/A</v>
      </c>
      <c r="D424" s="609" t="e">
        <f>+C424*$L$6</f>
        <v>#N/A</v>
      </c>
      <c r="E424" s="912"/>
      <c r="F424" s="912"/>
      <c r="G424" s="905" t="s">
        <v>367</v>
      </c>
      <c r="H424" s="546"/>
      <c r="I424" s="910" t="e">
        <f>VLOOKUP(H420,'LƯƠNG KT'!$D$16:$AC$184,16,0)</f>
        <v>#N/A</v>
      </c>
      <c r="J424" s="609" t="e">
        <f>+I424*$L$6</f>
        <v>#N/A</v>
      </c>
      <c r="K424" s="935"/>
      <c r="L424" s="935"/>
      <c r="M424" s="935"/>
      <c r="N424" s="935"/>
      <c r="O424" s="935"/>
    </row>
    <row r="425" spans="1:15" ht="15" customHeight="1">
      <c r="A425" s="905" t="s">
        <v>371</v>
      </c>
      <c r="B425" s="546" t="s">
        <v>372</v>
      </c>
      <c r="C425" s="910" t="e">
        <f>VLOOKUP(B420,'LƯƠNG KT'!$D$16:$AC$184,9,0)*$L$10</f>
        <v>#N/A</v>
      </c>
      <c r="D425" s="609" t="e">
        <f>+C425*0.5*3000</f>
        <v>#N/A</v>
      </c>
      <c r="E425" s="912"/>
      <c r="F425" s="912"/>
      <c r="G425" s="905" t="s">
        <v>371</v>
      </c>
      <c r="H425" s="546" t="s">
        <v>372</v>
      </c>
      <c r="I425" s="910" t="e">
        <f>VLOOKUP(H420,'LƯƠNG KT'!$D$16:$AC$184,9,0)*$L$10</f>
        <v>#N/A</v>
      </c>
      <c r="J425" s="609" t="e">
        <f>+I425*0.5*3000</f>
        <v>#N/A</v>
      </c>
      <c r="K425" s="935"/>
      <c r="L425" s="935"/>
      <c r="M425" s="935"/>
      <c r="N425" s="935"/>
      <c r="O425" s="935"/>
    </row>
    <row r="426" spans="1:15" ht="15" customHeight="1">
      <c r="A426" s="905" t="s">
        <v>374</v>
      </c>
      <c r="B426" s="546" t="s">
        <v>375</v>
      </c>
      <c r="C426" s="910" t="e">
        <f>VLOOKUP(B420,'LƯƠNG KT'!$D$16:$AC$184,8,0)*$L$11</f>
        <v>#N/A</v>
      </c>
      <c r="D426" s="609" t="e">
        <f>VLOOKUP(B420,'LƯƠNG KT'!$D$16:$AC$184,13,0)-D425</f>
        <v>#N/A</v>
      </c>
      <c r="E426" s="914"/>
      <c r="F426" s="912"/>
      <c r="G426" s="905" t="s">
        <v>374</v>
      </c>
      <c r="H426" s="546" t="s">
        <v>375</v>
      </c>
      <c r="I426" s="910" t="e">
        <f>VLOOKUP(H420,'LƯƠNG KT'!$D$16:$AC$184,8,0)*$L$11</f>
        <v>#N/A</v>
      </c>
      <c r="J426" s="609" t="e">
        <f>VLOOKUP(H420,'LƯƠNG KT'!$D$16:$AC$184,13,0)-J425</f>
        <v>#N/A</v>
      </c>
      <c r="K426" s="935"/>
      <c r="L426" s="935"/>
      <c r="M426" s="935"/>
      <c r="N426" s="935"/>
      <c r="O426" s="935"/>
    </row>
    <row r="427" spans="1:15" ht="15" customHeight="1">
      <c r="A427" s="609" t="s">
        <v>377</v>
      </c>
      <c r="B427" s="546" t="s">
        <v>378</v>
      </c>
      <c r="C427" s="910"/>
      <c r="D427" s="609"/>
      <c r="E427" s="916"/>
      <c r="F427" s="916"/>
      <c r="G427" s="609" t="s">
        <v>377</v>
      </c>
      <c r="H427" s="546" t="s">
        <v>378</v>
      </c>
      <c r="I427" s="910"/>
      <c r="J427" s="609"/>
    </row>
    <row r="428" spans="1:15" ht="15" customHeight="1">
      <c r="A428" s="547" t="s">
        <v>379</v>
      </c>
      <c r="B428" s="546" t="s">
        <v>380</v>
      </c>
      <c r="C428" s="910"/>
      <c r="D428" s="609">
        <f>14*25000</f>
        <v>350000</v>
      </c>
      <c r="E428" s="914"/>
      <c r="F428" s="916"/>
      <c r="G428" s="547" t="s">
        <v>379</v>
      </c>
      <c r="H428" s="546" t="s">
        <v>380</v>
      </c>
      <c r="I428" s="910"/>
      <c r="J428" s="609">
        <f>14*25000</f>
        <v>350000</v>
      </c>
    </row>
    <row r="429" spans="1:15" ht="15" customHeight="1">
      <c r="A429" s="905" t="s">
        <v>381</v>
      </c>
      <c r="B429" s="546" t="s">
        <v>382</v>
      </c>
      <c r="C429" s="910"/>
      <c r="D429" s="609">
        <f>D428</f>
        <v>350000</v>
      </c>
      <c r="E429" s="917"/>
      <c r="F429" s="904"/>
      <c r="G429" s="905" t="s">
        <v>381</v>
      </c>
      <c r="H429" s="546" t="s">
        <v>382</v>
      </c>
      <c r="I429" s="910"/>
      <c r="J429" s="609">
        <f>J428</f>
        <v>350000</v>
      </c>
    </row>
    <row r="430" spans="1:15" ht="15" customHeight="1">
      <c r="A430" s="918" t="s">
        <v>383</v>
      </c>
      <c r="B430" s="919" t="s">
        <v>384</v>
      </c>
      <c r="C430" s="920"/>
      <c r="D430" s="921" t="e">
        <f>SUM(D421:D426)-D429</f>
        <v>#N/A</v>
      </c>
      <c r="E430" s="922"/>
      <c r="F430" s="923"/>
      <c r="G430" s="918" t="s">
        <v>383</v>
      </c>
      <c r="H430" s="919" t="s">
        <v>384</v>
      </c>
      <c r="I430" s="920"/>
      <c r="J430" s="921" t="e">
        <f>SUM(J421:J426)-J429</f>
        <v>#N/A</v>
      </c>
    </row>
    <row r="431" spans="1:15" ht="12.6" customHeight="1">
      <c r="A431" s="924"/>
      <c r="B431" s="925"/>
      <c r="C431" s="926"/>
      <c r="D431" s="927"/>
      <c r="E431" s="927"/>
      <c r="F431" s="928"/>
      <c r="G431" s="924"/>
      <c r="H431" s="925"/>
      <c r="I431" s="926"/>
      <c r="J431" s="927"/>
    </row>
    <row r="432" spans="1:15" ht="12.6" customHeight="1">
      <c r="A432" s="925"/>
      <c r="B432" s="925"/>
      <c r="C432" s="929"/>
      <c r="D432" s="930"/>
      <c r="E432" s="925"/>
      <c r="F432" s="931"/>
      <c r="G432" s="925"/>
      <c r="H432" s="925"/>
      <c r="I432" s="929"/>
      <c r="J432" s="930"/>
    </row>
    <row r="433" spans="1:15" ht="15" customHeight="1">
      <c r="A433" s="2360" t="str">
        <f>$K$2</f>
        <v>THÁNG 09/2024</v>
      </c>
      <c r="B433" s="2360"/>
      <c r="C433" s="2360"/>
      <c r="D433" s="2360"/>
      <c r="E433" s="903"/>
      <c r="F433" s="904"/>
      <c r="G433" s="2360" t="str">
        <f>$K$2</f>
        <v>THÁNG 09/2024</v>
      </c>
      <c r="H433" s="2360"/>
      <c r="I433" s="2360"/>
      <c r="J433" s="2360"/>
      <c r="K433" s="276"/>
    </row>
    <row r="434" spans="1:15" ht="15" customHeight="1">
      <c r="A434" s="905" t="s">
        <v>356</v>
      </c>
      <c r="B434" s="642" t="s">
        <v>432</v>
      </c>
      <c r="C434" s="546"/>
      <c r="D434" s="902"/>
      <c r="E434" s="906"/>
      <c r="F434" s="907"/>
      <c r="G434" s="905" t="s">
        <v>356</v>
      </c>
      <c r="H434" s="642" t="s">
        <v>433</v>
      </c>
      <c r="I434" s="546"/>
      <c r="J434" s="902"/>
      <c r="L434" s="938"/>
      <c r="M434" s="938"/>
      <c r="N434" s="938"/>
      <c r="O434" s="938"/>
    </row>
    <row r="435" spans="1:15" ht="15" customHeight="1">
      <c r="A435" s="905" t="s">
        <v>359</v>
      </c>
      <c r="B435" s="939" t="s">
        <v>360</v>
      </c>
      <c r="C435" s="910" t="e">
        <f>VLOOKUP(B434,'LƯƠNG KT'!$D$16:$AC$184,3,0)</f>
        <v>#N/A</v>
      </c>
      <c r="D435" s="609" t="e">
        <f>+C435*25000</f>
        <v>#N/A</v>
      </c>
      <c r="E435" s="911"/>
      <c r="F435" s="911"/>
      <c r="G435" s="905" t="s">
        <v>359</v>
      </c>
      <c r="H435" s="939" t="s">
        <v>360</v>
      </c>
      <c r="I435" s="910" t="e">
        <f>VLOOKUP(H434,'LƯƠNG KT'!$D$16:$AC$184,3,0)</f>
        <v>#N/A</v>
      </c>
      <c r="J435" s="609" t="e">
        <f>+I435*25000</f>
        <v>#N/A</v>
      </c>
      <c r="K435" s="935"/>
      <c r="L435" s="935"/>
      <c r="M435" s="935"/>
      <c r="N435" s="935"/>
      <c r="O435" s="935"/>
    </row>
    <row r="436" spans="1:15" ht="15" customHeight="1">
      <c r="A436" s="905" t="s">
        <v>361</v>
      </c>
      <c r="B436" s="546" t="s">
        <v>362</v>
      </c>
      <c r="C436" s="910" t="e">
        <f>VLOOKUP(B434,'LƯƠNG KT'!$D$16:$AC$184,14,0)</f>
        <v>#N/A</v>
      </c>
      <c r="D436" s="609" t="e">
        <f>C436*$L$4</f>
        <v>#N/A</v>
      </c>
      <c r="E436" s="912"/>
      <c r="F436" s="912"/>
      <c r="G436" s="905" t="s">
        <v>361</v>
      </c>
      <c r="H436" s="546" t="s">
        <v>362</v>
      </c>
      <c r="I436" s="910" t="e">
        <f>VLOOKUP(H434,'LƯƠNG KT'!$D$16:$AC$184,14,0)</f>
        <v>#N/A</v>
      </c>
      <c r="J436" s="609" t="e">
        <f>I436*$L$4</f>
        <v>#N/A</v>
      </c>
      <c r="K436" s="935"/>
      <c r="L436" s="935"/>
      <c r="M436" s="935"/>
      <c r="N436" s="935"/>
      <c r="O436" s="935"/>
    </row>
    <row r="437" spans="1:15" ht="15" customHeight="1">
      <c r="A437" s="905" t="s">
        <v>364</v>
      </c>
      <c r="B437" s="546" t="s">
        <v>365</v>
      </c>
      <c r="C437" s="910" t="e">
        <f>VLOOKUP(B434,'LƯƠNG KT'!$D$16:$AC$184,15,0)</f>
        <v>#N/A</v>
      </c>
      <c r="D437" s="609" t="e">
        <f>C437*$L$5</f>
        <v>#N/A</v>
      </c>
      <c r="E437" s="912"/>
      <c r="F437" s="912"/>
      <c r="G437" s="905" t="s">
        <v>364</v>
      </c>
      <c r="H437" s="546" t="s">
        <v>365</v>
      </c>
      <c r="I437" s="910" t="e">
        <f>VLOOKUP(H434,'LƯƠNG KT'!$D$16:$AC$184,15,0)</f>
        <v>#N/A</v>
      </c>
      <c r="J437" s="609" t="e">
        <f>I437*$L$5</f>
        <v>#N/A</v>
      </c>
      <c r="K437" s="935"/>
      <c r="L437" s="935"/>
      <c r="M437" s="935"/>
      <c r="N437" s="935"/>
      <c r="O437" s="935"/>
    </row>
    <row r="438" spans="1:15" ht="15" customHeight="1">
      <c r="A438" s="905" t="s">
        <v>367</v>
      </c>
      <c r="B438" s="546"/>
      <c r="C438" s="910" t="e">
        <f>VLOOKUP(B434,'LƯƠNG KT'!$D$16:$AC$184,16,0)</f>
        <v>#N/A</v>
      </c>
      <c r="D438" s="609" t="e">
        <f>+C438*$L$6</f>
        <v>#N/A</v>
      </c>
      <c r="E438" s="912"/>
      <c r="F438" s="912"/>
      <c r="G438" s="905" t="s">
        <v>367</v>
      </c>
      <c r="H438" s="546"/>
      <c r="I438" s="910" t="e">
        <f>VLOOKUP(H434,'LƯƠNG KT'!$D$16:$AC$184,16,0)</f>
        <v>#N/A</v>
      </c>
      <c r="J438" s="609" t="e">
        <f>+I438*$L$6</f>
        <v>#N/A</v>
      </c>
      <c r="K438" s="935"/>
      <c r="L438" s="935"/>
      <c r="M438" s="935"/>
      <c r="N438" s="935"/>
      <c r="O438" s="935"/>
    </row>
    <row r="439" spans="1:15" ht="15" customHeight="1">
      <c r="A439" s="905" t="s">
        <v>371</v>
      </c>
      <c r="B439" s="546" t="s">
        <v>372</v>
      </c>
      <c r="C439" s="910" t="e">
        <f>VLOOKUP(B434,'LƯƠNG KT'!$D$16:$AC$184,9,0)*$L$10</f>
        <v>#N/A</v>
      </c>
      <c r="D439" s="609" t="e">
        <f>+C439*0.5*3000</f>
        <v>#N/A</v>
      </c>
      <c r="E439" s="912"/>
      <c r="F439" s="912"/>
      <c r="G439" s="905" t="s">
        <v>371</v>
      </c>
      <c r="H439" s="546" t="s">
        <v>372</v>
      </c>
      <c r="I439" s="910" t="e">
        <f>VLOOKUP(H434,'LƯƠNG KT'!$D$16:$AC$184,9,0)*$L$10</f>
        <v>#N/A</v>
      </c>
      <c r="J439" s="609" t="e">
        <f>+I439*0.5*3000</f>
        <v>#N/A</v>
      </c>
      <c r="K439" s="935"/>
      <c r="L439" s="935"/>
      <c r="M439" s="935"/>
      <c r="N439" s="935"/>
      <c r="O439" s="935"/>
    </row>
    <row r="440" spans="1:15" ht="15" customHeight="1">
      <c r="A440" s="905" t="s">
        <v>374</v>
      </c>
      <c r="B440" s="546" t="s">
        <v>375</v>
      </c>
      <c r="C440" s="910" t="e">
        <f>VLOOKUP(B434,'LƯƠNG KT'!$D$16:$AC$184,8,0)*$L$11</f>
        <v>#N/A</v>
      </c>
      <c r="D440" s="609" t="e">
        <f>VLOOKUP(B434,'LƯƠNG KT'!$D$16:$AC$184,13,0)-D439</f>
        <v>#N/A</v>
      </c>
      <c r="E440" s="914"/>
      <c r="F440" s="912"/>
      <c r="G440" s="905" t="s">
        <v>374</v>
      </c>
      <c r="H440" s="546" t="s">
        <v>375</v>
      </c>
      <c r="I440" s="910" t="e">
        <f>VLOOKUP(H434,'LƯƠNG KT'!$D$16:$AC$184,8,0)*$L$11</f>
        <v>#N/A</v>
      </c>
      <c r="J440" s="609" t="e">
        <f>VLOOKUP(H434,'LƯƠNG KT'!$D$16:$AC$184,13,0)-J439</f>
        <v>#N/A</v>
      </c>
      <c r="K440" s="935"/>
      <c r="L440" s="935"/>
      <c r="M440" s="935"/>
      <c r="N440" s="935"/>
      <c r="O440" s="935"/>
    </row>
    <row r="441" spans="1:15" ht="15" customHeight="1">
      <c r="A441" s="609" t="s">
        <v>377</v>
      </c>
      <c r="B441" s="546" t="s">
        <v>378</v>
      </c>
      <c r="C441" s="910"/>
      <c r="D441" s="609"/>
      <c r="E441" s="916"/>
      <c r="F441" s="916"/>
      <c r="G441" s="609" t="s">
        <v>377</v>
      </c>
      <c r="H441" s="546" t="s">
        <v>378</v>
      </c>
      <c r="I441" s="910"/>
      <c r="J441" s="609"/>
    </row>
    <row r="442" spans="1:15" ht="15" customHeight="1">
      <c r="A442" s="547" t="s">
        <v>379</v>
      </c>
      <c r="B442" s="546" t="s">
        <v>380</v>
      </c>
      <c r="C442" s="910"/>
      <c r="D442" s="609">
        <f>14*25000</f>
        <v>350000</v>
      </c>
      <c r="E442" s="914"/>
      <c r="F442" s="916"/>
      <c r="G442" s="547" t="s">
        <v>379</v>
      </c>
      <c r="H442" s="546" t="s">
        <v>380</v>
      </c>
      <c r="I442" s="910"/>
      <c r="J442" s="609">
        <f>14*25000</f>
        <v>350000</v>
      </c>
    </row>
    <row r="443" spans="1:15" ht="15" customHeight="1">
      <c r="A443" s="905" t="s">
        <v>381</v>
      </c>
      <c r="B443" s="546" t="s">
        <v>382</v>
      </c>
      <c r="C443" s="910"/>
      <c r="D443" s="609">
        <f>D442</f>
        <v>350000</v>
      </c>
      <c r="E443" s="917"/>
      <c r="F443" s="904"/>
      <c r="G443" s="905" t="s">
        <v>381</v>
      </c>
      <c r="H443" s="546" t="s">
        <v>382</v>
      </c>
      <c r="I443" s="910"/>
      <c r="J443" s="609">
        <f>J442</f>
        <v>350000</v>
      </c>
    </row>
    <row r="444" spans="1:15" ht="15" customHeight="1">
      <c r="A444" s="918" t="s">
        <v>383</v>
      </c>
      <c r="B444" s="919" t="s">
        <v>384</v>
      </c>
      <c r="C444" s="920"/>
      <c r="D444" s="921" t="e">
        <f>SUM(D435:D440)-D443</f>
        <v>#N/A</v>
      </c>
      <c r="E444" s="922"/>
      <c r="F444" s="923"/>
      <c r="G444" s="918" t="s">
        <v>383</v>
      </c>
      <c r="H444" s="919" t="s">
        <v>384</v>
      </c>
      <c r="I444" s="920"/>
      <c r="J444" s="921" t="e">
        <f>SUM(J435:J440)-J443</f>
        <v>#N/A</v>
      </c>
    </row>
    <row r="445" spans="1:15" ht="18.75" customHeight="1">
      <c r="A445" s="924"/>
      <c r="B445" s="925"/>
      <c r="C445" s="926"/>
      <c r="D445" s="927"/>
      <c r="E445" s="927"/>
      <c r="F445" s="928"/>
      <c r="G445" s="924"/>
      <c r="H445" s="925"/>
      <c r="I445" s="926"/>
      <c r="J445" s="927"/>
    </row>
    <row r="446" spans="1:15" ht="18.75" customHeight="1">
      <c r="A446" s="925"/>
      <c r="B446" s="925"/>
      <c r="C446" s="929"/>
      <c r="D446" s="930"/>
      <c r="E446" s="925"/>
      <c r="F446" s="931"/>
      <c r="G446" s="925"/>
      <c r="H446" s="925"/>
      <c r="I446" s="929"/>
      <c r="J446" s="930"/>
    </row>
    <row r="447" spans="1:15" ht="15" customHeight="1">
      <c r="A447" s="2360" t="str">
        <f>$K$2</f>
        <v>THÁNG 09/2024</v>
      </c>
      <c r="B447" s="2360"/>
      <c r="C447" s="2360"/>
      <c r="D447" s="2360"/>
      <c r="E447" s="903"/>
      <c r="F447" s="904"/>
      <c r="G447" s="2360" t="str">
        <f>$K$2</f>
        <v>THÁNG 09/2024</v>
      </c>
      <c r="H447" s="2360"/>
      <c r="I447" s="2360"/>
      <c r="J447" s="2360"/>
      <c r="K447" s="276"/>
    </row>
    <row r="448" spans="1:15" ht="15" customHeight="1">
      <c r="A448" s="905" t="s">
        <v>356</v>
      </c>
      <c r="B448" s="642" t="s">
        <v>434</v>
      </c>
      <c r="C448" s="546"/>
      <c r="D448" s="902"/>
      <c r="E448" s="906"/>
      <c r="F448" s="907"/>
      <c r="G448" s="905" t="s">
        <v>356</v>
      </c>
      <c r="H448" s="642" t="s">
        <v>435</v>
      </c>
      <c r="I448" s="546"/>
      <c r="J448" s="902"/>
      <c r="L448" s="938"/>
      <c r="M448" s="938"/>
      <c r="N448" s="938"/>
      <c r="O448" s="938"/>
    </row>
    <row r="449" spans="1:15" ht="15" customHeight="1">
      <c r="A449" s="905" t="s">
        <v>359</v>
      </c>
      <c r="B449" s="939" t="s">
        <v>360</v>
      </c>
      <c r="C449" s="910" t="e">
        <f>VLOOKUP(B448,'LƯƠNG KT'!$D$16:$AC$184,3,0)</f>
        <v>#N/A</v>
      </c>
      <c r="D449" s="609" t="e">
        <f>+C449*25000</f>
        <v>#N/A</v>
      </c>
      <c r="E449" s="911"/>
      <c r="F449" s="911"/>
      <c r="G449" s="905" t="s">
        <v>359</v>
      </c>
      <c r="H449" s="939" t="s">
        <v>360</v>
      </c>
      <c r="I449" s="910" t="e">
        <f>VLOOKUP(H448,'LƯƠNG KT'!$D$16:$AC$184,3,0)</f>
        <v>#N/A</v>
      </c>
      <c r="J449" s="609" t="e">
        <f>+I449*25000</f>
        <v>#N/A</v>
      </c>
      <c r="K449" s="935"/>
      <c r="L449" s="935"/>
      <c r="M449" s="935"/>
      <c r="N449" s="935"/>
      <c r="O449" s="935"/>
    </row>
    <row r="450" spans="1:15" ht="15" customHeight="1">
      <c r="A450" s="905" t="s">
        <v>361</v>
      </c>
      <c r="B450" s="546" t="s">
        <v>362</v>
      </c>
      <c r="C450" s="910" t="e">
        <f>VLOOKUP(B448,'LƯƠNG KT'!$D$16:$AC$184,14,0)</f>
        <v>#N/A</v>
      </c>
      <c r="D450" s="609" t="e">
        <f>C450*$L$4</f>
        <v>#N/A</v>
      </c>
      <c r="E450" s="912"/>
      <c r="F450" s="912"/>
      <c r="G450" s="905" t="s">
        <v>361</v>
      </c>
      <c r="H450" s="546" t="s">
        <v>362</v>
      </c>
      <c r="I450" s="910" t="e">
        <f>VLOOKUP(H448,'LƯƠNG KT'!$D$16:$AC$184,14,0)</f>
        <v>#N/A</v>
      </c>
      <c r="J450" s="609" t="e">
        <f>I450*$L$4</f>
        <v>#N/A</v>
      </c>
      <c r="K450" s="935"/>
      <c r="L450" s="935"/>
      <c r="M450" s="935"/>
      <c r="N450" s="935"/>
      <c r="O450" s="935"/>
    </row>
    <row r="451" spans="1:15" ht="15" customHeight="1">
      <c r="A451" s="905" t="s">
        <v>364</v>
      </c>
      <c r="B451" s="546" t="s">
        <v>365</v>
      </c>
      <c r="C451" s="910" t="e">
        <f>VLOOKUP(B448,'LƯƠNG KT'!$D$16:$AC$184,15,0)</f>
        <v>#N/A</v>
      </c>
      <c r="D451" s="609" t="e">
        <f>C451*$L$5</f>
        <v>#N/A</v>
      </c>
      <c r="E451" s="912"/>
      <c r="F451" s="912"/>
      <c r="G451" s="905" t="s">
        <v>364</v>
      </c>
      <c r="H451" s="546" t="s">
        <v>365</v>
      </c>
      <c r="I451" s="910" t="e">
        <f>VLOOKUP(H448,'LƯƠNG KT'!$D$16:$AC$184,15,0)</f>
        <v>#N/A</v>
      </c>
      <c r="J451" s="609" t="e">
        <f>I451*$L$5</f>
        <v>#N/A</v>
      </c>
      <c r="K451" s="935"/>
      <c r="L451" s="935"/>
      <c r="M451" s="935"/>
      <c r="N451" s="935"/>
      <c r="O451" s="935"/>
    </row>
    <row r="452" spans="1:15" ht="15" customHeight="1">
      <c r="A452" s="905" t="s">
        <v>367</v>
      </c>
      <c r="B452" s="546"/>
      <c r="C452" s="910" t="e">
        <f>VLOOKUP(B448,'LƯƠNG KT'!$D$16:$AC$184,16,0)</f>
        <v>#N/A</v>
      </c>
      <c r="D452" s="609" t="e">
        <f>+C452*$L$6</f>
        <v>#N/A</v>
      </c>
      <c r="E452" s="912"/>
      <c r="F452" s="912"/>
      <c r="G452" s="905" t="s">
        <v>367</v>
      </c>
      <c r="H452" s="546"/>
      <c r="I452" s="910" t="e">
        <f>VLOOKUP(H448,'LƯƠNG KT'!$D$16:$AC$184,16,0)</f>
        <v>#N/A</v>
      </c>
      <c r="J452" s="609" t="e">
        <f>+I452*$L$6</f>
        <v>#N/A</v>
      </c>
      <c r="K452" s="935"/>
      <c r="L452" s="935"/>
      <c r="M452" s="935"/>
      <c r="N452" s="935"/>
      <c r="O452" s="935"/>
    </row>
    <row r="453" spans="1:15" ht="15" customHeight="1">
      <c r="A453" s="905" t="s">
        <v>371</v>
      </c>
      <c r="B453" s="546" t="s">
        <v>372</v>
      </c>
      <c r="C453" s="910" t="e">
        <f>VLOOKUP(B448,'LƯƠNG KT'!$D$16:$AC$184,9,0)*$L$10</f>
        <v>#N/A</v>
      </c>
      <c r="D453" s="609" t="e">
        <f>+C453*0.5*3000</f>
        <v>#N/A</v>
      </c>
      <c r="E453" s="912"/>
      <c r="F453" s="912"/>
      <c r="G453" s="905" t="s">
        <v>371</v>
      </c>
      <c r="H453" s="546" t="s">
        <v>372</v>
      </c>
      <c r="I453" s="910" t="e">
        <f>VLOOKUP(H448,'LƯƠNG KT'!$D$16:$AC$184,9,0)*$L$10</f>
        <v>#N/A</v>
      </c>
      <c r="J453" s="609" t="e">
        <f>+I453*0.5*3000</f>
        <v>#N/A</v>
      </c>
      <c r="K453" s="935"/>
      <c r="L453" s="935"/>
      <c r="M453" s="935"/>
      <c r="N453" s="935"/>
      <c r="O453" s="935"/>
    </row>
    <row r="454" spans="1:15" ht="15" customHeight="1">
      <c r="A454" s="905" t="s">
        <v>374</v>
      </c>
      <c r="B454" s="546" t="s">
        <v>375</v>
      </c>
      <c r="C454" s="910" t="e">
        <f>VLOOKUP(B448,'LƯƠNG KT'!$D$16:$AC$184,8,0)*$L$11</f>
        <v>#N/A</v>
      </c>
      <c r="D454" s="609" t="e">
        <f>VLOOKUP(B448,'LƯƠNG KT'!$D$16:$AC$184,13,0)-D453</f>
        <v>#N/A</v>
      </c>
      <c r="E454" s="914"/>
      <c r="F454" s="912"/>
      <c r="G454" s="905" t="s">
        <v>374</v>
      </c>
      <c r="H454" s="546" t="s">
        <v>375</v>
      </c>
      <c r="I454" s="910" t="e">
        <f>VLOOKUP(H448,'LƯƠNG KT'!$D$16:$AC$184,8,0)*$L$11</f>
        <v>#N/A</v>
      </c>
      <c r="J454" s="609" t="e">
        <f>VLOOKUP(H448,'LƯƠNG KT'!$D$16:$AC$184,13,0)-J453</f>
        <v>#N/A</v>
      </c>
      <c r="K454" s="935"/>
      <c r="L454" s="935"/>
      <c r="M454" s="935"/>
      <c r="N454" s="935"/>
      <c r="O454" s="935"/>
    </row>
    <row r="455" spans="1:15" ht="15" customHeight="1">
      <c r="A455" s="609" t="s">
        <v>377</v>
      </c>
      <c r="B455" s="546" t="s">
        <v>378</v>
      </c>
      <c r="C455" s="910"/>
      <c r="D455" s="609"/>
      <c r="E455" s="916"/>
      <c r="F455" s="916"/>
      <c r="G455" s="609" t="s">
        <v>377</v>
      </c>
      <c r="H455" s="546" t="s">
        <v>378</v>
      </c>
      <c r="I455" s="910"/>
      <c r="J455" s="609"/>
    </row>
    <row r="456" spans="1:15" ht="15" customHeight="1">
      <c r="A456" s="547" t="s">
        <v>379</v>
      </c>
      <c r="B456" s="546" t="s">
        <v>380</v>
      </c>
      <c r="C456" s="910"/>
      <c r="D456" s="609">
        <f>14*25000</f>
        <v>350000</v>
      </c>
      <c r="E456" s="914"/>
      <c r="F456" s="916"/>
      <c r="G456" s="547" t="s">
        <v>379</v>
      </c>
      <c r="H456" s="546" t="s">
        <v>380</v>
      </c>
      <c r="I456" s="910"/>
      <c r="J456" s="609">
        <f>14*25000</f>
        <v>350000</v>
      </c>
    </row>
    <row r="457" spans="1:15" ht="15" customHeight="1">
      <c r="A457" s="905" t="s">
        <v>381</v>
      </c>
      <c r="B457" s="546" t="s">
        <v>382</v>
      </c>
      <c r="C457" s="910"/>
      <c r="D457" s="609">
        <f>D456</f>
        <v>350000</v>
      </c>
      <c r="E457" s="917"/>
      <c r="F457" s="904"/>
      <c r="G457" s="905" t="s">
        <v>381</v>
      </c>
      <c r="H457" s="546" t="s">
        <v>382</v>
      </c>
      <c r="I457" s="910"/>
      <c r="J457" s="609">
        <f>J456</f>
        <v>350000</v>
      </c>
    </row>
    <row r="458" spans="1:15" ht="15" customHeight="1">
      <c r="A458" s="918" t="s">
        <v>383</v>
      </c>
      <c r="B458" s="919" t="s">
        <v>384</v>
      </c>
      <c r="C458" s="920"/>
      <c r="D458" s="921" t="e">
        <f>SUM(D449:D454)-D457</f>
        <v>#N/A</v>
      </c>
      <c r="E458" s="922"/>
      <c r="F458" s="923"/>
      <c r="G458" s="918" t="s">
        <v>383</v>
      </c>
      <c r="H458" s="919" t="s">
        <v>384</v>
      </c>
      <c r="I458" s="920"/>
      <c r="J458" s="921" t="e">
        <f>SUM(J449:J454)-J457</f>
        <v>#N/A</v>
      </c>
    </row>
    <row r="459" spans="1:15" ht="18.75" customHeight="1">
      <c r="A459" s="924"/>
      <c r="B459" s="925"/>
      <c r="C459" s="926"/>
      <c r="D459" s="927"/>
      <c r="E459" s="927"/>
      <c r="F459" s="928"/>
      <c r="G459" s="924"/>
      <c r="H459" s="925"/>
      <c r="I459" s="926"/>
      <c r="J459" s="927"/>
    </row>
    <row r="460" spans="1:15" ht="18.75" customHeight="1">
      <c r="A460" s="925"/>
      <c r="B460" s="925"/>
      <c r="C460" s="929"/>
      <c r="D460" s="930"/>
      <c r="E460" s="925"/>
      <c r="F460" s="931"/>
      <c r="G460" s="925"/>
      <c r="H460" s="925"/>
      <c r="I460" s="929"/>
      <c r="J460" s="930"/>
    </row>
    <row r="461" spans="1:15" ht="15" customHeight="1">
      <c r="A461" s="2360" t="str">
        <f>$K$2</f>
        <v>THÁNG 09/2024</v>
      </c>
      <c r="B461" s="2360"/>
      <c r="C461" s="2360"/>
      <c r="D461" s="2360"/>
      <c r="E461" s="903"/>
      <c r="F461" s="904"/>
      <c r="G461" s="2360" t="str">
        <f>$K$2</f>
        <v>THÁNG 09/2024</v>
      </c>
      <c r="H461" s="2360"/>
      <c r="I461" s="2360"/>
      <c r="J461" s="2360"/>
      <c r="K461" s="276"/>
    </row>
    <row r="462" spans="1:15" ht="15" customHeight="1">
      <c r="A462" s="905" t="s">
        <v>356</v>
      </c>
      <c r="B462" s="642" t="s">
        <v>436</v>
      </c>
      <c r="C462" s="546"/>
      <c r="D462" s="902"/>
      <c r="E462" s="906"/>
      <c r="F462" s="907"/>
      <c r="G462" s="905" t="s">
        <v>356</v>
      </c>
      <c r="H462" s="642" t="s">
        <v>437</v>
      </c>
      <c r="I462" s="546"/>
      <c r="J462" s="902"/>
      <c r="L462" s="938"/>
      <c r="M462" s="938"/>
      <c r="N462" s="938"/>
      <c r="O462" s="938"/>
    </row>
    <row r="463" spans="1:15" ht="15" customHeight="1">
      <c r="A463" s="905" t="s">
        <v>359</v>
      </c>
      <c r="B463" s="939" t="s">
        <v>360</v>
      </c>
      <c r="C463" s="910" t="e">
        <f>VLOOKUP(B462,'LƯƠNG KT'!$D$16:$AC$184,3,0)</f>
        <v>#N/A</v>
      </c>
      <c r="D463" s="609" t="e">
        <f>+C463*25000</f>
        <v>#N/A</v>
      </c>
      <c r="E463" s="911"/>
      <c r="F463" s="911"/>
      <c r="G463" s="905" t="s">
        <v>359</v>
      </c>
      <c r="H463" s="939" t="s">
        <v>360</v>
      </c>
      <c r="I463" s="910" t="e">
        <f>VLOOKUP(H462,'LƯƠNG KT'!$D$16:$AC$184,3,0)</f>
        <v>#N/A</v>
      </c>
      <c r="J463" s="609" t="e">
        <f>+I463*25000</f>
        <v>#N/A</v>
      </c>
      <c r="K463" s="935"/>
      <c r="L463" s="935"/>
      <c r="M463" s="935"/>
      <c r="N463" s="935"/>
      <c r="O463" s="935"/>
    </row>
    <row r="464" spans="1:15" ht="15" customHeight="1">
      <c r="A464" s="905" t="s">
        <v>361</v>
      </c>
      <c r="B464" s="546" t="s">
        <v>362</v>
      </c>
      <c r="C464" s="910" t="e">
        <f>VLOOKUP(B462,'LƯƠNG KT'!$D$16:$AC$184,14,0)</f>
        <v>#N/A</v>
      </c>
      <c r="D464" s="609" t="e">
        <f>C464*$L$4</f>
        <v>#N/A</v>
      </c>
      <c r="E464" s="912"/>
      <c r="F464" s="912"/>
      <c r="G464" s="905" t="s">
        <v>361</v>
      </c>
      <c r="H464" s="546" t="s">
        <v>362</v>
      </c>
      <c r="I464" s="910" t="e">
        <f>VLOOKUP(H462,'LƯƠNG KT'!$D$16:$AC$184,14,0)</f>
        <v>#N/A</v>
      </c>
      <c r="J464" s="609" t="e">
        <f>I464*$L$4</f>
        <v>#N/A</v>
      </c>
      <c r="K464" s="935"/>
      <c r="L464" s="935"/>
      <c r="M464" s="935"/>
      <c r="N464" s="935"/>
      <c r="O464" s="935"/>
    </row>
    <row r="465" spans="1:15" ht="15" customHeight="1">
      <c r="A465" s="905" t="s">
        <v>364</v>
      </c>
      <c r="B465" s="546" t="s">
        <v>365</v>
      </c>
      <c r="C465" s="910" t="e">
        <f>VLOOKUP(B462,'LƯƠNG KT'!$D$16:$AC$184,15,0)</f>
        <v>#N/A</v>
      </c>
      <c r="D465" s="609" t="e">
        <f>C465*$L$5</f>
        <v>#N/A</v>
      </c>
      <c r="E465" s="912"/>
      <c r="F465" s="912"/>
      <c r="G465" s="905" t="s">
        <v>364</v>
      </c>
      <c r="H465" s="546" t="s">
        <v>365</v>
      </c>
      <c r="I465" s="910" t="e">
        <f>VLOOKUP(H462,'LƯƠNG KT'!$D$16:$AC$184,15,0)</f>
        <v>#N/A</v>
      </c>
      <c r="J465" s="609" t="e">
        <f>I465*$L$5</f>
        <v>#N/A</v>
      </c>
      <c r="K465" s="935"/>
      <c r="L465" s="935"/>
      <c r="M465" s="935"/>
      <c r="N465" s="935"/>
      <c r="O465" s="935"/>
    </row>
    <row r="466" spans="1:15" ht="15" customHeight="1">
      <c r="A466" s="905" t="s">
        <v>367</v>
      </c>
      <c r="B466" s="546"/>
      <c r="C466" s="910" t="e">
        <f>VLOOKUP(B462,'LƯƠNG KT'!$D$16:$AC$184,16,0)</f>
        <v>#N/A</v>
      </c>
      <c r="D466" s="609" t="e">
        <f>+C466*$L$6</f>
        <v>#N/A</v>
      </c>
      <c r="E466" s="912"/>
      <c r="F466" s="912"/>
      <c r="G466" s="905" t="s">
        <v>367</v>
      </c>
      <c r="H466" s="546"/>
      <c r="I466" s="910" t="e">
        <f>VLOOKUP(H462,'LƯƠNG KT'!$D$16:$AC$184,16,0)</f>
        <v>#N/A</v>
      </c>
      <c r="J466" s="609" t="e">
        <f>+I466*$L$6</f>
        <v>#N/A</v>
      </c>
      <c r="K466" s="935"/>
      <c r="L466" s="935"/>
      <c r="M466" s="935"/>
      <c r="N466" s="935"/>
      <c r="O466" s="935"/>
    </row>
    <row r="467" spans="1:15" ht="15" customHeight="1">
      <c r="A467" s="905" t="s">
        <v>371</v>
      </c>
      <c r="B467" s="546" t="s">
        <v>372</v>
      </c>
      <c r="C467" s="910" t="e">
        <f>VLOOKUP(B462,'LƯƠNG KT'!$D$16:$AC$184,9,0)*$L$10</f>
        <v>#N/A</v>
      </c>
      <c r="D467" s="609" t="e">
        <f>+C467*0.5*3000</f>
        <v>#N/A</v>
      </c>
      <c r="E467" s="912"/>
      <c r="F467" s="912"/>
      <c r="G467" s="905" t="s">
        <v>371</v>
      </c>
      <c r="H467" s="546" t="s">
        <v>372</v>
      </c>
      <c r="I467" s="910" t="e">
        <f>VLOOKUP(H462,'LƯƠNG KT'!$D$16:$AC$184,9,0)*$L$10</f>
        <v>#N/A</v>
      </c>
      <c r="J467" s="609" t="e">
        <f>+I467*0.5*3000</f>
        <v>#N/A</v>
      </c>
      <c r="K467" s="935"/>
      <c r="L467" s="935"/>
      <c r="M467" s="935"/>
      <c r="N467" s="935"/>
      <c r="O467" s="935"/>
    </row>
    <row r="468" spans="1:15" ht="15" customHeight="1">
      <c r="A468" s="905" t="s">
        <v>374</v>
      </c>
      <c r="B468" s="546" t="s">
        <v>375</v>
      </c>
      <c r="C468" s="910" t="e">
        <f>VLOOKUP(B462,'LƯƠNG KT'!$D$16:$AC$184,8,0)*$L$11</f>
        <v>#N/A</v>
      </c>
      <c r="D468" s="609" t="e">
        <f>VLOOKUP(B462,'LƯƠNG KT'!$D$16:$AC$184,13,0)-D467</f>
        <v>#N/A</v>
      </c>
      <c r="E468" s="914"/>
      <c r="F468" s="912"/>
      <c r="G468" s="905" t="s">
        <v>374</v>
      </c>
      <c r="H468" s="546" t="s">
        <v>375</v>
      </c>
      <c r="I468" s="910" t="e">
        <f>VLOOKUP(H462,'LƯƠNG KT'!$D$16:$AC$184,8,0)*$L$11</f>
        <v>#N/A</v>
      </c>
      <c r="J468" s="609" t="e">
        <f>VLOOKUP(H462,'LƯƠNG KT'!$D$16:$AC$184,13,0)-J467</f>
        <v>#N/A</v>
      </c>
      <c r="K468" s="935"/>
      <c r="L468" s="935"/>
      <c r="M468" s="935"/>
      <c r="N468" s="935"/>
      <c r="O468" s="935"/>
    </row>
    <row r="469" spans="1:15" ht="15" customHeight="1">
      <c r="A469" s="609" t="s">
        <v>377</v>
      </c>
      <c r="B469" s="546" t="s">
        <v>378</v>
      </c>
      <c r="C469" s="910"/>
      <c r="D469" s="609"/>
      <c r="E469" s="916"/>
      <c r="F469" s="916"/>
      <c r="G469" s="609" t="s">
        <v>377</v>
      </c>
      <c r="H469" s="546" t="s">
        <v>378</v>
      </c>
      <c r="I469" s="910"/>
      <c r="J469" s="609"/>
    </row>
    <row r="470" spans="1:15" ht="15" customHeight="1">
      <c r="A470" s="547" t="s">
        <v>379</v>
      </c>
      <c r="B470" s="546" t="s">
        <v>380</v>
      </c>
      <c r="C470" s="910"/>
      <c r="D470" s="609">
        <f>14*25000</f>
        <v>350000</v>
      </c>
      <c r="E470" s="914"/>
      <c r="F470" s="916"/>
      <c r="G470" s="547" t="s">
        <v>379</v>
      </c>
      <c r="H470" s="546" t="s">
        <v>380</v>
      </c>
      <c r="I470" s="910"/>
      <c r="J470" s="609">
        <f>14*25000</f>
        <v>350000</v>
      </c>
    </row>
    <row r="471" spans="1:15" ht="15" customHeight="1">
      <c r="A471" s="905" t="s">
        <v>381</v>
      </c>
      <c r="B471" s="546" t="s">
        <v>382</v>
      </c>
      <c r="C471" s="910"/>
      <c r="D471" s="609">
        <f>D470</f>
        <v>350000</v>
      </c>
      <c r="E471" s="917"/>
      <c r="F471" s="904"/>
      <c r="G471" s="905" t="s">
        <v>381</v>
      </c>
      <c r="H471" s="546" t="s">
        <v>382</v>
      </c>
      <c r="I471" s="910"/>
      <c r="J471" s="609">
        <f>J470</f>
        <v>350000</v>
      </c>
    </row>
    <row r="472" spans="1:15" ht="15" customHeight="1">
      <c r="A472" s="918" t="s">
        <v>383</v>
      </c>
      <c r="B472" s="919" t="s">
        <v>384</v>
      </c>
      <c r="C472" s="920"/>
      <c r="D472" s="921" t="e">
        <f>SUM(D463:D468)-D471</f>
        <v>#N/A</v>
      </c>
      <c r="E472" s="922"/>
      <c r="F472" s="923"/>
      <c r="G472" s="918" t="s">
        <v>383</v>
      </c>
      <c r="H472" s="919" t="s">
        <v>384</v>
      </c>
      <c r="I472" s="920"/>
      <c r="J472" s="921" t="e">
        <f>SUM(J463:J468)-J471</f>
        <v>#N/A</v>
      </c>
    </row>
    <row r="473" spans="1:15" ht="15.75" customHeight="1">
      <c r="A473" s="924"/>
      <c r="B473" s="925"/>
      <c r="C473" s="926"/>
      <c r="D473" s="927"/>
      <c r="E473" s="927"/>
      <c r="F473" s="928"/>
      <c r="G473" s="924"/>
      <c r="H473" s="925"/>
      <c r="I473" s="926"/>
      <c r="J473" s="927"/>
    </row>
    <row r="475" spans="1:15" ht="12" customHeight="1">
      <c r="A475" s="2361"/>
      <c r="B475" s="2361"/>
      <c r="C475" s="2361"/>
      <c r="D475" s="2361"/>
      <c r="E475" s="2361"/>
      <c r="F475" s="2361"/>
      <c r="G475" s="2361"/>
      <c r="H475" s="2361"/>
      <c r="I475" s="2361"/>
      <c r="J475" s="2361"/>
    </row>
    <row r="476" spans="1:15" ht="15" customHeight="1">
      <c r="A476" s="2360" t="str">
        <f>$K$2</f>
        <v>THÁNG 09/2024</v>
      </c>
      <c r="B476" s="2360"/>
      <c r="C476" s="2360"/>
      <c r="D476" s="2360"/>
      <c r="E476" s="903"/>
      <c r="F476" s="904"/>
      <c r="G476" s="2360" t="str">
        <f>$K$2</f>
        <v>THÁNG 09/2024</v>
      </c>
      <c r="H476" s="2360"/>
      <c r="I476" s="2360"/>
      <c r="J476" s="2360"/>
      <c r="K476" s="276"/>
    </row>
    <row r="477" spans="1:15" ht="15" customHeight="1">
      <c r="A477" s="905" t="s">
        <v>356</v>
      </c>
      <c r="B477" s="642" t="s">
        <v>438</v>
      </c>
      <c r="C477" s="546"/>
      <c r="D477" s="902"/>
      <c r="E477" s="906"/>
      <c r="F477" s="907"/>
      <c r="G477" s="905" t="s">
        <v>356</v>
      </c>
      <c r="H477" s="642" t="s">
        <v>439</v>
      </c>
      <c r="I477" s="546"/>
      <c r="J477" s="902"/>
      <c r="L477" s="938"/>
      <c r="M477" s="938"/>
      <c r="N477" s="938"/>
      <c r="O477" s="938"/>
    </row>
    <row r="478" spans="1:15" ht="15" customHeight="1">
      <c r="A478" s="905" t="s">
        <v>359</v>
      </c>
      <c r="B478" s="939" t="s">
        <v>360</v>
      </c>
      <c r="C478" s="910" t="e">
        <f>VLOOKUP(B477,'LƯƠNG KT'!$D$16:$AC$184,3,0)</f>
        <v>#N/A</v>
      </c>
      <c r="D478" s="609" t="e">
        <f>+C478*25000</f>
        <v>#N/A</v>
      </c>
      <c r="E478" s="911"/>
      <c r="F478" s="911"/>
      <c r="G478" s="905" t="s">
        <v>359</v>
      </c>
      <c r="H478" s="939" t="s">
        <v>360</v>
      </c>
      <c r="I478" s="910" t="e">
        <f>VLOOKUP(H477,'LƯƠNG KT'!$D$16:$AC$184,3,0)</f>
        <v>#N/A</v>
      </c>
      <c r="J478" s="609" t="e">
        <f>+I478*25000</f>
        <v>#N/A</v>
      </c>
      <c r="K478" s="934"/>
      <c r="L478" s="935"/>
      <c r="M478" s="935"/>
      <c r="N478" s="935"/>
      <c r="O478" s="935"/>
    </row>
    <row r="479" spans="1:15" ht="15" customHeight="1">
      <c r="A479" s="905" t="s">
        <v>361</v>
      </c>
      <c r="B479" s="546" t="s">
        <v>362</v>
      </c>
      <c r="C479" s="910" t="e">
        <f>VLOOKUP(B477,'LƯƠNG KT'!$D$16:$AC$184,14,0)</f>
        <v>#N/A</v>
      </c>
      <c r="D479" s="609" t="e">
        <f>C479*$L$4</f>
        <v>#N/A</v>
      </c>
      <c r="E479" s="912"/>
      <c r="F479" s="912"/>
      <c r="G479" s="905" t="s">
        <v>361</v>
      </c>
      <c r="H479" s="546" t="s">
        <v>362</v>
      </c>
      <c r="I479" s="910" t="e">
        <f>VLOOKUP(H477,'LƯƠNG KT'!$D$16:$AC$184,14,0)</f>
        <v>#N/A</v>
      </c>
      <c r="J479" s="609" t="e">
        <f>I479*$L$4</f>
        <v>#N/A</v>
      </c>
      <c r="K479" s="934"/>
      <c r="L479" s="935"/>
      <c r="M479" s="935"/>
      <c r="N479" s="935"/>
      <c r="O479" s="935"/>
    </row>
    <row r="480" spans="1:15" ht="15" customHeight="1">
      <c r="A480" s="905" t="s">
        <v>364</v>
      </c>
      <c r="B480" s="546" t="s">
        <v>365</v>
      </c>
      <c r="C480" s="910" t="e">
        <f>VLOOKUP(B477,'LƯƠNG KT'!$D$16:$AC$184,15,0)</f>
        <v>#N/A</v>
      </c>
      <c r="D480" s="609" t="e">
        <f>C480*$L$5</f>
        <v>#N/A</v>
      </c>
      <c r="E480" s="912"/>
      <c r="F480" s="912"/>
      <c r="G480" s="905" t="s">
        <v>364</v>
      </c>
      <c r="H480" s="546" t="s">
        <v>365</v>
      </c>
      <c r="I480" s="910" t="e">
        <f>VLOOKUP(H477,'LƯƠNG KT'!$D$16:$AC$184,15,0)</f>
        <v>#N/A</v>
      </c>
      <c r="J480" s="609" t="e">
        <f>I480*$L$5</f>
        <v>#N/A</v>
      </c>
      <c r="K480" s="934"/>
      <c r="L480" s="935"/>
      <c r="M480" s="935"/>
      <c r="N480" s="935"/>
      <c r="O480" s="935"/>
    </row>
    <row r="481" spans="1:15" ht="15" customHeight="1">
      <c r="A481" s="905" t="s">
        <v>367</v>
      </c>
      <c r="B481" s="546"/>
      <c r="C481" s="910" t="e">
        <f>VLOOKUP(B477,'LƯƠNG KT'!$D$16:$AC$184,16,0)</f>
        <v>#N/A</v>
      </c>
      <c r="D481" s="609" t="e">
        <f>+C481*$L$6</f>
        <v>#N/A</v>
      </c>
      <c r="E481" s="912"/>
      <c r="F481" s="912"/>
      <c r="G481" s="905" t="s">
        <v>367</v>
      </c>
      <c r="H481" s="546"/>
      <c r="I481" s="910" t="e">
        <f>VLOOKUP(H477,'LƯƠNG KT'!$D$16:$AC$184,16,0)</f>
        <v>#N/A</v>
      </c>
      <c r="J481" s="609" t="e">
        <f>+I481*$L$6</f>
        <v>#N/A</v>
      </c>
      <c r="K481" s="935"/>
      <c r="L481" s="935"/>
      <c r="M481" s="935"/>
      <c r="N481" s="935"/>
      <c r="O481" s="935"/>
    </row>
    <row r="482" spans="1:15" ht="15" customHeight="1">
      <c r="A482" s="905" t="s">
        <v>371</v>
      </c>
      <c r="B482" s="546" t="s">
        <v>372</v>
      </c>
      <c r="C482" s="910" t="e">
        <f>VLOOKUP(B477,'LƯƠNG KT'!$D$16:$AC$184,9,0)*$L$10</f>
        <v>#N/A</v>
      </c>
      <c r="D482" s="609" t="e">
        <f>+C482*0.5*3000</f>
        <v>#N/A</v>
      </c>
      <c r="E482" s="912"/>
      <c r="F482" s="912"/>
      <c r="G482" s="905" t="s">
        <v>371</v>
      </c>
      <c r="H482" s="546" t="s">
        <v>372</v>
      </c>
      <c r="I482" s="910" t="e">
        <f>VLOOKUP(H477,'LƯƠNG KT'!$D$16:$AC$184,9,0)*$L$10</f>
        <v>#N/A</v>
      </c>
      <c r="J482" s="609" t="e">
        <f>+I482*0.5*3000</f>
        <v>#N/A</v>
      </c>
      <c r="K482" s="935"/>
      <c r="L482" s="935"/>
      <c r="M482" s="935"/>
      <c r="N482" s="935"/>
      <c r="O482" s="935"/>
    </row>
    <row r="483" spans="1:15" ht="15" customHeight="1">
      <c r="A483" s="905" t="s">
        <v>374</v>
      </c>
      <c r="B483" s="546" t="s">
        <v>375</v>
      </c>
      <c r="C483" s="910" t="e">
        <f>VLOOKUP(B477,'LƯƠNG KT'!$D$16:$AC$184,8,0)*$L$11</f>
        <v>#N/A</v>
      </c>
      <c r="D483" s="609" t="e">
        <f>VLOOKUP(B477,'LƯƠNG KT'!$D$16:$AC$184,13,0)-D482</f>
        <v>#N/A</v>
      </c>
      <c r="E483" s="914"/>
      <c r="F483" s="912"/>
      <c r="G483" s="905" t="s">
        <v>374</v>
      </c>
      <c r="H483" s="546" t="s">
        <v>375</v>
      </c>
      <c r="I483" s="910" t="e">
        <f>VLOOKUP(H477,'LƯƠNG KT'!$D$16:$AC$184,8,0)*$L$11</f>
        <v>#N/A</v>
      </c>
      <c r="J483" s="609" t="e">
        <f>VLOOKUP(H477,'LƯƠNG KT'!$D$16:$AC$184,13,0)-J482</f>
        <v>#N/A</v>
      </c>
      <c r="K483" s="935"/>
      <c r="L483" s="935"/>
      <c r="M483" s="935"/>
      <c r="N483" s="935"/>
      <c r="O483" s="935"/>
    </row>
    <row r="484" spans="1:15" ht="15" customHeight="1">
      <c r="A484" s="609" t="s">
        <v>377</v>
      </c>
      <c r="B484" s="546" t="s">
        <v>378</v>
      </c>
      <c r="C484" s="910"/>
      <c r="D484" s="609"/>
      <c r="E484" s="916"/>
      <c r="F484" s="916"/>
      <c r="G484" s="609" t="s">
        <v>377</v>
      </c>
      <c r="H484" s="546" t="s">
        <v>378</v>
      </c>
      <c r="I484" s="910"/>
      <c r="J484" s="609"/>
    </row>
    <row r="485" spans="1:15" ht="15" customHeight="1">
      <c r="A485" s="547" t="s">
        <v>379</v>
      </c>
      <c r="B485" s="546" t="s">
        <v>380</v>
      </c>
      <c r="C485" s="910"/>
      <c r="D485" s="609">
        <f>14*25000</f>
        <v>350000</v>
      </c>
      <c r="E485" s="914"/>
      <c r="F485" s="916"/>
      <c r="G485" s="547" t="s">
        <v>379</v>
      </c>
      <c r="H485" s="546" t="s">
        <v>380</v>
      </c>
      <c r="I485" s="910"/>
      <c r="J485" s="609">
        <f>14*25000</f>
        <v>350000</v>
      </c>
    </row>
    <row r="486" spans="1:15" ht="15" customHeight="1">
      <c r="A486" s="905" t="s">
        <v>381</v>
      </c>
      <c r="B486" s="546" t="s">
        <v>382</v>
      </c>
      <c r="C486" s="910"/>
      <c r="D486" s="609">
        <f>D485</f>
        <v>350000</v>
      </c>
      <c r="E486" s="917"/>
      <c r="F486" s="904"/>
      <c r="G486" s="905" t="s">
        <v>381</v>
      </c>
      <c r="H486" s="546" t="s">
        <v>382</v>
      </c>
      <c r="I486" s="910"/>
      <c r="J486" s="609">
        <f>J485</f>
        <v>350000</v>
      </c>
    </row>
    <row r="487" spans="1:15" ht="15" customHeight="1">
      <c r="A487" s="918" t="s">
        <v>383</v>
      </c>
      <c r="B487" s="919" t="s">
        <v>384</v>
      </c>
      <c r="C487" s="920"/>
      <c r="D487" s="921" t="e">
        <f>SUM(D478:D483)-D486</f>
        <v>#N/A</v>
      </c>
      <c r="E487" s="922"/>
      <c r="F487" s="923"/>
      <c r="G487" s="918" t="s">
        <v>383</v>
      </c>
      <c r="H487" s="919" t="s">
        <v>384</v>
      </c>
      <c r="I487" s="920"/>
      <c r="J487" s="921" t="e">
        <f>SUM(J478:J483)-J486</f>
        <v>#N/A</v>
      </c>
    </row>
    <row r="488" spans="1:15" ht="12.6" customHeight="1">
      <c r="A488" s="924"/>
      <c r="B488" s="925"/>
      <c r="C488" s="926"/>
      <c r="D488" s="927"/>
      <c r="E488" s="927"/>
      <c r="F488" s="928"/>
      <c r="G488" s="924"/>
      <c r="H488" s="925"/>
      <c r="I488" s="926"/>
      <c r="J488" s="927"/>
    </row>
    <row r="489" spans="1:15" ht="12.6" customHeight="1">
      <c r="A489" s="925"/>
      <c r="B489" s="925"/>
      <c r="C489" s="929"/>
      <c r="D489" s="930"/>
      <c r="E489" s="925"/>
      <c r="F489" s="931"/>
      <c r="G489" s="925"/>
      <c r="H489" s="925"/>
      <c r="I489" s="929"/>
      <c r="J489" s="930"/>
    </row>
    <row r="490" spans="1:15" ht="15" customHeight="1">
      <c r="A490" s="2360" t="str">
        <f>$K$2</f>
        <v>THÁNG 09/2024</v>
      </c>
      <c r="B490" s="2360"/>
      <c r="C490" s="2360"/>
      <c r="D490" s="2360"/>
      <c r="E490" s="903"/>
      <c r="F490" s="904"/>
      <c r="G490" s="2360" t="str">
        <f>$K$2</f>
        <v>THÁNG 09/2024</v>
      </c>
      <c r="H490" s="2360"/>
      <c r="I490" s="2360"/>
      <c r="J490" s="2360"/>
      <c r="K490" s="276"/>
    </row>
    <row r="491" spans="1:15" ht="15" customHeight="1">
      <c r="A491" s="905" t="s">
        <v>356</v>
      </c>
      <c r="B491" s="642" t="s">
        <v>440</v>
      </c>
      <c r="C491" s="546"/>
      <c r="D491" s="902"/>
      <c r="E491" s="906"/>
      <c r="F491" s="907"/>
      <c r="G491" s="905" t="s">
        <v>356</v>
      </c>
      <c r="H491" s="642" t="s">
        <v>441</v>
      </c>
      <c r="I491" s="546"/>
      <c r="J491" s="902"/>
      <c r="L491" s="938"/>
      <c r="M491" s="938"/>
      <c r="N491" s="938"/>
      <c r="O491" s="938"/>
    </row>
    <row r="492" spans="1:15" ht="15" customHeight="1">
      <c r="A492" s="905" t="s">
        <v>359</v>
      </c>
      <c r="B492" s="939" t="s">
        <v>360</v>
      </c>
      <c r="C492" s="910">
        <f>VLOOKUP(B491,'LƯƠNG KT'!$D$16:$AC$184,3,0)</f>
        <v>0</v>
      </c>
      <c r="D492" s="609">
        <f>+C492*25000</f>
        <v>0</v>
      </c>
      <c r="E492" s="911"/>
      <c r="F492" s="911"/>
      <c r="G492" s="905" t="s">
        <v>359</v>
      </c>
      <c r="H492" s="939" t="s">
        <v>360</v>
      </c>
      <c r="I492" s="910" t="e">
        <f>VLOOKUP(H491,'LƯƠNG KT'!$D$16:$AC$184,3,0)</f>
        <v>#N/A</v>
      </c>
      <c r="J492" s="609" t="e">
        <f>+I492*25000</f>
        <v>#N/A</v>
      </c>
      <c r="K492" s="935"/>
      <c r="L492" s="935"/>
      <c r="M492" s="935"/>
      <c r="N492" s="935"/>
      <c r="O492" s="935"/>
    </row>
    <row r="493" spans="1:15" ht="15" customHeight="1">
      <c r="A493" s="905" t="s">
        <v>361</v>
      </c>
      <c r="B493" s="546" t="s">
        <v>362</v>
      </c>
      <c r="C493" s="910">
        <f>VLOOKUP(B491,'LƯƠNG KT'!$D$16:$AC$184,14,0)</f>
        <v>5</v>
      </c>
      <c r="D493" s="609">
        <f>C493*$L$4</f>
        <v>156848.33500000002</v>
      </c>
      <c r="E493" s="912"/>
      <c r="F493" s="912"/>
      <c r="G493" s="905" t="s">
        <v>361</v>
      </c>
      <c r="H493" s="546" t="s">
        <v>362</v>
      </c>
      <c r="I493" s="910" t="e">
        <f>VLOOKUP(H491,'LƯƠNG KT'!$D$16:$AC$184,14,0)</f>
        <v>#N/A</v>
      </c>
      <c r="J493" s="609" t="e">
        <f>I493*$L$4</f>
        <v>#N/A</v>
      </c>
      <c r="K493" s="935"/>
      <c r="L493" s="935"/>
      <c r="M493" s="935"/>
      <c r="N493" s="935"/>
      <c r="O493" s="935"/>
    </row>
    <row r="494" spans="1:15" ht="15" customHeight="1">
      <c r="A494" s="905" t="s">
        <v>364</v>
      </c>
      <c r="B494" s="546" t="s">
        <v>365</v>
      </c>
      <c r="C494" s="910">
        <f>VLOOKUP(B491,'LƯƠNG KT'!$D$16:$AC$184,15,0)</f>
        <v>0</v>
      </c>
      <c r="D494" s="609">
        <f>C494*$L$5</f>
        <v>0</v>
      </c>
      <c r="E494" s="912"/>
      <c r="F494" s="912"/>
      <c r="G494" s="905" t="s">
        <v>364</v>
      </c>
      <c r="H494" s="546" t="s">
        <v>365</v>
      </c>
      <c r="I494" s="910" t="e">
        <f>VLOOKUP(H491,'LƯƠNG KT'!$D$16:$AC$184,15,0)</f>
        <v>#N/A</v>
      </c>
      <c r="J494" s="609" t="e">
        <f>I494*$L$5</f>
        <v>#N/A</v>
      </c>
      <c r="K494" s="935"/>
      <c r="L494" s="935"/>
      <c r="M494" s="935"/>
      <c r="N494" s="935"/>
      <c r="O494" s="935"/>
    </row>
    <row r="495" spans="1:15" ht="15" customHeight="1">
      <c r="A495" s="905" t="s">
        <v>367</v>
      </c>
      <c r="B495" s="546"/>
      <c r="C495" s="910">
        <f>VLOOKUP(B491,'LƯƠNG KT'!$D$16:$AC$184,16,0)</f>
        <v>5</v>
      </c>
      <c r="D495" s="609">
        <f>+C495*$L$6</f>
        <v>50000</v>
      </c>
      <c r="E495" s="912"/>
      <c r="F495" s="912"/>
      <c r="G495" s="905" t="s">
        <v>367</v>
      </c>
      <c r="H495" s="546"/>
      <c r="I495" s="910" t="e">
        <f>VLOOKUP(H491,'LƯƠNG KT'!$D$16:$AC$184,16,0)</f>
        <v>#N/A</v>
      </c>
      <c r="J495" s="609" t="e">
        <f>+I495*$L$6</f>
        <v>#N/A</v>
      </c>
      <c r="K495" s="935"/>
      <c r="L495" s="935"/>
      <c r="M495" s="935"/>
      <c r="N495" s="935"/>
      <c r="O495" s="935"/>
    </row>
    <row r="496" spans="1:15" ht="15" customHeight="1">
      <c r="A496" s="905" t="s">
        <v>371</v>
      </c>
      <c r="B496" s="546" t="s">
        <v>372</v>
      </c>
      <c r="C496" s="910">
        <f>VLOOKUP(B491,'LƯƠNG KT'!$D$16:$AC$184,9,0)*$L$10</f>
        <v>1144.7045344411547</v>
      </c>
      <c r="D496" s="609">
        <f>+C496*0.5*3000</f>
        <v>1717056.8016617321</v>
      </c>
      <c r="E496" s="912"/>
      <c r="F496" s="912"/>
      <c r="G496" s="905" t="s">
        <v>371</v>
      </c>
      <c r="H496" s="546" t="s">
        <v>372</v>
      </c>
      <c r="I496" s="910" t="e">
        <f>VLOOKUP(H491,'LƯƠNG KT'!$D$16:$AC$184,9,0)*$L$10</f>
        <v>#N/A</v>
      </c>
      <c r="J496" s="609" t="e">
        <f>+I496*0.5*3000</f>
        <v>#N/A</v>
      </c>
      <c r="K496" s="935"/>
      <c r="L496" s="935"/>
      <c r="M496" s="935"/>
      <c r="N496" s="935"/>
      <c r="O496" s="935"/>
    </row>
    <row r="497" spans="1:15" ht="15" customHeight="1">
      <c r="A497" s="905" t="s">
        <v>374</v>
      </c>
      <c r="B497" s="546" t="s">
        <v>375</v>
      </c>
      <c r="C497" s="910">
        <f>VLOOKUP(B491,'LƯƠNG KT'!$D$16:$AC$184,8,0)*$L$11</f>
        <v>82.535638468552222</v>
      </c>
      <c r="D497" s="609">
        <f>VLOOKUP(B491,'LƯƠNG KT'!$D$16:$AC$184,13,0)-D496</f>
        <v>-1717052.8016617321</v>
      </c>
      <c r="E497" s="914"/>
      <c r="F497" s="912"/>
      <c r="G497" s="905" t="s">
        <v>374</v>
      </c>
      <c r="H497" s="546" t="s">
        <v>375</v>
      </c>
      <c r="I497" s="910" t="e">
        <f>VLOOKUP(H491,'LƯƠNG KT'!$D$16:$AC$184,8,0)*$L$11</f>
        <v>#N/A</v>
      </c>
      <c r="J497" s="609" t="e">
        <f>VLOOKUP(H491,'LƯƠNG KT'!$D$16:$AC$184,13,0)-J496</f>
        <v>#N/A</v>
      </c>
      <c r="K497" s="935"/>
      <c r="L497" s="935"/>
      <c r="M497" s="935"/>
      <c r="N497" s="935"/>
      <c r="O497" s="935"/>
    </row>
    <row r="498" spans="1:15" ht="15" customHeight="1">
      <c r="A498" s="609" t="s">
        <v>377</v>
      </c>
      <c r="B498" s="546" t="s">
        <v>378</v>
      </c>
      <c r="C498" s="910"/>
      <c r="D498" s="609"/>
      <c r="E498" s="916"/>
      <c r="F498" s="916"/>
      <c r="G498" s="609" t="s">
        <v>377</v>
      </c>
      <c r="H498" s="546" t="s">
        <v>378</v>
      </c>
      <c r="I498" s="910"/>
      <c r="J498" s="609"/>
    </row>
    <row r="499" spans="1:15" ht="15" customHeight="1">
      <c r="A499" s="547" t="s">
        <v>379</v>
      </c>
      <c r="B499" s="546" t="s">
        <v>380</v>
      </c>
      <c r="C499" s="910"/>
      <c r="D499" s="609">
        <f>14*25000</f>
        <v>350000</v>
      </c>
      <c r="E499" s="914"/>
      <c r="F499" s="916"/>
      <c r="G499" s="547" t="s">
        <v>379</v>
      </c>
      <c r="H499" s="546" t="s">
        <v>380</v>
      </c>
      <c r="I499" s="910"/>
      <c r="J499" s="609">
        <f>14*25000</f>
        <v>350000</v>
      </c>
    </row>
    <row r="500" spans="1:15" ht="15" customHeight="1">
      <c r="A500" s="905" t="s">
        <v>381</v>
      </c>
      <c r="B500" s="546" t="s">
        <v>382</v>
      </c>
      <c r="C500" s="910"/>
      <c r="D500" s="609">
        <f>D499</f>
        <v>350000</v>
      </c>
      <c r="E500" s="917"/>
      <c r="F500" s="904"/>
      <c r="G500" s="905" t="s">
        <v>381</v>
      </c>
      <c r="H500" s="546" t="s">
        <v>382</v>
      </c>
      <c r="I500" s="910"/>
      <c r="J500" s="609">
        <f>J499</f>
        <v>350000</v>
      </c>
    </row>
    <row r="501" spans="1:15" ht="15" customHeight="1">
      <c r="A501" s="918" t="s">
        <v>383</v>
      </c>
      <c r="B501" s="919" t="s">
        <v>384</v>
      </c>
      <c r="C501" s="920"/>
      <c r="D501" s="921">
        <f>SUM(D492:D497)-D500</f>
        <v>-143147.66500000004</v>
      </c>
      <c r="E501" s="922"/>
      <c r="F501" s="923"/>
      <c r="G501" s="918" t="s">
        <v>383</v>
      </c>
      <c r="H501" s="919" t="s">
        <v>384</v>
      </c>
      <c r="I501" s="920"/>
      <c r="J501" s="921" t="e">
        <f>SUM(J492:J497)-J500</f>
        <v>#N/A</v>
      </c>
    </row>
    <row r="502" spans="1:15" ht="18.75" customHeight="1">
      <c r="A502" s="924"/>
      <c r="B502" s="925"/>
      <c r="C502" s="926"/>
      <c r="D502" s="927"/>
      <c r="E502" s="927"/>
      <c r="F502" s="928"/>
      <c r="G502" s="924"/>
      <c r="H502" s="925"/>
      <c r="I502" s="926"/>
      <c r="J502" s="927"/>
    </row>
    <row r="503" spans="1:15" ht="18.75" customHeight="1">
      <c r="A503" s="925"/>
      <c r="B503" s="925"/>
      <c r="C503" s="929"/>
      <c r="D503" s="930"/>
      <c r="E503" s="925"/>
      <c r="F503" s="931"/>
      <c r="G503" s="925"/>
      <c r="H503" s="925"/>
      <c r="I503" s="929"/>
      <c r="J503" s="930"/>
    </row>
    <row r="504" spans="1:15" ht="15" customHeight="1">
      <c r="A504" s="2360" t="str">
        <f>$K$2</f>
        <v>THÁNG 09/2024</v>
      </c>
      <c r="B504" s="2360"/>
      <c r="C504" s="2360"/>
      <c r="D504" s="2360"/>
      <c r="E504" s="903"/>
      <c r="F504" s="904"/>
      <c r="G504" s="2360" t="str">
        <f>$K$2</f>
        <v>THÁNG 09/2024</v>
      </c>
      <c r="H504" s="2360"/>
      <c r="I504" s="2360"/>
      <c r="J504" s="2360"/>
      <c r="K504" s="276"/>
    </row>
    <row r="505" spans="1:15" ht="15" customHeight="1">
      <c r="A505" s="905" t="s">
        <v>356</v>
      </c>
      <c r="B505" s="642" t="s">
        <v>442</v>
      </c>
      <c r="C505" s="546"/>
      <c r="D505" s="902"/>
      <c r="E505" s="906"/>
      <c r="F505" s="907"/>
      <c r="G505" s="905" t="s">
        <v>356</v>
      </c>
      <c r="H505" s="642" t="s">
        <v>443</v>
      </c>
      <c r="I505" s="546"/>
      <c r="J505" s="902"/>
      <c r="L505" s="938"/>
      <c r="M505" s="938"/>
      <c r="N505" s="938"/>
      <c r="O505" s="938"/>
    </row>
    <row r="506" spans="1:15" ht="15" customHeight="1">
      <c r="A506" s="905" t="s">
        <v>359</v>
      </c>
      <c r="B506" s="939" t="s">
        <v>360</v>
      </c>
      <c r="C506" s="910" t="e">
        <f>VLOOKUP(B505,'LƯƠNG KT'!$D$16:$AC$184,3,0)</f>
        <v>#N/A</v>
      </c>
      <c r="D506" s="609" t="e">
        <f>+C506*25000</f>
        <v>#N/A</v>
      </c>
      <c r="E506" s="911"/>
      <c r="F506" s="911"/>
      <c r="G506" s="905" t="s">
        <v>359</v>
      </c>
      <c r="H506" s="939" t="s">
        <v>360</v>
      </c>
      <c r="I506" s="910" t="e">
        <f>VLOOKUP(H505,'LƯƠNG KT'!$D$16:$AC$184,3,0)</f>
        <v>#N/A</v>
      </c>
      <c r="J506" s="609" t="e">
        <f>+I506*25000</f>
        <v>#N/A</v>
      </c>
      <c r="K506" s="935"/>
      <c r="L506" s="935"/>
      <c r="M506" s="935"/>
      <c r="N506" s="935"/>
      <c r="O506" s="935"/>
    </row>
    <row r="507" spans="1:15" ht="15" customHeight="1">
      <c r="A507" s="905" t="s">
        <v>361</v>
      </c>
      <c r="B507" s="546" t="s">
        <v>362</v>
      </c>
      <c r="C507" s="910" t="e">
        <f>VLOOKUP(B505,'LƯƠNG KT'!$D$16:$AC$184,14,0)</f>
        <v>#N/A</v>
      </c>
      <c r="D507" s="609" t="e">
        <f>C507*$L$4</f>
        <v>#N/A</v>
      </c>
      <c r="E507" s="912"/>
      <c r="F507" s="912"/>
      <c r="G507" s="905" t="s">
        <v>361</v>
      </c>
      <c r="H507" s="546" t="s">
        <v>362</v>
      </c>
      <c r="I507" s="910" t="e">
        <f>VLOOKUP(H505,'LƯƠNG KT'!$D$16:$AC$184,14,0)</f>
        <v>#N/A</v>
      </c>
      <c r="J507" s="609" t="e">
        <f>I507*$L$4</f>
        <v>#N/A</v>
      </c>
      <c r="K507" s="935"/>
      <c r="L507" s="935"/>
      <c r="M507" s="935"/>
      <c r="N507" s="935"/>
      <c r="O507" s="935"/>
    </row>
    <row r="508" spans="1:15" ht="15" customHeight="1">
      <c r="A508" s="905" t="s">
        <v>364</v>
      </c>
      <c r="B508" s="546" t="s">
        <v>365</v>
      </c>
      <c r="C508" s="910" t="e">
        <f>VLOOKUP(B505,'LƯƠNG KT'!$D$16:$AC$184,15,0)</f>
        <v>#N/A</v>
      </c>
      <c r="D508" s="609" t="e">
        <f>C508*$L$5</f>
        <v>#N/A</v>
      </c>
      <c r="E508" s="912"/>
      <c r="F508" s="912"/>
      <c r="G508" s="905" t="s">
        <v>364</v>
      </c>
      <c r="H508" s="546" t="s">
        <v>365</v>
      </c>
      <c r="I508" s="910" t="e">
        <f>VLOOKUP(H505,'LƯƠNG KT'!$D$16:$AC$184,15,0)</f>
        <v>#N/A</v>
      </c>
      <c r="J508" s="609" t="e">
        <f>I508*$L$5</f>
        <v>#N/A</v>
      </c>
      <c r="K508" s="935"/>
      <c r="L508" s="935"/>
      <c r="M508" s="935"/>
      <c r="N508" s="935"/>
      <c r="O508" s="935"/>
    </row>
    <row r="509" spans="1:15" ht="15" customHeight="1">
      <c r="A509" s="905" t="s">
        <v>367</v>
      </c>
      <c r="B509" s="546"/>
      <c r="C509" s="910" t="e">
        <f>VLOOKUP(B505,'LƯƠNG KT'!$D$16:$AC$184,16,0)</f>
        <v>#N/A</v>
      </c>
      <c r="D509" s="609" t="e">
        <f>+C509*$L$6</f>
        <v>#N/A</v>
      </c>
      <c r="E509" s="912"/>
      <c r="F509" s="912"/>
      <c r="G509" s="905" t="s">
        <v>367</v>
      </c>
      <c r="H509" s="546"/>
      <c r="I509" s="910" t="e">
        <f>VLOOKUP(H505,'LƯƠNG KT'!$D$16:$AC$184,16,0)</f>
        <v>#N/A</v>
      </c>
      <c r="J509" s="609" t="e">
        <f>+I509*$L$6</f>
        <v>#N/A</v>
      </c>
      <c r="K509" s="935"/>
      <c r="L509" s="935"/>
      <c r="M509" s="935"/>
      <c r="N509" s="935"/>
      <c r="O509" s="935"/>
    </row>
    <row r="510" spans="1:15" ht="15" customHeight="1">
      <c r="A510" s="905" t="s">
        <v>371</v>
      </c>
      <c r="B510" s="546" t="s">
        <v>372</v>
      </c>
      <c r="C510" s="910" t="e">
        <f>VLOOKUP(B505,'LƯƠNG KT'!$D$16:$AC$184,9,0)*$L$10</f>
        <v>#N/A</v>
      </c>
      <c r="D510" s="609" t="e">
        <f>+C510*0.5*3000</f>
        <v>#N/A</v>
      </c>
      <c r="E510" s="912"/>
      <c r="F510" s="912"/>
      <c r="G510" s="905" t="s">
        <v>371</v>
      </c>
      <c r="H510" s="546" t="s">
        <v>372</v>
      </c>
      <c r="I510" s="910" t="e">
        <f>VLOOKUP(H505,'LƯƠNG KT'!$D$16:$AC$184,9,0)*$L$10</f>
        <v>#N/A</v>
      </c>
      <c r="J510" s="609" t="e">
        <f>+I510*0.5*3000</f>
        <v>#N/A</v>
      </c>
      <c r="K510" s="935"/>
      <c r="L510" s="935"/>
      <c r="M510" s="935"/>
      <c r="N510" s="935"/>
      <c r="O510" s="935"/>
    </row>
    <row r="511" spans="1:15" ht="15" customHeight="1">
      <c r="A511" s="905" t="s">
        <v>374</v>
      </c>
      <c r="B511" s="546" t="s">
        <v>375</v>
      </c>
      <c r="C511" s="910" t="e">
        <f>VLOOKUP(B505,'LƯƠNG KT'!$D$16:$AC$184,8,0)*$L$11</f>
        <v>#N/A</v>
      </c>
      <c r="D511" s="609" t="e">
        <f>VLOOKUP(B505,'LƯƠNG KT'!$D$16:$AC$184,13,0)-D510</f>
        <v>#N/A</v>
      </c>
      <c r="E511" s="914"/>
      <c r="F511" s="912"/>
      <c r="G511" s="905" t="s">
        <v>374</v>
      </c>
      <c r="H511" s="546" t="s">
        <v>375</v>
      </c>
      <c r="I511" s="910" t="e">
        <f>VLOOKUP(H505,'LƯƠNG KT'!$D$16:$AC$184,8,0)*$L$11</f>
        <v>#N/A</v>
      </c>
      <c r="J511" s="609" t="e">
        <f>VLOOKUP(H505,'LƯƠNG KT'!$D$16:$AC$184,13,0)-J510</f>
        <v>#N/A</v>
      </c>
      <c r="K511" s="935"/>
      <c r="L511" s="935"/>
      <c r="M511" s="935"/>
      <c r="N511" s="935"/>
      <c r="O511" s="935"/>
    </row>
    <row r="512" spans="1:15" ht="15" customHeight="1">
      <c r="A512" s="609" t="s">
        <v>377</v>
      </c>
      <c r="B512" s="546" t="s">
        <v>378</v>
      </c>
      <c r="C512" s="910"/>
      <c r="D512" s="609"/>
      <c r="E512" s="916"/>
      <c r="F512" s="916"/>
      <c r="G512" s="609" t="s">
        <v>377</v>
      </c>
      <c r="H512" s="546" t="s">
        <v>378</v>
      </c>
      <c r="I512" s="910"/>
      <c r="J512" s="609"/>
    </row>
    <row r="513" spans="1:15" ht="15" customHeight="1">
      <c r="A513" s="547" t="s">
        <v>379</v>
      </c>
      <c r="B513" s="546" t="s">
        <v>380</v>
      </c>
      <c r="C513" s="910"/>
      <c r="D513" s="609">
        <f>14*25000</f>
        <v>350000</v>
      </c>
      <c r="E513" s="914"/>
      <c r="F513" s="916"/>
      <c r="G513" s="547" t="s">
        <v>379</v>
      </c>
      <c r="H513" s="546" t="s">
        <v>380</v>
      </c>
      <c r="I513" s="910"/>
      <c r="J513" s="609">
        <f>14*25000</f>
        <v>350000</v>
      </c>
    </row>
    <row r="514" spans="1:15" ht="15" customHeight="1">
      <c r="A514" s="905" t="s">
        <v>381</v>
      </c>
      <c r="B514" s="546" t="s">
        <v>382</v>
      </c>
      <c r="C514" s="910"/>
      <c r="D514" s="609">
        <f>D513</f>
        <v>350000</v>
      </c>
      <c r="E514" s="917"/>
      <c r="F514" s="904"/>
      <c r="G514" s="905" t="s">
        <v>381</v>
      </c>
      <c r="H514" s="546" t="s">
        <v>382</v>
      </c>
      <c r="I514" s="910"/>
      <c r="J514" s="609">
        <f>J513</f>
        <v>350000</v>
      </c>
    </row>
    <row r="515" spans="1:15" ht="15" customHeight="1">
      <c r="A515" s="918" t="s">
        <v>383</v>
      </c>
      <c r="B515" s="919" t="s">
        <v>384</v>
      </c>
      <c r="C515" s="920"/>
      <c r="D515" s="921" t="e">
        <f>SUM(D506:D511)-D514</f>
        <v>#N/A</v>
      </c>
      <c r="E515" s="922"/>
      <c r="F515" s="923"/>
      <c r="G515" s="918" t="s">
        <v>383</v>
      </c>
      <c r="H515" s="919" t="s">
        <v>384</v>
      </c>
      <c r="I515" s="920"/>
      <c r="J515" s="921" t="e">
        <f>SUM(J506:J511)-J514</f>
        <v>#N/A</v>
      </c>
    </row>
    <row r="516" spans="1:15" ht="18.75" customHeight="1">
      <c r="A516" s="924"/>
      <c r="B516" s="925"/>
      <c r="C516" s="926"/>
      <c r="D516" s="927"/>
      <c r="E516" s="927"/>
      <c r="F516" s="928"/>
      <c r="G516" s="924"/>
      <c r="H516" s="925"/>
      <c r="I516" s="926"/>
      <c r="J516" s="927"/>
    </row>
    <row r="517" spans="1:15" ht="18.75" customHeight="1">
      <c r="A517" s="925"/>
      <c r="B517" s="925"/>
      <c r="C517" s="929"/>
      <c r="D517" s="930"/>
      <c r="E517" s="925"/>
      <c r="F517" s="931"/>
      <c r="G517" s="925"/>
      <c r="H517" s="925"/>
      <c r="I517" s="929"/>
      <c r="J517" s="930"/>
    </row>
    <row r="518" spans="1:15" ht="15" customHeight="1">
      <c r="A518" s="2360" t="str">
        <f>$K$2</f>
        <v>THÁNG 09/2024</v>
      </c>
      <c r="B518" s="2360"/>
      <c r="C518" s="2360"/>
      <c r="D518" s="2360"/>
      <c r="E518" s="903"/>
      <c r="F518" s="904"/>
      <c r="G518" s="2360" t="str">
        <f>$K$2</f>
        <v>THÁNG 09/2024</v>
      </c>
      <c r="H518" s="2360"/>
      <c r="I518" s="2360"/>
      <c r="J518" s="2360"/>
      <c r="K518" s="276"/>
    </row>
    <row r="519" spans="1:15" ht="15" customHeight="1">
      <c r="A519" s="905" t="s">
        <v>356</v>
      </c>
      <c r="B519" s="642" t="s">
        <v>444</v>
      </c>
      <c r="C519" s="546"/>
      <c r="D519" s="902"/>
      <c r="E519" s="906"/>
      <c r="F519" s="907"/>
      <c r="G519" s="905" t="s">
        <v>356</v>
      </c>
      <c r="H519" s="642" t="s">
        <v>445</v>
      </c>
      <c r="I519" s="546"/>
      <c r="J519" s="902"/>
      <c r="L519" s="938"/>
      <c r="M519" s="938"/>
      <c r="N519" s="938"/>
      <c r="O519" s="938"/>
    </row>
    <row r="520" spans="1:15" ht="15" customHeight="1">
      <c r="A520" s="905" t="s">
        <v>359</v>
      </c>
      <c r="B520" s="939" t="s">
        <v>360</v>
      </c>
      <c r="C520" s="910" t="e">
        <f>VLOOKUP(B519,'LƯƠNG KT'!$D$16:$AC$184,3,0)</f>
        <v>#N/A</v>
      </c>
      <c r="D520" s="609" t="e">
        <f>+C520*25000</f>
        <v>#N/A</v>
      </c>
      <c r="E520" s="911"/>
      <c r="F520" s="911"/>
      <c r="G520" s="905" t="s">
        <v>359</v>
      </c>
      <c r="H520" s="939" t="s">
        <v>360</v>
      </c>
      <c r="I520" s="910" t="e">
        <f>VLOOKUP(H519,'LƯƠNG KT'!$D$16:$AC$184,3,0)</f>
        <v>#N/A</v>
      </c>
      <c r="J520" s="609" t="e">
        <f>+I520*25000</f>
        <v>#N/A</v>
      </c>
      <c r="K520" s="935"/>
      <c r="L520" s="935"/>
      <c r="M520" s="935"/>
      <c r="N520" s="935"/>
      <c r="O520" s="935"/>
    </row>
    <row r="521" spans="1:15" ht="15" customHeight="1">
      <c r="A521" s="905" t="s">
        <v>361</v>
      </c>
      <c r="B521" s="546" t="s">
        <v>362</v>
      </c>
      <c r="C521" s="910" t="e">
        <f>VLOOKUP(B519,'LƯƠNG KT'!$D$16:$AC$184,14,0)</f>
        <v>#N/A</v>
      </c>
      <c r="D521" s="609" t="e">
        <f>C521*$L$4</f>
        <v>#N/A</v>
      </c>
      <c r="E521" s="912"/>
      <c r="F521" s="912"/>
      <c r="G521" s="905" t="s">
        <v>361</v>
      </c>
      <c r="H521" s="546" t="s">
        <v>362</v>
      </c>
      <c r="I521" s="910" t="e">
        <f>VLOOKUP(H519,'LƯƠNG KT'!$D$16:$AC$184,14,0)</f>
        <v>#N/A</v>
      </c>
      <c r="J521" s="609" t="e">
        <f>I521*$L$4</f>
        <v>#N/A</v>
      </c>
      <c r="K521" s="935"/>
      <c r="L521" s="935"/>
      <c r="M521" s="935"/>
      <c r="N521" s="935"/>
      <c r="O521" s="935"/>
    </row>
    <row r="522" spans="1:15" ht="15" customHeight="1">
      <c r="A522" s="905" t="s">
        <v>364</v>
      </c>
      <c r="B522" s="546" t="s">
        <v>365</v>
      </c>
      <c r="C522" s="910" t="e">
        <f>VLOOKUP(B519,'LƯƠNG KT'!$D$16:$AC$184,15,0)</f>
        <v>#N/A</v>
      </c>
      <c r="D522" s="609" t="e">
        <f>C522*$L$5</f>
        <v>#N/A</v>
      </c>
      <c r="E522" s="912"/>
      <c r="F522" s="912"/>
      <c r="G522" s="905" t="s">
        <v>364</v>
      </c>
      <c r="H522" s="546" t="s">
        <v>365</v>
      </c>
      <c r="I522" s="910" t="e">
        <f>VLOOKUP(H519,'LƯƠNG KT'!$D$16:$AC$184,15,0)</f>
        <v>#N/A</v>
      </c>
      <c r="J522" s="609" t="e">
        <f>I522*$L$5</f>
        <v>#N/A</v>
      </c>
      <c r="K522" s="935"/>
      <c r="L522" s="935"/>
      <c r="M522" s="935"/>
      <c r="N522" s="935"/>
      <c r="O522" s="935"/>
    </row>
    <row r="523" spans="1:15" ht="15" customHeight="1">
      <c r="A523" s="905" t="s">
        <v>367</v>
      </c>
      <c r="B523" s="546"/>
      <c r="C523" s="910" t="e">
        <f>VLOOKUP(B519,'LƯƠNG KT'!$D$16:$AC$184,16,0)</f>
        <v>#N/A</v>
      </c>
      <c r="D523" s="609" t="e">
        <f>+C523*$L$6</f>
        <v>#N/A</v>
      </c>
      <c r="E523" s="912"/>
      <c r="F523" s="912"/>
      <c r="G523" s="905" t="s">
        <v>367</v>
      </c>
      <c r="H523" s="546"/>
      <c r="I523" s="910" t="e">
        <f>VLOOKUP(H519,'LƯƠNG KT'!$D$16:$AC$184,16,0)</f>
        <v>#N/A</v>
      </c>
      <c r="J523" s="609" t="e">
        <f>+I523*$L$6</f>
        <v>#N/A</v>
      </c>
      <c r="K523" s="935"/>
      <c r="L523" s="935"/>
      <c r="M523" s="935"/>
      <c r="N523" s="935"/>
      <c r="O523" s="935"/>
    </row>
    <row r="524" spans="1:15" ht="15" customHeight="1">
      <c r="A524" s="905" t="s">
        <v>371</v>
      </c>
      <c r="B524" s="546" t="s">
        <v>372</v>
      </c>
      <c r="C524" s="910" t="e">
        <f>VLOOKUP(B519,'LƯƠNG KT'!$D$16:$AC$184,9,0)*$L$10</f>
        <v>#N/A</v>
      </c>
      <c r="D524" s="609" t="e">
        <f>+C524*0.5*3000</f>
        <v>#N/A</v>
      </c>
      <c r="E524" s="912"/>
      <c r="F524" s="912"/>
      <c r="G524" s="905" t="s">
        <v>371</v>
      </c>
      <c r="H524" s="546" t="s">
        <v>372</v>
      </c>
      <c r="I524" s="910" t="e">
        <f>VLOOKUP(H519,'LƯƠNG KT'!$D$16:$AC$184,9,0)*$L$10</f>
        <v>#N/A</v>
      </c>
      <c r="J524" s="609" t="e">
        <f>+I524*0.5*3000</f>
        <v>#N/A</v>
      </c>
      <c r="K524" s="935"/>
      <c r="L524" s="935"/>
      <c r="M524" s="935"/>
      <c r="N524" s="935"/>
      <c r="O524" s="935"/>
    </row>
    <row r="525" spans="1:15" ht="15" customHeight="1">
      <c r="A525" s="905" t="s">
        <v>374</v>
      </c>
      <c r="B525" s="546" t="s">
        <v>375</v>
      </c>
      <c r="C525" s="910" t="e">
        <f>VLOOKUP(B519,'LƯƠNG KT'!$D$16:$AC$184,8,0)*$L$11</f>
        <v>#N/A</v>
      </c>
      <c r="D525" s="609" t="e">
        <f>VLOOKUP(B519,'LƯƠNG KT'!$D$16:$AC$184,13,0)-D524</f>
        <v>#N/A</v>
      </c>
      <c r="E525" s="914"/>
      <c r="F525" s="912"/>
      <c r="G525" s="905" t="s">
        <v>374</v>
      </c>
      <c r="H525" s="546" t="s">
        <v>375</v>
      </c>
      <c r="I525" s="910" t="e">
        <f>VLOOKUP(H519,'LƯƠNG KT'!$D$16:$AC$184,8,0)*$L$11</f>
        <v>#N/A</v>
      </c>
      <c r="J525" s="609" t="e">
        <f>VLOOKUP(H519,'LƯƠNG KT'!$D$16:$AC$184,13,0)-J524</f>
        <v>#N/A</v>
      </c>
      <c r="K525" s="935"/>
      <c r="L525" s="935"/>
      <c r="M525" s="935"/>
      <c r="N525" s="935"/>
      <c r="O525" s="935"/>
    </row>
    <row r="526" spans="1:15" ht="15" customHeight="1">
      <c r="A526" s="609" t="s">
        <v>377</v>
      </c>
      <c r="B526" s="546" t="s">
        <v>378</v>
      </c>
      <c r="C526" s="910"/>
      <c r="D526" s="609"/>
      <c r="E526" s="916"/>
      <c r="F526" s="916"/>
      <c r="G526" s="609" t="s">
        <v>377</v>
      </c>
      <c r="H526" s="546" t="s">
        <v>378</v>
      </c>
      <c r="I526" s="910"/>
      <c r="J526" s="609"/>
    </row>
    <row r="527" spans="1:15" ht="15" customHeight="1">
      <c r="A527" s="547" t="s">
        <v>379</v>
      </c>
      <c r="B527" s="546" t="s">
        <v>380</v>
      </c>
      <c r="C527" s="910"/>
      <c r="D527" s="609">
        <f>14*25000</f>
        <v>350000</v>
      </c>
      <c r="E527" s="914"/>
      <c r="F527" s="916"/>
      <c r="G527" s="547" t="s">
        <v>379</v>
      </c>
      <c r="H527" s="546" t="s">
        <v>380</v>
      </c>
      <c r="I527" s="910"/>
      <c r="J527" s="609">
        <f>14*25000</f>
        <v>350000</v>
      </c>
    </row>
    <row r="528" spans="1:15" ht="15" customHeight="1">
      <c r="A528" s="905" t="s">
        <v>381</v>
      </c>
      <c r="B528" s="546" t="s">
        <v>382</v>
      </c>
      <c r="C528" s="910"/>
      <c r="D528" s="609">
        <f>D527</f>
        <v>350000</v>
      </c>
      <c r="E528" s="917"/>
      <c r="F528" s="904"/>
      <c r="G528" s="905" t="s">
        <v>381</v>
      </c>
      <c r="H528" s="546" t="s">
        <v>382</v>
      </c>
      <c r="I528" s="910"/>
      <c r="J528" s="609">
        <f>J527</f>
        <v>350000</v>
      </c>
    </row>
    <row r="529" spans="1:15" ht="15" customHeight="1">
      <c r="A529" s="918" t="s">
        <v>383</v>
      </c>
      <c r="B529" s="919" t="s">
        <v>384</v>
      </c>
      <c r="C529" s="920"/>
      <c r="D529" s="921" t="e">
        <f>SUM(D520:D525)-D528</f>
        <v>#N/A</v>
      </c>
      <c r="E529" s="922"/>
      <c r="F529" s="923"/>
      <c r="G529" s="918" t="s">
        <v>383</v>
      </c>
      <c r="H529" s="919" t="s">
        <v>384</v>
      </c>
      <c r="I529" s="920"/>
      <c r="J529" s="921" t="e">
        <f>SUM(J520:J525)-J528</f>
        <v>#N/A</v>
      </c>
    </row>
    <row r="530" spans="1:15" ht="15.75" customHeight="1">
      <c r="A530" s="924"/>
      <c r="B530" s="925"/>
      <c r="C530" s="926"/>
      <c r="D530" s="927"/>
      <c r="E530" s="927"/>
      <c r="F530" s="928"/>
      <c r="G530" s="924"/>
      <c r="H530" s="925"/>
      <c r="I530" s="926"/>
      <c r="J530" s="927"/>
    </row>
    <row r="532" spans="1:15" ht="12" customHeight="1">
      <c r="A532" s="2361"/>
      <c r="B532" s="2361"/>
      <c r="C532" s="2361"/>
      <c r="D532" s="2361"/>
      <c r="E532" s="2361"/>
      <c r="F532" s="2361"/>
      <c r="G532" s="2361"/>
      <c r="H532" s="2361"/>
      <c r="I532" s="2361"/>
      <c r="J532" s="2361"/>
    </row>
    <row r="533" spans="1:15" ht="15" customHeight="1">
      <c r="A533" s="2360" t="str">
        <f>$K$2</f>
        <v>THÁNG 09/2024</v>
      </c>
      <c r="B533" s="2360"/>
      <c r="C533" s="2360"/>
      <c r="D533" s="2360"/>
      <c r="E533" s="903"/>
      <c r="F533" s="904"/>
      <c r="G533" s="2360" t="str">
        <f>$K$2</f>
        <v>THÁNG 09/2024</v>
      </c>
      <c r="H533" s="2360"/>
      <c r="I533" s="2360"/>
      <c r="J533" s="2360"/>
      <c r="K533" s="276"/>
    </row>
    <row r="534" spans="1:15" ht="15" customHeight="1">
      <c r="A534" s="905" t="s">
        <v>356</v>
      </c>
      <c r="B534" s="642" t="s">
        <v>446</v>
      </c>
      <c r="C534" s="546"/>
      <c r="D534" s="902"/>
      <c r="E534" s="906"/>
      <c r="F534" s="907"/>
      <c r="G534" s="905" t="s">
        <v>356</v>
      </c>
      <c r="H534" s="642" t="s">
        <v>348</v>
      </c>
      <c r="I534" s="546"/>
      <c r="J534" s="902"/>
      <c r="L534" s="938"/>
      <c r="M534" s="938"/>
      <c r="N534" s="938"/>
      <c r="O534" s="938"/>
    </row>
    <row r="535" spans="1:15" ht="15" customHeight="1">
      <c r="A535" s="905" t="s">
        <v>359</v>
      </c>
      <c r="B535" s="939" t="s">
        <v>360</v>
      </c>
      <c r="C535" s="910" t="e">
        <f>VLOOKUP(B534,'LƯƠNG KT'!$D$16:$AC$184,3,0)</f>
        <v>#N/A</v>
      </c>
      <c r="D535" s="609" t="e">
        <f>+C535*25000</f>
        <v>#N/A</v>
      </c>
      <c r="E535" s="911"/>
      <c r="F535" s="911"/>
      <c r="G535" s="905" t="s">
        <v>359</v>
      </c>
      <c r="H535" s="939" t="s">
        <v>360</v>
      </c>
      <c r="I535" s="910" t="e">
        <f>VLOOKUP(H534,'LƯƠNG KT'!$D$16:$AC$184,3,0)</f>
        <v>#N/A</v>
      </c>
      <c r="J535" s="609" t="e">
        <f>+I535*25000</f>
        <v>#N/A</v>
      </c>
      <c r="K535" s="934"/>
      <c r="L535" s="935"/>
      <c r="M535" s="935"/>
      <c r="N535" s="935"/>
      <c r="O535" s="935"/>
    </row>
    <row r="536" spans="1:15" ht="15" customHeight="1">
      <c r="A536" s="905" t="s">
        <v>361</v>
      </c>
      <c r="B536" s="546" t="s">
        <v>362</v>
      </c>
      <c r="C536" s="910" t="e">
        <f>VLOOKUP(B534,'LƯƠNG KT'!$D$16:$AC$184,14,0)</f>
        <v>#N/A</v>
      </c>
      <c r="D536" s="609" t="e">
        <f>C536*$L$4</f>
        <v>#N/A</v>
      </c>
      <c r="E536" s="912"/>
      <c r="F536" s="912"/>
      <c r="G536" s="905" t="s">
        <v>361</v>
      </c>
      <c r="H536" s="546" t="s">
        <v>362</v>
      </c>
      <c r="I536" s="910" t="e">
        <f>VLOOKUP(H534,'LƯƠNG KT'!$D$16:$AC$184,14,0)</f>
        <v>#N/A</v>
      </c>
      <c r="J536" s="609" t="e">
        <f>I536*$L$4</f>
        <v>#N/A</v>
      </c>
      <c r="K536" s="934"/>
      <c r="L536" s="935"/>
      <c r="M536" s="935"/>
      <c r="N536" s="935"/>
      <c r="O536" s="935"/>
    </row>
    <row r="537" spans="1:15" ht="15" customHeight="1">
      <c r="A537" s="905" t="s">
        <v>364</v>
      </c>
      <c r="B537" s="546" t="s">
        <v>365</v>
      </c>
      <c r="C537" s="910" t="e">
        <f>VLOOKUP(B534,'LƯƠNG KT'!$D$16:$AC$184,15,0)</f>
        <v>#N/A</v>
      </c>
      <c r="D537" s="609" t="e">
        <f>C537*$L$5</f>
        <v>#N/A</v>
      </c>
      <c r="E537" s="912"/>
      <c r="F537" s="912"/>
      <c r="G537" s="905" t="s">
        <v>364</v>
      </c>
      <c r="H537" s="546" t="s">
        <v>365</v>
      </c>
      <c r="I537" s="910" t="e">
        <f>VLOOKUP(H534,'LƯƠNG KT'!$D$16:$AC$184,15,0)</f>
        <v>#N/A</v>
      </c>
      <c r="J537" s="609" t="e">
        <f>I537*$L$5</f>
        <v>#N/A</v>
      </c>
      <c r="K537" s="934"/>
      <c r="L537" s="935"/>
      <c r="M537" s="935"/>
      <c r="N537" s="935"/>
      <c r="O537" s="935"/>
    </row>
    <row r="538" spans="1:15" ht="15" customHeight="1">
      <c r="A538" s="905" t="s">
        <v>367</v>
      </c>
      <c r="B538" s="546"/>
      <c r="C538" s="910" t="e">
        <f>VLOOKUP(B534,'LƯƠNG KT'!$D$16:$AC$184,16,0)</f>
        <v>#N/A</v>
      </c>
      <c r="D538" s="609" t="e">
        <f>+C538*$L$6</f>
        <v>#N/A</v>
      </c>
      <c r="E538" s="912"/>
      <c r="F538" s="912"/>
      <c r="G538" s="905" t="s">
        <v>367</v>
      </c>
      <c r="H538" s="546"/>
      <c r="I538" s="910" t="e">
        <f>VLOOKUP(H534,'LƯƠNG KT'!$D$16:$AC$184,16,0)</f>
        <v>#N/A</v>
      </c>
      <c r="J538" s="609" t="e">
        <f>+I538*$L$6</f>
        <v>#N/A</v>
      </c>
      <c r="K538" s="935"/>
      <c r="L538" s="935"/>
      <c r="M538" s="935"/>
      <c r="N538" s="935"/>
      <c r="O538" s="935"/>
    </row>
    <row r="539" spans="1:15" ht="15" customHeight="1">
      <c r="A539" s="905" t="s">
        <v>371</v>
      </c>
      <c r="B539" s="546" t="s">
        <v>372</v>
      </c>
      <c r="C539" s="910" t="e">
        <f>VLOOKUP(B534,'LƯƠNG KT'!$D$16:$AC$184,9,0)*$L$10</f>
        <v>#N/A</v>
      </c>
      <c r="D539" s="609" t="e">
        <f>+C539*0.5*3000</f>
        <v>#N/A</v>
      </c>
      <c r="E539" s="912"/>
      <c r="F539" s="912"/>
      <c r="G539" s="905" t="s">
        <v>371</v>
      </c>
      <c r="H539" s="546" t="s">
        <v>372</v>
      </c>
      <c r="I539" s="910" t="e">
        <f>VLOOKUP(H534,'LƯƠNG KT'!$D$16:$AC$184,9,0)*$L$10</f>
        <v>#N/A</v>
      </c>
      <c r="J539" s="609" t="e">
        <f>+I539*0.5*3000</f>
        <v>#N/A</v>
      </c>
      <c r="K539" s="935"/>
      <c r="L539" s="935"/>
      <c r="M539" s="935"/>
      <c r="N539" s="935"/>
      <c r="O539" s="935"/>
    </row>
    <row r="540" spans="1:15" ht="15" customHeight="1">
      <c r="A540" s="905" t="s">
        <v>374</v>
      </c>
      <c r="B540" s="546" t="s">
        <v>375</v>
      </c>
      <c r="C540" s="910" t="e">
        <f>VLOOKUP(B534,'LƯƠNG KT'!$D$16:$AC$184,8,0)*$L$11</f>
        <v>#N/A</v>
      </c>
      <c r="D540" s="609" t="e">
        <f>VLOOKUP(B534,'LƯƠNG KT'!$D$16:$AC$184,13,0)-D539</f>
        <v>#N/A</v>
      </c>
      <c r="E540" s="914"/>
      <c r="F540" s="912"/>
      <c r="G540" s="905" t="s">
        <v>374</v>
      </c>
      <c r="H540" s="546" t="s">
        <v>375</v>
      </c>
      <c r="I540" s="910" t="e">
        <f>VLOOKUP(H534,'LƯƠNG KT'!$D$16:$AC$184,8,0)*$L$11</f>
        <v>#N/A</v>
      </c>
      <c r="J540" s="609" t="e">
        <f>VLOOKUP(H534,'LƯƠNG KT'!$D$16:$AC$184,13,0)-J539</f>
        <v>#N/A</v>
      </c>
      <c r="K540" s="935"/>
      <c r="L540" s="935"/>
      <c r="M540" s="935"/>
      <c r="N540" s="935"/>
      <c r="O540" s="935"/>
    </row>
    <row r="541" spans="1:15" ht="15" customHeight="1">
      <c r="A541" s="609" t="s">
        <v>377</v>
      </c>
      <c r="B541" s="546" t="s">
        <v>378</v>
      </c>
      <c r="C541" s="910"/>
      <c r="D541" s="609"/>
      <c r="E541" s="916"/>
      <c r="F541" s="916"/>
      <c r="G541" s="609" t="s">
        <v>377</v>
      </c>
      <c r="H541" s="546" t="s">
        <v>378</v>
      </c>
      <c r="I541" s="910"/>
      <c r="J541" s="609"/>
    </row>
    <row r="542" spans="1:15" ht="15" customHeight="1">
      <c r="A542" s="547" t="s">
        <v>379</v>
      </c>
      <c r="B542" s="546" t="s">
        <v>380</v>
      </c>
      <c r="C542" s="910"/>
      <c r="D542" s="609">
        <f>14*25000</f>
        <v>350000</v>
      </c>
      <c r="E542" s="914"/>
      <c r="F542" s="916"/>
      <c r="G542" s="547" t="s">
        <v>379</v>
      </c>
      <c r="H542" s="546" t="s">
        <v>380</v>
      </c>
      <c r="I542" s="910"/>
      <c r="J542" s="609">
        <f>14*25000</f>
        <v>350000</v>
      </c>
    </row>
    <row r="543" spans="1:15" ht="15" customHeight="1">
      <c r="A543" s="905" t="s">
        <v>381</v>
      </c>
      <c r="B543" s="546" t="s">
        <v>382</v>
      </c>
      <c r="C543" s="910"/>
      <c r="D543" s="609">
        <f>D542</f>
        <v>350000</v>
      </c>
      <c r="E543" s="917"/>
      <c r="F543" s="904"/>
      <c r="G543" s="905" t="s">
        <v>381</v>
      </c>
      <c r="H543" s="546" t="s">
        <v>382</v>
      </c>
      <c r="I543" s="910"/>
      <c r="J543" s="609">
        <f>J542</f>
        <v>350000</v>
      </c>
    </row>
    <row r="544" spans="1:15" ht="15" customHeight="1">
      <c r="A544" s="918" t="s">
        <v>383</v>
      </c>
      <c r="B544" s="919" t="s">
        <v>384</v>
      </c>
      <c r="C544" s="920"/>
      <c r="D544" s="921" t="e">
        <f>SUM(D535:D540)-D543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SUM(J535:J540)-J543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60" t="str">
        <f>$K$2</f>
        <v>THÁNG 09/2024</v>
      </c>
      <c r="B547" s="2360"/>
      <c r="C547" s="2360"/>
      <c r="D547" s="2360"/>
      <c r="E547" s="903"/>
      <c r="F547" s="904"/>
      <c r="G547" s="2360" t="str">
        <f>$K$2</f>
        <v>THÁNG 09/2024</v>
      </c>
      <c r="H547" s="2360"/>
      <c r="I547" s="2360"/>
      <c r="J547" s="2360"/>
      <c r="K547" s="276"/>
    </row>
    <row r="548" spans="1:15" ht="15" customHeight="1">
      <c r="A548" s="905" t="s">
        <v>356</v>
      </c>
      <c r="B548" s="642" t="s">
        <v>447</v>
      </c>
      <c r="C548" s="546"/>
      <c r="D548" s="902"/>
      <c r="E548" s="906"/>
      <c r="F548" s="907"/>
      <c r="G548" s="905" t="s">
        <v>356</v>
      </c>
      <c r="H548" s="642" t="s">
        <v>448</v>
      </c>
      <c r="I548" s="546"/>
      <c r="J548" s="902"/>
      <c r="L548" s="938"/>
      <c r="M548" s="938"/>
      <c r="N548" s="938"/>
      <c r="O548" s="938"/>
    </row>
    <row r="549" spans="1:15" ht="15" customHeight="1">
      <c r="A549" s="905" t="s">
        <v>359</v>
      </c>
      <c r="B549" s="939" t="s">
        <v>360</v>
      </c>
      <c r="C549" s="910" t="e">
        <f>VLOOKUP(B548,'LƯƠNG KT'!$D$16:$AC$184,3,0)</f>
        <v>#N/A</v>
      </c>
      <c r="D549" s="609" t="e">
        <f>+C549*25000</f>
        <v>#N/A</v>
      </c>
      <c r="E549" s="911"/>
      <c r="F549" s="911"/>
      <c r="G549" s="905" t="s">
        <v>359</v>
      </c>
      <c r="H549" s="939" t="s">
        <v>360</v>
      </c>
      <c r="I549" s="910" t="e">
        <f>VLOOKUP(H548,'LƯƠNG KT'!$D$16:$AC$184,3,0)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5" t="s">
        <v>361</v>
      </c>
      <c r="B550" s="546" t="s">
        <v>362</v>
      </c>
      <c r="C550" s="910" t="e">
        <f>VLOOKUP(B548,'LƯƠNG KT'!$D$16:$AC$184,14,0)</f>
        <v>#N/A</v>
      </c>
      <c r="D550" s="609" t="e">
        <f>C550*$L$4</f>
        <v>#N/A</v>
      </c>
      <c r="E550" s="912"/>
      <c r="F550" s="912"/>
      <c r="G550" s="905" t="s">
        <v>361</v>
      </c>
      <c r="H550" s="546" t="s">
        <v>362</v>
      </c>
      <c r="I550" s="910" t="e">
        <f>VLOOKUP(H548,'LƯƠNG KT'!$D$16:$AC$184,14,0)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5" t="s">
        <v>364</v>
      </c>
      <c r="B551" s="546" t="s">
        <v>365</v>
      </c>
      <c r="C551" s="910" t="e">
        <f>VLOOKUP(B548,'LƯƠNG KT'!$D$16:$AC$184,15,0)</f>
        <v>#N/A</v>
      </c>
      <c r="D551" s="609" t="e">
        <f>C551*$L$5</f>
        <v>#N/A</v>
      </c>
      <c r="E551" s="912"/>
      <c r="F551" s="912"/>
      <c r="G551" s="905" t="s">
        <v>364</v>
      </c>
      <c r="H551" s="546" t="s">
        <v>365</v>
      </c>
      <c r="I551" s="910" t="e">
        <f>VLOOKUP(H548,'LƯƠNG KT'!$D$16:$AC$184,15,0)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5" t="s">
        <v>367</v>
      </c>
      <c r="B552" s="546"/>
      <c r="C552" s="910" t="e">
        <f>VLOOKUP(B548,'LƯƠNG KT'!$D$16:$AC$184,16,0)</f>
        <v>#N/A</v>
      </c>
      <c r="D552" s="609" t="e">
        <f>+C552*$L$6</f>
        <v>#N/A</v>
      </c>
      <c r="E552" s="912"/>
      <c r="F552" s="912"/>
      <c r="G552" s="905" t="s">
        <v>367</v>
      </c>
      <c r="H552" s="546"/>
      <c r="I552" s="910" t="e">
        <f>VLOOKUP(H548,'LƯƠNG KT'!$D$16:$AC$184,16,0)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5" t="s">
        <v>371</v>
      </c>
      <c r="B553" s="546" t="s">
        <v>372</v>
      </c>
      <c r="C553" s="910" t="e">
        <f>VLOOKUP(B548,'LƯƠNG KT'!$D$16:$AC$184,9,0)*$L$10</f>
        <v>#N/A</v>
      </c>
      <c r="D553" s="609" t="e">
        <f>+C553*0.5*3000</f>
        <v>#N/A</v>
      </c>
      <c r="E553" s="912"/>
      <c r="F553" s="912"/>
      <c r="G553" s="905" t="s">
        <v>371</v>
      </c>
      <c r="H553" s="546" t="s">
        <v>372</v>
      </c>
      <c r="I553" s="910" t="e">
        <f>VLOOKUP(H548,'LƯƠNG KT'!$D$16:$AC$184,9,0)*$L$10</f>
        <v>#N/A</v>
      </c>
      <c r="J553" s="609" t="e">
        <f>+I553*0.5*3000</f>
        <v>#N/A</v>
      </c>
      <c r="K553" s="935"/>
      <c r="L553" s="935"/>
      <c r="M553" s="935"/>
      <c r="N553" s="935"/>
      <c r="O553" s="935"/>
    </row>
    <row r="554" spans="1:15" ht="15" customHeight="1">
      <c r="A554" s="905" t="s">
        <v>374</v>
      </c>
      <c r="B554" s="546" t="s">
        <v>375</v>
      </c>
      <c r="C554" s="910" t="e">
        <f>VLOOKUP(B548,'LƯƠNG KT'!$D$16:$AC$184,8,0)*$L$11</f>
        <v>#N/A</v>
      </c>
      <c r="D554" s="609" t="e">
        <f>VLOOKUP(B548,'LƯƠNG KT'!$D$16:$AC$184,13,0)-D553</f>
        <v>#N/A</v>
      </c>
      <c r="E554" s="914"/>
      <c r="F554" s="912"/>
      <c r="G554" s="905" t="s">
        <v>374</v>
      </c>
      <c r="H554" s="546" t="s">
        <v>375</v>
      </c>
      <c r="I554" s="910" t="e">
        <f>VLOOKUP(H548,'LƯƠNG KT'!$D$16:$AC$184,8,0)*$L$11</f>
        <v>#N/A</v>
      </c>
      <c r="J554" s="609" t="e">
        <f>VLOOKUP(H548,'LƯƠNG KT'!$D$16:$AC$184,13,0)-J553</f>
        <v>#N/A</v>
      </c>
      <c r="K554" s="935"/>
      <c r="L554" s="935"/>
      <c r="M554" s="935"/>
      <c r="N554" s="935"/>
      <c r="O554" s="935"/>
    </row>
    <row r="555" spans="1:15" ht="15" customHeight="1">
      <c r="A555" s="609" t="s">
        <v>377</v>
      </c>
      <c r="B555" s="546" t="s">
        <v>378</v>
      </c>
      <c r="C555" s="910"/>
      <c r="D555" s="609"/>
      <c r="E555" s="916"/>
      <c r="F555" s="916"/>
      <c r="G555" s="609" t="s">
        <v>377</v>
      </c>
      <c r="H555" s="546" t="s">
        <v>378</v>
      </c>
      <c r="I555" s="910"/>
      <c r="J555" s="609"/>
    </row>
    <row r="556" spans="1:15" ht="15" customHeight="1">
      <c r="A556" s="547" t="s">
        <v>379</v>
      </c>
      <c r="B556" s="546" t="s">
        <v>380</v>
      </c>
      <c r="C556" s="910"/>
      <c r="D556" s="609">
        <f>14*25000</f>
        <v>350000</v>
      </c>
      <c r="E556" s="914"/>
      <c r="F556" s="916"/>
      <c r="G556" s="547" t="s">
        <v>379</v>
      </c>
      <c r="H556" s="546" t="s">
        <v>380</v>
      </c>
      <c r="I556" s="910"/>
      <c r="J556" s="609">
        <f>14*25000</f>
        <v>350000</v>
      </c>
    </row>
    <row r="557" spans="1:15" ht="15" customHeight="1">
      <c r="A557" s="905" t="s">
        <v>381</v>
      </c>
      <c r="B557" s="546" t="s">
        <v>382</v>
      </c>
      <c r="C557" s="910"/>
      <c r="D557" s="609">
        <f>D556</f>
        <v>350000</v>
      </c>
      <c r="E557" s="917"/>
      <c r="F557" s="904"/>
      <c r="G557" s="905" t="s">
        <v>381</v>
      </c>
      <c r="H557" s="546" t="s">
        <v>382</v>
      </c>
      <c r="I557" s="910"/>
      <c r="J557" s="609">
        <f>J556</f>
        <v>350000</v>
      </c>
    </row>
    <row r="558" spans="1:15" ht="15" customHeight="1">
      <c r="A558" s="918" t="s">
        <v>383</v>
      </c>
      <c r="B558" s="919" t="s">
        <v>384</v>
      </c>
      <c r="C558" s="920"/>
      <c r="D558" s="921" t="e">
        <f>SUM(D549:D554)-D557</f>
        <v>#N/A</v>
      </c>
      <c r="E558" s="922"/>
      <c r="F558" s="923"/>
      <c r="G558" s="918" t="s">
        <v>383</v>
      </c>
      <c r="H558" s="919" t="s">
        <v>384</v>
      </c>
      <c r="I558" s="920"/>
      <c r="J558" s="921" t="e">
        <f>SUM(J549:J554)-J557</f>
        <v>#N/A</v>
      </c>
    </row>
    <row r="559" spans="1:15" ht="18.75" customHeight="1">
      <c r="A559" s="924"/>
      <c r="B559" s="925"/>
      <c r="C559" s="926"/>
      <c r="D559" s="927"/>
      <c r="E559" s="927"/>
      <c r="F559" s="928"/>
      <c r="G559" s="924"/>
      <c r="H559" s="925"/>
      <c r="I559" s="926"/>
      <c r="J559" s="927"/>
    </row>
    <row r="560" spans="1:15" ht="18.75" customHeight="1">
      <c r="A560" s="925"/>
      <c r="B560" s="925"/>
      <c r="C560" s="929"/>
      <c r="D560" s="930"/>
      <c r="E560" s="925"/>
      <c r="F560" s="931"/>
      <c r="G560" s="925"/>
      <c r="H560" s="925"/>
      <c r="I560" s="929"/>
      <c r="J560" s="930"/>
    </row>
    <row r="561" spans="1:15" ht="15" customHeight="1">
      <c r="A561" s="2360" t="str">
        <f>$K$2</f>
        <v>THÁNG 09/2024</v>
      </c>
      <c r="B561" s="2360"/>
      <c r="C561" s="2360"/>
      <c r="D561" s="2360"/>
      <c r="E561" s="903"/>
      <c r="F561" s="904"/>
      <c r="G561" s="2360" t="str">
        <f>$K$2</f>
        <v>THÁNG 09/2024</v>
      </c>
      <c r="H561" s="2360"/>
      <c r="I561" s="2360"/>
      <c r="J561" s="2360"/>
    </row>
    <row r="562" spans="1:15" ht="15" customHeight="1">
      <c r="A562" s="905" t="s">
        <v>356</v>
      </c>
      <c r="B562" s="642" t="s">
        <v>449</v>
      </c>
      <c r="C562" s="546"/>
      <c r="D562" s="902"/>
      <c r="E562" s="906"/>
      <c r="F562" s="907"/>
      <c r="G562" s="905" t="s">
        <v>356</v>
      </c>
      <c r="H562" s="642" t="s">
        <v>450</v>
      </c>
      <c r="I562" s="546"/>
      <c r="J562" s="902"/>
      <c r="L562" s="938"/>
      <c r="M562" s="938"/>
      <c r="N562" s="938"/>
      <c r="O562" s="938"/>
    </row>
    <row r="563" spans="1:15" ht="15" customHeight="1">
      <c r="A563" s="905" t="s">
        <v>359</v>
      </c>
      <c r="B563" s="939" t="s">
        <v>360</v>
      </c>
      <c r="C563" s="910" t="e">
        <f>VLOOKUP(B562,'LƯƠNG KT'!$D$16:$AC$184,3,0)</f>
        <v>#N/A</v>
      </c>
      <c r="D563" s="609" t="e">
        <f>+C563*25000</f>
        <v>#N/A</v>
      </c>
      <c r="E563" s="911"/>
      <c r="F563" s="911"/>
      <c r="G563" s="905" t="s">
        <v>359</v>
      </c>
      <c r="H563" s="939" t="s">
        <v>360</v>
      </c>
      <c r="I563" s="910" t="e">
        <f>VLOOKUP(H562,'LƯƠNG KT'!$D$16:$AC$184,3,0)</f>
        <v>#N/A</v>
      </c>
      <c r="J563" s="609" t="e">
        <f>+I563*25000</f>
        <v>#N/A</v>
      </c>
      <c r="K563" s="935"/>
      <c r="L563" s="935"/>
      <c r="M563" s="935"/>
      <c r="N563" s="935"/>
      <c r="O563" s="935"/>
    </row>
    <row r="564" spans="1:15" ht="15" customHeight="1">
      <c r="A564" s="905" t="s">
        <v>361</v>
      </c>
      <c r="B564" s="546" t="s">
        <v>362</v>
      </c>
      <c r="C564" s="910" t="e">
        <f>VLOOKUP(B562,'LƯƠNG KT'!$D$16:$AC$184,14,0)</f>
        <v>#N/A</v>
      </c>
      <c r="D564" s="609" t="e">
        <f>C564*$L$4</f>
        <v>#N/A</v>
      </c>
      <c r="E564" s="912"/>
      <c r="F564" s="912"/>
      <c r="G564" s="905" t="s">
        <v>361</v>
      </c>
      <c r="H564" s="546" t="s">
        <v>362</v>
      </c>
      <c r="I564" s="910" t="e">
        <f>VLOOKUP(H562,'LƯƠNG KT'!$D$16:$AC$184,14,0)</f>
        <v>#N/A</v>
      </c>
      <c r="J564" s="609" t="e">
        <f>I564*$L$4</f>
        <v>#N/A</v>
      </c>
      <c r="K564" s="935"/>
      <c r="L564" s="935"/>
      <c r="M564" s="935"/>
      <c r="N564" s="935"/>
      <c r="O564" s="935"/>
    </row>
    <row r="565" spans="1:15" ht="15" customHeight="1">
      <c r="A565" s="905" t="s">
        <v>364</v>
      </c>
      <c r="B565" s="546" t="s">
        <v>365</v>
      </c>
      <c r="C565" s="910" t="e">
        <f>VLOOKUP(B562,'LƯƠNG KT'!$D$16:$AC$184,15,0)</f>
        <v>#N/A</v>
      </c>
      <c r="D565" s="609" t="e">
        <f>C565*$L$5</f>
        <v>#N/A</v>
      </c>
      <c r="E565" s="912"/>
      <c r="F565" s="912"/>
      <c r="G565" s="905" t="s">
        <v>364</v>
      </c>
      <c r="H565" s="546" t="s">
        <v>365</v>
      </c>
      <c r="I565" s="910" t="e">
        <f>VLOOKUP(H562,'LƯƠNG KT'!$D$16:$AC$184,15,0)</f>
        <v>#N/A</v>
      </c>
      <c r="J565" s="609" t="e">
        <f>I565*$L$5</f>
        <v>#N/A</v>
      </c>
      <c r="K565" s="935"/>
      <c r="L565" s="935"/>
      <c r="M565" s="935"/>
      <c r="N565" s="935"/>
      <c r="O565" s="935"/>
    </row>
    <row r="566" spans="1:15" ht="15" customHeight="1">
      <c r="A566" s="905" t="s">
        <v>367</v>
      </c>
      <c r="B566" s="546"/>
      <c r="C566" s="910" t="e">
        <f>VLOOKUP(B562,'LƯƠNG KT'!$D$16:$AC$184,16,0)</f>
        <v>#N/A</v>
      </c>
      <c r="D566" s="609" t="e">
        <f>+C566*$L$6</f>
        <v>#N/A</v>
      </c>
      <c r="E566" s="912"/>
      <c r="F566" s="912"/>
      <c r="G566" s="905" t="s">
        <v>367</v>
      </c>
      <c r="H566" s="546"/>
      <c r="I566" s="910" t="e">
        <f>VLOOKUP(H562,'LƯƠNG KT'!$D$16:$AC$184,16,0)</f>
        <v>#N/A</v>
      </c>
      <c r="J566" s="609" t="e">
        <f>+I566*$L$6</f>
        <v>#N/A</v>
      </c>
      <c r="K566" s="935"/>
      <c r="L566" s="935"/>
      <c r="M566" s="935"/>
      <c r="N566" s="935"/>
      <c r="O566" s="935"/>
    </row>
    <row r="567" spans="1:15" ht="15" customHeight="1">
      <c r="A567" s="905" t="s">
        <v>371</v>
      </c>
      <c r="B567" s="546" t="s">
        <v>372</v>
      </c>
      <c r="C567" s="910" t="e">
        <f>VLOOKUP(B562,'LƯƠNG KT'!$D$16:$AC$184,9,0)*$L$10</f>
        <v>#N/A</v>
      </c>
      <c r="D567" s="609" t="e">
        <f>+C567*0.5*3000</f>
        <v>#N/A</v>
      </c>
      <c r="E567" s="912"/>
      <c r="F567" s="912"/>
      <c r="G567" s="905" t="s">
        <v>371</v>
      </c>
      <c r="H567" s="546" t="s">
        <v>372</v>
      </c>
      <c r="I567" s="910" t="e">
        <f>VLOOKUP(H562,'LƯƠNG KT'!$D$16:$AC$184,9,0)*$L$10</f>
        <v>#N/A</v>
      </c>
      <c r="J567" s="609" t="e">
        <f>+I567*0.5*3000</f>
        <v>#N/A</v>
      </c>
      <c r="K567" s="935"/>
      <c r="L567" s="935"/>
      <c r="M567" s="935"/>
      <c r="N567" s="935"/>
      <c r="O567" s="935"/>
    </row>
    <row r="568" spans="1:15" ht="15" customHeight="1">
      <c r="A568" s="905" t="s">
        <v>374</v>
      </c>
      <c r="B568" s="546" t="s">
        <v>375</v>
      </c>
      <c r="C568" s="910" t="e">
        <f>VLOOKUP(B562,'LƯƠNG KT'!$D$16:$AC$184,8,0)*$L$11</f>
        <v>#N/A</v>
      </c>
      <c r="D568" s="609" t="e">
        <f>VLOOKUP(B562,'LƯƠNG KT'!$D$16:$AC$184,13,0)-D567</f>
        <v>#N/A</v>
      </c>
      <c r="E568" s="914"/>
      <c r="F568" s="912"/>
      <c r="G568" s="905" t="s">
        <v>374</v>
      </c>
      <c r="H568" s="546" t="s">
        <v>375</v>
      </c>
      <c r="I568" s="910" t="e">
        <f>VLOOKUP(H562,'LƯƠNG KT'!$D$16:$AC$184,8,0)*$L$11</f>
        <v>#N/A</v>
      </c>
      <c r="J568" s="609" t="e">
        <f>VLOOKUP(H562,'LƯƠNG KT'!$D$16:$AC$184,13,0)-J567</f>
        <v>#N/A</v>
      </c>
      <c r="K568" s="935"/>
      <c r="L568" s="935"/>
      <c r="M568" s="935"/>
      <c r="N568" s="935"/>
      <c r="O568" s="935"/>
    </row>
    <row r="569" spans="1:15" ht="15" customHeight="1">
      <c r="A569" s="609" t="s">
        <v>377</v>
      </c>
      <c r="B569" s="546" t="s">
        <v>378</v>
      </c>
      <c r="C569" s="910"/>
      <c r="D569" s="609"/>
      <c r="E569" s="916"/>
      <c r="F569" s="916"/>
      <c r="G569" s="609" t="s">
        <v>377</v>
      </c>
      <c r="H569" s="546" t="s">
        <v>378</v>
      </c>
      <c r="I569" s="910"/>
      <c r="J569" s="609"/>
    </row>
    <row r="570" spans="1:15" ht="15" customHeight="1">
      <c r="A570" s="547" t="s">
        <v>379</v>
      </c>
      <c r="B570" s="546" t="s">
        <v>380</v>
      </c>
      <c r="C570" s="910"/>
      <c r="D570" s="609">
        <f>14*25000</f>
        <v>350000</v>
      </c>
      <c r="E570" s="914"/>
      <c r="F570" s="916"/>
      <c r="G570" s="547" t="s">
        <v>379</v>
      </c>
      <c r="H570" s="546" t="s">
        <v>380</v>
      </c>
      <c r="I570" s="910"/>
      <c r="J570" s="609">
        <f>14*25000</f>
        <v>350000</v>
      </c>
    </row>
    <row r="571" spans="1:15" ht="15" customHeight="1">
      <c r="A571" s="905" t="s">
        <v>381</v>
      </c>
      <c r="B571" s="546" t="s">
        <v>382</v>
      </c>
      <c r="C571" s="910"/>
      <c r="D571" s="609">
        <f>D570</f>
        <v>350000</v>
      </c>
      <c r="E571" s="917"/>
      <c r="F571" s="904"/>
      <c r="G571" s="905" t="s">
        <v>381</v>
      </c>
      <c r="H571" s="546" t="s">
        <v>382</v>
      </c>
      <c r="I571" s="910"/>
      <c r="J571" s="609">
        <f>J570</f>
        <v>350000</v>
      </c>
    </row>
    <row r="572" spans="1:15" ht="15" customHeight="1">
      <c r="A572" s="918" t="s">
        <v>383</v>
      </c>
      <c r="B572" s="919" t="s">
        <v>384</v>
      </c>
      <c r="C572" s="920"/>
      <c r="D572" s="921" t="e">
        <f>SUM(D563:D568)-D571</f>
        <v>#N/A</v>
      </c>
      <c r="E572" s="922"/>
      <c r="F572" s="923"/>
      <c r="G572" s="918" t="s">
        <v>383</v>
      </c>
      <c r="H572" s="919" t="s">
        <v>384</v>
      </c>
      <c r="I572" s="920"/>
      <c r="J572" s="921" t="e">
        <f>SUM(J563:J568)-J571</f>
        <v>#N/A</v>
      </c>
    </row>
    <row r="573" spans="1:15" ht="18.75" customHeight="1">
      <c r="A573" s="924"/>
      <c r="B573" s="925"/>
      <c r="C573" s="926"/>
      <c r="D573" s="927"/>
      <c r="E573" s="927"/>
      <c r="F573" s="928"/>
      <c r="G573" s="924"/>
      <c r="H573" s="925"/>
      <c r="I573" s="926"/>
      <c r="J573" s="927"/>
    </row>
    <row r="574" spans="1:15" ht="18.75" customHeight="1">
      <c r="A574" s="925"/>
      <c r="B574" s="925"/>
      <c r="C574" s="929"/>
      <c r="D574" s="930"/>
      <c r="E574" s="925"/>
      <c r="F574" s="931"/>
      <c r="G574" s="925"/>
      <c r="H574" s="925"/>
      <c r="I574" s="929"/>
      <c r="J574" s="930"/>
    </row>
    <row r="575" spans="1:15" ht="15" customHeight="1">
      <c r="A575" s="2360" t="str">
        <f>$K$2</f>
        <v>THÁNG 09/2024</v>
      </c>
      <c r="B575" s="2360"/>
      <c r="C575" s="2360"/>
      <c r="D575" s="2360"/>
      <c r="E575" s="903"/>
      <c r="F575" s="904"/>
      <c r="G575" s="2360" t="str">
        <f>$K$2</f>
        <v>THÁNG 09/2024</v>
      </c>
      <c r="H575" s="2360"/>
      <c r="I575" s="2360"/>
      <c r="J575" s="2360"/>
      <c r="K575" s="276"/>
    </row>
    <row r="576" spans="1:15" ht="15" customHeight="1">
      <c r="A576" s="905" t="s">
        <v>356</v>
      </c>
      <c r="B576" s="642" t="s">
        <v>451</v>
      </c>
      <c r="C576" s="546"/>
      <c r="D576" s="902"/>
      <c r="E576" s="906"/>
      <c r="F576" s="907"/>
      <c r="G576" s="905" t="s">
        <v>356</v>
      </c>
      <c r="H576" s="642" t="s">
        <v>452</v>
      </c>
      <c r="I576" s="546"/>
      <c r="J576" s="902"/>
      <c r="L576" s="938"/>
      <c r="M576" s="938"/>
      <c r="N576" s="938"/>
      <c r="O576" s="938"/>
    </row>
    <row r="577" spans="1:15" ht="15" customHeight="1">
      <c r="A577" s="905" t="s">
        <v>359</v>
      </c>
      <c r="B577" s="939" t="s">
        <v>360</v>
      </c>
      <c r="C577" s="910" t="e">
        <f>VLOOKUP(B576,'LƯƠNG KT'!$D$16:$AC$184,3,0)</f>
        <v>#N/A</v>
      </c>
      <c r="D577" s="609" t="e">
        <f>+C577*25000</f>
        <v>#N/A</v>
      </c>
      <c r="E577" s="911"/>
      <c r="F577" s="911"/>
      <c r="G577" s="905" t="s">
        <v>359</v>
      </c>
      <c r="H577" s="939" t="s">
        <v>360</v>
      </c>
      <c r="I577" s="910" t="e">
        <f>VLOOKUP(H576,'LƯƠNG KT'!$D$16:$AC$184,3,0)</f>
        <v>#N/A</v>
      </c>
      <c r="J577" s="609" t="e">
        <f>+I577*25000</f>
        <v>#N/A</v>
      </c>
      <c r="K577" s="935"/>
      <c r="L577" s="935"/>
      <c r="M577" s="935"/>
      <c r="N577" s="935"/>
      <c r="O577" s="935"/>
    </row>
    <row r="578" spans="1:15" ht="15" customHeight="1">
      <c r="A578" s="905" t="s">
        <v>361</v>
      </c>
      <c r="B578" s="546" t="s">
        <v>362</v>
      </c>
      <c r="C578" s="910" t="e">
        <f>VLOOKUP(B576,'LƯƠNG KT'!$D$16:$AC$184,14,0)</f>
        <v>#N/A</v>
      </c>
      <c r="D578" s="609" t="e">
        <f>C578*$L$4</f>
        <v>#N/A</v>
      </c>
      <c r="E578" s="912"/>
      <c r="F578" s="912"/>
      <c r="G578" s="905" t="s">
        <v>361</v>
      </c>
      <c r="H578" s="546" t="s">
        <v>362</v>
      </c>
      <c r="I578" s="910" t="e">
        <f>VLOOKUP(H576,'LƯƠNG KT'!$D$16:$AC$184,14,0)</f>
        <v>#N/A</v>
      </c>
      <c r="J578" s="609" t="e">
        <f>I578*$L$4</f>
        <v>#N/A</v>
      </c>
      <c r="K578" s="935"/>
      <c r="L578" s="935"/>
      <c r="M578" s="935"/>
      <c r="N578" s="935"/>
      <c r="O578" s="935"/>
    </row>
    <row r="579" spans="1:15" ht="15" customHeight="1">
      <c r="A579" s="905" t="s">
        <v>364</v>
      </c>
      <c r="B579" s="546" t="s">
        <v>365</v>
      </c>
      <c r="C579" s="910" t="e">
        <f>VLOOKUP(B576,'LƯƠNG KT'!$D$16:$AC$184,15,0)</f>
        <v>#N/A</v>
      </c>
      <c r="D579" s="609" t="e">
        <f>C579*$L$5</f>
        <v>#N/A</v>
      </c>
      <c r="E579" s="912"/>
      <c r="F579" s="912"/>
      <c r="G579" s="905" t="s">
        <v>364</v>
      </c>
      <c r="H579" s="546" t="s">
        <v>365</v>
      </c>
      <c r="I579" s="910" t="e">
        <f>VLOOKUP(H576,'LƯƠNG KT'!$D$16:$AC$184,15,0)</f>
        <v>#N/A</v>
      </c>
      <c r="J579" s="609" t="e">
        <f>I579*$L$5</f>
        <v>#N/A</v>
      </c>
      <c r="K579" s="935"/>
      <c r="L579" s="935"/>
      <c r="M579" s="935"/>
      <c r="N579" s="935"/>
      <c r="O579" s="935"/>
    </row>
    <row r="580" spans="1:15" ht="15" customHeight="1">
      <c r="A580" s="905" t="s">
        <v>367</v>
      </c>
      <c r="B580" s="546"/>
      <c r="C580" s="910" t="e">
        <f>VLOOKUP(B576,'LƯƠNG KT'!$D$16:$AC$184,16,0)</f>
        <v>#N/A</v>
      </c>
      <c r="D580" s="609" t="e">
        <f>+C580*$L$6</f>
        <v>#N/A</v>
      </c>
      <c r="E580" s="912"/>
      <c r="F580" s="912"/>
      <c r="G580" s="905" t="s">
        <v>367</v>
      </c>
      <c r="H580" s="546"/>
      <c r="I580" s="910" t="e">
        <f>VLOOKUP(H576,'LƯƠNG KT'!$D$16:$AC$184,16,0)</f>
        <v>#N/A</v>
      </c>
      <c r="J580" s="609" t="e">
        <f>+I580*$L$6</f>
        <v>#N/A</v>
      </c>
      <c r="K580" s="935"/>
      <c r="L580" s="935"/>
      <c r="M580" s="935"/>
      <c r="N580" s="935"/>
      <c r="O580" s="935"/>
    </row>
    <row r="581" spans="1:15" ht="15" customHeight="1">
      <c r="A581" s="905" t="s">
        <v>371</v>
      </c>
      <c r="B581" s="546" t="s">
        <v>372</v>
      </c>
      <c r="C581" s="910" t="e">
        <f>VLOOKUP(B576,'LƯƠNG KT'!$D$16:$AC$184,9,0)*$L$10</f>
        <v>#N/A</v>
      </c>
      <c r="D581" s="609" t="e">
        <f>+C581*0.5*3000</f>
        <v>#N/A</v>
      </c>
      <c r="E581" s="912"/>
      <c r="F581" s="912"/>
      <c r="G581" s="905" t="s">
        <v>371</v>
      </c>
      <c r="H581" s="546" t="s">
        <v>372</v>
      </c>
      <c r="I581" s="910" t="e">
        <f>VLOOKUP(H576,'LƯƠNG KT'!$D$16:$AC$184,9,0)*$L$10</f>
        <v>#N/A</v>
      </c>
      <c r="J581" s="609" t="e">
        <f>+I581*0.5*3000</f>
        <v>#N/A</v>
      </c>
      <c r="K581" s="935"/>
      <c r="L581" s="935"/>
      <c r="M581" s="935"/>
      <c r="N581" s="935"/>
      <c r="O581" s="935"/>
    </row>
    <row r="582" spans="1:15" ht="15" customHeight="1">
      <c r="A582" s="905" t="s">
        <v>374</v>
      </c>
      <c r="B582" s="546" t="s">
        <v>375</v>
      </c>
      <c r="C582" s="910" t="e">
        <f>VLOOKUP(B576,'LƯƠNG KT'!$D$16:$AC$184,8,0)*$L$11</f>
        <v>#N/A</v>
      </c>
      <c r="D582" s="609" t="e">
        <f>VLOOKUP(B576,'LƯƠNG KT'!$D$16:$AC$184,13,0)-D581</f>
        <v>#N/A</v>
      </c>
      <c r="E582" s="914"/>
      <c r="F582" s="912"/>
      <c r="G582" s="905" t="s">
        <v>374</v>
      </c>
      <c r="H582" s="546" t="s">
        <v>375</v>
      </c>
      <c r="I582" s="910" t="e">
        <f>VLOOKUP(H576,'LƯƠNG KT'!$D$16:$AC$184,8,0)*$L$11</f>
        <v>#N/A</v>
      </c>
      <c r="J582" s="609" t="e">
        <f>VLOOKUP(H576,'LƯƠNG KT'!$D$16:$AC$184,13,0)-J581</f>
        <v>#N/A</v>
      </c>
      <c r="K582" s="935"/>
      <c r="L582" s="935"/>
      <c r="M582" s="935"/>
      <c r="N582" s="935"/>
      <c r="O582" s="935"/>
    </row>
    <row r="583" spans="1:15" ht="15" customHeight="1">
      <c r="A583" s="609" t="s">
        <v>377</v>
      </c>
      <c r="B583" s="546" t="s">
        <v>378</v>
      </c>
      <c r="C583" s="910"/>
      <c r="D583" s="609"/>
      <c r="E583" s="916"/>
      <c r="F583" s="916"/>
      <c r="G583" s="609" t="s">
        <v>377</v>
      </c>
      <c r="H583" s="546" t="s">
        <v>378</v>
      </c>
      <c r="I583" s="910"/>
      <c r="J583" s="609"/>
    </row>
    <row r="584" spans="1:15" ht="15" customHeight="1">
      <c r="A584" s="547" t="s">
        <v>379</v>
      </c>
      <c r="B584" s="546" t="s">
        <v>380</v>
      </c>
      <c r="C584" s="910"/>
      <c r="D584" s="609">
        <f>14*25000</f>
        <v>350000</v>
      </c>
      <c r="E584" s="914"/>
      <c r="F584" s="916"/>
      <c r="G584" s="547" t="s">
        <v>379</v>
      </c>
      <c r="H584" s="546" t="s">
        <v>380</v>
      </c>
      <c r="I584" s="910"/>
      <c r="J584" s="609">
        <f>14*25000</f>
        <v>350000</v>
      </c>
    </row>
    <row r="585" spans="1:15" ht="15" customHeight="1">
      <c r="A585" s="905" t="s">
        <v>381</v>
      </c>
      <c r="B585" s="546" t="s">
        <v>382</v>
      </c>
      <c r="C585" s="910"/>
      <c r="D585" s="609">
        <f>D584</f>
        <v>350000</v>
      </c>
      <c r="E585" s="917"/>
      <c r="F585" s="904"/>
      <c r="G585" s="905" t="s">
        <v>381</v>
      </c>
      <c r="H585" s="546" t="s">
        <v>382</v>
      </c>
      <c r="I585" s="910"/>
      <c r="J585" s="609">
        <f>J584</f>
        <v>350000</v>
      </c>
    </row>
    <row r="586" spans="1:15" ht="15" customHeight="1">
      <c r="A586" s="918" t="s">
        <v>383</v>
      </c>
      <c r="B586" s="919" t="s">
        <v>384</v>
      </c>
      <c r="C586" s="920"/>
      <c r="D586" s="921" t="e">
        <f>SUM(D577:D582)-D585</f>
        <v>#N/A</v>
      </c>
      <c r="E586" s="922"/>
      <c r="F586" s="923"/>
      <c r="G586" s="918" t="s">
        <v>383</v>
      </c>
      <c r="H586" s="919" t="s">
        <v>384</v>
      </c>
      <c r="I586" s="920"/>
      <c r="J586" s="921" t="e">
        <f>SUM(J577:J582)-J585</f>
        <v>#N/A</v>
      </c>
    </row>
    <row r="587" spans="1:15" ht="15.75" customHeight="1">
      <c r="A587" s="924"/>
      <c r="B587" s="925"/>
      <c r="C587" s="926"/>
      <c r="D587" s="927"/>
      <c r="E587" s="927"/>
      <c r="F587" s="928"/>
      <c r="G587" s="924"/>
      <c r="H587" s="925"/>
      <c r="I587" s="926"/>
      <c r="J587" s="927"/>
    </row>
    <row r="589" spans="1:15" ht="12" customHeight="1">
      <c r="A589" s="2361"/>
      <c r="B589" s="2361"/>
      <c r="C589" s="2361"/>
      <c r="D589" s="2361"/>
      <c r="E589" s="2361"/>
      <c r="F589" s="2361"/>
      <c r="G589" s="2361"/>
      <c r="H589" s="2361"/>
      <c r="I589" s="2361"/>
      <c r="J589" s="2361"/>
    </row>
    <row r="590" spans="1:15" ht="15" customHeight="1">
      <c r="A590" s="2360" t="str">
        <f>$K$2</f>
        <v>THÁNG 09/2024</v>
      </c>
      <c r="B590" s="2360"/>
      <c r="C590" s="2360"/>
      <c r="D590" s="2360"/>
      <c r="E590" s="903"/>
      <c r="F590" s="904"/>
      <c r="G590" s="2360" t="str">
        <f>$K$2</f>
        <v>THÁNG 09/2024</v>
      </c>
      <c r="H590" s="2360"/>
      <c r="I590" s="2360"/>
      <c r="J590" s="2360"/>
      <c r="K590" s="276"/>
    </row>
    <row r="591" spans="1:15" ht="15" customHeight="1">
      <c r="A591" s="905" t="s">
        <v>356</v>
      </c>
      <c r="B591" s="642" t="s">
        <v>453</v>
      </c>
      <c r="C591" s="546"/>
      <c r="D591" s="902"/>
      <c r="E591" s="906"/>
      <c r="F591" s="907"/>
      <c r="G591" s="905" t="s">
        <v>356</v>
      </c>
      <c r="H591" s="642" t="s">
        <v>454</v>
      </c>
      <c r="I591" s="546"/>
      <c r="J591" s="902"/>
      <c r="L591" s="938"/>
      <c r="M591" s="938"/>
      <c r="N591" s="938"/>
      <c r="O591" s="938"/>
    </row>
    <row r="592" spans="1:15" ht="15" customHeight="1">
      <c r="A592" s="905" t="s">
        <v>359</v>
      </c>
      <c r="B592" s="939" t="s">
        <v>360</v>
      </c>
      <c r="C592" s="910" t="e">
        <f>VLOOKUP(B591,'LƯƠNG KT'!$D$16:$AC$184,3,0)</f>
        <v>#N/A</v>
      </c>
      <c r="D592" s="609" t="e">
        <f>+C592*25000</f>
        <v>#N/A</v>
      </c>
      <c r="E592" s="911"/>
      <c r="F592" s="911"/>
      <c r="G592" s="905" t="s">
        <v>359</v>
      </c>
      <c r="H592" s="939" t="s">
        <v>360</v>
      </c>
      <c r="I592" s="910" t="e">
        <f>VLOOKUP(H591,'LƯƠNG KT'!$D$16:$AC$184,3,0)</f>
        <v>#N/A</v>
      </c>
      <c r="J592" s="609" t="e">
        <f>+I592*25000</f>
        <v>#N/A</v>
      </c>
      <c r="K592" s="934"/>
      <c r="L592" s="935"/>
      <c r="M592" s="935"/>
      <c r="N592" s="935"/>
      <c r="O592" s="935"/>
    </row>
    <row r="593" spans="1:15" ht="15" customHeight="1">
      <c r="A593" s="905" t="s">
        <v>361</v>
      </c>
      <c r="B593" s="546" t="s">
        <v>362</v>
      </c>
      <c r="C593" s="910" t="e">
        <f>VLOOKUP(B591,'LƯƠNG KT'!$D$16:$AC$184,14,0)</f>
        <v>#N/A</v>
      </c>
      <c r="D593" s="609" t="e">
        <f>C593*$L$4</f>
        <v>#N/A</v>
      </c>
      <c r="E593" s="912"/>
      <c r="F593" s="912"/>
      <c r="G593" s="905" t="s">
        <v>361</v>
      </c>
      <c r="H593" s="546" t="s">
        <v>362</v>
      </c>
      <c r="I593" s="910" t="e">
        <f>VLOOKUP(H591,'LƯƠNG KT'!$D$16:$AC$184,14,0)</f>
        <v>#N/A</v>
      </c>
      <c r="J593" s="609" t="e">
        <f>I593*$L$4</f>
        <v>#N/A</v>
      </c>
      <c r="K593" s="934"/>
      <c r="L593" s="935"/>
      <c r="M593" s="935"/>
      <c r="N593" s="935"/>
      <c r="O593" s="935"/>
    </row>
    <row r="594" spans="1:15" ht="15" customHeight="1">
      <c r="A594" s="905" t="s">
        <v>364</v>
      </c>
      <c r="B594" s="546" t="s">
        <v>365</v>
      </c>
      <c r="C594" s="910" t="e">
        <f>VLOOKUP(B591,'LƯƠNG KT'!$D$16:$AC$184,15,0)</f>
        <v>#N/A</v>
      </c>
      <c r="D594" s="609" t="e">
        <f>C594*$L$5</f>
        <v>#N/A</v>
      </c>
      <c r="E594" s="912"/>
      <c r="F594" s="912"/>
      <c r="G594" s="905" t="s">
        <v>364</v>
      </c>
      <c r="H594" s="546" t="s">
        <v>365</v>
      </c>
      <c r="I594" s="910" t="e">
        <f>VLOOKUP(H591,'LƯƠNG KT'!$D$16:$AC$184,15,0)</f>
        <v>#N/A</v>
      </c>
      <c r="J594" s="609" t="e">
        <f>I594*$L$5</f>
        <v>#N/A</v>
      </c>
      <c r="K594" s="934"/>
      <c r="L594" s="935"/>
      <c r="M594" s="935"/>
      <c r="N594" s="935"/>
      <c r="O594" s="935"/>
    </row>
    <row r="595" spans="1:15" ht="15" customHeight="1">
      <c r="A595" s="905" t="s">
        <v>367</v>
      </c>
      <c r="B595" s="546"/>
      <c r="C595" s="910" t="e">
        <f>VLOOKUP(B591,'LƯƠNG KT'!$D$16:$AC$184,16,0)</f>
        <v>#N/A</v>
      </c>
      <c r="D595" s="609" t="e">
        <f>+C595*$L$6</f>
        <v>#N/A</v>
      </c>
      <c r="E595" s="912"/>
      <c r="F595" s="912"/>
      <c r="G595" s="905" t="s">
        <v>367</v>
      </c>
      <c r="H595" s="546"/>
      <c r="I595" s="910" t="e">
        <f>VLOOKUP(H591,'LƯƠNG KT'!$D$16:$AC$184,16,0)</f>
        <v>#N/A</v>
      </c>
      <c r="J595" s="609" t="e">
        <f>+I595*$L$6</f>
        <v>#N/A</v>
      </c>
      <c r="K595" s="935"/>
      <c r="L595" s="935"/>
      <c r="M595" s="935"/>
      <c r="N595" s="935"/>
      <c r="O595" s="935"/>
    </row>
    <row r="596" spans="1:15" ht="15" customHeight="1">
      <c r="A596" s="905" t="s">
        <v>371</v>
      </c>
      <c r="B596" s="546" t="s">
        <v>372</v>
      </c>
      <c r="C596" s="910" t="e">
        <f>VLOOKUP(B591,'LƯƠNG KT'!$D$16:$AC$184,9,0)*$L$10</f>
        <v>#N/A</v>
      </c>
      <c r="D596" s="609" t="e">
        <f>+C596*0.5*3000</f>
        <v>#N/A</v>
      </c>
      <c r="E596" s="912"/>
      <c r="F596" s="912"/>
      <c r="G596" s="905" t="s">
        <v>371</v>
      </c>
      <c r="H596" s="546" t="s">
        <v>372</v>
      </c>
      <c r="I596" s="910" t="e">
        <f>VLOOKUP(H591,'LƯƠNG KT'!$D$16:$AC$184,9,0)*$L$10</f>
        <v>#N/A</v>
      </c>
      <c r="J596" s="609" t="e">
        <f>+I596*0.5*3000</f>
        <v>#N/A</v>
      </c>
      <c r="K596" s="935"/>
      <c r="L596" s="935"/>
      <c r="M596" s="935"/>
      <c r="N596" s="935"/>
      <c r="O596" s="935"/>
    </row>
    <row r="597" spans="1:15" ht="15" customHeight="1">
      <c r="A597" s="905" t="s">
        <v>374</v>
      </c>
      <c r="B597" s="546" t="s">
        <v>375</v>
      </c>
      <c r="C597" s="910" t="e">
        <f>VLOOKUP(B591,'LƯƠNG KT'!$D$16:$AC$184,8,0)*$L$11</f>
        <v>#N/A</v>
      </c>
      <c r="D597" s="609" t="e">
        <f>VLOOKUP(B591,'LƯƠNG KT'!$D$16:$AC$184,13,0)-D596</f>
        <v>#N/A</v>
      </c>
      <c r="E597" s="914"/>
      <c r="F597" s="912"/>
      <c r="G597" s="905" t="s">
        <v>374</v>
      </c>
      <c r="H597" s="546" t="s">
        <v>375</v>
      </c>
      <c r="I597" s="910" t="e">
        <f>VLOOKUP(H591,'LƯƠNG KT'!$D$16:$AC$184,8,0)*$L$11</f>
        <v>#N/A</v>
      </c>
      <c r="J597" s="609" t="e">
        <f>VLOOKUP(H591,'LƯƠNG KT'!$D$16:$AC$184,13,0)-J596</f>
        <v>#N/A</v>
      </c>
      <c r="K597" s="935"/>
      <c r="L597" s="935"/>
      <c r="M597" s="935"/>
      <c r="N597" s="935"/>
      <c r="O597" s="935"/>
    </row>
    <row r="598" spans="1:15" ht="15" customHeight="1">
      <c r="A598" s="609" t="s">
        <v>377</v>
      </c>
      <c r="B598" s="546" t="s">
        <v>378</v>
      </c>
      <c r="C598" s="910"/>
      <c r="D598" s="609"/>
      <c r="E598" s="916"/>
      <c r="F598" s="916"/>
      <c r="G598" s="609" t="s">
        <v>377</v>
      </c>
      <c r="H598" s="546" t="s">
        <v>378</v>
      </c>
      <c r="I598" s="910"/>
      <c r="J598" s="609"/>
    </row>
    <row r="599" spans="1:15" ht="15" customHeight="1">
      <c r="A599" s="547" t="s">
        <v>379</v>
      </c>
      <c r="B599" s="546" t="s">
        <v>380</v>
      </c>
      <c r="C599" s="910"/>
      <c r="D599" s="609">
        <f>14*25000</f>
        <v>350000</v>
      </c>
      <c r="E599" s="914"/>
      <c r="F599" s="916"/>
      <c r="G599" s="547" t="s">
        <v>379</v>
      </c>
      <c r="H599" s="546" t="s">
        <v>380</v>
      </c>
      <c r="I599" s="910"/>
      <c r="J599" s="609">
        <f>14*25000</f>
        <v>350000</v>
      </c>
    </row>
    <row r="600" spans="1:15" ht="15" customHeight="1">
      <c r="A600" s="905" t="s">
        <v>381</v>
      </c>
      <c r="B600" s="546" t="s">
        <v>382</v>
      </c>
      <c r="C600" s="910"/>
      <c r="D600" s="609">
        <f>D599</f>
        <v>350000</v>
      </c>
      <c r="E600" s="917"/>
      <c r="F600" s="904"/>
      <c r="G600" s="905" t="s">
        <v>381</v>
      </c>
      <c r="H600" s="546" t="s">
        <v>382</v>
      </c>
      <c r="I600" s="910"/>
      <c r="J600" s="609">
        <f>J599</f>
        <v>350000</v>
      </c>
    </row>
    <row r="601" spans="1:15" ht="15" customHeight="1">
      <c r="A601" s="918" t="s">
        <v>383</v>
      </c>
      <c r="B601" s="919" t="s">
        <v>384</v>
      </c>
      <c r="C601" s="920"/>
      <c r="D601" s="921" t="e">
        <f>SUM(D592:D597)-D600</f>
        <v>#N/A</v>
      </c>
      <c r="E601" s="922"/>
      <c r="F601" s="923"/>
      <c r="G601" s="918" t="s">
        <v>383</v>
      </c>
      <c r="H601" s="919" t="s">
        <v>384</v>
      </c>
      <c r="I601" s="920"/>
      <c r="J601" s="921" t="e">
        <f>SUM(J592:J597)-J600</f>
        <v>#N/A</v>
      </c>
    </row>
    <row r="602" spans="1:15" ht="12.6" customHeight="1">
      <c r="A602" s="924"/>
      <c r="B602" s="925"/>
      <c r="C602" s="926"/>
      <c r="D602" s="927"/>
      <c r="E602" s="927"/>
      <c r="F602" s="928"/>
      <c r="G602" s="924"/>
      <c r="H602" s="925"/>
      <c r="I602" s="926"/>
      <c r="J602" s="927"/>
    </row>
    <row r="603" spans="1:15" ht="12.6" customHeight="1">
      <c r="A603" s="925"/>
      <c r="B603" s="925"/>
      <c r="C603" s="929"/>
      <c r="D603" s="930"/>
      <c r="E603" s="925"/>
      <c r="F603" s="931"/>
      <c r="G603" s="925"/>
      <c r="H603" s="925"/>
      <c r="I603" s="929"/>
      <c r="J603" s="930"/>
    </row>
    <row r="604" spans="1:15" ht="15" customHeight="1">
      <c r="A604" s="2360" t="str">
        <f>$K$2</f>
        <v>THÁNG 09/2024</v>
      </c>
      <c r="B604" s="2360"/>
      <c r="C604" s="2360"/>
      <c r="D604" s="2360"/>
      <c r="E604" s="903"/>
      <c r="F604" s="904"/>
      <c r="G604" s="2360" t="str">
        <f>$K$2</f>
        <v>THÁNG 09/2024</v>
      </c>
      <c r="H604" s="2360"/>
      <c r="I604" s="2360"/>
      <c r="J604" s="2360"/>
      <c r="K604" s="276"/>
    </row>
    <row r="605" spans="1:15" ht="15" customHeight="1">
      <c r="A605" s="905" t="s">
        <v>356</v>
      </c>
      <c r="B605" s="642" t="s">
        <v>455</v>
      </c>
      <c r="C605" s="546"/>
      <c r="D605" s="902"/>
      <c r="E605" s="906"/>
      <c r="F605" s="907"/>
      <c r="G605" s="905" t="s">
        <v>356</v>
      </c>
      <c r="H605" s="642" t="s">
        <v>456</v>
      </c>
      <c r="I605" s="546"/>
      <c r="J605" s="902"/>
      <c r="L605" s="938"/>
      <c r="M605" s="938"/>
      <c r="N605" s="938"/>
      <c r="O605" s="938"/>
    </row>
    <row r="606" spans="1:15" ht="15" customHeight="1">
      <c r="A606" s="905" t="s">
        <v>359</v>
      </c>
      <c r="B606" s="939" t="s">
        <v>360</v>
      </c>
      <c r="C606" s="910" t="e">
        <f>VLOOKUP(B605,'LƯƠNG KT'!$D$16:$AC$184,3,0)</f>
        <v>#N/A</v>
      </c>
      <c r="D606" s="609" t="e">
        <f>+C606*25000</f>
        <v>#N/A</v>
      </c>
      <c r="E606" s="911"/>
      <c r="F606" s="911"/>
      <c r="G606" s="905" t="s">
        <v>359</v>
      </c>
      <c r="H606" s="939" t="s">
        <v>360</v>
      </c>
      <c r="I606" s="910" t="e">
        <f>VLOOKUP(H605,'LƯƠNG KT'!$D$16:$AC$184,3,0)</f>
        <v>#N/A</v>
      </c>
      <c r="J606" s="609" t="e">
        <f>+I606*25000</f>
        <v>#N/A</v>
      </c>
      <c r="K606" s="935"/>
      <c r="L606" s="935"/>
      <c r="M606" s="935"/>
      <c r="N606" s="935"/>
      <c r="O606" s="935"/>
    </row>
    <row r="607" spans="1:15" ht="15" customHeight="1">
      <c r="A607" s="905" t="s">
        <v>361</v>
      </c>
      <c r="B607" s="546" t="s">
        <v>362</v>
      </c>
      <c r="C607" s="910" t="e">
        <f>VLOOKUP(B605,'LƯƠNG KT'!$D$16:$AC$184,14,0)</f>
        <v>#N/A</v>
      </c>
      <c r="D607" s="609" t="e">
        <f>C607*$L$4</f>
        <v>#N/A</v>
      </c>
      <c r="E607" s="912"/>
      <c r="F607" s="912"/>
      <c r="G607" s="905" t="s">
        <v>361</v>
      </c>
      <c r="H607" s="546" t="s">
        <v>362</v>
      </c>
      <c r="I607" s="910" t="e">
        <f>VLOOKUP(H605,'LƯƠNG KT'!$D$16:$AC$184,14,0)</f>
        <v>#N/A</v>
      </c>
      <c r="J607" s="609" t="e">
        <f>I607*$L$4</f>
        <v>#N/A</v>
      </c>
      <c r="K607" s="935"/>
      <c r="L607" s="935"/>
      <c r="M607" s="935"/>
      <c r="N607" s="935"/>
      <c r="O607" s="935"/>
    </row>
    <row r="608" spans="1:15" ht="15" customHeight="1">
      <c r="A608" s="905" t="s">
        <v>364</v>
      </c>
      <c r="B608" s="546" t="s">
        <v>365</v>
      </c>
      <c r="C608" s="910" t="e">
        <f>VLOOKUP(B605,'LƯƠNG KT'!$D$16:$AC$184,15,0)</f>
        <v>#N/A</v>
      </c>
      <c r="D608" s="609" t="e">
        <f>C608*$L$5</f>
        <v>#N/A</v>
      </c>
      <c r="E608" s="912"/>
      <c r="F608" s="912"/>
      <c r="G608" s="905" t="s">
        <v>364</v>
      </c>
      <c r="H608" s="546" t="s">
        <v>365</v>
      </c>
      <c r="I608" s="910" t="e">
        <f>VLOOKUP(H605,'LƯƠNG KT'!$D$16:$AC$184,15,0)</f>
        <v>#N/A</v>
      </c>
      <c r="J608" s="609" t="e">
        <f>I608*$L$5</f>
        <v>#N/A</v>
      </c>
      <c r="K608" s="935"/>
      <c r="L608" s="935"/>
      <c r="M608" s="935"/>
      <c r="N608" s="935"/>
      <c r="O608" s="935"/>
    </row>
    <row r="609" spans="1:15" ht="15" customHeight="1">
      <c r="A609" s="905" t="s">
        <v>367</v>
      </c>
      <c r="B609" s="546"/>
      <c r="C609" s="910" t="e">
        <f>VLOOKUP(B605,'LƯƠNG KT'!$D$16:$AC$184,16,0)</f>
        <v>#N/A</v>
      </c>
      <c r="D609" s="609" t="e">
        <f>+C609*$L$6</f>
        <v>#N/A</v>
      </c>
      <c r="E609" s="912"/>
      <c r="F609" s="912"/>
      <c r="G609" s="905" t="s">
        <v>367</v>
      </c>
      <c r="H609" s="546"/>
      <c r="I609" s="910" t="e">
        <f>VLOOKUP(H605,'LƯƠNG KT'!$D$16:$AC$184,16,0)</f>
        <v>#N/A</v>
      </c>
      <c r="J609" s="609" t="e">
        <f>+I609*$L$6</f>
        <v>#N/A</v>
      </c>
      <c r="K609" s="935"/>
      <c r="L609" s="935"/>
      <c r="M609" s="935"/>
      <c r="N609" s="935"/>
      <c r="O609" s="935"/>
    </row>
    <row r="610" spans="1:15" ht="15" customHeight="1">
      <c r="A610" s="905" t="s">
        <v>371</v>
      </c>
      <c r="B610" s="546" t="s">
        <v>372</v>
      </c>
      <c r="C610" s="910" t="e">
        <f>VLOOKUP(B605,'LƯƠNG KT'!$D$16:$AC$184,9,0)*$L$10</f>
        <v>#N/A</v>
      </c>
      <c r="D610" s="609" t="e">
        <f>+C610*0.5*3000</f>
        <v>#N/A</v>
      </c>
      <c r="E610" s="912"/>
      <c r="F610" s="912"/>
      <c r="G610" s="905" t="s">
        <v>371</v>
      </c>
      <c r="H610" s="546" t="s">
        <v>372</v>
      </c>
      <c r="I610" s="910" t="e">
        <f>VLOOKUP(H605,'LƯƠNG KT'!$D$16:$AC$184,9,0)*$L$10</f>
        <v>#N/A</v>
      </c>
      <c r="J610" s="609" t="e">
        <f>+I610*0.5*3000</f>
        <v>#N/A</v>
      </c>
      <c r="K610" s="935"/>
      <c r="L610" s="935"/>
      <c r="M610" s="935"/>
      <c r="N610" s="935"/>
      <c r="O610" s="935"/>
    </row>
    <row r="611" spans="1:15" ht="15" customHeight="1">
      <c r="A611" s="905" t="s">
        <v>374</v>
      </c>
      <c r="B611" s="546" t="s">
        <v>375</v>
      </c>
      <c r="C611" s="910" t="e">
        <f>VLOOKUP(B605,'LƯƠNG KT'!$D$16:$AC$184,8,0)*$L$11</f>
        <v>#N/A</v>
      </c>
      <c r="D611" s="609" t="e">
        <f>VLOOKUP(B605,'LƯƠNG KT'!$D$16:$AC$184,13,0)-D610</f>
        <v>#N/A</v>
      </c>
      <c r="E611" s="914"/>
      <c r="F611" s="912"/>
      <c r="G611" s="905" t="s">
        <v>374</v>
      </c>
      <c r="H611" s="546" t="s">
        <v>375</v>
      </c>
      <c r="I611" s="910" t="e">
        <f>VLOOKUP(H605,'LƯƠNG KT'!$D$16:$AC$184,8,0)*$L$11</f>
        <v>#N/A</v>
      </c>
      <c r="J611" s="609" t="e">
        <f>VLOOKUP(H605,'LƯƠNG KT'!$D$16:$AC$184,13,0)-J610</f>
        <v>#N/A</v>
      </c>
      <c r="K611" s="935"/>
      <c r="L611" s="935"/>
      <c r="M611" s="935"/>
      <c r="N611" s="935"/>
      <c r="O611" s="935"/>
    </row>
    <row r="612" spans="1:15" ht="15" customHeight="1">
      <c r="A612" s="609" t="s">
        <v>377</v>
      </c>
      <c r="B612" s="546" t="s">
        <v>378</v>
      </c>
      <c r="C612" s="910"/>
      <c r="D612" s="609"/>
      <c r="E612" s="916"/>
      <c r="F612" s="916"/>
      <c r="G612" s="609" t="s">
        <v>377</v>
      </c>
      <c r="H612" s="546" t="s">
        <v>378</v>
      </c>
      <c r="I612" s="910"/>
      <c r="J612" s="609"/>
    </row>
    <row r="613" spans="1:15" ht="15" customHeight="1">
      <c r="A613" s="547" t="s">
        <v>379</v>
      </c>
      <c r="B613" s="546" t="s">
        <v>380</v>
      </c>
      <c r="C613" s="910"/>
      <c r="D613" s="609">
        <f>14*25000</f>
        <v>350000</v>
      </c>
      <c r="E613" s="914"/>
      <c r="F613" s="916"/>
      <c r="G613" s="547" t="s">
        <v>379</v>
      </c>
      <c r="H613" s="546" t="s">
        <v>380</v>
      </c>
      <c r="I613" s="910"/>
      <c r="J613" s="609">
        <f>14*25000</f>
        <v>350000</v>
      </c>
    </row>
    <row r="614" spans="1:15" ht="15" customHeight="1">
      <c r="A614" s="905" t="s">
        <v>381</v>
      </c>
      <c r="B614" s="546" t="s">
        <v>382</v>
      </c>
      <c r="C614" s="910"/>
      <c r="D614" s="609">
        <f>D613</f>
        <v>350000</v>
      </c>
      <c r="E614" s="917"/>
      <c r="F614" s="904"/>
      <c r="G614" s="905" t="s">
        <v>381</v>
      </c>
      <c r="H614" s="546" t="s">
        <v>382</v>
      </c>
      <c r="I614" s="910"/>
      <c r="J614" s="609">
        <f>J613</f>
        <v>350000</v>
      </c>
    </row>
    <row r="615" spans="1:15" ht="15" customHeight="1">
      <c r="A615" s="918" t="s">
        <v>383</v>
      </c>
      <c r="B615" s="919" t="s">
        <v>384</v>
      </c>
      <c r="C615" s="920"/>
      <c r="D615" s="921" t="e">
        <f>SUM(D606:D611)-D614</f>
        <v>#N/A</v>
      </c>
      <c r="E615" s="922"/>
      <c r="F615" s="923"/>
      <c r="G615" s="918" t="s">
        <v>383</v>
      </c>
      <c r="H615" s="919" t="s">
        <v>384</v>
      </c>
      <c r="I615" s="920"/>
      <c r="J615" s="921" t="e">
        <f>SUM(J606:J611)-J614</f>
        <v>#N/A</v>
      </c>
    </row>
    <row r="616" spans="1:15" ht="18.75" customHeight="1">
      <c r="A616" s="924"/>
      <c r="B616" s="925"/>
      <c r="C616" s="926"/>
      <c r="D616" s="927"/>
      <c r="E616" s="927"/>
      <c r="F616" s="928"/>
      <c r="G616" s="924"/>
      <c r="H616" s="925"/>
      <c r="I616" s="926"/>
      <c r="J616" s="927"/>
    </row>
    <row r="617" spans="1:15" ht="18.75" customHeight="1">
      <c r="A617" s="925"/>
      <c r="B617" s="925"/>
      <c r="C617" s="929"/>
      <c r="D617" s="930"/>
      <c r="E617" s="925"/>
      <c r="F617" s="931"/>
      <c r="G617" s="925"/>
      <c r="H617" s="925"/>
      <c r="I617" s="929"/>
      <c r="J617" s="930"/>
    </row>
    <row r="618" spans="1:15" ht="15" customHeight="1">
      <c r="A618" s="2360" t="str">
        <f>$K$2</f>
        <v>THÁNG 09/2024</v>
      </c>
      <c r="B618" s="2360"/>
      <c r="C618" s="2360"/>
      <c r="D618" s="2360"/>
      <c r="E618" s="903"/>
      <c r="F618" s="904"/>
      <c r="G618" s="2360" t="str">
        <f>$K$2</f>
        <v>THÁNG 09/2024</v>
      </c>
      <c r="H618" s="2360"/>
      <c r="I618" s="2360"/>
      <c r="J618" s="2360"/>
      <c r="K618" s="276"/>
    </row>
    <row r="619" spans="1:15" ht="15" customHeight="1">
      <c r="A619" s="905" t="s">
        <v>356</v>
      </c>
      <c r="B619" s="642" t="s">
        <v>457</v>
      </c>
      <c r="C619" s="546"/>
      <c r="D619" s="902"/>
      <c r="E619" s="906"/>
      <c r="F619" s="907"/>
      <c r="G619" s="905" t="s">
        <v>356</v>
      </c>
      <c r="H619" s="642" t="s">
        <v>458</v>
      </c>
      <c r="I619" s="546"/>
      <c r="J619" s="902"/>
      <c r="L619" s="938"/>
      <c r="M619" s="938"/>
      <c r="N619" s="938"/>
      <c r="O619" s="938"/>
    </row>
    <row r="620" spans="1:15" ht="15" customHeight="1">
      <c r="A620" s="905" t="s">
        <v>359</v>
      </c>
      <c r="B620" s="939" t="s">
        <v>360</v>
      </c>
      <c r="C620" s="910" t="e">
        <f>VLOOKUP(B619,'LƯƠNG KT'!$D$16:$AC$184,3,0)</f>
        <v>#N/A</v>
      </c>
      <c r="D620" s="609" t="e">
        <f>+C620*25000</f>
        <v>#N/A</v>
      </c>
      <c r="E620" s="911"/>
      <c r="F620" s="911"/>
      <c r="G620" s="905" t="s">
        <v>359</v>
      </c>
      <c r="H620" s="939" t="s">
        <v>360</v>
      </c>
      <c r="I620" s="910" t="e">
        <f>VLOOKUP(H619,'LƯƠNG KT'!$D$16:$AC$184,3,0)</f>
        <v>#N/A</v>
      </c>
      <c r="J620" s="609" t="e">
        <f>+I620*25000</f>
        <v>#N/A</v>
      </c>
      <c r="K620" s="935"/>
      <c r="L620" s="935"/>
      <c r="M620" s="935"/>
      <c r="N620" s="935"/>
      <c r="O620" s="935"/>
    </row>
    <row r="621" spans="1:15" ht="15" customHeight="1">
      <c r="A621" s="905" t="s">
        <v>361</v>
      </c>
      <c r="B621" s="546" t="s">
        <v>362</v>
      </c>
      <c r="C621" s="910" t="e">
        <f>VLOOKUP(B619,'LƯƠNG KT'!$D$16:$AC$184,14,0)</f>
        <v>#N/A</v>
      </c>
      <c r="D621" s="609" t="e">
        <f>C621*$L$4</f>
        <v>#N/A</v>
      </c>
      <c r="E621" s="912"/>
      <c r="F621" s="912"/>
      <c r="G621" s="905" t="s">
        <v>361</v>
      </c>
      <c r="H621" s="546" t="s">
        <v>362</v>
      </c>
      <c r="I621" s="910" t="e">
        <f>VLOOKUP(H619,'LƯƠNG KT'!$D$16:$AC$184,14,0)</f>
        <v>#N/A</v>
      </c>
      <c r="J621" s="609" t="e">
        <f>I621*$L$4</f>
        <v>#N/A</v>
      </c>
      <c r="K621" s="935"/>
      <c r="L621" s="935"/>
      <c r="M621" s="935"/>
      <c r="N621" s="935"/>
      <c r="O621" s="935"/>
    </row>
    <row r="622" spans="1:15" ht="15" customHeight="1">
      <c r="A622" s="905" t="s">
        <v>364</v>
      </c>
      <c r="B622" s="546" t="s">
        <v>365</v>
      </c>
      <c r="C622" s="910" t="e">
        <f>VLOOKUP(B619,'LƯƠNG KT'!$D$16:$AC$184,15,0)</f>
        <v>#N/A</v>
      </c>
      <c r="D622" s="609" t="e">
        <f>C622*$L$5</f>
        <v>#N/A</v>
      </c>
      <c r="E622" s="912"/>
      <c r="F622" s="912"/>
      <c r="G622" s="905" t="s">
        <v>364</v>
      </c>
      <c r="H622" s="546" t="s">
        <v>365</v>
      </c>
      <c r="I622" s="910" t="e">
        <f>VLOOKUP(H619,'LƯƠNG KT'!$D$16:$AC$184,15,0)</f>
        <v>#N/A</v>
      </c>
      <c r="J622" s="609" t="e">
        <f>I622*$L$5</f>
        <v>#N/A</v>
      </c>
      <c r="K622" s="935"/>
      <c r="L622" s="935"/>
      <c r="M622" s="935"/>
      <c r="N622" s="935"/>
      <c r="O622" s="935"/>
    </row>
    <row r="623" spans="1:15" ht="15" customHeight="1">
      <c r="A623" s="905" t="s">
        <v>367</v>
      </c>
      <c r="B623" s="546"/>
      <c r="C623" s="910" t="e">
        <f>VLOOKUP(B619,'LƯƠNG KT'!$D$16:$AC$184,16,0)</f>
        <v>#N/A</v>
      </c>
      <c r="D623" s="609" t="e">
        <f>+C623*$L$6</f>
        <v>#N/A</v>
      </c>
      <c r="E623" s="912"/>
      <c r="F623" s="912"/>
      <c r="G623" s="905" t="s">
        <v>367</v>
      </c>
      <c r="H623" s="546"/>
      <c r="I623" s="910" t="e">
        <f>VLOOKUP(H619,'LƯƠNG KT'!$D$16:$AC$184,16,0)</f>
        <v>#N/A</v>
      </c>
      <c r="J623" s="609" t="e">
        <f>+I623*$L$6</f>
        <v>#N/A</v>
      </c>
      <c r="K623" s="935"/>
      <c r="L623" s="935"/>
      <c r="M623" s="935"/>
      <c r="N623" s="935"/>
      <c r="O623" s="935"/>
    </row>
    <row r="624" spans="1:15" ht="15" customHeight="1">
      <c r="A624" s="905" t="s">
        <v>371</v>
      </c>
      <c r="B624" s="546" t="s">
        <v>372</v>
      </c>
      <c r="C624" s="910" t="e">
        <f>VLOOKUP(B619,'LƯƠNG KT'!$D$16:$AC$184,9,0)*$L$10</f>
        <v>#N/A</v>
      </c>
      <c r="D624" s="609" t="e">
        <f>+C624*0.5*3000</f>
        <v>#N/A</v>
      </c>
      <c r="E624" s="912"/>
      <c r="F624" s="912"/>
      <c r="G624" s="905" t="s">
        <v>371</v>
      </c>
      <c r="H624" s="546" t="s">
        <v>372</v>
      </c>
      <c r="I624" s="910" t="e">
        <f>VLOOKUP(H619,'LƯƠNG KT'!$D$16:$AC$184,9,0)*$L$10</f>
        <v>#N/A</v>
      </c>
      <c r="J624" s="609" t="e">
        <f>+I624*0.5*3000</f>
        <v>#N/A</v>
      </c>
      <c r="K624" s="935"/>
      <c r="L624" s="935"/>
      <c r="M624" s="935"/>
      <c r="N624" s="935"/>
      <c r="O624" s="935"/>
    </row>
    <row r="625" spans="1:15" ht="15" customHeight="1">
      <c r="A625" s="905" t="s">
        <v>374</v>
      </c>
      <c r="B625" s="546" t="s">
        <v>375</v>
      </c>
      <c r="C625" s="910" t="e">
        <f>VLOOKUP(B619,'LƯƠNG KT'!$D$16:$AC$184,8,0)*$L$11</f>
        <v>#N/A</v>
      </c>
      <c r="D625" s="609" t="e">
        <f>VLOOKUP(B619,'LƯƠNG KT'!$D$16:$AC$184,13,0)-D624</f>
        <v>#N/A</v>
      </c>
      <c r="E625" s="914"/>
      <c r="F625" s="912"/>
      <c r="G625" s="905" t="s">
        <v>374</v>
      </c>
      <c r="H625" s="546" t="s">
        <v>375</v>
      </c>
      <c r="I625" s="910" t="e">
        <f>VLOOKUP(H619,'LƯƠNG KT'!$D$16:$AC$184,8,0)*$L$11</f>
        <v>#N/A</v>
      </c>
      <c r="J625" s="609" t="e">
        <f>VLOOKUP(H619,'LƯƠNG KT'!$D$16:$AC$184,13,0)-J624</f>
        <v>#N/A</v>
      </c>
      <c r="K625" s="935"/>
      <c r="L625" s="935"/>
      <c r="M625" s="935"/>
      <c r="N625" s="935"/>
      <c r="O625" s="935"/>
    </row>
    <row r="626" spans="1:15" ht="15" customHeight="1">
      <c r="A626" s="609" t="s">
        <v>377</v>
      </c>
      <c r="B626" s="546" t="s">
        <v>378</v>
      </c>
      <c r="C626" s="910"/>
      <c r="D626" s="609"/>
      <c r="E626" s="916"/>
      <c r="F626" s="916"/>
      <c r="G626" s="609" t="s">
        <v>377</v>
      </c>
      <c r="H626" s="546" t="s">
        <v>378</v>
      </c>
      <c r="I626" s="910"/>
      <c r="J626" s="609"/>
    </row>
    <row r="627" spans="1:15" ht="15" customHeight="1">
      <c r="A627" s="547" t="s">
        <v>379</v>
      </c>
      <c r="B627" s="546" t="s">
        <v>380</v>
      </c>
      <c r="C627" s="910"/>
      <c r="D627" s="609">
        <f>14*25000</f>
        <v>350000</v>
      </c>
      <c r="E627" s="914"/>
      <c r="F627" s="916"/>
      <c r="G627" s="547" t="s">
        <v>379</v>
      </c>
      <c r="H627" s="546" t="s">
        <v>380</v>
      </c>
      <c r="I627" s="910"/>
      <c r="J627" s="609">
        <f>14*25000</f>
        <v>350000</v>
      </c>
    </row>
    <row r="628" spans="1:15" ht="15" customHeight="1">
      <c r="A628" s="905" t="s">
        <v>381</v>
      </c>
      <c r="B628" s="546" t="s">
        <v>382</v>
      </c>
      <c r="C628" s="910"/>
      <c r="D628" s="609">
        <f>D627</f>
        <v>350000</v>
      </c>
      <c r="E628" s="917"/>
      <c r="F628" s="904"/>
      <c r="G628" s="905" t="s">
        <v>381</v>
      </c>
      <c r="H628" s="546" t="s">
        <v>382</v>
      </c>
      <c r="I628" s="910"/>
      <c r="J628" s="609">
        <f>J627</f>
        <v>350000</v>
      </c>
    </row>
    <row r="629" spans="1:15" ht="15" customHeight="1">
      <c r="A629" s="918" t="s">
        <v>383</v>
      </c>
      <c r="B629" s="919" t="s">
        <v>384</v>
      </c>
      <c r="C629" s="920"/>
      <c r="D629" s="921" t="e">
        <f>SUM(D620:D625)-D628</f>
        <v>#N/A</v>
      </c>
      <c r="E629" s="922"/>
      <c r="F629" s="923"/>
      <c r="G629" s="918" t="s">
        <v>383</v>
      </c>
      <c r="H629" s="919" t="s">
        <v>384</v>
      </c>
      <c r="I629" s="920"/>
      <c r="J629" s="921" t="e">
        <f>SUM(J620:J625)-J628</f>
        <v>#N/A</v>
      </c>
    </row>
    <row r="630" spans="1:15" ht="18.75" customHeight="1">
      <c r="A630" s="924"/>
      <c r="B630" s="925"/>
      <c r="C630" s="926"/>
      <c r="D630" s="927"/>
      <c r="E630" s="927"/>
      <c r="F630" s="928"/>
      <c r="G630" s="924"/>
      <c r="H630" s="925"/>
      <c r="I630" s="926"/>
      <c r="J630" s="927"/>
    </row>
    <row r="631" spans="1:15" ht="18.75" customHeight="1">
      <c r="A631" s="925"/>
      <c r="B631" s="925"/>
      <c r="C631" s="929"/>
      <c r="D631" s="930"/>
      <c r="E631" s="925"/>
      <c r="F631" s="931"/>
      <c r="G631" s="925"/>
      <c r="H631" s="925"/>
      <c r="I631" s="929"/>
      <c r="J631" s="930"/>
    </row>
    <row r="632" spans="1:15" ht="15" customHeight="1">
      <c r="A632" s="2360" t="str">
        <f>$K$2</f>
        <v>THÁNG 09/2024</v>
      </c>
      <c r="B632" s="2360"/>
      <c r="C632" s="2360"/>
      <c r="D632" s="2360"/>
      <c r="E632" s="903"/>
      <c r="F632" s="904"/>
      <c r="G632" s="2360" t="str">
        <f>$K$2</f>
        <v>THÁNG 09/2024</v>
      </c>
      <c r="H632" s="2360"/>
      <c r="I632" s="2360"/>
      <c r="J632" s="2360"/>
      <c r="K632" s="276"/>
    </row>
    <row r="633" spans="1:15" ht="15" customHeight="1">
      <c r="A633" s="905" t="s">
        <v>356</v>
      </c>
      <c r="B633" s="642" t="s">
        <v>459</v>
      </c>
      <c r="C633" s="546"/>
      <c r="D633" s="902"/>
      <c r="E633" s="906"/>
      <c r="F633" s="907"/>
      <c r="G633" s="905" t="s">
        <v>356</v>
      </c>
      <c r="H633" s="642" t="s">
        <v>460</v>
      </c>
      <c r="I633" s="546"/>
      <c r="J633" s="902"/>
      <c r="L633" s="938"/>
      <c r="M633" s="938"/>
      <c r="N633" s="938"/>
      <c r="O633" s="938"/>
    </row>
    <row r="634" spans="1:15" ht="15" customHeight="1">
      <c r="A634" s="905" t="s">
        <v>359</v>
      </c>
      <c r="B634" s="939" t="s">
        <v>360</v>
      </c>
      <c r="C634" s="910" t="e">
        <f>VLOOKUP(B633,'LƯƠNG KT'!$D$16:$AC$184,3,0)</f>
        <v>#N/A</v>
      </c>
      <c r="D634" s="609" t="e">
        <f>+C634*25000</f>
        <v>#N/A</v>
      </c>
      <c r="E634" s="911"/>
      <c r="F634" s="911"/>
      <c r="G634" s="905" t="s">
        <v>359</v>
      </c>
      <c r="H634" s="939" t="s">
        <v>360</v>
      </c>
      <c r="I634" s="910" t="e">
        <f>VLOOKUP(H633,'LƯƠNG KT'!$D$16:$AC$184,3,0)</f>
        <v>#N/A</v>
      </c>
      <c r="J634" s="609" t="e">
        <f>+I634*25000</f>
        <v>#N/A</v>
      </c>
      <c r="K634" s="935"/>
      <c r="L634" s="935"/>
      <c r="M634" s="935"/>
      <c r="N634" s="935"/>
      <c r="O634" s="935"/>
    </row>
    <row r="635" spans="1:15" ht="15" customHeight="1">
      <c r="A635" s="905" t="s">
        <v>361</v>
      </c>
      <c r="B635" s="546" t="s">
        <v>362</v>
      </c>
      <c r="C635" s="910" t="e">
        <f>VLOOKUP(B633,'LƯƠNG KT'!$D$16:$AC$184,14,0)</f>
        <v>#N/A</v>
      </c>
      <c r="D635" s="609" t="e">
        <f>C635*$L$4</f>
        <v>#N/A</v>
      </c>
      <c r="E635" s="912"/>
      <c r="F635" s="912"/>
      <c r="G635" s="905" t="s">
        <v>361</v>
      </c>
      <c r="H635" s="546" t="s">
        <v>362</v>
      </c>
      <c r="I635" s="910" t="e">
        <f>VLOOKUP(H633,'LƯƠNG KT'!$D$16:$AC$184,14,0)</f>
        <v>#N/A</v>
      </c>
      <c r="J635" s="609" t="e">
        <f>I635*$L$4</f>
        <v>#N/A</v>
      </c>
      <c r="K635" s="935"/>
      <c r="L635" s="935"/>
      <c r="M635" s="935"/>
      <c r="N635" s="935"/>
      <c r="O635" s="935"/>
    </row>
    <row r="636" spans="1:15" ht="15" customHeight="1">
      <c r="A636" s="905" t="s">
        <v>364</v>
      </c>
      <c r="B636" s="546" t="s">
        <v>365</v>
      </c>
      <c r="C636" s="910" t="e">
        <f>VLOOKUP(B633,'LƯƠNG KT'!$D$16:$AC$184,15,0)</f>
        <v>#N/A</v>
      </c>
      <c r="D636" s="609" t="e">
        <f>C636*$L$5</f>
        <v>#N/A</v>
      </c>
      <c r="E636" s="912"/>
      <c r="F636" s="912"/>
      <c r="G636" s="905" t="s">
        <v>364</v>
      </c>
      <c r="H636" s="546" t="s">
        <v>365</v>
      </c>
      <c r="I636" s="910" t="e">
        <f>VLOOKUP(H633,'LƯƠNG KT'!$D$16:$AC$184,15,0)</f>
        <v>#N/A</v>
      </c>
      <c r="J636" s="609" t="e">
        <f>I636*$L$5</f>
        <v>#N/A</v>
      </c>
      <c r="K636" s="935"/>
      <c r="L636" s="935"/>
      <c r="M636" s="935"/>
      <c r="N636" s="935"/>
      <c r="O636" s="935"/>
    </row>
    <row r="637" spans="1:15" ht="15" customHeight="1">
      <c r="A637" s="905" t="s">
        <v>367</v>
      </c>
      <c r="B637" s="546"/>
      <c r="C637" s="910" t="e">
        <f>VLOOKUP(B633,'LƯƠNG KT'!$D$16:$AC$184,16,0)</f>
        <v>#N/A</v>
      </c>
      <c r="D637" s="609" t="e">
        <f>+C637*$L$6</f>
        <v>#N/A</v>
      </c>
      <c r="E637" s="912"/>
      <c r="F637" s="912"/>
      <c r="G637" s="905" t="s">
        <v>367</v>
      </c>
      <c r="H637" s="546"/>
      <c r="I637" s="910" t="e">
        <f>VLOOKUP(H633,'LƯƠNG KT'!$D$16:$AC$184,16,0)</f>
        <v>#N/A</v>
      </c>
      <c r="J637" s="609" t="e">
        <f>+I637*$L$6</f>
        <v>#N/A</v>
      </c>
      <c r="K637" s="935"/>
      <c r="L637" s="935"/>
      <c r="M637" s="935"/>
      <c r="N637" s="935"/>
      <c r="O637" s="935"/>
    </row>
    <row r="638" spans="1:15" ht="15" customHeight="1">
      <c r="A638" s="905" t="s">
        <v>371</v>
      </c>
      <c r="B638" s="546" t="s">
        <v>372</v>
      </c>
      <c r="C638" s="910" t="e">
        <f>VLOOKUP(B633,'LƯƠNG KT'!$D$16:$AC$184,9,0)*$L$10</f>
        <v>#N/A</v>
      </c>
      <c r="D638" s="609" t="e">
        <f>+C638*0.5*3000</f>
        <v>#N/A</v>
      </c>
      <c r="E638" s="912"/>
      <c r="F638" s="912"/>
      <c r="G638" s="905" t="s">
        <v>371</v>
      </c>
      <c r="H638" s="546" t="s">
        <v>372</v>
      </c>
      <c r="I638" s="910" t="e">
        <f>VLOOKUP(H633,'LƯƠNG KT'!$D$16:$AC$184,9,0)*$L$10</f>
        <v>#N/A</v>
      </c>
      <c r="J638" s="609" t="e">
        <f>+I638*0.5*3000</f>
        <v>#N/A</v>
      </c>
      <c r="K638" s="935"/>
      <c r="L638" s="935"/>
      <c r="M638" s="935"/>
      <c r="N638" s="935"/>
      <c r="O638" s="935"/>
    </row>
    <row r="639" spans="1:15" ht="15" customHeight="1">
      <c r="A639" s="905" t="s">
        <v>374</v>
      </c>
      <c r="B639" s="546" t="s">
        <v>375</v>
      </c>
      <c r="C639" s="910" t="e">
        <f>VLOOKUP(B633,'LƯƠNG KT'!$D$16:$AC$184,8,0)*$L$11</f>
        <v>#N/A</v>
      </c>
      <c r="D639" s="609" t="e">
        <f>VLOOKUP(B633,'LƯƠNG KT'!$D$16:$AC$184,13,0)-D638</f>
        <v>#N/A</v>
      </c>
      <c r="E639" s="914"/>
      <c r="F639" s="912"/>
      <c r="G639" s="905" t="s">
        <v>374</v>
      </c>
      <c r="H639" s="546" t="s">
        <v>375</v>
      </c>
      <c r="I639" s="910" t="e">
        <f>VLOOKUP(H633,'LƯƠNG KT'!$D$16:$AC$184,8,0)*$L$11</f>
        <v>#N/A</v>
      </c>
      <c r="J639" s="609" t="e">
        <f>VLOOKUP(H633,'LƯƠNG KT'!$D$16:$AC$184,13,0)-J638</f>
        <v>#N/A</v>
      </c>
      <c r="K639" s="935"/>
      <c r="L639" s="935"/>
      <c r="M639" s="935"/>
      <c r="N639" s="935"/>
      <c r="O639" s="935"/>
    </row>
    <row r="640" spans="1:15" ht="15" customHeight="1">
      <c r="A640" s="609" t="s">
        <v>377</v>
      </c>
      <c r="B640" s="546" t="s">
        <v>378</v>
      </c>
      <c r="C640" s="910"/>
      <c r="D640" s="609"/>
      <c r="E640" s="916"/>
      <c r="F640" s="916"/>
      <c r="G640" s="609" t="s">
        <v>377</v>
      </c>
      <c r="H640" s="546" t="s">
        <v>378</v>
      </c>
      <c r="I640" s="910"/>
      <c r="J640" s="609"/>
    </row>
    <row r="641" spans="1:15" ht="15" customHeight="1">
      <c r="A641" s="547" t="s">
        <v>379</v>
      </c>
      <c r="B641" s="546" t="s">
        <v>380</v>
      </c>
      <c r="C641" s="910"/>
      <c r="D641" s="609">
        <f>14*25000</f>
        <v>350000</v>
      </c>
      <c r="E641" s="914"/>
      <c r="F641" s="916"/>
      <c r="G641" s="547" t="s">
        <v>379</v>
      </c>
      <c r="H641" s="546" t="s">
        <v>380</v>
      </c>
      <c r="I641" s="910"/>
      <c r="J641" s="609">
        <f>14*25000</f>
        <v>350000</v>
      </c>
    </row>
    <row r="642" spans="1:15" ht="15" customHeight="1">
      <c r="A642" s="905" t="s">
        <v>381</v>
      </c>
      <c r="B642" s="546" t="s">
        <v>382</v>
      </c>
      <c r="C642" s="910"/>
      <c r="D642" s="609">
        <f>D641</f>
        <v>350000</v>
      </c>
      <c r="E642" s="917"/>
      <c r="F642" s="904"/>
      <c r="G642" s="905" t="s">
        <v>381</v>
      </c>
      <c r="H642" s="546" t="s">
        <v>382</v>
      </c>
      <c r="I642" s="910"/>
      <c r="J642" s="609">
        <f>J641</f>
        <v>350000</v>
      </c>
    </row>
    <row r="643" spans="1:15" ht="15" customHeight="1">
      <c r="A643" s="918" t="s">
        <v>383</v>
      </c>
      <c r="B643" s="919" t="s">
        <v>384</v>
      </c>
      <c r="C643" s="920"/>
      <c r="D643" s="921" t="e">
        <f>SUM(D634:D639)-D642</f>
        <v>#N/A</v>
      </c>
      <c r="E643" s="922"/>
      <c r="F643" s="923"/>
      <c r="G643" s="918" t="s">
        <v>383</v>
      </c>
      <c r="H643" s="919" t="s">
        <v>384</v>
      </c>
      <c r="I643" s="920"/>
      <c r="J643" s="921" t="e">
        <f>SUM(J634:J639)-J642</f>
        <v>#N/A</v>
      </c>
    </row>
    <row r="644" spans="1:15" ht="15.75" customHeight="1">
      <c r="A644" s="924"/>
      <c r="B644" s="925"/>
      <c r="C644" s="926"/>
      <c r="D644" s="927"/>
      <c r="E644" s="927"/>
      <c r="F644" s="928"/>
      <c r="G644" s="924"/>
      <c r="H644" s="925"/>
      <c r="I644" s="926"/>
      <c r="J644" s="927"/>
    </row>
    <row r="646" spans="1:15" ht="12" customHeight="1">
      <c r="A646" s="2361"/>
      <c r="B646" s="2361"/>
      <c r="C646" s="2361"/>
      <c r="D646" s="2361"/>
      <c r="E646" s="2361"/>
      <c r="F646" s="2361"/>
      <c r="G646" s="2361"/>
      <c r="H646" s="2361"/>
      <c r="I646" s="2361"/>
      <c r="J646" s="2361"/>
    </row>
    <row r="647" spans="1:15" ht="15" customHeight="1">
      <c r="A647" s="2360" t="str">
        <f>$K$2</f>
        <v>THÁNG 09/2024</v>
      </c>
      <c r="B647" s="2360"/>
      <c r="C647" s="2360"/>
      <c r="D647" s="2360"/>
      <c r="E647" s="903"/>
      <c r="F647" s="904"/>
      <c r="G647" s="2360" t="str">
        <f>$K$2</f>
        <v>THÁNG 09/2024</v>
      </c>
      <c r="H647" s="2360"/>
      <c r="I647" s="2360"/>
      <c r="J647" s="2360"/>
      <c r="K647" s="276"/>
    </row>
    <row r="648" spans="1:15" ht="15" customHeight="1">
      <c r="A648" s="905" t="s">
        <v>356</v>
      </c>
      <c r="B648" s="642" t="s">
        <v>461</v>
      </c>
      <c r="C648" s="546"/>
      <c r="D648" s="902"/>
      <c r="E648" s="906"/>
      <c r="F648" s="907"/>
      <c r="G648" s="905" t="s">
        <v>356</v>
      </c>
      <c r="H648" s="642" t="s">
        <v>462</v>
      </c>
      <c r="I648" s="546"/>
      <c r="J648" s="902"/>
      <c r="L648" s="938"/>
      <c r="M648" s="938"/>
      <c r="N648" s="938"/>
      <c r="O648" s="938"/>
    </row>
    <row r="649" spans="1:15" ht="15" customHeight="1">
      <c r="A649" s="905" t="s">
        <v>359</v>
      </c>
      <c r="B649" s="939" t="s">
        <v>360</v>
      </c>
      <c r="C649" s="910" t="e">
        <f>VLOOKUP(B648,'LƯƠNG KT'!$D$16:$AC$184,3,0)</f>
        <v>#N/A</v>
      </c>
      <c r="D649" s="609" t="e">
        <f>+C649*25000</f>
        <v>#N/A</v>
      </c>
      <c r="E649" s="911"/>
      <c r="F649" s="911"/>
      <c r="G649" s="905" t="s">
        <v>359</v>
      </c>
      <c r="H649" s="939" t="s">
        <v>360</v>
      </c>
      <c r="I649" s="910" t="e">
        <f>VLOOKUP(H648,'LƯƠNG KT'!$D$16:$AC$184,3,0)</f>
        <v>#N/A</v>
      </c>
      <c r="J649" s="609" t="e">
        <f>+I649*25000</f>
        <v>#N/A</v>
      </c>
      <c r="K649" s="934"/>
      <c r="L649" s="935"/>
      <c r="M649" s="935"/>
      <c r="N649" s="935"/>
      <c r="O649" s="935"/>
    </row>
    <row r="650" spans="1:15" ht="15" customHeight="1">
      <c r="A650" s="905" t="s">
        <v>361</v>
      </c>
      <c r="B650" s="546" t="s">
        <v>362</v>
      </c>
      <c r="C650" s="910" t="e">
        <f>VLOOKUP(B648,'LƯƠNG KT'!$D$16:$AC$184,14,0)</f>
        <v>#N/A</v>
      </c>
      <c r="D650" s="609" t="e">
        <f>C650*$L$4</f>
        <v>#N/A</v>
      </c>
      <c r="E650" s="912"/>
      <c r="F650" s="912"/>
      <c r="G650" s="905" t="s">
        <v>361</v>
      </c>
      <c r="H650" s="546" t="s">
        <v>362</v>
      </c>
      <c r="I650" s="910" t="e">
        <f>VLOOKUP(H648,'LƯƠNG KT'!$D$16:$AC$184,14,0)</f>
        <v>#N/A</v>
      </c>
      <c r="J650" s="609" t="e">
        <f>I650*$L$4</f>
        <v>#N/A</v>
      </c>
      <c r="K650" s="934"/>
      <c r="L650" s="935"/>
      <c r="M650" s="935"/>
      <c r="N650" s="935"/>
      <c r="O650" s="935"/>
    </row>
    <row r="651" spans="1:15" ht="15" customHeight="1">
      <c r="A651" s="905" t="s">
        <v>364</v>
      </c>
      <c r="B651" s="546" t="s">
        <v>365</v>
      </c>
      <c r="C651" s="910" t="e">
        <f>VLOOKUP(B648,'LƯƠNG KT'!$D$16:$AC$184,15,0)</f>
        <v>#N/A</v>
      </c>
      <c r="D651" s="609" t="e">
        <f>C651*$L$5</f>
        <v>#N/A</v>
      </c>
      <c r="E651" s="912"/>
      <c r="F651" s="912"/>
      <c r="G651" s="905" t="s">
        <v>364</v>
      </c>
      <c r="H651" s="546" t="s">
        <v>365</v>
      </c>
      <c r="I651" s="910" t="e">
        <f>VLOOKUP(H648,'LƯƠNG KT'!$D$16:$AC$184,15,0)</f>
        <v>#N/A</v>
      </c>
      <c r="J651" s="609" t="e">
        <f>I651*$L$5</f>
        <v>#N/A</v>
      </c>
      <c r="K651" s="934"/>
      <c r="L651" s="935"/>
      <c r="M651" s="935"/>
      <c r="N651" s="935"/>
      <c r="O651" s="935"/>
    </row>
    <row r="652" spans="1:15" ht="15" customHeight="1">
      <c r="A652" s="905" t="s">
        <v>367</v>
      </c>
      <c r="B652" s="546"/>
      <c r="C652" s="910" t="e">
        <f>VLOOKUP(B648,'LƯƠNG KT'!$D$16:$AC$184,16,0)</f>
        <v>#N/A</v>
      </c>
      <c r="D652" s="609" t="e">
        <f>+C652*$L$6</f>
        <v>#N/A</v>
      </c>
      <c r="E652" s="912"/>
      <c r="F652" s="912"/>
      <c r="G652" s="905" t="s">
        <v>367</v>
      </c>
      <c r="H652" s="546"/>
      <c r="I652" s="910" t="e">
        <f>VLOOKUP(H648,'LƯƠNG KT'!$D$16:$AC$184,16,0)</f>
        <v>#N/A</v>
      </c>
      <c r="J652" s="609" t="e">
        <f>+I652*$L$6</f>
        <v>#N/A</v>
      </c>
      <c r="K652" s="935"/>
      <c r="L652" s="935"/>
      <c r="M652" s="935"/>
      <c r="N652" s="935"/>
      <c r="O652" s="935"/>
    </row>
    <row r="653" spans="1:15" ht="15" customHeight="1">
      <c r="A653" s="905" t="s">
        <v>371</v>
      </c>
      <c r="B653" s="546" t="s">
        <v>372</v>
      </c>
      <c r="C653" s="910" t="e">
        <f>VLOOKUP(B648,'LƯƠNG KT'!$D$16:$AC$184,9,0)*$L$10</f>
        <v>#N/A</v>
      </c>
      <c r="D653" s="609" t="e">
        <f>+C653*0.5*3000</f>
        <v>#N/A</v>
      </c>
      <c r="E653" s="912"/>
      <c r="F653" s="912"/>
      <c r="G653" s="905" t="s">
        <v>371</v>
      </c>
      <c r="H653" s="546" t="s">
        <v>372</v>
      </c>
      <c r="I653" s="910" t="e">
        <f>VLOOKUP(H648,'LƯƠNG KT'!$D$16:$AC$184,9,0)*$L$10</f>
        <v>#N/A</v>
      </c>
      <c r="J653" s="609" t="e">
        <f>+I653*0.5*3000</f>
        <v>#N/A</v>
      </c>
      <c r="K653" s="935"/>
      <c r="L653" s="935"/>
      <c r="M653" s="935"/>
      <c r="N653" s="935"/>
      <c r="O653" s="935"/>
    </row>
    <row r="654" spans="1:15" ht="15" customHeight="1">
      <c r="A654" s="905" t="s">
        <v>374</v>
      </c>
      <c r="B654" s="546" t="s">
        <v>375</v>
      </c>
      <c r="C654" s="910" t="e">
        <f>VLOOKUP(B648,'LƯƠNG KT'!$D$16:$AC$184,8,0)*$L$11</f>
        <v>#N/A</v>
      </c>
      <c r="D654" s="609" t="e">
        <f>VLOOKUP(B648,'LƯƠNG KT'!$D$16:$AC$184,13,0)-D653</f>
        <v>#N/A</v>
      </c>
      <c r="E654" s="914"/>
      <c r="F654" s="912"/>
      <c r="G654" s="905" t="s">
        <v>374</v>
      </c>
      <c r="H654" s="546" t="s">
        <v>375</v>
      </c>
      <c r="I654" s="910" t="e">
        <f>VLOOKUP(H648,'LƯƠNG KT'!$D$16:$AC$184,8,0)*$L$11</f>
        <v>#N/A</v>
      </c>
      <c r="J654" s="609" t="e">
        <f>VLOOKUP(H648,'LƯƠNG KT'!$D$16:$AC$184,13,0)-J653</f>
        <v>#N/A</v>
      </c>
      <c r="K654" s="935"/>
      <c r="L654" s="935"/>
      <c r="M654" s="935"/>
      <c r="N654" s="935"/>
      <c r="O654" s="935"/>
    </row>
    <row r="655" spans="1:15" ht="15" customHeight="1">
      <c r="A655" s="609" t="s">
        <v>377</v>
      </c>
      <c r="B655" s="546" t="s">
        <v>378</v>
      </c>
      <c r="C655" s="910"/>
      <c r="D655" s="609"/>
      <c r="E655" s="916"/>
      <c r="F655" s="916"/>
      <c r="G655" s="609" t="s">
        <v>377</v>
      </c>
      <c r="H655" s="546" t="s">
        <v>378</v>
      </c>
      <c r="I655" s="910"/>
      <c r="J655" s="609"/>
    </row>
    <row r="656" spans="1:15" ht="15" customHeight="1">
      <c r="A656" s="547" t="s">
        <v>379</v>
      </c>
      <c r="B656" s="546" t="s">
        <v>380</v>
      </c>
      <c r="C656" s="910"/>
      <c r="D656" s="609">
        <f>14*25000</f>
        <v>350000</v>
      </c>
      <c r="E656" s="914"/>
      <c r="F656" s="916"/>
      <c r="G656" s="547" t="s">
        <v>379</v>
      </c>
      <c r="H656" s="546" t="s">
        <v>380</v>
      </c>
      <c r="I656" s="910"/>
      <c r="J656" s="609">
        <f>14*25000</f>
        <v>350000</v>
      </c>
    </row>
    <row r="657" spans="1:15" ht="15" customHeight="1">
      <c r="A657" s="905" t="s">
        <v>381</v>
      </c>
      <c r="B657" s="546" t="s">
        <v>382</v>
      </c>
      <c r="C657" s="910"/>
      <c r="D657" s="609">
        <f>D656</f>
        <v>350000</v>
      </c>
      <c r="E657" s="917"/>
      <c r="F657" s="904"/>
      <c r="G657" s="905" t="s">
        <v>381</v>
      </c>
      <c r="H657" s="546" t="s">
        <v>382</v>
      </c>
      <c r="I657" s="910"/>
      <c r="J657" s="609">
        <f>J656</f>
        <v>350000</v>
      </c>
    </row>
    <row r="658" spans="1:15" ht="15" customHeight="1">
      <c r="A658" s="918" t="s">
        <v>383</v>
      </c>
      <c r="B658" s="919" t="s">
        <v>384</v>
      </c>
      <c r="C658" s="920"/>
      <c r="D658" s="921" t="e">
        <f>SUM(D649:D654)-D657</f>
        <v>#N/A</v>
      </c>
      <c r="E658" s="922"/>
      <c r="F658" s="923"/>
      <c r="G658" s="918" t="s">
        <v>383</v>
      </c>
      <c r="H658" s="919" t="s">
        <v>384</v>
      </c>
      <c r="I658" s="920"/>
      <c r="J658" s="921" t="e">
        <f>SUM(J649:J654)-J657</f>
        <v>#N/A</v>
      </c>
    </row>
    <row r="659" spans="1:15" ht="12.6" customHeight="1">
      <c r="A659" s="924"/>
      <c r="B659" s="925"/>
      <c r="C659" s="926"/>
      <c r="D659" s="927"/>
      <c r="E659" s="927"/>
      <c r="F659" s="928"/>
      <c r="G659" s="924"/>
      <c r="H659" s="925"/>
      <c r="I659" s="926"/>
      <c r="J659" s="927"/>
    </row>
    <row r="660" spans="1:15" ht="12.6" customHeight="1">
      <c r="A660" s="925"/>
      <c r="B660" s="925"/>
      <c r="C660" s="929"/>
      <c r="D660" s="930"/>
      <c r="E660" s="925"/>
      <c r="F660" s="931"/>
      <c r="G660" s="925"/>
      <c r="H660" s="925"/>
      <c r="I660" s="929"/>
      <c r="J660" s="930"/>
    </row>
    <row r="661" spans="1:15" ht="15" customHeight="1">
      <c r="A661" s="2360" t="str">
        <f>$K$2</f>
        <v>THÁNG 09/2024</v>
      </c>
      <c r="B661" s="2360"/>
      <c r="C661" s="2360"/>
      <c r="D661" s="2360"/>
      <c r="E661" s="903"/>
      <c r="F661" s="904"/>
      <c r="G661" s="2360" t="str">
        <f>$K$2</f>
        <v>THÁNG 09/2024</v>
      </c>
      <c r="H661" s="2360"/>
      <c r="I661" s="2360"/>
      <c r="J661" s="2360"/>
      <c r="K661" s="276"/>
    </row>
    <row r="662" spans="1:15" ht="15" customHeight="1">
      <c r="A662" s="905" t="s">
        <v>356</v>
      </c>
      <c r="B662" s="642" t="s">
        <v>463</v>
      </c>
      <c r="C662" s="546"/>
      <c r="D662" s="902"/>
      <c r="E662" s="906"/>
      <c r="F662" s="907"/>
      <c r="G662" s="905" t="s">
        <v>356</v>
      </c>
      <c r="H662" s="642" t="s">
        <v>464</v>
      </c>
      <c r="I662" s="546"/>
      <c r="J662" s="902"/>
      <c r="L662" s="938"/>
      <c r="M662" s="938"/>
      <c r="N662" s="938"/>
      <c r="O662" s="938"/>
    </row>
    <row r="663" spans="1:15" ht="15" customHeight="1">
      <c r="A663" s="905" t="s">
        <v>359</v>
      </c>
      <c r="B663" s="939" t="s">
        <v>360</v>
      </c>
      <c r="C663" s="910" t="e">
        <f>VLOOKUP(B662,'LƯƠNG KT'!$D$16:$AC$184,3,0)</f>
        <v>#N/A</v>
      </c>
      <c r="D663" s="609" t="e">
        <f>+C663*25000</f>
        <v>#N/A</v>
      </c>
      <c r="E663" s="911"/>
      <c r="F663" s="911"/>
      <c r="G663" s="905" t="s">
        <v>359</v>
      </c>
      <c r="H663" s="939" t="s">
        <v>360</v>
      </c>
      <c r="I663" s="910" t="e">
        <f>VLOOKUP(H662,'LƯƠNG KT'!$D$16:$AC$184,3,0)</f>
        <v>#N/A</v>
      </c>
      <c r="J663" s="609" t="e">
        <f>+I663*25000</f>
        <v>#N/A</v>
      </c>
      <c r="K663" s="935"/>
      <c r="L663" s="935"/>
      <c r="M663" s="935"/>
      <c r="N663" s="935"/>
      <c r="O663" s="935"/>
    </row>
    <row r="664" spans="1:15" ht="15" customHeight="1">
      <c r="A664" s="905" t="s">
        <v>361</v>
      </c>
      <c r="B664" s="546" t="s">
        <v>362</v>
      </c>
      <c r="C664" s="910" t="e">
        <f>VLOOKUP(B662,'LƯƠNG KT'!$D$16:$AC$184,14,0)</f>
        <v>#N/A</v>
      </c>
      <c r="D664" s="609" t="e">
        <f>C664*$L$4</f>
        <v>#N/A</v>
      </c>
      <c r="E664" s="912"/>
      <c r="F664" s="912"/>
      <c r="G664" s="905" t="s">
        <v>361</v>
      </c>
      <c r="H664" s="546" t="s">
        <v>362</v>
      </c>
      <c r="I664" s="910" t="e">
        <f>VLOOKUP(H662,'LƯƠNG KT'!$D$16:$AC$184,14,0)</f>
        <v>#N/A</v>
      </c>
      <c r="J664" s="609" t="e">
        <f>I664*$L$4</f>
        <v>#N/A</v>
      </c>
      <c r="K664" s="935"/>
      <c r="L664" s="935"/>
      <c r="M664" s="935"/>
      <c r="N664" s="935"/>
      <c r="O664" s="935"/>
    </row>
    <row r="665" spans="1:15" ht="15" customHeight="1">
      <c r="A665" s="905" t="s">
        <v>364</v>
      </c>
      <c r="B665" s="546" t="s">
        <v>365</v>
      </c>
      <c r="C665" s="910" t="e">
        <f>VLOOKUP(B662,'LƯƠNG KT'!$D$16:$AC$184,15,0)</f>
        <v>#N/A</v>
      </c>
      <c r="D665" s="609" t="e">
        <f>C665*$L$5</f>
        <v>#N/A</v>
      </c>
      <c r="E665" s="912"/>
      <c r="F665" s="912"/>
      <c r="G665" s="905" t="s">
        <v>364</v>
      </c>
      <c r="H665" s="546" t="s">
        <v>365</v>
      </c>
      <c r="I665" s="910" t="e">
        <f>VLOOKUP(H662,'LƯƠNG KT'!$D$16:$AC$184,15,0)</f>
        <v>#N/A</v>
      </c>
      <c r="J665" s="609" t="e">
        <f>I665*$L$5</f>
        <v>#N/A</v>
      </c>
      <c r="K665" s="935"/>
      <c r="L665" s="935"/>
      <c r="M665" s="935"/>
      <c r="N665" s="935"/>
      <c r="O665" s="935"/>
    </row>
    <row r="666" spans="1:15" ht="15" customHeight="1">
      <c r="A666" s="905" t="s">
        <v>367</v>
      </c>
      <c r="B666" s="546"/>
      <c r="C666" s="910" t="e">
        <f>VLOOKUP(B662,'LƯƠNG KT'!$D$16:$AC$184,16,0)</f>
        <v>#N/A</v>
      </c>
      <c r="D666" s="609" t="e">
        <f>+C666*$L$6</f>
        <v>#N/A</v>
      </c>
      <c r="E666" s="912"/>
      <c r="F666" s="912"/>
      <c r="G666" s="905" t="s">
        <v>367</v>
      </c>
      <c r="H666" s="546"/>
      <c r="I666" s="910" t="e">
        <f>VLOOKUP(H662,'LƯƠNG KT'!$D$16:$AC$184,16,0)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5" t="s">
        <v>371</v>
      </c>
      <c r="B667" s="546" t="s">
        <v>372</v>
      </c>
      <c r="C667" s="910" t="e">
        <f>VLOOKUP(B662,'LƯƠNG KT'!$D$16:$AC$184,9,0)*$L$10</f>
        <v>#N/A</v>
      </c>
      <c r="D667" s="609" t="e">
        <f>+C667*0.5*3000</f>
        <v>#N/A</v>
      </c>
      <c r="E667" s="912"/>
      <c r="F667" s="912"/>
      <c r="G667" s="905" t="s">
        <v>371</v>
      </c>
      <c r="H667" s="546" t="s">
        <v>372</v>
      </c>
      <c r="I667" s="910" t="e">
        <f>VLOOKUP(H662,'LƯƠNG KT'!$D$16:$AC$184,9,0)*$L$10</f>
        <v>#N/A</v>
      </c>
      <c r="J667" s="609" t="e">
        <f>+I667*0.5*3000</f>
        <v>#N/A</v>
      </c>
      <c r="K667" s="935"/>
      <c r="L667" s="935"/>
      <c r="M667" s="935"/>
      <c r="N667" s="935"/>
      <c r="O667" s="935"/>
    </row>
    <row r="668" spans="1:15" ht="15" customHeight="1">
      <c r="A668" s="905" t="s">
        <v>374</v>
      </c>
      <c r="B668" s="546" t="s">
        <v>375</v>
      </c>
      <c r="C668" s="910" t="e">
        <f>VLOOKUP(B662,'LƯƠNG KT'!$D$16:$AC$184,8,0)*$L$11</f>
        <v>#N/A</v>
      </c>
      <c r="D668" s="609" t="e">
        <f>VLOOKUP(B662,'LƯƠNG KT'!$D$16:$AC$184,13,0)-D667</f>
        <v>#N/A</v>
      </c>
      <c r="E668" s="914"/>
      <c r="F668" s="912"/>
      <c r="G668" s="905" t="s">
        <v>374</v>
      </c>
      <c r="H668" s="546" t="s">
        <v>375</v>
      </c>
      <c r="I668" s="910" t="e">
        <f>VLOOKUP(H662,'LƯƠNG KT'!$D$16:$AC$184,8,0)*$L$11</f>
        <v>#N/A</v>
      </c>
      <c r="J668" s="609" t="e">
        <f>VLOOKUP(H662,'LƯƠNG KT'!$D$16:$AC$184,13,0)-J667</f>
        <v>#N/A</v>
      </c>
      <c r="K668" s="935"/>
      <c r="L668" s="935"/>
      <c r="M668" s="935"/>
      <c r="N668" s="935"/>
      <c r="O668" s="935"/>
    </row>
    <row r="669" spans="1:15" ht="15" customHeight="1">
      <c r="A669" s="609" t="s">
        <v>377</v>
      </c>
      <c r="B669" s="546" t="s">
        <v>378</v>
      </c>
      <c r="C669" s="910"/>
      <c r="D669" s="609"/>
      <c r="E669" s="916"/>
      <c r="F669" s="916"/>
      <c r="G669" s="609" t="s">
        <v>377</v>
      </c>
      <c r="H669" s="546" t="s">
        <v>378</v>
      </c>
      <c r="I669" s="910"/>
      <c r="J669" s="609"/>
    </row>
    <row r="670" spans="1:15" ht="15" customHeight="1">
      <c r="A670" s="547" t="s">
        <v>379</v>
      </c>
      <c r="B670" s="546" t="s">
        <v>380</v>
      </c>
      <c r="C670" s="910"/>
      <c r="D670" s="609">
        <f>14*25000</f>
        <v>350000</v>
      </c>
      <c r="E670" s="914"/>
      <c r="F670" s="916"/>
      <c r="G670" s="547" t="s">
        <v>379</v>
      </c>
      <c r="H670" s="546" t="s">
        <v>380</v>
      </c>
      <c r="I670" s="910"/>
      <c r="J670" s="609">
        <f>14*25000</f>
        <v>350000</v>
      </c>
    </row>
    <row r="671" spans="1:15" ht="15" customHeight="1">
      <c r="A671" s="905" t="s">
        <v>381</v>
      </c>
      <c r="B671" s="546" t="s">
        <v>382</v>
      </c>
      <c r="C671" s="910"/>
      <c r="D671" s="609">
        <f>D670</f>
        <v>350000</v>
      </c>
      <c r="E671" s="917"/>
      <c r="F671" s="904"/>
      <c r="G671" s="905" t="s">
        <v>381</v>
      </c>
      <c r="H671" s="546" t="s">
        <v>382</v>
      </c>
      <c r="I671" s="910"/>
      <c r="J671" s="609">
        <f>J670</f>
        <v>350000</v>
      </c>
    </row>
    <row r="672" spans="1:15" ht="15" customHeight="1">
      <c r="A672" s="918" t="s">
        <v>383</v>
      </c>
      <c r="B672" s="919" t="s">
        <v>384</v>
      </c>
      <c r="C672" s="920"/>
      <c r="D672" s="921" t="e">
        <f>SUM(D663:D668)-D671</f>
        <v>#N/A</v>
      </c>
      <c r="E672" s="922"/>
      <c r="F672" s="923"/>
      <c r="G672" s="918" t="s">
        <v>383</v>
      </c>
      <c r="H672" s="919" t="s">
        <v>384</v>
      </c>
      <c r="I672" s="920"/>
      <c r="J672" s="921" t="e">
        <f>SUM(J663:J668)-J671</f>
        <v>#N/A</v>
      </c>
    </row>
    <row r="673" spans="1:15" ht="18.75" customHeight="1">
      <c r="A673" s="924"/>
      <c r="B673" s="925"/>
      <c r="C673" s="926"/>
      <c r="D673" s="927"/>
      <c r="E673" s="927"/>
      <c r="F673" s="928"/>
      <c r="G673" s="924"/>
      <c r="H673" s="925"/>
      <c r="I673" s="926"/>
      <c r="J673" s="927"/>
    </row>
    <row r="674" spans="1:15" ht="18.75" customHeight="1">
      <c r="A674" s="925"/>
      <c r="B674" s="925"/>
      <c r="C674" s="929"/>
      <c r="D674" s="930"/>
      <c r="E674" s="925"/>
      <c r="F674" s="931"/>
      <c r="G674" s="925"/>
      <c r="H674" s="925"/>
      <c r="I674" s="929"/>
      <c r="J674" s="930"/>
    </row>
    <row r="675" spans="1:15" ht="15" customHeight="1">
      <c r="A675" s="2360" t="str">
        <f>$K$2</f>
        <v>THÁNG 09/2024</v>
      </c>
      <c r="B675" s="2360"/>
      <c r="C675" s="2360"/>
      <c r="D675" s="2360"/>
      <c r="E675" s="903"/>
      <c r="F675" s="904"/>
      <c r="G675" s="2360" t="str">
        <f>$K$2</f>
        <v>THÁNG 09/2024</v>
      </c>
      <c r="H675" s="2360"/>
      <c r="I675" s="2360"/>
      <c r="J675" s="2360"/>
      <c r="K675" s="276"/>
    </row>
    <row r="676" spans="1:15" ht="15" customHeight="1">
      <c r="A676" s="905" t="s">
        <v>356</v>
      </c>
      <c r="B676" s="642" t="s">
        <v>465</v>
      </c>
      <c r="C676" s="546"/>
      <c r="D676" s="902"/>
      <c r="E676" s="906"/>
      <c r="F676" s="907"/>
      <c r="G676" s="905" t="s">
        <v>356</v>
      </c>
      <c r="H676" s="642" t="s">
        <v>466</v>
      </c>
      <c r="I676" s="546"/>
      <c r="J676" s="902"/>
      <c r="L676" s="938"/>
      <c r="M676" s="938"/>
      <c r="N676" s="938"/>
      <c r="O676" s="938"/>
    </row>
    <row r="677" spans="1:15" ht="15" customHeight="1">
      <c r="A677" s="905" t="s">
        <v>359</v>
      </c>
      <c r="B677" s="939" t="s">
        <v>360</v>
      </c>
      <c r="C677" s="910" t="e">
        <f>VLOOKUP(B676,'LƯƠNG KT'!$D$16:$AC$184,3,0)</f>
        <v>#N/A</v>
      </c>
      <c r="D677" s="609" t="e">
        <f>+C677*25000</f>
        <v>#N/A</v>
      </c>
      <c r="E677" s="911"/>
      <c r="F677" s="911"/>
      <c r="G677" s="905" t="s">
        <v>359</v>
      </c>
      <c r="H677" s="939" t="s">
        <v>360</v>
      </c>
      <c r="I677" s="910" t="e">
        <f>VLOOKUP(H676,'LƯƠNG KT'!$D$16:$AC$184,3,0)</f>
        <v>#N/A</v>
      </c>
      <c r="J677" s="609" t="e">
        <f>+I677*25000</f>
        <v>#N/A</v>
      </c>
      <c r="K677" s="935"/>
      <c r="L677" s="935"/>
      <c r="M677" s="935"/>
      <c r="N677" s="935"/>
      <c r="O677" s="935"/>
    </row>
    <row r="678" spans="1:15" ht="15" customHeight="1">
      <c r="A678" s="905" t="s">
        <v>361</v>
      </c>
      <c r="B678" s="546" t="s">
        <v>362</v>
      </c>
      <c r="C678" s="910" t="e">
        <f>VLOOKUP(B676,'LƯƠNG KT'!$D$16:$AC$184,14,0)</f>
        <v>#N/A</v>
      </c>
      <c r="D678" s="609" t="e">
        <f>C678*$L$4</f>
        <v>#N/A</v>
      </c>
      <c r="E678" s="912"/>
      <c r="F678" s="912"/>
      <c r="G678" s="905" t="s">
        <v>361</v>
      </c>
      <c r="H678" s="546" t="s">
        <v>362</v>
      </c>
      <c r="I678" s="910" t="e">
        <f>VLOOKUP(H676,'LƯƠNG KT'!$D$16:$AC$184,14,0)</f>
        <v>#N/A</v>
      </c>
      <c r="J678" s="609" t="e">
        <f>I678*$L$4</f>
        <v>#N/A</v>
      </c>
      <c r="K678" s="935"/>
      <c r="L678" s="935"/>
      <c r="M678" s="935"/>
      <c r="N678" s="935"/>
      <c r="O678" s="935"/>
    </row>
    <row r="679" spans="1:15" ht="15" customHeight="1">
      <c r="A679" s="905" t="s">
        <v>364</v>
      </c>
      <c r="B679" s="546" t="s">
        <v>365</v>
      </c>
      <c r="C679" s="910" t="e">
        <f>VLOOKUP(B676,'LƯƠNG KT'!$D$16:$AC$184,15,0)</f>
        <v>#N/A</v>
      </c>
      <c r="D679" s="609" t="e">
        <f>C679*$L$5</f>
        <v>#N/A</v>
      </c>
      <c r="E679" s="912"/>
      <c r="F679" s="912"/>
      <c r="G679" s="905" t="s">
        <v>364</v>
      </c>
      <c r="H679" s="546" t="s">
        <v>365</v>
      </c>
      <c r="I679" s="910" t="e">
        <f>VLOOKUP(H676,'LƯƠNG KT'!$D$16:$AC$184,15,0)</f>
        <v>#N/A</v>
      </c>
      <c r="J679" s="609" t="e">
        <f>I679*$L$5</f>
        <v>#N/A</v>
      </c>
      <c r="K679" s="935"/>
      <c r="L679" s="935"/>
      <c r="M679" s="935"/>
      <c r="N679" s="935"/>
      <c r="O679" s="935"/>
    </row>
    <row r="680" spans="1:15" ht="15" customHeight="1">
      <c r="A680" s="905" t="s">
        <v>367</v>
      </c>
      <c r="B680" s="546"/>
      <c r="C680" s="910" t="e">
        <f>VLOOKUP(B676,'LƯƠNG KT'!$D$16:$AC$184,16,0)</f>
        <v>#N/A</v>
      </c>
      <c r="D680" s="609" t="e">
        <f>+C680*$L$6</f>
        <v>#N/A</v>
      </c>
      <c r="E680" s="912"/>
      <c r="F680" s="912"/>
      <c r="G680" s="905" t="s">
        <v>367</v>
      </c>
      <c r="H680" s="546"/>
      <c r="I680" s="910" t="e">
        <f>VLOOKUP(H676,'LƯƠNG KT'!$D$16:$AC$184,16,0)</f>
        <v>#N/A</v>
      </c>
      <c r="J680" s="609" t="e">
        <f>+I680*$L$6</f>
        <v>#N/A</v>
      </c>
      <c r="K680" s="935"/>
      <c r="L680" s="935"/>
      <c r="M680" s="935"/>
      <c r="N680" s="935"/>
      <c r="O680" s="935"/>
    </row>
    <row r="681" spans="1:15" ht="15" customHeight="1">
      <c r="A681" s="905" t="s">
        <v>371</v>
      </c>
      <c r="B681" s="546" t="s">
        <v>372</v>
      </c>
      <c r="C681" s="910" t="e">
        <f>VLOOKUP(B676,'LƯƠNG KT'!$D$16:$AC$184,9,0)*$L$10</f>
        <v>#N/A</v>
      </c>
      <c r="D681" s="609" t="e">
        <f>+C681*0.5*3000</f>
        <v>#N/A</v>
      </c>
      <c r="E681" s="912"/>
      <c r="F681" s="912"/>
      <c r="G681" s="905" t="s">
        <v>371</v>
      </c>
      <c r="H681" s="546" t="s">
        <v>372</v>
      </c>
      <c r="I681" s="910" t="e">
        <f>VLOOKUP(H676,'LƯƠNG KT'!$D$16:$AC$184,9,0)*$L$10</f>
        <v>#N/A</v>
      </c>
      <c r="J681" s="609" t="e">
        <f>+I681*0.5*3000</f>
        <v>#N/A</v>
      </c>
      <c r="K681" s="935"/>
      <c r="L681" s="935"/>
      <c r="M681" s="935"/>
      <c r="N681" s="935"/>
      <c r="O681" s="935"/>
    </row>
    <row r="682" spans="1:15" ht="15" customHeight="1">
      <c r="A682" s="905" t="s">
        <v>374</v>
      </c>
      <c r="B682" s="546" t="s">
        <v>375</v>
      </c>
      <c r="C682" s="910" t="e">
        <f>VLOOKUP(B676,'LƯƠNG KT'!$D$16:$AC$184,8,0)*$L$11</f>
        <v>#N/A</v>
      </c>
      <c r="D682" s="609" t="e">
        <f>VLOOKUP(B676,'LƯƠNG KT'!$D$16:$AC$184,13,0)-D681</f>
        <v>#N/A</v>
      </c>
      <c r="E682" s="914"/>
      <c r="F682" s="912"/>
      <c r="G682" s="905" t="s">
        <v>374</v>
      </c>
      <c r="H682" s="546" t="s">
        <v>375</v>
      </c>
      <c r="I682" s="910" t="e">
        <f>VLOOKUP(H676,'LƯƠNG KT'!$D$16:$AC$184,8,0)*$L$11</f>
        <v>#N/A</v>
      </c>
      <c r="J682" s="609" t="e">
        <f>VLOOKUP(H676,'LƯƠNG KT'!$D$16:$AC$184,13,0)-J681</f>
        <v>#N/A</v>
      </c>
      <c r="K682" s="935"/>
      <c r="L682" s="935"/>
      <c r="M682" s="935"/>
      <c r="N682" s="935"/>
      <c r="O682" s="935"/>
    </row>
    <row r="683" spans="1:15" ht="15" customHeight="1">
      <c r="A683" s="609" t="s">
        <v>377</v>
      </c>
      <c r="B683" s="546" t="s">
        <v>378</v>
      </c>
      <c r="C683" s="910"/>
      <c r="D683" s="609"/>
      <c r="E683" s="916"/>
      <c r="F683" s="916"/>
      <c r="G683" s="609" t="s">
        <v>377</v>
      </c>
      <c r="H683" s="546" t="s">
        <v>378</v>
      </c>
      <c r="I683" s="910"/>
      <c r="J683" s="609"/>
    </row>
    <row r="684" spans="1:15" ht="15" customHeight="1">
      <c r="A684" s="547" t="s">
        <v>379</v>
      </c>
      <c r="B684" s="546" t="s">
        <v>380</v>
      </c>
      <c r="C684" s="910"/>
      <c r="D684" s="609">
        <f>14*25000</f>
        <v>350000</v>
      </c>
      <c r="E684" s="914"/>
      <c r="F684" s="916"/>
      <c r="G684" s="547" t="s">
        <v>379</v>
      </c>
      <c r="H684" s="546" t="s">
        <v>380</v>
      </c>
      <c r="I684" s="910"/>
      <c r="J684" s="609">
        <f>14*25000</f>
        <v>350000</v>
      </c>
    </row>
    <row r="685" spans="1:15" ht="15" customHeight="1">
      <c r="A685" s="905" t="s">
        <v>381</v>
      </c>
      <c r="B685" s="546" t="s">
        <v>382</v>
      </c>
      <c r="C685" s="910"/>
      <c r="D685" s="609">
        <f>D684</f>
        <v>350000</v>
      </c>
      <c r="E685" s="917"/>
      <c r="F685" s="904"/>
      <c r="G685" s="905" t="s">
        <v>381</v>
      </c>
      <c r="H685" s="546" t="s">
        <v>382</v>
      </c>
      <c r="I685" s="910"/>
      <c r="J685" s="609">
        <f>J684</f>
        <v>350000</v>
      </c>
    </row>
    <row r="686" spans="1:15" ht="15" customHeight="1">
      <c r="A686" s="918" t="s">
        <v>383</v>
      </c>
      <c r="B686" s="919" t="s">
        <v>384</v>
      </c>
      <c r="C686" s="920"/>
      <c r="D686" s="921" t="e">
        <f>SUM(D677:D682)-D685</f>
        <v>#N/A</v>
      </c>
      <c r="E686" s="922"/>
      <c r="F686" s="923"/>
      <c r="G686" s="918" t="s">
        <v>383</v>
      </c>
      <c r="H686" s="919" t="s">
        <v>384</v>
      </c>
      <c r="I686" s="920"/>
      <c r="J686" s="921" t="e">
        <f>SUM(J677:J682)-J685</f>
        <v>#N/A</v>
      </c>
    </row>
    <row r="687" spans="1:15" ht="18.75" customHeight="1">
      <c r="A687" s="924"/>
      <c r="B687" s="925"/>
      <c r="C687" s="926"/>
      <c r="D687" s="927"/>
      <c r="E687" s="927"/>
      <c r="F687" s="928"/>
      <c r="G687" s="924"/>
      <c r="H687" s="925"/>
      <c r="I687" s="926"/>
      <c r="J687" s="927"/>
    </row>
    <row r="688" spans="1:15" ht="18.75" customHeight="1">
      <c r="A688" s="925"/>
      <c r="B688" s="925"/>
      <c r="C688" s="929"/>
      <c r="D688" s="930"/>
      <c r="E688" s="925"/>
      <c r="F688" s="931"/>
      <c r="G688" s="925"/>
      <c r="H688" s="925"/>
      <c r="I688" s="929"/>
      <c r="J688" s="930"/>
    </row>
    <row r="689" spans="1:15" ht="15" customHeight="1">
      <c r="A689" s="2360" t="str">
        <f>$K$2</f>
        <v>THÁNG 09/2024</v>
      </c>
      <c r="B689" s="2360"/>
      <c r="C689" s="2360"/>
      <c r="D689" s="2360"/>
      <c r="E689" s="903"/>
      <c r="F689" s="904"/>
      <c r="G689" s="2360" t="str">
        <f>$K$2</f>
        <v>THÁNG 09/2024</v>
      </c>
      <c r="H689" s="2360"/>
      <c r="I689" s="2360"/>
      <c r="J689" s="2360"/>
      <c r="K689" s="276"/>
    </row>
    <row r="690" spans="1:15" ht="15" customHeight="1">
      <c r="A690" s="905" t="s">
        <v>356</v>
      </c>
      <c r="B690" s="642" t="s">
        <v>467</v>
      </c>
      <c r="C690" s="546"/>
      <c r="D690" s="902"/>
      <c r="E690" s="906"/>
      <c r="F690" s="907"/>
      <c r="G690" s="905" t="s">
        <v>356</v>
      </c>
      <c r="H690" s="642" t="s">
        <v>468</v>
      </c>
      <c r="I690" s="546"/>
      <c r="J690" s="902"/>
      <c r="L690" s="938"/>
      <c r="M690" s="938"/>
      <c r="N690" s="938"/>
      <c r="O690" s="938"/>
    </row>
    <row r="691" spans="1:15" ht="15" customHeight="1">
      <c r="A691" s="905" t="s">
        <v>359</v>
      </c>
      <c r="B691" s="939" t="s">
        <v>360</v>
      </c>
      <c r="C691" s="910" t="e">
        <f>VLOOKUP(B690,'LƯƠNG KT'!$D$16:$AC$184,3,0)</f>
        <v>#N/A</v>
      </c>
      <c r="D691" s="609" t="e">
        <f>+C691*25000</f>
        <v>#N/A</v>
      </c>
      <c r="E691" s="911"/>
      <c r="F691" s="911"/>
      <c r="G691" s="905" t="s">
        <v>359</v>
      </c>
      <c r="H691" s="939" t="s">
        <v>360</v>
      </c>
      <c r="I691" s="910" t="e">
        <f>VLOOKUP(H690,'LƯƠNG KT'!$D$16:$AC$184,3,0)</f>
        <v>#N/A</v>
      </c>
      <c r="J691" s="609" t="e">
        <f>+I691*25000</f>
        <v>#N/A</v>
      </c>
      <c r="K691" s="935"/>
      <c r="L691" s="935"/>
      <c r="M691" s="935"/>
      <c r="N691" s="935"/>
      <c r="O691" s="935"/>
    </row>
    <row r="692" spans="1:15" ht="15" customHeight="1">
      <c r="A692" s="905" t="s">
        <v>361</v>
      </c>
      <c r="B692" s="546" t="s">
        <v>362</v>
      </c>
      <c r="C692" s="910" t="e">
        <f>VLOOKUP(B690,'LƯƠNG KT'!$D$16:$AC$184,14,0)</f>
        <v>#N/A</v>
      </c>
      <c r="D692" s="609" t="e">
        <f>C692*$L$4</f>
        <v>#N/A</v>
      </c>
      <c r="E692" s="912"/>
      <c r="F692" s="912"/>
      <c r="G692" s="905" t="s">
        <v>361</v>
      </c>
      <c r="H692" s="546" t="s">
        <v>362</v>
      </c>
      <c r="I692" s="910" t="e">
        <f>VLOOKUP(H690,'LƯƠNG KT'!$D$16:$AC$184,14,0)</f>
        <v>#N/A</v>
      </c>
      <c r="J692" s="609" t="e">
        <f>I692*$L$4</f>
        <v>#N/A</v>
      </c>
      <c r="K692" s="935"/>
      <c r="L692" s="935"/>
      <c r="M692" s="935"/>
      <c r="N692" s="935"/>
      <c r="O692" s="935"/>
    </row>
    <row r="693" spans="1:15" ht="15" customHeight="1">
      <c r="A693" s="905" t="s">
        <v>364</v>
      </c>
      <c r="B693" s="546" t="s">
        <v>365</v>
      </c>
      <c r="C693" s="910" t="e">
        <f>VLOOKUP(B690,'LƯƠNG KT'!$D$16:$AC$184,15,0)</f>
        <v>#N/A</v>
      </c>
      <c r="D693" s="609" t="e">
        <f>C693*$L$5</f>
        <v>#N/A</v>
      </c>
      <c r="E693" s="912"/>
      <c r="F693" s="912"/>
      <c r="G693" s="905" t="s">
        <v>364</v>
      </c>
      <c r="H693" s="546" t="s">
        <v>365</v>
      </c>
      <c r="I693" s="910" t="e">
        <f>VLOOKUP(H690,'LƯƠNG KT'!$D$16:$AC$184,15,0)</f>
        <v>#N/A</v>
      </c>
      <c r="J693" s="609" t="e">
        <f>I693*$L$5</f>
        <v>#N/A</v>
      </c>
      <c r="K693" s="935"/>
      <c r="L693" s="935"/>
      <c r="M693" s="935"/>
      <c r="N693" s="935"/>
      <c r="O693" s="935"/>
    </row>
    <row r="694" spans="1:15" ht="15" customHeight="1">
      <c r="A694" s="905" t="s">
        <v>367</v>
      </c>
      <c r="B694" s="546"/>
      <c r="C694" s="910" t="e">
        <f>VLOOKUP(B690,'LƯƠNG KT'!$D$16:$AC$184,16,0)</f>
        <v>#N/A</v>
      </c>
      <c r="D694" s="609" t="e">
        <f>+C694*$L$6</f>
        <v>#N/A</v>
      </c>
      <c r="E694" s="912"/>
      <c r="F694" s="912"/>
      <c r="G694" s="905" t="s">
        <v>367</v>
      </c>
      <c r="H694" s="546"/>
      <c r="I694" s="910" t="e">
        <f>VLOOKUP(H690,'LƯƠNG KT'!$D$16:$AC$184,16,0)</f>
        <v>#N/A</v>
      </c>
      <c r="J694" s="609" t="e">
        <f>+I694*$L$6</f>
        <v>#N/A</v>
      </c>
      <c r="K694" s="935"/>
      <c r="L694" s="935"/>
      <c r="M694" s="935"/>
      <c r="N694" s="935"/>
      <c r="O694" s="935"/>
    </row>
    <row r="695" spans="1:15" ht="15" customHeight="1">
      <c r="A695" s="905" t="s">
        <v>371</v>
      </c>
      <c r="B695" s="546" t="s">
        <v>372</v>
      </c>
      <c r="C695" s="910" t="e">
        <f>VLOOKUP(B690,'LƯƠNG KT'!$D$16:$AC$184,9,0)*$L$10</f>
        <v>#N/A</v>
      </c>
      <c r="D695" s="609" t="e">
        <f>+C695*0.5*3000</f>
        <v>#N/A</v>
      </c>
      <c r="E695" s="912"/>
      <c r="F695" s="912"/>
      <c r="G695" s="905" t="s">
        <v>371</v>
      </c>
      <c r="H695" s="546" t="s">
        <v>372</v>
      </c>
      <c r="I695" s="910" t="e">
        <f>VLOOKUP(H690,'LƯƠNG KT'!$D$16:$AC$184,9,0)*$L$10</f>
        <v>#N/A</v>
      </c>
      <c r="J695" s="609" t="e">
        <f>+I695*0.5*3000</f>
        <v>#N/A</v>
      </c>
      <c r="K695" s="935"/>
      <c r="L695" s="935"/>
      <c r="M695" s="935"/>
      <c r="N695" s="935"/>
      <c r="O695" s="935"/>
    </row>
    <row r="696" spans="1:15" ht="15" customHeight="1">
      <c r="A696" s="905" t="s">
        <v>374</v>
      </c>
      <c r="B696" s="546" t="s">
        <v>375</v>
      </c>
      <c r="C696" s="910" t="e">
        <f>VLOOKUP(B690,'LƯƠNG KT'!$D$16:$AC$184,8,0)*$L$11</f>
        <v>#N/A</v>
      </c>
      <c r="D696" s="609" t="e">
        <f>VLOOKUP(B690,'LƯƠNG KT'!$D$16:$AC$184,13,0)-D695</f>
        <v>#N/A</v>
      </c>
      <c r="E696" s="914"/>
      <c r="F696" s="912"/>
      <c r="G696" s="905" t="s">
        <v>374</v>
      </c>
      <c r="H696" s="546" t="s">
        <v>375</v>
      </c>
      <c r="I696" s="910" t="e">
        <f>VLOOKUP(H690,'LƯƠNG KT'!$D$16:$AC$184,8,0)*$L$11</f>
        <v>#N/A</v>
      </c>
      <c r="J696" s="609" t="e">
        <f>VLOOKUP(H690,'LƯƠNG KT'!$D$16:$AC$184,13,0)-J695</f>
        <v>#N/A</v>
      </c>
      <c r="K696" s="935"/>
      <c r="L696" s="935"/>
      <c r="M696" s="935"/>
      <c r="N696" s="935"/>
      <c r="O696" s="935"/>
    </row>
    <row r="697" spans="1:15" ht="15" customHeight="1">
      <c r="A697" s="609" t="s">
        <v>377</v>
      </c>
      <c r="B697" s="546" t="s">
        <v>378</v>
      </c>
      <c r="C697" s="910"/>
      <c r="D697" s="609"/>
      <c r="E697" s="916"/>
      <c r="F697" s="916"/>
      <c r="G697" s="609" t="s">
        <v>377</v>
      </c>
      <c r="H697" s="546" t="s">
        <v>378</v>
      </c>
      <c r="I697" s="910"/>
      <c r="J697" s="609"/>
    </row>
    <row r="698" spans="1:15" ht="15" customHeight="1">
      <c r="A698" s="547" t="s">
        <v>379</v>
      </c>
      <c r="B698" s="546" t="s">
        <v>380</v>
      </c>
      <c r="C698" s="910"/>
      <c r="D698" s="609">
        <f>14*25000</f>
        <v>350000</v>
      </c>
      <c r="E698" s="914"/>
      <c r="F698" s="916"/>
      <c r="G698" s="547" t="s">
        <v>379</v>
      </c>
      <c r="H698" s="546" t="s">
        <v>380</v>
      </c>
      <c r="I698" s="910"/>
      <c r="J698" s="609">
        <f>14*25000</f>
        <v>350000</v>
      </c>
    </row>
    <row r="699" spans="1:15" ht="15" customHeight="1">
      <c r="A699" s="905" t="s">
        <v>381</v>
      </c>
      <c r="B699" s="546" t="s">
        <v>382</v>
      </c>
      <c r="C699" s="910"/>
      <c r="D699" s="609">
        <f>D698</f>
        <v>350000</v>
      </c>
      <c r="E699" s="917"/>
      <c r="F699" s="904"/>
      <c r="G699" s="905" t="s">
        <v>381</v>
      </c>
      <c r="H699" s="546" t="s">
        <v>382</v>
      </c>
      <c r="I699" s="910"/>
      <c r="J699" s="609">
        <f>J698</f>
        <v>350000</v>
      </c>
    </row>
    <row r="700" spans="1:15" ht="15" customHeight="1">
      <c r="A700" s="918" t="s">
        <v>383</v>
      </c>
      <c r="B700" s="919" t="s">
        <v>384</v>
      </c>
      <c r="C700" s="920"/>
      <c r="D700" s="921" t="e">
        <f>SUM(D691:D696)-D699</f>
        <v>#N/A</v>
      </c>
      <c r="E700" s="922"/>
      <c r="F700" s="923"/>
      <c r="G700" s="918" t="s">
        <v>383</v>
      </c>
      <c r="H700" s="919" t="s">
        <v>384</v>
      </c>
      <c r="I700" s="920"/>
      <c r="J700" s="921" t="e">
        <f>SUM(J691:J696)-J699</f>
        <v>#N/A</v>
      </c>
    </row>
    <row r="701" spans="1:15" ht="15.75" customHeight="1">
      <c r="A701" s="924"/>
      <c r="B701" s="925"/>
      <c r="C701" s="926"/>
      <c r="D701" s="927"/>
      <c r="E701" s="927"/>
      <c r="F701" s="928"/>
      <c r="G701" s="924"/>
      <c r="H701" s="925"/>
      <c r="I701" s="926"/>
      <c r="J701" s="927"/>
    </row>
    <row r="703" spans="1:15" ht="12" customHeight="1">
      <c r="A703" s="2361"/>
      <c r="B703" s="2361"/>
      <c r="C703" s="2361"/>
      <c r="D703" s="2361"/>
      <c r="E703" s="2361"/>
      <c r="F703" s="2361"/>
      <c r="G703" s="2361"/>
      <c r="H703" s="2361"/>
      <c r="I703" s="2361"/>
      <c r="J703" s="2361"/>
    </row>
    <row r="704" spans="1:15" ht="15" customHeight="1">
      <c r="A704" s="2360" t="str">
        <f>$K$2</f>
        <v>THÁNG 09/2024</v>
      </c>
      <c r="B704" s="2360"/>
      <c r="C704" s="2360"/>
      <c r="D704" s="2360"/>
      <c r="E704" s="903"/>
      <c r="F704" s="904"/>
      <c r="G704" s="2360" t="str">
        <f>$K$2</f>
        <v>THÁNG 09/2024</v>
      </c>
      <c r="H704" s="2360"/>
      <c r="I704" s="2360"/>
      <c r="J704" s="2360"/>
      <c r="K704" s="276"/>
    </row>
    <row r="705" spans="1:15" ht="15" customHeight="1">
      <c r="A705" s="905" t="s">
        <v>356</v>
      </c>
      <c r="B705" s="642" t="s">
        <v>469</v>
      </c>
      <c r="C705" s="546"/>
      <c r="D705" s="902"/>
      <c r="E705" s="906"/>
      <c r="F705" s="907"/>
      <c r="G705" s="905" t="s">
        <v>356</v>
      </c>
      <c r="H705" s="642" t="s">
        <v>470</v>
      </c>
      <c r="I705" s="546"/>
      <c r="J705" s="902"/>
      <c r="L705" s="938"/>
      <c r="M705" s="938"/>
      <c r="N705" s="938"/>
      <c r="O705" s="938"/>
    </row>
    <row r="706" spans="1:15" ht="15" customHeight="1">
      <c r="A706" s="905" t="s">
        <v>359</v>
      </c>
      <c r="B706" s="939" t="s">
        <v>360</v>
      </c>
      <c r="C706" s="910" t="e">
        <f>VLOOKUP(B705,'LƯƠNG KT'!$D$16:$AC$184,3,0)</f>
        <v>#N/A</v>
      </c>
      <c r="D706" s="609" t="e">
        <f>+C706*25000</f>
        <v>#N/A</v>
      </c>
      <c r="E706" s="911"/>
      <c r="F706" s="911"/>
      <c r="G706" s="905" t="s">
        <v>359</v>
      </c>
      <c r="H706" s="939" t="s">
        <v>360</v>
      </c>
      <c r="I706" s="910" t="e">
        <f>VLOOKUP(H705,'LƯƠNG KT'!$D$16:$AC$184,3,0)</f>
        <v>#N/A</v>
      </c>
      <c r="J706" s="609" t="e">
        <f>+I706*25000</f>
        <v>#N/A</v>
      </c>
      <c r="K706" s="934"/>
      <c r="L706" s="935"/>
      <c r="M706" s="935"/>
      <c r="N706" s="935"/>
      <c r="O706" s="935"/>
    </row>
    <row r="707" spans="1:15" ht="15" customHeight="1">
      <c r="A707" s="905" t="s">
        <v>361</v>
      </c>
      <c r="B707" s="546" t="s">
        <v>362</v>
      </c>
      <c r="C707" s="910" t="e">
        <f>VLOOKUP(B705,'LƯƠNG KT'!$D$16:$AC$184,14,0)</f>
        <v>#N/A</v>
      </c>
      <c r="D707" s="609" t="e">
        <f>C707*$L$4</f>
        <v>#N/A</v>
      </c>
      <c r="E707" s="912"/>
      <c r="F707" s="912"/>
      <c r="G707" s="905" t="s">
        <v>361</v>
      </c>
      <c r="H707" s="546" t="s">
        <v>362</v>
      </c>
      <c r="I707" s="910" t="e">
        <f>VLOOKUP(H705,'LƯƠNG KT'!$D$16:$AC$184,14,0)</f>
        <v>#N/A</v>
      </c>
      <c r="J707" s="609" t="e">
        <f>I707*$L$4</f>
        <v>#N/A</v>
      </c>
      <c r="K707" s="934"/>
      <c r="L707" s="935"/>
      <c r="M707" s="935"/>
      <c r="N707" s="935"/>
      <c r="O707" s="935"/>
    </row>
    <row r="708" spans="1:15" ht="15" customHeight="1">
      <c r="A708" s="905" t="s">
        <v>364</v>
      </c>
      <c r="B708" s="546" t="s">
        <v>365</v>
      </c>
      <c r="C708" s="910" t="e">
        <f>VLOOKUP(B705,'LƯƠNG KT'!$D$16:$AC$184,15,0)</f>
        <v>#N/A</v>
      </c>
      <c r="D708" s="609" t="e">
        <f>C708*$L$5</f>
        <v>#N/A</v>
      </c>
      <c r="E708" s="912"/>
      <c r="F708" s="912"/>
      <c r="G708" s="905" t="s">
        <v>364</v>
      </c>
      <c r="H708" s="546" t="s">
        <v>365</v>
      </c>
      <c r="I708" s="910" t="e">
        <f>VLOOKUP(H705,'LƯƠNG KT'!$D$16:$AC$184,15,0)</f>
        <v>#N/A</v>
      </c>
      <c r="J708" s="609" t="e">
        <f>I708*$L$5</f>
        <v>#N/A</v>
      </c>
      <c r="K708" s="934"/>
      <c r="L708" s="935"/>
      <c r="M708" s="935"/>
      <c r="N708" s="935"/>
      <c r="O708" s="935"/>
    </row>
    <row r="709" spans="1:15" ht="15" customHeight="1">
      <c r="A709" s="905" t="s">
        <v>367</v>
      </c>
      <c r="B709" s="546"/>
      <c r="C709" s="910" t="e">
        <f>VLOOKUP(B705,'LƯƠNG KT'!$D$16:$AC$184,16,0)</f>
        <v>#N/A</v>
      </c>
      <c r="D709" s="609" t="e">
        <f>+C709*$L$6</f>
        <v>#N/A</v>
      </c>
      <c r="E709" s="912"/>
      <c r="F709" s="912"/>
      <c r="G709" s="905" t="s">
        <v>367</v>
      </c>
      <c r="H709" s="546"/>
      <c r="I709" s="910" t="e">
        <f>VLOOKUP(H705,'LƯƠNG KT'!$D$16:$AC$184,16,0)</f>
        <v>#N/A</v>
      </c>
      <c r="J709" s="609" t="e">
        <f>+I709*$L$6</f>
        <v>#N/A</v>
      </c>
      <c r="K709" s="935"/>
      <c r="L709" s="935"/>
      <c r="M709" s="935"/>
      <c r="N709" s="935"/>
      <c r="O709" s="935"/>
    </row>
    <row r="710" spans="1:15" ht="15" customHeight="1">
      <c r="A710" s="905" t="s">
        <v>371</v>
      </c>
      <c r="B710" s="546" t="s">
        <v>372</v>
      </c>
      <c r="C710" s="910" t="e">
        <f>VLOOKUP(B705,'LƯƠNG KT'!$D$16:$AC$184,9,0)*$L$10</f>
        <v>#N/A</v>
      </c>
      <c r="D710" s="609" t="e">
        <f>+C710*0.5*3000</f>
        <v>#N/A</v>
      </c>
      <c r="E710" s="912"/>
      <c r="F710" s="912"/>
      <c r="G710" s="905" t="s">
        <v>371</v>
      </c>
      <c r="H710" s="546" t="s">
        <v>372</v>
      </c>
      <c r="I710" s="910" t="e">
        <f>VLOOKUP(H705,'LƯƠNG KT'!$D$16:$AC$184,9,0)*$L$10</f>
        <v>#N/A</v>
      </c>
      <c r="J710" s="609" t="e">
        <f>+I710*0.5*3000</f>
        <v>#N/A</v>
      </c>
      <c r="K710" s="935"/>
      <c r="L710" s="935"/>
      <c r="M710" s="935"/>
      <c r="N710" s="935"/>
      <c r="O710" s="935"/>
    </row>
    <row r="711" spans="1:15" ht="15" customHeight="1">
      <c r="A711" s="905" t="s">
        <v>374</v>
      </c>
      <c r="B711" s="546" t="s">
        <v>375</v>
      </c>
      <c r="C711" s="910" t="e">
        <f>VLOOKUP(B705,'LƯƠNG KT'!$D$16:$AC$184,8,0)*$L$11</f>
        <v>#N/A</v>
      </c>
      <c r="D711" s="609" t="e">
        <f>VLOOKUP(B705,'LƯƠNG KT'!$D$16:$AC$184,13,0)-D710</f>
        <v>#N/A</v>
      </c>
      <c r="E711" s="914"/>
      <c r="F711" s="912"/>
      <c r="G711" s="905" t="s">
        <v>374</v>
      </c>
      <c r="H711" s="546" t="s">
        <v>375</v>
      </c>
      <c r="I711" s="910" t="e">
        <f>VLOOKUP(H705,'LƯƠNG KT'!$D$16:$AC$184,8,0)*$L$11</f>
        <v>#N/A</v>
      </c>
      <c r="J711" s="609" t="e">
        <f>VLOOKUP(H705,'LƯƠNG KT'!$D$16:$AC$184,13,0)-J710</f>
        <v>#N/A</v>
      </c>
      <c r="K711" s="935"/>
      <c r="L711" s="935"/>
      <c r="M711" s="935"/>
      <c r="N711" s="935"/>
      <c r="O711" s="935"/>
    </row>
    <row r="712" spans="1:15" ht="15" customHeight="1">
      <c r="A712" s="609" t="s">
        <v>377</v>
      </c>
      <c r="B712" s="546" t="s">
        <v>378</v>
      </c>
      <c r="C712" s="910"/>
      <c r="D712" s="609"/>
      <c r="E712" s="916"/>
      <c r="F712" s="916"/>
      <c r="G712" s="609" t="s">
        <v>377</v>
      </c>
      <c r="H712" s="546" t="s">
        <v>378</v>
      </c>
      <c r="I712" s="910"/>
      <c r="J712" s="609"/>
    </row>
    <row r="713" spans="1:15" ht="15" customHeight="1">
      <c r="A713" s="547" t="s">
        <v>379</v>
      </c>
      <c r="B713" s="546" t="s">
        <v>380</v>
      </c>
      <c r="C713" s="910"/>
      <c r="D713" s="609">
        <f>14*25000</f>
        <v>350000</v>
      </c>
      <c r="E713" s="914"/>
      <c r="F713" s="916"/>
      <c r="G713" s="547" t="s">
        <v>379</v>
      </c>
      <c r="H713" s="546" t="s">
        <v>380</v>
      </c>
      <c r="I713" s="910"/>
      <c r="J713" s="609">
        <f>14*25000</f>
        <v>350000</v>
      </c>
    </row>
    <row r="714" spans="1:15" ht="15" customHeight="1">
      <c r="A714" s="905" t="s">
        <v>381</v>
      </c>
      <c r="B714" s="546" t="s">
        <v>382</v>
      </c>
      <c r="C714" s="910"/>
      <c r="D714" s="609">
        <f>D713</f>
        <v>350000</v>
      </c>
      <c r="E714" s="917"/>
      <c r="F714" s="904"/>
      <c r="G714" s="905" t="s">
        <v>381</v>
      </c>
      <c r="H714" s="546" t="s">
        <v>382</v>
      </c>
      <c r="I714" s="910"/>
      <c r="J714" s="609">
        <f>J713</f>
        <v>350000</v>
      </c>
    </row>
    <row r="715" spans="1:15" ht="15" customHeight="1">
      <c r="A715" s="918" t="s">
        <v>383</v>
      </c>
      <c r="B715" s="919" t="s">
        <v>384</v>
      </c>
      <c r="C715" s="920"/>
      <c r="D715" s="921" t="e">
        <f>SUM(D706:D711)-D714</f>
        <v>#N/A</v>
      </c>
      <c r="E715" s="922"/>
      <c r="F715" s="923"/>
      <c r="G715" s="918" t="s">
        <v>383</v>
      </c>
      <c r="H715" s="919" t="s">
        <v>384</v>
      </c>
      <c r="I715" s="920"/>
      <c r="J715" s="921" t="e">
        <f>SUM(J706:J711)-J714</f>
        <v>#N/A</v>
      </c>
    </row>
    <row r="716" spans="1:15" ht="12.6" customHeight="1">
      <c r="A716" s="924"/>
      <c r="B716" s="925"/>
      <c r="C716" s="926"/>
      <c r="D716" s="927"/>
      <c r="E716" s="927"/>
      <c r="F716" s="928"/>
      <c r="G716" s="924"/>
      <c r="H716" s="925"/>
      <c r="I716" s="926"/>
      <c r="J716" s="927"/>
    </row>
    <row r="717" spans="1:15" ht="12.6" customHeight="1">
      <c r="A717" s="925"/>
      <c r="B717" s="925"/>
      <c r="C717" s="929"/>
      <c r="D717" s="930"/>
      <c r="E717" s="925"/>
      <c r="F717" s="931"/>
      <c r="G717" s="925"/>
      <c r="H717" s="925"/>
      <c r="I717" s="929"/>
      <c r="J717" s="930"/>
    </row>
    <row r="718" spans="1:15" ht="15" customHeight="1">
      <c r="A718" s="2360" t="str">
        <f>$K$2</f>
        <v>THÁNG 09/2024</v>
      </c>
      <c r="B718" s="2360"/>
      <c r="C718" s="2360"/>
      <c r="D718" s="2360"/>
      <c r="E718" s="903"/>
      <c r="F718" s="904"/>
      <c r="G718" s="2360" t="str">
        <f>$K$2</f>
        <v>THÁNG 09/2024</v>
      </c>
      <c r="H718" s="2360"/>
      <c r="I718" s="2360"/>
      <c r="J718" s="2360"/>
      <c r="K718" s="276"/>
    </row>
    <row r="719" spans="1:15" ht="15" customHeight="1">
      <c r="A719" s="905" t="s">
        <v>356</v>
      </c>
      <c r="B719" s="642" t="s">
        <v>471</v>
      </c>
      <c r="C719" s="546"/>
      <c r="D719" s="902"/>
      <c r="E719" s="906"/>
      <c r="F719" s="907"/>
      <c r="G719" s="905" t="s">
        <v>356</v>
      </c>
      <c r="H719" s="642" t="s">
        <v>472</v>
      </c>
      <c r="I719" s="546"/>
      <c r="J719" s="902"/>
      <c r="L719" s="938"/>
      <c r="M719" s="938"/>
      <c r="N719" s="938"/>
      <c r="O719" s="938"/>
    </row>
    <row r="720" spans="1:15" ht="15" customHeight="1">
      <c r="A720" s="905" t="s">
        <v>359</v>
      </c>
      <c r="B720" s="939" t="s">
        <v>360</v>
      </c>
      <c r="C720" s="910">
        <f>VLOOKUP(B719,'LƯƠNG KT'!$D$16:$AC$184,3,0)</f>
        <v>0</v>
      </c>
      <c r="D720" s="609">
        <f>+C720*25000</f>
        <v>0</v>
      </c>
      <c r="E720" s="911"/>
      <c r="F720" s="911"/>
      <c r="G720" s="905" t="s">
        <v>359</v>
      </c>
      <c r="H720" s="939" t="s">
        <v>360</v>
      </c>
      <c r="I720" s="910" t="e">
        <f>VLOOKUP(H719,'LƯƠNG KT'!$D$16:$AC$184,3,0)</f>
        <v>#N/A</v>
      </c>
      <c r="J720" s="609" t="e">
        <f>+I720*25000</f>
        <v>#N/A</v>
      </c>
      <c r="K720" s="935"/>
      <c r="L720" s="935"/>
      <c r="M720" s="935"/>
      <c r="N720" s="935"/>
      <c r="O720" s="935"/>
    </row>
    <row r="721" spans="1:15" ht="15" customHeight="1">
      <c r="A721" s="905" t="s">
        <v>361</v>
      </c>
      <c r="B721" s="546" t="s">
        <v>362</v>
      </c>
      <c r="C721" s="910">
        <f>VLOOKUP(B719,'LƯƠNG KT'!$D$16:$AC$184,14,0)</f>
        <v>0</v>
      </c>
      <c r="D721" s="609">
        <f>C721*$L$4</f>
        <v>0</v>
      </c>
      <c r="E721" s="912"/>
      <c r="F721" s="912"/>
      <c r="G721" s="905" t="s">
        <v>361</v>
      </c>
      <c r="H721" s="546" t="s">
        <v>362</v>
      </c>
      <c r="I721" s="910" t="e">
        <f>VLOOKUP(H719,'LƯƠNG KT'!$D$16:$AC$184,14,0)</f>
        <v>#N/A</v>
      </c>
      <c r="J721" s="609" t="e">
        <f>I721*$L$4</f>
        <v>#N/A</v>
      </c>
      <c r="K721" s="935"/>
      <c r="L721" s="935"/>
      <c r="M721" s="935"/>
      <c r="N721" s="935"/>
      <c r="O721" s="935"/>
    </row>
    <row r="722" spans="1:15" ht="15" customHeight="1">
      <c r="A722" s="905" t="s">
        <v>364</v>
      </c>
      <c r="B722" s="546" t="s">
        <v>365</v>
      </c>
      <c r="C722" s="910">
        <f>VLOOKUP(B719,'LƯƠNG KT'!$D$16:$AC$184,15,0)</f>
        <v>0</v>
      </c>
      <c r="D722" s="609">
        <f>C722*$L$5</f>
        <v>0</v>
      </c>
      <c r="E722" s="912"/>
      <c r="F722" s="912"/>
      <c r="G722" s="905" t="s">
        <v>364</v>
      </c>
      <c r="H722" s="546" t="s">
        <v>365</v>
      </c>
      <c r="I722" s="910" t="e">
        <f>VLOOKUP(H719,'LƯƠNG KT'!$D$16:$AC$184,15,0)</f>
        <v>#N/A</v>
      </c>
      <c r="J722" s="609" t="e">
        <f>I722*$L$5</f>
        <v>#N/A</v>
      </c>
      <c r="K722" s="935"/>
      <c r="L722" s="935"/>
      <c r="M722" s="935"/>
      <c r="N722" s="935"/>
      <c r="O722" s="935"/>
    </row>
    <row r="723" spans="1:15" ht="15" customHeight="1">
      <c r="A723" s="905" t="s">
        <v>367</v>
      </c>
      <c r="B723" s="546"/>
      <c r="C723" s="910">
        <f>VLOOKUP(B719,'LƯƠNG KT'!$D$16:$AC$184,16,0)</f>
        <v>0</v>
      </c>
      <c r="D723" s="609">
        <f>+C723*$L$6</f>
        <v>0</v>
      </c>
      <c r="E723" s="912"/>
      <c r="F723" s="912"/>
      <c r="G723" s="905" t="s">
        <v>367</v>
      </c>
      <c r="H723" s="546"/>
      <c r="I723" s="910" t="e">
        <f>VLOOKUP(H719,'LƯƠNG KT'!$D$16:$AC$184,16,0)</f>
        <v>#N/A</v>
      </c>
      <c r="J723" s="609" t="e">
        <f>+I723*$L$6</f>
        <v>#N/A</v>
      </c>
      <c r="K723" s="935"/>
      <c r="L723" s="935"/>
      <c r="M723" s="935"/>
      <c r="N723" s="935"/>
      <c r="O723" s="935"/>
    </row>
    <row r="724" spans="1:15" ht="15" customHeight="1">
      <c r="A724" s="905" t="s">
        <v>371</v>
      </c>
      <c r="B724" s="546" t="s">
        <v>372</v>
      </c>
      <c r="C724" s="910">
        <f>VLOOKUP(B719,'LƯƠNG KT'!$D$16:$AC$184,9,0)*$L$10</f>
        <v>1140.554881286454</v>
      </c>
      <c r="D724" s="609">
        <f>+C724*0.5*3000</f>
        <v>1710832.3219296811</v>
      </c>
      <c r="E724" s="912"/>
      <c r="F724" s="912"/>
      <c r="G724" s="905" t="s">
        <v>371</v>
      </c>
      <c r="H724" s="546" t="s">
        <v>372</v>
      </c>
      <c r="I724" s="910" t="e">
        <f>VLOOKUP(H719,'LƯƠNG KT'!$D$16:$AC$184,9,0)*$L$10</f>
        <v>#N/A</v>
      </c>
      <c r="J724" s="609" t="e">
        <f>+I724*0.5*3000</f>
        <v>#N/A</v>
      </c>
      <c r="K724" s="935"/>
      <c r="L724" s="935"/>
      <c r="M724" s="935"/>
      <c r="N724" s="935"/>
      <c r="O724" s="935"/>
    </row>
    <row r="725" spans="1:15" ht="15" customHeight="1">
      <c r="A725" s="905" t="s">
        <v>374</v>
      </c>
      <c r="B725" s="546" t="s">
        <v>375</v>
      </c>
      <c r="C725" s="910">
        <f>VLOOKUP(B719,'LƯƠNG KT'!$D$16:$AC$184,8,0)*$L$11</f>
        <v>110.24504353576224</v>
      </c>
      <c r="D725" s="609">
        <f>VLOOKUP(B719,'LƯƠNG KT'!$D$16:$AC$184,13,0)-D724</f>
        <v>-1710828.3219296811</v>
      </c>
      <c r="E725" s="914"/>
      <c r="F725" s="912"/>
      <c r="G725" s="905" t="s">
        <v>374</v>
      </c>
      <c r="H725" s="546" t="s">
        <v>375</v>
      </c>
      <c r="I725" s="910" t="e">
        <f>VLOOKUP(H719,'LƯƠNG KT'!$D$16:$AC$184,8,0)*$L$11</f>
        <v>#N/A</v>
      </c>
      <c r="J725" s="609" t="e">
        <f>VLOOKUP(H719,'LƯƠNG KT'!$D$16:$AC$184,13,0)-J724</f>
        <v>#N/A</v>
      </c>
      <c r="K725" s="935"/>
      <c r="L725" s="935"/>
      <c r="M725" s="935"/>
      <c r="N725" s="935"/>
      <c r="O725" s="935"/>
    </row>
    <row r="726" spans="1:15" ht="15" customHeight="1">
      <c r="A726" s="609" t="s">
        <v>377</v>
      </c>
      <c r="B726" s="546" t="s">
        <v>378</v>
      </c>
      <c r="C726" s="910"/>
      <c r="D726" s="609"/>
      <c r="E726" s="916"/>
      <c r="F726" s="916"/>
      <c r="G726" s="609" t="s">
        <v>377</v>
      </c>
      <c r="H726" s="546" t="s">
        <v>378</v>
      </c>
      <c r="I726" s="910"/>
      <c r="J726" s="609"/>
    </row>
    <row r="727" spans="1:15" ht="15" customHeight="1">
      <c r="A727" s="547" t="s">
        <v>379</v>
      </c>
      <c r="B727" s="546" t="s">
        <v>380</v>
      </c>
      <c r="C727" s="910"/>
      <c r="D727" s="609">
        <f>14*25000</f>
        <v>350000</v>
      </c>
      <c r="E727" s="914"/>
      <c r="F727" s="916"/>
      <c r="G727" s="547" t="s">
        <v>379</v>
      </c>
      <c r="H727" s="546" t="s">
        <v>380</v>
      </c>
      <c r="I727" s="910"/>
      <c r="J727" s="609">
        <f>14*25000</f>
        <v>350000</v>
      </c>
    </row>
    <row r="728" spans="1:15" ht="15" customHeight="1">
      <c r="A728" s="905" t="s">
        <v>381</v>
      </c>
      <c r="B728" s="546" t="s">
        <v>382</v>
      </c>
      <c r="C728" s="910"/>
      <c r="D728" s="609">
        <f>D727</f>
        <v>350000</v>
      </c>
      <c r="E728" s="917"/>
      <c r="F728" s="904"/>
      <c r="G728" s="905" t="s">
        <v>381</v>
      </c>
      <c r="H728" s="546" t="s">
        <v>382</v>
      </c>
      <c r="I728" s="910"/>
      <c r="J728" s="609">
        <f>J727</f>
        <v>350000</v>
      </c>
    </row>
    <row r="729" spans="1:15" ht="15" customHeight="1">
      <c r="A729" s="918" t="s">
        <v>383</v>
      </c>
      <c r="B729" s="919" t="s">
        <v>384</v>
      </c>
      <c r="C729" s="920"/>
      <c r="D729" s="921">
        <f>SUM(D720:D725)-D728</f>
        <v>-349996</v>
      </c>
      <c r="E729" s="922"/>
      <c r="F729" s="923"/>
      <c r="G729" s="918" t="s">
        <v>383</v>
      </c>
      <c r="H729" s="919" t="s">
        <v>384</v>
      </c>
      <c r="I729" s="920"/>
      <c r="J729" s="921" t="e">
        <f>SUM(J720:J725)-J728</f>
        <v>#N/A</v>
      </c>
    </row>
    <row r="730" spans="1:15" ht="18.75" customHeight="1">
      <c r="A730" s="924"/>
      <c r="B730" s="925"/>
      <c r="C730" s="926"/>
      <c r="D730" s="927"/>
      <c r="E730" s="927"/>
      <c r="F730" s="928"/>
      <c r="G730" s="924"/>
      <c r="H730" s="925"/>
      <c r="I730" s="926"/>
      <c r="J730" s="927"/>
    </row>
    <row r="731" spans="1:15" ht="18.75" customHeight="1">
      <c r="A731" s="925"/>
      <c r="B731" s="925"/>
      <c r="C731" s="929"/>
      <c r="D731" s="930"/>
      <c r="E731" s="925"/>
      <c r="F731" s="931"/>
      <c r="G731" s="925"/>
      <c r="H731" s="925"/>
      <c r="I731" s="929"/>
      <c r="J731" s="930"/>
    </row>
    <row r="732" spans="1:15" ht="15" customHeight="1">
      <c r="A732" s="2360" t="str">
        <f>$K$2</f>
        <v>THÁNG 09/2024</v>
      </c>
      <c r="B732" s="2360"/>
      <c r="C732" s="2360"/>
      <c r="D732" s="2360"/>
      <c r="E732" s="903"/>
      <c r="F732" s="904"/>
      <c r="G732" s="2360" t="str">
        <f>$K$2</f>
        <v>THÁNG 09/2024</v>
      </c>
      <c r="H732" s="2360"/>
      <c r="I732" s="2360"/>
      <c r="J732" s="2360"/>
      <c r="K732" s="935"/>
      <c r="L732" s="935"/>
      <c r="M732" s="935"/>
      <c r="N732" s="935"/>
      <c r="O732" s="935"/>
    </row>
    <row r="733" spans="1:15" ht="15" customHeight="1">
      <c r="A733" s="905" t="s">
        <v>356</v>
      </c>
      <c r="B733" s="642" t="s">
        <v>473</v>
      </c>
      <c r="C733" s="546"/>
      <c r="D733" s="902"/>
      <c r="E733" s="906"/>
      <c r="F733" s="907"/>
      <c r="G733" s="905" t="s">
        <v>356</v>
      </c>
      <c r="H733" s="642" t="s">
        <v>474</v>
      </c>
      <c r="I733" s="546"/>
      <c r="J733" s="902"/>
      <c r="L733" s="938"/>
      <c r="M733" s="938"/>
      <c r="N733" s="938"/>
      <c r="O733" s="938"/>
    </row>
    <row r="734" spans="1:15" ht="15" customHeight="1">
      <c r="A734" s="905" t="s">
        <v>359</v>
      </c>
      <c r="B734" s="939" t="s">
        <v>360</v>
      </c>
      <c r="C734" s="910" t="e">
        <f>VLOOKUP(B733,'LƯƠNG KT'!$D$16:$AC$184,3,0)</f>
        <v>#N/A</v>
      </c>
      <c r="D734" s="609" t="e">
        <f>+C734*25000</f>
        <v>#N/A</v>
      </c>
      <c r="E734" s="911"/>
      <c r="F734" s="911"/>
      <c r="G734" s="905" t="s">
        <v>359</v>
      </c>
      <c r="H734" s="939" t="s">
        <v>360</v>
      </c>
      <c r="I734" s="910" t="e">
        <f>VLOOKUP(H733,'LƯƠNG KT'!$D$16:$AC$184,3,0)</f>
        <v>#N/A</v>
      </c>
      <c r="J734" s="609" t="e">
        <f>+I734*25000</f>
        <v>#N/A</v>
      </c>
      <c r="K734" s="935"/>
      <c r="L734" s="935"/>
      <c r="M734" s="935"/>
      <c r="N734" s="935"/>
      <c r="O734" s="935"/>
    </row>
    <row r="735" spans="1:15" ht="15" customHeight="1">
      <c r="A735" s="905" t="s">
        <v>361</v>
      </c>
      <c r="B735" s="546" t="s">
        <v>362</v>
      </c>
      <c r="C735" s="910" t="e">
        <f>VLOOKUP(B733,'LƯƠNG KT'!$D$16:$AC$184,14,0)</f>
        <v>#N/A</v>
      </c>
      <c r="D735" s="609" t="e">
        <f>C735*$L$4</f>
        <v>#N/A</v>
      </c>
      <c r="E735" s="912"/>
      <c r="F735" s="912"/>
      <c r="G735" s="905" t="s">
        <v>361</v>
      </c>
      <c r="H735" s="546" t="s">
        <v>362</v>
      </c>
      <c r="I735" s="910" t="e">
        <f>VLOOKUP(H733,'LƯƠNG KT'!$D$16:$AC$184,14,0)</f>
        <v>#N/A</v>
      </c>
      <c r="J735" s="609" t="e">
        <f>I735*$L$4</f>
        <v>#N/A</v>
      </c>
      <c r="K735" s="935"/>
      <c r="L735" s="935"/>
      <c r="M735" s="935"/>
      <c r="N735" s="935"/>
      <c r="O735" s="935"/>
    </row>
    <row r="736" spans="1:15" ht="15" customHeight="1">
      <c r="A736" s="905" t="s">
        <v>364</v>
      </c>
      <c r="B736" s="546" t="s">
        <v>365</v>
      </c>
      <c r="C736" s="910" t="e">
        <f>VLOOKUP(B733,'LƯƠNG KT'!$D$16:$AC$184,15,0)</f>
        <v>#N/A</v>
      </c>
      <c r="D736" s="609" t="e">
        <f>C736*$L$5</f>
        <v>#N/A</v>
      </c>
      <c r="E736" s="912"/>
      <c r="F736" s="912"/>
      <c r="G736" s="905" t="s">
        <v>364</v>
      </c>
      <c r="H736" s="546" t="s">
        <v>365</v>
      </c>
      <c r="I736" s="910" t="e">
        <f>VLOOKUP(H733,'LƯƠNG KT'!$D$16:$AC$184,15,0)</f>
        <v>#N/A</v>
      </c>
      <c r="J736" s="609" t="e">
        <f>I736*$L$5</f>
        <v>#N/A</v>
      </c>
      <c r="K736" s="935"/>
      <c r="L736" s="935"/>
      <c r="M736" s="935"/>
      <c r="N736" s="935"/>
      <c r="O736" s="935"/>
    </row>
    <row r="737" spans="1:15" ht="15" customHeight="1">
      <c r="A737" s="905" t="s">
        <v>367</v>
      </c>
      <c r="B737" s="546"/>
      <c r="C737" s="910" t="e">
        <f>VLOOKUP(B733,'LƯƠNG KT'!$D$16:$AC$184,16,0)</f>
        <v>#N/A</v>
      </c>
      <c r="D737" s="609" t="e">
        <f>+C737*$L$6</f>
        <v>#N/A</v>
      </c>
      <c r="E737" s="912"/>
      <c r="F737" s="912"/>
      <c r="G737" s="905" t="s">
        <v>367</v>
      </c>
      <c r="H737" s="546"/>
      <c r="I737" s="910" t="e">
        <f>VLOOKUP(H733,'LƯƠNG KT'!$D$16:$AC$184,16,0)</f>
        <v>#N/A</v>
      </c>
      <c r="J737" s="609" t="e">
        <f>+I737*$L$6</f>
        <v>#N/A</v>
      </c>
      <c r="K737" s="935"/>
      <c r="L737" s="935"/>
      <c r="M737" s="935"/>
      <c r="N737" s="935"/>
      <c r="O737" s="935"/>
    </row>
    <row r="738" spans="1:15" ht="15" customHeight="1">
      <c r="A738" s="905" t="s">
        <v>371</v>
      </c>
      <c r="B738" s="546" t="s">
        <v>372</v>
      </c>
      <c r="C738" s="910" t="e">
        <f>VLOOKUP(B733,'LƯƠNG KT'!$D$16:$AC$184,9,0)*$L$10</f>
        <v>#N/A</v>
      </c>
      <c r="D738" s="609" t="e">
        <f>+C738*0.5*3000</f>
        <v>#N/A</v>
      </c>
      <c r="E738" s="912"/>
      <c r="F738" s="912"/>
      <c r="G738" s="905" t="s">
        <v>371</v>
      </c>
      <c r="H738" s="546" t="s">
        <v>372</v>
      </c>
      <c r="I738" s="910" t="e">
        <f>VLOOKUP(H733,'LƯƠNG KT'!$D$16:$AC$184,9,0)*$L$10</f>
        <v>#N/A</v>
      </c>
      <c r="J738" s="609" t="e">
        <f>+I738*0.5*3000</f>
        <v>#N/A</v>
      </c>
      <c r="K738" s="935"/>
      <c r="L738" s="935"/>
      <c r="M738" s="935"/>
      <c r="N738" s="935"/>
      <c r="O738" s="935"/>
    </row>
    <row r="739" spans="1:15" ht="15" customHeight="1">
      <c r="A739" s="905" t="s">
        <v>374</v>
      </c>
      <c r="B739" s="546" t="s">
        <v>375</v>
      </c>
      <c r="C739" s="910" t="e">
        <f>VLOOKUP(B733,'LƯƠNG KT'!$D$16:$AC$184,8,0)*$L$11</f>
        <v>#N/A</v>
      </c>
      <c r="D739" s="609" t="e">
        <f>VLOOKUP(B733,'LƯƠNG KT'!$D$16:$AC$184,13,0)-D738</f>
        <v>#N/A</v>
      </c>
      <c r="E739" s="914"/>
      <c r="F739" s="912"/>
      <c r="G739" s="905" t="s">
        <v>374</v>
      </c>
      <c r="H739" s="546" t="s">
        <v>375</v>
      </c>
      <c r="I739" s="910" t="e">
        <f>VLOOKUP(H733,'LƯƠNG KT'!$D$16:$AC$184,8,0)*$L$11</f>
        <v>#N/A</v>
      </c>
      <c r="J739" s="609" t="e">
        <f>VLOOKUP(H733,'LƯƠNG KT'!$D$16:$AC$184,13,0)-J738</f>
        <v>#N/A</v>
      </c>
      <c r="K739" s="935"/>
      <c r="L739" s="935"/>
      <c r="M739" s="935"/>
      <c r="N739" s="935"/>
      <c r="O739" s="935"/>
    </row>
    <row r="740" spans="1:15" ht="15" customHeight="1">
      <c r="A740" s="609" t="s">
        <v>377</v>
      </c>
      <c r="B740" s="546" t="s">
        <v>378</v>
      </c>
      <c r="C740" s="910"/>
      <c r="D740" s="609"/>
      <c r="E740" s="916"/>
      <c r="F740" s="916"/>
      <c r="G740" s="609" t="s">
        <v>377</v>
      </c>
      <c r="H740" s="546" t="s">
        <v>378</v>
      </c>
      <c r="I740" s="910"/>
      <c r="J740" s="609"/>
    </row>
    <row r="741" spans="1:15" ht="15" customHeight="1">
      <c r="A741" s="547" t="s">
        <v>379</v>
      </c>
      <c r="B741" s="546" t="s">
        <v>380</v>
      </c>
      <c r="C741" s="910"/>
      <c r="D741" s="609">
        <f>14*25000</f>
        <v>350000</v>
      </c>
      <c r="E741" s="914"/>
      <c r="F741" s="916"/>
      <c r="G741" s="547" t="s">
        <v>379</v>
      </c>
      <c r="H741" s="546" t="s">
        <v>380</v>
      </c>
      <c r="I741" s="910"/>
      <c r="J741" s="609">
        <f>14*25000</f>
        <v>350000</v>
      </c>
    </row>
    <row r="742" spans="1:15" ht="15" customHeight="1">
      <c r="A742" s="905" t="s">
        <v>381</v>
      </c>
      <c r="B742" s="546" t="s">
        <v>382</v>
      </c>
      <c r="C742" s="910"/>
      <c r="D742" s="609">
        <f>D741</f>
        <v>350000</v>
      </c>
      <c r="E742" s="917"/>
      <c r="F742" s="904"/>
      <c r="G742" s="905" t="s">
        <v>381</v>
      </c>
      <c r="H742" s="546" t="s">
        <v>382</v>
      </c>
      <c r="I742" s="910"/>
      <c r="J742" s="609">
        <f>J741</f>
        <v>350000</v>
      </c>
    </row>
    <row r="743" spans="1:15" ht="15" customHeight="1">
      <c r="A743" s="918" t="s">
        <v>383</v>
      </c>
      <c r="B743" s="919" t="s">
        <v>384</v>
      </c>
      <c r="C743" s="920"/>
      <c r="D743" s="921" t="e">
        <f>SUM(D734:D739)-D742</f>
        <v>#N/A</v>
      </c>
      <c r="E743" s="922"/>
      <c r="F743" s="923"/>
      <c r="G743" s="918" t="s">
        <v>383</v>
      </c>
      <c r="H743" s="919" t="s">
        <v>384</v>
      </c>
      <c r="I743" s="920"/>
      <c r="J743" s="921" t="e">
        <f>SUM(J734:J739)-J742</f>
        <v>#N/A</v>
      </c>
    </row>
    <row r="744" spans="1:15" ht="18.75" customHeight="1">
      <c r="A744" s="924"/>
      <c r="B744" s="925"/>
      <c r="C744" s="926"/>
      <c r="D744" s="927"/>
      <c r="E744" s="927"/>
      <c r="F744" s="928"/>
      <c r="G744" s="924"/>
      <c r="H744" s="925"/>
      <c r="I744" s="926"/>
      <c r="J744" s="927"/>
    </row>
    <row r="745" spans="1:15" ht="18.75" customHeight="1">
      <c r="A745" s="925"/>
      <c r="B745" s="925"/>
      <c r="C745" s="929"/>
      <c r="D745" s="930"/>
      <c r="E745" s="925"/>
      <c r="F745" s="931"/>
      <c r="G745" s="925"/>
      <c r="H745" s="925"/>
      <c r="I745" s="929"/>
      <c r="J745" s="930"/>
    </row>
    <row r="746" spans="1:15" ht="15" customHeight="1">
      <c r="A746" s="2360" t="str">
        <f>$K$2</f>
        <v>THÁNG 09/2024</v>
      </c>
      <c r="B746" s="2360"/>
      <c r="C746" s="2360"/>
      <c r="D746" s="2360"/>
      <c r="E746" s="903"/>
      <c r="F746" s="904"/>
      <c r="G746" s="2360" t="str">
        <f>$K$2</f>
        <v>THÁNG 09/2024</v>
      </c>
      <c r="H746" s="2360"/>
      <c r="I746" s="2360"/>
      <c r="J746" s="2360"/>
      <c r="K746" s="276"/>
    </row>
    <row r="747" spans="1:15" ht="15" customHeight="1">
      <c r="A747" s="905" t="s">
        <v>356</v>
      </c>
      <c r="B747" s="642" t="s">
        <v>475</v>
      </c>
      <c r="C747" s="546"/>
      <c r="D747" s="902"/>
      <c r="E747" s="906"/>
      <c r="F747" s="907"/>
      <c r="G747" s="905" t="s">
        <v>356</v>
      </c>
      <c r="H747" s="642" t="s">
        <v>476</v>
      </c>
      <c r="I747" s="546"/>
      <c r="J747" s="902"/>
      <c r="L747" s="938"/>
      <c r="M747" s="938"/>
      <c r="N747" s="938"/>
      <c r="O747" s="938"/>
    </row>
    <row r="748" spans="1:15" ht="15" customHeight="1">
      <c r="A748" s="905" t="s">
        <v>359</v>
      </c>
      <c r="B748" s="939" t="s">
        <v>360</v>
      </c>
      <c r="C748" s="910" t="e">
        <f>VLOOKUP(B747,'LƯƠNG KT'!$D$16:$AC$184,3,0)</f>
        <v>#N/A</v>
      </c>
      <c r="D748" s="609" t="e">
        <f>+C748*25000</f>
        <v>#N/A</v>
      </c>
      <c r="E748" s="911"/>
      <c r="F748" s="911"/>
      <c r="G748" s="905" t="s">
        <v>359</v>
      </c>
      <c r="H748" s="939" t="s">
        <v>360</v>
      </c>
      <c r="I748" s="910" t="e">
        <f>VLOOKUP(H747,'LƯƠNG KT'!$D$16:$AC$184,3,0)</f>
        <v>#N/A</v>
      </c>
      <c r="J748" s="609" t="e">
        <f>+I748*25000</f>
        <v>#N/A</v>
      </c>
      <c r="K748" s="935"/>
      <c r="L748" s="935"/>
      <c r="M748" s="935"/>
      <c r="N748" s="935"/>
      <c r="O748" s="935"/>
    </row>
    <row r="749" spans="1:15" ht="15" customHeight="1">
      <c r="A749" s="905" t="s">
        <v>361</v>
      </c>
      <c r="B749" s="546" t="s">
        <v>362</v>
      </c>
      <c r="C749" s="910" t="e">
        <f>VLOOKUP(B747,'LƯƠNG KT'!$D$16:$AC$184,14,0)</f>
        <v>#N/A</v>
      </c>
      <c r="D749" s="609" t="e">
        <f>C749*$L$4</f>
        <v>#N/A</v>
      </c>
      <c r="E749" s="912"/>
      <c r="F749" s="912"/>
      <c r="G749" s="905" t="s">
        <v>361</v>
      </c>
      <c r="H749" s="546" t="s">
        <v>362</v>
      </c>
      <c r="I749" s="910" t="e">
        <f>VLOOKUP(H747,'LƯƠNG KT'!$D$16:$AC$184,14,0)</f>
        <v>#N/A</v>
      </c>
      <c r="J749" s="609" t="e">
        <f>I749*$L$4</f>
        <v>#N/A</v>
      </c>
      <c r="K749" s="935"/>
      <c r="L749" s="935"/>
      <c r="M749" s="935"/>
      <c r="N749" s="935"/>
      <c r="O749" s="935"/>
    </row>
    <row r="750" spans="1:15" ht="15" customHeight="1">
      <c r="A750" s="905" t="s">
        <v>364</v>
      </c>
      <c r="B750" s="546" t="s">
        <v>365</v>
      </c>
      <c r="C750" s="910" t="e">
        <f>VLOOKUP(B747,'LƯƠNG KT'!$D$16:$AC$184,15,0)</f>
        <v>#N/A</v>
      </c>
      <c r="D750" s="609" t="e">
        <f>C750*$L$5</f>
        <v>#N/A</v>
      </c>
      <c r="E750" s="912"/>
      <c r="F750" s="912"/>
      <c r="G750" s="905" t="s">
        <v>364</v>
      </c>
      <c r="H750" s="546" t="s">
        <v>365</v>
      </c>
      <c r="I750" s="910" t="e">
        <f>VLOOKUP(H747,'LƯƠNG KT'!$D$16:$AC$184,15,0)</f>
        <v>#N/A</v>
      </c>
      <c r="J750" s="609" t="e">
        <f>I750*$L$5</f>
        <v>#N/A</v>
      </c>
      <c r="K750" s="935"/>
      <c r="L750" s="935"/>
      <c r="M750" s="935"/>
      <c r="N750" s="935"/>
      <c r="O750" s="935"/>
    </row>
    <row r="751" spans="1:15" ht="15" customHeight="1">
      <c r="A751" s="905" t="s">
        <v>367</v>
      </c>
      <c r="B751" s="546"/>
      <c r="C751" s="910" t="e">
        <f>VLOOKUP(B747,'LƯƠNG KT'!$D$16:$AC$184,16,0)</f>
        <v>#N/A</v>
      </c>
      <c r="D751" s="609" t="e">
        <f>+C751*$L$6</f>
        <v>#N/A</v>
      </c>
      <c r="E751" s="912"/>
      <c r="F751" s="912"/>
      <c r="G751" s="905" t="s">
        <v>367</v>
      </c>
      <c r="H751" s="546"/>
      <c r="I751" s="910" t="e">
        <f>VLOOKUP(H747,'LƯƠNG KT'!$D$16:$AC$184,16,0)</f>
        <v>#N/A</v>
      </c>
      <c r="J751" s="609" t="e">
        <f>+I751*$L$6</f>
        <v>#N/A</v>
      </c>
      <c r="K751" s="935"/>
      <c r="L751" s="935"/>
      <c r="M751" s="935"/>
      <c r="N751" s="935"/>
      <c r="O751" s="935"/>
    </row>
    <row r="752" spans="1:15" ht="15" customHeight="1">
      <c r="A752" s="905" t="s">
        <v>371</v>
      </c>
      <c r="B752" s="546" t="s">
        <v>372</v>
      </c>
      <c r="C752" s="910" t="e">
        <f>VLOOKUP(B747,'LƯƠNG KT'!$D$16:$AC$184,9,0)*$L$10</f>
        <v>#N/A</v>
      </c>
      <c r="D752" s="609" t="e">
        <f>+C752*0.5*3000</f>
        <v>#N/A</v>
      </c>
      <c r="E752" s="912"/>
      <c r="F752" s="912"/>
      <c r="G752" s="905" t="s">
        <v>371</v>
      </c>
      <c r="H752" s="546" t="s">
        <v>372</v>
      </c>
      <c r="I752" s="910" t="e">
        <f>VLOOKUP(H747,'LƯƠNG KT'!$D$16:$AC$184,9,0)*$L$10</f>
        <v>#N/A</v>
      </c>
      <c r="J752" s="609" t="e">
        <f>+I752*0.5*3000</f>
        <v>#N/A</v>
      </c>
      <c r="K752" s="935"/>
      <c r="L752" s="935"/>
      <c r="M752" s="935"/>
      <c r="N752" s="935"/>
      <c r="O752" s="935"/>
    </row>
    <row r="753" spans="1:15" ht="15" customHeight="1">
      <c r="A753" s="905" t="s">
        <v>374</v>
      </c>
      <c r="B753" s="546" t="s">
        <v>375</v>
      </c>
      <c r="C753" s="910" t="e">
        <f>VLOOKUP(B747,'LƯƠNG KT'!$D$16:$AC$184,8,0)*$L$11</f>
        <v>#N/A</v>
      </c>
      <c r="D753" s="609" t="e">
        <f>VLOOKUP(B747,'LƯƠNG KT'!$D$16:$AC$184,13,0)-D752</f>
        <v>#N/A</v>
      </c>
      <c r="E753" s="914"/>
      <c r="F753" s="912"/>
      <c r="G753" s="905" t="s">
        <v>374</v>
      </c>
      <c r="H753" s="546" t="s">
        <v>375</v>
      </c>
      <c r="I753" s="910" t="e">
        <f>VLOOKUP(H747,'LƯƠNG KT'!$D$16:$AC$184,8,0)*$L$11</f>
        <v>#N/A</v>
      </c>
      <c r="J753" s="609" t="e">
        <f>VLOOKUP(H747,'LƯƠNG KT'!$D$16:$AC$184,13,0)-J752</f>
        <v>#N/A</v>
      </c>
      <c r="K753" s="935"/>
      <c r="L753" s="935"/>
      <c r="M753" s="935"/>
      <c r="N753" s="935"/>
      <c r="O753" s="935"/>
    </row>
    <row r="754" spans="1:15" ht="15" customHeight="1">
      <c r="A754" s="609" t="s">
        <v>377</v>
      </c>
      <c r="B754" s="546" t="s">
        <v>378</v>
      </c>
      <c r="C754" s="910"/>
      <c r="D754" s="609"/>
      <c r="E754" s="916"/>
      <c r="F754" s="916"/>
      <c r="G754" s="609" t="s">
        <v>377</v>
      </c>
      <c r="H754" s="546" t="s">
        <v>378</v>
      </c>
      <c r="I754" s="910"/>
      <c r="J754" s="609"/>
    </row>
    <row r="755" spans="1:15" ht="15" customHeight="1">
      <c r="A755" s="547" t="s">
        <v>379</v>
      </c>
      <c r="B755" s="546" t="s">
        <v>380</v>
      </c>
      <c r="C755" s="910"/>
      <c r="D755" s="609">
        <f>14*25000</f>
        <v>350000</v>
      </c>
      <c r="E755" s="914"/>
      <c r="F755" s="916"/>
      <c r="G755" s="547" t="s">
        <v>379</v>
      </c>
      <c r="H755" s="546" t="s">
        <v>380</v>
      </c>
      <c r="I755" s="910"/>
      <c r="J755" s="609">
        <f>14*25000</f>
        <v>350000</v>
      </c>
    </row>
    <row r="756" spans="1:15" ht="15" customHeight="1">
      <c r="A756" s="905" t="s">
        <v>381</v>
      </c>
      <c r="B756" s="546" t="s">
        <v>382</v>
      </c>
      <c r="C756" s="910"/>
      <c r="D756" s="609">
        <f>D755</f>
        <v>350000</v>
      </c>
      <c r="E756" s="917"/>
      <c r="F756" s="904"/>
      <c r="G756" s="905" t="s">
        <v>381</v>
      </c>
      <c r="H756" s="546" t="s">
        <v>382</v>
      </c>
      <c r="I756" s="910"/>
      <c r="J756" s="609">
        <f>J755</f>
        <v>350000</v>
      </c>
    </row>
    <row r="757" spans="1:15" ht="15" customHeight="1">
      <c r="A757" s="918" t="s">
        <v>383</v>
      </c>
      <c r="B757" s="919" t="s">
        <v>384</v>
      </c>
      <c r="C757" s="920"/>
      <c r="D757" s="921" t="e">
        <f>SUM(D748:D753)-D756</f>
        <v>#N/A</v>
      </c>
      <c r="E757" s="922"/>
      <c r="F757" s="923"/>
      <c r="G757" s="918" t="s">
        <v>383</v>
      </c>
      <c r="H757" s="919" t="s">
        <v>384</v>
      </c>
      <c r="I757" s="920"/>
      <c r="J757" s="921" t="e">
        <f>SUM(J748:J753)-J756</f>
        <v>#N/A</v>
      </c>
    </row>
    <row r="758" spans="1:15" ht="15.75" customHeight="1">
      <c r="A758" s="924"/>
      <c r="B758" s="925"/>
      <c r="C758" s="926"/>
      <c r="D758" s="927"/>
      <c r="E758" s="927"/>
      <c r="F758" s="928"/>
      <c r="G758" s="924"/>
      <c r="H758" s="925"/>
      <c r="I758" s="926"/>
      <c r="J758" s="927"/>
    </row>
    <row r="760" spans="1:15" ht="12" customHeight="1">
      <c r="A760" s="2361"/>
      <c r="B760" s="2361"/>
      <c r="C760" s="2361"/>
      <c r="D760" s="2361"/>
      <c r="E760" s="2361"/>
      <c r="F760" s="2361"/>
      <c r="G760" s="2361"/>
      <c r="H760" s="2361"/>
      <c r="I760" s="2361"/>
      <c r="J760" s="2361"/>
    </row>
    <row r="761" spans="1:15" ht="15" customHeight="1">
      <c r="A761" s="2360" t="str">
        <f>$K$2</f>
        <v>THÁNG 09/2024</v>
      </c>
      <c r="B761" s="2360"/>
      <c r="C761" s="2360"/>
      <c r="D761" s="2360"/>
      <c r="E761" s="903"/>
      <c r="F761" s="904"/>
      <c r="G761" s="2360" t="str">
        <f>$K$2</f>
        <v>THÁNG 09/2024</v>
      </c>
      <c r="H761" s="2360"/>
      <c r="I761" s="2360"/>
      <c r="J761" s="2360"/>
      <c r="K761" s="276"/>
    </row>
    <row r="762" spans="1:15" ht="15" customHeight="1">
      <c r="A762" s="905" t="s">
        <v>356</v>
      </c>
      <c r="B762" s="642" t="s">
        <v>477</v>
      </c>
      <c r="C762" s="546"/>
      <c r="D762" s="902"/>
      <c r="E762" s="906"/>
      <c r="F762" s="907"/>
      <c r="G762" s="905" t="s">
        <v>356</v>
      </c>
      <c r="H762" s="642" t="s">
        <v>478</v>
      </c>
      <c r="I762" s="546"/>
      <c r="J762" s="902"/>
      <c r="L762" s="938"/>
      <c r="M762" s="938"/>
      <c r="N762" s="938"/>
      <c r="O762" s="938"/>
    </row>
    <row r="763" spans="1:15" ht="15" customHeight="1">
      <c r="A763" s="905" t="s">
        <v>359</v>
      </c>
      <c r="B763" s="939" t="s">
        <v>360</v>
      </c>
      <c r="C763" s="910" t="e">
        <f>VLOOKUP(B762,'LƯƠNG KT'!$D$16:$AC$184,3,0)</f>
        <v>#N/A</v>
      </c>
      <c r="D763" s="609" t="e">
        <f>+C763*25000</f>
        <v>#N/A</v>
      </c>
      <c r="E763" s="911"/>
      <c r="F763" s="911"/>
      <c r="G763" s="905" t="s">
        <v>359</v>
      </c>
      <c r="H763" s="939" t="s">
        <v>360</v>
      </c>
      <c r="I763" s="910" t="e">
        <f>VLOOKUP(H762,'LƯƠNG KT'!$D$16:$AC$184,3,0)</f>
        <v>#N/A</v>
      </c>
      <c r="J763" s="609" t="e">
        <f>+I763*25000</f>
        <v>#N/A</v>
      </c>
      <c r="K763" s="934"/>
      <c r="L763" s="935"/>
      <c r="M763" s="935"/>
      <c r="N763" s="935"/>
      <c r="O763" s="935"/>
    </row>
    <row r="764" spans="1:15" ht="15" customHeight="1">
      <c r="A764" s="905" t="s">
        <v>361</v>
      </c>
      <c r="B764" s="546" t="s">
        <v>362</v>
      </c>
      <c r="C764" s="910" t="e">
        <f>VLOOKUP(B762,'LƯƠNG KT'!$D$16:$AC$184,14,0)</f>
        <v>#N/A</v>
      </c>
      <c r="D764" s="609" t="e">
        <f>C764*$L$4</f>
        <v>#N/A</v>
      </c>
      <c r="E764" s="912"/>
      <c r="F764" s="912"/>
      <c r="G764" s="905" t="s">
        <v>361</v>
      </c>
      <c r="H764" s="546" t="s">
        <v>362</v>
      </c>
      <c r="I764" s="910" t="e">
        <f>VLOOKUP(H762,'LƯƠNG KT'!$D$16:$AC$184,14,0)</f>
        <v>#N/A</v>
      </c>
      <c r="J764" s="609" t="e">
        <f>I764*$L$4</f>
        <v>#N/A</v>
      </c>
      <c r="K764" s="934"/>
      <c r="L764" s="935"/>
      <c r="M764" s="935"/>
      <c r="N764" s="935"/>
      <c r="O764" s="935"/>
    </row>
    <row r="765" spans="1:15" ht="15" customHeight="1">
      <c r="A765" s="905" t="s">
        <v>364</v>
      </c>
      <c r="B765" s="546" t="s">
        <v>365</v>
      </c>
      <c r="C765" s="910" t="e">
        <f>VLOOKUP(B762,'LƯƠNG KT'!$D$16:$AC$184,15,0)</f>
        <v>#N/A</v>
      </c>
      <c r="D765" s="609" t="e">
        <f>C765*$L$5</f>
        <v>#N/A</v>
      </c>
      <c r="E765" s="912"/>
      <c r="F765" s="912"/>
      <c r="G765" s="905" t="s">
        <v>364</v>
      </c>
      <c r="H765" s="546" t="s">
        <v>365</v>
      </c>
      <c r="I765" s="910" t="e">
        <f>VLOOKUP(H762,'LƯƠNG KT'!$D$16:$AC$184,15,0)</f>
        <v>#N/A</v>
      </c>
      <c r="J765" s="609" t="e">
        <f>I765*$L$5</f>
        <v>#N/A</v>
      </c>
      <c r="K765" s="934"/>
      <c r="L765" s="935"/>
      <c r="M765" s="935"/>
      <c r="N765" s="935"/>
      <c r="O765" s="935"/>
    </row>
    <row r="766" spans="1:15" ht="15" customHeight="1">
      <c r="A766" s="905" t="s">
        <v>367</v>
      </c>
      <c r="B766" s="546"/>
      <c r="C766" s="910" t="e">
        <f>VLOOKUP(B762,'LƯƠNG KT'!$D$16:$AC$184,16,0)</f>
        <v>#N/A</v>
      </c>
      <c r="D766" s="609" t="e">
        <f>+C766*$L$6</f>
        <v>#N/A</v>
      </c>
      <c r="E766" s="912"/>
      <c r="F766" s="912"/>
      <c r="G766" s="905" t="s">
        <v>367</v>
      </c>
      <c r="H766" s="546"/>
      <c r="I766" s="910" t="e">
        <f>VLOOKUP(H762,'LƯƠNG KT'!$D$16:$AC$184,16,0)</f>
        <v>#N/A</v>
      </c>
      <c r="J766" s="609" t="e">
        <f>+I766*$L$6</f>
        <v>#N/A</v>
      </c>
      <c r="K766" s="935"/>
      <c r="L766" s="935"/>
      <c r="M766" s="935"/>
      <c r="N766" s="935"/>
      <c r="O766" s="935"/>
    </row>
    <row r="767" spans="1:15" ht="15" customHeight="1">
      <c r="A767" s="905" t="s">
        <v>371</v>
      </c>
      <c r="B767" s="546" t="s">
        <v>372</v>
      </c>
      <c r="C767" s="910" t="e">
        <f>VLOOKUP(B762,'LƯƠNG KT'!$D$16:$AC$184,9,0)*$L$10</f>
        <v>#N/A</v>
      </c>
      <c r="D767" s="609" t="e">
        <f>+C767*0.5*3000</f>
        <v>#N/A</v>
      </c>
      <c r="E767" s="912"/>
      <c r="F767" s="912"/>
      <c r="G767" s="905" t="s">
        <v>371</v>
      </c>
      <c r="H767" s="546" t="s">
        <v>372</v>
      </c>
      <c r="I767" s="910" t="e">
        <f>VLOOKUP(H762,'LƯƠNG KT'!$D$16:$AC$184,9,0)*$L$10</f>
        <v>#N/A</v>
      </c>
      <c r="J767" s="609" t="e">
        <f>+I767*0.5*3000</f>
        <v>#N/A</v>
      </c>
      <c r="K767" s="935"/>
      <c r="L767" s="935"/>
      <c r="M767" s="935"/>
      <c r="N767" s="935"/>
      <c r="O767" s="935"/>
    </row>
    <row r="768" spans="1:15" ht="15" customHeight="1">
      <c r="A768" s="905" t="s">
        <v>374</v>
      </c>
      <c r="B768" s="546" t="s">
        <v>375</v>
      </c>
      <c r="C768" s="910" t="e">
        <f>VLOOKUP(B762,'LƯƠNG KT'!$D$16:$AC$184,8,0)*$L$11</f>
        <v>#N/A</v>
      </c>
      <c r="D768" s="609" t="e">
        <f>VLOOKUP(B762,'LƯƠNG KT'!$D$16:$AC$184,13,0)-D767</f>
        <v>#N/A</v>
      </c>
      <c r="E768" s="914"/>
      <c r="F768" s="912"/>
      <c r="G768" s="905" t="s">
        <v>374</v>
      </c>
      <c r="H768" s="546" t="s">
        <v>375</v>
      </c>
      <c r="I768" s="910" t="e">
        <f>VLOOKUP(H762,'LƯƠNG KT'!$D$16:$AC$184,8,0)*$L$11</f>
        <v>#N/A</v>
      </c>
      <c r="J768" s="609" t="e">
        <f>VLOOKUP(H762,'LƯƠNG KT'!$D$16:$AC$184,13,0)-J767</f>
        <v>#N/A</v>
      </c>
      <c r="K768" s="935"/>
      <c r="L768" s="935"/>
      <c r="M768" s="935"/>
      <c r="N768" s="935"/>
      <c r="O768" s="935"/>
    </row>
    <row r="769" spans="1:15" ht="15" customHeight="1">
      <c r="A769" s="609" t="s">
        <v>377</v>
      </c>
      <c r="B769" s="546" t="s">
        <v>378</v>
      </c>
      <c r="C769" s="910"/>
      <c r="D769" s="609"/>
      <c r="E769" s="916"/>
      <c r="F769" s="916"/>
      <c r="G769" s="609" t="s">
        <v>377</v>
      </c>
      <c r="H769" s="546" t="s">
        <v>378</v>
      </c>
      <c r="I769" s="910"/>
      <c r="J769" s="609"/>
    </row>
    <row r="770" spans="1:15" ht="15" customHeight="1">
      <c r="A770" s="547" t="s">
        <v>379</v>
      </c>
      <c r="B770" s="546" t="s">
        <v>380</v>
      </c>
      <c r="C770" s="910"/>
      <c r="D770" s="609">
        <f>14*25000</f>
        <v>350000</v>
      </c>
      <c r="E770" s="914"/>
      <c r="F770" s="916"/>
      <c r="G770" s="547" t="s">
        <v>379</v>
      </c>
      <c r="H770" s="546" t="s">
        <v>380</v>
      </c>
      <c r="I770" s="910"/>
      <c r="J770" s="609">
        <f>14*25000</f>
        <v>350000</v>
      </c>
    </row>
    <row r="771" spans="1:15" ht="15" customHeight="1">
      <c r="A771" s="905" t="s">
        <v>381</v>
      </c>
      <c r="B771" s="546" t="s">
        <v>382</v>
      </c>
      <c r="C771" s="910"/>
      <c r="D771" s="609">
        <f>D770</f>
        <v>350000</v>
      </c>
      <c r="E771" s="917"/>
      <c r="F771" s="904"/>
      <c r="G771" s="905" t="s">
        <v>381</v>
      </c>
      <c r="H771" s="546" t="s">
        <v>382</v>
      </c>
      <c r="I771" s="910"/>
      <c r="J771" s="609">
        <f>J770</f>
        <v>350000</v>
      </c>
    </row>
    <row r="772" spans="1:15" ht="15" customHeight="1">
      <c r="A772" s="918" t="s">
        <v>383</v>
      </c>
      <c r="B772" s="919" t="s">
        <v>384</v>
      </c>
      <c r="C772" s="920"/>
      <c r="D772" s="921" t="e">
        <f>SUM(D763:D768)-D771</f>
        <v>#N/A</v>
      </c>
      <c r="E772" s="922"/>
      <c r="F772" s="923"/>
      <c r="G772" s="918" t="s">
        <v>383</v>
      </c>
      <c r="H772" s="919" t="s">
        <v>384</v>
      </c>
      <c r="I772" s="920"/>
      <c r="J772" s="921" t="e">
        <f>SUM(J763:J768)-J771</f>
        <v>#N/A</v>
      </c>
    </row>
    <row r="773" spans="1:15" ht="12.6" customHeight="1">
      <c r="A773" s="924"/>
      <c r="B773" s="925"/>
      <c r="C773" s="926"/>
      <c r="D773" s="927"/>
      <c r="E773" s="927"/>
      <c r="F773" s="928"/>
      <c r="G773" s="924"/>
      <c r="H773" s="925"/>
      <c r="I773" s="926"/>
      <c r="J773" s="927"/>
    </row>
    <row r="774" spans="1:15" ht="12.6" customHeight="1">
      <c r="A774" s="925"/>
      <c r="B774" s="925"/>
      <c r="C774" s="929"/>
      <c r="D774" s="930"/>
      <c r="E774" s="925"/>
      <c r="F774" s="931"/>
      <c r="G774" s="925"/>
      <c r="H774" s="925"/>
      <c r="I774" s="929"/>
      <c r="J774" s="930"/>
    </row>
    <row r="775" spans="1:15" ht="15" customHeight="1">
      <c r="A775" s="2360" t="str">
        <f>$K$2</f>
        <v>THÁNG 09/2024</v>
      </c>
      <c r="B775" s="2360"/>
      <c r="C775" s="2360"/>
      <c r="D775" s="2360"/>
      <c r="E775" s="903"/>
      <c r="F775" s="904"/>
      <c r="G775" s="2360" t="str">
        <f>$K$2</f>
        <v>THÁNG 09/2024</v>
      </c>
      <c r="H775" s="2360"/>
      <c r="I775" s="2360"/>
      <c r="J775" s="2360"/>
      <c r="K775" s="276"/>
    </row>
    <row r="776" spans="1:15" ht="15" customHeight="1">
      <c r="A776" s="905" t="s">
        <v>356</v>
      </c>
      <c r="B776" s="642" t="s">
        <v>479</v>
      </c>
      <c r="C776" s="546"/>
      <c r="D776" s="902"/>
      <c r="E776" s="906"/>
      <c r="F776" s="907"/>
      <c r="G776" s="905" t="s">
        <v>356</v>
      </c>
      <c r="H776" s="642" t="s">
        <v>480</v>
      </c>
      <c r="I776" s="546"/>
      <c r="J776" s="902"/>
      <c r="L776" s="938"/>
      <c r="M776" s="938"/>
      <c r="N776" s="938"/>
      <c r="O776" s="938"/>
    </row>
    <row r="777" spans="1:15" ht="15" customHeight="1">
      <c r="A777" s="905" t="s">
        <v>359</v>
      </c>
      <c r="B777" s="939" t="s">
        <v>360</v>
      </c>
      <c r="C777" s="910" t="e">
        <f>VLOOKUP(B776,'LƯƠNG KT'!$D$16:$AC$184,3,0)</f>
        <v>#N/A</v>
      </c>
      <c r="D777" s="609" t="e">
        <f>+C777*25000</f>
        <v>#N/A</v>
      </c>
      <c r="E777" s="911"/>
      <c r="F777" s="911"/>
      <c r="G777" s="905" t="s">
        <v>359</v>
      </c>
      <c r="H777" s="939" t="s">
        <v>360</v>
      </c>
      <c r="I777" s="910" t="e">
        <f>VLOOKUP(H776,'LƯƠNG KT'!$D$16:$AC$184,3,0)</f>
        <v>#N/A</v>
      </c>
      <c r="J777" s="609" t="e">
        <f>+I777*25000</f>
        <v>#N/A</v>
      </c>
      <c r="K777" s="935"/>
      <c r="L777" s="935"/>
      <c r="M777" s="935"/>
      <c r="N777" s="935"/>
      <c r="O777" s="935"/>
    </row>
    <row r="778" spans="1:15" ht="15" customHeight="1">
      <c r="A778" s="905" t="s">
        <v>361</v>
      </c>
      <c r="B778" s="546" t="s">
        <v>362</v>
      </c>
      <c r="C778" s="910" t="e">
        <f>VLOOKUP(B776,'LƯƠNG KT'!$D$16:$AC$184,14,0)</f>
        <v>#N/A</v>
      </c>
      <c r="D778" s="609" t="e">
        <f>C778*$L$4</f>
        <v>#N/A</v>
      </c>
      <c r="E778" s="912"/>
      <c r="F778" s="912"/>
      <c r="G778" s="905" t="s">
        <v>361</v>
      </c>
      <c r="H778" s="546" t="s">
        <v>362</v>
      </c>
      <c r="I778" s="910" t="e">
        <f>VLOOKUP(H776,'LƯƠNG KT'!$D$16:$AC$184,14,0)</f>
        <v>#N/A</v>
      </c>
      <c r="J778" s="609" t="e">
        <f>I778*$L$4</f>
        <v>#N/A</v>
      </c>
      <c r="K778" s="935"/>
      <c r="L778" s="935"/>
      <c r="M778" s="935"/>
      <c r="N778" s="935"/>
      <c r="O778" s="935"/>
    </row>
    <row r="779" spans="1:15" ht="15" customHeight="1">
      <c r="A779" s="905" t="s">
        <v>364</v>
      </c>
      <c r="B779" s="546" t="s">
        <v>365</v>
      </c>
      <c r="C779" s="910" t="e">
        <f>VLOOKUP(B776,'LƯƠNG KT'!$D$16:$AC$184,15,0)</f>
        <v>#N/A</v>
      </c>
      <c r="D779" s="609" t="e">
        <f>C779*$L$5</f>
        <v>#N/A</v>
      </c>
      <c r="E779" s="912"/>
      <c r="F779" s="912"/>
      <c r="G779" s="905" t="s">
        <v>364</v>
      </c>
      <c r="H779" s="546" t="s">
        <v>365</v>
      </c>
      <c r="I779" s="910" t="e">
        <f>VLOOKUP(H776,'LƯƠNG KT'!$D$16:$AC$184,15,0)</f>
        <v>#N/A</v>
      </c>
      <c r="J779" s="609" t="e">
        <f>I779*$L$5</f>
        <v>#N/A</v>
      </c>
      <c r="K779" s="935"/>
      <c r="L779" s="935"/>
      <c r="M779" s="935"/>
      <c r="N779" s="935"/>
      <c r="O779" s="935"/>
    </row>
    <row r="780" spans="1:15" ht="15" customHeight="1">
      <c r="A780" s="905" t="s">
        <v>367</v>
      </c>
      <c r="B780" s="546"/>
      <c r="C780" s="910" t="e">
        <f>VLOOKUP(B776,'LƯƠNG KT'!$D$16:$AC$184,16,0)</f>
        <v>#N/A</v>
      </c>
      <c r="D780" s="609" t="e">
        <f>+C780*$L$6</f>
        <v>#N/A</v>
      </c>
      <c r="E780" s="912"/>
      <c r="F780" s="912"/>
      <c r="G780" s="905" t="s">
        <v>367</v>
      </c>
      <c r="H780" s="546"/>
      <c r="I780" s="910" t="e">
        <f>VLOOKUP(H776,'LƯƠNG KT'!$D$16:$AC$184,16,0)</f>
        <v>#N/A</v>
      </c>
      <c r="J780" s="609" t="e">
        <f>+I780*$L$6</f>
        <v>#N/A</v>
      </c>
      <c r="K780" s="935"/>
      <c r="L780" s="935"/>
      <c r="M780" s="935"/>
      <c r="N780" s="935"/>
      <c r="O780" s="935"/>
    </row>
    <row r="781" spans="1:15" ht="15" customHeight="1">
      <c r="A781" s="905" t="s">
        <v>371</v>
      </c>
      <c r="B781" s="546" t="s">
        <v>372</v>
      </c>
      <c r="C781" s="910" t="e">
        <f>VLOOKUP(B776,'LƯƠNG KT'!$D$16:$AC$184,9,0)*$L$10</f>
        <v>#N/A</v>
      </c>
      <c r="D781" s="609" t="e">
        <f>+C781*0.5*3000</f>
        <v>#N/A</v>
      </c>
      <c r="E781" s="912"/>
      <c r="F781" s="912"/>
      <c r="G781" s="905" t="s">
        <v>371</v>
      </c>
      <c r="H781" s="546" t="s">
        <v>372</v>
      </c>
      <c r="I781" s="910" t="e">
        <f>VLOOKUP(H776,'LƯƠNG KT'!$D$16:$AC$184,9,0)*$L$10</f>
        <v>#N/A</v>
      </c>
      <c r="J781" s="609" t="e">
        <f>+I781*0.5*3000</f>
        <v>#N/A</v>
      </c>
      <c r="K781" s="935"/>
      <c r="L781" s="935"/>
      <c r="M781" s="935"/>
      <c r="N781" s="935"/>
      <c r="O781" s="935"/>
    </row>
    <row r="782" spans="1:15" ht="15" customHeight="1">
      <c r="A782" s="905" t="s">
        <v>374</v>
      </c>
      <c r="B782" s="546" t="s">
        <v>375</v>
      </c>
      <c r="C782" s="910" t="e">
        <f>VLOOKUP(B776,'LƯƠNG KT'!$D$16:$AC$184,8,0)*$L$11</f>
        <v>#N/A</v>
      </c>
      <c r="D782" s="609" t="e">
        <f>VLOOKUP(B776,'LƯƠNG KT'!$D$16:$AC$184,13,0)-D781</f>
        <v>#N/A</v>
      </c>
      <c r="E782" s="914"/>
      <c r="F782" s="912"/>
      <c r="G782" s="905" t="s">
        <v>374</v>
      </c>
      <c r="H782" s="546" t="s">
        <v>375</v>
      </c>
      <c r="I782" s="910" t="e">
        <f>VLOOKUP(H776,'LƯƠNG KT'!$D$16:$AC$184,8,0)*$L$11</f>
        <v>#N/A</v>
      </c>
      <c r="J782" s="609" t="e">
        <f>VLOOKUP(H776,'LƯƠNG KT'!$D$16:$AC$184,13,0)-J781</f>
        <v>#N/A</v>
      </c>
      <c r="K782" s="935"/>
      <c r="L782" s="935"/>
      <c r="M782" s="935"/>
      <c r="N782" s="935"/>
      <c r="O782" s="935"/>
    </row>
    <row r="783" spans="1:15" ht="15" customHeight="1">
      <c r="A783" s="609" t="s">
        <v>377</v>
      </c>
      <c r="B783" s="546" t="s">
        <v>378</v>
      </c>
      <c r="C783" s="910"/>
      <c r="D783" s="609"/>
      <c r="E783" s="916"/>
      <c r="F783" s="916"/>
      <c r="G783" s="609" t="s">
        <v>377</v>
      </c>
      <c r="H783" s="546" t="s">
        <v>378</v>
      </c>
      <c r="I783" s="910"/>
      <c r="J783" s="609"/>
    </row>
    <row r="784" spans="1:15" ht="15" customHeight="1">
      <c r="A784" s="547" t="s">
        <v>379</v>
      </c>
      <c r="B784" s="546" t="s">
        <v>380</v>
      </c>
      <c r="C784" s="910"/>
      <c r="D784" s="609">
        <f>14*25000</f>
        <v>350000</v>
      </c>
      <c r="E784" s="914"/>
      <c r="F784" s="916"/>
      <c r="G784" s="547" t="s">
        <v>379</v>
      </c>
      <c r="H784" s="546" t="s">
        <v>380</v>
      </c>
      <c r="I784" s="910"/>
      <c r="J784" s="609">
        <f>14*25000</f>
        <v>350000</v>
      </c>
    </row>
    <row r="785" spans="1:15" ht="15" customHeight="1">
      <c r="A785" s="905" t="s">
        <v>381</v>
      </c>
      <c r="B785" s="546" t="s">
        <v>382</v>
      </c>
      <c r="C785" s="910"/>
      <c r="D785" s="609">
        <f>D784</f>
        <v>350000</v>
      </c>
      <c r="E785" s="917"/>
      <c r="F785" s="904"/>
      <c r="G785" s="905" t="s">
        <v>381</v>
      </c>
      <c r="H785" s="546" t="s">
        <v>382</v>
      </c>
      <c r="I785" s="910"/>
      <c r="J785" s="609">
        <f>J784</f>
        <v>350000</v>
      </c>
    </row>
    <row r="786" spans="1:15" ht="15" customHeight="1">
      <c r="A786" s="918" t="s">
        <v>383</v>
      </c>
      <c r="B786" s="919" t="s">
        <v>384</v>
      </c>
      <c r="C786" s="920"/>
      <c r="D786" s="921" t="e">
        <f>SUM(D777:D782)-D785</f>
        <v>#N/A</v>
      </c>
      <c r="E786" s="922"/>
      <c r="F786" s="923"/>
      <c r="G786" s="918" t="s">
        <v>383</v>
      </c>
      <c r="H786" s="919" t="s">
        <v>384</v>
      </c>
      <c r="I786" s="920"/>
      <c r="J786" s="921" t="e">
        <f>SUM(J777:J782)-J785</f>
        <v>#N/A</v>
      </c>
    </row>
    <row r="787" spans="1:15" ht="18.75" customHeight="1">
      <c r="A787" s="924"/>
      <c r="B787" s="925"/>
      <c r="C787" s="926"/>
      <c r="D787" s="927"/>
      <c r="E787" s="927"/>
      <c r="F787" s="928"/>
      <c r="G787" s="924"/>
      <c r="H787" s="925"/>
      <c r="I787" s="926"/>
      <c r="J787" s="927"/>
    </row>
    <row r="788" spans="1:15" ht="18.75" customHeight="1">
      <c r="A788" s="925"/>
      <c r="B788" s="925"/>
      <c r="C788" s="929"/>
      <c r="D788" s="930"/>
      <c r="E788" s="925"/>
      <c r="F788" s="931"/>
      <c r="G788" s="925"/>
      <c r="H788" s="925"/>
      <c r="I788" s="929"/>
      <c r="J788" s="930"/>
    </row>
    <row r="789" spans="1:15" ht="15" customHeight="1">
      <c r="A789" s="2360" t="str">
        <f>$K$2</f>
        <v>THÁNG 09/2024</v>
      </c>
      <c r="B789" s="2360"/>
      <c r="C789" s="2360"/>
      <c r="D789" s="2360"/>
      <c r="E789" s="903"/>
      <c r="F789" s="904"/>
      <c r="G789" s="2360" t="str">
        <f>$K$2</f>
        <v>THÁNG 09/2024</v>
      </c>
      <c r="H789" s="2360"/>
      <c r="I789" s="2360"/>
      <c r="J789" s="2360"/>
      <c r="K789" s="935"/>
      <c r="L789" s="935"/>
      <c r="M789" s="935"/>
      <c r="N789" s="935"/>
      <c r="O789" s="935"/>
    </row>
    <row r="790" spans="1:15" ht="15" customHeight="1">
      <c r="A790" s="905" t="s">
        <v>356</v>
      </c>
      <c r="B790" s="642" t="s">
        <v>481</v>
      </c>
      <c r="C790" s="546"/>
      <c r="D790" s="902"/>
      <c r="E790" s="906"/>
      <c r="F790" s="907"/>
      <c r="G790" s="905" t="s">
        <v>356</v>
      </c>
      <c r="H790" s="642" t="s">
        <v>482</v>
      </c>
      <c r="I790" s="546"/>
      <c r="J790" s="902"/>
      <c r="L790" s="938"/>
      <c r="M790" s="938"/>
      <c r="N790" s="938"/>
      <c r="O790" s="938"/>
    </row>
    <row r="791" spans="1:15" ht="15" customHeight="1">
      <c r="A791" s="905" t="s">
        <v>359</v>
      </c>
      <c r="B791" s="939" t="s">
        <v>360</v>
      </c>
      <c r="C791" s="910" t="e">
        <f>VLOOKUP(B790,'LƯƠNG KT'!$D$16:$AC$184,3,0)</f>
        <v>#N/A</v>
      </c>
      <c r="D791" s="609" t="e">
        <f>+C791*25000</f>
        <v>#N/A</v>
      </c>
      <c r="E791" s="911"/>
      <c r="F791" s="911"/>
      <c r="G791" s="905" t="s">
        <v>359</v>
      </c>
      <c r="H791" s="939" t="s">
        <v>360</v>
      </c>
      <c r="I791" s="910" t="e">
        <f>VLOOKUP(H790,'LƯƠNG KT'!$D$16:$AC$184,3,0)</f>
        <v>#N/A</v>
      </c>
      <c r="J791" s="609" t="e">
        <f>+I791*25000</f>
        <v>#N/A</v>
      </c>
      <c r="K791" s="935"/>
      <c r="L791" s="935"/>
      <c r="M791" s="935"/>
      <c r="N791" s="935"/>
      <c r="O791" s="935"/>
    </row>
    <row r="792" spans="1:15" ht="15" customHeight="1">
      <c r="A792" s="905" t="s">
        <v>361</v>
      </c>
      <c r="B792" s="546" t="s">
        <v>362</v>
      </c>
      <c r="C792" s="910" t="e">
        <f>VLOOKUP(B790,'LƯƠNG KT'!$D$16:$AC$184,14,0)</f>
        <v>#N/A</v>
      </c>
      <c r="D792" s="609" t="e">
        <f>C792*$L$4</f>
        <v>#N/A</v>
      </c>
      <c r="E792" s="912"/>
      <c r="F792" s="912"/>
      <c r="G792" s="905" t="s">
        <v>361</v>
      </c>
      <c r="H792" s="546" t="s">
        <v>362</v>
      </c>
      <c r="I792" s="910" t="e">
        <f>VLOOKUP(H790,'LƯƠNG KT'!$D$16:$AC$184,14,0)</f>
        <v>#N/A</v>
      </c>
      <c r="J792" s="609" t="e">
        <f>I792*$L$4</f>
        <v>#N/A</v>
      </c>
      <c r="K792" s="935"/>
      <c r="L792" s="935"/>
      <c r="M792" s="935"/>
      <c r="N792" s="935"/>
      <c r="O792" s="935"/>
    </row>
    <row r="793" spans="1:15" ht="15" customHeight="1">
      <c r="A793" s="905" t="s">
        <v>364</v>
      </c>
      <c r="B793" s="546" t="s">
        <v>365</v>
      </c>
      <c r="C793" s="910" t="e">
        <f>VLOOKUP(B790,'LƯƠNG KT'!$D$16:$AC$184,15,0)</f>
        <v>#N/A</v>
      </c>
      <c r="D793" s="609" t="e">
        <f>C793*$L$5</f>
        <v>#N/A</v>
      </c>
      <c r="E793" s="912"/>
      <c r="F793" s="912"/>
      <c r="G793" s="905" t="s">
        <v>364</v>
      </c>
      <c r="H793" s="546" t="s">
        <v>365</v>
      </c>
      <c r="I793" s="910" t="e">
        <f>VLOOKUP(H790,'LƯƠNG KT'!$D$16:$AC$184,15,0)</f>
        <v>#N/A</v>
      </c>
      <c r="J793" s="609" t="e">
        <f>I793*$L$5</f>
        <v>#N/A</v>
      </c>
      <c r="K793" s="935"/>
      <c r="L793" s="935"/>
      <c r="M793" s="935"/>
      <c r="N793" s="935"/>
      <c r="O793" s="935"/>
    </row>
    <row r="794" spans="1:15" ht="15" customHeight="1">
      <c r="A794" s="905" t="s">
        <v>367</v>
      </c>
      <c r="B794" s="546"/>
      <c r="C794" s="910" t="e">
        <f>VLOOKUP(B790,'LƯƠNG KT'!$D$16:$AC$184,16,0)</f>
        <v>#N/A</v>
      </c>
      <c r="D794" s="609" t="e">
        <f>+C794*$L$6</f>
        <v>#N/A</v>
      </c>
      <c r="E794" s="912"/>
      <c r="F794" s="912"/>
      <c r="G794" s="905" t="s">
        <v>367</v>
      </c>
      <c r="H794" s="546"/>
      <c r="I794" s="910" t="e">
        <f>VLOOKUP(H790,'LƯƠNG KT'!$D$16:$AC$184,16,0)</f>
        <v>#N/A</v>
      </c>
      <c r="J794" s="609" t="e">
        <f>+I794*$L$6</f>
        <v>#N/A</v>
      </c>
      <c r="K794" s="935"/>
      <c r="L794" s="935"/>
      <c r="M794" s="935"/>
      <c r="N794" s="935"/>
      <c r="O794" s="935"/>
    </row>
    <row r="795" spans="1:15" ht="15" customHeight="1">
      <c r="A795" s="905" t="s">
        <v>371</v>
      </c>
      <c r="B795" s="546" t="s">
        <v>372</v>
      </c>
      <c r="C795" s="910" t="e">
        <f>VLOOKUP(B790,'LƯƠNG KT'!$D$16:$AC$184,9,0)*$L$10</f>
        <v>#N/A</v>
      </c>
      <c r="D795" s="609" t="e">
        <f>+C795*0.5*3000</f>
        <v>#N/A</v>
      </c>
      <c r="E795" s="912"/>
      <c r="F795" s="912"/>
      <c r="G795" s="905" t="s">
        <v>371</v>
      </c>
      <c r="H795" s="546" t="s">
        <v>372</v>
      </c>
      <c r="I795" s="910" t="e">
        <f>VLOOKUP(H790,'LƯƠNG KT'!$D$16:$AC$184,9,0)*$L$10</f>
        <v>#N/A</v>
      </c>
      <c r="J795" s="609" t="e">
        <f>+I795*0.5*3000</f>
        <v>#N/A</v>
      </c>
      <c r="K795" s="935"/>
      <c r="L795" s="935"/>
      <c r="M795" s="935"/>
      <c r="N795" s="935"/>
      <c r="O795" s="935"/>
    </row>
    <row r="796" spans="1:15" ht="15" customHeight="1">
      <c r="A796" s="905" t="s">
        <v>374</v>
      </c>
      <c r="B796" s="546" t="s">
        <v>375</v>
      </c>
      <c r="C796" s="910" t="e">
        <f>VLOOKUP(B790,'LƯƠNG KT'!$D$16:$AC$184,8,0)*$L$11</f>
        <v>#N/A</v>
      </c>
      <c r="D796" s="609" t="e">
        <f>VLOOKUP(B790,'LƯƠNG KT'!$D$16:$AC$184,13,0)-D795</f>
        <v>#N/A</v>
      </c>
      <c r="E796" s="914"/>
      <c r="F796" s="912"/>
      <c r="G796" s="905" t="s">
        <v>374</v>
      </c>
      <c r="H796" s="546" t="s">
        <v>375</v>
      </c>
      <c r="I796" s="910" t="e">
        <f>VLOOKUP(H790,'LƯƠNG KT'!$D$16:$AC$184,8,0)*$L$11</f>
        <v>#N/A</v>
      </c>
      <c r="J796" s="609" t="e">
        <f>VLOOKUP(H790,'LƯƠNG KT'!$D$16:$AC$184,13,0)-J795</f>
        <v>#N/A</v>
      </c>
      <c r="K796" s="935"/>
      <c r="L796" s="935"/>
      <c r="M796" s="935"/>
      <c r="N796" s="935"/>
      <c r="O796" s="935"/>
    </row>
    <row r="797" spans="1:15" ht="15" customHeight="1">
      <c r="A797" s="609" t="s">
        <v>377</v>
      </c>
      <c r="B797" s="546" t="s">
        <v>378</v>
      </c>
      <c r="C797" s="910"/>
      <c r="D797" s="609"/>
      <c r="E797" s="916"/>
      <c r="F797" s="916"/>
      <c r="G797" s="609" t="s">
        <v>377</v>
      </c>
      <c r="H797" s="546" t="s">
        <v>378</v>
      </c>
      <c r="I797" s="910"/>
      <c r="J797" s="609"/>
    </row>
    <row r="798" spans="1:15" ht="15" customHeight="1">
      <c r="A798" s="547" t="s">
        <v>379</v>
      </c>
      <c r="B798" s="546" t="s">
        <v>380</v>
      </c>
      <c r="C798" s="910"/>
      <c r="D798" s="609">
        <f>14*25000</f>
        <v>350000</v>
      </c>
      <c r="E798" s="914"/>
      <c r="F798" s="916"/>
      <c r="G798" s="547" t="s">
        <v>379</v>
      </c>
      <c r="H798" s="546" t="s">
        <v>380</v>
      </c>
      <c r="I798" s="910"/>
      <c r="J798" s="609">
        <f>14*25000</f>
        <v>350000</v>
      </c>
    </row>
    <row r="799" spans="1:15" ht="15" customHeight="1">
      <c r="A799" s="905" t="s">
        <v>381</v>
      </c>
      <c r="B799" s="546" t="s">
        <v>382</v>
      </c>
      <c r="C799" s="910"/>
      <c r="D799" s="609">
        <f>D798</f>
        <v>350000</v>
      </c>
      <c r="E799" s="917"/>
      <c r="F799" s="904"/>
      <c r="G799" s="905" t="s">
        <v>381</v>
      </c>
      <c r="H799" s="546" t="s">
        <v>382</v>
      </c>
      <c r="I799" s="910"/>
      <c r="J799" s="609">
        <f>J798</f>
        <v>350000</v>
      </c>
    </row>
    <row r="800" spans="1:15" ht="15" customHeight="1">
      <c r="A800" s="918" t="s">
        <v>383</v>
      </c>
      <c r="B800" s="919" t="s">
        <v>384</v>
      </c>
      <c r="C800" s="920"/>
      <c r="D800" s="921" t="e">
        <f>SUM(D791:D796)-D799</f>
        <v>#N/A</v>
      </c>
      <c r="E800" s="922"/>
      <c r="F800" s="923"/>
      <c r="G800" s="918" t="s">
        <v>383</v>
      </c>
      <c r="H800" s="919" t="s">
        <v>384</v>
      </c>
      <c r="I800" s="920"/>
      <c r="J800" s="921" t="e">
        <f>SUM(J791:J796)-J799</f>
        <v>#N/A</v>
      </c>
    </row>
    <row r="801" spans="1:15" ht="18.75" customHeight="1">
      <c r="A801" s="924"/>
      <c r="B801" s="925"/>
      <c r="C801" s="926"/>
      <c r="D801" s="927"/>
      <c r="E801" s="927"/>
      <c r="F801" s="928"/>
      <c r="G801" s="924"/>
      <c r="H801" s="925"/>
      <c r="I801" s="926"/>
      <c r="J801" s="927"/>
      <c r="K801" s="940" t="s">
        <v>429</v>
      </c>
      <c r="L801" s="940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0"/>
      <c r="N801" s="940"/>
      <c r="O801" s="940"/>
    </row>
    <row r="802" spans="1:15" ht="18.75" customHeight="1">
      <c r="A802" s="925"/>
      <c r="B802" s="925"/>
      <c r="C802" s="929"/>
      <c r="D802" s="930"/>
      <c r="E802" s="925"/>
      <c r="F802" s="931"/>
      <c r="G802" s="925"/>
      <c r="H802" s="925"/>
      <c r="I802" s="929"/>
      <c r="J802" s="930"/>
    </row>
    <row r="803" spans="1:15" ht="15" customHeight="1">
      <c r="A803" s="2360" t="str">
        <f>$K$2</f>
        <v>THÁNG 09/2024</v>
      </c>
      <c r="B803" s="2360"/>
      <c r="C803" s="2360"/>
      <c r="D803" s="2360"/>
      <c r="E803" s="903"/>
      <c r="F803" s="904"/>
      <c r="G803" s="2360" t="str">
        <f>$K$2</f>
        <v>THÁNG 09/2024</v>
      </c>
      <c r="H803" s="2360"/>
      <c r="I803" s="2360"/>
      <c r="J803" s="2360"/>
      <c r="K803" s="276"/>
    </row>
    <row r="804" spans="1:15" ht="15" customHeight="1">
      <c r="A804" s="905" t="s">
        <v>356</v>
      </c>
      <c r="B804" s="642" t="s">
        <v>483</v>
      </c>
      <c r="C804" s="546"/>
      <c r="D804" s="902"/>
      <c r="E804" s="906"/>
      <c r="F804" s="907"/>
      <c r="G804" s="905" t="s">
        <v>356</v>
      </c>
      <c r="H804" s="642" t="s">
        <v>484</v>
      </c>
      <c r="I804" s="546"/>
      <c r="J804" s="902"/>
      <c r="L804" s="938"/>
      <c r="M804" s="938"/>
      <c r="N804" s="938"/>
      <c r="O804" s="938"/>
    </row>
    <row r="805" spans="1:15" ht="15" customHeight="1">
      <c r="A805" s="905" t="s">
        <v>359</v>
      </c>
      <c r="B805" s="939" t="s">
        <v>360</v>
      </c>
      <c r="C805" s="910" t="e">
        <f>VLOOKUP(B804,'LƯƠNG KT'!$D$16:$AC$184,3,0)</f>
        <v>#N/A</v>
      </c>
      <c r="D805" s="609" t="e">
        <f>+C805*25000</f>
        <v>#N/A</v>
      </c>
      <c r="E805" s="911"/>
      <c r="F805" s="911"/>
      <c r="G805" s="905" t="s">
        <v>359</v>
      </c>
      <c r="H805" s="939" t="s">
        <v>360</v>
      </c>
      <c r="I805" s="910" t="e">
        <f>VLOOKUP(H804,'LƯƠNG KT'!$D$16:$AC$184,3,0)</f>
        <v>#N/A</v>
      </c>
      <c r="J805" s="609" t="e">
        <f>+I805*25000</f>
        <v>#N/A</v>
      </c>
      <c r="K805" s="935"/>
      <c r="L805" s="935"/>
      <c r="M805" s="935"/>
      <c r="N805" s="935"/>
      <c r="O805" s="935"/>
    </row>
    <row r="806" spans="1:15" ht="15" customHeight="1">
      <c r="A806" s="905" t="s">
        <v>361</v>
      </c>
      <c r="B806" s="546" t="s">
        <v>362</v>
      </c>
      <c r="C806" s="910" t="e">
        <f>VLOOKUP(B804,'LƯƠNG KT'!$D$16:$AC$184,14,0)</f>
        <v>#N/A</v>
      </c>
      <c r="D806" s="609" t="e">
        <f>C806*$L$4</f>
        <v>#N/A</v>
      </c>
      <c r="E806" s="912"/>
      <c r="F806" s="912"/>
      <c r="G806" s="905" t="s">
        <v>361</v>
      </c>
      <c r="H806" s="546" t="s">
        <v>362</v>
      </c>
      <c r="I806" s="910" t="e">
        <f>VLOOKUP(H804,'LƯƠNG KT'!$D$16:$AC$184,14,0)</f>
        <v>#N/A</v>
      </c>
      <c r="J806" s="609" t="e">
        <f>I806*$L$4</f>
        <v>#N/A</v>
      </c>
      <c r="K806" s="935"/>
      <c r="L806" s="935"/>
      <c r="M806" s="935"/>
      <c r="N806" s="935"/>
      <c r="O806" s="935"/>
    </row>
    <row r="807" spans="1:15" ht="15" customHeight="1">
      <c r="A807" s="905" t="s">
        <v>364</v>
      </c>
      <c r="B807" s="546" t="s">
        <v>365</v>
      </c>
      <c r="C807" s="910" t="e">
        <f>VLOOKUP(B804,'LƯƠNG KT'!$D$16:$AC$184,15,0)</f>
        <v>#N/A</v>
      </c>
      <c r="D807" s="609" t="e">
        <f>C807*$L$5</f>
        <v>#N/A</v>
      </c>
      <c r="E807" s="912"/>
      <c r="F807" s="912"/>
      <c r="G807" s="905" t="s">
        <v>364</v>
      </c>
      <c r="H807" s="546" t="s">
        <v>365</v>
      </c>
      <c r="I807" s="910" t="e">
        <f>VLOOKUP(H804,'LƯƠNG KT'!$D$16:$AC$184,15,0)</f>
        <v>#N/A</v>
      </c>
      <c r="J807" s="609" t="e">
        <f>I807*$L$5</f>
        <v>#N/A</v>
      </c>
      <c r="K807" s="935"/>
      <c r="L807" s="935"/>
      <c r="M807" s="935"/>
      <c r="N807" s="935"/>
      <c r="O807" s="935"/>
    </row>
    <row r="808" spans="1:15" ht="15" customHeight="1">
      <c r="A808" s="905" t="s">
        <v>367</v>
      </c>
      <c r="B808" s="546"/>
      <c r="C808" s="910" t="e">
        <f>VLOOKUP(B804,'LƯƠNG KT'!$D$16:$AC$184,16,0)</f>
        <v>#N/A</v>
      </c>
      <c r="D808" s="609" t="e">
        <f>+C808*$L$6</f>
        <v>#N/A</v>
      </c>
      <c r="E808" s="912"/>
      <c r="F808" s="912"/>
      <c r="G808" s="905" t="s">
        <v>367</v>
      </c>
      <c r="H808" s="546"/>
      <c r="I808" s="910" t="e">
        <f>VLOOKUP(H804,'LƯƠNG KT'!$D$16:$AC$184,16,0)</f>
        <v>#N/A</v>
      </c>
      <c r="J808" s="609" t="e">
        <f>+I808*$L$6</f>
        <v>#N/A</v>
      </c>
      <c r="K808" s="935"/>
      <c r="L808" s="935"/>
      <c r="M808" s="935"/>
      <c r="N808" s="935"/>
      <c r="O808" s="935"/>
    </row>
    <row r="809" spans="1:15" ht="15" customHeight="1">
      <c r="A809" s="905" t="s">
        <v>371</v>
      </c>
      <c r="B809" s="546" t="s">
        <v>372</v>
      </c>
      <c r="C809" s="910" t="e">
        <f>VLOOKUP(B804,'LƯƠNG KT'!$D$16:$AC$184,9,0)*$L$10</f>
        <v>#N/A</v>
      </c>
      <c r="D809" s="609" t="e">
        <f>+C809*0.5*3000</f>
        <v>#N/A</v>
      </c>
      <c r="E809" s="912"/>
      <c r="F809" s="912"/>
      <c r="G809" s="905" t="s">
        <v>371</v>
      </c>
      <c r="H809" s="546" t="s">
        <v>372</v>
      </c>
      <c r="I809" s="910" t="e">
        <f>VLOOKUP(H804,'LƯƠNG KT'!$D$16:$AC$184,9,0)*$L$10</f>
        <v>#N/A</v>
      </c>
      <c r="J809" s="609" t="e">
        <f>+I809*0.5*3000</f>
        <v>#N/A</v>
      </c>
      <c r="K809" s="935"/>
      <c r="L809" s="935"/>
      <c r="M809" s="935"/>
      <c r="N809" s="935"/>
      <c r="O809" s="935"/>
    </row>
    <row r="810" spans="1:15" ht="15" customHeight="1">
      <c r="A810" s="905" t="s">
        <v>374</v>
      </c>
      <c r="B810" s="546" t="s">
        <v>375</v>
      </c>
      <c r="C810" s="910" t="e">
        <f>VLOOKUP(B804,'LƯƠNG KT'!$D$16:$AC$184,8,0)*$L$11</f>
        <v>#N/A</v>
      </c>
      <c r="D810" s="609" t="e">
        <f>VLOOKUP(B804,'LƯƠNG KT'!$D$16:$AC$184,13,0)-D809</f>
        <v>#N/A</v>
      </c>
      <c r="E810" s="914"/>
      <c r="F810" s="912"/>
      <c r="G810" s="905" t="s">
        <v>374</v>
      </c>
      <c r="H810" s="546" t="s">
        <v>375</v>
      </c>
      <c r="I810" s="910" t="e">
        <f>VLOOKUP(H804,'LƯƠNG KT'!$D$16:$AC$184,8,0)*$L$11</f>
        <v>#N/A</v>
      </c>
      <c r="J810" s="609" t="e">
        <f>VLOOKUP(H804,'LƯƠNG KT'!$D$16:$AC$184,13,0)-J809</f>
        <v>#N/A</v>
      </c>
      <c r="K810" s="935"/>
      <c r="L810" s="935"/>
      <c r="M810" s="935"/>
      <c r="N810" s="935"/>
      <c r="O810" s="935"/>
    </row>
    <row r="811" spans="1:15" ht="15" customHeight="1">
      <c r="A811" s="609" t="s">
        <v>377</v>
      </c>
      <c r="B811" s="546" t="s">
        <v>378</v>
      </c>
      <c r="C811" s="910"/>
      <c r="D811" s="609"/>
      <c r="E811" s="916"/>
      <c r="F811" s="916"/>
      <c r="G811" s="609" t="s">
        <v>377</v>
      </c>
      <c r="H811" s="546" t="s">
        <v>378</v>
      </c>
      <c r="I811" s="910"/>
      <c r="J811" s="609"/>
    </row>
    <row r="812" spans="1:15" ht="15" customHeight="1">
      <c r="A812" s="547" t="s">
        <v>379</v>
      </c>
      <c r="B812" s="546" t="s">
        <v>380</v>
      </c>
      <c r="C812" s="910"/>
      <c r="D812" s="609">
        <f>14*25000</f>
        <v>350000</v>
      </c>
      <c r="E812" s="914"/>
      <c r="F812" s="916"/>
      <c r="G812" s="547" t="s">
        <v>379</v>
      </c>
      <c r="H812" s="546" t="s">
        <v>380</v>
      </c>
      <c r="I812" s="910"/>
      <c r="J812" s="609"/>
    </row>
    <row r="813" spans="1:15" ht="15" customHeight="1">
      <c r="A813" s="905" t="s">
        <v>381</v>
      </c>
      <c r="B813" s="546" t="s">
        <v>382</v>
      </c>
      <c r="C813" s="910"/>
      <c r="D813" s="609">
        <f>D812</f>
        <v>350000</v>
      </c>
      <c r="E813" s="917"/>
      <c r="F813" s="904"/>
      <c r="G813" s="905" t="s">
        <v>381</v>
      </c>
      <c r="H813" s="546" t="s">
        <v>382</v>
      </c>
      <c r="I813" s="910"/>
      <c r="J813" s="609">
        <f>J812</f>
        <v>0</v>
      </c>
    </row>
    <row r="814" spans="1:15" ht="15" customHeight="1">
      <c r="A814" s="918" t="s">
        <v>383</v>
      </c>
      <c r="B814" s="919" t="s">
        <v>384</v>
      </c>
      <c r="C814" s="920"/>
      <c r="D814" s="921" t="e">
        <f>SUM(D805:D810)-D813</f>
        <v>#N/A</v>
      </c>
      <c r="E814" s="922"/>
      <c r="F814" s="923"/>
      <c r="G814" s="918" t="s">
        <v>383</v>
      </c>
      <c r="H814" s="919" t="s">
        <v>384</v>
      </c>
      <c r="I814" s="920"/>
      <c r="J814" s="921" t="e">
        <f>SUM(J805:J810)-J813</f>
        <v>#N/A</v>
      </c>
    </row>
    <row r="815" spans="1:15" ht="15.75" customHeight="1">
      <c r="A815" s="924"/>
      <c r="B815" s="925"/>
      <c r="C815" s="926"/>
      <c r="D815" s="927"/>
      <c r="E815" s="927"/>
      <c r="F815" s="928"/>
      <c r="G815" s="924"/>
      <c r="H815" s="925"/>
      <c r="I815" s="926"/>
      <c r="J815" s="927"/>
    </row>
    <row r="817" spans="1:15" ht="12" customHeight="1">
      <c r="A817" s="2362" t="s">
        <v>485</v>
      </c>
      <c r="B817" s="2362"/>
      <c r="C817" s="2362"/>
      <c r="D817" s="2362"/>
      <c r="E817" s="2362"/>
      <c r="F817" s="2362"/>
      <c r="G817" s="2362"/>
      <c r="H817" s="2362"/>
      <c r="I817" s="2362"/>
      <c r="J817" s="2362"/>
    </row>
    <row r="818" spans="1:15" ht="15" customHeight="1">
      <c r="A818" s="2360" t="str">
        <f>$K$2</f>
        <v>THÁNG 09/2024</v>
      </c>
      <c r="B818" s="2360"/>
      <c r="C818" s="2360"/>
      <c r="D818" s="2360"/>
      <c r="E818" s="903"/>
      <c r="F818" s="904"/>
      <c r="G818" s="2360" t="str">
        <f>$K$2</f>
        <v>THÁNG 09/2024</v>
      </c>
      <c r="H818" s="2360"/>
      <c r="I818" s="2360"/>
      <c r="J818" s="2360"/>
      <c r="K818" s="276"/>
    </row>
    <row r="819" spans="1:15" ht="15" customHeight="1">
      <c r="A819" s="905" t="s">
        <v>356</v>
      </c>
      <c r="B819" s="642" t="s">
        <v>14</v>
      </c>
      <c r="C819" s="546"/>
      <c r="D819" s="902"/>
      <c r="E819" s="906"/>
      <c r="F819" s="907"/>
      <c r="G819" s="905" t="s">
        <v>356</v>
      </c>
      <c r="H819" s="642" t="s">
        <v>16</v>
      </c>
      <c r="I819" s="546"/>
      <c r="J819" s="902"/>
      <c r="L819" s="938"/>
      <c r="M819" s="938"/>
      <c r="N819" s="938"/>
      <c r="O819" s="938"/>
    </row>
    <row r="820" spans="1:15" ht="15" customHeight="1">
      <c r="A820" s="905" t="s">
        <v>359</v>
      </c>
      <c r="B820" s="939" t="s">
        <v>360</v>
      </c>
      <c r="C820" s="910" t="e">
        <f>VLOOKUP(B819,'LƯƠNG KT'!$D$16:$AC$184,3,0)</f>
        <v>#N/A</v>
      </c>
      <c r="D820" s="609" t="e">
        <f>+C820*25000</f>
        <v>#N/A</v>
      </c>
      <c r="E820" s="911"/>
      <c r="F820" s="911"/>
      <c r="G820" s="905" t="s">
        <v>359</v>
      </c>
      <c r="H820" s="939" t="s">
        <v>360</v>
      </c>
      <c r="I820" s="910" t="e">
        <f>VLOOKUP(H819,'LƯƠNG KT'!$D$16:$AC$184,3,0)</f>
        <v>#N/A</v>
      </c>
      <c r="J820" s="609" t="e">
        <f>+I820*25000</f>
        <v>#N/A</v>
      </c>
      <c r="K820" s="934"/>
      <c r="L820" s="935"/>
      <c r="M820" s="935"/>
      <c r="N820" s="935"/>
      <c r="O820" s="935"/>
    </row>
    <row r="821" spans="1:15" ht="15" customHeight="1">
      <c r="A821" s="905" t="s">
        <v>361</v>
      </c>
      <c r="B821" s="546" t="s">
        <v>362</v>
      </c>
      <c r="C821" s="910" t="e">
        <f>VLOOKUP(B819,'LƯƠNG KT'!$D$16:$AC$184,14,0)</f>
        <v>#N/A</v>
      </c>
      <c r="D821" s="609" t="e">
        <f>C821*$L$4</f>
        <v>#N/A</v>
      </c>
      <c r="E821" s="912"/>
      <c r="F821" s="912"/>
      <c r="G821" s="905" t="s">
        <v>361</v>
      </c>
      <c r="H821" s="546" t="s">
        <v>362</v>
      </c>
      <c r="I821" s="910" t="e">
        <f>VLOOKUP(H819,'LƯƠNG KT'!$D$16:$AC$184,14,0)</f>
        <v>#N/A</v>
      </c>
      <c r="J821" s="609" t="e">
        <f>I821*$L$4</f>
        <v>#N/A</v>
      </c>
      <c r="K821" s="934"/>
      <c r="L821" s="935"/>
      <c r="M821" s="935"/>
      <c r="N821" s="935"/>
      <c r="O821" s="935"/>
    </row>
    <row r="822" spans="1:15" ht="15" customHeight="1">
      <c r="A822" s="905" t="s">
        <v>364</v>
      </c>
      <c r="B822" s="546" t="s">
        <v>365</v>
      </c>
      <c r="C822" s="910" t="e">
        <f>VLOOKUP(B819,'LƯƠNG KT'!$D$16:$AC$184,15,0)</f>
        <v>#N/A</v>
      </c>
      <c r="D822" s="609" t="e">
        <f>C822*$L$5</f>
        <v>#N/A</v>
      </c>
      <c r="E822" s="912"/>
      <c r="F822" s="912"/>
      <c r="G822" s="905" t="s">
        <v>364</v>
      </c>
      <c r="H822" s="546" t="s">
        <v>365</v>
      </c>
      <c r="I822" s="910" t="e">
        <f>VLOOKUP(H819,'LƯƠNG KT'!$D$16:$AC$184,15,0)</f>
        <v>#N/A</v>
      </c>
      <c r="J822" s="609" t="e">
        <f>I822*$L$5</f>
        <v>#N/A</v>
      </c>
      <c r="K822" s="934"/>
      <c r="L822" s="935"/>
      <c r="M822" s="935"/>
      <c r="N822" s="935"/>
      <c r="O822" s="935"/>
    </row>
    <row r="823" spans="1:15" ht="15" customHeight="1">
      <c r="A823" s="905" t="s">
        <v>367</v>
      </c>
      <c r="B823" s="546"/>
      <c r="C823" s="910" t="e">
        <f>VLOOKUP(B819,'LƯƠNG KT'!$D$16:$AC$184,16,0)</f>
        <v>#N/A</v>
      </c>
      <c r="D823" s="609" t="e">
        <f>+C823*$L$6</f>
        <v>#N/A</v>
      </c>
      <c r="E823" s="912"/>
      <c r="F823" s="912"/>
      <c r="G823" s="905" t="s">
        <v>367</v>
      </c>
      <c r="H823" s="546"/>
      <c r="I823" s="910" t="e">
        <f>VLOOKUP(H819,'LƯƠNG KT'!$D$16:$AC$184,16,0)</f>
        <v>#N/A</v>
      </c>
      <c r="J823" s="609" t="e">
        <f>+I823*$L$6</f>
        <v>#N/A</v>
      </c>
      <c r="K823" s="935"/>
      <c r="L823" s="935"/>
      <c r="M823" s="935"/>
      <c r="N823" s="935"/>
      <c r="O823" s="935"/>
    </row>
    <row r="824" spans="1:15" ht="15" customHeight="1">
      <c r="A824" s="905" t="s">
        <v>371</v>
      </c>
      <c r="B824" s="546" t="s">
        <v>372</v>
      </c>
      <c r="C824" s="910" t="e">
        <f>VLOOKUP(B819,'LƯƠNG KT'!$D$16:$AC$184,9,0)*$L$10</f>
        <v>#N/A</v>
      </c>
      <c r="D824" s="609" t="e">
        <f>+C824*0.5*3000</f>
        <v>#N/A</v>
      </c>
      <c r="E824" s="912"/>
      <c r="F824" s="912"/>
      <c r="G824" s="905" t="s">
        <v>371</v>
      </c>
      <c r="H824" s="546" t="s">
        <v>372</v>
      </c>
      <c r="I824" s="910" t="e">
        <f>VLOOKUP(H819,'LƯƠNG KT'!$D$16:$AC$184,9,0)*$L$10</f>
        <v>#N/A</v>
      </c>
      <c r="J824" s="609" t="e">
        <f>+I824*0.5*3000</f>
        <v>#N/A</v>
      </c>
      <c r="K824" s="935"/>
      <c r="L824" s="935"/>
      <c r="M824" s="935"/>
      <c r="N824" s="935"/>
      <c r="O824" s="935"/>
    </row>
    <row r="825" spans="1:15" ht="15" customHeight="1">
      <c r="A825" s="905" t="s">
        <v>374</v>
      </c>
      <c r="B825" s="546" t="s">
        <v>375</v>
      </c>
      <c r="C825" s="910" t="e">
        <f>VLOOKUP(B819,'LƯƠNG KT'!$D$16:$AC$184,8,0)*$L$11</f>
        <v>#N/A</v>
      </c>
      <c r="D825" s="609" t="e">
        <f>VLOOKUP(B819,'LƯƠNG KT'!$D$16:$AC$184,13,0)-D824</f>
        <v>#N/A</v>
      </c>
      <c r="E825" s="914"/>
      <c r="F825" s="912"/>
      <c r="G825" s="905" t="s">
        <v>374</v>
      </c>
      <c r="H825" s="546" t="s">
        <v>375</v>
      </c>
      <c r="I825" s="910" t="e">
        <f>VLOOKUP(H819,'LƯƠNG KT'!$D$16:$AC$184,8,0)*$L$11</f>
        <v>#N/A</v>
      </c>
      <c r="J825" s="609" t="e">
        <f>VLOOKUP(H819,'LƯƠNG KT'!$D$16:$AC$184,13,0)-J824</f>
        <v>#N/A</v>
      </c>
      <c r="K825" s="935"/>
      <c r="L825" s="935"/>
      <c r="M825" s="935"/>
      <c r="N825" s="935"/>
      <c r="O825" s="935"/>
    </row>
    <row r="826" spans="1:15" ht="15" customHeight="1">
      <c r="A826" s="609" t="s">
        <v>377</v>
      </c>
      <c r="B826" s="546" t="s">
        <v>378</v>
      </c>
      <c r="C826" s="910"/>
      <c r="D826" s="609"/>
      <c r="E826" s="916"/>
      <c r="F826" s="916"/>
      <c r="G826" s="609" t="s">
        <v>377</v>
      </c>
      <c r="H826" s="546" t="s">
        <v>378</v>
      </c>
      <c r="I826" s="910"/>
      <c r="J826" s="609"/>
    </row>
    <row r="827" spans="1:15" ht="15" customHeight="1">
      <c r="A827" s="547" t="s">
        <v>379</v>
      </c>
      <c r="B827" s="546" t="s">
        <v>380</v>
      </c>
      <c r="C827" s="910"/>
      <c r="D827" s="609"/>
      <c r="E827" s="914"/>
      <c r="F827" s="916"/>
      <c r="G827" s="547" t="s">
        <v>379</v>
      </c>
      <c r="H827" s="546" t="s">
        <v>380</v>
      </c>
      <c r="I827" s="910"/>
      <c r="J827" s="609"/>
    </row>
    <row r="828" spans="1:15" ht="15" customHeight="1">
      <c r="A828" s="905" t="s">
        <v>381</v>
      </c>
      <c r="B828" s="546" t="s">
        <v>382</v>
      </c>
      <c r="C828" s="910"/>
      <c r="D828" s="609">
        <f>D827</f>
        <v>0</v>
      </c>
      <c r="E828" s="917"/>
      <c r="F828" s="904"/>
      <c r="G828" s="905" t="s">
        <v>381</v>
      </c>
      <c r="H828" s="546" t="s">
        <v>382</v>
      </c>
      <c r="I828" s="910"/>
      <c r="J828" s="609">
        <f>J827</f>
        <v>0</v>
      </c>
    </row>
    <row r="829" spans="1:15" ht="15" customHeight="1">
      <c r="A829" s="918" t="s">
        <v>383</v>
      </c>
      <c r="B829" s="919" t="s">
        <v>384</v>
      </c>
      <c r="C829" s="920"/>
      <c r="D829" s="921" t="e">
        <f>SUM(D820:D825)-D828</f>
        <v>#N/A</v>
      </c>
      <c r="E829" s="922"/>
      <c r="F829" s="923"/>
      <c r="G829" s="918" t="s">
        <v>383</v>
      </c>
      <c r="H829" s="919" t="s">
        <v>384</v>
      </c>
      <c r="I829" s="920"/>
      <c r="J829" s="921" t="e">
        <f>SUM(J820:J825)-J828</f>
        <v>#N/A</v>
      </c>
    </row>
    <row r="830" spans="1:15" ht="12.6" customHeight="1">
      <c r="A830" s="924"/>
      <c r="B830" s="925"/>
      <c r="C830" s="926"/>
      <c r="D830" s="927"/>
      <c r="E830" s="927"/>
      <c r="F830" s="928"/>
      <c r="G830" s="924"/>
      <c r="H830" s="925"/>
      <c r="I830" s="926"/>
      <c r="J830" s="927"/>
    </row>
    <row r="831" spans="1:15" ht="12.6" customHeight="1">
      <c r="A831" s="925"/>
      <c r="B831" s="925"/>
      <c r="C831" s="929"/>
      <c r="D831" s="930"/>
      <c r="E831" s="925"/>
      <c r="F831" s="931"/>
      <c r="G831" s="925"/>
      <c r="H831" s="925"/>
      <c r="I831" s="929"/>
      <c r="J831" s="930"/>
    </row>
    <row r="832" spans="1:15" ht="15" customHeight="1">
      <c r="A832" s="2360" t="str">
        <f>$K$2</f>
        <v>THÁNG 09/2024</v>
      </c>
      <c r="B832" s="2360"/>
      <c r="C832" s="2360"/>
      <c r="D832" s="2360"/>
      <c r="E832" s="903"/>
      <c r="F832" s="904"/>
      <c r="G832" s="2360" t="str">
        <f>$K$2</f>
        <v>THÁNG 09/2024</v>
      </c>
      <c r="H832" s="2360"/>
      <c r="I832" s="2360"/>
      <c r="J832" s="2360"/>
      <c r="K832" s="276"/>
    </row>
    <row r="833" spans="1:15" ht="15" customHeight="1">
      <c r="A833" s="905" t="s">
        <v>356</v>
      </c>
      <c r="B833" s="642" t="s">
        <v>17</v>
      </c>
      <c r="C833" s="546"/>
      <c r="D833" s="902"/>
      <c r="E833" s="906"/>
      <c r="F833" s="907"/>
      <c r="G833" s="905" t="s">
        <v>356</v>
      </c>
      <c r="H833" s="642" t="s">
        <v>18</v>
      </c>
      <c r="I833" s="546"/>
      <c r="J833" s="902"/>
      <c r="L833" s="938"/>
      <c r="M833" s="938"/>
      <c r="N833" s="938"/>
      <c r="O833" s="938"/>
    </row>
    <row r="834" spans="1:15" ht="15" customHeight="1">
      <c r="A834" s="905" t="s">
        <v>359</v>
      </c>
      <c r="B834" s="939" t="s">
        <v>360</v>
      </c>
      <c r="C834" s="910" t="e">
        <f>VLOOKUP(B833,'LƯƠNG KT'!$D$16:$AC$184,3,0)</f>
        <v>#N/A</v>
      </c>
      <c r="D834" s="609" t="e">
        <f>+C834*25000</f>
        <v>#N/A</v>
      </c>
      <c r="E834" s="911"/>
      <c r="F834" s="911"/>
      <c r="G834" s="905" t="s">
        <v>359</v>
      </c>
      <c r="H834" s="939" t="s">
        <v>360</v>
      </c>
      <c r="I834" s="910" t="e">
        <f>VLOOKUP(H833,'LƯƠNG KT'!$D$16:$AC$184,3,0)</f>
        <v>#N/A</v>
      </c>
      <c r="J834" s="609" t="e">
        <f>+I834*25000</f>
        <v>#N/A</v>
      </c>
      <c r="K834" s="935"/>
      <c r="L834" s="935"/>
      <c r="M834" s="935"/>
      <c r="N834" s="935"/>
      <c r="O834" s="935"/>
    </row>
    <row r="835" spans="1:15" ht="15" customHeight="1">
      <c r="A835" s="905" t="s">
        <v>361</v>
      </c>
      <c r="B835" s="546" t="s">
        <v>362</v>
      </c>
      <c r="C835" s="910" t="e">
        <f>VLOOKUP(B833,'LƯƠNG KT'!$D$16:$AC$184,14,0)</f>
        <v>#N/A</v>
      </c>
      <c r="D835" s="609" t="e">
        <f>C835*$L$4</f>
        <v>#N/A</v>
      </c>
      <c r="E835" s="912"/>
      <c r="F835" s="912"/>
      <c r="G835" s="905" t="s">
        <v>361</v>
      </c>
      <c r="H835" s="546" t="s">
        <v>362</v>
      </c>
      <c r="I835" s="910" t="e">
        <f>VLOOKUP(H833,'LƯƠNG KT'!$D$16:$AC$184,14,0)</f>
        <v>#N/A</v>
      </c>
      <c r="J835" s="609" t="e">
        <f>I835*$L$4</f>
        <v>#N/A</v>
      </c>
      <c r="K835" s="935"/>
      <c r="L835" s="935"/>
      <c r="M835" s="935"/>
      <c r="N835" s="935"/>
      <c r="O835" s="935"/>
    </row>
    <row r="836" spans="1:15" ht="15" customHeight="1">
      <c r="A836" s="905" t="s">
        <v>364</v>
      </c>
      <c r="B836" s="546" t="s">
        <v>365</v>
      </c>
      <c r="C836" s="910" t="e">
        <f>VLOOKUP(B833,'LƯƠNG KT'!$D$16:$AC$184,15,0)</f>
        <v>#N/A</v>
      </c>
      <c r="D836" s="609" t="e">
        <f>C836*$L$5</f>
        <v>#N/A</v>
      </c>
      <c r="E836" s="912"/>
      <c r="F836" s="912"/>
      <c r="G836" s="905" t="s">
        <v>364</v>
      </c>
      <c r="H836" s="546" t="s">
        <v>365</v>
      </c>
      <c r="I836" s="910" t="e">
        <f>VLOOKUP(H833,'LƯƠNG KT'!$D$16:$AC$184,15,0)</f>
        <v>#N/A</v>
      </c>
      <c r="J836" s="609" t="e">
        <f>I836*$L$5</f>
        <v>#N/A</v>
      </c>
      <c r="K836" s="935"/>
      <c r="L836" s="935"/>
      <c r="M836" s="935"/>
      <c r="N836" s="935"/>
      <c r="O836" s="935"/>
    </row>
    <row r="837" spans="1:15" ht="15" customHeight="1">
      <c r="A837" s="905" t="s">
        <v>367</v>
      </c>
      <c r="B837" s="546"/>
      <c r="C837" s="910" t="e">
        <f>VLOOKUP(B833,'LƯƠNG KT'!$D$16:$AC$184,16,0)</f>
        <v>#N/A</v>
      </c>
      <c r="D837" s="609" t="e">
        <f>+C837*$L$6</f>
        <v>#N/A</v>
      </c>
      <c r="E837" s="912"/>
      <c r="F837" s="912"/>
      <c r="G837" s="905" t="s">
        <v>367</v>
      </c>
      <c r="H837" s="546"/>
      <c r="I837" s="910" t="e">
        <f>VLOOKUP(H833,'LƯƠNG KT'!$D$16:$AC$184,16,0)</f>
        <v>#N/A</v>
      </c>
      <c r="J837" s="609" t="e">
        <f>+I837*$L$6</f>
        <v>#N/A</v>
      </c>
      <c r="K837" s="935"/>
      <c r="L837" s="935"/>
      <c r="M837" s="935"/>
      <c r="N837" s="935"/>
      <c r="O837" s="935"/>
    </row>
    <row r="838" spans="1:15" ht="15" customHeight="1">
      <c r="A838" s="905" t="s">
        <v>371</v>
      </c>
      <c r="B838" s="546" t="s">
        <v>372</v>
      </c>
      <c r="C838" s="910" t="e">
        <f>VLOOKUP(B833,'LƯƠNG KT'!$D$16:$AC$184,9,0)*$L$10</f>
        <v>#N/A</v>
      </c>
      <c r="D838" s="609" t="e">
        <f>+C838*0.5*3000</f>
        <v>#N/A</v>
      </c>
      <c r="E838" s="912"/>
      <c r="F838" s="912"/>
      <c r="G838" s="905" t="s">
        <v>371</v>
      </c>
      <c r="H838" s="546" t="s">
        <v>372</v>
      </c>
      <c r="I838" s="910" t="e">
        <f>VLOOKUP(H833,'LƯƠNG KT'!$D$16:$AC$184,9,0)*$L$10</f>
        <v>#N/A</v>
      </c>
      <c r="J838" s="609" t="e">
        <f>+I838*0.5*3000</f>
        <v>#N/A</v>
      </c>
      <c r="K838" s="935"/>
      <c r="L838" s="935"/>
      <c r="M838" s="935"/>
      <c r="N838" s="935"/>
      <c r="O838" s="935"/>
    </row>
    <row r="839" spans="1:15" ht="15" customHeight="1">
      <c r="A839" s="905" t="s">
        <v>374</v>
      </c>
      <c r="B839" s="546" t="s">
        <v>375</v>
      </c>
      <c r="C839" s="910" t="e">
        <f>VLOOKUP(B833,'LƯƠNG KT'!$D$16:$AC$184,8,0)*$L$11</f>
        <v>#N/A</v>
      </c>
      <c r="D839" s="609" t="e">
        <f>VLOOKUP(B833,'LƯƠNG KT'!$D$16:$AC$184,13,0)-D838</f>
        <v>#N/A</v>
      </c>
      <c r="E839" s="914"/>
      <c r="F839" s="912"/>
      <c r="G839" s="905" t="s">
        <v>374</v>
      </c>
      <c r="H839" s="546" t="s">
        <v>375</v>
      </c>
      <c r="I839" s="910" t="e">
        <f>VLOOKUP(H833,'LƯƠNG KT'!$D$16:$AC$184,8,0)*$L$11</f>
        <v>#N/A</v>
      </c>
      <c r="J839" s="609" t="e">
        <f>VLOOKUP(H833,'LƯƠNG KT'!$D$16:$AC$184,13,0)-J838</f>
        <v>#N/A</v>
      </c>
      <c r="K839" s="935"/>
      <c r="L839" s="935"/>
      <c r="M839" s="935"/>
      <c r="N839" s="935"/>
      <c r="O839" s="935"/>
    </row>
    <row r="840" spans="1:15" ht="15" customHeight="1">
      <c r="A840" s="609" t="s">
        <v>377</v>
      </c>
      <c r="B840" s="546" t="s">
        <v>378</v>
      </c>
      <c r="C840" s="910"/>
      <c r="D840" s="609"/>
      <c r="E840" s="916"/>
      <c r="F840" s="916"/>
      <c r="G840" s="609" t="s">
        <v>377</v>
      </c>
      <c r="H840" s="546" t="s">
        <v>378</v>
      </c>
      <c r="I840" s="910"/>
      <c r="J840" s="609"/>
    </row>
    <row r="841" spans="1:15" ht="15" customHeight="1">
      <c r="A841" s="547" t="s">
        <v>379</v>
      </c>
      <c r="B841" s="546" t="s">
        <v>380</v>
      </c>
      <c r="C841" s="910"/>
      <c r="D841" s="609"/>
      <c r="E841" s="914"/>
      <c r="F841" s="916"/>
      <c r="G841" s="547" t="s">
        <v>379</v>
      </c>
      <c r="H841" s="546" t="s">
        <v>380</v>
      </c>
      <c r="I841" s="910"/>
      <c r="J841" s="609"/>
    </row>
    <row r="842" spans="1:15" ht="15" customHeight="1">
      <c r="A842" s="905" t="s">
        <v>381</v>
      </c>
      <c r="B842" s="546" t="s">
        <v>382</v>
      </c>
      <c r="C842" s="910"/>
      <c r="D842" s="609">
        <f>D841</f>
        <v>0</v>
      </c>
      <c r="E842" s="917"/>
      <c r="F842" s="904"/>
      <c r="G842" s="905" t="s">
        <v>381</v>
      </c>
      <c r="H842" s="546" t="s">
        <v>382</v>
      </c>
      <c r="I842" s="910"/>
      <c r="J842" s="609">
        <f>J841</f>
        <v>0</v>
      </c>
    </row>
    <row r="843" spans="1:15" ht="15" customHeight="1">
      <c r="A843" s="918" t="s">
        <v>383</v>
      </c>
      <c r="B843" s="919" t="s">
        <v>384</v>
      </c>
      <c r="C843" s="920"/>
      <c r="D843" s="921" t="e">
        <f>SUM(D834:D839)-D842</f>
        <v>#N/A</v>
      </c>
      <c r="E843" s="922"/>
      <c r="F843" s="923"/>
      <c r="G843" s="918" t="s">
        <v>383</v>
      </c>
      <c r="H843" s="919" t="s">
        <v>384</v>
      </c>
      <c r="I843" s="920"/>
      <c r="J843" s="921" t="e">
        <f>SUM(J834:J839)-J842</f>
        <v>#N/A</v>
      </c>
    </row>
    <row r="844" spans="1:15" ht="18.75" customHeight="1">
      <c r="A844" s="924"/>
      <c r="B844" s="925"/>
      <c r="C844" s="926"/>
      <c r="D844" s="927"/>
      <c r="E844" s="927"/>
      <c r="F844" s="928"/>
      <c r="G844" s="924"/>
      <c r="H844" s="925"/>
      <c r="I844" s="926"/>
      <c r="J844" s="927"/>
    </row>
    <row r="845" spans="1:15" ht="18.75" customHeight="1">
      <c r="A845" s="925"/>
      <c r="B845" s="925"/>
      <c r="C845" s="929"/>
      <c r="D845" s="930"/>
      <c r="E845" s="925"/>
      <c r="F845" s="931"/>
      <c r="G845" s="925"/>
      <c r="H845" s="925"/>
      <c r="I845" s="929"/>
      <c r="J845" s="930"/>
    </row>
    <row r="846" spans="1:15" ht="15" customHeight="1">
      <c r="A846" s="2360" t="str">
        <f>$K$2</f>
        <v>THÁNG 09/2024</v>
      </c>
      <c r="B846" s="2360"/>
      <c r="C846" s="2360"/>
      <c r="D846" s="2360"/>
      <c r="E846" s="903"/>
      <c r="F846" s="904"/>
      <c r="G846" s="2360" t="str">
        <f>$K$2</f>
        <v>THÁNG 09/2024</v>
      </c>
      <c r="H846" s="2360"/>
      <c r="I846" s="2360"/>
      <c r="J846" s="2360"/>
      <c r="K846" s="276"/>
    </row>
    <row r="847" spans="1:15" ht="15" customHeight="1">
      <c r="A847" s="905" t="s">
        <v>356</v>
      </c>
      <c r="B847" s="642" t="s">
        <v>19</v>
      </c>
      <c r="C847" s="546"/>
      <c r="D847" s="902"/>
      <c r="E847" s="906"/>
      <c r="F847" s="907"/>
      <c r="G847" s="905" t="s">
        <v>356</v>
      </c>
      <c r="H847" s="642" t="s">
        <v>20</v>
      </c>
      <c r="I847" s="546"/>
      <c r="J847" s="902"/>
      <c r="L847" s="938"/>
      <c r="M847" s="938"/>
      <c r="N847" s="938"/>
      <c r="O847" s="938"/>
    </row>
    <row r="848" spans="1:15" ht="15" customHeight="1">
      <c r="A848" s="905" t="s">
        <v>359</v>
      </c>
      <c r="B848" s="939" t="s">
        <v>360</v>
      </c>
      <c r="C848" s="910" t="e">
        <f>VLOOKUP(B847,'LƯƠNG KT'!$D$16:$AC$184,3,0)</f>
        <v>#N/A</v>
      </c>
      <c r="D848" s="609" t="e">
        <f>+C848*25000</f>
        <v>#N/A</v>
      </c>
      <c r="E848" s="911"/>
      <c r="F848" s="911"/>
      <c r="G848" s="905" t="s">
        <v>359</v>
      </c>
      <c r="H848" s="939" t="s">
        <v>360</v>
      </c>
      <c r="I848" s="910" t="e">
        <f>VLOOKUP(H847,'LƯƠNG KT'!$D$16:$AC$184,3,0)</f>
        <v>#N/A</v>
      </c>
      <c r="J848" s="609" t="e">
        <f>+I848*25000</f>
        <v>#N/A</v>
      </c>
      <c r="K848" s="935"/>
      <c r="L848" s="935"/>
      <c r="M848" s="935"/>
      <c r="N848" s="935"/>
      <c r="O848" s="935"/>
    </row>
    <row r="849" spans="1:15" ht="15" customHeight="1">
      <c r="A849" s="905" t="s">
        <v>361</v>
      </c>
      <c r="B849" s="546" t="s">
        <v>362</v>
      </c>
      <c r="C849" s="910" t="e">
        <f>VLOOKUP(B847,'LƯƠNG KT'!$D$16:$AC$184,14,0)</f>
        <v>#N/A</v>
      </c>
      <c r="D849" s="609" t="e">
        <f>C849*$L$4</f>
        <v>#N/A</v>
      </c>
      <c r="E849" s="912"/>
      <c r="F849" s="912"/>
      <c r="G849" s="905" t="s">
        <v>361</v>
      </c>
      <c r="H849" s="546" t="s">
        <v>362</v>
      </c>
      <c r="I849" s="910" t="e">
        <f>VLOOKUP(H847,'LƯƠNG KT'!$D$16:$AC$184,14,0)</f>
        <v>#N/A</v>
      </c>
      <c r="J849" s="609" t="e">
        <f>I849*$L$4</f>
        <v>#N/A</v>
      </c>
      <c r="K849" s="935"/>
      <c r="L849" s="935"/>
      <c r="M849" s="935"/>
      <c r="N849" s="935"/>
      <c r="O849" s="935"/>
    </row>
    <row r="850" spans="1:15" ht="15" customHeight="1">
      <c r="A850" s="905" t="s">
        <v>364</v>
      </c>
      <c r="B850" s="546" t="s">
        <v>365</v>
      </c>
      <c r="C850" s="910" t="e">
        <f>VLOOKUP(B847,'LƯƠNG KT'!$D$16:$AC$184,15,0)</f>
        <v>#N/A</v>
      </c>
      <c r="D850" s="609" t="e">
        <f>C850*$L$5</f>
        <v>#N/A</v>
      </c>
      <c r="E850" s="912"/>
      <c r="F850" s="912"/>
      <c r="G850" s="905" t="s">
        <v>364</v>
      </c>
      <c r="H850" s="546" t="s">
        <v>365</v>
      </c>
      <c r="I850" s="910" t="e">
        <f>VLOOKUP(H847,'LƯƠNG KT'!$D$16:$AC$184,15,0)</f>
        <v>#N/A</v>
      </c>
      <c r="J850" s="609" t="e">
        <f>I850*$L$5</f>
        <v>#N/A</v>
      </c>
      <c r="K850" s="935"/>
      <c r="L850" s="935"/>
      <c r="M850" s="935"/>
      <c r="N850" s="935"/>
      <c r="O850" s="935"/>
    </row>
    <row r="851" spans="1:15" ht="15" customHeight="1">
      <c r="A851" s="905" t="s">
        <v>367</v>
      </c>
      <c r="B851" s="546"/>
      <c r="C851" s="910" t="e">
        <f>VLOOKUP(B847,'LƯƠNG KT'!$D$16:$AC$184,16,0)</f>
        <v>#N/A</v>
      </c>
      <c r="D851" s="609" t="e">
        <f>+C851*$L$6</f>
        <v>#N/A</v>
      </c>
      <c r="E851" s="912"/>
      <c r="F851" s="912"/>
      <c r="G851" s="905" t="s">
        <v>367</v>
      </c>
      <c r="H851" s="546"/>
      <c r="I851" s="910" t="e">
        <f>VLOOKUP(H847,'LƯƠNG KT'!$D$16:$AC$184,16,0)</f>
        <v>#N/A</v>
      </c>
      <c r="J851" s="609" t="e">
        <f>+I851*$L$6</f>
        <v>#N/A</v>
      </c>
      <c r="K851" s="935"/>
      <c r="L851" s="935"/>
      <c r="M851" s="935"/>
      <c r="N851" s="935"/>
      <c r="O851" s="935"/>
    </row>
    <row r="852" spans="1:15" ht="15" customHeight="1">
      <c r="A852" s="905" t="s">
        <v>371</v>
      </c>
      <c r="B852" s="546" t="s">
        <v>372</v>
      </c>
      <c r="C852" s="910" t="e">
        <f>VLOOKUP(B847,'LƯƠNG KT'!$D$16:$AC$184,9,0)*$L$10</f>
        <v>#N/A</v>
      </c>
      <c r="D852" s="609" t="e">
        <f>+C852*0.5*3000</f>
        <v>#N/A</v>
      </c>
      <c r="E852" s="912"/>
      <c r="F852" s="912"/>
      <c r="G852" s="905" t="s">
        <v>371</v>
      </c>
      <c r="H852" s="546" t="s">
        <v>372</v>
      </c>
      <c r="I852" s="910" t="e">
        <f>VLOOKUP(H847,'LƯƠNG KT'!$D$16:$AC$184,9,0)*$L$10</f>
        <v>#N/A</v>
      </c>
      <c r="J852" s="609" t="e">
        <f>+I852*0.5*3000</f>
        <v>#N/A</v>
      </c>
      <c r="K852" s="935"/>
      <c r="L852" s="935"/>
      <c r="M852" s="935"/>
      <c r="N852" s="935"/>
      <c r="O852" s="935"/>
    </row>
    <row r="853" spans="1:15" ht="15" customHeight="1">
      <c r="A853" s="905" t="s">
        <v>374</v>
      </c>
      <c r="B853" s="546" t="s">
        <v>375</v>
      </c>
      <c r="C853" s="910" t="e">
        <f>VLOOKUP(B847,'LƯƠNG KT'!$D$16:$AC$184,8,0)*$L$11</f>
        <v>#N/A</v>
      </c>
      <c r="D853" s="609" t="e">
        <f>VLOOKUP(B847,'LƯƠNG KT'!$D$16:$AC$184,13,0)-D852</f>
        <v>#N/A</v>
      </c>
      <c r="E853" s="914"/>
      <c r="F853" s="912"/>
      <c r="G853" s="905" t="s">
        <v>374</v>
      </c>
      <c r="H853" s="546" t="s">
        <v>375</v>
      </c>
      <c r="I853" s="910" t="e">
        <f>VLOOKUP(H847,'LƯƠNG KT'!$D$16:$AC$184,8,0)*$L$11</f>
        <v>#N/A</v>
      </c>
      <c r="J853" s="609" t="e">
        <f>VLOOKUP(H847,'LƯƠNG KT'!$D$16:$AC$184,13,0)-J852</f>
        <v>#N/A</v>
      </c>
      <c r="K853" s="935"/>
      <c r="L853" s="935"/>
      <c r="M853" s="935"/>
      <c r="N853" s="935"/>
      <c r="O853" s="935"/>
    </row>
    <row r="854" spans="1:15" ht="15" customHeight="1">
      <c r="A854" s="609" t="s">
        <v>377</v>
      </c>
      <c r="B854" s="546" t="s">
        <v>378</v>
      </c>
      <c r="C854" s="910"/>
      <c r="D854" s="609"/>
      <c r="E854" s="916"/>
      <c r="F854" s="916"/>
      <c r="G854" s="609" t="s">
        <v>377</v>
      </c>
      <c r="H854" s="546" t="s">
        <v>378</v>
      </c>
      <c r="I854" s="910"/>
      <c r="J854" s="609"/>
    </row>
    <row r="855" spans="1:15" ht="15" customHeight="1">
      <c r="A855" s="547" t="s">
        <v>379</v>
      </c>
      <c r="B855" s="546" t="s">
        <v>380</v>
      </c>
      <c r="C855" s="910"/>
      <c r="D855" s="609"/>
      <c r="E855" s="914"/>
      <c r="F855" s="916"/>
      <c r="G855" s="547" t="s">
        <v>379</v>
      </c>
      <c r="H855" s="546" t="s">
        <v>380</v>
      </c>
      <c r="I855" s="910"/>
      <c r="J855" s="609"/>
    </row>
    <row r="856" spans="1:15" ht="15" customHeight="1">
      <c r="A856" s="905" t="s">
        <v>381</v>
      </c>
      <c r="B856" s="546" t="s">
        <v>382</v>
      </c>
      <c r="C856" s="910"/>
      <c r="D856" s="609">
        <f>D855</f>
        <v>0</v>
      </c>
      <c r="E856" s="917"/>
      <c r="F856" s="904"/>
      <c r="G856" s="905" t="s">
        <v>381</v>
      </c>
      <c r="H856" s="546" t="s">
        <v>382</v>
      </c>
      <c r="I856" s="910"/>
      <c r="J856" s="609">
        <f>J855</f>
        <v>0</v>
      </c>
    </row>
    <row r="857" spans="1:15" ht="15" customHeight="1">
      <c r="A857" s="918" t="s">
        <v>383</v>
      </c>
      <c r="B857" s="919" t="s">
        <v>384</v>
      </c>
      <c r="C857" s="920"/>
      <c r="D857" s="921" t="e">
        <f>SUM(D848:D853)-D856</f>
        <v>#N/A</v>
      </c>
      <c r="E857" s="922"/>
      <c r="F857" s="923"/>
      <c r="G857" s="918" t="s">
        <v>383</v>
      </c>
      <c r="H857" s="919" t="s">
        <v>384</v>
      </c>
      <c r="I857" s="920"/>
      <c r="J857" s="921" t="e">
        <f>SUM(J848:J853)-J856</f>
        <v>#N/A</v>
      </c>
    </row>
    <row r="858" spans="1:15" ht="18.75" customHeight="1">
      <c r="A858" s="924"/>
      <c r="B858" s="925"/>
      <c r="C858" s="926"/>
      <c r="D858" s="927"/>
      <c r="E858" s="927"/>
      <c r="F858" s="928"/>
      <c r="G858" s="924"/>
      <c r="H858" s="925"/>
      <c r="I858" s="926"/>
      <c r="J858" s="927"/>
    </row>
    <row r="859" spans="1:15" ht="18.75" customHeight="1">
      <c r="A859" s="925"/>
      <c r="B859" s="925"/>
      <c r="C859" s="929"/>
      <c r="D859" s="930"/>
      <c r="E859" s="925"/>
      <c r="F859" s="931"/>
      <c r="G859" s="925"/>
      <c r="H859" s="925"/>
      <c r="I859" s="929"/>
      <c r="J859" s="930"/>
    </row>
    <row r="860" spans="1:15" ht="15" customHeight="1">
      <c r="A860" s="2360" t="str">
        <f>$K$2</f>
        <v>THÁNG 09/2024</v>
      </c>
      <c r="B860" s="2360"/>
      <c r="C860" s="2360"/>
      <c r="D860" s="2360"/>
      <c r="E860" s="903"/>
      <c r="F860" s="904"/>
      <c r="G860" s="2360" t="str">
        <f>$K$2</f>
        <v>THÁNG 09/2024</v>
      </c>
      <c r="H860" s="2360"/>
      <c r="I860" s="2360"/>
      <c r="J860" s="2360"/>
      <c r="K860" s="276"/>
    </row>
    <row r="861" spans="1:15" ht="15" customHeight="1">
      <c r="A861" s="905" t="s">
        <v>356</v>
      </c>
      <c r="B861" s="642" t="s">
        <v>21</v>
      </c>
      <c r="C861" s="546"/>
      <c r="D861" s="902"/>
      <c r="E861" s="906"/>
      <c r="F861" s="907"/>
      <c r="G861" s="905" t="s">
        <v>356</v>
      </c>
      <c r="H861" s="642" t="s">
        <v>22</v>
      </c>
      <c r="I861" s="546"/>
      <c r="J861" s="902"/>
      <c r="L861" s="938"/>
      <c r="M861" s="938"/>
      <c r="N861" s="938"/>
      <c r="O861" s="938"/>
    </row>
    <row r="862" spans="1:15" ht="15" customHeight="1">
      <c r="A862" s="905" t="s">
        <v>359</v>
      </c>
      <c r="B862" s="939" t="s">
        <v>360</v>
      </c>
      <c r="C862" s="910" t="e">
        <f>VLOOKUP(B861,'LƯƠNG KT'!$D$16:$AC$184,3,0)</f>
        <v>#N/A</v>
      </c>
      <c r="D862" s="609" t="e">
        <f>+C862*25000</f>
        <v>#N/A</v>
      </c>
      <c r="E862" s="911"/>
      <c r="F862" s="911"/>
      <c r="G862" s="905" t="s">
        <v>359</v>
      </c>
      <c r="H862" s="939" t="s">
        <v>360</v>
      </c>
      <c r="I862" s="910" t="e">
        <f>VLOOKUP(H861,'LƯƠNG KT'!$D$16:$AC$184,3,0)</f>
        <v>#N/A</v>
      </c>
      <c r="J862" s="609" t="e">
        <f>+I862*25000</f>
        <v>#N/A</v>
      </c>
      <c r="K862" s="935"/>
      <c r="L862" s="935"/>
      <c r="M862" s="935"/>
      <c r="N862" s="935"/>
      <c r="O862" s="935"/>
    </row>
    <row r="863" spans="1:15" ht="15" customHeight="1">
      <c r="A863" s="905" t="s">
        <v>361</v>
      </c>
      <c r="B863" s="546" t="s">
        <v>362</v>
      </c>
      <c r="C863" s="910" t="e">
        <f>VLOOKUP(B861,'LƯƠNG KT'!$D$16:$AC$184,14,0)</f>
        <v>#N/A</v>
      </c>
      <c r="D863" s="609" t="e">
        <f>C863*$L$4</f>
        <v>#N/A</v>
      </c>
      <c r="E863" s="912"/>
      <c r="F863" s="912"/>
      <c r="G863" s="905" t="s">
        <v>361</v>
      </c>
      <c r="H863" s="546" t="s">
        <v>362</v>
      </c>
      <c r="I863" s="910" t="e">
        <f>VLOOKUP(H861,'LƯƠNG KT'!$D$16:$AC$184,14,0)</f>
        <v>#N/A</v>
      </c>
      <c r="J863" s="609" t="e">
        <f>I863*$L$4</f>
        <v>#N/A</v>
      </c>
      <c r="K863" s="935"/>
      <c r="L863" s="935"/>
      <c r="M863" s="935"/>
      <c r="N863" s="935"/>
      <c r="O863" s="935"/>
    </row>
    <row r="864" spans="1:15" ht="15" customHeight="1">
      <c r="A864" s="905" t="s">
        <v>364</v>
      </c>
      <c r="B864" s="546" t="s">
        <v>365</v>
      </c>
      <c r="C864" s="910" t="e">
        <f>VLOOKUP(B861,'LƯƠNG KT'!$D$16:$AC$184,15,0)</f>
        <v>#N/A</v>
      </c>
      <c r="D864" s="609" t="e">
        <f>C864*$L$5</f>
        <v>#N/A</v>
      </c>
      <c r="E864" s="912"/>
      <c r="F864" s="912"/>
      <c r="G864" s="905" t="s">
        <v>364</v>
      </c>
      <c r="H864" s="546" t="s">
        <v>365</v>
      </c>
      <c r="I864" s="910" t="e">
        <f>VLOOKUP(H861,'LƯƠNG KT'!$D$16:$AC$184,15,0)</f>
        <v>#N/A</v>
      </c>
      <c r="J864" s="609" t="e">
        <f>I864*$L$5</f>
        <v>#N/A</v>
      </c>
      <c r="K864" s="935"/>
      <c r="L864" s="935"/>
      <c r="M864" s="935"/>
      <c r="N864" s="935"/>
      <c r="O864" s="935"/>
    </row>
    <row r="865" spans="1:15" ht="15" customHeight="1">
      <c r="A865" s="905" t="s">
        <v>367</v>
      </c>
      <c r="B865" s="546"/>
      <c r="C865" s="910" t="e">
        <f>VLOOKUP(B861,'LƯƠNG KT'!$D$16:$AC$184,16,0)</f>
        <v>#N/A</v>
      </c>
      <c r="D865" s="609" t="e">
        <f>+C865*$L$6</f>
        <v>#N/A</v>
      </c>
      <c r="E865" s="912"/>
      <c r="F865" s="912"/>
      <c r="G865" s="905" t="s">
        <v>367</v>
      </c>
      <c r="H865" s="546"/>
      <c r="I865" s="910" t="e">
        <f>VLOOKUP(H861,'LƯƠNG KT'!$D$16:$AC$184,16,0)</f>
        <v>#N/A</v>
      </c>
      <c r="J865" s="609" t="e">
        <f>+I865*$L$6</f>
        <v>#N/A</v>
      </c>
      <c r="K865" s="935"/>
      <c r="L865" s="935"/>
      <c r="M865" s="935"/>
      <c r="N865" s="935"/>
      <c r="O865" s="935"/>
    </row>
    <row r="866" spans="1:15" ht="15" customHeight="1">
      <c r="A866" s="905" t="s">
        <v>371</v>
      </c>
      <c r="B866" s="546" t="s">
        <v>372</v>
      </c>
      <c r="C866" s="910" t="e">
        <f>VLOOKUP(B861,'LƯƠNG KT'!$D$16:$AC$184,9,0)*$L$10</f>
        <v>#N/A</v>
      </c>
      <c r="D866" s="609" t="e">
        <f>+C866*0.5*3000</f>
        <v>#N/A</v>
      </c>
      <c r="E866" s="912"/>
      <c r="F866" s="912"/>
      <c r="G866" s="905" t="s">
        <v>371</v>
      </c>
      <c r="H866" s="546" t="s">
        <v>372</v>
      </c>
      <c r="I866" s="910" t="e">
        <f>VLOOKUP(H861,'LƯƠNG KT'!$D$16:$AC$184,9,0)*$L$10</f>
        <v>#N/A</v>
      </c>
      <c r="J866" s="609" t="e">
        <f>+I866*0.5*3000</f>
        <v>#N/A</v>
      </c>
      <c r="K866" s="935"/>
      <c r="L866" s="935"/>
      <c r="M866" s="935"/>
      <c r="N866" s="935"/>
      <c r="O866" s="935"/>
    </row>
    <row r="867" spans="1:15" ht="15" customHeight="1">
      <c r="A867" s="905" t="s">
        <v>374</v>
      </c>
      <c r="B867" s="546" t="s">
        <v>375</v>
      </c>
      <c r="C867" s="910" t="e">
        <f>VLOOKUP(B861,'LƯƠNG KT'!$D$16:$AC$184,8,0)*$L$11</f>
        <v>#N/A</v>
      </c>
      <c r="D867" s="609" t="e">
        <f>VLOOKUP(B861,'LƯƠNG KT'!$D$16:$AC$184,13,0)-D866</f>
        <v>#N/A</v>
      </c>
      <c r="E867" s="914"/>
      <c r="F867" s="912"/>
      <c r="G867" s="905" t="s">
        <v>374</v>
      </c>
      <c r="H867" s="546" t="s">
        <v>375</v>
      </c>
      <c r="I867" s="910" t="e">
        <f>VLOOKUP(H861,'LƯƠNG KT'!$D$16:$AC$184,8,0)*$L$11</f>
        <v>#N/A</v>
      </c>
      <c r="J867" s="609" t="e">
        <f>VLOOKUP(H861,'LƯƠNG KT'!$D$16:$AC$184,13,0)-J866</f>
        <v>#N/A</v>
      </c>
      <c r="K867" s="935"/>
      <c r="L867" s="935"/>
      <c r="M867" s="935"/>
      <c r="N867" s="935"/>
      <c r="O867" s="935"/>
    </row>
    <row r="868" spans="1:15" ht="15" customHeight="1">
      <c r="A868" s="609" t="s">
        <v>377</v>
      </c>
      <c r="B868" s="546" t="s">
        <v>378</v>
      </c>
      <c r="C868" s="910"/>
      <c r="D868" s="609"/>
      <c r="E868" s="916"/>
      <c r="F868" s="916"/>
      <c r="G868" s="609" t="s">
        <v>377</v>
      </c>
      <c r="H868" s="546" t="s">
        <v>378</v>
      </c>
      <c r="I868" s="910"/>
      <c r="J868" s="609"/>
    </row>
    <row r="869" spans="1:15" ht="15" customHeight="1">
      <c r="A869" s="547" t="s">
        <v>379</v>
      </c>
      <c r="B869" s="546" t="s">
        <v>380</v>
      </c>
      <c r="C869" s="910"/>
      <c r="D869" s="609"/>
      <c r="E869" s="914"/>
      <c r="F869" s="916"/>
      <c r="G869" s="547" t="s">
        <v>379</v>
      </c>
      <c r="H869" s="546" t="s">
        <v>380</v>
      </c>
      <c r="I869" s="910"/>
      <c r="J869" s="609"/>
    </row>
    <row r="870" spans="1:15" ht="15" customHeight="1">
      <c r="A870" s="905" t="s">
        <v>381</v>
      </c>
      <c r="B870" s="546" t="s">
        <v>382</v>
      </c>
      <c r="C870" s="910"/>
      <c r="D870" s="609">
        <f>D869</f>
        <v>0</v>
      </c>
      <c r="E870" s="917"/>
      <c r="F870" s="904"/>
      <c r="G870" s="905" t="s">
        <v>381</v>
      </c>
      <c r="H870" s="546" t="s">
        <v>382</v>
      </c>
      <c r="I870" s="910"/>
      <c r="J870" s="609">
        <f>J869</f>
        <v>0</v>
      </c>
    </row>
    <row r="871" spans="1:15" ht="15" customHeight="1">
      <c r="A871" s="918" t="s">
        <v>383</v>
      </c>
      <c r="B871" s="919" t="s">
        <v>384</v>
      </c>
      <c r="C871" s="920"/>
      <c r="D871" s="921" t="e">
        <f>SUM(D862:D867)-D870</f>
        <v>#N/A</v>
      </c>
      <c r="E871" s="922"/>
      <c r="F871" s="923"/>
      <c r="G871" s="918" t="s">
        <v>383</v>
      </c>
      <c r="H871" s="919" t="s">
        <v>384</v>
      </c>
      <c r="I871" s="920"/>
      <c r="J871" s="921" t="e">
        <f>SUM(J862:J867)-J870</f>
        <v>#N/A</v>
      </c>
    </row>
    <row r="872" spans="1:15" ht="15.75" customHeight="1">
      <c r="A872" s="924"/>
      <c r="B872" s="925"/>
      <c r="C872" s="926"/>
      <c r="D872" s="927"/>
      <c r="E872" s="927"/>
      <c r="F872" s="928"/>
      <c r="G872" s="924"/>
      <c r="H872" s="925"/>
      <c r="I872" s="926"/>
      <c r="J872" s="927"/>
    </row>
    <row r="874" spans="1:15" ht="12" customHeight="1">
      <c r="A874" s="2361"/>
      <c r="B874" s="2361"/>
      <c r="C874" s="2361"/>
      <c r="D874" s="2361"/>
      <c r="E874" s="2361"/>
      <c r="F874" s="2361"/>
      <c r="G874" s="2361"/>
      <c r="H874" s="2361"/>
      <c r="I874" s="2361"/>
      <c r="J874" s="2361"/>
    </row>
    <row r="875" spans="1:15" ht="15" customHeight="1">
      <c r="A875" s="2360" t="str">
        <f>$K$2</f>
        <v>THÁNG 09/2024</v>
      </c>
      <c r="B875" s="2360"/>
      <c r="C875" s="2360"/>
      <c r="D875" s="2360"/>
      <c r="E875" s="903"/>
      <c r="F875" s="904"/>
      <c r="G875" s="2360" t="str">
        <f>$K$2</f>
        <v>THÁNG 09/2024</v>
      </c>
      <c r="H875" s="2360"/>
      <c r="I875" s="2360"/>
      <c r="J875" s="2360"/>
      <c r="K875" s="276"/>
    </row>
    <row r="876" spans="1:15" ht="15" customHeight="1">
      <c r="A876" s="905" t="s">
        <v>356</v>
      </c>
      <c r="B876" s="642" t="s">
        <v>23</v>
      </c>
      <c r="C876" s="546"/>
      <c r="D876" s="902"/>
      <c r="E876" s="906"/>
      <c r="F876" s="907"/>
      <c r="G876" s="905" t="s">
        <v>356</v>
      </c>
      <c r="H876" s="642" t="s">
        <v>24</v>
      </c>
      <c r="I876" s="546"/>
      <c r="J876" s="902"/>
      <c r="L876" s="938"/>
      <c r="M876" s="938"/>
      <c r="N876" s="938"/>
      <c r="O876" s="938"/>
    </row>
    <row r="877" spans="1:15" ht="15" customHeight="1">
      <c r="A877" s="905" t="s">
        <v>359</v>
      </c>
      <c r="B877" s="939" t="s">
        <v>360</v>
      </c>
      <c r="C877" s="910" t="e">
        <f>VLOOKUP(B876,'LƯƠNG KT'!$D$16:$AC$184,3,0)</f>
        <v>#N/A</v>
      </c>
      <c r="D877" s="609" t="e">
        <f>+C877*25000</f>
        <v>#N/A</v>
      </c>
      <c r="E877" s="911"/>
      <c r="F877" s="911"/>
      <c r="G877" s="905" t="s">
        <v>359</v>
      </c>
      <c r="H877" s="939" t="s">
        <v>360</v>
      </c>
      <c r="I877" s="910" t="e">
        <f>VLOOKUP(H876,'LƯƠNG KT'!$D$16:$AC$184,3,0)</f>
        <v>#N/A</v>
      </c>
      <c r="J877" s="609" t="e">
        <f>+I877*25000</f>
        <v>#N/A</v>
      </c>
      <c r="K877" s="934"/>
      <c r="L877" s="935"/>
      <c r="M877" s="935"/>
      <c r="N877" s="935"/>
      <c r="O877" s="935"/>
    </row>
    <row r="878" spans="1:15" ht="15" customHeight="1">
      <c r="A878" s="905" t="s">
        <v>361</v>
      </c>
      <c r="B878" s="546" t="s">
        <v>362</v>
      </c>
      <c r="C878" s="910" t="e">
        <f>VLOOKUP(B876,'LƯƠNG KT'!$D$16:$AC$184,14,0)</f>
        <v>#N/A</v>
      </c>
      <c r="D878" s="609" t="e">
        <f>C878*$L$4</f>
        <v>#N/A</v>
      </c>
      <c r="E878" s="912"/>
      <c r="F878" s="912"/>
      <c r="G878" s="905" t="s">
        <v>361</v>
      </c>
      <c r="H878" s="546" t="s">
        <v>362</v>
      </c>
      <c r="I878" s="910" t="e">
        <f>VLOOKUP(H876,'LƯƠNG KT'!$D$16:$AC$184,14,0)</f>
        <v>#N/A</v>
      </c>
      <c r="J878" s="609" t="e">
        <f>I878*$L$4</f>
        <v>#N/A</v>
      </c>
      <c r="K878" s="934"/>
      <c r="L878" s="935"/>
      <c r="M878" s="935"/>
      <c r="N878" s="935"/>
      <c r="O878" s="935"/>
    </row>
    <row r="879" spans="1:15" ht="15" customHeight="1">
      <c r="A879" s="905" t="s">
        <v>364</v>
      </c>
      <c r="B879" s="546" t="s">
        <v>365</v>
      </c>
      <c r="C879" s="910" t="e">
        <f>VLOOKUP(B876,'LƯƠNG KT'!$D$16:$AC$184,15,0)</f>
        <v>#N/A</v>
      </c>
      <c r="D879" s="609" t="e">
        <f>C879*$L$5</f>
        <v>#N/A</v>
      </c>
      <c r="E879" s="912"/>
      <c r="F879" s="912"/>
      <c r="G879" s="905" t="s">
        <v>364</v>
      </c>
      <c r="H879" s="546" t="s">
        <v>365</v>
      </c>
      <c r="I879" s="910" t="e">
        <f>VLOOKUP(H876,'LƯƠNG KT'!$D$16:$AC$184,15,0)</f>
        <v>#N/A</v>
      </c>
      <c r="J879" s="609" t="e">
        <f>I879*$L$5</f>
        <v>#N/A</v>
      </c>
      <c r="K879" s="934"/>
      <c r="L879" s="935"/>
      <c r="M879" s="935"/>
      <c r="N879" s="935"/>
      <c r="O879" s="935"/>
    </row>
    <row r="880" spans="1:15" ht="15" customHeight="1">
      <c r="A880" s="905" t="s">
        <v>367</v>
      </c>
      <c r="B880" s="546"/>
      <c r="C880" s="910" t="e">
        <f>VLOOKUP(B876,'LƯƠNG KT'!$D$16:$AC$184,16,0)</f>
        <v>#N/A</v>
      </c>
      <c r="D880" s="609" t="e">
        <f>+C880*$L$6</f>
        <v>#N/A</v>
      </c>
      <c r="E880" s="912"/>
      <c r="F880" s="912"/>
      <c r="G880" s="905" t="s">
        <v>367</v>
      </c>
      <c r="H880" s="546"/>
      <c r="I880" s="910" t="e">
        <f>VLOOKUP(H876,'LƯƠNG KT'!$D$16:$AC$184,16,0)</f>
        <v>#N/A</v>
      </c>
      <c r="J880" s="609" t="e">
        <f>+I880*$L$6</f>
        <v>#N/A</v>
      </c>
      <c r="K880" s="935"/>
      <c r="L880" s="935"/>
      <c r="M880" s="935"/>
      <c r="N880" s="935"/>
      <c r="O880" s="935"/>
    </row>
    <row r="881" spans="1:15" ht="15" customHeight="1">
      <c r="A881" s="905" t="s">
        <v>371</v>
      </c>
      <c r="B881" s="546" t="s">
        <v>372</v>
      </c>
      <c r="C881" s="910" t="e">
        <f>VLOOKUP(B876,'LƯƠNG KT'!$D$16:$AC$184,9,0)*$L$10</f>
        <v>#N/A</v>
      </c>
      <c r="D881" s="609" t="e">
        <f>+C881*0.5*3000</f>
        <v>#N/A</v>
      </c>
      <c r="E881" s="912"/>
      <c r="F881" s="912"/>
      <c r="G881" s="905" t="s">
        <v>371</v>
      </c>
      <c r="H881" s="546" t="s">
        <v>372</v>
      </c>
      <c r="I881" s="910" t="e">
        <f>VLOOKUP(H876,'LƯƠNG KT'!$D$16:$AC$184,9,0)*$L$10</f>
        <v>#N/A</v>
      </c>
      <c r="J881" s="609" t="e">
        <f>+I881*0.5*3000</f>
        <v>#N/A</v>
      </c>
      <c r="K881" s="935"/>
      <c r="L881" s="935"/>
      <c r="M881" s="935"/>
      <c r="N881" s="935"/>
      <c r="O881" s="935"/>
    </row>
    <row r="882" spans="1:15" ht="15" customHeight="1">
      <c r="A882" s="905" t="s">
        <v>374</v>
      </c>
      <c r="B882" s="546" t="s">
        <v>375</v>
      </c>
      <c r="C882" s="910" t="e">
        <f>VLOOKUP(B876,'LƯƠNG KT'!$D$16:$AC$184,8,0)*$L$11</f>
        <v>#N/A</v>
      </c>
      <c r="D882" s="609" t="e">
        <f>VLOOKUP(B876,'LƯƠNG KT'!$D$16:$AC$184,13,0)-D881</f>
        <v>#N/A</v>
      </c>
      <c r="E882" s="914"/>
      <c r="F882" s="912"/>
      <c r="G882" s="905" t="s">
        <v>374</v>
      </c>
      <c r="H882" s="546" t="s">
        <v>375</v>
      </c>
      <c r="I882" s="910" t="e">
        <f>VLOOKUP(H876,'LƯƠNG KT'!$D$16:$AC$184,8,0)*$L$11</f>
        <v>#N/A</v>
      </c>
      <c r="J882" s="609" t="e">
        <f>VLOOKUP(H876,'LƯƠNG KT'!$D$16:$AC$184,13,0)-J881</f>
        <v>#N/A</v>
      </c>
      <c r="K882" s="935"/>
      <c r="L882" s="935"/>
      <c r="M882" s="935"/>
      <c r="N882" s="935"/>
      <c r="O882" s="935"/>
    </row>
    <row r="883" spans="1:15" ht="15" customHeight="1">
      <c r="A883" s="609" t="s">
        <v>377</v>
      </c>
      <c r="B883" s="546" t="s">
        <v>378</v>
      </c>
      <c r="C883" s="910"/>
      <c r="D883" s="609"/>
      <c r="E883" s="916"/>
      <c r="F883" s="916"/>
      <c r="G883" s="609" t="s">
        <v>377</v>
      </c>
      <c r="H883" s="546" t="s">
        <v>378</v>
      </c>
      <c r="I883" s="910"/>
      <c r="J883" s="609"/>
    </row>
    <row r="884" spans="1:15" ht="15" customHeight="1">
      <c r="A884" s="547" t="s">
        <v>379</v>
      </c>
      <c r="B884" s="546" t="s">
        <v>380</v>
      </c>
      <c r="C884" s="910"/>
      <c r="D884" s="609"/>
      <c r="E884" s="914"/>
      <c r="F884" s="916"/>
      <c r="G884" s="547" t="s">
        <v>379</v>
      </c>
      <c r="H884" s="546" t="s">
        <v>380</v>
      </c>
      <c r="I884" s="910"/>
      <c r="J884" s="609"/>
    </row>
    <row r="885" spans="1:15" ht="15" customHeight="1">
      <c r="A885" s="905" t="s">
        <v>381</v>
      </c>
      <c r="B885" s="546" t="s">
        <v>382</v>
      </c>
      <c r="C885" s="910"/>
      <c r="D885" s="609">
        <f>D884</f>
        <v>0</v>
      </c>
      <c r="E885" s="917"/>
      <c r="F885" s="904"/>
      <c r="G885" s="905" t="s">
        <v>381</v>
      </c>
      <c r="H885" s="546" t="s">
        <v>382</v>
      </c>
      <c r="I885" s="910"/>
      <c r="J885" s="609">
        <f>J884</f>
        <v>0</v>
      </c>
    </row>
    <row r="886" spans="1:15" ht="15" customHeight="1">
      <c r="A886" s="918" t="s">
        <v>383</v>
      </c>
      <c r="B886" s="919" t="s">
        <v>384</v>
      </c>
      <c r="C886" s="920"/>
      <c r="D886" s="921" t="e">
        <f>SUM(D877:D882)-D885</f>
        <v>#N/A</v>
      </c>
      <c r="E886" s="922"/>
      <c r="F886" s="923"/>
      <c r="G886" s="918" t="s">
        <v>383</v>
      </c>
      <c r="H886" s="919" t="s">
        <v>384</v>
      </c>
      <c r="I886" s="920"/>
      <c r="J886" s="921" t="e">
        <f>SUM(J877:J882)-J885</f>
        <v>#N/A</v>
      </c>
    </row>
    <row r="887" spans="1:15" ht="12.6" customHeight="1">
      <c r="A887" s="924"/>
      <c r="B887" s="925"/>
      <c r="C887" s="926"/>
      <c r="D887" s="927"/>
      <c r="E887" s="927"/>
      <c r="F887" s="928"/>
      <c r="G887" s="924"/>
      <c r="H887" s="925"/>
      <c r="I887" s="926"/>
      <c r="J887" s="927"/>
    </row>
    <row r="888" spans="1:15" ht="12.6" customHeight="1">
      <c r="A888" s="925"/>
      <c r="B888" s="925"/>
      <c r="C888" s="929"/>
      <c r="D888" s="930"/>
      <c r="E888" s="925"/>
      <c r="F888" s="931"/>
      <c r="G888" s="925"/>
      <c r="H888" s="925"/>
      <c r="I888" s="929"/>
      <c r="J888" s="930"/>
    </row>
    <row r="889" spans="1:15" ht="15" customHeight="1">
      <c r="A889" s="2360" t="str">
        <f>$K$2</f>
        <v>THÁNG 09/2024</v>
      </c>
      <c r="B889" s="2360"/>
      <c r="C889" s="2360"/>
      <c r="D889" s="2360"/>
      <c r="E889" s="903"/>
      <c r="F889" s="904"/>
      <c r="G889" s="2360" t="str">
        <f>$K$2</f>
        <v>THÁNG 09/2024</v>
      </c>
      <c r="H889" s="2360"/>
      <c r="I889" s="2360"/>
      <c r="J889" s="2360"/>
      <c r="K889" s="276"/>
    </row>
    <row r="890" spans="1:15" ht="15" customHeight="1">
      <c r="A890" s="905" t="s">
        <v>356</v>
      </c>
      <c r="B890" s="642" t="s">
        <v>25</v>
      </c>
      <c r="C890" s="546"/>
      <c r="D890" s="902"/>
      <c r="E890" s="906"/>
      <c r="F890" s="907"/>
      <c r="G890" s="905" t="s">
        <v>356</v>
      </c>
      <c r="H890" s="642" t="s">
        <v>26</v>
      </c>
      <c r="I890" s="546"/>
      <c r="J890" s="902"/>
      <c r="L890" s="938"/>
      <c r="M890" s="938"/>
      <c r="N890" s="938"/>
      <c r="O890" s="938"/>
    </row>
    <row r="891" spans="1:15" ht="15" customHeight="1">
      <c r="A891" s="905" t="s">
        <v>359</v>
      </c>
      <c r="B891" s="939" t="s">
        <v>360</v>
      </c>
      <c r="C891" s="910" t="e">
        <f>VLOOKUP(B890,'LƯƠNG KT'!$D$16:$AC$184,3,0)</f>
        <v>#N/A</v>
      </c>
      <c r="D891" s="609" t="e">
        <f>+C891*25000</f>
        <v>#N/A</v>
      </c>
      <c r="E891" s="911"/>
      <c r="F891" s="911"/>
      <c r="G891" s="905" t="s">
        <v>359</v>
      </c>
      <c r="H891" s="939" t="s">
        <v>360</v>
      </c>
      <c r="I891" s="910" t="e">
        <f>VLOOKUP(H890,'LƯƠNG KT'!$D$16:$AC$184,3,0)</f>
        <v>#N/A</v>
      </c>
      <c r="J891" s="609" t="e">
        <f>+I891*25000</f>
        <v>#N/A</v>
      </c>
      <c r="K891" s="935"/>
      <c r="L891" s="935"/>
      <c r="M891" s="935"/>
      <c r="N891" s="935"/>
      <c r="O891" s="935"/>
    </row>
    <row r="892" spans="1:15" ht="15" customHeight="1">
      <c r="A892" s="905" t="s">
        <v>361</v>
      </c>
      <c r="B892" s="546" t="s">
        <v>362</v>
      </c>
      <c r="C892" s="910" t="e">
        <f>VLOOKUP(B890,'LƯƠNG KT'!$D$16:$AC$184,14,0)</f>
        <v>#N/A</v>
      </c>
      <c r="D892" s="609" t="e">
        <f>C892*$L$4</f>
        <v>#N/A</v>
      </c>
      <c r="E892" s="912"/>
      <c r="F892" s="912"/>
      <c r="G892" s="905" t="s">
        <v>361</v>
      </c>
      <c r="H892" s="546" t="s">
        <v>362</v>
      </c>
      <c r="I892" s="910" t="e">
        <f>VLOOKUP(H890,'LƯƠNG KT'!$D$16:$AC$184,14,0)</f>
        <v>#N/A</v>
      </c>
      <c r="J892" s="609" t="e">
        <f>I892*$L$4</f>
        <v>#N/A</v>
      </c>
      <c r="K892" s="935"/>
      <c r="L892" s="935"/>
      <c r="M892" s="935"/>
      <c r="N892" s="935"/>
      <c r="O892" s="935"/>
    </row>
    <row r="893" spans="1:15" ht="15" customHeight="1">
      <c r="A893" s="905" t="s">
        <v>364</v>
      </c>
      <c r="B893" s="546" t="s">
        <v>365</v>
      </c>
      <c r="C893" s="910" t="e">
        <f>VLOOKUP(B890,'LƯƠNG KT'!$D$16:$AC$184,15,0)</f>
        <v>#N/A</v>
      </c>
      <c r="D893" s="609" t="e">
        <f>C893*$L$5</f>
        <v>#N/A</v>
      </c>
      <c r="E893" s="912"/>
      <c r="F893" s="912"/>
      <c r="G893" s="905" t="s">
        <v>364</v>
      </c>
      <c r="H893" s="546" t="s">
        <v>365</v>
      </c>
      <c r="I893" s="910" t="e">
        <f>VLOOKUP(H890,'LƯƠNG KT'!$D$16:$AC$184,15,0)</f>
        <v>#N/A</v>
      </c>
      <c r="J893" s="609" t="e">
        <f>I893*$L$5</f>
        <v>#N/A</v>
      </c>
      <c r="K893" s="935"/>
      <c r="L893" s="935"/>
      <c r="M893" s="935"/>
      <c r="N893" s="935"/>
      <c r="O893" s="935"/>
    </row>
    <row r="894" spans="1:15" ht="15" customHeight="1">
      <c r="A894" s="905" t="s">
        <v>367</v>
      </c>
      <c r="B894" s="546"/>
      <c r="C894" s="910" t="e">
        <f>VLOOKUP(B890,'LƯƠNG KT'!$D$16:$AC$184,16,0)</f>
        <v>#N/A</v>
      </c>
      <c r="D894" s="609" t="e">
        <f>+C894*$L$6</f>
        <v>#N/A</v>
      </c>
      <c r="E894" s="912"/>
      <c r="F894" s="912"/>
      <c r="G894" s="905" t="s">
        <v>367</v>
      </c>
      <c r="H894" s="546"/>
      <c r="I894" s="910" t="e">
        <f>VLOOKUP(H890,'LƯƠNG KT'!$D$16:$AC$184,16,0)</f>
        <v>#N/A</v>
      </c>
      <c r="J894" s="609" t="e">
        <f>+I894*$L$6</f>
        <v>#N/A</v>
      </c>
      <c r="K894" s="935"/>
      <c r="L894" s="935"/>
      <c r="M894" s="935"/>
      <c r="N894" s="935"/>
      <c r="O894" s="935"/>
    </row>
    <row r="895" spans="1:15" ht="15" customHeight="1">
      <c r="A895" s="905" t="s">
        <v>371</v>
      </c>
      <c r="B895" s="546" t="s">
        <v>372</v>
      </c>
      <c r="C895" s="910" t="e">
        <f>VLOOKUP(B890,'LƯƠNG KT'!$D$16:$AC$184,9,0)*$L$10</f>
        <v>#N/A</v>
      </c>
      <c r="D895" s="609" t="e">
        <f>+C895*0.5*3000</f>
        <v>#N/A</v>
      </c>
      <c r="E895" s="912"/>
      <c r="F895" s="912"/>
      <c r="G895" s="905" t="s">
        <v>371</v>
      </c>
      <c r="H895" s="546" t="s">
        <v>372</v>
      </c>
      <c r="I895" s="910" t="e">
        <f>VLOOKUP(H890,'LƯƠNG KT'!$D$16:$AC$184,9,0)*$L$10</f>
        <v>#N/A</v>
      </c>
      <c r="J895" s="609" t="e">
        <f>+I895*0.5*3000</f>
        <v>#N/A</v>
      </c>
      <c r="K895" s="935"/>
      <c r="L895" s="935"/>
      <c r="M895" s="935"/>
      <c r="N895" s="935"/>
      <c r="O895" s="935"/>
    </row>
    <row r="896" spans="1:15" ht="15" customHeight="1">
      <c r="A896" s="905" t="s">
        <v>374</v>
      </c>
      <c r="B896" s="546" t="s">
        <v>375</v>
      </c>
      <c r="C896" s="910" t="e">
        <f>VLOOKUP(B890,'LƯƠNG KT'!$D$16:$AC$184,8,0)*$L$11</f>
        <v>#N/A</v>
      </c>
      <c r="D896" s="609" t="e">
        <f>VLOOKUP(B890,'LƯƠNG KT'!$D$16:$AC$184,13,0)-D895</f>
        <v>#N/A</v>
      </c>
      <c r="E896" s="914"/>
      <c r="F896" s="912"/>
      <c r="G896" s="905" t="s">
        <v>374</v>
      </c>
      <c r="H896" s="546" t="s">
        <v>375</v>
      </c>
      <c r="I896" s="910" t="e">
        <f>VLOOKUP(H890,'LƯƠNG KT'!$D$16:$AC$184,8,0)*$L$11</f>
        <v>#N/A</v>
      </c>
      <c r="J896" s="609" t="e">
        <f>VLOOKUP(H890,'LƯƠNG KT'!$D$16:$AC$184,13,0)-J895</f>
        <v>#N/A</v>
      </c>
      <c r="K896" s="935"/>
      <c r="L896" s="935"/>
      <c r="M896" s="935"/>
      <c r="N896" s="935"/>
      <c r="O896" s="935"/>
    </row>
    <row r="897" spans="1:15" ht="15" customHeight="1">
      <c r="A897" s="609" t="s">
        <v>377</v>
      </c>
      <c r="B897" s="546" t="s">
        <v>378</v>
      </c>
      <c r="C897" s="910"/>
      <c r="D897" s="609"/>
      <c r="E897" s="916"/>
      <c r="F897" s="916"/>
      <c r="G897" s="609" t="s">
        <v>377</v>
      </c>
      <c r="H897" s="546" t="s">
        <v>378</v>
      </c>
      <c r="I897" s="910"/>
      <c r="J897" s="609"/>
    </row>
    <row r="898" spans="1:15" ht="15" customHeight="1">
      <c r="A898" s="547" t="s">
        <v>379</v>
      </c>
      <c r="B898" s="546" t="s">
        <v>380</v>
      </c>
      <c r="C898" s="910"/>
      <c r="D898" s="609"/>
      <c r="E898" s="914"/>
      <c r="F898" s="916"/>
      <c r="G898" s="547" t="s">
        <v>379</v>
      </c>
      <c r="H898" s="546" t="s">
        <v>380</v>
      </c>
      <c r="I898" s="910"/>
      <c r="J898" s="609"/>
    </row>
    <row r="899" spans="1:15" ht="15" customHeight="1">
      <c r="A899" s="905" t="s">
        <v>381</v>
      </c>
      <c r="B899" s="546" t="s">
        <v>382</v>
      </c>
      <c r="C899" s="910"/>
      <c r="D899" s="609">
        <f>D898</f>
        <v>0</v>
      </c>
      <c r="E899" s="917"/>
      <c r="F899" s="904"/>
      <c r="G899" s="905" t="s">
        <v>381</v>
      </c>
      <c r="H899" s="546" t="s">
        <v>382</v>
      </c>
      <c r="I899" s="910"/>
      <c r="J899" s="609">
        <f>J898</f>
        <v>0</v>
      </c>
    </row>
    <row r="900" spans="1:15" ht="15" customHeight="1">
      <c r="A900" s="918" t="s">
        <v>383</v>
      </c>
      <c r="B900" s="919" t="s">
        <v>384</v>
      </c>
      <c r="C900" s="920"/>
      <c r="D900" s="921" t="e">
        <f>SUM(D891:D896)-D899</f>
        <v>#N/A</v>
      </c>
      <c r="E900" s="922"/>
      <c r="F900" s="923"/>
      <c r="G900" s="918" t="s">
        <v>383</v>
      </c>
      <c r="H900" s="919" t="s">
        <v>384</v>
      </c>
      <c r="I900" s="920"/>
      <c r="J900" s="921" t="e">
        <f>SUM(J891:J896)-J899</f>
        <v>#N/A</v>
      </c>
    </row>
    <row r="901" spans="1:15" ht="18.75" customHeight="1">
      <c r="A901" s="924"/>
      <c r="B901" s="925"/>
      <c r="C901" s="926"/>
      <c r="D901" s="927"/>
      <c r="E901" s="927"/>
      <c r="F901" s="928"/>
      <c r="G901" s="924"/>
      <c r="H901" s="925"/>
      <c r="I901" s="926"/>
      <c r="J901" s="927"/>
    </row>
    <row r="902" spans="1:15" ht="18.75" customHeight="1">
      <c r="A902" s="925"/>
      <c r="B902" s="925"/>
      <c r="C902" s="929"/>
      <c r="D902" s="930"/>
      <c r="E902" s="925"/>
      <c r="F902" s="931"/>
      <c r="G902" s="925"/>
      <c r="H902" s="925"/>
      <c r="I902" s="929"/>
      <c r="J902" s="930"/>
    </row>
    <row r="903" spans="1:15" ht="15" customHeight="1">
      <c r="A903" s="2360" t="str">
        <f>$K$2</f>
        <v>THÁNG 09/2024</v>
      </c>
      <c r="B903" s="2360"/>
      <c r="C903" s="2360"/>
      <c r="D903" s="2360"/>
      <c r="E903" s="903"/>
      <c r="F903" s="904"/>
      <c r="G903" s="2360" t="str">
        <f>$K$2</f>
        <v>THÁNG 09/2024</v>
      </c>
      <c r="H903" s="2360"/>
      <c r="I903" s="2360"/>
      <c r="J903" s="2360"/>
      <c r="K903" s="276"/>
    </row>
    <row r="904" spans="1:15" ht="15" customHeight="1">
      <c r="A904" s="905" t="s">
        <v>356</v>
      </c>
      <c r="B904" s="642" t="s">
        <v>27</v>
      </c>
      <c r="C904" s="546"/>
      <c r="D904" s="902"/>
      <c r="E904" s="906"/>
      <c r="F904" s="907"/>
      <c r="G904" s="905" t="s">
        <v>356</v>
      </c>
      <c r="H904" s="642" t="s">
        <v>28</v>
      </c>
      <c r="I904" s="546"/>
      <c r="J904" s="902"/>
      <c r="L904" s="938"/>
      <c r="M904" s="938"/>
      <c r="N904" s="938"/>
      <c r="O904" s="938"/>
    </row>
    <row r="905" spans="1:15" ht="15" customHeight="1">
      <c r="A905" s="905" t="s">
        <v>359</v>
      </c>
      <c r="B905" s="939" t="s">
        <v>360</v>
      </c>
      <c r="C905" s="910" t="e">
        <f>VLOOKUP(B904,'LƯƠNG KT'!$D$16:$AC$184,3,0)</f>
        <v>#N/A</v>
      </c>
      <c r="D905" s="609" t="e">
        <f>+C905*25000</f>
        <v>#N/A</v>
      </c>
      <c r="E905" s="911"/>
      <c r="F905" s="911"/>
      <c r="G905" s="905" t="s">
        <v>359</v>
      </c>
      <c r="H905" s="939" t="s">
        <v>360</v>
      </c>
      <c r="I905" s="910" t="e">
        <f>VLOOKUP(H904,'LƯƠNG KT'!$D$16:$AC$184,3,0)</f>
        <v>#N/A</v>
      </c>
      <c r="J905" s="609" t="e">
        <f>+I905*25000</f>
        <v>#N/A</v>
      </c>
      <c r="K905" s="935"/>
      <c r="L905" s="935"/>
      <c r="M905" s="935"/>
      <c r="N905" s="935"/>
      <c r="O905" s="935"/>
    </row>
    <row r="906" spans="1:15" ht="15" customHeight="1">
      <c r="A906" s="905" t="s">
        <v>361</v>
      </c>
      <c r="B906" s="546" t="s">
        <v>362</v>
      </c>
      <c r="C906" s="910" t="e">
        <f>VLOOKUP(B904,'LƯƠNG KT'!$D$16:$AC$184,14,0)</f>
        <v>#N/A</v>
      </c>
      <c r="D906" s="609" t="e">
        <f>C906*$L$4</f>
        <v>#N/A</v>
      </c>
      <c r="E906" s="912"/>
      <c r="F906" s="912"/>
      <c r="G906" s="905" t="s">
        <v>361</v>
      </c>
      <c r="H906" s="546" t="s">
        <v>362</v>
      </c>
      <c r="I906" s="910" t="e">
        <f>VLOOKUP(H904,'LƯƠNG KT'!$D$16:$AC$184,14,0)</f>
        <v>#N/A</v>
      </c>
      <c r="J906" s="609" t="e">
        <f>I906*$L$4</f>
        <v>#N/A</v>
      </c>
      <c r="K906" s="935"/>
      <c r="L906" s="935"/>
      <c r="M906" s="935"/>
      <c r="N906" s="935"/>
      <c r="O906" s="935"/>
    </row>
    <row r="907" spans="1:15" ht="15" customHeight="1">
      <c r="A907" s="905" t="s">
        <v>364</v>
      </c>
      <c r="B907" s="546" t="s">
        <v>365</v>
      </c>
      <c r="C907" s="910" t="e">
        <f>VLOOKUP(B904,'LƯƠNG KT'!$D$16:$AC$184,15,0)</f>
        <v>#N/A</v>
      </c>
      <c r="D907" s="609" t="e">
        <f>C907*$L$5</f>
        <v>#N/A</v>
      </c>
      <c r="E907" s="912"/>
      <c r="F907" s="912"/>
      <c r="G907" s="905" t="s">
        <v>364</v>
      </c>
      <c r="H907" s="546" t="s">
        <v>365</v>
      </c>
      <c r="I907" s="910" t="e">
        <f>VLOOKUP(H904,'LƯƠNG KT'!$D$16:$AC$184,15,0)</f>
        <v>#N/A</v>
      </c>
      <c r="J907" s="609" t="e">
        <f>I907*$L$5</f>
        <v>#N/A</v>
      </c>
      <c r="K907" s="935"/>
      <c r="L907" s="935"/>
      <c r="M907" s="935"/>
      <c r="N907" s="935"/>
      <c r="O907" s="935"/>
    </row>
    <row r="908" spans="1:15" ht="15" customHeight="1">
      <c r="A908" s="905" t="s">
        <v>367</v>
      </c>
      <c r="B908" s="546"/>
      <c r="C908" s="910" t="e">
        <f>VLOOKUP(B904,'LƯƠNG KT'!$D$16:$AC$184,16,0)</f>
        <v>#N/A</v>
      </c>
      <c r="D908" s="609" t="e">
        <f>+C908*$L$6</f>
        <v>#N/A</v>
      </c>
      <c r="E908" s="912"/>
      <c r="F908" s="912"/>
      <c r="G908" s="905" t="s">
        <v>367</v>
      </c>
      <c r="H908" s="546"/>
      <c r="I908" s="910" t="e">
        <f>VLOOKUP(H904,'LƯƠNG KT'!$D$16:$AC$184,16,0)</f>
        <v>#N/A</v>
      </c>
      <c r="J908" s="609" t="e">
        <f>+I908*$L$6</f>
        <v>#N/A</v>
      </c>
      <c r="K908" s="935"/>
      <c r="L908" s="935"/>
      <c r="M908" s="935"/>
      <c r="N908" s="935"/>
      <c r="O908" s="935"/>
    </row>
    <row r="909" spans="1:15" ht="15" customHeight="1">
      <c r="A909" s="905" t="s">
        <v>371</v>
      </c>
      <c r="B909" s="546" t="s">
        <v>372</v>
      </c>
      <c r="C909" s="910" t="e">
        <f>VLOOKUP(B904,'LƯƠNG KT'!$D$16:$AC$184,9,0)*$L$10</f>
        <v>#N/A</v>
      </c>
      <c r="D909" s="609" t="e">
        <f>+C909*0.5*3000</f>
        <v>#N/A</v>
      </c>
      <c r="E909" s="912"/>
      <c r="F909" s="912"/>
      <c r="G909" s="905" t="s">
        <v>371</v>
      </c>
      <c r="H909" s="546" t="s">
        <v>372</v>
      </c>
      <c r="I909" s="910" t="e">
        <f>VLOOKUP(H904,'LƯƠNG KT'!$D$16:$AC$184,9,0)*$L$10</f>
        <v>#N/A</v>
      </c>
      <c r="J909" s="609" t="e">
        <f>+I909*0.5*3000</f>
        <v>#N/A</v>
      </c>
      <c r="K909" s="935"/>
      <c r="L909" s="935"/>
      <c r="M909" s="935"/>
      <c r="N909" s="935"/>
      <c r="O909" s="935"/>
    </row>
    <row r="910" spans="1:15" ht="15" customHeight="1">
      <c r="A910" s="905" t="s">
        <v>374</v>
      </c>
      <c r="B910" s="546" t="s">
        <v>375</v>
      </c>
      <c r="C910" s="910" t="e">
        <f>VLOOKUP(B904,'LƯƠNG KT'!$D$16:$AC$184,8,0)*$L$11</f>
        <v>#N/A</v>
      </c>
      <c r="D910" s="609" t="e">
        <f>VLOOKUP(B904,'LƯƠNG KT'!$D$16:$AC$184,13,0)-D909</f>
        <v>#N/A</v>
      </c>
      <c r="E910" s="914"/>
      <c r="F910" s="912"/>
      <c r="G910" s="905" t="s">
        <v>374</v>
      </c>
      <c r="H910" s="546" t="s">
        <v>375</v>
      </c>
      <c r="I910" s="910" t="e">
        <f>VLOOKUP(H904,'LƯƠNG KT'!$D$16:$AC$184,8,0)*$L$11</f>
        <v>#N/A</v>
      </c>
      <c r="J910" s="609" t="e">
        <f>VLOOKUP(H904,'LƯƠNG KT'!$D$16:$AC$184,13,0)-J909</f>
        <v>#N/A</v>
      </c>
      <c r="K910" s="935"/>
      <c r="L910" s="935"/>
      <c r="M910" s="935"/>
      <c r="N910" s="935"/>
      <c r="O910" s="935"/>
    </row>
    <row r="911" spans="1:15" ht="15" customHeight="1">
      <c r="A911" s="609" t="s">
        <v>377</v>
      </c>
      <c r="B911" s="546" t="s">
        <v>378</v>
      </c>
      <c r="C911" s="910"/>
      <c r="D911" s="609"/>
      <c r="E911" s="916"/>
      <c r="F911" s="916"/>
      <c r="G911" s="609" t="s">
        <v>377</v>
      </c>
      <c r="H911" s="546" t="s">
        <v>378</v>
      </c>
      <c r="I911" s="910"/>
      <c r="J911" s="609"/>
    </row>
    <row r="912" spans="1:15" ht="15" customHeight="1">
      <c r="A912" s="547" t="s">
        <v>379</v>
      </c>
      <c r="B912" s="546" t="s">
        <v>380</v>
      </c>
      <c r="C912" s="910"/>
      <c r="D912" s="609"/>
      <c r="E912" s="914"/>
      <c r="F912" s="916"/>
      <c r="G912" s="547" t="s">
        <v>379</v>
      </c>
      <c r="H912" s="546" t="s">
        <v>380</v>
      </c>
      <c r="I912" s="910"/>
      <c r="J912" s="609"/>
    </row>
    <row r="913" spans="1:15" ht="15" customHeight="1">
      <c r="A913" s="905" t="s">
        <v>381</v>
      </c>
      <c r="B913" s="546" t="s">
        <v>382</v>
      </c>
      <c r="C913" s="910"/>
      <c r="D913" s="609">
        <f>D912</f>
        <v>0</v>
      </c>
      <c r="E913" s="917"/>
      <c r="F913" s="904"/>
      <c r="G913" s="905" t="s">
        <v>381</v>
      </c>
      <c r="H913" s="546" t="s">
        <v>382</v>
      </c>
      <c r="I913" s="910"/>
      <c r="J913" s="609">
        <f>J912</f>
        <v>0</v>
      </c>
    </row>
    <row r="914" spans="1:15" ht="15" customHeight="1">
      <c r="A914" s="918" t="s">
        <v>383</v>
      </c>
      <c r="B914" s="919" t="s">
        <v>384</v>
      </c>
      <c r="C914" s="920"/>
      <c r="D914" s="921" t="e">
        <f>SUM(D905:D910)-D913</f>
        <v>#N/A</v>
      </c>
      <c r="E914" s="922"/>
      <c r="F914" s="923"/>
      <c r="G914" s="918" t="s">
        <v>383</v>
      </c>
      <c r="H914" s="919" t="s">
        <v>384</v>
      </c>
      <c r="I914" s="920"/>
      <c r="J914" s="921" t="e">
        <f>SUM(J905:J910)-J913</f>
        <v>#N/A</v>
      </c>
    </row>
    <row r="915" spans="1:15" ht="18.75" customHeight="1">
      <c r="A915" s="924"/>
      <c r="B915" s="925"/>
      <c r="C915" s="926"/>
      <c r="D915" s="927"/>
      <c r="E915" s="927"/>
      <c r="F915" s="928"/>
      <c r="G915" s="924"/>
      <c r="H915" s="925"/>
      <c r="I915" s="926"/>
      <c r="J915" s="927"/>
    </row>
    <row r="916" spans="1:15" ht="18.75" customHeight="1">
      <c r="A916" s="925"/>
      <c r="B916" s="925"/>
      <c r="C916" s="929"/>
      <c r="D916" s="930"/>
      <c r="E916" s="925"/>
      <c r="F916" s="931"/>
      <c r="G916" s="925"/>
      <c r="H916" s="925"/>
      <c r="I916" s="929"/>
      <c r="J916" s="930"/>
    </row>
    <row r="917" spans="1:15" ht="15" customHeight="1">
      <c r="A917" s="2360" t="str">
        <f>$K$2</f>
        <v>THÁNG 09/2024</v>
      </c>
      <c r="B917" s="2360"/>
      <c r="C917" s="2360"/>
      <c r="D917" s="2360"/>
      <c r="E917" s="903"/>
      <c r="F917" s="904"/>
      <c r="G917" s="2360" t="str">
        <f>$K$2</f>
        <v>THÁNG 09/2024</v>
      </c>
      <c r="H917" s="2360"/>
      <c r="I917" s="2360"/>
      <c r="J917" s="2360"/>
      <c r="K917" s="276"/>
    </row>
    <row r="918" spans="1:15" ht="15" customHeight="1">
      <c r="A918" s="905" t="s">
        <v>356</v>
      </c>
      <c r="B918" s="642" t="s">
        <v>29</v>
      </c>
      <c r="C918" s="546"/>
      <c r="D918" s="902"/>
      <c r="E918" s="906"/>
      <c r="F918" s="907"/>
      <c r="G918" s="905" t="s">
        <v>356</v>
      </c>
      <c r="H918" s="642" t="s">
        <v>30</v>
      </c>
      <c r="I918" s="546"/>
      <c r="J918" s="902"/>
      <c r="L918" s="938"/>
      <c r="M918" s="938"/>
      <c r="N918" s="938"/>
      <c r="O918" s="938"/>
    </row>
    <row r="919" spans="1:15" ht="15" customHeight="1">
      <c r="A919" s="905" t="s">
        <v>359</v>
      </c>
      <c r="B919" s="939" t="s">
        <v>360</v>
      </c>
      <c r="C919" s="910" t="e">
        <f>VLOOKUP(B918,'LƯƠNG KT'!$D$16:$AC$184,3,0)</f>
        <v>#N/A</v>
      </c>
      <c r="D919" s="609" t="e">
        <f>+C919*25000</f>
        <v>#N/A</v>
      </c>
      <c r="E919" s="911"/>
      <c r="F919" s="911"/>
      <c r="G919" s="905" t="s">
        <v>359</v>
      </c>
      <c r="H919" s="939" t="s">
        <v>360</v>
      </c>
      <c r="I919" s="910" t="e">
        <f>VLOOKUP(H918,'LƯƠNG KT'!$D$16:$AC$184,3,0)</f>
        <v>#N/A</v>
      </c>
      <c r="J919" s="609" t="e">
        <f>+I919*25000</f>
        <v>#N/A</v>
      </c>
      <c r="K919" s="935"/>
      <c r="L919" s="935"/>
      <c r="M919" s="935"/>
      <c r="N919" s="935"/>
      <c r="O919" s="935"/>
    </row>
    <row r="920" spans="1:15" ht="15" customHeight="1">
      <c r="A920" s="905" t="s">
        <v>361</v>
      </c>
      <c r="B920" s="546" t="s">
        <v>362</v>
      </c>
      <c r="C920" s="910" t="e">
        <f>VLOOKUP(B918,'LƯƠNG KT'!$D$16:$AC$184,14,0)</f>
        <v>#N/A</v>
      </c>
      <c r="D920" s="609" t="e">
        <f>C920*$L$4</f>
        <v>#N/A</v>
      </c>
      <c r="E920" s="912"/>
      <c r="F920" s="912"/>
      <c r="G920" s="905" t="s">
        <v>361</v>
      </c>
      <c r="H920" s="546" t="s">
        <v>362</v>
      </c>
      <c r="I920" s="910" t="e">
        <f>VLOOKUP(H918,'LƯƠNG KT'!$D$16:$AC$184,14,0)</f>
        <v>#N/A</v>
      </c>
      <c r="J920" s="609" t="e">
        <f>I920*$L$4</f>
        <v>#N/A</v>
      </c>
      <c r="K920" s="935"/>
      <c r="L920" s="935"/>
      <c r="M920" s="935"/>
      <c r="N920" s="935"/>
      <c r="O920" s="935"/>
    </row>
    <row r="921" spans="1:15" ht="15" customHeight="1">
      <c r="A921" s="905" t="s">
        <v>364</v>
      </c>
      <c r="B921" s="546" t="s">
        <v>365</v>
      </c>
      <c r="C921" s="910" t="e">
        <f>VLOOKUP(B918,'LƯƠNG KT'!$D$16:$AC$184,15,0)</f>
        <v>#N/A</v>
      </c>
      <c r="D921" s="609" t="e">
        <f>C921*$L$5</f>
        <v>#N/A</v>
      </c>
      <c r="E921" s="912"/>
      <c r="F921" s="912"/>
      <c r="G921" s="905" t="s">
        <v>364</v>
      </c>
      <c r="H921" s="546" t="s">
        <v>365</v>
      </c>
      <c r="I921" s="910" t="e">
        <f>VLOOKUP(H918,'LƯƠNG KT'!$D$16:$AC$184,15,0)</f>
        <v>#N/A</v>
      </c>
      <c r="J921" s="609" t="e">
        <f>I921*$L$5</f>
        <v>#N/A</v>
      </c>
      <c r="K921" s="935"/>
      <c r="L921" s="935"/>
      <c r="M921" s="935"/>
      <c r="N921" s="935"/>
      <c r="O921" s="935"/>
    </row>
    <row r="922" spans="1:15" ht="15" customHeight="1">
      <c r="A922" s="905" t="s">
        <v>367</v>
      </c>
      <c r="B922" s="546"/>
      <c r="C922" s="910" t="e">
        <f>VLOOKUP(B918,'LƯƠNG KT'!$D$16:$AC$184,16,0)</f>
        <v>#N/A</v>
      </c>
      <c r="D922" s="609" t="e">
        <f>+C922*$L$6</f>
        <v>#N/A</v>
      </c>
      <c r="E922" s="912"/>
      <c r="F922" s="912"/>
      <c r="G922" s="905" t="s">
        <v>367</v>
      </c>
      <c r="H922" s="546"/>
      <c r="I922" s="910" t="e">
        <f>VLOOKUP(H918,'LƯƠNG KT'!$D$16:$AC$184,16,0)</f>
        <v>#N/A</v>
      </c>
      <c r="J922" s="609" t="e">
        <f>+I922*$L$6</f>
        <v>#N/A</v>
      </c>
      <c r="K922" s="935"/>
      <c r="L922" s="935"/>
      <c r="M922" s="935"/>
      <c r="N922" s="935"/>
      <c r="O922" s="935"/>
    </row>
    <row r="923" spans="1:15" ht="15" customHeight="1">
      <c r="A923" s="905" t="s">
        <v>371</v>
      </c>
      <c r="B923" s="546" t="s">
        <v>372</v>
      </c>
      <c r="C923" s="910" t="e">
        <f>VLOOKUP(B918,'LƯƠNG KT'!$D$16:$AC$184,9,0)*$L$10</f>
        <v>#N/A</v>
      </c>
      <c r="D923" s="609" t="e">
        <f>+C923*0.5*3000</f>
        <v>#N/A</v>
      </c>
      <c r="E923" s="912"/>
      <c r="F923" s="912"/>
      <c r="G923" s="905" t="s">
        <v>371</v>
      </c>
      <c r="H923" s="546" t="s">
        <v>372</v>
      </c>
      <c r="I923" s="910" t="e">
        <f>VLOOKUP(H918,'LƯƠNG KT'!$D$16:$AC$184,9,0)*$L$10</f>
        <v>#N/A</v>
      </c>
      <c r="J923" s="609" t="e">
        <f>+I923*0.5*3000</f>
        <v>#N/A</v>
      </c>
      <c r="K923" s="935"/>
      <c r="L923" s="935"/>
      <c r="M923" s="935"/>
      <c r="N923" s="935"/>
      <c r="O923" s="935"/>
    </row>
    <row r="924" spans="1:15" ht="15" customHeight="1">
      <c r="A924" s="905" t="s">
        <v>374</v>
      </c>
      <c r="B924" s="546" t="s">
        <v>375</v>
      </c>
      <c r="C924" s="910" t="e">
        <f>VLOOKUP(B918,'LƯƠNG KT'!$D$16:$AC$184,8,0)*$L$11</f>
        <v>#N/A</v>
      </c>
      <c r="D924" s="609" t="e">
        <f>VLOOKUP(B918,'LƯƠNG KT'!$D$16:$AC$184,13,0)-D923</f>
        <v>#N/A</v>
      </c>
      <c r="E924" s="914"/>
      <c r="F924" s="912"/>
      <c r="G924" s="905" t="s">
        <v>374</v>
      </c>
      <c r="H924" s="546" t="s">
        <v>375</v>
      </c>
      <c r="I924" s="910" t="e">
        <f>VLOOKUP(H918,'LƯƠNG KT'!$D$16:$AC$184,8,0)*$L$11</f>
        <v>#N/A</v>
      </c>
      <c r="J924" s="609" t="e">
        <f>VLOOKUP(H918,'LƯƠNG KT'!$D$16:$AC$184,13,0)-J923</f>
        <v>#N/A</v>
      </c>
      <c r="K924" s="935"/>
      <c r="L924" s="935"/>
      <c r="M924" s="935"/>
      <c r="N924" s="935"/>
      <c r="O924" s="935"/>
    </row>
    <row r="925" spans="1:15" ht="15" customHeight="1">
      <c r="A925" s="609" t="s">
        <v>377</v>
      </c>
      <c r="B925" s="546" t="s">
        <v>378</v>
      </c>
      <c r="C925" s="910"/>
      <c r="D925" s="609"/>
      <c r="E925" s="916"/>
      <c r="F925" s="916"/>
      <c r="G925" s="609" t="s">
        <v>377</v>
      </c>
      <c r="H925" s="546" t="s">
        <v>378</v>
      </c>
      <c r="I925" s="910"/>
      <c r="J925" s="609"/>
    </row>
    <row r="926" spans="1:15" ht="15" customHeight="1">
      <c r="A926" s="547" t="s">
        <v>379</v>
      </c>
      <c r="B926" s="546" t="s">
        <v>380</v>
      </c>
      <c r="C926" s="910"/>
      <c r="D926" s="609"/>
      <c r="E926" s="914"/>
      <c r="F926" s="916"/>
      <c r="G926" s="547" t="s">
        <v>379</v>
      </c>
      <c r="H926" s="546" t="s">
        <v>380</v>
      </c>
      <c r="I926" s="910"/>
      <c r="J926" s="609"/>
    </row>
    <row r="927" spans="1:15" ht="15" customHeight="1">
      <c r="A927" s="905" t="s">
        <v>381</v>
      </c>
      <c r="B927" s="546" t="s">
        <v>382</v>
      </c>
      <c r="C927" s="910"/>
      <c r="D927" s="609">
        <f>D926</f>
        <v>0</v>
      </c>
      <c r="E927" s="917"/>
      <c r="F927" s="904"/>
      <c r="G927" s="905" t="s">
        <v>381</v>
      </c>
      <c r="H927" s="546" t="s">
        <v>382</v>
      </c>
      <c r="I927" s="910"/>
      <c r="J927" s="609">
        <f>J926</f>
        <v>0</v>
      </c>
    </row>
    <row r="928" spans="1:15" ht="15" customHeight="1">
      <c r="A928" s="918" t="s">
        <v>383</v>
      </c>
      <c r="B928" s="919" t="s">
        <v>384</v>
      </c>
      <c r="C928" s="920"/>
      <c r="D928" s="921" t="e">
        <f>SUM(D919:D924)-D927</f>
        <v>#N/A</v>
      </c>
      <c r="E928" s="922"/>
      <c r="F928" s="923"/>
      <c r="G928" s="918" t="s">
        <v>383</v>
      </c>
      <c r="H928" s="919" t="s">
        <v>384</v>
      </c>
      <c r="I928" s="920"/>
      <c r="J928" s="921" t="e">
        <f>SUM(J919:J924)-J927</f>
        <v>#N/A</v>
      </c>
    </row>
    <row r="929" spans="1:15" ht="15.75" customHeight="1">
      <c r="A929" s="924"/>
      <c r="B929" s="925"/>
      <c r="C929" s="926"/>
      <c r="D929" s="927"/>
      <c r="E929" s="927"/>
      <c r="F929" s="928"/>
      <c r="G929" s="924"/>
      <c r="H929" s="925"/>
      <c r="I929" s="926"/>
      <c r="J929" s="927"/>
    </row>
    <row r="931" spans="1:15" ht="12" customHeight="1">
      <c r="A931" s="2361"/>
      <c r="B931" s="2361"/>
      <c r="C931" s="2361"/>
      <c r="D931" s="2361"/>
      <c r="E931" s="2361"/>
      <c r="F931" s="2361"/>
      <c r="G931" s="2361"/>
      <c r="H931" s="2361"/>
      <c r="I931" s="2361"/>
      <c r="J931" s="2361"/>
    </row>
    <row r="932" spans="1:15" ht="15" customHeight="1">
      <c r="A932" s="2360" t="str">
        <f>$K$2</f>
        <v>THÁNG 09/2024</v>
      </c>
      <c r="B932" s="2360"/>
      <c r="C932" s="2360"/>
      <c r="D932" s="2360"/>
      <c r="E932" s="903"/>
      <c r="F932" s="904"/>
      <c r="G932" s="2360" t="str">
        <f>$K$2</f>
        <v>THÁNG 09/2024</v>
      </c>
      <c r="H932" s="2360"/>
      <c r="I932" s="2360"/>
      <c r="J932" s="2360"/>
      <c r="K932" s="276"/>
    </row>
    <row r="933" spans="1:15" ht="15" customHeight="1">
      <c r="A933" s="905" t="s">
        <v>356</v>
      </c>
      <c r="B933" s="642" t="s">
        <v>31</v>
      </c>
      <c r="C933" s="546"/>
      <c r="D933" s="902"/>
      <c r="E933" s="906"/>
      <c r="F933" s="907"/>
      <c r="G933" s="905" t="s">
        <v>356</v>
      </c>
      <c r="H933" s="642" t="s">
        <v>32</v>
      </c>
      <c r="I933" s="546"/>
      <c r="J933" s="902"/>
      <c r="L933" s="938"/>
      <c r="M933" s="938"/>
      <c r="N933" s="938"/>
      <c r="O933" s="938"/>
    </row>
    <row r="934" spans="1:15" ht="15" customHeight="1">
      <c r="A934" s="905" t="s">
        <v>359</v>
      </c>
      <c r="B934" s="939" t="s">
        <v>360</v>
      </c>
      <c r="C934" s="910" t="e">
        <f>VLOOKUP(B933,'LƯƠNG KT'!$D$16:$AC$184,3,0)</f>
        <v>#N/A</v>
      </c>
      <c r="D934" s="609" t="e">
        <f>+C934*25000</f>
        <v>#N/A</v>
      </c>
      <c r="E934" s="911"/>
      <c r="F934" s="911"/>
      <c r="G934" s="905" t="s">
        <v>359</v>
      </c>
      <c r="H934" s="939" t="s">
        <v>360</v>
      </c>
      <c r="I934" s="910" t="e">
        <f>VLOOKUP(H933,'LƯƠNG KT'!$D$16:$AC$184,3,0)</f>
        <v>#N/A</v>
      </c>
      <c r="J934" s="609" t="e">
        <f>+I934*25000</f>
        <v>#N/A</v>
      </c>
      <c r="K934" s="934"/>
      <c r="L934" s="935"/>
      <c r="M934" s="935"/>
      <c r="N934" s="935"/>
      <c r="O934" s="935"/>
    </row>
    <row r="935" spans="1:15" ht="15" customHeight="1">
      <c r="A935" s="905" t="s">
        <v>361</v>
      </c>
      <c r="B935" s="546" t="s">
        <v>362</v>
      </c>
      <c r="C935" s="910" t="e">
        <f>VLOOKUP(B933,'LƯƠNG KT'!$D$16:$AC$184,14,0)</f>
        <v>#N/A</v>
      </c>
      <c r="D935" s="609" t="e">
        <f>C935*$L$4</f>
        <v>#N/A</v>
      </c>
      <c r="E935" s="912"/>
      <c r="F935" s="912"/>
      <c r="G935" s="905" t="s">
        <v>361</v>
      </c>
      <c r="H935" s="546" t="s">
        <v>362</v>
      </c>
      <c r="I935" s="910" t="e">
        <f>VLOOKUP(H933,'LƯƠNG KT'!$D$16:$AC$184,14,0)</f>
        <v>#N/A</v>
      </c>
      <c r="J935" s="609" t="e">
        <f>I935*$L$4</f>
        <v>#N/A</v>
      </c>
      <c r="K935" s="934"/>
      <c r="L935" s="935"/>
      <c r="M935" s="935"/>
      <c r="N935" s="935"/>
      <c r="O935" s="935"/>
    </row>
    <row r="936" spans="1:15" ht="15" customHeight="1">
      <c r="A936" s="905" t="s">
        <v>364</v>
      </c>
      <c r="B936" s="546" t="s">
        <v>365</v>
      </c>
      <c r="C936" s="910" t="e">
        <f>VLOOKUP(B933,'LƯƠNG KT'!$D$16:$AC$184,15,0)</f>
        <v>#N/A</v>
      </c>
      <c r="D936" s="609" t="e">
        <f>C936*$L$5</f>
        <v>#N/A</v>
      </c>
      <c r="E936" s="912"/>
      <c r="F936" s="912"/>
      <c r="G936" s="905" t="s">
        <v>364</v>
      </c>
      <c r="H936" s="546" t="s">
        <v>365</v>
      </c>
      <c r="I936" s="910" t="e">
        <f>VLOOKUP(H933,'LƯƠNG KT'!$D$16:$AC$184,15,0)</f>
        <v>#N/A</v>
      </c>
      <c r="J936" s="609" t="e">
        <f>I936*$L$5</f>
        <v>#N/A</v>
      </c>
      <c r="K936" s="934"/>
      <c r="L936" s="935"/>
      <c r="M936" s="935"/>
      <c r="N936" s="935"/>
      <c r="O936" s="935"/>
    </row>
    <row r="937" spans="1:15" ht="15" customHeight="1">
      <c r="A937" s="905" t="s">
        <v>367</v>
      </c>
      <c r="B937" s="546"/>
      <c r="C937" s="910" t="e">
        <f>VLOOKUP(B933,'LƯƠNG KT'!$D$16:$AC$184,16,0)</f>
        <v>#N/A</v>
      </c>
      <c r="D937" s="609" t="e">
        <f>+C937*$L$6</f>
        <v>#N/A</v>
      </c>
      <c r="E937" s="912"/>
      <c r="F937" s="912"/>
      <c r="G937" s="905" t="s">
        <v>367</v>
      </c>
      <c r="H937" s="546"/>
      <c r="I937" s="910" t="e">
        <f>VLOOKUP(H933,'LƯƠNG KT'!$D$16:$AC$184,16,0)</f>
        <v>#N/A</v>
      </c>
      <c r="J937" s="609" t="e">
        <f>+I937*$L$6</f>
        <v>#N/A</v>
      </c>
      <c r="K937" s="935"/>
      <c r="L937" s="935"/>
      <c r="M937" s="935"/>
      <c r="N937" s="935"/>
      <c r="O937" s="935"/>
    </row>
    <row r="938" spans="1:15" ht="15" customHeight="1">
      <c r="A938" s="905" t="s">
        <v>371</v>
      </c>
      <c r="B938" s="546" t="s">
        <v>372</v>
      </c>
      <c r="C938" s="910" t="e">
        <f>VLOOKUP(B933,'LƯƠNG KT'!$D$16:$AC$184,9,0)*$L$10</f>
        <v>#N/A</v>
      </c>
      <c r="D938" s="609" t="e">
        <f>+C938*0.5*3000</f>
        <v>#N/A</v>
      </c>
      <c r="E938" s="912"/>
      <c r="F938" s="912"/>
      <c r="G938" s="905" t="s">
        <v>371</v>
      </c>
      <c r="H938" s="546" t="s">
        <v>372</v>
      </c>
      <c r="I938" s="910" t="e">
        <f>VLOOKUP(H933,'LƯƠNG KT'!$D$16:$AC$184,9,0)*$L$10</f>
        <v>#N/A</v>
      </c>
      <c r="J938" s="609" t="e">
        <f>+I938*0.5*3000</f>
        <v>#N/A</v>
      </c>
      <c r="K938" s="935"/>
      <c r="L938" s="935"/>
      <c r="M938" s="935"/>
      <c r="N938" s="935"/>
      <c r="O938" s="935"/>
    </row>
    <row r="939" spans="1:15" ht="15" customHeight="1">
      <c r="A939" s="905" t="s">
        <v>374</v>
      </c>
      <c r="B939" s="546" t="s">
        <v>375</v>
      </c>
      <c r="C939" s="910" t="e">
        <f>VLOOKUP(B933,'LƯƠNG KT'!$D$16:$AC$184,8,0)*$L$11</f>
        <v>#N/A</v>
      </c>
      <c r="D939" s="609" t="e">
        <f>VLOOKUP(B933,'LƯƠNG KT'!$D$16:$AC$184,13,0)-D938</f>
        <v>#N/A</v>
      </c>
      <c r="E939" s="914"/>
      <c r="F939" s="912"/>
      <c r="G939" s="905" t="s">
        <v>374</v>
      </c>
      <c r="H939" s="546" t="s">
        <v>375</v>
      </c>
      <c r="I939" s="910" t="e">
        <f>VLOOKUP(H933,'LƯƠNG KT'!$D$16:$AC$184,8,0)*$L$11</f>
        <v>#N/A</v>
      </c>
      <c r="J939" s="609" t="e">
        <f>VLOOKUP(H933,'LƯƠNG KT'!$D$16:$AC$184,13,0)-J938</f>
        <v>#N/A</v>
      </c>
      <c r="K939" s="935"/>
      <c r="L939" s="935"/>
      <c r="M939" s="935"/>
      <c r="N939" s="935"/>
      <c r="O939" s="935"/>
    </row>
    <row r="940" spans="1:15" ht="15" customHeight="1">
      <c r="A940" s="609" t="s">
        <v>377</v>
      </c>
      <c r="B940" s="546" t="s">
        <v>378</v>
      </c>
      <c r="C940" s="910"/>
      <c r="D940" s="609"/>
      <c r="E940" s="916"/>
      <c r="F940" s="916"/>
      <c r="G940" s="609" t="s">
        <v>377</v>
      </c>
      <c r="H940" s="546" t="s">
        <v>378</v>
      </c>
      <c r="I940" s="910"/>
      <c r="J940" s="609"/>
    </row>
    <row r="941" spans="1:15" ht="15" customHeight="1">
      <c r="A941" s="547" t="s">
        <v>379</v>
      </c>
      <c r="B941" s="546" t="s">
        <v>380</v>
      </c>
      <c r="C941" s="910"/>
      <c r="D941" s="609"/>
      <c r="E941" s="914"/>
      <c r="F941" s="916"/>
      <c r="G941" s="547" t="s">
        <v>379</v>
      </c>
      <c r="H941" s="546" t="s">
        <v>380</v>
      </c>
      <c r="I941" s="910"/>
      <c r="J941" s="609"/>
    </row>
    <row r="942" spans="1:15" ht="15" customHeight="1">
      <c r="A942" s="905" t="s">
        <v>381</v>
      </c>
      <c r="B942" s="546" t="s">
        <v>382</v>
      </c>
      <c r="C942" s="910"/>
      <c r="D942" s="609">
        <f>D941</f>
        <v>0</v>
      </c>
      <c r="E942" s="917"/>
      <c r="F942" s="904"/>
      <c r="G942" s="905" t="s">
        <v>381</v>
      </c>
      <c r="H942" s="546" t="s">
        <v>382</v>
      </c>
      <c r="I942" s="910"/>
      <c r="J942" s="609">
        <f>J941</f>
        <v>0</v>
      </c>
    </row>
    <row r="943" spans="1:15" ht="15" customHeight="1">
      <c r="A943" s="918" t="s">
        <v>383</v>
      </c>
      <c r="B943" s="919" t="s">
        <v>384</v>
      </c>
      <c r="C943" s="920"/>
      <c r="D943" s="921" t="e">
        <f>SUM(D934:D939)-D942</f>
        <v>#N/A</v>
      </c>
      <c r="E943" s="922"/>
      <c r="F943" s="923"/>
      <c r="G943" s="918" t="s">
        <v>383</v>
      </c>
      <c r="H943" s="919" t="s">
        <v>384</v>
      </c>
      <c r="I943" s="920"/>
      <c r="J943" s="921" t="e">
        <f>SUM(J934:J939)-J942</f>
        <v>#N/A</v>
      </c>
    </row>
    <row r="944" spans="1:15" ht="12.6" customHeight="1">
      <c r="A944" s="924"/>
      <c r="B944" s="925"/>
      <c r="C944" s="926"/>
      <c r="D944" s="927"/>
      <c r="E944" s="927"/>
      <c r="F944" s="928"/>
      <c r="G944" s="924"/>
      <c r="H944" s="925"/>
      <c r="I944" s="926"/>
      <c r="J944" s="927"/>
    </row>
    <row r="945" spans="1:15" ht="12.6" customHeight="1">
      <c r="A945" s="925"/>
      <c r="B945" s="925"/>
      <c r="C945" s="929"/>
      <c r="D945" s="930"/>
      <c r="E945" s="925"/>
      <c r="F945" s="931"/>
      <c r="G945" s="925"/>
      <c r="H945" s="925"/>
      <c r="I945" s="929"/>
      <c r="J945" s="930"/>
    </row>
    <row r="946" spans="1:15" ht="15" customHeight="1">
      <c r="A946" s="2360" t="str">
        <f>$K$2</f>
        <v>THÁNG 09/2024</v>
      </c>
      <c r="B946" s="2360"/>
      <c r="C946" s="2360"/>
      <c r="D946" s="2360"/>
      <c r="E946" s="903"/>
      <c r="F946" s="904"/>
      <c r="G946" s="2360" t="str">
        <f>$K$2</f>
        <v>THÁNG 09/2024</v>
      </c>
      <c r="H946" s="2360"/>
      <c r="I946" s="2360"/>
      <c r="J946" s="2360"/>
      <c r="K946" s="276"/>
    </row>
    <row r="947" spans="1:15" ht="15" customHeight="1">
      <c r="A947" s="905" t="s">
        <v>356</v>
      </c>
      <c r="B947" s="642" t="s">
        <v>33</v>
      </c>
      <c r="C947" s="546"/>
      <c r="D947" s="902"/>
      <c r="E947" s="906"/>
      <c r="F947" s="907"/>
      <c r="G947" s="905" t="s">
        <v>356</v>
      </c>
      <c r="H947" s="642" t="s">
        <v>34</v>
      </c>
      <c r="I947" s="546"/>
      <c r="J947" s="902"/>
      <c r="L947" s="938"/>
      <c r="M947" s="938"/>
      <c r="N947" s="938"/>
      <c r="O947" s="938"/>
    </row>
    <row r="948" spans="1:15" ht="15" customHeight="1">
      <c r="A948" s="905" t="s">
        <v>359</v>
      </c>
      <c r="B948" s="939" t="s">
        <v>360</v>
      </c>
      <c r="C948" s="910" t="e">
        <f>VLOOKUP(B947,'LƯƠNG KT'!$D$16:$AC$184,3,0)</f>
        <v>#N/A</v>
      </c>
      <c r="D948" s="609" t="e">
        <f>+C948*25000</f>
        <v>#N/A</v>
      </c>
      <c r="E948" s="911"/>
      <c r="F948" s="911"/>
      <c r="G948" s="905" t="s">
        <v>359</v>
      </c>
      <c r="H948" s="939" t="s">
        <v>360</v>
      </c>
      <c r="I948" s="910" t="e">
        <f>VLOOKUP(H947,'LƯƠNG KT'!$D$16:$AC$184,3,0)</f>
        <v>#N/A</v>
      </c>
      <c r="J948" s="609" t="e">
        <f>+I948*25000</f>
        <v>#N/A</v>
      </c>
      <c r="K948" s="935"/>
      <c r="L948" s="935"/>
      <c r="M948" s="935"/>
      <c r="N948" s="935"/>
      <c r="O948" s="935"/>
    </row>
    <row r="949" spans="1:15" ht="15" customHeight="1">
      <c r="A949" s="905" t="s">
        <v>361</v>
      </c>
      <c r="B949" s="546" t="s">
        <v>362</v>
      </c>
      <c r="C949" s="910" t="e">
        <f>VLOOKUP(B947,'LƯƠNG KT'!$D$16:$AC$184,14,0)</f>
        <v>#N/A</v>
      </c>
      <c r="D949" s="609" t="e">
        <f>C949*$L$4</f>
        <v>#N/A</v>
      </c>
      <c r="E949" s="912"/>
      <c r="F949" s="912"/>
      <c r="G949" s="905" t="s">
        <v>361</v>
      </c>
      <c r="H949" s="546" t="s">
        <v>362</v>
      </c>
      <c r="I949" s="910" t="e">
        <f>VLOOKUP(H947,'LƯƠNG KT'!$D$16:$AC$184,14,0)</f>
        <v>#N/A</v>
      </c>
      <c r="J949" s="609" t="e">
        <f>I949*$L$4</f>
        <v>#N/A</v>
      </c>
      <c r="K949" s="935"/>
      <c r="L949" s="935"/>
      <c r="M949" s="935"/>
      <c r="N949" s="935"/>
      <c r="O949" s="935"/>
    </row>
    <row r="950" spans="1:15" ht="15" customHeight="1">
      <c r="A950" s="905" t="s">
        <v>364</v>
      </c>
      <c r="B950" s="546" t="s">
        <v>365</v>
      </c>
      <c r="C950" s="910" t="e">
        <f>VLOOKUP(B947,'LƯƠNG KT'!$D$16:$AC$184,15,0)</f>
        <v>#N/A</v>
      </c>
      <c r="D950" s="609" t="e">
        <f>C950*$L$5</f>
        <v>#N/A</v>
      </c>
      <c r="E950" s="912"/>
      <c r="F950" s="912"/>
      <c r="G950" s="905" t="s">
        <v>364</v>
      </c>
      <c r="H950" s="546" t="s">
        <v>365</v>
      </c>
      <c r="I950" s="910" t="e">
        <f>VLOOKUP(H947,'LƯƠNG KT'!$D$16:$AC$184,15,0)</f>
        <v>#N/A</v>
      </c>
      <c r="J950" s="609" t="e">
        <f>I950*$L$5</f>
        <v>#N/A</v>
      </c>
      <c r="K950" s="935"/>
      <c r="L950" s="935"/>
      <c r="M950" s="935"/>
      <c r="N950" s="935"/>
      <c r="O950" s="935"/>
    </row>
    <row r="951" spans="1:15" ht="15" customHeight="1">
      <c r="A951" s="905" t="s">
        <v>367</v>
      </c>
      <c r="B951" s="546"/>
      <c r="C951" s="910" t="e">
        <f>VLOOKUP(B947,'LƯƠNG KT'!$D$16:$AC$184,16,0)</f>
        <v>#N/A</v>
      </c>
      <c r="D951" s="609" t="e">
        <f>+C951*$L$6</f>
        <v>#N/A</v>
      </c>
      <c r="E951" s="912"/>
      <c r="F951" s="912"/>
      <c r="G951" s="905" t="s">
        <v>367</v>
      </c>
      <c r="H951" s="546"/>
      <c r="I951" s="910" t="e">
        <f>VLOOKUP(H947,'LƯƠNG KT'!$D$16:$AC$184,16,0)</f>
        <v>#N/A</v>
      </c>
      <c r="J951" s="609" t="e">
        <f>+I951*$L$6</f>
        <v>#N/A</v>
      </c>
      <c r="K951" s="935"/>
      <c r="L951" s="935"/>
      <c r="M951" s="935"/>
      <c r="N951" s="935"/>
      <c r="O951" s="935"/>
    </row>
    <row r="952" spans="1:15" ht="15" customHeight="1">
      <c r="A952" s="905" t="s">
        <v>371</v>
      </c>
      <c r="B952" s="546" t="s">
        <v>372</v>
      </c>
      <c r="C952" s="910" t="e">
        <f>VLOOKUP(B947,'LƯƠNG KT'!$D$16:$AC$184,9,0)*$L$10</f>
        <v>#N/A</v>
      </c>
      <c r="D952" s="609" t="e">
        <f>+C952*0.5*3000</f>
        <v>#N/A</v>
      </c>
      <c r="E952" s="912"/>
      <c r="F952" s="912"/>
      <c r="G952" s="905" t="s">
        <v>371</v>
      </c>
      <c r="H952" s="546" t="s">
        <v>372</v>
      </c>
      <c r="I952" s="910" t="e">
        <f>VLOOKUP(H947,'LƯƠNG KT'!$D$16:$AC$184,9,0)*$L$10</f>
        <v>#N/A</v>
      </c>
      <c r="J952" s="609" t="e">
        <f>+I952*0.5*3000</f>
        <v>#N/A</v>
      </c>
      <c r="K952" s="935"/>
      <c r="L952" s="935"/>
      <c r="M952" s="935"/>
      <c r="N952" s="935"/>
      <c r="O952" s="935"/>
    </row>
    <row r="953" spans="1:15" ht="15" customHeight="1">
      <c r="A953" s="905" t="s">
        <v>374</v>
      </c>
      <c r="B953" s="546" t="s">
        <v>375</v>
      </c>
      <c r="C953" s="910" t="e">
        <f>VLOOKUP(B947,'LƯƠNG KT'!$D$16:$AC$184,8,0)*$L$11</f>
        <v>#N/A</v>
      </c>
      <c r="D953" s="609" t="e">
        <f>VLOOKUP(B947,'LƯƠNG KT'!$D$16:$AC$184,13,0)-D952</f>
        <v>#N/A</v>
      </c>
      <c r="E953" s="914"/>
      <c r="F953" s="912"/>
      <c r="G953" s="905" t="s">
        <v>374</v>
      </c>
      <c r="H953" s="546" t="s">
        <v>375</v>
      </c>
      <c r="I953" s="910" t="e">
        <f>VLOOKUP(H947,'LƯƠNG KT'!$D$16:$AC$184,8,0)*$L$11</f>
        <v>#N/A</v>
      </c>
      <c r="J953" s="609" t="e">
        <f>VLOOKUP(H947,'LƯƠNG KT'!$D$16:$AC$184,13,0)-J952</f>
        <v>#N/A</v>
      </c>
      <c r="K953" s="935"/>
      <c r="L953" s="935"/>
      <c r="M953" s="935"/>
      <c r="N953" s="935"/>
      <c r="O953" s="935"/>
    </row>
    <row r="954" spans="1:15" ht="15" customHeight="1">
      <c r="A954" s="609" t="s">
        <v>377</v>
      </c>
      <c r="B954" s="546" t="s">
        <v>378</v>
      </c>
      <c r="C954" s="910"/>
      <c r="D954" s="609"/>
      <c r="E954" s="916"/>
      <c r="F954" s="916"/>
      <c r="G954" s="609" t="s">
        <v>377</v>
      </c>
      <c r="H954" s="546" t="s">
        <v>378</v>
      </c>
      <c r="I954" s="910"/>
      <c r="J954" s="609"/>
    </row>
    <row r="955" spans="1:15" ht="15" customHeight="1">
      <c r="A955" s="547" t="s">
        <v>379</v>
      </c>
      <c r="B955" s="546" t="s">
        <v>380</v>
      </c>
      <c r="C955" s="910"/>
      <c r="D955" s="609"/>
      <c r="E955" s="914"/>
      <c r="F955" s="916"/>
      <c r="G955" s="547" t="s">
        <v>379</v>
      </c>
      <c r="H955" s="546" t="s">
        <v>380</v>
      </c>
      <c r="I955" s="910"/>
      <c r="J955" s="609"/>
    </row>
    <row r="956" spans="1:15" ht="15" customHeight="1">
      <c r="A956" s="905" t="s">
        <v>381</v>
      </c>
      <c r="B956" s="546" t="s">
        <v>382</v>
      </c>
      <c r="C956" s="910"/>
      <c r="D956" s="609">
        <f>D955</f>
        <v>0</v>
      </c>
      <c r="E956" s="917"/>
      <c r="F956" s="904"/>
      <c r="G956" s="905" t="s">
        <v>381</v>
      </c>
      <c r="H956" s="546" t="s">
        <v>382</v>
      </c>
      <c r="I956" s="910"/>
      <c r="J956" s="609">
        <f>J955</f>
        <v>0</v>
      </c>
    </row>
    <row r="957" spans="1:15" ht="15" customHeight="1">
      <c r="A957" s="918" t="s">
        <v>383</v>
      </c>
      <c r="B957" s="919" t="s">
        <v>384</v>
      </c>
      <c r="C957" s="920"/>
      <c r="D957" s="921" t="e">
        <f>SUM(D948:D953)-D956</f>
        <v>#N/A</v>
      </c>
      <c r="E957" s="922"/>
      <c r="F957" s="923"/>
      <c r="G957" s="918" t="s">
        <v>383</v>
      </c>
      <c r="H957" s="919" t="s">
        <v>384</v>
      </c>
      <c r="I957" s="920"/>
      <c r="J957" s="921" t="e">
        <f>SUM(J948:J953)-J956</f>
        <v>#N/A</v>
      </c>
    </row>
    <row r="958" spans="1:15" ht="18.75" customHeight="1">
      <c r="A958" s="924"/>
      <c r="B958" s="925"/>
      <c r="C958" s="926"/>
      <c r="D958" s="927"/>
      <c r="E958" s="927"/>
      <c r="F958" s="928"/>
      <c r="G958" s="924"/>
      <c r="H958" s="925"/>
      <c r="I958" s="926"/>
      <c r="J958" s="927"/>
    </row>
    <row r="959" spans="1:15" ht="18.75" customHeight="1">
      <c r="A959" s="925"/>
      <c r="B959" s="925"/>
      <c r="C959" s="929"/>
      <c r="D959" s="930"/>
      <c r="E959" s="925"/>
      <c r="F959" s="931"/>
      <c r="G959" s="925"/>
      <c r="H959" s="925"/>
      <c r="I959" s="929"/>
      <c r="J959" s="930"/>
    </row>
    <row r="960" spans="1:15" ht="15" customHeight="1">
      <c r="A960" s="2360" t="str">
        <f>$K$2</f>
        <v>THÁNG 09/2024</v>
      </c>
      <c r="B960" s="2360"/>
      <c r="C960" s="2360"/>
      <c r="D960" s="2360"/>
      <c r="E960" s="903"/>
      <c r="F960" s="904"/>
      <c r="G960" s="2360" t="str">
        <f>$K$2</f>
        <v>THÁNG 09/2024</v>
      </c>
      <c r="H960" s="2360"/>
      <c r="I960" s="2360"/>
      <c r="J960" s="2360"/>
      <c r="K960" s="276"/>
    </row>
    <row r="961" spans="1:15" ht="15" customHeight="1">
      <c r="A961" s="905" t="s">
        <v>356</v>
      </c>
      <c r="B961" s="642" t="s">
        <v>35</v>
      </c>
      <c r="C961" s="546"/>
      <c r="D961" s="902"/>
      <c r="E961" s="906"/>
      <c r="F961" s="907"/>
      <c r="G961" s="905" t="s">
        <v>356</v>
      </c>
      <c r="H961" s="642" t="s">
        <v>36</v>
      </c>
      <c r="I961" s="546"/>
      <c r="J961" s="902"/>
      <c r="L961" s="938"/>
      <c r="M961" s="938"/>
      <c r="N961" s="938"/>
      <c r="O961" s="938"/>
    </row>
    <row r="962" spans="1:15" ht="15" customHeight="1">
      <c r="A962" s="905" t="s">
        <v>359</v>
      </c>
      <c r="B962" s="939" t="s">
        <v>360</v>
      </c>
      <c r="C962" s="910" t="e">
        <f>VLOOKUP(B961,'LƯƠNG KT'!$D$16:$AC$184,3,0)</f>
        <v>#N/A</v>
      </c>
      <c r="D962" s="609" t="e">
        <f>+C962*25000</f>
        <v>#N/A</v>
      </c>
      <c r="E962" s="911"/>
      <c r="F962" s="911"/>
      <c r="G962" s="905" t="s">
        <v>359</v>
      </c>
      <c r="H962" s="939" t="s">
        <v>360</v>
      </c>
      <c r="I962" s="910" t="e">
        <f>VLOOKUP(H961,'LƯƠNG KT'!$D$16:$AC$184,3,0)</f>
        <v>#N/A</v>
      </c>
      <c r="J962" s="609" t="e">
        <f>+I962*25000</f>
        <v>#N/A</v>
      </c>
      <c r="K962" s="935"/>
      <c r="L962" s="935"/>
      <c r="M962" s="935"/>
      <c r="N962" s="935"/>
      <c r="O962" s="935"/>
    </row>
    <row r="963" spans="1:15" ht="15" customHeight="1">
      <c r="A963" s="905" t="s">
        <v>361</v>
      </c>
      <c r="B963" s="546" t="s">
        <v>362</v>
      </c>
      <c r="C963" s="910" t="e">
        <f>VLOOKUP(B961,'LƯƠNG KT'!$D$16:$AC$184,14,0)</f>
        <v>#N/A</v>
      </c>
      <c r="D963" s="609" t="e">
        <f>C963*$L$4</f>
        <v>#N/A</v>
      </c>
      <c r="E963" s="912"/>
      <c r="F963" s="912"/>
      <c r="G963" s="905" t="s">
        <v>361</v>
      </c>
      <c r="H963" s="546" t="s">
        <v>362</v>
      </c>
      <c r="I963" s="910" t="e">
        <f>VLOOKUP(H961,'LƯƠNG KT'!$D$16:$AC$184,14,0)</f>
        <v>#N/A</v>
      </c>
      <c r="J963" s="609" t="e">
        <f>I963*$L$4</f>
        <v>#N/A</v>
      </c>
      <c r="K963" s="935"/>
      <c r="L963" s="935"/>
      <c r="M963" s="935"/>
      <c r="N963" s="935"/>
      <c r="O963" s="935"/>
    </row>
    <row r="964" spans="1:15" ht="15" customHeight="1">
      <c r="A964" s="905" t="s">
        <v>364</v>
      </c>
      <c r="B964" s="546" t="s">
        <v>365</v>
      </c>
      <c r="C964" s="910" t="e">
        <f>VLOOKUP(B961,'LƯƠNG KT'!$D$16:$AC$184,15,0)</f>
        <v>#N/A</v>
      </c>
      <c r="D964" s="609" t="e">
        <f>C964*$L$5</f>
        <v>#N/A</v>
      </c>
      <c r="E964" s="912"/>
      <c r="F964" s="912"/>
      <c r="G964" s="905" t="s">
        <v>364</v>
      </c>
      <c r="H964" s="546" t="s">
        <v>365</v>
      </c>
      <c r="I964" s="910" t="e">
        <f>VLOOKUP(H961,'LƯƠNG KT'!$D$16:$AC$184,15,0)</f>
        <v>#N/A</v>
      </c>
      <c r="J964" s="609" t="e">
        <f>I964*$L$5</f>
        <v>#N/A</v>
      </c>
      <c r="K964" s="935"/>
      <c r="L964" s="935"/>
      <c r="M964" s="935"/>
      <c r="N964" s="935"/>
      <c r="O964" s="935"/>
    </row>
    <row r="965" spans="1:15" ht="15" customHeight="1">
      <c r="A965" s="905" t="s">
        <v>367</v>
      </c>
      <c r="B965" s="546"/>
      <c r="C965" s="910" t="e">
        <f>VLOOKUP(B961,'LƯƠNG KT'!$D$16:$AC$184,16,0)</f>
        <v>#N/A</v>
      </c>
      <c r="D965" s="609" t="e">
        <f>+C965*$L$6</f>
        <v>#N/A</v>
      </c>
      <c r="E965" s="912"/>
      <c r="F965" s="912"/>
      <c r="G965" s="905" t="s">
        <v>367</v>
      </c>
      <c r="H965" s="546"/>
      <c r="I965" s="910" t="e">
        <f>VLOOKUP(H961,'LƯƠNG KT'!$D$16:$AC$184,16,0)</f>
        <v>#N/A</v>
      </c>
      <c r="J965" s="609" t="e">
        <f>+I965*$L$6</f>
        <v>#N/A</v>
      </c>
      <c r="K965" s="935"/>
      <c r="L965" s="935"/>
      <c r="M965" s="935"/>
      <c r="N965" s="935"/>
      <c r="O965" s="935"/>
    </row>
    <row r="966" spans="1:15" ht="15" customHeight="1">
      <c r="A966" s="905" t="s">
        <v>371</v>
      </c>
      <c r="B966" s="546" t="s">
        <v>372</v>
      </c>
      <c r="C966" s="910" t="e">
        <f>VLOOKUP(B961,'LƯƠNG KT'!$D$16:$AC$184,9,0)*$L$10</f>
        <v>#N/A</v>
      </c>
      <c r="D966" s="609" t="e">
        <f>+C966*0.5*3000</f>
        <v>#N/A</v>
      </c>
      <c r="E966" s="912"/>
      <c r="F966" s="912"/>
      <c r="G966" s="905" t="s">
        <v>371</v>
      </c>
      <c r="H966" s="546" t="s">
        <v>372</v>
      </c>
      <c r="I966" s="910" t="e">
        <f>VLOOKUP(H961,'LƯƠNG KT'!$D$16:$AC$184,9,0)*$L$10</f>
        <v>#N/A</v>
      </c>
      <c r="J966" s="609" t="e">
        <f>+I966*0.5*3000</f>
        <v>#N/A</v>
      </c>
      <c r="K966" s="935"/>
      <c r="L966" s="935"/>
      <c r="M966" s="935"/>
      <c r="N966" s="935"/>
      <c r="O966" s="935"/>
    </row>
    <row r="967" spans="1:15" ht="15" customHeight="1">
      <c r="A967" s="905" t="s">
        <v>374</v>
      </c>
      <c r="B967" s="546" t="s">
        <v>375</v>
      </c>
      <c r="C967" s="910" t="e">
        <f>VLOOKUP(B961,'LƯƠNG KT'!$D$16:$AC$184,8,0)*$L$11</f>
        <v>#N/A</v>
      </c>
      <c r="D967" s="609" t="e">
        <f>VLOOKUP(B961,'LƯƠNG KT'!$D$16:$AC$184,13,0)-D966</f>
        <v>#N/A</v>
      </c>
      <c r="E967" s="914"/>
      <c r="F967" s="912"/>
      <c r="G967" s="905" t="s">
        <v>374</v>
      </c>
      <c r="H967" s="546" t="s">
        <v>375</v>
      </c>
      <c r="I967" s="910" t="e">
        <f>VLOOKUP(H961,'LƯƠNG KT'!$D$16:$AC$184,8,0)*$L$11</f>
        <v>#N/A</v>
      </c>
      <c r="J967" s="609" t="e">
        <f>VLOOKUP(H961,'LƯƠNG KT'!$D$16:$AC$184,13,0)-J966</f>
        <v>#N/A</v>
      </c>
      <c r="K967" s="935"/>
      <c r="L967" s="935"/>
      <c r="M967" s="935"/>
      <c r="N967" s="935"/>
      <c r="O967" s="935"/>
    </row>
    <row r="968" spans="1:15" ht="15" customHeight="1">
      <c r="A968" s="609" t="s">
        <v>377</v>
      </c>
      <c r="B968" s="546" t="s">
        <v>378</v>
      </c>
      <c r="C968" s="910"/>
      <c r="D968" s="609"/>
      <c r="E968" s="916"/>
      <c r="F968" s="916"/>
      <c r="G968" s="609" t="s">
        <v>377</v>
      </c>
      <c r="H968" s="546" t="s">
        <v>378</v>
      </c>
      <c r="I968" s="910"/>
      <c r="J968" s="609"/>
    </row>
    <row r="969" spans="1:15" ht="15" customHeight="1">
      <c r="A969" s="547" t="s">
        <v>379</v>
      </c>
      <c r="B969" s="546" t="s">
        <v>380</v>
      </c>
      <c r="C969" s="910"/>
      <c r="D969" s="609"/>
      <c r="E969" s="914"/>
      <c r="F969" s="916"/>
      <c r="G969" s="547" t="s">
        <v>379</v>
      </c>
      <c r="H969" s="546" t="s">
        <v>380</v>
      </c>
      <c r="I969" s="910"/>
      <c r="J969" s="609"/>
    </row>
    <row r="970" spans="1:15" ht="15" customHeight="1">
      <c r="A970" s="905" t="s">
        <v>381</v>
      </c>
      <c r="B970" s="546" t="s">
        <v>382</v>
      </c>
      <c r="C970" s="910"/>
      <c r="D970" s="609">
        <f>D969</f>
        <v>0</v>
      </c>
      <c r="E970" s="917"/>
      <c r="F970" s="904"/>
      <c r="G970" s="905" t="s">
        <v>381</v>
      </c>
      <c r="H970" s="546" t="s">
        <v>382</v>
      </c>
      <c r="I970" s="910"/>
      <c r="J970" s="609">
        <f>J969</f>
        <v>0</v>
      </c>
    </row>
    <row r="971" spans="1:15" ht="15" customHeight="1">
      <c r="A971" s="918" t="s">
        <v>383</v>
      </c>
      <c r="B971" s="919" t="s">
        <v>384</v>
      </c>
      <c r="C971" s="920"/>
      <c r="D971" s="921" t="e">
        <f>SUM(D962:D967)-D970</f>
        <v>#N/A</v>
      </c>
      <c r="E971" s="922"/>
      <c r="F971" s="923"/>
      <c r="G971" s="918" t="s">
        <v>383</v>
      </c>
      <c r="H971" s="919" t="s">
        <v>384</v>
      </c>
      <c r="I971" s="920"/>
      <c r="J971" s="921" t="e">
        <f>SUM(J962:J967)-J970</f>
        <v>#N/A</v>
      </c>
    </row>
    <row r="972" spans="1:15" ht="18.75" customHeight="1">
      <c r="A972" s="924"/>
      <c r="B972" s="925"/>
      <c r="C972" s="926"/>
      <c r="D972" s="927"/>
      <c r="E972" s="927"/>
      <c r="F972" s="928"/>
      <c r="G972" s="924"/>
      <c r="H972" s="925"/>
      <c r="I972" s="926"/>
      <c r="J972" s="927"/>
    </row>
    <row r="973" spans="1:15" ht="18.75" customHeight="1">
      <c r="A973" s="925"/>
      <c r="B973" s="925"/>
      <c r="C973" s="929"/>
      <c r="D973" s="930"/>
      <c r="E973" s="925"/>
      <c r="F973" s="931"/>
      <c r="G973" s="925"/>
      <c r="H973" s="925"/>
      <c r="I973" s="929"/>
      <c r="J973" s="930"/>
    </row>
    <row r="974" spans="1:15" ht="15" customHeight="1">
      <c r="A974" s="2360" t="str">
        <f>$K$2</f>
        <v>THÁNG 09/2024</v>
      </c>
      <c r="B974" s="2360"/>
      <c r="C974" s="2360"/>
      <c r="D974" s="2360"/>
      <c r="E974" s="903"/>
      <c r="F974" s="904"/>
      <c r="G974" s="2360" t="str">
        <f>$K$2</f>
        <v>THÁNG 09/2024</v>
      </c>
      <c r="H974" s="2360"/>
      <c r="I974" s="2360"/>
      <c r="J974" s="2360"/>
      <c r="K974" s="276"/>
    </row>
    <row r="975" spans="1:15" ht="15" customHeight="1">
      <c r="A975" s="905" t="s">
        <v>356</v>
      </c>
      <c r="B975" s="642" t="s">
        <v>37</v>
      </c>
      <c r="C975" s="546"/>
      <c r="D975" s="902"/>
      <c r="E975" s="906"/>
      <c r="F975" s="907"/>
      <c r="G975" s="905" t="s">
        <v>356</v>
      </c>
      <c r="H975" s="642" t="s">
        <v>38</v>
      </c>
      <c r="I975" s="546"/>
      <c r="J975" s="902"/>
      <c r="L975" s="938"/>
      <c r="M975" s="938"/>
      <c r="N975" s="938"/>
      <c r="O975" s="938"/>
    </row>
    <row r="976" spans="1:15" ht="15" customHeight="1">
      <c r="A976" s="905" t="s">
        <v>359</v>
      </c>
      <c r="B976" s="939" t="s">
        <v>360</v>
      </c>
      <c r="C976" s="910" t="e">
        <f>VLOOKUP(B975,'LƯƠNG KT'!$D$16:$AC$184,3,0)</f>
        <v>#N/A</v>
      </c>
      <c r="D976" s="609" t="e">
        <f>+C976*25000</f>
        <v>#N/A</v>
      </c>
      <c r="E976" s="911"/>
      <c r="F976" s="911"/>
      <c r="G976" s="905" t="s">
        <v>359</v>
      </c>
      <c r="H976" s="939" t="s">
        <v>360</v>
      </c>
      <c r="I976" s="910" t="e">
        <f>VLOOKUP(H975,'LƯƠNG KT'!$D$16:$AC$184,3,0)</f>
        <v>#N/A</v>
      </c>
      <c r="J976" s="609" t="e">
        <f>+I976*25000</f>
        <v>#N/A</v>
      </c>
      <c r="K976" s="935"/>
      <c r="L976" s="935"/>
      <c r="M976" s="935"/>
      <c r="N976" s="935"/>
      <c r="O976" s="935"/>
    </row>
    <row r="977" spans="1:15" ht="15" customHeight="1">
      <c r="A977" s="905" t="s">
        <v>361</v>
      </c>
      <c r="B977" s="546" t="s">
        <v>362</v>
      </c>
      <c r="C977" s="910" t="e">
        <f>VLOOKUP(B975,'LƯƠNG KT'!$D$16:$AC$184,14,0)</f>
        <v>#N/A</v>
      </c>
      <c r="D977" s="609" t="e">
        <f>C977*$L$4</f>
        <v>#N/A</v>
      </c>
      <c r="E977" s="912"/>
      <c r="F977" s="912"/>
      <c r="G977" s="905" t="s">
        <v>361</v>
      </c>
      <c r="H977" s="546" t="s">
        <v>362</v>
      </c>
      <c r="I977" s="910" t="e">
        <f>VLOOKUP(H975,'LƯƠNG KT'!$D$16:$AC$184,14,0)</f>
        <v>#N/A</v>
      </c>
      <c r="J977" s="609" t="e">
        <f>I977*$L$4</f>
        <v>#N/A</v>
      </c>
      <c r="K977" s="935"/>
      <c r="L977" s="935"/>
      <c r="M977" s="935"/>
      <c r="N977" s="935"/>
      <c r="O977" s="935"/>
    </row>
    <row r="978" spans="1:15" ht="15" customHeight="1">
      <c r="A978" s="905" t="s">
        <v>364</v>
      </c>
      <c r="B978" s="546" t="s">
        <v>365</v>
      </c>
      <c r="C978" s="910" t="e">
        <f>VLOOKUP(B975,'LƯƠNG KT'!$D$16:$AC$184,15,0)</f>
        <v>#N/A</v>
      </c>
      <c r="D978" s="609" t="e">
        <f>C978*$L$5</f>
        <v>#N/A</v>
      </c>
      <c r="E978" s="912"/>
      <c r="F978" s="912"/>
      <c r="G978" s="905" t="s">
        <v>364</v>
      </c>
      <c r="H978" s="546" t="s">
        <v>365</v>
      </c>
      <c r="I978" s="910" t="e">
        <f>VLOOKUP(H975,'LƯƠNG KT'!$D$16:$AC$184,15,0)</f>
        <v>#N/A</v>
      </c>
      <c r="J978" s="609" t="e">
        <f>I978*$L$5</f>
        <v>#N/A</v>
      </c>
      <c r="K978" s="935"/>
      <c r="L978" s="935"/>
      <c r="M978" s="935"/>
      <c r="N978" s="935"/>
      <c r="O978" s="935"/>
    </row>
    <row r="979" spans="1:15" ht="15" customHeight="1">
      <c r="A979" s="905" t="s">
        <v>367</v>
      </c>
      <c r="B979" s="546"/>
      <c r="C979" s="910" t="e">
        <f>VLOOKUP(B975,'LƯƠNG KT'!$D$16:$AC$184,16,0)</f>
        <v>#N/A</v>
      </c>
      <c r="D979" s="609" t="e">
        <f>+C979*$L$6</f>
        <v>#N/A</v>
      </c>
      <c r="E979" s="912"/>
      <c r="F979" s="912"/>
      <c r="G979" s="905" t="s">
        <v>367</v>
      </c>
      <c r="H979" s="546"/>
      <c r="I979" s="910" t="e">
        <f>VLOOKUP(H975,'LƯƠNG KT'!$D$16:$AC$184,16,0)</f>
        <v>#N/A</v>
      </c>
      <c r="J979" s="609" t="e">
        <f>+I979*$L$6</f>
        <v>#N/A</v>
      </c>
      <c r="K979" s="935"/>
      <c r="L979" s="935"/>
      <c r="M979" s="935"/>
      <c r="N979" s="935"/>
      <c r="O979" s="935"/>
    </row>
    <row r="980" spans="1:15" ht="15" customHeight="1">
      <c r="A980" s="905" t="s">
        <v>371</v>
      </c>
      <c r="B980" s="546" t="s">
        <v>372</v>
      </c>
      <c r="C980" s="910" t="e">
        <f>VLOOKUP(B975,'LƯƠNG KT'!$D$16:$AC$184,9,0)*$L$10</f>
        <v>#N/A</v>
      </c>
      <c r="D980" s="609" t="e">
        <f>+C980*0.5*3000</f>
        <v>#N/A</v>
      </c>
      <c r="E980" s="912"/>
      <c r="F980" s="912"/>
      <c r="G980" s="905" t="s">
        <v>371</v>
      </c>
      <c r="H980" s="546" t="s">
        <v>372</v>
      </c>
      <c r="I980" s="910" t="e">
        <f>VLOOKUP(H975,'LƯƠNG KT'!$D$16:$AC$184,9,0)*$L$10</f>
        <v>#N/A</v>
      </c>
      <c r="J980" s="609" t="e">
        <f>+I980*0.5*3000</f>
        <v>#N/A</v>
      </c>
      <c r="K980" s="935"/>
      <c r="L980" s="935"/>
      <c r="M980" s="935"/>
      <c r="N980" s="935"/>
      <c r="O980" s="935"/>
    </row>
    <row r="981" spans="1:15" ht="15" customHeight="1">
      <c r="A981" s="905" t="s">
        <v>374</v>
      </c>
      <c r="B981" s="546" t="s">
        <v>375</v>
      </c>
      <c r="C981" s="910" t="e">
        <f>VLOOKUP(B975,'LƯƠNG KT'!$D$16:$AC$184,8,0)*$L$11</f>
        <v>#N/A</v>
      </c>
      <c r="D981" s="609" t="e">
        <f>VLOOKUP(B975,'LƯƠNG KT'!$D$16:$AC$184,13,0)-D980</f>
        <v>#N/A</v>
      </c>
      <c r="E981" s="914"/>
      <c r="F981" s="912"/>
      <c r="G981" s="905" t="s">
        <v>374</v>
      </c>
      <c r="H981" s="546" t="s">
        <v>375</v>
      </c>
      <c r="I981" s="910" t="e">
        <f>VLOOKUP(H975,'LƯƠNG KT'!$D$16:$AC$184,8,0)*$L$11</f>
        <v>#N/A</v>
      </c>
      <c r="J981" s="609" t="e">
        <f>VLOOKUP(H975,'LƯƠNG KT'!$D$16:$AC$184,13,0)-J980</f>
        <v>#N/A</v>
      </c>
      <c r="K981" s="935"/>
      <c r="L981" s="935"/>
      <c r="M981" s="935"/>
      <c r="N981" s="935"/>
      <c r="O981" s="935"/>
    </row>
    <row r="982" spans="1:15" ht="15" customHeight="1">
      <c r="A982" s="609" t="s">
        <v>377</v>
      </c>
      <c r="B982" s="546" t="s">
        <v>378</v>
      </c>
      <c r="C982" s="910"/>
      <c r="D982" s="609"/>
      <c r="E982" s="916"/>
      <c r="F982" s="916"/>
      <c r="G982" s="609" t="s">
        <v>377</v>
      </c>
      <c r="H982" s="546" t="s">
        <v>378</v>
      </c>
      <c r="I982" s="910"/>
      <c r="J982" s="609"/>
    </row>
    <row r="983" spans="1:15" ht="15" customHeight="1">
      <c r="A983" s="547" t="s">
        <v>379</v>
      </c>
      <c r="B983" s="546" t="s">
        <v>380</v>
      </c>
      <c r="C983" s="910"/>
      <c r="D983" s="609"/>
      <c r="E983" s="914"/>
      <c r="F983" s="916"/>
      <c r="G983" s="547" t="s">
        <v>379</v>
      </c>
      <c r="H983" s="546" t="s">
        <v>380</v>
      </c>
      <c r="I983" s="910"/>
      <c r="J983" s="609"/>
    </row>
    <row r="984" spans="1:15" ht="15" customHeight="1">
      <c r="A984" s="905" t="s">
        <v>381</v>
      </c>
      <c r="B984" s="546" t="s">
        <v>382</v>
      </c>
      <c r="C984" s="910"/>
      <c r="D984" s="609">
        <f>D983</f>
        <v>0</v>
      </c>
      <c r="E984" s="917"/>
      <c r="F984" s="904"/>
      <c r="G984" s="905" t="s">
        <v>381</v>
      </c>
      <c r="H984" s="546" t="s">
        <v>382</v>
      </c>
      <c r="I984" s="910"/>
      <c r="J984" s="609">
        <f>J983</f>
        <v>0</v>
      </c>
    </row>
    <row r="985" spans="1:15" ht="15" customHeight="1">
      <c r="A985" s="918" t="s">
        <v>383</v>
      </c>
      <c r="B985" s="919" t="s">
        <v>384</v>
      </c>
      <c r="C985" s="920"/>
      <c r="D985" s="921" t="e">
        <f>SUM(D976:D981)-D984</f>
        <v>#N/A</v>
      </c>
      <c r="E985" s="922"/>
      <c r="F985" s="923"/>
      <c r="G985" s="918" t="s">
        <v>383</v>
      </c>
      <c r="H985" s="919" t="s">
        <v>384</v>
      </c>
      <c r="I985" s="920"/>
      <c r="J985" s="921" t="e">
        <f>SUM(J976:J981)-J984</f>
        <v>#N/A</v>
      </c>
    </row>
    <row r="986" spans="1:15" ht="15.75" customHeight="1">
      <c r="A986" s="924"/>
      <c r="B986" s="925"/>
      <c r="C986" s="926"/>
      <c r="D986" s="927"/>
      <c r="E986" s="927"/>
      <c r="F986" s="928"/>
      <c r="G986" s="924"/>
      <c r="H986" s="925"/>
      <c r="I986" s="926"/>
      <c r="J986" s="927"/>
    </row>
    <row r="988" spans="1:15" ht="12" customHeight="1">
      <c r="A988" s="2361"/>
      <c r="B988" s="2361"/>
      <c r="C988" s="2361"/>
      <c r="D988" s="2361"/>
      <c r="E988" s="2361"/>
      <c r="F988" s="2361"/>
      <c r="G988" s="2361"/>
      <c r="H988" s="2361"/>
      <c r="I988" s="2361"/>
      <c r="J988" s="2361"/>
    </row>
    <row r="989" spans="1:15" ht="15" customHeight="1">
      <c r="A989" s="2360" t="str">
        <f>$K$2</f>
        <v>THÁNG 09/2024</v>
      </c>
      <c r="B989" s="2360"/>
      <c r="C989" s="2360"/>
      <c r="D989" s="2360"/>
      <c r="E989" s="903"/>
      <c r="F989" s="904"/>
      <c r="G989" s="2360" t="str">
        <f>$K$2</f>
        <v>THÁNG 09/2024</v>
      </c>
      <c r="H989" s="2360"/>
      <c r="I989" s="2360"/>
      <c r="J989" s="2360"/>
      <c r="K989" s="276"/>
    </row>
    <row r="990" spans="1:15" ht="15" customHeight="1">
      <c r="A990" s="905" t="s">
        <v>356</v>
      </c>
      <c r="B990" s="642" t="s">
        <v>39</v>
      </c>
      <c r="C990" s="546"/>
      <c r="D990" s="902"/>
      <c r="E990" s="906"/>
      <c r="F990" s="907"/>
      <c r="G990" s="905" t="s">
        <v>356</v>
      </c>
      <c r="H990" s="642" t="s">
        <v>40</v>
      </c>
      <c r="I990" s="546"/>
      <c r="J990" s="902"/>
      <c r="L990" s="938"/>
      <c r="M990" s="938"/>
      <c r="N990" s="938"/>
      <c r="O990" s="938"/>
    </row>
    <row r="991" spans="1:15" ht="15" customHeight="1">
      <c r="A991" s="905" t="s">
        <v>359</v>
      </c>
      <c r="B991" s="939" t="s">
        <v>360</v>
      </c>
      <c r="C991" s="910" t="e">
        <f>VLOOKUP(B990,'LƯƠNG KT'!$D$16:$AC$184,3,0)</f>
        <v>#N/A</v>
      </c>
      <c r="D991" s="609" t="e">
        <f>+C991*25000</f>
        <v>#N/A</v>
      </c>
      <c r="E991" s="911"/>
      <c r="F991" s="911"/>
      <c r="G991" s="905" t="s">
        <v>359</v>
      </c>
      <c r="H991" s="939" t="s">
        <v>360</v>
      </c>
      <c r="I991" s="910" t="e">
        <f>VLOOKUP(H990,'LƯƠNG KT'!$D$16:$AC$184,3,0)</f>
        <v>#N/A</v>
      </c>
      <c r="J991" s="609" t="e">
        <f>+I991*25000</f>
        <v>#N/A</v>
      </c>
      <c r="K991" s="934"/>
      <c r="L991" s="935"/>
      <c r="M991" s="935"/>
      <c r="N991" s="935"/>
      <c r="O991" s="935"/>
    </row>
    <row r="992" spans="1:15" ht="15" customHeight="1">
      <c r="A992" s="905" t="s">
        <v>361</v>
      </c>
      <c r="B992" s="546" t="s">
        <v>362</v>
      </c>
      <c r="C992" s="910" t="e">
        <f>VLOOKUP(B990,'LƯƠNG KT'!$D$16:$AC$184,14,0)</f>
        <v>#N/A</v>
      </c>
      <c r="D992" s="609" t="e">
        <f>C992*$L$4</f>
        <v>#N/A</v>
      </c>
      <c r="E992" s="912"/>
      <c r="F992" s="912"/>
      <c r="G992" s="905" t="s">
        <v>361</v>
      </c>
      <c r="H992" s="546" t="s">
        <v>362</v>
      </c>
      <c r="I992" s="910" t="e">
        <f>VLOOKUP(H990,'LƯƠNG KT'!$D$16:$AC$184,14,0)</f>
        <v>#N/A</v>
      </c>
      <c r="J992" s="609" t="e">
        <f>I992*$L$4</f>
        <v>#N/A</v>
      </c>
      <c r="K992" s="934"/>
      <c r="L992" s="935"/>
      <c r="M992" s="935"/>
      <c r="N992" s="935"/>
      <c r="O992" s="935"/>
    </row>
    <row r="993" spans="1:15" ht="15" customHeight="1">
      <c r="A993" s="905" t="s">
        <v>364</v>
      </c>
      <c r="B993" s="546" t="s">
        <v>365</v>
      </c>
      <c r="C993" s="910" t="e">
        <f>VLOOKUP(B990,'LƯƠNG KT'!$D$16:$AC$184,15,0)</f>
        <v>#N/A</v>
      </c>
      <c r="D993" s="609" t="e">
        <f>C993*$L$5</f>
        <v>#N/A</v>
      </c>
      <c r="E993" s="912"/>
      <c r="F993" s="912"/>
      <c r="G993" s="905" t="s">
        <v>364</v>
      </c>
      <c r="H993" s="546" t="s">
        <v>365</v>
      </c>
      <c r="I993" s="910" t="e">
        <f>VLOOKUP(H990,'LƯƠNG KT'!$D$16:$AC$184,15,0)</f>
        <v>#N/A</v>
      </c>
      <c r="J993" s="609" t="e">
        <f>I993*$L$5</f>
        <v>#N/A</v>
      </c>
      <c r="K993" s="934"/>
      <c r="L993" s="935"/>
      <c r="M993" s="935"/>
      <c r="N993" s="935"/>
      <c r="O993" s="935"/>
    </row>
    <row r="994" spans="1:15" ht="15" customHeight="1">
      <c r="A994" s="905" t="s">
        <v>367</v>
      </c>
      <c r="B994" s="546"/>
      <c r="C994" s="910" t="e">
        <f>VLOOKUP(B990,'LƯƠNG KT'!$D$16:$AC$184,16,0)</f>
        <v>#N/A</v>
      </c>
      <c r="D994" s="609" t="e">
        <f>+C994*$L$6</f>
        <v>#N/A</v>
      </c>
      <c r="E994" s="912"/>
      <c r="F994" s="912"/>
      <c r="G994" s="905" t="s">
        <v>367</v>
      </c>
      <c r="H994" s="546"/>
      <c r="I994" s="910" t="e">
        <f>VLOOKUP(H990,'LƯƠNG KT'!$D$16:$AC$184,16,0)</f>
        <v>#N/A</v>
      </c>
      <c r="J994" s="609" t="e">
        <f>+I994*$L$6</f>
        <v>#N/A</v>
      </c>
      <c r="K994" s="935"/>
      <c r="L994" s="935"/>
      <c r="M994" s="935"/>
      <c r="N994" s="935"/>
      <c r="O994" s="935"/>
    </row>
    <row r="995" spans="1:15" ht="15" customHeight="1">
      <c r="A995" s="905" t="s">
        <v>371</v>
      </c>
      <c r="B995" s="546" t="s">
        <v>372</v>
      </c>
      <c r="C995" s="910" t="e">
        <f>VLOOKUP(B990,'LƯƠNG KT'!$D$16:$AC$184,9,0)*$L$10</f>
        <v>#N/A</v>
      </c>
      <c r="D995" s="609" t="e">
        <f>+C995*0.5*3000</f>
        <v>#N/A</v>
      </c>
      <c r="E995" s="912"/>
      <c r="F995" s="912"/>
      <c r="G995" s="905" t="s">
        <v>371</v>
      </c>
      <c r="H995" s="546" t="s">
        <v>372</v>
      </c>
      <c r="I995" s="910" t="e">
        <f>VLOOKUP(H990,'LƯƠNG KT'!$D$16:$AC$184,9,0)*$L$10</f>
        <v>#N/A</v>
      </c>
      <c r="J995" s="609" t="e">
        <f>+I995*0.5*3000</f>
        <v>#N/A</v>
      </c>
      <c r="K995" s="935"/>
      <c r="L995" s="935"/>
      <c r="M995" s="935"/>
      <c r="N995" s="935"/>
      <c r="O995" s="935"/>
    </row>
    <row r="996" spans="1:15" ht="15" customHeight="1">
      <c r="A996" s="905" t="s">
        <v>374</v>
      </c>
      <c r="B996" s="546" t="s">
        <v>375</v>
      </c>
      <c r="C996" s="910" t="e">
        <f>VLOOKUP(B990,'LƯƠNG KT'!$D$16:$AC$184,8,0)*$L$11</f>
        <v>#N/A</v>
      </c>
      <c r="D996" s="609" t="e">
        <f>VLOOKUP(B990,'LƯƠNG KT'!$D$16:$AC$184,13,0)-D995</f>
        <v>#N/A</v>
      </c>
      <c r="E996" s="914"/>
      <c r="F996" s="912"/>
      <c r="G996" s="905" t="s">
        <v>374</v>
      </c>
      <c r="H996" s="546" t="s">
        <v>375</v>
      </c>
      <c r="I996" s="910" t="e">
        <f>VLOOKUP(H990,'LƯƠNG KT'!$D$16:$AC$184,8,0)*$L$11</f>
        <v>#N/A</v>
      </c>
      <c r="J996" s="609" t="e">
        <f>VLOOKUP(H990,'LƯƠNG KT'!$D$16:$AC$184,13,0)-J995</f>
        <v>#N/A</v>
      </c>
      <c r="K996" s="935"/>
      <c r="L996" s="935"/>
      <c r="M996" s="935"/>
      <c r="N996" s="935"/>
      <c r="O996" s="935"/>
    </row>
    <row r="997" spans="1:15" ht="15" customHeight="1">
      <c r="A997" s="609" t="s">
        <v>377</v>
      </c>
      <c r="B997" s="546" t="s">
        <v>378</v>
      </c>
      <c r="C997" s="910"/>
      <c r="D997" s="609"/>
      <c r="E997" s="916"/>
      <c r="F997" s="916"/>
      <c r="G997" s="609" t="s">
        <v>377</v>
      </c>
      <c r="H997" s="546" t="s">
        <v>378</v>
      </c>
      <c r="I997" s="910"/>
      <c r="J997" s="609"/>
    </row>
    <row r="998" spans="1:15" ht="15" customHeight="1">
      <c r="A998" s="547" t="s">
        <v>379</v>
      </c>
      <c r="B998" s="546" t="s">
        <v>380</v>
      </c>
      <c r="C998" s="910"/>
      <c r="D998" s="609"/>
      <c r="E998" s="914"/>
      <c r="F998" s="916"/>
      <c r="G998" s="547" t="s">
        <v>379</v>
      </c>
      <c r="H998" s="546" t="s">
        <v>380</v>
      </c>
      <c r="I998" s="910"/>
      <c r="J998" s="609"/>
    </row>
    <row r="999" spans="1:15" ht="15" customHeight="1">
      <c r="A999" s="905" t="s">
        <v>381</v>
      </c>
      <c r="B999" s="546" t="s">
        <v>382</v>
      </c>
      <c r="C999" s="910"/>
      <c r="D999" s="609">
        <f>D998</f>
        <v>0</v>
      </c>
      <c r="E999" s="917"/>
      <c r="F999" s="904"/>
      <c r="G999" s="905" t="s">
        <v>381</v>
      </c>
      <c r="H999" s="546" t="s">
        <v>382</v>
      </c>
      <c r="I999" s="910"/>
      <c r="J999" s="609">
        <f>J998</f>
        <v>0</v>
      </c>
    </row>
    <row r="1000" spans="1:15" ht="15" customHeight="1">
      <c r="A1000" s="918" t="s">
        <v>383</v>
      </c>
      <c r="B1000" s="919" t="s">
        <v>384</v>
      </c>
      <c r="C1000" s="920"/>
      <c r="D1000" s="921" t="e">
        <f>SUM(D991:D996)-D999</f>
        <v>#N/A</v>
      </c>
      <c r="E1000" s="922"/>
      <c r="F1000" s="923"/>
      <c r="G1000" s="918" t="s">
        <v>383</v>
      </c>
      <c r="H1000" s="919" t="s">
        <v>384</v>
      </c>
      <c r="I1000" s="920"/>
      <c r="J1000" s="921" t="e">
        <f>SUM(J991:J996)-J999</f>
        <v>#N/A</v>
      </c>
    </row>
    <row r="1001" spans="1:15" ht="12.6" customHeight="1">
      <c r="A1001" s="924"/>
      <c r="B1001" s="925"/>
      <c r="C1001" s="926"/>
      <c r="D1001" s="927"/>
      <c r="E1001" s="927"/>
      <c r="F1001" s="928"/>
      <c r="G1001" s="924"/>
      <c r="H1001" s="925"/>
      <c r="I1001" s="926"/>
      <c r="J1001" s="927"/>
    </row>
    <row r="1002" spans="1:15" ht="12.6" customHeight="1">
      <c r="A1002" s="925"/>
      <c r="B1002" s="925"/>
      <c r="C1002" s="929"/>
      <c r="D1002" s="930"/>
      <c r="E1002" s="925"/>
      <c r="F1002" s="931"/>
      <c r="G1002" s="925"/>
      <c r="H1002" s="925"/>
      <c r="I1002" s="929"/>
      <c r="J1002" s="930"/>
    </row>
    <row r="1003" spans="1:15" ht="15" customHeight="1">
      <c r="A1003" s="2360" t="str">
        <f>$K$2</f>
        <v>THÁNG 09/2024</v>
      </c>
      <c r="B1003" s="2360"/>
      <c r="C1003" s="2360"/>
      <c r="D1003" s="2360"/>
      <c r="E1003" s="903"/>
      <c r="F1003" s="904"/>
      <c r="G1003" s="2360" t="str">
        <f>$K$2</f>
        <v>THÁNG 09/2024</v>
      </c>
      <c r="H1003" s="2360"/>
      <c r="I1003" s="2360"/>
      <c r="J1003" s="2360"/>
      <c r="K1003" s="276"/>
    </row>
    <row r="1004" spans="1:15" ht="15" customHeight="1">
      <c r="A1004" s="905" t="s">
        <v>356</v>
      </c>
      <c r="B1004" s="642" t="s">
        <v>41</v>
      </c>
      <c r="C1004" s="546"/>
      <c r="D1004" s="902"/>
      <c r="E1004" s="906"/>
      <c r="F1004" s="907"/>
      <c r="G1004" s="905" t="s">
        <v>356</v>
      </c>
      <c r="H1004" s="642" t="s">
        <v>42</v>
      </c>
      <c r="I1004" s="546"/>
      <c r="J1004" s="902"/>
      <c r="L1004" s="938"/>
      <c r="M1004" s="938"/>
      <c r="N1004" s="938"/>
      <c r="O1004" s="938"/>
    </row>
    <row r="1005" spans="1:15" ht="15" customHeight="1">
      <c r="A1005" s="905" t="s">
        <v>359</v>
      </c>
      <c r="B1005" s="939" t="s">
        <v>360</v>
      </c>
      <c r="C1005" s="910" t="e">
        <f>VLOOKUP(B1004,'LƯƠNG KT'!$D$16:$AC$184,3,0)</f>
        <v>#N/A</v>
      </c>
      <c r="D1005" s="609" t="e">
        <f>+C1005*25000</f>
        <v>#N/A</v>
      </c>
      <c r="E1005" s="911"/>
      <c r="F1005" s="911"/>
      <c r="G1005" s="905" t="s">
        <v>359</v>
      </c>
      <c r="H1005" s="939" t="s">
        <v>360</v>
      </c>
      <c r="I1005" s="910" t="e">
        <f>VLOOKUP(H1004,'LƯƠNG KT'!$D$16:$AC$184,3,0)</f>
        <v>#N/A</v>
      </c>
      <c r="J1005" s="609" t="e">
        <f>+I1005*25000</f>
        <v>#N/A</v>
      </c>
      <c r="K1005" s="935"/>
      <c r="L1005" s="935"/>
      <c r="M1005" s="935"/>
      <c r="N1005" s="935"/>
      <c r="O1005" s="935"/>
    </row>
    <row r="1006" spans="1:15" ht="15" customHeight="1">
      <c r="A1006" s="905" t="s">
        <v>361</v>
      </c>
      <c r="B1006" s="546" t="s">
        <v>362</v>
      </c>
      <c r="C1006" s="910" t="e">
        <f>VLOOKUP(B1004,'LƯƠNG KT'!$D$16:$AC$184,14,0)</f>
        <v>#N/A</v>
      </c>
      <c r="D1006" s="609" t="e">
        <f>C1006*$L$4</f>
        <v>#N/A</v>
      </c>
      <c r="E1006" s="912"/>
      <c r="F1006" s="912"/>
      <c r="G1006" s="905" t="s">
        <v>361</v>
      </c>
      <c r="H1006" s="546" t="s">
        <v>362</v>
      </c>
      <c r="I1006" s="910" t="e">
        <f>VLOOKUP(H1004,'LƯƠNG KT'!$D$16:$AC$184,14,0)</f>
        <v>#N/A</v>
      </c>
      <c r="J1006" s="609" t="e">
        <f>I1006*$L$4</f>
        <v>#N/A</v>
      </c>
      <c r="K1006" s="935"/>
      <c r="L1006" s="935"/>
      <c r="M1006" s="935"/>
      <c r="N1006" s="935"/>
      <c r="O1006" s="935"/>
    </row>
    <row r="1007" spans="1:15" ht="15" customHeight="1">
      <c r="A1007" s="905" t="s">
        <v>364</v>
      </c>
      <c r="B1007" s="546" t="s">
        <v>365</v>
      </c>
      <c r="C1007" s="910" t="e">
        <f>VLOOKUP(B1004,'LƯƠNG KT'!$D$16:$AC$184,15,0)</f>
        <v>#N/A</v>
      </c>
      <c r="D1007" s="609" t="e">
        <f>C1007*$L$5</f>
        <v>#N/A</v>
      </c>
      <c r="E1007" s="912"/>
      <c r="F1007" s="912"/>
      <c r="G1007" s="905" t="s">
        <v>364</v>
      </c>
      <c r="H1007" s="546" t="s">
        <v>365</v>
      </c>
      <c r="I1007" s="910" t="e">
        <f>VLOOKUP(H1004,'LƯƠNG KT'!$D$16:$AC$184,15,0)</f>
        <v>#N/A</v>
      </c>
      <c r="J1007" s="609" t="e">
        <f>I1007*$L$5</f>
        <v>#N/A</v>
      </c>
      <c r="K1007" s="935"/>
      <c r="L1007" s="935"/>
      <c r="M1007" s="935"/>
      <c r="N1007" s="935"/>
      <c r="O1007" s="935"/>
    </row>
    <row r="1008" spans="1:15" ht="15" customHeight="1">
      <c r="A1008" s="905" t="s">
        <v>367</v>
      </c>
      <c r="B1008" s="546"/>
      <c r="C1008" s="910" t="e">
        <f>VLOOKUP(B1004,'LƯƠNG KT'!$D$16:$AC$184,16,0)</f>
        <v>#N/A</v>
      </c>
      <c r="D1008" s="609" t="e">
        <f>+C1008*$L$6</f>
        <v>#N/A</v>
      </c>
      <c r="E1008" s="912"/>
      <c r="F1008" s="912"/>
      <c r="G1008" s="905" t="s">
        <v>367</v>
      </c>
      <c r="H1008" s="546"/>
      <c r="I1008" s="910" t="e">
        <f>VLOOKUP(H1004,'LƯƠNG KT'!$D$16:$AC$184,16,0)</f>
        <v>#N/A</v>
      </c>
      <c r="J1008" s="609" t="e">
        <f>+I1008*$L$6</f>
        <v>#N/A</v>
      </c>
      <c r="K1008" s="935"/>
      <c r="L1008" s="935"/>
      <c r="M1008" s="935"/>
      <c r="N1008" s="935"/>
      <c r="O1008" s="935"/>
    </row>
    <row r="1009" spans="1:15" ht="15" customHeight="1">
      <c r="A1009" s="905" t="s">
        <v>371</v>
      </c>
      <c r="B1009" s="546" t="s">
        <v>372</v>
      </c>
      <c r="C1009" s="910" t="e">
        <f>VLOOKUP(B1004,'LƯƠNG KT'!$D$16:$AC$184,9,0)*$L$10</f>
        <v>#N/A</v>
      </c>
      <c r="D1009" s="609" t="e">
        <f>+C1009*0.5*3000</f>
        <v>#N/A</v>
      </c>
      <c r="E1009" s="912"/>
      <c r="F1009" s="912"/>
      <c r="G1009" s="905" t="s">
        <v>371</v>
      </c>
      <c r="H1009" s="546" t="s">
        <v>372</v>
      </c>
      <c r="I1009" s="910" t="e">
        <f>VLOOKUP(H1004,'LƯƠNG KT'!$D$16:$AC$184,9,0)*$L$10</f>
        <v>#N/A</v>
      </c>
      <c r="J1009" s="609" t="e">
        <f>+I1009*0.5*3000</f>
        <v>#N/A</v>
      </c>
      <c r="K1009" s="935"/>
      <c r="L1009" s="935"/>
      <c r="M1009" s="935"/>
      <c r="N1009" s="935"/>
      <c r="O1009" s="935"/>
    </row>
    <row r="1010" spans="1:15" ht="15" customHeight="1">
      <c r="A1010" s="905" t="s">
        <v>374</v>
      </c>
      <c r="B1010" s="546" t="s">
        <v>375</v>
      </c>
      <c r="C1010" s="910" t="e">
        <f>VLOOKUP(B1004,'LƯƠNG KT'!$D$16:$AC$184,8,0)*$L$11</f>
        <v>#N/A</v>
      </c>
      <c r="D1010" s="609" t="e">
        <f>VLOOKUP(B1004,'LƯƠNG KT'!$D$16:$AC$184,13,0)-D1009</f>
        <v>#N/A</v>
      </c>
      <c r="E1010" s="914"/>
      <c r="F1010" s="912"/>
      <c r="G1010" s="905" t="s">
        <v>374</v>
      </c>
      <c r="H1010" s="546" t="s">
        <v>375</v>
      </c>
      <c r="I1010" s="910" t="e">
        <f>VLOOKUP(H1004,'LƯƠNG KT'!$D$16:$AC$184,8,0)*$L$11</f>
        <v>#N/A</v>
      </c>
      <c r="J1010" s="609" t="e">
        <f>VLOOKUP(H1004,'LƯƠNG KT'!$D$16:$AC$184,13,0)-J1009</f>
        <v>#N/A</v>
      </c>
      <c r="K1010" s="935"/>
      <c r="L1010" s="935"/>
      <c r="M1010" s="935"/>
      <c r="N1010" s="935"/>
      <c r="O1010" s="935"/>
    </row>
    <row r="1011" spans="1:15" ht="15" customHeight="1">
      <c r="A1011" s="609" t="s">
        <v>377</v>
      </c>
      <c r="B1011" s="546" t="s">
        <v>378</v>
      </c>
      <c r="C1011" s="910"/>
      <c r="D1011" s="609"/>
      <c r="E1011" s="916"/>
      <c r="F1011" s="916"/>
      <c r="G1011" s="609" t="s">
        <v>377</v>
      </c>
      <c r="H1011" s="546" t="s">
        <v>378</v>
      </c>
      <c r="I1011" s="910"/>
      <c r="J1011" s="609"/>
    </row>
    <row r="1012" spans="1:15" ht="15" customHeight="1">
      <c r="A1012" s="547" t="s">
        <v>379</v>
      </c>
      <c r="B1012" s="546" t="s">
        <v>380</v>
      </c>
      <c r="C1012" s="910"/>
      <c r="D1012" s="609"/>
      <c r="E1012" s="914"/>
      <c r="F1012" s="916"/>
      <c r="G1012" s="547" t="s">
        <v>379</v>
      </c>
      <c r="H1012" s="546" t="s">
        <v>380</v>
      </c>
      <c r="I1012" s="910"/>
      <c r="J1012" s="609"/>
    </row>
    <row r="1013" spans="1:15" ht="15" customHeight="1">
      <c r="A1013" s="905" t="s">
        <v>381</v>
      </c>
      <c r="B1013" s="546" t="s">
        <v>382</v>
      </c>
      <c r="C1013" s="910"/>
      <c r="D1013" s="609">
        <f>D1012</f>
        <v>0</v>
      </c>
      <c r="E1013" s="917"/>
      <c r="F1013" s="904"/>
      <c r="G1013" s="905" t="s">
        <v>381</v>
      </c>
      <c r="H1013" s="546" t="s">
        <v>382</v>
      </c>
      <c r="I1013" s="910"/>
      <c r="J1013" s="609">
        <f>J1012</f>
        <v>0</v>
      </c>
    </row>
    <row r="1014" spans="1:15" ht="15" customHeight="1">
      <c r="A1014" s="918" t="s">
        <v>383</v>
      </c>
      <c r="B1014" s="919" t="s">
        <v>384</v>
      </c>
      <c r="C1014" s="920"/>
      <c r="D1014" s="921" t="e">
        <f>SUM(D1005:D1010)-D1013</f>
        <v>#N/A</v>
      </c>
      <c r="E1014" s="922"/>
      <c r="F1014" s="923"/>
      <c r="G1014" s="918" t="s">
        <v>383</v>
      </c>
      <c r="H1014" s="919" t="s">
        <v>384</v>
      </c>
      <c r="I1014" s="920"/>
      <c r="J1014" s="921" t="e">
        <f>SUM(J1005:J1010)-J1013</f>
        <v>#N/A</v>
      </c>
    </row>
    <row r="1015" spans="1:15" ht="18.75" customHeight="1">
      <c r="A1015" s="924"/>
      <c r="B1015" s="925"/>
      <c r="C1015" s="926"/>
      <c r="D1015" s="927"/>
      <c r="E1015" s="927"/>
      <c r="F1015" s="928"/>
      <c r="G1015" s="924"/>
      <c r="H1015" s="925"/>
      <c r="I1015" s="926"/>
      <c r="J1015" s="927"/>
    </row>
    <row r="1016" spans="1:15" ht="18.75" customHeight="1">
      <c r="A1016" s="925"/>
      <c r="B1016" s="925"/>
      <c r="C1016" s="929"/>
      <c r="D1016" s="930"/>
      <c r="E1016" s="925"/>
      <c r="F1016" s="931"/>
      <c r="G1016" s="925"/>
      <c r="H1016" s="925"/>
      <c r="I1016" s="929"/>
      <c r="J1016" s="930"/>
    </row>
    <row r="1017" spans="1:15" ht="15" customHeight="1">
      <c r="A1017" s="2360" t="str">
        <f>$K$2</f>
        <v>THÁNG 09/2024</v>
      </c>
      <c r="B1017" s="2360"/>
      <c r="C1017" s="2360"/>
      <c r="D1017" s="2360"/>
      <c r="E1017" s="903"/>
      <c r="F1017" s="904"/>
      <c r="G1017" s="2360" t="str">
        <f>$K$2</f>
        <v>THÁNG 09/2024</v>
      </c>
      <c r="H1017" s="2360"/>
      <c r="I1017" s="2360"/>
      <c r="J1017" s="2360"/>
      <c r="K1017" s="276"/>
    </row>
    <row r="1018" spans="1:15" ht="15" customHeight="1">
      <c r="A1018" s="905" t="s">
        <v>356</v>
      </c>
      <c r="B1018" s="642" t="s">
        <v>43</v>
      </c>
      <c r="C1018" s="546"/>
      <c r="D1018" s="902"/>
      <c r="E1018" s="906"/>
      <c r="F1018" s="907"/>
      <c r="G1018" s="905" t="s">
        <v>356</v>
      </c>
      <c r="H1018" s="642" t="s">
        <v>44</v>
      </c>
      <c r="I1018" s="546"/>
      <c r="J1018" s="902"/>
      <c r="L1018" s="938"/>
      <c r="M1018" s="938"/>
      <c r="N1018" s="938"/>
      <c r="O1018" s="938"/>
    </row>
    <row r="1019" spans="1:15" ht="15" customHeight="1">
      <c r="A1019" s="905" t="s">
        <v>359</v>
      </c>
      <c r="B1019" s="939" t="s">
        <v>360</v>
      </c>
      <c r="C1019" s="910" t="e">
        <f>VLOOKUP(B1018,'LƯƠNG KT'!$D$16:$AC$184,3,0)</f>
        <v>#N/A</v>
      </c>
      <c r="D1019" s="609" t="e">
        <f>+C1019*25000</f>
        <v>#N/A</v>
      </c>
      <c r="E1019" s="911"/>
      <c r="F1019" s="911"/>
      <c r="G1019" s="905" t="s">
        <v>359</v>
      </c>
      <c r="H1019" s="939" t="s">
        <v>360</v>
      </c>
      <c r="I1019" s="910" t="e">
        <f>VLOOKUP(H1018,'LƯƠNG KT'!$D$16:$AC$184,3,0)</f>
        <v>#N/A</v>
      </c>
      <c r="J1019" s="609" t="e">
        <f>+I1019*25000</f>
        <v>#N/A</v>
      </c>
      <c r="K1019" s="935"/>
      <c r="L1019" s="935"/>
      <c r="M1019" s="935"/>
      <c r="N1019" s="935"/>
      <c r="O1019" s="935"/>
    </row>
    <row r="1020" spans="1:15" ht="15" customHeight="1">
      <c r="A1020" s="905" t="s">
        <v>361</v>
      </c>
      <c r="B1020" s="546" t="s">
        <v>362</v>
      </c>
      <c r="C1020" s="910" t="e">
        <f>VLOOKUP(B1018,'LƯƠNG KT'!$D$16:$AC$184,14,0)</f>
        <v>#N/A</v>
      </c>
      <c r="D1020" s="609" t="e">
        <f>C1020*$L$4</f>
        <v>#N/A</v>
      </c>
      <c r="E1020" s="912"/>
      <c r="F1020" s="912"/>
      <c r="G1020" s="905" t="s">
        <v>361</v>
      </c>
      <c r="H1020" s="546" t="s">
        <v>362</v>
      </c>
      <c r="I1020" s="910" t="e">
        <f>VLOOKUP(H1018,'LƯƠNG KT'!$D$16:$AC$184,14,0)</f>
        <v>#N/A</v>
      </c>
      <c r="J1020" s="609" t="e">
        <f>I1020*$L$4</f>
        <v>#N/A</v>
      </c>
      <c r="K1020" s="935"/>
      <c r="L1020" s="935"/>
      <c r="M1020" s="935"/>
      <c r="N1020" s="935"/>
      <c r="O1020" s="935"/>
    </row>
    <row r="1021" spans="1:15" ht="15" customHeight="1">
      <c r="A1021" s="905" t="s">
        <v>364</v>
      </c>
      <c r="B1021" s="546" t="s">
        <v>365</v>
      </c>
      <c r="C1021" s="910" t="e">
        <f>VLOOKUP(B1018,'LƯƠNG KT'!$D$16:$AC$184,15,0)</f>
        <v>#N/A</v>
      </c>
      <c r="D1021" s="609" t="e">
        <f>C1021*$L$5</f>
        <v>#N/A</v>
      </c>
      <c r="E1021" s="912"/>
      <c r="F1021" s="912"/>
      <c r="G1021" s="905" t="s">
        <v>364</v>
      </c>
      <c r="H1021" s="546" t="s">
        <v>365</v>
      </c>
      <c r="I1021" s="910" t="e">
        <f>VLOOKUP(H1018,'LƯƠNG KT'!$D$16:$AC$184,15,0)</f>
        <v>#N/A</v>
      </c>
      <c r="J1021" s="609" t="e">
        <f>I1021*$L$5</f>
        <v>#N/A</v>
      </c>
      <c r="K1021" s="935"/>
      <c r="L1021" s="935"/>
      <c r="M1021" s="935"/>
      <c r="N1021" s="935"/>
      <c r="O1021" s="935"/>
    </row>
    <row r="1022" spans="1:15" ht="15" customHeight="1">
      <c r="A1022" s="905" t="s">
        <v>367</v>
      </c>
      <c r="B1022" s="546"/>
      <c r="C1022" s="910" t="e">
        <f>VLOOKUP(B1018,'LƯƠNG KT'!$D$16:$AC$184,16,0)</f>
        <v>#N/A</v>
      </c>
      <c r="D1022" s="609" t="e">
        <f>+C1022*$L$6</f>
        <v>#N/A</v>
      </c>
      <c r="E1022" s="912"/>
      <c r="F1022" s="912"/>
      <c r="G1022" s="905" t="s">
        <v>367</v>
      </c>
      <c r="H1022" s="546"/>
      <c r="I1022" s="910" t="e">
        <f>VLOOKUP(H1018,'LƯƠNG KT'!$D$16:$AC$184,16,0)</f>
        <v>#N/A</v>
      </c>
      <c r="J1022" s="609" t="e">
        <f>+I1022*$L$6</f>
        <v>#N/A</v>
      </c>
      <c r="K1022" s="935"/>
      <c r="L1022" s="935"/>
      <c r="M1022" s="935"/>
      <c r="N1022" s="935"/>
      <c r="O1022" s="935"/>
    </row>
    <row r="1023" spans="1:15" ht="15" customHeight="1">
      <c r="A1023" s="905" t="s">
        <v>371</v>
      </c>
      <c r="B1023" s="546" t="s">
        <v>372</v>
      </c>
      <c r="C1023" s="910" t="e">
        <f>VLOOKUP(B1018,'LƯƠNG KT'!$D$16:$AC$184,9,0)*$L$10</f>
        <v>#N/A</v>
      </c>
      <c r="D1023" s="609" t="e">
        <f>+C1023*0.5*3000</f>
        <v>#N/A</v>
      </c>
      <c r="E1023" s="912"/>
      <c r="F1023" s="912"/>
      <c r="G1023" s="905" t="s">
        <v>371</v>
      </c>
      <c r="H1023" s="546" t="s">
        <v>372</v>
      </c>
      <c r="I1023" s="910" t="e">
        <f>VLOOKUP(H1018,'LƯƠNG KT'!$D$16:$AC$184,9,0)*$L$10</f>
        <v>#N/A</v>
      </c>
      <c r="J1023" s="609" t="e">
        <f>+I1023*0.5*3000</f>
        <v>#N/A</v>
      </c>
      <c r="K1023" s="935"/>
      <c r="L1023" s="935"/>
      <c r="M1023" s="935"/>
      <c r="N1023" s="935"/>
      <c r="O1023" s="935"/>
    </row>
    <row r="1024" spans="1:15" ht="15" customHeight="1">
      <c r="A1024" s="905" t="s">
        <v>374</v>
      </c>
      <c r="B1024" s="546" t="s">
        <v>375</v>
      </c>
      <c r="C1024" s="910" t="e">
        <f>VLOOKUP(B1018,'LƯƠNG KT'!$D$16:$AC$184,8,0)*$L$11</f>
        <v>#N/A</v>
      </c>
      <c r="D1024" s="609" t="e">
        <f>VLOOKUP(B1018,'LƯƠNG KT'!$D$16:$AC$184,13,0)-D1023</f>
        <v>#N/A</v>
      </c>
      <c r="E1024" s="914"/>
      <c r="F1024" s="912"/>
      <c r="G1024" s="905" t="s">
        <v>374</v>
      </c>
      <c r="H1024" s="546" t="s">
        <v>375</v>
      </c>
      <c r="I1024" s="910" t="e">
        <f>VLOOKUP(H1018,'LƯƠNG KT'!$D$16:$AC$184,8,0)*$L$11</f>
        <v>#N/A</v>
      </c>
      <c r="J1024" s="609" t="e">
        <f>VLOOKUP(H1018,'LƯƠNG KT'!$D$16:$AC$184,13,0)-J1023</f>
        <v>#N/A</v>
      </c>
      <c r="K1024" s="935"/>
      <c r="L1024" s="935"/>
      <c r="M1024" s="935"/>
      <c r="N1024" s="935"/>
      <c r="O1024" s="935"/>
    </row>
    <row r="1025" spans="1:15" ht="15" customHeight="1">
      <c r="A1025" s="609" t="s">
        <v>377</v>
      </c>
      <c r="B1025" s="546" t="s">
        <v>378</v>
      </c>
      <c r="C1025" s="910"/>
      <c r="D1025" s="609"/>
      <c r="E1025" s="916"/>
      <c r="F1025" s="916"/>
      <c r="G1025" s="609" t="s">
        <v>377</v>
      </c>
      <c r="H1025" s="546" t="s">
        <v>378</v>
      </c>
      <c r="I1025" s="910"/>
      <c r="J1025" s="609"/>
    </row>
    <row r="1026" spans="1:15" ht="15" customHeight="1">
      <c r="A1026" s="547" t="s">
        <v>379</v>
      </c>
      <c r="B1026" s="546" t="s">
        <v>380</v>
      </c>
      <c r="C1026" s="910"/>
      <c r="D1026" s="609"/>
      <c r="E1026" s="914"/>
      <c r="F1026" s="916"/>
      <c r="G1026" s="547" t="s">
        <v>379</v>
      </c>
      <c r="H1026" s="546" t="s">
        <v>380</v>
      </c>
      <c r="I1026" s="910"/>
      <c r="J1026" s="609"/>
    </row>
    <row r="1027" spans="1:15" ht="15" customHeight="1">
      <c r="A1027" s="905" t="s">
        <v>381</v>
      </c>
      <c r="B1027" s="546" t="s">
        <v>382</v>
      </c>
      <c r="C1027" s="910"/>
      <c r="D1027" s="609">
        <f>D1026</f>
        <v>0</v>
      </c>
      <c r="E1027" s="917"/>
      <c r="F1027" s="904"/>
      <c r="G1027" s="905" t="s">
        <v>381</v>
      </c>
      <c r="H1027" s="546" t="s">
        <v>382</v>
      </c>
      <c r="I1027" s="910"/>
      <c r="J1027" s="609">
        <f>J1026</f>
        <v>0</v>
      </c>
    </row>
    <row r="1028" spans="1:15" ht="15" customHeight="1">
      <c r="A1028" s="918" t="s">
        <v>383</v>
      </c>
      <c r="B1028" s="919" t="s">
        <v>384</v>
      </c>
      <c r="C1028" s="920"/>
      <c r="D1028" s="921" t="e">
        <f>SUM(D1019:D1024)-D1027</f>
        <v>#N/A</v>
      </c>
      <c r="E1028" s="922"/>
      <c r="F1028" s="923"/>
      <c r="G1028" s="918" t="s">
        <v>383</v>
      </c>
      <c r="H1028" s="919" t="s">
        <v>384</v>
      </c>
      <c r="I1028" s="920"/>
      <c r="J1028" s="921" t="e">
        <f>SUM(J1019:J1024)-J1027</f>
        <v>#N/A</v>
      </c>
    </row>
    <row r="1029" spans="1:15" ht="18.75" customHeight="1">
      <c r="A1029" s="924"/>
      <c r="B1029" s="925"/>
      <c r="C1029" s="926"/>
      <c r="D1029" s="927"/>
      <c r="E1029" s="927"/>
      <c r="F1029" s="928"/>
      <c r="G1029" s="924"/>
      <c r="H1029" s="925"/>
      <c r="I1029" s="926"/>
      <c r="J1029" s="927"/>
    </row>
    <row r="1030" spans="1:15" ht="18.75" customHeight="1">
      <c r="A1030" s="925"/>
      <c r="B1030" s="925"/>
      <c r="C1030" s="929"/>
      <c r="D1030" s="930"/>
      <c r="E1030" s="925"/>
      <c r="F1030" s="931"/>
      <c r="G1030" s="925"/>
      <c r="H1030" s="925"/>
      <c r="I1030" s="929"/>
      <c r="J1030" s="930"/>
    </row>
    <row r="1031" spans="1:15" ht="15" customHeight="1">
      <c r="A1031" s="2360" t="str">
        <f>$K$2</f>
        <v>THÁNG 09/2024</v>
      </c>
      <c r="B1031" s="2360"/>
      <c r="C1031" s="2360"/>
      <c r="D1031" s="2360"/>
      <c r="E1031" s="903"/>
      <c r="F1031" s="904"/>
      <c r="G1031" s="2360" t="str">
        <f>$K$2</f>
        <v>THÁNG 09/2024</v>
      </c>
      <c r="H1031" s="2360"/>
      <c r="I1031" s="2360"/>
      <c r="J1031" s="2360"/>
      <c r="K1031" s="276"/>
    </row>
    <row r="1032" spans="1:15" ht="15" customHeight="1">
      <c r="A1032" s="905" t="s">
        <v>356</v>
      </c>
      <c r="B1032" s="642" t="s">
        <v>45</v>
      </c>
      <c r="C1032" s="546"/>
      <c r="D1032" s="902"/>
      <c r="E1032" s="906"/>
      <c r="F1032" s="907"/>
      <c r="G1032" s="905" t="s">
        <v>356</v>
      </c>
      <c r="H1032" s="642" t="s">
        <v>46</v>
      </c>
      <c r="I1032" s="546"/>
      <c r="J1032" s="902"/>
      <c r="L1032" s="938"/>
      <c r="M1032" s="938"/>
      <c r="N1032" s="938"/>
      <c r="O1032" s="938"/>
    </row>
    <row r="1033" spans="1:15" ht="15" customHeight="1">
      <c r="A1033" s="905" t="s">
        <v>359</v>
      </c>
      <c r="B1033" s="939" t="s">
        <v>360</v>
      </c>
      <c r="C1033" s="910" t="e">
        <f>VLOOKUP(B1032,'LƯƠNG KT'!$D$16:$AC$184,3,0)</f>
        <v>#N/A</v>
      </c>
      <c r="D1033" s="609" t="e">
        <f>+C1033*25000</f>
        <v>#N/A</v>
      </c>
      <c r="E1033" s="911"/>
      <c r="F1033" s="911"/>
      <c r="G1033" s="905" t="s">
        <v>359</v>
      </c>
      <c r="H1033" s="939" t="s">
        <v>360</v>
      </c>
      <c r="I1033" s="910" t="e">
        <f>VLOOKUP(H1032,'LƯƠNG KT'!$D$16:$AC$184,3,0)</f>
        <v>#N/A</v>
      </c>
      <c r="J1033" s="609" t="e">
        <f>+I1033*25000</f>
        <v>#N/A</v>
      </c>
      <c r="K1033" s="935"/>
      <c r="L1033" s="935"/>
      <c r="M1033" s="935"/>
      <c r="N1033" s="935"/>
      <c r="O1033" s="935"/>
    </row>
    <row r="1034" spans="1:15" ht="15" customHeight="1">
      <c r="A1034" s="905" t="s">
        <v>361</v>
      </c>
      <c r="B1034" s="546" t="s">
        <v>362</v>
      </c>
      <c r="C1034" s="910" t="e">
        <f>VLOOKUP(B1032,'LƯƠNG KT'!$D$16:$AC$184,14,0)</f>
        <v>#N/A</v>
      </c>
      <c r="D1034" s="609" t="e">
        <f>C1034*$L$4</f>
        <v>#N/A</v>
      </c>
      <c r="E1034" s="912"/>
      <c r="F1034" s="912"/>
      <c r="G1034" s="905" t="s">
        <v>361</v>
      </c>
      <c r="H1034" s="546" t="s">
        <v>362</v>
      </c>
      <c r="I1034" s="910" t="e">
        <f>VLOOKUP(H1032,'LƯƠNG KT'!$D$16:$AC$184,14,0)</f>
        <v>#N/A</v>
      </c>
      <c r="J1034" s="609" t="e">
        <f>I1034*$L$4</f>
        <v>#N/A</v>
      </c>
      <c r="K1034" s="935"/>
      <c r="L1034" s="935"/>
      <c r="M1034" s="935"/>
      <c r="N1034" s="935"/>
      <c r="O1034" s="935"/>
    </row>
    <row r="1035" spans="1:15" ht="15" customHeight="1">
      <c r="A1035" s="905" t="s">
        <v>364</v>
      </c>
      <c r="B1035" s="546" t="s">
        <v>365</v>
      </c>
      <c r="C1035" s="910" t="e">
        <f>VLOOKUP(B1032,'LƯƠNG KT'!$D$16:$AC$184,15,0)</f>
        <v>#N/A</v>
      </c>
      <c r="D1035" s="609" t="e">
        <f>C1035*$L$5</f>
        <v>#N/A</v>
      </c>
      <c r="E1035" s="912"/>
      <c r="F1035" s="912"/>
      <c r="G1035" s="905" t="s">
        <v>364</v>
      </c>
      <c r="H1035" s="546" t="s">
        <v>365</v>
      </c>
      <c r="I1035" s="910" t="e">
        <f>VLOOKUP(H1032,'LƯƠNG KT'!$D$16:$AC$184,15,0)</f>
        <v>#N/A</v>
      </c>
      <c r="J1035" s="609" t="e">
        <f>I1035*$L$5</f>
        <v>#N/A</v>
      </c>
      <c r="K1035" s="935"/>
      <c r="L1035" s="935"/>
      <c r="M1035" s="935"/>
      <c r="N1035" s="935"/>
      <c r="O1035" s="935"/>
    </row>
    <row r="1036" spans="1:15" ht="15" customHeight="1">
      <c r="A1036" s="905" t="s">
        <v>367</v>
      </c>
      <c r="B1036" s="546"/>
      <c r="C1036" s="910" t="e">
        <f>VLOOKUP(B1032,'LƯƠNG KT'!$D$16:$AC$184,16,0)</f>
        <v>#N/A</v>
      </c>
      <c r="D1036" s="609" t="e">
        <f>+C1036*$L$6</f>
        <v>#N/A</v>
      </c>
      <c r="E1036" s="912"/>
      <c r="F1036" s="912"/>
      <c r="G1036" s="905" t="s">
        <v>367</v>
      </c>
      <c r="H1036" s="546"/>
      <c r="I1036" s="910" t="e">
        <f>VLOOKUP(H1032,'LƯƠNG KT'!$D$16:$AC$184,16,0)</f>
        <v>#N/A</v>
      </c>
      <c r="J1036" s="609" t="e">
        <f>+I1036*$L$6</f>
        <v>#N/A</v>
      </c>
      <c r="K1036" s="935"/>
      <c r="L1036" s="935"/>
      <c r="M1036" s="935"/>
      <c r="N1036" s="935"/>
      <c r="O1036" s="935"/>
    </row>
    <row r="1037" spans="1:15" ht="15" customHeight="1">
      <c r="A1037" s="905" t="s">
        <v>371</v>
      </c>
      <c r="B1037" s="546" t="s">
        <v>372</v>
      </c>
      <c r="C1037" s="910" t="e">
        <f>VLOOKUP(B1032,'LƯƠNG KT'!$D$16:$AC$184,9,0)*$L$10</f>
        <v>#N/A</v>
      </c>
      <c r="D1037" s="609" t="e">
        <f>+C1037*0.5*3000</f>
        <v>#N/A</v>
      </c>
      <c r="E1037" s="912"/>
      <c r="F1037" s="912"/>
      <c r="G1037" s="905" t="s">
        <v>371</v>
      </c>
      <c r="H1037" s="546" t="s">
        <v>372</v>
      </c>
      <c r="I1037" s="910" t="e">
        <f>VLOOKUP(H1032,'LƯƠNG KT'!$D$16:$AC$184,9,0)*$L$10</f>
        <v>#N/A</v>
      </c>
      <c r="J1037" s="609" t="e">
        <f>+I1037*0.5*3000</f>
        <v>#N/A</v>
      </c>
      <c r="K1037" s="935"/>
      <c r="L1037" s="935"/>
      <c r="M1037" s="935"/>
      <c r="N1037" s="935"/>
      <c r="O1037" s="935"/>
    </row>
    <row r="1038" spans="1:15" ht="15" customHeight="1">
      <c r="A1038" s="905" t="s">
        <v>374</v>
      </c>
      <c r="B1038" s="546" t="s">
        <v>375</v>
      </c>
      <c r="C1038" s="910" t="e">
        <f>VLOOKUP(B1032,'LƯƠNG KT'!$D$16:$AC$184,8,0)*$L$11</f>
        <v>#N/A</v>
      </c>
      <c r="D1038" s="609" t="e">
        <f>VLOOKUP(B1032,'LƯƠNG KT'!$D$16:$AC$184,13,0)-D1037</f>
        <v>#N/A</v>
      </c>
      <c r="E1038" s="914"/>
      <c r="F1038" s="912"/>
      <c r="G1038" s="905" t="s">
        <v>374</v>
      </c>
      <c r="H1038" s="546" t="s">
        <v>375</v>
      </c>
      <c r="I1038" s="910" t="e">
        <f>VLOOKUP(H1032,'LƯƠNG KT'!$D$16:$AC$184,8,0)*$L$11</f>
        <v>#N/A</v>
      </c>
      <c r="J1038" s="609" t="e">
        <f>VLOOKUP(H1032,'LƯƠNG KT'!$D$16:$AC$184,13,0)-J1037</f>
        <v>#N/A</v>
      </c>
      <c r="K1038" s="935"/>
      <c r="L1038" s="935"/>
      <c r="M1038" s="935"/>
      <c r="N1038" s="935"/>
      <c r="O1038" s="935"/>
    </row>
    <row r="1039" spans="1:15" ht="15" customHeight="1">
      <c r="A1039" s="609" t="s">
        <v>377</v>
      </c>
      <c r="B1039" s="546" t="s">
        <v>378</v>
      </c>
      <c r="C1039" s="910"/>
      <c r="D1039" s="609"/>
      <c r="E1039" s="916"/>
      <c r="F1039" s="916"/>
      <c r="G1039" s="609" t="s">
        <v>377</v>
      </c>
      <c r="H1039" s="546" t="s">
        <v>378</v>
      </c>
      <c r="I1039" s="910"/>
      <c r="J1039" s="609"/>
    </row>
    <row r="1040" spans="1:15" ht="15" customHeight="1">
      <c r="A1040" s="547" t="s">
        <v>379</v>
      </c>
      <c r="B1040" s="546" t="s">
        <v>380</v>
      </c>
      <c r="C1040" s="910"/>
      <c r="D1040" s="609"/>
      <c r="E1040" s="914"/>
      <c r="F1040" s="916"/>
      <c r="G1040" s="547" t="s">
        <v>379</v>
      </c>
      <c r="H1040" s="546" t="s">
        <v>380</v>
      </c>
      <c r="I1040" s="910"/>
      <c r="J1040" s="609"/>
    </row>
    <row r="1041" spans="1:15" ht="15" customHeight="1">
      <c r="A1041" s="905" t="s">
        <v>381</v>
      </c>
      <c r="B1041" s="546" t="s">
        <v>382</v>
      </c>
      <c r="C1041" s="910"/>
      <c r="D1041" s="609">
        <f>D1040</f>
        <v>0</v>
      </c>
      <c r="E1041" s="917"/>
      <c r="F1041" s="904"/>
      <c r="G1041" s="905" t="s">
        <v>381</v>
      </c>
      <c r="H1041" s="546" t="s">
        <v>382</v>
      </c>
      <c r="I1041" s="910"/>
      <c r="J1041" s="609">
        <f>J1040</f>
        <v>0</v>
      </c>
    </row>
    <row r="1042" spans="1:15" ht="15" customHeight="1">
      <c r="A1042" s="918" t="s">
        <v>383</v>
      </c>
      <c r="B1042" s="919" t="s">
        <v>384</v>
      </c>
      <c r="C1042" s="920"/>
      <c r="D1042" s="921" t="e">
        <f>SUM(D1033:D1038)-D1041</f>
        <v>#N/A</v>
      </c>
      <c r="E1042" s="922"/>
      <c r="F1042" s="923"/>
      <c r="G1042" s="918" t="s">
        <v>383</v>
      </c>
      <c r="H1042" s="919" t="s">
        <v>384</v>
      </c>
      <c r="I1042" s="920"/>
      <c r="J1042" s="921" t="e">
        <f>SUM(J1033:J1038)-J1041</f>
        <v>#N/A</v>
      </c>
    </row>
    <row r="1043" spans="1:15" ht="15.75" customHeight="1">
      <c r="A1043" s="924"/>
      <c r="B1043" s="925"/>
      <c r="C1043" s="926"/>
      <c r="D1043" s="927"/>
      <c r="E1043" s="927"/>
      <c r="F1043" s="928"/>
      <c r="G1043" s="924"/>
      <c r="H1043" s="925"/>
      <c r="I1043" s="926"/>
      <c r="J1043" s="927"/>
    </row>
    <row r="1045" spans="1:15" ht="12" customHeight="1">
      <c r="A1045" s="2361"/>
      <c r="B1045" s="2361"/>
      <c r="C1045" s="2361"/>
      <c r="D1045" s="2361"/>
      <c r="E1045" s="2361"/>
      <c r="F1045" s="2361"/>
      <c r="G1045" s="2361"/>
      <c r="H1045" s="2361"/>
      <c r="I1045" s="2361"/>
      <c r="J1045" s="2361"/>
    </row>
    <row r="1046" spans="1:15" ht="15" customHeight="1">
      <c r="A1046" s="2360" t="str">
        <f>$K$2</f>
        <v>THÁNG 09/2024</v>
      </c>
      <c r="B1046" s="2360"/>
      <c r="C1046" s="2360"/>
      <c r="D1046" s="2360"/>
      <c r="E1046" s="903"/>
      <c r="F1046" s="904"/>
      <c r="G1046" s="2360" t="str">
        <f>$K$2</f>
        <v>THÁNG 09/2024</v>
      </c>
      <c r="H1046" s="2360"/>
      <c r="I1046" s="2360"/>
      <c r="J1046" s="2360"/>
      <c r="K1046" s="276"/>
    </row>
    <row r="1047" spans="1:15" ht="15" customHeight="1">
      <c r="A1047" s="905" t="s">
        <v>356</v>
      </c>
      <c r="B1047" s="642" t="s">
        <v>47</v>
      </c>
      <c r="C1047" s="546"/>
      <c r="D1047" s="902"/>
      <c r="E1047" s="906"/>
      <c r="F1047" s="907"/>
      <c r="G1047" s="905" t="s">
        <v>356</v>
      </c>
      <c r="H1047" s="642" t="s">
        <v>48</v>
      </c>
      <c r="I1047" s="546"/>
      <c r="J1047" s="902"/>
      <c r="L1047" s="938"/>
      <c r="M1047" s="938"/>
      <c r="N1047" s="938"/>
      <c r="O1047" s="938"/>
    </row>
    <row r="1048" spans="1:15" ht="15" customHeight="1">
      <c r="A1048" s="905" t="s">
        <v>359</v>
      </c>
      <c r="B1048" s="939" t="s">
        <v>360</v>
      </c>
      <c r="C1048" s="910" t="e">
        <f>VLOOKUP(B1047,'LƯƠNG KT'!$D$16:$AC$184,3,0)</f>
        <v>#N/A</v>
      </c>
      <c r="D1048" s="609" t="e">
        <f>+C1048*25000</f>
        <v>#N/A</v>
      </c>
      <c r="E1048" s="911"/>
      <c r="F1048" s="911"/>
      <c r="G1048" s="905" t="s">
        <v>359</v>
      </c>
      <c r="H1048" s="939" t="s">
        <v>360</v>
      </c>
      <c r="I1048" s="910" t="e">
        <f>VLOOKUP(H1047,'LƯƠNG KT'!$D$16:$AC$184,3,0)</f>
        <v>#N/A</v>
      </c>
      <c r="J1048" s="609" t="e">
        <f>+I1048*25000</f>
        <v>#N/A</v>
      </c>
      <c r="K1048" s="934"/>
      <c r="L1048" s="935"/>
      <c r="M1048" s="935"/>
      <c r="N1048" s="935"/>
      <c r="O1048" s="935"/>
    </row>
    <row r="1049" spans="1:15" ht="15" customHeight="1">
      <c r="A1049" s="905" t="s">
        <v>361</v>
      </c>
      <c r="B1049" s="546" t="s">
        <v>362</v>
      </c>
      <c r="C1049" s="910" t="e">
        <f>VLOOKUP(B1047,'LƯƠNG KT'!$D$16:$AC$184,14,0)</f>
        <v>#N/A</v>
      </c>
      <c r="D1049" s="609" t="e">
        <f>C1049*$L$4</f>
        <v>#N/A</v>
      </c>
      <c r="E1049" s="912"/>
      <c r="F1049" s="912"/>
      <c r="G1049" s="905" t="s">
        <v>361</v>
      </c>
      <c r="H1049" s="546" t="s">
        <v>362</v>
      </c>
      <c r="I1049" s="910" t="e">
        <f>VLOOKUP(H1047,'LƯƠNG KT'!$D$16:$AC$184,14,0)</f>
        <v>#N/A</v>
      </c>
      <c r="J1049" s="609" t="e">
        <f>I1049*$L$4</f>
        <v>#N/A</v>
      </c>
      <c r="K1049" s="934"/>
      <c r="L1049" s="935"/>
      <c r="M1049" s="935"/>
      <c r="N1049" s="935"/>
      <c r="O1049" s="935"/>
    </row>
    <row r="1050" spans="1:15" ht="15" customHeight="1">
      <c r="A1050" s="905" t="s">
        <v>364</v>
      </c>
      <c r="B1050" s="546" t="s">
        <v>365</v>
      </c>
      <c r="C1050" s="910" t="e">
        <f>VLOOKUP(B1047,'LƯƠNG KT'!$D$16:$AC$184,15,0)</f>
        <v>#N/A</v>
      </c>
      <c r="D1050" s="609" t="e">
        <f>C1050*$L$5</f>
        <v>#N/A</v>
      </c>
      <c r="E1050" s="912"/>
      <c r="F1050" s="912"/>
      <c r="G1050" s="905" t="s">
        <v>364</v>
      </c>
      <c r="H1050" s="546" t="s">
        <v>365</v>
      </c>
      <c r="I1050" s="910" t="e">
        <f>VLOOKUP(H1047,'LƯƠNG KT'!$D$16:$AC$184,15,0)</f>
        <v>#N/A</v>
      </c>
      <c r="J1050" s="609" t="e">
        <f>I1050*$L$5</f>
        <v>#N/A</v>
      </c>
      <c r="K1050" s="934"/>
      <c r="L1050" s="935"/>
      <c r="M1050" s="935"/>
      <c r="N1050" s="935"/>
      <c r="O1050" s="935"/>
    </row>
    <row r="1051" spans="1:15" ht="15" customHeight="1">
      <c r="A1051" s="905" t="s">
        <v>367</v>
      </c>
      <c r="B1051" s="546"/>
      <c r="C1051" s="910" t="e">
        <f>VLOOKUP(B1047,'LƯƠNG KT'!$D$16:$AC$184,16,0)</f>
        <v>#N/A</v>
      </c>
      <c r="D1051" s="609" t="e">
        <f>+C1051*$L$6</f>
        <v>#N/A</v>
      </c>
      <c r="E1051" s="912"/>
      <c r="F1051" s="912"/>
      <c r="G1051" s="905" t="s">
        <v>367</v>
      </c>
      <c r="H1051" s="546"/>
      <c r="I1051" s="910" t="e">
        <f>VLOOKUP(H1047,'LƯƠNG KT'!$D$16:$AC$184,16,0)</f>
        <v>#N/A</v>
      </c>
      <c r="J1051" s="609" t="e">
        <f>+I1051*$L$6</f>
        <v>#N/A</v>
      </c>
      <c r="K1051" s="935"/>
      <c r="L1051" s="935"/>
      <c r="M1051" s="935"/>
      <c r="N1051" s="935"/>
      <c r="O1051" s="935"/>
    </row>
    <row r="1052" spans="1:15" ht="15" customHeight="1">
      <c r="A1052" s="905" t="s">
        <v>371</v>
      </c>
      <c r="B1052" s="546" t="s">
        <v>372</v>
      </c>
      <c r="C1052" s="910" t="e">
        <f>VLOOKUP(B1047,'LƯƠNG KT'!$D$16:$AC$184,9,0)*$L$10</f>
        <v>#N/A</v>
      </c>
      <c r="D1052" s="609" t="e">
        <f>+C1052*0.5*3000</f>
        <v>#N/A</v>
      </c>
      <c r="E1052" s="912"/>
      <c r="F1052" s="912"/>
      <c r="G1052" s="905" t="s">
        <v>371</v>
      </c>
      <c r="H1052" s="546" t="s">
        <v>372</v>
      </c>
      <c r="I1052" s="910" t="e">
        <f>VLOOKUP(H1047,'LƯƠNG KT'!$D$16:$AC$184,9,0)*$L$10</f>
        <v>#N/A</v>
      </c>
      <c r="J1052" s="609" t="e">
        <f>+I1052*0.5*3000</f>
        <v>#N/A</v>
      </c>
      <c r="K1052" s="935"/>
      <c r="L1052" s="935"/>
      <c r="M1052" s="935"/>
      <c r="N1052" s="935"/>
      <c r="O1052" s="935"/>
    </row>
    <row r="1053" spans="1:15" ht="15" customHeight="1">
      <c r="A1053" s="905" t="s">
        <v>374</v>
      </c>
      <c r="B1053" s="546" t="s">
        <v>375</v>
      </c>
      <c r="C1053" s="910" t="e">
        <f>VLOOKUP(B1047,'LƯƠNG KT'!$D$16:$AC$184,8,0)*$L$11</f>
        <v>#N/A</v>
      </c>
      <c r="D1053" s="609" t="e">
        <f>VLOOKUP(B1047,'LƯƠNG KT'!$D$16:$AC$184,13,0)-D1052</f>
        <v>#N/A</v>
      </c>
      <c r="E1053" s="914"/>
      <c r="F1053" s="912"/>
      <c r="G1053" s="905" t="s">
        <v>374</v>
      </c>
      <c r="H1053" s="546" t="s">
        <v>375</v>
      </c>
      <c r="I1053" s="910" t="e">
        <f>VLOOKUP(H1047,'LƯƠNG KT'!$D$16:$AC$184,8,0)*$L$11</f>
        <v>#N/A</v>
      </c>
      <c r="J1053" s="609" t="e">
        <f>VLOOKUP(H1047,'LƯƠNG KT'!$D$16:$AC$184,13,0)-J1052</f>
        <v>#N/A</v>
      </c>
      <c r="K1053" s="935"/>
      <c r="L1053" s="935"/>
      <c r="M1053" s="935"/>
      <c r="N1053" s="935"/>
      <c r="O1053" s="935"/>
    </row>
    <row r="1054" spans="1:15" ht="15" customHeight="1">
      <c r="A1054" s="609" t="s">
        <v>377</v>
      </c>
      <c r="B1054" s="546" t="s">
        <v>378</v>
      </c>
      <c r="C1054" s="910"/>
      <c r="D1054" s="609"/>
      <c r="E1054" s="916"/>
      <c r="F1054" s="916"/>
      <c r="G1054" s="609" t="s">
        <v>377</v>
      </c>
      <c r="H1054" s="546" t="s">
        <v>378</v>
      </c>
      <c r="I1054" s="910"/>
      <c r="J1054" s="609"/>
    </row>
    <row r="1055" spans="1:15" ht="15" customHeight="1">
      <c r="A1055" s="547" t="s">
        <v>379</v>
      </c>
      <c r="B1055" s="546" t="s">
        <v>380</v>
      </c>
      <c r="C1055" s="910"/>
      <c r="D1055" s="609"/>
      <c r="E1055" s="914"/>
      <c r="F1055" s="916"/>
      <c r="G1055" s="547" t="s">
        <v>379</v>
      </c>
      <c r="H1055" s="546" t="s">
        <v>380</v>
      </c>
      <c r="I1055" s="910"/>
      <c r="J1055" s="609"/>
    </row>
    <row r="1056" spans="1:15" ht="15" customHeight="1">
      <c r="A1056" s="905" t="s">
        <v>381</v>
      </c>
      <c r="B1056" s="546" t="s">
        <v>382</v>
      </c>
      <c r="C1056" s="910"/>
      <c r="D1056" s="609">
        <f>D1055</f>
        <v>0</v>
      </c>
      <c r="E1056" s="917"/>
      <c r="F1056" s="904"/>
      <c r="G1056" s="905" t="s">
        <v>381</v>
      </c>
      <c r="H1056" s="546" t="s">
        <v>382</v>
      </c>
      <c r="I1056" s="910"/>
      <c r="J1056" s="609">
        <f>J1055</f>
        <v>0</v>
      </c>
    </row>
    <row r="1057" spans="1:15" ht="15" customHeight="1">
      <c r="A1057" s="918" t="s">
        <v>383</v>
      </c>
      <c r="B1057" s="919" t="s">
        <v>384</v>
      </c>
      <c r="C1057" s="920"/>
      <c r="D1057" s="921" t="e">
        <f>SUM(D1048:D1053)-D1056</f>
        <v>#N/A</v>
      </c>
      <c r="E1057" s="922"/>
      <c r="F1057" s="923"/>
      <c r="G1057" s="918" t="s">
        <v>383</v>
      </c>
      <c r="H1057" s="919" t="s">
        <v>384</v>
      </c>
      <c r="I1057" s="920"/>
      <c r="J1057" s="921" t="e">
        <f>SUM(J1048:J1053)-J1056</f>
        <v>#N/A</v>
      </c>
    </row>
    <row r="1058" spans="1:15" ht="12.6" customHeight="1">
      <c r="A1058" s="924"/>
      <c r="B1058" s="925"/>
      <c r="C1058" s="926"/>
      <c r="D1058" s="927"/>
      <c r="E1058" s="927"/>
      <c r="F1058" s="928"/>
      <c r="G1058" s="924"/>
      <c r="H1058" s="925"/>
      <c r="I1058" s="926"/>
      <c r="J1058" s="927"/>
    </row>
    <row r="1059" spans="1:15" ht="12.6" customHeight="1">
      <c r="A1059" s="925"/>
      <c r="B1059" s="925"/>
      <c r="C1059" s="929"/>
      <c r="D1059" s="930"/>
      <c r="E1059" s="925"/>
      <c r="F1059" s="931"/>
      <c r="G1059" s="925"/>
      <c r="H1059" s="925"/>
      <c r="I1059" s="929"/>
      <c r="J1059" s="930"/>
    </row>
    <row r="1060" spans="1:15" ht="15" customHeight="1">
      <c r="A1060" s="2360" t="str">
        <f>$K$2</f>
        <v>THÁNG 09/2024</v>
      </c>
      <c r="B1060" s="2360"/>
      <c r="C1060" s="2360"/>
      <c r="D1060" s="2360"/>
      <c r="E1060" s="903"/>
      <c r="F1060" s="904"/>
      <c r="G1060" s="2360" t="str">
        <f>$K$2</f>
        <v>THÁNG 09/2024</v>
      </c>
      <c r="H1060" s="2360"/>
      <c r="I1060" s="2360"/>
      <c r="J1060" s="2360"/>
      <c r="K1060" s="276"/>
    </row>
    <row r="1061" spans="1:15" ht="15" customHeight="1">
      <c r="A1061" s="905" t="s">
        <v>356</v>
      </c>
      <c r="B1061" s="642" t="s">
        <v>49</v>
      </c>
      <c r="C1061" s="546"/>
      <c r="D1061" s="902"/>
      <c r="E1061" s="906"/>
      <c r="F1061" s="907"/>
      <c r="G1061" s="905" t="s">
        <v>356</v>
      </c>
      <c r="H1061" s="642" t="s">
        <v>50</v>
      </c>
      <c r="I1061" s="546"/>
      <c r="J1061" s="902"/>
      <c r="L1061" s="938"/>
      <c r="M1061" s="938"/>
      <c r="N1061" s="938"/>
      <c r="O1061" s="938"/>
    </row>
    <row r="1062" spans="1:15" ht="15" customHeight="1">
      <c r="A1062" s="905" t="s">
        <v>359</v>
      </c>
      <c r="B1062" s="939" t="s">
        <v>360</v>
      </c>
      <c r="C1062" s="910" t="e">
        <f>VLOOKUP(B1061,'LƯƠNG KT'!$D$16:$AC$184,3,0)</f>
        <v>#N/A</v>
      </c>
      <c r="D1062" s="609" t="e">
        <f>+C1062*25000</f>
        <v>#N/A</v>
      </c>
      <c r="E1062" s="911"/>
      <c r="F1062" s="911"/>
      <c r="G1062" s="905" t="s">
        <v>359</v>
      </c>
      <c r="H1062" s="939" t="s">
        <v>360</v>
      </c>
      <c r="I1062" s="910" t="e">
        <f>VLOOKUP(H1061,'LƯƠNG KT'!$D$16:$AC$184,3,0)</f>
        <v>#N/A</v>
      </c>
      <c r="J1062" s="609" t="e">
        <f>+I1062*25000</f>
        <v>#N/A</v>
      </c>
      <c r="K1062" s="935"/>
      <c r="L1062" s="935"/>
      <c r="M1062" s="935"/>
      <c r="N1062" s="935"/>
      <c r="O1062" s="935"/>
    </row>
    <row r="1063" spans="1:15" ht="15" customHeight="1">
      <c r="A1063" s="905" t="s">
        <v>361</v>
      </c>
      <c r="B1063" s="546" t="s">
        <v>362</v>
      </c>
      <c r="C1063" s="910" t="e">
        <f>VLOOKUP(B1061,'LƯƠNG KT'!$D$16:$AC$184,14,0)</f>
        <v>#N/A</v>
      </c>
      <c r="D1063" s="609" t="e">
        <f>C1063*$L$4</f>
        <v>#N/A</v>
      </c>
      <c r="E1063" s="912"/>
      <c r="F1063" s="912"/>
      <c r="G1063" s="905" t="s">
        <v>361</v>
      </c>
      <c r="H1063" s="546" t="s">
        <v>362</v>
      </c>
      <c r="I1063" s="910" t="e">
        <f>VLOOKUP(H1061,'LƯƠNG KT'!$D$16:$AC$184,14,0)</f>
        <v>#N/A</v>
      </c>
      <c r="J1063" s="609" t="e">
        <f>I1063*$L$4</f>
        <v>#N/A</v>
      </c>
      <c r="K1063" s="935"/>
      <c r="L1063" s="935"/>
      <c r="M1063" s="935"/>
      <c r="N1063" s="935"/>
      <c r="O1063" s="935"/>
    </row>
    <row r="1064" spans="1:15" ht="15" customHeight="1">
      <c r="A1064" s="905" t="s">
        <v>364</v>
      </c>
      <c r="B1064" s="546" t="s">
        <v>365</v>
      </c>
      <c r="C1064" s="910" t="e">
        <f>VLOOKUP(B1061,'LƯƠNG KT'!$D$16:$AC$184,15,0)</f>
        <v>#N/A</v>
      </c>
      <c r="D1064" s="609" t="e">
        <f>C1064*$L$5</f>
        <v>#N/A</v>
      </c>
      <c r="E1064" s="912"/>
      <c r="F1064" s="912"/>
      <c r="G1064" s="905" t="s">
        <v>364</v>
      </c>
      <c r="H1064" s="546" t="s">
        <v>365</v>
      </c>
      <c r="I1064" s="910" t="e">
        <f>VLOOKUP(H1061,'LƯƠNG KT'!$D$16:$AC$184,15,0)</f>
        <v>#N/A</v>
      </c>
      <c r="J1064" s="609" t="e">
        <f>I1064*$L$5</f>
        <v>#N/A</v>
      </c>
      <c r="K1064" s="935"/>
      <c r="L1064" s="935"/>
      <c r="M1064" s="935"/>
      <c r="N1064" s="935"/>
      <c r="O1064" s="935"/>
    </row>
    <row r="1065" spans="1:15" ht="15" customHeight="1">
      <c r="A1065" s="905" t="s">
        <v>367</v>
      </c>
      <c r="B1065" s="546"/>
      <c r="C1065" s="910" t="e">
        <f>VLOOKUP(B1061,'LƯƠNG KT'!$D$16:$AC$184,16,0)</f>
        <v>#N/A</v>
      </c>
      <c r="D1065" s="609" t="e">
        <f>+C1065*$L$6</f>
        <v>#N/A</v>
      </c>
      <c r="E1065" s="912"/>
      <c r="F1065" s="912"/>
      <c r="G1065" s="905" t="s">
        <v>367</v>
      </c>
      <c r="H1065" s="546"/>
      <c r="I1065" s="910" t="e">
        <f>VLOOKUP(H1061,'LƯƠNG KT'!$D$16:$AC$184,16,0)</f>
        <v>#N/A</v>
      </c>
      <c r="J1065" s="609" t="e">
        <f>+I1065*$L$6</f>
        <v>#N/A</v>
      </c>
      <c r="K1065" s="935"/>
      <c r="L1065" s="935"/>
      <c r="M1065" s="935"/>
      <c r="N1065" s="935"/>
      <c r="O1065" s="935"/>
    </row>
    <row r="1066" spans="1:15" ht="15" customHeight="1">
      <c r="A1066" s="905" t="s">
        <v>371</v>
      </c>
      <c r="B1066" s="546" t="s">
        <v>372</v>
      </c>
      <c r="C1066" s="910" t="e">
        <f>VLOOKUP(B1061,'LƯƠNG KT'!$D$16:$AC$184,9,0)*$L$10</f>
        <v>#N/A</v>
      </c>
      <c r="D1066" s="609" t="e">
        <f>+C1066*0.5*3000</f>
        <v>#N/A</v>
      </c>
      <c r="E1066" s="912"/>
      <c r="F1066" s="912"/>
      <c r="G1066" s="905" t="s">
        <v>371</v>
      </c>
      <c r="H1066" s="546" t="s">
        <v>372</v>
      </c>
      <c r="I1066" s="910" t="e">
        <f>VLOOKUP(H1061,'LƯƠNG KT'!$D$16:$AC$184,9,0)*$L$10</f>
        <v>#N/A</v>
      </c>
      <c r="J1066" s="609" t="e">
        <f>+I1066*0.5*3000</f>
        <v>#N/A</v>
      </c>
      <c r="K1066" s="935"/>
      <c r="L1066" s="935"/>
      <c r="M1066" s="935"/>
      <c r="N1066" s="935"/>
      <c r="O1066" s="935"/>
    </row>
    <row r="1067" spans="1:15" ht="15" customHeight="1">
      <c r="A1067" s="905" t="s">
        <v>374</v>
      </c>
      <c r="B1067" s="546" t="s">
        <v>375</v>
      </c>
      <c r="C1067" s="910" t="e">
        <f>VLOOKUP(B1061,'LƯƠNG KT'!$D$16:$AC$184,8,0)*$L$11</f>
        <v>#N/A</v>
      </c>
      <c r="D1067" s="609" t="e">
        <f>VLOOKUP(B1061,'LƯƠNG KT'!$D$16:$AC$184,13,0)-D1066</f>
        <v>#N/A</v>
      </c>
      <c r="E1067" s="914"/>
      <c r="F1067" s="912"/>
      <c r="G1067" s="905" t="s">
        <v>374</v>
      </c>
      <c r="H1067" s="546" t="s">
        <v>375</v>
      </c>
      <c r="I1067" s="910" t="e">
        <f>VLOOKUP(H1061,'LƯƠNG KT'!$D$16:$AC$184,8,0)*$L$11</f>
        <v>#N/A</v>
      </c>
      <c r="J1067" s="609" t="e">
        <f>VLOOKUP(H1061,'LƯƠNG KT'!$D$16:$AC$184,13,0)-J1066</f>
        <v>#N/A</v>
      </c>
      <c r="K1067" s="935"/>
      <c r="L1067" s="935"/>
      <c r="M1067" s="935"/>
      <c r="N1067" s="935"/>
      <c r="O1067" s="935"/>
    </row>
    <row r="1068" spans="1:15" ht="15" customHeight="1">
      <c r="A1068" s="609" t="s">
        <v>377</v>
      </c>
      <c r="B1068" s="546" t="s">
        <v>378</v>
      </c>
      <c r="C1068" s="910"/>
      <c r="D1068" s="609"/>
      <c r="E1068" s="916"/>
      <c r="F1068" s="916"/>
      <c r="G1068" s="609" t="s">
        <v>377</v>
      </c>
      <c r="H1068" s="546" t="s">
        <v>378</v>
      </c>
      <c r="I1068" s="910"/>
      <c r="J1068" s="609"/>
    </row>
    <row r="1069" spans="1:15" ht="15" customHeight="1">
      <c r="A1069" s="547" t="s">
        <v>379</v>
      </c>
      <c r="B1069" s="546" t="s">
        <v>380</v>
      </c>
      <c r="C1069" s="910"/>
      <c r="D1069" s="609"/>
      <c r="E1069" s="914"/>
      <c r="F1069" s="916"/>
      <c r="G1069" s="547" t="s">
        <v>379</v>
      </c>
      <c r="H1069" s="546" t="s">
        <v>380</v>
      </c>
      <c r="I1069" s="910"/>
      <c r="J1069" s="609"/>
    </row>
    <row r="1070" spans="1:15" ht="15" customHeight="1">
      <c r="A1070" s="905" t="s">
        <v>381</v>
      </c>
      <c r="B1070" s="546" t="s">
        <v>382</v>
      </c>
      <c r="C1070" s="910"/>
      <c r="D1070" s="609">
        <f>D1069</f>
        <v>0</v>
      </c>
      <c r="E1070" s="917"/>
      <c r="F1070" s="904"/>
      <c r="G1070" s="905" t="s">
        <v>381</v>
      </c>
      <c r="H1070" s="546" t="s">
        <v>382</v>
      </c>
      <c r="I1070" s="910"/>
      <c r="J1070" s="609">
        <f>J1069</f>
        <v>0</v>
      </c>
    </row>
    <row r="1071" spans="1:15" ht="15" customHeight="1">
      <c r="A1071" s="918" t="s">
        <v>383</v>
      </c>
      <c r="B1071" s="919" t="s">
        <v>384</v>
      </c>
      <c r="C1071" s="920"/>
      <c r="D1071" s="921" t="e">
        <f>SUM(D1062:D1067)-D1070</f>
        <v>#N/A</v>
      </c>
      <c r="E1071" s="922"/>
      <c r="F1071" s="923"/>
      <c r="G1071" s="918" t="s">
        <v>383</v>
      </c>
      <c r="H1071" s="919" t="s">
        <v>384</v>
      </c>
      <c r="I1071" s="920"/>
      <c r="J1071" s="921" t="e">
        <f>SUM(J1062:J1067)-J1070</f>
        <v>#N/A</v>
      </c>
    </row>
    <row r="1072" spans="1:15" ht="18.75" customHeight="1">
      <c r="A1072" s="924"/>
      <c r="B1072" s="925"/>
      <c r="C1072" s="926"/>
      <c r="D1072" s="927"/>
      <c r="E1072" s="927"/>
      <c r="F1072" s="928"/>
      <c r="G1072" s="924"/>
      <c r="H1072" s="925"/>
      <c r="I1072" s="926"/>
      <c r="J1072" s="927"/>
    </row>
    <row r="1073" spans="1:15" ht="18.75" customHeight="1">
      <c r="A1073" s="925"/>
      <c r="B1073" s="925"/>
      <c r="C1073" s="929"/>
      <c r="D1073" s="930"/>
      <c r="E1073" s="925"/>
      <c r="F1073" s="931"/>
      <c r="G1073" s="925"/>
      <c r="H1073" s="925"/>
      <c r="I1073" s="929"/>
      <c r="J1073" s="930"/>
    </row>
    <row r="1074" spans="1:15" ht="15" customHeight="1">
      <c r="A1074" s="2360" t="str">
        <f>$K$2</f>
        <v>THÁNG 09/2024</v>
      </c>
      <c r="B1074" s="2360"/>
      <c r="C1074" s="2360"/>
      <c r="D1074" s="2360"/>
      <c r="E1074" s="903"/>
      <c r="F1074" s="904"/>
      <c r="G1074" s="2360" t="str">
        <f>$K$2</f>
        <v>THÁNG 09/2024</v>
      </c>
      <c r="H1074" s="2360"/>
      <c r="I1074" s="2360"/>
      <c r="J1074" s="2360"/>
      <c r="K1074" s="276"/>
    </row>
    <row r="1075" spans="1:15" ht="15" customHeight="1">
      <c r="A1075" s="905" t="s">
        <v>356</v>
      </c>
      <c r="B1075" s="642" t="s">
        <v>486</v>
      </c>
      <c r="C1075" s="546"/>
      <c r="D1075" s="902"/>
      <c r="E1075" s="906"/>
      <c r="F1075" s="907"/>
      <c r="G1075" s="905" t="s">
        <v>356</v>
      </c>
      <c r="H1075" s="642" t="s">
        <v>52</v>
      </c>
      <c r="I1075" s="546"/>
      <c r="J1075" s="902"/>
      <c r="L1075" s="938"/>
      <c r="M1075" s="938"/>
      <c r="N1075" s="938"/>
      <c r="O1075" s="938"/>
    </row>
    <row r="1076" spans="1:15" ht="15" customHeight="1">
      <c r="A1076" s="905" t="s">
        <v>359</v>
      </c>
      <c r="B1076" s="939" t="s">
        <v>360</v>
      </c>
      <c r="C1076" s="910" t="e">
        <f>VLOOKUP(B1075,'LƯƠNG KT'!$D$16:$AC$184,3,0)</f>
        <v>#N/A</v>
      </c>
      <c r="D1076" s="609" t="e">
        <f>+C1076*25000</f>
        <v>#N/A</v>
      </c>
      <c r="E1076" s="911"/>
      <c r="F1076" s="911"/>
      <c r="G1076" s="905" t="s">
        <v>359</v>
      </c>
      <c r="H1076" s="939" t="s">
        <v>360</v>
      </c>
      <c r="I1076" s="910" t="e">
        <f>VLOOKUP(H1075,'LƯƠNG KT'!$D$16:$AC$184,3,0)</f>
        <v>#N/A</v>
      </c>
      <c r="J1076" s="609" t="e">
        <f>+I1076*25000</f>
        <v>#N/A</v>
      </c>
      <c r="K1076" s="935"/>
      <c r="L1076" s="935"/>
      <c r="M1076" s="935"/>
      <c r="N1076" s="935"/>
      <c r="O1076" s="935"/>
    </row>
    <row r="1077" spans="1:15" ht="15" customHeight="1">
      <c r="A1077" s="905" t="s">
        <v>361</v>
      </c>
      <c r="B1077" s="546" t="s">
        <v>362</v>
      </c>
      <c r="C1077" s="910" t="e">
        <f>VLOOKUP(B1075,'LƯƠNG KT'!$D$16:$AC$184,14,0)</f>
        <v>#N/A</v>
      </c>
      <c r="D1077" s="609" t="e">
        <f>C1077*$L$4</f>
        <v>#N/A</v>
      </c>
      <c r="E1077" s="912"/>
      <c r="F1077" s="912"/>
      <c r="G1077" s="905" t="s">
        <v>361</v>
      </c>
      <c r="H1077" s="546" t="s">
        <v>362</v>
      </c>
      <c r="I1077" s="910" t="e">
        <f>VLOOKUP(H1075,'LƯƠNG KT'!$D$16:$AC$184,14,0)</f>
        <v>#N/A</v>
      </c>
      <c r="J1077" s="609" t="e">
        <f>I1077*$L$4</f>
        <v>#N/A</v>
      </c>
      <c r="K1077" s="935"/>
      <c r="L1077" s="935"/>
      <c r="M1077" s="935"/>
      <c r="N1077" s="935"/>
      <c r="O1077" s="935"/>
    </row>
    <row r="1078" spans="1:15" ht="15" customHeight="1">
      <c r="A1078" s="905" t="s">
        <v>364</v>
      </c>
      <c r="B1078" s="546" t="s">
        <v>365</v>
      </c>
      <c r="C1078" s="910" t="e">
        <f>VLOOKUP(B1075,'LƯƠNG KT'!$D$16:$AC$184,15,0)</f>
        <v>#N/A</v>
      </c>
      <c r="D1078" s="609" t="e">
        <f>C1078*$L$5</f>
        <v>#N/A</v>
      </c>
      <c r="E1078" s="912"/>
      <c r="F1078" s="912"/>
      <c r="G1078" s="905" t="s">
        <v>364</v>
      </c>
      <c r="H1078" s="546" t="s">
        <v>365</v>
      </c>
      <c r="I1078" s="910" t="e">
        <f>VLOOKUP(H1075,'LƯƠNG KT'!$D$16:$AC$184,15,0)</f>
        <v>#N/A</v>
      </c>
      <c r="J1078" s="609" t="e">
        <f>I1078*$L$5</f>
        <v>#N/A</v>
      </c>
      <c r="K1078" s="935"/>
      <c r="L1078" s="935"/>
      <c r="M1078" s="935"/>
      <c r="N1078" s="935"/>
      <c r="O1078" s="935"/>
    </row>
    <row r="1079" spans="1:15" ht="15" customHeight="1">
      <c r="A1079" s="905" t="s">
        <v>367</v>
      </c>
      <c r="B1079" s="546"/>
      <c r="C1079" s="910" t="e">
        <f>VLOOKUP(B1075,'LƯƠNG KT'!$D$16:$AC$184,16,0)</f>
        <v>#N/A</v>
      </c>
      <c r="D1079" s="609" t="e">
        <f>+C1079*$L$6</f>
        <v>#N/A</v>
      </c>
      <c r="E1079" s="912"/>
      <c r="F1079" s="912"/>
      <c r="G1079" s="905" t="s">
        <v>367</v>
      </c>
      <c r="H1079" s="546"/>
      <c r="I1079" s="910" t="e">
        <f>VLOOKUP(H1075,'LƯƠNG KT'!$D$16:$AC$184,16,0)</f>
        <v>#N/A</v>
      </c>
      <c r="J1079" s="609" t="e">
        <f>+I1079*$L$6</f>
        <v>#N/A</v>
      </c>
      <c r="K1079" s="935"/>
      <c r="L1079" s="935"/>
      <c r="M1079" s="935"/>
      <c r="N1079" s="935"/>
      <c r="O1079" s="935"/>
    </row>
    <row r="1080" spans="1:15" ht="15" customHeight="1">
      <c r="A1080" s="905" t="s">
        <v>371</v>
      </c>
      <c r="B1080" s="546" t="s">
        <v>372</v>
      </c>
      <c r="C1080" s="910" t="e">
        <f>VLOOKUP(B1075,'LƯƠNG KT'!$D$16:$AC$184,9,0)*$L$10</f>
        <v>#N/A</v>
      </c>
      <c r="D1080" s="609" t="e">
        <f>+C1080*0.5*3000</f>
        <v>#N/A</v>
      </c>
      <c r="E1080" s="912"/>
      <c r="F1080" s="912"/>
      <c r="G1080" s="905" t="s">
        <v>371</v>
      </c>
      <c r="H1080" s="546" t="s">
        <v>372</v>
      </c>
      <c r="I1080" s="910" t="e">
        <f>VLOOKUP(H1075,'LƯƠNG KT'!$D$16:$AC$184,9,0)*$L$10</f>
        <v>#N/A</v>
      </c>
      <c r="J1080" s="609" t="e">
        <f>+I1080*0.5*3000</f>
        <v>#N/A</v>
      </c>
      <c r="K1080" s="935"/>
      <c r="L1080" s="935"/>
      <c r="M1080" s="935"/>
      <c r="N1080" s="935"/>
      <c r="O1080" s="935"/>
    </row>
    <row r="1081" spans="1:15" ht="15" customHeight="1">
      <c r="A1081" s="905" t="s">
        <v>374</v>
      </c>
      <c r="B1081" s="546" t="s">
        <v>375</v>
      </c>
      <c r="C1081" s="910" t="e">
        <f>VLOOKUP(B1075,'LƯƠNG KT'!$D$16:$AC$184,8,0)*$L$11</f>
        <v>#N/A</v>
      </c>
      <c r="D1081" s="609" t="e">
        <f>VLOOKUP(B1075,'LƯƠNG KT'!$D$16:$AC$184,13,0)-D1080</f>
        <v>#N/A</v>
      </c>
      <c r="E1081" s="914"/>
      <c r="F1081" s="912"/>
      <c r="G1081" s="905" t="s">
        <v>374</v>
      </c>
      <c r="H1081" s="546" t="s">
        <v>375</v>
      </c>
      <c r="I1081" s="910" t="e">
        <f>VLOOKUP(H1075,'LƯƠNG KT'!$D$16:$AC$184,8,0)*$L$11</f>
        <v>#N/A</v>
      </c>
      <c r="J1081" s="609" t="e">
        <f>VLOOKUP(H1075,'LƯƠNG KT'!$D$16:$AC$184,13,0)-J1080</f>
        <v>#N/A</v>
      </c>
      <c r="K1081" s="935"/>
      <c r="L1081" s="935"/>
      <c r="M1081" s="935"/>
      <c r="N1081" s="935"/>
      <c r="O1081" s="935"/>
    </row>
    <row r="1082" spans="1:15" ht="15" customHeight="1">
      <c r="A1082" s="609" t="s">
        <v>377</v>
      </c>
      <c r="B1082" s="546" t="s">
        <v>378</v>
      </c>
      <c r="C1082" s="910"/>
      <c r="D1082" s="609"/>
      <c r="E1082" s="916"/>
      <c r="F1082" s="916"/>
      <c r="G1082" s="609" t="s">
        <v>377</v>
      </c>
      <c r="H1082" s="546" t="s">
        <v>378</v>
      </c>
      <c r="I1082" s="910"/>
      <c r="J1082" s="609"/>
    </row>
    <row r="1083" spans="1:15" ht="15" customHeight="1">
      <c r="A1083" s="547" t="s">
        <v>379</v>
      </c>
      <c r="B1083" s="546" t="s">
        <v>380</v>
      </c>
      <c r="C1083" s="910"/>
      <c r="D1083" s="609"/>
      <c r="E1083" s="914"/>
      <c r="F1083" s="916"/>
      <c r="G1083" s="547" t="s">
        <v>379</v>
      </c>
      <c r="H1083" s="546" t="s">
        <v>380</v>
      </c>
      <c r="I1083" s="910"/>
      <c r="J1083" s="609"/>
    </row>
    <row r="1084" spans="1:15" ht="15" customHeight="1">
      <c r="A1084" s="905" t="s">
        <v>381</v>
      </c>
      <c r="B1084" s="546" t="s">
        <v>382</v>
      </c>
      <c r="C1084" s="910"/>
      <c r="D1084" s="609">
        <f>D1083</f>
        <v>0</v>
      </c>
      <c r="E1084" s="917"/>
      <c r="F1084" s="904"/>
      <c r="G1084" s="905" t="s">
        <v>381</v>
      </c>
      <c r="H1084" s="546" t="s">
        <v>382</v>
      </c>
      <c r="I1084" s="910"/>
      <c r="J1084" s="609">
        <f>J1083</f>
        <v>0</v>
      </c>
    </row>
    <row r="1085" spans="1:15" ht="15" customHeight="1">
      <c r="A1085" s="918" t="s">
        <v>383</v>
      </c>
      <c r="B1085" s="919" t="s">
        <v>384</v>
      </c>
      <c r="C1085" s="920"/>
      <c r="D1085" s="921" t="e">
        <f>SUM(D1076:D1081)-D1084</f>
        <v>#N/A</v>
      </c>
      <c r="E1085" s="922"/>
      <c r="F1085" s="923"/>
      <c r="G1085" s="918" t="s">
        <v>383</v>
      </c>
      <c r="H1085" s="919" t="s">
        <v>384</v>
      </c>
      <c r="I1085" s="920"/>
      <c r="J1085" s="921" t="e">
        <f>SUM(J1076:J1081)-J1084</f>
        <v>#N/A</v>
      </c>
    </row>
    <row r="1086" spans="1:15" ht="18.75" customHeight="1">
      <c r="A1086" s="924"/>
      <c r="B1086" s="925"/>
      <c r="C1086" s="926"/>
      <c r="D1086" s="927"/>
      <c r="E1086" s="927"/>
      <c r="F1086" s="928"/>
      <c r="G1086" s="924"/>
      <c r="H1086" s="925"/>
      <c r="I1086" s="926"/>
      <c r="J1086" s="927"/>
    </row>
    <row r="1087" spans="1:15" ht="18.75" customHeight="1">
      <c r="A1087" s="925"/>
      <c r="B1087" s="925"/>
      <c r="C1087" s="929"/>
      <c r="D1087" s="930"/>
      <c r="E1087" s="925"/>
      <c r="F1087" s="931"/>
      <c r="G1087" s="925"/>
      <c r="H1087" s="925"/>
      <c r="I1087" s="929"/>
      <c r="J1087" s="930"/>
    </row>
    <row r="1088" spans="1:15" ht="15" customHeight="1">
      <c r="A1088" s="2360" t="str">
        <f>$K$2</f>
        <v>THÁNG 09/2024</v>
      </c>
      <c r="B1088" s="2360"/>
      <c r="C1088" s="2360"/>
      <c r="D1088" s="2360"/>
      <c r="E1088" s="903"/>
      <c r="F1088" s="904"/>
      <c r="G1088" s="2360" t="str">
        <f>$K$2</f>
        <v>THÁNG 09/2024</v>
      </c>
      <c r="H1088" s="2360"/>
      <c r="I1088" s="2360"/>
      <c r="J1088" s="2360"/>
      <c r="K1088" s="276"/>
    </row>
    <row r="1089" spans="1:15" ht="15" customHeight="1">
      <c r="A1089" s="905" t="s">
        <v>356</v>
      </c>
      <c r="B1089" s="642" t="s">
        <v>53</v>
      </c>
      <c r="C1089" s="546"/>
      <c r="D1089" s="902"/>
      <c r="E1089" s="906"/>
      <c r="F1089" s="907"/>
      <c r="G1089" s="905" t="s">
        <v>356</v>
      </c>
      <c r="H1089" s="642" t="s">
        <v>54</v>
      </c>
      <c r="I1089" s="546"/>
      <c r="J1089" s="902"/>
      <c r="L1089" s="938"/>
      <c r="M1089" s="938"/>
      <c r="N1089" s="938"/>
      <c r="O1089" s="938"/>
    </row>
    <row r="1090" spans="1:15" ht="15" customHeight="1">
      <c r="A1090" s="905" t="s">
        <v>359</v>
      </c>
      <c r="B1090" s="939" t="s">
        <v>360</v>
      </c>
      <c r="C1090" s="910" t="e">
        <f>VLOOKUP(B1089,'LƯƠNG KT'!$D$16:$AC$184,3,0)</f>
        <v>#N/A</v>
      </c>
      <c r="D1090" s="609" t="e">
        <f>+C1090*25000</f>
        <v>#N/A</v>
      </c>
      <c r="E1090" s="911"/>
      <c r="F1090" s="911"/>
      <c r="G1090" s="905" t="s">
        <v>359</v>
      </c>
      <c r="H1090" s="939" t="s">
        <v>360</v>
      </c>
      <c r="I1090" s="910" t="e">
        <f>VLOOKUP(H1089,'LƯƠNG KT'!$D$16:$AC$184,3,0)</f>
        <v>#N/A</v>
      </c>
      <c r="J1090" s="609" t="e">
        <f>+I1090*25000</f>
        <v>#N/A</v>
      </c>
      <c r="K1090" s="935"/>
      <c r="L1090" s="935"/>
      <c r="M1090" s="935"/>
      <c r="N1090" s="935"/>
      <c r="O1090" s="935"/>
    </row>
    <row r="1091" spans="1:15" ht="15" customHeight="1">
      <c r="A1091" s="905" t="s">
        <v>361</v>
      </c>
      <c r="B1091" s="546" t="s">
        <v>362</v>
      </c>
      <c r="C1091" s="910" t="e">
        <f>VLOOKUP(B1089,'LƯƠNG KT'!$D$16:$AC$184,14,0)</f>
        <v>#N/A</v>
      </c>
      <c r="D1091" s="609" t="e">
        <f>C1091*$L$4</f>
        <v>#N/A</v>
      </c>
      <c r="E1091" s="912"/>
      <c r="F1091" s="912"/>
      <c r="G1091" s="905" t="s">
        <v>361</v>
      </c>
      <c r="H1091" s="546" t="s">
        <v>362</v>
      </c>
      <c r="I1091" s="910" t="e">
        <f>VLOOKUP(H1089,'LƯƠNG KT'!$D$16:$AC$184,14,0)</f>
        <v>#N/A</v>
      </c>
      <c r="J1091" s="609" t="e">
        <f>I1091*$L$4</f>
        <v>#N/A</v>
      </c>
      <c r="K1091" s="935"/>
      <c r="L1091" s="935"/>
      <c r="M1091" s="935"/>
      <c r="N1091" s="935"/>
      <c r="O1091" s="935"/>
    </row>
    <row r="1092" spans="1:15" ht="15" customHeight="1">
      <c r="A1092" s="905" t="s">
        <v>364</v>
      </c>
      <c r="B1092" s="546" t="s">
        <v>365</v>
      </c>
      <c r="C1092" s="910" t="e">
        <f>VLOOKUP(B1089,'LƯƠNG KT'!$D$16:$AC$184,15,0)</f>
        <v>#N/A</v>
      </c>
      <c r="D1092" s="609" t="e">
        <f>C1092*$L$5</f>
        <v>#N/A</v>
      </c>
      <c r="E1092" s="912"/>
      <c r="F1092" s="912"/>
      <c r="G1092" s="905" t="s">
        <v>364</v>
      </c>
      <c r="H1092" s="546" t="s">
        <v>365</v>
      </c>
      <c r="I1092" s="910" t="e">
        <f>VLOOKUP(H1089,'LƯƠNG KT'!$D$16:$AC$184,15,0)</f>
        <v>#N/A</v>
      </c>
      <c r="J1092" s="609" t="e">
        <f>I1092*$L$5</f>
        <v>#N/A</v>
      </c>
      <c r="K1092" s="935"/>
      <c r="L1092" s="935"/>
      <c r="M1092" s="935"/>
      <c r="N1092" s="935"/>
      <c r="O1092" s="935"/>
    </row>
    <row r="1093" spans="1:15" ht="15" customHeight="1">
      <c r="A1093" s="905" t="s">
        <v>367</v>
      </c>
      <c r="B1093" s="546"/>
      <c r="C1093" s="910" t="e">
        <f>VLOOKUP(B1089,'LƯƠNG KT'!$D$16:$AC$184,16,0)</f>
        <v>#N/A</v>
      </c>
      <c r="D1093" s="609" t="e">
        <f>+C1093*$L$6</f>
        <v>#N/A</v>
      </c>
      <c r="E1093" s="912"/>
      <c r="F1093" s="912"/>
      <c r="G1093" s="905" t="s">
        <v>367</v>
      </c>
      <c r="H1093" s="546"/>
      <c r="I1093" s="910" t="e">
        <f>VLOOKUP(H1089,'LƯƠNG KT'!$D$16:$AC$184,16,0)</f>
        <v>#N/A</v>
      </c>
      <c r="J1093" s="609" t="e">
        <f>+I1093*$L$6</f>
        <v>#N/A</v>
      </c>
      <c r="K1093" s="935"/>
      <c r="L1093" s="935"/>
      <c r="M1093" s="935"/>
      <c r="N1093" s="935"/>
      <c r="O1093" s="935"/>
    </row>
    <row r="1094" spans="1:15" ht="15" customHeight="1">
      <c r="A1094" s="905" t="s">
        <v>371</v>
      </c>
      <c r="B1094" s="546" t="s">
        <v>372</v>
      </c>
      <c r="C1094" s="910" t="e">
        <f>VLOOKUP(B1089,'LƯƠNG KT'!$D$16:$AC$184,9,0)*$L$10</f>
        <v>#N/A</v>
      </c>
      <c r="D1094" s="609" t="e">
        <f>+C1094*0.5*3000</f>
        <v>#N/A</v>
      </c>
      <c r="E1094" s="912"/>
      <c r="F1094" s="912"/>
      <c r="G1094" s="905" t="s">
        <v>371</v>
      </c>
      <c r="H1094" s="546" t="s">
        <v>372</v>
      </c>
      <c r="I1094" s="910" t="e">
        <f>VLOOKUP(H1089,'LƯƠNG KT'!$D$16:$AC$184,9,0)*$L$10</f>
        <v>#N/A</v>
      </c>
      <c r="J1094" s="609" t="e">
        <f>+I1094*0.5*3000</f>
        <v>#N/A</v>
      </c>
      <c r="K1094" s="935"/>
      <c r="L1094" s="935"/>
      <c r="M1094" s="935"/>
      <c r="N1094" s="935"/>
      <c r="O1094" s="935"/>
    </row>
    <row r="1095" spans="1:15" ht="15" customHeight="1">
      <c r="A1095" s="905" t="s">
        <v>374</v>
      </c>
      <c r="B1095" s="546" t="s">
        <v>375</v>
      </c>
      <c r="C1095" s="910" t="e">
        <f>VLOOKUP(B1089,'LƯƠNG KT'!$D$16:$AC$184,8,0)*$L$11</f>
        <v>#N/A</v>
      </c>
      <c r="D1095" s="609" t="e">
        <f>VLOOKUP(B1089,'LƯƠNG KT'!$D$16:$AC$184,13,0)-D1094</f>
        <v>#N/A</v>
      </c>
      <c r="E1095" s="914"/>
      <c r="F1095" s="912"/>
      <c r="G1095" s="905" t="s">
        <v>374</v>
      </c>
      <c r="H1095" s="546" t="s">
        <v>375</v>
      </c>
      <c r="I1095" s="910" t="e">
        <f>VLOOKUP(H1089,'LƯƠNG KT'!$D$16:$AC$184,8,0)*$L$11</f>
        <v>#N/A</v>
      </c>
      <c r="J1095" s="609" t="e">
        <f>VLOOKUP(H1089,'LƯƠNG KT'!$D$16:$AC$184,13,0)-J1094</f>
        <v>#N/A</v>
      </c>
      <c r="K1095" s="935"/>
      <c r="L1095" s="935"/>
      <c r="M1095" s="935"/>
      <c r="N1095" s="935"/>
      <c r="O1095" s="935"/>
    </row>
    <row r="1096" spans="1:15" ht="15" customHeight="1">
      <c r="A1096" s="609" t="s">
        <v>377</v>
      </c>
      <c r="B1096" s="546" t="s">
        <v>378</v>
      </c>
      <c r="C1096" s="910"/>
      <c r="D1096" s="609"/>
      <c r="E1096" s="916"/>
      <c r="F1096" s="916"/>
      <c r="G1096" s="609" t="s">
        <v>377</v>
      </c>
      <c r="H1096" s="546" t="s">
        <v>378</v>
      </c>
      <c r="I1096" s="910"/>
      <c r="J1096" s="609"/>
    </row>
    <row r="1097" spans="1:15" ht="15" customHeight="1">
      <c r="A1097" s="547" t="s">
        <v>379</v>
      </c>
      <c r="B1097" s="546" t="s">
        <v>380</v>
      </c>
      <c r="C1097" s="910"/>
      <c r="D1097" s="609"/>
      <c r="E1097" s="914"/>
      <c r="F1097" s="916"/>
      <c r="G1097" s="547" t="s">
        <v>379</v>
      </c>
      <c r="H1097" s="546" t="s">
        <v>380</v>
      </c>
      <c r="I1097" s="910"/>
      <c r="J1097" s="609"/>
    </row>
    <row r="1098" spans="1:15" ht="15" customHeight="1">
      <c r="A1098" s="905" t="s">
        <v>381</v>
      </c>
      <c r="B1098" s="546" t="s">
        <v>382</v>
      </c>
      <c r="C1098" s="910"/>
      <c r="D1098" s="609">
        <f>D1097</f>
        <v>0</v>
      </c>
      <c r="E1098" s="917"/>
      <c r="F1098" s="904"/>
      <c r="G1098" s="905" t="s">
        <v>381</v>
      </c>
      <c r="H1098" s="546" t="s">
        <v>382</v>
      </c>
      <c r="I1098" s="910"/>
      <c r="J1098" s="609">
        <f>J1097</f>
        <v>0</v>
      </c>
    </row>
    <row r="1099" spans="1:15" ht="15" customHeight="1">
      <c r="A1099" s="918" t="s">
        <v>383</v>
      </c>
      <c r="B1099" s="919" t="s">
        <v>384</v>
      </c>
      <c r="C1099" s="920"/>
      <c r="D1099" s="921" t="e">
        <f>SUM(D1090:D1095)-D1098</f>
        <v>#N/A</v>
      </c>
      <c r="E1099" s="922"/>
      <c r="F1099" s="923"/>
      <c r="G1099" s="918" t="s">
        <v>383</v>
      </c>
      <c r="H1099" s="919" t="s">
        <v>384</v>
      </c>
      <c r="I1099" s="920"/>
      <c r="J1099" s="921" t="e">
        <f>SUM(J1090:J1095)-J1098</f>
        <v>#N/A</v>
      </c>
    </row>
    <row r="1100" spans="1:15" ht="15.75" customHeight="1">
      <c r="A1100" s="924"/>
      <c r="B1100" s="925"/>
      <c r="C1100" s="926"/>
      <c r="D1100" s="927"/>
      <c r="E1100" s="927"/>
      <c r="F1100" s="928"/>
      <c r="G1100" s="924"/>
      <c r="H1100" s="925"/>
      <c r="I1100" s="926"/>
      <c r="J1100" s="927"/>
    </row>
    <row r="1102" spans="1:15" ht="12" customHeight="1">
      <c r="A1102" s="2361"/>
      <c r="B1102" s="2361"/>
      <c r="C1102" s="2361"/>
      <c r="D1102" s="2361"/>
      <c r="E1102" s="2361"/>
      <c r="F1102" s="2361"/>
      <c r="G1102" s="2361"/>
      <c r="H1102" s="2361"/>
      <c r="I1102" s="2361"/>
      <c r="J1102" s="2361"/>
    </row>
    <row r="1103" spans="1:15" ht="15" customHeight="1">
      <c r="A1103" s="2360" t="str">
        <f>$K$2</f>
        <v>THÁNG 09/2024</v>
      </c>
      <c r="B1103" s="2360"/>
      <c r="C1103" s="2360"/>
      <c r="D1103" s="2360"/>
      <c r="E1103" s="903"/>
      <c r="F1103" s="904"/>
      <c r="G1103" s="2360" t="str">
        <f>$K$2</f>
        <v>THÁNG 09/2024</v>
      </c>
      <c r="H1103" s="2360"/>
      <c r="I1103" s="2360"/>
      <c r="J1103" s="2360"/>
      <c r="K1103" s="276"/>
    </row>
    <row r="1104" spans="1:15" ht="15" customHeight="1">
      <c r="A1104" s="905" t="s">
        <v>356</v>
      </c>
      <c r="B1104" s="642" t="s">
        <v>55</v>
      </c>
      <c r="C1104" s="546"/>
      <c r="D1104" s="902"/>
      <c r="E1104" s="906"/>
      <c r="F1104" s="907"/>
      <c r="G1104" s="905" t="s">
        <v>356</v>
      </c>
      <c r="H1104" s="642" t="s">
        <v>56</v>
      </c>
      <c r="I1104" s="546"/>
      <c r="J1104" s="902"/>
      <c r="L1104" s="938"/>
      <c r="M1104" s="938"/>
      <c r="N1104" s="938"/>
      <c r="O1104" s="938"/>
    </row>
    <row r="1105" spans="1:15" ht="15" customHeight="1">
      <c r="A1105" s="905" t="s">
        <v>359</v>
      </c>
      <c r="B1105" s="939" t="s">
        <v>360</v>
      </c>
      <c r="C1105" s="910" t="e">
        <f>VLOOKUP(B1104,'LƯƠNG KT'!$D$16:$AC$184,3,0)</f>
        <v>#N/A</v>
      </c>
      <c r="D1105" s="609" t="e">
        <f>+C1105*25000</f>
        <v>#N/A</v>
      </c>
      <c r="E1105" s="911"/>
      <c r="F1105" s="911"/>
      <c r="G1105" s="905" t="s">
        <v>359</v>
      </c>
      <c r="H1105" s="939" t="s">
        <v>360</v>
      </c>
      <c r="I1105" s="910" t="e">
        <f>VLOOKUP(H1104,'LƯƠNG KT'!$D$16:$AC$184,3,0)</f>
        <v>#N/A</v>
      </c>
      <c r="J1105" s="609" t="e">
        <f>+I1105*25000</f>
        <v>#N/A</v>
      </c>
      <c r="K1105" s="934"/>
      <c r="L1105" s="935"/>
      <c r="M1105" s="935"/>
      <c r="N1105" s="935"/>
      <c r="O1105" s="935"/>
    </row>
    <row r="1106" spans="1:15" ht="15" customHeight="1">
      <c r="A1106" s="905" t="s">
        <v>361</v>
      </c>
      <c r="B1106" s="546" t="s">
        <v>362</v>
      </c>
      <c r="C1106" s="910" t="e">
        <f>VLOOKUP(B1104,'LƯƠNG KT'!$D$16:$AC$184,14,0)</f>
        <v>#N/A</v>
      </c>
      <c r="D1106" s="609" t="e">
        <f>C1106*$L$4</f>
        <v>#N/A</v>
      </c>
      <c r="E1106" s="912"/>
      <c r="F1106" s="912"/>
      <c r="G1106" s="905" t="s">
        <v>361</v>
      </c>
      <c r="H1106" s="546" t="s">
        <v>362</v>
      </c>
      <c r="I1106" s="910" t="e">
        <f>VLOOKUP(H1104,'LƯƠNG KT'!$D$16:$AC$184,14,0)</f>
        <v>#N/A</v>
      </c>
      <c r="J1106" s="609" t="e">
        <f>I1106*$L$4</f>
        <v>#N/A</v>
      </c>
      <c r="K1106" s="934"/>
      <c r="L1106" s="935"/>
      <c r="M1106" s="935"/>
      <c r="N1106" s="935"/>
      <c r="O1106" s="935"/>
    </row>
    <row r="1107" spans="1:15" ht="15" customHeight="1">
      <c r="A1107" s="905" t="s">
        <v>364</v>
      </c>
      <c r="B1107" s="546" t="s">
        <v>365</v>
      </c>
      <c r="C1107" s="910" t="e">
        <f>VLOOKUP(B1104,'LƯƠNG KT'!$D$16:$AC$184,15,0)</f>
        <v>#N/A</v>
      </c>
      <c r="D1107" s="609" t="e">
        <f>C1107*$L$5</f>
        <v>#N/A</v>
      </c>
      <c r="E1107" s="912"/>
      <c r="F1107" s="912"/>
      <c r="G1107" s="905" t="s">
        <v>364</v>
      </c>
      <c r="H1107" s="546" t="s">
        <v>365</v>
      </c>
      <c r="I1107" s="910" t="e">
        <f>VLOOKUP(H1104,'LƯƠNG KT'!$D$16:$AC$184,15,0)</f>
        <v>#N/A</v>
      </c>
      <c r="J1107" s="609" t="e">
        <f>I1107*$L$5</f>
        <v>#N/A</v>
      </c>
      <c r="K1107" s="934"/>
      <c r="L1107" s="935"/>
      <c r="M1107" s="935"/>
      <c r="N1107" s="935"/>
      <c r="O1107" s="935"/>
    </row>
    <row r="1108" spans="1:15" ht="15" customHeight="1">
      <c r="A1108" s="905" t="s">
        <v>367</v>
      </c>
      <c r="B1108" s="546"/>
      <c r="C1108" s="910" t="e">
        <f>VLOOKUP(B1104,'LƯƠNG KT'!$D$16:$AC$184,16,0)</f>
        <v>#N/A</v>
      </c>
      <c r="D1108" s="609" t="e">
        <f>+C1108*$L$6</f>
        <v>#N/A</v>
      </c>
      <c r="E1108" s="912"/>
      <c r="F1108" s="912"/>
      <c r="G1108" s="905" t="s">
        <v>367</v>
      </c>
      <c r="H1108" s="546"/>
      <c r="I1108" s="910" t="e">
        <f>VLOOKUP(H1104,'LƯƠNG KT'!$D$16:$AC$184,16,0)</f>
        <v>#N/A</v>
      </c>
      <c r="J1108" s="609" t="e">
        <f>+I1108*$L$6</f>
        <v>#N/A</v>
      </c>
      <c r="K1108" s="935"/>
      <c r="L1108" s="935"/>
      <c r="M1108" s="935"/>
      <c r="N1108" s="935"/>
      <c r="O1108" s="935"/>
    </row>
    <row r="1109" spans="1:15" ht="15" customHeight="1">
      <c r="A1109" s="905" t="s">
        <v>371</v>
      </c>
      <c r="B1109" s="546" t="s">
        <v>372</v>
      </c>
      <c r="C1109" s="910" t="e">
        <f>VLOOKUP(B1104,'LƯƠNG KT'!$D$16:$AC$184,9,0)*$L$10</f>
        <v>#N/A</v>
      </c>
      <c r="D1109" s="609" t="e">
        <f>+C1109*0.5*3000</f>
        <v>#N/A</v>
      </c>
      <c r="E1109" s="912"/>
      <c r="F1109" s="912"/>
      <c r="G1109" s="905" t="s">
        <v>371</v>
      </c>
      <c r="H1109" s="546" t="s">
        <v>372</v>
      </c>
      <c r="I1109" s="910" t="e">
        <f>VLOOKUP(H1104,'LƯƠNG KT'!$D$16:$AC$184,9,0)*$L$10</f>
        <v>#N/A</v>
      </c>
      <c r="J1109" s="609" t="e">
        <f>+I1109*0.5*3000</f>
        <v>#N/A</v>
      </c>
      <c r="K1109" s="935"/>
      <c r="L1109" s="935"/>
      <c r="M1109" s="935"/>
      <c r="N1109" s="935"/>
      <c r="O1109" s="935"/>
    </row>
    <row r="1110" spans="1:15" ht="15" customHeight="1">
      <c r="A1110" s="905" t="s">
        <v>374</v>
      </c>
      <c r="B1110" s="546" t="s">
        <v>375</v>
      </c>
      <c r="C1110" s="910" t="e">
        <f>VLOOKUP(B1104,'LƯƠNG KT'!$D$16:$AC$184,8,0)*$L$11</f>
        <v>#N/A</v>
      </c>
      <c r="D1110" s="609" t="e">
        <f>VLOOKUP(B1104,'LƯƠNG KT'!$D$16:$AC$184,13,0)-D1109</f>
        <v>#N/A</v>
      </c>
      <c r="E1110" s="914"/>
      <c r="F1110" s="912"/>
      <c r="G1110" s="905" t="s">
        <v>374</v>
      </c>
      <c r="H1110" s="546" t="s">
        <v>375</v>
      </c>
      <c r="I1110" s="910" t="e">
        <f>VLOOKUP(H1104,'LƯƠNG KT'!$D$16:$AC$184,8,0)*$L$11</f>
        <v>#N/A</v>
      </c>
      <c r="J1110" s="609" t="e">
        <f>VLOOKUP(H1104,'LƯƠNG KT'!$D$16:$AC$184,13,0)-J1109</f>
        <v>#N/A</v>
      </c>
      <c r="K1110" s="935"/>
      <c r="L1110" s="935"/>
      <c r="M1110" s="935"/>
      <c r="N1110" s="935"/>
      <c r="O1110" s="935"/>
    </row>
    <row r="1111" spans="1:15" ht="15" customHeight="1">
      <c r="A1111" s="609" t="s">
        <v>377</v>
      </c>
      <c r="B1111" s="546" t="s">
        <v>378</v>
      </c>
      <c r="C1111" s="910"/>
      <c r="D1111" s="609"/>
      <c r="E1111" s="916"/>
      <c r="F1111" s="916"/>
      <c r="G1111" s="609" t="s">
        <v>377</v>
      </c>
      <c r="H1111" s="546" t="s">
        <v>378</v>
      </c>
      <c r="I1111" s="910"/>
      <c r="J1111" s="609"/>
    </row>
    <row r="1112" spans="1:15" ht="15" customHeight="1">
      <c r="A1112" s="547" t="s">
        <v>379</v>
      </c>
      <c r="B1112" s="546" t="s">
        <v>380</v>
      </c>
      <c r="C1112" s="910"/>
      <c r="D1112" s="609"/>
      <c r="E1112" s="914"/>
      <c r="F1112" s="916"/>
      <c r="G1112" s="547" t="s">
        <v>379</v>
      </c>
      <c r="H1112" s="546" t="s">
        <v>380</v>
      </c>
      <c r="I1112" s="910"/>
      <c r="J1112" s="609"/>
    </row>
    <row r="1113" spans="1:15" ht="15" customHeight="1">
      <c r="A1113" s="905" t="s">
        <v>381</v>
      </c>
      <c r="B1113" s="546" t="s">
        <v>382</v>
      </c>
      <c r="C1113" s="910"/>
      <c r="D1113" s="609">
        <f>D1112</f>
        <v>0</v>
      </c>
      <c r="E1113" s="917"/>
      <c r="F1113" s="904"/>
      <c r="G1113" s="905" t="s">
        <v>381</v>
      </c>
      <c r="H1113" s="546" t="s">
        <v>382</v>
      </c>
      <c r="I1113" s="910"/>
      <c r="J1113" s="609">
        <f>J1112</f>
        <v>0</v>
      </c>
    </row>
    <row r="1114" spans="1:15" ht="15" customHeight="1">
      <c r="A1114" s="918" t="s">
        <v>383</v>
      </c>
      <c r="B1114" s="919" t="s">
        <v>384</v>
      </c>
      <c r="C1114" s="920"/>
      <c r="D1114" s="921" t="e">
        <f>SUM(D1105:D1110)-D1113</f>
        <v>#N/A</v>
      </c>
      <c r="E1114" s="922"/>
      <c r="F1114" s="923"/>
      <c r="G1114" s="918" t="s">
        <v>383</v>
      </c>
      <c r="H1114" s="919" t="s">
        <v>384</v>
      </c>
      <c r="I1114" s="920"/>
      <c r="J1114" s="921" t="e">
        <f>SUM(J1105:J1110)-J1113</f>
        <v>#N/A</v>
      </c>
    </row>
    <row r="1115" spans="1:15" ht="12.6" customHeight="1">
      <c r="A1115" s="924"/>
      <c r="B1115" s="925"/>
      <c r="C1115" s="926"/>
      <c r="D1115" s="927"/>
      <c r="E1115" s="927"/>
      <c r="F1115" s="928"/>
      <c r="G1115" s="924"/>
      <c r="H1115" s="925"/>
      <c r="I1115" s="926"/>
      <c r="J1115" s="927"/>
    </row>
    <row r="1116" spans="1:15" ht="12.6" customHeight="1">
      <c r="A1116" s="925"/>
      <c r="B1116" s="925"/>
      <c r="C1116" s="929"/>
      <c r="D1116" s="930"/>
      <c r="E1116" s="925"/>
      <c r="F1116" s="931"/>
      <c r="G1116" s="925"/>
      <c r="H1116" s="925"/>
      <c r="I1116" s="929"/>
      <c r="J1116" s="930"/>
    </row>
    <row r="1117" spans="1:15" ht="15" customHeight="1">
      <c r="A1117" s="2360" t="str">
        <f>$K$2</f>
        <v>THÁNG 09/2024</v>
      </c>
      <c r="B1117" s="2360"/>
      <c r="C1117" s="2360"/>
      <c r="D1117" s="2360"/>
      <c r="E1117" s="903"/>
      <c r="F1117" s="904"/>
      <c r="G1117" s="2360" t="str">
        <f>$K$2</f>
        <v>THÁNG 09/2024</v>
      </c>
      <c r="H1117" s="2360"/>
      <c r="I1117" s="2360"/>
      <c r="J1117" s="2360"/>
      <c r="K1117" s="276"/>
    </row>
    <row r="1118" spans="1:15" ht="15" customHeight="1">
      <c r="A1118" s="905" t="s">
        <v>356</v>
      </c>
      <c r="B1118" s="642" t="s">
        <v>57</v>
      </c>
      <c r="C1118" s="546"/>
      <c r="D1118" s="902"/>
      <c r="E1118" s="906"/>
      <c r="F1118" s="907"/>
      <c r="G1118" s="905" t="s">
        <v>356</v>
      </c>
      <c r="H1118" s="642" t="s">
        <v>59</v>
      </c>
      <c r="I1118" s="546"/>
      <c r="J1118" s="902"/>
      <c r="L1118" s="938"/>
      <c r="M1118" s="938"/>
      <c r="N1118" s="938"/>
      <c r="O1118" s="938"/>
    </row>
    <row r="1119" spans="1:15" ht="15" customHeight="1">
      <c r="A1119" s="905" t="s">
        <v>359</v>
      </c>
      <c r="B1119" s="939" t="s">
        <v>360</v>
      </c>
      <c r="C1119" s="910" t="e">
        <f>VLOOKUP(B1118,'LƯƠNG KT'!$D$16:$AC$184,3,0)</f>
        <v>#N/A</v>
      </c>
      <c r="D1119" s="609" t="e">
        <f>+C1119*25000</f>
        <v>#N/A</v>
      </c>
      <c r="E1119" s="911"/>
      <c r="F1119" s="911"/>
      <c r="G1119" s="905" t="s">
        <v>359</v>
      </c>
      <c r="H1119" s="939" t="s">
        <v>360</v>
      </c>
      <c r="I1119" s="910" t="e">
        <f>VLOOKUP(H1118,'LƯƠNG KT'!$D$16:$AC$184,3,0)</f>
        <v>#N/A</v>
      </c>
      <c r="J1119" s="609" t="e">
        <f>+I1119*25000</f>
        <v>#N/A</v>
      </c>
      <c r="K1119" s="935"/>
      <c r="L1119" s="935"/>
      <c r="M1119" s="935"/>
      <c r="N1119" s="935"/>
      <c r="O1119" s="935"/>
    </row>
    <row r="1120" spans="1:15" ht="15" customHeight="1">
      <c r="A1120" s="905" t="s">
        <v>361</v>
      </c>
      <c r="B1120" s="546" t="s">
        <v>362</v>
      </c>
      <c r="C1120" s="910" t="e">
        <f>VLOOKUP(B1118,'LƯƠNG KT'!$D$16:$AC$184,14,0)</f>
        <v>#N/A</v>
      </c>
      <c r="D1120" s="609" t="e">
        <f>C1120*$L$4</f>
        <v>#N/A</v>
      </c>
      <c r="E1120" s="912"/>
      <c r="F1120" s="912"/>
      <c r="G1120" s="905" t="s">
        <v>361</v>
      </c>
      <c r="H1120" s="546" t="s">
        <v>362</v>
      </c>
      <c r="I1120" s="910" t="e">
        <f>VLOOKUP(H1118,'LƯƠNG KT'!$D$16:$AC$184,14,0)</f>
        <v>#N/A</v>
      </c>
      <c r="J1120" s="609" t="e">
        <f>I1120*$L$4</f>
        <v>#N/A</v>
      </c>
      <c r="K1120" s="935"/>
      <c r="L1120" s="935"/>
      <c r="M1120" s="935"/>
      <c r="N1120" s="935"/>
      <c r="O1120" s="935"/>
    </row>
    <row r="1121" spans="1:15" ht="15" customHeight="1">
      <c r="A1121" s="905" t="s">
        <v>364</v>
      </c>
      <c r="B1121" s="546" t="s">
        <v>365</v>
      </c>
      <c r="C1121" s="910" t="e">
        <f>VLOOKUP(B1118,'LƯƠNG KT'!$D$16:$AC$184,15,0)</f>
        <v>#N/A</v>
      </c>
      <c r="D1121" s="609" t="e">
        <f>C1121*$L$5</f>
        <v>#N/A</v>
      </c>
      <c r="E1121" s="912"/>
      <c r="F1121" s="912"/>
      <c r="G1121" s="905" t="s">
        <v>364</v>
      </c>
      <c r="H1121" s="546" t="s">
        <v>365</v>
      </c>
      <c r="I1121" s="910" t="e">
        <f>VLOOKUP(H1118,'LƯƠNG KT'!$D$16:$AC$184,15,0)</f>
        <v>#N/A</v>
      </c>
      <c r="J1121" s="609" t="e">
        <f>I1121*$L$5</f>
        <v>#N/A</v>
      </c>
      <c r="K1121" s="935"/>
      <c r="L1121" s="935"/>
      <c r="M1121" s="935"/>
      <c r="N1121" s="935"/>
      <c r="O1121" s="935"/>
    </row>
    <row r="1122" spans="1:15" ht="15" customHeight="1">
      <c r="A1122" s="905" t="s">
        <v>367</v>
      </c>
      <c r="B1122" s="546"/>
      <c r="C1122" s="910" t="e">
        <f>VLOOKUP(B1118,'LƯƠNG KT'!$D$16:$AC$184,16,0)</f>
        <v>#N/A</v>
      </c>
      <c r="D1122" s="609" t="e">
        <f>+C1122*$L$6</f>
        <v>#N/A</v>
      </c>
      <c r="E1122" s="912"/>
      <c r="F1122" s="912"/>
      <c r="G1122" s="905" t="s">
        <v>367</v>
      </c>
      <c r="H1122" s="546"/>
      <c r="I1122" s="910" t="e">
        <f>VLOOKUP(H1118,'LƯƠNG KT'!$D$16:$AC$184,16,0)</f>
        <v>#N/A</v>
      </c>
      <c r="J1122" s="609" t="e">
        <f>+I1122*$L$6</f>
        <v>#N/A</v>
      </c>
      <c r="K1122" s="935"/>
      <c r="L1122" s="935"/>
      <c r="M1122" s="935"/>
      <c r="N1122" s="935"/>
      <c r="O1122" s="935"/>
    </row>
    <row r="1123" spans="1:15" ht="15" customHeight="1">
      <c r="A1123" s="905" t="s">
        <v>371</v>
      </c>
      <c r="B1123" s="546" t="s">
        <v>372</v>
      </c>
      <c r="C1123" s="910" t="e">
        <f>VLOOKUP(B1118,'LƯƠNG KT'!$D$16:$AC$184,9,0)*$L$10</f>
        <v>#N/A</v>
      </c>
      <c r="D1123" s="609" t="e">
        <f>+C1123*0.5*3000</f>
        <v>#N/A</v>
      </c>
      <c r="E1123" s="912"/>
      <c r="F1123" s="912"/>
      <c r="G1123" s="905" t="s">
        <v>371</v>
      </c>
      <c r="H1123" s="546" t="s">
        <v>372</v>
      </c>
      <c r="I1123" s="910" t="e">
        <f>VLOOKUP(H1118,'LƯƠNG KT'!$D$16:$AC$184,9,0)*$L$10</f>
        <v>#N/A</v>
      </c>
      <c r="J1123" s="609" t="e">
        <f>+I1123*0.5*3000</f>
        <v>#N/A</v>
      </c>
      <c r="K1123" s="935"/>
      <c r="L1123" s="935"/>
      <c r="M1123" s="935"/>
      <c r="N1123" s="935"/>
      <c r="O1123" s="935"/>
    </row>
    <row r="1124" spans="1:15" ht="15" customHeight="1">
      <c r="A1124" s="905" t="s">
        <v>374</v>
      </c>
      <c r="B1124" s="546" t="s">
        <v>375</v>
      </c>
      <c r="C1124" s="910" t="e">
        <f>VLOOKUP(B1118,'LƯƠNG KT'!$D$16:$AC$184,8,0)*$L$11</f>
        <v>#N/A</v>
      </c>
      <c r="D1124" s="609" t="e">
        <f>VLOOKUP(B1118,'LƯƠNG KT'!$D$16:$AC$184,13,0)-D1123</f>
        <v>#N/A</v>
      </c>
      <c r="E1124" s="914"/>
      <c r="F1124" s="912"/>
      <c r="G1124" s="905" t="s">
        <v>374</v>
      </c>
      <c r="H1124" s="546" t="s">
        <v>375</v>
      </c>
      <c r="I1124" s="910" t="e">
        <f>VLOOKUP(H1118,'LƯƠNG KT'!$D$16:$AC$184,8,0)*$L$11</f>
        <v>#N/A</v>
      </c>
      <c r="J1124" s="609" t="e">
        <f>VLOOKUP(H1118,'LƯƠNG KT'!$D$16:$AC$184,13,0)-J1123</f>
        <v>#N/A</v>
      </c>
      <c r="K1124" s="935"/>
      <c r="L1124" s="935"/>
      <c r="M1124" s="935"/>
      <c r="N1124" s="935"/>
      <c r="O1124" s="935"/>
    </row>
    <row r="1125" spans="1:15" ht="15" customHeight="1">
      <c r="A1125" s="609" t="s">
        <v>377</v>
      </c>
      <c r="B1125" s="546" t="s">
        <v>378</v>
      </c>
      <c r="C1125" s="910"/>
      <c r="D1125" s="609"/>
      <c r="E1125" s="916"/>
      <c r="F1125" s="916"/>
      <c r="G1125" s="609" t="s">
        <v>377</v>
      </c>
      <c r="H1125" s="546" t="s">
        <v>378</v>
      </c>
      <c r="I1125" s="910"/>
      <c r="J1125" s="609"/>
    </row>
    <row r="1126" spans="1:15" ht="15" customHeight="1">
      <c r="A1126" s="547" t="s">
        <v>379</v>
      </c>
      <c r="B1126" s="546" t="s">
        <v>380</v>
      </c>
      <c r="C1126" s="910"/>
      <c r="D1126" s="609"/>
      <c r="E1126" s="914"/>
      <c r="F1126" s="916"/>
      <c r="G1126" s="547" t="s">
        <v>379</v>
      </c>
      <c r="H1126" s="546" t="s">
        <v>380</v>
      </c>
      <c r="I1126" s="910"/>
      <c r="J1126" s="609"/>
    </row>
    <row r="1127" spans="1:15" ht="15" customHeight="1">
      <c r="A1127" s="905" t="s">
        <v>381</v>
      </c>
      <c r="B1127" s="546" t="s">
        <v>382</v>
      </c>
      <c r="C1127" s="910"/>
      <c r="D1127" s="609">
        <f>D1126</f>
        <v>0</v>
      </c>
      <c r="E1127" s="917"/>
      <c r="F1127" s="904"/>
      <c r="G1127" s="905" t="s">
        <v>381</v>
      </c>
      <c r="H1127" s="546" t="s">
        <v>382</v>
      </c>
      <c r="I1127" s="910"/>
      <c r="J1127" s="609">
        <f>J1126</f>
        <v>0</v>
      </c>
    </row>
    <row r="1128" spans="1:15" ht="15" customHeight="1">
      <c r="A1128" s="918" t="s">
        <v>383</v>
      </c>
      <c r="B1128" s="919" t="s">
        <v>384</v>
      </c>
      <c r="C1128" s="920"/>
      <c r="D1128" s="921" t="e">
        <f>SUM(D1119:D1124)-D1127</f>
        <v>#N/A</v>
      </c>
      <c r="E1128" s="922"/>
      <c r="F1128" s="923"/>
      <c r="G1128" s="918" t="s">
        <v>383</v>
      </c>
      <c r="H1128" s="919" t="s">
        <v>384</v>
      </c>
      <c r="I1128" s="920"/>
      <c r="J1128" s="921" t="e">
        <f>SUM(J1119:J1124)-J1127</f>
        <v>#N/A</v>
      </c>
    </row>
    <row r="1129" spans="1:15" ht="18.75" customHeight="1">
      <c r="A1129" s="924"/>
      <c r="B1129" s="925"/>
      <c r="C1129" s="926"/>
      <c r="D1129" s="927"/>
      <c r="E1129" s="927"/>
      <c r="F1129" s="928"/>
      <c r="G1129" s="924"/>
      <c r="H1129" s="925"/>
      <c r="I1129" s="926"/>
      <c r="J1129" s="927"/>
    </row>
    <row r="1130" spans="1:15" ht="18.75" customHeight="1">
      <c r="A1130" s="925"/>
      <c r="B1130" s="925"/>
      <c r="C1130" s="929"/>
      <c r="D1130" s="930"/>
      <c r="E1130" s="925"/>
      <c r="F1130" s="931"/>
      <c r="G1130" s="925"/>
      <c r="H1130" s="925"/>
      <c r="I1130" s="929"/>
      <c r="J1130" s="930"/>
    </row>
    <row r="1131" spans="1:15" ht="15" customHeight="1">
      <c r="A1131" s="2360" t="str">
        <f>$K$2</f>
        <v>THÁNG 09/2024</v>
      </c>
      <c r="B1131" s="2360"/>
      <c r="C1131" s="2360"/>
      <c r="D1131" s="2360"/>
      <c r="E1131" s="903"/>
      <c r="F1131" s="904"/>
      <c r="G1131" s="2360" t="str">
        <f>$K$2</f>
        <v>THÁNG 09/2024</v>
      </c>
      <c r="H1131" s="2360"/>
      <c r="I1131" s="2360"/>
      <c r="J1131" s="2360"/>
      <c r="K1131" s="276"/>
    </row>
    <row r="1132" spans="1:15" ht="15" customHeight="1">
      <c r="A1132" s="905" t="s">
        <v>356</v>
      </c>
      <c r="B1132" s="642" t="s">
        <v>60</v>
      </c>
      <c r="C1132" s="546"/>
      <c r="D1132" s="902"/>
      <c r="E1132" s="906"/>
      <c r="F1132" s="907"/>
      <c r="G1132" s="905" t="s">
        <v>356</v>
      </c>
      <c r="H1132" s="642" t="s">
        <v>61</v>
      </c>
      <c r="I1132" s="546"/>
      <c r="J1132" s="902"/>
      <c r="L1132" s="938"/>
      <c r="M1132" s="938"/>
      <c r="N1132" s="938"/>
      <c r="O1132" s="938"/>
    </row>
    <row r="1133" spans="1:15" ht="15" customHeight="1">
      <c r="A1133" s="905" t="s">
        <v>359</v>
      </c>
      <c r="B1133" s="939" t="s">
        <v>360</v>
      </c>
      <c r="C1133" s="910" t="e">
        <f>VLOOKUP(B1132,'LƯƠNG KT'!$D$16:$AC$184,3,0)</f>
        <v>#N/A</v>
      </c>
      <c r="D1133" s="609" t="e">
        <f>+C1133*25000</f>
        <v>#N/A</v>
      </c>
      <c r="E1133" s="911"/>
      <c r="F1133" s="911"/>
      <c r="G1133" s="905" t="s">
        <v>359</v>
      </c>
      <c r="H1133" s="939" t="s">
        <v>360</v>
      </c>
      <c r="I1133" s="910" t="e">
        <f>VLOOKUP(H1132,'LƯƠNG KT'!$D$16:$AC$184,3,0)</f>
        <v>#N/A</v>
      </c>
      <c r="J1133" s="609" t="e">
        <f>+I1133*25000</f>
        <v>#N/A</v>
      </c>
      <c r="K1133" s="935"/>
      <c r="L1133" s="935"/>
      <c r="M1133" s="935"/>
      <c r="N1133" s="935"/>
      <c r="O1133" s="935"/>
    </row>
    <row r="1134" spans="1:15" ht="15" customHeight="1">
      <c r="A1134" s="905" t="s">
        <v>361</v>
      </c>
      <c r="B1134" s="546" t="s">
        <v>362</v>
      </c>
      <c r="C1134" s="910" t="e">
        <f>VLOOKUP(B1132,'LƯƠNG KT'!$D$16:$AC$184,14,0)</f>
        <v>#N/A</v>
      </c>
      <c r="D1134" s="609" t="e">
        <f>C1134*$L$4</f>
        <v>#N/A</v>
      </c>
      <c r="E1134" s="912"/>
      <c r="F1134" s="912"/>
      <c r="G1134" s="905" t="s">
        <v>361</v>
      </c>
      <c r="H1134" s="546" t="s">
        <v>362</v>
      </c>
      <c r="I1134" s="910" t="e">
        <f>VLOOKUP(H1132,'LƯƠNG KT'!$D$16:$AC$184,14,0)</f>
        <v>#N/A</v>
      </c>
      <c r="J1134" s="609" t="e">
        <f>I1134*$L$4</f>
        <v>#N/A</v>
      </c>
      <c r="K1134" s="935"/>
      <c r="L1134" s="935"/>
      <c r="M1134" s="935"/>
      <c r="N1134" s="935"/>
      <c r="O1134" s="935"/>
    </row>
    <row r="1135" spans="1:15" ht="15" customHeight="1">
      <c r="A1135" s="905" t="s">
        <v>364</v>
      </c>
      <c r="B1135" s="546" t="s">
        <v>365</v>
      </c>
      <c r="C1135" s="910" t="e">
        <f>VLOOKUP(B1132,'LƯƠNG KT'!$D$16:$AC$184,15,0)</f>
        <v>#N/A</v>
      </c>
      <c r="D1135" s="609" t="e">
        <f>C1135*$L$5</f>
        <v>#N/A</v>
      </c>
      <c r="E1135" s="912"/>
      <c r="F1135" s="912"/>
      <c r="G1135" s="905" t="s">
        <v>364</v>
      </c>
      <c r="H1135" s="546" t="s">
        <v>365</v>
      </c>
      <c r="I1135" s="910" t="e">
        <f>VLOOKUP(H1132,'LƯƠNG KT'!$D$16:$AC$184,15,0)</f>
        <v>#N/A</v>
      </c>
      <c r="J1135" s="609" t="e">
        <f>I1135*$L$5</f>
        <v>#N/A</v>
      </c>
      <c r="K1135" s="935"/>
      <c r="L1135" s="935"/>
      <c r="M1135" s="935"/>
      <c r="N1135" s="935"/>
      <c r="O1135" s="935"/>
    </row>
    <row r="1136" spans="1:15" ht="15" customHeight="1">
      <c r="A1136" s="905" t="s">
        <v>367</v>
      </c>
      <c r="B1136" s="546"/>
      <c r="C1136" s="910" t="e">
        <f>VLOOKUP(B1132,'LƯƠNG KT'!$D$16:$AC$184,16,0)</f>
        <v>#N/A</v>
      </c>
      <c r="D1136" s="609" t="e">
        <f>+C1136*$L$6</f>
        <v>#N/A</v>
      </c>
      <c r="E1136" s="912"/>
      <c r="F1136" s="912"/>
      <c r="G1136" s="905" t="s">
        <v>367</v>
      </c>
      <c r="H1136" s="546"/>
      <c r="I1136" s="910" t="e">
        <f>VLOOKUP(H1132,'LƯƠNG KT'!$D$16:$AC$184,16,0)</f>
        <v>#N/A</v>
      </c>
      <c r="J1136" s="609" t="e">
        <f>+I1136*$L$6</f>
        <v>#N/A</v>
      </c>
      <c r="K1136" s="935"/>
      <c r="L1136" s="935"/>
      <c r="M1136" s="935"/>
      <c r="N1136" s="935"/>
      <c r="O1136" s="935"/>
    </row>
    <row r="1137" spans="1:15" ht="15" customHeight="1">
      <c r="A1137" s="905" t="s">
        <v>371</v>
      </c>
      <c r="B1137" s="546" t="s">
        <v>372</v>
      </c>
      <c r="C1137" s="910" t="e">
        <f>VLOOKUP(B1132,'LƯƠNG KT'!$D$16:$AC$184,9,0)*$L$10</f>
        <v>#N/A</v>
      </c>
      <c r="D1137" s="609" t="e">
        <f>+C1137*0.5*3000</f>
        <v>#N/A</v>
      </c>
      <c r="E1137" s="912"/>
      <c r="F1137" s="912"/>
      <c r="G1137" s="905" t="s">
        <v>371</v>
      </c>
      <c r="H1137" s="546" t="s">
        <v>372</v>
      </c>
      <c r="I1137" s="910" t="e">
        <f>VLOOKUP(H1132,'LƯƠNG KT'!$D$16:$AC$184,9,0)*$L$10</f>
        <v>#N/A</v>
      </c>
      <c r="J1137" s="609" t="e">
        <f>+I1137*0.5*3000</f>
        <v>#N/A</v>
      </c>
      <c r="K1137" s="935"/>
      <c r="L1137" s="935"/>
      <c r="M1137" s="935"/>
      <c r="N1137" s="935"/>
      <c r="O1137" s="935"/>
    </row>
    <row r="1138" spans="1:15" ht="15" customHeight="1">
      <c r="A1138" s="905" t="s">
        <v>374</v>
      </c>
      <c r="B1138" s="546" t="s">
        <v>375</v>
      </c>
      <c r="C1138" s="910" t="e">
        <f>VLOOKUP(B1132,'LƯƠNG KT'!$D$16:$AC$184,8,0)*$L$11</f>
        <v>#N/A</v>
      </c>
      <c r="D1138" s="609" t="e">
        <f>VLOOKUP(B1132,'LƯƠNG KT'!$D$16:$AC$184,13,0)-D1137</f>
        <v>#N/A</v>
      </c>
      <c r="E1138" s="914"/>
      <c r="F1138" s="912"/>
      <c r="G1138" s="905" t="s">
        <v>374</v>
      </c>
      <c r="H1138" s="546" t="s">
        <v>375</v>
      </c>
      <c r="I1138" s="910" t="e">
        <f>VLOOKUP(H1132,'LƯƠNG KT'!$D$16:$AC$184,8,0)*$L$11</f>
        <v>#N/A</v>
      </c>
      <c r="J1138" s="609" t="e">
        <f>VLOOKUP(H1132,'LƯƠNG KT'!$D$16:$AC$184,13,0)-J1137</f>
        <v>#N/A</v>
      </c>
      <c r="K1138" s="935"/>
      <c r="L1138" s="935"/>
      <c r="M1138" s="935"/>
      <c r="N1138" s="935"/>
      <c r="O1138" s="935"/>
    </row>
    <row r="1139" spans="1:15" ht="15" customHeight="1">
      <c r="A1139" s="609" t="s">
        <v>377</v>
      </c>
      <c r="B1139" s="546" t="s">
        <v>378</v>
      </c>
      <c r="C1139" s="910"/>
      <c r="D1139" s="609"/>
      <c r="E1139" s="916"/>
      <c r="F1139" s="916"/>
      <c r="G1139" s="609" t="s">
        <v>377</v>
      </c>
      <c r="H1139" s="546" t="s">
        <v>378</v>
      </c>
      <c r="I1139" s="910"/>
      <c r="J1139" s="609"/>
    </row>
    <row r="1140" spans="1:15" ht="15" customHeight="1">
      <c r="A1140" s="547" t="s">
        <v>379</v>
      </c>
      <c r="B1140" s="546" t="s">
        <v>380</v>
      </c>
      <c r="C1140" s="910"/>
      <c r="D1140" s="609"/>
      <c r="E1140" s="914"/>
      <c r="F1140" s="916"/>
      <c r="G1140" s="547" t="s">
        <v>379</v>
      </c>
      <c r="H1140" s="546" t="s">
        <v>380</v>
      </c>
      <c r="I1140" s="910"/>
      <c r="J1140" s="609"/>
    </row>
    <row r="1141" spans="1:15" ht="15" customHeight="1">
      <c r="A1141" s="905" t="s">
        <v>381</v>
      </c>
      <c r="B1141" s="546" t="s">
        <v>382</v>
      </c>
      <c r="C1141" s="910"/>
      <c r="D1141" s="609">
        <f>D1140</f>
        <v>0</v>
      </c>
      <c r="E1141" s="917"/>
      <c r="F1141" s="904"/>
      <c r="G1141" s="905" t="s">
        <v>381</v>
      </c>
      <c r="H1141" s="546" t="s">
        <v>382</v>
      </c>
      <c r="I1141" s="910"/>
      <c r="J1141" s="609">
        <f>J1140</f>
        <v>0</v>
      </c>
    </row>
    <row r="1142" spans="1:15" ht="15" customHeight="1">
      <c r="A1142" s="918" t="s">
        <v>383</v>
      </c>
      <c r="B1142" s="919" t="s">
        <v>384</v>
      </c>
      <c r="C1142" s="920"/>
      <c r="D1142" s="921" t="e">
        <f>SUM(D1133:D1138)-D1141</f>
        <v>#N/A</v>
      </c>
      <c r="E1142" s="922"/>
      <c r="F1142" s="923"/>
      <c r="G1142" s="918" t="s">
        <v>383</v>
      </c>
      <c r="H1142" s="919" t="s">
        <v>384</v>
      </c>
      <c r="I1142" s="920"/>
      <c r="J1142" s="921" t="e">
        <f>SUM(J1133:J1138)-J1141</f>
        <v>#N/A</v>
      </c>
    </row>
    <row r="1143" spans="1:15" ht="18.75" customHeight="1">
      <c r="A1143" s="924"/>
      <c r="B1143" s="925"/>
      <c r="C1143" s="926"/>
      <c r="D1143" s="927"/>
      <c r="E1143" s="927"/>
      <c r="F1143" s="928"/>
      <c r="G1143" s="924"/>
      <c r="H1143" s="925"/>
      <c r="I1143" s="926"/>
      <c r="J1143" s="927"/>
    </row>
    <row r="1144" spans="1:15" ht="18.75" customHeight="1">
      <c r="A1144" s="925"/>
      <c r="B1144" s="925"/>
      <c r="C1144" s="929"/>
      <c r="D1144" s="930"/>
      <c r="E1144" s="925"/>
      <c r="F1144" s="931"/>
      <c r="G1144" s="925"/>
      <c r="H1144" s="925"/>
      <c r="I1144" s="929"/>
      <c r="J1144" s="930"/>
    </row>
    <row r="1145" spans="1:15" ht="15" customHeight="1">
      <c r="A1145" s="2360" t="str">
        <f>$K$2</f>
        <v>THÁNG 09/2024</v>
      </c>
      <c r="B1145" s="2360"/>
      <c r="C1145" s="2360"/>
      <c r="D1145" s="2360"/>
      <c r="E1145" s="903"/>
      <c r="F1145" s="904"/>
      <c r="G1145" s="2360" t="str">
        <f>$K$2</f>
        <v>THÁNG 09/2024</v>
      </c>
      <c r="H1145" s="2360"/>
      <c r="I1145" s="2360"/>
      <c r="J1145" s="2360"/>
      <c r="K1145" s="276"/>
    </row>
    <row r="1146" spans="1:15" ht="15" customHeight="1">
      <c r="A1146" s="905" t="s">
        <v>356</v>
      </c>
      <c r="B1146" s="642" t="s">
        <v>62</v>
      </c>
      <c r="C1146" s="546"/>
      <c r="D1146" s="902"/>
      <c r="E1146" s="906"/>
      <c r="F1146" s="907"/>
      <c r="G1146" s="905" t="s">
        <v>356</v>
      </c>
      <c r="H1146" s="642" t="s">
        <v>63</v>
      </c>
      <c r="I1146" s="546"/>
      <c r="J1146" s="902"/>
      <c r="L1146" s="938"/>
      <c r="M1146" s="938"/>
      <c r="N1146" s="938"/>
      <c r="O1146" s="938"/>
    </row>
    <row r="1147" spans="1:15" ht="15" customHeight="1">
      <c r="A1147" s="905" t="s">
        <v>359</v>
      </c>
      <c r="B1147" s="939" t="s">
        <v>360</v>
      </c>
      <c r="C1147" s="910" t="e">
        <f>VLOOKUP(B1146,'LƯƠNG KT'!$D$16:$AC$184,3,0)</f>
        <v>#N/A</v>
      </c>
      <c r="D1147" s="609" t="e">
        <f>+C1147*25000</f>
        <v>#N/A</v>
      </c>
      <c r="E1147" s="911"/>
      <c r="F1147" s="911"/>
      <c r="G1147" s="905" t="s">
        <v>359</v>
      </c>
      <c r="H1147" s="939" t="s">
        <v>360</v>
      </c>
      <c r="I1147" s="910" t="e">
        <f>VLOOKUP(H1146,'LƯƠNG KT'!$D$16:$AC$184,3,0)</f>
        <v>#N/A</v>
      </c>
      <c r="J1147" s="609" t="e">
        <f>+I1147*25000</f>
        <v>#N/A</v>
      </c>
      <c r="K1147" s="935"/>
      <c r="L1147" s="935"/>
      <c r="M1147" s="935"/>
      <c r="N1147" s="935"/>
      <c r="O1147" s="935"/>
    </row>
    <row r="1148" spans="1:15" ht="15" customHeight="1">
      <c r="A1148" s="905" t="s">
        <v>361</v>
      </c>
      <c r="B1148" s="546" t="s">
        <v>362</v>
      </c>
      <c r="C1148" s="910" t="e">
        <f>VLOOKUP(B1146,'LƯƠNG KT'!$D$16:$AC$184,14,0)</f>
        <v>#N/A</v>
      </c>
      <c r="D1148" s="609" t="e">
        <f>C1148*$L$4</f>
        <v>#N/A</v>
      </c>
      <c r="E1148" s="912"/>
      <c r="F1148" s="912"/>
      <c r="G1148" s="905" t="s">
        <v>361</v>
      </c>
      <c r="H1148" s="546" t="s">
        <v>362</v>
      </c>
      <c r="I1148" s="910" t="e">
        <f>VLOOKUP(H1146,'LƯƠNG KT'!$D$16:$AC$184,14,0)</f>
        <v>#N/A</v>
      </c>
      <c r="J1148" s="609" t="e">
        <f>I1148*$L$4</f>
        <v>#N/A</v>
      </c>
      <c r="K1148" s="935"/>
      <c r="L1148" s="935"/>
      <c r="M1148" s="935"/>
      <c r="N1148" s="935"/>
      <c r="O1148" s="935"/>
    </row>
    <row r="1149" spans="1:15" ht="15" customHeight="1">
      <c r="A1149" s="905" t="s">
        <v>364</v>
      </c>
      <c r="B1149" s="546" t="s">
        <v>365</v>
      </c>
      <c r="C1149" s="910" t="e">
        <f>VLOOKUP(B1146,'LƯƠNG KT'!$D$16:$AC$184,15,0)</f>
        <v>#N/A</v>
      </c>
      <c r="D1149" s="609" t="e">
        <f>C1149*$L$5</f>
        <v>#N/A</v>
      </c>
      <c r="E1149" s="912"/>
      <c r="F1149" s="912"/>
      <c r="G1149" s="905" t="s">
        <v>364</v>
      </c>
      <c r="H1149" s="546" t="s">
        <v>365</v>
      </c>
      <c r="I1149" s="910" t="e">
        <f>VLOOKUP(H1146,'LƯƠNG KT'!$D$16:$AC$184,15,0)</f>
        <v>#N/A</v>
      </c>
      <c r="J1149" s="609" t="e">
        <f>I1149*$L$5</f>
        <v>#N/A</v>
      </c>
      <c r="K1149" s="935"/>
      <c r="L1149" s="935"/>
      <c r="M1149" s="935"/>
      <c r="N1149" s="935"/>
      <c r="O1149" s="935"/>
    </row>
    <row r="1150" spans="1:15" ht="15" customHeight="1">
      <c r="A1150" s="905" t="s">
        <v>367</v>
      </c>
      <c r="B1150" s="546"/>
      <c r="C1150" s="910" t="e">
        <f>VLOOKUP(B1146,'LƯƠNG KT'!$D$16:$AC$184,16,0)</f>
        <v>#N/A</v>
      </c>
      <c r="D1150" s="609" t="e">
        <f>+C1150*$L$6</f>
        <v>#N/A</v>
      </c>
      <c r="E1150" s="912"/>
      <c r="F1150" s="912"/>
      <c r="G1150" s="905" t="s">
        <v>367</v>
      </c>
      <c r="H1150" s="546"/>
      <c r="I1150" s="910" t="e">
        <f>VLOOKUP(H1146,'LƯƠNG KT'!$D$16:$AC$184,16,0)</f>
        <v>#N/A</v>
      </c>
      <c r="J1150" s="609" t="e">
        <f>+I1150*$L$6</f>
        <v>#N/A</v>
      </c>
      <c r="K1150" s="935"/>
      <c r="L1150" s="935"/>
      <c r="M1150" s="935"/>
      <c r="N1150" s="935"/>
      <c r="O1150" s="935"/>
    </row>
    <row r="1151" spans="1:15" ht="15" customHeight="1">
      <c r="A1151" s="905" t="s">
        <v>371</v>
      </c>
      <c r="B1151" s="546" t="s">
        <v>372</v>
      </c>
      <c r="C1151" s="910" t="e">
        <f>VLOOKUP(B1146,'LƯƠNG KT'!$D$16:$AC$184,9,0)*$L$10</f>
        <v>#N/A</v>
      </c>
      <c r="D1151" s="609" t="e">
        <f>+C1151*0.5*3000</f>
        <v>#N/A</v>
      </c>
      <c r="E1151" s="912"/>
      <c r="F1151" s="912"/>
      <c r="G1151" s="905" t="s">
        <v>371</v>
      </c>
      <c r="H1151" s="546" t="s">
        <v>372</v>
      </c>
      <c r="I1151" s="910" t="e">
        <f>VLOOKUP(H1146,'LƯƠNG KT'!$D$16:$AC$184,9,0)*$L$10</f>
        <v>#N/A</v>
      </c>
      <c r="J1151" s="609" t="e">
        <f>+I1151*0.5*3000</f>
        <v>#N/A</v>
      </c>
      <c r="K1151" s="935"/>
      <c r="L1151" s="935"/>
      <c r="M1151" s="935"/>
      <c r="N1151" s="935"/>
      <c r="O1151" s="935"/>
    </row>
    <row r="1152" spans="1:15" ht="15" customHeight="1">
      <c r="A1152" s="905" t="s">
        <v>374</v>
      </c>
      <c r="B1152" s="546" t="s">
        <v>375</v>
      </c>
      <c r="C1152" s="910" t="e">
        <f>VLOOKUP(B1146,'LƯƠNG KT'!$D$16:$AC$184,8,0)*$L$11</f>
        <v>#N/A</v>
      </c>
      <c r="D1152" s="609" t="e">
        <f>VLOOKUP(B1146,'LƯƠNG KT'!$D$16:$AC$184,13,0)-D1151</f>
        <v>#N/A</v>
      </c>
      <c r="E1152" s="914"/>
      <c r="F1152" s="912"/>
      <c r="G1152" s="905" t="s">
        <v>374</v>
      </c>
      <c r="H1152" s="546" t="s">
        <v>375</v>
      </c>
      <c r="I1152" s="910" t="e">
        <f>VLOOKUP(H1146,'LƯƠNG KT'!$D$16:$AC$184,8,0)*$L$11</f>
        <v>#N/A</v>
      </c>
      <c r="J1152" s="609" t="e">
        <f>VLOOKUP(H1146,'LƯƠNG KT'!$D$16:$AC$184,13,0)-J1151</f>
        <v>#N/A</v>
      </c>
      <c r="K1152" s="935"/>
      <c r="L1152" s="935"/>
      <c r="M1152" s="935"/>
      <c r="N1152" s="935"/>
      <c r="O1152" s="935"/>
    </row>
    <row r="1153" spans="1:15" ht="15" customHeight="1">
      <c r="A1153" s="609" t="s">
        <v>377</v>
      </c>
      <c r="B1153" s="546" t="s">
        <v>378</v>
      </c>
      <c r="C1153" s="910"/>
      <c r="D1153" s="609"/>
      <c r="E1153" s="916"/>
      <c r="F1153" s="916"/>
      <c r="G1153" s="609" t="s">
        <v>377</v>
      </c>
      <c r="H1153" s="546" t="s">
        <v>378</v>
      </c>
      <c r="I1153" s="910"/>
      <c r="J1153" s="609"/>
    </row>
    <row r="1154" spans="1:15" ht="15" customHeight="1">
      <c r="A1154" s="547" t="s">
        <v>379</v>
      </c>
      <c r="B1154" s="546" t="s">
        <v>380</v>
      </c>
      <c r="C1154" s="910"/>
      <c r="D1154" s="609"/>
      <c r="E1154" s="914"/>
      <c r="F1154" s="916"/>
      <c r="G1154" s="547" t="s">
        <v>379</v>
      </c>
      <c r="H1154" s="546" t="s">
        <v>380</v>
      </c>
      <c r="I1154" s="910"/>
      <c r="J1154" s="609"/>
    </row>
    <row r="1155" spans="1:15" ht="15" customHeight="1">
      <c r="A1155" s="905" t="s">
        <v>381</v>
      </c>
      <c r="B1155" s="546" t="s">
        <v>382</v>
      </c>
      <c r="C1155" s="910"/>
      <c r="D1155" s="609">
        <f>D1154</f>
        <v>0</v>
      </c>
      <c r="E1155" s="917"/>
      <c r="F1155" s="904"/>
      <c r="G1155" s="905" t="s">
        <v>381</v>
      </c>
      <c r="H1155" s="546" t="s">
        <v>382</v>
      </c>
      <c r="I1155" s="910"/>
      <c r="J1155" s="609">
        <f>J1154</f>
        <v>0</v>
      </c>
    </row>
    <row r="1156" spans="1:15" ht="15" customHeight="1">
      <c r="A1156" s="918" t="s">
        <v>383</v>
      </c>
      <c r="B1156" s="919" t="s">
        <v>384</v>
      </c>
      <c r="C1156" s="920"/>
      <c r="D1156" s="921" t="e">
        <f>SUM(D1147:D1152)-D1155</f>
        <v>#N/A</v>
      </c>
      <c r="E1156" s="922"/>
      <c r="F1156" s="923"/>
      <c r="G1156" s="918" t="s">
        <v>383</v>
      </c>
      <c r="H1156" s="919" t="s">
        <v>384</v>
      </c>
      <c r="I1156" s="920"/>
      <c r="J1156" s="921" t="e">
        <f>SUM(J1147:J1152)-J1155</f>
        <v>#N/A</v>
      </c>
    </row>
    <row r="1157" spans="1:15" ht="15.75" customHeight="1">
      <c r="A1157" s="924"/>
      <c r="B1157" s="925"/>
      <c r="C1157" s="926"/>
      <c r="D1157" s="927"/>
      <c r="E1157" s="927"/>
      <c r="F1157" s="928"/>
      <c r="G1157" s="924"/>
      <c r="H1157" s="925"/>
      <c r="I1157" s="926"/>
      <c r="J1157" s="927"/>
    </row>
    <row r="1159" spans="1:15" ht="12" customHeight="1">
      <c r="A1159" s="2361"/>
      <c r="B1159" s="2361"/>
      <c r="C1159" s="2361"/>
      <c r="D1159" s="2361"/>
      <c r="E1159" s="2361"/>
      <c r="F1159" s="2361"/>
      <c r="G1159" s="2361"/>
      <c r="H1159" s="2361"/>
      <c r="I1159" s="2361"/>
      <c r="J1159" s="2361"/>
    </row>
    <row r="1160" spans="1:15" ht="15" customHeight="1">
      <c r="A1160" s="2360" t="str">
        <f>$K$2</f>
        <v>THÁNG 09/2024</v>
      </c>
      <c r="B1160" s="2360"/>
      <c r="C1160" s="2360"/>
      <c r="D1160" s="2360"/>
      <c r="E1160" s="903"/>
      <c r="F1160" s="904"/>
      <c r="G1160" s="2360" t="str">
        <f>$K$2</f>
        <v>THÁNG 09/2024</v>
      </c>
      <c r="H1160" s="2360"/>
      <c r="I1160" s="2360"/>
      <c r="J1160" s="2360"/>
      <c r="K1160" s="276"/>
    </row>
    <row r="1161" spans="1:15" ht="15" customHeight="1">
      <c r="A1161" s="905" t="s">
        <v>356</v>
      </c>
      <c r="B1161" s="642" t="s">
        <v>64</v>
      </c>
      <c r="C1161" s="546"/>
      <c r="D1161" s="902"/>
      <c r="E1161" s="906"/>
      <c r="F1161" s="907"/>
      <c r="G1161" s="905" t="s">
        <v>356</v>
      </c>
      <c r="H1161" s="642" t="s">
        <v>65</v>
      </c>
      <c r="I1161" s="546"/>
      <c r="J1161" s="902"/>
      <c r="L1161" s="938"/>
      <c r="M1161" s="938"/>
      <c r="N1161" s="938"/>
      <c r="O1161" s="938"/>
    </row>
    <row r="1162" spans="1:15" ht="15" customHeight="1">
      <c r="A1162" s="905" t="s">
        <v>359</v>
      </c>
      <c r="B1162" s="939" t="s">
        <v>360</v>
      </c>
      <c r="C1162" s="910" t="e">
        <f>VLOOKUP(B1161,'LƯƠNG KT'!$D$16:$AC$184,3,0)</f>
        <v>#N/A</v>
      </c>
      <c r="D1162" s="609" t="e">
        <f>+C1162*25000</f>
        <v>#N/A</v>
      </c>
      <c r="E1162" s="911"/>
      <c r="F1162" s="911"/>
      <c r="G1162" s="905" t="s">
        <v>359</v>
      </c>
      <c r="H1162" s="939" t="s">
        <v>360</v>
      </c>
      <c r="I1162" s="910" t="e">
        <f>VLOOKUP(H1161,'LƯƠNG KT'!$D$16:$AC$184,3,0)</f>
        <v>#N/A</v>
      </c>
      <c r="J1162" s="609" t="e">
        <f>+I1162*25000</f>
        <v>#N/A</v>
      </c>
      <c r="K1162" s="934"/>
      <c r="L1162" s="935"/>
      <c r="M1162" s="935"/>
      <c r="N1162" s="935"/>
      <c r="O1162" s="935"/>
    </row>
    <row r="1163" spans="1:15" ht="15" customHeight="1">
      <c r="A1163" s="905" t="s">
        <v>361</v>
      </c>
      <c r="B1163" s="546" t="s">
        <v>362</v>
      </c>
      <c r="C1163" s="910" t="e">
        <f>VLOOKUP(B1161,'LƯƠNG KT'!$D$16:$AC$184,14,0)</f>
        <v>#N/A</v>
      </c>
      <c r="D1163" s="609" t="e">
        <f>C1163*$L$4</f>
        <v>#N/A</v>
      </c>
      <c r="E1163" s="912"/>
      <c r="F1163" s="912"/>
      <c r="G1163" s="905" t="s">
        <v>361</v>
      </c>
      <c r="H1163" s="546" t="s">
        <v>362</v>
      </c>
      <c r="I1163" s="910" t="e">
        <f>VLOOKUP(H1161,'LƯƠNG KT'!$D$16:$AC$184,14,0)</f>
        <v>#N/A</v>
      </c>
      <c r="J1163" s="609" t="e">
        <f>I1163*$L$4</f>
        <v>#N/A</v>
      </c>
      <c r="K1163" s="934"/>
      <c r="L1163" s="935"/>
      <c r="M1163" s="935"/>
      <c r="N1163" s="935"/>
      <c r="O1163" s="935"/>
    </row>
    <row r="1164" spans="1:15" ht="15" customHeight="1">
      <c r="A1164" s="905" t="s">
        <v>364</v>
      </c>
      <c r="B1164" s="546" t="s">
        <v>365</v>
      </c>
      <c r="C1164" s="910" t="e">
        <f>VLOOKUP(B1161,'LƯƠNG KT'!$D$16:$AC$184,15,0)</f>
        <v>#N/A</v>
      </c>
      <c r="D1164" s="609" t="e">
        <f>C1164*$L$5</f>
        <v>#N/A</v>
      </c>
      <c r="E1164" s="912"/>
      <c r="F1164" s="912"/>
      <c r="G1164" s="905" t="s">
        <v>364</v>
      </c>
      <c r="H1164" s="546" t="s">
        <v>365</v>
      </c>
      <c r="I1164" s="910" t="e">
        <f>VLOOKUP(H1161,'LƯƠNG KT'!$D$16:$AC$184,15,0)</f>
        <v>#N/A</v>
      </c>
      <c r="J1164" s="609" t="e">
        <f>I1164*$L$5</f>
        <v>#N/A</v>
      </c>
      <c r="K1164" s="934"/>
      <c r="L1164" s="935"/>
      <c r="M1164" s="935"/>
      <c r="N1164" s="935"/>
      <c r="O1164" s="935"/>
    </row>
    <row r="1165" spans="1:15" ht="15" customHeight="1">
      <c r="A1165" s="905" t="s">
        <v>367</v>
      </c>
      <c r="B1165" s="546"/>
      <c r="C1165" s="910" t="e">
        <f>VLOOKUP(B1161,'LƯƠNG KT'!$D$16:$AC$184,16,0)</f>
        <v>#N/A</v>
      </c>
      <c r="D1165" s="609" t="e">
        <f>+C1165*$L$6</f>
        <v>#N/A</v>
      </c>
      <c r="E1165" s="912"/>
      <c r="F1165" s="912"/>
      <c r="G1165" s="905" t="s">
        <v>367</v>
      </c>
      <c r="H1165" s="546"/>
      <c r="I1165" s="910" t="e">
        <f>VLOOKUP(H1161,'LƯƠNG KT'!$D$16:$AC$184,16,0)</f>
        <v>#N/A</v>
      </c>
      <c r="J1165" s="609" t="e">
        <f>+I1165*$L$6</f>
        <v>#N/A</v>
      </c>
      <c r="K1165" s="935"/>
      <c r="L1165" s="935"/>
      <c r="M1165" s="935"/>
      <c r="N1165" s="935"/>
      <c r="O1165" s="935"/>
    </row>
    <row r="1166" spans="1:15" ht="15" customHeight="1">
      <c r="A1166" s="905" t="s">
        <v>371</v>
      </c>
      <c r="B1166" s="546" t="s">
        <v>372</v>
      </c>
      <c r="C1166" s="910" t="e">
        <f>VLOOKUP(B1161,'LƯƠNG KT'!$D$16:$AC$184,9,0)*$L$10</f>
        <v>#N/A</v>
      </c>
      <c r="D1166" s="609" t="e">
        <f>+C1166*0.5*3000</f>
        <v>#N/A</v>
      </c>
      <c r="E1166" s="912"/>
      <c r="F1166" s="912"/>
      <c r="G1166" s="905" t="s">
        <v>371</v>
      </c>
      <c r="H1166" s="546" t="s">
        <v>372</v>
      </c>
      <c r="I1166" s="910" t="e">
        <f>VLOOKUP(H1161,'LƯƠNG KT'!$D$16:$AC$184,9,0)*$L$10</f>
        <v>#N/A</v>
      </c>
      <c r="J1166" s="609" t="e">
        <f>+I1166*0.5*3000</f>
        <v>#N/A</v>
      </c>
      <c r="K1166" s="935"/>
      <c r="L1166" s="935"/>
      <c r="M1166" s="935"/>
      <c r="N1166" s="935"/>
      <c r="O1166" s="935"/>
    </row>
    <row r="1167" spans="1:15" ht="15" customHeight="1">
      <c r="A1167" s="905" t="s">
        <v>374</v>
      </c>
      <c r="B1167" s="546" t="s">
        <v>375</v>
      </c>
      <c r="C1167" s="910" t="e">
        <f>VLOOKUP(B1161,'LƯƠNG KT'!$D$16:$AC$184,8,0)*$L$11</f>
        <v>#N/A</v>
      </c>
      <c r="D1167" s="609" t="e">
        <f>VLOOKUP(B1161,'LƯƠNG KT'!$D$16:$AC$184,13,0)-D1166</f>
        <v>#N/A</v>
      </c>
      <c r="E1167" s="914"/>
      <c r="F1167" s="912"/>
      <c r="G1167" s="905" t="s">
        <v>374</v>
      </c>
      <c r="H1167" s="546" t="s">
        <v>375</v>
      </c>
      <c r="I1167" s="910" t="e">
        <f>VLOOKUP(H1161,'LƯƠNG KT'!$D$16:$AC$184,8,0)*$L$11</f>
        <v>#N/A</v>
      </c>
      <c r="J1167" s="609" t="e">
        <f>VLOOKUP(H1161,'LƯƠNG KT'!$D$16:$AC$184,13,0)-J1166</f>
        <v>#N/A</v>
      </c>
      <c r="K1167" s="935"/>
      <c r="L1167" s="935"/>
      <c r="M1167" s="935"/>
      <c r="N1167" s="935"/>
      <c r="O1167" s="935"/>
    </row>
    <row r="1168" spans="1:15" ht="15" customHeight="1">
      <c r="A1168" s="609" t="s">
        <v>377</v>
      </c>
      <c r="B1168" s="546" t="s">
        <v>378</v>
      </c>
      <c r="C1168" s="910"/>
      <c r="D1168" s="609"/>
      <c r="E1168" s="916"/>
      <c r="F1168" s="916"/>
      <c r="G1168" s="609" t="s">
        <v>377</v>
      </c>
      <c r="H1168" s="546" t="s">
        <v>378</v>
      </c>
      <c r="I1168" s="910"/>
      <c r="J1168" s="609"/>
    </row>
    <row r="1169" spans="1:15" ht="15" customHeight="1">
      <c r="A1169" s="547" t="s">
        <v>379</v>
      </c>
      <c r="B1169" s="546" t="s">
        <v>380</v>
      </c>
      <c r="C1169" s="910"/>
      <c r="D1169" s="609"/>
      <c r="E1169" s="914"/>
      <c r="F1169" s="916"/>
      <c r="G1169" s="547" t="s">
        <v>379</v>
      </c>
      <c r="H1169" s="546" t="s">
        <v>380</v>
      </c>
      <c r="I1169" s="910"/>
      <c r="J1169" s="609"/>
    </row>
    <row r="1170" spans="1:15" ht="15" customHeight="1">
      <c r="A1170" s="905" t="s">
        <v>381</v>
      </c>
      <c r="B1170" s="546" t="s">
        <v>382</v>
      </c>
      <c r="C1170" s="910"/>
      <c r="D1170" s="609">
        <f>D1169</f>
        <v>0</v>
      </c>
      <c r="E1170" s="917"/>
      <c r="F1170" s="904"/>
      <c r="G1170" s="905" t="s">
        <v>381</v>
      </c>
      <c r="H1170" s="546" t="s">
        <v>382</v>
      </c>
      <c r="I1170" s="910"/>
      <c r="J1170" s="609">
        <f>J1169</f>
        <v>0</v>
      </c>
    </row>
    <row r="1171" spans="1:15" ht="15" customHeight="1">
      <c r="A1171" s="918" t="s">
        <v>383</v>
      </c>
      <c r="B1171" s="919" t="s">
        <v>384</v>
      </c>
      <c r="C1171" s="920"/>
      <c r="D1171" s="921" t="e">
        <f>SUM(D1162:D1167)-D1170</f>
        <v>#N/A</v>
      </c>
      <c r="E1171" s="922"/>
      <c r="F1171" s="923"/>
      <c r="G1171" s="918" t="s">
        <v>383</v>
      </c>
      <c r="H1171" s="919" t="s">
        <v>384</v>
      </c>
      <c r="I1171" s="920"/>
      <c r="J1171" s="921" t="e">
        <f>SUM(J1162:J1167)-J1170</f>
        <v>#N/A</v>
      </c>
    </row>
    <row r="1172" spans="1:15" ht="12.6" customHeight="1">
      <c r="A1172" s="924"/>
      <c r="B1172" s="925"/>
      <c r="C1172" s="926"/>
      <c r="D1172" s="927"/>
      <c r="E1172" s="927"/>
      <c r="F1172" s="928"/>
      <c r="G1172" s="924"/>
      <c r="H1172" s="925"/>
      <c r="I1172" s="926"/>
      <c r="J1172" s="927"/>
    </row>
    <row r="1173" spans="1:15" ht="12.6" customHeight="1">
      <c r="A1173" s="925"/>
      <c r="B1173" s="925"/>
      <c r="C1173" s="929"/>
      <c r="D1173" s="930"/>
      <c r="E1173" s="925"/>
      <c r="F1173" s="931"/>
      <c r="G1173" s="925"/>
      <c r="H1173" s="925"/>
      <c r="I1173" s="929"/>
      <c r="J1173" s="930"/>
    </row>
    <row r="1174" spans="1:15" ht="15" customHeight="1">
      <c r="A1174" s="2360" t="str">
        <f>$K$2</f>
        <v>THÁNG 09/2024</v>
      </c>
      <c r="B1174" s="2360"/>
      <c r="C1174" s="2360"/>
      <c r="D1174" s="2360"/>
      <c r="E1174" s="903"/>
      <c r="F1174" s="904"/>
      <c r="G1174" s="2360" t="str">
        <f>$K$2</f>
        <v>THÁNG 09/2024</v>
      </c>
      <c r="H1174" s="2360"/>
      <c r="I1174" s="2360"/>
      <c r="J1174" s="2360"/>
      <c r="K1174" s="276"/>
    </row>
    <row r="1175" spans="1:15" ht="15" customHeight="1">
      <c r="A1175" s="905" t="s">
        <v>356</v>
      </c>
      <c r="B1175" s="642" t="s">
        <v>66</v>
      </c>
      <c r="C1175" s="546"/>
      <c r="D1175" s="902"/>
      <c r="E1175" s="906"/>
      <c r="F1175" s="907"/>
      <c r="G1175" s="905" t="s">
        <v>356</v>
      </c>
      <c r="H1175" s="642" t="s">
        <v>67</v>
      </c>
      <c r="I1175" s="546"/>
      <c r="J1175" s="902"/>
      <c r="L1175" s="938"/>
      <c r="M1175" s="938"/>
      <c r="N1175" s="938"/>
      <c r="O1175" s="938"/>
    </row>
    <row r="1176" spans="1:15" ht="15" customHeight="1">
      <c r="A1176" s="905" t="s">
        <v>359</v>
      </c>
      <c r="B1176" s="939" t="s">
        <v>360</v>
      </c>
      <c r="C1176" s="910" t="e">
        <f>VLOOKUP(B1175,'LƯƠNG KT'!$D$16:$AC$184,3,0)</f>
        <v>#N/A</v>
      </c>
      <c r="D1176" s="609" t="e">
        <f>+C1176*25000</f>
        <v>#N/A</v>
      </c>
      <c r="E1176" s="911"/>
      <c r="F1176" s="911"/>
      <c r="G1176" s="905" t="s">
        <v>359</v>
      </c>
      <c r="H1176" s="939" t="s">
        <v>360</v>
      </c>
      <c r="I1176" s="910" t="e">
        <f>VLOOKUP(H1175,'LƯƠNG KT'!$D$16:$AC$184,3,0)</f>
        <v>#N/A</v>
      </c>
      <c r="J1176" s="609" t="e">
        <f>+I1176*25000</f>
        <v>#N/A</v>
      </c>
      <c r="K1176" s="935"/>
      <c r="L1176" s="935"/>
      <c r="M1176" s="935"/>
      <c r="N1176" s="935"/>
      <c r="O1176" s="935"/>
    </row>
    <row r="1177" spans="1:15" ht="15" customHeight="1">
      <c r="A1177" s="905" t="s">
        <v>361</v>
      </c>
      <c r="B1177" s="546" t="s">
        <v>362</v>
      </c>
      <c r="C1177" s="910" t="e">
        <f>VLOOKUP(B1175,'LƯƠNG KT'!$D$16:$AC$184,14,0)</f>
        <v>#N/A</v>
      </c>
      <c r="D1177" s="609" t="e">
        <f>C1177*$L$4</f>
        <v>#N/A</v>
      </c>
      <c r="E1177" s="912"/>
      <c r="F1177" s="912"/>
      <c r="G1177" s="905" t="s">
        <v>361</v>
      </c>
      <c r="H1177" s="546" t="s">
        <v>362</v>
      </c>
      <c r="I1177" s="910" t="e">
        <f>VLOOKUP(H1175,'LƯƠNG KT'!$D$16:$AC$184,14,0)</f>
        <v>#N/A</v>
      </c>
      <c r="J1177" s="609" t="e">
        <f>I1177*$L$4</f>
        <v>#N/A</v>
      </c>
      <c r="K1177" s="935"/>
      <c r="L1177" s="935"/>
      <c r="M1177" s="935"/>
      <c r="N1177" s="935"/>
      <c r="O1177" s="935"/>
    </row>
    <row r="1178" spans="1:15" ht="15" customHeight="1">
      <c r="A1178" s="905" t="s">
        <v>364</v>
      </c>
      <c r="B1178" s="546" t="s">
        <v>365</v>
      </c>
      <c r="C1178" s="910" t="e">
        <f>VLOOKUP(B1175,'LƯƠNG KT'!$D$16:$AC$184,15,0)</f>
        <v>#N/A</v>
      </c>
      <c r="D1178" s="609" t="e">
        <f>C1178*$L$5</f>
        <v>#N/A</v>
      </c>
      <c r="E1178" s="912"/>
      <c r="F1178" s="912"/>
      <c r="G1178" s="905" t="s">
        <v>364</v>
      </c>
      <c r="H1178" s="546" t="s">
        <v>365</v>
      </c>
      <c r="I1178" s="910" t="e">
        <f>VLOOKUP(H1175,'LƯƠNG KT'!$D$16:$AC$184,15,0)</f>
        <v>#N/A</v>
      </c>
      <c r="J1178" s="609" t="e">
        <f>I1178*$L$5</f>
        <v>#N/A</v>
      </c>
      <c r="K1178" s="935"/>
      <c r="L1178" s="935"/>
      <c r="M1178" s="935"/>
      <c r="N1178" s="935"/>
      <c r="O1178" s="935"/>
    </row>
    <row r="1179" spans="1:15" ht="15" customHeight="1">
      <c r="A1179" s="905" t="s">
        <v>367</v>
      </c>
      <c r="B1179" s="546"/>
      <c r="C1179" s="910" t="e">
        <f>VLOOKUP(B1175,'LƯƠNG KT'!$D$16:$AC$184,16,0)</f>
        <v>#N/A</v>
      </c>
      <c r="D1179" s="609" t="e">
        <f>+C1179*$L$6</f>
        <v>#N/A</v>
      </c>
      <c r="E1179" s="912"/>
      <c r="F1179" s="912"/>
      <c r="G1179" s="905" t="s">
        <v>367</v>
      </c>
      <c r="H1179" s="546"/>
      <c r="I1179" s="910" t="e">
        <f>VLOOKUP(H1175,'LƯƠNG KT'!$D$16:$AC$184,16,0)</f>
        <v>#N/A</v>
      </c>
      <c r="J1179" s="609" t="e">
        <f>+I1179*$L$6</f>
        <v>#N/A</v>
      </c>
      <c r="K1179" s="935"/>
      <c r="L1179" s="935"/>
      <c r="M1179" s="935"/>
      <c r="N1179" s="935"/>
      <c r="O1179" s="935"/>
    </row>
    <row r="1180" spans="1:15" ht="15" customHeight="1">
      <c r="A1180" s="905" t="s">
        <v>371</v>
      </c>
      <c r="B1180" s="546" t="s">
        <v>372</v>
      </c>
      <c r="C1180" s="910" t="e">
        <f>VLOOKUP(B1175,'LƯƠNG KT'!$D$16:$AC$184,9,0)*$L$10</f>
        <v>#N/A</v>
      </c>
      <c r="D1180" s="609" t="e">
        <f>+C1180*0.5*3000</f>
        <v>#N/A</v>
      </c>
      <c r="E1180" s="912"/>
      <c r="F1180" s="912"/>
      <c r="G1180" s="905" t="s">
        <v>371</v>
      </c>
      <c r="H1180" s="546" t="s">
        <v>372</v>
      </c>
      <c r="I1180" s="910" t="e">
        <f>VLOOKUP(H1175,'LƯƠNG KT'!$D$16:$AC$184,9,0)*$L$10</f>
        <v>#N/A</v>
      </c>
      <c r="J1180" s="609" t="e">
        <f>+I1180*0.5*3000</f>
        <v>#N/A</v>
      </c>
      <c r="K1180" s="935"/>
      <c r="L1180" s="935"/>
      <c r="M1180" s="935"/>
      <c r="N1180" s="935"/>
      <c r="O1180" s="935"/>
    </row>
    <row r="1181" spans="1:15" ht="15" customHeight="1">
      <c r="A1181" s="905" t="s">
        <v>374</v>
      </c>
      <c r="B1181" s="546" t="s">
        <v>375</v>
      </c>
      <c r="C1181" s="910" t="e">
        <f>VLOOKUP(B1175,'LƯƠNG KT'!$D$16:$AC$184,8,0)*$L$11</f>
        <v>#N/A</v>
      </c>
      <c r="D1181" s="609" t="e">
        <f>VLOOKUP(B1175,'LƯƠNG KT'!$D$16:$AC$184,13,0)-D1180</f>
        <v>#N/A</v>
      </c>
      <c r="E1181" s="914"/>
      <c r="F1181" s="912"/>
      <c r="G1181" s="905" t="s">
        <v>374</v>
      </c>
      <c r="H1181" s="546" t="s">
        <v>375</v>
      </c>
      <c r="I1181" s="910" t="e">
        <f>VLOOKUP(H1175,'LƯƠNG KT'!$D$16:$AC$184,8,0)*$L$11</f>
        <v>#N/A</v>
      </c>
      <c r="J1181" s="609" t="e">
        <f>VLOOKUP(H1175,'LƯƠNG KT'!$D$16:$AC$184,13,0)-J1180</f>
        <v>#N/A</v>
      </c>
      <c r="K1181" s="935"/>
      <c r="L1181" s="935"/>
      <c r="M1181" s="935"/>
      <c r="N1181" s="935"/>
      <c r="O1181" s="935"/>
    </row>
    <row r="1182" spans="1:15" ht="15" customHeight="1">
      <c r="A1182" s="609" t="s">
        <v>377</v>
      </c>
      <c r="B1182" s="546" t="s">
        <v>378</v>
      </c>
      <c r="C1182" s="910"/>
      <c r="D1182" s="609"/>
      <c r="E1182" s="916"/>
      <c r="F1182" s="916"/>
      <c r="G1182" s="609" t="s">
        <v>377</v>
      </c>
      <c r="H1182" s="546" t="s">
        <v>378</v>
      </c>
      <c r="I1182" s="910"/>
      <c r="J1182" s="609"/>
    </row>
    <row r="1183" spans="1:15" ht="15" customHeight="1">
      <c r="A1183" s="547" t="s">
        <v>379</v>
      </c>
      <c r="B1183" s="546" t="s">
        <v>380</v>
      </c>
      <c r="C1183" s="910"/>
      <c r="D1183" s="609"/>
      <c r="E1183" s="914"/>
      <c r="F1183" s="916"/>
      <c r="G1183" s="547" t="s">
        <v>379</v>
      </c>
      <c r="H1183" s="546" t="s">
        <v>380</v>
      </c>
      <c r="I1183" s="910"/>
      <c r="J1183" s="609"/>
    </row>
    <row r="1184" spans="1:15" ht="15" customHeight="1">
      <c r="A1184" s="905" t="s">
        <v>381</v>
      </c>
      <c r="B1184" s="546" t="s">
        <v>382</v>
      </c>
      <c r="C1184" s="910"/>
      <c r="D1184" s="609">
        <f>D1183</f>
        <v>0</v>
      </c>
      <c r="E1184" s="917"/>
      <c r="F1184" s="904"/>
      <c r="G1184" s="905" t="s">
        <v>381</v>
      </c>
      <c r="H1184" s="546" t="s">
        <v>382</v>
      </c>
      <c r="I1184" s="910"/>
      <c r="J1184" s="609">
        <f>J1183</f>
        <v>0</v>
      </c>
    </row>
    <row r="1185" spans="1:15" ht="15" customHeight="1">
      <c r="A1185" s="918" t="s">
        <v>383</v>
      </c>
      <c r="B1185" s="919" t="s">
        <v>384</v>
      </c>
      <c r="C1185" s="920"/>
      <c r="D1185" s="921" t="e">
        <f>SUM(D1176:D1181)-D1184</f>
        <v>#N/A</v>
      </c>
      <c r="E1185" s="922"/>
      <c r="F1185" s="923"/>
      <c r="G1185" s="918" t="s">
        <v>383</v>
      </c>
      <c r="H1185" s="919" t="s">
        <v>384</v>
      </c>
      <c r="I1185" s="920"/>
      <c r="J1185" s="921" t="e">
        <f>SUM(J1176:J1181)-J1184</f>
        <v>#N/A</v>
      </c>
    </row>
    <row r="1186" spans="1:15" ht="18.75" customHeight="1">
      <c r="A1186" s="924"/>
      <c r="B1186" s="925"/>
      <c r="C1186" s="926"/>
      <c r="D1186" s="927"/>
      <c r="E1186" s="927"/>
      <c r="F1186" s="928"/>
      <c r="G1186" s="924"/>
      <c r="H1186" s="925"/>
      <c r="I1186" s="926"/>
      <c r="J1186" s="927"/>
    </row>
    <row r="1187" spans="1:15" ht="18.75" customHeight="1">
      <c r="A1187" s="925"/>
      <c r="B1187" s="925"/>
      <c r="C1187" s="929"/>
      <c r="D1187" s="930"/>
      <c r="E1187" s="925"/>
      <c r="F1187" s="931"/>
      <c r="G1187" s="925"/>
      <c r="H1187" s="925"/>
      <c r="I1187" s="929"/>
      <c r="J1187" s="930"/>
    </row>
    <row r="1188" spans="1:15" ht="15" customHeight="1">
      <c r="A1188" s="2360" t="str">
        <f>$K$2</f>
        <v>THÁNG 09/2024</v>
      </c>
      <c r="B1188" s="2360"/>
      <c r="C1188" s="2360"/>
      <c r="D1188" s="2360"/>
      <c r="E1188" s="903"/>
      <c r="F1188" s="904"/>
      <c r="G1188" s="2360" t="str">
        <f>$K$2</f>
        <v>THÁNG 09/2024</v>
      </c>
      <c r="H1188" s="2360"/>
      <c r="I1188" s="2360"/>
      <c r="J1188" s="2360"/>
      <c r="K1188" s="276"/>
    </row>
    <row r="1189" spans="1:15" ht="15" customHeight="1">
      <c r="A1189" s="905" t="s">
        <v>356</v>
      </c>
      <c r="B1189" s="642" t="s">
        <v>68</v>
      </c>
      <c r="C1189" s="546"/>
      <c r="D1189" s="902"/>
      <c r="E1189" s="906"/>
      <c r="F1189" s="907"/>
      <c r="G1189" s="905" t="s">
        <v>356</v>
      </c>
      <c r="H1189" s="642" t="s">
        <v>69</v>
      </c>
      <c r="I1189" s="546"/>
      <c r="J1189" s="902"/>
      <c r="L1189" s="938"/>
      <c r="M1189" s="938"/>
      <c r="N1189" s="938"/>
      <c r="O1189" s="938"/>
    </row>
    <row r="1190" spans="1:15" ht="15" customHeight="1">
      <c r="A1190" s="905" t="s">
        <v>359</v>
      </c>
      <c r="B1190" s="939" t="s">
        <v>360</v>
      </c>
      <c r="C1190" s="910" t="e">
        <f>VLOOKUP(B1189,'LƯƠNG KT'!$D$16:$AC$184,3,0)</f>
        <v>#N/A</v>
      </c>
      <c r="D1190" s="609" t="e">
        <f>+C1190*25000</f>
        <v>#N/A</v>
      </c>
      <c r="E1190" s="911"/>
      <c r="F1190" s="911"/>
      <c r="G1190" s="905" t="s">
        <v>359</v>
      </c>
      <c r="H1190" s="939" t="s">
        <v>360</v>
      </c>
      <c r="I1190" s="910" t="e">
        <f>VLOOKUP(H1189,'LƯƠNG KT'!$D$16:$AC$184,3,0)</f>
        <v>#N/A</v>
      </c>
      <c r="J1190" s="609" t="e">
        <f>+I1190*25000</f>
        <v>#N/A</v>
      </c>
      <c r="K1190" s="935"/>
      <c r="L1190" s="935"/>
      <c r="M1190" s="935"/>
      <c r="N1190" s="935"/>
      <c r="O1190" s="935"/>
    </row>
    <row r="1191" spans="1:15" ht="15" customHeight="1">
      <c r="A1191" s="905" t="s">
        <v>361</v>
      </c>
      <c r="B1191" s="546" t="s">
        <v>362</v>
      </c>
      <c r="C1191" s="910" t="e">
        <f>VLOOKUP(B1189,'LƯƠNG KT'!$D$16:$AC$184,14,0)</f>
        <v>#N/A</v>
      </c>
      <c r="D1191" s="609" t="e">
        <f>C1191*$L$4</f>
        <v>#N/A</v>
      </c>
      <c r="E1191" s="912"/>
      <c r="F1191" s="912"/>
      <c r="G1191" s="905" t="s">
        <v>361</v>
      </c>
      <c r="H1191" s="546" t="s">
        <v>362</v>
      </c>
      <c r="I1191" s="910" t="e">
        <f>VLOOKUP(H1189,'LƯƠNG KT'!$D$16:$AC$184,14,0)</f>
        <v>#N/A</v>
      </c>
      <c r="J1191" s="609" t="e">
        <f>I1191*$L$4</f>
        <v>#N/A</v>
      </c>
      <c r="K1191" s="935"/>
      <c r="L1191" s="935"/>
      <c r="M1191" s="935"/>
      <c r="N1191" s="935"/>
      <c r="O1191" s="935"/>
    </row>
    <row r="1192" spans="1:15" ht="15" customHeight="1">
      <c r="A1192" s="905" t="s">
        <v>364</v>
      </c>
      <c r="B1192" s="546" t="s">
        <v>365</v>
      </c>
      <c r="C1192" s="910" t="e">
        <f>VLOOKUP(B1189,'LƯƠNG KT'!$D$16:$AC$184,15,0)</f>
        <v>#N/A</v>
      </c>
      <c r="D1192" s="609" t="e">
        <f>C1192*$L$5</f>
        <v>#N/A</v>
      </c>
      <c r="E1192" s="912"/>
      <c r="F1192" s="912"/>
      <c r="G1192" s="905" t="s">
        <v>364</v>
      </c>
      <c r="H1192" s="546" t="s">
        <v>365</v>
      </c>
      <c r="I1192" s="910" t="e">
        <f>VLOOKUP(H1189,'LƯƠNG KT'!$D$16:$AC$184,15,0)</f>
        <v>#N/A</v>
      </c>
      <c r="J1192" s="609" t="e">
        <f>I1192*$L$5</f>
        <v>#N/A</v>
      </c>
      <c r="K1192" s="935"/>
      <c r="L1192" s="935"/>
      <c r="M1192" s="935"/>
      <c r="N1192" s="935"/>
      <c r="O1192" s="935"/>
    </row>
    <row r="1193" spans="1:15" ht="15" customHeight="1">
      <c r="A1193" s="905" t="s">
        <v>367</v>
      </c>
      <c r="B1193" s="546"/>
      <c r="C1193" s="910" t="e">
        <f>VLOOKUP(B1189,'LƯƠNG KT'!$D$16:$AC$184,16,0)</f>
        <v>#N/A</v>
      </c>
      <c r="D1193" s="609" t="e">
        <f>+C1193*$L$6</f>
        <v>#N/A</v>
      </c>
      <c r="E1193" s="912"/>
      <c r="F1193" s="912"/>
      <c r="G1193" s="905" t="s">
        <v>367</v>
      </c>
      <c r="H1193" s="546"/>
      <c r="I1193" s="910" t="e">
        <f>VLOOKUP(H1189,'LƯƠNG KT'!$D$16:$AC$184,16,0)</f>
        <v>#N/A</v>
      </c>
      <c r="J1193" s="609" t="e">
        <f>+I1193*$L$6</f>
        <v>#N/A</v>
      </c>
      <c r="K1193" s="935"/>
      <c r="L1193" s="935"/>
      <c r="M1193" s="935"/>
      <c r="N1193" s="935"/>
      <c r="O1193" s="935"/>
    </row>
    <row r="1194" spans="1:15" ht="15" customHeight="1">
      <c r="A1194" s="905" t="s">
        <v>371</v>
      </c>
      <c r="B1194" s="546" t="s">
        <v>372</v>
      </c>
      <c r="C1194" s="910" t="e">
        <f>VLOOKUP(B1189,'LƯƠNG KT'!$D$16:$AC$184,9,0)*$L$10</f>
        <v>#N/A</v>
      </c>
      <c r="D1194" s="609" t="e">
        <f>+C1194*0.5*3000</f>
        <v>#N/A</v>
      </c>
      <c r="E1194" s="912"/>
      <c r="F1194" s="912"/>
      <c r="G1194" s="905" t="s">
        <v>371</v>
      </c>
      <c r="H1194" s="546" t="s">
        <v>372</v>
      </c>
      <c r="I1194" s="910" t="e">
        <f>VLOOKUP(H1189,'LƯƠNG KT'!$D$16:$AC$184,9,0)*$L$10</f>
        <v>#N/A</v>
      </c>
      <c r="J1194" s="609" t="e">
        <f>+I1194*0.5*3000</f>
        <v>#N/A</v>
      </c>
      <c r="K1194" s="935"/>
      <c r="L1194" s="935"/>
      <c r="M1194" s="935"/>
      <c r="N1194" s="935"/>
      <c r="O1194" s="935"/>
    </row>
    <row r="1195" spans="1:15" ht="15" customHeight="1">
      <c r="A1195" s="905" t="s">
        <v>374</v>
      </c>
      <c r="B1195" s="546" t="s">
        <v>375</v>
      </c>
      <c r="C1195" s="910" t="e">
        <f>VLOOKUP(B1189,'LƯƠNG KT'!$D$16:$AC$184,8,0)*$L$11</f>
        <v>#N/A</v>
      </c>
      <c r="D1195" s="609" t="e">
        <f>VLOOKUP(B1189,'LƯƠNG KT'!$D$16:$AC$184,13,0)-D1194</f>
        <v>#N/A</v>
      </c>
      <c r="E1195" s="914"/>
      <c r="F1195" s="912"/>
      <c r="G1195" s="905" t="s">
        <v>374</v>
      </c>
      <c r="H1195" s="546" t="s">
        <v>375</v>
      </c>
      <c r="I1195" s="910" t="e">
        <f>VLOOKUP(H1189,'LƯƠNG KT'!$D$16:$AC$184,8,0)*$L$11</f>
        <v>#N/A</v>
      </c>
      <c r="J1195" s="609" t="e">
        <f>VLOOKUP(H1189,'LƯƠNG KT'!$D$16:$AC$184,13,0)-J1194</f>
        <v>#N/A</v>
      </c>
      <c r="K1195" s="935"/>
      <c r="L1195" s="935"/>
      <c r="M1195" s="935"/>
      <c r="N1195" s="935"/>
      <c r="O1195" s="935"/>
    </row>
    <row r="1196" spans="1:15" ht="15" customHeight="1">
      <c r="A1196" s="609" t="s">
        <v>377</v>
      </c>
      <c r="B1196" s="546" t="s">
        <v>378</v>
      </c>
      <c r="C1196" s="910"/>
      <c r="D1196" s="609"/>
      <c r="E1196" s="916"/>
      <c r="F1196" s="916"/>
      <c r="G1196" s="609" t="s">
        <v>377</v>
      </c>
      <c r="H1196" s="546" t="s">
        <v>378</v>
      </c>
      <c r="I1196" s="910"/>
      <c r="J1196" s="609"/>
    </row>
    <row r="1197" spans="1:15" ht="15" customHeight="1">
      <c r="A1197" s="547" t="s">
        <v>379</v>
      </c>
      <c r="B1197" s="546" t="s">
        <v>380</v>
      </c>
      <c r="C1197" s="910"/>
      <c r="D1197" s="609"/>
      <c r="E1197" s="914"/>
      <c r="F1197" s="916"/>
      <c r="G1197" s="547" t="s">
        <v>379</v>
      </c>
      <c r="H1197" s="546" t="s">
        <v>380</v>
      </c>
      <c r="I1197" s="910"/>
      <c r="J1197" s="609"/>
    </row>
    <row r="1198" spans="1:15" ht="15" customHeight="1">
      <c r="A1198" s="905" t="s">
        <v>381</v>
      </c>
      <c r="B1198" s="546" t="s">
        <v>382</v>
      </c>
      <c r="C1198" s="910"/>
      <c r="D1198" s="609">
        <f>D1197</f>
        <v>0</v>
      </c>
      <c r="E1198" s="917"/>
      <c r="F1198" s="904"/>
      <c r="G1198" s="905" t="s">
        <v>381</v>
      </c>
      <c r="H1198" s="546" t="s">
        <v>382</v>
      </c>
      <c r="I1198" s="910"/>
      <c r="J1198" s="609">
        <f>J1197</f>
        <v>0</v>
      </c>
    </row>
    <row r="1199" spans="1:15" ht="15" customHeight="1">
      <c r="A1199" s="918" t="s">
        <v>383</v>
      </c>
      <c r="B1199" s="919" t="s">
        <v>384</v>
      </c>
      <c r="C1199" s="920"/>
      <c r="D1199" s="921" t="e">
        <f>SUM(D1190:D1195)-D1198</f>
        <v>#N/A</v>
      </c>
      <c r="E1199" s="922"/>
      <c r="F1199" s="923"/>
      <c r="G1199" s="918" t="s">
        <v>383</v>
      </c>
      <c r="H1199" s="919" t="s">
        <v>384</v>
      </c>
      <c r="I1199" s="920"/>
      <c r="J1199" s="921" t="e">
        <f>SUM(J1190:J1195)-J1198</f>
        <v>#N/A</v>
      </c>
    </row>
    <row r="1200" spans="1:15" ht="18.75" customHeight="1">
      <c r="A1200" s="924"/>
      <c r="B1200" s="925"/>
      <c r="C1200" s="926"/>
      <c r="D1200" s="927"/>
      <c r="E1200" s="927"/>
      <c r="F1200" s="928"/>
      <c r="G1200" s="924"/>
      <c r="H1200" s="925"/>
      <c r="I1200" s="926"/>
      <c r="J1200" s="927"/>
    </row>
    <row r="1201" spans="1:15" ht="18.75" customHeight="1">
      <c r="A1201" s="925"/>
      <c r="B1201" s="925"/>
      <c r="C1201" s="929"/>
      <c r="D1201" s="930"/>
      <c r="E1201" s="925"/>
      <c r="F1201" s="931"/>
      <c r="G1201" s="925"/>
      <c r="H1201" s="925"/>
      <c r="I1201" s="929"/>
      <c r="J1201" s="930"/>
    </row>
    <row r="1202" spans="1:15" ht="15" customHeight="1">
      <c r="A1202" s="2360" t="str">
        <f>$K$2</f>
        <v>THÁNG 09/2024</v>
      </c>
      <c r="B1202" s="2360"/>
      <c r="C1202" s="2360"/>
      <c r="D1202" s="2360"/>
      <c r="E1202" s="903"/>
      <c r="F1202" s="904"/>
      <c r="G1202" s="2360" t="str">
        <f>$K$2</f>
        <v>THÁNG 09/2024</v>
      </c>
      <c r="H1202" s="2360"/>
      <c r="I1202" s="2360"/>
      <c r="J1202" s="2360"/>
      <c r="K1202" s="276"/>
    </row>
    <row r="1203" spans="1:15" ht="15" customHeight="1">
      <c r="A1203" s="905" t="s">
        <v>356</v>
      </c>
      <c r="B1203" s="642" t="s">
        <v>70</v>
      </c>
      <c r="C1203" s="546"/>
      <c r="D1203" s="902"/>
      <c r="E1203" s="906"/>
      <c r="F1203" s="907"/>
      <c r="G1203" s="905" t="s">
        <v>356</v>
      </c>
      <c r="H1203" s="642" t="s">
        <v>71</v>
      </c>
      <c r="I1203" s="546"/>
      <c r="J1203" s="902"/>
      <c r="L1203" s="938"/>
      <c r="M1203" s="938"/>
      <c r="N1203" s="938"/>
      <c r="O1203" s="938"/>
    </row>
    <row r="1204" spans="1:15" ht="15" customHeight="1">
      <c r="A1204" s="905" t="s">
        <v>359</v>
      </c>
      <c r="B1204" s="939" t="s">
        <v>360</v>
      </c>
      <c r="C1204" s="910" t="e">
        <f>VLOOKUP(B1203,'LƯƠNG KT'!$D$16:$AC$184,3,0)</f>
        <v>#N/A</v>
      </c>
      <c r="D1204" s="609" t="e">
        <f>+C1204*25000</f>
        <v>#N/A</v>
      </c>
      <c r="E1204" s="911"/>
      <c r="F1204" s="911"/>
      <c r="G1204" s="905" t="s">
        <v>359</v>
      </c>
      <c r="H1204" s="939" t="s">
        <v>360</v>
      </c>
      <c r="I1204" s="910" t="e">
        <f>VLOOKUP(H1203,'LƯƠNG KT'!$D$16:$AC$184,3,0)</f>
        <v>#N/A</v>
      </c>
      <c r="J1204" s="609" t="e">
        <f>+I1204*25000</f>
        <v>#N/A</v>
      </c>
      <c r="K1204" s="935"/>
      <c r="L1204" s="935"/>
      <c r="M1204" s="935"/>
      <c r="N1204" s="935"/>
      <c r="O1204" s="935"/>
    </row>
    <row r="1205" spans="1:15" ht="15" customHeight="1">
      <c r="A1205" s="905" t="s">
        <v>361</v>
      </c>
      <c r="B1205" s="546" t="s">
        <v>362</v>
      </c>
      <c r="C1205" s="910" t="e">
        <f>VLOOKUP(B1203,'LƯƠNG KT'!$D$16:$AC$184,14,0)</f>
        <v>#N/A</v>
      </c>
      <c r="D1205" s="609" t="e">
        <f>C1205*$L$4</f>
        <v>#N/A</v>
      </c>
      <c r="E1205" s="912"/>
      <c r="F1205" s="912"/>
      <c r="G1205" s="905" t="s">
        <v>361</v>
      </c>
      <c r="H1205" s="546" t="s">
        <v>362</v>
      </c>
      <c r="I1205" s="910" t="e">
        <f>VLOOKUP(H1203,'LƯƠNG KT'!$D$16:$AC$184,14,0)</f>
        <v>#N/A</v>
      </c>
      <c r="J1205" s="609" t="e">
        <f>I1205*$L$4</f>
        <v>#N/A</v>
      </c>
      <c r="K1205" s="935"/>
      <c r="L1205" s="935"/>
      <c r="M1205" s="935"/>
      <c r="N1205" s="935"/>
      <c r="O1205" s="935"/>
    </row>
    <row r="1206" spans="1:15" ht="15" customHeight="1">
      <c r="A1206" s="905" t="s">
        <v>364</v>
      </c>
      <c r="B1206" s="546" t="s">
        <v>365</v>
      </c>
      <c r="C1206" s="910" t="e">
        <f>VLOOKUP(B1203,'LƯƠNG KT'!$D$16:$AC$184,15,0)</f>
        <v>#N/A</v>
      </c>
      <c r="D1206" s="609" t="e">
        <f>C1206*$L$5</f>
        <v>#N/A</v>
      </c>
      <c r="E1206" s="912"/>
      <c r="F1206" s="912"/>
      <c r="G1206" s="905" t="s">
        <v>364</v>
      </c>
      <c r="H1206" s="546" t="s">
        <v>365</v>
      </c>
      <c r="I1206" s="910" t="e">
        <f>VLOOKUP(H1203,'LƯƠNG KT'!$D$16:$AC$184,15,0)</f>
        <v>#N/A</v>
      </c>
      <c r="J1206" s="609" t="e">
        <f>I1206*$L$5</f>
        <v>#N/A</v>
      </c>
      <c r="K1206" s="935"/>
      <c r="L1206" s="935"/>
      <c r="M1206" s="935"/>
      <c r="N1206" s="935"/>
      <c r="O1206" s="935"/>
    </row>
    <row r="1207" spans="1:15" ht="15" customHeight="1">
      <c r="A1207" s="905" t="s">
        <v>367</v>
      </c>
      <c r="B1207" s="546"/>
      <c r="C1207" s="910" t="e">
        <f>VLOOKUP(B1203,'LƯƠNG KT'!$D$16:$AC$184,16,0)</f>
        <v>#N/A</v>
      </c>
      <c r="D1207" s="609" t="e">
        <f>+C1207*$L$6</f>
        <v>#N/A</v>
      </c>
      <c r="E1207" s="912"/>
      <c r="F1207" s="912"/>
      <c r="G1207" s="905" t="s">
        <v>367</v>
      </c>
      <c r="H1207" s="546"/>
      <c r="I1207" s="910" t="e">
        <f>VLOOKUP(H1203,'LƯƠNG KT'!$D$16:$AC$184,16,0)</f>
        <v>#N/A</v>
      </c>
      <c r="J1207" s="609" t="e">
        <f>+I1207*$L$6</f>
        <v>#N/A</v>
      </c>
      <c r="K1207" s="935"/>
      <c r="L1207" s="935"/>
      <c r="M1207" s="935"/>
      <c r="N1207" s="935"/>
      <c r="O1207" s="935"/>
    </row>
    <row r="1208" spans="1:15" ht="15" customHeight="1">
      <c r="A1208" s="905" t="s">
        <v>371</v>
      </c>
      <c r="B1208" s="546" t="s">
        <v>372</v>
      </c>
      <c r="C1208" s="910" t="e">
        <f>VLOOKUP(B1203,'LƯƠNG KT'!$D$16:$AC$184,9,0)*$L$10</f>
        <v>#N/A</v>
      </c>
      <c r="D1208" s="609" t="e">
        <f>+C1208*0.5*3000</f>
        <v>#N/A</v>
      </c>
      <c r="E1208" s="912"/>
      <c r="F1208" s="912"/>
      <c r="G1208" s="905" t="s">
        <v>371</v>
      </c>
      <c r="H1208" s="546" t="s">
        <v>372</v>
      </c>
      <c r="I1208" s="910" t="e">
        <f>VLOOKUP(H1203,'LƯƠNG KT'!$D$16:$AC$184,9,0)*$L$10</f>
        <v>#N/A</v>
      </c>
      <c r="J1208" s="609" t="e">
        <f>+I1208*0.5*3000</f>
        <v>#N/A</v>
      </c>
      <c r="K1208" s="935"/>
      <c r="L1208" s="935"/>
      <c r="M1208" s="935"/>
      <c r="N1208" s="935"/>
      <c r="O1208" s="935"/>
    </row>
    <row r="1209" spans="1:15" ht="15" customHeight="1">
      <c r="A1209" s="905" t="s">
        <v>374</v>
      </c>
      <c r="B1209" s="546" t="s">
        <v>375</v>
      </c>
      <c r="C1209" s="910" t="e">
        <f>VLOOKUP(B1203,'LƯƠNG KT'!$D$16:$AC$184,8,0)*$L$11</f>
        <v>#N/A</v>
      </c>
      <c r="D1209" s="609" t="e">
        <f>VLOOKUP(B1203,'LƯƠNG KT'!$D$16:$AC$184,13,0)-D1208</f>
        <v>#N/A</v>
      </c>
      <c r="E1209" s="914"/>
      <c r="F1209" s="912"/>
      <c r="G1209" s="905" t="s">
        <v>374</v>
      </c>
      <c r="H1209" s="546" t="s">
        <v>375</v>
      </c>
      <c r="I1209" s="910" t="e">
        <f>VLOOKUP(H1203,'LƯƠNG KT'!$D$16:$AC$184,8,0)*$L$11</f>
        <v>#N/A</v>
      </c>
      <c r="J1209" s="609" t="e">
        <f>VLOOKUP(H1203,'LƯƠNG KT'!$D$16:$AC$184,13,0)-J1208</f>
        <v>#N/A</v>
      </c>
      <c r="K1209" s="935"/>
      <c r="L1209" s="935"/>
      <c r="M1209" s="935"/>
      <c r="N1209" s="935"/>
      <c r="O1209" s="935"/>
    </row>
    <row r="1210" spans="1:15" ht="15" customHeight="1">
      <c r="A1210" s="609" t="s">
        <v>377</v>
      </c>
      <c r="B1210" s="546" t="s">
        <v>378</v>
      </c>
      <c r="C1210" s="910"/>
      <c r="D1210" s="609"/>
      <c r="E1210" s="916"/>
      <c r="F1210" s="916"/>
      <c r="G1210" s="609" t="s">
        <v>377</v>
      </c>
      <c r="H1210" s="546" t="s">
        <v>378</v>
      </c>
      <c r="I1210" s="910"/>
      <c r="J1210" s="609"/>
    </row>
    <row r="1211" spans="1:15" ht="15" customHeight="1">
      <c r="A1211" s="547" t="s">
        <v>379</v>
      </c>
      <c r="B1211" s="546" t="s">
        <v>380</v>
      </c>
      <c r="C1211" s="910"/>
      <c r="D1211" s="609"/>
      <c r="E1211" s="914"/>
      <c r="F1211" s="916"/>
      <c r="G1211" s="547" t="s">
        <v>379</v>
      </c>
      <c r="H1211" s="546" t="s">
        <v>380</v>
      </c>
      <c r="I1211" s="910"/>
      <c r="J1211" s="609"/>
    </row>
    <row r="1212" spans="1:15" ht="15" customHeight="1">
      <c r="A1212" s="905" t="s">
        <v>381</v>
      </c>
      <c r="B1212" s="546" t="s">
        <v>382</v>
      </c>
      <c r="C1212" s="910"/>
      <c r="D1212" s="609">
        <f>D1211</f>
        <v>0</v>
      </c>
      <c r="E1212" s="917"/>
      <c r="F1212" s="904"/>
      <c r="G1212" s="905" t="s">
        <v>381</v>
      </c>
      <c r="H1212" s="546" t="s">
        <v>382</v>
      </c>
      <c r="I1212" s="910"/>
      <c r="J1212" s="609">
        <f>J1211</f>
        <v>0</v>
      </c>
    </row>
    <row r="1213" spans="1:15" ht="15" customHeight="1">
      <c r="A1213" s="918" t="s">
        <v>383</v>
      </c>
      <c r="B1213" s="919" t="s">
        <v>384</v>
      </c>
      <c r="C1213" s="920"/>
      <c r="D1213" s="921" t="e">
        <f>SUM(D1204:D1209)-D1212</f>
        <v>#N/A</v>
      </c>
      <c r="E1213" s="922"/>
      <c r="F1213" s="923"/>
      <c r="G1213" s="918" t="s">
        <v>383</v>
      </c>
      <c r="H1213" s="919" t="s">
        <v>384</v>
      </c>
      <c r="I1213" s="920"/>
      <c r="J1213" s="921" t="e">
        <f>SUM(J1204:J1209)-J1212</f>
        <v>#N/A</v>
      </c>
    </row>
    <row r="1214" spans="1:15" ht="15.75" customHeight="1">
      <c r="A1214" s="924"/>
      <c r="B1214" s="925"/>
      <c r="C1214" s="926"/>
      <c r="D1214" s="927"/>
      <c r="E1214" s="927"/>
      <c r="F1214" s="928"/>
      <c r="G1214" s="924"/>
      <c r="H1214" s="925"/>
      <c r="I1214" s="926"/>
      <c r="J1214" s="927"/>
    </row>
    <row r="1216" spans="1:15" ht="12" customHeight="1">
      <c r="A1216" s="2361"/>
      <c r="B1216" s="2361"/>
      <c r="C1216" s="2361"/>
      <c r="D1216" s="2361"/>
      <c r="E1216" s="2361"/>
      <c r="F1216" s="2361"/>
      <c r="G1216" s="2361"/>
      <c r="H1216" s="2361"/>
      <c r="I1216" s="2361"/>
      <c r="J1216" s="2361"/>
    </row>
    <row r="1217" spans="1:15" ht="15" customHeight="1">
      <c r="A1217" s="2360" t="str">
        <f>$K$2</f>
        <v>THÁNG 09/2024</v>
      </c>
      <c r="B1217" s="2360"/>
      <c r="C1217" s="2360"/>
      <c r="D1217" s="2360"/>
      <c r="E1217" s="903"/>
      <c r="F1217" s="904"/>
      <c r="G1217" s="2360" t="str">
        <f>$K$2</f>
        <v>THÁNG 09/2024</v>
      </c>
      <c r="H1217" s="2360"/>
      <c r="I1217" s="2360"/>
      <c r="J1217" s="2360"/>
      <c r="K1217" s="276"/>
    </row>
    <row r="1218" spans="1:15" ht="15" customHeight="1">
      <c r="A1218" s="905" t="s">
        <v>356</v>
      </c>
      <c r="B1218" s="642" t="s">
        <v>72</v>
      </c>
      <c r="C1218" s="546"/>
      <c r="D1218" s="902"/>
      <c r="E1218" s="906"/>
      <c r="F1218" s="907"/>
      <c r="G1218" s="905" t="s">
        <v>356</v>
      </c>
      <c r="H1218" s="642" t="s">
        <v>74</v>
      </c>
      <c r="I1218" s="546"/>
      <c r="J1218" s="902"/>
      <c r="L1218" s="938"/>
      <c r="M1218" s="938"/>
      <c r="N1218" s="938"/>
      <c r="O1218" s="938"/>
    </row>
    <row r="1219" spans="1:15" ht="15" customHeight="1">
      <c r="A1219" s="905" t="s">
        <v>359</v>
      </c>
      <c r="B1219" s="939" t="s">
        <v>360</v>
      </c>
      <c r="C1219" s="910" t="e">
        <f>VLOOKUP(B1218,'LƯƠNG KT'!$D$16:$AC$184,3,0)</f>
        <v>#N/A</v>
      </c>
      <c r="D1219" s="609" t="e">
        <f>+C1219*25000</f>
        <v>#N/A</v>
      </c>
      <c r="E1219" s="911"/>
      <c r="F1219" s="911"/>
      <c r="G1219" s="905" t="s">
        <v>359</v>
      </c>
      <c r="H1219" s="939" t="s">
        <v>360</v>
      </c>
      <c r="I1219" s="910" t="e">
        <f>VLOOKUP(H1218,'LƯƠNG KT'!$D$16:$AC$184,3,0)</f>
        <v>#N/A</v>
      </c>
      <c r="J1219" s="609" t="e">
        <f>+I1219*25000</f>
        <v>#N/A</v>
      </c>
      <c r="K1219" s="934"/>
      <c r="L1219" s="935"/>
      <c r="M1219" s="935"/>
      <c r="N1219" s="935"/>
      <c r="O1219" s="935"/>
    </row>
    <row r="1220" spans="1:15" ht="15" customHeight="1">
      <c r="A1220" s="905" t="s">
        <v>361</v>
      </c>
      <c r="B1220" s="546" t="s">
        <v>362</v>
      </c>
      <c r="C1220" s="910" t="e">
        <f>VLOOKUP(B1218,'LƯƠNG KT'!$D$16:$AC$184,14,0)</f>
        <v>#N/A</v>
      </c>
      <c r="D1220" s="609" t="e">
        <f>C1220*$L$4</f>
        <v>#N/A</v>
      </c>
      <c r="E1220" s="912"/>
      <c r="F1220" s="912"/>
      <c r="G1220" s="905" t="s">
        <v>361</v>
      </c>
      <c r="H1220" s="546" t="s">
        <v>362</v>
      </c>
      <c r="I1220" s="910" t="e">
        <f>VLOOKUP(H1218,'LƯƠNG KT'!$D$16:$AC$184,14,0)</f>
        <v>#N/A</v>
      </c>
      <c r="J1220" s="609" t="e">
        <f>I1220*$L$4</f>
        <v>#N/A</v>
      </c>
      <c r="K1220" s="934"/>
      <c r="L1220" s="935"/>
      <c r="M1220" s="935"/>
      <c r="N1220" s="935"/>
      <c r="O1220" s="935"/>
    </row>
    <row r="1221" spans="1:15" ht="15" customHeight="1">
      <c r="A1221" s="905" t="s">
        <v>364</v>
      </c>
      <c r="B1221" s="546" t="s">
        <v>365</v>
      </c>
      <c r="C1221" s="910" t="e">
        <f>VLOOKUP(B1218,'LƯƠNG KT'!$D$16:$AC$184,15,0)</f>
        <v>#N/A</v>
      </c>
      <c r="D1221" s="609" t="e">
        <f>C1221*$L$5</f>
        <v>#N/A</v>
      </c>
      <c r="E1221" s="912"/>
      <c r="F1221" s="912"/>
      <c r="G1221" s="905" t="s">
        <v>364</v>
      </c>
      <c r="H1221" s="546" t="s">
        <v>365</v>
      </c>
      <c r="I1221" s="910" t="e">
        <f>VLOOKUP(H1218,'LƯƠNG KT'!$D$16:$AC$184,15,0)</f>
        <v>#N/A</v>
      </c>
      <c r="J1221" s="609" t="e">
        <f>I1221*$L$5</f>
        <v>#N/A</v>
      </c>
      <c r="K1221" s="934"/>
      <c r="L1221" s="935"/>
      <c r="M1221" s="935"/>
      <c r="N1221" s="935"/>
      <c r="O1221" s="935"/>
    </row>
    <row r="1222" spans="1:15" ht="15" customHeight="1">
      <c r="A1222" s="905" t="s">
        <v>367</v>
      </c>
      <c r="B1222" s="546"/>
      <c r="C1222" s="910" t="e">
        <f>VLOOKUP(B1218,'LƯƠNG KT'!$D$16:$AC$184,16,0)</f>
        <v>#N/A</v>
      </c>
      <c r="D1222" s="609" t="e">
        <f>+C1222*$L$6</f>
        <v>#N/A</v>
      </c>
      <c r="E1222" s="912"/>
      <c r="F1222" s="912"/>
      <c r="G1222" s="905" t="s">
        <v>367</v>
      </c>
      <c r="H1222" s="546"/>
      <c r="I1222" s="910" t="e">
        <f>VLOOKUP(H1218,'LƯƠNG KT'!$D$16:$AC$184,16,0)</f>
        <v>#N/A</v>
      </c>
      <c r="J1222" s="609" t="e">
        <f>+I1222*$L$6</f>
        <v>#N/A</v>
      </c>
      <c r="K1222" s="935"/>
      <c r="L1222" s="935"/>
      <c r="M1222" s="935"/>
      <c r="N1222" s="935"/>
      <c r="O1222" s="935"/>
    </row>
    <row r="1223" spans="1:15" ht="15" customHeight="1">
      <c r="A1223" s="905" t="s">
        <v>371</v>
      </c>
      <c r="B1223" s="546" t="s">
        <v>372</v>
      </c>
      <c r="C1223" s="910" t="e">
        <f>VLOOKUP(B1218,'LƯƠNG KT'!$D$16:$AC$184,9,0)*$L$10</f>
        <v>#N/A</v>
      </c>
      <c r="D1223" s="609" t="e">
        <f>+C1223*0.5*3000</f>
        <v>#N/A</v>
      </c>
      <c r="E1223" s="912"/>
      <c r="F1223" s="912"/>
      <c r="G1223" s="905" t="s">
        <v>371</v>
      </c>
      <c r="H1223" s="546" t="s">
        <v>372</v>
      </c>
      <c r="I1223" s="910" t="e">
        <f>VLOOKUP(H1218,'LƯƠNG KT'!$D$16:$AC$184,9,0)*$L$10</f>
        <v>#N/A</v>
      </c>
      <c r="J1223" s="609" t="e">
        <f>+I1223*0.5*3000</f>
        <v>#N/A</v>
      </c>
      <c r="K1223" s="935"/>
      <c r="L1223" s="935"/>
      <c r="M1223" s="935"/>
      <c r="N1223" s="935"/>
      <c r="O1223" s="935"/>
    </row>
    <row r="1224" spans="1:15" ht="15" customHeight="1">
      <c r="A1224" s="905" t="s">
        <v>374</v>
      </c>
      <c r="B1224" s="546" t="s">
        <v>375</v>
      </c>
      <c r="C1224" s="910" t="e">
        <f>VLOOKUP(B1218,'LƯƠNG KT'!$D$16:$AC$184,8,0)*$L$11</f>
        <v>#N/A</v>
      </c>
      <c r="D1224" s="609" t="e">
        <f>VLOOKUP(B1218,'LƯƠNG KT'!$D$16:$AC$184,13,0)-D1223</f>
        <v>#N/A</v>
      </c>
      <c r="E1224" s="914"/>
      <c r="F1224" s="912"/>
      <c r="G1224" s="905" t="s">
        <v>374</v>
      </c>
      <c r="H1224" s="546" t="s">
        <v>375</v>
      </c>
      <c r="I1224" s="910" t="e">
        <f>VLOOKUP(H1218,'LƯƠNG KT'!$D$16:$AC$184,8,0)*$L$11</f>
        <v>#N/A</v>
      </c>
      <c r="J1224" s="609" t="e">
        <f>VLOOKUP(H1218,'LƯƠNG KT'!$D$16:$AC$184,13,0)-J1223</f>
        <v>#N/A</v>
      </c>
      <c r="K1224" s="935"/>
      <c r="L1224" s="935"/>
      <c r="M1224" s="935"/>
      <c r="N1224" s="935"/>
      <c r="O1224" s="935"/>
    </row>
    <row r="1225" spans="1:15" ht="15" customHeight="1">
      <c r="A1225" s="609" t="s">
        <v>377</v>
      </c>
      <c r="B1225" s="546" t="s">
        <v>378</v>
      </c>
      <c r="C1225" s="910"/>
      <c r="D1225" s="609"/>
      <c r="E1225" s="916"/>
      <c r="F1225" s="916"/>
      <c r="G1225" s="609" t="s">
        <v>377</v>
      </c>
      <c r="H1225" s="546" t="s">
        <v>378</v>
      </c>
      <c r="I1225" s="910"/>
      <c r="J1225" s="609"/>
    </row>
    <row r="1226" spans="1:15" ht="15" customHeight="1">
      <c r="A1226" s="547" t="s">
        <v>379</v>
      </c>
      <c r="B1226" s="546" t="s">
        <v>380</v>
      </c>
      <c r="C1226" s="910"/>
      <c r="D1226" s="609"/>
      <c r="E1226" s="914"/>
      <c r="F1226" s="916"/>
      <c r="G1226" s="547" t="s">
        <v>379</v>
      </c>
      <c r="H1226" s="546" t="s">
        <v>380</v>
      </c>
      <c r="I1226" s="910"/>
      <c r="J1226" s="609"/>
    </row>
    <row r="1227" spans="1:15" ht="15" customHeight="1">
      <c r="A1227" s="905" t="s">
        <v>381</v>
      </c>
      <c r="B1227" s="546" t="s">
        <v>382</v>
      </c>
      <c r="C1227" s="910"/>
      <c r="D1227" s="609">
        <f>D1226</f>
        <v>0</v>
      </c>
      <c r="E1227" s="917"/>
      <c r="F1227" s="904"/>
      <c r="G1227" s="905" t="s">
        <v>381</v>
      </c>
      <c r="H1227" s="546" t="s">
        <v>382</v>
      </c>
      <c r="I1227" s="910"/>
      <c r="J1227" s="609">
        <f>J1226</f>
        <v>0</v>
      </c>
    </row>
    <row r="1228" spans="1:15" ht="15" customHeight="1">
      <c r="A1228" s="918" t="s">
        <v>383</v>
      </c>
      <c r="B1228" s="919" t="s">
        <v>384</v>
      </c>
      <c r="C1228" s="920"/>
      <c r="D1228" s="921" t="e">
        <f>SUM(D1219:D1224)-D1227</f>
        <v>#N/A</v>
      </c>
      <c r="E1228" s="922"/>
      <c r="F1228" s="923"/>
      <c r="G1228" s="918" t="s">
        <v>383</v>
      </c>
      <c r="H1228" s="919" t="s">
        <v>384</v>
      </c>
      <c r="I1228" s="920"/>
      <c r="J1228" s="921" t="e">
        <f>SUM(J1219:J1224)-J1227</f>
        <v>#N/A</v>
      </c>
    </row>
    <row r="1229" spans="1:15" ht="12.6" customHeight="1">
      <c r="A1229" s="924"/>
      <c r="B1229" s="925"/>
      <c r="C1229" s="926"/>
      <c r="D1229" s="927"/>
      <c r="E1229" s="927"/>
      <c r="F1229" s="928"/>
      <c r="G1229" s="924"/>
      <c r="H1229" s="925"/>
      <c r="I1229" s="926"/>
      <c r="J1229" s="927"/>
    </row>
    <row r="1230" spans="1:15" ht="12.6" customHeight="1">
      <c r="A1230" s="925"/>
      <c r="B1230" s="925"/>
      <c r="C1230" s="929"/>
      <c r="D1230" s="930"/>
      <c r="E1230" s="925"/>
      <c r="F1230" s="931"/>
      <c r="G1230" s="925"/>
      <c r="H1230" s="925"/>
      <c r="I1230" s="929"/>
      <c r="J1230" s="930"/>
    </row>
    <row r="1231" spans="1:15" ht="15" customHeight="1">
      <c r="A1231" s="2360" t="str">
        <f>$K$2</f>
        <v>THÁNG 09/2024</v>
      </c>
      <c r="B1231" s="2360"/>
      <c r="C1231" s="2360"/>
      <c r="D1231" s="2360"/>
      <c r="E1231" s="903"/>
      <c r="F1231" s="904"/>
      <c r="G1231" s="2360" t="str">
        <f>$K$2</f>
        <v>THÁNG 09/2024</v>
      </c>
      <c r="H1231" s="2360"/>
      <c r="I1231" s="2360"/>
      <c r="J1231" s="2360"/>
      <c r="K1231" s="276"/>
    </row>
    <row r="1232" spans="1:15" ht="15" customHeight="1">
      <c r="A1232" s="905" t="s">
        <v>356</v>
      </c>
      <c r="B1232" s="642" t="s">
        <v>75</v>
      </c>
      <c r="C1232" s="546"/>
      <c r="D1232" s="902"/>
      <c r="E1232" s="906"/>
      <c r="F1232" s="907"/>
      <c r="G1232" s="905" t="s">
        <v>356</v>
      </c>
      <c r="H1232" s="642" t="s">
        <v>76</v>
      </c>
      <c r="I1232" s="546"/>
      <c r="J1232" s="902"/>
      <c r="L1232" s="938"/>
      <c r="M1232" s="938"/>
      <c r="N1232" s="938"/>
      <c r="O1232" s="938"/>
    </row>
    <row r="1233" spans="1:15" ht="15" customHeight="1">
      <c r="A1233" s="905" t="s">
        <v>359</v>
      </c>
      <c r="B1233" s="939" t="s">
        <v>360</v>
      </c>
      <c r="C1233" s="910" t="e">
        <f>VLOOKUP(B1232,'LƯƠNG KT'!$D$16:$AC$184,3,0)</f>
        <v>#N/A</v>
      </c>
      <c r="D1233" s="609" t="e">
        <f>+C1233*25000</f>
        <v>#N/A</v>
      </c>
      <c r="E1233" s="911"/>
      <c r="F1233" s="911"/>
      <c r="G1233" s="905" t="s">
        <v>359</v>
      </c>
      <c r="H1233" s="939" t="s">
        <v>360</v>
      </c>
      <c r="I1233" s="910" t="e">
        <f>VLOOKUP(H1232,'LƯƠNG KT'!$D$16:$AC$184,3,0)</f>
        <v>#N/A</v>
      </c>
      <c r="J1233" s="609" t="e">
        <f>+I1233*25000</f>
        <v>#N/A</v>
      </c>
      <c r="K1233" s="935"/>
      <c r="L1233" s="935"/>
      <c r="M1233" s="935"/>
      <c r="N1233" s="935"/>
      <c r="O1233" s="935"/>
    </row>
    <row r="1234" spans="1:15" ht="15" customHeight="1">
      <c r="A1234" s="905" t="s">
        <v>361</v>
      </c>
      <c r="B1234" s="546" t="s">
        <v>362</v>
      </c>
      <c r="C1234" s="910" t="e">
        <f>VLOOKUP(B1232,'LƯƠNG KT'!$D$16:$AC$184,14,0)</f>
        <v>#N/A</v>
      </c>
      <c r="D1234" s="609" t="e">
        <f>C1234*$L$4</f>
        <v>#N/A</v>
      </c>
      <c r="E1234" s="912"/>
      <c r="F1234" s="912"/>
      <c r="G1234" s="905" t="s">
        <v>361</v>
      </c>
      <c r="H1234" s="546" t="s">
        <v>362</v>
      </c>
      <c r="I1234" s="910" t="e">
        <f>VLOOKUP(H1232,'LƯƠNG KT'!$D$16:$AC$184,14,0)</f>
        <v>#N/A</v>
      </c>
      <c r="J1234" s="609" t="e">
        <f>I1234*$L$4</f>
        <v>#N/A</v>
      </c>
      <c r="K1234" s="935"/>
      <c r="L1234" s="935"/>
      <c r="M1234" s="935"/>
      <c r="N1234" s="935"/>
      <c r="O1234" s="935"/>
    </row>
    <row r="1235" spans="1:15" ht="15" customHeight="1">
      <c r="A1235" s="905" t="s">
        <v>364</v>
      </c>
      <c r="B1235" s="546" t="s">
        <v>365</v>
      </c>
      <c r="C1235" s="910" t="e">
        <f>VLOOKUP(B1232,'LƯƠNG KT'!$D$16:$AC$184,15,0)</f>
        <v>#N/A</v>
      </c>
      <c r="D1235" s="609" t="e">
        <f>C1235*$L$5</f>
        <v>#N/A</v>
      </c>
      <c r="E1235" s="912"/>
      <c r="F1235" s="912"/>
      <c r="G1235" s="905" t="s">
        <v>364</v>
      </c>
      <c r="H1235" s="546" t="s">
        <v>365</v>
      </c>
      <c r="I1235" s="910" t="e">
        <f>VLOOKUP(H1232,'LƯƠNG KT'!$D$16:$AC$184,15,0)</f>
        <v>#N/A</v>
      </c>
      <c r="J1235" s="609" t="e">
        <f>I1235*$L$5</f>
        <v>#N/A</v>
      </c>
      <c r="K1235" s="935"/>
      <c r="L1235" s="935"/>
      <c r="M1235" s="935"/>
      <c r="N1235" s="935"/>
      <c r="O1235" s="935"/>
    </row>
    <row r="1236" spans="1:15" ht="15" customHeight="1">
      <c r="A1236" s="905" t="s">
        <v>367</v>
      </c>
      <c r="B1236" s="546"/>
      <c r="C1236" s="910" t="e">
        <f>VLOOKUP(B1232,'LƯƠNG KT'!$D$16:$AC$184,16,0)</f>
        <v>#N/A</v>
      </c>
      <c r="D1236" s="609" t="e">
        <f>+C1236*$L$6</f>
        <v>#N/A</v>
      </c>
      <c r="E1236" s="912"/>
      <c r="F1236" s="912"/>
      <c r="G1236" s="905" t="s">
        <v>367</v>
      </c>
      <c r="H1236" s="546"/>
      <c r="I1236" s="910" t="e">
        <f>VLOOKUP(H1232,'LƯƠNG KT'!$D$16:$AC$184,16,0)</f>
        <v>#N/A</v>
      </c>
      <c r="J1236" s="609" t="e">
        <f>+I1236*$L$6</f>
        <v>#N/A</v>
      </c>
      <c r="K1236" s="935"/>
      <c r="L1236" s="935"/>
      <c r="M1236" s="935"/>
      <c r="N1236" s="935"/>
      <c r="O1236" s="935"/>
    </row>
    <row r="1237" spans="1:15" ht="15" customHeight="1">
      <c r="A1237" s="905" t="s">
        <v>371</v>
      </c>
      <c r="B1237" s="546" t="s">
        <v>372</v>
      </c>
      <c r="C1237" s="910" t="e">
        <f>VLOOKUP(B1232,'LƯƠNG KT'!$D$16:$AC$184,9,0)*$L$10</f>
        <v>#N/A</v>
      </c>
      <c r="D1237" s="609" t="e">
        <f>+C1237*0.5*3000</f>
        <v>#N/A</v>
      </c>
      <c r="E1237" s="912"/>
      <c r="F1237" s="912"/>
      <c r="G1237" s="905" t="s">
        <v>371</v>
      </c>
      <c r="H1237" s="546" t="s">
        <v>372</v>
      </c>
      <c r="I1237" s="910" t="e">
        <f>VLOOKUP(H1232,'LƯƠNG KT'!$D$16:$AC$184,9,0)*$L$10</f>
        <v>#N/A</v>
      </c>
      <c r="J1237" s="609" t="e">
        <f>+I1237*0.5*3000</f>
        <v>#N/A</v>
      </c>
      <c r="K1237" s="935"/>
      <c r="L1237" s="935"/>
      <c r="M1237" s="935"/>
      <c r="N1237" s="935"/>
      <c r="O1237" s="935"/>
    </row>
    <row r="1238" spans="1:15" ht="15" customHeight="1">
      <c r="A1238" s="905" t="s">
        <v>374</v>
      </c>
      <c r="B1238" s="546" t="s">
        <v>375</v>
      </c>
      <c r="C1238" s="910" t="e">
        <f>VLOOKUP(B1232,'LƯƠNG KT'!$D$16:$AC$184,8,0)*$L$11</f>
        <v>#N/A</v>
      </c>
      <c r="D1238" s="609" t="e">
        <f>VLOOKUP(B1232,'LƯƠNG KT'!$D$16:$AC$184,13,0)-D1237</f>
        <v>#N/A</v>
      </c>
      <c r="E1238" s="914"/>
      <c r="F1238" s="912"/>
      <c r="G1238" s="905" t="s">
        <v>374</v>
      </c>
      <c r="H1238" s="546" t="s">
        <v>375</v>
      </c>
      <c r="I1238" s="910" t="e">
        <f>VLOOKUP(H1232,'LƯƠNG KT'!$D$16:$AC$184,8,0)*$L$11</f>
        <v>#N/A</v>
      </c>
      <c r="J1238" s="609" t="e">
        <f>VLOOKUP(H1232,'LƯƠNG KT'!$D$16:$AC$184,13,0)-J1237</f>
        <v>#N/A</v>
      </c>
      <c r="K1238" s="935"/>
      <c r="L1238" s="935"/>
      <c r="M1238" s="935"/>
      <c r="N1238" s="935"/>
      <c r="O1238" s="935"/>
    </row>
    <row r="1239" spans="1:15" ht="15" customHeight="1">
      <c r="A1239" s="609" t="s">
        <v>377</v>
      </c>
      <c r="B1239" s="546" t="s">
        <v>378</v>
      </c>
      <c r="C1239" s="910"/>
      <c r="D1239" s="609"/>
      <c r="E1239" s="916"/>
      <c r="F1239" s="916"/>
      <c r="G1239" s="609" t="s">
        <v>377</v>
      </c>
      <c r="H1239" s="546" t="s">
        <v>378</v>
      </c>
      <c r="I1239" s="910"/>
      <c r="J1239" s="609"/>
    </row>
    <row r="1240" spans="1:15" ht="15" customHeight="1">
      <c r="A1240" s="547" t="s">
        <v>379</v>
      </c>
      <c r="B1240" s="546" t="s">
        <v>380</v>
      </c>
      <c r="C1240" s="910"/>
      <c r="D1240" s="609"/>
      <c r="E1240" s="914"/>
      <c r="F1240" s="916"/>
      <c r="G1240" s="547" t="s">
        <v>379</v>
      </c>
      <c r="H1240" s="546" t="s">
        <v>380</v>
      </c>
      <c r="I1240" s="910"/>
      <c r="J1240" s="609"/>
    </row>
    <row r="1241" spans="1:15" ht="15" customHeight="1">
      <c r="A1241" s="905" t="s">
        <v>381</v>
      </c>
      <c r="B1241" s="546" t="s">
        <v>382</v>
      </c>
      <c r="C1241" s="910"/>
      <c r="D1241" s="609">
        <f>D1240</f>
        <v>0</v>
      </c>
      <c r="E1241" s="917"/>
      <c r="F1241" s="904"/>
      <c r="G1241" s="905" t="s">
        <v>381</v>
      </c>
      <c r="H1241" s="546" t="s">
        <v>382</v>
      </c>
      <c r="I1241" s="910"/>
      <c r="J1241" s="609">
        <f>J1240</f>
        <v>0</v>
      </c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SUM(D1233:D1238)-D1241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SUM(J1233:J1238)-J1241</f>
        <v>#N/A</v>
      </c>
    </row>
    <row r="1243" spans="1:15" ht="18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4" spans="1:15" ht="18.75" customHeight="1">
      <c r="A1244" s="925"/>
      <c r="B1244" s="925"/>
      <c r="C1244" s="929"/>
      <c r="D1244" s="930"/>
      <c r="E1244" s="925"/>
      <c r="F1244" s="931"/>
      <c r="G1244" s="925"/>
      <c r="H1244" s="925"/>
      <c r="I1244" s="929"/>
      <c r="J1244" s="930"/>
    </row>
    <row r="1245" spans="1:15" ht="15" customHeight="1">
      <c r="A1245" s="2360" t="str">
        <f>$K$2</f>
        <v>THÁNG 09/2024</v>
      </c>
      <c r="B1245" s="2360"/>
      <c r="C1245" s="2360"/>
      <c r="D1245" s="2360"/>
      <c r="E1245" s="903"/>
      <c r="F1245" s="904"/>
      <c r="G1245" s="2360" t="str">
        <f>$K$2</f>
        <v>THÁNG 09/2024</v>
      </c>
      <c r="H1245" s="2360"/>
      <c r="I1245" s="2360"/>
      <c r="J1245" s="2360"/>
      <c r="K1245" s="276"/>
    </row>
    <row r="1246" spans="1:15" ht="15" customHeight="1">
      <c r="A1246" s="905" t="s">
        <v>356</v>
      </c>
      <c r="B1246" s="642" t="s">
        <v>77</v>
      </c>
      <c r="C1246" s="546"/>
      <c r="D1246" s="902"/>
      <c r="E1246" s="906"/>
      <c r="F1246" s="907"/>
      <c r="G1246" s="905" t="s">
        <v>356</v>
      </c>
      <c r="H1246" s="642" t="s">
        <v>78</v>
      </c>
      <c r="I1246" s="546"/>
      <c r="J1246" s="902"/>
      <c r="L1246" s="938"/>
      <c r="M1246" s="938"/>
      <c r="N1246" s="938"/>
      <c r="O1246" s="938"/>
    </row>
    <row r="1247" spans="1:15" ht="15" customHeight="1">
      <c r="A1247" s="905" t="s">
        <v>359</v>
      </c>
      <c r="B1247" s="939" t="s">
        <v>360</v>
      </c>
      <c r="C1247" s="910">
        <f>VLOOKUP(B1246,'LƯƠNG KT'!$D$16:$AC$184,3,0)</f>
        <v>0</v>
      </c>
      <c r="D1247" s="609">
        <f>+C1247*25000</f>
        <v>0</v>
      </c>
      <c r="E1247" s="911"/>
      <c r="F1247" s="911"/>
      <c r="G1247" s="905" t="s">
        <v>359</v>
      </c>
      <c r="H1247" s="939" t="s">
        <v>360</v>
      </c>
      <c r="I1247" s="910" t="e">
        <f>VLOOKUP(H1246,'LƯƠNG KT'!$D$16:$AC$184,3,0)</f>
        <v>#N/A</v>
      </c>
      <c r="J1247" s="609" t="e">
        <f>+I1247*25000</f>
        <v>#N/A</v>
      </c>
      <c r="K1247" s="935"/>
      <c r="L1247" s="935"/>
      <c r="M1247" s="935"/>
      <c r="N1247" s="935"/>
      <c r="O1247" s="935"/>
    </row>
    <row r="1248" spans="1:15" ht="15" customHeight="1">
      <c r="A1248" s="905" t="s">
        <v>361</v>
      </c>
      <c r="B1248" s="546" t="s">
        <v>362</v>
      </c>
      <c r="C1248" s="910">
        <f>VLOOKUP(B1246,'LƯƠNG KT'!$D$16:$AC$184,14,0)</f>
        <v>0</v>
      </c>
      <c r="D1248" s="609">
        <f>C1248*$L$4</f>
        <v>0</v>
      </c>
      <c r="E1248" s="912"/>
      <c r="F1248" s="912"/>
      <c r="G1248" s="905" t="s">
        <v>361</v>
      </c>
      <c r="H1248" s="546" t="s">
        <v>362</v>
      </c>
      <c r="I1248" s="910" t="e">
        <f>VLOOKUP(H1246,'LƯƠNG KT'!$D$16:$AC$184,14,0)</f>
        <v>#N/A</v>
      </c>
      <c r="J1248" s="609" t="e">
        <f>I1248*$L$4</f>
        <v>#N/A</v>
      </c>
      <c r="K1248" s="935"/>
      <c r="L1248" s="935"/>
      <c r="M1248" s="935"/>
      <c r="N1248" s="935"/>
      <c r="O1248" s="935"/>
    </row>
    <row r="1249" spans="1:15" ht="15" customHeight="1">
      <c r="A1249" s="905" t="s">
        <v>364</v>
      </c>
      <c r="B1249" s="546" t="s">
        <v>365</v>
      </c>
      <c r="C1249" s="910">
        <f>VLOOKUP(B1246,'LƯƠNG KT'!$D$16:$AC$184,15,0)</f>
        <v>0</v>
      </c>
      <c r="D1249" s="609">
        <f>C1249*$L$5</f>
        <v>0</v>
      </c>
      <c r="E1249" s="912"/>
      <c r="F1249" s="912"/>
      <c r="G1249" s="905" t="s">
        <v>364</v>
      </c>
      <c r="H1249" s="546" t="s">
        <v>365</v>
      </c>
      <c r="I1249" s="910" t="e">
        <f>VLOOKUP(H1246,'LƯƠNG KT'!$D$16:$AC$184,15,0)</f>
        <v>#N/A</v>
      </c>
      <c r="J1249" s="609" t="e">
        <f>I1249*$L$5</f>
        <v>#N/A</v>
      </c>
      <c r="K1249" s="935"/>
      <c r="L1249" s="935"/>
      <c r="M1249" s="935"/>
      <c r="N1249" s="935"/>
      <c r="O1249" s="935"/>
    </row>
    <row r="1250" spans="1:15" ht="15" customHeight="1">
      <c r="A1250" s="905" t="s">
        <v>367</v>
      </c>
      <c r="B1250" s="546"/>
      <c r="C1250" s="910">
        <f>VLOOKUP(B1246,'LƯƠNG KT'!$D$16:$AC$184,16,0)</f>
        <v>0</v>
      </c>
      <c r="D1250" s="609">
        <f>+C1250*$L$6</f>
        <v>0</v>
      </c>
      <c r="E1250" s="912"/>
      <c r="F1250" s="912"/>
      <c r="G1250" s="905" t="s">
        <v>367</v>
      </c>
      <c r="H1250" s="546"/>
      <c r="I1250" s="910" t="e">
        <f>VLOOKUP(H1246,'LƯƠNG KT'!$D$16:$AC$184,16,0)</f>
        <v>#N/A</v>
      </c>
      <c r="J1250" s="609" t="e">
        <f>+I1250*$L$6</f>
        <v>#N/A</v>
      </c>
      <c r="K1250" s="935"/>
      <c r="L1250" s="935"/>
      <c r="M1250" s="935"/>
      <c r="N1250" s="935"/>
      <c r="O1250" s="935"/>
    </row>
    <row r="1251" spans="1:15" ht="15" customHeight="1">
      <c r="A1251" s="905" t="s">
        <v>371</v>
      </c>
      <c r="B1251" s="546" t="s">
        <v>372</v>
      </c>
      <c r="C1251" s="910">
        <f>VLOOKUP(B1246,'LƯƠNG KT'!$D$16:$AC$184,9,0)*$L$10</f>
        <v>199.07904946802688</v>
      </c>
      <c r="D1251" s="609">
        <f>+C1251*0.5*3000</f>
        <v>298618.57420204033</v>
      </c>
      <c r="E1251" s="912"/>
      <c r="F1251" s="912"/>
      <c r="G1251" s="905" t="s">
        <v>371</v>
      </c>
      <c r="H1251" s="546" t="s">
        <v>372</v>
      </c>
      <c r="I1251" s="910" t="e">
        <f>VLOOKUP(H1246,'LƯƠNG KT'!$D$16:$AC$184,9,0)*$L$10</f>
        <v>#N/A</v>
      </c>
      <c r="J1251" s="609" t="e">
        <f>+I1251*0.5*3000</f>
        <v>#N/A</v>
      </c>
      <c r="K1251" s="935"/>
      <c r="L1251" s="935"/>
      <c r="M1251" s="935"/>
      <c r="N1251" s="935"/>
      <c r="O1251" s="935"/>
    </row>
    <row r="1252" spans="1:15" ht="15" customHeight="1">
      <c r="A1252" s="905" t="s">
        <v>374</v>
      </c>
      <c r="B1252" s="546" t="s">
        <v>375</v>
      </c>
      <c r="C1252" s="910">
        <f>VLOOKUP(B1246,'LƯƠNG KT'!$D$16:$AC$184,8,0)*$L$11</f>
        <v>14.354024081487342</v>
      </c>
      <c r="D1252" s="609">
        <f>VLOOKUP(B1246,'LƯƠNG KT'!$D$16:$AC$184,13,0)-D1251</f>
        <v>-298616.57420204033</v>
      </c>
      <c r="E1252" s="914"/>
      <c r="F1252" s="912"/>
      <c r="G1252" s="905" t="s">
        <v>374</v>
      </c>
      <c r="H1252" s="546" t="s">
        <v>375</v>
      </c>
      <c r="I1252" s="910" t="e">
        <f>VLOOKUP(H1246,'LƯƠNG KT'!$D$16:$AC$184,8,0)*$L$11</f>
        <v>#N/A</v>
      </c>
      <c r="J1252" s="609" t="e">
        <f>VLOOKUP(H1246,'LƯƠNG KT'!$D$16:$AC$184,13,0)-J1251</f>
        <v>#N/A</v>
      </c>
      <c r="K1252" s="935"/>
      <c r="L1252" s="935"/>
      <c r="M1252" s="935"/>
      <c r="N1252" s="935"/>
      <c r="O1252" s="935"/>
    </row>
    <row r="1253" spans="1:15" ht="15" customHeight="1">
      <c r="A1253" s="609" t="s">
        <v>377</v>
      </c>
      <c r="B1253" s="546" t="s">
        <v>378</v>
      </c>
      <c r="C1253" s="910"/>
      <c r="D1253" s="609"/>
      <c r="E1253" s="916"/>
      <c r="F1253" s="916"/>
      <c r="G1253" s="609" t="s">
        <v>377</v>
      </c>
      <c r="H1253" s="546" t="s">
        <v>378</v>
      </c>
      <c r="I1253" s="910"/>
      <c r="J1253" s="609"/>
    </row>
    <row r="1254" spans="1:15" ht="15" customHeight="1">
      <c r="A1254" s="547" t="s">
        <v>379</v>
      </c>
      <c r="B1254" s="546" t="s">
        <v>380</v>
      </c>
      <c r="C1254" s="910"/>
      <c r="D1254" s="609"/>
      <c r="E1254" s="914"/>
      <c r="F1254" s="916"/>
      <c r="G1254" s="547" t="s">
        <v>379</v>
      </c>
      <c r="H1254" s="546" t="s">
        <v>380</v>
      </c>
      <c r="I1254" s="910"/>
      <c r="J1254" s="609"/>
    </row>
    <row r="1255" spans="1:15" ht="15" customHeight="1">
      <c r="A1255" s="905" t="s">
        <v>381</v>
      </c>
      <c r="B1255" s="546" t="s">
        <v>382</v>
      </c>
      <c r="C1255" s="910"/>
      <c r="D1255" s="609">
        <f>D1254</f>
        <v>0</v>
      </c>
      <c r="E1255" s="917"/>
      <c r="F1255" s="904"/>
      <c r="G1255" s="905" t="s">
        <v>381</v>
      </c>
      <c r="H1255" s="546" t="s">
        <v>382</v>
      </c>
      <c r="I1255" s="910"/>
      <c r="J1255" s="609">
        <f>J1254</f>
        <v>0</v>
      </c>
    </row>
    <row r="1256" spans="1:15" ht="15" customHeight="1">
      <c r="A1256" s="918" t="s">
        <v>383</v>
      </c>
      <c r="B1256" s="919" t="s">
        <v>384</v>
      </c>
      <c r="C1256" s="920"/>
      <c r="D1256" s="921">
        <f>SUM(D1247:D1252)-D1255</f>
        <v>2</v>
      </c>
      <c r="E1256" s="922"/>
      <c r="F1256" s="923"/>
      <c r="G1256" s="918" t="s">
        <v>383</v>
      </c>
      <c r="H1256" s="919" t="s">
        <v>384</v>
      </c>
      <c r="I1256" s="920"/>
      <c r="J1256" s="921" t="e">
        <f>SUM(J1247:J1252)-J1255</f>
        <v>#N/A</v>
      </c>
    </row>
    <row r="1257" spans="1:15" ht="18.75" customHeight="1">
      <c r="A1257" s="924"/>
      <c r="B1257" s="925"/>
      <c r="C1257" s="926"/>
      <c r="D1257" s="927"/>
      <c r="E1257" s="927"/>
      <c r="F1257" s="928"/>
      <c r="G1257" s="924"/>
      <c r="H1257" s="925"/>
      <c r="I1257" s="926"/>
      <c r="J1257" s="927"/>
    </row>
    <row r="1258" spans="1:15" ht="18.75" customHeight="1">
      <c r="A1258" s="925"/>
      <c r="B1258" s="925"/>
      <c r="C1258" s="929"/>
      <c r="D1258" s="930"/>
      <c r="E1258" s="925"/>
      <c r="F1258" s="931"/>
      <c r="G1258" s="925"/>
      <c r="H1258" s="925"/>
      <c r="I1258" s="929"/>
      <c r="J1258" s="930"/>
    </row>
    <row r="1259" spans="1:15" ht="15" customHeight="1">
      <c r="A1259" s="2360" t="str">
        <f>$K$2</f>
        <v>THÁNG 09/2024</v>
      </c>
      <c r="B1259" s="2360"/>
      <c r="C1259" s="2360"/>
      <c r="D1259" s="2360"/>
      <c r="E1259" s="903"/>
      <c r="F1259" s="904"/>
      <c r="G1259" s="2360" t="str">
        <f>$K$2</f>
        <v>THÁNG 09/2024</v>
      </c>
      <c r="H1259" s="2360"/>
      <c r="I1259" s="2360"/>
      <c r="J1259" s="2360"/>
      <c r="K1259" s="276"/>
    </row>
    <row r="1260" spans="1:15" ht="15" customHeight="1">
      <c r="A1260" s="905" t="s">
        <v>356</v>
      </c>
      <c r="B1260" s="642" t="s">
        <v>79</v>
      </c>
      <c r="C1260" s="546"/>
      <c r="D1260" s="902"/>
      <c r="E1260" s="906"/>
      <c r="F1260" s="907"/>
      <c r="G1260" s="905" t="s">
        <v>356</v>
      </c>
      <c r="H1260" s="642" t="s">
        <v>80</v>
      </c>
      <c r="I1260" s="546"/>
      <c r="J1260" s="902"/>
      <c r="L1260" s="938"/>
      <c r="M1260" s="938"/>
      <c r="N1260" s="938"/>
      <c r="O1260" s="938"/>
    </row>
    <row r="1261" spans="1:15" ht="15" customHeight="1">
      <c r="A1261" s="905" t="s">
        <v>359</v>
      </c>
      <c r="B1261" s="939" t="s">
        <v>360</v>
      </c>
      <c r="C1261" s="910" t="e">
        <f>VLOOKUP(B1260,'LƯƠNG KT'!$D$16:$AC$184,3,0)</f>
        <v>#N/A</v>
      </c>
      <c r="D1261" s="609" t="e">
        <f>+C1261*25000</f>
        <v>#N/A</v>
      </c>
      <c r="E1261" s="911"/>
      <c r="F1261" s="911"/>
      <c r="G1261" s="905" t="s">
        <v>359</v>
      </c>
      <c r="H1261" s="939" t="s">
        <v>360</v>
      </c>
      <c r="I1261" s="910" t="e">
        <f>VLOOKUP(H1260,'LƯƠNG KT'!$D$16:$AC$184,3,0)</f>
        <v>#N/A</v>
      </c>
      <c r="J1261" s="609" t="e">
        <f>+I1261*25000</f>
        <v>#N/A</v>
      </c>
      <c r="K1261" s="935"/>
      <c r="L1261" s="935"/>
      <c r="M1261" s="935"/>
      <c r="N1261" s="935"/>
      <c r="O1261" s="935"/>
    </row>
    <row r="1262" spans="1:15" ht="15" customHeight="1">
      <c r="A1262" s="905" t="s">
        <v>361</v>
      </c>
      <c r="B1262" s="546" t="s">
        <v>362</v>
      </c>
      <c r="C1262" s="910" t="e">
        <f>VLOOKUP(B1260,'LƯƠNG KT'!$D$16:$AC$184,14,0)</f>
        <v>#N/A</v>
      </c>
      <c r="D1262" s="609" t="e">
        <f>C1262*$L$4</f>
        <v>#N/A</v>
      </c>
      <c r="E1262" s="912"/>
      <c r="F1262" s="912"/>
      <c r="G1262" s="905" t="s">
        <v>361</v>
      </c>
      <c r="H1262" s="546" t="s">
        <v>362</v>
      </c>
      <c r="I1262" s="910" t="e">
        <f>VLOOKUP(H1260,'LƯƠNG KT'!$D$16:$AC$184,14,0)</f>
        <v>#N/A</v>
      </c>
      <c r="J1262" s="609" t="e">
        <f>I1262*$L$4</f>
        <v>#N/A</v>
      </c>
      <c r="K1262" s="935"/>
      <c r="L1262" s="935"/>
      <c r="M1262" s="935"/>
      <c r="N1262" s="935"/>
      <c r="O1262" s="935"/>
    </row>
    <row r="1263" spans="1:15" ht="15" customHeight="1">
      <c r="A1263" s="905" t="s">
        <v>364</v>
      </c>
      <c r="B1263" s="546" t="s">
        <v>365</v>
      </c>
      <c r="C1263" s="910" t="e">
        <f>VLOOKUP(B1260,'LƯƠNG KT'!$D$16:$AC$184,15,0)</f>
        <v>#N/A</v>
      </c>
      <c r="D1263" s="609" t="e">
        <f>C1263*$L$5</f>
        <v>#N/A</v>
      </c>
      <c r="E1263" s="912"/>
      <c r="F1263" s="912"/>
      <c r="G1263" s="905" t="s">
        <v>364</v>
      </c>
      <c r="H1263" s="546" t="s">
        <v>365</v>
      </c>
      <c r="I1263" s="910" t="e">
        <f>VLOOKUP(H1260,'LƯƠNG KT'!$D$16:$AC$184,15,0)</f>
        <v>#N/A</v>
      </c>
      <c r="J1263" s="609" t="e">
        <f>I1263*$L$5</f>
        <v>#N/A</v>
      </c>
      <c r="K1263" s="935"/>
      <c r="L1263" s="935"/>
      <c r="M1263" s="935"/>
      <c r="N1263" s="935"/>
      <c r="O1263" s="935"/>
    </row>
    <row r="1264" spans="1:15" ht="15" customHeight="1">
      <c r="A1264" s="905" t="s">
        <v>367</v>
      </c>
      <c r="B1264" s="546"/>
      <c r="C1264" s="910" t="e">
        <f>VLOOKUP(B1260,'LƯƠNG KT'!$D$16:$AC$184,16,0)</f>
        <v>#N/A</v>
      </c>
      <c r="D1264" s="609" t="e">
        <f>+C1264*$L$6</f>
        <v>#N/A</v>
      </c>
      <c r="E1264" s="912"/>
      <c r="F1264" s="912"/>
      <c r="G1264" s="905" t="s">
        <v>367</v>
      </c>
      <c r="H1264" s="546"/>
      <c r="I1264" s="910" t="e">
        <f>VLOOKUP(H1260,'LƯƠNG KT'!$D$16:$AC$184,16,0)</f>
        <v>#N/A</v>
      </c>
      <c r="J1264" s="609" t="e">
        <f>+I1264*$L$6</f>
        <v>#N/A</v>
      </c>
      <c r="K1264" s="935"/>
      <c r="L1264" s="935"/>
      <c r="M1264" s="935"/>
      <c r="N1264" s="935"/>
      <c r="O1264" s="935"/>
    </row>
    <row r="1265" spans="1:15" ht="15" customHeight="1">
      <c r="A1265" s="905" t="s">
        <v>371</v>
      </c>
      <c r="B1265" s="546" t="s">
        <v>372</v>
      </c>
      <c r="C1265" s="910" t="e">
        <f>VLOOKUP(B1260,'LƯƠNG KT'!$D$16:$AC$184,9,0)*$L$10</f>
        <v>#N/A</v>
      </c>
      <c r="D1265" s="609" t="e">
        <f>+C1265*0.5*3000</f>
        <v>#N/A</v>
      </c>
      <c r="E1265" s="912"/>
      <c r="F1265" s="912"/>
      <c r="G1265" s="905" t="s">
        <v>371</v>
      </c>
      <c r="H1265" s="546" t="s">
        <v>372</v>
      </c>
      <c r="I1265" s="910" t="e">
        <f>VLOOKUP(H1260,'LƯƠNG KT'!$D$16:$AC$184,9,0)*$L$10</f>
        <v>#N/A</v>
      </c>
      <c r="J1265" s="609" t="e">
        <f>+I1265*0.5*3000</f>
        <v>#N/A</v>
      </c>
      <c r="K1265" s="935"/>
      <c r="L1265" s="935"/>
      <c r="M1265" s="935"/>
      <c r="N1265" s="935"/>
      <c r="O1265" s="935"/>
    </row>
    <row r="1266" spans="1:15" ht="15" customHeight="1">
      <c r="A1266" s="905" t="s">
        <v>374</v>
      </c>
      <c r="B1266" s="546" t="s">
        <v>375</v>
      </c>
      <c r="C1266" s="910" t="e">
        <f>VLOOKUP(B1260,'LƯƠNG KT'!$D$16:$AC$184,8,0)*$L$11</f>
        <v>#N/A</v>
      </c>
      <c r="D1266" s="609" t="e">
        <f>VLOOKUP(B1260,'LƯƠNG KT'!$D$16:$AC$184,13,0)-D1265</f>
        <v>#N/A</v>
      </c>
      <c r="E1266" s="914"/>
      <c r="F1266" s="912"/>
      <c r="G1266" s="905" t="s">
        <v>374</v>
      </c>
      <c r="H1266" s="546" t="s">
        <v>375</v>
      </c>
      <c r="I1266" s="910" t="e">
        <f>VLOOKUP(H1260,'LƯƠNG KT'!$D$16:$AC$184,8,0)*$L$11</f>
        <v>#N/A</v>
      </c>
      <c r="J1266" s="609" t="e">
        <f>VLOOKUP(H1260,'LƯƠNG KT'!$D$16:$AC$184,13,0)-J1265</f>
        <v>#N/A</v>
      </c>
      <c r="K1266" s="935"/>
      <c r="L1266" s="935"/>
      <c r="M1266" s="935"/>
      <c r="N1266" s="935"/>
      <c r="O1266" s="935"/>
    </row>
    <row r="1267" spans="1:15" ht="15" customHeight="1">
      <c r="A1267" s="609" t="s">
        <v>377</v>
      </c>
      <c r="B1267" s="546" t="s">
        <v>378</v>
      </c>
      <c r="C1267" s="910"/>
      <c r="D1267" s="609"/>
      <c r="E1267" s="916"/>
      <c r="F1267" s="916"/>
      <c r="G1267" s="609" t="s">
        <v>377</v>
      </c>
      <c r="H1267" s="546" t="s">
        <v>378</v>
      </c>
      <c r="I1267" s="910"/>
      <c r="J1267" s="609"/>
    </row>
    <row r="1268" spans="1:15" ht="15" customHeight="1">
      <c r="A1268" s="547" t="s">
        <v>379</v>
      </c>
      <c r="B1268" s="546" t="s">
        <v>380</v>
      </c>
      <c r="C1268" s="910"/>
      <c r="D1268" s="609"/>
      <c r="E1268" s="914"/>
      <c r="F1268" s="916"/>
      <c r="G1268" s="547" t="s">
        <v>379</v>
      </c>
      <c r="H1268" s="546" t="s">
        <v>380</v>
      </c>
      <c r="I1268" s="910"/>
      <c r="J1268" s="609"/>
    </row>
    <row r="1269" spans="1:15" ht="15" customHeight="1">
      <c r="A1269" s="905" t="s">
        <v>381</v>
      </c>
      <c r="B1269" s="546" t="s">
        <v>382</v>
      </c>
      <c r="C1269" s="910"/>
      <c r="D1269" s="609">
        <f>D1268</f>
        <v>0</v>
      </c>
      <c r="E1269" s="917"/>
      <c r="F1269" s="904"/>
      <c r="G1269" s="905" t="s">
        <v>381</v>
      </c>
      <c r="H1269" s="546" t="s">
        <v>382</v>
      </c>
      <c r="I1269" s="910"/>
      <c r="J1269" s="609">
        <f>J1268</f>
        <v>0</v>
      </c>
    </row>
    <row r="1270" spans="1:15" ht="15" customHeight="1">
      <c r="A1270" s="918" t="s">
        <v>383</v>
      </c>
      <c r="B1270" s="919" t="s">
        <v>384</v>
      </c>
      <c r="C1270" s="920"/>
      <c r="D1270" s="921" t="e">
        <f>SUM(D1261:D1266)-D1269</f>
        <v>#N/A</v>
      </c>
      <c r="E1270" s="922"/>
      <c r="F1270" s="923"/>
      <c r="G1270" s="918" t="s">
        <v>383</v>
      </c>
      <c r="H1270" s="919" t="s">
        <v>384</v>
      </c>
      <c r="I1270" s="920"/>
      <c r="J1270" s="921" t="e">
        <f>SUM(J1261:J1266)-J1269</f>
        <v>#N/A</v>
      </c>
    </row>
    <row r="1271" spans="1:15" ht="15.75" customHeight="1">
      <c r="A1271" s="924"/>
      <c r="B1271" s="925"/>
      <c r="C1271" s="926"/>
      <c r="D1271" s="927"/>
      <c r="E1271" s="927"/>
      <c r="F1271" s="928"/>
      <c r="G1271" s="924"/>
      <c r="H1271" s="925"/>
      <c r="I1271" s="926"/>
      <c r="J1271" s="927"/>
    </row>
    <row r="1273" spans="1:15" ht="12" customHeight="1">
      <c r="A1273" s="2361"/>
      <c r="B1273" s="2361"/>
      <c r="C1273" s="2361"/>
      <c r="D1273" s="2361"/>
      <c r="E1273" s="2361"/>
      <c r="F1273" s="2361"/>
      <c r="G1273" s="2361"/>
      <c r="H1273" s="2361"/>
      <c r="I1273" s="2361"/>
      <c r="J1273" s="2361"/>
    </row>
    <row r="1274" spans="1:15" ht="15" customHeight="1">
      <c r="A1274" s="2360" t="str">
        <f>$K$2</f>
        <v>THÁNG 09/2024</v>
      </c>
      <c r="B1274" s="2360"/>
      <c r="C1274" s="2360"/>
      <c r="D1274" s="2360"/>
      <c r="E1274" s="903"/>
      <c r="F1274" s="904"/>
      <c r="G1274" s="2360" t="str">
        <f>$K$2</f>
        <v>THÁNG 09/2024</v>
      </c>
      <c r="H1274" s="2360"/>
      <c r="I1274" s="2360"/>
      <c r="J1274" s="2360"/>
      <c r="K1274" s="276"/>
    </row>
    <row r="1275" spans="1:15" ht="15" customHeight="1">
      <c r="A1275" s="905" t="s">
        <v>356</v>
      </c>
      <c r="B1275" s="642" t="s">
        <v>81</v>
      </c>
      <c r="C1275" s="546"/>
      <c r="D1275" s="902"/>
      <c r="E1275" s="906"/>
      <c r="F1275" s="907"/>
      <c r="G1275" s="905" t="s">
        <v>356</v>
      </c>
      <c r="H1275" s="642" t="s">
        <v>82</v>
      </c>
      <c r="I1275" s="546"/>
      <c r="J1275" s="902"/>
      <c r="L1275" s="938"/>
      <c r="M1275" s="938"/>
      <c r="N1275" s="938"/>
      <c r="O1275" s="938"/>
    </row>
    <row r="1276" spans="1:15" ht="15" customHeight="1">
      <c r="A1276" s="905" t="s">
        <v>359</v>
      </c>
      <c r="B1276" s="939" t="s">
        <v>360</v>
      </c>
      <c r="C1276" s="910" t="e">
        <f>VLOOKUP(B1275,'LƯƠNG KT'!$D$16:$AC$184,3,0)</f>
        <v>#N/A</v>
      </c>
      <c r="D1276" s="609" t="e">
        <f>+C1276*25000</f>
        <v>#N/A</v>
      </c>
      <c r="E1276" s="911"/>
      <c r="F1276" s="911"/>
      <c r="G1276" s="905" t="s">
        <v>359</v>
      </c>
      <c r="H1276" s="939" t="s">
        <v>360</v>
      </c>
      <c r="I1276" s="910" t="e">
        <f>VLOOKUP(H1275,'LƯƠNG KT'!$D$16:$AC$184,3,0)</f>
        <v>#N/A</v>
      </c>
      <c r="J1276" s="609" t="e">
        <f>+I1276*25000</f>
        <v>#N/A</v>
      </c>
      <c r="K1276" s="934"/>
      <c r="L1276" s="935"/>
      <c r="M1276" s="935"/>
      <c r="N1276" s="935"/>
      <c r="O1276" s="935"/>
    </row>
    <row r="1277" spans="1:15" ht="15" customHeight="1">
      <c r="A1277" s="905" t="s">
        <v>361</v>
      </c>
      <c r="B1277" s="546" t="s">
        <v>362</v>
      </c>
      <c r="C1277" s="910" t="e">
        <f>VLOOKUP(B1275,'LƯƠNG KT'!$D$16:$AC$184,14,0)</f>
        <v>#N/A</v>
      </c>
      <c r="D1277" s="609" t="e">
        <f>C1277*$L$4</f>
        <v>#N/A</v>
      </c>
      <c r="E1277" s="912"/>
      <c r="F1277" s="912"/>
      <c r="G1277" s="905" t="s">
        <v>361</v>
      </c>
      <c r="H1277" s="546" t="s">
        <v>362</v>
      </c>
      <c r="I1277" s="910" t="e">
        <f>VLOOKUP(H1275,'LƯƠNG KT'!$D$16:$AC$184,14,0)</f>
        <v>#N/A</v>
      </c>
      <c r="J1277" s="609" t="e">
        <f>I1277*$L$4</f>
        <v>#N/A</v>
      </c>
      <c r="K1277" s="934"/>
      <c r="L1277" s="935"/>
      <c r="M1277" s="935"/>
      <c r="N1277" s="935"/>
      <c r="O1277" s="935"/>
    </row>
    <row r="1278" spans="1:15" ht="15" customHeight="1">
      <c r="A1278" s="905" t="s">
        <v>364</v>
      </c>
      <c r="B1278" s="546" t="s">
        <v>365</v>
      </c>
      <c r="C1278" s="910" t="e">
        <f>VLOOKUP(B1275,'LƯƠNG KT'!$D$16:$AC$184,15,0)</f>
        <v>#N/A</v>
      </c>
      <c r="D1278" s="609" t="e">
        <f>C1278*$L$5</f>
        <v>#N/A</v>
      </c>
      <c r="E1278" s="912"/>
      <c r="F1278" s="912"/>
      <c r="G1278" s="905" t="s">
        <v>364</v>
      </c>
      <c r="H1278" s="546" t="s">
        <v>365</v>
      </c>
      <c r="I1278" s="910" t="e">
        <f>VLOOKUP(H1275,'LƯƠNG KT'!$D$16:$AC$184,15,0)</f>
        <v>#N/A</v>
      </c>
      <c r="J1278" s="609" t="e">
        <f>I1278*$L$5</f>
        <v>#N/A</v>
      </c>
      <c r="K1278" s="934"/>
      <c r="L1278" s="935"/>
      <c r="M1278" s="935"/>
      <c r="N1278" s="935"/>
      <c r="O1278" s="935"/>
    </row>
    <row r="1279" spans="1:15" ht="15" customHeight="1">
      <c r="A1279" s="905" t="s">
        <v>367</v>
      </c>
      <c r="B1279" s="546"/>
      <c r="C1279" s="910" t="e">
        <f>VLOOKUP(B1275,'LƯƠNG KT'!$D$16:$AC$184,16,0)</f>
        <v>#N/A</v>
      </c>
      <c r="D1279" s="609" t="e">
        <f>+C1279*$L$6</f>
        <v>#N/A</v>
      </c>
      <c r="E1279" s="912"/>
      <c r="F1279" s="912"/>
      <c r="G1279" s="905" t="s">
        <v>367</v>
      </c>
      <c r="H1279" s="546"/>
      <c r="I1279" s="910" t="e">
        <f>VLOOKUP(H1275,'LƯƠNG KT'!$D$16:$AC$184,16,0)</f>
        <v>#N/A</v>
      </c>
      <c r="J1279" s="609" t="e">
        <f>+I1279*$L$6</f>
        <v>#N/A</v>
      </c>
      <c r="K1279" s="935"/>
      <c r="L1279" s="935"/>
      <c r="M1279" s="935"/>
      <c r="N1279" s="935"/>
      <c r="O1279" s="935"/>
    </row>
    <row r="1280" spans="1:15" ht="15" customHeight="1">
      <c r="A1280" s="905" t="s">
        <v>371</v>
      </c>
      <c r="B1280" s="546" t="s">
        <v>372</v>
      </c>
      <c r="C1280" s="910" t="e">
        <f>VLOOKUP(B1275,'LƯƠNG KT'!$D$16:$AC$184,9,0)*$L$10</f>
        <v>#N/A</v>
      </c>
      <c r="D1280" s="609" t="e">
        <f>+C1280*0.5*3000</f>
        <v>#N/A</v>
      </c>
      <c r="E1280" s="912"/>
      <c r="F1280" s="912"/>
      <c r="G1280" s="905" t="s">
        <v>371</v>
      </c>
      <c r="H1280" s="546" t="s">
        <v>372</v>
      </c>
      <c r="I1280" s="910" t="e">
        <f>VLOOKUP(H1275,'LƯƠNG KT'!$D$16:$AC$184,9,0)*$L$10</f>
        <v>#N/A</v>
      </c>
      <c r="J1280" s="609" t="e">
        <f>+I1280*0.5*3000</f>
        <v>#N/A</v>
      </c>
      <c r="K1280" s="935"/>
      <c r="L1280" s="935"/>
      <c r="M1280" s="935"/>
      <c r="N1280" s="935"/>
      <c r="O1280" s="935"/>
    </row>
    <row r="1281" spans="1:15" ht="15" customHeight="1">
      <c r="A1281" s="905" t="s">
        <v>374</v>
      </c>
      <c r="B1281" s="546" t="s">
        <v>375</v>
      </c>
      <c r="C1281" s="910" t="e">
        <f>VLOOKUP(B1275,'LƯƠNG KT'!$D$16:$AC$184,8,0)*$L$11</f>
        <v>#N/A</v>
      </c>
      <c r="D1281" s="609" t="e">
        <f>VLOOKUP(B1275,'LƯƠNG KT'!$D$16:$AC$184,13,0)-D1280</f>
        <v>#N/A</v>
      </c>
      <c r="E1281" s="914"/>
      <c r="F1281" s="912"/>
      <c r="G1281" s="905" t="s">
        <v>374</v>
      </c>
      <c r="H1281" s="546" t="s">
        <v>375</v>
      </c>
      <c r="I1281" s="910" t="e">
        <f>VLOOKUP(H1275,'LƯƠNG KT'!$D$16:$AC$184,8,0)*$L$11</f>
        <v>#N/A</v>
      </c>
      <c r="J1281" s="609" t="e">
        <f>VLOOKUP(H1275,'LƯƠNG KT'!$D$16:$AC$184,13,0)-J1280</f>
        <v>#N/A</v>
      </c>
      <c r="K1281" s="935"/>
      <c r="L1281" s="935"/>
      <c r="M1281" s="935"/>
      <c r="N1281" s="935"/>
      <c r="O1281" s="935"/>
    </row>
    <row r="1282" spans="1:15" ht="15" customHeight="1">
      <c r="A1282" s="609" t="s">
        <v>377</v>
      </c>
      <c r="B1282" s="546" t="s">
        <v>378</v>
      </c>
      <c r="C1282" s="910"/>
      <c r="D1282" s="609"/>
      <c r="E1282" s="916"/>
      <c r="F1282" s="916"/>
      <c r="G1282" s="609" t="s">
        <v>377</v>
      </c>
      <c r="H1282" s="546" t="s">
        <v>378</v>
      </c>
      <c r="I1282" s="910"/>
      <c r="J1282" s="609"/>
    </row>
    <row r="1283" spans="1:15" ht="15" customHeight="1">
      <c r="A1283" s="547" t="s">
        <v>379</v>
      </c>
      <c r="B1283" s="546" t="s">
        <v>380</v>
      </c>
      <c r="C1283" s="910"/>
      <c r="D1283" s="609"/>
      <c r="E1283" s="914"/>
      <c r="F1283" s="916"/>
      <c r="G1283" s="547" t="s">
        <v>379</v>
      </c>
      <c r="H1283" s="546" t="s">
        <v>380</v>
      </c>
      <c r="I1283" s="910"/>
      <c r="J1283" s="609"/>
    </row>
    <row r="1284" spans="1:15" ht="15" customHeight="1">
      <c r="A1284" s="905" t="s">
        <v>381</v>
      </c>
      <c r="B1284" s="546" t="s">
        <v>382</v>
      </c>
      <c r="C1284" s="910"/>
      <c r="D1284" s="609">
        <f>D1283</f>
        <v>0</v>
      </c>
      <c r="E1284" s="917"/>
      <c r="F1284" s="904"/>
      <c r="G1284" s="905" t="s">
        <v>381</v>
      </c>
      <c r="H1284" s="546" t="s">
        <v>382</v>
      </c>
      <c r="I1284" s="910"/>
      <c r="J1284" s="609">
        <f>J1283</f>
        <v>0</v>
      </c>
    </row>
    <row r="1285" spans="1:15" ht="15" customHeight="1">
      <c r="A1285" s="918" t="s">
        <v>383</v>
      </c>
      <c r="B1285" s="919" t="s">
        <v>384</v>
      </c>
      <c r="C1285" s="920"/>
      <c r="D1285" s="921" t="e">
        <f>SUM(D1276:D1281)-D1284</f>
        <v>#N/A</v>
      </c>
      <c r="E1285" s="922"/>
      <c r="F1285" s="923"/>
      <c r="G1285" s="918" t="s">
        <v>383</v>
      </c>
      <c r="H1285" s="919" t="s">
        <v>384</v>
      </c>
      <c r="I1285" s="920"/>
      <c r="J1285" s="921" t="e">
        <f>SUM(J1276:J1281)-J1284</f>
        <v>#N/A</v>
      </c>
    </row>
    <row r="1286" spans="1:15" ht="12.6" customHeight="1">
      <c r="A1286" s="924"/>
      <c r="B1286" s="925"/>
      <c r="C1286" s="926"/>
      <c r="D1286" s="927"/>
      <c r="E1286" s="927"/>
      <c r="F1286" s="928"/>
      <c r="G1286" s="924"/>
      <c r="H1286" s="925"/>
      <c r="I1286" s="926"/>
      <c r="J1286" s="927"/>
    </row>
    <row r="1287" spans="1:15" ht="12.6" customHeight="1">
      <c r="A1287" s="925"/>
      <c r="B1287" s="925"/>
      <c r="C1287" s="929"/>
      <c r="D1287" s="930"/>
      <c r="E1287" s="925"/>
      <c r="F1287" s="931"/>
      <c r="G1287" s="925"/>
      <c r="H1287" s="925"/>
      <c r="I1287" s="929"/>
      <c r="J1287" s="930"/>
    </row>
    <row r="1288" spans="1:15" ht="15" customHeight="1">
      <c r="A1288" s="2360" t="str">
        <f>$K$2</f>
        <v>THÁNG 09/2024</v>
      </c>
      <c r="B1288" s="2360"/>
      <c r="C1288" s="2360"/>
      <c r="D1288" s="2360"/>
      <c r="E1288" s="903"/>
      <c r="F1288" s="904"/>
      <c r="G1288" s="2360" t="str">
        <f>$K$2</f>
        <v>THÁNG 09/2024</v>
      </c>
      <c r="H1288" s="2360"/>
      <c r="I1288" s="2360"/>
      <c r="J1288" s="2360"/>
      <c r="K1288" s="276"/>
    </row>
    <row r="1289" spans="1:15" ht="15" customHeight="1">
      <c r="A1289" s="905" t="s">
        <v>356</v>
      </c>
      <c r="B1289" s="642" t="s">
        <v>83</v>
      </c>
      <c r="C1289" s="546"/>
      <c r="D1289" s="902"/>
      <c r="E1289" s="906"/>
      <c r="F1289" s="907"/>
      <c r="G1289" s="905" t="s">
        <v>356</v>
      </c>
      <c r="H1289" s="642" t="s">
        <v>84</v>
      </c>
      <c r="I1289" s="546"/>
      <c r="J1289" s="902"/>
      <c r="L1289" s="938"/>
      <c r="M1289" s="938"/>
      <c r="N1289" s="938"/>
      <c r="O1289" s="938"/>
    </row>
    <row r="1290" spans="1:15" ht="15" customHeight="1">
      <c r="A1290" s="905" t="s">
        <v>359</v>
      </c>
      <c r="B1290" s="939" t="s">
        <v>360</v>
      </c>
      <c r="C1290" s="910" t="e">
        <f>VLOOKUP(B1289,'LƯƠNG KT'!$D$16:$AC$184,3,0)</f>
        <v>#N/A</v>
      </c>
      <c r="D1290" s="609" t="e">
        <f>+C1290*25000</f>
        <v>#N/A</v>
      </c>
      <c r="E1290" s="911"/>
      <c r="F1290" s="911"/>
      <c r="G1290" s="905" t="s">
        <v>359</v>
      </c>
      <c r="H1290" s="939" t="s">
        <v>360</v>
      </c>
      <c r="I1290" s="910" t="e">
        <f>VLOOKUP(H1289,'LƯƠNG KT'!$D$16:$AC$184,3,0)</f>
        <v>#N/A</v>
      </c>
      <c r="J1290" s="609" t="e">
        <f>+I1290*25000</f>
        <v>#N/A</v>
      </c>
      <c r="K1290" s="935"/>
      <c r="L1290" s="935"/>
      <c r="M1290" s="935"/>
      <c r="N1290" s="935"/>
      <c r="O1290" s="935"/>
    </row>
    <row r="1291" spans="1:15" ht="15" customHeight="1">
      <c r="A1291" s="905" t="s">
        <v>361</v>
      </c>
      <c r="B1291" s="546" t="s">
        <v>362</v>
      </c>
      <c r="C1291" s="910" t="e">
        <f>VLOOKUP(B1289,'LƯƠNG KT'!$D$16:$AC$184,14,0)</f>
        <v>#N/A</v>
      </c>
      <c r="D1291" s="609" t="e">
        <f>C1291*$L$4</f>
        <v>#N/A</v>
      </c>
      <c r="E1291" s="912"/>
      <c r="F1291" s="912"/>
      <c r="G1291" s="905" t="s">
        <v>361</v>
      </c>
      <c r="H1291" s="546" t="s">
        <v>362</v>
      </c>
      <c r="I1291" s="910" t="e">
        <f>VLOOKUP(H1289,'LƯƠNG KT'!$D$16:$AC$184,14,0)</f>
        <v>#N/A</v>
      </c>
      <c r="J1291" s="609" t="e">
        <f>I1291*$L$4</f>
        <v>#N/A</v>
      </c>
      <c r="K1291" s="935"/>
      <c r="L1291" s="935"/>
      <c r="M1291" s="935"/>
      <c r="N1291" s="935"/>
      <c r="O1291" s="935"/>
    </row>
    <row r="1292" spans="1:15" ht="15" customHeight="1">
      <c r="A1292" s="905" t="s">
        <v>364</v>
      </c>
      <c r="B1292" s="546" t="s">
        <v>365</v>
      </c>
      <c r="C1292" s="910" t="e">
        <f>VLOOKUP(B1289,'LƯƠNG KT'!$D$16:$AC$184,15,0)</f>
        <v>#N/A</v>
      </c>
      <c r="D1292" s="609" t="e">
        <f>C1292*$L$5</f>
        <v>#N/A</v>
      </c>
      <c r="E1292" s="912"/>
      <c r="F1292" s="912"/>
      <c r="G1292" s="905" t="s">
        <v>364</v>
      </c>
      <c r="H1292" s="546" t="s">
        <v>365</v>
      </c>
      <c r="I1292" s="910" t="e">
        <f>VLOOKUP(H1289,'LƯƠNG KT'!$D$16:$AC$184,15,0)</f>
        <v>#N/A</v>
      </c>
      <c r="J1292" s="609" t="e">
        <f>I1292*$L$5</f>
        <v>#N/A</v>
      </c>
      <c r="K1292" s="935"/>
      <c r="L1292" s="935"/>
      <c r="M1292" s="935"/>
      <c r="N1292" s="935"/>
      <c r="O1292" s="935"/>
    </row>
    <row r="1293" spans="1:15" ht="15" customHeight="1">
      <c r="A1293" s="905" t="s">
        <v>367</v>
      </c>
      <c r="B1293" s="546"/>
      <c r="C1293" s="910" t="e">
        <f>VLOOKUP(B1289,'LƯƠNG KT'!$D$16:$AC$184,16,0)</f>
        <v>#N/A</v>
      </c>
      <c r="D1293" s="609" t="e">
        <f>+C1293*$L$6</f>
        <v>#N/A</v>
      </c>
      <c r="E1293" s="912"/>
      <c r="F1293" s="912"/>
      <c r="G1293" s="905" t="s">
        <v>367</v>
      </c>
      <c r="H1293" s="546"/>
      <c r="I1293" s="910" t="e">
        <f>VLOOKUP(H1289,'LƯƠNG KT'!$D$16:$AC$184,16,0)</f>
        <v>#N/A</v>
      </c>
      <c r="J1293" s="609" t="e">
        <f>+I1293*$L$6</f>
        <v>#N/A</v>
      </c>
      <c r="K1293" s="935"/>
      <c r="L1293" s="935"/>
      <c r="M1293" s="935"/>
      <c r="N1293" s="935"/>
      <c r="O1293" s="935"/>
    </row>
    <row r="1294" spans="1:15" ht="15" customHeight="1">
      <c r="A1294" s="905" t="s">
        <v>371</v>
      </c>
      <c r="B1294" s="546" t="s">
        <v>372</v>
      </c>
      <c r="C1294" s="910" t="e">
        <f>VLOOKUP(B1289,'LƯƠNG KT'!$D$16:$AC$184,9,0)*$L$10</f>
        <v>#N/A</v>
      </c>
      <c r="D1294" s="609" t="e">
        <f>+C1294*0.5*3000</f>
        <v>#N/A</v>
      </c>
      <c r="E1294" s="912"/>
      <c r="F1294" s="912"/>
      <c r="G1294" s="905" t="s">
        <v>371</v>
      </c>
      <c r="H1294" s="546" t="s">
        <v>372</v>
      </c>
      <c r="I1294" s="910" t="e">
        <f>VLOOKUP(H1289,'LƯƠNG KT'!$D$16:$AC$184,9,0)*$L$10</f>
        <v>#N/A</v>
      </c>
      <c r="J1294" s="609" t="e">
        <f>+I1294*0.5*3000</f>
        <v>#N/A</v>
      </c>
      <c r="K1294" s="935"/>
      <c r="L1294" s="935"/>
      <c r="M1294" s="935"/>
      <c r="N1294" s="935"/>
      <c r="O1294" s="935"/>
    </row>
    <row r="1295" spans="1:15" ht="15" customHeight="1">
      <c r="A1295" s="905" t="s">
        <v>374</v>
      </c>
      <c r="B1295" s="546" t="s">
        <v>375</v>
      </c>
      <c r="C1295" s="910" t="e">
        <f>VLOOKUP(B1289,'LƯƠNG KT'!$D$16:$AC$184,8,0)*$L$11</f>
        <v>#N/A</v>
      </c>
      <c r="D1295" s="609" t="e">
        <f>VLOOKUP(B1289,'LƯƠNG KT'!$D$16:$AC$184,13,0)-D1294</f>
        <v>#N/A</v>
      </c>
      <c r="E1295" s="914"/>
      <c r="F1295" s="912"/>
      <c r="G1295" s="905" t="s">
        <v>374</v>
      </c>
      <c r="H1295" s="546" t="s">
        <v>375</v>
      </c>
      <c r="I1295" s="910" t="e">
        <f>VLOOKUP(H1289,'LƯƠNG KT'!$D$16:$AC$184,8,0)*$L$11</f>
        <v>#N/A</v>
      </c>
      <c r="J1295" s="609" t="e">
        <f>VLOOKUP(H1289,'LƯƠNG KT'!$D$16:$AC$184,13,0)-J1294</f>
        <v>#N/A</v>
      </c>
      <c r="K1295" s="935"/>
      <c r="L1295" s="935"/>
      <c r="M1295" s="935"/>
      <c r="N1295" s="935"/>
      <c r="O1295" s="935"/>
    </row>
    <row r="1296" spans="1:15" ht="15" customHeight="1">
      <c r="A1296" s="609" t="s">
        <v>377</v>
      </c>
      <c r="B1296" s="546" t="s">
        <v>378</v>
      </c>
      <c r="C1296" s="910"/>
      <c r="D1296" s="609"/>
      <c r="E1296" s="916"/>
      <c r="F1296" s="916"/>
      <c r="G1296" s="609" t="s">
        <v>377</v>
      </c>
      <c r="H1296" s="546" t="s">
        <v>378</v>
      </c>
      <c r="I1296" s="910"/>
      <c r="J1296" s="609"/>
    </row>
    <row r="1297" spans="1:15" ht="15" customHeight="1">
      <c r="A1297" s="547" t="s">
        <v>379</v>
      </c>
      <c r="B1297" s="546" t="s">
        <v>380</v>
      </c>
      <c r="C1297" s="910"/>
      <c r="D1297" s="609"/>
      <c r="E1297" s="914"/>
      <c r="F1297" s="916"/>
      <c r="G1297" s="547" t="s">
        <v>379</v>
      </c>
      <c r="H1297" s="546" t="s">
        <v>380</v>
      </c>
      <c r="I1297" s="910"/>
      <c r="J1297" s="609"/>
    </row>
    <row r="1298" spans="1:15" ht="15" customHeight="1">
      <c r="A1298" s="905" t="s">
        <v>381</v>
      </c>
      <c r="B1298" s="546" t="s">
        <v>382</v>
      </c>
      <c r="C1298" s="910"/>
      <c r="D1298" s="609">
        <f>D1297</f>
        <v>0</v>
      </c>
      <c r="E1298" s="917"/>
      <c r="F1298" s="904"/>
      <c r="G1298" s="905" t="s">
        <v>381</v>
      </c>
      <c r="H1298" s="546" t="s">
        <v>382</v>
      </c>
      <c r="I1298" s="910"/>
      <c r="J1298" s="609">
        <f>J1297</f>
        <v>0</v>
      </c>
    </row>
    <row r="1299" spans="1:15" ht="15" customHeight="1">
      <c r="A1299" s="918" t="s">
        <v>383</v>
      </c>
      <c r="B1299" s="919" t="s">
        <v>384</v>
      </c>
      <c r="C1299" s="920"/>
      <c r="D1299" s="921" t="e">
        <f>SUM(D1290:D1295)-D1298</f>
        <v>#N/A</v>
      </c>
      <c r="E1299" s="922"/>
      <c r="F1299" s="923"/>
      <c r="G1299" s="918" t="s">
        <v>383</v>
      </c>
      <c r="H1299" s="919" t="s">
        <v>384</v>
      </c>
      <c r="I1299" s="920"/>
      <c r="J1299" s="921" t="e">
        <f>SUM(J1290:J1295)-J1298</f>
        <v>#N/A</v>
      </c>
    </row>
    <row r="1300" spans="1:15" ht="18.75" customHeight="1">
      <c r="A1300" s="924"/>
      <c r="B1300" s="925"/>
      <c r="C1300" s="926"/>
      <c r="D1300" s="927"/>
      <c r="E1300" s="927"/>
      <c r="F1300" s="928"/>
      <c r="G1300" s="924"/>
      <c r="H1300" s="925"/>
      <c r="I1300" s="926"/>
      <c r="J1300" s="927"/>
    </row>
    <row r="1301" spans="1:15" ht="18.75" customHeight="1">
      <c r="A1301" s="925"/>
      <c r="B1301" s="925"/>
      <c r="C1301" s="929"/>
      <c r="D1301" s="930"/>
      <c r="E1301" s="925"/>
      <c r="F1301" s="931"/>
      <c r="G1301" s="925"/>
      <c r="H1301" s="925"/>
      <c r="I1301" s="929"/>
      <c r="J1301" s="930"/>
    </row>
    <row r="1302" spans="1:15" ht="15" customHeight="1">
      <c r="A1302" s="2360" t="str">
        <f>$K$2</f>
        <v>THÁNG 09/2024</v>
      </c>
      <c r="B1302" s="2360"/>
      <c r="C1302" s="2360"/>
      <c r="D1302" s="2360"/>
      <c r="E1302" s="903"/>
      <c r="F1302" s="904"/>
      <c r="G1302" s="2360" t="str">
        <f>$K$2</f>
        <v>THÁNG 09/2024</v>
      </c>
      <c r="H1302" s="2360"/>
      <c r="I1302" s="2360"/>
      <c r="J1302" s="2360"/>
      <c r="K1302" s="276"/>
    </row>
    <row r="1303" spans="1:15" ht="15" customHeight="1">
      <c r="A1303" s="905" t="s">
        <v>356</v>
      </c>
      <c r="B1303" s="642" t="s">
        <v>85</v>
      </c>
      <c r="C1303" s="546"/>
      <c r="D1303" s="902"/>
      <c r="E1303" s="906"/>
      <c r="F1303" s="907"/>
      <c r="G1303" s="905" t="s">
        <v>356</v>
      </c>
      <c r="H1303" s="642" t="s">
        <v>86</v>
      </c>
      <c r="I1303" s="546"/>
      <c r="J1303" s="902"/>
      <c r="L1303" s="938"/>
      <c r="M1303" s="938"/>
      <c r="N1303" s="938"/>
      <c r="O1303" s="938"/>
    </row>
    <row r="1304" spans="1:15" ht="15" customHeight="1">
      <c r="A1304" s="905" t="s">
        <v>359</v>
      </c>
      <c r="B1304" s="939" t="s">
        <v>360</v>
      </c>
      <c r="C1304" s="910" t="e">
        <f>VLOOKUP(B1303,'LƯƠNG KT'!$D$16:$AC$184,3,0)</f>
        <v>#N/A</v>
      </c>
      <c r="D1304" s="609" t="e">
        <f>+C1304*25000</f>
        <v>#N/A</v>
      </c>
      <c r="E1304" s="911"/>
      <c r="F1304" s="911"/>
      <c r="G1304" s="905" t="s">
        <v>359</v>
      </c>
      <c r="H1304" s="939" t="s">
        <v>360</v>
      </c>
      <c r="I1304" s="910" t="e">
        <f>VLOOKUP(H1303,'LƯƠNG KT'!$D$16:$AC$184,3,0)</f>
        <v>#N/A</v>
      </c>
      <c r="J1304" s="609" t="e">
        <f>+I1304*25000</f>
        <v>#N/A</v>
      </c>
      <c r="K1304" s="935"/>
      <c r="L1304" s="935"/>
      <c r="M1304" s="935"/>
      <c r="N1304" s="935"/>
      <c r="O1304" s="935"/>
    </row>
    <row r="1305" spans="1:15" ht="15" customHeight="1">
      <c r="A1305" s="905" t="s">
        <v>361</v>
      </c>
      <c r="B1305" s="546" t="s">
        <v>362</v>
      </c>
      <c r="C1305" s="910" t="e">
        <f>VLOOKUP(B1303,'LƯƠNG KT'!$D$16:$AC$184,14,0)</f>
        <v>#N/A</v>
      </c>
      <c r="D1305" s="609" t="e">
        <f>C1305*$L$4</f>
        <v>#N/A</v>
      </c>
      <c r="E1305" s="912"/>
      <c r="F1305" s="912"/>
      <c r="G1305" s="905" t="s">
        <v>361</v>
      </c>
      <c r="H1305" s="546" t="s">
        <v>362</v>
      </c>
      <c r="I1305" s="910" t="e">
        <f>VLOOKUP(H1303,'LƯƠNG KT'!$D$16:$AC$184,14,0)</f>
        <v>#N/A</v>
      </c>
      <c r="J1305" s="609" t="e">
        <f>I1305*$L$4</f>
        <v>#N/A</v>
      </c>
      <c r="K1305" s="935"/>
      <c r="L1305" s="935"/>
      <c r="M1305" s="935"/>
      <c r="N1305" s="935"/>
      <c r="O1305" s="935"/>
    </row>
    <row r="1306" spans="1:15" ht="15" customHeight="1">
      <c r="A1306" s="905" t="s">
        <v>364</v>
      </c>
      <c r="B1306" s="546" t="s">
        <v>365</v>
      </c>
      <c r="C1306" s="910" t="e">
        <f>VLOOKUP(B1303,'LƯƠNG KT'!$D$16:$AC$184,15,0)</f>
        <v>#N/A</v>
      </c>
      <c r="D1306" s="609" t="e">
        <f>C1306*$L$5</f>
        <v>#N/A</v>
      </c>
      <c r="E1306" s="912"/>
      <c r="F1306" s="912"/>
      <c r="G1306" s="905" t="s">
        <v>364</v>
      </c>
      <c r="H1306" s="546" t="s">
        <v>365</v>
      </c>
      <c r="I1306" s="910" t="e">
        <f>VLOOKUP(H1303,'LƯƠNG KT'!$D$16:$AC$184,15,0)</f>
        <v>#N/A</v>
      </c>
      <c r="J1306" s="609" t="e">
        <f>I1306*$L$5</f>
        <v>#N/A</v>
      </c>
      <c r="K1306" s="935"/>
      <c r="L1306" s="935"/>
      <c r="M1306" s="935"/>
      <c r="N1306" s="935"/>
      <c r="O1306" s="935"/>
    </row>
    <row r="1307" spans="1:15" ht="15" customHeight="1">
      <c r="A1307" s="905" t="s">
        <v>367</v>
      </c>
      <c r="B1307" s="546"/>
      <c r="C1307" s="910" t="e">
        <f>VLOOKUP(B1303,'LƯƠNG KT'!$D$16:$AC$184,16,0)</f>
        <v>#N/A</v>
      </c>
      <c r="D1307" s="609" t="e">
        <f>+C1307*$L$6</f>
        <v>#N/A</v>
      </c>
      <c r="E1307" s="912"/>
      <c r="F1307" s="912"/>
      <c r="G1307" s="905" t="s">
        <v>367</v>
      </c>
      <c r="H1307" s="546"/>
      <c r="I1307" s="910" t="e">
        <f>VLOOKUP(H1303,'LƯƠNG KT'!$D$16:$AC$184,16,0)</f>
        <v>#N/A</v>
      </c>
      <c r="J1307" s="609" t="e">
        <f>+I1307*$L$6</f>
        <v>#N/A</v>
      </c>
      <c r="K1307" s="935"/>
      <c r="L1307" s="935"/>
      <c r="M1307" s="935"/>
      <c r="N1307" s="935"/>
      <c r="O1307" s="935"/>
    </row>
    <row r="1308" spans="1:15" ht="15" customHeight="1">
      <c r="A1308" s="905" t="s">
        <v>371</v>
      </c>
      <c r="B1308" s="546" t="s">
        <v>372</v>
      </c>
      <c r="C1308" s="910" t="e">
        <f>VLOOKUP(B1303,'LƯƠNG KT'!$D$16:$AC$184,9,0)*$L$10</f>
        <v>#N/A</v>
      </c>
      <c r="D1308" s="609" t="e">
        <f>+C1308*0.5*3000</f>
        <v>#N/A</v>
      </c>
      <c r="E1308" s="912"/>
      <c r="F1308" s="912"/>
      <c r="G1308" s="905" t="s">
        <v>371</v>
      </c>
      <c r="H1308" s="546" t="s">
        <v>372</v>
      </c>
      <c r="I1308" s="910" t="e">
        <f>VLOOKUP(H1303,'LƯƠNG KT'!$D$16:$AC$184,9,0)*$L$10</f>
        <v>#N/A</v>
      </c>
      <c r="J1308" s="609" t="e">
        <f>+I1308*0.5*3000</f>
        <v>#N/A</v>
      </c>
      <c r="K1308" s="935"/>
      <c r="L1308" s="935"/>
      <c r="M1308" s="935"/>
      <c r="N1308" s="935"/>
      <c r="O1308" s="935"/>
    </row>
    <row r="1309" spans="1:15" ht="15" customHeight="1">
      <c r="A1309" s="905" t="s">
        <v>374</v>
      </c>
      <c r="B1309" s="546" t="s">
        <v>375</v>
      </c>
      <c r="C1309" s="910" t="e">
        <f>VLOOKUP(B1303,'LƯƠNG KT'!$D$16:$AC$184,8,0)*$L$11</f>
        <v>#N/A</v>
      </c>
      <c r="D1309" s="609" t="e">
        <f>VLOOKUP(B1303,'LƯƠNG KT'!$D$16:$AC$184,13,0)-D1308</f>
        <v>#N/A</v>
      </c>
      <c r="E1309" s="914"/>
      <c r="F1309" s="912"/>
      <c r="G1309" s="905" t="s">
        <v>374</v>
      </c>
      <c r="H1309" s="546" t="s">
        <v>375</v>
      </c>
      <c r="I1309" s="910" t="e">
        <f>VLOOKUP(H1303,'LƯƠNG KT'!$D$16:$AC$184,8,0)*$L$11</f>
        <v>#N/A</v>
      </c>
      <c r="J1309" s="609" t="e">
        <f>VLOOKUP(H1303,'LƯƠNG KT'!$D$16:$AC$184,13,0)-J1308</f>
        <v>#N/A</v>
      </c>
      <c r="K1309" s="935"/>
      <c r="L1309" s="935"/>
      <c r="M1309" s="935"/>
      <c r="N1309" s="935"/>
      <c r="O1309" s="935"/>
    </row>
    <row r="1310" spans="1:15" ht="15" customHeight="1">
      <c r="A1310" s="609" t="s">
        <v>377</v>
      </c>
      <c r="B1310" s="546" t="s">
        <v>378</v>
      </c>
      <c r="C1310" s="910"/>
      <c r="D1310" s="609"/>
      <c r="E1310" s="916"/>
      <c r="F1310" s="916"/>
      <c r="G1310" s="609" t="s">
        <v>377</v>
      </c>
      <c r="H1310" s="546" t="s">
        <v>378</v>
      </c>
      <c r="I1310" s="910"/>
      <c r="J1310" s="609"/>
    </row>
    <row r="1311" spans="1:15" ht="15" customHeight="1">
      <c r="A1311" s="547" t="s">
        <v>379</v>
      </c>
      <c r="B1311" s="546" t="s">
        <v>380</v>
      </c>
      <c r="C1311" s="910"/>
      <c r="D1311" s="609"/>
      <c r="E1311" s="914"/>
      <c r="F1311" s="916"/>
      <c r="G1311" s="547" t="s">
        <v>379</v>
      </c>
      <c r="H1311" s="546" t="s">
        <v>380</v>
      </c>
      <c r="I1311" s="910"/>
      <c r="J1311" s="609"/>
    </row>
    <row r="1312" spans="1:15" ht="15" customHeight="1">
      <c r="A1312" s="905" t="s">
        <v>381</v>
      </c>
      <c r="B1312" s="546" t="s">
        <v>382</v>
      </c>
      <c r="C1312" s="910"/>
      <c r="D1312" s="609">
        <f>D1311</f>
        <v>0</v>
      </c>
      <c r="E1312" s="917"/>
      <c r="F1312" s="904"/>
      <c r="G1312" s="905" t="s">
        <v>381</v>
      </c>
      <c r="H1312" s="546" t="s">
        <v>382</v>
      </c>
      <c r="I1312" s="910"/>
      <c r="J1312" s="609">
        <f>J1311</f>
        <v>0</v>
      </c>
    </row>
    <row r="1313" spans="1:15" ht="15" customHeight="1">
      <c r="A1313" s="918" t="s">
        <v>383</v>
      </c>
      <c r="B1313" s="919" t="s">
        <v>384</v>
      </c>
      <c r="C1313" s="920"/>
      <c r="D1313" s="921" t="e">
        <f>SUM(D1304:D1309)-D1312</f>
        <v>#N/A</v>
      </c>
      <c r="E1313" s="922"/>
      <c r="F1313" s="923"/>
      <c r="G1313" s="918" t="s">
        <v>383</v>
      </c>
      <c r="H1313" s="919" t="s">
        <v>384</v>
      </c>
      <c r="I1313" s="920"/>
      <c r="J1313" s="921" t="e">
        <f>SUM(J1304:J1309)-J1312</f>
        <v>#N/A</v>
      </c>
    </row>
    <row r="1314" spans="1:15" ht="18.75" customHeight="1">
      <c r="A1314" s="924"/>
      <c r="B1314" s="925"/>
      <c r="C1314" s="926"/>
      <c r="D1314" s="927"/>
      <c r="E1314" s="927"/>
      <c r="F1314" s="928"/>
      <c r="G1314" s="924"/>
      <c r="H1314" s="925"/>
      <c r="I1314" s="926"/>
      <c r="J1314" s="927"/>
    </row>
    <row r="1315" spans="1:15" ht="18.75" customHeight="1">
      <c r="A1315" s="925"/>
      <c r="B1315" s="925"/>
      <c r="C1315" s="929"/>
      <c r="D1315" s="930"/>
      <c r="E1315" s="925"/>
      <c r="F1315" s="931"/>
      <c r="G1315" s="925"/>
      <c r="H1315" s="925"/>
      <c r="I1315" s="929"/>
      <c r="J1315" s="930"/>
    </row>
    <row r="1316" spans="1:15" ht="15" customHeight="1">
      <c r="A1316" s="2360" t="str">
        <f>$K$2</f>
        <v>THÁNG 09/2024</v>
      </c>
      <c r="B1316" s="2360"/>
      <c r="C1316" s="2360"/>
      <c r="D1316" s="2360"/>
      <c r="E1316" s="903"/>
      <c r="F1316" s="904"/>
      <c r="G1316" s="2360" t="str">
        <f>$K$2</f>
        <v>THÁNG 09/2024</v>
      </c>
      <c r="H1316" s="2360"/>
      <c r="I1316" s="2360"/>
      <c r="J1316" s="2360"/>
      <c r="K1316" s="276"/>
    </row>
    <row r="1317" spans="1:15" ht="15" customHeight="1">
      <c r="A1317" s="905" t="s">
        <v>356</v>
      </c>
      <c r="B1317" s="642" t="s">
        <v>87</v>
      </c>
      <c r="C1317" s="546"/>
      <c r="D1317" s="902"/>
      <c r="E1317" s="906"/>
      <c r="F1317" s="907"/>
      <c r="G1317" s="905" t="s">
        <v>356</v>
      </c>
      <c r="H1317" s="642" t="s">
        <v>88</v>
      </c>
      <c r="I1317" s="546"/>
      <c r="J1317" s="902"/>
      <c r="L1317" s="938"/>
      <c r="M1317" s="938"/>
      <c r="N1317" s="938"/>
      <c r="O1317" s="938"/>
    </row>
    <row r="1318" spans="1:15" ht="15" customHeight="1">
      <c r="A1318" s="905" t="s">
        <v>359</v>
      </c>
      <c r="B1318" s="939" t="s">
        <v>360</v>
      </c>
      <c r="C1318" s="910" t="e">
        <f>VLOOKUP(B1317,'LƯƠNG KT'!$D$16:$AC$184,3,0)</f>
        <v>#N/A</v>
      </c>
      <c r="D1318" s="609" t="e">
        <f>+C1318*25000</f>
        <v>#N/A</v>
      </c>
      <c r="E1318" s="911"/>
      <c r="F1318" s="911"/>
      <c r="G1318" s="905" t="s">
        <v>359</v>
      </c>
      <c r="H1318" s="939" t="s">
        <v>360</v>
      </c>
      <c r="I1318" s="910" t="e">
        <f>VLOOKUP(H1317,'LƯƠNG KT'!$D$16:$AC$184,3,0)</f>
        <v>#N/A</v>
      </c>
      <c r="J1318" s="609" t="e">
        <f>+I1318*25000</f>
        <v>#N/A</v>
      </c>
      <c r="K1318" s="935"/>
      <c r="L1318" s="935"/>
      <c r="M1318" s="935"/>
      <c r="N1318" s="935"/>
      <c r="O1318" s="935"/>
    </row>
    <row r="1319" spans="1:15" ht="15" customHeight="1">
      <c r="A1319" s="905" t="s">
        <v>361</v>
      </c>
      <c r="B1319" s="546" t="s">
        <v>362</v>
      </c>
      <c r="C1319" s="910" t="e">
        <f>VLOOKUP(B1317,'LƯƠNG KT'!$D$16:$AC$184,14,0)</f>
        <v>#N/A</v>
      </c>
      <c r="D1319" s="609" t="e">
        <f>C1319*$L$4</f>
        <v>#N/A</v>
      </c>
      <c r="E1319" s="912"/>
      <c r="F1319" s="912"/>
      <c r="G1319" s="905" t="s">
        <v>361</v>
      </c>
      <c r="H1319" s="546" t="s">
        <v>362</v>
      </c>
      <c r="I1319" s="910" t="e">
        <f>VLOOKUP(H1317,'LƯƠNG KT'!$D$16:$AC$184,14,0)</f>
        <v>#N/A</v>
      </c>
      <c r="J1319" s="609" t="e">
        <f>I1319*$L$4</f>
        <v>#N/A</v>
      </c>
      <c r="K1319" s="935"/>
      <c r="L1319" s="935"/>
      <c r="M1319" s="935"/>
      <c r="N1319" s="935"/>
      <c r="O1319" s="935"/>
    </row>
    <row r="1320" spans="1:15" ht="15" customHeight="1">
      <c r="A1320" s="905" t="s">
        <v>364</v>
      </c>
      <c r="B1320" s="546" t="s">
        <v>365</v>
      </c>
      <c r="C1320" s="910" t="e">
        <f>VLOOKUP(B1317,'LƯƠNG KT'!$D$16:$AC$184,15,0)</f>
        <v>#N/A</v>
      </c>
      <c r="D1320" s="609" t="e">
        <f>C1320*$L$5</f>
        <v>#N/A</v>
      </c>
      <c r="E1320" s="912"/>
      <c r="F1320" s="912"/>
      <c r="G1320" s="905" t="s">
        <v>364</v>
      </c>
      <c r="H1320" s="546" t="s">
        <v>365</v>
      </c>
      <c r="I1320" s="910" t="e">
        <f>VLOOKUP(H1317,'LƯƠNG KT'!$D$16:$AC$184,15,0)</f>
        <v>#N/A</v>
      </c>
      <c r="J1320" s="609" t="e">
        <f>I1320*$L$5</f>
        <v>#N/A</v>
      </c>
      <c r="K1320" s="935"/>
      <c r="L1320" s="935"/>
      <c r="M1320" s="935"/>
      <c r="N1320" s="935"/>
      <c r="O1320" s="935"/>
    </row>
    <row r="1321" spans="1:15" ht="15" customHeight="1">
      <c r="A1321" s="905" t="s">
        <v>367</v>
      </c>
      <c r="B1321" s="546"/>
      <c r="C1321" s="910" t="e">
        <f>VLOOKUP(B1317,'LƯƠNG KT'!$D$16:$AC$184,16,0)</f>
        <v>#N/A</v>
      </c>
      <c r="D1321" s="609" t="e">
        <f>+C1321*$L$6</f>
        <v>#N/A</v>
      </c>
      <c r="E1321" s="912"/>
      <c r="F1321" s="912"/>
      <c r="G1321" s="905" t="s">
        <v>367</v>
      </c>
      <c r="H1321" s="546"/>
      <c r="I1321" s="910" t="e">
        <f>VLOOKUP(H1317,'LƯƠNG KT'!$D$16:$AC$184,16,0)</f>
        <v>#N/A</v>
      </c>
      <c r="J1321" s="609" t="e">
        <f>+I1321*$L$6</f>
        <v>#N/A</v>
      </c>
      <c r="K1321" s="935"/>
      <c r="L1321" s="935"/>
      <c r="M1321" s="935"/>
      <c r="N1321" s="935"/>
      <c r="O1321" s="935"/>
    </row>
    <row r="1322" spans="1:15" ht="15" customHeight="1">
      <c r="A1322" s="905" t="s">
        <v>371</v>
      </c>
      <c r="B1322" s="546" t="s">
        <v>372</v>
      </c>
      <c r="C1322" s="910" t="e">
        <f>VLOOKUP(B1317,'LƯƠNG KT'!$D$16:$AC$184,9,0)*$L$10</f>
        <v>#N/A</v>
      </c>
      <c r="D1322" s="609" t="e">
        <f>+C1322*0.5*3000</f>
        <v>#N/A</v>
      </c>
      <c r="E1322" s="912"/>
      <c r="F1322" s="912"/>
      <c r="G1322" s="905" t="s">
        <v>371</v>
      </c>
      <c r="H1322" s="546" t="s">
        <v>372</v>
      </c>
      <c r="I1322" s="910" t="e">
        <f>VLOOKUP(H1317,'LƯƠNG KT'!$D$16:$AC$184,9,0)*$L$10</f>
        <v>#N/A</v>
      </c>
      <c r="J1322" s="609" t="e">
        <f>+I1322*0.5*3000</f>
        <v>#N/A</v>
      </c>
      <c r="K1322" s="935"/>
      <c r="L1322" s="935"/>
      <c r="M1322" s="935"/>
      <c r="N1322" s="935"/>
      <c r="O1322" s="935"/>
    </row>
    <row r="1323" spans="1:15" ht="15" customHeight="1">
      <c r="A1323" s="905" t="s">
        <v>374</v>
      </c>
      <c r="B1323" s="546" t="s">
        <v>375</v>
      </c>
      <c r="C1323" s="910" t="e">
        <f>VLOOKUP(B1317,'LƯƠNG KT'!$D$16:$AC$184,8,0)*$L$11</f>
        <v>#N/A</v>
      </c>
      <c r="D1323" s="609" t="e">
        <f>VLOOKUP(B1317,'LƯƠNG KT'!$D$16:$AC$184,13,0)-D1322</f>
        <v>#N/A</v>
      </c>
      <c r="E1323" s="914"/>
      <c r="F1323" s="912"/>
      <c r="G1323" s="905" t="s">
        <v>374</v>
      </c>
      <c r="H1323" s="546" t="s">
        <v>375</v>
      </c>
      <c r="I1323" s="910" t="e">
        <f>VLOOKUP(H1317,'LƯƠNG KT'!$D$16:$AC$184,8,0)*$L$11</f>
        <v>#N/A</v>
      </c>
      <c r="J1323" s="609" t="e">
        <f>VLOOKUP(H1317,'LƯƠNG KT'!$D$16:$AC$184,13,0)-J1322</f>
        <v>#N/A</v>
      </c>
      <c r="K1323" s="935"/>
      <c r="L1323" s="935"/>
      <c r="M1323" s="935"/>
      <c r="N1323" s="935"/>
      <c r="O1323" s="935"/>
    </row>
    <row r="1324" spans="1:15" ht="15" customHeight="1">
      <c r="A1324" s="609" t="s">
        <v>377</v>
      </c>
      <c r="B1324" s="546" t="s">
        <v>378</v>
      </c>
      <c r="C1324" s="910"/>
      <c r="D1324" s="609"/>
      <c r="E1324" s="916"/>
      <c r="F1324" s="916"/>
      <c r="G1324" s="609" t="s">
        <v>377</v>
      </c>
      <c r="H1324" s="546" t="s">
        <v>378</v>
      </c>
      <c r="I1324" s="910"/>
      <c r="J1324" s="609"/>
    </row>
    <row r="1325" spans="1:15" ht="15" customHeight="1">
      <c r="A1325" s="547" t="s">
        <v>379</v>
      </c>
      <c r="B1325" s="546" t="s">
        <v>380</v>
      </c>
      <c r="C1325" s="910"/>
      <c r="D1325" s="609"/>
      <c r="E1325" s="914"/>
      <c r="F1325" s="916"/>
      <c r="G1325" s="547" t="s">
        <v>379</v>
      </c>
      <c r="H1325" s="546" t="s">
        <v>380</v>
      </c>
      <c r="I1325" s="910"/>
      <c r="J1325" s="609"/>
    </row>
    <row r="1326" spans="1:15" ht="15" customHeight="1">
      <c r="A1326" s="905" t="s">
        <v>381</v>
      </c>
      <c r="B1326" s="546" t="s">
        <v>382</v>
      </c>
      <c r="C1326" s="910"/>
      <c r="D1326" s="609">
        <f>D1325</f>
        <v>0</v>
      </c>
      <c r="E1326" s="917"/>
      <c r="F1326" s="904"/>
      <c r="G1326" s="905" t="s">
        <v>381</v>
      </c>
      <c r="H1326" s="546" t="s">
        <v>382</v>
      </c>
      <c r="I1326" s="910"/>
      <c r="J1326" s="609">
        <f>J1325</f>
        <v>0</v>
      </c>
    </row>
    <row r="1327" spans="1:15" ht="15" customHeight="1">
      <c r="A1327" s="918" t="s">
        <v>383</v>
      </c>
      <c r="B1327" s="919" t="s">
        <v>384</v>
      </c>
      <c r="C1327" s="920"/>
      <c r="D1327" s="921" t="e">
        <f>SUM(D1318:D1323)-D1326</f>
        <v>#N/A</v>
      </c>
      <c r="E1327" s="922"/>
      <c r="F1327" s="923"/>
      <c r="G1327" s="918" t="s">
        <v>383</v>
      </c>
      <c r="H1327" s="919" t="s">
        <v>384</v>
      </c>
      <c r="I1327" s="920"/>
      <c r="J1327" s="921" t="e">
        <f>SUM(J1318:J1323)-J1326</f>
        <v>#N/A</v>
      </c>
    </row>
    <row r="1328" spans="1:15" ht="15.75" customHeight="1">
      <c r="A1328" s="924"/>
      <c r="B1328" s="925"/>
      <c r="C1328" s="926"/>
      <c r="D1328" s="927"/>
      <c r="E1328" s="927"/>
      <c r="F1328" s="928"/>
      <c r="G1328" s="924"/>
      <c r="H1328" s="925"/>
      <c r="I1328" s="926"/>
      <c r="J1328" s="927"/>
    </row>
    <row r="1330" spans="1:15" ht="12" customHeight="1">
      <c r="A1330" s="2361"/>
      <c r="B1330" s="2361"/>
      <c r="C1330" s="2361"/>
      <c r="D1330" s="2361"/>
      <c r="E1330" s="2361"/>
      <c r="F1330" s="2361"/>
      <c r="G1330" s="2361"/>
      <c r="H1330" s="2361"/>
      <c r="I1330" s="2361"/>
      <c r="J1330" s="2361"/>
    </row>
    <row r="1331" spans="1:15" ht="15" customHeight="1">
      <c r="A1331" s="2360" t="str">
        <f>$K$2</f>
        <v>THÁNG 09/2024</v>
      </c>
      <c r="B1331" s="2360"/>
      <c r="C1331" s="2360"/>
      <c r="D1331" s="2360"/>
      <c r="E1331" s="903"/>
      <c r="F1331" s="904"/>
      <c r="G1331" s="2360" t="str">
        <f>$K$2</f>
        <v>THÁNG 09/2024</v>
      </c>
      <c r="H1331" s="2360"/>
      <c r="I1331" s="2360"/>
      <c r="J1331" s="2360"/>
      <c r="K1331" s="276"/>
    </row>
    <row r="1332" spans="1:15" ht="15" customHeight="1">
      <c r="A1332" s="905" t="s">
        <v>356</v>
      </c>
      <c r="B1332" s="642" t="s">
        <v>89</v>
      </c>
      <c r="C1332" s="546"/>
      <c r="D1332" s="902"/>
      <c r="E1332" s="906"/>
      <c r="F1332" s="907"/>
      <c r="G1332" s="905" t="s">
        <v>356</v>
      </c>
      <c r="H1332" s="642" t="s">
        <v>90</v>
      </c>
      <c r="I1332" s="546"/>
      <c r="J1332" s="902"/>
      <c r="L1332" s="938"/>
      <c r="M1332" s="938"/>
      <c r="N1332" s="938"/>
      <c r="O1332" s="938"/>
    </row>
    <row r="1333" spans="1:15" ht="15" customHeight="1">
      <c r="A1333" s="905" t="s">
        <v>359</v>
      </c>
      <c r="B1333" s="939" t="s">
        <v>360</v>
      </c>
      <c r="C1333" s="910" t="e">
        <f>VLOOKUP(B1332,'LƯƠNG KT'!$D$16:$AC$184,3,0)</f>
        <v>#N/A</v>
      </c>
      <c r="D1333" s="609" t="e">
        <f>+C1333*25000</f>
        <v>#N/A</v>
      </c>
      <c r="E1333" s="911"/>
      <c r="F1333" s="911"/>
      <c r="G1333" s="905" t="s">
        <v>359</v>
      </c>
      <c r="H1333" s="939" t="s">
        <v>360</v>
      </c>
      <c r="I1333" s="910" t="e">
        <f>VLOOKUP(H1332,'LƯƠNG KT'!$D$16:$AC$184,3,0)</f>
        <v>#N/A</v>
      </c>
      <c r="J1333" s="609" t="e">
        <f>+I1333*25000</f>
        <v>#N/A</v>
      </c>
      <c r="K1333" s="934"/>
      <c r="L1333" s="935"/>
      <c r="M1333" s="935"/>
      <c r="N1333" s="935"/>
      <c r="O1333" s="935"/>
    </row>
    <row r="1334" spans="1:15" ht="15" customHeight="1">
      <c r="A1334" s="905" t="s">
        <v>361</v>
      </c>
      <c r="B1334" s="546" t="s">
        <v>362</v>
      </c>
      <c r="C1334" s="910" t="e">
        <f>VLOOKUP(B1332,'LƯƠNG KT'!$D$16:$AC$184,14,0)</f>
        <v>#N/A</v>
      </c>
      <c r="D1334" s="609" t="e">
        <f>C1334*$L$4</f>
        <v>#N/A</v>
      </c>
      <c r="E1334" s="912"/>
      <c r="F1334" s="912"/>
      <c r="G1334" s="905" t="s">
        <v>361</v>
      </c>
      <c r="H1334" s="546" t="s">
        <v>362</v>
      </c>
      <c r="I1334" s="910" t="e">
        <f>VLOOKUP(H1332,'LƯƠNG KT'!$D$16:$AC$184,14,0)</f>
        <v>#N/A</v>
      </c>
      <c r="J1334" s="609" t="e">
        <f>I1334*$L$4</f>
        <v>#N/A</v>
      </c>
      <c r="K1334" s="934"/>
      <c r="L1334" s="935"/>
      <c r="M1334" s="935"/>
      <c r="N1334" s="935"/>
      <c r="O1334" s="935"/>
    </row>
    <row r="1335" spans="1:15" ht="15" customHeight="1">
      <c r="A1335" s="905" t="s">
        <v>364</v>
      </c>
      <c r="B1335" s="546" t="s">
        <v>365</v>
      </c>
      <c r="C1335" s="910" t="e">
        <f>VLOOKUP(B1332,'LƯƠNG KT'!$D$16:$AC$184,15,0)</f>
        <v>#N/A</v>
      </c>
      <c r="D1335" s="609" t="e">
        <f>C1335*$L$5</f>
        <v>#N/A</v>
      </c>
      <c r="E1335" s="912"/>
      <c r="F1335" s="912"/>
      <c r="G1335" s="905" t="s">
        <v>364</v>
      </c>
      <c r="H1335" s="546" t="s">
        <v>365</v>
      </c>
      <c r="I1335" s="910" t="e">
        <f>VLOOKUP(H1332,'LƯƠNG KT'!$D$16:$AC$184,15,0)</f>
        <v>#N/A</v>
      </c>
      <c r="J1335" s="609" t="e">
        <f>I1335*$L$5</f>
        <v>#N/A</v>
      </c>
      <c r="K1335" s="934"/>
      <c r="L1335" s="935"/>
      <c r="M1335" s="935"/>
      <c r="N1335" s="935"/>
      <c r="O1335" s="935"/>
    </row>
    <row r="1336" spans="1:15" ht="15" customHeight="1">
      <c r="A1336" s="905" t="s">
        <v>367</v>
      </c>
      <c r="B1336" s="546"/>
      <c r="C1336" s="910" t="e">
        <f>VLOOKUP(B1332,'LƯƠNG KT'!$D$16:$AC$184,16,0)</f>
        <v>#N/A</v>
      </c>
      <c r="D1336" s="609" t="e">
        <f>+C1336*$L$6</f>
        <v>#N/A</v>
      </c>
      <c r="E1336" s="912"/>
      <c r="F1336" s="912"/>
      <c r="G1336" s="905" t="s">
        <v>367</v>
      </c>
      <c r="H1336" s="546"/>
      <c r="I1336" s="910" t="e">
        <f>VLOOKUP(H1332,'LƯƠNG KT'!$D$16:$AC$184,16,0)</f>
        <v>#N/A</v>
      </c>
      <c r="J1336" s="609" t="e">
        <f>+I1336*$L$6</f>
        <v>#N/A</v>
      </c>
      <c r="K1336" s="935"/>
      <c r="L1336" s="935"/>
      <c r="M1336" s="935"/>
      <c r="N1336" s="935"/>
      <c r="O1336" s="935"/>
    </row>
    <row r="1337" spans="1:15" ht="15" customHeight="1">
      <c r="A1337" s="905" t="s">
        <v>371</v>
      </c>
      <c r="B1337" s="546" t="s">
        <v>372</v>
      </c>
      <c r="C1337" s="910" t="e">
        <f>VLOOKUP(B1332,'LƯƠNG KT'!$D$16:$AC$184,9,0)*$L$10</f>
        <v>#N/A</v>
      </c>
      <c r="D1337" s="609" t="e">
        <f>+C1337*0.5*3000</f>
        <v>#N/A</v>
      </c>
      <c r="E1337" s="912"/>
      <c r="F1337" s="912"/>
      <c r="G1337" s="905" t="s">
        <v>371</v>
      </c>
      <c r="H1337" s="546" t="s">
        <v>372</v>
      </c>
      <c r="I1337" s="910" t="e">
        <f>VLOOKUP(H1332,'LƯƠNG KT'!$D$16:$AC$184,9,0)*$L$10</f>
        <v>#N/A</v>
      </c>
      <c r="J1337" s="609" t="e">
        <f>+I1337*0.5*3000</f>
        <v>#N/A</v>
      </c>
      <c r="K1337" s="935"/>
      <c r="L1337" s="935"/>
      <c r="M1337" s="935"/>
      <c r="N1337" s="935"/>
      <c r="O1337" s="935"/>
    </row>
    <row r="1338" spans="1:15" ht="15" customHeight="1">
      <c r="A1338" s="905" t="s">
        <v>374</v>
      </c>
      <c r="B1338" s="546" t="s">
        <v>375</v>
      </c>
      <c r="C1338" s="910" t="e">
        <f>VLOOKUP(B1332,'LƯƠNG KT'!$D$16:$AC$184,8,0)*$L$11</f>
        <v>#N/A</v>
      </c>
      <c r="D1338" s="609" t="e">
        <f>VLOOKUP(B1332,'LƯƠNG KT'!$D$16:$AC$184,13,0)-D1337</f>
        <v>#N/A</v>
      </c>
      <c r="E1338" s="914"/>
      <c r="F1338" s="912"/>
      <c r="G1338" s="905" t="s">
        <v>374</v>
      </c>
      <c r="H1338" s="546" t="s">
        <v>375</v>
      </c>
      <c r="I1338" s="910" t="e">
        <f>VLOOKUP(H1332,'LƯƠNG KT'!$D$16:$AC$184,8,0)*$L$11</f>
        <v>#N/A</v>
      </c>
      <c r="J1338" s="609" t="e">
        <f>VLOOKUP(H1332,'LƯƠNG KT'!$D$16:$AC$184,13,0)-J1337</f>
        <v>#N/A</v>
      </c>
      <c r="K1338" s="935"/>
      <c r="L1338" s="935"/>
      <c r="M1338" s="935"/>
      <c r="N1338" s="935"/>
      <c r="O1338" s="935"/>
    </row>
    <row r="1339" spans="1:15" ht="15" customHeight="1">
      <c r="A1339" s="609" t="s">
        <v>377</v>
      </c>
      <c r="B1339" s="546" t="s">
        <v>378</v>
      </c>
      <c r="C1339" s="910"/>
      <c r="D1339" s="609"/>
      <c r="E1339" s="916"/>
      <c r="F1339" s="916"/>
      <c r="G1339" s="609" t="s">
        <v>377</v>
      </c>
      <c r="H1339" s="546" t="s">
        <v>378</v>
      </c>
      <c r="I1339" s="910"/>
      <c r="J1339" s="609"/>
    </row>
    <row r="1340" spans="1:15" ht="15" customHeight="1">
      <c r="A1340" s="547" t="s">
        <v>379</v>
      </c>
      <c r="B1340" s="546" t="s">
        <v>380</v>
      </c>
      <c r="C1340" s="910"/>
      <c r="D1340" s="609"/>
      <c r="E1340" s="914"/>
      <c r="F1340" s="916"/>
      <c r="G1340" s="547" t="s">
        <v>379</v>
      </c>
      <c r="H1340" s="546" t="s">
        <v>380</v>
      </c>
      <c r="I1340" s="910"/>
      <c r="J1340" s="609"/>
    </row>
    <row r="1341" spans="1:15" ht="15" customHeight="1">
      <c r="A1341" s="905" t="s">
        <v>381</v>
      </c>
      <c r="B1341" s="546" t="s">
        <v>382</v>
      </c>
      <c r="C1341" s="910"/>
      <c r="D1341" s="609">
        <f>D1340</f>
        <v>0</v>
      </c>
      <c r="E1341" s="917"/>
      <c r="F1341" s="904"/>
      <c r="G1341" s="905" t="s">
        <v>381</v>
      </c>
      <c r="H1341" s="546" t="s">
        <v>382</v>
      </c>
      <c r="I1341" s="910"/>
      <c r="J1341" s="609">
        <f>J1340</f>
        <v>0</v>
      </c>
    </row>
    <row r="1342" spans="1:15" ht="15" customHeight="1">
      <c r="A1342" s="918" t="s">
        <v>383</v>
      </c>
      <c r="B1342" s="919" t="s">
        <v>384</v>
      </c>
      <c r="C1342" s="920"/>
      <c r="D1342" s="921" t="e">
        <f>SUM(D1333:D1338)-D1341</f>
        <v>#N/A</v>
      </c>
      <c r="E1342" s="922"/>
      <c r="F1342" s="923"/>
      <c r="G1342" s="918" t="s">
        <v>383</v>
      </c>
      <c r="H1342" s="919" t="s">
        <v>384</v>
      </c>
      <c r="I1342" s="920"/>
      <c r="J1342" s="921" t="e">
        <f>SUM(J1333:J1338)-J1341</f>
        <v>#N/A</v>
      </c>
    </row>
    <row r="1343" spans="1:15" ht="12.6" customHeight="1">
      <c r="A1343" s="924"/>
      <c r="B1343" s="925"/>
      <c r="C1343" s="926"/>
      <c r="D1343" s="927"/>
      <c r="E1343" s="927"/>
      <c r="F1343" s="928"/>
      <c r="G1343" s="924"/>
      <c r="H1343" s="925"/>
      <c r="I1343" s="926"/>
      <c r="J1343" s="927"/>
    </row>
    <row r="1344" spans="1:15" ht="12.6" customHeight="1">
      <c r="A1344" s="925"/>
      <c r="B1344" s="925"/>
      <c r="C1344" s="929"/>
      <c r="D1344" s="930"/>
      <c r="E1344" s="925"/>
      <c r="F1344" s="931"/>
      <c r="G1344" s="925"/>
      <c r="H1344" s="925"/>
      <c r="I1344" s="929"/>
      <c r="J1344" s="930"/>
    </row>
    <row r="1345" spans="1:15" ht="15" customHeight="1">
      <c r="A1345" s="2360" t="str">
        <f>$K$2</f>
        <v>THÁNG 09/2024</v>
      </c>
      <c r="B1345" s="2360"/>
      <c r="C1345" s="2360"/>
      <c r="D1345" s="2360"/>
      <c r="E1345" s="903"/>
      <c r="F1345" s="904"/>
      <c r="G1345" s="2360" t="str">
        <f>$K$2</f>
        <v>THÁNG 09/2024</v>
      </c>
      <c r="H1345" s="2360"/>
      <c r="I1345" s="2360"/>
      <c r="J1345" s="2360"/>
      <c r="K1345" s="276"/>
    </row>
    <row r="1346" spans="1:15" ht="15" customHeight="1">
      <c r="A1346" s="905" t="s">
        <v>356</v>
      </c>
      <c r="B1346" s="642" t="s">
        <v>91</v>
      </c>
      <c r="C1346" s="546"/>
      <c r="D1346" s="902"/>
      <c r="E1346" s="906"/>
      <c r="F1346" s="907"/>
      <c r="G1346" s="905" t="s">
        <v>356</v>
      </c>
      <c r="H1346" s="642" t="s">
        <v>92</v>
      </c>
      <c r="I1346" s="546"/>
      <c r="J1346" s="902"/>
      <c r="L1346" s="938"/>
      <c r="M1346" s="938"/>
      <c r="N1346" s="938"/>
      <c r="O1346" s="938"/>
    </row>
    <row r="1347" spans="1:15" ht="15" customHeight="1">
      <c r="A1347" s="905" t="s">
        <v>359</v>
      </c>
      <c r="B1347" s="939" t="s">
        <v>360</v>
      </c>
      <c r="C1347" s="910" t="e">
        <f>VLOOKUP(B1346,'LƯƠNG KT'!$D$16:$AC$184,3,0)</f>
        <v>#N/A</v>
      </c>
      <c r="D1347" s="609" t="e">
        <f>+C1347*25000</f>
        <v>#N/A</v>
      </c>
      <c r="E1347" s="911"/>
      <c r="F1347" s="911"/>
      <c r="G1347" s="905" t="s">
        <v>359</v>
      </c>
      <c r="H1347" s="939" t="s">
        <v>360</v>
      </c>
      <c r="I1347" s="910" t="e">
        <f>VLOOKUP(H1346,'LƯƠNG KT'!$D$16:$AC$184,3,0)</f>
        <v>#N/A</v>
      </c>
      <c r="J1347" s="609" t="e">
        <f>+I1347*25000</f>
        <v>#N/A</v>
      </c>
      <c r="K1347" s="935"/>
      <c r="L1347" s="935"/>
      <c r="M1347" s="935"/>
      <c r="N1347" s="935"/>
      <c r="O1347" s="935"/>
    </row>
    <row r="1348" spans="1:15" ht="15" customHeight="1">
      <c r="A1348" s="905" t="s">
        <v>361</v>
      </c>
      <c r="B1348" s="546" t="s">
        <v>362</v>
      </c>
      <c r="C1348" s="910" t="e">
        <f>VLOOKUP(B1346,'LƯƠNG KT'!$D$16:$AC$184,14,0)</f>
        <v>#N/A</v>
      </c>
      <c r="D1348" s="609" t="e">
        <f>C1348*$L$4</f>
        <v>#N/A</v>
      </c>
      <c r="E1348" s="912"/>
      <c r="F1348" s="912"/>
      <c r="G1348" s="905" t="s">
        <v>361</v>
      </c>
      <c r="H1348" s="546" t="s">
        <v>362</v>
      </c>
      <c r="I1348" s="910" t="e">
        <f>VLOOKUP(H1346,'LƯƠNG KT'!$D$16:$AC$184,14,0)</f>
        <v>#N/A</v>
      </c>
      <c r="J1348" s="609" t="e">
        <f>I1348*$L$4</f>
        <v>#N/A</v>
      </c>
      <c r="K1348" s="935"/>
      <c r="L1348" s="935"/>
      <c r="M1348" s="935"/>
      <c r="N1348" s="935"/>
      <c r="O1348" s="935"/>
    </row>
    <row r="1349" spans="1:15" ht="15" customHeight="1">
      <c r="A1349" s="905" t="s">
        <v>364</v>
      </c>
      <c r="B1349" s="546" t="s">
        <v>365</v>
      </c>
      <c r="C1349" s="910" t="e">
        <f>VLOOKUP(B1346,'LƯƠNG KT'!$D$16:$AC$184,15,0)</f>
        <v>#N/A</v>
      </c>
      <c r="D1349" s="609" t="e">
        <f>C1349*$L$5</f>
        <v>#N/A</v>
      </c>
      <c r="E1349" s="912"/>
      <c r="F1349" s="912"/>
      <c r="G1349" s="905" t="s">
        <v>364</v>
      </c>
      <c r="H1349" s="546" t="s">
        <v>365</v>
      </c>
      <c r="I1349" s="910" t="e">
        <f>VLOOKUP(H1346,'LƯƠNG KT'!$D$16:$AC$184,15,0)</f>
        <v>#N/A</v>
      </c>
      <c r="J1349" s="609" t="e">
        <f>I1349*$L$5</f>
        <v>#N/A</v>
      </c>
      <c r="K1349" s="935"/>
      <c r="L1349" s="935"/>
      <c r="M1349" s="935"/>
      <c r="N1349" s="935"/>
      <c r="O1349" s="935"/>
    </row>
    <row r="1350" spans="1:15" ht="15" customHeight="1">
      <c r="A1350" s="905" t="s">
        <v>367</v>
      </c>
      <c r="B1350" s="546"/>
      <c r="C1350" s="910" t="e">
        <f>VLOOKUP(B1346,'LƯƠNG KT'!$D$16:$AC$184,16,0)</f>
        <v>#N/A</v>
      </c>
      <c r="D1350" s="609" t="e">
        <f>+C1350*$L$6</f>
        <v>#N/A</v>
      </c>
      <c r="E1350" s="912"/>
      <c r="F1350" s="912"/>
      <c r="G1350" s="905" t="s">
        <v>367</v>
      </c>
      <c r="H1350" s="546"/>
      <c r="I1350" s="910" t="e">
        <f>VLOOKUP(H1346,'LƯƠNG KT'!$D$16:$AC$184,16,0)</f>
        <v>#N/A</v>
      </c>
      <c r="J1350" s="609" t="e">
        <f>+I1350*$L$6</f>
        <v>#N/A</v>
      </c>
      <c r="K1350" s="935"/>
      <c r="L1350" s="935"/>
      <c r="M1350" s="935"/>
      <c r="N1350" s="935"/>
      <c r="O1350" s="935"/>
    </row>
    <row r="1351" spans="1:15" ht="15" customHeight="1">
      <c r="A1351" s="905" t="s">
        <v>371</v>
      </c>
      <c r="B1351" s="546" t="s">
        <v>372</v>
      </c>
      <c r="C1351" s="910" t="e">
        <f>VLOOKUP(B1346,'LƯƠNG KT'!$D$16:$AC$184,9,0)*$L$10</f>
        <v>#N/A</v>
      </c>
      <c r="D1351" s="609" t="e">
        <f>+C1351*0.5*3000</f>
        <v>#N/A</v>
      </c>
      <c r="E1351" s="912"/>
      <c r="F1351" s="912"/>
      <c r="G1351" s="905" t="s">
        <v>371</v>
      </c>
      <c r="H1351" s="546" t="s">
        <v>372</v>
      </c>
      <c r="I1351" s="910" t="e">
        <f>VLOOKUP(H1346,'LƯƠNG KT'!$D$16:$AC$184,9,0)*$L$10</f>
        <v>#N/A</v>
      </c>
      <c r="J1351" s="609" t="e">
        <f>+I1351*0.5*3000</f>
        <v>#N/A</v>
      </c>
      <c r="K1351" s="935"/>
      <c r="L1351" s="935"/>
      <c r="M1351" s="935"/>
      <c r="N1351" s="935"/>
      <c r="O1351" s="935"/>
    </row>
    <row r="1352" spans="1:15" ht="15" customHeight="1">
      <c r="A1352" s="905" t="s">
        <v>374</v>
      </c>
      <c r="B1352" s="546" t="s">
        <v>375</v>
      </c>
      <c r="C1352" s="910" t="e">
        <f>VLOOKUP(B1346,'LƯƠNG KT'!$D$16:$AC$184,8,0)*$L$11</f>
        <v>#N/A</v>
      </c>
      <c r="D1352" s="609" t="e">
        <f>VLOOKUP(B1346,'LƯƠNG KT'!$D$16:$AC$184,13,0)-D1351</f>
        <v>#N/A</v>
      </c>
      <c r="E1352" s="914"/>
      <c r="F1352" s="912"/>
      <c r="G1352" s="905" t="s">
        <v>374</v>
      </c>
      <c r="H1352" s="546" t="s">
        <v>375</v>
      </c>
      <c r="I1352" s="910" t="e">
        <f>VLOOKUP(H1346,'LƯƠNG KT'!$D$16:$AC$184,8,0)*$L$11</f>
        <v>#N/A</v>
      </c>
      <c r="J1352" s="609" t="e">
        <f>VLOOKUP(H1346,'LƯƠNG KT'!$D$16:$AC$184,13,0)-J1351</f>
        <v>#N/A</v>
      </c>
      <c r="K1352" s="935"/>
      <c r="L1352" s="935"/>
      <c r="M1352" s="935"/>
      <c r="N1352" s="935"/>
      <c r="O1352" s="935"/>
    </row>
    <row r="1353" spans="1:15" ht="15" customHeight="1">
      <c r="A1353" s="609" t="s">
        <v>377</v>
      </c>
      <c r="B1353" s="546" t="s">
        <v>378</v>
      </c>
      <c r="C1353" s="910"/>
      <c r="D1353" s="609"/>
      <c r="E1353" s="916"/>
      <c r="F1353" s="916"/>
      <c r="G1353" s="609" t="s">
        <v>377</v>
      </c>
      <c r="H1353" s="546" t="s">
        <v>378</v>
      </c>
      <c r="I1353" s="910"/>
      <c r="J1353" s="609"/>
    </row>
    <row r="1354" spans="1:15" ht="15" customHeight="1">
      <c r="A1354" s="547" t="s">
        <v>379</v>
      </c>
      <c r="B1354" s="546" t="s">
        <v>380</v>
      </c>
      <c r="C1354" s="910"/>
      <c r="D1354" s="609"/>
      <c r="E1354" s="914"/>
      <c r="F1354" s="916"/>
      <c r="G1354" s="547" t="s">
        <v>379</v>
      </c>
      <c r="H1354" s="546" t="s">
        <v>380</v>
      </c>
      <c r="I1354" s="910"/>
      <c r="J1354" s="609"/>
    </row>
    <row r="1355" spans="1:15" ht="15" customHeight="1">
      <c r="A1355" s="905" t="s">
        <v>381</v>
      </c>
      <c r="B1355" s="546" t="s">
        <v>382</v>
      </c>
      <c r="C1355" s="910"/>
      <c r="D1355" s="609">
        <f>D1354</f>
        <v>0</v>
      </c>
      <c r="E1355" s="917"/>
      <c r="F1355" s="904"/>
      <c r="G1355" s="905" t="s">
        <v>381</v>
      </c>
      <c r="H1355" s="546" t="s">
        <v>382</v>
      </c>
      <c r="I1355" s="910"/>
      <c r="J1355" s="609">
        <f>J1354</f>
        <v>0</v>
      </c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SUM(D1347:D1352)-D1355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SUM(J1347:J1352)-J1355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8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60" t="str">
        <f>$K$2</f>
        <v>THÁNG 09/2024</v>
      </c>
      <c r="B1359" s="2360"/>
      <c r="C1359" s="2360"/>
      <c r="D1359" s="2360"/>
      <c r="E1359" s="903"/>
      <c r="F1359" s="904"/>
      <c r="G1359" s="2360" t="str">
        <f>$K$2</f>
        <v>THÁNG 09/2024</v>
      </c>
      <c r="H1359" s="2360"/>
      <c r="I1359" s="2360"/>
      <c r="J1359" s="2360"/>
      <c r="K1359" s="276"/>
    </row>
    <row r="1360" spans="1:15" ht="15" customHeight="1">
      <c r="A1360" s="905" t="s">
        <v>356</v>
      </c>
      <c r="B1360" s="642" t="s">
        <v>93</v>
      </c>
      <c r="C1360" s="546"/>
      <c r="D1360" s="902"/>
      <c r="E1360" s="906"/>
      <c r="F1360" s="907"/>
      <c r="G1360" s="905" t="s">
        <v>356</v>
      </c>
      <c r="H1360" s="642" t="s">
        <v>94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5" t="s">
        <v>359</v>
      </c>
      <c r="B1361" s="939" t="s">
        <v>360</v>
      </c>
      <c r="C1361" s="910" t="e">
        <f>VLOOKUP(B1360,'LƯƠNG KT'!$D$16:$AC$184,3,0)</f>
        <v>#N/A</v>
      </c>
      <c r="D1361" s="609" t="e">
        <f>+C1361*25000</f>
        <v>#N/A</v>
      </c>
      <c r="E1361" s="911"/>
      <c r="F1361" s="911"/>
      <c r="G1361" s="905" t="s">
        <v>359</v>
      </c>
      <c r="H1361" s="939" t="s">
        <v>360</v>
      </c>
      <c r="I1361" s="910" t="e">
        <f>VLOOKUP(H1360,'LƯƠNG KT'!$D$16:$AC$184,3,0)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5" t="s">
        <v>361</v>
      </c>
      <c r="B1362" s="546" t="s">
        <v>362</v>
      </c>
      <c r="C1362" s="910" t="e">
        <f>VLOOKUP(B1360,'LƯƠNG KT'!$D$16:$AC$184,14,0)</f>
        <v>#N/A</v>
      </c>
      <c r="D1362" s="609" t="e">
        <f>C1362*$L$4</f>
        <v>#N/A</v>
      </c>
      <c r="E1362" s="912"/>
      <c r="F1362" s="912"/>
      <c r="G1362" s="905" t="s">
        <v>361</v>
      </c>
      <c r="H1362" s="546" t="s">
        <v>362</v>
      </c>
      <c r="I1362" s="910" t="e">
        <f>VLOOKUP(H1360,'LƯƠNG KT'!$D$16:$AC$184,14,0)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5" t="s">
        <v>364</v>
      </c>
      <c r="B1363" s="546" t="s">
        <v>365</v>
      </c>
      <c r="C1363" s="910" t="e">
        <f>VLOOKUP(B1360,'LƯƠNG KT'!$D$16:$AC$184,15,0)</f>
        <v>#N/A</v>
      </c>
      <c r="D1363" s="609" t="e">
        <f>C1363*$L$5</f>
        <v>#N/A</v>
      </c>
      <c r="E1363" s="912"/>
      <c r="F1363" s="912"/>
      <c r="G1363" s="905" t="s">
        <v>364</v>
      </c>
      <c r="H1363" s="546" t="s">
        <v>365</v>
      </c>
      <c r="I1363" s="910" t="e">
        <f>VLOOKUP(H1360,'LƯƠNG KT'!$D$16:$AC$184,15,0)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5" t="s">
        <v>367</v>
      </c>
      <c r="B1364" s="546"/>
      <c r="C1364" s="910" t="e">
        <f>VLOOKUP(B1360,'LƯƠNG KT'!$D$16:$AC$184,16,0)</f>
        <v>#N/A</v>
      </c>
      <c r="D1364" s="609" t="e">
        <f>+C1364*$L$6</f>
        <v>#N/A</v>
      </c>
      <c r="E1364" s="912"/>
      <c r="F1364" s="912"/>
      <c r="G1364" s="905" t="s">
        <v>367</v>
      </c>
      <c r="H1364" s="546"/>
      <c r="I1364" s="910" t="e">
        <f>VLOOKUP(H1360,'LƯƠNG KT'!$D$16:$AC$184,16,0)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5" t="s">
        <v>371</v>
      </c>
      <c r="B1365" s="546" t="s">
        <v>372</v>
      </c>
      <c r="C1365" s="910" t="e">
        <f>VLOOKUP(B1360,'LƯƠNG KT'!$D$16:$AC$184,9,0)*$L$10</f>
        <v>#N/A</v>
      </c>
      <c r="D1365" s="609" t="e">
        <f>+C1365*0.5*3000</f>
        <v>#N/A</v>
      </c>
      <c r="E1365" s="912"/>
      <c r="F1365" s="912"/>
      <c r="G1365" s="905" t="s">
        <v>371</v>
      </c>
      <c r="H1365" s="546" t="s">
        <v>372</v>
      </c>
      <c r="I1365" s="910" t="e">
        <f>VLOOKUP(H1360,'LƯƠNG KT'!$D$16:$AC$184,9,0)*$L$10</f>
        <v>#N/A</v>
      </c>
      <c r="J1365" s="609" t="e">
        <f>+I1365*0.5*3000</f>
        <v>#N/A</v>
      </c>
      <c r="K1365" s="935"/>
      <c r="L1365" s="935"/>
      <c r="M1365" s="935"/>
      <c r="N1365" s="935"/>
      <c r="O1365" s="935"/>
    </row>
    <row r="1366" spans="1:15" ht="15" customHeight="1">
      <c r="A1366" s="905" t="s">
        <v>374</v>
      </c>
      <c r="B1366" s="546" t="s">
        <v>375</v>
      </c>
      <c r="C1366" s="910" t="e">
        <f>VLOOKUP(B1360,'LƯƠNG KT'!$D$16:$AC$184,8,0)*$L$11</f>
        <v>#N/A</v>
      </c>
      <c r="D1366" s="609" t="e">
        <f>VLOOKUP(B1360,'LƯƠNG KT'!$D$16:$AC$184,13,0)-D1365</f>
        <v>#N/A</v>
      </c>
      <c r="E1366" s="914"/>
      <c r="F1366" s="912"/>
      <c r="G1366" s="905" t="s">
        <v>374</v>
      </c>
      <c r="H1366" s="546" t="s">
        <v>375</v>
      </c>
      <c r="I1366" s="910" t="e">
        <f>VLOOKUP(H1360,'LƯƠNG KT'!$D$16:$AC$184,8,0)*$L$11</f>
        <v>#N/A</v>
      </c>
      <c r="J1366" s="609" t="e">
        <f>VLOOKUP(H1360,'LƯƠNG KT'!$D$16:$AC$184,13,0)-J1365</f>
        <v>#N/A</v>
      </c>
      <c r="K1366" s="935"/>
      <c r="L1366" s="935"/>
      <c r="M1366" s="935"/>
      <c r="N1366" s="935"/>
      <c r="O1366" s="935"/>
    </row>
    <row r="1367" spans="1:15" ht="15" customHeight="1">
      <c r="A1367" s="609" t="s">
        <v>377</v>
      </c>
      <c r="B1367" s="546" t="s">
        <v>378</v>
      </c>
      <c r="C1367" s="910"/>
      <c r="D1367" s="609"/>
      <c r="E1367" s="916"/>
      <c r="F1367" s="916"/>
      <c r="G1367" s="609" t="s">
        <v>377</v>
      </c>
      <c r="H1367" s="546" t="s">
        <v>378</v>
      </c>
      <c r="I1367" s="910"/>
      <c r="J1367" s="609"/>
    </row>
    <row r="1368" spans="1:15" ht="15" customHeight="1">
      <c r="A1368" s="547" t="s">
        <v>379</v>
      </c>
      <c r="B1368" s="546" t="s">
        <v>380</v>
      </c>
      <c r="C1368" s="910"/>
      <c r="D1368" s="609"/>
      <c r="E1368" s="914"/>
      <c r="F1368" s="916"/>
      <c r="G1368" s="547" t="s">
        <v>379</v>
      </c>
      <c r="H1368" s="546" t="s">
        <v>380</v>
      </c>
      <c r="I1368" s="910"/>
      <c r="J1368" s="609"/>
    </row>
    <row r="1369" spans="1:15" ht="15" customHeight="1">
      <c r="A1369" s="905" t="s">
        <v>381</v>
      </c>
      <c r="B1369" s="546" t="s">
        <v>382</v>
      </c>
      <c r="C1369" s="910"/>
      <c r="D1369" s="609">
        <f>D1368</f>
        <v>0</v>
      </c>
      <c r="E1369" s="917"/>
      <c r="F1369" s="904"/>
      <c r="G1369" s="905" t="s">
        <v>381</v>
      </c>
      <c r="H1369" s="546" t="s">
        <v>382</v>
      </c>
      <c r="I1369" s="910"/>
      <c r="J1369" s="609">
        <f>J1368</f>
        <v>0</v>
      </c>
    </row>
    <row r="1370" spans="1:15" ht="15" customHeight="1">
      <c r="A1370" s="918" t="s">
        <v>383</v>
      </c>
      <c r="B1370" s="919" t="s">
        <v>384</v>
      </c>
      <c r="C1370" s="920"/>
      <c r="D1370" s="921" t="e">
        <f>SUM(D1361:D1366)-D1369</f>
        <v>#N/A</v>
      </c>
      <c r="E1370" s="922"/>
      <c r="F1370" s="923"/>
      <c r="G1370" s="918" t="s">
        <v>383</v>
      </c>
      <c r="H1370" s="919" t="s">
        <v>384</v>
      </c>
      <c r="I1370" s="920"/>
      <c r="J1370" s="921" t="e">
        <f>SUM(J1361:J1366)-J1369</f>
        <v>#N/A</v>
      </c>
    </row>
    <row r="1371" spans="1:15" ht="18.75" customHeight="1">
      <c r="A1371" s="924"/>
      <c r="B1371" s="925"/>
      <c r="C1371" s="926"/>
      <c r="D1371" s="927"/>
      <c r="E1371" s="927"/>
      <c r="F1371" s="928"/>
      <c r="G1371" s="924"/>
      <c r="H1371" s="925"/>
      <c r="I1371" s="926"/>
      <c r="J1371" s="927"/>
    </row>
    <row r="1372" spans="1:15" ht="18.75" customHeight="1">
      <c r="A1372" s="925"/>
      <c r="B1372" s="925"/>
      <c r="C1372" s="929"/>
      <c r="D1372" s="930"/>
      <c r="E1372" s="925"/>
      <c r="F1372" s="931"/>
      <c r="G1372" s="925"/>
      <c r="H1372" s="925"/>
      <c r="I1372" s="929"/>
      <c r="J1372" s="930"/>
    </row>
    <row r="1373" spans="1:15" ht="15" customHeight="1">
      <c r="A1373" s="2360" t="str">
        <f>$K$2</f>
        <v>THÁNG 09/2024</v>
      </c>
      <c r="B1373" s="2360"/>
      <c r="C1373" s="2360"/>
      <c r="D1373" s="2360"/>
      <c r="E1373" s="903"/>
      <c r="F1373" s="904"/>
      <c r="G1373" s="2360" t="str">
        <f>$K$2</f>
        <v>THÁNG 09/2024</v>
      </c>
      <c r="H1373" s="2360"/>
      <c r="I1373" s="2360"/>
      <c r="J1373" s="2360"/>
      <c r="K1373" s="276"/>
    </row>
    <row r="1374" spans="1:15" ht="15" customHeight="1">
      <c r="A1374" s="905" t="s">
        <v>356</v>
      </c>
      <c r="B1374" s="642" t="s">
        <v>95</v>
      </c>
      <c r="C1374" s="546"/>
      <c r="D1374" s="902"/>
      <c r="E1374" s="906"/>
      <c r="F1374" s="907"/>
      <c r="G1374" s="905" t="s">
        <v>356</v>
      </c>
      <c r="H1374" s="642" t="s">
        <v>96</v>
      </c>
      <c r="I1374" s="546"/>
      <c r="J1374" s="902"/>
      <c r="L1374" s="938"/>
      <c r="M1374" s="938"/>
      <c r="N1374" s="938"/>
      <c r="O1374" s="938"/>
    </row>
    <row r="1375" spans="1:15" ht="15" customHeight="1">
      <c r="A1375" s="905" t="s">
        <v>359</v>
      </c>
      <c r="B1375" s="939" t="s">
        <v>360</v>
      </c>
      <c r="C1375" s="910" t="e">
        <f>VLOOKUP(B1374,'LƯƠNG KT'!$D$16:$AC$184,3,0)</f>
        <v>#N/A</v>
      </c>
      <c r="D1375" s="609" t="e">
        <f>+C1375*25000</f>
        <v>#N/A</v>
      </c>
      <c r="E1375" s="911"/>
      <c r="F1375" s="911"/>
      <c r="G1375" s="905" t="s">
        <v>359</v>
      </c>
      <c r="H1375" s="939" t="s">
        <v>360</v>
      </c>
      <c r="I1375" s="910" t="e">
        <f>VLOOKUP(H1374,'LƯƠNG KT'!$D$16:$AC$184,3,0)</f>
        <v>#N/A</v>
      </c>
      <c r="J1375" s="609" t="e">
        <f>+I1375*25000</f>
        <v>#N/A</v>
      </c>
      <c r="K1375" s="935"/>
      <c r="L1375" s="935"/>
      <c r="M1375" s="935"/>
      <c r="N1375" s="935"/>
      <c r="O1375" s="935"/>
    </row>
    <row r="1376" spans="1:15" ht="15" customHeight="1">
      <c r="A1376" s="905" t="s">
        <v>361</v>
      </c>
      <c r="B1376" s="546" t="s">
        <v>362</v>
      </c>
      <c r="C1376" s="910" t="e">
        <f>VLOOKUP(B1374,'LƯƠNG KT'!$D$16:$AC$184,14,0)</f>
        <v>#N/A</v>
      </c>
      <c r="D1376" s="609" t="e">
        <f>C1376*$L$4</f>
        <v>#N/A</v>
      </c>
      <c r="E1376" s="912"/>
      <c r="F1376" s="912"/>
      <c r="G1376" s="905" t="s">
        <v>361</v>
      </c>
      <c r="H1376" s="546" t="s">
        <v>362</v>
      </c>
      <c r="I1376" s="910" t="e">
        <f>VLOOKUP(H1374,'LƯƠNG KT'!$D$16:$AC$184,14,0)</f>
        <v>#N/A</v>
      </c>
      <c r="J1376" s="609" t="e">
        <f>I1376*$L$4</f>
        <v>#N/A</v>
      </c>
      <c r="K1376" s="935"/>
      <c r="L1376" s="935"/>
      <c r="M1376" s="935"/>
      <c r="N1376" s="935"/>
      <c r="O1376" s="935"/>
    </row>
    <row r="1377" spans="1:15" ht="15" customHeight="1">
      <c r="A1377" s="905" t="s">
        <v>364</v>
      </c>
      <c r="B1377" s="546" t="s">
        <v>365</v>
      </c>
      <c r="C1377" s="910" t="e">
        <f>VLOOKUP(B1374,'LƯƠNG KT'!$D$16:$AC$184,15,0)</f>
        <v>#N/A</v>
      </c>
      <c r="D1377" s="609" t="e">
        <f>C1377*$L$5</f>
        <v>#N/A</v>
      </c>
      <c r="E1377" s="912"/>
      <c r="F1377" s="912"/>
      <c r="G1377" s="905" t="s">
        <v>364</v>
      </c>
      <c r="H1377" s="546" t="s">
        <v>365</v>
      </c>
      <c r="I1377" s="910" t="e">
        <f>VLOOKUP(H1374,'LƯƠNG KT'!$D$16:$AC$184,15,0)</f>
        <v>#N/A</v>
      </c>
      <c r="J1377" s="609" t="e">
        <f>I1377*$L$5</f>
        <v>#N/A</v>
      </c>
      <c r="K1377" s="935"/>
      <c r="L1377" s="935"/>
      <c r="M1377" s="935"/>
      <c r="N1377" s="935"/>
      <c r="O1377" s="935"/>
    </row>
    <row r="1378" spans="1:15" ht="15" customHeight="1">
      <c r="A1378" s="905" t="s">
        <v>367</v>
      </c>
      <c r="B1378" s="546"/>
      <c r="C1378" s="910" t="e">
        <f>VLOOKUP(B1374,'LƯƠNG KT'!$D$16:$AC$184,16,0)</f>
        <v>#N/A</v>
      </c>
      <c r="D1378" s="609" t="e">
        <f>+C1378*$L$6</f>
        <v>#N/A</v>
      </c>
      <c r="E1378" s="912"/>
      <c r="F1378" s="912"/>
      <c r="G1378" s="905" t="s">
        <v>367</v>
      </c>
      <c r="H1378" s="546"/>
      <c r="I1378" s="910" t="e">
        <f>VLOOKUP(H1374,'LƯƠNG KT'!$D$16:$AC$184,16,0)</f>
        <v>#N/A</v>
      </c>
      <c r="J1378" s="609" t="e">
        <f>+I1378*$L$6</f>
        <v>#N/A</v>
      </c>
      <c r="K1378" s="935"/>
      <c r="L1378" s="935"/>
      <c r="M1378" s="935"/>
      <c r="N1378" s="935"/>
      <c r="O1378" s="935"/>
    </row>
    <row r="1379" spans="1:15" ht="15" customHeight="1">
      <c r="A1379" s="905" t="s">
        <v>371</v>
      </c>
      <c r="B1379" s="546" t="s">
        <v>372</v>
      </c>
      <c r="C1379" s="910" t="e">
        <f>VLOOKUP(B1374,'LƯƠNG KT'!$D$16:$AC$184,9,0)*$L$10</f>
        <v>#N/A</v>
      </c>
      <c r="D1379" s="609" t="e">
        <f>+C1379*0.5*3000</f>
        <v>#N/A</v>
      </c>
      <c r="E1379" s="912"/>
      <c r="F1379" s="912"/>
      <c r="G1379" s="905" t="s">
        <v>371</v>
      </c>
      <c r="H1379" s="546" t="s">
        <v>372</v>
      </c>
      <c r="I1379" s="910" t="e">
        <f>VLOOKUP(H1374,'LƯƠNG KT'!$D$16:$AC$184,9,0)*$L$10</f>
        <v>#N/A</v>
      </c>
      <c r="J1379" s="609" t="e">
        <f>+I1379*0.5*3000</f>
        <v>#N/A</v>
      </c>
      <c r="K1379" s="935"/>
      <c r="L1379" s="935"/>
      <c r="M1379" s="935"/>
      <c r="N1379" s="935"/>
      <c r="O1379" s="935"/>
    </row>
    <row r="1380" spans="1:15" ht="15" customHeight="1">
      <c r="A1380" s="905" t="s">
        <v>374</v>
      </c>
      <c r="B1380" s="546" t="s">
        <v>375</v>
      </c>
      <c r="C1380" s="910" t="e">
        <f>VLOOKUP(B1374,'LƯƠNG KT'!$D$16:$AC$184,8,0)*$L$11</f>
        <v>#N/A</v>
      </c>
      <c r="D1380" s="609" t="e">
        <f>VLOOKUP(B1374,'LƯƠNG KT'!$D$16:$AC$184,13,0)-D1379</f>
        <v>#N/A</v>
      </c>
      <c r="E1380" s="914"/>
      <c r="F1380" s="912"/>
      <c r="G1380" s="905" t="s">
        <v>374</v>
      </c>
      <c r="H1380" s="546" t="s">
        <v>375</v>
      </c>
      <c r="I1380" s="910" t="e">
        <f>VLOOKUP(H1374,'LƯƠNG KT'!$D$16:$AC$184,8,0)*$L$11</f>
        <v>#N/A</v>
      </c>
      <c r="J1380" s="609" t="e">
        <f>VLOOKUP(H1374,'LƯƠNG KT'!$D$16:$AC$184,13,0)-J1379</f>
        <v>#N/A</v>
      </c>
      <c r="K1380" s="935"/>
      <c r="L1380" s="935"/>
      <c r="M1380" s="935"/>
      <c r="N1380" s="935"/>
      <c r="O1380" s="935"/>
    </row>
    <row r="1381" spans="1:15" ht="15" customHeight="1">
      <c r="A1381" s="609" t="s">
        <v>377</v>
      </c>
      <c r="B1381" s="546" t="s">
        <v>378</v>
      </c>
      <c r="C1381" s="910"/>
      <c r="D1381" s="609"/>
      <c r="E1381" s="916"/>
      <c r="F1381" s="916"/>
      <c r="G1381" s="609" t="s">
        <v>377</v>
      </c>
      <c r="H1381" s="546" t="s">
        <v>378</v>
      </c>
      <c r="I1381" s="910"/>
      <c r="J1381" s="609"/>
    </row>
    <row r="1382" spans="1:15" ht="15" customHeight="1">
      <c r="A1382" s="547" t="s">
        <v>379</v>
      </c>
      <c r="B1382" s="546" t="s">
        <v>380</v>
      </c>
      <c r="C1382" s="910"/>
      <c r="D1382" s="609"/>
      <c r="E1382" s="914"/>
      <c r="F1382" s="916"/>
      <c r="G1382" s="547" t="s">
        <v>379</v>
      </c>
      <c r="H1382" s="546" t="s">
        <v>380</v>
      </c>
      <c r="I1382" s="910"/>
      <c r="J1382" s="609"/>
    </row>
    <row r="1383" spans="1:15" ht="15" customHeight="1">
      <c r="A1383" s="905" t="s">
        <v>381</v>
      </c>
      <c r="B1383" s="546" t="s">
        <v>382</v>
      </c>
      <c r="C1383" s="910"/>
      <c r="D1383" s="609">
        <f>D1382</f>
        <v>0</v>
      </c>
      <c r="E1383" s="917"/>
      <c r="F1383" s="904"/>
      <c r="G1383" s="905" t="s">
        <v>381</v>
      </c>
      <c r="H1383" s="546" t="s">
        <v>382</v>
      </c>
      <c r="I1383" s="910"/>
      <c r="J1383" s="609">
        <f>J1382</f>
        <v>0</v>
      </c>
    </row>
    <row r="1384" spans="1:15" ht="15" customHeight="1">
      <c r="A1384" s="918" t="s">
        <v>383</v>
      </c>
      <c r="B1384" s="919" t="s">
        <v>384</v>
      </c>
      <c r="C1384" s="920"/>
      <c r="D1384" s="921" t="e">
        <f>SUM(D1375:D1380)-D1383</f>
        <v>#N/A</v>
      </c>
      <c r="E1384" s="922"/>
      <c r="F1384" s="923"/>
      <c r="G1384" s="918" t="s">
        <v>383</v>
      </c>
      <c r="H1384" s="919" t="s">
        <v>384</v>
      </c>
      <c r="I1384" s="920"/>
      <c r="J1384" s="921" t="e">
        <f>SUM(J1375:J1380)-J1383</f>
        <v>#N/A</v>
      </c>
    </row>
    <row r="1385" spans="1:15" ht="15.75" customHeight="1">
      <c r="A1385" s="924"/>
      <c r="B1385" s="925"/>
      <c r="C1385" s="926"/>
      <c r="D1385" s="927"/>
      <c r="E1385" s="927"/>
      <c r="F1385" s="928"/>
      <c r="G1385" s="924"/>
      <c r="H1385" s="925"/>
      <c r="I1385" s="926"/>
      <c r="J1385" s="927"/>
    </row>
    <row r="1387" spans="1:15" ht="12" customHeight="1">
      <c r="A1387" s="2361"/>
      <c r="B1387" s="2361"/>
      <c r="C1387" s="2361"/>
      <c r="D1387" s="2361"/>
      <c r="E1387" s="2361"/>
      <c r="F1387" s="2361"/>
      <c r="G1387" s="2361"/>
      <c r="H1387" s="2361"/>
      <c r="I1387" s="2361"/>
      <c r="J1387" s="2361"/>
    </row>
    <row r="1388" spans="1:15" ht="15" customHeight="1">
      <c r="A1388" s="2360" t="str">
        <f>$K$2</f>
        <v>THÁNG 09/2024</v>
      </c>
      <c r="B1388" s="2360"/>
      <c r="C1388" s="2360"/>
      <c r="D1388" s="2360"/>
      <c r="E1388" s="903"/>
      <c r="F1388" s="904"/>
      <c r="G1388" s="2360" t="str">
        <f>$K$2</f>
        <v>THÁNG 09/2024</v>
      </c>
      <c r="H1388" s="2360"/>
      <c r="I1388" s="2360"/>
      <c r="J1388" s="2360"/>
      <c r="K1388" s="276"/>
    </row>
    <row r="1389" spans="1:15" ht="15" customHeight="1">
      <c r="A1389" s="905" t="s">
        <v>356</v>
      </c>
      <c r="B1389" s="642" t="s">
        <v>97</v>
      </c>
      <c r="C1389" s="546"/>
      <c r="D1389" s="902"/>
      <c r="E1389" s="906"/>
      <c r="F1389" s="907"/>
      <c r="G1389" s="905" t="s">
        <v>356</v>
      </c>
      <c r="H1389" s="642" t="s">
        <v>98</v>
      </c>
      <c r="I1389" s="546"/>
      <c r="J1389" s="902"/>
      <c r="L1389" s="938"/>
      <c r="M1389" s="938"/>
      <c r="N1389" s="938"/>
      <c r="O1389" s="938"/>
    </row>
    <row r="1390" spans="1:15" ht="15" customHeight="1">
      <c r="A1390" s="905" t="s">
        <v>359</v>
      </c>
      <c r="B1390" s="939" t="s">
        <v>360</v>
      </c>
      <c r="C1390" s="910" t="e">
        <f>VLOOKUP(B1389,'LƯƠNG KT'!$D$16:$AC$184,3,0)</f>
        <v>#N/A</v>
      </c>
      <c r="D1390" s="609" t="e">
        <f>+C1390*25000</f>
        <v>#N/A</v>
      </c>
      <c r="E1390" s="911"/>
      <c r="F1390" s="911"/>
      <c r="G1390" s="905" t="s">
        <v>359</v>
      </c>
      <c r="H1390" s="939" t="s">
        <v>360</v>
      </c>
      <c r="I1390" s="910" t="e">
        <f>VLOOKUP(H1389,'LƯƠNG KT'!$D$16:$AC$184,3,0)</f>
        <v>#N/A</v>
      </c>
      <c r="J1390" s="609" t="e">
        <f>+I1390*25000</f>
        <v>#N/A</v>
      </c>
      <c r="K1390" s="934"/>
      <c r="L1390" s="935"/>
      <c r="M1390" s="935"/>
      <c r="N1390" s="935"/>
      <c r="O1390" s="935"/>
    </row>
    <row r="1391" spans="1:15" ht="15" customHeight="1">
      <c r="A1391" s="905" t="s">
        <v>361</v>
      </c>
      <c r="B1391" s="546" t="s">
        <v>362</v>
      </c>
      <c r="C1391" s="910" t="e">
        <f>VLOOKUP(B1389,'LƯƠNG KT'!$D$16:$AC$184,14,0)</f>
        <v>#N/A</v>
      </c>
      <c r="D1391" s="609" t="e">
        <f>C1391*$L$4</f>
        <v>#N/A</v>
      </c>
      <c r="E1391" s="912"/>
      <c r="F1391" s="912"/>
      <c r="G1391" s="905" t="s">
        <v>361</v>
      </c>
      <c r="H1391" s="546" t="s">
        <v>362</v>
      </c>
      <c r="I1391" s="910" t="e">
        <f>VLOOKUP(H1389,'LƯƠNG KT'!$D$16:$AC$184,14,0)</f>
        <v>#N/A</v>
      </c>
      <c r="J1391" s="609" t="e">
        <f>I1391*$L$4</f>
        <v>#N/A</v>
      </c>
      <c r="K1391" s="934"/>
      <c r="L1391" s="935"/>
      <c r="M1391" s="935"/>
      <c r="N1391" s="935"/>
      <c r="O1391" s="935"/>
    </row>
    <row r="1392" spans="1:15" ht="15" customHeight="1">
      <c r="A1392" s="905" t="s">
        <v>364</v>
      </c>
      <c r="B1392" s="546" t="s">
        <v>365</v>
      </c>
      <c r="C1392" s="910" t="e">
        <f>VLOOKUP(B1389,'LƯƠNG KT'!$D$16:$AC$184,15,0)</f>
        <v>#N/A</v>
      </c>
      <c r="D1392" s="609" t="e">
        <f>C1392*$L$5</f>
        <v>#N/A</v>
      </c>
      <c r="E1392" s="912"/>
      <c r="F1392" s="912"/>
      <c r="G1392" s="905" t="s">
        <v>364</v>
      </c>
      <c r="H1392" s="546" t="s">
        <v>365</v>
      </c>
      <c r="I1392" s="910" t="e">
        <f>VLOOKUP(H1389,'LƯƠNG KT'!$D$16:$AC$184,15,0)</f>
        <v>#N/A</v>
      </c>
      <c r="J1392" s="609" t="e">
        <f>I1392*$L$5</f>
        <v>#N/A</v>
      </c>
      <c r="K1392" s="934"/>
      <c r="L1392" s="935"/>
      <c r="M1392" s="935"/>
      <c r="N1392" s="935"/>
      <c r="O1392" s="935"/>
    </row>
    <row r="1393" spans="1:15" ht="15" customHeight="1">
      <c r="A1393" s="905" t="s">
        <v>367</v>
      </c>
      <c r="B1393" s="546"/>
      <c r="C1393" s="910" t="e">
        <f>VLOOKUP(B1389,'LƯƠNG KT'!$D$16:$AC$184,16,0)</f>
        <v>#N/A</v>
      </c>
      <c r="D1393" s="609" t="e">
        <f>+C1393*$L$6</f>
        <v>#N/A</v>
      </c>
      <c r="E1393" s="912"/>
      <c r="F1393" s="912"/>
      <c r="G1393" s="905" t="s">
        <v>367</v>
      </c>
      <c r="H1393" s="546"/>
      <c r="I1393" s="910" t="e">
        <f>VLOOKUP(H1389,'LƯƠNG KT'!$D$16:$AC$184,16,0)</f>
        <v>#N/A</v>
      </c>
      <c r="J1393" s="609" t="e">
        <f>+I1393*$L$6</f>
        <v>#N/A</v>
      </c>
      <c r="K1393" s="935"/>
      <c r="L1393" s="935"/>
      <c r="M1393" s="935"/>
      <c r="N1393" s="935"/>
      <c r="O1393" s="935"/>
    </row>
    <row r="1394" spans="1:15" ht="15" customHeight="1">
      <c r="A1394" s="905" t="s">
        <v>371</v>
      </c>
      <c r="B1394" s="546" t="s">
        <v>372</v>
      </c>
      <c r="C1394" s="910" t="e">
        <f>VLOOKUP(B1389,'LƯƠNG KT'!$D$16:$AC$184,9,0)*$L$10</f>
        <v>#N/A</v>
      </c>
      <c r="D1394" s="609" t="e">
        <f>+C1394*0.5*3000</f>
        <v>#N/A</v>
      </c>
      <c r="E1394" s="912"/>
      <c r="F1394" s="912"/>
      <c r="G1394" s="905" t="s">
        <v>371</v>
      </c>
      <c r="H1394" s="546" t="s">
        <v>372</v>
      </c>
      <c r="I1394" s="910" t="e">
        <f>VLOOKUP(H1389,'LƯƠNG KT'!$D$16:$AC$184,9,0)*$L$10</f>
        <v>#N/A</v>
      </c>
      <c r="J1394" s="609" t="e">
        <f>+I1394*0.5*3000</f>
        <v>#N/A</v>
      </c>
      <c r="K1394" s="935"/>
      <c r="L1394" s="935"/>
      <c r="M1394" s="935"/>
      <c r="N1394" s="935"/>
      <c r="O1394" s="935"/>
    </row>
    <row r="1395" spans="1:15" ht="15" customHeight="1">
      <c r="A1395" s="905" t="s">
        <v>374</v>
      </c>
      <c r="B1395" s="546" t="s">
        <v>375</v>
      </c>
      <c r="C1395" s="910" t="e">
        <f>VLOOKUP(B1389,'LƯƠNG KT'!$D$16:$AC$184,8,0)*$L$11</f>
        <v>#N/A</v>
      </c>
      <c r="D1395" s="609" t="e">
        <f>VLOOKUP(B1389,'LƯƠNG KT'!$D$16:$AC$184,13,0)-D1394</f>
        <v>#N/A</v>
      </c>
      <c r="E1395" s="914"/>
      <c r="F1395" s="912"/>
      <c r="G1395" s="905" t="s">
        <v>374</v>
      </c>
      <c r="H1395" s="546" t="s">
        <v>375</v>
      </c>
      <c r="I1395" s="910" t="e">
        <f>VLOOKUP(H1389,'LƯƠNG KT'!$D$16:$AC$184,8,0)*$L$11</f>
        <v>#N/A</v>
      </c>
      <c r="J1395" s="609" t="e">
        <f>VLOOKUP(H1389,'LƯƠNG KT'!$D$16:$AC$184,13,0)-J1394</f>
        <v>#N/A</v>
      </c>
      <c r="K1395" s="935"/>
      <c r="L1395" s="935"/>
      <c r="M1395" s="935"/>
      <c r="N1395" s="935"/>
      <c r="O1395" s="935"/>
    </row>
    <row r="1396" spans="1:15" ht="15" customHeight="1">
      <c r="A1396" s="609" t="s">
        <v>377</v>
      </c>
      <c r="B1396" s="546" t="s">
        <v>378</v>
      </c>
      <c r="C1396" s="910"/>
      <c r="D1396" s="609"/>
      <c r="E1396" s="916"/>
      <c r="F1396" s="916"/>
      <c r="G1396" s="609" t="s">
        <v>377</v>
      </c>
      <c r="H1396" s="546" t="s">
        <v>378</v>
      </c>
      <c r="I1396" s="910"/>
      <c r="J1396" s="609"/>
    </row>
    <row r="1397" spans="1:15" ht="15" customHeight="1">
      <c r="A1397" s="547" t="s">
        <v>379</v>
      </c>
      <c r="B1397" s="546" t="s">
        <v>380</v>
      </c>
      <c r="C1397" s="910"/>
      <c r="D1397" s="609"/>
      <c r="E1397" s="914"/>
      <c r="F1397" s="916"/>
      <c r="G1397" s="547" t="s">
        <v>379</v>
      </c>
      <c r="H1397" s="546" t="s">
        <v>380</v>
      </c>
      <c r="I1397" s="910"/>
      <c r="J1397" s="609"/>
    </row>
    <row r="1398" spans="1:15" ht="15" customHeight="1">
      <c r="A1398" s="905" t="s">
        <v>381</v>
      </c>
      <c r="B1398" s="546" t="s">
        <v>382</v>
      </c>
      <c r="C1398" s="910"/>
      <c r="D1398" s="609">
        <f>D1397</f>
        <v>0</v>
      </c>
      <c r="E1398" s="917"/>
      <c r="F1398" s="904"/>
      <c r="G1398" s="905" t="s">
        <v>381</v>
      </c>
      <c r="H1398" s="546" t="s">
        <v>382</v>
      </c>
      <c r="I1398" s="910"/>
      <c r="J1398" s="609">
        <f>J1397</f>
        <v>0</v>
      </c>
    </row>
    <row r="1399" spans="1:15" ht="15" customHeight="1">
      <c r="A1399" s="918" t="s">
        <v>383</v>
      </c>
      <c r="B1399" s="919" t="s">
        <v>384</v>
      </c>
      <c r="C1399" s="920"/>
      <c r="D1399" s="921" t="e">
        <f>SUM(D1390:D1395)-D1398</f>
        <v>#N/A</v>
      </c>
      <c r="E1399" s="922"/>
      <c r="F1399" s="923"/>
      <c r="G1399" s="918" t="s">
        <v>383</v>
      </c>
      <c r="H1399" s="919" t="s">
        <v>384</v>
      </c>
      <c r="I1399" s="920"/>
      <c r="J1399" s="921" t="e">
        <f>SUM(J1390:J1395)-J1398</f>
        <v>#N/A</v>
      </c>
    </row>
    <row r="1400" spans="1:15" ht="12.6" customHeight="1">
      <c r="A1400" s="924"/>
      <c r="B1400" s="925"/>
      <c r="C1400" s="926"/>
      <c r="D1400" s="927"/>
      <c r="E1400" s="927"/>
      <c r="F1400" s="928"/>
      <c r="G1400" s="924"/>
      <c r="H1400" s="925"/>
      <c r="I1400" s="926"/>
      <c r="J1400" s="927"/>
    </row>
    <row r="1401" spans="1:15" ht="12.6" customHeight="1">
      <c r="A1401" s="925"/>
      <c r="B1401" s="925"/>
      <c r="C1401" s="929"/>
      <c r="D1401" s="930"/>
      <c r="E1401" s="925"/>
      <c r="F1401" s="931"/>
      <c r="G1401" s="925"/>
      <c r="H1401" s="925"/>
      <c r="I1401" s="929"/>
      <c r="J1401" s="930"/>
    </row>
    <row r="1402" spans="1:15" ht="15" customHeight="1">
      <c r="A1402" s="2360" t="str">
        <f>$K$2</f>
        <v>THÁNG 09/2024</v>
      </c>
      <c r="B1402" s="2360"/>
      <c r="C1402" s="2360"/>
      <c r="D1402" s="2360"/>
      <c r="E1402" s="903"/>
      <c r="F1402" s="904"/>
      <c r="G1402" s="2360" t="str">
        <f>$K$2</f>
        <v>THÁNG 09/2024</v>
      </c>
      <c r="H1402" s="2360"/>
      <c r="I1402" s="2360"/>
      <c r="J1402" s="2360"/>
      <c r="K1402" s="276"/>
    </row>
    <row r="1403" spans="1:15" ht="15" customHeight="1">
      <c r="A1403" s="905" t="s">
        <v>356</v>
      </c>
      <c r="B1403" s="642" t="s">
        <v>99</v>
      </c>
      <c r="C1403" s="546"/>
      <c r="D1403" s="902"/>
      <c r="E1403" s="906"/>
      <c r="F1403" s="907"/>
      <c r="G1403" s="905" t="s">
        <v>356</v>
      </c>
      <c r="H1403" s="642" t="s">
        <v>100</v>
      </c>
      <c r="I1403" s="546"/>
      <c r="J1403" s="902"/>
      <c r="L1403" s="938"/>
      <c r="M1403" s="938"/>
      <c r="N1403" s="938"/>
      <c r="O1403" s="938"/>
    </row>
    <row r="1404" spans="1:15" ht="15" customHeight="1">
      <c r="A1404" s="905" t="s">
        <v>359</v>
      </c>
      <c r="B1404" s="939" t="s">
        <v>360</v>
      </c>
      <c r="C1404" s="910" t="e">
        <f>VLOOKUP(B1403,'LƯƠNG KT'!$D$16:$AC$184,3,0)</f>
        <v>#N/A</v>
      </c>
      <c r="D1404" s="609" t="e">
        <f>+C1404*25000</f>
        <v>#N/A</v>
      </c>
      <c r="E1404" s="911"/>
      <c r="F1404" s="911"/>
      <c r="G1404" s="905" t="s">
        <v>359</v>
      </c>
      <c r="H1404" s="939" t="s">
        <v>360</v>
      </c>
      <c r="I1404" s="910" t="e">
        <f>VLOOKUP(H1403,'LƯƠNG KT'!$D$16:$AC$184,3,0)</f>
        <v>#N/A</v>
      </c>
      <c r="J1404" s="609" t="e">
        <f>+I1404*25000</f>
        <v>#N/A</v>
      </c>
      <c r="K1404" s="935"/>
      <c r="L1404" s="935"/>
      <c r="M1404" s="935"/>
      <c r="N1404" s="935"/>
      <c r="O1404" s="935"/>
    </row>
    <row r="1405" spans="1:15" ht="15" customHeight="1">
      <c r="A1405" s="905" t="s">
        <v>361</v>
      </c>
      <c r="B1405" s="546" t="s">
        <v>362</v>
      </c>
      <c r="C1405" s="910" t="e">
        <f>VLOOKUP(B1403,'LƯƠNG KT'!$D$16:$AC$184,14,0)</f>
        <v>#N/A</v>
      </c>
      <c r="D1405" s="609" t="e">
        <f>C1405*$L$4</f>
        <v>#N/A</v>
      </c>
      <c r="E1405" s="912"/>
      <c r="F1405" s="912"/>
      <c r="G1405" s="905" t="s">
        <v>361</v>
      </c>
      <c r="H1405" s="546" t="s">
        <v>362</v>
      </c>
      <c r="I1405" s="910" t="e">
        <f>VLOOKUP(H1403,'LƯƠNG KT'!$D$16:$AC$184,14,0)</f>
        <v>#N/A</v>
      </c>
      <c r="J1405" s="609" t="e">
        <f>I1405*$L$4</f>
        <v>#N/A</v>
      </c>
      <c r="K1405" s="935"/>
      <c r="L1405" s="935"/>
      <c r="M1405" s="935"/>
      <c r="N1405" s="935"/>
      <c r="O1405" s="935"/>
    </row>
    <row r="1406" spans="1:15" ht="15" customHeight="1">
      <c r="A1406" s="905" t="s">
        <v>364</v>
      </c>
      <c r="B1406" s="546" t="s">
        <v>365</v>
      </c>
      <c r="C1406" s="910" t="e">
        <f>VLOOKUP(B1403,'LƯƠNG KT'!$D$16:$AC$184,15,0)</f>
        <v>#N/A</v>
      </c>
      <c r="D1406" s="609" t="e">
        <f>C1406*$L$5</f>
        <v>#N/A</v>
      </c>
      <c r="E1406" s="912"/>
      <c r="F1406" s="912"/>
      <c r="G1406" s="905" t="s">
        <v>364</v>
      </c>
      <c r="H1406" s="546" t="s">
        <v>365</v>
      </c>
      <c r="I1406" s="910" t="e">
        <f>VLOOKUP(H1403,'LƯƠNG KT'!$D$16:$AC$184,15,0)</f>
        <v>#N/A</v>
      </c>
      <c r="J1406" s="609" t="e">
        <f>I1406*$L$5</f>
        <v>#N/A</v>
      </c>
      <c r="K1406" s="935"/>
      <c r="L1406" s="935"/>
      <c r="M1406" s="935"/>
      <c r="N1406" s="935"/>
      <c r="O1406" s="935"/>
    </row>
    <row r="1407" spans="1:15" ht="15" customHeight="1">
      <c r="A1407" s="905" t="s">
        <v>367</v>
      </c>
      <c r="B1407" s="546"/>
      <c r="C1407" s="910" t="e">
        <f>VLOOKUP(B1403,'LƯƠNG KT'!$D$16:$AC$184,16,0)</f>
        <v>#N/A</v>
      </c>
      <c r="D1407" s="609" t="e">
        <f>+C1407*$L$6</f>
        <v>#N/A</v>
      </c>
      <c r="E1407" s="912"/>
      <c r="F1407" s="912"/>
      <c r="G1407" s="905" t="s">
        <v>367</v>
      </c>
      <c r="H1407" s="546"/>
      <c r="I1407" s="910" t="e">
        <f>VLOOKUP(H1403,'LƯƠNG KT'!$D$16:$AC$184,16,0)</f>
        <v>#N/A</v>
      </c>
      <c r="J1407" s="609" t="e">
        <f>+I1407*$L$6</f>
        <v>#N/A</v>
      </c>
      <c r="K1407" s="935"/>
      <c r="L1407" s="935"/>
      <c r="M1407" s="935"/>
      <c r="N1407" s="935"/>
      <c r="O1407" s="935"/>
    </row>
    <row r="1408" spans="1:15" ht="15" customHeight="1">
      <c r="A1408" s="905" t="s">
        <v>371</v>
      </c>
      <c r="B1408" s="546" t="s">
        <v>372</v>
      </c>
      <c r="C1408" s="910" t="e">
        <f>VLOOKUP(B1403,'LƯƠNG KT'!$D$16:$AC$184,9,0)*$L$10</f>
        <v>#N/A</v>
      </c>
      <c r="D1408" s="609" t="e">
        <f>+C1408*0.5*3000</f>
        <v>#N/A</v>
      </c>
      <c r="E1408" s="912"/>
      <c r="F1408" s="912"/>
      <c r="G1408" s="905" t="s">
        <v>371</v>
      </c>
      <c r="H1408" s="546" t="s">
        <v>372</v>
      </c>
      <c r="I1408" s="910" t="e">
        <f>VLOOKUP(H1403,'LƯƠNG KT'!$D$16:$AC$184,9,0)*$L$10</f>
        <v>#N/A</v>
      </c>
      <c r="J1408" s="609" t="e">
        <f>+I1408*0.5*3000</f>
        <v>#N/A</v>
      </c>
      <c r="K1408" s="935"/>
      <c r="L1408" s="935"/>
      <c r="M1408" s="935"/>
      <c r="N1408" s="935"/>
      <c r="O1408" s="935"/>
    </row>
    <row r="1409" spans="1:15" ht="15" customHeight="1">
      <c r="A1409" s="905" t="s">
        <v>374</v>
      </c>
      <c r="B1409" s="546" t="s">
        <v>375</v>
      </c>
      <c r="C1409" s="910" t="e">
        <f>VLOOKUP(B1403,'LƯƠNG KT'!$D$16:$AC$184,8,0)*$L$11</f>
        <v>#N/A</v>
      </c>
      <c r="D1409" s="609" t="e">
        <f>VLOOKUP(B1403,'LƯƠNG KT'!$D$16:$AC$184,13,0)-D1408</f>
        <v>#N/A</v>
      </c>
      <c r="E1409" s="914"/>
      <c r="F1409" s="912"/>
      <c r="G1409" s="905" t="s">
        <v>374</v>
      </c>
      <c r="H1409" s="546" t="s">
        <v>375</v>
      </c>
      <c r="I1409" s="910" t="e">
        <f>VLOOKUP(H1403,'LƯƠNG KT'!$D$16:$AC$184,8,0)*$L$11</f>
        <v>#N/A</v>
      </c>
      <c r="J1409" s="609" t="e">
        <f>VLOOKUP(H1403,'LƯƠNG KT'!$D$16:$AC$184,13,0)-J1408</f>
        <v>#N/A</v>
      </c>
      <c r="K1409" s="935"/>
      <c r="L1409" s="935"/>
      <c r="M1409" s="935"/>
      <c r="N1409" s="935"/>
      <c r="O1409" s="935"/>
    </row>
    <row r="1410" spans="1:15" ht="15" customHeight="1">
      <c r="A1410" s="609" t="s">
        <v>377</v>
      </c>
      <c r="B1410" s="546" t="s">
        <v>378</v>
      </c>
      <c r="C1410" s="910"/>
      <c r="D1410" s="609"/>
      <c r="E1410" s="916"/>
      <c r="F1410" s="916"/>
      <c r="G1410" s="609" t="s">
        <v>377</v>
      </c>
      <c r="H1410" s="546" t="s">
        <v>378</v>
      </c>
      <c r="I1410" s="910"/>
      <c r="J1410" s="609"/>
    </row>
    <row r="1411" spans="1:15" ht="15" customHeight="1">
      <c r="A1411" s="547" t="s">
        <v>379</v>
      </c>
      <c r="B1411" s="546" t="s">
        <v>380</v>
      </c>
      <c r="C1411" s="910"/>
      <c r="D1411" s="609"/>
      <c r="E1411" s="914"/>
      <c r="F1411" s="916"/>
      <c r="G1411" s="547" t="s">
        <v>379</v>
      </c>
      <c r="H1411" s="546" t="s">
        <v>380</v>
      </c>
      <c r="I1411" s="910"/>
      <c r="J1411" s="609"/>
    </row>
    <row r="1412" spans="1:15" ht="15" customHeight="1">
      <c r="A1412" s="905" t="s">
        <v>381</v>
      </c>
      <c r="B1412" s="546" t="s">
        <v>382</v>
      </c>
      <c r="C1412" s="910"/>
      <c r="D1412" s="609">
        <f>D1411</f>
        <v>0</v>
      </c>
      <c r="E1412" s="917"/>
      <c r="F1412" s="904"/>
      <c r="G1412" s="905" t="s">
        <v>381</v>
      </c>
      <c r="H1412" s="546" t="s">
        <v>382</v>
      </c>
      <c r="I1412" s="910"/>
      <c r="J1412" s="609">
        <f>J1411</f>
        <v>0</v>
      </c>
    </row>
    <row r="1413" spans="1:15" ht="15" customHeight="1">
      <c r="A1413" s="918" t="s">
        <v>383</v>
      </c>
      <c r="B1413" s="919" t="s">
        <v>384</v>
      </c>
      <c r="C1413" s="920"/>
      <c r="D1413" s="921" t="e">
        <f>SUM(D1404:D1409)-D1412</f>
        <v>#N/A</v>
      </c>
      <c r="E1413" s="922"/>
      <c r="F1413" s="923"/>
      <c r="G1413" s="918" t="s">
        <v>383</v>
      </c>
      <c r="H1413" s="919" t="s">
        <v>384</v>
      </c>
      <c r="I1413" s="920"/>
      <c r="J1413" s="921" t="e">
        <f>SUM(J1404:J1409)-J1412</f>
        <v>#N/A</v>
      </c>
    </row>
    <row r="1414" spans="1:15" ht="18.75" customHeight="1">
      <c r="A1414" s="924"/>
      <c r="B1414" s="925"/>
      <c r="C1414" s="926"/>
      <c r="D1414" s="927"/>
      <c r="E1414" s="927"/>
      <c r="F1414" s="928"/>
      <c r="G1414" s="924"/>
      <c r="H1414" s="925"/>
      <c r="I1414" s="926"/>
      <c r="J1414" s="927"/>
    </row>
    <row r="1415" spans="1:15" ht="18.75" customHeight="1">
      <c r="A1415" s="925"/>
      <c r="B1415" s="925"/>
      <c r="C1415" s="929"/>
      <c r="D1415" s="930"/>
      <c r="E1415" s="925"/>
      <c r="F1415" s="931"/>
      <c r="G1415" s="925"/>
      <c r="H1415" s="925"/>
      <c r="I1415" s="929"/>
      <c r="J1415" s="930"/>
    </row>
    <row r="1416" spans="1:15" ht="15" customHeight="1">
      <c r="A1416" s="2360" t="str">
        <f>$K$2</f>
        <v>THÁNG 09/2024</v>
      </c>
      <c r="B1416" s="2360"/>
      <c r="C1416" s="2360"/>
      <c r="D1416" s="2360"/>
      <c r="E1416" s="903"/>
      <c r="F1416" s="904"/>
      <c r="G1416" s="2360" t="str">
        <f>$K$2</f>
        <v>THÁNG 09/2024</v>
      </c>
      <c r="H1416" s="2360"/>
      <c r="I1416" s="2360"/>
      <c r="J1416" s="2360"/>
      <c r="K1416" s="276"/>
    </row>
    <row r="1417" spans="1:15" ht="15" customHeight="1">
      <c r="A1417" s="905" t="s">
        <v>356</v>
      </c>
      <c r="B1417" s="642" t="s">
        <v>101</v>
      </c>
      <c r="C1417" s="546"/>
      <c r="D1417" s="902"/>
      <c r="E1417" s="906"/>
      <c r="F1417" s="907"/>
      <c r="G1417" s="905" t="s">
        <v>356</v>
      </c>
      <c r="H1417" s="642" t="s">
        <v>102</v>
      </c>
      <c r="I1417" s="546"/>
      <c r="J1417" s="902"/>
      <c r="L1417" s="938"/>
      <c r="M1417" s="938"/>
      <c r="N1417" s="938"/>
      <c r="O1417" s="938"/>
    </row>
    <row r="1418" spans="1:15" ht="15" customHeight="1">
      <c r="A1418" s="905" t="s">
        <v>359</v>
      </c>
      <c r="B1418" s="939" t="s">
        <v>360</v>
      </c>
      <c r="C1418" s="910" t="e">
        <f>VLOOKUP(B1417,'LƯƠNG KT'!$D$16:$AC$184,3,0)</f>
        <v>#N/A</v>
      </c>
      <c r="D1418" s="609" t="e">
        <f>+C1418*25000</f>
        <v>#N/A</v>
      </c>
      <c r="E1418" s="911"/>
      <c r="F1418" s="911"/>
      <c r="G1418" s="905" t="s">
        <v>359</v>
      </c>
      <c r="H1418" s="939" t="s">
        <v>360</v>
      </c>
      <c r="I1418" s="910" t="e">
        <f>VLOOKUP(H1417,'LƯƠNG KT'!$D$16:$AC$184,3,0)</f>
        <v>#N/A</v>
      </c>
      <c r="J1418" s="609" t="e">
        <f>+I1418*25000</f>
        <v>#N/A</v>
      </c>
      <c r="K1418" s="935"/>
      <c r="L1418" s="935"/>
      <c r="M1418" s="935"/>
      <c r="N1418" s="935"/>
      <c r="O1418" s="935"/>
    </row>
    <row r="1419" spans="1:15" ht="15" customHeight="1">
      <c r="A1419" s="905" t="s">
        <v>361</v>
      </c>
      <c r="B1419" s="546" t="s">
        <v>362</v>
      </c>
      <c r="C1419" s="910" t="e">
        <f>VLOOKUP(B1417,'LƯƠNG KT'!$D$16:$AC$184,14,0)</f>
        <v>#N/A</v>
      </c>
      <c r="D1419" s="609" t="e">
        <f>C1419*$L$4</f>
        <v>#N/A</v>
      </c>
      <c r="E1419" s="912"/>
      <c r="F1419" s="912"/>
      <c r="G1419" s="905" t="s">
        <v>361</v>
      </c>
      <c r="H1419" s="546" t="s">
        <v>362</v>
      </c>
      <c r="I1419" s="910" t="e">
        <f>VLOOKUP(H1417,'LƯƠNG KT'!$D$16:$AC$184,14,0)</f>
        <v>#N/A</v>
      </c>
      <c r="J1419" s="609" t="e">
        <f>I1419*$L$4</f>
        <v>#N/A</v>
      </c>
      <c r="K1419" s="935"/>
      <c r="L1419" s="935"/>
      <c r="M1419" s="935"/>
      <c r="N1419" s="935"/>
      <c r="O1419" s="935"/>
    </row>
    <row r="1420" spans="1:15" ht="15" customHeight="1">
      <c r="A1420" s="905" t="s">
        <v>364</v>
      </c>
      <c r="B1420" s="546" t="s">
        <v>365</v>
      </c>
      <c r="C1420" s="910" t="e">
        <f>VLOOKUP(B1417,'LƯƠNG KT'!$D$16:$AC$184,15,0)</f>
        <v>#N/A</v>
      </c>
      <c r="D1420" s="609" t="e">
        <f>C1420*$L$5</f>
        <v>#N/A</v>
      </c>
      <c r="E1420" s="912"/>
      <c r="F1420" s="912"/>
      <c r="G1420" s="905" t="s">
        <v>364</v>
      </c>
      <c r="H1420" s="546" t="s">
        <v>365</v>
      </c>
      <c r="I1420" s="910" t="e">
        <f>VLOOKUP(H1417,'LƯƠNG KT'!$D$16:$AC$184,15,0)</f>
        <v>#N/A</v>
      </c>
      <c r="J1420" s="609" t="e">
        <f>I1420*$L$5</f>
        <v>#N/A</v>
      </c>
      <c r="K1420" s="935"/>
      <c r="L1420" s="935"/>
      <c r="M1420" s="935"/>
      <c r="N1420" s="935"/>
      <c r="O1420" s="935"/>
    </row>
    <row r="1421" spans="1:15" ht="15" customHeight="1">
      <c r="A1421" s="905" t="s">
        <v>367</v>
      </c>
      <c r="B1421" s="546"/>
      <c r="C1421" s="910" t="e">
        <f>VLOOKUP(B1417,'LƯƠNG KT'!$D$16:$AC$184,16,0)</f>
        <v>#N/A</v>
      </c>
      <c r="D1421" s="609" t="e">
        <f>+C1421*$L$6</f>
        <v>#N/A</v>
      </c>
      <c r="E1421" s="912"/>
      <c r="F1421" s="912"/>
      <c r="G1421" s="905" t="s">
        <v>367</v>
      </c>
      <c r="H1421" s="546"/>
      <c r="I1421" s="910" t="e">
        <f>VLOOKUP(H1417,'LƯƠNG KT'!$D$16:$AC$184,16,0)</f>
        <v>#N/A</v>
      </c>
      <c r="J1421" s="609" t="e">
        <f>+I1421*$L$6</f>
        <v>#N/A</v>
      </c>
      <c r="K1421" s="935"/>
      <c r="L1421" s="935"/>
      <c r="M1421" s="935"/>
      <c r="N1421" s="935"/>
      <c r="O1421" s="935"/>
    </row>
    <row r="1422" spans="1:15" ht="15" customHeight="1">
      <c r="A1422" s="905" t="s">
        <v>371</v>
      </c>
      <c r="B1422" s="546" t="s">
        <v>372</v>
      </c>
      <c r="C1422" s="910" t="e">
        <f>VLOOKUP(B1417,'LƯƠNG KT'!$D$16:$AC$184,9,0)*$L$10</f>
        <v>#N/A</v>
      </c>
      <c r="D1422" s="609" t="e">
        <f>+C1422*0.5*3000</f>
        <v>#N/A</v>
      </c>
      <c r="E1422" s="912"/>
      <c r="F1422" s="912"/>
      <c r="G1422" s="905" t="s">
        <v>371</v>
      </c>
      <c r="H1422" s="546" t="s">
        <v>372</v>
      </c>
      <c r="I1422" s="910" t="e">
        <f>VLOOKUP(H1417,'LƯƠNG KT'!$D$16:$AC$184,9,0)*$L$10</f>
        <v>#N/A</v>
      </c>
      <c r="J1422" s="609" t="e">
        <f>+I1422*0.5*3000</f>
        <v>#N/A</v>
      </c>
      <c r="K1422" s="935"/>
      <c r="L1422" s="935"/>
      <c r="M1422" s="935"/>
      <c r="N1422" s="935"/>
      <c r="O1422" s="935"/>
    </row>
    <row r="1423" spans="1:15" ht="15" customHeight="1">
      <c r="A1423" s="905" t="s">
        <v>374</v>
      </c>
      <c r="B1423" s="546" t="s">
        <v>375</v>
      </c>
      <c r="C1423" s="910" t="e">
        <f>VLOOKUP(B1417,'LƯƠNG KT'!$D$16:$AC$184,8,0)*$L$11</f>
        <v>#N/A</v>
      </c>
      <c r="D1423" s="609" t="e">
        <f>VLOOKUP(B1417,'LƯƠNG KT'!$D$16:$AC$184,13,0)-D1422</f>
        <v>#N/A</v>
      </c>
      <c r="E1423" s="914"/>
      <c r="F1423" s="912"/>
      <c r="G1423" s="905" t="s">
        <v>374</v>
      </c>
      <c r="H1423" s="546" t="s">
        <v>375</v>
      </c>
      <c r="I1423" s="910" t="e">
        <f>VLOOKUP(H1417,'LƯƠNG KT'!$D$16:$AC$184,8,0)*$L$11</f>
        <v>#N/A</v>
      </c>
      <c r="J1423" s="609" t="e">
        <f>VLOOKUP(H1417,'LƯƠNG KT'!$D$16:$AC$184,13,0)-J1422</f>
        <v>#N/A</v>
      </c>
      <c r="K1423" s="935"/>
      <c r="L1423" s="935"/>
      <c r="M1423" s="935"/>
      <c r="N1423" s="935"/>
      <c r="O1423" s="935"/>
    </row>
    <row r="1424" spans="1:15" ht="15" customHeight="1">
      <c r="A1424" s="609" t="s">
        <v>377</v>
      </c>
      <c r="B1424" s="546" t="s">
        <v>378</v>
      </c>
      <c r="C1424" s="910"/>
      <c r="D1424" s="609"/>
      <c r="E1424" s="916"/>
      <c r="F1424" s="916"/>
      <c r="G1424" s="609" t="s">
        <v>377</v>
      </c>
      <c r="H1424" s="546" t="s">
        <v>378</v>
      </c>
      <c r="I1424" s="910"/>
      <c r="J1424" s="609"/>
    </row>
    <row r="1425" spans="1:15" ht="15" customHeight="1">
      <c r="A1425" s="547" t="s">
        <v>379</v>
      </c>
      <c r="B1425" s="546" t="s">
        <v>380</v>
      </c>
      <c r="C1425" s="910"/>
      <c r="D1425" s="609"/>
      <c r="E1425" s="914"/>
      <c r="F1425" s="916"/>
      <c r="G1425" s="547" t="s">
        <v>379</v>
      </c>
      <c r="H1425" s="546" t="s">
        <v>380</v>
      </c>
      <c r="I1425" s="910"/>
      <c r="J1425" s="609"/>
    </row>
    <row r="1426" spans="1:15" ht="15" customHeight="1">
      <c r="A1426" s="905" t="s">
        <v>381</v>
      </c>
      <c r="B1426" s="546" t="s">
        <v>382</v>
      </c>
      <c r="C1426" s="910"/>
      <c r="D1426" s="609">
        <f>D1425</f>
        <v>0</v>
      </c>
      <c r="E1426" s="917"/>
      <c r="F1426" s="904"/>
      <c r="G1426" s="905" t="s">
        <v>381</v>
      </c>
      <c r="H1426" s="546" t="s">
        <v>382</v>
      </c>
      <c r="I1426" s="910"/>
      <c r="J1426" s="609">
        <f>J1425</f>
        <v>0</v>
      </c>
    </row>
    <row r="1427" spans="1:15" ht="15" customHeight="1">
      <c r="A1427" s="918" t="s">
        <v>383</v>
      </c>
      <c r="B1427" s="919" t="s">
        <v>384</v>
      </c>
      <c r="C1427" s="920"/>
      <c r="D1427" s="921" t="e">
        <f>SUM(D1418:D1423)-D1426</f>
        <v>#N/A</v>
      </c>
      <c r="E1427" s="922"/>
      <c r="F1427" s="923"/>
      <c r="G1427" s="918" t="s">
        <v>383</v>
      </c>
      <c r="H1427" s="919" t="s">
        <v>384</v>
      </c>
      <c r="I1427" s="920"/>
      <c r="J1427" s="921" t="e">
        <f>SUM(J1418:J1423)-J1426</f>
        <v>#N/A</v>
      </c>
    </row>
    <row r="1428" spans="1:15" ht="18.75" customHeight="1">
      <c r="A1428" s="924"/>
      <c r="B1428" s="925"/>
      <c r="C1428" s="926"/>
      <c r="D1428" s="927"/>
      <c r="E1428" s="927"/>
      <c r="F1428" s="928"/>
      <c r="G1428" s="924"/>
      <c r="H1428" s="925"/>
      <c r="I1428" s="926"/>
      <c r="J1428" s="927"/>
    </row>
    <row r="1429" spans="1:15" ht="18.75" customHeight="1">
      <c r="A1429" s="925"/>
      <c r="B1429" s="925"/>
      <c r="C1429" s="929"/>
      <c r="D1429" s="930"/>
      <c r="E1429" s="925"/>
      <c r="F1429" s="931"/>
      <c r="G1429" s="925"/>
      <c r="H1429" s="925"/>
      <c r="I1429" s="929"/>
      <c r="J1429" s="930"/>
    </row>
    <row r="1430" spans="1:15" ht="15" customHeight="1">
      <c r="A1430" s="2360" t="str">
        <f>$K$2</f>
        <v>THÁNG 09/2024</v>
      </c>
      <c r="B1430" s="2360"/>
      <c r="C1430" s="2360"/>
      <c r="D1430" s="2360"/>
      <c r="E1430" s="903"/>
      <c r="F1430" s="904"/>
      <c r="G1430" s="2360" t="str">
        <f>$K$2</f>
        <v>THÁNG 09/2024</v>
      </c>
      <c r="H1430" s="2360"/>
      <c r="I1430" s="2360"/>
      <c r="J1430" s="2360"/>
      <c r="K1430" s="276"/>
    </row>
    <row r="1431" spans="1:15" ht="15" customHeight="1">
      <c r="A1431" s="905" t="s">
        <v>356</v>
      </c>
      <c r="B1431" s="642" t="s">
        <v>487</v>
      </c>
      <c r="C1431" s="546"/>
      <c r="D1431" s="902"/>
      <c r="E1431" s="906"/>
      <c r="F1431" s="907"/>
      <c r="G1431" s="905" t="s">
        <v>356</v>
      </c>
      <c r="H1431" s="642" t="s">
        <v>488</v>
      </c>
      <c r="I1431" s="546"/>
      <c r="J1431" s="902"/>
      <c r="L1431" s="938"/>
      <c r="M1431" s="938"/>
      <c r="N1431" s="938"/>
      <c r="O1431" s="938"/>
    </row>
    <row r="1432" spans="1:15" ht="15" customHeight="1">
      <c r="A1432" s="905" t="s">
        <v>359</v>
      </c>
      <c r="B1432" s="939" t="s">
        <v>360</v>
      </c>
      <c r="C1432" s="910" t="e">
        <f>VLOOKUP(B1431,'LƯƠNG KT'!$D$16:$AC$184,3,0)</f>
        <v>#N/A</v>
      </c>
      <c r="D1432" s="609" t="e">
        <f>+C1432*25000</f>
        <v>#N/A</v>
      </c>
      <c r="E1432" s="911"/>
      <c r="F1432" s="911"/>
      <c r="G1432" s="905" t="s">
        <v>359</v>
      </c>
      <c r="H1432" s="939" t="s">
        <v>360</v>
      </c>
      <c r="I1432" s="910" t="e">
        <f>VLOOKUP(H1431,'LƯƠNG KT'!$D$16:$AC$184,3,0)</f>
        <v>#N/A</v>
      </c>
      <c r="J1432" s="609" t="e">
        <f>+I1432*25000</f>
        <v>#N/A</v>
      </c>
      <c r="K1432" s="935"/>
      <c r="L1432" s="935"/>
      <c r="M1432" s="935"/>
      <c r="N1432" s="935"/>
      <c r="O1432" s="935"/>
    </row>
    <row r="1433" spans="1:15" ht="15" customHeight="1">
      <c r="A1433" s="905" t="s">
        <v>361</v>
      </c>
      <c r="B1433" s="546" t="s">
        <v>362</v>
      </c>
      <c r="C1433" s="910" t="e">
        <f>VLOOKUP(B1431,'LƯƠNG KT'!$D$16:$AC$184,14,0)</f>
        <v>#N/A</v>
      </c>
      <c r="D1433" s="609" t="e">
        <f>C1433*$L$4</f>
        <v>#N/A</v>
      </c>
      <c r="E1433" s="912"/>
      <c r="F1433" s="912"/>
      <c r="G1433" s="905" t="s">
        <v>361</v>
      </c>
      <c r="H1433" s="546" t="s">
        <v>362</v>
      </c>
      <c r="I1433" s="910" t="e">
        <f>VLOOKUP(H1431,'LƯƠNG KT'!$D$16:$AC$184,14,0)</f>
        <v>#N/A</v>
      </c>
      <c r="J1433" s="609" t="e">
        <f>I1433*$L$4</f>
        <v>#N/A</v>
      </c>
      <c r="K1433" s="935"/>
      <c r="L1433" s="935"/>
      <c r="M1433" s="935"/>
      <c r="N1433" s="935"/>
      <c r="O1433" s="935"/>
    </row>
    <row r="1434" spans="1:15" ht="15" customHeight="1">
      <c r="A1434" s="905" t="s">
        <v>364</v>
      </c>
      <c r="B1434" s="546" t="s">
        <v>365</v>
      </c>
      <c r="C1434" s="910" t="e">
        <f>VLOOKUP(B1431,'LƯƠNG KT'!$D$16:$AC$184,15,0)</f>
        <v>#N/A</v>
      </c>
      <c r="D1434" s="609" t="e">
        <f>C1434*$L$5</f>
        <v>#N/A</v>
      </c>
      <c r="E1434" s="912"/>
      <c r="F1434" s="912"/>
      <c r="G1434" s="905" t="s">
        <v>364</v>
      </c>
      <c r="H1434" s="546" t="s">
        <v>365</v>
      </c>
      <c r="I1434" s="910" t="e">
        <f>VLOOKUP(H1431,'LƯƠNG KT'!$D$16:$AC$184,15,0)</f>
        <v>#N/A</v>
      </c>
      <c r="J1434" s="609" t="e">
        <f>I1434*$L$5</f>
        <v>#N/A</v>
      </c>
      <c r="K1434" s="935"/>
      <c r="L1434" s="935"/>
      <c r="M1434" s="935"/>
      <c r="N1434" s="935"/>
      <c r="O1434" s="935"/>
    </row>
    <row r="1435" spans="1:15" ht="15" customHeight="1">
      <c r="A1435" s="905" t="s">
        <v>367</v>
      </c>
      <c r="B1435" s="546"/>
      <c r="C1435" s="910" t="e">
        <f>VLOOKUP(B1431,'LƯƠNG KT'!$D$16:$AC$184,16,0)</f>
        <v>#N/A</v>
      </c>
      <c r="D1435" s="609" t="e">
        <f>+C1435*$L$6</f>
        <v>#N/A</v>
      </c>
      <c r="E1435" s="912"/>
      <c r="F1435" s="912"/>
      <c r="G1435" s="905" t="s">
        <v>367</v>
      </c>
      <c r="H1435" s="546"/>
      <c r="I1435" s="910" t="e">
        <f>VLOOKUP(H1431,'LƯƠNG KT'!$D$16:$AC$184,16,0)</f>
        <v>#N/A</v>
      </c>
      <c r="J1435" s="609" t="e">
        <f>+I1435*$L$6</f>
        <v>#N/A</v>
      </c>
      <c r="K1435" s="935"/>
      <c r="L1435" s="935"/>
      <c r="M1435" s="935"/>
      <c r="N1435" s="935"/>
      <c r="O1435" s="935"/>
    </row>
    <row r="1436" spans="1:15" ht="15" customHeight="1">
      <c r="A1436" s="905" t="s">
        <v>371</v>
      </c>
      <c r="B1436" s="546" t="s">
        <v>372</v>
      </c>
      <c r="C1436" s="910" t="e">
        <f>VLOOKUP(B1431,'LƯƠNG KT'!$D$16:$AC$184,9,0)*$L$10</f>
        <v>#N/A</v>
      </c>
      <c r="D1436" s="609" t="e">
        <f>+C1436*0.5*3000</f>
        <v>#N/A</v>
      </c>
      <c r="E1436" s="912"/>
      <c r="F1436" s="912"/>
      <c r="G1436" s="905" t="s">
        <v>371</v>
      </c>
      <c r="H1436" s="546" t="s">
        <v>372</v>
      </c>
      <c r="I1436" s="910" t="e">
        <f>VLOOKUP(H1431,'LƯƠNG KT'!$D$16:$AC$184,9,0)*$L$10</f>
        <v>#N/A</v>
      </c>
      <c r="J1436" s="609" t="e">
        <f>+I1436*0.5*3000</f>
        <v>#N/A</v>
      </c>
      <c r="K1436" s="935"/>
      <c r="L1436" s="935"/>
      <c r="M1436" s="935"/>
      <c r="N1436" s="935"/>
      <c r="O1436" s="935"/>
    </row>
    <row r="1437" spans="1:15" ht="15" customHeight="1">
      <c r="A1437" s="905" t="s">
        <v>374</v>
      </c>
      <c r="B1437" s="546" t="s">
        <v>375</v>
      </c>
      <c r="C1437" s="910" t="e">
        <f>VLOOKUP(B1431,'LƯƠNG KT'!$D$16:$AC$184,8,0)*$L$11</f>
        <v>#N/A</v>
      </c>
      <c r="D1437" s="609" t="e">
        <f>VLOOKUP(B1431,'LƯƠNG KT'!$D$16:$AC$184,13,0)-D1436</f>
        <v>#N/A</v>
      </c>
      <c r="E1437" s="914"/>
      <c r="F1437" s="912"/>
      <c r="G1437" s="905" t="s">
        <v>374</v>
      </c>
      <c r="H1437" s="546" t="s">
        <v>375</v>
      </c>
      <c r="I1437" s="910" t="e">
        <f>VLOOKUP(H1431,'LƯƠNG KT'!$D$16:$AC$184,8,0)*$L$11</f>
        <v>#N/A</v>
      </c>
      <c r="J1437" s="609" t="e">
        <f>VLOOKUP(H1431,'LƯƠNG KT'!$D$16:$AC$184,13,0)-J1436</f>
        <v>#N/A</v>
      </c>
      <c r="K1437" s="935"/>
      <c r="L1437" s="935"/>
      <c r="M1437" s="935"/>
      <c r="N1437" s="935"/>
      <c r="O1437" s="935"/>
    </row>
    <row r="1438" spans="1:15" ht="15" customHeight="1">
      <c r="A1438" s="609" t="s">
        <v>377</v>
      </c>
      <c r="B1438" s="546" t="s">
        <v>378</v>
      </c>
      <c r="C1438" s="910"/>
      <c r="D1438" s="609"/>
      <c r="E1438" s="916"/>
      <c r="F1438" s="916"/>
      <c r="G1438" s="609" t="s">
        <v>377</v>
      </c>
      <c r="H1438" s="546" t="s">
        <v>378</v>
      </c>
      <c r="I1438" s="910"/>
      <c r="J1438" s="609"/>
    </row>
    <row r="1439" spans="1:15" ht="15" customHeight="1">
      <c r="A1439" s="547" t="s">
        <v>379</v>
      </c>
      <c r="B1439" s="546" t="s">
        <v>380</v>
      </c>
      <c r="C1439" s="910"/>
      <c r="D1439" s="609"/>
      <c r="E1439" s="914"/>
      <c r="F1439" s="916"/>
      <c r="G1439" s="547" t="s">
        <v>379</v>
      </c>
      <c r="H1439" s="546" t="s">
        <v>380</v>
      </c>
      <c r="I1439" s="910"/>
      <c r="J1439" s="609"/>
    </row>
    <row r="1440" spans="1:15" ht="15" customHeight="1">
      <c r="A1440" s="905" t="s">
        <v>381</v>
      </c>
      <c r="B1440" s="546" t="s">
        <v>382</v>
      </c>
      <c r="C1440" s="910"/>
      <c r="D1440" s="609">
        <f>D1439</f>
        <v>0</v>
      </c>
      <c r="E1440" s="917"/>
      <c r="F1440" s="904"/>
      <c r="G1440" s="905" t="s">
        <v>381</v>
      </c>
      <c r="H1440" s="546" t="s">
        <v>382</v>
      </c>
      <c r="I1440" s="910"/>
      <c r="J1440" s="609">
        <f>J1439</f>
        <v>0</v>
      </c>
    </row>
    <row r="1441" spans="1:15" ht="15" customHeight="1">
      <c r="A1441" s="918" t="s">
        <v>383</v>
      </c>
      <c r="B1441" s="919" t="s">
        <v>384</v>
      </c>
      <c r="C1441" s="920"/>
      <c r="D1441" s="921" t="e">
        <f>SUM(D1432:D1437)-D1440</f>
        <v>#N/A</v>
      </c>
      <c r="E1441" s="922"/>
      <c r="F1441" s="923"/>
      <c r="G1441" s="918" t="s">
        <v>383</v>
      </c>
      <c r="H1441" s="919" t="s">
        <v>384</v>
      </c>
      <c r="I1441" s="920"/>
      <c r="J1441" s="921" t="e">
        <f>SUM(J1432:J1437)-J1440</f>
        <v>#N/A</v>
      </c>
    </row>
    <row r="1442" spans="1:15" ht="15.75" customHeight="1">
      <c r="A1442" s="924"/>
      <c r="B1442" s="925"/>
      <c r="C1442" s="926"/>
      <c r="D1442" s="927"/>
      <c r="E1442" s="927"/>
      <c r="F1442" s="928"/>
      <c r="G1442" s="924"/>
      <c r="H1442" s="925"/>
      <c r="I1442" s="926"/>
      <c r="J1442" s="927"/>
    </row>
    <row r="1444" spans="1:15" ht="12" customHeight="1">
      <c r="A1444" s="2361"/>
      <c r="B1444" s="2361"/>
      <c r="C1444" s="2361"/>
      <c r="D1444" s="2361"/>
      <c r="E1444" s="2361"/>
      <c r="F1444" s="2361"/>
      <c r="G1444" s="2361"/>
      <c r="H1444" s="2361"/>
      <c r="I1444" s="2361"/>
      <c r="J1444" s="2361"/>
    </row>
    <row r="1445" spans="1:15" ht="15" customHeight="1">
      <c r="A1445" s="2360" t="str">
        <f>$K$2</f>
        <v>THÁNG 09/2024</v>
      </c>
      <c r="B1445" s="2360"/>
      <c r="C1445" s="2360"/>
      <c r="D1445" s="2360"/>
      <c r="E1445" s="903"/>
      <c r="F1445" s="904"/>
      <c r="G1445" s="2360" t="str">
        <f>$K$2</f>
        <v>THÁNG 09/2024</v>
      </c>
      <c r="H1445" s="2360"/>
      <c r="I1445" s="2360"/>
      <c r="J1445" s="2360"/>
      <c r="K1445" s="276"/>
    </row>
    <row r="1446" spans="1:15" ht="15" customHeight="1">
      <c r="A1446" s="905" t="s">
        <v>356</v>
      </c>
      <c r="B1446" s="642" t="s">
        <v>489</v>
      </c>
      <c r="C1446" s="546"/>
      <c r="D1446" s="902"/>
      <c r="E1446" s="906"/>
      <c r="F1446" s="907"/>
      <c r="G1446" s="905" t="s">
        <v>356</v>
      </c>
      <c r="H1446" s="642" t="s">
        <v>490</v>
      </c>
      <c r="I1446" s="546"/>
      <c r="J1446" s="902"/>
      <c r="L1446" s="938"/>
      <c r="M1446" s="938"/>
      <c r="N1446" s="938"/>
      <c r="O1446" s="938"/>
    </row>
    <row r="1447" spans="1:15" ht="15" customHeight="1">
      <c r="A1447" s="905" t="s">
        <v>359</v>
      </c>
      <c r="B1447" s="939" t="s">
        <v>360</v>
      </c>
      <c r="C1447" s="910" t="e">
        <f>VLOOKUP(B1446,'LƯƠNG KT'!$D$16:$AC$184,3,0)</f>
        <v>#N/A</v>
      </c>
      <c r="D1447" s="609" t="e">
        <f>+C1447*25000</f>
        <v>#N/A</v>
      </c>
      <c r="E1447" s="911"/>
      <c r="F1447" s="911"/>
      <c r="G1447" s="905" t="s">
        <v>359</v>
      </c>
      <c r="H1447" s="939" t="s">
        <v>360</v>
      </c>
      <c r="I1447" s="910" t="e">
        <f>VLOOKUP(H1446,'LƯƠNG KT'!$D$16:$AC$184,3,0)</f>
        <v>#N/A</v>
      </c>
      <c r="J1447" s="609" t="e">
        <f>+I1447*25000</f>
        <v>#N/A</v>
      </c>
      <c r="K1447" s="934"/>
      <c r="L1447" s="935"/>
      <c r="M1447" s="935"/>
      <c r="N1447" s="935"/>
      <c r="O1447" s="935"/>
    </row>
    <row r="1448" spans="1:15" ht="15" customHeight="1">
      <c r="A1448" s="905" t="s">
        <v>361</v>
      </c>
      <c r="B1448" s="546" t="s">
        <v>362</v>
      </c>
      <c r="C1448" s="910" t="e">
        <f>VLOOKUP(B1446,'LƯƠNG KT'!$D$16:$AC$184,14,0)</f>
        <v>#N/A</v>
      </c>
      <c r="D1448" s="609" t="e">
        <f>C1448*$L$4</f>
        <v>#N/A</v>
      </c>
      <c r="E1448" s="912"/>
      <c r="F1448" s="912"/>
      <c r="G1448" s="905" t="s">
        <v>361</v>
      </c>
      <c r="H1448" s="546" t="s">
        <v>362</v>
      </c>
      <c r="I1448" s="910" t="e">
        <f>VLOOKUP(H1446,'LƯƠNG KT'!$D$16:$AC$184,14,0)</f>
        <v>#N/A</v>
      </c>
      <c r="J1448" s="609" t="e">
        <f>I1448*$L$4</f>
        <v>#N/A</v>
      </c>
      <c r="K1448" s="934"/>
      <c r="L1448" s="935"/>
      <c r="M1448" s="935"/>
      <c r="N1448" s="935"/>
      <c r="O1448" s="935"/>
    </row>
    <row r="1449" spans="1:15" ht="15" customHeight="1">
      <c r="A1449" s="905" t="s">
        <v>364</v>
      </c>
      <c r="B1449" s="546" t="s">
        <v>365</v>
      </c>
      <c r="C1449" s="910" t="e">
        <f>VLOOKUP(B1446,'LƯƠNG KT'!$D$16:$AC$184,15,0)</f>
        <v>#N/A</v>
      </c>
      <c r="D1449" s="609" t="e">
        <f>C1449*$L$5</f>
        <v>#N/A</v>
      </c>
      <c r="E1449" s="912"/>
      <c r="F1449" s="912"/>
      <c r="G1449" s="905" t="s">
        <v>364</v>
      </c>
      <c r="H1449" s="546" t="s">
        <v>365</v>
      </c>
      <c r="I1449" s="910" t="e">
        <f>VLOOKUP(H1446,'LƯƠNG KT'!$D$16:$AC$184,15,0)</f>
        <v>#N/A</v>
      </c>
      <c r="J1449" s="609" t="e">
        <f>I1449*$L$5</f>
        <v>#N/A</v>
      </c>
      <c r="K1449" s="934"/>
      <c r="L1449" s="935"/>
      <c r="M1449" s="935"/>
      <c r="N1449" s="935"/>
      <c r="O1449" s="935"/>
    </row>
    <row r="1450" spans="1:15" ht="15" customHeight="1">
      <c r="A1450" s="905" t="s">
        <v>367</v>
      </c>
      <c r="B1450" s="546"/>
      <c r="C1450" s="910" t="e">
        <f>VLOOKUP(B1446,'LƯƠNG KT'!$D$16:$AC$184,16,0)</f>
        <v>#N/A</v>
      </c>
      <c r="D1450" s="609" t="e">
        <f>+C1450*$L$6</f>
        <v>#N/A</v>
      </c>
      <c r="E1450" s="912"/>
      <c r="F1450" s="912"/>
      <c r="G1450" s="905" t="s">
        <v>367</v>
      </c>
      <c r="H1450" s="546"/>
      <c r="I1450" s="910" t="e">
        <f>VLOOKUP(H1446,'LƯƠNG KT'!$D$16:$AC$184,16,0)</f>
        <v>#N/A</v>
      </c>
      <c r="J1450" s="609" t="e">
        <f>+I1450*$L$6</f>
        <v>#N/A</v>
      </c>
      <c r="K1450" s="935"/>
      <c r="L1450" s="935"/>
      <c r="M1450" s="935"/>
      <c r="N1450" s="935"/>
      <c r="O1450" s="935"/>
    </row>
    <row r="1451" spans="1:15" ht="15" customHeight="1">
      <c r="A1451" s="905" t="s">
        <v>371</v>
      </c>
      <c r="B1451" s="546" t="s">
        <v>372</v>
      </c>
      <c r="C1451" s="910" t="e">
        <f>VLOOKUP(B1446,'LƯƠNG KT'!$D$16:$AC$184,9,0)*$L$10</f>
        <v>#N/A</v>
      </c>
      <c r="D1451" s="609" t="e">
        <f>+C1451*0.5*3000</f>
        <v>#N/A</v>
      </c>
      <c r="E1451" s="912"/>
      <c r="F1451" s="912"/>
      <c r="G1451" s="905" t="s">
        <v>371</v>
      </c>
      <c r="H1451" s="546" t="s">
        <v>372</v>
      </c>
      <c r="I1451" s="910" t="e">
        <f>VLOOKUP(H1446,'LƯƠNG KT'!$D$16:$AC$184,9,0)*$L$10</f>
        <v>#N/A</v>
      </c>
      <c r="J1451" s="609" t="e">
        <f>+I1451*0.5*3000</f>
        <v>#N/A</v>
      </c>
      <c r="K1451" s="935"/>
      <c r="L1451" s="935"/>
      <c r="M1451" s="935"/>
      <c r="N1451" s="935"/>
      <c r="O1451" s="935"/>
    </row>
    <row r="1452" spans="1:15" ht="15" customHeight="1">
      <c r="A1452" s="905" t="s">
        <v>374</v>
      </c>
      <c r="B1452" s="546" t="s">
        <v>375</v>
      </c>
      <c r="C1452" s="910" t="e">
        <f>VLOOKUP(B1446,'LƯƠNG KT'!$D$16:$AC$184,8,0)*$L$11</f>
        <v>#N/A</v>
      </c>
      <c r="D1452" s="609" t="e">
        <f>VLOOKUP(B1446,'LƯƠNG KT'!$D$16:$AC$184,13,0)-D1451</f>
        <v>#N/A</v>
      </c>
      <c r="E1452" s="914"/>
      <c r="F1452" s="912"/>
      <c r="G1452" s="905" t="s">
        <v>374</v>
      </c>
      <c r="H1452" s="546" t="s">
        <v>375</v>
      </c>
      <c r="I1452" s="910" t="e">
        <f>VLOOKUP(H1446,'LƯƠNG KT'!$D$16:$AC$184,8,0)*$L$11</f>
        <v>#N/A</v>
      </c>
      <c r="J1452" s="609" t="e">
        <f>VLOOKUP(H1446,'LƯƠNG KT'!$D$16:$AC$184,13,0)-J1451</f>
        <v>#N/A</v>
      </c>
      <c r="K1452" s="935"/>
      <c r="L1452" s="935"/>
      <c r="M1452" s="935"/>
      <c r="N1452" s="935"/>
      <c r="O1452" s="935"/>
    </row>
    <row r="1453" spans="1:15" ht="15" customHeight="1">
      <c r="A1453" s="609" t="s">
        <v>377</v>
      </c>
      <c r="B1453" s="546" t="s">
        <v>378</v>
      </c>
      <c r="C1453" s="910"/>
      <c r="D1453" s="609"/>
      <c r="E1453" s="916"/>
      <c r="F1453" s="916"/>
      <c r="G1453" s="609" t="s">
        <v>377</v>
      </c>
      <c r="H1453" s="546" t="s">
        <v>378</v>
      </c>
      <c r="I1453" s="910"/>
      <c r="J1453" s="609"/>
    </row>
    <row r="1454" spans="1:15" ht="15" customHeight="1">
      <c r="A1454" s="547" t="s">
        <v>379</v>
      </c>
      <c r="B1454" s="546" t="s">
        <v>380</v>
      </c>
      <c r="C1454" s="910"/>
      <c r="D1454" s="609"/>
      <c r="E1454" s="914"/>
      <c r="F1454" s="916"/>
      <c r="G1454" s="547" t="s">
        <v>379</v>
      </c>
      <c r="H1454" s="546" t="s">
        <v>380</v>
      </c>
      <c r="I1454" s="910"/>
      <c r="J1454" s="609"/>
    </row>
    <row r="1455" spans="1:15" ht="15" customHeight="1">
      <c r="A1455" s="905" t="s">
        <v>381</v>
      </c>
      <c r="B1455" s="546" t="s">
        <v>382</v>
      </c>
      <c r="C1455" s="910"/>
      <c r="D1455" s="609">
        <f>D1454</f>
        <v>0</v>
      </c>
      <c r="E1455" s="917"/>
      <c r="F1455" s="904"/>
      <c r="G1455" s="905" t="s">
        <v>381</v>
      </c>
      <c r="H1455" s="546" t="s">
        <v>382</v>
      </c>
      <c r="I1455" s="910"/>
      <c r="J1455" s="609">
        <f>J1454</f>
        <v>0</v>
      </c>
    </row>
    <row r="1456" spans="1:15" ht="15" customHeight="1">
      <c r="A1456" s="918" t="s">
        <v>383</v>
      </c>
      <c r="B1456" s="919" t="s">
        <v>384</v>
      </c>
      <c r="C1456" s="920"/>
      <c r="D1456" s="921" t="e">
        <f>SUM(D1447:D1452)-D1455</f>
        <v>#N/A</v>
      </c>
      <c r="E1456" s="922"/>
      <c r="F1456" s="923"/>
      <c r="G1456" s="918" t="s">
        <v>383</v>
      </c>
      <c r="H1456" s="919" t="s">
        <v>384</v>
      </c>
      <c r="I1456" s="920"/>
      <c r="J1456" s="921" t="e">
        <f>SUM(J1447:J1452)-J1455</f>
        <v>#N/A</v>
      </c>
    </row>
    <row r="1457" spans="1:15" ht="12.6" customHeight="1">
      <c r="A1457" s="924"/>
      <c r="B1457" s="925"/>
      <c r="C1457" s="926"/>
      <c r="D1457" s="927"/>
      <c r="E1457" s="927"/>
      <c r="F1457" s="928"/>
      <c r="G1457" s="924"/>
      <c r="H1457" s="925"/>
      <c r="I1457" s="926"/>
      <c r="J1457" s="927"/>
    </row>
    <row r="1458" spans="1:15" ht="12.6" customHeight="1">
      <c r="A1458" s="925"/>
      <c r="B1458" s="925"/>
      <c r="C1458" s="929"/>
      <c r="D1458" s="930"/>
      <c r="E1458" s="925"/>
      <c r="F1458" s="931"/>
      <c r="G1458" s="925"/>
      <c r="H1458" s="925"/>
      <c r="I1458" s="929"/>
      <c r="J1458" s="930"/>
    </row>
    <row r="1459" spans="1:15" ht="15" customHeight="1">
      <c r="A1459" s="2360" t="str">
        <f>$K$2</f>
        <v>THÁNG 09/2024</v>
      </c>
      <c r="B1459" s="2360"/>
      <c r="C1459" s="2360"/>
      <c r="D1459" s="2360"/>
      <c r="E1459" s="903"/>
      <c r="F1459" s="904"/>
      <c r="G1459" s="2360" t="str">
        <f>$K$2</f>
        <v>THÁNG 09/2024</v>
      </c>
      <c r="H1459" s="2360"/>
      <c r="I1459" s="2360"/>
      <c r="J1459" s="2360"/>
      <c r="K1459" s="276"/>
    </row>
    <row r="1460" spans="1:15" ht="15" customHeight="1">
      <c r="A1460" s="905" t="s">
        <v>356</v>
      </c>
      <c r="B1460" s="642" t="s">
        <v>491</v>
      </c>
      <c r="C1460" s="546"/>
      <c r="D1460" s="902"/>
      <c r="E1460" s="906"/>
      <c r="F1460" s="907"/>
      <c r="G1460" s="905" t="s">
        <v>356</v>
      </c>
      <c r="H1460" s="642" t="s">
        <v>492</v>
      </c>
      <c r="I1460" s="546"/>
      <c r="J1460" s="902"/>
      <c r="L1460" s="938"/>
      <c r="M1460" s="938"/>
      <c r="N1460" s="938"/>
      <c r="O1460" s="938"/>
    </row>
    <row r="1461" spans="1:15" ht="15" customHeight="1">
      <c r="A1461" s="905" t="s">
        <v>359</v>
      </c>
      <c r="B1461" s="939" t="s">
        <v>360</v>
      </c>
      <c r="C1461" s="910" t="e">
        <f>VLOOKUP(B1460,'LƯƠNG KT'!$D$16:$AC$184,3,0)</f>
        <v>#N/A</v>
      </c>
      <c r="D1461" s="609" t="e">
        <f>+C1461*25000</f>
        <v>#N/A</v>
      </c>
      <c r="E1461" s="911"/>
      <c r="F1461" s="911"/>
      <c r="G1461" s="905" t="s">
        <v>359</v>
      </c>
      <c r="H1461" s="939" t="s">
        <v>360</v>
      </c>
      <c r="I1461" s="910" t="e">
        <f>VLOOKUP(H1460,'LƯƠNG KT'!$D$16:$AC$184,3,0)</f>
        <v>#N/A</v>
      </c>
      <c r="J1461" s="609" t="e">
        <f>+I1461*25000</f>
        <v>#N/A</v>
      </c>
      <c r="K1461" s="935"/>
      <c r="L1461" s="935"/>
      <c r="M1461" s="935"/>
      <c r="N1461" s="935"/>
      <c r="O1461" s="935"/>
    </row>
    <row r="1462" spans="1:15" ht="15" customHeight="1">
      <c r="A1462" s="905" t="s">
        <v>361</v>
      </c>
      <c r="B1462" s="546" t="s">
        <v>362</v>
      </c>
      <c r="C1462" s="910" t="e">
        <f>VLOOKUP(B1460,'LƯƠNG KT'!$D$16:$AC$184,14,0)</f>
        <v>#N/A</v>
      </c>
      <c r="D1462" s="609" t="e">
        <f>C1462*$L$4</f>
        <v>#N/A</v>
      </c>
      <c r="E1462" s="912"/>
      <c r="F1462" s="912"/>
      <c r="G1462" s="905" t="s">
        <v>361</v>
      </c>
      <c r="H1462" s="546" t="s">
        <v>362</v>
      </c>
      <c r="I1462" s="910" t="e">
        <f>VLOOKUP(H1460,'LƯƠNG KT'!$D$16:$AC$184,14,0)</f>
        <v>#N/A</v>
      </c>
      <c r="J1462" s="609" t="e">
        <f>I1462*$L$4</f>
        <v>#N/A</v>
      </c>
      <c r="K1462" s="935"/>
      <c r="L1462" s="935"/>
      <c r="M1462" s="935"/>
      <c r="N1462" s="935"/>
      <c r="O1462" s="935"/>
    </row>
    <row r="1463" spans="1:15" ht="15" customHeight="1">
      <c r="A1463" s="905" t="s">
        <v>364</v>
      </c>
      <c r="B1463" s="546" t="s">
        <v>365</v>
      </c>
      <c r="C1463" s="910" t="e">
        <f>VLOOKUP(B1460,'LƯƠNG KT'!$D$16:$AC$184,15,0)</f>
        <v>#N/A</v>
      </c>
      <c r="D1463" s="609" t="e">
        <f>C1463*$L$5</f>
        <v>#N/A</v>
      </c>
      <c r="E1463" s="912"/>
      <c r="F1463" s="912"/>
      <c r="G1463" s="905" t="s">
        <v>364</v>
      </c>
      <c r="H1463" s="546" t="s">
        <v>365</v>
      </c>
      <c r="I1463" s="910" t="e">
        <f>VLOOKUP(H1460,'LƯƠNG KT'!$D$16:$AC$184,15,0)</f>
        <v>#N/A</v>
      </c>
      <c r="J1463" s="609" t="e">
        <f>I1463*$L$5</f>
        <v>#N/A</v>
      </c>
      <c r="K1463" s="935"/>
      <c r="L1463" s="935"/>
      <c r="M1463" s="935"/>
      <c r="N1463" s="935"/>
      <c r="O1463" s="935"/>
    </row>
    <row r="1464" spans="1:15" ht="15" customHeight="1">
      <c r="A1464" s="905" t="s">
        <v>367</v>
      </c>
      <c r="B1464" s="546"/>
      <c r="C1464" s="910" t="e">
        <f>VLOOKUP(B1460,'LƯƠNG KT'!$D$16:$AC$184,16,0)</f>
        <v>#N/A</v>
      </c>
      <c r="D1464" s="609" t="e">
        <f>+C1464*$L$6</f>
        <v>#N/A</v>
      </c>
      <c r="E1464" s="912"/>
      <c r="F1464" s="912"/>
      <c r="G1464" s="905" t="s">
        <v>367</v>
      </c>
      <c r="H1464" s="546"/>
      <c r="I1464" s="910" t="e">
        <f>VLOOKUP(H1460,'LƯƠNG KT'!$D$16:$AC$184,16,0)</f>
        <v>#N/A</v>
      </c>
      <c r="J1464" s="609" t="e">
        <f>+I1464*$L$6</f>
        <v>#N/A</v>
      </c>
      <c r="K1464" s="935"/>
      <c r="L1464" s="935"/>
      <c r="M1464" s="935"/>
      <c r="N1464" s="935"/>
      <c r="O1464" s="935"/>
    </row>
    <row r="1465" spans="1:15" ht="15" customHeight="1">
      <c r="A1465" s="905" t="s">
        <v>371</v>
      </c>
      <c r="B1465" s="546" t="s">
        <v>372</v>
      </c>
      <c r="C1465" s="910" t="e">
        <f>VLOOKUP(B1460,'LƯƠNG KT'!$D$16:$AC$184,9,0)*$L$10</f>
        <v>#N/A</v>
      </c>
      <c r="D1465" s="609" t="e">
        <f>+C1465*0.5*3000</f>
        <v>#N/A</v>
      </c>
      <c r="E1465" s="912"/>
      <c r="F1465" s="912"/>
      <c r="G1465" s="905" t="s">
        <v>371</v>
      </c>
      <c r="H1465" s="546" t="s">
        <v>372</v>
      </c>
      <c r="I1465" s="910" t="e">
        <f>VLOOKUP(H1460,'LƯƠNG KT'!$D$16:$AC$184,9,0)*$L$10</f>
        <v>#N/A</v>
      </c>
      <c r="J1465" s="609" t="e">
        <f>+I1465*0.5*3000</f>
        <v>#N/A</v>
      </c>
      <c r="K1465" s="935"/>
      <c r="L1465" s="935"/>
      <c r="M1465" s="935"/>
      <c r="N1465" s="935"/>
      <c r="O1465" s="935"/>
    </row>
    <row r="1466" spans="1:15" ht="15" customHeight="1">
      <c r="A1466" s="905" t="s">
        <v>374</v>
      </c>
      <c r="B1466" s="546" t="s">
        <v>375</v>
      </c>
      <c r="C1466" s="910" t="e">
        <f>VLOOKUP(B1460,'LƯƠNG KT'!$D$16:$AC$184,8,0)*$L$11</f>
        <v>#N/A</v>
      </c>
      <c r="D1466" s="609" t="e">
        <f>VLOOKUP(B1460,'LƯƠNG KT'!$D$16:$AC$184,13,0)-D1465</f>
        <v>#N/A</v>
      </c>
      <c r="E1466" s="914"/>
      <c r="F1466" s="912"/>
      <c r="G1466" s="905" t="s">
        <v>374</v>
      </c>
      <c r="H1466" s="546" t="s">
        <v>375</v>
      </c>
      <c r="I1466" s="910" t="e">
        <f>VLOOKUP(H1460,'LƯƠNG KT'!$D$16:$AC$184,8,0)*$L$11</f>
        <v>#N/A</v>
      </c>
      <c r="J1466" s="609" t="e">
        <f>VLOOKUP(H1460,'LƯƠNG KT'!$D$16:$AC$184,13,0)-J1465</f>
        <v>#N/A</v>
      </c>
      <c r="K1466" s="935"/>
      <c r="L1466" s="935"/>
      <c r="M1466" s="935"/>
      <c r="N1466" s="935"/>
      <c r="O1466" s="935"/>
    </row>
    <row r="1467" spans="1:15" ht="15" customHeight="1">
      <c r="A1467" s="609" t="s">
        <v>377</v>
      </c>
      <c r="B1467" s="546" t="s">
        <v>378</v>
      </c>
      <c r="C1467" s="910"/>
      <c r="D1467" s="609"/>
      <c r="E1467" s="916"/>
      <c r="F1467" s="916"/>
      <c r="G1467" s="609" t="s">
        <v>377</v>
      </c>
      <c r="H1467" s="546" t="s">
        <v>378</v>
      </c>
      <c r="I1467" s="910"/>
      <c r="J1467" s="609"/>
    </row>
    <row r="1468" spans="1:15" ht="15" customHeight="1">
      <c r="A1468" s="547" t="s">
        <v>379</v>
      </c>
      <c r="B1468" s="546" t="s">
        <v>380</v>
      </c>
      <c r="C1468" s="910"/>
      <c r="D1468" s="609"/>
      <c r="E1468" s="914"/>
      <c r="F1468" s="916"/>
      <c r="G1468" s="547" t="s">
        <v>379</v>
      </c>
      <c r="H1468" s="546" t="s">
        <v>380</v>
      </c>
      <c r="I1468" s="910"/>
      <c r="J1468" s="609"/>
    </row>
    <row r="1469" spans="1:15" ht="15" customHeight="1">
      <c r="A1469" s="905" t="s">
        <v>381</v>
      </c>
      <c r="B1469" s="546" t="s">
        <v>382</v>
      </c>
      <c r="C1469" s="910"/>
      <c r="D1469" s="609">
        <f>D1468</f>
        <v>0</v>
      </c>
      <c r="E1469" s="917"/>
      <c r="F1469" s="904"/>
      <c r="G1469" s="905" t="s">
        <v>381</v>
      </c>
      <c r="H1469" s="546" t="s">
        <v>382</v>
      </c>
      <c r="I1469" s="910"/>
      <c r="J1469" s="609">
        <f>J1468</f>
        <v>0</v>
      </c>
    </row>
    <row r="1470" spans="1:15" ht="15" customHeight="1">
      <c r="A1470" s="918" t="s">
        <v>383</v>
      </c>
      <c r="B1470" s="919" t="s">
        <v>384</v>
      </c>
      <c r="C1470" s="920"/>
      <c r="D1470" s="921" t="e">
        <f>SUM(D1461:D1466)-D1469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SUM(J1461:J1466)-J1469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60" t="str">
        <f>$K$2</f>
        <v>THÁNG 09/2024</v>
      </c>
      <c r="B1473" s="2360"/>
      <c r="C1473" s="2360"/>
      <c r="D1473" s="2360"/>
      <c r="E1473" s="903"/>
      <c r="F1473" s="904"/>
      <c r="G1473" s="2360" t="str">
        <f>$K$2</f>
        <v>THÁNG 09/2024</v>
      </c>
      <c r="H1473" s="2360"/>
      <c r="I1473" s="2360"/>
      <c r="J1473" s="2360"/>
      <c r="K1473" s="276"/>
    </row>
    <row r="1474" spans="1:15" ht="15" customHeight="1">
      <c r="A1474" s="905" t="s">
        <v>356</v>
      </c>
      <c r="B1474" s="642" t="s">
        <v>493</v>
      </c>
      <c r="C1474" s="546"/>
      <c r="D1474" s="902"/>
      <c r="E1474" s="906"/>
      <c r="F1474" s="907"/>
      <c r="G1474" s="905" t="s">
        <v>356</v>
      </c>
      <c r="H1474" s="642" t="s">
        <v>494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5" t="s">
        <v>359</v>
      </c>
      <c r="B1475" s="939" t="s">
        <v>360</v>
      </c>
      <c r="C1475" s="910" t="e">
        <f>VLOOKUP(B1474,'LƯƠNG KT'!$D$16:$AC$184,3,0)</f>
        <v>#N/A</v>
      </c>
      <c r="D1475" s="609" t="e">
        <f>+C1475*25000</f>
        <v>#N/A</v>
      </c>
      <c r="E1475" s="911"/>
      <c r="F1475" s="911"/>
      <c r="G1475" s="905" t="s">
        <v>359</v>
      </c>
      <c r="H1475" s="939" t="s">
        <v>360</v>
      </c>
      <c r="I1475" s="910" t="e">
        <f>VLOOKUP(H1474,'LƯƠNG KT'!$D$16:$AC$184,3,0)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5" t="s">
        <v>361</v>
      </c>
      <c r="B1476" s="546" t="s">
        <v>362</v>
      </c>
      <c r="C1476" s="910" t="e">
        <f>VLOOKUP(B1474,'LƯƠNG KT'!$D$16:$AC$184,14,0)</f>
        <v>#N/A</v>
      </c>
      <c r="D1476" s="609" t="e">
        <f>C1476*$L$4</f>
        <v>#N/A</v>
      </c>
      <c r="E1476" s="912"/>
      <c r="F1476" s="912"/>
      <c r="G1476" s="905" t="s">
        <v>361</v>
      </c>
      <c r="H1476" s="546" t="s">
        <v>362</v>
      </c>
      <c r="I1476" s="910" t="e">
        <f>VLOOKUP(H1474,'LƯƠNG KT'!$D$16:$AC$184,14,0)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5" t="s">
        <v>364</v>
      </c>
      <c r="B1477" s="546" t="s">
        <v>365</v>
      </c>
      <c r="C1477" s="910" t="e">
        <f>VLOOKUP(B1474,'LƯƠNG KT'!$D$16:$AC$184,15,0)</f>
        <v>#N/A</v>
      </c>
      <c r="D1477" s="609" t="e">
        <f>C1477*$L$5</f>
        <v>#N/A</v>
      </c>
      <c r="E1477" s="912"/>
      <c r="F1477" s="912"/>
      <c r="G1477" s="905" t="s">
        <v>364</v>
      </c>
      <c r="H1477" s="546" t="s">
        <v>365</v>
      </c>
      <c r="I1477" s="910" t="e">
        <f>VLOOKUP(H1474,'LƯƠNG KT'!$D$16:$AC$184,15,0)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5" t="s">
        <v>367</v>
      </c>
      <c r="B1478" s="546"/>
      <c r="C1478" s="910" t="e">
        <f>VLOOKUP(B1474,'LƯƠNG KT'!$D$16:$AC$184,16,0)</f>
        <v>#N/A</v>
      </c>
      <c r="D1478" s="609" t="e">
        <f>+C1478*$L$6</f>
        <v>#N/A</v>
      </c>
      <c r="E1478" s="912"/>
      <c r="F1478" s="912"/>
      <c r="G1478" s="905" t="s">
        <v>367</v>
      </c>
      <c r="H1478" s="546"/>
      <c r="I1478" s="910" t="e">
        <f>VLOOKUP(H1474,'LƯƠNG KT'!$D$16:$AC$184,16,0)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5" t="s">
        <v>371</v>
      </c>
      <c r="B1479" s="546" t="s">
        <v>372</v>
      </c>
      <c r="C1479" s="910" t="e">
        <f>VLOOKUP(B1474,'LƯƠNG KT'!$D$16:$AC$184,9,0)*$L$10</f>
        <v>#N/A</v>
      </c>
      <c r="D1479" s="609" t="e">
        <f>+C1479*0.5*3000</f>
        <v>#N/A</v>
      </c>
      <c r="E1479" s="912"/>
      <c r="F1479" s="912"/>
      <c r="G1479" s="905" t="s">
        <v>371</v>
      </c>
      <c r="H1479" s="546" t="s">
        <v>372</v>
      </c>
      <c r="I1479" s="910" t="e">
        <f>VLOOKUP(H1474,'LƯƠNG KT'!$D$16:$AC$184,9,0)*$L$10</f>
        <v>#N/A</v>
      </c>
      <c r="J1479" s="609" t="e">
        <f>+I1479*0.5*3000</f>
        <v>#N/A</v>
      </c>
      <c r="K1479" s="935"/>
      <c r="L1479" s="935"/>
      <c r="M1479" s="935"/>
      <c r="N1479" s="935"/>
      <c r="O1479" s="935"/>
    </row>
    <row r="1480" spans="1:15" ht="15" customHeight="1">
      <c r="A1480" s="905" t="s">
        <v>374</v>
      </c>
      <c r="B1480" s="546" t="s">
        <v>375</v>
      </c>
      <c r="C1480" s="910" t="e">
        <f>VLOOKUP(B1474,'LƯƠNG KT'!$D$16:$AC$184,8,0)*$L$11</f>
        <v>#N/A</v>
      </c>
      <c r="D1480" s="609" t="e">
        <f>VLOOKUP(B1474,'LƯƠNG KT'!$D$16:$AC$184,13,0)-D1479</f>
        <v>#N/A</v>
      </c>
      <c r="E1480" s="914"/>
      <c r="F1480" s="912"/>
      <c r="G1480" s="905" t="s">
        <v>374</v>
      </c>
      <c r="H1480" s="546" t="s">
        <v>375</v>
      </c>
      <c r="I1480" s="910" t="e">
        <f>VLOOKUP(H1474,'LƯƠNG KT'!$D$16:$AC$184,8,0)*$L$11</f>
        <v>#N/A</v>
      </c>
      <c r="J1480" s="609" t="e">
        <f>VLOOKUP(H1474,'LƯƠNG KT'!$D$16:$AC$184,13,0)-J1479</f>
        <v>#N/A</v>
      </c>
      <c r="K1480" s="935"/>
      <c r="L1480" s="935"/>
      <c r="M1480" s="935"/>
      <c r="N1480" s="935"/>
      <c r="O1480" s="935"/>
    </row>
    <row r="1481" spans="1:15" ht="15" customHeight="1">
      <c r="A1481" s="609" t="s">
        <v>377</v>
      </c>
      <c r="B1481" s="546" t="s">
        <v>378</v>
      </c>
      <c r="C1481" s="910"/>
      <c r="D1481" s="609"/>
      <c r="E1481" s="916"/>
      <c r="F1481" s="916"/>
      <c r="G1481" s="609" t="s">
        <v>377</v>
      </c>
      <c r="H1481" s="546" t="s">
        <v>378</v>
      </c>
      <c r="I1481" s="910"/>
      <c r="J1481" s="609"/>
    </row>
    <row r="1482" spans="1:15" ht="15" customHeight="1">
      <c r="A1482" s="547" t="s">
        <v>379</v>
      </c>
      <c r="B1482" s="546" t="s">
        <v>380</v>
      </c>
      <c r="C1482" s="910"/>
      <c r="D1482" s="609"/>
      <c r="E1482" s="914"/>
      <c r="F1482" s="916"/>
      <c r="G1482" s="547" t="s">
        <v>379</v>
      </c>
      <c r="H1482" s="546" t="s">
        <v>380</v>
      </c>
      <c r="I1482" s="910"/>
      <c r="J1482" s="609"/>
    </row>
    <row r="1483" spans="1:15" ht="15" customHeight="1">
      <c r="A1483" s="905" t="s">
        <v>381</v>
      </c>
      <c r="B1483" s="546" t="s">
        <v>382</v>
      </c>
      <c r="C1483" s="910"/>
      <c r="D1483" s="609">
        <f>D1482</f>
        <v>0</v>
      </c>
      <c r="E1483" s="917"/>
      <c r="F1483" s="904"/>
      <c r="G1483" s="905" t="s">
        <v>381</v>
      </c>
      <c r="H1483" s="546" t="s">
        <v>382</v>
      </c>
      <c r="I1483" s="910"/>
      <c r="J1483" s="609">
        <f>J1482</f>
        <v>0</v>
      </c>
    </row>
    <row r="1484" spans="1:15" ht="15" customHeight="1">
      <c r="A1484" s="918" t="s">
        <v>383</v>
      </c>
      <c r="B1484" s="919" t="s">
        <v>384</v>
      </c>
      <c r="C1484" s="920"/>
      <c r="D1484" s="921" t="e">
        <f>SUM(D1475:D1480)-D1483</f>
        <v>#N/A</v>
      </c>
      <c r="E1484" s="922"/>
      <c r="F1484" s="923"/>
      <c r="G1484" s="918" t="s">
        <v>383</v>
      </c>
      <c r="H1484" s="919" t="s">
        <v>384</v>
      </c>
      <c r="I1484" s="920"/>
      <c r="J1484" s="921" t="e">
        <f>SUM(J1475:J1480)-J1483</f>
        <v>#N/A</v>
      </c>
    </row>
    <row r="1485" spans="1:15" ht="18.75" customHeight="1">
      <c r="A1485" s="924"/>
      <c r="B1485" s="925"/>
      <c r="C1485" s="926"/>
      <c r="D1485" s="927"/>
      <c r="E1485" s="927"/>
      <c r="F1485" s="928"/>
      <c r="G1485" s="924"/>
      <c r="H1485" s="925"/>
      <c r="I1485" s="926"/>
      <c r="J1485" s="927"/>
    </row>
    <row r="1486" spans="1:15" ht="18.75" customHeight="1">
      <c r="A1486" s="925"/>
      <c r="B1486" s="925"/>
      <c r="C1486" s="929"/>
      <c r="D1486" s="930"/>
      <c r="E1486" s="925"/>
      <c r="F1486" s="931"/>
      <c r="G1486" s="925"/>
      <c r="H1486" s="925"/>
      <c r="I1486" s="929"/>
      <c r="J1486" s="930"/>
    </row>
    <row r="1487" spans="1:15" ht="15" customHeight="1">
      <c r="A1487" s="2360" t="str">
        <f>$K$2</f>
        <v>THÁNG 09/2024</v>
      </c>
      <c r="B1487" s="2360"/>
      <c r="C1487" s="2360"/>
      <c r="D1487" s="2360"/>
      <c r="E1487" s="903"/>
      <c r="F1487" s="904"/>
      <c r="G1487" s="2360" t="str">
        <f>$K$2</f>
        <v>THÁNG 09/2024</v>
      </c>
      <c r="H1487" s="2360"/>
      <c r="I1487" s="2360"/>
      <c r="J1487" s="2360"/>
      <c r="K1487" s="276"/>
    </row>
    <row r="1488" spans="1:15" ht="15" customHeight="1">
      <c r="A1488" s="905" t="s">
        <v>356</v>
      </c>
      <c r="B1488" s="642" t="s">
        <v>495</v>
      </c>
      <c r="C1488" s="546"/>
      <c r="D1488" s="902"/>
      <c r="E1488" s="906"/>
      <c r="F1488" s="907"/>
      <c r="G1488" s="905" t="s">
        <v>356</v>
      </c>
      <c r="H1488" s="642"/>
      <c r="I1488" s="546"/>
      <c r="J1488" s="902"/>
      <c r="L1488" s="938"/>
      <c r="M1488" s="938"/>
      <c r="N1488" s="938"/>
      <c r="O1488" s="938"/>
    </row>
    <row r="1489" spans="1:15" ht="15" customHeight="1">
      <c r="A1489" s="905" t="s">
        <v>359</v>
      </c>
      <c r="B1489" s="939" t="s">
        <v>360</v>
      </c>
      <c r="C1489" s="910" t="e">
        <f>VLOOKUP(B1488,'LƯƠNG KT'!$D$16:$AC$184,3,0)</f>
        <v>#N/A</v>
      </c>
      <c r="D1489" s="609" t="e">
        <f>+C1489*25000</f>
        <v>#N/A</v>
      </c>
      <c r="E1489" s="911"/>
      <c r="F1489" s="911"/>
      <c r="G1489" s="905" t="s">
        <v>359</v>
      </c>
      <c r="H1489" s="939" t="s">
        <v>360</v>
      </c>
      <c r="I1489" s="910" t="e">
        <f>VLOOKUP(H1488,'LƯƠNG KT'!$D$16:$AC$184,3,0)</f>
        <v>#N/A</v>
      </c>
      <c r="J1489" s="609" t="e">
        <f>+I1489*25000</f>
        <v>#N/A</v>
      </c>
      <c r="K1489" s="935"/>
      <c r="L1489" s="935"/>
      <c r="M1489" s="935"/>
      <c r="N1489" s="935"/>
      <c r="O1489" s="935"/>
    </row>
    <row r="1490" spans="1:15" ht="15" customHeight="1">
      <c r="A1490" s="905" t="s">
        <v>361</v>
      </c>
      <c r="B1490" s="546" t="s">
        <v>362</v>
      </c>
      <c r="C1490" s="910" t="e">
        <f>VLOOKUP(B1488,'LƯƠNG KT'!$D$16:$AC$184,14,0)</f>
        <v>#N/A</v>
      </c>
      <c r="D1490" s="609" t="e">
        <f>C1490*$L$4</f>
        <v>#N/A</v>
      </c>
      <c r="E1490" s="912"/>
      <c r="F1490" s="912"/>
      <c r="G1490" s="905" t="s">
        <v>361</v>
      </c>
      <c r="H1490" s="546" t="s">
        <v>362</v>
      </c>
      <c r="I1490" s="910" t="e">
        <f>VLOOKUP(H1488,'LƯƠNG KT'!$D$16:$AC$184,14,0)</f>
        <v>#N/A</v>
      </c>
      <c r="J1490" s="609" t="e">
        <f>I1490*$L$4</f>
        <v>#N/A</v>
      </c>
      <c r="K1490" s="935"/>
      <c r="L1490" s="935"/>
      <c r="M1490" s="935"/>
      <c r="N1490" s="935"/>
      <c r="O1490" s="935"/>
    </row>
    <row r="1491" spans="1:15" ht="15" customHeight="1">
      <c r="A1491" s="905" t="s">
        <v>364</v>
      </c>
      <c r="B1491" s="546" t="s">
        <v>365</v>
      </c>
      <c r="C1491" s="910" t="e">
        <f>VLOOKUP(B1488,'LƯƠNG KT'!$D$16:$AC$184,15,0)</f>
        <v>#N/A</v>
      </c>
      <c r="D1491" s="609" t="e">
        <f>C1491*$L$5</f>
        <v>#N/A</v>
      </c>
      <c r="E1491" s="912"/>
      <c r="F1491" s="912"/>
      <c r="G1491" s="905" t="s">
        <v>364</v>
      </c>
      <c r="H1491" s="546" t="s">
        <v>365</v>
      </c>
      <c r="I1491" s="910" t="e">
        <f>VLOOKUP(H1488,'LƯƠNG KT'!$D$16:$AC$184,15,0)</f>
        <v>#N/A</v>
      </c>
      <c r="J1491" s="609" t="e">
        <f>I1491*$L$5</f>
        <v>#N/A</v>
      </c>
      <c r="K1491" s="935"/>
      <c r="L1491" s="935"/>
      <c r="M1491" s="935"/>
      <c r="N1491" s="935"/>
      <c r="O1491" s="935"/>
    </row>
    <row r="1492" spans="1:15" ht="15" customHeight="1">
      <c r="A1492" s="905" t="s">
        <v>367</v>
      </c>
      <c r="B1492" s="546"/>
      <c r="C1492" s="910" t="e">
        <f>VLOOKUP(B1488,'LƯƠNG KT'!$D$16:$AC$184,16,0)</f>
        <v>#N/A</v>
      </c>
      <c r="D1492" s="609" t="e">
        <f>+C1492*$L$6</f>
        <v>#N/A</v>
      </c>
      <c r="E1492" s="912"/>
      <c r="F1492" s="912"/>
      <c r="G1492" s="905" t="s">
        <v>367</v>
      </c>
      <c r="H1492" s="546"/>
      <c r="I1492" s="910" t="e">
        <f>VLOOKUP(H1488,'LƯƠNG KT'!$D$16:$AC$184,16,0)</f>
        <v>#N/A</v>
      </c>
      <c r="J1492" s="609" t="e">
        <f>+I1492*$L$6</f>
        <v>#N/A</v>
      </c>
      <c r="K1492" s="935"/>
      <c r="L1492" s="935"/>
      <c r="M1492" s="935"/>
      <c r="N1492" s="935"/>
      <c r="O1492" s="935"/>
    </row>
    <row r="1493" spans="1:15" ht="15" customHeight="1">
      <c r="A1493" s="905" t="s">
        <v>371</v>
      </c>
      <c r="B1493" s="546" t="s">
        <v>372</v>
      </c>
      <c r="C1493" s="910" t="e">
        <f>VLOOKUP(B1488,'LƯƠNG KT'!$D$16:$AC$184,9,0)*$L$10</f>
        <v>#N/A</v>
      </c>
      <c r="D1493" s="609" t="e">
        <f>+C1493*0.5*3000</f>
        <v>#N/A</v>
      </c>
      <c r="E1493" s="912"/>
      <c r="F1493" s="912"/>
      <c r="G1493" s="905" t="s">
        <v>371</v>
      </c>
      <c r="H1493" s="546" t="s">
        <v>372</v>
      </c>
      <c r="I1493" s="910" t="e">
        <f>VLOOKUP(H1488,'LƯƠNG KT'!$D$16:$AC$184,9,0)*$L$10</f>
        <v>#N/A</v>
      </c>
      <c r="J1493" s="609" t="e">
        <f>+I1493*0.5*3000</f>
        <v>#N/A</v>
      </c>
      <c r="K1493" s="940" t="s">
        <v>485</v>
      </c>
      <c r="L1493" s="940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0"/>
      <c r="N1493" s="940"/>
      <c r="O1493" s="940"/>
    </row>
    <row r="1494" spans="1:15" ht="15" customHeight="1">
      <c r="A1494" s="905" t="s">
        <v>374</v>
      </c>
      <c r="B1494" s="546" t="s">
        <v>375</v>
      </c>
      <c r="C1494" s="910" t="e">
        <f>VLOOKUP(B1488,'LƯƠNG KT'!$D$16:$AC$184,8,0)*$L$11</f>
        <v>#N/A</v>
      </c>
      <c r="D1494" s="609" t="e">
        <f>VLOOKUP(B1488,'LƯƠNG KT'!$D$16:$AC$184,13,0)-D1493</f>
        <v>#N/A</v>
      </c>
      <c r="E1494" s="914"/>
      <c r="F1494" s="912"/>
      <c r="G1494" s="905" t="s">
        <v>374</v>
      </c>
      <c r="H1494" s="546" t="s">
        <v>375</v>
      </c>
      <c r="I1494" s="910" t="e">
        <f>VLOOKUP(H1488,'LƯƠNG KT'!$D$16:$AC$184,8,0)*$L$11</f>
        <v>#N/A</v>
      </c>
      <c r="J1494" s="609" t="e">
        <f>VLOOKUP(H1488,'LƯƠNG KT'!$D$16:$AC$184,13,0)-J1493</f>
        <v>#N/A</v>
      </c>
      <c r="K1494" s="935"/>
      <c r="L1494" s="935"/>
      <c r="M1494" s="935"/>
      <c r="N1494" s="935"/>
      <c r="O1494" s="935"/>
    </row>
    <row r="1495" spans="1:15" ht="15" customHeight="1">
      <c r="A1495" s="609" t="s">
        <v>377</v>
      </c>
      <c r="B1495" s="546" t="s">
        <v>378</v>
      </c>
      <c r="C1495" s="910"/>
      <c r="D1495" s="609"/>
      <c r="E1495" s="916"/>
      <c r="F1495" s="916"/>
      <c r="G1495" s="609" t="s">
        <v>377</v>
      </c>
      <c r="H1495" s="546" t="s">
        <v>378</v>
      </c>
      <c r="I1495" s="910"/>
      <c r="J1495" s="609"/>
      <c r="L1495" s="898" t="e">
        <f>+#REF!-#REF!</f>
        <v>#REF!</v>
      </c>
    </row>
    <row r="1496" spans="1:15" ht="15" customHeight="1">
      <c r="A1496" s="547" t="s">
        <v>379</v>
      </c>
      <c r="B1496" s="546" t="s">
        <v>380</v>
      </c>
      <c r="C1496" s="910"/>
      <c r="D1496" s="609"/>
      <c r="E1496" s="914"/>
      <c r="F1496" s="916"/>
      <c r="G1496" s="547" t="s">
        <v>379</v>
      </c>
      <c r="H1496" s="546" t="s">
        <v>380</v>
      </c>
      <c r="I1496" s="910"/>
      <c r="J1496" s="609"/>
    </row>
    <row r="1497" spans="1:15" ht="15" customHeight="1">
      <c r="A1497" s="905" t="s">
        <v>381</v>
      </c>
      <c r="B1497" s="546" t="s">
        <v>382</v>
      </c>
      <c r="C1497" s="910"/>
      <c r="D1497" s="609">
        <f>D1496</f>
        <v>0</v>
      </c>
      <c r="E1497" s="917"/>
      <c r="F1497" s="904"/>
      <c r="G1497" s="905" t="s">
        <v>381</v>
      </c>
      <c r="H1497" s="546" t="s">
        <v>382</v>
      </c>
      <c r="I1497" s="910"/>
      <c r="J1497" s="609"/>
    </row>
    <row r="1498" spans="1:15" ht="15" customHeight="1">
      <c r="A1498" s="918" t="s">
        <v>383</v>
      </c>
      <c r="B1498" s="919" t="s">
        <v>384</v>
      </c>
      <c r="C1498" s="920"/>
      <c r="D1498" s="921" t="e">
        <f>SUM(D1489:D1494)-D1497</f>
        <v>#N/A</v>
      </c>
      <c r="E1498" s="922"/>
      <c r="F1498" s="923"/>
      <c r="G1498" s="918" t="s">
        <v>383</v>
      </c>
      <c r="H1498" s="919" t="s">
        <v>384</v>
      </c>
      <c r="I1498" s="920"/>
      <c r="J1498" s="921"/>
    </row>
    <row r="1499" spans="1:15" ht="15.75" customHeight="1">
      <c r="A1499" s="924"/>
      <c r="B1499" s="925"/>
      <c r="C1499" s="926"/>
      <c r="D1499" s="927"/>
      <c r="E1499" s="927"/>
      <c r="F1499" s="928"/>
      <c r="G1499" s="924"/>
      <c r="H1499" s="925"/>
      <c r="I1499" s="926"/>
      <c r="J1499" s="927"/>
    </row>
    <row r="1501" spans="1:15" ht="12" customHeight="1">
      <c r="A1501" s="2361"/>
      <c r="B1501" s="2361"/>
      <c r="C1501" s="2361"/>
      <c r="D1501" s="2361"/>
      <c r="E1501" s="2361"/>
      <c r="F1501" s="2361"/>
      <c r="G1501" s="2361"/>
      <c r="H1501" s="2361"/>
      <c r="I1501" s="2361"/>
      <c r="J1501" s="2361"/>
    </row>
    <row r="1502" spans="1:15" ht="15" customHeight="1">
      <c r="A1502" s="2360" t="str">
        <f>$K$2</f>
        <v>THÁNG 09/2024</v>
      </c>
      <c r="B1502" s="2360"/>
      <c r="C1502" s="2360"/>
      <c r="D1502" s="2360"/>
      <c r="E1502" s="903"/>
      <c r="F1502" s="904"/>
      <c r="G1502" s="2360" t="str">
        <f>$K$2</f>
        <v>THÁNG 09/2024</v>
      </c>
      <c r="H1502" s="2360"/>
      <c r="I1502" s="2360"/>
      <c r="J1502" s="2360"/>
      <c r="K1502" s="276"/>
    </row>
    <row r="1503" spans="1:15" ht="15" customHeight="1">
      <c r="A1503" s="905" t="s">
        <v>356</v>
      </c>
      <c r="B1503" s="642" t="s">
        <v>496</v>
      </c>
      <c r="C1503" s="546"/>
      <c r="D1503" s="902"/>
      <c r="E1503" s="906"/>
      <c r="F1503" s="907"/>
      <c r="G1503" s="905" t="s">
        <v>356</v>
      </c>
      <c r="H1503" s="642" t="s">
        <v>105</v>
      </c>
      <c r="I1503" s="546"/>
      <c r="J1503" s="902"/>
      <c r="L1503" s="938"/>
      <c r="M1503" s="938"/>
      <c r="N1503" s="938"/>
      <c r="O1503" s="938"/>
    </row>
    <row r="1504" spans="1:15" ht="15" customHeight="1">
      <c r="A1504" s="905" t="s">
        <v>359</v>
      </c>
      <c r="B1504" s="939" t="s">
        <v>360</v>
      </c>
      <c r="C1504" s="910" t="e">
        <f>VLOOKUP(B1503,'LƯƠNG KT'!$D$16:$AC$184,3,0)</f>
        <v>#N/A</v>
      </c>
      <c r="D1504" s="609" t="e">
        <f>+C1504*25000</f>
        <v>#N/A</v>
      </c>
      <c r="E1504" s="911"/>
      <c r="F1504" s="911"/>
      <c r="G1504" s="905" t="s">
        <v>359</v>
      </c>
      <c r="H1504" s="939" t="s">
        <v>360</v>
      </c>
      <c r="I1504" s="910" t="e">
        <f>VLOOKUP(H1503,'LƯƠNG KT'!$D$16:$AC$184,3,0)</f>
        <v>#N/A</v>
      </c>
      <c r="J1504" s="609" t="e">
        <f>+I1504*25000</f>
        <v>#N/A</v>
      </c>
      <c r="K1504" s="934"/>
      <c r="L1504" s="935"/>
      <c r="M1504" s="935"/>
      <c r="N1504" s="935"/>
      <c r="O1504" s="935"/>
    </row>
    <row r="1505" spans="1:15" ht="15" customHeight="1">
      <c r="A1505" s="905" t="s">
        <v>361</v>
      </c>
      <c r="B1505" s="546" t="s">
        <v>362</v>
      </c>
      <c r="C1505" s="910" t="e">
        <f>VLOOKUP(B1503,'LƯƠNG KT'!$D$16:$AC$184,14,0)</f>
        <v>#N/A</v>
      </c>
      <c r="D1505" s="609" t="e">
        <f>C1505*$L$4</f>
        <v>#N/A</v>
      </c>
      <c r="E1505" s="912"/>
      <c r="F1505" s="912"/>
      <c r="G1505" s="905" t="s">
        <v>361</v>
      </c>
      <c r="H1505" s="546" t="s">
        <v>362</v>
      </c>
      <c r="I1505" s="910" t="e">
        <f>VLOOKUP(H1503,'LƯƠNG KT'!$D$16:$AC$184,14,0)</f>
        <v>#N/A</v>
      </c>
      <c r="J1505" s="609" t="e">
        <f>I1505*$L$4</f>
        <v>#N/A</v>
      </c>
      <c r="K1505" s="934"/>
      <c r="L1505" s="935"/>
      <c r="M1505" s="935"/>
      <c r="N1505" s="935"/>
      <c r="O1505" s="935"/>
    </row>
    <row r="1506" spans="1:15" ht="15" customHeight="1">
      <c r="A1506" s="905" t="s">
        <v>364</v>
      </c>
      <c r="B1506" s="546" t="s">
        <v>365</v>
      </c>
      <c r="C1506" s="910" t="e">
        <f>VLOOKUP(B1503,'LƯƠNG KT'!$D$16:$AC$184,15,0)</f>
        <v>#N/A</v>
      </c>
      <c r="D1506" s="609" t="e">
        <f>C1506*$L$5</f>
        <v>#N/A</v>
      </c>
      <c r="E1506" s="912"/>
      <c r="F1506" s="912"/>
      <c r="G1506" s="905" t="s">
        <v>364</v>
      </c>
      <c r="H1506" s="546" t="s">
        <v>365</v>
      </c>
      <c r="I1506" s="910" t="e">
        <f>VLOOKUP(H1503,'LƯƠNG KT'!$D$16:$AC$184,15,0)</f>
        <v>#N/A</v>
      </c>
      <c r="J1506" s="609" t="e">
        <f>I1506*$L$5</f>
        <v>#N/A</v>
      </c>
      <c r="K1506" s="934"/>
      <c r="L1506" s="935"/>
      <c r="M1506" s="935"/>
      <c r="N1506" s="935"/>
      <c r="O1506" s="935"/>
    </row>
    <row r="1507" spans="1:15" ht="15" customHeight="1">
      <c r="A1507" s="905" t="s">
        <v>367</v>
      </c>
      <c r="B1507" s="546"/>
      <c r="C1507" s="910" t="e">
        <f>VLOOKUP(B1503,'LƯƠNG KT'!$D$16:$AC$184,16,0)</f>
        <v>#N/A</v>
      </c>
      <c r="D1507" s="609" t="e">
        <f>+C1507*$L$6</f>
        <v>#N/A</v>
      </c>
      <c r="E1507" s="912"/>
      <c r="F1507" s="912"/>
      <c r="G1507" s="905" t="s">
        <v>367</v>
      </c>
      <c r="H1507" s="546"/>
      <c r="I1507" s="910" t="e">
        <f>VLOOKUP(H1503,'LƯƠNG KT'!$D$16:$AC$184,16,0)</f>
        <v>#N/A</v>
      </c>
      <c r="J1507" s="609" t="e">
        <f>+I1507*$L$6</f>
        <v>#N/A</v>
      </c>
      <c r="K1507" s="935"/>
      <c r="L1507" s="935"/>
      <c r="M1507" s="935"/>
      <c r="N1507" s="935"/>
      <c r="O1507" s="935"/>
    </row>
    <row r="1508" spans="1:15" ht="15" customHeight="1">
      <c r="A1508" s="905" t="s">
        <v>371</v>
      </c>
      <c r="B1508" s="546" t="s">
        <v>372</v>
      </c>
      <c r="C1508" s="910" t="e">
        <f>VLOOKUP(B1503,'LƯƠNG KT'!$D$16:$AC$184,9,0)*$L$10</f>
        <v>#N/A</v>
      </c>
      <c r="D1508" s="609" t="e">
        <f>+C1508*0.5*3000</f>
        <v>#N/A</v>
      </c>
      <c r="E1508" s="912"/>
      <c r="F1508" s="912"/>
      <c r="G1508" s="905" t="s">
        <v>371</v>
      </c>
      <c r="H1508" s="546" t="s">
        <v>372</v>
      </c>
      <c r="I1508" s="910" t="e">
        <f>VLOOKUP(H1503,'LƯƠNG KT'!$D$16:$AC$184,9,0)*$L$10</f>
        <v>#N/A</v>
      </c>
      <c r="J1508" s="609" t="e">
        <f>+I1508*0.5*3000</f>
        <v>#N/A</v>
      </c>
      <c r="K1508" s="935"/>
      <c r="L1508" s="935"/>
      <c r="M1508" s="935"/>
      <c r="N1508" s="935"/>
      <c r="O1508" s="935"/>
    </row>
    <row r="1509" spans="1:15" ht="15" customHeight="1">
      <c r="A1509" s="905" t="s">
        <v>374</v>
      </c>
      <c r="B1509" s="546" t="s">
        <v>375</v>
      </c>
      <c r="C1509" s="910" t="e">
        <f>VLOOKUP(B1503,'LƯƠNG KT'!$D$16:$AC$184,8,0)*$L$11</f>
        <v>#N/A</v>
      </c>
      <c r="D1509" s="609" t="e">
        <f>VLOOKUP(B1503,'LƯƠNG KT'!$D$16:$AC$184,13,0)-D1508</f>
        <v>#N/A</v>
      </c>
      <c r="E1509" s="914"/>
      <c r="F1509" s="912"/>
      <c r="G1509" s="905" t="s">
        <v>374</v>
      </c>
      <c r="H1509" s="546" t="s">
        <v>375</v>
      </c>
      <c r="I1509" s="910" t="e">
        <f>VLOOKUP(H1503,'LƯƠNG KT'!$D$16:$AC$184,8,0)*$L$11</f>
        <v>#N/A</v>
      </c>
      <c r="J1509" s="609" t="e">
        <f>VLOOKUP(H1503,'LƯƠNG KT'!$D$16:$AC$184,13,0)-J1508</f>
        <v>#N/A</v>
      </c>
      <c r="K1509" s="935"/>
      <c r="L1509" s="935"/>
      <c r="M1509" s="935"/>
      <c r="N1509" s="935"/>
      <c r="O1509" s="935"/>
    </row>
    <row r="1510" spans="1:15" ht="15" customHeight="1">
      <c r="A1510" s="609" t="s">
        <v>377</v>
      </c>
      <c r="B1510" s="546" t="s">
        <v>378</v>
      </c>
      <c r="C1510" s="910"/>
      <c r="D1510" s="609"/>
      <c r="E1510" s="916"/>
      <c r="F1510" s="916"/>
      <c r="G1510" s="609" t="s">
        <v>377</v>
      </c>
      <c r="H1510" s="546" t="s">
        <v>378</v>
      </c>
      <c r="I1510" s="910"/>
      <c r="J1510" s="609"/>
    </row>
    <row r="1511" spans="1:15" ht="15" customHeight="1">
      <c r="A1511" s="547" t="s">
        <v>379</v>
      </c>
      <c r="B1511" s="546" t="s">
        <v>380</v>
      </c>
      <c r="C1511" s="910"/>
      <c r="D1511" s="609"/>
      <c r="E1511" s="914"/>
      <c r="F1511" s="916"/>
      <c r="G1511" s="547" t="s">
        <v>379</v>
      </c>
      <c r="H1511" s="546" t="s">
        <v>380</v>
      </c>
      <c r="I1511" s="910"/>
      <c r="J1511" s="609"/>
    </row>
    <row r="1512" spans="1:15" ht="15" customHeight="1">
      <c r="A1512" s="905" t="s">
        <v>381</v>
      </c>
      <c r="B1512" s="546" t="s">
        <v>382</v>
      </c>
      <c r="C1512" s="910"/>
      <c r="D1512" s="609">
        <f>D1511</f>
        <v>0</v>
      </c>
      <c r="E1512" s="917"/>
      <c r="F1512" s="904"/>
      <c r="G1512" s="905" t="s">
        <v>381</v>
      </c>
      <c r="H1512" s="546" t="s">
        <v>382</v>
      </c>
      <c r="I1512" s="910"/>
      <c r="J1512" s="609">
        <f>J1511</f>
        <v>0</v>
      </c>
    </row>
    <row r="1513" spans="1:15" ht="15" customHeight="1">
      <c r="A1513" s="918" t="s">
        <v>383</v>
      </c>
      <c r="B1513" s="919" t="s">
        <v>384</v>
      </c>
      <c r="C1513" s="920"/>
      <c r="D1513" s="921" t="e">
        <f>SUM(D1504:D1509)-D1512</f>
        <v>#N/A</v>
      </c>
      <c r="E1513" s="922"/>
      <c r="F1513" s="923"/>
      <c r="G1513" s="918" t="s">
        <v>383</v>
      </c>
      <c r="H1513" s="919" t="s">
        <v>384</v>
      </c>
      <c r="I1513" s="920"/>
      <c r="J1513" s="921" t="e">
        <f>SUM(J1504:J1509)-J1512</f>
        <v>#N/A</v>
      </c>
    </row>
    <row r="1514" spans="1:15" ht="12.6" customHeight="1">
      <c r="A1514" s="924"/>
      <c r="B1514" s="925"/>
      <c r="C1514" s="926"/>
      <c r="D1514" s="927"/>
      <c r="E1514" s="927"/>
      <c r="F1514" s="928"/>
      <c r="G1514" s="924"/>
      <c r="H1514" s="925"/>
      <c r="I1514" s="926"/>
      <c r="J1514" s="927"/>
    </row>
    <row r="1515" spans="1:15" ht="12.6" customHeight="1">
      <c r="A1515" s="925"/>
      <c r="B1515" s="925"/>
      <c r="C1515" s="929"/>
      <c r="D1515" s="930"/>
      <c r="E1515" s="925"/>
      <c r="F1515" s="931"/>
      <c r="G1515" s="925"/>
      <c r="H1515" s="925"/>
      <c r="I1515" s="929"/>
      <c r="J1515" s="930"/>
    </row>
    <row r="1516" spans="1:15" ht="15" customHeight="1">
      <c r="A1516" s="2360" t="str">
        <f>$K$2</f>
        <v>THÁNG 09/2024</v>
      </c>
      <c r="B1516" s="2360"/>
      <c r="C1516" s="2360"/>
      <c r="D1516" s="2360"/>
      <c r="E1516" s="903"/>
      <c r="F1516" s="904"/>
      <c r="G1516" s="2360" t="str">
        <f>$K$2</f>
        <v>THÁNG 09/2024</v>
      </c>
      <c r="H1516" s="2360"/>
      <c r="I1516" s="2360"/>
      <c r="J1516" s="2360"/>
      <c r="K1516" s="276"/>
    </row>
    <row r="1517" spans="1:15" ht="15" customHeight="1">
      <c r="A1517" s="905" t="s">
        <v>356</v>
      </c>
      <c r="B1517" s="642" t="s">
        <v>497</v>
      </c>
      <c r="C1517" s="546"/>
      <c r="D1517" s="902"/>
      <c r="E1517" s="906"/>
      <c r="F1517" s="907"/>
      <c r="G1517" s="905" t="s">
        <v>356</v>
      </c>
      <c r="H1517" s="642" t="s">
        <v>498</v>
      </c>
      <c r="I1517" s="546"/>
      <c r="J1517" s="902"/>
      <c r="L1517" s="938"/>
      <c r="M1517" s="938"/>
      <c r="N1517" s="938"/>
      <c r="O1517" s="938"/>
    </row>
    <row r="1518" spans="1:15" ht="15" customHeight="1">
      <c r="A1518" s="905" t="s">
        <v>359</v>
      </c>
      <c r="B1518" s="939" t="s">
        <v>360</v>
      </c>
      <c r="C1518" s="910" t="e">
        <f>VLOOKUP(B1517,'LƯƠNG KT'!$D$16:$AC$184,3,0)</f>
        <v>#N/A</v>
      </c>
      <c r="D1518" s="609" t="e">
        <f>+C1518*25000</f>
        <v>#N/A</v>
      </c>
      <c r="E1518" s="911"/>
      <c r="F1518" s="911"/>
      <c r="G1518" s="905" t="s">
        <v>359</v>
      </c>
      <c r="H1518" s="939" t="s">
        <v>360</v>
      </c>
      <c r="I1518" s="910" t="e">
        <f>VLOOKUP(H1517,'LƯƠNG KT'!$D$16:$AC$184,3,0)</f>
        <v>#N/A</v>
      </c>
      <c r="J1518" s="609" t="e">
        <f>+I1518*25000</f>
        <v>#N/A</v>
      </c>
      <c r="K1518" s="935"/>
      <c r="L1518" s="935"/>
      <c r="M1518" s="935"/>
      <c r="N1518" s="935"/>
      <c r="O1518" s="935"/>
    </row>
    <row r="1519" spans="1:15" ht="15" customHeight="1">
      <c r="A1519" s="905" t="s">
        <v>361</v>
      </c>
      <c r="B1519" s="546" t="s">
        <v>362</v>
      </c>
      <c r="C1519" s="910" t="e">
        <f>VLOOKUP(B1517,'LƯƠNG KT'!$D$16:$AC$184,14,0)</f>
        <v>#N/A</v>
      </c>
      <c r="D1519" s="609" t="e">
        <f>C1519*$L$4</f>
        <v>#N/A</v>
      </c>
      <c r="E1519" s="912"/>
      <c r="F1519" s="912"/>
      <c r="G1519" s="905" t="s">
        <v>361</v>
      </c>
      <c r="H1519" s="546" t="s">
        <v>362</v>
      </c>
      <c r="I1519" s="910" t="e">
        <f>VLOOKUP(H1517,'LƯƠNG KT'!$D$16:$AC$184,14,0)</f>
        <v>#N/A</v>
      </c>
      <c r="J1519" s="609" t="e">
        <f>I1519*$L$4</f>
        <v>#N/A</v>
      </c>
      <c r="K1519" s="935"/>
      <c r="L1519" s="935"/>
      <c r="M1519" s="935"/>
      <c r="N1519" s="935"/>
      <c r="O1519" s="935"/>
    </row>
    <row r="1520" spans="1:15" ht="15" customHeight="1">
      <c r="A1520" s="905" t="s">
        <v>364</v>
      </c>
      <c r="B1520" s="546" t="s">
        <v>365</v>
      </c>
      <c r="C1520" s="910" t="e">
        <f>VLOOKUP(B1517,'LƯƠNG KT'!$D$16:$AC$184,15,0)</f>
        <v>#N/A</v>
      </c>
      <c r="D1520" s="609" t="e">
        <f>C1520*$L$5</f>
        <v>#N/A</v>
      </c>
      <c r="E1520" s="912"/>
      <c r="F1520" s="912"/>
      <c r="G1520" s="905" t="s">
        <v>364</v>
      </c>
      <c r="H1520" s="546" t="s">
        <v>365</v>
      </c>
      <c r="I1520" s="910" t="e">
        <f>VLOOKUP(H1517,'LƯƠNG KT'!$D$16:$AC$184,15,0)</f>
        <v>#N/A</v>
      </c>
      <c r="J1520" s="609" t="e">
        <f>I1520*$L$5</f>
        <v>#N/A</v>
      </c>
      <c r="K1520" s="935"/>
      <c r="L1520" s="935"/>
      <c r="M1520" s="935"/>
      <c r="N1520" s="935"/>
      <c r="O1520" s="935"/>
    </row>
    <row r="1521" spans="1:15" ht="15" customHeight="1">
      <c r="A1521" s="905" t="s">
        <v>367</v>
      </c>
      <c r="B1521" s="546"/>
      <c r="C1521" s="910" t="e">
        <f>VLOOKUP(B1517,'LƯƠNG KT'!$D$16:$AC$184,16,0)</f>
        <v>#N/A</v>
      </c>
      <c r="D1521" s="609" t="e">
        <f>+C1521*$L$6</f>
        <v>#N/A</v>
      </c>
      <c r="E1521" s="912"/>
      <c r="F1521" s="912"/>
      <c r="G1521" s="905" t="s">
        <v>367</v>
      </c>
      <c r="H1521" s="546"/>
      <c r="I1521" s="910" t="e">
        <f>VLOOKUP(H1517,'LƯƠNG KT'!$D$16:$AC$184,16,0)</f>
        <v>#N/A</v>
      </c>
      <c r="J1521" s="609" t="e">
        <f>+I1521*$L$6</f>
        <v>#N/A</v>
      </c>
      <c r="K1521" s="935"/>
      <c r="L1521" s="935"/>
      <c r="M1521" s="935"/>
      <c r="N1521" s="935"/>
      <c r="O1521" s="935"/>
    </row>
    <row r="1522" spans="1:15" ht="15" customHeight="1">
      <c r="A1522" s="905" t="s">
        <v>371</v>
      </c>
      <c r="B1522" s="546" t="s">
        <v>372</v>
      </c>
      <c r="C1522" s="910" t="e">
        <f>VLOOKUP(B1517,'LƯƠNG KT'!$D$16:$AC$184,9,0)*$L$10</f>
        <v>#N/A</v>
      </c>
      <c r="D1522" s="609" t="e">
        <f>+C1522*0.5*3000</f>
        <v>#N/A</v>
      </c>
      <c r="E1522" s="912"/>
      <c r="F1522" s="912"/>
      <c r="G1522" s="905" t="s">
        <v>371</v>
      </c>
      <c r="H1522" s="546" t="s">
        <v>372</v>
      </c>
      <c r="I1522" s="910" t="e">
        <f>VLOOKUP(H1517,'LƯƠNG KT'!$D$16:$AC$184,9,0)*$L$10</f>
        <v>#N/A</v>
      </c>
      <c r="J1522" s="609" t="e">
        <f>+I1522*0.5*3000</f>
        <v>#N/A</v>
      </c>
      <c r="K1522" s="935"/>
      <c r="L1522" s="935"/>
      <c r="M1522" s="935"/>
      <c r="N1522" s="935"/>
      <c r="O1522" s="935"/>
    </row>
    <row r="1523" spans="1:15" ht="15" customHeight="1">
      <c r="A1523" s="905" t="s">
        <v>374</v>
      </c>
      <c r="B1523" s="546" t="s">
        <v>375</v>
      </c>
      <c r="C1523" s="910" t="e">
        <f>VLOOKUP(B1517,'LƯƠNG KT'!$D$16:$AC$184,8,0)*$L$11</f>
        <v>#N/A</v>
      </c>
      <c r="D1523" s="609" t="e">
        <f>VLOOKUP(B1517,'LƯƠNG KT'!$D$16:$AC$184,13,0)-D1522</f>
        <v>#N/A</v>
      </c>
      <c r="E1523" s="914"/>
      <c r="F1523" s="912"/>
      <c r="G1523" s="905" t="s">
        <v>374</v>
      </c>
      <c r="H1523" s="546" t="s">
        <v>375</v>
      </c>
      <c r="I1523" s="910" t="e">
        <f>VLOOKUP(H1517,'LƯƠNG KT'!$D$16:$AC$184,8,0)*$L$11</f>
        <v>#N/A</v>
      </c>
      <c r="J1523" s="609" t="e">
        <f>VLOOKUP(H1517,'LƯƠNG KT'!$D$16:$AC$184,13,0)-J1522</f>
        <v>#N/A</v>
      </c>
      <c r="K1523" s="935"/>
      <c r="L1523" s="935"/>
      <c r="M1523" s="935"/>
      <c r="N1523" s="935"/>
      <c r="O1523" s="935"/>
    </row>
    <row r="1524" spans="1:15" ht="15" customHeight="1">
      <c r="A1524" s="609" t="s">
        <v>377</v>
      </c>
      <c r="B1524" s="546" t="s">
        <v>378</v>
      </c>
      <c r="C1524" s="910"/>
      <c r="D1524" s="609"/>
      <c r="E1524" s="916"/>
      <c r="F1524" s="916"/>
      <c r="G1524" s="609" t="s">
        <v>377</v>
      </c>
      <c r="H1524" s="546" t="s">
        <v>378</v>
      </c>
      <c r="I1524" s="910"/>
      <c r="J1524" s="609"/>
    </row>
    <row r="1525" spans="1:15" ht="15" customHeight="1">
      <c r="A1525" s="547" t="s">
        <v>379</v>
      </c>
      <c r="B1525" s="546" t="s">
        <v>380</v>
      </c>
      <c r="C1525" s="910"/>
      <c r="D1525" s="609"/>
      <c r="E1525" s="914"/>
      <c r="F1525" s="916"/>
      <c r="G1525" s="547" t="s">
        <v>379</v>
      </c>
      <c r="H1525" s="546" t="s">
        <v>380</v>
      </c>
      <c r="I1525" s="910"/>
      <c r="J1525" s="609"/>
    </row>
    <row r="1526" spans="1:15" ht="15" customHeight="1">
      <c r="A1526" s="905" t="s">
        <v>381</v>
      </c>
      <c r="B1526" s="546" t="s">
        <v>382</v>
      </c>
      <c r="C1526" s="910"/>
      <c r="D1526" s="609">
        <f>D1525</f>
        <v>0</v>
      </c>
      <c r="E1526" s="917"/>
      <c r="F1526" s="904"/>
      <c r="G1526" s="905" t="s">
        <v>381</v>
      </c>
      <c r="H1526" s="546" t="s">
        <v>382</v>
      </c>
      <c r="I1526" s="910"/>
      <c r="J1526" s="609">
        <f>J1525</f>
        <v>0</v>
      </c>
    </row>
    <row r="1527" spans="1:15" ht="15" customHeight="1">
      <c r="A1527" s="918" t="s">
        <v>383</v>
      </c>
      <c r="B1527" s="919" t="s">
        <v>384</v>
      </c>
      <c r="C1527" s="920"/>
      <c r="D1527" s="921" t="e">
        <f>SUM(D1518:D1523)-D1526</f>
        <v>#N/A</v>
      </c>
      <c r="E1527" s="922"/>
      <c r="F1527" s="923"/>
      <c r="G1527" s="918" t="s">
        <v>383</v>
      </c>
      <c r="H1527" s="919" t="s">
        <v>384</v>
      </c>
      <c r="I1527" s="920"/>
      <c r="J1527" s="921" t="e">
        <f>SUM(J1518:J1523)-J1526</f>
        <v>#N/A</v>
      </c>
    </row>
    <row r="1528" spans="1:15" ht="18.75" customHeight="1">
      <c r="A1528" s="924"/>
      <c r="B1528" s="925"/>
      <c r="C1528" s="926"/>
      <c r="D1528" s="927"/>
      <c r="E1528" s="927"/>
      <c r="F1528" s="928"/>
      <c r="G1528" s="924"/>
      <c r="H1528" s="925"/>
      <c r="I1528" s="926"/>
      <c r="J1528" s="927"/>
    </row>
    <row r="1529" spans="1:15" ht="18.75" customHeight="1">
      <c r="A1529" s="925"/>
      <c r="B1529" s="925"/>
      <c r="C1529" s="929"/>
      <c r="D1529" s="930"/>
      <c r="E1529" s="925"/>
      <c r="F1529" s="931"/>
      <c r="G1529" s="925"/>
      <c r="H1529" s="925"/>
      <c r="I1529" s="929"/>
      <c r="J1529" s="930"/>
    </row>
    <row r="1530" spans="1:15" ht="15" customHeight="1">
      <c r="A1530" s="2360" t="str">
        <f>$K$2</f>
        <v>THÁNG 09/2024</v>
      </c>
      <c r="B1530" s="2360"/>
      <c r="C1530" s="2360"/>
      <c r="D1530" s="2360"/>
      <c r="E1530" s="903"/>
      <c r="F1530" s="904"/>
      <c r="G1530" s="2360" t="str">
        <f>$K$2</f>
        <v>THÁNG 09/2024</v>
      </c>
      <c r="H1530" s="2360"/>
      <c r="I1530" s="2360"/>
      <c r="J1530" s="2360"/>
      <c r="K1530" s="276"/>
    </row>
    <row r="1531" spans="1:15" ht="15" customHeight="1">
      <c r="A1531" s="905" t="s">
        <v>356</v>
      </c>
      <c r="B1531" s="642" t="s">
        <v>108</v>
      </c>
      <c r="C1531" s="546"/>
      <c r="D1531" s="902"/>
      <c r="E1531" s="906"/>
      <c r="F1531" s="907"/>
      <c r="G1531" s="905" t="s">
        <v>356</v>
      </c>
      <c r="H1531" s="642" t="s">
        <v>109</v>
      </c>
      <c r="I1531" s="546"/>
      <c r="J1531" s="902"/>
      <c r="L1531" s="938"/>
      <c r="M1531" s="938"/>
      <c r="N1531" s="938"/>
      <c r="O1531" s="938"/>
    </row>
    <row r="1532" spans="1:15" ht="15" customHeight="1">
      <c r="A1532" s="905" t="s">
        <v>359</v>
      </c>
      <c r="B1532" s="939" t="s">
        <v>360</v>
      </c>
      <c r="C1532" s="910" t="e">
        <f>VLOOKUP(B1531,'LƯƠNG KT'!$D$16:$AC$184,3,0)</f>
        <v>#N/A</v>
      </c>
      <c r="D1532" s="609" t="e">
        <f>+C1532*25000</f>
        <v>#N/A</v>
      </c>
      <c r="E1532" s="911"/>
      <c r="F1532" s="911"/>
      <c r="G1532" s="905" t="s">
        <v>359</v>
      </c>
      <c r="H1532" s="939" t="s">
        <v>360</v>
      </c>
      <c r="I1532" s="910" t="e">
        <f>VLOOKUP(H1531,'LƯƠNG KT'!$D$16:$AC$184,3,0)</f>
        <v>#N/A</v>
      </c>
      <c r="J1532" s="609" t="e">
        <f>+I1532*25000</f>
        <v>#N/A</v>
      </c>
      <c r="K1532" s="935"/>
      <c r="L1532" s="935"/>
      <c r="M1532" s="935"/>
      <c r="N1532" s="935"/>
      <c r="O1532" s="935"/>
    </row>
    <row r="1533" spans="1:15" ht="15" customHeight="1">
      <c r="A1533" s="905" t="s">
        <v>361</v>
      </c>
      <c r="B1533" s="546" t="s">
        <v>362</v>
      </c>
      <c r="C1533" s="910" t="e">
        <f>VLOOKUP(B1531,'LƯƠNG KT'!$D$16:$AC$184,14,0)</f>
        <v>#N/A</v>
      </c>
      <c r="D1533" s="609" t="e">
        <f>C1533*$L$4</f>
        <v>#N/A</v>
      </c>
      <c r="E1533" s="912"/>
      <c r="F1533" s="912"/>
      <c r="G1533" s="905" t="s">
        <v>361</v>
      </c>
      <c r="H1533" s="546" t="s">
        <v>362</v>
      </c>
      <c r="I1533" s="910" t="e">
        <f>VLOOKUP(H1531,'LƯƠNG KT'!$D$16:$AC$184,14,0)</f>
        <v>#N/A</v>
      </c>
      <c r="J1533" s="609" t="e">
        <f>I1533*$L$4</f>
        <v>#N/A</v>
      </c>
      <c r="K1533" s="935"/>
      <c r="L1533" s="935"/>
      <c r="M1533" s="935"/>
      <c r="N1533" s="935"/>
      <c r="O1533" s="935"/>
    </row>
    <row r="1534" spans="1:15" ht="15" customHeight="1">
      <c r="A1534" s="905" t="s">
        <v>364</v>
      </c>
      <c r="B1534" s="546" t="s">
        <v>365</v>
      </c>
      <c r="C1534" s="910" t="e">
        <f>VLOOKUP(B1531,'LƯƠNG KT'!$D$16:$AC$184,15,0)</f>
        <v>#N/A</v>
      </c>
      <c r="D1534" s="609" t="e">
        <f>C1534*$L$5</f>
        <v>#N/A</v>
      </c>
      <c r="E1534" s="912"/>
      <c r="F1534" s="912"/>
      <c r="G1534" s="905" t="s">
        <v>364</v>
      </c>
      <c r="H1534" s="546" t="s">
        <v>365</v>
      </c>
      <c r="I1534" s="910" t="e">
        <f>VLOOKUP(H1531,'LƯƠNG KT'!$D$16:$AC$184,15,0)</f>
        <v>#N/A</v>
      </c>
      <c r="J1534" s="609" t="e">
        <f>I1534*$L$5</f>
        <v>#N/A</v>
      </c>
      <c r="K1534" s="935"/>
      <c r="L1534" s="935"/>
      <c r="M1534" s="935"/>
      <c r="N1534" s="935"/>
      <c r="O1534" s="935"/>
    </row>
    <row r="1535" spans="1:15" ht="15" customHeight="1">
      <c r="A1535" s="905" t="s">
        <v>367</v>
      </c>
      <c r="B1535" s="546"/>
      <c r="C1535" s="910" t="e">
        <f>VLOOKUP(B1531,'LƯƠNG KT'!$D$16:$AC$184,16,0)</f>
        <v>#N/A</v>
      </c>
      <c r="D1535" s="609" t="e">
        <f>+C1535*$L$6</f>
        <v>#N/A</v>
      </c>
      <c r="E1535" s="912"/>
      <c r="F1535" s="912"/>
      <c r="G1535" s="905" t="s">
        <v>367</v>
      </c>
      <c r="H1535" s="546"/>
      <c r="I1535" s="910" t="e">
        <f>VLOOKUP(H1531,'LƯƠNG KT'!$D$16:$AC$184,16,0)</f>
        <v>#N/A</v>
      </c>
      <c r="J1535" s="609" t="e">
        <f>+I1535*$L$6</f>
        <v>#N/A</v>
      </c>
      <c r="K1535" s="935"/>
      <c r="L1535" s="935"/>
      <c r="M1535" s="935"/>
      <c r="N1535" s="935"/>
      <c r="O1535" s="935"/>
    </row>
    <row r="1536" spans="1:15" ht="15" customHeight="1">
      <c r="A1536" s="905" t="s">
        <v>371</v>
      </c>
      <c r="B1536" s="546" t="s">
        <v>372</v>
      </c>
      <c r="C1536" s="910" t="e">
        <f>VLOOKUP(B1531,'LƯƠNG KT'!$D$16:$AC$184,9,0)*$L$10</f>
        <v>#N/A</v>
      </c>
      <c r="D1536" s="609" t="e">
        <f>+C1536*0.5*3000</f>
        <v>#N/A</v>
      </c>
      <c r="E1536" s="912"/>
      <c r="F1536" s="912"/>
      <c r="G1536" s="905" t="s">
        <v>371</v>
      </c>
      <c r="H1536" s="546" t="s">
        <v>372</v>
      </c>
      <c r="I1536" s="910" t="e">
        <f>VLOOKUP(H1531,'LƯƠNG KT'!$D$16:$AC$184,9,0)*$L$10</f>
        <v>#N/A</v>
      </c>
      <c r="J1536" s="609" t="e">
        <f>+I1536*0.5*3000</f>
        <v>#N/A</v>
      </c>
      <c r="K1536" s="935"/>
      <c r="L1536" s="935"/>
      <c r="M1536" s="935"/>
      <c r="N1536" s="935"/>
      <c r="O1536" s="935"/>
    </row>
    <row r="1537" spans="1:15" ht="15" customHeight="1">
      <c r="A1537" s="905" t="s">
        <v>374</v>
      </c>
      <c r="B1537" s="546" t="s">
        <v>375</v>
      </c>
      <c r="C1537" s="910" t="e">
        <f>VLOOKUP(B1531,'LƯƠNG KT'!$D$16:$AC$184,8,0)*$L$11</f>
        <v>#N/A</v>
      </c>
      <c r="D1537" s="609" t="e">
        <f>VLOOKUP(B1531,'LƯƠNG KT'!$D$16:$AC$184,13,0)-D1536</f>
        <v>#N/A</v>
      </c>
      <c r="E1537" s="914"/>
      <c r="F1537" s="912"/>
      <c r="G1537" s="905" t="s">
        <v>374</v>
      </c>
      <c r="H1537" s="546" t="s">
        <v>375</v>
      </c>
      <c r="I1537" s="910" t="e">
        <f>VLOOKUP(H1531,'LƯƠNG KT'!$D$16:$AC$184,8,0)*$L$11</f>
        <v>#N/A</v>
      </c>
      <c r="J1537" s="609" t="e">
        <f>VLOOKUP(H1531,'LƯƠNG KT'!$D$16:$AC$184,13,0)-J1536</f>
        <v>#N/A</v>
      </c>
      <c r="K1537" s="935"/>
      <c r="L1537" s="935"/>
      <c r="M1537" s="935"/>
      <c r="N1537" s="935"/>
      <c r="O1537" s="935"/>
    </row>
    <row r="1538" spans="1:15" ht="15" customHeight="1">
      <c r="A1538" s="609" t="s">
        <v>377</v>
      </c>
      <c r="B1538" s="546" t="s">
        <v>378</v>
      </c>
      <c r="C1538" s="910"/>
      <c r="D1538" s="609"/>
      <c r="E1538" s="916"/>
      <c r="F1538" s="916"/>
      <c r="G1538" s="609" t="s">
        <v>377</v>
      </c>
      <c r="H1538" s="546" t="s">
        <v>378</v>
      </c>
      <c r="I1538" s="910"/>
      <c r="J1538" s="609"/>
    </row>
    <row r="1539" spans="1:15" ht="15" customHeight="1">
      <c r="A1539" s="547" t="s">
        <v>379</v>
      </c>
      <c r="B1539" s="546" t="s">
        <v>380</v>
      </c>
      <c r="C1539" s="910"/>
      <c r="D1539" s="609"/>
      <c r="E1539" s="914"/>
      <c r="F1539" s="916"/>
      <c r="G1539" s="547" t="s">
        <v>379</v>
      </c>
      <c r="H1539" s="546" t="s">
        <v>380</v>
      </c>
      <c r="I1539" s="910"/>
      <c r="J1539" s="609"/>
    </row>
    <row r="1540" spans="1:15" ht="15" customHeight="1">
      <c r="A1540" s="905" t="s">
        <v>381</v>
      </c>
      <c r="B1540" s="546" t="s">
        <v>382</v>
      </c>
      <c r="C1540" s="910"/>
      <c r="D1540" s="609">
        <f>D1539</f>
        <v>0</v>
      </c>
      <c r="E1540" s="917"/>
      <c r="F1540" s="904"/>
      <c r="G1540" s="905" t="s">
        <v>381</v>
      </c>
      <c r="H1540" s="546" t="s">
        <v>382</v>
      </c>
      <c r="I1540" s="910"/>
      <c r="J1540" s="609">
        <f>J1539</f>
        <v>0</v>
      </c>
    </row>
    <row r="1541" spans="1:15" ht="15" customHeight="1">
      <c r="A1541" s="918" t="s">
        <v>383</v>
      </c>
      <c r="B1541" s="919" t="s">
        <v>384</v>
      </c>
      <c r="C1541" s="920"/>
      <c r="D1541" s="921" t="e">
        <f>SUM(D1532:D1537)-D1540</f>
        <v>#N/A</v>
      </c>
      <c r="E1541" s="922"/>
      <c r="F1541" s="923"/>
      <c r="G1541" s="918" t="s">
        <v>383</v>
      </c>
      <c r="H1541" s="919" t="s">
        <v>384</v>
      </c>
      <c r="I1541" s="920"/>
      <c r="J1541" s="921" t="e">
        <f>SUM(J1532:J1537)-J1540</f>
        <v>#N/A</v>
      </c>
    </row>
    <row r="1542" spans="1:15" ht="18.75" customHeight="1">
      <c r="A1542" s="924"/>
      <c r="B1542" s="925"/>
      <c r="C1542" s="926"/>
      <c r="D1542" s="927"/>
      <c r="E1542" s="927"/>
      <c r="F1542" s="928"/>
      <c r="G1542" s="924"/>
      <c r="H1542" s="925"/>
      <c r="I1542" s="926"/>
      <c r="J1542" s="927"/>
    </row>
    <row r="1543" spans="1:15" ht="18.75" customHeight="1">
      <c r="A1543" s="925"/>
      <c r="B1543" s="925"/>
      <c r="C1543" s="929"/>
      <c r="D1543" s="930"/>
      <c r="E1543" s="925"/>
      <c r="F1543" s="931"/>
      <c r="G1543" s="925"/>
      <c r="H1543" s="925"/>
      <c r="I1543" s="929"/>
      <c r="J1543" s="930"/>
    </row>
    <row r="1544" spans="1:15" ht="15" customHeight="1">
      <c r="A1544" s="2360" t="str">
        <f>$K$2</f>
        <v>THÁNG 09/2024</v>
      </c>
      <c r="B1544" s="2360"/>
      <c r="C1544" s="2360"/>
      <c r="D1544" s="2360"/>
      <c r="E1544" s="903"/>
      <c r="F1544" s="904"/>
      <c r="G1544" s="2360" t="str">
        <f>$K$2</f>
        <v>THÁNG 09/2024</v>
      </c>
      <c r="H1544" s="2360"/>
      <c r="I1544" s="2360"/>
      <c r="J1544" s="2360"/>
      <c r="K1544" s="276"/>
    </row>
    <row r="1545" spans="1:15" ht="15" customHeight="1">
      <c r="A1545" s="905" t="s">
        <v>356</v>
      </c>
      <c r="B1545" s="642" t="s">
        <v>110</v>
      </c>
      <c r="C1545" s="546"/>
      <c r="D1545" s="902"/>
      <c r="E1545" s="906"/>
      <c r="F1545" s="907"/>
      <c r="G1545" s="905" t="s">
        <v>356</v>
      </c>
      <c r="H1545" s="642" t="s">
        <v>111</v>
      </c>
      <c r="I1545" s="546"/>
      <c r="J1545" s="902"/>
      <c r="L1545" s="938"/>
      <c r="M1545" s="938"/>
      <c r="N1545" s="938"/>
      <c r="O1545" s="938"/>
    </row>
    <row r="1546" spans="1:15" ht="15" customHeight="1">
      <c r="A1546" s="905" t="s">
        <v>359</v>
      </c>
      <c r="B1546" s="939" t="s">
        <v>360</v>
      </c>
      <c r="C1546" s="910" t="e">
        <f>VLOOKUP(B1545,'LƯƠNG KT'!$D$16:$AC$184,3,0)</f>
        <v>#N/A</v>
      </c>
      <c r="D1546" s="609" t="e">
        <f>+C1546*25000</f>
        <v>#N/A</v>
      </c>
      <c r="E1546" s="911"/>
      <c r="F1546" s="911"/>
      <c r="G1546" s="905" t="s">
        <v>359</v>
      </c>
      <c r="H1546" s="939" t="s">
        <v>360</v>
      </c>
      <c r="I1546" s="910" t="e">
        <f>VLOOKUP(H1545,'LƯƠNG KT'!$D$16:$AC$184,3,0)</f>
        <v>#N/A</v>
      </c>
      <c r="J1546" s="609" t="e">
        <f>+I1546*25000</f>
        <v>#N/A</v>
      </c>
      <c r="K1546" s="935"/>
      <c r="L1546" s="935"/>
      <c r="M1546" s="935"/>
      <c r="N1546" s="935"/>
      <c r="O1546" s="935"/>
    </row>
    <row r="1547" spans="1:15" ht="15" customHeight="1">
      <c r="A1547" s="905" t="s">
        <v>361</v>
      </c>
      <c r="B1547" s="546" t="s">
        <v>362</v>
      </c>
      <c r="C1547" s="910" t="e">
        <f>VLOOKUP(B1545,'LƯƠNG KT'!$D$16:$AC$184,14,0)</f>
        <v>#N/A</v>
      </c>
      <c r="D1547" s="609" t="e">
        <f>C1547*$L$4</f>
        <v>#N/A</v>
      </c>
      <c r="E1547" s="912"/>
      <c r="F1547" s="912"/>
      <c r="G1547" s="905" t="s">
        <v>361</v>
      </c>
      <c r="H1547" s="546" t="s">
        <v>362</v>
      </c>
      <c r="I1547" s="910" t="e">
        <f>VLOOKUP(H1545,'LƯƠNG KT'!$D$16:$AC$184,14,0)</f>
        <v>#N/A</v>
      </c>
      <c r="J1547" s="609" t="e">
        <f>I1547*$L$4</f>
        <v>#N/A</v>
      </c>
      <c r="K1547" s="935"/>
      <c r="L1547" s="935"/>
      <c r="M1547" s="935"/>
      <c r="N1547" s="935"/>
      <c r="O1547" s="935"/>
    </row>
    <row r="1548" spans="1:15" ht="15" customHeight="1">
      <c r="A1548" s="905" t="s">
        <v>364</v>
      </c>
      <c r="B1548" s="546" t="s">
        <v>365</v>
      </c>
      <c r="C1548" s="910" t="e">
        <f>VLOOKUP(B1545,'LƯƠNG KT'!$D$16:$AC$184,15,0)</f>
        <v>#N/A</v>
      </c>
      <c r="D1548" s="609" t="e">
        <f>C1548*$L$5</f>
        <v>#N/A</v>
      </c>
      <c r="E1548" s="912"/>
      <c r="F1548" s="912"/>
      <c r="G1548" s="905" t="s">
        <v>364</v>
      </c>
      <c r="H1548" s="546" t="s">
        <v>365</v>
      </c>
      <c r="I1548" s="910" t="e">
        <f>VLOOKUP(H1545,'LƯƠNG KT'!$D$16:$AC$184,15,0)</f>
        <v>#N/A</v>
      </c>
      <c r="J1548" s="609" t="e">
        <f>I1548*$L$5</f>
        <v>#N/A</v>
      </c>
      <c r="K1548" s="935"/>
      <c r="L1548" s="935"/>
      <c r="M1548" s="935"/>
      <c r="N1548" s="935"/>
      <c r="O1548" s="935"/>
    </row>
    <row r="1549" spans="1:15" ht="15" customHeight="1">
      <c r="A1549" s="905" t="s">
        <v>367</v>
      </c>
      <c r="B1549" s="546"/>
      <c r="C1549" s="910" t="e">
        <f>VLOOKUP(B1545,'LƯƠNG KT'!$D$16:$AC$184,16,0)</f>
        <v>#N/A</v>
      </c>
      <c r="D1549" s="609" t="e">
        <f>+C1549*$L$6</f>
        <v>#N/A</v>
      </c>
      <c r="E1549" s="912"/>
      <c r="F1549" s="912"/>
      <c r="G1549" s="905" t="s">
        <v>367</v>
      </c>
      <c r="H1549" s="546"/>
      <c r="I1549" s="910" t="e">
        <f>VLOOKUP(H1545,'LƯƠNG KT'!$D$16:$AC$184,16,0)</f>
        <v>#N/A</v>
      </c>
      <c r="J1549" s="609" t="e">
        <f>+I1549*$L$6</f>
        <v>#N/A</v>
      </c>
      <c r="K1549" s="935"/>
      <c r="L1549" s="935"/>
      <c r="M1549" s="935"/>
      <c r="N1549" s="935"/>
      <c r="O1549" s="935"/>
    </row>
    <row r="1550" spans="1:15" ht="15" customHeight="1">
      <c r="A1550" s="905" t="s">
        <v>371</v>
      </c>
      <c r="B1550" s="546" t="s">
        <v>372</v>
      </c>
      <c r="C1550" s="910" t="e">
        <f>VLOOKUP(B1545,'LƯƠNG KT'!$D$16:$AC$184,9,0)*$L$10</f>
        <v>#N/A</v>
      </c>
      <c r="D1550" s="609" t="e">
        <f>+C1550*0.5*3000</f>
        <v>#N/A</v>
      </c>
      <c r="E1550" s="912"/>
      <c r="F1550" s="912"/>
      <c r="G1550" s="905" t="s">
        <v>371</v>
      </c>
      <c r="H1550" s="546" t="s">
        <v>372</v>
      </c>
      <c r="I1550" s="910" t="e">
        <f>VLOOKUP(H1545,'LƯƠNG KT'!$D$16:$AC$184,9,0)*$L$10</f>
        <v>#N/A</v>
      </c>
      <c r="J1550" s="609" t="e">
        <f>+I1550*0.5*3000</f>
        <v>#N/A</v>
      </c>
      <c r="K1550" s="935"/>
      <c r="L1550" s="935"/>
      <c r="M1550" s="935"/>
      <c r="N1550" s="935"/>
      <c r="O1550" s="935"/>
    </row>
    <row r="1551" spans="1:15" ht="15" customHeight="1">
      <c r="A1551" s="905" t="s">
        <v>374</v>
      </c>
      <c r="B1551" s="546" t="s">
        <v>375</v>
      </c>
      <c r="C1551" s="910" t="e">
        <f>VLOOKUP(B1545,'LƯƠNG KT'!$D$16:$AC$184,8,0)*$L$11</f>
        <v>#N/A</v>
      </c>
      <c r="D1551" s="609" t="e">
        <f>VLOOKUP(B1545,'LƯƠNG KT'!$D$16:$AC$184,13,0)-D1550</f>
        <v>#N/A</v>
      </c>
      <c r="E1551" s="914"/>
      <c r="F1551" s="912"/>
      <c r="G1551" s="905" t="s">
        <v>374</v>
      </c>
      <c r="H1551" s="546" t="s">
        <v>375</v>
      </c>
      <c r="I1551" s="910" t="e">
        <f>VLOOKUP(H1545,'LƯƠNG KT'!$D$16:$AC$184,8,0)*$L$11</f>
        <v>#N/A</v>
      </c>
      <c r="J1551" s="609" t="e">
        <f>VLOOKUP(H1545,'LƯƠNG KT'!$D$16:$AC$184,13,0)-J1550</f>
        <v>#N/A</v>
      </c>
      <c r="K1551" s="935"/>
      <c r="L1551" s="935"/>
      <c r="M1551" s="935"/>
      <c r="N1551" s="935"/>
      <c r="O1551" s="935"/>
    </row>
    <row r="1552" spans="1:15" ht="15" customHeight="1">
      <c r="A1552" s="609" t="s">
        <v>377</v>
      </c>
      <c r="B1552" s="546" t="s">
        <v>378</v>
      </c>
      <c r="C1552" s="910"/>
      <c r="D1552" s="609"/>
      <c r="E1552" s="916"/>
      <c r="F1552" s="916"/>
      <c r="G1552" s="609" t="s">
        <v>377</v>
      </c>
      <c r="H1552" s="546" t="s">
        <v>378</v>
      </c>
      <c r="I1552" s="910"/>
      <c r="J1552" s="609"/>
    </row>
    <row r="1553" spans="1:15" ht="15" customHeight="1">
      <c r="A1553" s="547" t="s">
        <v>379</v>
      </c>
      <c r="B1553" s="546" t="s">
        <v>380</v>
      </c>
      <c r="C1553" s="910"/>
      <c r="D1553" s="609"/>
      <c r="E1553" s="914"/>
      <c r="F1553" s="916"/>
      <c r="G1553" s="547" t="s">
        <v>379</v>
      </c>
      <c r="H1553" s="546" t="s">
        <v>380</v>
      </c>
      <c r="I1553" s="910"/>
      <c r="J1553" s="609"/>
    </row>
    <row r="1554" spans="1:15" ht="15" customHeight="1">
      <c r="A1554" s="905" t="s">
        <v>381</v>
      </c>
      <c r="B1554" s="546" t="s">
        <v>382</v>
      </c>
      <c r="C1554" s="910"/>
      <c r="D1554" s="609">
        <f>D1553</f>
        <v>0</v>
      </c>
      <c r="E1554" s="917"/>
      <c r="F1554" s="904"/>
      <c r="G1554" s="905" t="s">
        <v>381</v>
      </c>
      <c r="H1554" s="546" t="s">
        <v>382</v>
      </c>
      <c r="I1554" s="910"/>
      <c r="J1554" s="609">
        <f>J1553</f>
        <v>0</v>
      </c>
    </row>
    <row r="1555" spans="1:15" ht="15" customHeight="1">
      <c r="A1555" s="918" t="s">
        <v>383</v>
      </c>
      <c r="B1555" s="919" t="s">
        <v>384</v>
      </c>
      <c r="C1555" s="920"/>
      <c r="D1555" s="921" t="e">
        <f>SUM(D1546:D1551)-D1554</f>
        <v>#N/A</v>
      </c>
      <c r="E1555" s="922"/>
      <c r="F1555" s="923"/>
      <c r="G1555" s="918" t="s">
        <v>383</v>
      </c>
      <c r="H1555" s="919" t="s">
        <v>384</v>
      </c>
      <c r="I1555" s="920"/>
      <c r="J1555" s="921" t="e">
        <f>SUM(J1546:J1551)-J1554</f>
        <v>#N/A</v>
      </c>
    </row>
    <row r="1556" spans="1:15" ht="15.75" customHeight="1">
      <c r="A1556" s="924"/>
      <c r="B1556" s="925"/>
      <c r="C1556" s="926"/>
      <c r="D1556" s="927"/>
      <c r="E1556" s="927"/>
      <c r="F1556" s="928"/>
      <c r="G1556" s="924"/>
      <c r="H1556" s="925"/>
      <c r="I1556" s="926"/>
      <c r="J1556" s="927"/>
    </row>
    <row r="1558" spans="1:15" ht="12" customHeight="1">
      <c r="A1558" s="2361"/>
      <c r="B1558" s="2361"/>
      <c r="C1558" s="2361"/>
      <c r="D1558" s="2361"/>
      <c r="E1558" s="2361"/>
      <c r="F1558" s="2361"/>
      <c r="G1558" s="2361"/>
      <c r="H1558" s="2361"/>
      <c r="I1558" s="2361"/>
      <c r="J1558" s="2361"/>
    </row>
    <row r="1559" spans="1:15" ht="15" customHeight="1">
      <c r="A1559" s="2360" t="str">
        <f>$K$2</f>
        <v>THÁNG 09/2024</v>
      </c>
      <c r="B1559" s="2360"/>
      <c r="C1559" s="2360"/>
      <c r="D1559" s="2360"/>
      <c r="E1559" s="903"/>
      <c r="F1559" s="904"/>
      <c r="G1559" s="2360" t="str">
        <f>$K$2</f>
        <v>THÁNG 09/2024</v>
      </c>
      <c r="H1559" s="2360"/>
      <c r="I1559" s="2360"/>
      <c r="J1559" s="2360"/>
      <c r="K1559" s="276"/>
    </row>
    <row r="1560" spans="1:15" ht="15" customHeight="1">
      <c r="A1560" s="905" t="s">
        <v>356</v>
      </c>
      <c r="B1560" s="642" t="s">
        <v>112</v>
      </c>
      <c r="C1560" s="546"/>
      <c r="D1560" s="902"/>
      <c r="E1560" s="906"/>
      <c r="F1560" s="907"/>
      <c r="G1560" s="905" t="s">
        <v>356</v>
      </c>
      <c r="H1560" s="642" t="s">
        <v>113</v>
      </c>
      <c r="I1560" s="546"/>
      <c r="J1560" s="902"/>
      <c r="L1560" s="938"/>
      <c r="M1560" s="938"/>
      <c r="N1560" s="938"/>
      <c r="O1560" s="938"/>
    </row>
    <row r="1561" spans="1:15" ht="15" customHeight="1">
      <c r="A1561" s="905" t="s">
        <v>359</v>
      </c>
      <c r="B1561" s="939" t="s">
        <v>360</v>
      </c>
      <c r="C1561" s="910" t="e">
        <f>VLOOKUP(B1560,'LƯƠNG KT'!$D$16:$AC$184,3,0)</f>
        <v>#N/A</v>
      </c>
      <c r="D1561" s="609" t="e">
        <f>+C1561*25000</f>
        <v>#N/A</v>
      </c>
      <c r="E1561" s="911"/>
      <c r="F1561" s="911"/>
      <c r="G1561" s="905" t="s">
        <v>359</v>
      </c>
      <c r="H1561" s="939" t="s">
        <v>360</v>
      </c>
      <c r="I1561" s="910" t="e">
        <f>VLOOKUP(H1560,'LƯƠNG KT'!$D$16:$AC$184,3,0)</f>
        <v>#N/A</v>
      </c>
      <c r="J1561" s="609" t="e">
        <f>+I1561*25000</f>
        <v>#N/A</v>
      </c>
      <c r="K1561" s="934"/>
      <c r="L1561" s="935"/>
      <c r="M1561" s="935"/>
      <c r="N1561" s="935"/>
      <c r="O1561" s="935"/>
    </row>
    <row r="1562" spans="1:15" ht="15" customHeight="1">
      <c r="A1562" s="905" t="s">
        <v>361</v>
      </c>
      <c r="B1562" s="546" t="s">
        <v>362</v>
      </c>
      <c r="C1562" s="910" t="e">
        <f>VLOOKUP(B1560,'LƯƠNG KT'!$D$16:$AC$184,14,0)</f>
        <v>#N/A</v>
      </c>
      <c r="D1562" s="609" t="e">
        <f>C1562*$L$4</f>
        <v>#N/A</v>
      </c>
      <c r="E1562" s="912"/>
      <c r="F1562" s="912"/>
      <c r="G1562" s="905" t="s">
        <v>361</v>
      </c>
      <c r="H1562" s="546" t="s">
        <v>362</v>
      </c>
      <c r="I1562" s="910" t="e">
        <f>VLOOKUP(H1560,'LƯƠNG KT'!$D$16:$AC$184,14,0)</f>
        <v>#N/A</v>
      </c>
      <c r="J1562" s="609" t="e">
        <f>I1562*$L$4</f>
        <v>#N/A</v>
      </c>
      <c r="K1562" s="934"/>
      <c r="L1562" s="935"/>
      <c r="M1562" s="935"/>
      <c r="N1562" s="935"/>
      <c r="O1562" s="935"/>
    </row>
    <row r="1563" spans="1:15" ht="15" customHeight="1">
      <c r="A1563" s="905" t="s">
        <v>364</v>
      </c>
      <c r="B1563" s="546" t="s">
        <v>365</v>
      </c>
      <c r="C1563" s="910" t="e">
        <f>VLOOKUP(B1560,'LƯƠNG KT'!$D$16:$AC$184,15,0)</f>
        <v>#N/A</v>
      </c>
      <c r="D1563" s="609" t="e">
        <f>C1563*$L$5</f>
        <v>#N/A</v>
      </c>
      <c r="E1563" s="912"/>
      <c r="F1563" s="912"/>
      <c r="G1563" s="905" t="s">
        <v>364</v>
      </c>
      <c r="H1563" s="546" t="s">
        <v>365</v>
      </c>
      <c r="I1563" s="910" t="e">
        <f>VLOOKUP(H1560,'LƯƠNG KT'!$D$16:$AC$184,15,0)</f>
        <v>#N/A</v>
      </c>
      <c r="J1563" s="609" t="e">
        <f>I1563*$L$5</f>
        <v>#N/A</v>
      </c>
      <c r="K1563" s="934"/>
      <c r="L1563" s="935"/>
      <c r="M1563" s="935"/>
      <c r="N1563" s="935"/>
      <c r="O1563" s="935"/>
    </row>
    <row r="1564" spans="1:15" ht="15" customHeight="1">
      <c r="A1564" s="905" t="s">
        <v>367</v>
      </c>
      <c r="B1564" s="546"/>
      <c r="C1564" s="910" t="e">
        <f>VLOOKUP(B1560,'LƯƠNG KT'!$D$16:$AC$184,16,0)</f>
        <v>#N/A</v>
      </c>
      <c r="D1564" s="609" t="e">
        <f>+C1564*$L$6</f>
        <v>#N/A</v>
      </c>
      <c r="E1564" s="912"/>
      <c r="F1564" s="912"/>
      <c r="G1564" s="905" t="s">
        <v>367</v>
      </c>
      <c r="H1564" s="546"/>
      <c r="I1564" s="910" t="e">
        <f>VLOOKUP(H1560,'LƯƠNG KT'!$D$16:$AC$184,16,0)</f>
        <v>#N/A</v>
      </c>
      <c r="J1564" s="609" t="e">
        <f>+I1564*$L$6</f>
        <v>#N/A</v>
      </c>
      <c r="K1564" s="935"/>
      <c r="L1564" s="935"/>
      <c r="M1564" s="935"/>
      <c r="N1564" s="935"/>
      <c r="O1564" s="935"/>
    </row>
    <row r="1565" spans="1:15" ht="15" customHeight="1">
      <c r="A1565" s="905" t="s">
        <v>371</v>
      </c>
      <c r="B1565" s="546" t="s">
        <v>372</v>
      </c>
      <c r="C1565" s="910" t="e">
        <f>VLOOKUP(B1560,'LƯƠNG KT'!$D$16:$AC$184,9,0)*$L$10</f>
        <v>#N/A</v>
      </c>
      <c r="D1565" s="609" t="e">
        <f>+C1565*0.5*3000</f>
        <v>#N/A</v>
      </c>
      <c r="E1565" s="912"/>
      <c r="F1565" s="912"/>
      <c r="G1565" s="905" t="s">
        <v>371</v>
      </c>
      <c r="H1565" s="546" t="s">
        <v>372</v>
      </c>
      <c r="I1565" s="910" t="e">
        <f>VLOOKUP(H1560,'LƯƠNG KT'!$D$16:$AC$184,9,0)*$L$10</f>
        <v>#N/A</v>
      </c>
      <c r="J1565" s="609" t="e">
        <f>+I1565*0.5*3000</f>
        <v>#N/A</v>
      </c>
      <c r="K1565" s="935"/>
      <c r="L1565" s="935"/>
      <c r="M1565" s="935"/>
      <c r="N1565" s="935"/>
      <c r="O1565" s="935"/>
    </row>
    <row r="1566" spans="1:15" ht="15" customHeight="1">
      <c r="A1566" s="905" t="s">
        <v>374</v>
      </c>
      <c r="B1566" s="546" t="s">
        <v>375</v>
      </c>
      <c r="C1566" s="910" t="e">
        <f>VLOOKUP(B1560,'LƯƠNG KT'!$D$16:$AC$184,8,0)*$L$11</f>
        <v>#N/A</v>
      </c>
      <c r="D1566" s="609" t="e">
        <f>VLOOKUP(B1560,'LƯƠNG KT'!$D$16:$AC$184,13,0)-D1565</f>
        <v>#N/A</v>
      </c>
      <c r="E1566" s="914"/>
      <c r="F1566" s="912"/>
      <c r="G1566" s="905" t="s">
        <v>374</v>
      </c>
      <c r="H1566" s="546" t="s">
        <v>375</v>
      </c>
      <c r="I1566" s="910" t="e">
        <f>VLOOKUP(H1560,'LƯƠNG KT'!$D$16:$AC$184,8,0)*$L$11</f>
        <v>#N/A</v>
      </c>
      <c r="J1566" s="609" t="e">
        <f>VLOOKUP(H1560,'LƯƠNG KT'!$D$16:$AC$184,13,0)-J1565</f>
        <v>#N/A</v>
      </c>
      <c r="K1566" s="935"/>
      <c r="L1566" s="935"/>
      <c r="M1566" s="935"/>
      <c r="N1566" s="935"/>
      <c r="O1566" s="935"/>
    </row>
    <row r="1567" spans="1:15" ht="15" customHeight="1">
      <c r="A1567" s="609" t="s">
        <v>377</v>
      </c>
      <c r="B1567" s="546" t="s">
        <v>378</v>
      </c>
      <c r="C1567" s="910"/>
      <c r="D1567" s="609"/>
      <c r="E1567" s="916"/>
      <c r="F1567" s="916"/>
      <c r="G1567" s="609" t="s">
        <v>377</v>
      </c>
      <c r="H1567" s="546" t="s">
        <v>378</v>
      </c>
      <c r="I1567" s="910"/>
      <c r="J1567" s="609"/>
    </row>
    <row r="1568" spans="1:15" ht="15" customHeight="1">
      <c r="A1568" s="547" t="s">
        <v>379</v>
      </c>
      <c r="B1568" s="546" t="s">
        <v>380</v>
      </c>
      <c r="C1568" s="910"/>
      <c r="D1568" s="609"/>
      <c r="E1568" s="914"/>
      <c r="F1568" s="916"/>
      <c r="G1568" s="547" t="s">
        <v>379</v>
      </c>
      <c r="H1568" s="546" t="s">
        <v>380</v>
      </c>
      <c r="I1568" s="910"/>
      <c r="J1568" s="609"/>
    </row>
    <row r="1569" spans="1:15" ht="15" customHeight="1">
      <c r="A1569" s="905" t="s">
        <v>381</v>
      </c>
      <c r="B1569" s="546" t="s">
        <v>382</v>
      </c>
      <c r="C1569" s="910"/>
      <c r="D1569" s="609">
        <f>D1568</f>
        <v>0</v>
      </c>
      <c r="E1569" s="917"/>
      <c r="F1569" s="904"/>
      <c r="G1569" s="905" t="s">
        <v>381</v>
      </c>
      <c r="H1569" s="546" t="s">
        <v>382</v>
      </c>
      <c r="I1569" s="910"/>
      <c r="J1569" s="609">
        <f>J1568</f>
        <v>0</v>
      </c>
    </row>
    <row r="1570" spans="1:15" ht="15" customHeight="1">
      <c r="A1570" s="918" t="s">
        <v>383</v>
      </c>
      <c r="B1570" s="919" t="s">
        <v>384</v>
      </c>
      <c r="C1570" s="920"/>
      <c r="D1570" s="921" t="e">
        <f>SUM(D1561:D1566)-D1569</f>
        <v>#N/A</v>
      </c>
      <c r="E1570" s="922"/>
      <c r="F1570" s="923"/>
      <c r="G1570" s="918" t="s">
        <v>383</v>
      </c>
      <c r="H1570" s="919" t="s">
        <v>384</v>
      </c>
      <c r="I1570" s="920"/>
      <c r="J1570" s="921" t="e">
        <f>SUM(J1561:J1566)-J1569</f>
        <v>#N/A</v>
      </c>
    </row>
    <row r="1571" spans="1:15" ht="12.6" customHeight="1">
      <c r="A1571" s="924"/>
      <c r="B1571" s="925"/>
      <c r="C1571" s="926"/>
      <c r="D1571" s="927"/>
      <c r="E1571" s="927"/>
      <c r="F1571" s="928"/>
      <c r="G1571" s="924"/>
      <c r="H1571" s="925"/>
      <c r="I1571" s="926"/>
      <c r="J1571" s="927"/>
    </row>
    <row r="1572" spans="1:15" ht="12.6" customHeight="1">
      <c r="A1572" s="925"/>
      <c r="B1572" s="925"/>
      <c r="C1572" s="929"/>
      <c r="D1572" s="930"/>
      <c r="E1572" s="925"/>
      <c r="F1572" s="931"/>
      <c r="G1572" s="925"/>
      <c r="H1572" s="925"/>
      <c r="I1572" s="929"/>
      <c r="J1572" s="930"/>
    </row>
    <row r="1573" spans="1:15" ht="15" customHeight="1">
      <c r="A1573" s="2360" t="str">
        <f>$K$2</f>
        <v>THÁNG 09/2024</v>
      </c>
      <c r="B1573" s="2360"/>
      <c r="C1573" s="2360"/>
      <c r="D1573" s="2360"/>
      <c r="E1573" s="903"/>
      <c r="F1573" s="904"/>
      <c r="G1573" s="2360" t="str">
        <f>$K$2</f>
        <v>THÁNG 09/2024</v>
      </c>
      <c r="H1573" s="2360"/>
      <c r="I1573" s="2360"/>
      <c r="J1573" s="2360"/>
      <c r="K1573" s="276"/>
    </row>
    <row r="1574" spans="1:15" ht="15" customHeight="1">
      <c r="A1574" s="905" t="s">
        <v>356</v>
      </c>
      <c r="B1574" s="642" t="s">
        <v>499</v>
      </c>
      <c r="C1574" s="546"/>
      <c r="D1574" s="902"/>
      <c r="E1574" s="906"/>
      <c r="F1574" s="907"/>
      <c r="G1574" s="905" t="s">
        <v>356</v>
      </c>
      <c r="H1574" s="642"/>
      <c r="I1574" s="546"/>
      <c r="J1574" s="902"/>
      <c r="L1574" s="938"/>
      <c r="M1574" s="938"/>
      <c r="N1574" s="938"/>
      <c r="O1574" s="938"/>
    </row>
    <row r="1575" spans="1:15" ht="15" customHeight="1">
      <c r="A1575" s="905" t="s">
        <v>359</v>
      </c>
      <c r="B1575" s="939" t="s">
        <v>360</v>
      </c>
      <c r="C1575" s="910" t="e">
        <f>VLOOKUP(B1574,'LƯƠNG KT'!$D$16:$AC$184,3,0)</f>
        <v>#N/A</v>
      </c>
      <c r="D1575" s="609" t="e">
        <f>+C1575*25000</f>
        <v>#N/A</v>
      </c>
      <c r="E1575" s="911"/>
      <c r="F1575" s="911"/>
      <c r="G1575" s="905" t="s">
        <v>359</v>
      </c>
      <c r="H1575" s="939" t="s">
        <v>360</v>
      </c>
      <c r="I1575" s="910" t="e">
        <f>VLOOKUP(H1574,'LƯƠNG KT'!$D$16:$AC$184,3,0)</f>
        <v>#N/A</v>
      </c>
      <c r="J1575" s="609" t="e">
        <f>+I1575*25000</f>
        <v>#N/A</v>
      </c>
      <c r="K1575" s="935"/>
      <c r="L1575" s="935"/>
      <c r="M1575" s="935"/>
      <c r="N1575" s="935"/>
      <c r="O1575" s="935"/>
    </row>
    <row r="1576" spans="1:15" ht="15" customHeight="1">
      <c r="A1576" s="905" t="s">
        <v>361</v>
      </c>
      <c r="B1576" s="546" t="s">
        <v>362</v>
      </c>
      <c r="C1576" s="910" t="e">
        <f>VLOOKUP(B1574,'LƯƠNG KT'!$D$16:$AC$184,14,0)</f>
        <v>#N/A</v>
      </c>
      <c r="D1576" s="609" t="e">
        <f>C1576*$L$4</f>
        <v>#N/A</v>
      </c>
      <c r="E1576" s="912"/>
      <c r="F1576" s="912"/>
      <c r="G1576" s="905" t="s">
        <v>361</v>
      </c>
      <c r="H1576" s="546" t="s">
        <v>362</v>
      </c>
      <c r="I1576" s="910" t="e">
        <f>VLOOKUP(H1574,'LƯƠNG KT'!$D$16:$AC$184,14,0)</f>
        <v>#N/A</v>
      </c>
      <c r="J1576" s="609" t="e">
        <f>I1576*$L$4</f>
        <v>#N/A</v>
      </c>
      <c r="K1576" s="935"/>
      <c r="L1576" s="935"/>
      <c r="M1576" s="935"/>
      <c r="N1576" s="935"/>
      <c r="O1576" s="935"/>
    </row>
    <row r="1577" spans="1:15" ht="15" customHeight="1">
      <c r="A1577" s="905" t="s">
        <v>364</v>
      </c>
      <c r="B1577" s="546" t="s">
        <v>365</v>
      </c>
      <c r="C1577" s="910" t="e">
        <f>VLOOKUP(B1574,'LƯƠNG KT'!$D$16:$AC$184,15,0)</f>
        <v>#N/A</v>
      </c>
      <c r="D1577" s="609" t="e">
        <f>C1577*$L$5</f>
        <v>#N/A</v>
      </c>
      <c r="E1577" s="912"/>
      <c r="F1577" s="912"/>
      <c r="G1577" s="905" t="s">
        <v>364</v>
      </c>
      <c r="H1577" s="546" t="s">
        <v>365</v>
      </c>
      <c r="I1577" s="910" t="e">
        <f>VLOOKUP(H1574,'LƯƠNG KT'!$D$16:$AC$184,15,0)</f>
        <v>#N/A</v>
      </c>
      <c r="J1577" s="609" t="e">
        <f>I1577*$L$5</f>
        <v>#N/A</v>
      </c>
      <c r="K1577" s="935"/>
      <c r="L1577" s="935"/>
      <c r="M1577" s="935"/>
      <c r="N1577" s="935"/>
      <c r="O1577" s="935"/>
    </row>
    <row r="1578" spans="1:15" ht="15" customHeight="1">
      <c r="A1578" s="905" t="s">
        <v>367</v>
      </c>
      <c r="B1578" s="546"/>
      <c r="C1578" s="910" t="e">
        <f>VLOOKUP(B1574,'LƯƠNG KT'!$D$16:$AC$184,16,0)</f>
        <v>#N/A</v>
      </c>
      <c r="D1578" s="609" t="e">
        <f>+C1578*$L$6</f>
        <v>#N/A</v>
      </c>
      <c r="E1578" s="912"/>
      <c r="F1578" s="912"/>
      <c r="G1578" s="905" t="s">
        <v>367</v>
      </c>
      <c r="H1578" s="546"/>
      <c r="I1578" s="910" t="e">
        <f>VLOOKUP(H1574,'LƯƠNG KT'!$D$16:$AC$184,16,0)</f>
        <v>#N/A</v>
      </c>
      <c r="J1578" s="609" t="e">
        <f>+I1578*$L$6</f>
        <v>#N/A</v>
      </c>
      <c r="K1578" s="935"/>
      <c r="L1578" s="935"/>
      <c r="M1578" s="935"/>
      <c r="N1578" s="935"/>
      <c r="O1578" s="935"/>
    </row>
    <row r="1579" spans="1:15" ht="15" customHeight="1">
      <c r="A1579" s="905" t="s">
        <v>371</v>
      </c>
      <c r="B1579" s="546" t="s">
        <v>372</v>
      </c>
      <c r="C1579" s="910" t="e">
        <f>VLOOKUP(B1574,'LƯƠNG KT'!$D$16:$AC$184,9,0)*$L$10</f>
        <v>#N/A</v>
      </c>
      <c r="D1579" s="609" t="e">
        <f>+C1579*0.5*3000</f>
        <v>#N/A</v>
      </c>
      <c r="E1579" s="912"/>
      <c r="F1579" s="912"/>
      <c r="G1579" s="905" t="s">
        <v>371</v>
      </c>
      <c r="H1579" s="546" t="s">
        <v>372</v>
      </c>
      <c r="I1579" s="910" t="e">
        <f>VLOOKUP(H1574,'LƯƠNG KT'!$D$16:$AC$184,9,0)*$L$10</f>
        <v>#N/A</v>
      </c>
      <c r="J1579" s="609" t="e">
        <f>+I1579*0.5*3000</f>
        <v>#N/A</v>
      </c>
      <c r="K1579" s="935"/>
      <c r="L1579" s="935"/>
      <c r="M1579" s="935"/>
      <c r="N1579" s="935"/>
      <c r="O1579" s="935"/>
    </row>
    <row r="1580" spans="1:15" ht="15" customHeight="1">
      <c r="A1580" s="905" t="s">
        <v>374</v>
      </c>
      <c r="B1580" s="546" t="s">
        <v>375</v>
      </c>
      <c r="C1580" s="910" t="e">
        <f>VLOOKUP(B1574,'LƯƠNG KT'!$D$16:$AC$184,8,0)*$L$11</f>
        <v>#N/A</v>
      </c>
      <c r="D1580" s="609" t="e">
        <f>VLOOKUP(B1574,'LƯƠNG KT'!$D$16:$AC$184,13,0)-D1579</f>
        <v>#N/A</v>
      </c>
      <c r="E1580" s="914"/>
      <c r="F1580" s="912"/>
      <c r="G1580" s="905" t="s">
        <v>374</v>
      </c>
      <c r="H1580" s="546" t="s">
        <v>375</v>
      </c>
      <c r="I1580" s="910" t="e">
        <f>VLOOKUP(H1574,'LƯƠNG KT'!$D$16:$AC$184,8,0)*$L$11</f>
        <v>#N/A</v>
      </c>
      <c r="J1580" s="609" t="e">
        <f>VLOOKUP(H1574,'LƯƠNG KT'!$D$16:$AC$184,13,0)-J1579</f>
        <v>#N/A</v>
      </c>
      <c r="K1580" s="935"/>
      <c r="L1580" s="935"/>
      <c r="M1580" s="935"/>
      <c r="N1580" s="935"/>
      <c r="O1580" s="935"/>
    </row>
    <row r="1581" spans="1:15" ht="15" customHeight="1">
      <c r="A1581" s="609" t="s">
        <v>377</v>
      </c>
      <c r="B1581" s="546" t="s">
        <v>378</v>
      </c>
      <c r="C1581" s="910"/>
      <c r="D1581" s="609"/>
      <c r="E1581" s="916"/>
      <c r="F1581" s="916"/>
      <c r="G1581" s="609" t="s">
        <v>377</v>
      </c>
      <c r="H1581" s="546" t="s">
        <v>378</v>
      </c>
      <c r="I1581" s="910"/>
      <c r="J1581" s="609"/>
    </row>
    <row r="1582" spans="1:15" ht="15" customHeight="1">
      <c r="A1582" s="547" t="s">
        <v>379</v>
      </c>
      <c r="B1582" s="546" t="s">
        <v>380</v>
      </c>
      <c r="C1582" s="910"/>
      <c r="D1582" s="609"/>
      <c r="E1582" s="914"/>
      <c r="F1582" s="916"/>
      <c r="G1582" s="547" t="s">
        <v>379</v>
      </c>
      <c r="H1582" s="546" t="s">
        <v>380</v>
      </c>
      <c r="I1582" s="910"/>
      <c r="J1582" s="609"/>
      <c r="K1582" s="940" t="s">
        <v>103</v>
      </c>
      <c r="L1582" s="940" t="e">
        <f>D1584+D1570+J1570+J1555+D1555+D1541+J1541+J1527+D1527+J1513+D1513</f>
        <v>#N/A</v>
      </c>
      <c r="M1582" s="940"/>
      <c r="N1582" s="940"/>
      <c r="O1582" s="940"/>
    </row>
    <row r="1583" spans="1:15" ht="15" customHeight="1">
      <c r="A1583" s="905" t="s">
        <v>381</v>
      </c>
      <c r="B1583" s="546" t="s">
        <v>382</v>
      </c>
      <c r="C1583" s="910"/>
      <c r="D1583" s="609">
        <f>D1582</f>
        <v>0</v>
      </c>
      <c r="E1583" s="917"/>
      <c r="F1583" s="904"/>
      <c r="G1583" s="905" t="s">
        <v>381</v>
      </c>
      <c r="H1583" s="546" t="s">
        <v>382</v>
      </c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SUM(D1575:D1580)-D1583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/>
    </row>
    <row r="1585" spans="1:15" ht="18.75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8.75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60" t="str">
        <f>$K$2</f>
        <v>THÁNG 09/2024</v>
      </c>
      <c r="B1587" s="2360"/>
      <c r="C1587" s="2360"/>
      <c r="D1587" s="2360"/>
      <c r="E1587" s="903"/>
      <c r="F1587" s="904"/>
      <c r="G1587" s="2360" t="str">
        <f>$K$2</f>
        <v>THÁNG 09/2024</v>
      </c>
      <c r="H1587" s="2360"/>
      <c r="I1587" s="2360"/>
      <c r="J1587" s="2360"/>
      <c r="K1587" s="276"/>
    </row>
    <row r="1588" spans="1:15" ht="15" customHeight="1">
      <c r="A1588" s="905" t="s">
        <v>356</v>
      </c>
      <c r="B1588" s="642" t="s">
        <v>500</v>
      </c>
      <c r="C1588" s="546"/>
      <c r="D1588" s="902"/>
      <c r="E1588" s="906"/>
      <c r="F1588" s="907"/>
      <c r="G1588" s="905" t="s">
        <v>356</v>
      </c>
      <c r="H1588" s="642" t="s">
        <v>501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5" t="s">
        <v>359</v>
      </c>
      <c r="B1589" s="939" t="s">
        <v>360</v>
      </c>
      <c r="C1589" s="910" t="e">
        <f>VLOOKUP(B1588,'LƯƠNG KT'!$D$16:$AC$184,3,0)</f>
        <v>#N/A</v>
      </c>
      <c r="D1589" s="609" t="e">
        <f>+C1589*25000</f>
        <v>#N/A</v>
      </c>
      <c r="E1589" s="911"/>
      <c r="F1589" s="911"/>
      <c r="G1589" s="905" t="s">
        <v>359</v>
      </c>
      <c r="H1589" s="939" t="s">
        <v>360</v>
      </c>
      <c r="I1589" s="910" t="e">
        <f>VLOOKUP(H1588,'LƯƠNG KT'!$D$16:$AC$184,3,0)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5" t="s">
        <v>361</v>
      </c>
      <c r="B1590" s="546" t="s">
        <v>362</v>
      </c>
      <c r="C1590" s="910" t="e">
        <f>VLOOKUP(B1588,'LƯƠNG KT'!$D$16:$AC$184,14,0)</f>
        <v>#N/A</v>
      </c>
      <c r="D1590" s="609" t="e">
        <f>C1590*$L$4</f>
        <v>#N/A</v>
      </c>
      <c r="E1590" s="912"/>
      <c r="F1590" s="912"/>
      <c r="G1590" s="905" t="s">
        <v>361</v>
      </c>
      <c r="H1590" s="546" t="s">
        <v>362</v>
      </c>
      <c r="I1590" s="910" t="e">
        <f>VLOOKUP(H1588,'LƯƠNG KT'!$D$16:$AC$184,14,0)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5" t="s">
        <v>364</v>
      </c>
      <c r="B1591" s="546" t="s">
        <v>365</v>
      </c>
      <c r="C1591" s="910" t="e">
        <f>VLOOKUP(B1588,'LƯƠNG KT'!$D$16:$AC$184,15,0)</f>
        <v>#N/A</v>
      </c>
      <c r="D1591" s="609" t="e">
        <f>C1591*$L$5</f>
        <v>#N/A</v>
      </c>
      <c r="E1591" s="912"/>
      <c r="F1591" s="912"/>
      <c r="G1591" s="905" t="s">
        <v>364</v>
      </c>
      <c r="H1591" s="546" t="s">
        <v>365</v>
      </c>
      <c r="I1591" s="910" t="e">
        <f>VLOOKUP(H1588,'LƯƠNG KT'!$D$16:$AC$184,15,0)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5" t="s">
        <v>367</v>
      </c>
      <c r="B1592" s="546"/>
      <c r="C1592" s="910" t="e">
        <f>VLOOKUP(B1588,'LƯƠNG KT'!$D$16:$AC$184,16,0)</f>
        <v>#N/A</v>
      </c>
      <c r="D1592" s="609" t="e">
        <f>+C1592*$L$6</f>
        <v>#N/A</v>
      </c>
      <c r="E1592" s="912"/>
      <c r="F1592" s="912"/>
      <c r="G1592" s="905" t="s">
        <v>367</v>
      </c>
      <c r="H1592" s="546"/>
      <c r="I1592" s="910" t="e">
        <f>VLOOKUP(H1588,'LƯƠNG KT'!$D$16:$AC$184,16,0)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5" t="s">
        <v>371</v>
      </c>
      <c r="B1593" s="546" t="s">
        <v>372</v>
      </c>
      <c r="C1593" s="910" t="e">
        <f>VLOOKUP(B1588,'LƯƠNG KT'!$D$16:$AC$184,9,0)*$L$10</f>
        <v>#N/A</v>
      </c>
      <c r="D1593" s="609" t="e">
        <f>+C1593*0.5*3000</f>
        <v>#N/A</v>
      </c>
      <c r="E1593" s="912"/>
      <c r="F1593" s="912"/>
      <c r="G1593" s="905" t="s">
        <v>371</v>
      </c>
      <c r="H1593" s="546" t="s">
        <v>372</v>
      </c>
      <c r="I1593" s="910" t="e">
        <f>VLOOKUP(H1588,'LƯƠNG KT'!$D$16:$AC$184,9,0)*$L$10</f>
        <v>#N/A</v>
      </c>
      <c r="J1593" s="609" t="e">
        <f>+I1593*0.5*3000</f>
        <v>#N/A</v>
      </c>
      <c r="K1593" s="935"/>
      <c r="L1593" s="935"/>
      <c r="M1593" s="935"/>
      <c r="N1593" s="935"/>
      <c r="O1593" s="935"/>
    </row>
    <row r="1594" spans="1:15" ht="15" customHeight="1">
      <c r="A1594" s="905" t="s">
        <v>374</v>
      </c>
      <c r="B1594" s="546" t="s">
        <v>375</v>
      </c>
      <c r="C1594" s="910" t="e">
        <f>VLOOKUP(B1588,'LƯƠNG KT'!$D$16:$AC$184,8,0)*$L$11</f>
        <v>#N/A</v>
      </c>
      <c r="D1594" s="609" t="e">
        <f>VLOOKUP(B1588,'LƯƠNG KT'!$D$16:$AC$184,13,0)-D1593</f>
        <v>#N/A</v>
      </c>
      <c r="E1594" s="914"/>
      <c r="F1594" s="912"/>
      <c r="G1594" s="905" t="s">
        <v>374</v>
      </c>
      <c r="H1594" s="546" t="s">
        <v>375</v>
      </c>
      <c r="I1594" s="910" t="e">
        <f>VLOOKUP(H1588,'LƯƠNG KT'!$D$16:$AC$184,8,0)*$L$11</f>
        <v>#N/A</v>
      </c>
      <c r="J1594" s="609" t="e">
        <f>VLOOKUP(H1588,'LƯƠNG KT'!$D$16:$AC$184,13,0)-J1593</f>
        <v>#N/A</v>
      </c>
      <c r="K1594" s="935"/>
      <c r="L1594" s="935"/>
      <c r="M1594" s="935"/>
      <c r="N1594" s="935"/>
      <c r="O1594" s="935"/>
    </row>
    <row r="1595" spans="1:15" ht="15" customHeight="1">
      <c r="A1595" s="609" t="s">
        <v>377</v>
      </c>
      <c r="B1595" s="546" t="s">
        <v>378</v>
      </c>
      <c r="C1595" s="910"/>
      <c r="D1595" s="609"/>
      <c r="E1595" s="916"/>
      <c r="F1595" s="916"/>
      <c r="G1595" s="609" t="s">
        <v>377</v>
      </c>
      <c r="H1595" s="546" t="s">
        <v>378</v>
      </c>
      <c r="I1595" s="910"/>
      <c r="J1595" s="609"/>
    </row>
    <row r="1596" spans="1:15" ht="15" customHeight="1">
      <c r="A1596" s="547" t="s">
        <v>379</v>
      </c>
      <c r="B1596" s="546" t="s">
        <v>380</v>
      </c>
      <c r="C1596" s="910"/>
      <c r="D1596" s="609"/>
      <c r="E1596" s="914"/>
      <c r="F1596" s="916"/>
      <c r="G1596" s="547" t="s">
        <v>379</v>
      </c>
      <c r="H1596" s="546" t="s">
        <v>380</v>
      </c>
      <c r="I1596" s="910"/>
      <c r="J1596" s="609"/>
    </row>
    <row r="1597" spans="1:15" ht="15" customHeight="1">
      <c r="A1597" s="905" t="s">
        <v>381</v>
      </c>
      <c r="B1597" s="546" t="s">
        <v>382</v>
      </c>
      <c r="C1597" s="910"/>
      <c r="D1597" s="609">
        <f>D1596</f>
        <v>0</v>
      </c>
      <c r="E1597" s="917"/>
      <c r="F1597" s="904"/>
      <c r="G1597" s="905" t="s">
        <v>381</v>
      </c>
      <c r="H1597" s="546" t="s">
        <v>382</v>
      </c>
      <c r="I1597" s="910"/>
      <c r="J1597" s="609">
        <f>J1596</f>
        <v>0</v>
      </c>
    </row>
    <row r="1598" spans="1:15" ht="15" customHeight="1">
      <c r="A1598" s="918" t="s">
        <v>383</v>
      </c>
      <c r="B1598" s="919" t="s">
        <v>384</v>
      </c>
      <c r="C1598" s="920"/>
      <c r="D1598" s="921" t="e">
        <f>SUM(D1589:D1594)-D1597</f>
        <v>#N/A</v>
      </c>
      <c r="E1598" s="922"/>
      <c r="F1598" s="923"/>
      <c r="G1598" s="918" t="s">
        <v>383</v>
      </c>
      <c r="H1598" s="919" t="s">
        <v>384</v>
      </c>
      <c r="I1598" s="920"/>
      <c r="J1598" s="921" t="e">
        <f>SUM(J1589:J1594)-J1597</f>
        <v>#N/A</v>
      </c>
    </row>
    <row r="1599" spans="1:15" ht="18.75" customHeight="1">
      <c r="A1599" s="924"/>
      <c r="B1599" s="925"/>
      <c r="C1599" s="926"/>
      <c r="D1599" s="927"/>
      <c r="E1599" s="927"/>
      <c r="F1599" s="928"/>
      <c r="G1599" s="924"/>
      <c r="H1599" s="925"/>
      <c r="I1599" s="926"/>
      <c r="J1599" s="927"/>
    </row>
    <row r="1600" spans="1:15" ht="18.75" customHeight="1">
      <c r="A1600" s="925"/>
      <c r="B1600" s="925"/>
      <c r="C1600" s="929"/>
      <c r="D1600" s="930"/>
      <c r="E1600" s="925"/>
      <c r="F1600" s="931"/>
      <c r="G1600" s="925"/>
      <c r="H1600" s="925"/>
      <c r="I1600" s="929"/>
      <c r="J1600" s="930"/>
    </row>
    <row r="1601" spans="1:15" ht="15" customHeight="1">
      <c r="A1601" s="2360" t="str">
        <f>$K$2</f>
        <v>THÁNG 09/2024</v>
      </c>
      <c r="B1601" s="2360"/>
      <c r="C1601" s="2360"/>
      <c r="D1601" s="2360"/>
      <c r="E1601" s="903"/>
      <c r="F1601" s="904"/>
      <c r="G1601" s="2360" t="str">
        <f>$K$2</f>
        <v>THÁNG 09/2024</v>
      </c>
      <c r="H1601" s="2360"/>
      <c r="I1601" s="2360"/>
      <c r="J1601" s="2360"/>
      <c r="K1601" s="276"/>
    </row>
    <row r="1602" spans="1:15" ht="15" customHeight="1">
      <c r="A1602" s="905" t="s">
        <v>356</v>
      </c>
      <c r="B1602" s="642" t="s">
        <v>119</v>
      </c>
      <c r="C1602" s="546"/>
      <c r="D1602" s="902"/>
      <c r="E1602" s="906"/>
      <c r="F1602" s="907"/>
      <c r="G1602" s="905" t="s">
        <v>356</v>
      </c>
      <c r="H1602" s="642" t="s">
        <v>120</v>
      </c>
      <c r="I1602" s="546"/>
      <c r="J1602" s="902"/>
      <c r="L1602" s="938"/>
      <c r="M1602" s="938"/>
      <c r="N1602" s="938"/>
      <c r="O1602" s="938"/>
    </row>
    <row r="1603" spans="1:15" ht="15" customHeight="1">
      <c r="A1603" s="905" t="s">
        <v>359</v>
      </c>
      <c r="B1603" s="939" t="s">
        <v>360</v>
      </c>
      <c r="C1603" s="910" t="e">
        <f>VLOOKUP(B1602,'LƯƠNG KT'!$D$16:$AC$184,3,0)</f>
        <v>#N/A</v>
      </c>
      <c r="D1603" s="609" t="e">
        <f>+C1603*25000</f>
        <v>#N/A</v>
      </c>
      <c r="E1603" s="911"/>
      <c r="F1603" s="911"/>
      <c r="G1603" s="905" t="s">
        <v>359</v>
      </c>
      <c r="H1603" s="939" t="s">
        <v>360</v>
      </c>
      <c r="I1603" s="910" t="e">
        <f>VLOOKUP(H1602,'LƯƠNG KT'!$D$16:$AC$184,3,0)</f>
        <v>#N/A</v>
      </c>
      <c r="J1603" s="609" t="e">
        <f>+I1603*25000</f>
        <v>#N/A</v>
      </c>
      <c r="K1603" s="935"/>
      <c r="L1603" s="935"/>
      <c r="M1603" s="935"/>
      <c r="N1603" s="935"/>
      <c r="O1603" s="935"/>
    </row>
    <row r="1604" spans="1:15" ht="15" customHeight="1">
      <c r="A1604" s="905" t="s">
        <v>361</v>
      </c>
      <c r="B1604" s="546" t="s">
        <v>362</v>
      </c>
      <c r="C1604" s="910" t="e">
        <f>VLOOKUP(B1602,'LƯƠNG KT'!$D$16:$AC$184,14,0)</f>
        <v>#N/A</v>
      </c>
      <c r="D1604" s="609" t="e">
        <f>C1604*$L$4</f>
        <v>#N/A</v>
      </c>
      <c r="E1604" s="912"/>
      <c r="F1604" s="912"/>
      <c r="G1604" s="905" t="s">
        <v>361</v>
      </c>
      <c r="H1604" s="546" t="s">
        <v>362</v>
      </c>
      <c r="I1604" s="910" t="e">
        <f>VLOOKUP(H1602,'LƯƠNG KT'!$D$16:$AC$184,14,0)</f>
        <v>#N/A</v>
      </c>
      <c r="J1604" s="609" t="e">
        <f>I1604*$L$4</f>
        <v>#N/A</v>
      </c>
      <c r="K1604" s="935"/>
      <c r="L1604" s="935"/>
      <c r="M1604" s="935"/>
      <c r="N1604" s="935"/>
      <c r="O1604" s="935"/>
    </row>
    <row r="1605" spans="1:15" ht="15" customHeight="1">
      <c r="A1605" s="905" t="s">
        <v>364</v>
      </c>
      <c r="B1605" s="546" t="s">
        <v>365</v>
      </c>
      <c r="C1605" s="910" t="e">
        <f>VLOOKUP(B1602,'LƯƠNG KT'!$D$16:$AC$184,15,0)</f>
        <v>#N/A</v>
      </c>
      <c r="D1605" s="609" t="e">
        <f>C1605*$L$5</f>
        <v>#N/A</v>
      </c>
      <c r="E1605" s="912"/>
      <c r="F1605" s="912"/>
      <c r="G1605" s="905" t="s">
        <v>364</v>
      </c>
      <c r="H1605" s="546" t="s">
        <v>365</v>
      </c>
      <c r="I1605" s="910" t="e">
        <f>VLOOKUP(H1602,'LƯƠNG KT'!$D$16:$AC$184,15,0)</f>
        <v>#N/A</v>
      </c>
      <c r="J1605" s="609" t="e">
        <f>I1605*$L$5</f>
        <v>#N/A</v>
      </c>
      <c r="K1605" s="935"/>
      <c r="L1605" s="935"/>
      <c r="M1605" s="935"/>
      <c r="N1605" s="935"/>
      <c r="O1605" s="935"/>
    </row>
    <row r="1606" spans="1:15" ht="15" customHeight="1">
      <c r="A1606" s="905" t="s">
        <v>367</v>
      </c>
      <c r="B1606" s="546"/>
      <c r="C1606" s="910" t="e">
        <f>VLOOKUP(B1602,'LƯƠNG KT'!$D$16:$AC$184,16,0)</f>
        <v>#N/A</v>
      </c>
      <c r="D1606" s="609" t="e">
        <f>+C1606*$L$6</f>
        <v>#N/A</v>
      </c>
      <c r="E1606" s="912"/>
      <c r="F1606" s="912"/>
      <c r="G1606" s="905" t="s">
        <v>367</v>
      </c>
      <c r="H1606" s="546"/>
      <c r="I1606" s="910" t="e">
        <f>VLOOKUP(H1602,'LƯƠNG KT'!$D$16:$AC$184,16,0)</f>
        <v>#N/A</v>
      </c>
      <c r="J1606" s="609" t="e">
        <f>+I1606*$L$6</f>
        <v>#N/A</v>
      </c>
      <c r="K1606" s="935"/>
      <c r="L1606" s="935"/>
      <c r="M1606" s="935"/>
      <c r="N1606" s="935"/>
      <c r="O1606" s="935"/>
    </row>
    <row r="1607" spans="1:15" ht="15" customHeight="1">
      <c r="A1607" s="905" t="s">
        <v>371</v>
      </c>
      <c r="B1607" s="546" t="s">
        <v>372</v>
      </c>
      <c r="C1607" s="910" t="e">
        <f>VLOOKUP(B1602,'LƯƠNG KT'!$D$16:$AC$184,9,0)*$L$10</f>
        <v>#N/A</v>
      </c>
      <c r="D1607" s="609" t="e">
        <f>+C1607*0.5*3000</f>
        <v>#N/A</v>
      </c>
      <c r="E1607" s="912"/>
      <c r="F1607" s="912"/>
      <c r="G1607" s="905" t="s">
        <v>371</v>
      </c>
      <c r="H1607" s="546" t="s">
        <v>372</v>
      </c>
      <c r="I1607" s="910" t="e">
        <f>VLOOKUP(H1602,'LƯƠNG KT'!$D$16:$AC$184,9,0)*$L$10</f>
        <v>#N/A</v>
      </c>
      <c r="J1607" s="609" t="e">
        <f>+I1607*0.5*3000</f>
        <v>#N/A</v>
      </c>
      <c r="K1607" s="935"/>
      <c r="L1607" s="935"/>
      <c r="M1607" s="935"/>
      <c r="N1607" s="935"/>
      <c r="O1607" s="935"/>
    </row>
    <row r="1608" spans="1:15" ht="15" customHeight="1">
      <c r="A1608" s="905" t="s">
        <v>374</v>
      </c>
      <c r="B1608" s="546" t="s">
        <v>375</v>
      </c>
      <c r="C1608" s="910" t="e">
        <f>VLOOKUP(B1602,'LƯƠNG KT'!$D$16:$AC$184,8,0)*$L$11</f>
        <v>#N/A</v>
      </c>
      <c r="D1608" s="609" t="e">
        <f>VLOOKUP(B1602,'LƯƠNG KT'!$D$16:$AC$184,13,0)-D1607</f>
        <v>#N/A</v>
      </c>
      <c r="E1608" s="914"/>
      <c r="F1608" s="912"/>
      <c r="G1608" s="905" t="s">
        <v>374</v>
      </c>
      <c r="H1608" s="546" t="s">
        <v>375</v>
      </c>
      <c r="I1608" s="910" t="e">
        <f>VLOOKUP(H1602,'LƯƠNG KT'!$D$16:$AC$184,8,0)*$L$11</f>
        <v>#N/A</v>
      </c>
      <c r="J1608" s="609" t="e">
        <f>VLOOKUP(H1602,'LƯƠNG KT'!$D$16:$AC$184,13,0)-J1607</f>
        <v>#N/A</v>
      </c>
      <c r="K1608" s="935"/>
      <c r="L1608" s="935"/>
      <c r="M1608" s="935"/>
      <c r="N1608" s="935"/>
      <c r="O1608" s="935"/>
    </row>
    <row r="1609" spans="1:15" ht="15" customHeight="1">
      <c r="A1609" s="609" t="s">
        <v>377</v>
      </c>
      <c r="B1609" s="546" t="s">
        <v>378</v>
      </c>
      <c r="C1609" s="910"/>
      <c r="D1609" s="609"/>
      <c r="E1609" s="916"/>
      <c r="F1609" s="916"/>
      <c r="G1609" s="609" t="s">
        <v>377</v>
      </c>
      <c r="H1609" s="546" t="s">
        <v>378</v>
      </c>
      <c r="I1609" s="910"/>
      <c r="J1609" s="609"/>
    </row>
    <row r="1610" spans="1:15" ht="15" customHeight="1">
      <c r="A1610" s="547" t="s">
        <v>379</v>
      </c>
      <c r="B1610" s="546" t="s">
        <v>380</v>
      </c>
      <c r="C1610" s="910"/>
      <c r="D1610" s="609"/>
      <c r="E1610" s="914"/>
      <c r="F1610" s="916"/>
      <c r="G1610" s="547" t="s">
        <v>379</v>
      </c>
      <c r="H1610" s="546" t="s">
        <v>380</v>
      </c>
      <c r="I1610" s="910"/>
      <c r="J1610" s="609"/>
    </row>
    <row r="1611" spans="1:15" ht="15" customHeight="1">
      <c r="A1611" s="905" t="s">
        <v>381</v>
      </c>
      <c r="B1611" s="546" t="s">
        <v>382</v>
      </c>
      <c r="C1611" s="910"/>
      <c r="D1611" s="609">
        <f>D1610</f>
        <v>0</v>
      </c>
      <c r="E1611" s="917"/>
      <c r="F1611" s="904"/>
      <c r="G1611" s="905" t="s">
        <v>381</v>
      </c>
      <c r="H1611" s="546" t="s">
        <v>382</v>
      </c>
      <c r="I1611" s="910"/>
      <c r="J1611" s="609">
        <f>J1610</f>
        <v>0</v>
      </c>
    </row>
    <row r="1612" spans="1:15" ht="15" customHeight="1">
      <c r="A1612" s="918" t="s">
        <v>383</v>
      </c>
      <c r="B1612" s="919" t="s">
        <v>384</v>
      </c>
      <c r="C1612" s="920"/>
      <c r="D1612" s="921" t="e">
        <f>SUM(D1603:D1608)-D1611</f>
        <v>#N/A</v>
      </c>
      <c r="E1612" s="922"/>
      <c r="F1612" s="923"/>
      <c r="G1612" s="918" t="s">
        <v>383</v>
      </c>
      <c r="H1612" s="919" t="s">
        <v>384</v>
      </c>
      <c r="I1612" s="920"/>
      <c r="J1612" s="921" t="e">
        <f>SUM(J1603:J1608)-J1611</f>
        <v>#N/A</v>
      </c>
    </row>
    <row r="1613" spans="1:15" ht="15.75" customHeight="1">
      <c r="A1613" s="924"/>
      <c r="B1613" s="925"/>
      <c r="C1613" s="926"/>
      <c r="D1613" s="927"/>
      <c r="E1613" s="927"/>
      <c r="F1613" s="928"/>
      <c r="G1613" s="924"/>
      <c r="H1613" s="925"/>
      <c r="I1613" s="926"/>
      <c r="J1613" s="927"/>
    </row>
    <row r="1615" spans="1:15" ht="12" customHeight="1">
      <c r="A1615" s="2361"/>
      <c r="B1615" s="2361"/>
      <c r="C1615" s="2361"/>
      <c r="D1615" s="2361"/>
      <c r="E1615" s="2361"/>
      <c r="F1615" s="2361"/>
      <c r="G1615" s="2361"/>
      <c r="H1615" s="2361"/>
      <c r="I1615" s="2361"/>
      <c r="J1615" s="2361"/>
    </row>
    <row r="1616" spans="1:15" ht="15" customHeight="1">
      <c r="A1616" s="2360" t="str">
        <f>$K$2</f>
        <v>THÁNG 09/2024</v>
      </c>
      <c r="B1616" s="2360"/>
      <c r="C1616" s="2360"/>
      <c r="D1616" s="2360"/>
      <c r="E1616" s="903"/>
      <c r="F1616" s="904"/>
      <c r="G1616" s="2360" t="str">
        <f>$K$2</f>
        <v>THÁNG 09/2024</v>
      </c>
      <c r="H1616" s="2360"/>
      <c r="I1616" s="2360"/>
      <c r="J1616" s="2360"/>
      <c r="K1616" s="276"/>
    </row>
    <row r="1617" spans="1:15" ht="15" customHeight="1">
      <c r="A1617" s="905" t="s">
        <v>356</v>
      </c>
      <c r="B1617" s="642" t="s">
        <v>117</v>
      </c>
      <c r="C1617" s="546"/>
      <c r="D1617" s="902"/>
      <c r="E1617" s="906"/>
      <c r="F1617" s="907"/>
      <c r="G1617" s="905" t="s">
        <v>356</v>
      </c>
      <c r="H1617" s="642" t="s">
        <v>122</v>
      </c>
      <c r="I1617" s="546"/>
      <c r="J1617" s="902"/>
      <c r="L1617" s="938"/>
      <c r="M1617" s="938"/>
      <c r="N1617" s="938"/>
      <c r="O1617" s="938"/>
    </row>
    <row r="1618" spans="1:15" ht="15" customHeight="1">
      <c r="A1618" s="905" t="s">
        <v>359</v>
      </c>
      <c r="B1618" s="939" t="s">
        <v>360</v>
      </c>
      <c r="C1618" s="910" t="e">
        <f>VLOOKUP(B1617,'LƯƠNG KT'!$D$16:$AC$184,3,0)</f>
        <v>#N/A</v>
      </c>
      <c r="D1618" s="609" t="e">
        <f>+C1618*25000</f>
        <v>#N/A</v>
      </c>
      <c r="E1618" s="911"/>
      <c r="F1618" s="911"/>
      <c r="G1618" s="905" t="s">
        <v>359</v>
      </c>
      <c r="H1618" s="939" t="s">
        <v>360</v>
      </c>
      <c r="I1618" s="910" t="e">
        <f>VLOOKUP(H1617,'LƯƠNG KT'!$D$16:$AC$184,3,0)</f>
        <v>#N/A</v>
      </c>
      <c r="J1618" s="609" t="e">
        <f>+I1618*25000</f>
        <v>#N/A</v>
      </c>
      <c r="K1618" s="934"/>
      <c r="L1618" s="935"/>
      <c r="M1618" s="935"/>
      <c r="N1618" s="935"/>
      <c r="O1618" s="935"/>
    </row>
    <row r="1619" spans="1:15" ht="15" customHeight="1">
      <c r="A1619" s="905" t="s">
        <v>361</v>
      </c>
      <c r="B1619" s="546" t="s">
        <v>362</v>
      </c>
      <c r="C1619" s="910" t="e">
        <f>VLOOKUP(B1617,'LƯƠNG KT'!$D$16:$AC$184,14,0)</f>
        <v>#N/A</v>
      </c>
      <c r="D1619" s="609" t="e">
        <f>C1619*$L$4</f>
        <v>#N/A</v>
      </c>
      <c r="E1619" s="912"/>
      <c r="F1619" s="912"/>
      <c r="G1619" s="905" t="s">
        <v>361</v>
      </c>
      <c r="H1619" s="546" t="s">
        <v>362</v>
      </c>
      <c r="I1619" s="910" t="e">
        <f>VLOOKUP(H1617,'LƯƠNG KT'!$D$16:$AC$184,14,0)</f>
        <v>#N/A</v>
      </c>
      <c r="J1619" s="609" t="e">
        <f>I1619*$L$4</f>
        <v>#N/A</v>
      </c>
      <c r="K1619" s="934"/>
      <c r="L1619" s="935"/>
      <c r="M1619" s="935"/>
      <c r="N1619" s="935"/>
      <c r="O1619" s="935"/>
    </row>
    <row r="1620" spans="1:15" ht="15" customHeight="1">
      <c r="A1620" s="905" t="s">
        <v>364</v>
      </c>
      <c r="B1620" s="546" t="s">
        <v>365</v>
      </c>
      <c r="C1620" s="910" t="e">
        <f>VLOOKUP(B1617,'LƯƠNG KT'!$D$16:$AC$184,15,0)</f>
        <v>#N/A</v>
      </c>
      <c r="D1620" s="609" t="e">
        <f>C1620*$L$5</f>
        <v>#N/A</v>
      </c>
      <c r="E1620" s="912"/>
      <c r="F1620" s="912"/>
      <c r="G1620" s="905" t="s">
        <v>364</v>
      </c>
      <c r="H1620" s="546" t="s">
        <v>365</v>
      </c>
      <c r="I1620" s="910" t="e">
        <f>VLOOKUP(H1617,'LƯƠNG KT'!$D$16:$AC$184,15,0)</f>
        <v>#N/A</v>
      </c>
      <c r="J1620" s="609" t="e">
        <f>I1620*$L$5</f>
        <v>#N/A</v>
      </c>
      <c r="K1620" s="934"/>
      <c r="L1620" s="935"/>
      <c r="M1620" s="935"/>
      <c r="N1620" s="935"/>
      <c r="O1620" s="935"/>
    </row>
    <row r="1621" spans="1:15" ht="15" customHeight="1">
      <c r="A1621" s="905" t="s">
        <v>367</v>
      </c>
      <c r="B1621" s="546"/>
      <c r="C1621" s="910" t="e">
        <f>VLOOKUP(B1617,'LƯƠNG KT'!$D$16:$AC$184,16,0)</f>
        <v>#N/A</v>
      </c>
      <c r="D1621" s="609" t="e">
        <f>+C1621*$L$6</f>
        <v>#N/A</v>
      </c>
      <c r="E1621" s="912"/>
      <c r="F1621" s="912"/>
      <c r="G1621" s="905" t="s">
        <v>367</v>
      </c>
      <c r="H1621" s="546"/>
      <c r="I1621" s="910" t="e">
        <f>VLOOKUP(H1617,'LƯƠNG KT'!$D$16:$AC$184,16,0)</f>
        <v>#N/A</v>
      </c>
      <c r="J1621" s="609" t="e">
        <f>+I1621*$L$6</f>
        <v>#N/A</v>
      </c>
      <c r="K1621" s="935"/>
      <c r="L1621" s="935"/>
      <c r="M1621" s="935"/>
      <c r="N1621" s="935"/>
      <c r="O1621" s="935"/>
    </row>
    <row r="1622" spans="1:15" ht="15" customHeight="1">
      <c r="A1622" s="905" t="s">
        <v>371</v>
      </c>
      <c r="B1622" s="546" t="s">
        <v>372</v>
      </c>
      <c r="C1622" s="910" t="e">
        <f>VLOOKUP(B1617,'LƯƠNG KT'!$D$16:$AC$184,9,0)*$L$10</f>
        <v>#N/A</v>
      </c>
      <c r="D1622" s="609" t="e">
        <f>+C1622*0.5*3000</f>
        <v>#N/A</v>
      </c>
      <c r="E1622" s="912"/>
      <c r="F1622" s="912"/>
      <c r="G1622" s="905" t="s">
        <v>371</v>
      </c>
      <c r="H1622" s="546" t="s">
        <v>372</v>
      </c>
      <c r="I1622" s="910" t="e">
        <f>VLOOKUP(H1617,'LƯƠNG KT'!$D$16:$AC$184,9,0)*$L$10</f>
        <v>#N/A</v>
      </c>
      <c r="J1622" s="609" t="e">
        <f>+I1622*0.5*3000</f>
        <v>#N/A</v>
      </c>
      <c r="K1622" s="935"/>
      <c r="L1622" s="935"/>
      <c r="M1622" s="935"/>
      <c r="N1622" s="935"/>
      <c r="O1622" s="935"/>
    </row>
    <row r="1623" spans="1:15" ht="15" customHeight="1">
      <c r="A1623" s="905" t="s">
        <v>374</v>
      </c>
      <c r="B1623" s="546" t="s">
        <v>375</v>
      </c>
      <c r="C1623" s="910" t="e">
        <f>VLOOKUP(B1617,'LƯƠNG KT'!$D$16:$AC$184,8,0)*$L$11</f>
        <v>#N/A</v>
      </c>
      <c r="D1623" s="609" t="e">
        <f>VLOOKUP(B1617,'LƯƠNG KT'!$D$16:$AC$184,13,0)-D1622</f>
        <v>#N/A</v>
      </c>
      <c r="E1623" s="914"/>
      <c r="F1623" s="912"/>
      <c r="G1623" s="905" t="s">
        <v>374</v>
      </c>
      <c r="H1623" s="546" t="s">
        <v>375</v>
      </c>
      <c r="I1623" s="910" t="e">
        <f>VLOOKUP(H1617,'LƯƠNG KT'!$D$16:$AC$184,8,0)*$L$11</f>
        <v>#N/A</v>
      </c>
      <c r="J1623" s="609" t="e">
        <f>VLOOKUP(H1617,'LƯƠNG KT'!$D$16:$AC$184,13,0)-J1622</f>
        <v>#N/A</v>
      </c>
      <c r="K1623" s="935"/>
      <c r="L1623" s="935"/>
      <c r="M1623" s="935"/>
      <c r="N1623" s="935"/>
      <c r="O1623" s="935"/>
    </row>
    <row r="1624" spans="1:15" ht="15" customHeight="1">
      <c r="A1624" s="609" t="s">
        <v>377</v>
      </c>
      <c r="B1624" s="546" t="s">
        <v>378</v>
      </c>
      <c r="C1624" s="910"/>
      <c r="D1624" s="609"/>
      <c r="E1624" s="916"/>
      <c r="F1624" s="916"/>
      <c r="G1624" s="609" t="s">
        <v>377</v>
      </c>
      <c r="H1624" s="546" t="s">
        <v>378</v>
      </c>
      <c r="I1624" s="910"/>
      <c r="J1624" s="609"/>
    </row>
    <row r="1625" spans="1:15" ht="15" customHeight="1">
      <c r="A1625" s="547" t="s">
        <v>379</v>
      </c>
      <c r="B1625" s="546" t="s">
        <v>380</v>
      </c>
      <c r="C1625" s="910"/>
      <c r="D1625" s="609"/>
      <c r="E1625" s="914"/>
      <c r="F1625" s="916"/>
      <c r="G1625" s="547" t="s">
        <v>379</v>
      </c>
      <c r="H1625" s="546" t="s">
        <v>380</v>
      </c>
      <c r="I1625" s="910"/>
      <c r="J1625" s="609"/>
    </row>
    <row r="1626" spans="1:15" ht="15" customHeight="1">
      <c r="A1626" s="905" t="s">
        <v>381</v>
      </c>
      <c r="B1626" s="546" t="s">
        <v>382</v>
      </c>
      <c r="C1626" s="910"/>
      <c r="D1626" s="609">
        <f>D1625</f>
        <v>0</v>
      </c>
      <c r="E1626" s="917"/>
      <c r="F1626" s="904"/>
      <c r="G1626" s="905" t="s">
        <v>381</v>
      </c>
      <c r="H1626" s="546" t="s">
        <v>382</v>
      </c>
      <c r="I1626" s="910"/>
      <c r="J1626" s="609">
        <f>J1625</f>
        <v>0</v>
      </c>
    </row>
    <row r="1627" spans="1:15" ht="15" customHeight="1">
      <c r="A1627" s="918" t="s">
        <v>383</v>
      </c>
      <c r="B1627" s="919" t="s">
        <v>384</v>
      </c>
      <c r="C1627" s="920"/>
      <c r="D1627" s="921" t="e">
        <f>SUM(D1618:D1623)-D1626</f>
        <v>#N/A</v>
      </c>
      <c r="E1627" s="922"/>
      <c r="F1627" s="923"/>
      <c r="G1627" s="918" t="s">
        <v>383</v>
      </c>
      <c r="H1627" s="919" t="s">
        <v>384</v>
      </c>
      <c r="I1627" s="920"/>
      <c r="J1627" s="921" t="e">
        <f>SUM(J1618:J1623)-J1626</f>
        <v>#N/A</v>
      </c>
    </row>
    <row r="1628" spans="1:15" ht="12.6" customHeight="1">
      <c r="A1628" s="924"/>
      <c r="B1628" s="925"/>
      <c r="C1628" s="926"/>
      <c r="D1628" s="927"/>
      <c r="E1628" s="927"/>
      <c r="F1628" s="928"/>
      <c r="G1628" s="924"/>
      <c r="H1628" s="925"/>
      <c r="I1628" s="926"/>
      <c r="J1628" s="927"/>
    </row>
    <row r="1629" spans="1:15" ht="12.6" customHeight="1">
      <c r="A1629" s="925"/>
      <c r="B1629" s="925"/>
      <c r="C1629" s="929"/>
      <c r="D1629" s="930"/>
      <c r="E1629" s="925"/>
      <c r="F1629" s="931"/>
      <c r="G1629" s="925"/>
      <c r="H1629" s="925"/>
      <c r="I1629" s="929"/>
      <c r="J1629" s="930"/>
    </row>
    <row r="1630" spans="1:15" ht="15" customHeight="1">
      <c r="A1630" s="2360" t="str">
        <f>$K$2</f>
        <v>THÁNG 09/2024</v>
      </c>
      <c r="B1630" s="2360"/>
      <c r="C1630" s="2360"/>
      <c r="D1630" s="2360"/>
      <c r="E1630" s="903"/>
      <c r="F1630" s="904"/>
      <c r="G1630" s="2360" t="str">
        <f>$K$2</f>
        <v>THÁNG 09/2024</v>
      </c>
      <c r="H1630" s="2360"/>
      <c r="I1630" s="2360"/>
      <c r="J1630" s="2360"/>
      <c r="K1630" s="276"/>
    </row>
    <row r="1631" spans="1:15" ht="15" customHeight="1">
      <c r="A1631" s="905" t="s">
        <v>356</v>
      </c>
      <c r="B1631" s="642" t="s">
        <v>121</v>
      </c>
      <c r="C1631" s="546"/>
      <c r="D1631" s="902"/>
      <c r="E1631" s="906"/>
      <c r="F1631" s="907"/>
      <c r="G1631" s="905" t="s">
        <v>356</v>
      </c>
      <c r="H1631" s="642"/>
      <c r="I1631" s="546"/>
      <c r="J1631" s="902"/>
      <c r="K1631" s="940" t="s">
        <v>502</v>
      </c>
      <c r="L1631" s="940" t="e">
        <f>D1641+D1627+J1627+J1612+D1612+D1598+J1598</f>
        <v>#N/A</v>
      </c>
      <c r="M1631" s="940"/>
      <c r="N1631" s="940"/>
      <c r="O1631" s="940"/>
    </row>
    <row r="1632" spans="1:15" ht="15" customHeight="1">
      <c r="A1632" s="905" t="s">
        <v>359</v>
      </c>
      <c r="B1632" s="939" t="s">
        <v>360</v>
      </c>
      <c r="C1632" s="910" t="e">
        <f>VLOOKUP(B1631,'LƯƠNG KT'!$D$16:$AC$184,3,0)</f>
        <v>#N/A</v>
      </c>
      <c r="D1632" s="609" t="e">
        <f>+C1632*25000</f>
        <v>#N/A</v>
      </c>
      <c r="E1632" s="911"/>
      <c r="F1632" s="911"/>
      <c r="G1632" s="905" t="s">
        <v>359</v>
      </c>
      <c r="H1632" s="939" t="s">
        <v>360</v>
      </c>
      <c r="I1632" s="910" t="e">
        <f>VLOOKUP(H1631,'LƯƠNG KT'!$D$16:$AC$184,3,0)</f>
        <v>#N/A</v>
      </c>
      <c r="J1632" s="609" t="e">
        <f>+I1632*25000</f>
        <v>#N/A</v>
      </c>
      <c r="K1632" s="935"/>
      <c r="L1632" s="935"/>
      <c r="M1632" s="935"/>
      <c r="N1632" s="935"/>
      <c r="O1632" s="935"/>
    </row>
    <row r="1633" spans="1:15" ht="15" customHeight="1">
      <c r="A1633" s="905" t="s">
        <v>361</v>
      </c>
      <c r="B1633" s="546" t="s">
        <v>362</v>
      </c>
      <c r="C1633" s="910" t="e">
        <f>VLOOKUP(B1631,'LƯƠNG KT'!$D$16:$AC$184,14,0)</f>
        <v>#N/A</v>
      </c>
      <c r="D1633" s="609" t="e">
        <f>C1633*$L$4</f>
        <v>#N/A</v>
      </c>
      <c r="E1633" s="912"/>
      <c r="F1633" s="912"/>
      <c r="G1633" s="905" t="s">
        <v>361</v>
      </c>
      <c r="H1633" s="546" t="s">
        <v>362</v>
      </c>
      <c r="I1633" s="910" t="e">
        <f>VLOOKUP(H1631,'LƯƠNG KT'!$D$16:$AC$184,14,0)</f>
        <v>#N/A</v>
      </c>
      <c r="J1633" s="609" t="e">
        <f>I1633*$L$4</f>
        <v>#N/A</v>
      </c>
      <c r="K1633" s="935"/>
      <c r="L1633" s="935"/>
      <c r="M1633" s="935"/>
      <c r="N1633" s="935"/>
      <c r="O1633" s="935"/>
    </row>
    <row r="1634" spans="1:15" ht="15" customHeight="1">
      <c r="A1634" s="905" t="s">
        <v>364</v>
      </c>
      <c r="B1634" s="546" t="s">
        <v>365</v>
      </c>
      <c r="C1634" s="910" t="e">
        <f>VLOOKUP(B1631,'LƯƠNG KT'!$D$16:$AC$184,15,0)</f>
        <v>#N/A</v>
      </c>
      <c r="D1634" s="609" t="e">
        <f>C1634*$L$5</f>
        <v>#N/A</v>
      </c>
      <c r="E1634" s="912"/>
      <c r="F1634" s="912"/>
      <c r="G1634" s="905" t="s">
        <v>364</v>
      </c>
      <c r="H1634" s="546" t="s">
        <v>365</v>
      </c>
      <c r="I1634" s="910" t="e">
        <f>VLOOKUP(H1631,'LƯƠNG KT'!$D$16:$AC$184,15,0)</f>
        <v>#N/A</v>
      </c>
      <c r="J1634" s="609" t="e">
        <f>I1634*$L$5</f>
        <v>#N/A</v>
      </c>
      <c r="K1634" s="935"/>
      <c r="L1634" s="935"/>
      <c r="M1634" s="935"/>
      <c r="N1634" s="935"/>
      <c r="O1634" s="935"/>
    </row>
    <row r="1635" spans="1:15" ht="15" customHeight="1">
      <c r="A1635" s="905" t="s">
        <v>367</v>
      </c>
      <c r="B1635" s="546"/>
      <c r="C1635" s="910" t="e">
        <f>VLOOKUP(B1631,'LƯƠNG KT'!$D$16:$AC$184,16,0)</f>
        <v>#N/A</v>
      </c>
      <c r="D1635" s="609" t="e">
        <f>+C1635*$L$6</f>
        <v>#N/A</v>
      </c>
      <c r="E1635" s="912"/>
      <c r="F1635" s="912"/>
      <c r="G1635" s="905" t="s">
        <v>367</v>
      </c>
      <c r="H1635" s="546"/>
      <c r="I1635" s="910" t="e">
        <f>VLOOKUP(H1631,'LƯƠNG KT'!$D$16:$AC$184,16,0)</f>
        <v>#N/A</v>
      </c>
      <c r="J1635" s="609" t="e">
        <f>+I1635*$L$6</f>
        <v>#N/A</v>
      </c>
      <c r="K1635" s="935"/>
      <c r="L1635" s="935"/>
      <c r="M1635" s="935"/>
      <c r="N1635" s="935"/>
      <c r="O1635" s="935"/>
    </row>
    <row r="1636" spans="1:15" ht="15" customHeight="1">
      <c r="A1636" s="905" t="s">
        <v>371</v>
      </c>
      <c r="B1636" s="546" t="s">
        <v>372</v>
      </c>
      <c r="C1636" s="910" t="e">
        <f>VLOOKUP(B1631,'LƯƠNG KT'!$D$16:$AC$184,9,0)*$L$10</f>
        <v>#N/A</v>
      </c>
      <c r="D1636" s="609" t="e">
        <f>+C1636*0.5*3000</f>
        <v>#N/A</v>
      </c>
      <c r="E1636" s="912"/>
      <c r="F1636" s="912"/>
      <c r="G1636" s="905" t="s">
        <v>371</v>
      </c>
      <c r="H1636" s="546" t="s">
        <v>372</v>
      </c>
      <c r="I1636" s="910" t="e">
        <f>VLOOKUP(H1631,'LƯƠNG KT'!$D$16:$AC$184,9,0)*$L$10</f>
        <v>#N/A</v>
      </c>
      <c r="J1636" s="609" t="e">
        <f>+I1636*0.5*3000</f>
        <v>#N/A</v>
      </c>
      <c r="K1636" s="935"/>
      <c r="L1636" s="935"/>
      <c r="M1636" s="935"/>
      <c r="N1636" s="935"/>
      <c r="O1636" s="935"/>
    </row>
    <row r="1637" spans="1:15" ht="15" customHeight="1">
      <c r="A1637" s="905" t="s">
        <v>374</v>
      </c>
      <c r="B1637" s="546" t="s">
        <v>375</v>
      </c>
      <c r="C1637" s="910" t="e">
        <f>VLOOKUP(B1631,'LƯƠNG KT'!$D$16:$AC$184,8,0)*$L$11</f>
        <v>#N/A</v>
      </c>
      <c r="D1637" s="609" t="e">
        <f>VLOOKUP(B1631,'LƯƠNG KT'!$D$16:$AC$184,13,0)-D1636</f>
        <v>#N/A</v>
      </c>
      <c r="E1637" s="914"/>
      <c r="F1637" s="912"/>
      <c r="G1637" s="905" t="s">
        <v>374</v>
      </c>
      <c r="H1637" s="546" t="s">
        <v>375</v>
      </c>
      <c r="I1637" s="910" t="e">
        <f>VLOOKUP(H1631,'LƯƠNG KT'!$D$16:$AC$184,8,0)*$L$11</f>
        <v>#N/A</v>
      </c>
      <c r="J1637" s="609" t="e">
        <f>VLOOKUP(H1631,'LƯƠNG KT'!$D$16:$AC$184,13,0)-J1636</f>
        <v>#N/A</v>
      </c>
      <c r="K1637" s="935"/>
      <c r="L1637" s="935"/>
      <c r="M1637" s="935"/>
      <c r="N1637" s="935"/>
      <c r="O1637" s="935"/>
    </row>
    <row r="1638" spans="1:15" ht="15" customHeight="1">
      <c r="A1638" s="609" t="s">
        <v>377</v>
      </c>
      <c r="B1638" s="546" t="s">
        <v>378</v>
      </c>
      <c r="C1638" s="910"/>
      <c r="D1638" s="609"/>
      <c r="E1638" s="916"/>
      <c r="F1638" s="916"/>
      <c r="G1638" s="609" t="s">
        <v>377</v>
      </c>
      <c r="H1638" s="546" t="s">
        <v>378</v>
      </c>
      <c r="I1638" s="910"/>
      <c r="J1638" s="609"/>
    </row>
    <row r="1639" spans="1:15" ht="15" customHeight="1">
      <c r="A1639" s="547" t="s">
        <v>379</v>
      </c>
      <c r="B1639" s="546" t="s">
        <v>380</v>
      </c>
      <c r="C1639" s="910"/>
      <c r="D1639" s="609"/>
      <c r="E1639" s="914"/>
      <c r="F1639" s="916"/>
      <c r="G1639" s="547" t="s">
        <v>379</v>
      </c>
      <c r="H1639" s="546" t="s">
        <v>380</v>
      </c>
      <c r="I1639" s="910"/>
      <c r="J1639" s="609"/>
    </row>
    <row r="1640" spans="1:15" ht="15" customHeight="1">
      <c r="A1640" s="905" t="s">
        <v>381</v>
      </c>
      <c r="B1640" s="546" t="s">
        <v>382</v>
      </c>
      <c r="C1640" s="910"/>
      <c r="D1640" s="609">
        <f>D1639</f>
        <v>0</v>
      </c>
      <c r="E1640" s="917"/>
      <c r="F1640" s="904"/>
      <c r="G1640" s="905" t="s">
        <v>381</v>
      </c>
      <c r="H1640" s="546" t="s">
        <v>382</v>
      </c>
      <c r="I1640" s="910"/>
      <c r="J1640" s="609"/>
    </row>
    <row r="1641" spans="1:15" ht="15" customHeight="1">
      <c r="A1641" s="918" t="s">
        <v>383</v>
      </c>
      <c r="B1641" s="919" t="s">
        <v>384</v>
      </c>
      <c r="C1641" s="920"/>
      <c r="D1641" s="921" t="e">
        <f>SUM(D1632:D1637)-D1640</f>
        <v>#N/A</v>
      </c>
      <c r="E1641" s="922"/>
      <c r="F1641" s="923"/>
      <c r="G1641" s="918" t="s">
        <v>383</v>
      </c>
      <c r="H1641" s="919" t="s">
        <v>384</v>
      </c>
      <c r="I1641" s="920"/>
      <c r="J1641" s="921"/>
    </row>
    <row r="1642" spans="1:15" ht="18.75" customHeight="1">
      <c r="A1642" s="924"/>
      <c r="B1642" s="925"/>
      <c r="C1642" s="926"/>
      <c r="D1642" s="927"/>
      <c r="E1642" s="927"/>
      <c r="F1642" s="928"/>
      <c r="G1642" s="924"/>
      <c r="H1642" s="925"/>
      <c r="I1642" s="926"/>
      <c r="J1642" s="927"/>
    </row>
    <row r="1643" spans="1:15" ht="18.75" customHeight="1">
      <c r="A1643" s="925"/>
      <c r="B1643" s="925"/>
      <c r="C1643" s="929"/>
      <c r="D1643" s="930"/>
      <c r="E1643" s="925"/>
      <c r="F1643" s="931"/>
      <c r="G1643" s="925"/>
      <c r="H1643" s="925"/>
      <c r="I1643" s="929"/>
      <c r="J1643" s="930"/>
    </row>
    <row r="1644" spans="1:15" ht="15" customHeight="1">
      <c r="A1644" s="2360"/>
      <c r="B1644" s="2360"/>
      <c r="C1644" s="2360"/>
      <c r="D1644" s="2360"/>
      <c r="E1644" s="903"/>
      <c r="F1644" s="904"/>
      <c r="G1644" s="2360"/>
      <c r="H1644" s="2360"/>
      <c r="I1644" s="2360"/>
      <c r="J1644" s="2360"/>
      <c r="K1644" s="276"/>
    </row>
    <row r="1645" spans="1:15" ht="15" customHeight="1">
      <c r="A1645" s="905"/>
      <c r="B1645" s="642"/>
      <c r="C1645" s="546"/>
      <c r="D1645" s="902"/>
      <c r="E1645" s="906"/>
      <c r="F1645" s="907"/>
      <c r="G1645" s="905"/>
      <c r="H1645" s="642"/>
      <c r="I1645" s="546"/>
      <c r="J1645" s="902"/>
      <c r="L1645" s="938"/>
      <c r="M1645" s="938"/>
      <c r="N1645" s="938"/>
      <c r="O1645" s="938"/>
    </row>
    <row r="1646" spans="1:15" ht="15" customHeight="1">
      <c r="A1646" s="905"/>
      <c r="B1646" s="939"/>
      <c r="C1646" s="910"/>
      <c r="D1646" s="609"/>
      <c r="E1646" s="911"/>
      <c r="F1646" s="911"/>
      <c r="G1646" s="905"/>
      <c r="H1646" s="939"/>
      <c r="I1646" s="910"/>
      <c r="J1646" s="609"/>
      <c r="K1646" s="935"/>
      <c r="L1646" s="935"/>
      <c r="M1646" s="935"/>
      <c r="N1646" s="935"/>
      <c r="O1646" s="935"/>
    </row>
    <row r="1647" spans="1:15" ht="15" customHeight="1">
      <c r="A1647" s="905"/>
      <c r="B1647" s="546"/>
      <c r="C1647" s="910"/>
      <c r="D1647" s="609"/>
      <c r="E1647" s="912"/>
      <c r="F1647" s="912"/>
      <c r="G1647" s="905"/>
      <c r="H1647" s="546"/>
      <c r="I1647" s="910"/>
      <c r="J1647" s="609"/>
      <c r="K1647" s="935"/>
      <c r="L1647" s="935"/>
      <c r="M1647" s="935"/>
      <c r="N1647" s="935"/>
      <c r="O1647" s="935"/>
    </row>
    <row r="1648" spans="1:15" ht="15" customHeight="1">
      <c r="A1648" s="905"/>
      <c r="B1648" s="546"/>
      <c r="C1648" s="910"/>
      <c r="D1648" s="609"/>
      <c r="E1648" s="912"/>
      <c r="F1648" s="912"/>
      <c r="G1648" s="905"/>
      <c r="H1648" s="546"/>
      <c r="I1648" s="910"/>
      <c r="J1648" s="609"/>
      <c r="K1648" s="935"/>
      <c r="L1648" s="935"/>
      <c r="M1648" s="935"/>
      <c r="N1648" s="935"/>
      <c r="O1648" s="935"/>
    </row>
    <row r="1649" spans="1:15" ht="15" customHeight="1">
      <c r="A1649" s="905"/>
      <c r="B1649" s="546"/>
      <c r="C1649" s="910"/>
      <c r="D1649" s="609"/>
      <c r="E1649" s="912"/>
      <c r="F1649" s="912"/>
      <c r="G1649" s="905"/>
      <c r="H1649" s="546"/>
      <c r="I1649" s="910"/>
      <c r="J1649" s="609"/>
      <c r="K1649" s="935"/>
      <c r="L1649" s="935"/>
      <c r="M1649" s="935"/>
      <c r="N1649" s="935"/>
      <c r="O1649" s="935"/>
    </row>
    <row r="1650" spans="1:15" ht="15" customHeight="1">
      <c r="A1650" s="905"/>
      <c r="B1650" s="546"/>
      <c r="C1650" s="910"/>
      <c r="D1650" s="609"/>
      <c r="E1650" s="912"/>
      <c r="F1650" s="912"/>
      <c r="G1650" s="905"/>
      <c r="H1650" s="546"/>
      <c r="I1650" s="910"/>
      <c r="J1650" s="609"/>
      <c r="K1650" s="935"/>
      <c r="L1650" s="935"/>
      <c r="M1650" s="935"/>
      <c r="N1650" s="935"/>
      <c r="O1650" s="935"/>
    </row>
    <row r="1651" spans="1:15" ht="15" customHeight="1">
      <c r="A1651" s="905"/>
      <c r="B1651" s="546"/>
      <c r="C1651" s="910"/>
      <c r="D1651" s="609"/>
      <c r="E1651" s="914"/>
      <c r="F1651" s="912"/>
      <c r="G1651" s="905"/>
      <c r="H1651" s="546"/>
      <c r="I1651" s="910"/>
      <c r="J1651" s="609"/>
      <c r="K1651" s="935"/>
      <c r="L1651" s="935"/>
      <c r="M1651" s="935"/>
      <c r="N1651" s="935"/>
      <c r="O1651" s="935"/>
    </row>
    <row r="1652" spans="1:15" ht="15" customHeight="1">
      <c r="A1652" s="609"/>
      <c r="B1652" s="546"/>
      <c r="C1652" s="910"/>
      <c r="D1652" s="609"/>
      <c r="E1652" s="916"/>
      <c r="F1652" s="916"/>
      <c r="G1652" s="609"/>
      <c r="H1652" s="546"/>
      <c r="I1652" s="910"/>
      <c r="J1652" s="609"/>
    </row>
    <row r="1653" spans="1:15" ht="15" customHeight="1">
      <c r="A1653" s="547"/>
      <c r="B1653" s="546"/>
      <c r="C1653" s="910"/>
      <c r="D1653" s="609"/>
      <c r="E1653" s="914"/>
      <c r="F1653" s="916"/>
      <c r="G1653" s="547"/>
      <c r="H1653" s="546"/>
      <c r="I1653" s="910"/>
      <c r="J1653" s="609"/>
    </row>
    <row r="1654" spans="1:15" ht="15" customHeight="1">
      <c r="A1654" s="905"/>
      <c r="B1654" s="546"/>
      <c r="C1654" s="910"/>
      <c r="D1654" s="609"/>
      <c r="E1654" s="917"/>
      <c r="F1654" s="904"/>
      <c r="G1654" s="905"/>
      <c r="H1654" s="546"/>
      <c r="I1654" s="910"/>
      <c r="J1654" s="609"/>
    </row>
    <row r="1655" spans="1:15" ht="15" customHeight="1">
      <c r="A1655" s="918"/>
      <c r="B1655" s="919"/>
      <c r="C1655" s="920"/>
      <c r="D1655" s="921"/>
      <c r="E1655" s="922"/>
      <c r="F1655" s="923"/>
      <c r="G1655" s="918"/>
      <c r="H1655" s="919"/>
      <c r="I1655" s="920"/>
      <c r="J1655" s="921"/>
    </row>
    <row r="1656" spans="1:15" ht="18.75" customHeight="1">
      <c r="A1656" s="924"/>
      <c r="B1656" s="925"/>
      <c r="C1656" s="926"/>
      <c r="D1656" s="927"/>
      <c r="E1656" s="927"/>
      <c r="F1656" s="928"/>
      <c r="G1656" s="924"/>
      <c r="H1656" s="925"/>
      <c r="I1656" s="926"/>
      <c r="J1656" s="927"/>
    </row>
    <row r="1657" spans="1:15" ht="18.75" customHeight="1">
      <c r="A1657" s="925"/>
      <c r="B1657" s="925"/>
      <c r="C1657" s="929"/>
      <c r="D1657" s="930"/>
      <c r="E1657" s="925"/>
      <c r="F1657" s="931"/>
      <c r="G1657" s="925"/>
      <c r="H1657" s="925"/>
      <c r="I1657" s="929"/>
      <c r="J1657" s="930"/>
    </row>
    <row r="1658" spans="1:15" ht="15" customHeight="1">
      <c r="A1658" s="2360"/>
      <c r="B1658" s="2360"/>
      <c r="C1658" s="2360"/>
      <c r="D1658" s="2360"/>
      <c r="E1658" s="903"/>
      <c r="F1658" s="904"/>
      <c r="G1658" s="2360"/>
      <c r="H1658" s="2360"/>
      <c r="I1658" s="2360"/>
      <c r="J1658" s="2360"/>
      <c r="K1658" s="276"/>
    </row>
    <row r="1659" spans="1:15" ht="15" customHeight="1">
      <c r="A1659" s="905"/>
      <c r="B1659" s="642"/>
      <c r="C1659" s="546"/>
      <c r="D1659" s="902"/>
      <c r="E1659" s="906"/>
      <c r="F1659" s="907"/>
      <c r="G1659" s="905"/>
      <c r="H1659" s="642"/>
      <c r="I1659" s="546"/>
      <c r="J1659" s="902"/>
      <c r="L1659" s="938"/>
      <c r="M1659" s="938"/>
      <c r="N1659" s="938"/>
      <c r="O1659" s="938"/>
    </row>
    <row r="1660" spans="1:15" ht="15" customHeight="1">
      <c r="A1660" s="905"/>
      <c r="B1660" s="939"/>
      <c r="C1660" s="910"/>
      <c r="D1660" s="609"/>
      <c r="E1660" s="911"/>
      <c r="F1660" s="911"/>
      <c r="G1660" s="905"/>
      <c r="H1660" s="939"/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5"/>
      <c r="B1661" s="546"/>
      <c r="C1661" s="910"/>
      <c r="D1661" s="609"/>
      <c r="E1661" s="912"/>
      <c r="F1661" s="912"/>
      <c r="G1661" s="905"/>
      <c r="H1661" s="546"/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5"/>
      <c r="B1662" s="546"/>
      <c r="C1662" s="910"/>
      <c r="D1662" s="609"/>
      <c r="E1662" s="912"/>
      <c r="F1662" s="912"/>
      <c r="G1662" s="905"/>
      <c r="H1662" s="546"/>
      <c r="I1662" s="910"/>
      <c r="J1662" s="609"/>
      <c r="K1662" s="935"/>
      <c r="L1662" s="935"/>
      <c r="M1662" s="935"/>
      <c r="N1662" s="935"/>
      <c r="O1662" s="935"/>
    </row>
    <row r="1663" spans="1:15" ht="15" customHeight="1">
      <c r="A1663" s="905"/>
      <c r="B1663" s="546"/>
      <c r="C1663" s="910"/>
      <c r="D1663" s="609"/>
      <c r="E1663" s="912"/>
      <c r="F1663" s="912"/>
      <c r="G1663" s="905"/>
      <c r="H1663" s="546"/>
      <c r="I1663" s="910"/>
      <c r="J1663" s="609"/>
      <c r="K1663" s="935"/>
      <c r="L1663" s="935"/>
      <c r="M1663" s="935"/>
      <c r="N1663" s="935"/>
      <c r="O1663" s="935"/>
    </row>
    <row r="1664" spans="1:15" ht="15" customHeight="1">
      <c r="A1664" s="905"/>
      <c r="B1664" s="546"/>
      <c r="C1664" s="910"/>
      <c r="D1664" s="609"/>
      <c r="E1664" s="912"/>
      <c r="F1664" s="912"/>
      <c r="G1664" s="905"/>
      <c r="H1664" s="546"/>
      <c r="I1664" s="910"/>
      <c r="J1664" s="609"/>
      <c r="K1664" s="935"/>
      <c r="L1664" s="935"/>
      <c r="M1664" s="935"/>
      <c r="N1664" s="935"/>
      <c r="O1664" s="935"/>
    </row>
    <row r="1665" spans="1:15" ht="15" customHeight="1">
      <c r="A1665" s="905"/>
      <c r="B1665" s="546"/>
      <c r="C1665" s="910"/>
      <c r="D1665" s="609"/>
      <c r="E1665" s="914"/>
      <c r="F1665" s="912"/>
      <c r="G1665" s="905"/>
      <c r="H1665" s="546"/>
      <c r="I1665" s="910"/>
      <c r="J1665" s="609"/>
      <c r="K1665" s="935"/>
      <c r="L1665" s="935"/>
      <c r="M1665" s="935"/>
      <c r="N1665" s="935"/>
      <c r="O1665" s="935"/>
    </row>
    <row r="1666" spans="1:15" ht="15" customHeight="1">
      <c r="A1666" s="609"/>
      <c r="B1666" s="546"/>
      <c r="C1666" s="910"/>
      <c r="D1666" s="609"/>
      <c r="E1666" s="916"/>
      <c r="F1666" s="916"/>
      <c r="G1666" s="609"/>
      <c r="H1666" s="546"/>
      <c r="I1666" s="910"/>
      <c r="J1666" s="609"/>
    </row>
    <row r="1667" spans="1:15" ht="15" customHeight="1">
      <c r="A1667" s="547"/>
      <c r="B1667" s="546"/>
      <c r="C1667" s="910"/>
      <c r="D1667" s="609"/>
      <c r="E1667" s="914"/>
      <c r="F1667" s="916"/>
      <c r="G1667" s="547"/>
      <c r="H1667" s="546"/>
      <c r="I1667" s="910"/>
      <c r="J1667" s="609"/>
    </row>
    <row r="1668" spans="1:15" ht="15" customHeight="1">
      <c r="A1668" s="905"/>
      <c r="B1668" s="546"/>
      <c r="C1668" s="910"/>
      <c r="D1668" s="609"/>
      <c r="E1668" s="917"/>
      <c r="F1668" s="904"/>
      <c r="G1668" s="905"/>
      <c r="H1668" s="546"/>
      <c r="I1668" s="910"/>
      <c r="J1668" s="609"/>
    </row>
    <row r="1669" spans="1:15" ht="15" customHeight="1">
      <c r="A1669" s="918"/>
      <c r="B1669" s="919"/>
      <c r="C1669" s="920"/>
      <c r="D1669" s="921"/>
      <c r="E1669" s="922"/>
      <c r="F1669" s="923"/>
      <c r="G1669" s="918"/>
      <c r="H1669" s="919"/>
      <c r="I1669" s="920"/>
      <c r="J1669" s="921"/>
    </row>
    <row r="1670" spans="1:15" ht="15.75" customHeight="1">
      <c r="A1670" s="924"/>
      <c r="B1670" s="925"/>
      <c r="C1670" s="926"/>
      <c r="D1670" s="927"/>
      <c r="E1670" s="927"/>
      <c r="F1670" s="928"/>
      <c r="G1670" s="924"/>
      <c r="H1670" s="925"/>
      <c r="I1670" s="926"/>
      <c r="J1670" s="927"/>
    </row>
    <row r="1672" spans="1:15" ht="12" customHeight="1">
      <c r="A1672" s="2362" t="s">
        <v>503</v>
      </c>
      <c r="B1672" s="2362"/>
      <c r="C1672" s="2362"/>
      <c r="D1672" s="2362"/>
      <c r="E1672" s="2362"/>
      <c r="F1672" s="2362"/>
      <c r="G1672" s="2362"/>
      <c r="H1672" s="2362"/>
      <c r="I1672" s="2362"/>
      <c r="J1672" s="2362"/>
    </row>
    <row r="1673" spans="1:15" ht="15" customHeight="1">
      <c r="A1673" s="2360" t="str">
        <f>$K$2</f>
        <v>THÁNG 09/2024</v>
      </c>
      <c r="B1673" s="2360"/>
      <c r="C1673" s="2360"/>
      <c r="D1673" s="2360"/>
      <c r="E1673" s="903"/>
      <c r="F1673" s="904"/>
      <c r="G1673" s="2360" t="str">
        <f>$K$2</f>
        <v>THÁNG 09/2024</v>
      </c>
      <c r="H1673" s="2360"/>
      <c r="I1673" s="2360"/>
      <c r="J1673" s="2360"/>
      <c r="K1673" s="276"/>
    </row>
    <row r="1674" spans="1:15" ht="15" customHeight="1">
      <c r="A1674" s="905" t="s">
        <v>356</v>
      </c>
      <c r="B1674" s="642" t="s">
        <v>124</v>
      </c>
      <c r="C1674" s="546"/>
      <c r="D1674" s="902"/>
      <c r="E1674" s="906"/>
      <c r="F1674" s="907"/>
      <c r="G1674" s="905" t="s">
        <v>356</v>
      </c>
      <c r="H1674" s="642" t="s">
        <v>125</v>
      </c>
      <c r="I1674" s="546"/>
      <c r="J1674" s="902"/>
      <c r="L1674" s="938"/>
      <c r="M1674" s="938"/>
      <c r="N1674" s="938"/>
      <c r="O1674" s="938"/>
    </row>
    <row r="1675" spans="1:15" ht="15" customHeight="1">
      <c r="A1675" s="905" t="s">
        <v>359</v>
      </c>
      <c r="B1675" s="939" t="s">
        <v>360</v>
      </c>
      <c r="C1675" s="910" t="e">
        <f>VLOOKUP(B1674,'LƯƠNG KT'!$D$16:$AC$184,3,0)</f>
        <v>#N/A</v>
      </c>
      <c r="D1675" s="609" t="e">
        <f>+C1675*25000</f>
        <v>#N/A</v>
      </c>
      <c r="E1675" s="911"/>
      <c r="F1675" s="911"/>
      <c r="G1675" s="905" t="s">
        <v>359</v>
      </c>
      <c r="H1675" s="939" t="s">
        <v>360</v>
      </c>
      <c r="I1675" s="910" t="e">
        <f>VLOOKUP(H1674,'LƯƠNG KT'!$D$16:$AC$184,3,0)</f>
        <v>#N/A</v>
      </c>
      <c r="J1675" s="609" t="e">
        <f>+I1675*25000</f>
        <v>#N/A</v>
      </c>
      <c r="K1675" s="934"/>
      <c r="L1675" s="935"/>
      <c r="M1675" s="935"/>
      <c r="N1675" s="935"/>
      <c r="O1675" s="935"/>
    </row>
    <row r="1676" spans="1:15" ht="15" customHeight="1">
      <c r="A1676" s="905" t="s">
        <v>361</v>
      </c>
      <c r="B1676" s="546" t="s">
        <v>362</v>
      </c>
      <c r="C1676" s="910" t="e">
        <f>VLOOKUP(B1674,'LƯƠNG KT'!$D$16:$AC$184,14,0)</f>
        <v>#N/A</v>
      </c>
      <c r="D1676" s="609" t="e">
        <f>C1676*$L$4</f>
        <v>#N/A</v>
      </c>
      <c r="E1676" s="912"/>
      <c r="F1676" s="912"/>
      <c r="G1676" s="905" t="s">
        <v>361</v>
      </c>
      <c r="H1676" s="546" t="s">
        <v>362</v>
      </c>
      <c r="I1676" s="910" t="e">
        <f>VLOOKUP(H1674,'LƯƠNG KT'!$D$16:$AC$184,14,0)</f>
        <v>#N/A</v>
      </c>
      <c r="J1676" s="609" t="e">
        <f>I1676*$L$4</f>
        <v>#N/A</v>
      </c>
      <c r="K1676" s="934"/>
      <c r="L1676" s="935"/>
      <c r="M1676" s="935"/>
      <c r="N1676" s="935"/>
      <c r="O1676" s="935"/>
    </row>
    <row r="1677" spans="1:15" ht="15" customHeight="1">
      <c r="A1677" s="905" t="s">
        <v>364</v>
      </c>
      <c r="B1677" s="546" t="s">
        <v>365</v>
      </c>
      <c r="C1677" s="910" t="e">
        <f>VLOOKUP(B1674,'LƯƠNG KT'!$D$16:$AC$184,15,0)</f>
        <v>#N/A</v>
      </c>
      <c r="D1677" s="609" t="e">
        <f>C1677*$L$5</f>
        <v>#N/A</v>
      </c>
      <c r="E1677" s="912"/>
      <c r="F1677" s="912"/>
      <c r="G1677" s="905" t="s">
        <v>364</v>
      </c>
      <c r="H1677" s="546" t="s">
        <v>365</v>
      </c>
      <c r="I1677" s="910" t="e">
        <f>VLOOKUP(H1674,'LƯƠNG KT'!$D$16:$AC$184,15,0)</f>
        <v>#N/A</v>
      </c>
      <c r="J1677" s="609" t="e">
        <f>I1677*$L$5</f>
        <v>#N/A</v>
      </c>
      <c r="K1677" s="934"/>
      <c r="L1677" s="935"/>
      <c r="M1677" s="935"/>
      <c r="N1677" s="935"/>
      <c r="O1677" s="935"/>
    </row>
    <row r="1678" spans="1:15" ht="15" customHeight="1">
      <c r="A1678" s="905" t="s">
        <v>367</v>
      </c>
      <c r="B1678" s="546"/>
      <c r="C1678" s="910" t="e">
        <f>VLOOKUP(B1674,'LƯƠNG KT'!$D$16:$AC$184,16,0)</f>
        <v>#N/A</v>
      </c>
      <c r="D1678" s="609" t="e">
        <f>+C1678*$L$6</f>
        <v>#N/A</v>
      </c>
      <c r="E1678" s="912"/>
      <c r="F1678" s="912"/>
      <c r="G1678" s="905" t="s">
        <v>367</v>
      </c>
      <c r="H1678" s="546"/>
      <c r="I1678" s="910" t="e">
        <f>VLOOKUP(H1674,'LƯƠNG KT'!$D$16:$AC$184,16,0)</f>
        <v>#N/A</v>
      </c>
      <c r="J1678" s="609" t="e">
        <f>+I1678*$L$6</f>
        <v>#N/A</v>
      </c>
      <c r="K1678" s="935"/>
      <c r="L1678" s="935"/>
      <c r="M1678" s="935"/>
      <c r="N1678" s="935"/>
      <c r="O1678" s="935"/>
    </row>
    <row r="1679" spans="1:15" ht="15" customHeight="1">
      <c r="A1679" s="905" t="s">
        <v>371</v>
      </c>
      <c r="B1679" s="546" t="s">
        <v>372</v>
      </c>
      <c r="C1679" s="910" t="e">
        <f>VLOOKUP(B1674,'LƯƠNG KT'!$D$16:$AC$184,9,0)*$L$10</f>
        <v>#N/A</v>
      </c>
      <c r="D1679" s="609" t="e">
        <f>+C1679*0.5*3000</f>
        <v>#N/A</v>
      </c>
      <c r="E1679" s="912"/>
      <c r="F1679" s="912"/>
      <c r="G1679" s="905" t="s">
        <v>371</v>
      </c>
      <c r="H1679" s="546" t="s">
        <v>372</v>
      </c>
      <c r="I1679" s="910" t="e">
        <f>VLOOKUP(H1674,'LƯƠNG KT'!$D$16:$AC$184,9,0)*$L$10</f>
        <v>#N/A</v>
      </c>
      <c r="J1679" s="609" t="e">
        <f>+I1679*0.5*3000</f>
        <v>#N/A</v>
      </c>
      <c r="K1679" s="935"/>
      <c r="L1679" s="935"/>
      <c r="M1679" s="935"/>
      <c r="N1679" s="935"/>
      <c r="O1679" s="935"/>
    </row>
    <row r="1680" spans="1:15" ht="15" customHeight="1">
      <c r="A1680" s="905" t="s">
        <v>374</v>
      </c>
      <c r="B1680" s="546" t="s">
        <v>375</v>
      </c>
      <c r="C1680" s="910" t="e">
        <f>VLOOKUP(B1674,'LƯƠNG KT'!$D$16:$AC$184,8,0)*$L$11</f>
        <v>#N/A</v>
      </c>
      <c r="D1680" s="609" t="e">
        <f>VLOOKUP(B1674,'LƯƠNG KT'!$D$16:$AC$184,13,0)-D1679</f>
        <v>#N/A</v>
      </c>
      <c r="E1680" s="914"/>
      <c r="F1680" s="912"/>
      <c r="G1680" s="905" t="s">
        <v>374</v>
      </c>
      <c r="H1680" s="546" t="s">
        <v>375</v>
      </c>
      <c r="I1680" s="910" t="e">
        <f>VLOOKUP(H1674,'LƯƠNG KT'!$D$16:$AC$184,8,0)*$L$11</f>
        <v>#N/A</v>
      </c>
      <c r="J1680" s="609" t="e">
        <f>VLOOKUP(H1674,'LƯƠNG KT'!$D$16:$AC$184,13,0)-J1679</f>
        <v>#N/A</v>
      </c>
      <c r="K1680" s="935"/>
      <c r="L1680" s="935"/>
      <c r="M1680" s="935"/>
      <c r="N1680" s="935"/>
      <c r="O1680" s="935"/>
    </row>
    <row r="1681" spans="1:15" ht="15" customHeight="1">
      <c r="A1681" s="609" t="s">
        <v>377</v>
      </c>
      <c r="B1681" s="546" t="s">
        <v>378</v>
      </c>
      <c r="C1681" s="910"/>
      <c r="D1681" s="609"/>
      <c r="E1681" s="916"/>
      <c r="F1681" s="916"/>
      <c r="G1681" s="609" t="s">
        <v>377</v>
      </c>
      <c r="H1681" s="546" t="s">
        <v>378</v>
      </c>
      <c r="I1681" s="910"/>
      <c r="J1681" s="609"/>
    </row>
    <row r="1682" spans="1:15" ht="15" customHeight="1">
      <c r="A1682" s="547" t="s">
        <v>379</v>
      </c>
      <c r="B1682" s="546" t="s">
        <v>380</v>
      </c>
      <c r="C1682" s="910"/>
      <c r="D1682" s="609"/>
      <c r="E1682" s="914"/>
      <c r="F1682" s="916"/>
      <c r="G1682" s="547" t="s">
        <v>379</v>
      </c>
      <c r="H1682" s="546" t="s">
        <v>380</v>
      </c>
      <c r="I1682" s="910"/>
      <c r="J1682" s="609"/>
    </row>
    <row r="1683" spans="1:15" ht="15" customHeight="1">
      <c r="A1683" s="905" t="s">
        <v>381</v>
      </c>
      <c r="B1683" s="546" t="s">
        <v>382</v>
      </c>
      <c r="C1683" s="910"/>
      <c r="D1683" s="609">
        <f>D1682</f>
        <v>0</v>
      </c>
      <c r="E1683" s="917"/>
      <c r="F1683" s="904"/>
      <c r="G1683" s="905" t="s">
        <v>381</v>
      </c>
      <c r="H1683" s="546" t="s">
        <v>382</v>
      </c>
      <c r="I1683" s="910"/>
      <c r="J1683" s="609">
        <f>J1682</f>
        <v>0</v>
      </c>
    </row>
    <row r="1684" spans="1:15" ht="15" customHeight="1">
      <c r="A1684" s="918" t="s">
        <v>383</v>
      </c>
      <c r="B1684" s="919" t="s">
        <v>384</v>
      </c>
      <c r="C1684" s="920"/>
      <c r="D1684" s="921" t="e">
        <f>SUM(D1675:D1680)-D1683</f>
        <v>#N/A</v>
      </c>
      <c r="E1684" s="922"/>
      <c r="F1684" s="923"/>
      <c r="G1684" s="918" t="s">
        <v>383</v>
      </c>
      <c r="H1684" s="919" t="s">
        <v>384</v>
      </c>
      <c r="I1684" s="920"/>
      <c r="J1684" s="921" t="e">
        <f>SUM(J1675:J1680)-J1683</f>
        <v>#N/A</v>
      </c>
    </row>
    <row r="1685" spans="1:15" ht="12.6" customHeight="1">
      <c r="A1685" s="924"/>
      <c r="B1685" s="925"/>
      <c r="C1685" s="926"/>
      <c r="D1685" s="927"/>
      <c r="E1685" s="927"/>
      <c r="F1685" s="928"/>
      <c r="G1685" s="924"/>
      <c r="H1685" s="925"/>
      <c r="I1685" s="926"/>
      <c r="J1685" s="927"/>
    </row>
    <row r="1686" spans="1:15" ht="12.6" customHeight="1">
      <c r="A1686" s="925"/>
      <c r="B1686" s="925"/>
      <c r="C1686" s="929"/>
      <c r="D1686" s="930"/>
      <c r="E1686" s="925"/>
      <c r="F1686" s="931"/>
      <c r="G1686" s="925"/>
      <c r="H1686" s="925"/>
      <c r="I1686" s="929"/>
      <c r="J1686" s="930"/>
    </row>
    <row r="1687" spans="1:15" ht="15" customHeight="1">
      <c r="A1687" s="2360" t="str">
        <f>$K$2</f>
        <v>THÁNG 09/2024</v>
      </c>
      <c r="B1687" s="2360"/>
      <c r="C1687" s="2360"/>
      <c r="D1687" s="2360"/>
      <c r="E1687" s="903"/>
      <c r="F1687" s="904"/>
      <c r="G1687" s="2360" t="str">
        <f>$K$2</f>
        <v>THÁNG 09/2024</v>
      </c>
      <c r="H1687" s="2360"/>
      <c r="I1687" s="2360"/>
      <c r="J1687" s="2360"/>
      <c r="K1687" s="276"/>
    </row>
    <row r="1688" spans="1:15" ht="15" customHeight="1">
      <c r="A1688" s="905" t="s">
        <v>356</v>
      </c>
      <c r="B1688" s="642" t="s">
        <v>126</v>
      </c>
      <c r="C1688" s="546"/>
      <c r="D1688" s="902"/>
      <c r="E1688" s="906"/>
      <c r="F1688" s="907"/>
      <c r="G1688" s="905" t="s">
        <v>356</v>
      </c>
      <c r="H1688" s="642" t="s">
        <v>127</v>
      </c>
      <c r="I1688" s="546"/>
      <c r="J1688" s="902"/>
      <c r="L1688" s="938"/>
      <c r="M1688" s="938"/>
      <c r="N1688" s="938"/>
      <c r="O1688" s="938"/>
    </row>
    <row r="1689" spans="1:15" ht="15" customHeight="1">
      <c r="A1689" s="905" t="s">
        <v>359</v>
      </c>
      <c r="B1689" s="939" t="s">
        <v>360</v>
      </c>
      <c r="C1689" s="910" t="e">
        <f>VLOOKUP(B1688,'LƯƠNG KT'!$D$16:$AC$184,3,0)</f>
        <v>#N/A</v>
      </c>
      <c r="D1689" s="609" t="e">
        <f>+C1689*25000</f>
        <v>#N/A</v>
      </c>
      <c r="E1689" s="911"/>
      <c r="F1689" s="911"/>
      <c r="G1689" s="905" t="s">
        <v>359</v>
      </c>
      <c r="H1689" s="939" t="s">
        <v>360</v>
      </c>
      <c r="I1689" s="910" t="e">
        <f>VLOOKUP(H1688,'LƯƠNG KT'!$D$16:$AC$184,3,0)</f>
        <v>#N/A</v>
      </c>
      <c r="J1689" s="609" t="e">
        <f>+I1689*25000</f>
        <v>#N/A</v>
      </c>
      <c r="K1689" s="935"/>
      <c r="L1689" s="935"/>
      <c r="M1689" s="935"/>
      <c r="N1689" s="935"/>
      <c r="O1689" s="935"/>
    </row>
    <row r="1690" spans="1:15" ht="15" customHeight="1">
      <c r="A1690" s="905" t="s">
        <v>361</v>
      </c>
      <c r="B1690" s="546" t="s">
        <v>362</v>
      </c>
      <c r="C1690" s="910" t="e">
        <f>VLOOKUP(B1688,'LƯƠNG KT'!$D$16:$AC$184,14,0)</f>
        <v>#N/A</v>
      </c>
      <c r="D1690" s="609" t="e">
        <f>C1690*$L$4</f>
        <v>#N/A</v>
      </c>
      <c r="E1690" s="912"/>
      <c r="F1690" s="912"/>
      <c r="G1690" s="905" t="s">
        <v>361</v>
      </c>
      <c r="H1690" s="546" t="s">
        <v>362</v>
      </c>
      <c r="I1690" s="910" t="e">
        <f>VLOOKUP(H1688,'LƯƠNG KT'!$D$16:$AC$184,14,0)</f>
        <v>#N/A</v>
      </c>
      <c r="J1690" s="609" t="e">
        <f>I1690*$L$4</f>
        <v>#N/A</v>
      </c>
      <c r="K1690" s="935"/>
      <c r="L1690" s="935"/>
      <c r="M1690" s="935"/>
      <c r="N1690" s="935"/>
      <c r="O1690" s="935"/>
    </row>
    <row r="1691" spans="1:15" ht="15" customHeight="1">
      <c r="A1691" s="905" t="s">
        <v>364</v>
      </c>
      <c r="B1691" s="546" t="s">
        <v>365</v>
      </c>
      <c r="C1691" s="910" t="e">
        <f>VLOOKUP(B1688,'LƯƠNG KT'!$D$16:$AC$184,15,0)</f>
        <v>#N/A</v>
      </c>
      <c r="D1691" s="609" t="e">
        <f>C1691*$L$5</f>
        <v>#N/A</v>
      </c>
      <c r="E1691" s="912"/>
      <c r="F1691" s="912"/>
      <c r="G1691" s="905" t="s">
        <v>364</v>
      </c>
      <c r="H1691" s="546" t="s">
        <v>365</v>
      </c>
      <c r="I1691" s="910" t="e">
        <f>VLOOKUP(H1688,'LƯƠNG KT'!$D$16:$AC$184,15,0)</f>
        <v>#N/A</v>
      </c>
      <c r="J1691" s="609" t="e">
        <f>I1691*$L$5</f>
        <v>#N/A</v>
      </c>
      <c r="K1691" s="935"/>
      <c r="L1691" s="935"/>
      <c r="M1691" s="935"/>
      <c r="N1691" s="935"/>
      <c r="O1691" s="935"/>
    </row>
    <row r="1692" spans="1:15" ht="15" customHeight="1">
      <c r="A1692" s="905" t="s">
        <v>367</v>
      </c>
      <c r="B1692" s="546"/>
      <c r="C1692" s="910" t="e">
        <f>VLOOKUP(B1688,'LƯƠNG KT'!$D$16:$AC$184,16,0)</f>
        <v>#N/A</v>
      </c>
      <c r="D1692" s="609" t="e">
        <f>+C1692*$L$6</f>
        <v>#N/A</v>
      </c>
      <c r="E1692" s="912"/>
      <c r="F1692" s="912"/>
      <c r="G1692" s="905" t="s">
        <v>367</v>
      </c>
      <c r="H1692" s="546"/>
      <c r="I1692" s="910" t="e">
        <f>VLOOKUP(H1688,'LƯƠNG KT'!$D$16:$AC$184,16,0)</f>
        <v>#N/A</v>
      </c>
      <c r="J1692" s="609" t="e">
        <f>+I1692*$L$6</f>
        <v>#N/A</v>
      </c>
      <c r="K1692" s="935"/>
      <c r="L1692" s="935"/>
      <c r="M1692" s="935"/>
      <c r="N1692" s="935"/>
      <c r="O1692" s="935"/>
    </row>
    <row r="1693" spans="1:15" ht="15" customHeight="1">
      <c r="A1693" s="905" t="s">
        <v>371</v>
      </c>
      <c r="B1693" s="546" t="s">
        <v>372</v>
      </c>
      <c r="C1693" s="910" t="e">
        <f>VLOOKUP(B1688,'LƯƠNG KT'!$D$16:$AC$184,9,0)*$L$10</f>
        <v>#N/A</v>
      </c>
      <c r="D1693" s="609" t="e">
        <f>+C1693*0.5*3000</f>
        <v>#N/A</v>
      </c>
      <c r="E1693" s="912"/>
      <c r="F1693" s="912"/>
      <c r="G1693" s="905" t="s">
        <v>371</v>
      </c>
      <c r="H1693" s="546" t="s">
        <v>372</v>
      </c>
      <c r="I1693" s="910" t="e">
        <f>VLOOKUP(H1688,'LƯƠNG KT'!$D$16:$AC$184,9,0)*$L$10</f>
        <v>#N/A</v>
      </c>
      <c r="J1693" s="609" t="e">
        <f>+I1693*0.5*3000</f>
        <v>#N/A</v>
      </c>
      <c r="K1693" s="935"/>
      <c r="L1693" s="935"/>
      <c r="M1693" s="935"/>
      <c r="N1693" s="935"/>
      <c r="O1693" s="935"/>
    </row>
    <row r="1694" spans="1:15" ht="15" customHeight="1">
      <c r="A1694" s="905" t="s">
        <v>374</v>
      </c>
      <c r="B1694" s="546" t="s">
        <v>375</v>
      </c>
      <c r="C1694" s="910" t="e">
        <f>VLOOKUP(B1688,'LƯƠNG KT'!$D$16:$AC$184,8,0)*$L$11</f>
        <v>#N/A</v>
      </c>
      <c r="D1694" s="609" t="e">
        <f>VLOOKUP(B1688,'LƯƠNG KT'!$D$16:$AC$184,13,0)-D1693</f>
        <v>#N/A</v>
      </c>
      <c r="E1694" s="914"/>
      <c r="F1694" s="912"/>
      <c r="G1694" s="905" t="s">
        <v>374</v>
      </c>
      <c r="H1694" s="546" t="s">
        <v>375</v>
      </c>
      <c r="I1694" s="910" t="e">
        <f>VLOOKUP(H1688,'LƯƠNG KT'!$D$16:$AC$184,8,0)*$L$11</f>
        <v>#N/A</v>
      </c>
      <c r="J1694" s="609" t="e">
        <f>VLOOKUP(H1688,'LƯƠNG KT'!$D$16:$AC$184,13,0)-J1693</f>
        <v>#N/A</v>
      </c>
      <c r="K1694" s="935"/>
      <c r="L1694" s="935"/>
      <c r="M1694" s="935"/>
      <c r="N1694" s="935"/>
      <c r="O1694" s="935"/>
    </row>
    <row r="1695" spans="1:15" ht="15" customHeight="1">
      <c r="A1695" s="609" t="s">
        <v>377</v>
      </c>
      <c r="B1695" s="546" t="s">
        <v>378</v>
      </c>
      <c r="C1695" s="910"/>
      <c r="D1695" s="609"/>
      <c r="E1695" s="916"/>
      <c r="F1695" s="916"/>
      <c r="G1695" s="609" t="s">
        <v>377</v>
      </c>
      <c r="H1695" s="546" t="s">
        <v>378</v>
      </c>
      <c r="I1695" s="910"/>
      <c r="J1695" s="609"/>
    </row>
    <row r="1696" spans="1:15" ht="15" customHeight="1">
      <c r="A1696" s="547" t="s">
        <v>379</v>
      </c>
      <c r="B1696" s="546" t="s">
        <v>380</v>
      </c>
      <c r="C1696" s="910"/>
      <c r="D1696" s="609"/>
      <c r="E1696" s="914"/>
      <c r="F1696" s="916"/>
      <c r="G1696" s="547" t="s">
        <v>379</v>
      </c>
      <c r="H1696" s="546" t="s">
        <v>380</v>
      </c>
      <c r="I1696" s="910"/>
      <c r="J1696" s="609"/>
    </row>
    <row r="1697" spans="1:15" ht="15" customHeight="1">
      <c r="A1697" s="905" t="s">
        <v>381</v>
      </c>
      <c r="B1697" s="546" t="s">
        <v>382</v>
      </c>
      <c r="C1697" s="910"/>
      <c r="D1697" s="609">
        <f>D1696</f>
        <v>0</v>
      </c>
      <c r="E1697" s="917"/>
      <c r="F1697" s="904"/>
      <c r="G1697" s="905" t="s">
        <v>381</v>
      </c>
      <c r="H1697" s="546" t="s">
        <v>382</v>
      </c>
      <c r="I1697" s="910"/>
      <c r="J1697" s="609">
        <f>J1696</f>
        <v>0</v>
      </c>
    </row>
    <row r="1698" spans="1:15" ht="15" customHeight="1">
      <c r="A1698" s="918" t="s">
        <v>383</v>
      </c>
      <c r="B1698" s="919" t="s">
        <v>384</v>
      </c>
      <c r="C1698" s="920"/>
      <c r="D1698" s="921" t="e">
        <f>SUM(D1689:D1694)-D1697</f>
        <v>#N/A</v>
      </c>
      <c r="E1698" s="922"/>
      <c r="F1698" s="923"/>
      <c r="G1698" s="918" t="s">
        <v>383</v>
      </c>
      <c r="H1698" s="919" t="s">
        <v>384</v>
      </c>
      <c r="I1698" s="920"/>
      <c r="J1698" s="921" t="e">
        <f>SUM(J1689:J1694)-J1697</f>
        <v>#N/A</v>
      </c>
    </row>
    <row r="1699" spans="1:15" ht="18.75" customHeight="1">
      <c r="A1699" s="924"/>
      <c r="B1699" s="925"/>
      <c r="C1699" s="926"/>
      <c r="D1699" s="927"/>
      <c r="E1699" s="927"/>
      <c r="F1699" s="928"/>
      <c r="G1699" s="924"/>
      <c r="H1699" s="925"/>
      <c r="I1699" s="926"/>
      <c r="J1699" s="927"/>
    </row>
    <row r="1700" spans="1:15" ht="18.75" customHeight="1">
      <c r="A1700" s="925"/>
      <c r="B1700" s="925"/>
      <c r="C1700" s="929"/>
      <c r="D1700" s="930"/>
      <c r="E1700" s="925"/>
      <c r="F1700" s="931"/>
      <c r="G1700" s="925"/>
      <c r="H1700" s="925"/>
      <c r="I1700" s="929"/>
      <c r="J1700" s="930"/>
    </row>
    <row r="1701" spans="1:15" ht="15" customHeight="1">
      <c r="A1701" s="2360" t="str">
        <f>$K$2</f>
        <v>THÁNG 09/2024</v>
      </c>
      <c r="B1701" s="2360"/>
      <c r="C1701" s="2360"/>
      <c r="D1701" s="2360"/>
      <c r="E1701" s="903"/>
      <c r="F1701" s="904"/>
      <c r="G1701" s="2360" t="str">
        <f>$K$2</f>
        <v>THÁNG 09/2024</v>
      </c>
      <c r="H1701" s="2360"/>
      <c r="I1701" s="2360"/>
      <c r="J1701" s="2360"/>
      <c r="K1701" s="276"/>
    </row>
    <row r="1702" spans="1:15" ht="15" customHeight="1">
      <c r="A1702" s="905" t="s">
        <v>356</v>
      </c>
      <c r="B1702" s="642" t="s">
        <v>128</v>
      </c>
      <c r="C1702" s="546"/>
      <c r="D1702" s="902"/>
      <c r="E1702" s="906"/>
      <c r="F1702" s="907"/>
      <c r="G1702" s="905" t="s">
        <v>356</v>
      </c>
      <c r="H1702" s="642" t="s">
        <v>129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5" t="s">
        <v>359</v>
      </c>
      <c r="B1703" s="939" t="s">
        <v>360</v>
      </c>
      <c r="C1703" s="910" t="e">
        <f>VLOOKUP(B1702,'LƯƠNG KT'!$D$16:$AC$184,3,0)</f>
        <v>#N/A</v>
      </c>
      <c r="D1703" s="609" t="e">
        <f>+C1703*25000</f>
        <v>#N/A</v>
      </c>
      <c r="E1703" s="911"/>
      <c r="F1703" s="911"/>
      <c r="G1703" s="905" t="s">
        <v>359</v>
      </c>
      <c r="H1703" s="939" t="s">
        <v>360</v>
      </c>
      <c r="I1703" s="910" t="e">
        <f>VLOOKUP(H1702,'LƯƠNG KT'!$D$16:$AC$184,3,0)</f>
        <v>#N/A</v>
      </c>
      <c r="J1703" s="609" t="e">
        <f>+I1703*25000</f>
        <v>#N/A</v>
      </c>
      <c r="K1703" s="935"/>
      <c r="L1703" s="935"/>
      <c r="M1703" s="935"/>
      <c r="N1703" s="935"/>
      <c r="O1703" s="935"/>
    </row>
    <row r="1704" spans="1:15" ht="15" customHeight="1">
      <c r="A1704" s="905" t="s">
        <v>361</v>
      </c>
      <c r="B1704" s="546" t="s">
        <v>362</v>
      </c>
      <c r="C1704" s="910" t="e">
        <f>VLOOKUP(B1702,'LƯƠNG KT'!$D$16:$AC$184,14,0)</f>
        <v>#N/A</v>
      </c>
      <c r="D1704" s="609" t="e">
        <f>C1704*$L$4</f>
        <v>#N/A</v>
      </c>
      <c r="E1704" s="912"/>
      <c r="F1704" s="912"/>
      <c r="G1704" s="905" t="s">
        <v>361</v>
      </c>
      <c r="H1704" s="546" t="s">
        <v>362</v>
      </c>
      <c r="I1704" s="910" t="e">
        <f>VLOOKUP(H1702,'LƯƠNG KT'!$D$16:$AC$184,14,0)</f>
        <v>#N/A</v>
      </c>
      <c r="J1704" s="609" t="e">
        <f>I1704*$L$4</f>
        <v>#N/A</v>
      </c>
      <c r="K1704" s="935"/>
      <c r="L1704" s="935"/>
      <c r="M1704" s="935"/>
      <c r="N1704" s="935"/>
      <c r="O1704" s="935"/>
    </row>
    <row r="1705" spans="1:15" ht="15" customHeight="1">
      <c r="A1705" s="905" t="s">
        <v>364</v>
      </c>
      <c r="B1705" s="546" t="s">
        <v>365</v>
      </c>
      <c r="C1705" s="910" t="e">
        <f>VLOOKUP(B1702,'LƯƠNG KT'!$D$16:$AC$184,15,0)</f>
        <v>#N/A</v>
      </c>
      <c r="D1705" s="609" t="e">
        <f>C1705*$L$5</f>
        <v>#N/A</v>
      </c>
      <c r="E1705" s="912"/>
      <c r="F1705" s="912"/>
      <c r="G1705" s="905" t="s">
        <v>364</v>
      </c>
      <c r="H1705" s="546" t="s">
        <v>365</v>
      </c>
      <c r="I1705" s="910" t="e">
        <f>VLOOKUP(H1702,'LƯƠNG KT'!$D$16:$AC$184,15,0)</f>
        <v>#N/A</v>
      </c>
      <c r="J1705" s="609" t="e">
        <f>I1705*$L$5</f>
        <v>#N/A</v>
      </c>
      <c r="K1705" s="935"/>
      <c r="L1705" s="935"/>
      <c r="M1705" s="935"/>
      <c r="N1705" s="935"/>
      <c r="O1705" s="935"/>
    </row>
    <row r="1706" spans="1:15" ht="15" customHeight="1">
      <c r="A1706" s="905" t="s">
        <v>367</v>
      </c>
      <c r="B1706" s="546"/>
      <c r="C1706" s="910" t="e">
        <f>VLOOKUP(B1702,'LƯƠNG KT'!$D$16:$AC$184,16,0)</f>
        <v>#N/A</v>
      </c>
      <c r="D1706" s="609" t="e">
        <f>+C1706*$L$6</f>
        <v>#N/A</v>
      </c>
      <c r="E1706" s="912"/>
      <c r="F1706" s="912"/>
      <c r="G1706" s="905" t="s">
        <v>367</v>
      </c>
      <c r="H1706" s="546"/>
      <c r="I1706" s="910" t="e">
        <f>VLOOKUP(H1702,'LƯƠNG KT'!$D$16:$AC$184,16,0)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5" t="s">
        <v>371</v>
      </c>
      <c r="B1707" s="546" t="s">
        <v>372</v>
      </c>
      <c r="C1707" s="910" t="e">
        <f>VLOOKUP(B1702,'LƯƠNG KT'!$D$16:$AC$184,9,0)*$L$10</f>
        <v>#N/A</v>
      </c>
      <c r="D1707" s="609" t="e">
        <f>+C1707*0.5*3000</f>
        <v>#N/A</v>
      </c>
      <c r="E1707" s="912"/>
      <c r="F1707" s="912"/>
      <c r="G1707" s="905" t="s">
        <v>371</v>
      </c>
      <c r="H1707" s="546" t="s">
        <v>372</v>
      </c>
      <c r="I1707" s="910" t="e">
        <f>VLOOKUP(H1702,'LƯƠNG KT'!$D$16:$AC$184,9,0)*$L$10</f>
        <v>#N/A</v>
      </c>
      <c r="J1707" s="609" t="e">
        <f>+I1707*0.5*3000</f>
        <v>#N/A</v>
      </c>
      <c r="K1707" s="935"/>
      <c r="L1707" s="935"/>
      <c r="M1707" s="935"/>
      <c r="N1707" s="935"/>
      <c r="O1707" s="935"/>
    </row>
    <row r="1708" spans="1:15" ht="15" customHeight="1">
      <c r="A1708" s="905" t="s">
        <v>374</v>
      </c>
      <c r="B1708" s="546" t="s">
        <v>375</v>
      </c>
      <c r="C1708" s="910" t="e">
        <f>VLOOKUP(B1702,'LƯƠNG KT'!$D$16:$AC$184,8,0)*$L$11</f>
        <v>#N/A</v>
      </c>
      <c r="D1708" s="609" t="e">
        <f>VLOOKUP(B1702,'LƯƠNG KT'!$D$16:$AC$184,13,0)-D1707</f>
        <v>#N/A</v>
      </c>
      <c r="E1708" s="914"/>
      <c r="F1708" s="912"/>
      <c r="G1708" s="905" t="s">
        <v>374</v>
      </c>
      <c r="H1708" s="546" t="s">
        <v>375</v>
      </c>
      <c r="I1708" s="910" t="e">
        <f>VLOOKUP(H1702,'LƯƠNG KT'!$D$16:$AC$184,8,0)*$L$11</f>
        <v>#N/A</v>
      </c>
      <c r="J1708" s="609" t="e">
        <f>VLOOKUP(H1702,'LƯƠNG KT'!$D$16:$AC$184,13,0)-J1707</f>
        <v>#N/A</v>
      </c>
      <c r="K1708" s="935"/>
      <c r="L1708" s="935"/>
      <c r="M1708" s="935"/>
      <c r="N1708" s="935"/>
      <c r="O1708" s="935"/>
    </row>
    <row r="1709" spans="1:15" ht="15" customHeight="1">
      <c r="A1709" s="609" t="s">
        <v>377</v>
      </c>
      <c r="B1709" s="546" t="s">
        <v>378</v>
      </c>
      <c r="C1709" s="910"/>
      <c r="D1709" s="609"/>
      <c r="E1709" s="916"/>
      <c r="F1709" s="916"/>
      <c r="G1709" s="609" t="s">
        <v>377</v>
      </c>
      <c r="H1709" s="546" t="s">
        <v>378</v>
      </c>
      <c r="I1709" s="910"/>
      <c r="J1709" s="609"/>
    </row>
    <row r="1710" spans="1:15" ht="15" customHeight="1">
      <c r="A1710" s="547" t="s">
        <v>379</v>
      </c>
      <c r="B1710" s="546" t="s">
        <v>380</v>
      </c>
      <c r="C1710" s="910"/>
      <c r="D1710" s="609"/>
      <c r="E1710" s="914"/>
      <c r="F1710" s="916"/>
      <c r="G1710" s="547" t="s">
        <v>379</v>
      </c>
      <c r="H1710" s="546" t="s">
        <v>380</v>
      </c>
      <c r="I1710" s="910"/>
      <c r="J1710" s="609"/>
    </row>
    <row r="1711" spans="1:15" ht="15" customHeight="1">
      <c r="A1711" s="905" t="s">
        <v>381</v>
      </c>
      <c r="B1711" s="546" t="s">
        <v>382</v>
      </c>
      <c r="C1711" s="910"/>
      <c r="D1711" s="609">
        <f>D1710</f>
        <v>0</v>
      </c>
      <c r="E1711" s="917"/>
      <c r="F1711" s="904"/>
      <c r="G1711" s="905" t="s">
        <v>381</v>
      </c>
      <c r="H1711" s="546" t="s">
        <v>382</v>
      </c>
      <c r="I1711" s="910"/>
      <c r="J1711" s="609">
        <f>J1710</f>
        <v>0</v>
      </c>
    </row>
    <row r="1712" spans="1:15" ht="15" customHeight="1">
      <c r="A1712" s="918" t="s">
        <v>383</v>
      </c>
      <c r="B1712" s="919" t="s">
        <v>384</v>
      </c>
      <c r="C1712" s="920"/>
      <c r="D1712" s="921" t="e">
        <f>SUM(D1703:D1708)-D1711</f>
        <v>#N/A</v>
      </c>
      <c r="E1712" s="922"/>
      <c r="F1712" s="923"/>
      <c r="G1712" s="918" t="s">
        <v>383</v>
      </c>
      <c r="H1712" s="919" t="s">
        <v>384</v>
      </c>
      <c r="I1712" s="920"/>
      <c r="J1712" s="921" t="e">
        <f>SUM(J1703:J1708)-J1711</f>
        <v>#N/A</v>
      </c>
    </row>
    <row r="1713" spans="1:15" ht="18.75" customHeight="1">
      <c r="A1713" s="924"/>
      <c r="B1713" s="925"/>
      <c r="C1713" s="926"/>
      <c r="D1713" s="927"/>
      <c r="E1713" s="927"/>
      <c r="F1713" s="928"/>
      <c r="G1713" s="924"/>
      <c r="H1713" s="925"/>
      <c r="I1713" s="926"/>
      <c r="J1713" s="927"/>
    </row>
    <row r="1714" spans="1:15" ht="18.75" customHeight="1">
      <c r="A1714" s="925"/>
      <c r="B1714" s="925"/>
      <c r="C1714" s="929"/>
      <c r="D1714" s="930"/>
      <c r="E1714" s="925"/>
      <c r="F1714" s="931"/>
      <c r="G1714" s="925"/>
      <c r="H1714" s="925"/>
      <c r="I1714" s="929"/>
      <c r="J1714" s="930"/>
    </row>
    <row r="1715" spans="1:15" ht="15" customHeight="1">
      <c r="A1715" s="2360" t="str">
        <f>$K$2</f>
        <v>THÁNG 09/2024</v>
      </c>
      <c r="B1715" s="2360"/>
      <c r="C1715" s="2360"/>
      <c r="D1715" s="2360"/>
      <c r="E1715" s="903"/>
      <c r="F1715" s="904"/>
      <c r="G1715" s="2360" t="str">
        <f>$K$2</f>
        <v>THÁNG 09/2024</v>
      </c>
      <c r="H1715" s="2360"/>
      <c r="I1715" s="2360"/>
      <c r="J1715" s="2360"/>
      <c r="K1715" s="276"/>
    </row>
    <row r="1716" spans="1:15" ht="15" customHeight="1">
      <c r="A1716" s="905" t="s">
        <v>356</v>
      </c>
      <c r="B1716" s="642" t="s">
        <v>130</v>
      </c>
      <c r="C1716" s="546"/>
      <c r="D1716" s="902"/>
      <c r="E1716" s="906"/>
      <c r="F1716" s="907"/>
      <c r="G1716" s="905" t="s">
        <v>356</v>
      </c>
      <c r="H1716" s="642" t="s">
        <v>131</v>
      </c>
      <c r="I1716" s="546"/>
      <c r="J1716" s="902"/>
      <c r="L1716" s="938"/>
      <c r="M1716" s="938"/>
      <c r="N1716" s="938"/>
      <c r="O1716" s="938"/>
    </row>
    <row r="1717" spans="1:15" ht="15" customHeight="1">
      <c r="A1717" s="905" t="s">
        <v>359</v>
      </c>
      <c r="B1717" s="939" t="s">
        <v>360</v>
      </c>
      <c r="C1717" s="910" t="e">
        <f>VLOOKUP(B1716,'LƯƠNG KT'!$D$16:$AC$184,3,0)</f>
        <v>#N/A</v>
      </c>
      <c r="D1717" s="609" t="e">
        <f>+C1717*25000</f>
        <v>#N/A</v>
      </c>
      <c r="E1717" s="911"/>
      <c r="F1717" s="911"/>
      <c r="G1717" s="905" t="s">
        <v>359</v>
      </c>
      <c r="H1717" s="939" t="s">
        <v>360</v>
      </c>
      <c r="I1717" s="910" t="e">
        <f>VLOOKUP(H1716,'LƯƠNG KT'!$D$16:$AC$184,3,0)</f>
        <v>#N/A</v>
      </c>
      <c r="J1717" s="609" t="e">
        <f>+I1717*25000</f>
        <v>#N/A</v>
      </c>
      <c r="K1717" s="935"/>
      <c r="L1717" s="935"/>
      <c r="M1717" s="935"/>
      <c r="N1717" s="935"/>
      <c r="O1717" s="935"/>
    </row>
    <row r="1718" spans="1:15" ht="15" customHeight="1">
      <c r="A1718" s="905" t="s">
        <v>361</v>
      </c>
      <c r="B1718" s="546" t="s">
        <v>362</v>
      </c>
      <c r="C1718" s="910" t="e">
        <f>VLOOKUP(B1716,'LƯƠNG KT'!$D$16:$AC$184,14,0)</f>
        <v>#N/A</v>
      </c>
      <c r="D1718" s="609" t="e">
        <f>C1718*$L$4</f>
        <v>#N/A</v>
      </c>
      <c r="E1718" s="912"/>
      <c r="F1718" s="912"/>
      <c r="G1718" s="905" t="s">
        <v>361</v>
      </c>
      <c r="H1718" s="546" t="s">
        <v>362</v>
      </c>
      <c r="I1718" s="910" t="e">
        <f>VLOOKUP(H1716,'LƯƠNG KT'!$D$16:$AC$184,14,0)</f>
        <v>#N/A</v>
      </c>
      <c r="J1718" s="609" t="e">
        <f>I1718*$L$4</f>
        <v>#N/A</v>
      </c>
      <c r="K1718" s="935"/>
      <c r="L1718" s="935"/>
      <c r="M1718" s="935"/>
      <c r="N1718" s="935"/>
      <c r="O1718" s="935"/>
    </row>
    <row r="1719" spans="1:15" ht="15" customHeight="1">
      <c r="A1719" s="905" t="s">
        <v>364</v>
      </c>
      <c r="B1719" s="546" t="s">
        <v>365</v>
      </c>
      <c r="C1719" s="910" t="e">
        <f>VLOOKUP(B1716,'LƯƠNG KT'!$D$16:$AC$184,15,0)</f>
        <v>#N/A</v>
      </c>
      <c r="D1719" s="609" t="e">
        <f>C1719*$L$5</f>
        <v>#N/A</v>
      </c>
      <c r="E1719" s="912"/>
      <c r="F1719" s="912"/>
      <c r="G1719" s="905" t="s">
        <v>364</v>
      </c>
      <c r="H1719" s="546" t="s">
        <v>365</v>
      </c>
      <c r="I1719" s="910" t="e">
        <f>VLOOKUP(H1716,'LƯƠNG KT'!$D$16:$AC$184,15,0)</f>
        <v>#N/A</v>
      </c>
      <c r="J1719" s="609" t="e">
        <f>I1719*$L$5</f>
        <v>#N/A</v>
      </c>
      <c r="K1719" s="935"/>
      <c r="L1719" s="935"/>
      <c r="M1719" s="935"/>
      <c r="N1719" s="935"/>
      <c r="O1719" s="935"/>
    </row>
    <row r="1720" spans="1:15" ht="15" customHeight="1">
      <c r="A1720" s="905" t="s">
        <v>367</v>
      </c>
      <c r="B1720" s="546"/>
      <c r="C1720" s="910" t="e">
        <f>VLOOKUP(B1716,'LƯƠNG KT'!$D$16:$AC$184,16,0)</f>
        <v>#N/A</v>
      </c>
      <c r="D1720" s="609" t="e">
        <f>+C1720*$L$6</f>
        <v>#N/A</v>
      </c>
      <c r="E1720" s="912"/>
      <c r="F1720" s="912"/>
      <c r="G1720" s="905" t="s">
        <v>367</v>
      </c>
      <c r="H1720" s="546"/>
      <c r="I1720" s="910" t="e">
        <f>VLOOKUP(H1716,'LƯƠNG KT'!$D$16:$AC$184,16,0)</f>
        <v>#N/A</v>
      </c>
      <c r="J1720" s="609" t="e">
        <f>+I1720*$L$6</f>
        <v>#N/A</v>
      </c>
      <c r="K1720" s="935"/>
      <c r="L1720" s="935"/>
      <c r="M1720" s="935"/>
      <c r="N1720" s="935"/>
      <c r="O1720" s="935"/>
    </row>
    <row r="1721" spans="1:15" ht="15" customHeight="1">
      <c r="A1721" s="905" t="s">
        <v>371</v>
      </c>
      <c r="B1721" s="546" t="s">
        <v>372</v>
      </c>
      <c r="C1721" s="910" t="e">
        <f>VLOOKUP(B1716,'LƯƠNG KT'!$D$16:$AC$184,9,0)*$L$10</f>
        <v>#N/A</v>
      </c>
      <c r="D1721" s="609" t="e">
        <f>+C1721*0.5*3000</f>
        <v>#N/A</v>
      </c>
      <c r="E1721" s="912"/>
      <c r="F1721" s="912"/>
      <c r="G1721" s="905" t="s">
        <v>371</v>
      </c>
      <c r="H1721" s="546" t="s">
        <v>372</v>
      </c>
      <c r="I1721" s="910" t="e">
        <f>VLOOKUP(H1716,'LƯƠNG KT'!$D$16:$AC$184,9,0)*$L$10</f>
        <v>#N/A</v>
      </c>
      <c r="J1721" s="609" t="e">
        <f>+I1721*0.5*3000</f>
        <v>#N/A</v>
      </c>
      <c r="K1721" s="935"/>
      <c r="L1721" s="935"/>
      <c r="M1721" s="935"/>
      <c r="N1721" s="935"/>
      <c r="O1721" s="935"/>
    </row>
    <row r="1722" spans="1:15" ht="15" customHeight="1">
      <c r="A1722" s="905" t="s">
        <v>374</v>
      </c>
      <c r="B1722" s="546" t="s">
        <v>375</v>
      </c>
      <c r="C1722" s="910" t="e">
        <f>VLOOKUP(B1716,'LƯƠNG KT'!$D$16:$AC$184,8,0)*$L$11</f>
        <v>#N/A</v>
      </c>
      <c r="D1722" s="609" t="e">
        <f>VLOOKUP(B1716,'LƯƠNG KT'!$D$16:$AC$184,13,0)-D1721</f>
        <v>#N/A</v>
      </c>
      <c r="E1722" s="914"/>
      <c r="F1722" s="912"/>
      <c r="G1722" s="905" t="s">
        <v>374</v>
      </c>
      <c r="H1722" s="546" t="s">
        <v>375</v>
      </c>
      <c r="I1722" s="910" t="e">
        <f>VLOOKUP(H1716,'LƯƠNG KT'!$D$16:$AC$184,8,0)*$L$11</f>
        <v>#N/A</v>
      </c>
      <c r="J1722" s="609" t="e">
        <f>VLOOKUP(H1716,'LƯƠNG KT'!$D$16:$AC$184,13,0)-J1721</f>
        <v>#N/A</v>
      </c>
      <c r="K1722" s="935"/>
      <c r="L1722" s="935"/>
      <c r="M1722" s="935"/>
      <c r="N1722" s="935"/>
      <c r="O1722" s="935"/>
    </row>
    <row r="1723" spans="1:15" ht="15" customHeight="1">
      <c r="A1723" s="609" t="s">
        <v>377</v>
      </c>
      <c r="B1723" s="546" t="s">
        <v>378</v>
      </c>
      <c r="C1723" s="910"/>
      <c r="D1723" s="609"/>
      <c r="E1723" s="916"/>
      <c r="F1723" s="916"/>
      <c r="G1723" s="609" t="s">
        <v>377</v>
      </c>
      <c r="H1723" s="546" t="s">
        <v>378</v>
      </c>
      <c r="I1723" s="910"/>
      <c r="J1723" s="609"/>
    </row>
    <row r="1724" spans="1:15" ht="15" customHeight="1">
      <c r="A1724" s="547" t="s">
        <v>379</v>
      </c>
      <c r="B1724" s="546" t="s">
        <v>380</v>
      </c>
      <c r="C1724" s="910"/>
      <c r="D1724" s="609"/>
      <c r="E1724" s="914"/>
      <c r="F1724" s="916"/>
      <c r="G1724" s="547" t="s">
        <v>379</v>
      </c>
      <c r="H1724" s="546" t="s">
        <v>380</v>
      </c>
      <c r="I1724" s="910"/>
      <c r="J1724" s="609"/>
    </row>
    <row r="1725" spans="1:15" ht="15" customHeight="1">
      <c r="A1725" s="905" t="s">
        <v>381</v>
      </c>
      <c r="B1725" s="546" t="s">
        <v>382</v>
      </c>
      <c r="C1725" s="910"/>
      <c r="D1725" s="609">
        <f>D1724</f>
        <v>0</v>
      </c>
      <c r="E1725" s="917"/>
      <c r="F1725" s="904"/>
      <c r="G1725" s="905" t="s">
        <v>381</v>
      </c>
      <c r="H1725" s="546" t="s">
        <v>382</v>
      </c>
      <c r="I1725" s="910"/>
      <c r="J1725" s="609">
        <f>J1724</f>
        <v>0</v>
      </c>
    </row>
    <row r="1726" spans="1:15" ht="15" customHeight="1">
      <c r="A1726" s="918" t="s">
        <v>383</v>
      </c>
      <c r="B1726" s="919" t="s">
        <v>384</v>
      </c>
      <c r="C1726" s="920"/>
      <c r="D1726" s="921" t="e">
        <f>SUM(D1717:D1722)-D1725</f>
        <v>#N/A</v>
      </c>
      <c r="E1726" s="922"/>
      <c r="F1726" s="923"/>
      <c r="G1726" s="918" t="s">
        <v>383</v>
      </c>
      <c r="H1726" s="919" t="s">
        <v>384</v>
      </c>
      <c r="I1726" s="920"/>
      <c r="J1726" s="921" t="e">
        <f>SUM(J1717:J1722)-J1725</f>
        <v>#N/A</v>
      </c>
    </row>
    <row r="1727" spans="1:15" ht="15.75" customHeight="1">
      <c r="A1727" s="924"/>
      <c r="B1727" s="925"/>
      <c r="C1727" s="926"/>
      <c r="D1727" s="927"/>
      <c r="E1727" s="927"/>
      <c r="F1727" s="928"/>
      <c r="G1727" s="924"/>
      <c r="H1727" s="925"/>
      <c r="I1727" s="926"/>
      <c r="J1727" s="927"/>
    </row>
    <row r="1729" spans="1:15" ht="12" customHeight="1">
      <c r="A1729" s="2361"/>
      <c r="B1729" s="2361"/>
      <c r="C1729" s="2361"/>
      <c r="D1729" s="2361"/>
      <c r="E1729" s="2361"/>
      <c r="F1729" s="2361"/>
      <c r="G1729" s="2361"/>
      <c r="H1729" s="2361"/>
      <c r="I1729" s="2361"/>
      <c r="J1729" s="2361"/>
    </row>
    <row r="1730" spans="1:15" ht="15" customHeight="1">
      <c r="A1730" s="2360" t="str">
        <f>$K$2</f>
        <v>THÁNG 09/2024</v>
      </c>
      <c r="B1730" s="2360"/>
      <c r="C1730" s="2360"/>
      <c r="D1730" s="2360"/>
      <c r="E1730" s="903"/>
      <c r="F1730" s="904"/>
      <c r="G1730" s="2360" t="str">
        <f>$K$2</f>
        <v>THÁNG 09/2024</v>
      </c>
      <c r="H1730" s="2360"/>
      <c r="I1730" s="2360"/>
      <c r="J1730" s="2360"/>
      <c r="K1730" s="276"/>
    </row>
    <row r="1731" spans="1:15" ht="15" customHeight="1">
      <c r="A1731" s="905" t="s">
        <v>356</v>
      </c>
      <c r="B1731" s="642" t="s">
        <v>132</v>
      </c>
      <c r="C1731" s="546"/>
      <c r="D1731" s="902"/>
      <c r="E1731" s="906"/>
      <c r="F1731" s="907"/>
      <c r="G1731" s="905" t="s">
        <v>356</v>
      </c>
      <c r="H1731" s="642" t="s">
        <v>133</v>
      </c>
      <c r="I1731" s="546"/>
      <c r="J1731" s="902"/>
      <c r="L1731" s="938"/>
      <c r="M1731" s="938"/>
      <c r="N1731" s="938"/>
      <c r="O1731" s="938"/>
    </row>
    <row r="1732" spans="1:15" ht="15" customHeight="1">
      <c r="A1732" s="905" t="s">
        <v>359</v>
      </c>
      <c r="B1732" s="939" t="s">
        <v>360</v>
      </c>
      <c r="C1732" s="910" t="e">
        <f>VLOOKUP(B1731,'LƯƠNG KT'!$D$16:$AC$184,3,0)</f>
        <v>#N/A</v>
      </c>
      <c r="D1732" s="609" t="e">
        <f>+C1732*25000</f>
        <v>#N/A</v>
      </c>
      <c r="E1732" s="911"/>
      <c r="F1732" s="911"/>
      <c r="G1732" s="905" t="s">
        <v>359</v>
      </c>
      <c r="H1732" s="939" t="s">
        <v>360</v>
      </c>
      <c r="I1732" s="910" t="e">
        <f>VLOOKUP(H1731,'LƯƠNG KT'!$D$16:$AC$184,3,0)</f>
        <v>#N/A</v>
      </c>
      <c r="J1732" s="609" t="e">
        <f>+I1732*25000</f>
        <v>#N/A</v>
      </c>
      <c r="K1732" s="934"/>
      <c r="L1732" s="935"/>
      <c r="M1732" s="935"/>
      <c r="N1732" s="935"/>
      <c r="O1732" s="935"/>
    </row>
    <row r="1733" spans="1:15" ht="15" customHeight="1">
      <c r="A1733" s="905" t="s">
        <v>361</v>
      </c>
      <c r="B1733" s="546" t="s">
        <v>362</v>
      </c>
      <c r="C1733" s="910" t="e">
        <f>VLOOKUP(B1731,'LƯƠNG KT'!$D$16:$AC$184,14,0)</f>
        <v>#N/A</v>
      </c>
      <c r="D1733" s="609" t="e">
        <f>C1733*$L$4</f>
        <v>#N/A</v>
      </c>
      <c r="E1733" s="912"/>
      <c r="F1733" s="912"/>
      <c r="G1733" s="905" t="s">
        <v>361</v>
      </c>
      <c r="H1733" s="546" t="s">
        <v>362</v>
      </c>
      <c r="I1733" s="910" t="e">
        <f>VLOOKUP(H1731,'LƯƠNG KT'!$D$16:$AC$184,14,0)</f>
        <v>#N/A</v>
      </c>
      <c r="J1733" s="609" t="e">
        <f>I1733*$L$4</f>
        <v>#N/A</v>
      </c>
      <c r="K1733" s="934"/>
      <c r="L1733" s="935"/>
      <c r="M1733" s="935"/>
      <c r="N1733" s="935"/>
      <c r="O1733" s="935"/>
    </row>
    <row r="1734" spans="1:15" ht="15" customHeight="1">
      <c r="A1734" s="905" t="s">
        <v>364</v>
      </c>
      <c r="B1734" s="546" t="s">
        <v>365</v>
      </c>
      <c r="C1734" s="910" t="e">
        <f>VLOOKUP(B1731,'LƯƠNG KT'!$D$16:$AC$184,15,0)</f>
        <v>#N/A</v>
      </c>
      <c r="D1734" s="609" t="e">
        <f>C1734*$L$5</f>
        <v>#N/A</v>
      </c>
      <c r="E1734" s="912"/>
      <c r="F1734" s="912"/>
      <c r="G1734" s="905" t="s">
        <v>364</v>
      </c>
      <c r="H1734" s="546" t="s">
        <v>365</v>
      </c>
      <c r="I1734" s="910" t="e">
        <f>VLOOKUP(H1731,'LƯƠNG KT'!$D$16:$AC$184,15,0)</f>
        <v>#N/A</v>
      </c>
      <c r="J1734" s="609" t="e">
        <f>I1734*$L$5</f>
        <v>#N/A</v>
      </c>
      <c r="K1734" s="934"/>
      <c r="L1734" s="935"/>
      <c r="M1734" s="935"/>
      <c r="N1734" s="935"/>
      <c r="O1734" s="935"/>
    </row>
    <row r="1735" spans="1:15" ht="15" customHeight="1">
      <c r="A1735" s="905" t="s">
        <v>367</v>
      </c>
      <c r="B1735" s="546"/>
      <c r="C1735" s="910" t="e">
        <f>VLOOKUP(B1731,'LƯƠNG KT'!$D$16:$AC$184,16,0)</f>
        <v>#N/A</v>
      </c>
      <c r="D1735" s="609" t="e">
        <f>+C1735*$L$6</f>
        <v>#N/A</v>
      </c>
      <c r="E1735" s="912"/>
      <c r="F1735" s="912"/>
      <c r="G1735" s="905" t="s">
        <v>367</v>
      </c>
      <c r="H1735" s="546"/>
      <c r="I1735" s="910" t="e">
        <f>VLOOKUP(H1731,'LƯƠNG KT'!$D$16:$AC$184,16,0)</f>
        <v>#N/A</v>
      </c>
      <c r="J1735" s="609" t="e">
        <f>+I1735*$L$6</f>
        <v>#N/A</v>
      </c>
      <c r="K1735" s="935"/>
      <c r="L1735" s="935"/>
      <c r="M1735" s="935"/>
      <c r="N1735" s="935"/>
      <c r="O1735" s="935"/>
    </row>
    <row r="1736" spans="1:15" ht="15" customHeight="1">
      <c r="A1736" s="905" t="s">
        <v>371</v>
      </c>
      <c r="B1736" s="546" t="s">
        <v>372</v>
      </c>
      <c r="C1736" s="910" t="e">
        <f>VLOOKUP(B1731,'LƯƠNG KT'!$D$16:$AC$184,9,0)*$L$10</f>
        <v>#N/A</v>
      </c>
      <c r="D1736" s="609" t="e">
        <f>+C1736*0.5*3000</f>
        <v>#N/A</v>
      </c>
      <c r="E1736" s="912"/>
      <c r="F1736" s="912"/>
      <c r="G1736" s="905" t="s">
        <v>371</v>
      </c>
      <c r="H1736" s="546" t="s">
        <v>372</v>
      </c>
      <c r="I1736" s="910" t="e">
        <f>VLOOKUP(H1731,'LƯƠNG KT'!$D$16:$AC$184,9,0)*$L$10</f>
        <v>#N/A</v>
      </c>
      <c r="J1736" s="609" t="e">
        <f>+I1736*0.5*3000</f>
        <v>#N/A</v>
      </c>
      <c r="K1736" s="935"/>
      <c r="L1736" s="935"/>
      <c r="M1736" s="935"/>
      <c r="N1736" s="935"/>
      <c r="O1736" s="935"/>
    </row>
    <row r="1737" spans="1:15" ht="15" customHeight="1">
      <c r="A1737" s="905" t="s">
        <v>374</v>
      </c>
      <c r="B1737" s="546" t="s">
        <v>375</v>
      </c>
      <c r="C1737" s="910" t="e">
        <f>VLOOKUP(B1731,'LƯƠNG KT'!$D$16:$AC$184,8,0)*$L$11</f>
        <v>#N/A</v>
      </c>
      <c r="D1737" s="609" t="e">
        <f>VLOOKUP(B1731,'LƯƠNG KT'!$D$16:$AC$184,13,0)-D1736</f>
        <v>#N/A</v>
      </c>
      <c r="E1737" s="914"/>
      <c r="F1737" s="912"/>
      <c r="G1737" s="905" t="s">
        <v>374</v>
      </c>
      <c r="H1737" s="546" t="s">
        <v>375</v>
      </c>
      <c r="I1737" s="910" t="e">
        <f>VLOOKUP(H1731,'LƯƠNG KT'!$D$16:$AC$184,8,0)*$L$11</f>
        <v>#N/A</v>
      </c>
      <c r="J1737" s="609" t="e">
        <f>VLOOKUP(H1731,'LƯƠNG KT'!$D$16:$AC$184,13,0)-J1736</f>
        <v>#N/A</v>
      </c>
      <c r="K1737" s="935"/>
      <c r="L1737" s="935"/>
      <c r="M1737" s="935"/>
      <c r="N1737" s="935"/>
      <c r="O1737" s="935"/>
    </row>
    <row r="1738" spans="1:15" ht="15" customHeight="1">
      <c r="A1738" s="609" t="s">
        <v>377</v>
      </c>
      <c r="B1738" s="546" t="s">
        <v>378</v>
      </c>
      <c r="C1738" s="910"/>
      <c r="D1738" s="609"/>
      <c r="E1738" s="916"/>
      <c r="F1738" s="916"/>
      <c r="G1738" s="609" t="s">
        <v>377</v>
      </c>
      <c r="H1738" s="546" t="s">
        <v>378</v>
      </c>
      <c r="I1738" s="910"/>
      <c r="J1738" s="609"/>
    </row>
    <row r="1739" spans="1:15" ht="15" customHeight="1">
      <c r="A1739" s="547" t="s">
        <v>379</v>
      </c>
      <c r="B1739" s="546" t="s">
        <v>380</v>
      </c>
      <c r="C1739" s="910"/>
      <c r="D1739" s="609"/>
      <c r="E1739" s="914"/>
      <c r="F1739" s="916"/>
      <c r="G1739" s="547" t="s">
        <v>379</v>
      </c>
      <c r="H1739" s="546" t="s">
        <v>380</v>
      </c>
      <c r="I1739" s="910"/>
      <c r="J1739" s="609"/>
    </row>
    <row r="1740" spans="1:15" ht="15" customHeight="1">
      <c r="A1740" s="905" t="s">
        <v>381</v>
      </c>
      <c r="B1740" s="546" t="s">
        <v>382</v>
      </c>
      <c r="C1740" s="910"/>
      <c r="D1740" s="609">
        <f>D1739</f>
        <v>0</v>
      </c>
      <c r="E1740" s="917"/>
      <c r="F1740" s="904"/>
      <c r="G1740" s="905" t="s">
        <v>381</v>
      </c>
      <c r="H1740" s="546" t="s">
        <v>382</v>
      </c>
      <c r="I1740" s="910"/>
      <c r="J1740" s="609">
        <f>J1739</f>
        <v>0</v>
      </c>
    </row>
    <row r="1741" spans="1:15" ht="15" customHeight="1">
      <c r="A1741" s="918" t="s">
        <v>383</v>
      </c>
      <c r="B1741" s="919" t="s">
        <v>384</v>
      </c>
      <c r="C1741" s="920"/>
      <c r="D1741" s="921" t="e">
        <f>SUM(D1732:D1737)-D1740</f>
        <v>#N/A</v>
      </c>
      <c r="E1741" s="922"/>
      <c r="F1741" s="923"/>
      <c r="G1741" s="918" t="s">
        <v>383</v>
      </c>
      <c r="H1741" s="919" t="s">
        <v>384</v>
      </c>
      <c r="I1741" s="920"/>
      <c r="J1741" s="921" t="e">
        <f>SUM(J1732:J1737)-J1740</f>
        <v>#N/A</v>
      </c>
    </row>
    <row r="1742" spans="1:15" ht="12.6" customHeight="1">
      <c r="A1742" s="924"/>
      <c r="B1742" s="925"/>
      <c r="C1742" s="926"/>
      <c r="D1742" s="927"/>
      <c r="E1742" s="927"/>
      <c r="F1742" s="928"/>
      <c r="G1742" s="924"/>
      <c r="H1742" s="925"/>
      <c r="I1742" s="926"/>
      <c r="J1742" s="927"/>
    </row>
    <row r="1743" spans="1:15" ht="12.6" customHeight="1">
      <c r="A1743" s="925"/>
      <c r="B1743" s="925"/>
      <c r="C1743" s="929"/>
      <c r="D1743" s="930"/>
      <c r="E1743" s="925"/>
      <c r="F1743" s="931"/>
      <c r="G1743" s="925"/>
      <c r="H1743" s="925"/>
      <c r="I1743" s="929"/>
      <c r="J1743" s="930"/>
    </row>
    <row r="1744" spans="1:15" ht="15" customHeight="1">
      <c r="A1744" s="2360" t="str">
        <f>$K$2</f>
        <v>THÁNG 09/2024</v>
      </c>
      <c r="B1744" s="2360"/>
      <c r="C1744" s="2360"/>
      <c r="D1744" s="2360"/>
      <c r="E1744" s="903"/>
      <c r="F1744" s="904"/>
      <c r="G1744" s="2360" t="str">
        <f>$K$2</f>
        <v>THÁNG 09/2024</v>
      </c>
      <c r="H1744" s="2360"/>
      <c r="I1744" s="2360"/>
      <c r="J1744" s="2360"/>
      <c r="K1744" s="276"/>
    </row>
    <row r="1745" spans="1:15" ht="15" customHeight="1">
      <c r="A1745" s="905" t="s">
        <v>356</v>
      </c>
      <c r="B1745" s="642" t="s">
        <v>134</v>
      </c>
      <c r="C1745" s="546"/>
      <c r="D1745" s="902"/>
      <c r="E1745" s="906"/>
      <c r="F1745" s="907"/>
      <c r="G1745" s="905" t="s">
        <v>356</v>
      </c>
      <c r="H1745" s="642" t="s">
        <v>135</v>
      </c>
      <c r="I1745" s="546"/>
      <c r="J1745" s="902"/>
      <c r="L1745" s="938"/>
      <c r="M1745" s="938"/>
      <c r="N1745" s="938"/>
      <c r="O1745" s="938"/>
    </row>
    <row r="1746" spans="1:15" ht="15" customHeight="1">
      <c r="A1746" s="905" t="s">
        <v>359</v>
      </c>
      <c r="B1746" s="939" t="s">
        <v>360</v>
      </c>
      <c r="C1746" s="910" t="e">
        <f>VLOOKUP(B1745,'LƯƠNG KT'!$D$16:$AC$184,3,0)</f>
        <v>#N/A</v>
      </c>
      <c r="D1746" s="609" t="e">
        <f>+C1746*25000</f>
        <v>#N/A</v>
      </c>
      <c r="E1746" s="911"/>
      <c r="F1746" s="911"/>
      <c r="G1746" s="905" t="s">
        <v>359</v>
      </c>
      <c r="H1746" s="939" t="s">
        <v>360</v>
      </c>
      <c r="I1746" s="910" t="e">
        <f>VLOOKUP(H1745,'LƯƠNG KT'!$D$16:$AC$184,3,0)</f>
        <v>#N/A</v>
      </c>
      <c r="J1746" s="609" t="e">
        <f>+I1746*25000</f>
        <v>#N/A</v>
      </c>
      <c r="K1746" s="935"/>
      <c r="L1746" s="935"/>
      <c r="M1746" s="935"/>
      <c r="N1746" s="935"/>
      <c r="O1746" s="935"/>
    </row>
    <row r="1747" spans="1:15" ht="15" customHeight="1">
      <c r="A1747" s="905" t="s">
        <v>361</v>
      </c>
      <c r="B1747" s="546" t="s">
        <v>362</v>
      </c>
      <c r="C1747" s="910" t="e">
        <f>VLOOKUP(B1745,'LƯƠNG KT'!$D$16:$AC$184,14,0)</f>
        <v>#N/A</v>
      </c>
      <c r="D1747" s="609" t="e">
        <f>C1747*$L$4</f>
        <v>#N/A</v>
      </c>
      <c r="E1747" s="912"/>
      <c r="F1747" s="912"/>
      <c r="G1747" s="905" t="s">
        <v>361</v>
      </c>
      <c r="H1747" s="546" t="s">
        <v>362</v>
      </c>
      <c r="I1747" s="910" t="e">
        <f>VLOOKUP(H1745,'LƯƠNG KT'!$D$16:$AC$184,14,0)</f>
        <v>#N/A</v>
      </c>
      <c r="J1747" s="609" t="e">
        <f>I1747*$L$4</f>
        <v>#N/A</v>
      </c>
      <c r="K1747" s="935"/>
      <c r="L1747" s="935"/>
      <c r="M1747" s="935"/>
      <c r="N1747" s="935"/>
      <c r="O1747" s="935"/>
    </row>
    <row r="1748" spans="1:15" ht="15" customHeight="1">
      <c r="A1748" s="905" t="s">
        <v>364</v>
      </c>
      <c r="B1748" s="546" t="s">
        <v>365</v>
      </c>
      <c r="C1748" s="910" t="e">
        <f>VLOOKUP(B1745,'LƯƠNG KT'!$D$16:$AC$184,15,0)</f>
        <v>#N/A</v>
      </c>
      <c r="D1748" s="609" t="e">
        <f>C1748*$L$5</f>
        <v>#N/A</v>
      </c>
      <c r="E1748" s="912"/>
      <c r="F1748" s="912"/>
      <c r="G1748" s="905" t="s">
        <v>364</v>
      </c>
      <c r="H1748" s="546" t="s">
        <v>365</v>
      </c>
      <c r="I1748" s="910" t="e">
        <f>VLOOKUP(H1745,'LƯƠNG KT'!$D$16:$AC$184,15,0)</f>
        <v>#N/A</v>
      </c>
      <c r="J1748" s="609" t="e">
        <f>I1748*$L$5</f>
        <v>#N/A</v>
      </c>
      <c r="K1748" s="935"/>
      <c r="L1748" s="935"/>
      <c r="M1748" s="935"/>
      <c r="N1748" s="935"/>
      <c r="O1748" s="935"/>
    </row>
    <row r="1749" spans="1:15" ht="15" customHeight="1">
      <c r="A1749" s="905" t="s">
        <v>367</v>
      </c>
      <c r="B1749" s="546"/>
      <c r="C1749" s="910" t="e">
        <f>VLOOKUP(B1745,'LƯƠNG KT'!$D$16:$AC$184,16,0)</f>
        <v>#N/A</v>
      </c>
      <c r="D1749" s="609" t="e">
        <f>+C1749*$L$6</f>
        <v>#N/A</v>
      </c>
      <c r="E1749" s="912"/>
      <c r="F1749" s="912"/>
      <c r="G1749" s="905" t="s">
        <v>367</v>
      </c>
      <c r="H1749" s="546"/>
      <c r="I1749" s="910" t="e">
        <f>VLOOKUP(H1745,'LƯƠNG KT'!$D$16:$AC$184,16,0)</f>
        <v>#N/A</v>
      </c>
      <c r="J1749" s="609" t="e">
        <f>+I1749*$L$6</f>
        <v>#N/A</v>
      </c>
      <c r="K1749" s="935"/>
      <c r="L1749" s="935"/>
      <c r="M1749" s="935"/>
      <c r="N1749" s="935"/>
      <c r="O1749" s="935"/>
    </row>
    <row r="1750" spans="1:15" ht="15" customHeight="1">
      <c r="A1750" s="905" t="s">
        <v>371</v>
      </c>
      <c r="B1750" s="546" t="s">
        <v>372</v>
      </c>
      <c r="C1750" s="910" t="e">
        <f>VLOOKUP(B1745,'LƯƠNG KT'!$D$16:$AC$184,9,0)*$L$10</f>
        <v>#N/A</v>
      </c>
      <c r="D1750" s="609" t="e">
        <f>+C1750*0.5*3000</f>
        <v>#N/A</v>
      </c>
      <c r="E1750" s="912"/>
      <c r="F1750" s="912"/>
      <c r="G1750" s="905" t="s">
        <v>371</v>
      </c>
      <c r="H1750" s="546" t="s">
        <v>372</v>
      </c>
      <c r="I1750" s="910" t="e">
        <f>VLOOKUP(H1745,'LƯƠNG KT'!$D$16:$AC$184,9,0)*$L$10</f>
        <v>#N/A</v>
      </c>
      <c r="J1750" s="609" t="e">
        <f>+I1750*0.5*3000</f>
        <v>#N/A</v>
      </c>
      <c r="K1750" s="935"/>
      <c r="L1750" s="935"/>
      <c r="M1750" s="935"/>
      <c r="N1750" s="935"/>
      <c r="O1750" s="935"/>
    </row>
    <row r="1751" spans="1:15" ht="15" customHeight="1">
      <c r="A1751" s="905" t="s">
        <v>374</v>
      </c>
      <c r="B1751" s="546" t="s">
        <v>375</v>
      </c>
      <c r="C1751" s="910" t="e">
        <f>VLOOKUP(B1745,'LƯƠNG KT'!$D$16:$AC$184,8,0)*$L$11</f>
        <v>#N/A</v>
      </c>
      <c r="D1751" s="609" t="e">
        <f>VLOOKUP(B1745,'LƯƠNG KT'!$D$16:$AC$184,13,0)-D1750</f>
        <v>#N/A</v>
      </c>
      <c r="E1751" s="914"/>
      <c r="F1751" s="912"/>
      <c r="G1751" s="905" t="s">
        <v>374</v>
      </c>
      <c r="H1751" s="546" t="s">
        <v>375</v>
      </c>
      <c r="I1751" s="910" t="e">
        <f>VLOOKUP(H1745,'LƯƠNG KT'!$D$16:$AC$184,8,0)*$L$11</f>
        <v>#N/A</v>
      </c>
      <c r="J1751" s="609" t="e">
        <f>VLOOKUP(H1745,'LƯƠNG KT'!$D$16:$AC$184,13,0)-J1750</f>
        <v>#N/A</v>
      </c>
      <c r="K1751" s="935"/>
      <c r="L1751" s="935"/>
      <c r="M1751" s="935"/>
      <c r="N1751" s="935"/>
      <c r="O1751" s="935"/>
    </row>
    <row r="1752" spans="1:15" ht="15" customHeight="1">
      <c r="A1752" s="609" t="s">
        <v>377</v>
      </c>
      <c r="B1752" s="546" t="s">
        <v>378</v>
      </c>
      <c r="C1752" s="910"/>
      <c r="D1752" s="609"/>
      <c r="E1752" s="916"/>
      <c r="F1752" s="916"/>
      <c r="G1752" s="609" t="s">
        <v>377</v>
      </c>
      <c r="H1752" s="546" t="s">
        <v>378</v>
      </c>
      <c r="I1752" s="910"/>
      <c r="J1752" s="609"/>
    </row>
    <row r="1753" spans="1:15" ht="15" customHeight="1">
      <c r="A1753" s="547" t="s">
        <v>379</v>
      </c>
      <c r="B1753" s="546" t="s">
        <v>380</v>
      </c>
      <c r="C1753" s="910"/>
      <c r="D1753" s="609"/>
      <c r="E1753" s="914"/>
      <c r="F1753" s="916"/>
      <c r="G1753" s="547" t="s">
        <v>379</v>
      </c>
      <c r="H1753" s="546" t="s">
        <v>380</v>
      </c>
      <c r="I1753" s="910"/>
      <c r="J1753" s="609"/>
    </row>
    <row r="1754" spans="1:15" ht="15" customHeight="1">
      <c r="A1754" s="905" t="s">
        <v>381</v>
      </c>
      <c r="B1754" s="546" t="s">
        <v>382</v>
      </c>
      <c r="C1754" s="910"/>
      <c r="D1754" s="609">
        <f>D1753</f>
        <v>0</v>
      </c>
      <c r="E1754" s="917"/>
      <c r="F1754" s="904"/>
      <c r="G1754" s="905" t="s">
        <v>381</v>
      </c>
      <c r="H1754" s="546" t="s">
        <v>382</v>
      </c>
      <c r="I1754" s="910"/>
      <c r="J1754" s="609">
        <f>J1753</f>
        <v>0</v>
      </c>
    </row>
    <row r="1755" spans="1:15" ht="15" customHeight="1">
      <c r="A1755" s="918" t="s">
        <v>383</v>
      </c>
      <c r="B1755" s="919" t="s">
        <v>384</v>
      </c>
      <c r="C1755" s="920"/>
      <c r="D1755" s="921" t="e">
        <f>SUM(D1746:D1751)-D1754</f>
        <v>#N/A</v>
      </c>
      <c r="E1755" s="922"/>
      <c r="F1755" s="923"/>
      <c r="G1755" s="918" t="s">
        <v>383</v>
      </c>
      <c r="H1755" s="919" t="s">
        <v>384</v>
      </c>
      <c r="I1755" s="920"/>
      <c r="J1755" s="921" t="e">
        <f>SUM(J1746:J1751)-J1754</f>
        <v>#N/A</v>
      </c>
    </row>
    <row r="1756" spans="1:15" ht="18.75" customHeight="1">
      <c r="A1756" s="924"/>
      <c r="B1756" s="925"/>
      <c r="C1756" s="926"/>
      <c r="D1756" s="927"/>
      <c r="E1756" s="927"/>
      <c r="F1756" s="928"/>
      <c r="G1756" s="924"/>
      <c r="H1756" s="925"/>
      <c r="I1756" s="926"/>
      <c r="J1756" s="927"/>
    </row>
    <row r="1757" spans="1:15" ht="18.75" customHeight="1">
      <c r="A1757" s="925"/>
      <c r="B1757" s="925"/>
      <c r="C1757" s="929"/>
      <c r="D1757" s="930"/>
      <c r="E1757" s="925"/>
      <c r="F1757" s="931"/>
      <c r="G1757" s="925"/>
      <c r="H1757" s="925"/>
      <c r="I1757" s="929"/>
      <c r="J1757" s="930"/>
    </row>
    <row r="1758" spans="1:15" ht="15" customHeight="1">
      <c r="A1758" s="2360" t="str">
        <f>$K$2</f>
        <v>THÁNG 09/2024</v>
      </c>
      <c r="B1758" s="2360"/>
      <c r="C1758" s="2360"/>
      <c r="D1758" s="2360"/>
      <c r="E1758" s="903"/>
      <c r="F1758" s="904"/>
      <c r="G1758" s="2360" t="str">
        <f>$K$2</f>
        <v>THÁNG 09/2024</v>
      </c>
      <c r="H1758" s="2360"/>
      <c r="I1758" s="2360"/>
      <c r="J1758" s="2360"/>
      <c r="K1758" s="276"/>
    </row>
    <row r="1759" spans="1:15" ht="15" customHeight="1">
      <c r="A1759" s="905" t="s">
        <v>356</v>
      </c>
      <c r="B1759" s="642"/>
      <c r="C1759" s="546"/>
      <c r="D1759" s="902"/>
      <c r="E1759" s="906"/>
      <c r="F1759" s="907"/>
      <c r="G1759" s="905" t="s">
        <v>356</v>
      </c>
      <c r="H1759" s="642" t="s">
        <v>136</v>
      </c>
      <c r="I1759" s="546"/>
      <c r="J1759" s="902"/>
      <c r="L1759" s="938"/>
      <c r="M1759" s="938"/>
      <c r="N1759" s="938"/>
      <c r="O1759" s="938"/>
    </row>
    <row r="1760" spans="1:15" ht="15" customHeight="1">
      <c r="A1760" s="905" t="s">
        <v>359</v>
      </c>
      <c r="B1760" s="939" t="s">
        <v>360</v>
      </c>
      <c r="C1760" s="910" t="e">
        <f>VLOOKUP(B1759,'LƯƠNG KT'!$D$16:$AC$184,3,0)</f>
        <v>#N/A</v>
      </c>
      <c r="D1760" s="609" t="e">
        <f>+C1760*25000</f>
        <v>#N/A</v>
      </c>
      <c r="E1760" s="911"/>
      <c r="F1760" s="911"/>
      <c r="G1760" s="905" t="s">
        <v>359</v>
      </c>
      <c r="H1760" s="939" t="s">
        <v>360</v>
      </c>
      <c r="I1760" s="910" t="e">
        <f>VLOOKUP(H1759,'LƯƠNG KT'!$D$16:$AC$184,3,0)</f>
        <v>#N/A</v>
      </c>
      <c r="J1760" s="609" t="e">
        <f>+I1760*25000</f>
        <v>#N/A</v>
      </c>
      <c r="K1760" s="935"/>
      <c r="L1760" s="935"/>
      <c r="M1760" s="935"/>
      <c r="N1760" s="935"/>
      <c r="O1760" s="935"/>
    </row>
    <row r="1761" spans="1:15" ht="15" customHeight="1">
      <c r="A1761" s="905" t="s">
        <v>361</v>
      </c>
      <c r="B1761" s="546" t="s">
        <v>362</v>
      </c>
      <c r="C1761" s="910" t="e">
        <f>VLOOKUP(B1759,'LƯƠNG KT'!$D$16:$AC$184,14,0)</f>
        <v>#N/A</v>
      </c>
      <c r="D1761" s="609" t="e">
        <f>C1761*$L$4</f>
        <v>#N/A</v>
      </c>
      <c r="E1761" s="912"/>
      <c r="F1761" s="912"/>
      <c r="G1761" s="905" t="s">
        <v>361</v>
      </c>
      <c r="H1761" s="546" t="s">
        <v>362</v>
      </c>
      <c r="I1761" s="910" t="e">
        <f>VLOOKUP(H1759,'LƯƠNG KT'!$D$16:$AC$184,14,0)</f>
        <v>#N/A</v>
      </c>
      <c r="J1761" s="609" t="e">
        <f>I1761*$L$4</f>
        <v>#N/A</v>
      </c>
      <c r="K1761" s="935"/>
      <c r="L1761" s="935"/>
      <c r="M1761" s="935"/>
      <c r="N1761" s="935"/>
      <c r="O1761" s="935"/>
    </row>
    <row r="1762" spans="1:15" ht="15" customHeight="1">
      <c r="A1762" s="905" t="s">
        <v>364</v>
      </c>
      <c r="B1762" s="546" t="s">
        <v>365</v>
      </c>
      <c r="C1762" s="910" t="e">
        <f>VLOOKUP(B1759,'LƯƠNG KT'!$D$16:$AC$184,15,0)</f>
        <v>#N/A</v>
      </c>
      <c r="D1762" s="609" t="e">
        <f>C1762*$L$5</f>
        <v>#N/A</v>
      </c>
      <c r="E1762" s="912"/>
      <c r="F1762" s="912"/>
      <c r="G1762" s="905" t="s">
        <v>364</v>
      </c>
      <c r="H1762" s="546" t="s">
        <v>365</v>
      </c>
      <c r="I1762" s="910" t="e">
        <f>VLOOKUP(H1759,'LƯƠNG KT'!$D$16:$AC$184,15,0)</f>
        <v>#N/A</v>
      </c>
      <c r="J1762" s="609" t="e">
        <f>I1762*$L$5</f>
        <v>#N/A</v>
      </c>
      <c r="K1762" s="935"/>
      <c r="L1762" s="935"/>
      <c r="M1762" s="935"/>
      <c r="N1762" s="935"/>
      <c r="O1762" s="935"/>
    </row>
    <row r="1763" spans="1:15" ht="15" customHeight="1">
      <c r="A1763" s="905" t="s">
        <v>367</v>
      </c>
      <c r="B1763" s="546"/>
      <c r="C1763" s="910" t="e">
        <f>VLOOKUP(B1759,'LƯƠNG KT'!$D$16:$AC$184,16,0)</f>
        <v>#N/A</v>
      </c>
      <c r="D1763" s="609" t="e">
        <f>+C1763*$L$6</f>
        <v>#N/A</v>
      </c>
      <c r="E1763" s="912"/>
      <c r="F1763" s="912"/>
      <c r="G1763" s="905" t="s">
        <v>367</v>
      </c>
      <c r="H1763" s="546"/>
      <c r="I1763" s="910" t="e">
        <f>VLOOKUP(H1759,'LƯƠNG KT'!$D$16:$AC$184,16,0)</f>
        <v>#N/A</v>
      </c>
      <c r="J1763" s="609" t="e">
        <f>+I1763*$L$6</f>
        <v>#N/A</v>
      </c>
      <c r="K1763" s="935"/>
      <c r="L1763" s="935"/>
      <c r="M1763" s="935"/>
      <c r="N1763" s="935"/>
      <c r="O1763" s="935"/>
    </row>
    <row r="1764" spans="1:15" ht="15" customHeight="1">
      <c r="A1764" s="905" t="s">
        <v>371</v>
      </c>
      <c r="B1764" s="546" t="s">
        <v>372</v>
      </c>
      <c r="C1764" s="910" t="e">
        <f>VLOOKUP(B1759,'LƯƠNG KT'!$D$16:$AC$184,9,0)*$L$10</f>
        <v>#N/A</v>
      </c>
      <c r="D1764" s="609" t="e">
        <f>+C1764*0.5*3000</f>
        <v>#N/A</v>
      </c>
      <c r="E1764" s="912"/>
      <c r="F1764" s="912"/>
      <c r="G1764" s="905" t="s">
        <v>371</v>
      </c>
      <c r="H1764" s="546" t="s">
        <v>372</v>
      </c>
      <c r="I1764" s="910" t="e">
        <f>VLOOKUP(H1759,'LƯƠNG KT'!$D$16:$AC$184,9,0)*$L$10</f>
        <v>#N/A</v>
      </c>
      <c r="J1764" s="609" t="e">
        <f>+I1764*0.5*3000</f>
        <v>#N/A</v>
      </c>
      <c r="K1764" s="935"/>
      <c r="L1764" s="935"/>
      <c r="M1764" s="935"/>
      <c r="N1764" s="935"/>
      <c r="O1764" s="935"/>
    </row>
    <row r="1765" spans="1:15" ht="15" customHeight="1">
      <c r="A1765" s="905" t="s">
        <v>374</v>
      </c>
      <c r="B1765" s="546" t="s">
        <v>375</v>
      </c>
      <c r="C1765" s="910" t="e">
        <f>VLOOKUP(B1759,'LƯƠNG KT'!$D$16:$AC$184,8,0)*$L$11</f>
        <v>#N/A</v>
      </c>
      <c r="D1765" s="609" t="e">
        <f>VLOOKUP(B1759,'LƯƠNG KT'!$D$16:$AC$184,13,0)-D1764</f>
        <v>#N/A</v>
      </c>
      <c r="E1765" s="914"/>
      <c r="F1765" s="912"/>
      <c r="G1765" s="905" t="s">
        <v>374</v>
      </c>
      <c r="H1765" s="546" t="s">
        <v>375</v>
      </c>
      <c r="I1765" s="910" t="e">
        <f>VLOOKUP(H1759,'LƯƠNG KT'!$D$16:$AC$184,8,0)*$L$11</f>
        <v>#N/A</v>
      </c>
      <c r="J1765" s="609" t="e">
        <f>VLOOKUP(H1759,'LƯƠNG KT'!$D$16:$AC$184,13,0)-J1764</f>
        <v>#N/A</v>
      </c>
      <c r="K1765" s="935"/>
      <c r="L1765" s="935"/>
      <c r="M1765" s="935"/>
      <c r="N1765" s="935"/>
      <c r="O1765" s="935"/>
    </row>
    <row r="1766" spans="1:15" ht="15" customHeight="1">
      <c r="A1766" s="609" t="s">
        <v>377</v>
      </c>
      <c r="B1766" s="546" t="s">
        <v>378</v>
      </c>
      <c r="C1766" s="910"/>
      <c r="D1766" s="609"/>
      <c r="E1766" s="916"/>
      <c r="F1766" s="916"/>
      <c r="G1766" s="609" t="s">
        <v>377</v>
      </c>
      <c r="H1766" s="546" t="s">
        <v>378</v>
      </c>
      <c r="I1766" s="910"/>
      <c r="J1766" s="609"/>
    </row>
    <row r="1767" spans="1:15" ht="15" customHeight="1">
      <c r="A1767" s="547" t="s">
        <v>379</v>
      </c>
      <c r="B1767" s="546" t="s">
        <v>380</v>
      </c>
      <c r="C1767" s="910"/>
      <c r="D1767" s="609"/>
      <c r="E1767" s="914"/>
      <c r="F1767" s="916"/>
      <c r="G1767" s="547" t="s">
        <v>379</v>
      </c>
      <c r="H1767" s="546" t="s">
        <v>380</v>
      </c>
      <c r="I1767" s="910"/>
      <c r="J1767" s="609"/>
    </row>
    <row r="1768" spans="1:15" ht="15" customHeight="1">
      <c r="A1768" s="905" t="s">
        <v>381</v>
      </c>
      <c r="B1768" s="546" t="s">
        <v>382</v>
      </c>
      <c r="C1768" s="910"/>
      <c r="D1768" s="609"/>
      <c r="E1768" s="917"/>
      <c r="F1768" s="904"/>
      <c r="G1768" s="905" t="s">
        <v>381</v>
      </c>
      <c r="H1768" s="546" t="s">
        <v>382</v>
      </c>
      <c r="I1768" s="910"/>
      <c r="J1768" s="609">
        <f>J1767</f>
        <v>0</v>
      </c>
    </row>
    <row r="1769" spans="1:15" ht="15" customHeight="1">
      <c r="A1769" s="918" t="s">
        <v>383</v>
      </c>
      <c r="B1769" s="919" t="s">
        <v>384</v>
      </c>
      <c r="C1769" s="920"/>
      <c r="D1769" s="921"/>
      <c r="E1769" s="922"/>
      <c r="F1769" s="923"/>
      <c r="G1769" s="918" t="s">
        <v>383</v>
      </c>
      <c r="H1769" s="919" t="s">
        <v>384</v>
      </c>
      <c r="I1769" s="920"/>
      <c r="J1769" s="921" t="e">
        <f>SUM(J1760:J1765)-J1768</f>
        <v>#N/A</v>
      </c>
    </row>
    <row r="1770" spans="1:15" ht="18.75" customHeight="1">
      <c r="A1770" s="924"/>
      <c r="B1770" s="925"/>
      <c r="C1770" s="926"/>
      <c r="D1770" s="927"/>
      <c r="E1770" s="927"/>
      <c r="F1770" s="928"/>
      <c r="G1770" s="924"/>
      <c r="H1770" s="925"/>
      <c r="I1770" s="926"/>
      <c r="J1770" s="927"/>
    </row>
    <row r="1771" spans="1:15" ht="18.75" customHeight="1">
      <c r="A1771" s="925"/>
      <c r="B1771" s="925"/>
      <c r="C1771" s="929"/>
      <c r="D1771" s="930"/>
      <c r="E1771" s="925"/>
      <c r="F1771" s="931"/>
      <c r="G1771" s="925"/>
      <c r="H1771" s="925"/>
      <c r="I1771" s="929"/>
      <c r="J1771" s="930"/>
    </row>
    <row r="1772" spans="1:15" ht="15" customHeight="1">
      <c r="A1772" s="2360" t="str">
        <f>$K$2</f>
        <v>THÁNG 09/2024</v>
      </c>
      <c r="B1772" s="2360"/>
      <c r="C1772" s="2360"/>
      <c r="D1772" s="2360"/>
      <c r="E1772" s="903"/>
      <c r="F1772" s="904"/>
      <c r="G1772" s="2360" t="str">
        <f>$K$2</f>
        <v>THÁNG 09/2024</v>
      </c>
      <c r="H1772" s="2360"/>
      <c r="I1772" s="2360"/>
      <c r="J1772" s="2360"/>
      <c r="K1772" s="276"/>
    </row>
    <row r="1773" spans="1:15" ht="15" customHeight="1">
      <c r="A1773" s="905" t="s">
        <v>356</v>
      </c>
      <c r="B1773" s="642" t="s">
        <v>137</v>
      </c>
      <c r="C1773" s="546"/>
      <c r="D1773" s="902"/>
      <c r="E1773" s="906"/>
      <c r="F1773" s="907"/>
      <c r="G1773" s="905" t="s">
        <v>356</v>
      </c>
      <c r="H1773" s="642" t="s">
        <v>138</v>
      </c>
      <c r="I1773" s="546"/>
      <c r="J1773" s="902"/>
      <c r="L1773" s="938"/>
      <c r="M1773" s="938"/>
      <c r="N1773" s="938"/>
      <c r="O1773" s="938"/>
    </row>
    <row r="1774" spans="1:15" ht="15" customHeight="1">
      <c r="A1774" s="905" t="s">
        <v>359</v>
      </c>
      <c r="B1774" s="939" t="s">
        <v>360</v>
      </c>
      <c r="C1774" s="910" t="e">
        <f>VLOOKUP(B1773,'LƯƠNG KT'!$D$16:$AC$184,3,0)</f>
        <v>#N/A</v>
      </c>
      <c r="D1774" s="609" t="e">
        <f>+C1774*25000</f>
        <v>#N/A</v>
      </c>
      <c r="E1774" s="911"/>
      <c r="F1774" s="911"/>
      <c r="G1774" s="905" t="s">
        <v>359</v>
      </c>
      <c r="H1774" s="939" t="s">
        <v>360</v>
      </c>
      <c r="I1774" s="910" t="e">
        <f>VLOOKUP(H1773,'LƯƠNG KT'!$D$16:$AC$184,3,0)</f>
        <v>#N/A</v>
      </c>
      <c r="J1774" s="609" t="e">
        <f>+I1774*25000</f>
        <v>#N/A</v>
      </c>
      <c r="K1774" s="935"/>
      <c r="L1774" s="935"/>
      <c r="M1774" s="935"/>
      <c r="N1774" s="935"/>
      <c r="O1774" s="935"/>
    </row>
    <row r="1775" spans="1:15" ht="15" customHeight="1">
      <c r="A1775" s="905" t="s">
        <v>361</v>
      </c>
      <c r="B1775" s="546" t="s">
        <v>362</v>
      </c>
      <c r="C1775" s="910" t="e">
        <f>VLOOKUP(B1773,'LƯƠNG KT'!$D$16:$AC$184,14,0)</f>
        <v>#N/A</v>
      </c>
      <c r="D1775" s="609" t="e">
        <f>C1775*$L$4</f>
        <v>#N/A</v>
      </c>
      <c r="E1775" s="912"/>
      <c r="F1775" s="912"/>
      <c r="G1775" s="905" t="s">
        <v>361</v>
      </c>
      <c r="H1775" s="546" t="s">
        <v>362</v>
      </c>
      <c r="I1775" s="910" t="e">
        <f>VLOOKUP(H1773,'LƯƠNG KT'!$D$16:$AC$184,14,0)</f>
        <v>#N/A</v>
      </c>
      <c r="J1775" s="609" t="e">
        <f>I1775*$L$4</f>
        <v>#N/A</v>
      </c>
      <c r="K1775" s="935"/>
      <c r="L1775" s="935"/>
      <c r="M1775" s="935"/>
      <c r="N1775" s="935"/>
      <c r="O1775" s="935"/>
    </row>
    <row r="1776" spans="1:15" ht="15" customHeight="1">
      <c r="A1776" s="905" t="s">
        <v>364</v>
      </c>
      <c r="B1776" s="546" t="s">
        <v>365</v>
      </c>
      <c r="C1776" s="910" t="e">
        <f>VLOOKUP(B1773,'LƯƠNG KT'!$D$16:$AC$184,15,0)</f>
        <v>#N/A</v>
      </c>
      <c r="D1776" s="609" t="e">
        <f>C1776*$L$5</f>
        <v>#N/A</v>
      </c>
      <c r="E1776" s="912"/>
      <c r="F1776" s="912"/>
      <c r="G1776" s="905" t="s">
        <v>364</v>
      </c>
      <c r="H1776" s="546" t="s">
        <v>365</v>
      </c>
      <c r="I1776" s="910" t="e">
        <f>VLOOKUP(H1773,'LƯƠNG KT'!$D$16:$AC$184,15,0)</f>
        <v>#N/A</v>
      </c>
      <c r="J1776" s="609" t="e">
        <f>I1776*$L$5</f>
        <v>#N/A</v>
      </c>
      <c r="K1776" s="935"/>
      <c r="L1776" s="935"/>
      <c r="M1776" s="935"/>
      <c r="N1776" s="935"/>
      <c r="O1776" s="935"/>
    </row>
    <row r="1777" spans="1:15" ht="15" customHeight="1">
      <c r="A1777" s="905" t="s">
        <v>367</v>
      </c>
      <c r="B1777" s="546"/>
      <c r="C1777" s="910" t="e">
        <f>VLOOKUP(B1773,'LƯƠNG KT'!$D$16:$AC$184,16,0)</f>
        <v>#N/A</v>
      </c>
      <c r="D1777" s="609" t="e">
        <f>+C1777*$L$6</f>
        <v>#N/A</v>
      </c>
      <c r="E1777" s="912"/>
      <c r="F1777" s="912"/>
      <c r="G1777" s="905" t="s">
        <v>367</v>
      </c>
      <c r="H1777" s="546"/>
      <c r="I1777" s="910" t="e">
        <f>VLOOKUP(H1773,'LƯƠNG KT'!$D$16:$AC$184,16,0)</f>
        <v>#N/A</v>
      </c>
      <c r="J1777" s="609" t="e">
        <f>+I1777*$L$6</f>
        <v>#N/A</v>
      </c>
      <c r="K1777" s="935"/>
      <c r="L1777" s="935"/>
      <c r="M1777" s="935"/>
      <c r="N1777" s="935"/>
      <c r="O1777" s="935"/>
    </row>
    <row r="1778" spans="1:15" ht="15" customHeight="1">
      <c r="A1778" s="905" t="s">
        <v>371</v>
      </c>
      <c r="B1778" s="546" t="s">
        <v>372</v>
      </c>
      <c r="C1778" s="910" t="e">
        <f>VLOOKUP(B1773,'LƯƠNG KT'!$D$16:$AC$184,9,0)*$L$10</f>
        <v>#N/A</v>
      </c>
      <c r="D1778" s="609" t="e">
        <f>+C1778*0.5*3000</f>
        <v>#N/A</v>
      </c>
      <c r="E1778" s="912"/>
      <c r="F1778" s="912"/>
      <c r="G1778" s="905" t="s">
        <v>371</v>
      </c>
      <c r="H1778" s="546" t="s">
        <v>372</v>
      </c>
      <c r="I1778" s="910" t="e">
        <f>VLOOKUP(H1773,'LƯƠNG KT'!$D$16:$AC$184,9,0)*$L$10</f>
        <v>#N/A</v>
      </c>
      <c r="J1778" s="609" t="e">
        <f>+I1778*0.5*3000</f>
        <v>#N/A</v>
      </c>
      <c r="K1778" s="935"/>
      <c r="L1778" s="935"/>
      <c r="M1778" s="935"/>
      <c r="N1778" s="935"/>
      <c r="O1778" s="935"/>
    </row>
    <row r="1779" spans="1:15" ht="15" customHeight="1">
      <c r="A1779" s="905" t="s">
        <v>374</v>
      </c>
      <c r="B1779" s="546" t="s">
        <v>375</v>
      </c>
      <c r="C1779" s="910" t="e">
        <f>VLOOKUP(B1773,'LƯƠNG KT'!$D$16:$AC$184,8,0)*$L$11</f>
        <v>#N/A</v>
      </c>
      <c r="D1779" s="609" t="e">
        <f>VLOOKUP(B1773,'LƯƠNG KT'!$D$16:$AC$184,13,0)-D1778</f>
        <v>#N/A</v>
      </c>
      <c r="E1779" s="914"/>
      <c r="F1779" s="912"/>
      <c r="G1779" s="905" t="s">
        <v>374</v>
      </c>
      <c r="H1779" s="546" t="s">
        <v>375</v>
      </c>
      <c r="I1779" s="910" t="e">
        <f>VLOOKUP(H1773,'LƯƠNG KT'!$D$16:$AC$184,8,0)*$L$11</f>
        <v>#N/A</v>
      </c>
      <c r="J1779" s="609" t="e">
        <f>VLOOKUP(H1773,'LƯƠNG KT'!$D$16:$AC$184,13,0)-J1778</f>
        <v>#N/A</v>
      </c>
      <c r="K1779" s="935"/>
      <c r="L1779" s="935"/>
      <c r="M1779" s="935"/>
      <c r="N1779" s="935"/>
      <c r="O1779" s="935"/>
    </row>
    <row r="1780" spans="1:15" ht="15" customHeight="1">
      <c r="A1780" s="609" t="s">
        <v>377</v>
      </c>
      <c r="B1780" s="546" t="s">
        <v>378</v>
      </c>
      <c r="C1780" s="910"/>
      <c r="D1780" s="609"/>
      <c r="E1780" s="916"/>
      <c r="F1780" s="916"/>
      <c r="G1780" s="609" t="s">
        <v>377</v>
      </c>
      <c r="H1780" s="546" t="s">
        <v>378</v>
      </c>
      <c r="I1780" s="910"/>
      <c r="J1780" s="609"/>
    </row>
    <row r="1781" spans="1:15" ht="15" customHeight="1">
      <c r="A1781" s="547" t="s">
        <v>379</v>
      </c>
      <c r="B1781" s="546" t="s">
        <v>380</v>
      </c>
      <c r="C1781" s="910"/>
      <c r="D1781" s="609"/>
      <c r="E1781" s="914"/>
      <c r="F1781" s="916"/>
      <c r="G1781" s="547" t="s">
        <v>379</v>
      </c>
      <c r="H1781" s="546" t="s">
        <v>380</v>
      </c>
      <c r="I1781" s="910"/>
      <c r="J1781" s="609"/>
    </row>
    <row r="1782" spans="1:15" ht="15" customHeight="1">
      <c r="A1782" s="905" t="s">
        <v>381</v>
      </c>
      <c r="B1782" s="546" t="s">
        <v>382</v>
      </c>
      <c r="C1782" s="910"/>
      <c r="D1782" s="609">
        <f>D1781</f>
        <v>0</v>
      </c>
      <c r="E1782" s="917"/>
      <c r="F1782" s="904"/>
      <c r="G1782" s="905" t="s">
        <v>381</v>
      </c>
      <c r="H1782" s="546" t="s">
        <v>382</v>
      </c>
      <c r="I1782" s="910"/>
      <c r="J1782" s="609">
        <f>J1781</f>
        <v>0</v>
      </c>
    </row>
    <row r="1783" spans="1:15" ht="15" customHeight="1">
      <c r="A1783" s="918" t="s">
        <v>383</v>
      </c>
      <c r="B1783" s="919" t="s">
        <v>384</v>
      </c>
      <c r="C1783" s="920"/>
      <c r="D1783" s="921" t="e">
        <f>SUM(D1774:D1779)-D1782</f>
        <v>#N/A</v>
      </c>
      <c r="E1783" s="922"/>
      <c r="F1783" s="923"/>
      <c r="G1783" s="918" t="s">
        <v>383</v>
      </c>
      <c r="H1783" s="919" t="s">
        <v>384</v>
      </c>
      <c r="I1783" s="920"/>
      <c r="J1783" s="921" t="e">
        <f>SUM(J1774:J1779)-J1782</f>
        <v>#N/A</v>
      </c>
    </row>
    <row r="1784" spans="1:15" ht="15.75" customHeight="1">
      <c r="A1784" s="924"/>
      <c r="B1784" s="925"/>
      <c r="C1784" s="926"/>
      <c r="D1784" s="927"/>
      <c r="E1784" s="927"/>
      <c r="F1784" s="928"/>
      <c r="G1784" s="924"/>
      <c r="H1784" s="925"/>
      <c r="I1784" s="926"/>
      <c r="J1784" s="927"/>
    </row>
    <row r="1786" spans="1:15" ht="12" customHeight="1">
      <c r="A1786" s="2361"/>
      <c r="B1786" s="2361"/>
      <c r="C1786" s="2361"/>
      <c r="D1786" s="2361"/>
      <c r="E1786" s="2361"/>
      <c r="F1786" s="2361"/>
      <c r="G1786" s="2361"/>
      <c r="H1786" s="2361"/>
      <c r="I1786" s="2361"/>
      <c r="J1786" s="2361"/>
    </row>
    <row r="1787" spans="1:15" ht="15" customHeight="1">
      <c r="A1787" s="2360" t="str">
        <f>$K$2</f>
        <v>THÁNG 09/2024</v>
      </c>
      <c r="B1787" s="2360"/>
      <c r="C1787" s="2360"/>
      <c r="D1787" s="2360"/>
      <c r="E1787" s="903"/>
      <c r="F1787" s="904"/>
      <c r="G1787" s="2360" t="str">
        <f>$K$2</f>
        <v>THÁNG 09/2024</v>
      </c>
      <c r="H1787" s="2360"/>
      <c r="I1787" s="2360"/>
      <c r="J1787" s="2360"/>
      <c r="K1787" s="276"/>
    </row>
    <row r="1788" spans="1:15" ht="15" customHeight="1">
      <c r="A1788" s="905" t="s">
        <v>356</v>
      </c>
      <c r="B1788" s="642" t="s">
        <v>139</v>
      </c>
      <c r="C1788" s="546"/>
      <c r="D1788" s="902"/>
      <c r="E1788" s="906"/>
      <c r="F1788" s="907"/>
      <c r="G1788" s="905" t="s">
        <v>356</v>
      </c>
      <c r="H1788" s="642" t="s">
        <v>140</v>
      </c>
      <c r="I1788" s="546"/>
      <c r="J1788" s="902"/>
      <c r="L1788" s="938"/>
      <c r="M1788" s="938"/>
      <c r="N1788" s="938"/>
      <c r="O1788" s="938"/>
    </row>
    <row r="1789" spans="1:15" ht="15" customHeight="1">
      <c r="A1789" s="905" t="s">
        <v>359</v>
      </c>
      <c r="B1789" s="939" t="s">
        <v>360</v>
      </c>
      <c r="C1789" s="910" t="e">
        <f>VLOOKUP(B1788,'LƯƠNG KT'!$D$16:$AC$184,3,0)</f>
        <v>#N/A</v>
      </c>
      <c r="D1789" s="609" t="e">
        <f>+C1789*25000</f>
        <v>#N/A</v>
      </c>
      <c r="E1789" s="911"/>
      <c r="F1789" s="911"/>
      <c r="G1789" s="905" t="s">
        <v>359</v>
      </c>
      <c r="H1789" s="939" t="s">
        <v>360</v>
      </c>
      <c r="I1789" s="910" t="e">
        <f>VLOOKUP(H1788,'LƯƠNG KT'!$D$16:$AC$184,3,0)</f>
        <v>#N/A</v>
      </c>
      <c r="J1789" s="609" t="e">
        <f>+I1789*25000</f>
        <v>#N/A</v>
      </c>
      <c r="K1789" s="934"/>
      <c r="L1789" s="935"/>
      <c r="M1789" s="935"/>
      <c r="N1789" s="935"/>
      <c r="O1789" s="935"/>
    </row>
    <row r="1790" spans="1:15" ht="15" customHeight="1">
      <c r="A1790" s="905" t="s">
        <v>361</v>
      </c>
      <c r="B1790" s="546" t="s">
        <v>362</v>
      </c>
      <c r="C1790" s="910" t="e">
        <f>VLOOKUP(B1788,'LƯƠNG KT'!$D$16:$AC$184,14,0)</f>
        <v>#N/A</v>
      </c>
      <c r="D1790" s="609" t="e">
        <f>C1790*$L$4</f>
        <v>#N/A</v>
      </c>
      <c r="E1790" s="912"/>
      <c r="F1790" s="912"/>
      <c r="G1790" s="905" t="s">
        <v>361</v>
      </c>
      <c r="H1790" s="546" t="s">
        <v>362</v>
      </c>
      <c r="I1790" s="910" t="e">
        <f>VLOOKUP(H1788,'LƯƠNG KT'!$D$16:$AC$184,14,0)</f>
        <v>#N/A</v>
      </c>
      <c r="J1790" s="609" t="e">
        <f>I1790*$L$4</f>
        <v>#N/A</v>
      </c>
      <c r="K1790" s="934"/>
      <c r="L1790" s="935"/>
      <c r="M1790" s="935"/>
      <c r="N1790" s="935"/>
      <c r="O1790" s="935"/>
    </row>
    <row r="1791" spans="1:15" ht="15" customHeight="1">
      <c r="A1791" s="905" t="s">
        <v>364</v>
      </c>
      <c r="B1791" s="546" t="s">
        <v>365</v>
      </c>
      <c r="C1791" s="910" t="e">
        <f>VLOOKUP(B1788,'LƯƠNG KT'!$D$16:$AC$184,15,0)</f>
        <v>#N/A</v>
      </c>
      <c r="D1791" s="609" t="e">
        <f>C1791*$L$5</f>
        <v>#N/A</v>
      </c>
      <c r="E1791" s="912"/>
      <c r="F1791" s="912"/>
      <c r="G1791" s="905" t="s">
        <v>364</v>
      </c>
      <c r="H1791" s="546" t="s">
        <v>365</v>
      </c>
      <c r="I1791" s="910" t="e">
        <f>VLOOKUP(H1788,'LƯƠNG KT'!$D$16:$AC$184,15,0)</f>
        <v>#N/A</v>
      </c>
      <c r="J1791" s="609" t="e">
        <f>I1791*$L$5</f>
        <v>#N/A</v>
      </c>
      <c r="K1791" s="934"/>
      <c r="L1791" s="935"/>
      <c r="M1791" s="935"/>
      <c r="N1791" s="935"/>
      <c r="O1791" s="935"/>
    </row>
    <row r="1792" spans="1:15" ht="15" customHeight="1">
      <c r="A1792" s="905" t="s">
        <v>367</v>
      </c>
      <c r="B1792" s="546"/>
      <c r="C1792" s="910" t="e">
        <f>VLOOKUP(B1788,'LƯƠNG KT'!$D$16:$AC$184,16,0)</f>
        <v>#N/A</v>
      </c>
      <c r="D1792" s="609" t="e">
        <f>+C1792*$L$6</f>
        <v>#N/A</v>
      </c>
      <c r="E1792" s="912"/>
      <c r="F1792" s="912"/>
      <c r="G1792" s="905" t="s">
        <v>367</v>
      </c>
      <c r="H1792" s="546"/>
      <c r="I1792" s="910" t="e">
        <f>VLOOKUP(H1788,'LƯƠNG KT'!$D$16:$AC$184,16,0)</f>
        <v>#N/A</v>
      </c>
      <c r="J1792" s="609" t="e">
        <f>+I1792*$L$6</f>
        <v>#N/A</v>
      </c>
      <c r="K1792" s="935"/>
      <c r="L1792" s="935"/>
      <c r="M1792" s="935"/>
      <c r="N1792" s="935"/>
      <c r="O1792" s="935"/>
    </row>
    <row r="1793" spans="1:15" ht="15" customHeight="1">
      <c r="A1793" s="905" t="s">
        <v>371</v>
      </c>
      <c r="B1793" s="546" t="s">
        <v>372</v>
      </c>
      <c r="C1793" s="910" t="e">
        <f>VLOOKUP(B1788,'LƯƠNG KT'!$D$16:$AC$184,9,0)*$L$10</f>
        <v>#N/A</v>
      </c>
      <c r="D1793" s="609" t="e">
        <f>+C1793*0.5*3000</f>
        <v>#N/A</v>
      </c>
      <c r="E1793" s="912"/>
      <c r="F1793" s="912"/>
      <c r="G1793" s="905" t="s">
        <v>371</v>
      </c>
      <c r="H1793" s="546" t="s">
        <v>372</v>
      </c>
      <c r="I1793" s="910" t="e">
        <f>VLOOKUP(H1788,'LƯƠNG KT'!$D$16:$AC$184,9,0)*$L$10</f>
        <v>#N/A</v>
      </c>
      <c r="J1793" s="609" t="e">
        <f>+I1793*0.5*3000</f>
        <v>#N/A</v>
      </c>
      <c r="K1793" s="935"/>
      <c r="L1793" s="935"/>
      <c r="M1793" s="935"/>
      <c r="N1793" s="935"/>
      <c r="O1793" s="935"/>
    </row>
    <row r="1794" spans="1:15" ht="15" customHeight="1">
      <c r="A1794" s="905" t="s">
        <v>374</v>
      </c>
      <c r="B1794" s="546" t="s">
        <v>375</v>
      </c>
      <c r="C1794" s="910" t="e">
        <f>VLOOKUP(B1788,'LƯƠNG KT'!$D$16:$AC$184,8,0)*$L$11</f>
        <v>#N/A</v>
      </c>
      <c r="D1794" s="609" t="e">
        <f>VLOOKUP(B1788,'LƯƠNG KT'!$D$16:$AC$184,13,0)-D1793</f>
        <v>#N/A</v>
      </c>
      <c r="E1794" s="914"/>
      <c r="F1794" s="912"/>
      <c r="G1794" s="905" t="s">
        <v>374</v>
      </c>
      <c r="H1794" s="546" t="s">
        <v>375</v>
      </c>
      <c r="I1794" s="910" t="e">
        <f>VLOOKUP(H1788,'LƯƠNG KT'!$D$16:$AC$184,8,0)*$L$11</f>
        <v>#N/A</v>
      </c>
      <c r="J1794" s="609" t="e">
        <f>VLOOKUP(H1788,'LƯƠNG KT'!$D$16:$AC$184,13,0)-J1793</f>
        <v>#N/A</v>
      </c>
      <c r="K1794" s="935"/>
      <c r="L1794" s="935"/>
      <c r="M1794" s="935"/>
      <c r="N1794" s="935"/>
      <c r="O1794" s="935"/>
    </row>
    <row r="1795" spans="1:15" ht="15" customHeight="1">
      <c r="A1795" s="609" t="s">
        <v>377</v>
      </c>
      <c r="B1795" s="546" t="s">
        <v>378</v>
      </c>
      <c r="C1795" s="910"/>
      <c r="D1795" s="609"/>
      <c r="E1795" s="916"/>
      <c r="F1795" s="916"/>
      <c r="G1795" s="609" t="s">
        <v>377</v>
      </c>
      <c r="H1795" s="546" t="s">
        <v>378</v>
      </c>
      <c r="I1795" s="910"/>
      <c r="J1795" s="609"/>
    </row>
    <row r="1796" spans="1:15" ht="15" customHeight="1">
      <c r="A1796" s="547" t="s">
        <v>379</v>
      </c>
      <c r="B1796" s="546" t="s">
        <v>380</v>
      </c>
      <c r="C1796" s="910"/>
      <c r="D1796" s="609"/>
      <c r="E1796" s="914"/>
      <c r="F1796" s="916"/>
      <c r="G1796" s="547" t="s">
        <v>379</v>
      </c>
      <c r="H1796" s="546" t="s">
        <v>380</v>
      </c>
      <c r="I1796" s="910"/>
      <c r="J1796" s="609"/>
    </row>
    <row r="1797" spans="1:15" ht="15" customHeight="1">
      <c r="A1797" s="905" t="s">
        <v>381</v>
      </c>
      <c r="B1797" s="546" t="s">
        <v>382</v>
      </c>
      <c r="C1797" s="910"/>
      <c r="D1797" s="609">
        <f>D1796</f>
        <v>0</v>
      </c>
      <c r="E1797" s="917"/>
      <c r="F1797" s="904"/>
      <c r="G1797" s="905" t="s">
        <v>381</v>
      </c>
      <c r="H1797" s="546" t="s">
        <v>382</v>
      </c>
      <c r="I1797" s="910"/>
      <c r="J1797" s="609">
        <f>J1796</f>
        <v>0</v>
      </c>
    </row>
    <row r="1798" spans="1:15" ht="15" customHeight="1">
      <c r="A1798" s="918" t="s">
        <v>383</v>
      </c>
      <c r="B1798" s="919" t="s">
        <v>384</v>
      </c>
      <c r="C1798" s="920"/>
      <c r="D1798" s="921" t="e">
        <f>SUM(D1789:D1794)-D1797</f>
        <v>#N/A</v>
      </c>
      <c r="E1798" s="922"/>
      <c r="F1798" s="923"/>
      <c r="G1798" s="918" t="s">
        <v>383</v>
      </c>
      <c r="H1798" s="919" t="s">
        <v>384</v>
      </c>
      <c r="I1798" s="920"/>
      <c r="J1798" s="921" t="e">
        <f>SUM(J1789:J1794)-J1797</f>
        <v>#N/A</v>
      </c>
    </row>
    <row r="1799" spans="1:15" ht="12.6" customHeight="1">
      <c r="A1799" s="924"/>
      <c r="B1799" s="925"/>
      <c r="C1799" s="926"/>
      <c r="D1799" s="927"/>
      <c r="E1799" s="927"/>
      <c r="F1799" s="928"/>
      <c r="G1799" s="924"/>
      <c r="H1799" s="925"/>
      <c r="I1799" s="926"/>
      <c r="J1799" s="927"/>
    </row>
    <row r="1800" spans="1:15" ht="12.6" customHeight="1">
      <c r="A1800" s="925"/>
      <c r="B1800" s="925"/>
      <c r="C1800" s="929"/>
      <c r="D1800" s="930"/>
      <c r="E1800" s="925"/>
      <c r="F1800" s="931"/>
      <c r="G1800" s="925"/>
      <c r="H1800" s="925"/>
      <c r="I1800" s="929"/>
      <c r="J1800" s="930"/>
    </row>
    <row r="1801" spans="1:15" ht="15" customHeight="1">
      <c r="A1801" s="2360" t="str">
        <f>$K$2</f>
        <v>THÁNG 09/2024</v>
      </c>
      <c r="B1801" s="2360"/>
      <c r="C1801" s="2360"/>
      <c r="D1801" s="2360"/>
      <c r="E1801" s="903"/>
      <c r="F1801" s="904"/>
      <c r="G1801" s="2360" t="str">
        <f>$K$2</f>
        <v>THÁNG 09/2024</v>
      </c>
      <c r="H1801" s="2360"/>
      <c r="I1801" s="2360"/>
      <c r="J1801" s="2360"/>
      <c r="K1801" s="276"/>
    </row>
    <row r="1802" spans="1:15" ht="15" customHeight="1">
      <c r="A1802" s="905" t="s">
        <v>356</v>
      </c>
      <c r="B1802" s="642" t="s">
        <v>141</v>
      </c>
      <c r="C1802" s="546"/>
      <c r="D1802" s="902"/>
      <c r="E1802" s="906"/>
      <c r="F1802" s="907"/>
      <c r="G1802" s="905" t="s">
        <v>356</v>
      </c>
      <c r="H1802" s="642" t="s">
        <v>142</v>
      </c>
      <c r="I1802" s="546"/>
      <c r="J1802" s="902"/>
      <c r="L1802" s="938"/>
      <c r="M1802" s="938"/>
      <c r="N1802" s="938"/>
      <c r="O1802" s="938"/>
    </row>
    <row r="1803" spans="1:15" ht="15" customHeight="1">
      <c r="A1803" s="905" t="s">
        <v>359</v>
      </c>
      <c r="B1803" s="939" t="s">
        <v>360</v>
      </c>
      <c r="C1803" s="910" t="e">
        <f>VLOOKUP(B1802,'LƯƠNG KT'!$D$16:$AC$184,3,0)</f>
        <v>#N/A</v>
      </c>
      <c r="D1803" s="609" t="e">
        <f>+C1803*25000</f>
        <v>#N/A</v>
      </c>
      <c r="E1803" s="911"/>
      <c r="F1803" s="911"/>
      <c r="G1803" s="905" t="s">
        <v>359</v>
      </c>
      <c r="H1803" s="939" t="s">
        <v>360</v>
      </c>
      <c r="I1803" s="910" t="e">
        <f>VLOOKUP(H1802,'LƯƠNG KT'!$D$16:$AC$184,3,0)</f>
        <v>#N/A</v>
      </c>
      <c r="J1803" s="609" t="e">
        <f>+I1803*25000</f>
        <v>#N/A</v>
      </c>
      <c r="K1803" s="935"/>
      <c r="L1803" s="935"/>
      <c r="M1803" s="935"/>
      <c r="N1803" s="935"/>
      <c r="O1803" s="935"/>
    </row>
    <row r="1804" spans="1:15" ht="15" customHeight="1">
      <c r="A1804" s="905" t="s">
        <v>361</v>
      </c>
      <c r="B1804" s="546" t="s">
        <v>362</v>
      </c>
      <c r="C1804" s="910" t="e">
        <f>VLOOKUP(B1802,'LƯƠNG KT'!$D$16:$AC$184,14,0)</f>
        <v>#N/A</v>
      </c>
      <c r="D1804" s="609" t="e">
        <f>C1804*$L$4</f>
        <v>#N/A</v>
      </c>
      <c r="E1804" s="912"/>
      <c r="F1804" s="912"/>
      <c r="G1804" s="905" t="s">
        <v>361</v>
      </c>
      <c r="H1804" s="546" t="s">
        <v>362</v>
      </c>
      <c r="I1804" s="910" t="e">
        <f>VLOOKUP(H1802,'LƯƠNG KT'!$D$16:$AC$184,14,0)</f>
        <v>#N/A</v>
      </c>
      <c r="J1804" s="609" t="e">
        <f>I1804*$L$4</f>
        <v>#N/A</v>
      </c>
      <c r="K1804" s="935"/>
      <c r="L1804" s="935"/>
      <c r="M1804" s="935"/>
      <c r="N1804" s="935"/>
      <c r="O1804" s="935"/>
    </row>
    <row r="1805" spans="1:15" ht="15" customHeight="1">
      <c r="A1805" s="905" t="s">
        <v>364</v>
      </c>
      <c r="B1805" s="546" t="s">
        <v>365</v>
      </c>
      <c r="C1805" s="910" t="e">
        <f>VLOOKUP(B1802,'LƯƠNG KT'!$D$16:$AC$184,15,0)</f>
        <v>#N/A</v>
      </c>
      <c r="D1805" s="609" t="e">
        <f>C1805*$L$5</f>
        <v>#N/A</v>
      </c>
      <c r="E1805" s="912"/>
      <c r="F1805" s="912"/>
      <c r="G1805" s="905" t="s">
        <v>364</v>
      </c>
      <c r="H1805" s="546" t="s">
        <v>365</v>
      </c>
      <c r="I1805" s="910" t="e">
        <f>VLOOKUP(H1802,'LƯƠNG KT'!$D$16:$AC$184,15,0)</f>
        <v>#N/A</v>
      </c>
      <c r="J1805" s="609" t="e">
        <f>I1805*$L$5</f>
        <v>#N/A</v>
      </c>
      <c r="K1805" s="935"/>
      <c r="L1805" s="935"/>
      <c r="M1805" s="935"/>
      <c r="N1805" s="935"/>
      <c r="O1805" s="935"/>
    </row>
    <row r="1806" spans="1:15" ht="15" customHeight="1">
      <c r="A1806" s="905" t="s">
        <v>367</v>
      </c>
      <c r="B1806" s="546"/>
      <c r="C1806" s="910" t="e">
        <f>VLOOKUP(B1802,'LƯƠNG KT'!$D$16:$AC$184,16,0)</f>
        <v>#N/A</v>
      </c>
      <c r="D1806" s="609" t="e">
        <f>+C1806*$L$6</f>
        <v>#N/A</v>
      </c>
      <c r="E1806" s="912"/>
      <c r="F1806" s="912"/>
      <c r="G1806" s="905" t="s">
        <v>367</v>
      </c>
      <c r="H1806" s="546"/>
      <c r="I1806" s="910" t="e">
        <f>VLOOKUP(H1802,'LƯƠNG KT'!$D$16:$AC$184,16,0)</f>
        <v>#N/A</v>
      </c>
      <c r="J1806" s="609" t="e">
        <f>+I1806*$L$6</f>
        <v>#N/A</v>
      </c>
      <c r="K1806" s="935"/>
      <c r="L1806" s="935"/>
      <c r="M1806" s="935"/>
      <c r="N1806" s="935"/>
      <c r="O1806" s="935"/>
    </row>
    <row r="1807" spans="1:15" ht="15" customHeight="1">
      <c r="A1807" s="905" t="s">
        <v>371</v>
      </c>
      <c r="B1807" s="546" t="s">
        <v>372</v>
      </c>
      <c r="C1807" s="910" t="e">
        <f>VLOOKUP(B1802,'LƯƠNG KT'!$D$16:$AC$184,9,0)*$L$10</f>
        <v>#N/A</v>
      </c>
      <c r="D1807" s="609" t="e">
        <f>+C1807*0.5*3000</f>
        <v>#N/A</v>
      </c>
      <c r="E1807" s="912"/>
      <c r="F1807" s="912"/>
      <c r="G1807" s="905" t="s">
        <v>371</v>
      </c>
      <c r="H1807" s="546" t="s">
        <v>372</v>
      </c>
      <c r="I1807" s="910" t="e">
        <f>VLOOKUP(H1802,'LƯƠNG KT'!$D$16:$AC$184,9,0)*$L$10</f>
        <v>#N/A</v>
      </c>
      <c r="J1807" s="609" t="e">
        <f>+I1807*0.5*3000</f>
        <v>#N/A</v>
      </c>
      <c r="K1807" s="935"/>
      <c r="L1807" s="935"/>
      <c r="M1807" s="935"/>
      <c r="N1807" s="935"/>
      <c r="O1807" s="935"/>
    </row>
    <row r="1808" spans="1:15" ht="15" customHeight="1">
      <c r="A1808" s="905" t="s">
        <v>374</v>
      </c>
      <c r="B1808" s="546" t="s">
        <v>375</v>
      </c>
      <c r="C1808" s="910" t="e">
        <f>VLOOKUP(B1802,'LƯƠNG KT'!$D$16:$AC$184,8,0)*$L$11</f>
        <v>#N/A</v>
      </c>
      <c r="D1808" s="609" t="e">
        <f>VLOOKUP(B1802,'LƯƠNG KT'!$D$16:$AC$184,13,0)-D1807</f>
        <v>#N/A</v>
      </c>
      <c r="E1808" s="914"/>
      <c r="F1808" s="912"/>
      <c r="G1808" s="905" t="s">
        <v>374</v>
      </c>
      <c r="H1808" s="546" t="s">
        <v>375</v>
      </c>
      <c r="I1808" s="910" t="e">
        <f>VLOOKUP(H1802,'LƯƠNG KT'!$D$16:$AC$184,8,0)*$L$11</f>
        <v>#N/A</v>
      </c>
      <c r="J1808" s="609" t="e">
        <f>VLOOKUP(H1802,'LƯƠNG KT'!$D$16:$AC$184,13,0)-J1807</f>
        <v>#N/A</v>
      </c>
      <c r="K1808" s="935"/>
      <c r="L1808" s="935"/>
      <c r="M1808" s="935"/>
      <c r="N1808" s="935"/>
      <c r="O1808" s="935"/>
    </row>
    <row r="1809" spans="1:15" ht="15" customHeight="1">
      <c r="A1809" s="609" t="s">
        <v>377</v>
      </c>
      <c r="B1809" s="546" t="s">
        <v>378</v>
      </c>
      <c r="C1809" s="910"/>
      <c r="D1809" s="609"/>
      <c r="E1809" s="916"/>
      <c r="F1809" s="916"/>
      <c r="G1809" s="609" t="s">
        <v>377</v>
      </c>
      <c r="H1809" s="546" t="s">
        <v>378</v>
      </c>
      <c r="I1809" s="910"/>
      <c r="J1809" s="609"/>
    </row>
    <row r="1810" spans="1:15" ht="15" customHeight="1">
      <c r="A1810" s="547" t="s">
        <v>379</v>
      </c>
      <c r="B1810" s="546" t="s">
        <v>380</v>
      </c>
      <c r="C1810" s="910"/>
      <c r="D1810" s="609"/>
      <c r="E1810" s="914"/>
      <c r="F1810" s="916"/>
      <c r="G1810" s="547" t="s">
        <v>379</v>
      </c>
      <c r="H1810" s="546" t="s">
        <v>380</v>
      </c>
      <c r="I1810" s="910"/>
      <c r="J1810" s="609"/>
    </row>
    <row r="1811" spans="1:15" ht="15" customHeight="1">
      <c r="A1811" s="905" t="s">
        <v>381</v>
      </c>
      <c r="B1811" s="546" t="s">
        <v>382</v>
      </c>
      <c r="C1811" s="910"/>
      <c r="D1811" s="609">
        <f>D1810</f>
        <v>0</v>
      </c>
      <c r="E1811" s="917"/>
      <c r="F1811" s="904"/>
      <c r="G1811" s="905" t="s">
        <v>381</v>
      </c>
      <c r="H1811" s="546" t="s">
        <v>382</v>
      </c>
      <c r="I1811" s="910"/>
      <c r="J1811" s="609">
        <f>J1810</f>
        <v>0</v>
      </c>
    </row>
    <row r="1812" spans="1:15" ht="15" customHeight="1">
      <c r="A1812" s="918" t="s">
        <v>383</v>
      </c>
      <c r="B1812" s="919" t="s">
        <v>384</v>
      </c>
      <c r="C1812" s="920"/>
      <c r="D1812" s="921" t="e">
        <f>SUM(D1803:D1808)-D1811</f>
        <v>#N/A</v>
      </c>
      <c r="E1812" s="922"/>
      <c r="F1812" s="923"/>
      <c r="G1812" s="918" t="s">
        <v>383</v>
      </c>
      <c r="H1812" s="919" t="s">
        <v>384</v>
      </c>
      <c r="I1812" s="920"/>
      <c r="J1812" s="921" t="e">
        <f>SUM(J1803:J1808)-J1811</f>
        <v>#N/A</v>
      </c>
    </row>
    <row r="1813" spans="1:15" ht="18.75" customHeight="1">
      <c r="A1813" s="924"/>
      <c r="B1813" s="925"/>
      <c r="C1813" s="926"/>
      <c r="D1813" s="927"/>
      <c r="E1813" s="927"/>
      <c r="F1813" s="928"/>
      <c r="G1813" s="924"/>
      <c r="H1813" s="925"/>
      <c r="I1813" s="926"/>
      <c r="J1813" s="927"/>
    </row>
    <row r="1814" spans="1:15" ht="18.75" customHeight="1">
      <c r="A1814" s="925"/>
      <c r="B1814" s="925"/>
      <c r="C1814" s="929"/>
      <c r="D1814" s="930"/>
      <c r="E1814" s="925"/>
      <c r="F1814" s="931"/>
      <c r="G1814" s="925"/>
      <c r="H1814" s="925"/>
      <c r="I1814" s="929"/>
      <c r="J1814" s="930"/>
    </row>
    <row r="1815" spans="1:15" ht="15" customHeight="1">
      <c r="A1815" s="2360" t="str">
        <f>$K$2</f>
        <v>THÁNG 09/2024</v>
      </c>
      <c r="B1815" s="2360"/>
      <c r="C1815" s="2360"/>
      <c r="D1815" s="2360"/>
      <c r="E1815" s="903"/>
      <c r="F1815" s="904"/>
      <c r="G1815" s="2360" t="str">
        <f>$K$2</f>
        <v>THÁNG 09/2024</v>
      </c>
      <c r="H1815" s="2360"/>
      <c r="I1815" s="2360"/>
      <c r="J1815" s="2360"/>
      <c r="K1815" s="276"/>
    </row>
    <row r="1816" spans="1:15" ht="15" customHeight="1">
      <c r="A1816" s="905" t="s">
        <v>356</v>
      </c>
      <c r="B1816" s="642" t="s">
        <v>143</v>
      </c>
      <c r="C1816" s="546"/>
      <c r="D1816" s="902"/>
      <c r="E1816" s="906"/>
      <c r="F1816" s="907"/>
      <c r="G1816" s="905" t="s">
        <v>356</v>
      </c>
      <c r="H1816" s="642" t="s">
        <v>144</v>
      </c>
      <c r="I1816" s="546"/>
      <c r="J1816" s="902"/>
      <c r="L1816" s="938"/>
      <c r="M1816" s="938"/>
      <c r="N1816" s="938"/>
      <c r="O1816" s="938"/>
    </row>
    <row r="1817" spans="1:15" ht="15" customHeight="1">
      <c r="A1817" s="905" t="s">
        <v>359</v>
      </c>
      <c r="B1817" s="939" t="s">
        <v>360</v>
      </c>
      <c r="C1817" s="910" t="e">
        <f>VLOOKUP(B1816,'LƯƠNG KT'!$D$16:$AC$184,3,0)</f>
        <v>#N/A</v>
      </c>
      <c r="D1817" s="609" t="e">
        <f>+C1817*25000</f>
        <v>#N/A</v>
      </c>
      <c r="E1817" s="911"/>
      <c r="F1817" s="911"/>
      <c r="G1817" s="905" t="s">
        <v>359</v>
      </c>
      <c r="H1817" s="939" t="s">
        <v>360</v>
      </c>
      <c r="I1817" s="910" t="e">
        <f>VLOOKUP(H1816,'LƯƠNG KT'!$D$16:$AC$184,3,0)</f>
        <v>#N/A</v>
      </c>
      <c r="J1817" s="609" t="e">
        <f>+I1817*25000</f>
        <v>#N/A</v>
      </c>
      <c r="K1817" s="935"/>
      <c r="L1817" s="935"/>
      <c r="M1817" s="935"/>
      <c r="N1817" s="935"/>
      <c r="O1817" s="935"/>
    </row>
    <row r="1818" spans="1:15" ht="15" customHeight="1">
      <c r="A1818" s="905" t="s">
        <v>361</v>
      </c>
      <c r="B1818" s="546" t="s">
        <v>362</v>
      </c>
      <c r="C1818" s="910" t="e">
        <f>VLOOKUP(B1816,'LƯƠNG KT'!$D$16:$AC$184,14,0)</f>
        <v>#N/A</v>
      </c>
      <c r="D1818" s="609" t="e">
        <f>C1818*$L$4</f>
        <v>#N/A</v>
      </c>
      <c r="E1818" s="912"/>
      <c r="F1818" s="912"/>
      <c r="G1818" s="905" t="s">
        <v>361</v>
      </c>
      <c r="H1818" s="546" t="s">
        <v>362</v>
      </c>
      <c r="I1818" s="910" t="e">
        <f>VLOOKUP(H1816,'LƯƠNG KT'!$D$16:$AC$184,14,0)</f>
        <v>#N/A</v>
      </c>
      <c r="J1818" s="609" t="e">
        <f>I1818*$L$4</f>
        <v>#N/A</v>
      </c>
      <c r="K1818" s="935"/>
      <c r="L1818" s="935"/>
      <c r="M1818" s="935"/>
      <c r="N1818" s="935"/>
      <c r="O1818" s="935"/>
    </row>
    <row r="1819" spans="1:15" ht="15" customHeight="1">
      <c r="A1819" s="905" t="s">
        <v>364</v>
      </c>
      <c r="B1819" s="546" t="s">
        <v>365</v>
      </c>
      <c r="C1819" s="910" t="e">
        <f>VLOOKUP(B1816,'LƯƠNG KT'!$D$16:$AC$184,15,0)</f>
        <v>#N/A</v>
      </c>
      <c r="D1819" s="609" t="e">
        <f>C1819*$L$5</f>
        <v>#N/A</v>
      </c>
      <c r="E1819" s="912"/>
      <c r="F1819" s="912"/>
      <c r="G1819" s="905" t="s">
        <v>364</v>
      </c>
      <c r="H1819" s="546" t="s">
        <v>365</v>
      </c>
      <c r="I1819" s="910" t="e">
        <f>VLOOKUP(H1816,'LƯƠNG KT'!$D$16:$AC$184,15,0)</f>
        <v>#N/A</v>
      </c>
      <c r="J1819" s="609" t="e">
        <f>I1819*$L$5</f>
        <v>#N/A</v>
      </c>
      <c r="K1819" s="935"/>
      <c r="L1819" s="935"/>
      <c r="M1819" s="935"/>
      <c r="N1819" s="935"/>
      <c r="O1819" s="935"/>
    </row>
    <row r="1820" spans="1:15" ht="15" customHeight="1">
      <c r="A1820" s="905" t="s">
        <v>367</v>
      </c>
      <c r="B1820" s="546"/>
      <c r="C1820" s="910" t="e">
        <f>VLOOKUP(B1816,'LƯƠNG KT'!$D$16:$AC$184,16,0)</f>
        <v>#N/A</v>
      </c>
      <c r="D1820" s="609" t="e">
        <f>+C1820*$L$6</f>
        <v>#N/A</v>
      </c>
      <c r="E1820" s="912"/>
      <c r="F1820" s="912"/>
      <c r="G1820" s="905" t="s">
        <v>367</v>
      </c>
      <c r="H1820" s="546"/>
      <c r="I1820" s="910" t="e">
        <f>VLOOKUP(H1816,'LƯƠNG KT'!$D$16:$AC$184,16,0)</f>
        <v>#N/A</v>
      </c>
      <c r="J1820" s="609" t="e">
        <f>+I1820*$L$6</f>
        <v>#N/A</v>
      </c>
      <c r="K1820" s="935"/>
      <c r="L1820" s="935"/>
      <c r="M1820" s="935"/>
      <c r="N1820" s="935"/>
      <c r="O1820" s="935"/>
    </row>
    <row r="1821" spans="1:15" ht="15" customHeight="1">
      <c r="A1821" s="905" t="s">
        <v>371</v>
      </c>
      <c r="B1821" s="546" t="s">
        <v>372</v>
      </c>
      <c r="C1821" s="910" t="e">
        <f>VLOOKUP(B1816,'LƯƠNG KT'!$D$16:$AC$184,9,0)*$L$10</f>
        <v>#N/A</v>
      </c>
      <c r="D1821" s="609" t="e">
        <f>+C1821*0.5*3000</f>
        <v>#N/A</v>
      </c>
      <c r="E1821" s="912"/>
      <c r="F1821" s="912"/>
      <c r="G1821" s="905" t="s">
        <v>371</v>
      </c>
      <c r="H1821" s="546" t="s">
        <v>372</v>
      </c>
      <c r="I1821" s="910" t="e">
        <f>VLOOKUP(H1816,'LƯƠNG KT'!$D$16:$AC$184,9,0)*$L$10</f>
        <v>#N/A</v>
      </c>
      <c r="J1821" s="609" t="e">
        <f>+I1821*0.5*3000</f>
        <v>#N/A</v>
      </c>
      <c r="K1821" s="935"/>
      <c r="L1821" s="935"/>
      <c r="M1821" s="935"/>
      <c r="N1821" s="935"/>
      <c r="O1821" s="935"/>
    </row>
    <row r="1822" spans="1:15" ht="15" customHeight="1">
      <c r="A1822" s="905" t="s">
        <v>374</v>
      </c>
      <c r="B1822" s="546" t="s">
        <v>375</v>
      </c>
      <c r="C1822" s="910" t="e">
        <f>VLOOKUP(B1816,'LƯƠNG KT'!$D$16:$AC$184,8,0)*$L$11</f>
        <v>#N/A</v>
      </c>
      <c r="D1822" s="609" t="e">
        <f>VLOOKUP(B1816,'LƯƠNG KT'!$D$16:$AC$184,13,0)-D1821</f>
        <v>#N/A</v>
      </c>
      <c r="E1822" s="914"/>
      <c r="F1822" s="912"/>
      <c r="G1822" s="905" t="s">
        <v>374</v>
      </c>
      <c r="H1822" s="546" t="s">
        <v>375</v>
      </c>
      <c r="I1822" s="910" t="e">
        <f>VLOOKUP(H1816,'LƯƠNG KT'!$D$16:$AC$184,8,0)*$L$11</f>
        <v>#N/A</v>
      </c>
      <c r="J1822" s="609" t="e">
        <f>VLOOKUP(H1816,'LƯƠNG KT'!$D$16:$AC$184,13,0)-J1821</f>
        <v>#N/A</v>
      </c>
      <c r="K1822" s="935"/>
      <c r="L1822" s="935"/>
      <c r="M1822" s="935"/>
      <c r="N1822" s="935"/>
      <c r="O1822" s="935"/>
    </row>
    <row r="1823" spans="1:15" ht="15" customHeight="1">
      <c r="A1823" s="609" t="s">
        <v>377</v>
      </c>
      <c r="B1823" s="546" t="s">
        <v>378</v>
      </c>
      <c r="C1823" s="910"/>
      <c r="D1823" s="609"/>
      <c r="E1823" s="916"/>
      <c r="F1823" s="916"/>
      <c r="G1823" s="609" t="s">
        <v>377</v>
      </c>
      <c r="H1823" s="546" t="s">
        <v>378</v>
      </c>
      <c r="I1823" s="910"/>
      <c r="J1823" s="609"/>
    </row>
    <row r="1824" spans="1:15" ht="15" customHeight="1">
      <c r="A1824" s="547" t="s">
        <v>379</v>
      </c>
      <c r="B1824" s="546" t="s">
        <v>380</v>
      </c>
      <c r="C1824" s="910"/>
      <c r="D1824" s="609"/>
      <c r="E1824" s="914"/>
      <c r="F1824" s="916"/>
      <c r="G1824" s="547" t="s">
        <v>379</v>
      </c>
      <c r="H1824" s="546" t="s">
        <v>380</v>
      </c>
      <c r="I1824" s="910"/>
      <c r="J1824" s="609"/>
    </row>
    <row r="1825" spans="1:15" ht="15" customHeight="1">
      <c r="A1825" s="905" t="s">
        <v>381</v>
      </c>
      <c r="B1825" s="546" t="s">
        <v>382</v>
      </c>
      <c r="C1825" s="910"/>
      <c r="D1825" s="609">
        <f>D1824</f>
        <v>0</v>
      </c>
      <c r="E1825" s="917"/>
      <c r="F1825" s="904"/>
      <c r="G1825" s="905" t="s">
        <v>381</v>
      </c>
      <c r="H1825" s="546" t="s">
        <v>382</v>
      </c>
      <c r="I1825" s="910"/>
      <c r="J1825" s="609">
        <f>J1824</f>
        <v>0</v>
      </c>
    </row>
    <row r="1826" spans="1:15" ht="15" customHeight="1">
      <c r="A1826" s="918" t="s">
        <v>383</v>
      </c>
      <c r="B1826" s="919" t="s">
        <v>384</v>
      </c>
      <c r="C1826" s="920"/>
      <c r="D1826" s="921" t="e">
        <f>SUM(D1817:D1822)-D1825</f>
        <v>#N/A</v>
      </c>
      <c r="E1826" s="922"/>
      <c r="F1826" s="923"/>
      <c r="G1826" s="918" t="s">
        <v>383</v>
      </c>
      <c r="H1826" s="919" t="s">
        <v>384</v>
      </c>
      <c r="I1826" s="920"/>
      <c r="J1826" s="921" t="e">
        <f>SUM(J1817:J1822)-J1825</f>
        <v>#N/A</v>
      </c>
    </row>
    <row r="1827" spans="1:15" ht="18.75" customHeight="1">
      <c r="A1827" s="924"/>
      <c r="B1827" s="925"/>
      <c r="C1827" s="926"/>
      <c r="D1827" s="927"/>
      <c r="E1827" s="927"/>
      <c r="F1827" s="928"/>
      <c r="G1827" s="924"/>
      <c r="H1827" s="925"/>
      <c r="I1827" s="926"/>
      <c r="J1827" s="927"/>
    </row>
    <row r="1828" spans="1:15" ht="18.75" customHeight="1">
      <c r="A1828" s="925"/>
      <c r="B1828" s="925"/>
      <c r="C1828" s="929"/>
      <c r="D1828" s="930"/>
      <c r="E1828" s="925"/>
      <c r="F1828" s="931"/>
      <c r="G1828" s="925"/>
      <c r="H1828" s="925"/>
      <c r="I1828" s="929"/>
      <c r="J1828" s="930"/>
    </row>
    <row r="1829" spans="1:15" ht="15" customHeight="1">
      <c r="A1829" s="2360" t="str">
        <f>$K$2</f>
        <v>THÁNG 09/2024</v>
      </c>
      <c r="B1829" s="2360"/>
      <c r="C1829" s="2360"/>
      <c r="D1829" s="2360"/>
      <c r="E1829" s="903"/>
      <c r="F1829" s="904"/>
      <c r="G1829" s="2360" t="str">
        <f>$K$2</f>
        <v>THÁNG 09/2024</v>
      </c>
      <c r="H1829" s="2360"/>
      <c r="I1829" s="2360"/>
      <c r="J1829" s="2360"/>
      <c r="K1829" s="276"/>
    </row>
    <row r="1830" spans="1:15" ht="15" customHeight="1">
      <c r="A1830" s="905" t="s">
        <v>356</v>
      </c>
      <c r="B1830" s="642" t="s">
        <v>145</v>
      </c>
      <c r="C1830" s="546"/>
      <c r="D1830" s="902"/>
      <c r="E1830" s="906"/>
      <c r="F1830" s="907"/>
      <c r="G1830" s="905" t="s">
        <v>356</v>
      </c>
      <c r="H1830" s="642" t="s">
        <v>146</v>
      </c>
      <c r="I1830" s="546"/>
      <c r="J1830" s="902"/>
      <c r="L1830" s="938"/>
      <c r="M1830" s="938"/>
      <c r="N1830" s="938"/>
      <c r="O1830" s="938"/>
    </row>
    <row r="1831" spans="1:15" ht="15" customHeight="1">
      <c r="A1831" s="905" t="s">
        <v>359</v>
      </c>
      <c r="B1831" s="939" t="s">
        <v>360</v>
      </c>
      <c r="C1831" s="910" t="e">
        <f>VLOOKUP(B1830,'LƯƠNG KT'!$D$16:$AC$184,3,0)</f>
        <v>#N/A</v>
      </c>
      <c r="D1831" s="609" t="e">
        <f>+C1831*25000</f>
        <v>#N/A</v>
      </c>
      <c r="E1831" s="911"/>
      <c r="F1831" s="911"/>
      <c r="G1831" s="905" t="s">
        <v>359</v>
      </c>
      <c r="H1831" s="939" t="s">
        <v>360</v>
      </c>
      <c r="I1831" s="910" t="e">
        <f>VLOOKUP(H1830,'LƯƠNG KT'!$D$16:$AC$184,3,0)</f>
        <v>#N/A</v>
      </c>
      <c r="J1831" s="609" t="e">
        <f>+I1831*25000</f>
        <v>#N/A</v>
      </c>
      <c r="K1831" s="935"/>
      <c r="L1831" s="935"/>
      <c r="M1831" s="935"/>
      <c r="N1831" s="935"/>
      <c r="O1831" s="935"/>
    </row>
    <row r="1832" spans="1:15" ht="15" customHeight="1">
      <c r="A1832" s="905" t="s">
        <v>361</v>
      </c>
      <c r="B1832" s="546" t="s">
        <v>362</v>
      </c>
      <c r="C1832" s="910" t="e">
        <f>VLOOKUP(B1830,'LƯƠNG KT'!$D$16:$AC$184,14,0)</f>
        <v>#N/A</v>
      </c>
      <c r="D1832" s="609" t="e">
        <f>C1832*$L$4</f>
        <v>#N/A</v>
      </c>
      <c r="E1832" s="912"/>
      <c r="F1832" s="912"/>
      <c r="G1832" s="905" t="s">
        <v>361</v>
      </c>
      <c r="H1832" s="546" t="s">
        <v>362</v>
      </c>
      <c r="I1832" s="910" t="e">
        <f>VLOOKUP(H1830,'LƯƠNG KT'!$D$16:$AC$184,14,0)</f>
        <v>#N/A</v>
      </c>
      <c r="J1832" s="609" t="e">
        <f>I1832*$L$4</f>
        <v>#N/A</v>
      </c>
      <c r="K1832" s="935"/>
      <c r="L1832" s="935"/>
      <c r="M1832" s="935"/>
      <c r="N1832" s="935"/>
      <c r="O1832" s="935"/>
    </row>
    <row r="1833" spans="1:15" ht="15" customHeight="1">
      <c r="A1833" s="905" t="s">
        <v>364</v>
      </c>
      <c r="B1833" s="546" t="s">
        <v>365</v>
      </c>
      <c r="C1833" s="910" t="e">
        <f>VLOOKUP(B1830,'LƯƠNG KT'!$D$16:$AC$184,15,0)</f>
        <v>#N/A</v>
      </c>
      <c r="D1833" s="609" t="e">
        <f>C1833*$L$5</f>
        <v>#N/A</v>
      </c>
      <c r="E1833" s="912"/>
      <c r="F1833" s="912"/>
      <c r="G1833" s="905" t="s">
        <v>364</v>
      </c>
      <c r="H1833" s="546" t="s">
        <v>365</v>
      </c>
      <c r="I1833" s="910" t="e">
        <f>VLOOKUP(H1830,'LƯƠNG KT'!$D$16:$AC$184,15,0)</f>
        <v>#N/A</v>
      </c>
      <c r="J1833" s="609" t="e">
        <f>I1833*$L$5</f>
        <v>#N/A</v>
      </c>
      <c r="K1833" s="935"/>
      <c r="L1833" s="935"/>
      <c r="M1833" s="935"/>
      <c r="N1833" s="935"/>
      <c r="O1833" s="935"/>
    </row>
    <row r="1834" spans="1:15" ht="15" customHeight="1">
      <c r="A1834" s="905" t="s">
        <v>367</v>
      </c>
      <c r="B1834" s="546"/>
      <c r="C1834" s="910" t="e">
        <f>VLOOKUP(B1830,'LƯƠNG KT'!$D$16:$AC$184,16,0)</f>
        <v>#N/A</v>
      </c>
      <c r="D1834" s="609" t="e">
        <f>+C1834*$L$6</f>
        <v>#N/A</v>
      </c>
      <c r="E1834" s="912"/>
      <c r="F1834" s="912"/>
      <c r="G1834" s="905" t="s">
        <v>367</v>
      </c>
      <c r="H1834" s="546"/>
      <c r="I1834" s="910" t="e">
        <f>VLOOKUP(H1830,'LƯƠNG KT'!$D$16:$AC$184,16,0)</f>
        <v>#N/A</v>
      </c>
      <c r="J1834" s="609" t="e">
        <f>+I1834*$L$6</f>
        <v>#N/A</v>
      </c>
      <c r="K1834" s="935"/>
      <c r="L1834" s="935"/>
      <c r="M1834" s="935"/>
      <c r="N1834" s="935"/>
      <c r="O1834" s="935"/>
    </row>
    <row r="1835" spans="1:15" ht="15" customHeight="1">
      <c r="A1835" s="905" t="s">
        <v>371</v>
      </c>
      <c r="B1835" s="546" t="s">
        <v>372</v>
      </c>
      <c r="C1835" s="910" t="e">
        <f>VLOOKUP(B1830,'LƯƠNG KT'!$D$16:$AC$184,9,0)*$L$10</f>
        <v>#N/A</v>
      </c>
      <c r="D1835" s="609" t="e">
        <f>+C1835*0.5*3000</f>
        <v>#N/A</v>
      </c>
      <c r="E1835" s="912"/>
      <c r="F1835" s="912"/>
      <c r="G1835" s="905" t="s">
        <v>371</v>
      </c>
      <c r="H1835" s="546" t="s">
        <v>372</v>
      </c>
      <c r="I1835" s="910" t="e">
        <f>VLOOKUP(H1830,'LƯƠNG KT'!$D$16:$AC$184,9,0)*$L$10</f>
        <v>#N/A</v>
      </c>
      <c r="J1835" s="609" t="e">
        <f>+I1835*0.5*3000</f>
        <v>#N/A</v>
      </c>
      <c r="K1835" s="935"/>
      <c r="L1835" s="935"/>
      <c r="M1835" s="935"/>
      <c r="N1835" s="935"/>
      <c r="O1835" s="935"/>
    </row>
    <row r="1836" spans="1:15" ht="15" customHeight="1">
      <c r="A1836" s="905" t="s">
        <v>374</v>
      </c>
      <c r="B1836" s="546" t="s">
        <v>375</v>
      </c>
      <c r="C1836" s="910" t="e">
        <f>VLOOKUP(B1830,'LƯƠNG KT'!$D$16:$AC$184,8,0)*$L$11</f>
        <v>#N/A</v>
      </c>
      <c r="D1836" s="609" t="e">
        <f>VLOOKUP(B1830,'LƯƠNG KT'!$D$16:$AC$184,13,0)-D1835</f>
        <v>#N/A</v>
      </c>
      <c r="E1836" s="914"/>
      <c r="F1836" s="912"/>
      <c r="G1836" s="905" t="s">
        <v>374</v>
      </c>
      <c r="H1836" s="546" t="s">
        <v>375</v>
      </c>
      <c r="I1836" s="910" t="e">
        <f>VLOOKUP(H1830,'LƯƠNG KT'!$D$16:$AC$184,8,0)*$L$11</f>
        <v>#N/A</v>
      </c>
      <c r="J1836" s="609" t="e">
        <f>VLOOKUP(H1830,'LƯƠNG KT'!$D$16:$AC$184,13,0)-J1835</f>
        <v>#N/A</v>
      </c>
      <c r="K1836" s="935"/>
      <c r="L1836" s="935"/>
      <c r="M1836" s="935"/>
      <c r="N1836" s="935"/>
      <c r="O1836" s="935"/>
    </row>
    <row r="1837" spans="1:15" ht="15" customHeight="1">
      <c r="A1837" s="609" t="s">
        <v>377</v>
      </c>
      <c r="B1837" s="546" t="s">
        <v>378</v>
      </c>
      <c r="C1837" s="910"/>
      <c r="D1837" s="609"/>
      <c r="E1837" s="916"/>
      <c r="F1837" s="916"/>
      <c r="G1837" s="609" t="s">
        <v>377</v>
      </c>
      <c r="H1837" s="546" t="s">
        <v>378</v>
      </c>
      <c r="I1837" s="910"/>
      <c r="J1837" s="609"/>
    </row>
    <row r="1838" spans="1:15" ht="15" customHeight="1">
      <c r="A1838" s="547" t="s">
        <v>379</v>
      </c>
      <c r="B1838" s="546" t="s">
        <v>380</v>
      </c>
      <c r="C1838" s="910"/>
      <c r="D1838" s="609"/>
      <c r="E1838" s="914"/>
      <c r="F1838" s="916"/>
      <c r="G1838" s="547" t="s">
        <v>379</v>
      </c>
      <c r="H1838" s="546" t="s">
        <v>380</v>
      </c>
      <c r="I1838" s="910"/>
      <c r="J1838" s="609"/>
    </row>
    <row r="1839" spans="1:15" ht="15" customHeight="1">
      <c r="A1839" s="905" t="s">
        <v>381</v>
      </c>
      <c r="B1839" s="546" t="s">
        <v>382</v>
      </c>
      <c r="C1839" s="910"/>
      <c r="D1839" s="609">
        <f>D1838</f>
        <v>0</v>
      </c>
      <c r="E1839" s="917"/>
      <c r="F1839" s="904"/>
      <c r="G1839" s="905" t="s">
        <v>381</v>
      </c>
      <c r="H1839" s="546" t="s">
        <v>382</v>
      </c>
      <c r="I1839" s="910"/>
      <c r="J1839" s="609">
        <f>J1838</f>
        <v>0</v>
      </c>
    </row>
    <row r="1840" spans="1:15" ht="15" customHeight="1">
      <c r="A1840" s="918" t="s">
        <v>383</v>
      </c>
      <c r="B1840" s="919" t="s">
        <v>384</v>
      </c>
      <c r="C1840" s="920"/>
      <c r="D1840" s="921" t="e">
        <f>SUM(D1831:D1836)-D1839</f>
        <v>#N/A</v>
      </c>
      <c r="E1840" s="922"/>
      <c r="F1840" s="923"/>
      <c r="G1840" s="918" t="s">
        <v>383</v>
      </c>
      <c r="H1840" s="919" t="s">
        <v>384</v>
      </c>
      <c r="I1840" s="920"/>
      <c r="J1840" s="921" t="e">
        <f>SUM(J1831:J1836)-J1839</f>
        <v>#N/A</v>
      </c>
    </row>
    <row r="1841" spans="1:15" ht="15.75" customHeight="1">
      <c r="A1841" s="924"/>
      <c r="B1841" s="925"/>
      <c r="C1841" s="926"/>
      <c r="D1841" s="927"/>
      <c r="E1841" s="927"/>
      <c r="F1841" s="928"/>
      <c r="G1841" s="924"/>
      <c r="H1841" s="925"/>
      <c r="I1841" s="926"/>
      <c r="J1841" s="927"/>
    </row>
    <row r="1843" spans="1:15" ht="12" customHeight="1">
      <c r="A1843" s="2361"/>
      <c r="B1843" s="2361"/>
      <c r="C1843" s="2361"/>
      <c r="D1843" s="2361"/>
      <c r="E1843" s="2361"/>
      <c r="F1843" s="2361"/>
      <c r="G1843" s="2361"/>
      <c r="H1843" s="2361"/>
      <c r="I1843" s="2361"/>
      <c r="J1843" s="2361"/>
    </row>
    <row r="1844" spans="1:15" ht="15" customHeight="1">
      <c r="A1844" s="2360" t="str">
        <f>$K$2</f>
        <v>THÁNG 09/2024</v>
      </c>
      <c r="B1844" s="2360"/>
      <c r="C1844" s="2360"/>
      <c r="D1844" s="2360"/>
      <c r="E1844" s="903"/>
      <c r="F1844" s="904"/>
      <c r="G1844" s="2360" t="str">
        <f>$K$2</f>
        <v>THÁNG 09/2024</v>
      </c>
      <c r="H1844" s="2360"/>
      <c r="I1844" s="2360"/>
      <c r="J1844" s="2360"/>
      <c r="K1844" s="276"/>
    </row>
    <row r="1845" spans="1:15" ht="15" customHeight="1">
      <c r="A1845" s="905" t="s">
        <v>356</v>
      </c>
      <c r="B1845" s="642" t="s">
        <v>147</v>
      </c>
      <c r="C1845" s="546"/>
      <c r="D1845" s="902"/>
      <c r="E1845" s="906"/>
      <c r="F1845" s="907"/>
      <c r="G1845" s="905" t="s">
        <v>356</v>
      </c>
      <c r="H1845" s="642" t="s">
        <v>148</v>
      </c>
      <c r="I1845" s="546"/>
      <c r="J1845" s="902"/>
      <c r="L1845" s="938"/>
      <c r="M1845" s="938"/>
      <c r="N1845" s="938"/>
      <c r="O1845" s="938"/>
    </row>
    <row r="1846" spans="1:15" ht="15" customHeight="1">
      <c r="A1846" s="905" t="s">
        <v>359</v>
      </c>
      <c r="B1846" s="939" t="s">
        <v>360</v>
      </c>
      <c r="C1846" s="910" t="e">
        <f>VLOOKUP(B1845,'LƯƠNG KT'!$D$16:$AC$184,3,0)</f>
        <v>#N/A</v>
      </c>
      <c r="D1846" s="609" t="e">
        <f>+C1846*25000</f>
        <v>#N/A</v>
      </c>
      <c r="E1846" s="911"/>
      <c r="F1846" s="911"/>
      <c r="G1846" s="905" t="s">
        <v>359</v>
      </c>
      <c r="H1846" s="939" t="s">
        <v>360</v>
      </c>
      <c r="I1846" s="910" t="e">
        <f>VLOOKUP(H1845,'LƯƠNG KT'!$D$16:$AC$184,3,0)</f>
        <v>#N/A</v>
      </c>
      <c r="J1846" s="609" t="e">
        <f>+I1846*25000</f>
        <v>#N/A</v>
      </c>
      <c r="K1846" s="934"/>
      <c r="L1846" s="935"/>
      <c r="M1846" s="935"/>
      <c r="N1846" s="935"/>
      <c r="O1846" s="935"/>
    </row>
    <row r="1847" spans="1:15" ht="15" customHeight="1">
      <c r="A1847" s="905" t="s">
        <v>361</v>
      </c>
      <c r="B1847" s="546" t="s">
        <v>362</v>
      </c>
      <c r="C1847" s="910" t="e">
        <f>VLOOKUP(B1845,'LƯƠNG KT'!$D$16:$AC$184,14,0)</f>
        <v>#N/A</v>
      </c>
      <c r="D1847" s="609" t="e">
        <f>C1847*$L$4</f>
        <v>#N/A</v>
      </c>
      <c r="E1847" s="912"/>
      <c r="F1847" s="912"/>
      <c r="G1847" s="905" t="s">
        <v>361</v>
      </c>
      <c r="H1847" s="546" t="s">
        <v>362</v>
      </c>
      <c r="I1847" s="910" t="e">
        <f>VLOOKUP(H1845,'LƯƠNG KT'!$D$16:$AC$184,14,0)</f>
        <v>#N/A</v>
      </c>
      <c r="J1847" s="609" t="e">
        <f>I1847*$L$4</f>
        <v>#N/A</v>
      </c>
      <c r="K1847" s="934"/>
      <c r="L1847" s="935"/>
      <c r="M1847" s="935"/>
      <c r="N1847" s="935"/>
      <c r="O1847" s="935"/>
    </row>
    <row r="1848" spans="1:15" ht="15" customHeight="1">
      <c r="A1848" s="905" t="s">
        <v>364</v>
      </c>
      <c r="B1848" s="546" t="s">
        <v>365</v>
      </c>
      <c r="C1848" s="910" t="e">
        <f>VLOOKUP(B1845,'LƯƠNG KT'!$D$16:$AC$184,15,0)</f>
        <v>#N/A</v>
      </c>
      <c r="D1848" s="609" t="e">
        <f>C1848*$L$5</f>
        <v>#N/A</v>
      </c>
      <c r="E1848" s="912"/>
      <c r="F1848" s="912"/>
      <c r="G1848" s="905" t="s">
        <v>364</v>
      </c>
      <c r="H1848" s="546" t="s">
        <v>365</v>
      </c>
      <c r="I1848" s="910" t="e">
        <f>VLOOKUP(H1845,'LƯƠNG KT'!$D$16:$AC$184,15,0)</f>
        <v>#N/A</v>
      </c>
      <c r="J1848" s="609" t="e">
        <f>I1848*$L$5</f>
        <v>#N/A</v>
      </c>
      <c r="K1848" s="934"/>
      <c r="L1848" s="935"/>
      <c r="M1848" s="935"/>
      <c r="N1848" s="935"/>
      <c r="O1848" s="935"/>
    </row>
    <row r="1849" spans="1:15" ht="15" customHeight="1">
      <c r="A1849" s="905" t="s">
        <v>367</v>
      </c>
      <c r="B1849" s="546"/>
      <c r="C1849" s="910" t="e">
        <f>VLOOKUP(B1845,'LƯƠNG KT'!$D$16:$AC$184,16,0)</f>
        <v>#N/A</v>
      </c>
      <c r="D1849" s="609" t="e">
        <f>+C1849*$L$6</f>
        <v>#N/A</v>
      </c>
      <c r="E1849" s="912"/>
      <c r="F1849" s="912"/>
      <c r="G1849" s="905" t="s">
        <v>367</v>
      </c>
      <c r="H1849" s="546"/>
      <c r="I1849" s="910" t="e">
        <f>VLOOKUP(H1845,'LƯƠNG KT'!$D$16:$AC$184,16,0)</f>
        <v>#N/A</v>
      </c>
      <c r="J1849" s="609" t="e">
        <f>+I1849*$L$6</f>
        <v>#N/A</v>
      </c>
      <c r="K1849" s="935"/>
      <c r="L1849" s="935"/>
      <c r="M1849" s="935"/>
      <c r="N1849" s="935"/>
      <c r="O1849" s="935"/>
    </row>
    <row r="1850" spans="1:15" ht="15" customHeight="1">
      <c r="A1850" s="905" t="s">
        <v>371</v>
      </c>
      <c r="B1850" s="546" t="s">
        <v>372</v>
      </c>
      <c r="C1850" s="910" t="e">
        <f>VLOOKUP(B1845,'LƯƠNG KT'!$D$16:$AC$184,9,0)*$L$10</f>
        <v>#N/A</v>
      </c>
      <c r="D1850" s="609" t="e">
        <f>+C1850*0.5*3000</f>
        <v>#N/A</v>
      </c>
      <c r="E1850" s="912"/>
      <c r="F1850" s="912"/>
      <c r="G1850" s="905" t="s">
        <v>371</v>
      </c>
      <c r="H1850" s="546" t="s">
        <v>372</v>
      </c>
      <c r="I1850" s="910" t="e">
        <f>VLOOKUP(H1845,'LƯƠNG KT'!$D$16:$AC$184,9,0)*$L$10</f>
        <v>#N/A</v>
      </c>
      <c r="J1850" s="609" t="e">
        <f>+I1850*0.5*3000</f>
        <v>#N/A</v>
      </c>
      <c r="K1850" s="935"/>
      <c r="L1850" s="935"/>
      <c r="M1850" s="935"/>
      <c r="N1850" s="935"/>
      <c r="O1850" s="935"/>
    </row>
    <row r="1851" spans="1:15" ht="15" customHeight="1">
      <c r="A1851" s="905" t="s">
        <v>374</v>
      </c>
      <c r="B1851" s="546" t="s">
        <v>375</v>
      </c>
      <c r="C1851" s="910" t="e">
        <f>VLOOKUP(B1845,'LƯƠNG KT'!$D$16:$AC$184,8,0)*$L$11</f>
        <v>#N/A</v>
      </c>
      <c r="D1851" s="609" t="e">
        <f>VLOOKUP(B1845,'LƯƠNG KT'!$D$16:$AC$184,13,0)-D1850</f>
        <v>#N/A</v>
      </c>
      <c r="E1851" s="914"/>
      <c r="F1851" s="912"/>
      <c r="G1851" s="905" t="s">
        <v>374</v>
      </c>
      <c r="H1851" s="546" t="s">
        <v>375</v>
      </c>
      <c r="I1851" s="910" t="e">
        <f>VLOOKUP(H1845,'LƯƠNG KT'!$D$16:$AC$184,8,0)*$L$11</f>
        <v>#N/A</v>
      </c>
      <c r="J1851" s="609" t="e">
        <f>VLOOKUP(H1845,'LƯƠNG KT'!$D$16:$AC$184,13,0)-J1850</f>
        <v>#N/A</v>
      </c>
      <c r="K1851" s="935"/>
      <c r="L1851" s="935"/>
      <c r="M1851" s="935"/>
      <c r="N1851" s="935"/>
      <c r="O1851" s="935"/>
    </row>
    <row r="1852" spans="1:15" ht="15" customHeight="1">
      <c r="A1852" s="609" t="s">
        <v>377</v>
      </c>
      <c r="B1852" s="546" t="s">
        <v>378</v>
      </c>
      <c r="C1852" s="910"/>
      <c r="D1852" s="609"/>
      <c r="E1852" s="916"/>
      <c r="F1852" s="916"/>
      <c r="G1852" s="609" t="s">
        <v>377</v>
      </c>
      <c r="H1852" s="546" t="s">
        <v>378</v>
      </c>
      <c r="I1852" s="910"/>
      <c r="J1852" s="609"/>
    </row>
    <row r="1853" spans="1:15" ht="15" customHeight="1">
      <c r="A1853" s="547" t="s">
        <v>379</v>
      </c>
      <c r="B1853" s="546" t="s">
        <v>380</v>
      </c>
      <c r="C1853" s="910"/>
      <c r="D1853" s="609"/>
      <c r="E1853" s="914"/>
      <c r="F1853" s="916"/>
      <c r="G1853" s="547" t="s">
        <v>379</v>
      </c>
      <c r="H1853" s="546" t="s">
        <v>380</v>
      </c>
      <c r="I1853" s="910"/>
      <c r="J1853" s="609"/>
    </row>
    <row r="1854" spans="1:15" ht="15" customHeight="1">
      <c r="A1854" s="905" t="s">
        <v>381</v>
      </c>
      <c r="B1854" s="546" t="s">
        <v>382</v>
      </c>
      <c r="C1854" s="910"/>
      <c r="D1854" s="609">
        <f>D1853</f>
        <v>0</v>
      </c>
      <c r="E1854" s="917"/>
      <c r="F1854" s="904"/>
      <c r="G1854" s="905" t="s">
        <v>381</v>
      </c>
      <c r="H1854" s="546" t="s">
        <v>382</v>
      </c>
      <c r="I1854" s="910"/>
      <c r="J1854" s="609">
        <f>J1853</f>
        <v>0</v>
      </c>
    </row>
    <row r="1855" spans="1:15" ht="15" customHeight="1">
      <c r="A1855" s="918" t="s">
        <v>383</v>
      </c>
      <c r="B1855" s="919" t="s">
        <v>384</v>
      </c>
      <c r="C1855" s="920"/>
      <c r="D1855" s="921" t="e">
        <f>SUM(D1846:D1851)-D1854</f>
        <v>#N/A</v>
      </c>
      <c r="E1855" s="922"/>
      <c r="F1855" s="923"/>
      <c r="G1855" s="918" t="s">
        <v>383</v>
      </c>
      <c r="H1855" s="919" t="s">
        <v>384</v>
      </c>
      <c r="I1855" s="920"/>
      <c r="J1855" s="921" t="e">
        <f>SUM(J1846:J1851)-J1854</f>
        <v>#N/A</v>
      </c>
    </row>
    <row r="1856" spans="1:15" ht="12.6" customHeight="1">
      <c r="A1856" s="924"/>
      <c r="B1856" s="925"/>
      <c r="C1856" s="926"/>
      <c r="D1856" s="927"/>
      <c r="E1856" s="927"/>
      <c r="F1856" s="928"/>
      <c r="G1856" s="924"/>
      <c r="H1856" s="925"/>
      <c r="I1856" s="926"/>
      <c r="J1856" s="927"/>
    </row>
    <row r="1857" spans="1:15" ht="12.6" customHeight="1">
      <c r="A1857" s="925"/>
      <c r="B1857" s="925"/>
      <c r="C1857" s="929"/>
      <c r="D1857" s="930"/>
      <c r="E1857" s="925"/>
      <c r="F1857" s="931"/>
      <c r="G1857" s="925"/>
      <c r="H1857" s="925"/>
      <c r="I1857" s="929"/>
      <c r="J1857" s="930"/>
    </row>
    <row r="1858" spans="1:15" ht="15" customHeight="1">
      <c r="A1858" s="2360" t="str">
        <f>$K$2</f>
        <v>THÁNG 09/2024</v>
      </c>
      <c r="B1858" s="2360"/>
      <c r="C1858" s="2360"/>
      <c r="D1858" s="2360"/>
      <c r="E1858" s="903"/>
      <c r="F1858" s="904"/>
      <c r="G1858" s="2360" t="str">
        <f>$K$2</f>
        <v>THÁNG 09/2024</v>
      </c>
      <c r="H1858" s="2360"/>
      <c r="I1858" s="2360"/>
      <c r="J1858" s="2360"/>
      <c r="K1858" s="276"/>
    </row>
    <row r="1859" spans="1:15" ht="15" customHeight="1">
      <c r="A1859" s="905" t="s">
        <v>356</v>
      </c>
      <c r="B1859" s="642" t="s">
        <v>149</v>
      </c>
      <c r="C1859" s="546"/>
      <c r="D1859" s="902"/>
      <c r="E1859" s="906"/>
      <c r="F1859" s="907"/>
      <c r="G1859" s="905" t="s">
        <v>356</v>
      </c>
      <c r="H1859" s="642" t="s">
        <v>150</v>
      </c>
      <c r="I1859" s="546"/>
      <c r="J1859" s="902"/>
      <c r="L1859" s="938"/>
      <c r="M1859" s="938"/>
      <c r="N1859" s="938"/>
      <c r="O1859" s="938"/>
    </row>
    <row r="1860" spans="1:15" ht="15" customHeight="1">
      <c r="A1860" s="905" t="s">
        <v>359</v>
      </c>
      <c r="B1860" s="939" t="s">
        <v>360</v>
      </c>
      <c r="C1860" s="910" t="e">
        <f>VLOOKUP(B1859,'LƯƠNG KT'!$D$16:$AC$184,3,0)</f>
        <v>#N/A</v>
      </c>
      <c r="D1860" s="609" t="e">
        <f>+C1860*25000</f>
        <v>#N/A</v>
      </c>
      <c r="E1860" s="911"/>
      <c r="F1860" s="911"/>
      <c r="G1860" s="905" t="s">
        <v>359</v>
      </c>
      <c r="H1860" s="939" t="s">
        <v>360</v>
      </c>
      <c r="I1860" s="910" t="e">
        <f>VLOOKUP(H1859,'LƯƠNG KT'!$D$16:$AC$184,3,0)</f>
        <v>#N/A</v>
      </c>
      <c r="J1860" s="609" t="e">
        <f>+I1860*25000</f>
        <v>#N/A</v>
      </c>
      <c r="K1860" s="935"/>
      <c r="L1860" s="935"/>
      <c r="M1860" s="935"/>
      <c r="N1860" s="935"/>
      <c r="O1860" s="935"/>
    </row>
    <row r="1861" spans="1:15" ht="15" customHeight="1">
      <c r="A1861" s="905" t="s">
        <v>361</v>
      </c>
      <c r="B1861" s="546" t="s">
        <v>362</v>
      </c>
      <c r="C1861" s="910" t="e">
        <f>VLOOKUP(B1859,'LƯƠNG KT'!$D$16:$AC$184,14,0)</f>
        <v>#N/A</v>
      </c>
      <c r="D1861" s="609" t="e">
        <f>C1861*$L$4</f>
        <v>#N/A</v>
      </c>
      <c r="E1861" s="912"/>
      <c r="F1861" s="912"/>
      <c r="G1861" s="905" t="s">
        <v>361</v>
      </c>
      <c r="H1861" s="546" t="s">
        <v>362</v>
      </c>
      <c r="I1861" s="910" t="e">
        <f>VLOOKUP(H1859,'LƯƠNG KT'!$D$16:$AC$184,14,0)</f>
        <v>#N/A</v>
      </c>
      <c r="J1861" s="609" t="e">
        <f>I1861*$L$4</f>
        <v>#N/A</v>
      </c>
      <c r="K1861" s="935"/>
      <c r="L1861" s="935"/>
      <c r="M1861" s="935"/>
      <c r="N1861" s="935"/>
      <c r="O1861" s="935"/>
    </row>
    <row r="1862" spans="1:15" ht="15" customHeight="1">
      <c r="A1862" s="905" t="s">
        <v>364</v>
      </c>
      <c r="B1862" s="546" t="s">
        <v>365</v>
      </c>
      <c r="C1862" s="910" t="e">
        <f>VLOOKUP(B1859,'LƯƠNG KT'!$D$16:$AC$184,15,0)</f>
        <v>#N/A</v>
      </c>
      <c r="D1862" s="609" t="e">
        <f>C1862*$L$5</f>
        <v>#N/A</v>
      </c>
      <c r="E1862" s="912"/>
      <c r="F1862" s="912"/>
      <c r="G1862" s="905" t="s">
        <v>364</v>
      </c>
      <c r="H1862" s="546" t="s">
        <v>365</v>
      </c>
      <c r="I1862" s="910" t="e">
        <f>VLOOKUP(H1859,'LƯƠNG KT'!$D$16:$AC$184,15,0)</f>
        <v>#N/A</v>
      </c>
      <c r="J1862" s="609" t="e">
        <f>I1862*$L$5</f>
        <v>#N/A</v>
      </c>
      <c r="K1862" s="935"/>
      <c r="L1862" s="935"/>
      <c r="M1862" s="935"/>
      <c r="N1862" s="935"/>
      <c r="O1862" s="935"/>
    </row>
    <row r="1863" spans="1:15" ht="15" customHeight="1">
      <c r="A1863" s="905" t="s">
        <v>367</v>
      </c>
      <c r="B1863" s="546"/>
      <c r="C1863" s="910" t="e">
        <f>VLOOKUP(B1859,'LƯƠNG KT'!$D$16:$AC$184,16,0)</f>
        <v>#N/A</v>
      </c>
      <c r="D1863" s="609" t="e">
        <f>+C1863*$L$6</f>
        <v>#N/A</v>
      </c>
      <c r="E1863" s="912"/>
      <c r="F1863" s="912"/>
      <c r="G1863" s="905" t="s">
        <v>367</v>
      </c>
      <c r="H1863" s="546"/>
      <c r="I1863" s="910" t="e">
        <f>VLOOKUP(H1859,'LƯƠNG KT'!$D$16:$AC$184,16,0)</f>
        <v>#N/A</v>
      </c>
      <c r="J1863" s="609" t="e">
        <f>+I1863*$L$6</f>
        <v>#N/A</v>
      </c>
      <c r="K1863" s="935"/>
      <c r="L1863" s="935"/>
      <c r="M1863" s="935"/>
      <c r="N1863" s="935"/>
      <c r="O1863" s="935"/>
    </row>
    <row r="1864" spans="1:15" ht="15" customHeight="1">
      <c r="A1864" s="905" t="s">
        <v>371</v>
      </c>
      <c r="B1864" s="546" t="s">
        <v>372</v>
      </c>
      <c r="C1864" s="910" t="e">
        <f>VLOOKUP(B1859,'LƯƠNG KT'!$D$16:$AC$184,9,0)*$L$10</f>
        <v>#N/A</v>
      </c>
      <c r="D1864" s="609" t="e">
        <f>+C1864*0.5*3000</f>
        <v>#N/A</v>
      </c>
      <c r="E1864" s="912"/>
      <c r="F1864" s="912"/>
      <c r="G1864" s="905" t="s">
        <v>371</v>
      </c>
      <c r="H1864" s="546" t="s">
        <v>372</v>
      </c>
      <c r="I1864" s="910" t="e">
        <f>VLOOKUP(H1859,'LƯƠNG KT'!$D$16:$AC$184,9,0)*$L$10</f>
        <v>#N/A</v>
      </c>
      <c r="J1864" s="609" t="e">
        <f>+I1864*0.5*3000</f>
        <v>#N/A</v>
      </c>
      <c r="K1864" s="935"/>
      <c r="L1864" s="935"/>
      <c r="M1864" s="935"/>
      <c r="N1864" s="935"/>
      <c r="O1864" s="935"/>
    </row>
    <row r="1865" spans="1:15" ht="15" customHeight="1">
      <c r="A1865" s="905" t="s">
        <v>374</v>
      </c>
      <c r="B1865" s="546" t="s">
        <v>375</v>
      </c>
      <c r="C1865" s="910" t="e">
        <f>VLOOKUP(B1859,'LƯƠNG KT'!$D$16:$AC$184,8,0)*$L$11</f>
        <v>#N/A</v>
      </c>
      <c r="D1865" s="609" t="e">
        <f>VLOOKUP(B1859,'LƯƠNG KT'!$D$16:$AC$184,13,0)-D1864</f>
        <v>#N/A</v>
      </c>
      <c r="E1865" s="914"/>
      <c r="F1865" s="912"/>
      <c r="G1865" s="905" t="s">
        <v>374</v>
      </c>
      <c r="H1865" s="546" t="s">
        <v>375</v>
      </c>
      <c r="I1865" s="910" t="e">
        <f>VLOOKUP(H1859,'LƯƠNG KT'!$D$16:$AC$184,8,0)*$L$11</f>
        <v>#N/A</v>
      </c>
      <c r="J1865" s="609" t="e">
        <f>VLOOKUP(H1859,'LƯƠNG KT'!$D$16:$AC$184,13,0)-J1864</f>
        <v>#N/A</v>
      </c>
      <c r="K1865" s="935"/>
      <c r="L1865" s="935"/>
      <c r="M1865" s="935"/>
      <c r="N1865" s="935"/>
      <c r="O1865" s="935"/>
    </row>
    <row r="1866" spans="1:15" ht="15" customHeight="1">
      <c r="A1866" s="609" t="s">
        <v>377</v>
      </c>
      <c r="B1866" s="546" t="s">
        <v>378</v>
      </c>
      <c r="C1866" s="910"/>
      <c r="D1866" s="609"/>
      <c r="E1866" s="916"/>
      <c r="F1866" s="916"/>
      <c r="G1866" s="609" t="s">
        <v>377</v>
      </c>
      <c r="H1866" s="546" t="s">
        <v>378</v>
      </c>
      <c r="I1866" s="910"/>
      <c r="J1866" s="609"/>
    </row>
    <row r="1867" spans="1:15" ht="15" customHeight="1">
      <c r="A1867" s="547" t="s">
        <v>379</v>
      </c>
      <c r="B1867" s="546" t="s">
        <v>380</v>
      </c>
      <c r="C1867" s="910"/>
      <c r="D1867" s="609"/>
      <c r="E1867" s="914"/>
      <c r="F1867" s="916"/>
      <c r="G1867" s="547" t="s">
        <v>379</v>
      </c>
      <c r="H1867" s="546" t="s">
        <v>380</v>
      </c>
      <c r="I1867" s="910"/>
      <c r="J1867" s="609"/>
    </row>
    <row r="1868" spans="1:15" ht="15" customHeight="1">
      <c r="A1868" s="905" t="s">
        <v>381</v>
      </c>
      <c r="B1868" s="546" t="s">
        <v>382</v>
      </c>
      <c r="C1868" s="910"/>
      <c r="D1868" s="609">
        <f>D1867</f>
        <v>0</v>
      </c>
      <c r="E1868" s="917"/>
      <c r="F1868" s="904"/>
      <c r="G1868" s="905" t="s">
        <v>381</v>
      </c>
      <c r="H1868" s="546" t="s">
        <v>382</v>
      </c>
      <c r="I1868" s="910"/>
      <c r="J1868" s="609">
        <f>J1867</f>
        <v>0</v>
      </c>
    </row>
    <row r="1869" spans="1:15" ht="15" customHeight="1">
      <c r="A1869" s="918" t="s">
        <v>383</v>
      </c>
      <c r="B1869" s="919" t="s">
        <v>384</v>
      </c>
      <c r="C1869" s="920"/>
      <c r="D1869" s="921" t="e">
        <f>SUM(D1860:D1865)-D1868</f>
        <v>#N/A</v>
      </c>
      <c r="E1869" s="922"/>
      <c r="F1869" s="923"/>
      <c r="G1869" s="918" t="s">
        <v>383</v>
      </c>
      <c r="H1869" s="919" t="s">
        <v>384</v>
      </c>
      <c r="I1869" s="920"/>
      <c r="J1869" s="921" t="e">
        <f>SUM(J1860:J1865)-J1868</f>
        <v>#N/A</v>
      </c>
    </row>
    <row r="1870" spans="1:15" ht="18.75" customHeight="1">
      <c r="A1870" s="924"/>
      <c r="B1870" s="925"/>
      <c r="C1870" s="926"/>
      <c r="D1870" s="927"/>
      <c r="E1870" s="927"/>
      <c r="F1870" s="928"/>
      <c r="G1870" s="924"/>
      <c r="H1870" s="925"/>
      <c r="I1870" s="926"/>
      <c r="J1870" s="927"/>
    </row>
    <row r="1871" spans="1:15" ht="18.75" customHeight="1">
      <c r="A1871" s="925"/>
      <c r="B1871" s="925"/>
      <c r="C1871" s="929"/>
      <c r="D1871" s="930"/>
      <c r="E1871" s="925"/>
      <c r="F1871" s="931"/>
      <c r="G1871" s="925"/>
      <c r="H1871" s="925"/>
      <c r="I1871" s="929"/>
      <c r="J1871" s="930"/>
    </row>
    <row r="1872" spans="1:15" ht="15" customHeight="1">
      <c r="A1872" s="2360" t="str">
        <f>$K$2</f>
        <v>THÁNG 09/2024</v>
      </c>
      <c r="B1872" s="2360"/>
      <c r="C1872" s="2360"/>
      <c r="D1872" s="2360"/>
      <c r="E1872" s="903"/>
      <c r="F1872" s="904"/>
      <c r="G1872" s="2360" t="str">
        <f>$K$2</f>
        <v>THÁNG 09/2024</v>
      </c>
      <c r="H1872" s="2360"/>
      <c r="I1872" s="2360"/>
      <c r="J1872" s="2360"/>
      <c r="K1872" s="276"/>
    </row>
    <row r="1873" spans="1:15" ht="15" customHeight="1">
      <c r="A1873" s="905" t="s">
        <v>356</v>
      </c>
      <c r="B1873" s="642" t="s">
        <v>151</v>
      </c>
      <c r="C1873" s="546"/>
      <c r="D1873" s="902"/>
      <c r="E1873" s="906"/>
      <c r="F1873" s="907"/>
      <c r="G1873" s="905" t="s">
        <v>356</v>
      </c>
      <c r="H1873" s="642" t="s">
        <v>152</v>
      </c>
      <c r="I1873" s="546"/>
      <c r="J1873" s="902"/>
      <c r="L1873" s="938"/>
      <c r="M1873" s="938"/>
      <c r="N1873" s="938"/>
      <c r="O1873" s="938"/>
    </row>
    <row r="1874" spans="1:15" ht="15" customHeight="1">
      <c r="A1874" s="905" t="s">
        <v>359</v>
      </c>
      <c r="B1874" s="939" t="s">
        <v>360</v>
      </c>
      <c r="C1874" s="910" t="e">
        <f>VLOOKUP(B1873,'LƯƠNG KT'!$D$16:$AC$184,3,0)</f>
        <v>#N/A</v>
      </c>
      <c r="D1874" s="609" t="e">
        <f>+C1874*25000</f>
        <v>#N/A</v>
      </c>
      <c r="E1874" s="911"/>
      <c r="F1874" s="911"/>
      <c r="G1874" s="905" t="s">
        <v>359</v>
      </c>
      <c r="H1874" s="939" t="s">
        <v>360</v>
      </c>
      <c r="I1874" s="910" t="e">
        <f>VLOOKUP(H1873,'LƯƠNG KT'!$D$16:$AC$184,3,0)</f>
        <v>#N/A</v>
      </c>
      <c r="J1874" s="609" t="e">
        <f>+I1874*25000</f>
        <v>#N/A</v>
      </c>
      <c r="K1874" s="935"/>
      <c r="L1874" s="935"/>
      <c r="M1874" s="935"/>
      <c r="N1874" s="935"/>
      <c r="O1874" s="935"/>
    </row>
    <row r="1875" spans="1:15" ht="15" customHeight="1">
      <c r="A1875" s="905" t="s">
        <v>361</v>
      </c>
      <c r="B1875" s="546" t="s">
        <v>362</v>
      </c>
      <c r="C1875" s="910" t="e">
        <f>VLOOKUP(B1873,'LƯƠNG KT'!$D$16:$AC$184,14,0)</f>
        <v>#N/A</v>
      </c>
      <c r="D1875" s="609" t="e">
        <f>C1875*$L$4</f>
        <v>#N/A</v>
      </c>
      <c r="E1875" s="912"/>
      <c r="F1875" s="912"/>
      <c r="G1875" s="905" t="s">
        <v>361</v>
      </c>
      <c r="H1875" s="546" t="s">
        <v>362</v>
      </c>
      <c r="I1875" s="910" t="e">
        <f>VLOOKUP(H1873,'LƯƠNG KT'!$D$16:$AC$184,14,0)</f>
        <v>#N/A</v>
      </c>
      <c r="J1875" s="609" t="e">
        <f>I1875*$L$4</f>
        <v>#N/A</v>
      </c>
      <c r="K1875" s="935"/>
      <c r="L1875" s="935"/>
      <c r="M1875" s="935"/>
      <c r="N1875" s="935"/>
      <c r="O1875" s="935"/>
    </row>
    <row r="1876" spans="1:15" ht="15" customHeight="1">
      <c r="A1876" s="905" t="s">
        <v>364</v>
      </c>
      <c r="B1876" s="546" t="s">
        <v>365</v>
      </c>
      <c r="C1876" s="910" t="e">
        <f>VLOOKUP(B1873,'LƯƠNG KT'!$D$16:$AC$184,15,0)</f>
        <v>#N/A</v>
      </c>
      <c r="D1876" s="609" t="e">
        <f>C1876*$L$5</f>
        <v>#N/A</v>
      </c>
      <c r="E1876" s="912"/>
      <c r="F1876" s="912"/>
      <c r="G1876" s="905" t="s">
        <v>364</v>
      </c>
      <c r="H1876" s="546" t="s">
        <v>365</v>
      </c>
      <c r="I1876" s="910" t="e">
        <f>VLOOKUP(H1873,'LƯƠNG KT'!$D$16:$AC$184,15,0)</f>
        <v>#N/A</v>
      </c>
      <c r="J1876" s="609" t="e">
        <f>I1876*$L$5</f>
        <v>#N/A</v>
      </c>
      <c r="K1876" s="935"/>
      <c r="L1876" s="935"/>
      <c r="M1876" s="935"/>
      <c r="N1876" s="935"/>
      <c r="O1876" s="935"/>
    </row>
    <row r="1877" spans="1:15" ht="15" customHeight="1">
      <c r="A1877" s="905" t="s">
        <v>367</v>
      </c>
      <c r="B1877" s="546"/>
      <c r="C1877" s="910" t="e">
        <f>VLOOKUP(B1873,'LƯƠNG KT'!$D$16:$AC$184,16,0)</f>
        <v>#N/A</v>
      </c>
      <c r="D1877" s="609" t="e">
        <f>+C1877*$L$6</f>
        <v>#N/A</v>
      </c>
      <c r="E1877" s="912"/>
      <c r="F1877" s="912"/>
      <c r="G1877" s="905" t="s">
        <v>367</v>
      </c>
      <c r="H1877" s="546"/>
      <c r="I1877" s="910" t="e">
        <f>VLOOKUP(H1873,'LƯƠNG KT'!$D$16:$AC$184,16,0)</f>
        <v>#N/A</v>
      </c>
      <c r="J1877" s="609" t="e">
        <f>+I1877*$L$6</f>
        <v>#N/A</v>
      </c>
      <c r="K1877" s="935"/>
      <c r="L1877" s="935"/>
      <c r="M1877" s="935"/>
      <c r="N1877" s="935"/>
      <c r="O1877" s="935"/>
    </row>
    <row r="1878" spans="1:15" ht="15" customHeight="1">
      <c r="A1878" s="905" t="s">
        <v>371</v>
      </c>
      <c r="B1878" s="546" t="s">
        <v>372</v>
      </c>
      <c r="C1878" s="910" t="e">
        <f>VLOOKUP(B1873,'LƯƠNG KT'!$D$16:$AC$184,9,0)*$L$10</f>
        <v>#N/A</v>
      </c>
      <c r="D1878" s="609" t="e">
        <f>+C1878*0.5*3000</f>
        <v>#N/A</v>
      </c>
      <c r="E1878" s="912"/>
      <c r="F1878" s="912"/>
      <c r="G1878" s="905" t="s">
        <v>371</v>
      </c>
      <c r="H1878" s="546" t="s">
        <v>372</v>
      </c>
      <c r="I1878" s="910" t="e">
        <f>VLOOKUP(H1873,'LƯƠNG KT'!$D$16:$AC$184,9,0)*$L$10</f>
        <v>#N/A</v>
      </c>
      <c r="J1878" s="609" t="e">
        <f>+I1878*0.5*3000</f>
        <v>#N/A</v>
      </c>
      <c r="K1878" s="935"/>
      <c r="L1878" s="935"/>
      <c r="M1878" s="935"/>
      <c r="N1878" s="935"/>
      <c r="O1878" s="935"/>
    </row>
    <row r="1879" spans="1:15" ht="15" customHeight="1">
      <c r="A1879" s="905" t="s">
        <v>374</v>
      </c>
      <c r="B1879" s="546" t="s">
        <v>375</v>
      </c>
      <c r="C1879" s="910" t="e">
        <f>VLOOKUP(B1873,'LƯƠNG KT'!$D$16:$AC$184,8,0)*$L$11</f>
        <v>#N/A</v>
      </c>
      <c r="D1879" s="609" t="e">
        <f>VLOOKUP(B1873,'LƯƠNG KT'!$D$16:$AC$184,13,0)-D1878</f>
        <v>#N/A</v>
      </c>
      <c r="E1879" s="914"/>
      <c r="F1879" s="912"/>
      <c r="G1879" s="905" t="s">
        <v>374</v>
      </c>
      <c r="H1879" s="546" t="s">
        <v>375</v>
      </c>
      <c r="I1879" s="910" t="e">
        <f>VLOOKUP(H1873,'LƯƠNG KT'!$D$16:$AC$184,8,0)*$L$11</f>
        <v>#N/A</v>
      </c>
      <c r="J1879" s="609" t="e">
        <f>VLOOKUP(H1873,'LƯƠNG KT'!$D$16:$AC$184,13,0)-J1878</f>
        <v>#N/A</v>
      </c>
      <c r="K1879" s="935"/>
      <c r="L1879" s="935"/>
      <c r="M1879" s="935"/>
      <c r="N1879" s="935"/>
      <c r="O1879" s="935"/>
    </row>
    <row r="1880" spans="1:15" ht="15" customHeight="1">
      <c r="A1880" s="609" t="s">
        <v>377</v>
      </c>
      <c r="B1880" s="546" t="s">
        <v>378</v>
      </c>
      <c r="C1880" s="910"/>
      <c r="D1880" s="609"/>
      <c r="E1880" s="916"/>
      <c r="F1880" s="916"/>
      <c r="G1880" s="609" t="s">
        <v>377</v>
      </c>
      <c r="H1880" s="546" t="s">
        <v>378</v>
      </c>
      <c r="I1880" s="910"/>
      <c r="J1880" s="609"/>
    </row>
    <row r="1881" spans="1:15" ht="15" customHeight="1">
      <c r="A1881" s="547" t="s">
        <v>379</v>
      </c>
      <c r="B1881" s="546" t="s">
        <v>380</v>
      </c>
      <c r="C1881" s="910"/>
      <c r="D1881" s="609"/>
      <c r="E1881" s="914"/>
      <c r="F1881" s="916"/>
      <c r="G1881" s="547" t="s">
        <v>379</v>
      </c>
      <c r="H1881" s="546" t="s">
        <v>380</v>
      </c>
      <c r="I1881" s="910"/>
      <c r="J1881" s="609"/>
    </row>
    <row r="1882" spans="1:15" ht="15" customHeight="1">
      <c r="A1882" s="905" t="s">
        <v>381</v>
      </c>
      <c r="B1882" s="546" t="s">
        <v>382</v>
      </c>
      <c r="C1882" s="910"/>
      <c r="D1882" s="609">
        <f>D1881</f>
        <v>0</v>
      </c>
      <c r="E1882" s="917"/>
      <c r="F1882" s="904"/>
      <c r="G1882" s="905" t="s">
        <v>381</v>
      </c>
      <c r="H1882" s="546" t="s">
        <v>382</v>
      </c>
      <c r="I1882" s="910"/>
      <c r="J1882" s="609">
        <f>J1881</f>
        <v>0</v>
      </c>
    </row>
    <row r="1883" spans="1:15" ht="15" customHeight="1">
      <c r="A1883" s="918" t="s">
        <v>383</v>
      </c>
      <c r="B1883" s="919" t="s">
        <v>384</v>
      </c>
      <c r="C1883" s="920"/>
      <c r="D1883" s="921" t="e">
        <f>SUM(D1874:D1879)-D1882</f>
        <v>#N/A</v>
      </c>
      <c r="E1883" s="922"/>
      <c r="F1883" s="923"/>
      <c r="G1883" s="918" t="s">
        <v>383</v>
      </c>
      <c r="H1883" s="919" t="s">
        <v>384</v>
      </c>
      <c r="I1883" s="920"/>
      <c r="J1883" s="921" t="e">
        <f>SUM(J1874:J1879)-J1882</f>
        <v>#N/A</v>
      </c>
    </row>
    <row r="1884" spans="1:15" ht="18.75" customHeight="1">
      <c r="A1884" s="924"/>
      <c r="B1884" s="925"/>
      <c r="C1884" s="926"/>
      <c r="D1884" s="927"/>
      <c r="E1884" s="927"/>
      <c r="F1884" s="928"/>
      <c r="G1884" s="924"/>
      <c r="H1884" s="925"/>
      <c r="I1884" s="926"/>
      <c r="J1884" s="927"/>
    </row>
    <row r="1885" spans="1:15" ht="18.75" customHeight="1">
      <c r="A1885" s="925"/>
      <c r="B1885" s="925"/>
      <c r="C1885" s="929"/>
      <c r="D1885" s="930"/>
      <c r="E1885" s="925"/>
      <c r="F1885" s="931"/>
      <c r="G1885" s="925"/>
      <c r="H1885" s="925"/>
      <c r="I1885" s="929"/>
      <c r="J1885" s="930"/>
    </row>
    <row r="1886" spans="1:15" ht="15" customHeight="1">
      <c r="A1886" s="2360" t="str">
        <f>$K$2</f>
        <v>THÁNG 09/2024</v>
      </c>
      <c r="B1886" s="2360"/>
      <c r="C1886" s="2360"/>
      <c r="D1886" s="2360"/>
      <c r="E1886" s="903"/>
      <c r="F1886" s="904"/>
      <c r="G1886" s="2360" t="str">
        <f>$K$2</f>
        <v>THÁNG 09/2024</v>
      </c>
      <c r="H1886" s="2360"/>
      <c r="I1886" s="2360"/>
      <c r="J1886" s="2360"/>
      <c r="K1886" s="276"/>
    </row>
    <row r="1887" spans="1:15" ht="15" customHeight="1">
      <c r="A1887" s="905" t="s">
        <v>356</v>
      </c>
      <c r="B1887" s="642" t="s">
        <v>153</v>
      </c>
      <c r="C1887" s="546"/>
      <c r="D1887" s="902"/>
      <c r="E1887" s="906"/>
      <c r="F1887" s="907"/>
      <c r="G1887" s="905" t="s">
        <v>356</v>
      </c>
      <c r="H1887" s="642" t="s">
        <v>154</v>
      </c>
      <c r="I1887" s="546"/>
      <c r="J1887" s="902"/>
      <c r="L1887" s="938"/>
      <c r="M1887" s="938"/>
      <c r="N1887" s="938"/>
      <c r="O1887" s="938"/>
    </row>
    <row r="1888" spans="1:15" ht="15" customHeight="1">
      <c r="A1888" s="905" t="s">
        <v>359</v>
      </c>
      <c r="B1888" s="939" t="s">
        <v>360</v>
      </c>
      <c r="C1888" s="910" t="e">
        <f>VLOOKUP(B1887,'LƯƠNG KT'!$D$16:$AC$184,3,0)</f>
        <v>#N/A</v>
      </c>
      <c r="D1888" s="609" t="e">
        <f>+C1888*25000</f>
        <v>#N/A</v>
      </c>
      <c r="E1888" s="911"/>
      <c r="F1888" s="911"/>
      <c r="G1888" s="905" t="s">
        <v>359</v>
      </c>
      <c r="H1888" s="939" t="s">
        <v>360</v>
      </c>
      <c r="I1888" s="910" t="e">
        <f>VLOOKUP(H1887,'LƯƠNG KT'!$D$16:$AC$184,3,0)</f>
        <v>#N/A</v>
      </c>
      <c r="J1888" s="609" t="e">
        <f>+I1888*25000</f>
        <v>#N/A</v>
      </c>
      <c r="K1888" s="935"/>
      <c r="L1888" s="935"/>
      <c r="M1888" s="935"/>
      <c r="N1888" s="935"/>
      <c r="O1888" s="935"/>
    </row>
    <row r="1889" spans="1:15" ht="15" customHeight="1">
      <c r="A1889" s="905" t="s">
        <v>361</v>
      </c>
      <c r="B1889" s="546" t="s">
        <v>362</v>
      </c>
      <c r="C1889" s="910" t="e">
        <f>VLOOKUP(B1887,'LƯƠNG KT'!$D$16:$AC$184,14,0)</f>
        <v>#N/A</v>
      </c>
      <c r="D1889" s="609" t="e">
        <f>C1889*$L$4</f>
        <v>#N/A</v>
      </c>
      <c r="E1889" s="912"/>
      <c r="F1889" s="912"/>
      <c r="G1889" s="905" t="s">
        <v>361</v>
      </c>
      <c r="H1889" s="546" t="s">
        <v>362</v>
      </c>
      <c r="I1889" s="910" t="e">
        <f>VLOOKUP(H1887,'LƯƠNG KT'!$D$16:$AC$184,14,0)</f>
        <v>#N/A</v>
      </c>
      <c r="J1889" s="609" t="e">
        <f>I1889*$L$4</f>
        <v>#N/A</v>
      </c>
      <c r="K1889" s="935"/>
      <c r="L1889" s="935"/>
      <c r="M1889" s="935"/>
      <c r="N1889" s="935"/>
      <c r="O1889" s="935"/>
    </row>
    <row r="1890" spans="1:15" ht="15" customHeight="1">
      <c r="A1890" s="905" t="s">
        <v>364</v>
      </c>
      <c r="B1890" s="546" t="s">
        <v>365</v>
      </c>
      <c r="C1890" s="910" t="e">
        <f>VLOOKUP(B1887,'LƯƠNG KT'!$D$16:$AC$184,15,0)</f>
        <v>#N/A</v>
      </c>
      <c r="D1890" s="609" t="e">
        <f>C1890*$L$5</f>
        <v>#N/A</v>
      </c>
      <c r="E1890" s="912"/>
      <c r="F1890" s="912"/>
      <c r="G1890" s="905" t="s">
        <v>364</v>
      </c>
      <c r="H1890" s="546" t="s">
        <v>365</v>
      </c>
      <c r="I1890" s="910" t="e">
        <f>VLOOKUP(H1887,'LƯƠNG KT'!$D$16:$AC$184,15,0)</f>
        <v>#N/A</v>
      </c>
      <c r="J1890" s="609" t="e">
        <f>I1890*$L$5</f>
        <v>#N/A</v>
      </c>
      <c r="K1890" s="935"/>
      <c r="L1890" s="935"/>
      <c r="M1890" s="935"/>
      <c r="N1890" s="935"/>
      <c r="O1890" s="935"/>
    </row>
    <row r="1891" spans="1:15" ht="15" customHeight="1">
      <c r="A1891" s="905" t="s">
        <v>367</v>
      </c>
      <c r="B1891" s="546"/>
      <c r="C1891" s="910" t="e">
        <f>VLOOKUP(B1887,'LƯƠNG KT'!$D$16:$AC$184,16,0)</f>
        <v>#N/A</v>
      </c>
      <c r="D1891" s="609" t="e">
        <f>+C1891*$L$6</f>
        <v>#N/A</v>
      </c>
      <c r="E1891" s="912"/>
      <c r="F1891" s="912"/>
      <c r="G1891" s="905" t="s">
        <v>367</v>
      </c>
      <c r="H1891" s="546"/>
      <c r="I1891" s="910" t="e">
        <f>VLOOKUP(H1887,'LƯƠNG KT'!$D$16:$AC$184,16,0)</f>
        <v>#N/A</v>
      </c>
      <c r="J1891" s="609" t="e">
        <f>+I1891*$L$6</f>
        <v>#N/A</v>
      </c>
      <c r="K1891" s="935"/>
      <c r="L1891" s="935"/>
      <c r="M1891" s="935"/>
      <c r="N1891" s="935"/>
      <c r="O1891" s="935"/>
    </row>
    <row r="1892" spans="1:15" ht="15" customHeight="1">
      <c r="A1892" s="905" t="s">
        <v>371</v>
      </c>
      <c r="B1892" s="546" t="s">
        <v>372</v>
      </c>
      <c r="C1892" s="910" t="e">
        <f>VLOOKUP(B1887,'LƯƠNG KT'!$D$16:$AC$184,9,0)*$L$10</f>
        <v>#N/A</v>
      </c>
      <c r="D1892" s="609" t="e">
        <f>+C1892*0.5*3000</f>
        <v>#N/A</v>
      </c>
      <c r="E1892" s="912"/>
      <c r="F1892" s="912"/>
      <c r="G1892" s="905" t="s">
        <v>371</v>
      </c>
      <c r="H1892" s="546" t="s">
        <v>372</v>
      </c>
      <c r="I1892" s="910" t="e">
        <f>VLOOKUP(H1887,'LƯƠNG KT'!$D$16:$AC$184,9,0)*$L$10</f>
        <v>#N/A</v>
      </c>
      <c r="J1892" s="609" t="e">
        <f>+I1892*0.5*3000</f>
        <v>#N/A</v>
      </c>
      <c r="K1892" s="935"/>
      <c r="L1892" s="935"/>
      <c r="M1892" s="935"/>
      <c r="N1892" s="935"/>
      <c r="O1892" s="935"/>
    </row>
    <row r="1893" spans="1:15" ht="15" customHeight="1">
      <c r="A1893" s="905" t="s">
        <v>374</v>
      </c>
      <c r="B1893" s="546" t="s">
        <v>375</v>
      </c>
      <c r="C1893" s="910" t="e">
        <f>VLOOKUP(B1887,'LƯƠNG KT'!$D$16:$AC$184,8,0)*$L$11</f>
        <v>#N/A</v>
      </c>
      <c r="D1893" s="609" t="e">
        <f>VLOOKUP(B1887,'LƯƠNG KT'!$D$16:$AC$184,13,0)-D1892</f>
        <v>#N/A</v>
      </c>
      <c r="E1893" s="914"/>
      <c r="F1893" s="912"/>
      <c r="G1893" s="905" t="s">
        <v>374</v>
      </c>
      <c r="H1893" s="546" t="s">
        <v>375</v>
      </c>
      <c r="I1893" s="910" t="e">
        <f>VLOOKUP(H1887,'LƯƠNG KT'!$D$16:$AC$184,8,0)*$L$11</f>
        <v>#N/A</v>
      </c>
      <c r="J1893" s="609" t="e">
        <f>VLOOKUP(H1887,'LƯƠNG KT'!$D$16:$AC$184,13,0)-J1892</f>
        <v>#N/A</v>
      </c>
      <c r="K1893" s="935"/>
      <c r="L1893" s="935"/>
      <c r="M1893" s="935"/>
      <c r="N1893" s="935"/>
      <c r="O1893" s="935"/>
    </row>
    <row r="1894" spans="1:15" ht="15" customHeight="1">
      <c r="A1894" s="609" t="s">
        <v>377</v>
      </c>
      <c r="B1894" s="546" t="s">
        <v>378</v>
      </c>
      <c r="C1894" s="910"/>
      <c r="D1894" s="609"/>
      <c r="E1894" s="916"/>
      <c r="F1894" s="916"/>
      <c r="G1894" s="609" t="s">
        <v>377</v>
      </c>
      <c r="H1894" s="546" t="s">
        <v>378</v>
      </c>
      <c r="I1894" s="910"/>
      <c r="J1894" s="609"/>
    </row>
    <row r="1895" spans="1:15" ht="15" customHeight="1">
      <c r="A1895" s="547" t="s">
        <v>379</v>
      </c>
      <c r="B1895" s="546" t="s">
        <v>380</v>
      </c>
      <c r="C1895" s="910"/>
      <c r="D1895" s="609"/>
      <c r="E1895" s="914"/>
      <c r="F1895" s="916"/>
      <c r="G1895" s="547" t="s">
        <v>379</v>
      </c>
      <c r="H1895" s="546" t="s">
        <v>380</v>
      </c>
      <c r="I1895" s="910"/>
      <c r="J1895" s="609"/>
    </row>
    <row r="1896" spans="1:15" ht="15" customHeight="1">
      <c r="A1896" s="905" t="s">
        <v>381</v>
      </c>
      <c r="B1896" s="546" t="s">
        <v>382</v>
      </c>
      <c r="C1896" s="910"/>
      <c r="D1896" s="609">
        <f>D1895</f>
        <v>0</v>
      </c>
      <c r="E1896" s="917"/>
      <c r="F1896" s="904"/>
      <c r="G1896" s="905" t="s">
        <v>381</v>
      </c>
      <c r="H1896" s="546" t="s">
        <v>382</v>
      </c>
      <c r="I1896" s="910"/>
      <c r="J1896" s="609">
        <f>J1895</f>
        <v>0</v>
      </c>
    </row>
    <row r="1897" spans="1:15" ht="15" customHeight="1">
      <c r="A1897" s="918" t="s">
        <v>383</v>
      </c>
      <c r="B1897" s="919" t="s">
        <v>384</v>
      </c>
      <c r="C1897" s="920"/>
      <c r="D1897" s="921" t="e">
        <f>SUM(D1888:D1893)-D1896</f>
        <v>#N/A</v>
      </c>
      <c r="E1897" s="922"/>
      <c r="F1897" s="923"/>
      <c r="G1897" s="918" t="s">
        <v>383</v>
      </c>
      <c r="H1897" s="919" t="s">
        <v>384</v>
      </c>
      <c r="I1897" s="920"/>
      <c r="J1897" s="921" t="e">
        <f>SUM(J1888:J1893)-J1896</f>
        <v>#N/A</v>
      </c>
    </row>
    <row r="1898" spans="1:15" ht="15.75" customHeight="1">
      <c r="A1898" s="924"/>
      <c r="B1898" s="925"/>
      <c r="C1898" s="926"/>
      <c r="D1898" s="927"/>
      <c r="E1898" s="927"/>
      <c r="F1898" s="928"/>
      <c r="G1898" s="924"/>
      <c r="H1898" s="925"/>
      <c r="I1898" s="926"/>
      <c r="J1898" s="927"/>
    </row>
    <row r="1900" spans="1:15" ht="12" customHeight="1">
      <c r="A1900" s="2361"/>
      <c r="B1900" s="2361"/>
      <c r="C1900" s="2361"/>
      <c r="D1900" s="2361"/>
      <c r="E1900" s="2361"/>
      <c r="F1900" s="2361"/>
      <c r="G1900" s="2361"/>
      <c r="H1900" s="2361"/>
      <c r="I1900" s="2361"/>
      <c r="J1900" s="2361"/>
    </row>
    <row r="1901" spans="1:15" ht="15" customHeight="1">
      <c r="A1901" s="2360" t="str">
        <f>$K$2</f>
        <v>THÁNG 09/2024</v>
      </c>
      <c r="B1901" s="2360"/>
      <c r="C1901" s="2360"/>
      <c r="D1901" s="2360"/>
      <c r="E1901" s="903"/>
      <c r="F1901" s="904"/>
      <c r="G1901" s="2360" t="str">
        <f>$K$2</f>
        <v>THÁNG 09/2024</v>
      </c>
      <c r="H1901" s="2360"/>
      <c r="I1901" s="2360"/>
      <c r="J1901" s="2360"/>
      <c r="K1901" s="276"/>
    </row>
    <row r="1902" spans="1:15" ht="15" customHeight="1">
      <c r="A1902" s="905" t="s">
        <v>356</v>
      </c>
      <c r="B1902" s="642" t="s">
        <v>155</v>
      </c>
      <c r="C1902" s="546"/>
      <c r="D1902" s="902"/>
      <c r="E1902" s="906"/>
      <c r="F1902" s="907"/>
      <c r="G1902" s="905" t="s">
        <v>356</v>
      </c>
      <c r="H1902" s="642" t="s">
        <v>156</v>
      </c>
      <c r="I1902" s="546"/>
      <c r="J1902" s="902"/>
      <c r="L1902" s="938"/>
      <c r="M1902" s="938"/>
      <c r="N1902" s="938"/>
      <c r="O1902" s="938"/>
    </row>
    <row r="1903" spans="1:15" ht="15" customHeight="1">
      <c r="A1903" s="905" t="s">
        <v>359</v>
      </c>
      <c r="B1903" s="939" t="s">
        <v>360</v>
      </c>
      <c r="C1903" s="910" t="e">
        <f>VLOOKUP(B1902,'LƯƠNG KT'!$D$16:$AC$184,3,0)</f>
        <v>#N/A</v>
      </c>
      <c r="D1903" s="609" t="e">
        <f>+C1903*25000</f>
        <v>#N/A</v>
      </c>
      <c r="E1903" s="911"/>
      <c r="F1903" s="911"/>
      <c r="G1903" s="905" t="s">
        <v>359</v>
      </c>
      <c r="H1903" s="939" t="s">
        <v>360</v>
      </c>
      <c r="I1903" s="910" t="e">
        <f>VLOOKUP(H1902,'LƯƠNG KT'!$D$16:$AC$184,3,0)</f>
        <v>#N/A</v>
      </c>
      <c r="J1903" s="609" t="e">
        <f>+I1903*25000</f>
        <v>#N/A</v>
      </c>
      <c r="K1903" s="934"/>
      <c r="L1903" s="935"/>
      <c r="M1903" s="935"/>
      <c r="N1903" s="935"/>
      <c r="O1903" s="935"/>
    </row>
    <row r="1904" spans="1:15" ht="15" customHeight="1">
      <c r="A1904" s="905" t="s">
        <v>361</v>
      </c>
      <c r="B1904" s="546" t="s">
        <v>362</v>
      </c>
      <c r="C1904" s="910" t="e">
        <f>VLOOKUP(B1902,'LƯƠNG KT'!$D$16:$AC$184,14,0)</f>
        <v>#N/A</v>
      </c>
      <c r="D1904" s="609" t="e">
        <f>C1904*$L$4</f>
        <v>#N/A</v>
      </c>
      <c r="E1904" s="912"/>
      <c r="F1904" s="912"/>
      <c r="G1904" s="905" t="s">
        <v>361</v>
      </c>
      <c r="H1904" s="546" t="s">
        <v>362</v>
      </c>
      <c r="I1904" s="910" t="e">
        <f>VLOOKUP(H1902,'LƯƠNG KT'!$D$16:$AC$184,14,0)</f>
        <v>#N/A</v>
      </c>
      <c r="J1904" s="609" t="e">
        <f>I1904*$L$4</f>
        <v>#N/A</v>
      </c>
      <c r="K1904" s="934"/>
      <c r="L1904" s="935"/>
      <c r="M1904" s="935"/>
      <c r="N1904" s="935"/>
      <c r="O1904" s="935"/>
    </row>
    <row r="1905" spans="1:15" ht="15" customHeight="1">
      <c r="A1905" s="905" t="s">
        <v>364</v>
      </c>
      <c r="B1905" s="546" t="s">
        <v>365</v>
      </c>
      <c r="C1905" s="910" t="e">
        <f>VLOOKUP(B1902,'LƯƠNG KT'!$D$16:$AC$184,15,0)</f>
        <v>#N/A</v>
      </c>
      <c r="D1905" s="609" t="e">
        <f>C1905*$L$5</f>
        <v>#N/A</v>
      </c>
      <c r="E1905" s="912"/>
      <c r="F1905" s="912"/>
      <c r="G1905" s="905" t="s">
        <v>364</v>
      </c>
      <c r="H1905" s="546" t="s">
        <v>365</v>
      </c>
      <c r="I1905" s="910" t="e">
        <f>VLOOKUP(H1902,'LƯƠNG KT'!$D$16:$AC$184,15,0)</f>
        <v>#N/A</v>
      </c>
      <c r="J1905" s="609" t="e">
        <f>I1905*$L$5</f>
        <v>#N/A</v>
      </c>
      <c r="K1905" s="934"/>
      <c r="L1905" s="935"/>
      <c r="M1905" s="935"/>
      <c r="N1905" s="935"/>
      <c r="O1905" s="935"/>
    </row>
    <row r="1906" spans="1:15" ht="15" customHeight="1">
      <c r="A1906" s="905" t="s">
        <v>367</v>
      </c>
      <c r="B1906" s="546"/>
      <c r="C1906" s="910" t="e">
        <f>VLOOKUP(B1902,'LƯƠNG KT'!$D$16:$AC$184,16,0)</f>
        <v>#N/A</v>
      </c>
      <c r="D1906" s="609" t="e">
        <f>+C1906*$L$6</f>
        <v>#N/A</v>
      </c>
      <c r="E1906" s="912"/>
      <c r="F1906" s="912"/>
      <c r="G1906" s="905" t="s">
        <v>367</v>
      </c>
      <c r="H1906" s="546"/>
      <c r="I1906" s="910" t="e">
        <f>VLOOKUP(H1902,'LƯƠNG KT'!$D$16:$AC$184,16,0)</f>
        <v>#N/A</v>
      </c>
      <c r="J1906" s="609" t="e">
        <f>+I1906*$L$6</f>
        <v>#N/A</v>
      </c>
      <c r="K1906" s="935"/>
      <c r="L1906" s="935"/>
      <c r="M1906" s="935"/>
      <c r="N1906" s="935"/>
      <c r="O1906" s="935"/>
    </row>
    <row r="1907" spans="1:15" ht="15" customHeight="1">
      <c r="A1907" s="905" t="s">
        <v>371</v>
      </c>
      <c r="B1907" s="546" t="s">
        <v>372</v>
      </c>
      <c r="C1907" s="910" t="e">
        <f>VLOOKUP(B1902,'LƯƠNG KT'!$D$16:$AC$184,9,0)*$L$10</f>
        <v>#N/A</v>
      </c>
      <c r="D1907" s="609" t="e">
        <f>+C1907*0.5*3000</f>
        <v>#N/A</v>
      </c>
      <c r="E1907" s="912"/>
      <c r="F1907" s="912"/>
      <c r="G1907" s="905" t="s">
        <v>371</v>
      </c>
      <c r="H1907" s="546" t="s">
        <v>372</v>
      </c>
      <c r="I1907" s="910" t="e">
        <f>VLOOKUP(H1902,'LƯƠNG KT'!$D$16:$AC$184,9,0)*$L$10</f>
        <v>#N/A</v>
      </c>
      <c r="J1907" s="609" t="e">
        <f>+I1907*0.5*3000</f>
        <v>#N/A</v>
      </c>
      <c r="K1907" s="935"/>
      <c r="L1907" s="935"/>
      <c r="M1907" s="935"/>
      <c r="N1907" s="935"/>
      <c r="O1907" s="935"/>
    </row>
    <row r="1908" spans="1:15" ht="15" customHeight="1">
      <c r="A1908" s="905" t="s">
        <v>374</v>
      </c>
      <c r="B1908" s="546" t="s">
        <v>375</v>
      </c>
      <c r="C1908" s="910" t="e">
        <f>VLOOKUP(B1902,'LƯƠNG KT'!$D$16:$AC$184,8,0)*$L$11</f>
        <v>#N/A</v>
      </c>
      <c r="D1908" s="609" t="e">
        <f>VLOOKUP(B1902,'LƯƠNG KT'!$D$16:$AC$184,13,0)-D1907</f>
        <v>#N/A</v>
      </c>
      <c r="E1908" s="914"/>
      <c r="F1908" s="912"/>
      <c r="G1908" s="905" t="s">
        <v>374</v>
      </c>
      <c r="H1908" s="546" t="s">
        <v>375</v>
      </c>
      <c r="I1908" s="910" t="e">
        <f>VLOOKUP(H1902,'LƯƠNG KT'!$D$16:$AC$184,8,0)*$L$11</f>
        <v>#N/A</v>
      </c>
      <c r="J1908" s="609" t="e">
        <f>VLOOKUP(H1902,'LƯƠNG KT'!$D$16:$AC$184,13,0)-J1907</f>
        <v>#N/A</v>
      </c>
      <c r="K1908" s="935"/>
      <c r="L1908" s="935"/>
      <c r="M1908" s="935"/>
      <c r="N1908" s="935"/>
      <c r="O1908" s="935"/>
    </row>
    <row r="1909" spans="1:15" ht="15" customHeight="1">
      <c r="A1909" s="609" t="s">
        <v>377</v>
      </c>
      <c r="B1909" s="546" t="s">
        <v>378</v>
      </c>
      <c r="C1909" s="910"/>
      <c r="D1909" s="609"/>
      <c r="E1909" s="916"/>
      <c r="F1909" s="916"/>
      <c r="G1909" s="609" t="s">
        <v>377</v>
      </c>
      <c r="H1909" s="546" t="s">
        <v>378</v>
      </c>
      <c r="I1909" s="910"/>
      <c r="J1909" s="609"/>
    </row>
    <row r="1910" spans="1:15" ht="15" customHeight="1">
      <c r="A1910" s="547" t="s">
        <v>379</v>
      </c>
      <c r="B1910" s="546" t="s">
        <v>380</v>
      </c>
      <c r="C1910" s="910"/>
      <c r="D1910" s="609"/>
      <c r="E1910" s="914"/>
      <c r="F1910" s="916"/>
      <c r="G1910" s="547" t="s">
        <v>379</v>
      </c>
      <c r="H1910" s="546" t="s">
        <v>380</v>
      </c>
      <c r="I1910" s="910"/>
      <c r="J1910" s="609"/>
    </row>
    <row r="1911" spans="1:15" ht="15" customHeight="1">
      <c r="A1911" s="905" t="s">
        <v>381</v>
      </c>
      <c r="B1911" s="546" t="s">
        <v>382</v>
      </c>
      <c r="C1911" s="910"/>
      <c r="D1911" s="609">
        <f>D1910</f>
        <v>0</v>
      </c>
      <c r="E1911" s="917"/>
      <c r="F1911" s="904"/>
      <c r="G1911" s="905" t="s">
        <v>381</v>
      </c>
      <c r="H1911" s="546" t="s">
        <v>382</v>
      </c>
      <c r="I1911" s="910"/>
      <c r="J1911" s="609">
        <f>J1910</f>
        <v>0</v>
      </c>
    </row>
    <row r="1912" spans="1:15" ht="15" customHeight="1">
      <c r="A1912" s="918" t="s">
        <v>383</v>
      </c>
      <c r="B1912" s="919" t="s">
        <v>384</v>
      </c>
      <c r="C1912" s="920"/>
      <c r="D1912" s="921" t="e">
        <f>SUM(D1903:D1908)-D1911</f>
        <v>#N/A</v>
      </c>
      <c r="E1912" s="922"/>
      <c r="F1912" s="923"/>
      <c r="G1912" s="918" t="s">
        <v>383</v>
      </c>
      <c r="H1912" s="919" t="s">
        <v>384</v>
      </c>
      <c r="I1912" s="920"/>
      <c r="J1912" s="921" t="e">
        <f>SUM(J1903:J1908)-J1911</f>
        <v>#N/A</v>
      </c>
    </row>
    <row r="1913" spans="1:15" ht="12.6" customHeight="1">
      <c r="A1913" s="924"/>
      <c r="B1913" s="925"/>
      <c r="C1913" s="926"/>
      <c r="D1913" s="927"/>
      <c r="E1913" s="927"/>
      <c r="F1913" s="928"/>
      <c r="G1913" s="924"/>
      <c r="H1913" s="925"/>
      <c r="I1913" s="926"/>
      <c r="J1913" s="927"/>
    </row>
    <row r="1914" spans="1:15" ht="12.6" customHeight="1">
      <c r="A1914" s="925"/>
      <c r="B1914" s="925"/>
      <c r="C1914" s="929"/>
      <c r="D1914" s="930"/>
      <c r="E1914" s="925"/>
      <c r="F1914" s="931"/>
      <c r="G1914" s="925"/>
      <c r="H1914" s="925"/>
      <c r="I1914" s="929"/>
      <c r="J1914" s="930"/>
    </row>
    <row r="1915" spans="1:15" ht="15" customHeight="1">
      <c r="A1915" s="2360" t="str">
        <f>$K$2</f>
        <v>THÁNG 09/2024</v>
      </c>
      <c r="B1915" s="2360"/>
      <c r="C1915" s="2360"/>
      <c r="D1915" s="2360"/>
      <c r="E1915" s="903"/>
      <c r="F1915" s="904"/>
      <c r="G1915" s="2360" t="str">
        <f>$K$2</f>
        <v>THÁNG 09/2024</v>
      </c>
      <c r="H1915" s="2360"/>
      <c r="I1915" s="2360"/>
      <c r="J1915" s="2360"/>
      <c r="K1915" s="276"/>
    </row>
    <row r="1916" spans="1:15" ht="15" customHeight="1">
      <c r="A1916" s="905" t="s">
        <v>356</v>
      </c>
      <c r="B1916" s="642"/>
      <c r="C1916" s="546"/>
      <c r="D1916" s="902"/>
      <c r="E1916" s="906"/>
      <c r="F1916" s="907"/>
      <c r="G1916" s="905" t="s">
        <v>356</v>
      </c>
      <c r="H1916" s="642" t="s">
        <v>157</v>
      </c>
      <c r="I1916" s="546"/>
      <c r="J1916" s="902"/>
      <c r="L1916" s="938"/>
      <c r="M1916" s="938"/>
      <c r="N1916" s="938"/>
      <c r="O1916" s="938"/>
    </row>
    <row r="1917" spans="1:15" ht="15" customHeight="1">
      <c r="A1917" s="905" t="s">
        <v>359</v>
      </c>
      <c r="B1917" s="939" t="s">
        <v>360</v>
      </c>
      <c r="C1917" s="910" t="e">
        <f>VLOOKUP(B1916,'LƯƠNG KT'!$D$16:$AC$184,3,0)</f>
        <v>#N/A</v>
      </c>
      <c r="D1917" s="609" t="e">
        <f>+C1917*25000</f>
        <v>#N/A</v>
      </c>
      <c r="E1917" s="911"/>
      <c r="F1917" s="911"/>
      <c r="G1917" s="905" t="s">
        <v>359</v>
      </c>
      <c r="H1917" s="939" t="s">
        <v>360</v>
      </c>
      <c r="I1917" s="910" t="e">
        <f>VLOOKUP(H1916,'LƯƠNG KT'!$D$16:$AC$184,3,0)</f>
        <v>#N/A</v>
      </c>
      <c r="J1917" s="609" t="e">
        <f>+I1917*25000</f>
        <v>#N/A</v>
      </c>
      <c r="K1917" s="935"/>
      <c r="L1917" s="935"/>
      <c r="M1917" s="935"/>
      <c r="N1917" s="935"/>
      <c r="O1917" s="935"/>
    </row>
    <row r="1918" spans="1:15" ht="15" customHeight="1">
      <c r="A1918" s="905" t="s">
        <v>361</v>
      </c>
      <c r="B1918" s="546" t="s">
        <v>362</v>
      </c>
      <c r="C1918" s="910" t="e">
        <f>VLOOKUP(B1916,'LƯƠNG KT'!$D$16:$AC$184,14,0)</f>
        <v>#N/A</v>
      </c>
      <c r="D1918" s="609" t="e">
        <f>C1918*$L$4</f>
        <v>#N/A</v>
      </c>
      <c r="E1918" s="912"/>
      <c r="F1918" s="912"/>
      <c r="G1918" s="905" t="s">
        <v>361</v>
      </c>
      <c r="H1918" s="546" t="s">
        <v>362</v>
      </c>
      <c r="I1918" s="910" t="e">
        <f>VLOOKUP(H1916,'LƯƠNG KT'!$D$16:$AC$184,14,0)</f>
        <v>#N/A</v>
      </c>
      <c r="J1918" s="609" t="e">
        <f>I1918*$L$4</f>
        <v>#N/A</v>
      </c>
      <c r="K1918" s="935"/>
      <c r="L1918" s="935"/>
      <c r="M1918" s="935"/>
      <c r="N1918" s="935"/>
      <c r="O1918" s="935"/>
    </row>
    <row r="1919" spans="1:15" ht="15" customHeight="1">
      <c r="A1919" s="905" t="s">
        <v>364</v>
      </c>
      <c r="B1919" s="546" t="s">
        <v>365</v>
      </c>
      <c r="C1919" s="910" t="e">
        <f>VLOOKUP(B1916,'LƯƠNG KT'!$D$16:$AC$184,15,0)</f>
        <v>#N/A</v>
      </c>
      <c r="D1919" s="609" t="e">
        <f>C1919*$L$5</f>
        <v>#N/A</v>
      </c>
      <c r="E1919" s="912"/>
      <c r="F1919" s="912"/>
      <c r="G1919" s="905" t="s">
        <v>364</v>
      </c>
      <c r="H1919" s="546" t="s">
        <v>365</v>
      </c>
      <c r="I1919" s="910" t="e">
        <f>VLOOKUP(H1916,'LƯƠNG KT'!$D$16:$AC$184,15,0)</f>
        <v>#N/A</v>
      </c>
      <c r="J1919" s="609" t="e">
        <f>I1919*$L$5</f>
        <v>#N/A</v>
      </c>
      <c r="K1919" s="935"/>
      <c r="L1919" s="935"/>
      <c r="M1919" s="935"/>
      <c r="N1919" s="935"/>
      <c r="O1919" s="935"/>
    </row>
    <row r="1920" spans="1:15" ht="15" customHeight="1">
      <c r="A1920" s="905" t="s">
        <v>367</v>
      </c>
      <c r="B1920" s="546"/>
      <c r="C1920" s="910" t="e">
        <f>VLOOKUP(B1916,'LƯƠNG KT'!$D$16:$AC$184,16,0)</f>
        <v>#N/A</v>
      </c>
      <c r="D1920" s="609" t="e">
        <f>+C1920*$L$6</f>
        <v>#N/A</v>
      </c>
      <c r="E1920" s="912"/>
      <c r="F1920" s="912"/>
      <c r="G1920" s="905" t="s">
        <v>367</v>
      </c>
      <c r="H1920" s="546"/>
      <c r="I1920" s="910" t="e">
        <f>VLOOKUP(H1916,'LƯƠNG KT'!$D$16:$AC$184,16,0)</f>
        <v>#N/A</v>
      </c>
      <c r="J1920" s="609" t="e">
        <f>+I1920*$L$6</f>
        <v>#N/A</v>
      </c>
      <c r="K1920" s="935"/>
      <c r="L1920" s="935"/>
      <c r="M1920" s="935"/>
      <c r="N1920" s="935"/>
      <c r="O1920" s="935"/>
    </row>
    <row r="1921" spans="1:15" ht="15" customHeight="1">
      <c r="A1921" s="905" t="s">
        <v>371</v>
      </c>
      <c r="B1921" s="546" t="s">
        <v>372</v>
      </c>
      <c r="C1921" s="910" t="e">
        <f>VLOOKUP(B1916,'LƯƠNG KT'!$D$16:$AC$184,9,0)*$L$10</f>
        <v>#N/A</v>
      </c>
      <c r="D1921" s="609" t="e">
        <f>+C1921*0.5*3000</f>
        <v>#N/A</v>
      </c>
      <c r="E1921" s="912"/>
      <c r="F1921" s="912"/>
      <c r="G1921" s="905" t="s">
        <v>371</v>
      </c>
      <c r="H1921" s="546" t="s">
        <v>372</v>
      </c>
      <c r="I1921" s="910" t="e">
        <f>VLOOKUP(H1916,'LƯƠNG KT'!$D$16:$AC$184,9,0)*$L$10</f>
        <v>#N/A</v>
      </c>
      <c r="J1921" s="609" t="e">
        <f>+I1921*0.5*3000</f>
        <v>#N/A</v>
      </c>
      <c r="K1921" s="935"/>
      <c r="L1921" s="935"/>
      <c r="M1921" s="935"/>
      <c r="N1921" s="935"/>
      <c r="O1921" s="935"/>
    </row>
    <row r="1922" spans="1:15" ht="15" customHeight="1">
      <c r="A1922" s="905" t="s">
        <v>374</v>
      </c>
      <c r="B1922" s="546" t="s">
        <v>375</v>
      </c>
      <c r="C1922" s="910" t="e">
        <f>VLOOKUP(B1916,'LƯƠNG KT'!$D$16:$AC$184,8,0)*$L$11</f>
        <v>#N/A</v>
      </c>
      <c r="D1922" s="609" t="e">
        <f>VLOOKUP(B1916,'LƯƠNG KT'!$D$16:$AC$184,13,0)-D1921</f>
        <v>#N/A</v>
      </c>
      <c r="E1922" s="914"/>
      <c r="F1922" s="912"/>
      <c r="G1922" s="905" t="s">
        <v>374</v>
      </c>
      <c r="H1922" s="546" t="s">
        <v>375</v>
      </c>
      <c r="I1922" s="910" t="e">
        <f>VLOOKUP(H1916,'LƯƠNG KT'!$D$16:$AC$184,8,0)*$L$11</f>
        <v>#N/A</v>
      </c>
      <c r="J1922" s="609" t="e">
        <f>VLOOKUP(H1916,'LƯƠNG KT'!$D$16:$AC$184,13,0)-J1921</f>
        <v>#N/A</v>
      </c>
      <c r="K1922" s="935"/>
      <c r="L1922" s="935"/>
      <c r="M1922" s="935"/>
      <c r="N1922" s="935"/>
      <c r="O1922" s="935"/>
    </row>
    <row r="1923" spans="1:15" ht="15" customHeight="1">
      <c r="A1923" s="609" t="s">
        <v>377</v>
      </c>
      <c r="B1923" s="546" t="s">
        <v>378</v>
      </c>
      <c r="C1923" s="910"/>
      <c r="D1923" s="609"/>
      <c r="E1923" s="916"/>
      <c r="F1923" s="916"/>
      <c r="G1923" s="609" t="s">
        <v>377</v>
      </c>
      <c r="H1923" s="546" t="s">
        <v>378</v>
      </c>
      <c r="I1923" s="910"/>
      <c r="J1923" s="609"/>
    </row>
    <row r="1924" spans="1:15" ht="15" customHeight="1">
      <c r="A1924" s="547" t="s">
        <v>379</v>
      </c>
      <c r="B1924" s="546" t="s">
        <v>380</v>
      </c>
      <c r="C1924" s="910"/>
      <c r="D1924" s="609"/>
      <c r="E1924" s="914"/>
      <c r="F1924" s="916"/>
      <c r="G1924" s="547" t="s">
        <v>379</v>
      </c>
      <c r="H1924" s="546" t="s">
        <v>380</v>
      </c>
      <c r="I1924" s="910"/>
      <c r="J1924" s="609"/>
    </row>
    <row r="1925" spans="1:15" ht="15" customHeight="1">
      <c r="A1925" s="905" t="s">
        <v>381</v>
      </c>
      <c r="B1925" s="546" t="s">
        <v>382</v>
      </c>
      <c r="C1925" s="910"/>
      <c r="D1925" s="609"/>
      <c r="E1925" s="917"/>
      <c r="F1925" s="904"/>
      <c r="G1925" s="905" t="s">
        <v>381</v>
      </c>
      <c r="H1925" s="546" t="s">
        <v>382</v>
      </c>
      <c r="I1925" s="910"/>
      <c r="J1925" s="609">
        <f>J1924</f>
        <v>0</v>
      </c>
    </row>
    <row r="1926" spans="1:15" ht="15" customHeight="1">
      <c r="A1926" s="918" t="s">
        <v>383</v>
      </c>
      <c r="B1926" s="919" t="s">
        <v>384</v>
      </c>
      <c r="C1926" s="920"/>
      <c r="D1926" s="921"/>
      <c r="E1926" s="922"/>
      <c r="F1926" s="923"/>
      <c r="G1926" s="918" t="s">
        <v>383</v>
      </c>
      <c r="H1926" s="919" t="s">
        <v>384</v>
      </c>
      <c r="I1926" s="920"/>
      <c r="J1926" s="921" t="e">
        <f>SUM(J1917:J1922)-J1925</f>
        <v>#N/A</v>
      </c>
    </row>
    <row r="1927" spans="1:15" ht="18.75" customHeight="1">
      <c r="A1927" s="924"/>
      <c r="B1927" s="925"/>
      <c r="C1927" s="926"/>
      <c r="D1927" s="927"/>
      <c r="E1927" s="927"/>
      <c r="F1927" s="928"/>
      <c r="G1927" s="924"/>
      <c r="H1927" s="925"/>
      <c r="I1927" s="926"/>
      <c r="J1927" s="927"/>
    </row>
    <row r="1928" spans="1:15" ht="18.75" customHeight="1">
      <c r="A1928" s="925"/>
      <c r="B1928" s="925"/>
      <c r="C1928" s="929"/>
      <c r="D1928" s="930"/>
      <c r="E1928" s="925"/>
      <c r="F1928" s="931"/>
      <c r="G1928" s="925"/>
      <c r="H1928" s="925"/>
      <c r="I1928" s="929"/>
      <c r="J1928" s="930"/>
    </row>
    <row r="1929" spans="1:15" ht="15" customHeight="1">
      <c r="A1929" s="2360" t="str">
        <f>$K$2</f>
        <v>THÁNG 09/2024</v>
      </c>
      <c r="B1929" s="2360"/>
      <c r="C1929" s="2360"/>
      <c r="D1929" s="2360"/>
      <c r="E1929" s="903"/>
      <c r="F1929" s="904"/>
      <c r="G1929" s="2360" t="str">
        <f>$K$2</f>
        <v>THÁNG 09/2024</v>
      </c>
      <c r="H1929" s="2360"/>
      <c r="I1929" s="2360"/>
      <c r="J1929" s="2360"/>
      <c r="K1929" s="276"/>
    </row>
    <row r="1930" spans="1:15" ht="15" customHeight="1">
      <c r="A1930" s="905" t="s">
        <v>356</v>
      </c>
      <c r="B1930" s="642" t="s">
        <v>158</v>
      </c>
      <c r="C1930" s="546"/>
      <c r="D1930" s="902"/>
      <c r="E1930" s="906"/>
      <c r="F1930" s="907"/>
      <c r="G1930" s="905" t="s">
        <v>356</v>
      </c>
      <c r="H1930" s="642" t="s">
        <v>159</v>
      </c>
      <c r="I1930" s="546"/>
      <c r="J1930" s="902"/>
      <c r="L1930" s="938"/>
      <c r="M1930" s="938"/>
      <c r="N1930" s="938"/>
      <c r="O1930" s="938"/>
    </row>
    <row r="1931" spans="1:15" ht="15" customHeight="1">
      <c r="A1931" s="905" t="s">
        <v>359</v>
      </c>
      <c r="B1931" s="939" t="s">
        <v>360</v>
      </c>
      <c r="C1931" s="910" t="e">
        <f>VLOOKUP(B1930,'LƯƠNG KT'!$D$16:$AC$184,3,0)</f>
        <v>#N/A</v>
      </c>
      <c r="D1931" s="609" t="e">
        <f>+C1931*25000</f>
        <v>#N/A</v>
      </c>
      <c r="E1931" s="911"/>
      <c r="F1931" s="911"/>
      <c r="G1931" s="905" t="s">
        <v>359</v>
      </c>
      <c r="H1931" s="939" t="s">
        <v>360</v>
      </c>
      <c r="I1931" s="910" t="e">
        <f>VLOOKUP(H1930,'LƯƠNG KT'!$D$16:$AC$184,3,0)</f>
        <v>#N/A</v>
      </c>
      <c r="J1931" s="609" t="e">
        <f>+I1931*25000</f>
        <v>#N/A</v>
      </c>
      <c r="K1931" s="935"/>
      <c r="L1931" s="935"/>
      <c r="M1931" s="935"/>
      <c r="N1931" s="935"/>
      <c r="O1931" s="935"/>
    </row>
    <row r="1932" spans="1:15" ht="15" customHeight="1">
      <c r="A1932" s="905" t="s">
        <v>361</v>
      </c>
      <c r="B1932" s="546" t="s">
        <v>362</v>
      </c>
      <c r="C1932" s="910" t="e">
        <f>VLOOKUP(B1930,'LƯƠNG KT'!$D$16:$AC$184,14,0)</f>
        <v>#N/A</v>
      </c>
      <c r="D1932" s="609" t="e">
        <f>C1932*$L$4</f>
        <v>#N/A</v>
      </c>
      <c r="E1932" s="912"/>
      <c r="F1932" s="912"/>
      <c r="G1932" s="905" t="s">
        <v>361</v>
      </c>
      <c r="H1932" s="546" t="s">
        <v>362</v>
      </c>
      <c r="I1932" s="910" t="e">
        <f>VLOOKUP(H1930,'LƯƠNG KT'!$D$16:$AC$184,14,0)</f>
        <v>#N/A</v>
      </c>
      <c r="J1932" s="609" t="e">
        <f>I1932*$L$4</f>
        <v>#N/A</v>
      </c>
      <c r="K1932" s="935"/>
      <c r="L1932" s="935"/>
      <c r="M1932" s="935"/>
      <c r="N1932" s="935"/>
      <c r="O1932" s="935"/>
    </row>
    <row r="1933" spans="1:15" ht="15" customHeight="1">
      <c r="A1933" s="905" t="s">
        <v>364</v>
      </c>
      <c r="B1933" s="546" t="s">
        <v>365</v>
      </c>
      <c r="C1933" s="910" t="e">
        <f>VLOOKUP(B1930,'LƯƠNG KT'!$D$16:$AC$184,15,0)</f>
        <v>#N/A</v>
      </c>
      <c r="D1933" s="609" t="e">
        <f>C1933*$L$5</f>
        <v>#N/A</v>
      </c>
      <c r="E1933" s="912"/>
      <c r="F1933" s="912"/>
      <c r="G1933" s="905" t="s">
        <v>364</v>
      </c>
      <c r="H1933" s="546" t="s">
        <v>365</v>
      </c>
      <c r="I1933" s="910" t="e">
        <f>VLOOKUP(H1930,'LƯƠNG KT'!$D$16:$AC$184,15,0)</f>
        <v>#N/A</v>
      </c>
      <c r="J1933" s="609" t="e">
        <f>I1933*$L$5</f>
        <v>#N/A</v>
      </c>
      <c r="K1933" s="935"/>
      <c r="L1933" s="935"/>
      <c r="M1933" s="935"/>
      <c r="N1933" s="935"/>
      <c r="O1933" s="935"/>
    </row>
    <row r="1934" spans="1:15" ht="15" customHeight="1">
      <c r="A1934" s="905" t="s">
        <v>367</v>
      </c>
      <c r="B1934" s="546"/>
      <c r="C1934" s="910" t="e">
        <f>VLOOKUP(B1930,'LƯƠNG KT'!$D$16:$AC$184,16,0)</f>
        <v>#N/A</v>
      </c>
      <c r="D1934" s="609" t="e">
        <f>+C1934*$L$6</f>
        <v>#N/A</v>
      </c>
      <c r="E1934" s="912"/>
      <c r="F1934" s="912"/>
      <c r="G1934" s="905" t="s">
        <v>367</v>
      </c>
      <c r="H1934" s="546"/>
      <c r="I1934" s="910" t="e">
        <f>VLOOKUP(H1930,'LƯƠNG KT'!$D$16:$AC$184,16,0)</f>
        <v>#N/A</v>
      </c>
      <c r="J1934" s="609" t="e">
        <f>+I1934*$L$6</f>
        <v>#N/A</v>
      </c>
      <c r="K1934" s="935"/>
      <c r="L1934" s="935"/>
      <c r="M1934" s="935"/>
      <c r="N1934" s="935"/>
      <c r="O1934" s="935"/>
    </row>
    <row r="1935" spans="1:15" ht="15" customHeight="1">
      <c r="A1935" s="905" t="s">
        <v>371</v>
      </c>
      <c r="B1935" s="546" t="s">
        <v>372</v>
      </c>
      <c r="C1935" s="910" t="e">
        <f>VLOOKUP(B1930,'LƯƠNG KT'!$D$16:$AC$184,9,0)*$L$10</f>
        <v>#N/A</v>
      </c>
      <c r="D1935" s="609" t="e">
        <f>+C1935*0.5*3000</f>
        <v>#N/A</v>
      </c>
      <c r="E1935" s="912"/>
      <c r="F1935" s="912"/>
      <c r="G1935" s="905" t="s">
        <v>371</v>
      </c>
      <c r="H1935" s="546" t="s">
        <v>372</v>
      </c>
      <c r="I1935" s="910" t="e">
        <f>VLOOKUP(H1930,'LƯƠNG KT'!$D$16:$AC$184,9,0)*$L$10</f>
        <v>#N/A</v>
      </c>
      <c r="J1935" s="609" t="e">
        <f>+I1935*0.5*3000</f>
        <v>#N/A</v>
      </c>
      <c r="K1935" s="935"/>
      <c r="L1935" s="935"/>
      <c r="M1935" s="935"/>
      <c r="N1935" s="935"/>
      <c r="O1935" s="935"/>
    </row>
    <row r="1936" spans="1:15" ht="15" customHeight="1">
      <c r="A1936" s="905" t="s">
        <v>374</v>
      </c>
      <c r="B1936" s="546" t="s">
        <v>375</v>
      </c>
      <c r="C1936" s="910" t="e">
        <f>VLOOKUP(B1930,'LƯƠNG KT'!$D$16:$AC$184,8,0)*$L$11</f>
        <v>#N/A</v>
      </c>
      <c r="D1936" s="609" t="e">
        <f>VLOOKUP(B1930,'LƯƠNG KT'!$D$16:$AC$184,13,0)-D1935</f>
        <v>#N/A</v>
      </c>
      <c r="E1936" s="914"/>
      <c r="F1936" s="912"/>
      <c r="G1936" s="905" t="s">
        <v>374</v>
      </c>
      <c r="H1936" s="546" t="s">
        <v>375</v>
      </c>
      <c r="I1936" s="910" t="e">
        <f>VLOOKUP(H1930,'LƯƠNG KT'!$D$16:$AC$184,8,0)*$L$11</f>
        <v>#N/A</v>
      </c>
      <c r="J1936" s="609" t="e">
        <f>VLOOKUP(H1930,'LƯƠNG KT'!$D$16:$AC$184,13,0)-J1935</f>
        <v>#N/A</v>
      </c>
      <c r="K1936" s="935"/>
      <c r="L1936" s="935"/>
      <c r="M1936" s="935"/>
      <c r="N1936" s="935"/>
      <c r="O1936" s="935"/>
    </row>
    <row r="1937" spans="1:15" ht="15" customHeight="1">
      <c r="A1937" s="609" t="s">
        <v>377</v>
      </c>
      <c r="B1937" s="546" t="s">
        <v>378</v>
      </c>
      <c r="C1937" s="910"/>
      <c r="D1937" s="609"/>
      <c r="E1937" s="916"/>
      <c r="F1937" s="916"/>
      <c r="G1937" s="609" t="s">
        <v>377</v>
      </c>
      <c r="H1937" s="546" t="s">
        <v>378</v>
      </c>
      <c r="I1937" s="910"/>
      <c r="J1937" s="609"/>
    </row>
    <row r="1938" spans="1:15" ht="15" customHeight="1">
      <c r="A1938" s="547" t="s">
        <v>379</v>
      </c>
      <c r="B1938" s="546" t="s">
        <v>380</v>
      </c>
      <c r="C1938" s="910"/>
      <c r="D1938" s="609"/>
      <c r="E1938" s="914"/>
      <c r="F1938" s="916"/>
      <c r="G1938" s="547" t="s">
        <v>379</v>
      </c>
      <c r="H1938" s="546" t="s">
        <v>380</v>
      </c>
      <c r="I1938" s="910"/>
      <c r="J1938" s="609"/>
    </row>
    <row r="1939" spans="1:15" ht="15" customHeight="1">
      <c r="A1939" s="905" t="s">
        <v>381</v>
      </c>
      <c r="B1939" s="546" t="s">
        <v>382</v>
      </c>
      <c r="C1939" s="910"/>
      <c r="D1939" s="609">
        <f>D1938</f>
        <v>0</v>
      </c>
      <c r="E1939" s="917"/>
      <c r="F1939" s="904"/>
      <c r="G1939" s="905" t="s">
        <v>381</v>
      </c>
      <c r="H1939" s="546" t="s">
        <v>382</v>
      </c>
      <c r="I1939" s="910"/>
      <c r="J1939" s="609">
        <f>J1938</f>
        <v>0</v>
      </c>
    </row>
    <row r="1940" spans="1:15" ht="15" customHeight="1">
      <c r="A1940" s="918" t="s">
        <v>383</v>
      </c>
      <c r="B1940" s="919" t="s">
        <v>384</v>
      </c>
      <c r="C1940" s="920"/>
      <c r="D1940" s="921" t="e">
        <f>SUM(D1931:D1936)-D1939</f>
        <v>#N/A</v>
      </c>
      <c r="E1940" s="922"/>
      <c r="F1940" s="923"/>
      <c r="G1940" s="918" t="s">
        <v>383</v>
      </c>
      <c r="H1940" s="919" t="s">
        <v>384</v>
      </c>
      <c r="I1940" s="920"/>
      <c r="J1940" s="921" t="e">
        <f>SUM(J1931:J1936)-J1939</f>
        <v>#N/A</v>
      </c>
    </row>
    <row r="1941" spans="1:15" ht="18.75" customHeight="1">
      <c r="A1941" s="924"/>
      <c r="B1941" s="925"/>
      <c r="C1941" s="926"/>
      <c r="D1941" s="927"/>
      <c r="E1941" s="927"/>
      <c r="F1941" s="928"/>
      <c r="G1941" s="924"/>
      <c r="H1941" s="925"/>
      <c r="I1941" s="926"/>
      <c r="J1941" s="927"/>
    </row>
    <row r="1942" spans="1:15" ht="18.75" customHeight="1">
      <c r="A1942" s="925"/>
      <c r="B1942" s="925"/>
      <c r="C1942" s="929"/>
      <c r="D1942" s="930"/>
      <c r="E1942" s="925"/>
      <c r="F1942" s="931"/>
      <c r="G1942" s="925"/>
      <c r="H1942" s="925"/>
      <c r="I1942" s="929"/>
      <c r="J1942" s="930"/>
    </row>
    <row r="1943" spans="1:15" ht="15" customHeight="1">
      <c r="A1943" s="2360" t="str">
        <f>$K$2</f>
        <v>THÁNG 09/2024</v>
      </c>
      <c r="B1943" s="2360"/>
      <c r="C1943" s="2360"/>
      <c r="D1943" s="2360"/>
      <c r="E1943" s="903"/>
      <c r="F1943" s="904"/>
      <c r="G1943" s="2360" t="str">
        <f>$K$2</f>
        <v>THÁNG 09/2024</v>
      </c>
      <c r="H1943" s="2360"/>
      <c r="I1943" s="2360"/>
      <c r="J1943" s="2360"/>
      <c r="K1943" s="276"/>
    </row>
    <row r="1944" spans="1:15" ht="15" customHeight="1">
      <c r="A1944" s="905" t="s">
        <v>356</v>
      </c>
      <c r="B1944" s="642" t="s">
        <v>160</v>
      </c>
      <c r="C1944" s="546"/>
      <c r="D1944" s="902"/>
      <c r="E1944" s="906"/>
      <c r="F1944" s="907"/>
      <c r="G1944" s="905" t="s">
        <v>356</v>
      </c>
      <c r="H1944" s="642" t="s">
        <v>161</v>
      </c>
      <c r="I1944" s="546"/>
      <c r="J1944" s="902"/>
      <c r="L1944" s="938"/>
      <c r="M1944" s="938"/>
      <c r="N1944" s="938"/>
      <c r="O1944" s="938"/>
    </row>
    <row r="1945" spans="1:15" ht="15" customHeight="1">
      <c r="A1945" s="905" t="s">
        <v>359</v>
      </c>
      <c r="B1945" s="939" t="s">
        <v>360</v>
      </c>
      <c r="C1945" s="910" t="e">
        <f>VLOOKUP(B1944,'LƯƠNG KT'!$D$16:$AC$184,3,0)</f>
        <v>#N/A</v>
      </c>
      <c r="D1945" s="609" t="e">
        <f>+C1945*25000</f>
        <v>#N/A</v>
      </c>
      <c r="E1945" s="911"/>
      <c r="F1945" s="911"/>
      <c r="G1945" s="905" t="s">
        <v>359</v>
      </c>
      <c r="H1945" s="939" t="s">
        <v>360</v>
      </c>
      <c r="I1945" s="910" t="e">
        <f>VLOOKUP(H1944,'LƯƠNG KT'!$D$16:$AC$184,3,0)</f>
        <v>#N/A</v>
      </c>
      <c r="J1945" s="609" t="e">
        <f>+I1945*25000</f>
        <v>#N/A</v>
      </c>
      <c r="K1945" s="935"/>
      <c r="L1945" s="935"/>
      <c r="M1945" s="935"/>
      <c r="N1945" s="935"/>
      <c r="O1945" s="935"/>
    </row>
    <row r="1946" spans="1:15" ht="15" customHeight="1">
      <c r="A1946" s="905" t="s">
        <v>361</v>
      </c>
      <c r="B1946" s="546" t="s">
        <v>362</v>
      </c>
      <c r="C1946" s="910" t="e">
        <f>VLOOKUP(B1944,'LƯƠNG KT'!$D$16:$AC$184,14,0)</f>
        <v>#N/A</v>
      </c>
      <c r="D1946" s="609" t="e">
        <f>C1946*$L$4</f>
        <v>#N/A</v>
      </c>
      <c r="E1946" s="912"/>
      <c r="F1946" s="912"/>
      <c r="G1946" s="905" t="s">
        <v>361</v>
      </c>
      <c r="H1946" s="546" t="s">
        <v>362</v>
      </c>
      <c r="I1946" s="910" t="e">
        <f>VLOOKUP(H1944,'LƯƠNG KT'!$D$16:$AC$184,14,0)</f>
        <v>#N/A</v>
      </c>
      <c r="J1946" s="609" t="e">
        <f>I1946*$L$4</f>
        <v>#N/A</v>
      </c>
      <c r="K1946" s="935"/>
      <c r="L1946" s="935"/>
      <c r="M1946" s="935"/>
      <c r="N1946" s="935"/>
      <c r="O1946" s="935"/>
    </row>
    <row r="1947" spans="1:15" ht="15" customHeight="1">
      <c r="A1947" s="905" t="s">
        <v>364</v>
      </c>
      <c r="B1947" s="546" t="s">
        <v>365</v>
      </c>
      <c r="C1947" s="910" t="e">
        <f>VLOOKUP(B1944,'LƯƠNG KT'!$D$16:$AC$184,15,0)</f>
        <v>#N/A</v>
      </c>
      <c r="D1947" s="609" t="e">
        <f>C1947*$L$5</f>
        <v>#N/A</v>
      </c>
      <c r="E1947" s="912"/>
      <c r="F1947" s="912"/>
      <c r="G1947" s="905" t="s">
        <v>364</v>
      </c>
      <c r="H1947" s="546" t="s">
        <v>365</v>
      </c>
      <c r="I1947" s="910" t="e">
        <f>VLOOKUP(H1944,'LƯƠNG KT'!$D$16:$AC$184,15,0)</f>
        <v>#N/A</v>
      </c>
      <c r="J1947" s="609" t="e">
        <f>I1947*$L$5</f>
        <v>#N/A</v>
      </c>
      <c r="K1947" s="935"/>
      <c r="L1947" s="935"/>
      <c r="M1947" s="935"/>
      <c r="N1947" s="935"/>
      <c r="O1947" s="935"/>
    </row>
    <row r="1948" spans="1:15" ht="15" customHeight="1">
      <c r="A1948" s="905" t="s">
        <v>367</v>
      </c>
      <c r="B1948" s="546"/>
      <c r="C1948" s="910" t="e">
        <f>VLOOKUP(B1944,'LƯƠNG KT'!$D$16:$AC$184,16,0)</f>
        <v>#N/A</v>
      </c>
      <c r="D1948" s="609" t="e">
        <f>+C1948*$L$6</f>
        <v>#N/A</v>
      </c>
      <c r="E1948" s="912"/>
      <c r="F1948" s="912"/>
      <c r="G1948" s="905" t="s">
        <v>367</v>
      </c>
      <c r="H1948" s="546"/>
      <c r="I1948" s="910" t="e">
        <f>VLOOKUP(H1944,'LƯƠNG KT'!$D$16:$AC$184,16,0)</f>
        <v>#N/A</v>
      </c>
      <c r="J1948" s="609" t="e">
        <f>+I1948*$L$6</f>
        <v>#N/A</v>
      </c>
      <c r="K1948" s="935"/>
      <c r="L1948" s="935"/>
      <c r="M1948" s="935"/>
      <c r="N1948" s="935"/>
      <c r="O1948" s="935"/>
    </row>
    <row r="1949" spans="1:15" ht="15" customHeight="1">
      <c r="A1949" s="905" t="s">
        <v>371</v>
      </c>
      <c r="B1949" s="546" t="s">
        <v>372</v>
      </c>
      <c r="C1949" s="910" t="e">
        <f>VLOOKUP(B1944,'LƯƠNG KT'!$D$16:$AC$184,9,0)*$L$10</f>
        <v>#N/A</v>
      </c>
      <c r="D1949" s="609" t="e">
        <f>+C1949*0.5*3000</f>
        <v>#N/A</v>
      </c>
      <c r="E1949" s="912"/>
      <c r="F1949" s="912"/>
      <c r="G1949" s="905" t="s">
        <v>371</v>
      </c>
      <c r="H1949" s="546" t="s">
        <v>372</v>
      </c>
      <c r="I1949" s="910" t="e">
        <f>VLOOKUP(H1944,'LƯƠNG KT'!$D$16:$AC$184,9,0)*$L$10</f>
        <v>#N/A</v>
      </c>
      <c r="J1949" s="609" t="e">
        <f>+I1949*0.5*3000</f>
        <v>#N/A</v>
      </c>
      <c r="K1949" s="935"/>
      <c r="L1949" s="935"/>
      <c r="M1949" s="935"/>
      <c r="N1949" s="935"/>
      <c r="O1949" s="935"/>
    </row>
    <row r="1950" spans="1:15" ht="15" customHeight="1">
      <c r="A1950" s="905" t="s">
        <v>374</v>
      </c>
      <c r="B1950" s="546" t="s">
        <v>375</v>
      </c>
      <c r="C1950" s="910" t="e">
        <f>VLOOKUP(B1944,'LƯƠNG KT'!$D$16:$AC$184,8,0)*$L$11</f>
        <v>#N/A</v>
      </c>
      <c r="D1950" s="609" t="e">
        <f>VLOOKUP(B1944,'LƯƠNG KT'!$D$16:$AC$184,13,0)-D1949</f>
        <v>#N/A</v>
      </c>
      <c r="E1950" s="914"/>
      <c r="F1950" s="912"/>
      <c r="G1950" s="905" t="s">
        <v>374</v>
      </c>
      <c r="H1950" s="546" t="s">
        <v>375</v>
      </c>
      <c r="I1950" s="910" t="e">
        <f>VLOOKUP(H1944,'LƯƠNG KT'!$D$16:$AC$184,8,0)*$L$11</f>
        <v>#N/A</v>
      </c>
      <c r="J1950" s="609" t="e">
        <f>VLOOKUP(H1944,'LƯƠNG KT'!$D$16:$AC$184,13,0)-J1949</f>
        <v>#N/A</v>
      </c>
      <c r="K1950" s="935"/>
      <c r="L1950" s="935"/>
      <c r="M1950" s="935"/>
      <c r="N1950" s="935"/>
      <c r="O1950" s="935"/>
    </row>
    <row r="1951" spans="1:15" ht="15" customHeight="1">
      <c r="A1951" s="609" t="s">
        <v>377</v>
      </c>
      <c r="B1951" s="546" t="s">
        <v>378</v>
      </c>
      <c r="C1951" s="910"/>
      <c r="D1951" s="609"/>
      <c r="E1951" s="916"/>
      <c r="F1951" s="916"/>
      <c r="G1951" s="609" t="s">
        <v>377</v>
      </c>
      <c r="H1951" s="546" t="s">
        <v>378</v>
      </c>
      <c r="I1951" s="910"/>
      <c r="J1951" s="609"/>
    </row>
    <row r="1952" spans="1:15" ht="15" customHeight="1">
      <c r="A1952" s="547" t="s">
        <v>379</v>
      </c>
      <c r="B1952" s="546" t="s">
        <v>380</v>
      </c>
      <c r="C1952" s="910"/>
      <c r="D1952" s="609"/>
      <c r="E1952" s="914"/>
      <c r="F1952" s="916"/>
      <c r="G1952" s="547" t="s">
        <v>379</v>
      </c>
      <c r="H1952" s="546" t="s">
        <v>380</v>
      </c>
      <c r="I1952" s="910"/>
      <c r="J1952" s="609"/>
    </row>
    <row r="1953" spans="1:15" ht="15" customHeight="1">
      <c r="A1953" s="905" t="s">
        <v>381</v>
      </c>
      <c r="B1953" s="546" t="s">
        <v>382</v>
      </c>
      <c r="C1953" s="910"/>
      <c r="D1953" s="609">
        <f>D1952</f>
        <v>0</v>
      </c>
      <c r="E1953" s="917"/>
      <c r="F1953" s="904"/>
      <c r="G1953" s="905" t="s">
        <v>381</v>
      </c>
      <c r="H1953" s="546" t="s">
        <v>382</v>
      </c>
      <c r="I1953" s="910"/>
      <c r="J1953" s="609">
        <f>J1952</f>
        <v>0</v>
      </c>
    </row>
    <row r="1954" spans="1:15" ht="15" customHeight="1">
      <c r="A1954" s="918" t="s">
        <v>383</v>
      </c>
      <c r="B1954" s="919" t="s">
        <v>384</v>
      </c>
      <c r="C1954" s="920"/>
      <c r="D1954" s="921" t="e">
        <f>SUM(D1945:D1950)-D1953</f>
        <v>#N/A</v>
      </c>
      <c r="E1954" s="922"/>
      <c r="F1954" s="923"/>
      <c r="G1954" s="918" t="s">
        <v>383</v>
      </c>
      <c r="H1954" s="919" t="s">
        <v>384</v>
      </c>
      <c r="I1954" s="920"/>
      <c r="J1954" s="921" t="e">
        <f>SUM(J1945:J1950)-J1953</f>
        <v>#N/A</v>
      </c>
    </row>
    <row r="1955" spans="1:15" ht="15.75" customHeight="1">
      <c r="A1955" s="924"/>
      <c r="B1955" s="925"/>
      <c r="C1955" s="926"/>
      <c r="D1955" s="927"/>
      <c r="E1955" s="927"/>
      <c r="F1955" s="928"/>
      <c r="G1955" s="924"/>
      <c r="H1955" s="925"/>
      <c r="I1955" s="926"/>
      <c r="J1955" s="927"/>
    </row>
    <row r="1957" spans="1:15" ht="12" customHeight="1">
      <c r="A1957" s="2361"/>
      <c r="B1957" s="2361"/>
      <c r="C1957" s="2361"/>
      <c r="D1957" s="2361"/>
      <c r="E1957" s="2361"/>
      <c r="F1957" s="2361"/>
      <c r="G1957" s="2361"/>
      <c r="H1957" s="2361"/>
      <c r="I1957" s="2361"/>
      <c r="J1957" s="2361"/>
    </row>
    <row r="1958" spans="1:15" ht="15" customHeight="1">
      <c r="A1958" s="2360" t="str">
        <f>$K$2</f>
        <v>THÁNG 09/2024</v>
      </c>
      <c r="B1958" s="2360"/>
      <c r="C1958" s="2360"/>
      <c r="D1958" s="2360"/>
      <c r="E1958" s="903"/>
      <c r="F1958" s="904"/>
      <c r="G1958" s="2360" t="str">
        <f>$K$2</f>
        <v>THÁNG 09/2024</v>
      </c>
      <c r="H1958" s="2360"/>
      <c r="I1958" s="2360"/>
      <c r="J1958" s="2360"/>
      <c r="K1958" s="276"/>
    </row>
    <row r="1959" spans="1:15" ht="15" customHeight="1">
      <c r="A1959" s="905" t="s">
        <v>356</v>
      </c>
      <c r="B1959" s="642" t="s">
        <v>162</v>
      </c>
      <c r="C1959" s="546"/>
      <c r="D1959" s="902"/>
      <c r="E1959" s="906"/>
      <c r="F1959" s="907"/>
      <c r="G1959" s="905" t="s">
        <v>356</v>
      </c>
      <c r="H1959" s="642" t="s">
        <v>163</v>
      </c>
      <c r="I1959" s="546"/>
      <c r="J1959" s="902"/>
      <c r="L1959" s="938"/>
      <c r="M1959" s="938"/>
      <c r="N1959" s="938"/>
      <c r="O1959" s="938"/>
    </row>
    <row r="1960" spans="1:15" ht="15" customHeight="1">
      <c r="A1960" s="905" t="s">
        <v>359</v>
      </c>
      <c r="B1960" s="939" t="s">
        <v>360</v>
      </c>
      <c r="C1960" s="910" t="e">
        <f>VLOOKUP(B1959,'LƯƠNG KT'!$D$16:$AC$184,3,0)</f>
        <v>#N/A</v>
      </c>
      <c r="D1960" s="609" t="e">
        <f>+C1960*25000</f>
        <v>#N/A</v>
      </c>
      <c r="E1960" s="911"/>
      <c r="F1960" s="911"/>
      <c r="G1960" s="905" t="s">
        <v>359</v>
      </c>
      <c r="H1960" s="939" t="s">
        <v>360</v>
      </c>
      <c r="I1960" s="910" t="e">
        <f>VLOOKUP(H1959,'LƯƠNG KT'!$D$16:$AC$184,3,0)</f>
        <v>#N/A</v>
      </c>
      <c r="J1960" s="609" t="e">
        <f>+I1960*25000</f>
        <v>#N/A</v>
      </c>
      <c r="K1960" s="934"/>
      <c r="L1960" s="935"/>
      <c r="M1960" s="935"/>
      <c r="N1960" s="935"/>
      <c r="O1960" s="935"/>
    </row>
    <row r="1961" spans="1:15" ht="15" customHeight="1">
      <c r="A1961" s="905" t="s">
        <v>361</v>
      </c>
      <c r="B1961" s="546" t="s">
        <v>362</v>
      </c>
      <c r="C1961" s="910" t="e">
        <f>VLOOKUP(B1959,'LƯƠNG KT'!$D$16:$AC$184,14,0)</f>
        <v>#N/A</v>
      </c>
      <c r="D1961" s="609" t="e">
        <f>C1961*$L$4</f>
        <v>#N/A</v>
      </c>
      <c r="E1961" s="912"/>
      <c r="F1961" s="912"/>
      <c r="G1961" s="905" t="s">
        <v>361</v>
      </c>
      <c r="H1961" s="546" t="s">
        <v>362</v>
      </c>
      <c r="I1961" s="910" t="e">
        <f>VLOOKUP(H1959,'LƯƠNG KT'!$D$16:$AC$184,14,0)</f>
        <v>#N/A</v>
      </c>
      <c r="J1961" s="609" t="e">
        <f>I1961*$L$4</f>
        <v>#N/A</v>
      </c>
      <c r="K1961" s="934"/>
      <c r="L1961" s="935"/>
      <c r="M1961" s="935"/>
      <c r="N1961" s="935"/>
      <c r="O1961" s="935"/>
    </row>
    <row r="1962" spans="1:15" ht="15" customHeight="1">
      <c r="A1962" s="905" t="s">
        <v>364</v>
      </c>
      <c r="B1962" s="546" t="s">
        <v>365</v>
      </c>
      <c r="C1962" s="910" t="e">
        <f>VLOOKUP(B1959,'LƯƠNG KT'!$D$16:$AC$184,15,0)</f>
        <v>#N/A</v>
      </c>
      <c r="D1962" s="609" t="e">
        <f>C1962*$L$5</f>
        <v>#N/A</v>
      </c>
      <c r="E1962" s="912"/>
      <c r="F1962" s="912"/>
      <c r="G1962" s="905" t="s">
        <v>364</v>
      </c>
      <c r="H1962" s="546" t="s">
        <v>365</v>
      </c>
      <c r="I1962" s="910" t="e">
        <f>VLOOKUP(H1959,'LƯƠNG KT'!$D$16:$AC$184,15,0)</f>
        <v>#N/A</v>
      </c>
      <c r="J1962" s="609" t="e">
        <f>I1962*$L$5</f>
        <v>#N/A</v>
      </c>
      <c r="K1962" s="934"/>
      <c r="L1962" s="935"/>
      <c r="M1962" s="935"/>
      <c r="N1962" s="935"/>
      <c r="O1962" s="935"/>
    </row>
    <row r="1963" spans="1:15" ht="15" customHeight="1">
      <c r="A1963" s="905" t="s">
        <v>367</v>
      </c>
      <c r="B1963" s="546"/>
      <c r="C1963" s="910" t="e">
        <f>VLOOKUP(B1959,'LƯƠNG KT'!$D$16:$AC$184,16,0)</f>
        <v>#N/A</v>
      </c>
      <c r="D1963" s="609" t="e">
        <f>+C1963*$L$6</f>
        <v>#N/A</v>
      </c>
      <c r="E1963" s="912"/>
      <c r="F1963" s="912"/>
      <c r="G1963" s="905" t="s">
        <v>367</v>
      </c>
      <c r="H1963" s="546"/>
      <c r="I1963" s="910" t="e">
        <f>VLOOKUP(H1959,'LƯƠNG KT'!$D$16:$AC$184,16,0)</f>
        <v>#N/A</v>
      </c>
      <c r="J1963" s="609" t="e">
        <f>+I1963*$L$6</f>
        <v>#N/A</v>
      </c>
      <c r="K1963" s="935"/>
      <c r="L1963" s="935"/>
      <c r="M1963" s="935"/>
      <c r="N1963" s="935"/>
      <c r="O1963" s="935"/>
    </row>
    <row r="1964" spans="1:15" ht="15" customHeight="1">
      <c r="A1964" s="905" t="s">
        <v>371</v>
      </c>
      <c r="B1964" s="546" t="s">
        <v>372</v>
      </c>
      <c r="C1964" s="910" t="e">
        <f>VLOOKUP(B1959,'LƯƠNG KT'!$D$16:$AC$184,9,0)*$L$10</f>
        <v>#N/A</v>
      </c>
      <c r="D1964" s="609" t="e">
        <f>+C1964*0.5*3000</f>
        <v>#N/A</v>
      </c>
      <c r="E1964" s="912"/>
      <c r="F1964" s="912"/>
      <c r="G1964" s="905" t="s">
        <v>371</v>
      </c>
      <c r="H1964" s="546" t="s">
        <v>372</v>
      </c>
      <c r="I1964" s="910" t="e">
        <f>VLOOKUP(H1959,'LƯƠNG KT'!$D$16:$AC$184,9,0)*$L$10</f>
        <v>#N/A</v>
      </c>
      <c r="J1964" s="609" t="e">
        <f>+I1964*0.5*3000</f>
        <v>#N/A</v>
      </c>
      <c r="K1964" s="935"/>
      <c r="L1964" s="935"/>
      <c r="M1964" s="935"/>
      <c r="N1964" s="935"/>
      <c r="O1964" s="935"/>
    </row>
    <row r="1965" spans="1:15" ht="15" customHeight="1">
      <c r="A1965" s="905" t="s">
        <v>374</v>
      </c>
      <c r="B1965" s="546" t="s">
        <v>375</v>
      </c>
      <c r="C1965" s="910" t="e">
        <f>VLOOKUP(B1959,'LƯƠNG KT'!$D$16:$AC$184,8,0)*$L$11</f>
        <v>#N/A</v>
      </c>
      <c r="D1965" s="609" t="e">
        <f>VLOOKUP(B1959,'LƯƠNG KT'!$D$16:$AC$184,13,0)-D1964</f>
        <v>#N/A</v>
      </c>
      <c r="E1965" s="914"/>
      <c r="F1965" s="912"/>
      <c r="G1965" s="905" t="s">
        <v>374</v>
      </c>
      <c r="H1965" s="546" t="s">
        <v>375</v>
      </c>
      <c r="I1965" s="910" t="e">
        <f>VLOOKUP(H1959,'LƯƠNG KT'!$D$16:$AC$184,8,0)*$L$11</f>
        <v>#N/A</v>
      </c>
      <c r="J1965" s="609" t="e">
        <f>VLOOKUP(H1959,'LƯƠNG KT'!$D$16:$AC$184,13,0)-J1964</f>
        <v>#N/A</v>
      </c>
      <c r="K1965" s="935"/>
      <c r="L1965" s="935"/>
      <c r="M1965" s="935"/>
      <c r="N1965" s="935"/>
      <c r="O1965" s="935"/>
    </row>
    <row r="1966" spans="1:15" ht="15" customHeight="1">
      <c r="A1966" s="609" t="s">
        <v>377</v>
      </c>
      <c r="B1966" s="546" t="s">
        <v>378</v>
      </c>
      <c r="C1966" s="910"/>
      <c r="D1966" s="609"/>
      <c r="E1966" s="916"/>
      <c r="F1966" s="916"/>
      <c r="G1966" s="609" t="s">
        <v>377</v>
      </c>
      <c r="H1966" s="546" t="s">
        <v>378</v>
      </c>
      <c r="I1966" s="910"/>
      <c r="J1966" s="609"/>
    </row>
    <row r="1967" spans="1:15" ht="15" customHeight="1">
      <c r="A1967" s="547" t="s">
        <v>379</v>
      </c>
      <c r="B1967" s="546" t="s">
        <v>380</v>
      </c>
      <c r="C1967" s="910"/>
      <c r="D1967" s="609"/>
      <c r="E1967" s="914"/>
      <c r="F1967" s="916"/>
      <c r="G1967" s="547" t="s">
        <v>379</v>
      </c>
      <c r="H1967" s="546" t="s">
        <v>380</v>
      </c>
      <c r="I1967" s="910"/>
      <c r="J1967" s="609"/>
    </row>
    <row r="1968" spans="1:15" ht="15" customHeight="1">
      <c r="A1968" s="905" t="s">
        <v>381</v>
      </c>
      <c r="B1968" s="546" t="s">
        <v>382</v>
      </c>
      <c r="C1968" s="910"/>
      <c r="D1968" s="609">
        <f>D1967</f>
        <v>0</v>
      </c>
      <c r="E1968" s="917"/>
      <c r="F1968" s="904"/>
      <c r="G1968" s="905" t="s">
        <v>381</v>
      </c>
      <c r="H1968" s="546" t="s">
        <v>382</v>
      </c>
      <c r="I1968" s="910"/>
      <c r="J1968" s="609">
        <f>J1967</f>
        <v>0</v>
      </c>
    </row>
    <row r="1969" spans="1:15" ht="15" customHeight="1">
      <c r="A1969" s="918" t="s">
        <v>383</v>
      </c>
      <c r="B1969" s="919" t="s">
        <v>384</v>
      </c>
      <c r="C1969" s="920"/>
      <c r="D1969" s="921" t="e">
        <f>SUM(D1960:D1965)-D1968</f>
        <v>#N/A</v>
      </c>
      <c r="E1969" s="922"/>
      <c r="F1969" s="923"/>
      <c r="G1969" s="918" t="s">
        <v>383</v>
      </c>
      <c r="H1969" s="919" t="s">
        <v>384</v>
      </c>
      <c r="I1969" s="920"/>
      <c r="J1969" s="921" t="e">
        <f>SUM(J1960:J1965)-J1968</f>
        <v>#N/A</v>
      </c>
    </row>
    <row r="1970" spans="1:15" ht="12.6" customHeight="1">
      <c r="A1970" s="924"/>
      <c r="B1970" s="925"/>
      <c r="C1970" s="926"/>
      <c r="D1970" s="927"/>
      <c r="E1970" s="927"/>
      <c r="F1970" s="928"/>
      <c r="G1970" s="924"/>
      <c r="H1970" s="925"/>
      <c r="I1970" s="926"/>
      <c r="J1970" s="927"/>
    </row>
    <row r="1971" spans="1:15" ht="12.6" customHeight="1">
      <c r="A1971" s="925"/>
      <c r="B1971" s="925"/>
      <c r="C1971" s="929"/>
      <c r="D1971" s="930"/>
      <c r="E1971" s="925"/>
      <c r="F1971" s="931"/>
      <c r="G1971" s="925"/>
      <c r="H1971" s="925"/>
      <c r="I1971" s="929"/>
      <c r="J1971" s="930"/>
    </row>
    <row r="1972" spans="1:15" ht="15" customHeight="1">
      <c r="A1972" s="2360" t="str">
        <f>$K$2</f>
        <v>THÁNG 09/2024</v>
      </c>
      <c r="B1972" s="2360"/>
      <c r="C1972" s="2360"/>
      <c r="D1972" s="2360"/>
      <c r="E1972" s="903"/>
      <c r="F1972" s="904"/>
      <c r="G1972" s="2360" t="str">
        <f>$K$2</f>
        <v>THÁNG 09/2024</v>
      </c>
      <c r="H1972" s="2360"/>
      <c r="I1972" s="2360"/>
      <c r="J1972" s="2360"/>
      <c r="K1972" s="276"/>
    </row>
    <row r="1973" spans="1:15" ht="15" customHeight="1">
      <c r="A1973" s="905" t="s">
        <v>356</v>
      </c>
      <c r="B1973" s="642" t="s">
        <v>164</v>
      </c>
      <c r="C1973" s="546"/>
      <c r="D1973" s="902"/>
      <c r="E1973" s="906"/>
      <c r="F1973" s="907"/>
      <c r="G1973" s="905" t="s">
        <v>356</v>
      </c>
      <c r="H1973" s="642" t="s">
        <v>165</v>
      </c>
      <c r="I1973" s="546"/>
      <c r="J1973" s="902"/>
      <c r="L1973" s="938"/>
      <c r="M1973" s="938"/>
      <c r="N1973" s="938"/>
      <c r="O1973" s="938"/>
    </row>
    <row r="1974" spans="1:15" ht="15" customHeight="1">
      <c r="A1974" s="905" t="s">
        <v>359</v>
      </c>
      <c r="B1974" s="939" t="s">
        <v>360</v>
      </c>
      <c r="C1974" s="910" t="e">
        <f>VLOOKUP(B1973,'LƯƠNG KT'!$D$16:$AC$184,3,0)</f>
        <v>#N/A</v>
      </c>
      <c r="D1974" s="609" t="e">
        <f>+C1974*25000</f>
        <v>#N/A</v>
      </c>
      <c r="E1974" s="911"/>
      <c r="F1974" s="911"/>
      <c r="G1974" s="905" t="s">
        <v>359</v>
      </c>
      <c r="H1974" s="939" t="s">
        <v>360</v>
      </c>
      <c r="I1974" s="910" t="e">
        <f>VLOOKUP(H1973,'LƯƠNG KT'!$D$16:$AC$184,3,0)</f>
        <v>#N/A</v>
      </c>
      <c r="J1974" s="609" t="e">
        <f>+I1974*25000</f>
        <v>#N/A</v>
      </c>
      <c r="K1974" s="935"/>
      <c r="L1974" s="935"/>
      <c r="M1974" s="935"/>
      <c r="N1974" s="935"/>
      <c r="O1974" s="935"/>
    </row>
    <row r="1975" spans="1:15" ht="15" customHeight="1">
      <c r="A1975" s="905" t="s">
        <v>361</v>
      </c>
      <c r="B1975" s="546" t="s">
        <v>362</v>
      </c>
      <c r="C1975" s="910" t="e">
        <f>VLOOKUP(B1973,'LƯƠNG KT'!$D$16:$AC$184,14,0)</f>
        <v>#N/A</v>
      </c>
      <c r="D1975" s="609" t="e">
        <f>C1975*$L$4</f>
        <v>#N/A</v>
      </c>
      <c r="E1975" s="912"/>
      <c r="F1975" s="912"/>
      <c r="G1975" s="905" t="s">
        <v>361</v>
      </c>
      <c r="H1975" s="546" t="s">
        <v>362</v>
      </c>
      <c r="I1975" s="910" t="e">
        <f>VLOOKUP(H1973,'LƯƠNG KT'!$D$16:$AC$184,14,0)</f>
        <v>#N/A</v>
      </c>
      <c r="J1975" s="609" t="e">
        <f>I1975*$L$4</f>
        <v>#N/A</v>
      </c>
      <c r="K1975" s="935"/>
      <c r="L1975" s="935"/>
      <c r="M1975" s="935"/>
      <c r="N1975" s="935"/>
      <c r="O1975" s="935"/>
    </row>
    <row r="1976" spans="1:15" ht="15" customHeight="1">
      <c r="A1976" s="905" t="s">
        <v>364</v>
      </c>
      <c r="B1976" s="546" t="s">
        <v>365</v>
      </c>
      <c r="C1976" s="910" t="e">
        <f>VLOOKUP(B1973,'LƯƠNG KT'!$D$16:$AC$184,15,0)</f>
        <v>#N/A</v>
      </c>
      <c r="D1976" s="609" t="e">
        <f>C1976*$L$5</f>
        <v>#N/A</v>
      </c>
      <c r="E1976" s="912"/>
      <c r="F1976" s="912"/>
      <c r="G1976" s="905" t="s">
        <v>364</v>
      </c>
      <c r="H1976" s="546" t="s">
        <v>365</v>
      </c>
      <c r="I1976" s="910" t="e">
        <f>VLOOKUP(H1973,'LƯƠNG KT'!$D$16:$AC$184,15,0)</f>
        <v>#N/A</v>
      </c>
      <c r="J1976" s="609" t="e">
        <f>I1976*$L$5</f>
        <v>#N/A</v>
      </c>
      <c r="K1976" s="935"/>
      <c r="L1976" s="935"/>
      <c r="M1976" s="935"/>
      <c r="N1976" s="935"/>
      <c r="O1976" s="935"/>
    </row>
    <row r="1977" spans="1:15" ht="15" customHeight="1">
      <c r="A1977" s="905" t="s">
        <v>367</v>
      </c>
      <c r="B1977" s="546"/>
      <c r="C1977" s="910" t="e">
        <f>VLOOKUP(B1973,'LƯƠNG KT'!$D$16:$AC$184,16,0)</f>
        <v>#N/A</v>
      </c>
      <c r="D1977" s="609" t="e">
        <f>+C1977*$L$6</f>
        <v>#N/A</v>
      </c>
      <c r="E1977" s="912"/>
      <c r="F1977" s="912"/>
      <c r="G1977" s="905" t="s">
        <v>367</v>
      </c>
      <c r="H1977" s="546"/>
      <c r="I1977" s="910" t="e">
        <f>VLOOKUP(H1973,'LƯƠNG KT'!$D$16:$AC$184,16,0)</f>
        <v>#N/A</v>
      </c>
      <c r="J1977" s="609" t="e">
        <f>+I1977*$L$6</f>
        <v>#N/A</v>
      </c>
      <c r="K1977" s="935"/>
      <c r="L1977" s="935"/>
      <c r="M1977" s="935"/>
      <c r="N1977" s="935"/>
      <c r="O1977" s="935"/>
    </row>
    <row r="1978" spans="1:15" ht="15" customHeight="1">
      <c r="A1978" s="905" t="s">
        <v>371</v>
      </c>
      <c r="B1978" s="546" t="s">
        <v>372</v>
      </c>
      <c r="C1978" s="910" t="e">
        <f>VLOOKUP(B1973,'LƯƠNG KT'!$D$16:$AC$184,9,0)*$L$10</f>
        <v>#N/A</v>
      </c>
      <c r="D1978" s="609" t="e">
        <f>+C1978*0.5*3000</f>
        <v>#N/A</v>
      </c>
      <c r="E1978" s="912"/>
      <c r="F1978" s="912"/>
      <c r="G1978" s="905" t="s">
        <v>371</v>
      </c>
      <c r="H1978" s="546" t="s">
        <v>372</v>
      </c>
      <c r="I1978" s="910" t="e">
        <f>VLOOKUP(H1973,'LƯƠNG KT'!$D$16:$AC$184,9,0)*$L$10</f>
        <v>#N/A</v>
      </c>
      <c r="J1978" s="609" t="e">
        <f>+I1978*0.5*3000</f>
        <v>#N/A</v>
      </c>
      <c r="K1978" s="935"/>
      <c r="L1978" s="935"/>
      <c r="M1978" s="935"/>
      <c r="N1978" s="935"/>
      <c r="O1978" s="935"/>
    </row>
    <row r="1979" spans="1:15" ht="15" customHeight="1">
      <c r="A1979" s="905" t="s">
        <v>374</v>
      </c>
      <c r="B1979" s="546" t="s">
        <v>375</v>
      </c>
      <c r="C1979" s="910" t="e">
        <f>VLOOKUP(B1973,'LƯƠNG KT'!$D$16:$AC$184,8,0)*$L$11</f>
        <v>#N/A</v>
      </c>
      <c r="D1979" s="609" t="e">
        <f>VLOOKUP(B1973,'LƯƠNG KT'!$D$16:$AC$184,13,0)-D1978</f>
        <v>#N/A</v>
      </c>
      <c r="E1979" s="914"/>
      <c r="F1979" s="912"/>
      <c r="G1979" s="905" t="s">
        <v>374</v>
      </c>
      <c r="H1979" s="546" t="s">
        <v>375</v>
      </c>
      <c r="I1979" s="910" t="e">
        <f>VLOOKUP(H1973,'LƯƠNG KT'!$D$16:$AC$184,8,0)*$L$11</f>
        <v>#N/A</v>
      </c>
      <c r="J1979" s="609" t="e">
        <f>VLOOKUP(H1973,'LƯƠNG KT'!$D$16:$AC$184,13,0)-J1978</f>
        <v>#N/A</v>
      </c>
      <c r="K1979" s="935"/>
      <c r="L1979" s="935"/>
      <c r="M1979" s="935"/>
      <c r="N1979" s="935"/>
      <c r="O1979" s="935"/>
    </row>
    <row r="1980" spans="1:15" ht="15" customHeight="1">
      <c r="A1980" s="609" t="s">
        <v>377</v>
      </c>
      <c r="B1980" s="546" t="s">
        <v>378</v>
      </c>
      <c r="C1980" s="910"/>
      <c r="D1980" s="609"/>
      <c r="E1980" s="916"/>
      <c r="F1980" s="916"/>
      <c r="G1980" s="609" t="s">
        <v>377</v>
      </c>
      <c r="H1980" s="546" t="s">
        <v>378</v>
      </c>
      <c r="I1980" s="910"/>
      <c r="J1980" s="609"/>
    </row>
    <row r="1981" spans="1:15" ht="15" customHeight="1">
      <c r="A1981" s="547" t="s">
        <v>379</v>
      </c>
      <c r="B1981" s="546" t="s">
        <v>380</v>
      </c>
      <c r="C1981" s="910"/>
      <c r="D1981" s="609"/>
      <c r="E1981" s="914"/>
      <c r="F1981" s="916"/>
      <c r="G1981" s="547" t="s">
        <v>379</v>
      </c>
      <c r="H1981" s="546" t="s">
        <v>380</v>
      </c>
      <c r="I1981" s="910"/>
      <c r="J1981" s="609"/>
    </row>
    <row r="1982" spans="1:15" ht="15" customHeight="1">
      <c r="A1982" s="905" t="s">
        <v>381</v>
      </c>
      <c r="B1982" s="546" t="s">
        <v>382</v>
      </c>
      <c r="C1982" s="910"/>
      <c r="D1982" s="609">
        <f>D1981</f>
        <v>0</v>
      </c>
      <c r="E1982" s="917"/>
      <c r="F1982" s="904"/>
      <c r="G1982" s="905" t="s">
        <v>381</v>
      </c>
      <c r="H1982" s="546" t="s">
        <v>382</v>
      </c>
      <c r="I1982" s="910"/>
      <c r="J1982" s="609">
        <f>J1981</f>
        <v>0</v>
      </c>
    </row>
    <row r="1983" spans="1:15" ht="15" customHeight="1">
      <c r="A1983" s="918" t="s">
        <v>383</v>
      </c>
      <c r="B1983" s="919" t="s">
        <v>384</v>
      </c>
      <c r="C1983" s="920"/>
      <c r="D1983" s="921" t="e">
        <f>SUM(D1974:D1979)-D1982</f>
        <v>#N/A</v>
      </c>
      <c r="E1983" s="922"/>
      <c r="F1983" s="923"/>
      <c r="G1983" s="918" t="s">
        <v>383</v>
      </c>
      <c r="H1983" s="919" t="s">
        <v>384</v>
      </c>
      <c r="I1983" s="920"/>
      <c r="J1983" s="921" t="e">
        <f>SUM(J1974:J1979)-J1982</f>
        <v>#N/A</v>
      </c>
    </row>
    <row r="1984" spans="1:15" ht="18.75" customHeight="1">
      <c r="A1984" s="924"/>
      <c r="B1984" s="925"/>
      <c r="C1984" s="926"/>
      <c r="D1984" s="927"/>
      <c r="E1984" s="927"/>
      <c r="F1984" s="928"/>
      <c r="G1984" s="924"/>
      <c r="H1984" s="925"/>
      <c r="I1984" s="926"/>
      <c r="J1984" s="927"/>
    </row>
    <row r="1985" spans="1:15" ht="18.75" customHeight="1">
      <c r="A1985" s="925"/>
      <c r="B1985" s="925"/>
      <c r="C1985" s="929"/>
      <c r="D1985" s="930"/>
      <c r="E1985" s="925"/>
      <c r="F1985" s="931"/>
      <c r="G1985" s="925"/>
      <c r="H1985" s="925"/>
      <c r="I1985" s="929"/>
      <c r="J1985" s="930"/>
    </row>
    <row r="1986" spans="1:15" ht="15" customHeight="1">
      <c r="A1986" s="2360" t="str">
        <f>$K$2</f>
        <v>THÁNG 09/2024</v>
      </c>
      <c r="B1986" s="2360"/>
      <c r="C1986" s="2360"/>
      <c r="D1986" s="2360"/>
      <c r="E1986" s="903"/>
      <c r="F1986" s="904"/>
      <c r="G1986" s="2360" t="str">
        <f>$K$2</f>
        <v>THÁNG 09/2024</v>
      </c>
      <c r="H1986" s="2360"/>
      <c r="I1986" s="2360"/>
      <c r="J1986" s="2360"/>
      <c r="K1986" s="276"/>
    </row>
    <row r="1987" spans="1:15" ht="15" customHeight="1">
      <c r="A1987" s="905" t="s">
        <v>356</v>
      </c>
      <c r="B1987" s="642" t="s">
        <v>166</v>
      </c>
      <c r="C1987" s="546"/>
      <c r="D1987" s="902"/>
      <c r="E1987" s="906"/>
      <c r="F1987" s="907"/>
      <c r="G1987" s="905" t="s">
        <v>356</v>
      </c>
      <c r="H1987" s="642" t="s">
        <v>167</v>
      </c>
      <c r="I1987" s="546"/>
      <c r="J1987" s="902"/>
      <c r="L1987" s="938"/>
      <c r="M1987" s="938"/>
      <c r="N1987" s="938"/>
      <c r="O1987" s="938"/>
    </row>
    <row r="1988" spans="1:15" ht="15" customHeight="1">
      <c r="A1988" s="905" t="s">
        <v>359</v>
      </c>
      <c r="B1988" s="939" t="s">
        <v>360</v>
      </c>
      <c r="C1988" s="910" t="e">
        <f>VLOOKUP(B1987,'LƯƠNG KT'!$D$16:$AC$184,3,0)</f>
        <v>#N/A</v>
      </c>
      <c r="D1988" s="609" t="e">
        <f>+C1988*25000</f>
        <v>#N/A</v>
      </c>
      <c r="E1988" s="911"/>
      <c r="F1988" s="911"/>
      <c r="G1988" s="905" t="s">
        <v>359</v>
      </c>
      <c r="H1988" s="939" t="s">
        <v>360</v>
      </c>
      <c r="I1988" s="910" t="e">
        <f>VLOOKUP(H1987,'LƯƠNG KT'!$D$16:$AC$184,3,0)</f>
        <v>#N/A</v>
      </c>
      <c r="J1988" s="609" t="e">
        <f>+I1988*25000</f>
        <v>#N/A</v>
      </c>
      <c r="K1988" s="935"/>
      <c r="L1988" s="935"/>
      <c r="M1988" s="935"/>
      <c r="N1988" s="935"/>
      <c r="O1988" s="935"/>
    </row>
    <row r="1989" spans="1:15" ht="15" customHeight="1">
      <c r="A1989" s="905" t="s">
        <v>361</v>
      </c>
      <c r="B1989" s="546" t="s">
        <v>362</v>
      </c>
      <c r="C1989" s="910" t="e">
        <f>VLOOKUP(B1987,'LƯƠNG KT'!$D$16:$AC$184,14,0)</f>
        <v>#N/A</v>
      </c>
      <c r="D1989" s="609" t="e">
        <f>C1989*$L$4</f>
        <v>#N/A</v>
      </c>
      <c r="E1989" s="912"/>
      <c r="F1989" s="912"/>
      <c r="G1989" s="905" t="s">
        <v>361</v>
      </c>
      <c r="H1989" s="546" t="s">
        <v>362</v>
      </c>
      <c r="I1989" s="910" t="e">
        <f>VLOOKUP(H1987,'LƯƠNG KT'!$D$16:$AC$184,14,0)</f>
        <v>#N/A</v>
      </c>
      <c r="J1989" s="609" t="e">
        <f>I1989*$L$4</f>
        <v>#N/A</v>
      </c>
      <c r="K1989" s="935"/>
      <c r="L1989" s="935"/>
      <c r="M1989" s="935"/>
      <c r="N1989" s="935"/>
      <c r="O1989" s="935"/>
    </row>
    <row r="1990" spans="1:15" ht="15" customHeight="1">
      <c r="A1990" s="905" t="s">
        <v>364</v>
      </c>
      <c r="B1990" s="546" t="s">
        <v>365</v>
      </c>
      <c r="C1990" s="910" t="e">
        <f>VLOOKUP(B1987,'LƯƠNG KT'!$D$16:$AC$184,15,0)</f>
        <v>#N/A</v>
      </c>
      <c r="D1990" s="609" t="e">
        <f>C1990*$L$5</f>
        <v>#N/A</v>
      </c>
      <c r="E1990" s="912"/>
      <c r="F1990" s="912"/>
      <c r="G1990" s="905" t="s">
        <v>364</v>
      </c>
      <c r="H1990" s="546" t="s">
        <v>365</v>
      </c>
      <c r="I1990" s="910" t="e">
        <f>VLOOKUP(H1987,'LƯƠNG KT'!$D$16:$AC$184,15,0)</f>
        <v>#N/A</v>
      </c>
      <c r="J1990" s="609" t="e">
        <f>I1990*$L$5</f>
        <v>#N/A</v>
      </c>
      <c r="K1990" s="935"/>
      <c r="L1990" s="935"/>
      <c r="M1990" s="935"/>
      <c r="N1990" s="935"/>
      <c r="O1990" s="935"/>
    </row>
    <row r="1991" spans="1:15" ht="15" customHeight="1">
      <c r="A1991" s="905" t="s">
        <v>367</v>
      </c>
      <c r="B1991" s="546"/>
      <c r="C1991" s="910" t="e">
        <f>VLOOKUP(B1987,'LƯƠNG KT'!$D$16:$AC$184,16,0)</f>
        <v>#N/A</v>
      </c>
      <c r="D1991" s="609" t="e">
        <f>+C1991*$L$6</f>
        <v>#N/A</v>
      </c>
      <c r="E1991" s="912"/>
      <c r="F1991" s="912"/>
      <c r="G1991" s="905" t="s">
        <v>367</v>
      </c>
      <c r="H1991" s="546"/>
      <c r="I1991" s="910" t="e">
        <f>VLOOKUP(H1987,'LƯƠNG KT'!$D$16:$AC$184,16,0)</f>
        <v>#N/A</v>
      </c>
      <c r="J1991" s="609" t="e">
        <f>+I1991*$L$6</f>
        <v>#N/A</v>
      </c>
      <c r="K1991" s="935"/>
      <c r="L1991" s="935"/>
      <c r="M1991" s="935"/>
      <c r="N1991" s="935"/>
      <c r="O1991" s="935"/>
    </row>
    <row r="1992" spans="1:15" ht="15" customHeight="1">
      <c r="A1992" s="905" t="s">
        <v>371</v>
      </c>
      <c r="B1992" s="546" t="s">
        <v>372</v>
      </c>
      <c r="C1992" s="910" t="e">
        <f>VLOOKUP(B1987,'LƯƠNG KT'!$D$16:$AC$184,9,0)*$L$10</f>
        <v>#N/A</v>
      </c>
      <c r="D1992" s="609" t="e">
        <f>+C1992*0.5*3000</f>
        <v>#N/A</v>
      </c>
      <c r="E1992" s="912"/>
      <c r="F1992" s="912"/>
      <c r="G1992" s="905" t="s">
        <v>371</v>
      </c>
      <c r="H1992" s="546" t="s">
        <v>372</v>
      </c>
      <c r="I1992" s="910" t="e">
        <f>VLOOKUP(H1987,'LƯƠNG KT'!$D$16:$AC$184,9,0)*$L$10</f>
        <v>#N/A</v>
      </c>
      <c r="J1992" s="609" t="e">
        <f>+I1992*0.5*3000</f>
        <v>#N/A</v>
      </c>
      <c r="K1992" s="935"/>
      <c r="L1992" s="935"/>
      <c r="M1992" s="935"/>
      <c r="N1992" s="935"/>
      <c r="O1992" s="935"/>
    </row>
    <row r="1993" spans="1:15" ht="15" customHeight="1">
      <c r="A1993" s="905" t="s">
        <v>374</v>
      </c>
      <c r="B1993" s="546" t="s">
        <v>375</v>
      </c>
      <c r="C1993" s="910" t="e">
        <f>VLOOKUP(B1987,'LƯƠNG KT'!$D$16:$AC$184,8,0)*$L$11</f>
        <v>#N/A</v>
      </c>
      <c r="D1993" s="609" t="e">
        <f>VLOOKUP(B1987,'LƯƠNG KT'!$D$16:$AC$184,13,0)-D1992</f>
        <v>#N/A</v>
      </c>
      <c r="E1993" s="914"/>
      <c r="F1993" s="912"/>
      <c r="G1993" s="905" t="s">
        <v>374</v>
      </c>
      <c r="H1993" s="546" t="s">
        <v>375</v>
      </c>
      <c r="I1993" s="910" t="e">
        <f>VLOOKUP(H1987,'LƯƠNG KT'!$D$16:$AC$184,8,0)*$L$11</f>
        <v>#N/A</v>
      </c>
      <c r="J1993" s="609" t="e">
        <f>VLOOKUP(H1987,'LƯƠNG KT'!$D$16:$AC$184,13,0)-J1992</f>
        <v>#N/A</v>
      </c>
      <c r="K1993" s="935"/>
      <c r="L1993" s="935"/>
      <c r="M1993" s="935"/>
      <c r="N1993" s="935"/>
      <c r="O1993" s="935"/>
    </row>
    <row r="1994" spans="1:15" ht="15" customHeight="1">
      <c r="A1994" s="609" t="s">
        <v>377</v>
      </c>
      <c r="B1994" s="546" t="s">
        <v>378</v>
      </c>
      <c r="C1994" s="910"/>
      <c r="D1994" s="609"/>
      <c r="E1994" s="916"/>
      <c r="F1994" s="916"/>
      <c r="G1994" s="609" t="s">
        <v>377</v>
      </c>
      <c r="H1994" s="546" t="s">
        <v>378</v>
      </c>
      <c r="I1994" s="910"/>
      <c r="J1994" s="609"/>
    </row>
    <row r="1995" spans="1:15" ht="15" customHeight="1">
      <c r="A1995" s="547" t="s">
        <v>379</v>
      </c>
      <c r="B1995" s="546" t="s">
        <v>380</v>
      </c>
      <c r="C1995" s="910"/>
      <c r="D1995" s="609"/>
      <c r="E1995" s="914"/>
      <c r="F1995" s="916"/>
      <c r="G1995" s="547" t="s">
        <v>379</v>
      </c>
      <c r="H1995" s="546" t="s">
        <v>380</v>
      </c>
      <c r="I1995" s="910"/>
      <c r="J1995" s="609"/>
    </row>
    <row r="1996" spans="1:15" ht="15" customHeight="1">
      <c r="A1996" s="905" t="s">
        <v>381</v>
      </c>
      <c r="B1996" s="546" t="s">
        <v>382</v>
      </c>
      <c r="C1996" s="910"/>
      <c r="D1996" s="609">
        <f>D1995</f>
        <v>0</v>
      </c>
      <c r="E1996" s="917"/>
      <c r="F1996" s="904"/>
      <c r="G1996" s="905" t="s">
        <v>381</v>
      </c>
      <c r="H1996" s="546" t="s">
        <v>382</v>
      </c>
      <c r="I1996" s="910"/>
      <c r="J1996" s="609">
        <f>J1995</f>
        <v>0</v>
      </c>
    </row>
    <row r="1997" spans="1:15" ht="15" customHeight="1">
      <c r="A1997" s="918" t="s">
        <v>383</v>
      </c>
      <c r="B1997" s="919" t="s">
        <v>384</v>
      </c>
      <c r="C1997" s="920"/>
      <c r="D1997" s="921" t="e">
        <f>SUM(D1988:D1993)-D1996</f>
        <v>#N/A</v>
      </c>
      <c r="E1997" s="922"/>
      <c r="F1997" s="923"/>
      <c r="G1997" s="918" t="s">
        <v>383</v>
      </c>
      <c r="H1997" s="919" t="s">
        <v>384</v>
      </c>
      <c r="I1997" s="920"/>
      <c r="J1997" s="921" t="e">
        <f>SUM(J1988:J1993)-J1996</f>
        <v>#N/A</v>
      </c>
    </row>
    <row r="1998" spans="1:15" ht="18.75" customHeight="1">
      <c r="A1998" s="924"/>
      <c r="B1998" s="925"/>
      <c r="C1998" s="926"/>
      <c r="D1998" s="927"/>
      <c r="E1998" s="927"/>
      <c r="F1998" s="928"/>
      <c r="G1998" s="924"/>
      <c r="H1998" s="925"/>
      <c r="I1998" s="926"/>
      <c r="J1998" s="927"/>
    </row>
    <row r="1999" spans="1:15" ht="18.75" customHeight="1">
      <c r="A1999" s="925"/>
      <c r="B1999" s="925"/>
      <c r="C1999" s="929"/>
      <c r="D1999" s="930"/>
      <c r="E1999" s="925"/>
      <c r="F1999" s="931"/>
      <c r="G1999" s="925"/>
      <c r="H1999" s="925"/>
      <c r="I1999" s="929"/>
      <c r="J1999" s="930"/>
    </row>
    <row r="2000" spans="1:15" ht="15" customHeight="1">
      <c r="A2000" s="2360" t="str">
        <f>$K$2</f>
        <v>THÁNG 09/2024</v>
      </c>
      <c r="B2000" s="2360"/>
      <c r="C2000" s="2360"/>
      <c r="D2000" s="2360"/>
      <c r="E2000" s="903"/>
      <c r="F2000" s="904"/>
      <c r="G2000" s="2360" t="str">
        <f>$K$2</f>
        <v>THÁNG 09/2024</v>
      </c>
      <c r="H2000" s="2360"/>
      <c r="I2000" s="2360"/>
      <c r="J2000" s="2360"/>
      <c r="K2000" s="276"/>
    </row>
    <row r="2001" spans="1:15" ht="15" customHeight="1">
      <c r="A2001" s="905" t="s">
        <v>356</v>
      </c>
      <c r="B2001" s="642" t="s">
        <v>168</v>
      </c>
      <c r="C2001" s="546"/>
      <c r="D2001" s="902"/>
      <c r="E2001" s="906"/>
      <c r="F2001" s="907"/>
      <c r="G2001" s="905" t="s">
        <v>356</v>
      </c>
      <c r="H2001" s="642" t="s">
        <v>169</v>
      </c>
      <c r="I2001" s="546"/>
      <c r="J2001" s="902"/>
      <c r="L2001" s="938"/>
      <c r="M2001" s="938"/>
      <c r="N2001" s="938"/>
      <c r="O2001" s="938"/>
    </row>
    <row r="2002" spans="1:15" ht="15" customHeight="1">
      <c r="A2002" s="905" t="s">
        <v>359</v>
      </c>
      <c r="B2002" s="939" t="s">
        <v>360</v>
      </c>
      <c r="C2002" s="910" t="e">
        <f>VLOOKUP(B2001,'LƯƠNG KT'!$D$16:$AC$184,3,0)</f>
        <v>#N/A</v>
      </c>
      <c r="D2002" s="609" t="e">
        <f>+C2002*25000</f>
        <v>#N/A</v>
      </c>
      <c r="E2002" s="911"/>
      <c r="F2002" s="911"/>
      <c r="G2002" s="905" t="s">
        <v>359</v>
      </c>
      <c r="H2002" s="939" t="s">
        <v>360</v>
      </c>
      <c r="I2002" s="910" t="e">
        <f>VLOOKUP(H2001,'LƯƠNG KT'!$D$16:$AC$184,3,0)</f>
        <v>#N/A</v>
      </c>
      <c r="J2002" s="609" t="e">
        <f>+I2002*25000</f>
        <v>#N/A</v>
      </c>
      <c r="K2002" s="935"/>
      <c r="L2002" s="935"/>
      <c r="M2002" s="935"/>
      <c r="N2002" s="935"/>
      <c r="O2002" s="935"/>
    </row>
    <row r="2003" spans="1:15" ht="15" customHeight="1">
      <c r="A2003" s="905" t="s">
        <v>361</v>
      </c>
      <c r="B2003" s="546" t="s">
        <v>362</v>
      </c>
      <c r="C2003" s="910" t="e">
        <f>VLOOKUP(B2001,'LƯƠNG KT'!$D$16:$AC$184,14,0)</f>
        <v>#N/A</v>
      </c>
      <c r="D2003" s="609" t="e">
        <f>C2003*$L$4</f>
        <v>#N/A</v>
      </c>
      <c r="E2003" s="912"/>
      <c r="F2003" s="912"/>
      <c r="G2003" s="905" t="s">
        <v>361</v>
      </c>
      <c r="H2003" s="546" t="s">
        <v>362</v>
      </c>
      <c r="I2003" s="910" t="e">
        <f>VLOOKUP(H2001,'LƯƠNG KT'!$D$16:$AC$184,14,0)</f>
        <v>#N/A</v>
      </c>
      <c r="J2003" s="609" t="e">
        <f>I2003*$L$4</f>
        <v>#N/A</v>
      </c>
      <c r="K2003" s="935"/>
      <c r="L2003" s="935"/>
      <c r="M2003" s="935"/>
      <c r="N2003" s="935"/>
      <c r="O2003" s="935"/>
    </row>
    <row r="2004" spans="1:15" ht="15" customHeight="1">
      <c r="A2004" s="905" t="s">
        <v>364</v>
      </c>
      <c r="B2004" s="546" t="s">
        <v>365</v>
      </c>
      <c r="C2004" s="910" t="e">
        <f>VLOOKUP(B2001,'LƯƠNG KT'!$D$16:$AC$184,15,0)</f>
        <v>#N/A</v>
      </c>
      <c r="D2004" s="609" t="e">
        <f>C2004*$L$5</f>
        <v>#N/A</v>
      </c>
      <c r="E2004" s="912"/>
      <c r="F2004" s="912"/>
      <c r="G2004" s="905" t="s">
        <v>364</v>
      </c>
      <c r="H2004" s="546" t="s">
        <v>365</v>
      </c>
      <c r="I2004" s="910" t="e">
        <f>VLOOKUP(H2001,'LƯƠNG KT'!$D$16:$AC$184,15,0)</f>
        <v>#N/A</v>
      </c>
      <c r="J2004" s="609" t="e">
        <f>I2004*$L$5</f>
        <v>#N/A</v>
      </c>
      <c r="K2004" s="935"/>
      <c r="L2004" s="935"/>
      <c r="M2004" s="935"/>
      <c r="N2004" s="935"/>
      <c r="O2004" s="935"/>
    </row>
    <row r="2005" spans="1:15" ht="15" customHeight="1">
      <c r="A2005" s="905" t="s">
        <v>367</v>
      </c>
      <c r="B2005" s="546"/>
      <c r="C2005" s="910" t="e">
        <f>VLOOKUP(B2001,'LƯƠNG KT'!$D$16:$AC$184,16,0)</f>
        <v>#N/A</v>
      </c>
      <c r="D2005" s="609" t="e">
        <f>+C2005*$L$6</f>
        <v>#N/A</v>
      </c>
      <c r="E2005" s="912"/>
      <c r="F2005" s="912"/>
      <c r="G2005" s="905" t="s">
        <v>367</v>
      </c>
      <c r="H2005" s="546"/>
      <c r="I2005" s="910" t="e">
        <f>VLOOKUP(H2001,'LƯƠNG KT'!$D$16:$AC$184,16,0)</f>
        <v>#N/A</v>
      </c>
      <c r="J2005" s="609" t="e">
        <f>+I2005*$L$6</f>
        <v>#N/A</v>
      </c>
      <c r="K2005" s="935"/>
      <c r="L2005" s="935"/>
      <c r="M2005" s="935"/>
      <c r="N2005" s="935"/>
      <c r="O2005" s="935"/>
    </row>
    <row r="2006" spans="1:15" ht="15" customHeight="1">
      <c r="A2006" s="905" t="s">
        <v>371</v>
      </c>
      <c r="B2006" s="546" t="s">
        <v>372</v>
      </c>
      <c r="C2006" s="910" t="e">
        <f>VLOOKUP(B2001,'LƯƠNG KT'!$D$16:$AC$184,9,0)*$L$10</f>
        <v>#N/A</v>
      </c>
      <c r="D2006" s="609" t="e">
        <f>+C2006*0.5*3000</f>
        <v>#N/A</v>
      </c>
      <c r="E2006" s="912"/>
      <c r="F2006" s="912"/>
      <c r="G2006" s="905" t="s">
        <v>371</v>
      </c>
      <c r="H2006" s="546" t="s">
        <v>372</v>
      </c>
      <c r="I2006" s="910" t="e">
        <f>VLOOKUP(H2001,'LƯƠNG KT'!$D$16:$AC$184,9,0)*$L$10</f>
        <v>#N/A</v>
      </c>
      <c r="J2006" s="609" t="e">
        <f>+I2006*0.5*3000</f>
        <v>#N/A</v>
      </c>
      <c r="K2006" s="935"/>
      <c r="L2006" s="935"/>
      <c r="M2006" s="935"/>
      <c r="N2006" s="935"/>
      <c r="O2006" s="935"/>
    </row>
    <row r="2007" spans="1:15" ht="15" customHeight="1">
      <c r="A2007" s="905" t="s">
        <v>374</v>
      </c>
      <c r="B2007" s="546" t="s">
        <v>375</v>
      </c>
      <c r="C2007" s="910" t="e">
        <f>VLOOKUP(B2001,'LƯƠNG KT'!$D$16:$AC$184,8,0)*$L$11</f>
        <v>#N/A</v>
      </c>
      <c r="D2007" s="609" t="e">
        <f>VLOOKUP(B2001,'LƯƠNG KT'!$D$16:$AC$184,13,0)-D2006</f>
        <v>#N/A</v>
      </c>
      <c r="E2007" s="914"/>
      <c r="F2007" s="912"/>
      <c r="G2007" s="905" t="s">
        <v>374</v>
      </c>
      <c r="H2007" s="546" t="s">
        <v>375</v>
      </c>
      <c r="I2007" s="910" t="e">
        <f>VLOOKUP(H2001,'LƯƠNG KT'!$D$16:$AC$184,8,0)*$L$11</f>
        <v>#N/A</v>
      </c>
      <c r="J2007" s="609" t="e">
        <f>VLOOKUP(H2001,'LƯƠNG KT'!$D$16:$AC$184,13,0)-J2006</f>
        <v>#N/A</v>
      </c>
      <c r="K2007" s="935"/>
      <c r="L2007" s="935"/>
      <c r="M2007" s="935"/>
      <c r="N2007" s="935"/>
      <c r="O2007" s="935"/>
    </row>
    <row r="2008" spans="1:15" ht="15" customHeight="1">
      <c r="A2008" s="609" t="s">
        <v>377</v>
      </c>
      <c r="B2008" s="546" t="s">
        <v>378</v>
      </c>
      <c r="C2008" s="910"/>
      <c r="D2008" s="609"/>
      <c r="E2008" s="916"/>
      <c r="F2008" s="916"/>
      <c r="G2008" s="609" t="s">
        <v>377</v>
      </c>
      <c r="H2008" s="546" t="s">
        <v>378</v>
      </c>
      <c r="I2008" s="910"/>
      <c r="J2008" s="609"/>
    </row>
    <row r="2009" spans="1:15" ht="15" customHeight="1">
      <c r="A2009" s="547" t="s">
        <v>379</v>
      </c>
      <c r="B2009" s="546" t="s">
        <v>380</v>
      </c>
      <c r="C2009" s="910"/>
      <c r="D2009" s="609"/>
      <c r="E2009" s="914"/>
      <c r="F2009" s="916"/>
      <c r="G2009" s="547" t="s">
        <v>379</v>
      </c>
      <c r="H2009" s="546" t="s">
        <v>380</v>
      </c>
      <c r="I2009" s="910"/>
      <c r="J2009" s="609"/>
    </row>
    <row r="2010" spans="1:15" ht="15" customHeight="1">
      <c r="A2010" s="905" t="s">
        <v>381</v>
      </c>
      <c r="B2010" s="546" t="s">
        <v>382</v>
      </c>
      <c r="C2010" s="910"/>
      <c r="D2010" s="609">
        <f>D2009</f>
        <v>0</v>
      </c>
      <c r="E2010" s="917"/>
      <c r="F2010" s="904"/>
      <c r="G2010" s="905" t="s">
        <v>381</v>
      </c>
      <c r="H2010" s="546" t="s">
        <v>382</v>
      </c>
      <c r="I2010" s="910"/>
      <c r="J2010" s="609">
        <f>J2009</f>
        <v>0</v>
      </c>
    </row>
    <row r="2011" spans="1:15" ht="15" customHeight="1">
      <c r="A2011" s="918" t="s">
        <v>383</v>
      </c>
      <c r="B2011" s="919" t="s">
        <v>384</v>
      </c>
      <c r="C2011" s="920"/>
      <c r="D2011" s="921" t="e">
        <f>SUM(D2002:D2007)-D2010</f>
        <v>#N/A</v>
      </c>
      <c r="E2011" s="922"/>
      <c r="F2011" s="923"/>
      <c r="G2011" s="918" t="s">
        <v>383</v>
      </c>
      <c r="H2011" s="919" t="s">
        <v>384</v>
      </c>
      <c r="I2011" s="920"/>
      <c r="J2011" s="921" t="e">
        <f>SUM(J2002:J2007)-J2010</f>
        <v>#N/A</v>
      </c>
    </row>
    <row r="2012" spans="1:15" ht="15.75" customHeight="1">
      <c r="A2012" s="924"/>
      <c r="B2012" s="925"/>
      <c r="C2012" s="926"/>
      <c r="D2012" s="927"/>
      <c r="E2012" s="927"/>
      <c r="F2012" s="928"/>
      <c r="G2012" s="924"/>
      <c r="H2012" s="925"/>
      <c r="I2012" s="926"/>
      <c r="J2012" s="927"/>
    </row>
    <row r="2014" spans="1:15" ht="12" customHeight="1">
      <c r="A2014" s="2361"/>
      <c r="B2014" s="2361"/>
      <c r="C2014" s="2361"/>
      <c r="D2014" s="2361"/>
      <c r="E2014" s="2361"/>
      <c r="F2014" s="2361"/>
      <c r="G2014" s="2361"/>
      <c r="H2014" s="2361"/>
      <c r="I2014" s="2361"/>
      <c r="J2014" s="2361"/>
    </row>
    <row r="2015" spans="1:15" ht="15" customHeight="1">
      <c r="A2015" s="2360" t="str">
        <f>$K$2</f>
        <v>THÁNG 09/2024</v>
      </c>
      <c r="B2015" s="2360"/>
      <c r="C2015" s="2360"/>
      <c r="D2015" s="2360"/>
      <c r="E2015" s="903"/>
      <c r="F2015" s="904"/>
      <c r="G2015" s="2360" t="str">
        <f>$K$2</f>
        <v>THÁNG 09/2024</v>
      </c>
      <c r="H2015" s="2360"/>
      <c r="I2015" s="2360"/>
      <c r="J2015" s="2360"/>
      <c r="K2015" s="276"/>
    </row>
    <row r="2016" spans="1:15" ht="15" customHeight="1">
      <c r="A2016" s="905" t="s">
        <v>356</v>
      </c>
      <c r="B2016" s="642" t="s">
        <v>170</v>
      </c>
      <c r="C2016" s="546"/>
      <c r="D2016" s="902"/>
      <c r="E2016" s="906"/>
      <c r="F2016" s="907"/>
      <c r="G2016" s="905" t="s">
        <v>356</v>
      </c>
      <c r="H2016" s="642" t="s">
        <v>171</v>
      </c>
      <c r="I2016" s="546"/>
      <c r="J2016" s="902"/>
      <c r="L2016" s="938"/>
      <c r="M2016" s="938"/>
      <c r="N2016" s="938"/>
      <c r="O2016" s="938"/>
    </row>
    <row r="2017" spans="1:15" ht="15" customHeight="1">
      <c r="A2017" s="905" t="s">
        <v>359</v>
      </c>
      <c r="B2017" s="939" t="s">
        <v>360</v>
      </c>
      <c r="C2017" s="910" t="e">
        <f>VLOOKUP(B2016,'LƯƠNG KT'!$D$16:$AC$184,3,0)</f>
        <v>#N/A</v>
      </c>
      <c r="D2017" s="609" t="e">
        <f>+C2017*25000</f>
        <v>#N/A</v>
      </c>
      <c r="E2017" s="911"/>
      <c r="F2017" s="911"/>
      <c r="G2017" s="905" t="s">
        <v>359</v>
      </c>
      <c r="H2017" s="939" t="s">
        <v>360</v>
      </c>
      <c r="I2017" s="910" t="e">
        <f>VLOOKUP(H2016,'LƯƠNG KT'!$D$16:$AC$184,3,0)</f>
        <v>#N/A</v>
      </c>
      <c r="J2017" s="609" t="e">
        <f>+I2017*25000</f>
        <v>#N/A</v>
      </c>
      <c r="K2017" s="934"/>
      <c r="L2017" s="935"/>
      <c r="M2017" s="935"/>
      <c r="N2017" s="935"/>
      <c r="O2017" s="935"/>
    </row>
    <row r="2018" spans="1:15" ht="15" customHeight="1">
      <c r="A2018" s="905" t="s">
        <v>361</v>
      </c>
      <c r="B2018" s="546" t="s">
        <v>362</v>
      </c>
      <c r="C2018" s="910" t="e">
        <f>VLOOKUP(B2016,'LƯƠNG KT'!$D$16:$AC$184,14,0)</f>
        <v>#N/A</v>
      </c>
      <c r="D2018" s="609" t="e">
        <f>C2018*$L$4</f>
        <v>#N/A</v>
      </c>
      <c r="E2018" s="912"/>
      <c r="F2018" s="912"/>
      <c r="G2018" s="905" t="s">
        <v>361</v>
      </c>
      <c r="H2018" s="546" t="s">
        <v>362</v>
      </c>
      <c r="I2018" s="910" t="e">
        <f>VLOOKUP(H2016,'LƯƠNG KT'!$D$16:$AC$184,14,0)</f>
        <v>#N/A</v>
      </c>
      <c r="J2018" s="609" t="e">
        <f>I2018*$L$4</f>
        <v>#N/A</v>
      </c>
      <c r="K2018" s="934"/>
      <c r="L2018" s="935"/>
      <c r="M2018" s="935"/>
      <c r="N2018" s="935"/>
      <c r="O2018" s="935"/>
    </row>
    <row r="2019" spans="1:15" ht="15" customHeight="1">
      <c r="A2019" s="905" t="s">
        <v>364</v>
      </c>
      <c r="B2019" s="546" t="s">
        <v>365</v>
      </c>
      <c r="C2019" s="910" t="e">
        <f>VLOOKUP(B2016,'LƯƠNG KT'!$D$16:$AC$184,15,0)</f>
        <v>#N/A</v>
      </c>
      <c r="D2019" s="609" t="e">
        <f>C2019*$L$5</f>
        <v>#N/A</v>
      </c>
      <c r="E2019" s="912"/>
      <c r="F2019" s="912"/>
      <c r="G2019" s="905" t="s">
        <v>364</v>
      </c>
      <c r="H2019" s="546" t="s">
        <v>365</v>
      </c>
      <c r="I2019" s="910" t="e">
        <f>VLOOKUP(H2016,'LƯƠNG KT'!$D$16:$AC$184,15,0)</f>
        <v>#N/A</v>
      </c>
      <c r="J2019" s="609" t="e">
        <f>I2019*$L$5</f>
        <v>#N/A</v>
      </c>
      <c r="K2019" s="934"/>
      <c r="L2019" s="935"/>
      <c r="M2019" s="935"/>
      <c r="N2019" s="935"/>
      <c r="O2019" s="935"/>
    </row>
    <row r="2020" spans="1:15" ht="15" customHeight="1">
      <c r="A2020" s="905" t="s">
        <v>367</v>
      </c>
      <c r="B2020" s="546"/>
      <c r="C2020" s="910" t="e">
        <f>VLOOKUP(B2016,'LƯƠNG KT'!$D$16:$AC$184,16,0)</f>
        <v>#N/A</v>
      </c>
      <c r="D2020" s="609" t="e">
        <f>+C2020*$L$6</f>
        <v>#N/A</v>
      </c>
      <c r="E2020" s="912"/>
      <c r="F2020" s="912"/>
      <c r="G2020" s="905" t="s">
        <v>367</v>
      </c>
      <c r="H2020" s="546"/>
      <c r="I2020" s="910" t="e">
        <f>VLOOKUP(H2016,'LƯƠNG KT'!$D$16:$AC$184,16,0)</f>
        <v>#N/A</v>
      </c>
      <c r="J2020" s="609" t="e">
        <f>+I2020*$L$6</f>
        <v>#N/A</v>
      </c>
      <c r="K2020" s="935"/>
      <c r="L2020" s="935"/>
      <c r="M2020" s="935"/>
      <c r="N2020" s="935"/>
      <c r="O2020" s="935"/>
    </row>
    <row r="2021" spans="1:15" ht="15" customHeight="1">
      <c r="A2021" s="905" t="s">
        <v>371</v>
      </c>
      <c r="B2021" s="546" t="s">
        <v>372</v>
      </c>
      <c r="C2021" s="910" t="e">
        <f>VLOOKUP(B2016,'LƯƠNG KT'!$D$16:$AC$184,9,0)*$L$10</f>
        <v>#N/A</v>
      </c>
      <c r="D2021" s="609" t="e">
        <f>+C2021*0.5*3000</f>
        <v>#N/A</v>
      </c>
      <c r="E2021" s="912"/>
      <c r="F2021" s="912"/>
      <c r="G2021" s="905" t="s">
        <v>371</v>
      </c>
      <c r="H2021" s="546" t="s">
        <v>372</v>
      </c>
      <c r="I2021" s="910" t="e">
        <f>VLOOKUP(H2016,'LƯƠNG KT'!$D$16:$AC$184,9,0)*$L$10</f>
        <v>#N/A</v>
      </c>
      <c r="J2021" s="609" t="e">
        <f>+I2021*0.5*3000</f>
        <v>#N/A</v>
      </c>
      <c r="K2021" s="935"/>
      <c r="L2021" s="935"/>
      <c r="M2021" s="935"/>
      <c r="N2021" s="935"/>
      <c r="O2021" s="935"/>
    </row>
    <row r="2022" spans="1:15" ht="15" customHeight="1">
      <c r="A2022" s="905" t="s">
        <v>374</v>
      </c>
      <c r="B2022" s="546" t="s">
        <v>375</v>
      </c>
      <c r="C2022" s="910" t="e">
        <f>VLOOKUP(B2016,'LƯƠNG KT'!$D$16:$AC$184,8,0)*$L$11</f>
        <v>#N/A</v>
      </c>
      <c r="D2022" s="609" t="e">
        <f>VLOOKUP(B2016,'LƯƠNG KT'!$D$16:$AC$184,13,0)-D2021</f>
        <v>#N/A</v>
      </c>
      <c r="E2022" s="914"/>
      <c r="F2022" s="912"/>
      <c r="G2022" s="905" t="s">
        <v>374</v>
      </c>
      <c r="H2022" s="546" t="s">
        <v>375</v>
      </c>
      <c r="I2022" s="910" t="e">
        <f>VLOOKUP(H2016,'LƯƠNG KT'!$D$16:$AC$184,8,0)*$L$11</f>
        <v>#N/A</v>
      </c>
      <c r="J2022" s="609" t="e">
        <f>VLOOKUP(H2016,'LƯƠNG KT'!$D$16:$AC$184,13,0)-J2021</f>
        <v>#N/A</v>
      </c>
      <c r="K2022" s="935"/>
      <c r="L2022" s="935"/>
      <c r="M2022" s="935"/>
      <c r="N2022" s="935"/>
      <c r="O2022" s="935"/>
    </row>
    <row r="2023" spans="1:15" ht="15" customHeight="1">
      <c r="A2023" s="609" t="s">
        <v>377</v>
      </c>
      <c r="B2023" s="546" t="s">
        <v>378</v>
      </c>
      <c r="C2023" s="910"/>
      <c r="D2023" s="609"/>
      <c r="E2023" s="916"/>
      <c r="F2023" s="916"/>
      <c r="G2023" s="609" t="s">
        <v>377</v>
      </c>
      <c r="H2023" s="546" t="s">
        <v>378</v>
      </c>
      <c r="I2023" s="910"/>
      <c r="J2023" s="609"/>
    </row>
    <row r="2024" spans="1:15" ht="15" customHeight="1">
      <c r="A2024" s="547" t="s">
        <v>379</v>
      </c>
      <c r="B2024" s="546" t="s">
        <v>380</v>
      </c>
      <c r="C2024" s="910"/>
      <c r="D2024" s="609"/>
      <c r="E2024" s="914"/>
      <c r="F2024" s="916"/>
      <c r="G2024" s="547" t="s">
        <v>379</v>
      </c>
      <c r="H2024" s="546" t="s">
        <v>380</v>
      </c>
      <c r="I2024" s="910"/>
      <c r="J2024" s="609"/>
    </row>
    <row r="2025" spans="1:15" ht="15" customHeight="1">
      <c r="A2025" s="905" t="s">
        <v>381</v>
      </c>
      <c r="B2025" s="546" t="s">
        <v>382</v>
      </c>
      <c r="C2025" s="910"/>
      <c r="D2025" s="609">
        <f>D2024</f>
        <v>0</v>
      </c>
      <c r="E2025" s="917"/>
      <c r="F2025" s="904"/>
      <c r="G2025" s="905" t="s">
        <v>381</v>
      </c>
      <c r="H2025" s="546" t="s">
        <v>382</v>
      </c>
      <c r="I2025" s="910"/>
      <c r="J2025" s="609">
        <f>J2024</f>
        <v>0</v>
      </c>
    </row>
    <row r="2026" spans="1:15" ht="15" customHeight="1">
      <c r="A2026" s="918" t="s">
        <v>383</v>
      </c>
      <c r="B2026" s="919" t="s">
        <v>384</v>
      </c>
      <c r="C2026" s="920"/>
      <c r="D2026" s="921" t="e">
        <f>SUM(D2017:D2022)-D2025</f>
        <v>#N/A</v>
      </c>
      <c r="E2026" s="922"/>
      <c r="F2026" s="923"/>
      <c r="G2026" s="918" t="s">
        <v>383</v>
      </c>
      <c r="H2026" s="919" t="s">
        <v>384</v>
      </c>
      <c r="I2026" s="920"/>
      <c r="J2026" s="921" t="e">
        <f>SUM(J2017:J2022)-J2025</f>
        <v>#N/A</v>
      </c>
    </row>
    <row r="2027" spans="1:15" ht="12.6" customHeight="1">
      <c r="A2027" s="924"/>
      <c r="B2027" s="925"/>
      <c r="C2027" s="926"/>
      <c r="D2027" s="927"/>
      <c r="E2027" s="927"/>
      <c r="F2027" s="928"/>
      <c r="G2027" s="924"/>
      <c r="H2027" s="925"/>
      <c r="I2027" s="926"/>
      <c r="J2027" s="927"/>
    </row>
    <row r="2028" spans="1:15" ht="12.6" customHeight="1">
      <c r="A2028" s="925"/>
      <c r="B2028" s="925"/>
      <c r="C2028" s="929"/>
      <c r="D2028" s="930"/>
      <c r="E2028" s="925"/>
      <c r="F2028" s="931"/>
      <c r="G2028" s="925"/>
      <c r="H2028" s="925"/>
      <c r="I2028" s="929"/>
      <c r="J2028" s="930"/>
    </row>
    <row r="2029" spans="1:15" ht="15" customHeight="1">
      <c r="A2029" s="2360" t="str">
        <f>$K$2</f>
        <v>THÁNG 09/2024</v>
      </c>
      <c r="B2029" s="2360"/>
      <c r="C2029" s="2360"/>
      <c r="D2029" s="2360"/>
      <c r="E2029" s="903"/>
      <c r="F2029" s="904"/>
      <c r="G2029" s="2360" t="str">
        <f>$K$2</f>
        <v>THÁNG 09/2024</v>
      </c>
      <c r="H2029" s="2360"/>
      <c r="I2029" s="2360"/>
      <c r="J2029" s="2360"/>
      <c r="K2029" s="276"/>
    </row>
    <row r="2030" spans="1:15" ht="15" customHeight="1">
      <c r="A2030" s="905" t="s">
        <v>356</v>
      </c>
      <c r="B2030" s="642" t="s">
        <v>172</v>
      </c>
      <c r="C2030" s="546"/>
      <c r="D2030" s="902"/>
      <c r="E2030" s="906"/>
      <c r="F2030" s="907"/>
      <c r="G2030" s="905" t="s">
        <v>356</v>
      </c>
      <c r="H2030" s="642" t="s">
        <v>173</v>
      </c>
      <c r="I2030" s="546"/>
      <c r="J2030" s="902"/>
      <c r="L2030" s="938"/>
      <c r="M2030" s="938"/>
      <c r="N2030" s="938"/>
      <c r="O2030" s="938"/>
    </row>
    <row r="2031" spans="1:15" ht="15" customHeight="1">
      <c r="A2031" s="905" t="s">
        <v>359</v>
      </c>
      <c r="B2031" s="939" t="s">
        <v>360</v>
      </c>
      <c r="C2031" s="910" t="e">
        <f>VLOOKUP(B2030,'LƯƠNG KT'!$D$16:$AC$184,3,0)</f>
        <v>#N/A</v>
      </c>
      <c r="D2031" s="609" t="e">
        <f>+C2031*25000</f>
        <v>#N/A</v>
      </c>
      <c r="E2031" s="911"/>
      <c r="F2031" s="911"/>
      <c r="G2031" s="905" t="s">
        <v>359</v>
      </c>
      <c r="H2031" s="939" t="s">
        <v>360</v>
      </c>
      <c r="I2031" s="910" t="e">
        <f>VLOOKUP(H2030,'LƯƠNG KT'!$D$16:$AC$184,3,0)</f>
        <v>#N/A</v>
      </c>
      <c r="J2031" s="609" t="e">
        <f>+I2031*25000</f>
        <v>#N/A</v>
      </c>
      <c r="K2031" s="935"/>
      <c r="L2031" s="935"/>
      <c r="M2031" s="935"/>
      <c r="N2031" s="935"/>
      <c r="O2031" s="935"/>
    </row>
    <row r="2032" spans="1:15" ht="15" customHeight="1">
      <c r="A2032" s="905" t="s">
        <v>361</v>
      </c>
      <c r="B2032" s="546" t="s">
        <v>362</v>
      </c>
      <c r="C2032" s="910" t="e">
        <f>VLOOKUP(B2030,'LƯƠNG KT'!$D$16:$AC$184,14,0)</f>
        <v>#N/A</v>
      </c>
      <c r="D2032" s="609" t="e">
        <f>C2032*$L$4</f>
        <v>#N/A</v>
      </c>
      <c r="E2032" s="912"/>
      <c r="F2032" s="912"/>
      <c r="G2032" s="905" t="s">
        <v>361</v>
      </c>
      <c r="H2032" s="546" t="s">
        <v>362</v>
      </c>
      <c r="I2032" s="910" t="e">
        <f>VLOOKUP(H2030,'LƯƠNG KT'!$D$16:$AC$184,14,0)</f>
        <v>#N/A</v>
      </c>
      <c r="J2032" s="609" t="e">
        <f>I2032*$L$4</f>
        <v>#N/A</v>
      </c>
      <c r="K2032" s="935"/>
      <c r="L2032" s="935"/>
      <c r="M2032" s="935"/>
      <c r="N2032" s="935"/>
      <c r="O2032" s="935"/>
    </row>
    <row r="2033" spans="1:15" ht="15" customHeight="1">
      <c r="A2033" s="905" t="s">
        <v>364</v>
      </c>
      <c r="B2033" s="546" t="s">
        <v>365</v>
      </c>
      <c r="C2033" s="910" t="e">
        <f>VLOOKUP(B2030,'LƯƠNG KT'!$D$16:$AC$184,15,0)</f>
        <v>#N/A</v>
      </c>
      <c r="D2033" s="609" t="e">
        <f>C2033*$L$5</f>
        <v>#N/A</v>
      </c>
      <c r="E2033" s="912"/>
      <c r="F2033" s="912"/>
      <c r="G2033" s="905" t="s">
        <v>364</v>
      </c>
      <c r="H2033" s="546" t="s">
        <v>365</v>
      </c>
      <c r="I2033" s="910" t="e">
        <f>VLOOKUP(H2030,'LƯƠNG KT'!$D$16:$AC$184,15,0)</f>
        <v>#N/A</v>
      </c>
      <c r="J2033" s="609" t="e">
        <f>I2033*$L$5</f>
        <v>#N/A</v>
      </c>
      <c r="K2033" s="935"/>
      <c r="L2033" s="935"/>
      <c r="M2033" s="935"/>
      <c r="N2033" s="935"/>
      <c r="O2033" s="935"/>
    </row>
    <row r="2034" spans="1:15" ht="15" customHeight="1">
      <c r="A2034" s="905" t="s">
        <v>367</v>
      </c>
      <c r="B2034" s="546"/>
      <c r="C2034" s="910" t="e">
        <f>VLOOKUP(B2030,'LƯƠNG KT'!$D$16:$AC$184,16,0)</f>
        <v>#N/A</v>
      </c>
      <c r="D2034" s="609" t="e">
        <f>+C2034*$L$6</f>
        <v>#N/A</v>
      </c>
      <c r="E2034" s="912"/>
      <c r="F2034" s="912"/>
      <c r="G2034" s="905" t="s">
        <v>367</v>
      </c>
      <c r="H2034" s="546"/>
      <c r="I2034" s="910" t="e">
        <f>VLOOKUP(H2030,'LƯƠNG KT'!$D$16:$AC$184,16,0)</f>
        <v>#N/A</v>
      </c>
      <c r="J2034" s="609" t="e">
        <f>+I2034*$L$6</f>
        <v>#N/A</v>
      </c>
      <c r="K2034" s="935"/>
      <c r="L2034" s="935"/>
      <c r="M2034" s="935"/>
      <c r="N2034" s="935"/>
      <c r="O2034" s="935"/>
    </row>
    <row r="2035" spans="1:15" ht="15" customHeight="1">
      <c r="A2035" s="905" t="s">
        <v>371</v>
      </c>
      <c r="B2035" s="546" t="s">
        <v>372</v>
      </c>
      <c r="C2035" s="910" t="e">
        <f>VLOOKUP(B2030,'LƯƠNG KT'!$D$16:$AC$184,9,0)*$L$10</f>
        <v>#N/A</v>
      </c>
      <c r="D2035" s="609" t="e">
        <f>+C2035*0.5*3000</f>
        <v>#N/A</v>
      </c>
      <c r="E2035" s="912"/>
      <c r="F2035" s="912"/>
      <c r="G2035" s="905" t="s">
        <v>371</v>
      </c>
      <c r="H2035" s="546" t="s">
        <v>372</v>
      </c>
      <c r="I2035" s="910" t="e">
        <f>VLOOKUP(H2030,'LƯƠNG KT'!$D$16:$AC$184,9,0)*$L$10</f>
        <v>#N/A</v>
      </c>
      <c r="J2035" s="609" t="e">
        <f>+I2035*0.5*3000</f>
        <v>#N/A</v>
      </c>
      <c r="K2035" s="935"/>
      <c r="L2035" s="935"/>
      <c r="M2035" s="935"/>
      <c r="N2035" s="935"/>
      <c r="O2035" s="935"/>
    </row>
    <row r="2036" spans="1:15" ht="15" customHeight="1">
      <c r="A2036" s="905" t="s">
        <v>374</v>
      </c>
      <c r="B2036" s="546" t="s">
        <v>375</v>
      </c>
      <c r="C2036" s="910" t="e">
        <f>VLOOKUP(B2030,'LƯƠNG KT'!$D$16:$AC$184,8,0)*$L$11</f>
        <v>#N/A</v>
      </c>
      <c r="D2036" s="609" t="e">
        <f>VLOOKUP(B2030,'LƯƠNG KT'!$D$16:$AC$184,13,0)-D2035</f>
        <v>#N/A</v>
      </c>
      <c r="E2036" s="914"/>
      <c r="F2036" s="912"/>
      <c r="G2036" s="905" t="s">
        <v>374</v>
      </c>
      <c r="H2036" s="546" t="s">
        <v>375</v>
      </c>
      <c r="I2036" s="910" t="e">
        <f>VLOOKUP(H2030,'LƯƠNG KT'!$D$16:$AC$184,8,0)*$L$11</f>
        <v>#N/A</v>
      </c>
      <c r="J2036" s="609" t="e">
        <f>VLOOKUP(H2030,'LƯƠNG KT'!$D$16:$AC$184,13,0)-J2035</f>
        <v>#N/A</v>
      </c>
      <c r="K2036" s="935"/>
      <c r="L2036" s="935"/>
      <c r="M2036" s="935"/>
      <c r="N2036" s="935"/>
      <c r="O2036" s="935"/>
    </row>
    <row r="2037" spans="1:15" ht="15" customHeight="1">
      <c r="A2037" s="609" t="s">
        <v>377</v>
      </c>
      <c r="B2037" s="546" t="s">
        <v>378</v>
      </c>
      <c r="C2037" s="910"/>
      <c r="D2037" s="609"/>
      <c r="E2037" s="916"/>
      <c r="F2037" s="916"/>
      <c r="G2037" s="609" t="s">
        <v>377</v>
      </c>
      <c r="H2037" s="546" t="s">
        <v>378</v>
      </c>
      <c r="I2037" s="910"/>
      <c r="J2037" s="609"/>
    </row>
    <row r="2038" spans="1:15" ht="15" customHeight="1">
      <c r="A2038" s="547" t="s">
        <v>379</v>
      </c>
      <c r="B2038" s="546" t="s">
        <v>380</v>
      </c>
      <c r="C2038" s="910"/>
      <c r="D2038" s="609"/>
      <c r="E2038" s="914"/>
      <c r="F2038" s="916"/>
      <c r="G2038" s="547" t="s">
        <v>379</v>
      </c>
      <c r="H2038" s="546" t="s">
        <v>380</v>
      </c>
      <c r="I2038" s="910"/>
      <c r="J2038" s="609"/>
    </row>
    <row r="2039" spans="1:15" ht="15" customHeight="1">
      <c r="A2039" s="905" t="s">
        <v>381</v>
      </c>
      <c r="B2039" s="546" t="s">
        <v>382</v>
      </c>
      <c r="C2039" s="910"/>
      <c r="D2039" s="609">
        <f>D2038</f>
        <v>0</v>
      </c>
      <c r="E2039" s="917"/>
      <c r="F2039" s="904"/>
      <c r="G2039" s="905" t="s">
        <v>381</v>
      </c>
      <c r="H2039" s="546" t="s">
        <v>382</v>
      </c>
      <c r="I2039" s="910"/>
      <c r="J2039" s="609">
        <f>J2038</f>
        <v>0</v>
      </c>
    </row>
    <row r="2040" spans="1:15" ht="15" customHeight="1">
      <c r="A2040" s="918" t="s">
        <v>383</v>
      </c>
      <c r="B2040" s="919" t="s">
        <v>384</v>
      </c>
      <c r="C2040" s="920"/>
      <c r="D2040" s="921" t="e">
        <f>SUM(D2031:D2036)-D2039</f>
        <v>#N/A</v>
      </c>
      <c r="E2040" s="922"/>
      <c r="F2040" s="923"/>
      <c r="G2040" s="918" t="s">
        <v>383</v>
      </c>
      <c r="H2040" s="919" t="s">
        <v>384</v>
      </c>
      <c r="I2040" s="920"/>
      <c r="J2040" s="921" t="e">
        <f>SUM(J2031:J2036)-J2039</f>
        <v>#N/A</v>
      </c>
    </row>
    <row r="2041" spans="1:15" ht="18.75" customHeight="1">
      <c r="A2041" s="924"/>
      <c r="B2041" s="925"/>
      <c r="C2041" s="926"/>
      <c r="D2041" s="927"/>
      <c r="E2041" s="927"/>
      <c r="F2041" s="928"/>
      <c r="G2041" s="924"/>
      <c r="H2041" s="925"/>
      <c r="I2041" s="926"/>
      <c r="J2041" s="927"/>
    </row>
    <row r="2042" spans="1:15" ht="18.75" customHeight="1">
      <c r="A2042" s="925"/>
      <c r="B2042" s="925"/>
      <c r="C2042" s="929"/>
      <c r="D2042" s="930"/>
      <c r="E2042" s="925"/>
      <c r="F2042" s="931"/>
      <c r="G2042" s="925"/>
      <c r="H2042" s="925"/>
      <c r="I2042" s="929"/>
      <c r="J2042" s="930"/>
    </row>
    <row r="2043" spans="1:15" ht="15" customHeight="1">
      <c r="A2043" s="2360" t="str">
        <f>$K$2</f>
        <v>THÁNG 09/2024</v>
      </c>
      <c r="B2043" s="2360"/>
      <c r="C2043" s="2360"/>
      <c r="D2043" s="2360"/>
      <c r="E2043" s="903"/>
      <c r="F2043" s="904"/>
      <c r="G2043" s="2360" t="str">
        <f>$K$2</f>
        <v>THÁNG 09/2024</v>
      </c>
      <c r="H2043" s="2360"/>
      <c r="I2043" s="2360"/>
      <c r="J2043" s="2360"/>
      <c r="K2043" s="276"/>
    </row>
    <row r="2044" spans="1:15" ht="15" customHeight="1">
      <c r="A2044" s="905" t="s">
        <v>356</v>
      </c>
      <c r="B2044" s="642" t="s">
        <v>174</v>
      </c>
      <c r="C2044" s="546"/>
      <c r="D2044" s="902"/>
      <c r="E2044" s="906"/>
      <c r="F2044" s="907"/>
      <c r="G2044" s="905" t="s">
        <v>356</v>
      </c>
      <c r="H2044" s="642" t="s">
        <v>175</v>
      </c>
      <c r="I2044" s="546"/>
      <c r="J2044" s="902"/>
      <c r="L2044" s="938"/>
      <c r="M2044" s="938"/>
      <c r="N2044" s="938"/>
      <c r="O2044" s="938"/>
    </row>
    <row r="2045" spans="1:15" ht="15" customHeight="1">
      <c r="A2045" s="905" t="s">
        <v>359</v>
      </c>
      <c r="B2045" s="939" t="s">
        <v>360</v>
      </c>
      <c r="C2045" s="910" t="e">
        <f>VLOOKUP(B2044,'LƯƠNG KT'!$D$16:$AC$184,3,0)</f>
        <v>#N/A</v>
      </c>
      <c r="D2045" s="609" t="e">
        <f>+C2045*25000</f>
        <v>#N/A</v>
      </c>
      <c r="E2045" s="911"/>
      <c r="F2045" s="911"/>
      <c r="G2045" s="905" t="s">
        <v>359</v>
      </c>
      <c r="H2045" s="939" t="s">
        <v>360</v>
      </c>
      <c r="I2045" s="910" t="e">
        <f>VLOOKUP(H2044,'LƯƠNG KT'!$D$16:$AC$184,3,0)</f>
        <v>#N/A</v>
      </c>
      <c r="J2045" s="609" t="e">
        <f>+I2045*25000</f>
        <v>#N/A</v>
      </c>
      <c r="K2045" s="935"/>
      <c r="L2045" s="935"/>
      <c r="M2045" s="935"/>
      <c r="N2045" s="935"/>
      <c r="O2045" s="935"/>
    </row>
    <row r="2046" spans="1:15" ht="15" customHeight="1">
      <c r="A2046" s="905" t="s">
        <v>361</v>
      </c>
      <c r="B2046" s="546" t="s">
        <v>362</v>
      </c>
      <c r="C2046" s="910" t="e">
        <f>VLOOKUP(B2044,'LƯƠNG KT'!$D$16:$AC$184,14,0)</f>
        <v>#N/A</v>
      </c>
      <c r="D2046" s="609" t="e">
        <f>C2046*$L$4</f>
        <v>#N/A</v>
      </c>
      <c r="E2046" s="912"/>
      <c r="F2046" s="912"/>
      <c r="G2046" s="905" t="s">
        <v>361</v>
      </c>
      <c r="H2046" s="546" t="s">
        <v>362</v>
      </c>
      <c r="I2046" s="910" t="e">
        <f>VLOOKUP(H2044,'LƯƠNG KT'!$D$16:$AC$184,14,0)</f>
        <v>#N/A</v>
      </c>
      <c r="J2046" s="609" t="e">
        <f>I2046*$L$4</f>
        <v>#N/A</v>
      </c>
      <c r="K2046" s="935"/>
      <c r="L2046" s="935"/>
      <c r="M2046" s="935"/>
      <c r="N2046" s="935"/>
      <c r="O2046" s="935"/>
    </row>
    <row r="2047" spans="1:15" ht="15" customHeight="1">
      <c r="A2047" s="905" t="s">
        <v>364</v>
      </c>
      <c r="B2047" s="546" t="s">
        <v>365</v>
      </c>
      <c r="C2047" s="910" t="e">
        <f>VLOOKUP(B2044,'LƯƠNG KT'!$D$16:$AC$184,15,0)</f>
        <v>#N/A</v>
      </c>
      <c r="D2047" s="609" t="e">
        <f>C2047*$L$5</f>
        <v>#N/A</v>
      </c>
      <c r="E2047" s="912"/>
      <c r="F2047" s="912"/>
      <c r="G2047" s="905" t="s">
        <v>364</v>
      </c>
      <c r="H2047" s="546" t="s">
        <v>365</v>
      </c>
      <c r="I2047" s="910" t="e">
        <f>VLOOKUP(H2044,'LƯƠNG KT'!$D$16:$AC$184,15,0)</f>
        <v>#N/A</v>
      </c>
      <c r="J2047" s="609" t="e">
        <f>I2047*$L$5</f>
        <v>#N/A</v>
      </c>
      <c r="K2047" s="935"/>
      <c r="L2047" s="935"/>
      <c r="M2047" s="935"/>
      <c r="N2047" s="935"/>
      <c r="O2047" s="935"/>
    </row>
    <row r="2048" spans="1:15" ht="15" customHeight="1">
      <c r="A2048" s="905" t="s">
        <v>367</v>
      </c>
      <c r="B2048" s="546"/>
      <c r="C2048" s="910" t="e">
        <f>VLOOKUP(B2044,'LƯƠNG KT'!$D$16:$AC$184,16,0)</f>
        <v>#N/A</v>
      </c>
      <c r="D2048" s="609" t="e">
        <f>+C2048*$L$6</f>
        <v>#N/A</v>
      </c>
      <c r="E2048" s="912"/>
      <c r="F2048" s="912"/>
      <c r="G2048" s="905" t="s">
        <v>367</v>
      </c>
      <c r="H2048" s="546"/>
      <c r="I2048" s="910" t="e">
        <f>VLOOKUP(H2044,'LƯƠNG KT'!$D$16:$AC$184,16,0)</f>
        <v>#N/A</v>
      </c>
      <c r="J2048" s="609" t="e">
        <f>+I2048*$L$6</f>
        <v>#N/A</v>
      </c>
      <c r="K2048" s="935"/>
      <c r="L2048" s="935"/>
      <c r="M2048" s="935"/>
      <c r="N2048" s="935"/>
      <c r="O2048" s="935"/>
    </row>
    <row r="2049" spans="1:15" ht="15" customHeight="1">
      <c r="A2049" s="905" t="s">
        <v>371</v>
      </c>
      <c r="B2049" s="546" t="s">
        <v>372</v>
      </c>
      <c r="C2049" s="910" t="e">
        <f>VLOOKUP(B2044,'LƯƠNG KT'!$D$16:$AC$184,9,0)*$L$10</f>
        <v>#N/A</v>
      </c>
      <c r="D2049" s="609" t="e">
        <f>+C2049*0.5*3000</f>
        <v>#N/A</v>
      </c>
      <c r="E2049" s="912"/>
      <c r="F2049" s="912"/>
      <c r="G2049" s="905" t="s">
        <v>371</v>
      </c>
      <c r="H2049" s="546" t="s">
        <v>372</v>
      </c>
      <c r="I2049" s="910" t="e">
        <f>VLOOKUP(H2044,'LƯƠNG KT'!$D$16:$AC$184,9,0)*$L$10</f>
        <v>#N/A</v>
      </c>
      <c r="J2049" s="609" t="e">
        <f>+I2049*0.5*3000</f>
        <v>#N/A</v>
      </c>
      <c r="K2049" s="935"/>
      <c r="L2049" s="935"/>
      <c r="M2049" s="935"/>
      <c r="N2049" s="935"/>
      <c r="O2049" s="935"/>
    </row>
    <row r="2050" spans="1:15" ht="15" customHeight="1">
      <c r="A2050" s="905" t="s">
        <v>374</v>
      </c>
      <c r="B2050" s="546" t="s">
        <v>375</v>
      </c>
      <c r="C2050" s="910" t="e">
        <f>VLOOKUP(B2044,'LƯƠNG KT'!$D$16:$AC$184,8,0)*$L$11</f>
        <v>#N/A</v>
      </c>
      <c r="D2050" s="609" t="e">
        <f>VLOOKUP(B2044,'LƯƠNG KT'!$D$16:$AC$184,13,0)-D2049</f>
        <v>#N/A</v>
      </c>
      <c r="E2050" s="914"/>
      <c r="F2050" s="912"/>
      <c r="G2050" s="905" t="s">
        <v>374</v>
      </c>
      <c r="H2050" s="546" t="s">
        <v>375</v>
      </c>
      <c r="I2050" s="910" t="e">
        <f>VLOOKUP(H2044,'LƯƠNG KT'!$D$16:$AC$184,8,0)*$L$11</f>
        <v>#N/A</v>
      </c>
      <c r="J2050" s="609" t="e">
        <f>VLOOKUP(H2044,'LƯƠNG KT'!$D$16:$AC$184,13,0)-J2049</f>
        <v>#N/A</v>
      </c>
      <c r="K2050" s="935"/>
      <c r="L2050" s="935"/>
      <c r="M2050" s="935"/>
      <c r="N2050" s="935"/>
      <c r="O2050" s="935"/>
    </row>
    <row r="2051" spans="1:15" ht="15" customHeight="1">
      <c r="A2051" s="609" t="s">
        <v>377</v>
      </c>
      <c r="B2051" s="546" t="s">
        <v>378</v>
      </c>
      <c r="C2051" s="910"/>
      <c r="D2051" s="609"/>
      <c r="E2051" s="916"/>
      <c r="F2051" s="916"/>
      <c r="G2051" s="609" t="s">
        <v>377</v>
      </c>
      <c r="H2051" s="546" t="s">
        <v>378</v>
      </c>
      <c r="I2051" s="910"/>
      <c r="J2051" s="609"/>
    </row>
    <row r="2052" spans="1:15" ht="15" customHeight="1">
      <c r="A2052" s="547" t="s">
        <v>379</v>
      </c>
      <c r="B2052" s="546" t="s">
        <v>380</v>
      </c>
      <c r="C2052" s="910"/>
      <c r="D2052" s="609"/>
      <c r="E2052" s="914"/>
      <c r="F2052" s="916"/>
      <c r="G2052" s="547" t="s">
        <v>379</v>
      </c>
      <c r="H2052" s="546" t="s">
        <v>380</v>
      </c>
      <c r="I2052" s="910"/>
      <c r="J2052" s="609"/>
    </row>
    <row r="2053" spans="1:15" ht="15" customHeight="1">
      <c r="A2053" s="905" t="s">
        <v>381</v>
      </c>
      <c r="B2053" s="546" t="s">
        <v>382</v>
      </c>
      <c r="C2053" s="910"/>
      <c r="D2053" s="609">
        <f>D2052</f>
        <v>0</v>
      </c>
      <c r="E2053" s="917"/>
      <c r="F2053" s="904"/>
      <c r="G2053" s="905" t="s">
        <v>381</v>
      </c>
      <c r="H2053" s="546" t="s">
        <v>382</v>
      </c>
      <c r="I2053" s="910"/>
      <c r="J2053" s="609">
        <f>J2052</f>
        <v>0</v>
      </c>
    </row>
    <row r="2054" spans="1:15" ht="15" customHeight="1">
      <c r="A2054" s="918" t="s">
        <v>383</v>
      </c>
      <c r="B2054" s="919" t="s">
        <v>384</v>
      </c>
      <c r="C2054" s="920"/>
      <c r="D2054" s="921" t="e">
        <f>SUM(D2045:D2050)-D2053</f>
        <v>#N/A</v>
      </c>
      <c r="E2054" s="922"/>
      <c r="F2054" s="923"/>
      <c r="G2054" s="918" t="s">
        <v>383</v>
      </c>
      <c r="H2054" s="919" t="s">
        <v>384</v>
      </c>
      <c r="I2054" s="920"/>
      <c r="J2054" s="921" t="e">
        <f>SUM(J2045:J2050)-J2053</f>
        <v>#N/A</v>
      </c>
    </row>
    <row r="2055" spans="1:15" ht="18.75" customHeight="1">
      <c r="A2055" s="924"/>
      <c r="B2055" s="925"/>
      <c r="C2055" s="926"/>
      <c r="D2055" s="927"/>
      <c r="E2055" s="927"/>
      <c r="F2055" s="928"/>
      <c r="G2055" s="924"/>
      <c r="H2055" s="925"/>
      <c r="I2055" s="926"/>
      <c r="J2055" s="927"/>
    </row>
    <row r="2056" spans="1:15" ht="18.75" customHeight="1">
      <c r="A2056" s="925"/>
      <c r="B2056" s="925"/>
      <c r="C2056" s="929"/>
      <c r="D2056" s="930"/>
      <c r="E2056" s="925"/>
      <c r="F2056" s="931"/>
      <c r="G2056" s="925"/>
      <c r="H2056" s="925"/>
      <c r="I2056" s="929"/>
      <c r="J2056" s="930"/>
    </row>
    <row r="2057" spans="1:15" ht="15" customHeight="1">
      <c r="A2057" s="2360" t="str">
        <f>$K$2</f>
        <v>THÁNG 09/2024</v>
      </c>
      <c r="B2057" s="2360"/>
      <c r="C2057" s="2360"/>
      <c r="D2057" s="2360"/>
      <c r="E2057" s="903"/>
      <c r="F2057" s="904"/>
      <c r="G2057" s="2360" t="str">
        <f>$K$2</f>
        <v>THÁNG 09/2024</v>
      </c>
      <c r="H2057" s="2360"/>
      <c r="I2057" s="2360"/>
      <c r="J2057" s="2360"/>
      <c r="K2057" s="276"/>
    </row>
    <row r="2058" spans="1:15" ht="15" customHeight="1">
      <c r="A2058" s="905" t="s">
        <v>356</v>
      </c>
      <c r="B2058" s="642" t="s">
        <v>176</v>
      </c>
      <c r="C2058" s="546"/>
      <c r="D2058" s="902"/>
      <c r="E2058" s="906"/>
      <c r="F2058" s="907"/>
      <c r="G2058" s="905" t="s">
        <v>356</v>
      </c>
      <c r="H2058" s="642" t="s">
        <v>177</v>
      </c>
      <c r="I2058" s="546"/>
      <c r="J2058" s="902"/>
      <c r="L2058" s="938"/>
      <c r="M2058" s="938"/>
      <c r="N2058" s="938"/>
      <c r="O2058" s="938"/>
    </row>
    <row r="2059" spans="1:15" ht="15" customHeight="1">
      <c r="A2059" s="905" t="s">
        <v>359</v>
      </c>
      <c r="B2059" s="939" t="s">
        <v>360</v>
      </c>
      <c r="C2059" s="910" t="e">
        <f>VLOOKUP(B2058,'LƯƠNG KT'!$D$16:$AC$184,3,0)</f>
        <v>#N/A</v>
      </c>
      <c r="D2059" s="609" t="e">
        <f>+C2059*25000</f>
        <v>#N/A</v>
      </c>
      <c r="E2059" s="911"/>
      <c r="F2059" s="911"/>
      <c r="G2059" s="905" t="s">
        <v>359</v>
      </c>
      <c r="H2059" s="939" t="s">
        <v>360</v>
      </c>
      <c r="I2059" s="910" t="e">
        <f>VLOOKUP(H2058,'LƯƠNG KT'!$D$16:$AC$184,3,0)</f>
        <v>#N/A</v>
      </c>
      <c r="J2059" s="609" t="e">
        <f>+I2059*25000</f>
        <v>#N/A</v>
      </c>
      <c r="K2059" s="935"/>
      <c r="L2059" s="935"/>
      <c r="M2059" s="935"/>
      <c r="N2059" s="935"/>
      <c r="O2059" s="935"/>
    </row>
    <row r="2060" spans="1:15" ht="15" customHeight="1">
      <c r="A2060" s="905" t="s">
        <v>361</v>
      </c>
      <c r="B2060" s="546" t="s">
        <v>362</v>
      </c>
      <c r="C2060" s="910" t="e">
        <f>VLOOKUP(B2058,'LƯƠNG KT'!$D$16:$AC$184,14,0)</f>
        <v>#N/A</v>
      </c>
      <c r="D2060" s="609" t="e">
        <f>C2060*$L$4</f>
        <v>#N/A</v>
      </c>
      <c r="E2060" s="912"/>
      <c r="F2060" s="912"/>
      <c r="G2060" s="905" t="s">
        <v>361</v>
      </c>
      <c r="H2060" s="546" t="s">
        <v>362</v>
      </c>
      <c r="I2060" s="910" t="e">
        <f>VLOOKUP(H2058,'LƯƠNG KT'!$D$16:$AC$184,14,0)</f>
        <v>#N/A</v>
      </c>
      <c r="J2060" s="609" t="e">
        <f>I2060*$L$4</f>
        <v>#N/A</v>
      </c>
      <c r="K2060" s="935"/>
      <c r="L2060" s="935"/>
      <c r="M2060" s="935"/>
      <c r="N2060" s="935"/>
      <c r="O2060" s="935"/>
    </row>
    <row r="2061" spans="1:15" ht="15" customHeight="1">
      <c r="A2061" s="905" t="s">
        <v>364</v>
      </c>
      <c r="B2061" s="546" t="s">
        <v>365</v>
      </c>
      <c r="C2061" s="910" t="e">
        <f>VLOOKUP(B2058,'LƯƠNG KT'!$D$16:$AC$184,15,0)</f>
        <v>#N/A</v>
      </c>
      <c r="D2061" s="609" t="e">
        <f>C2061*$L$5</f>
        <v>#N/A</v>
      </c>
      <c r="E2061" s="912"/>
      <c r="F2061" s="912"/>
      <c r="G2061" s="905" t="s">
        <v>364</v>
      </c>
      <c r="H2061" s="546" t="s">
        <v>365</v>
      </c>
      <c r="I2061" s="910" t="e">
        <f>VLOOKUP(H2058,'LƯƠNG KT'!$D$16:$AC$184,15,0)</f>
        <v>#N/A</v>
      </c>
      <c r="J2061" s="609" t="e">
        <f>I2061*$L$5</f>
        <v>#N/A</v>
      </c>
      <c r="K2061" s="935"/>
      <c r="L2061" s="935"/>
      <c r="M2061" s="935"/>
      <c r="N2061" s="935"/>
      <c r="O2061" s="935"/>
    </row>
    <row r="2062" spans="1:15" ht="15" customHeight="1">
      <c r="A2062" s="905" t="s">
        <v>367</v>
      </c>
      <c r="B2062" s="546"/>
      <c r="C2062" s="910" t="e">
        <f>VLOOKUP(B2058,'LƯƠNG KT'!$D$16:$AC$184,16,0)</f>
        <v>#N/A</v>
      </c>
      <c r="D2062" s="609" t="e">
        <f>+C2062*$L$6</f>
        <v>#N/A</v>
      </c>
      <c r="E2062" s="912"/>
      <c r="F2062" s="912"/>
      <c r="G2062" s="905" t="s">
        <v>367</v>
      </c>
      <c r="H2062" s="546"/>
      <c r="I2062" s="910" t="e">
        <f>VLOOKUP(H2058,'LƯƠNG KT'!$D$16:$AC$184,16,0)</f>
        <v>#N/A</v>
      </c>
      <c r="J2062" s="609" t="e">
        <f>+I2062*$L$6</f>
        <v>#N/A</v>
      </c>
      <c r="K2062" s="935"/>
      <c r="L2062" s="935"/>
      <c r="M2062" s="935"/>
      <c r="N2062" s="935"/>
      <c r="O2062" s="935"/>
    </row>
    <row r="2063" spans="1:15" ht="15" customHeight="1">
      <c r="A2063" s="905" t="s">
        <v>371</v>
      </c>
      <c r="B2063" s="546" t="s">
        <v>372</v>
      </c>
      <c r="C2063" s="910" t="e">
        <f>VLOOKUP(B2058,'LƯƠNG KT'!$D$16:$AC$184,9,0)*$L$10</f>
        <v>#N/A</v>
      </c>
      <c r="D2063" s="609" t="e">
        <f>+C2063*0.5*3000</f>
        <v>#N/A</v>
      </c>
      <c r="E2063" s="912"/>
      <c r="F2063" s="912"/>
      <c r="G2063" s="905" t="s">
        <v>371</v>
      </c>
      <c r="H2063" s="546" t="s">
        <v>372</v>
      </c>
      <c r="I2063" s="910" t="e">
        <f>VLOOKUP(H2058,'LƯƠNG KT'!$D$16:$AC$184,9,0)*$L$10</f>
        <v>#N/A</v>
      </c>
      <c r="J2063" s="609" t="e">
        <f>+I2063*0.5*3000</f>
        <v>#N/A</v>
      </c>
      <c r="K2063" s="935"/>
      <c r="L2063" s="935"/>
      <c r="M2063" s="935"/>
      <c r="N2063" s="935"/>
      <c r="O2063" s="935"/>
    </row>
    <row r="2064" spans="1:15" ht="15" customHeight="1">
      <c r="A2064" s="905" t="s">
        <v>374</v>
      </c>
      <c r="B2064" s="546" t="s">
        <v>375</v>
      </c>
      <c r="C2064" s="910" t="e">
        <f>VLOOKUP(B2058,'LƯƠNG KT'!$D$16:$AC$184,8,0)*$L$11</f>
        <v>#N/A</v>
      </c>
      <c r="D2064" s="609" t="e">
        <f>VLOOKUP(B2058,'LƯƠNG KT'!$D$16:$AC$184,13,0)-D2063</f>
        <v>#N/A</v>
      </c>
      <c r="E2064" s="914"/>
      <c r="F2064" s="912"/>
      <c r="G2064" s="905" t="s">
        <v>374</v>
      </c>
      <c r="H2064" s="546" t="s">
        <v>375</v>
      </c>
      <c r="I2064" s="910" t="e">
        <f>VLOOKUP(H2058,'LƯƠNG KT'!$D$16:$AC$184,8,0)*$L$11</f>
        <v>#N/A</v>
      </c>
      <c r="J2064" s="609" t="e">
        <f>VLOOKUP(H2058,'LƯƠNG KT'!$D$16:$AC$184,13,0)-J2063</f>
        <v>#N/A</v>
      </c>
      <c r="K2064" s="935"/>
      <c r="L2064" s="935"/>
      <c r="M2064" s="935"/>
      <c r="N2064" s="935"/>
      <c r="O2064" s="935"/>
    </row>
    <row r="2065" spans="1:15" ht="15" customHeight="1">
      <c r="A2065" s="609" t="s">
        <v>377</v>
      </c>
      <c r="B2065" s="546" t="s">
        <v>378</v>
      </c>
      <c r="C2065" s="910"/>
      <c r="D2065" s="609"/>
      <c r="E2065" s="916"/>
      <c r="F2065" s="916"/>
      <c r="G2065" s="609" t="s">
        <v>377</v>
      </c>
      <c r="H2065" s="546" t="s">
        <v>378</v>
      </c>
      <c r="I2065" s="910"/>
      <c r="J2065" s="609"/>
    </row>
    <row r="2066" spans="1:15" ht="15" customHeight="1">
      <c r="A2066" s="547" t="s">
        <v>379</v>
      </c>
      <c r="B2066" s="546" t="s">
        <v>380</v>
      </c>
      <c r="C2066" s="910"/>
      <c r="D2066" s="609"/>
      <c r="E2066" s="914"/>
      <c r="F2066" s="916"/>
      <c r="G2066" s="547" t="s">
        <v>379</v>
      </c>
      <c r="H2066" s="546" t="s">
        <v>380</v>
      </c>
      <c r="I2066" s="910"/>
      <c r="J2066" s="609"/>
    </row>
    <row r="2067" spans="1:15" ht="15" customHeight="1">
      <c r="A2067" s="905" t="s">
        <v>381</v>
      </c>
      <c r="B2067" s="546" t="s">
        <v>382</v>
      </c>
      <c r="C2067" s="910"/>
      <c r="D2067" s="609">
        <f>D2066</f>
        <v>0</v>
      </c>
      <c r="E2067" s="917"/>
      <c r="F2067" s="904"/>
      <c r="G2067" s="905" t="s">
        <v>381</v>
      </c>
      <c r="H2067" s="546" t="s">
        <v>382</v>
      </c>
      <c r="I2067" s="910"/>
      <c r="J2067" s="609">
        <f>J2066</f>
        <v>0</v>
      </c>
    </row>
    <row r="2068" spans="1:15" ht="15" customHeight="1">
      <c r="A2068" s="918" t="s">
        <v>383</v>
      </c>
      <c r="B2068" s="919" t="s">
        <v>384</v>
      </c>
      <c r="C2068" s="920"/>
      <c r="D2068" s="921" t="e">
        <f>SUM(D2059:D2064)-D2067</f>
        <v>#N/A</v>
      </c>
      <c r="E2068" s="922"/>
      <c r="F2068" s="923"/>
      <c r="G2068" s="918" t="s">
        <v>383</v>
      </c>
      <c r="H2068" s="919" t="s">
        <v>384</v>
      </c>
      <c r="I2068" s="920"/>
      <c r="J2068" s="921" t="e">
        <f>SUM(J2059:J2064)-J2067</f>
        <v>#N/A</v>
      </c>
    </row>
    <row r="2069" spans="1:15" ht="15.75" customHeight="1">
      <c r="A2069" s="924"/>
      <c r="B2069" s="925"/>
      <c r="C2069" s="926"/>
      <c r="D2069" s="927"/>
      <c r="E2069" s="927"/>
      <c r="F2069" s="928"/>
      <c r="G2069" s="924"/>
      <c r="H2069" s="925"/>
      <c r="I2069" s="926"/>
      <c r="J2069" s="927"/>
    </row>
    <row r="2071" spans="1:15" ht="12" customHeight="1">
      <c r="A2071" s="2361"/>
      <c r="B2071" s="2361"/>
      <c r="C2071" s="2361"/>
      <c r="D2071" s="2361"/>
      <c r="E2071" s="2361"/>
      <c r="F2071" s="2361"/>
      <c r="G2071" s="2361"/>
      <c r="H2071" s="2361"/>
      <c r="I2071" s="2361"/>
      <c r="J2071" s="2361"/>
    </row>
    <row r="2072" spans="1:15" ht="15" customHeight="1">
      <c r="A2072" s="2360" t="str">
        <f>$K$2</f>
        <v>THÁNG 09/2024</v>
      </c>
      <c r="B2072" s="2360"/>
      <c r="C2072" s="2360"/>
      <c r="D2072" s="2360"/>
      <c r="E2072" s="903"/>
      <c r="F2072" s="904"/>
      <c r="G2072" s="2360" t="str">
        <f>$K$2</f>
        <v>THÁNG 09/2024</v>
      </c>
      <c r="H2072" s="2360"/>
      <c r="I2072" s="2360"/>
      <c r="J2072" s="2360"/>
      <c r="K2072" s="276"/>
    </row>
    <row r="2073" spans="1:15" ht="15" customHeight="1">
      <c r="A2073" s="905" t="s">
        <v>356</v>
      </c>
      <c r="B2073" s="642" t="s">
        <v>178</v>
      </c>
      <c r="C2073" s="546"/>
      <c r="D2073" s="902"/>
      <c r="E2073" s="906"/>
      <c r="F2073" s="907"/>
      <c r="G2073" s="905" t="s">
        <v>356</v>
      </c>
      <c r="H2073" s="642" t="s">
        <v>179</v>
      </c>
      <c r="I2073" s="546"/>
      <c r="J2073" s="902"/>
      <c r="L2073" s="938"/>
      <c r="M2073" s="938"/>
      <c r="N2073" s="938"/>
      <c r="O2073" s="938"/>
    </row>
    <row r="2074" spans="1:15" ht="15" customHeight="1">
      <c r="A2074" s="905" t="s">
        <v>359</v>
      </c>
      <c r="B2074" s="939" t="s">
        <v>360</v>
      </c>
      <c r="C2074" s="910" t="e">
        <f>VLOOKUP(B2073,'LƯƠNG KT'!$D$16:$AC$184,3,0)</f>
        <v>#N/A</v>
      </c>
      <c r="D2074" s="609" t="e">
        <f>+C2074*25000</f>
        <v>#N/A</v>
      </c>
      <c r="E2074" s="911"/>
      <c r="F2074" s="911"/>
      <c r="G2074" s="905" t="s">
        <v>359</v>
      </c>
      <c r="H2074" s="939" t="s">
        <v>360</v>
      </c>
      <c r="I2074" s="910" t="e">
        <f>VLOOKUP(H2073,'LƯƠNG KT'!$D$16:$AC$184,3,0)</f>
        <v>#N/A</v>
      </c>
      <c r="J2074" s="609" t="e">
        <f>+I2074*25000</f>
        <v>#N/A</v>
      </c>
      <c r="K2074" s="934"/>
      <c r="L2074" s="935"/>
      <c r="M2074" s="935"/>
      <c r="N2074" s="935"/>
      <c r="O2074" s="935"/>
    </row>
    <row r="2075" spans="1:15" ht="15" customHeight="1">
      <c r="A2075" s="905" t="s">
        <v>361</v>
      </c>
      <c r="B2075" s="546" t="s">
        <v>362</v>
      </c>
      <c r="C2075" s="910" t="e">
        <f>VLOOKUP(B2073,'LƯƠNG KT'!$D$16:$AC$184,14,0)</f>
        <v>#N/A</v>
      </c>
      <c r="D2075" s="609" t="e">
        <f>C2075*$L$4</f>
        <v>#N/A</v>
      </c>
      <c r="E2075" s="912"/>
      <c r="F2075" s="912"/>
      <c r="G2075" s="905" t="s">
        <v>361</v>
      </c>
      <c r="H2075" s="546" t="s">
        <v>362</v>
      </c>
      <c r="I2075" s="910" t="e">
        <f>VLOOKUP(H2073,'LƯƠNG KT'!$D$16:$AC$184,14,0)</f>
        <v>#N/A</v>
      </c>
      <c r="J2075" s="609" t="e">
        <f>I2075*$L$4</f>
        <v>#N/A</v>
      </c>
      <c r="K2075" s="934"/>
      <c r="L2075" s="935"/>
      <c r="M2075" s="935"/>
      <c r="N2075" s="935"/>
      <c r="O2075" s="935"/>
    </row>
    <row r="2076" spans="1:15" ht="15" customHeight="1">
      <c r="A2076" s="905" t="s">
        <v>364</v>
      </c>
      <c r="B2076" s="546" t="s">
        <v>365</v>
      </c>
      <c r="C2076" s="910" t="e">
        <f>VLOOKUP(B2073,'LƯƠNG KT'!$D$16:$AC$184,15,0)</f>
        <v>#N/A</v>
      </c>
      <c r="D2076" s="609" t="e">
        <f>C2076*$L$5</f>
        <v>#N/A</v>
      </c>
      <c r="E2076" s="912"/>
      <c r="F2076" s="912"/>
      <c r="G2076" s="905" t="s">
        <v>364</v>
      </c>
      <c r="H2076" s="546" t="s">
        <v>365</v>
      </c>
      <c r="I2076" s="910" t="e">
        <f>VLOOKUP(H2073,'LƯƠNG KT'!$D$16:$AC$184,15,0)</f>
        <v>#N/A</v>
      </c>
      <c r="J2076" s="609" t="e">
        <f>I2076*$L$5</f>
        <v>#N/A</v>
      </c>
      <c r="K2076" s="934"/>
      <c r="L2076" s="935"/>
      <c r="M2076" s="935"/>
      <c r="N2076" s="935"/>
      <c r="O2076" s="935"/>
    </row>
    <row r="2077" spans="1:15" ht="15" customHeight="1">
      <c r="A2077" s="905" t="s">
        <v>367</v>
      </c>
      <c r="B2077" s="546"/>
      <c r="C2077" s="910" t="e">
        <f>VLOOKUP(B2073,'LƯƠNG KT'!$D$16:$AC$184,16,0)</f>
        <v>#N/A</v>
      </c>
      <c r="D2077" s="609" t="e">
        <f>+C2077*$L$6</f>
        <v>#N/A</v>
      </c>
      <c r="E2077" s="912"/>
      <c r="F2077" s="912"/>
      <c r="G2077" s="905" t="s">
        <v>367</v>
      </c>
      <c r="H2077" s="546"/>
      <c r="I2077" s="910" t="e">
        <f>VLOOKUP(H2073,'LƯƠNG KT'!$D$16:$AC$184,16,0)</f>
        <v>#N/A</v>
      </c>
      <c r="J2077" s="609" t="e">
        <f>+I2077*$L$6</f>
        <v>#N/A</v>
      </c>
      <c r="K2077" s="935"/>
      <c r="L2077" s="935"/>
      <c r="M2077" s="935"/>
      <c r="N2077" s="935"/>
      <c r="O2077" s="935"/>
    </row>
    <row r="2078" spans="1:15" ht="15" customHeight="1">
      <c r="A2078" s="905" t="s">
        <v>371</v>
      </c>
      <c r="B2078" s="546" t="s">
        <v>372</v>
      </c>
      <c r="C2078" s="910" t="e">
        <f>VLOOKUP(B2073,'LƯƠNG KT'!$D$16:$AC$184,9,0)*$L$10</f>
        <v>#N/A</v>
      </c>
      <c r="D2078" s="609" t="e">
        <f>+C2078*0.5*3000</f>
        <v>#N/A</v>
      </c>
      <c r="E2078" s="912"/>
      <c r="F2078" s="912"/>
      <c r="G2078" s="905" t="s">
        <v>371</v>
      </c>
      <c r="H2078" s="546" t="s">
        <v>372</v>
      </c>
      <c r="I2078" s="910" t="e">
        <f>VLOOKUP(H2073,'LƯƠNG KT'!$D$16:$AC$184,9,0)*$L$10</f>
        <v>#N/A</v>
      </c>
      <c r="J2078" s="609" t="e">
        <f>+I2078*0.5*3000</f>
        <v>#N/A</v>
      </c>
      <c r="K2078" s="935"/>
      <c r="L2078" s="935"/>
      <c r="M2078" s="935"/>
      <c r="N2078" s="935"/>
      <c r="O2078" s="935"/>
    </row>
    <row r="2079" spans="1:15" ht="15" customHeight="1">
      <c r="A2079" s="905" t="s">
        <v>374</v>
      </c>
      <c r="B2079" s="546" t="s">
        <v>375</v>
      </c>
      <c r="C2079" s="910" t="e">
        <f>VLOOKUP(B2073,'LƯƠNG KT'!$D$16:$AC$184,8,0)*$L$11</f>
        <v>#N/A</v>
      </c>
      <c r="D2079" s="609" t="e">
        <f>VLOOKUP(B2073,'LƯƠNG KT'!$D$16:$AC$184,13,0)-D2078</f>
        <v>#N/A</v>
      </c>
      <c r="E2079" s="914"/>
      <c r="F2079" s="912"/>
      <c r="G2079" s="905" t="s">
        <v>374</v>
      </c>
      <c r="H2079" s="546" t="s">
        <v>375</v>
      </c>
      <c r="I2079" s="910" t="e">
        <f>VLOOKUP(H2073,'LƯƠNG KT'!$D$16:$AC$184,8,0)*$L$11</f>
        <v>#N/A</v>
      </c>
      <c r="J2079" s="609" t="e">
        <f>VLOOKUP(H2073,'LƯƠNG KT'!$D$16:$AC$184,13,0)-J2078</f>
        <v>#N/A</v>
      </c>
      <c r="K2079" s="935"/>
      <c r="L2079" s="935"/>
      <c r="M2079" s="935"/>
      <c r="N2079" s="935"/>
      <c r="O2079" s="935"/>
    </row>
    <row r="2080" spans="1:15" ht="15" customHeight="1">
      <c r="A2080" s="609" t="s">
        <v>377</v>
      </c>
      <c r="B2080" s="546" t="s">
        <v>378</v>
      </c>
      <c r="C2080" s="910"/>
      <c r="D2080" s="609"/>
      <c r="E2080" s="916"/>
      <c r="F2080" s="916"/>
      <c r="G2080" s="609" t="s">
        <v>377</v>
      </c>
      <c r="H2080" s="546" t="s">
        <v>378</v>
      </c>
      <c r="I2080" s="910"/>
      <c r="J2080" s="609"/>
    </row>
    <row r="2081" spans="1:15" ht="15" customHeight="1">
      <c r="A2081" s="547" t="s">
        <v>379</v>
      </c>
      <c r="B2081" s="546" t="s">
        <v>380</v>
      </c>
      <c r="C2081" s="910"/>
      <c r="D2081" s="609"/>
      <c r="E2081" s="914"/>
      <c r="F2081" s="916"/>
      <c r="G2081" s="547" t="s">
        <v>379</v>
      </c>
      <c r="H2081" s="546" t="s">
        <v>380</v>
      </c>
      <c r="I2081" s="910"/>
      <c r="J2081" s="609"/>
    </row>
    <row r="2082" spans="1:15" ht="15" customHeight="1">
      <c r="A2082" s="905" t="s">
        <v>381</v>
      </c>
      <c r="B2082" s="546" t="s">
        <v>382</v>
      </c>
      <c r="C2082" s="910"/>
      <c r="D2082" s="609">
        <f>D2081</f>
        <v>0</v>
      </c>
      <c r="E2082" s="917"/>
      <c r="F2082" s="904"/>
      <c r="G2082" s="905" t="s">
        <v>381</v>
      </c>
      <c r="H2082" s="546" t="s">
        <v>382</v>
      </c>
      <c r="I2082" s="910"/>
      <c r="J2082" s="609">
        <f>J2081</f>
        <v>0</v>
      </c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SUM(D2074:D2079)-D2082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SUM(J2074:J2079)-J2082</f>
        <v>#N/A</v>
      </c>
    </row>
    <row r="2084" spans="1:15" ht="12.6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5" spans="1:15" ht="12.6" customHeight="1">
      <c r="A2085" s="925"/>
      <c r="B2085" s="925"/>
      <c r="C2085" s="929"/>
      <c r="D2085" s="930"/>
      <c r="E2085" s="925"/>
      <c r="F2085" s="931"/>
      <c r="G2085" s="925"/>
      <c r="H2085" s="925"/>
      <c r="I2085" s="929"/>
      <c r="J2085" s="930"/>
    </row>
    <row r="2086" spans="1:15" ht="15" customHeight="1">
      <c r="A2086" s="2360" t="str">
        <f>$K$2</f>
        <v>THÁNG 09/2024</v>
      </c>
      <c r="B2086" s="2360"/>
      <c r="C2086" s="2360"/>
      <c r="D2086" s="2360"/>
      <c r="E2086" s="903"/>
      <c r="F2086" s="904"/>
      <c r="G2086" s="2360" t="str">
        <f>$K$2</f>
        <v>THÁNG 09/2024</v>
      </c>
      <c r="H2086" s="2360"/>
      <c r="I2086" s="2360"/>
      <c r="J2086" s="2360"/>
      <c r="K2086" s="276"/>
    </row>
    <row r="2087" spans="1:15" ht="15" customHeight="1">
      <c r="A2087" s="905" t="s">
        <v>356</v>
      </c>
      <c r="B2087" s="642" t="s">
        <v>180</v>
      </c>
      <c r="C2087" s="546"/>
      <c r="D2087" s="902"/>
      <c r="E2087" s="906"/>
      <c r="F2087" s="907"/>
      <c r="G2087" s="905" t="s">
        <v>356</v>
      </c>
      <c r="H2087" s="642" t="s">
        <v>181</v>
      </c>
      <c r="I2087" s="546"/>
      <c r="J2087" s="902"/>
      <c r="L2087" s="938"/>
      <c r="M2087" s="938"/>
      <c r="N2087" s="938"/>
      <c r="O2087" s="938"/>
    </row>
    <row r="2088" spans="1:15" ht="15" customHeight="1">
      <c r="A2088" s="905" t="s">
        <v>359</v>
      </c>
      <c r="B2088" s="939" t="s">
        <v>360</v>
      </c>
      <c r="C2088" s="910" t="e">
        <f>VLOOKUP(B2087,'LƯƠNG KT'!$D$16:$AC$184,3,0)</f>
        <v>#N/A</v>
      </c>
      <c r="D2088" s="609" t="e">
        <f>+C2088*25000</f>
        <v>#N/A</v>
      </c>
      <c r="E2088" s="911"/>
      <c r="F2088" s="911"/>
      <c r="G2088" s="905" t="s">
        <v>359</v>
      </c>
      <c r="H2088" s="939" t="s">
        <v>360</v>
      </c>
      <c r="I2088" s="910" t="e">
        <f>VLOOKUP(H2087,'LƯƠNG KT'!$D$16:$AC$184,3,0)</f>
        <v>#N/A</v>
      </c>
      <c r="J2088" s="609" t="e">
        <f>+I2088*25000</f>
        <v>#N/A</v>
      </c>
      <c r="K2088" s="935"/>
      <c r="L2088" s="935"/>
      <c r="M2088" s="935"/>
      <c r="N2088" s="935"/>
      <c r="O2088" s="935"/>
    </row>
    <row r="2089" spans="1:15" ht="15" customHeight="1">
      <c r="A2089" s="905" t="s">
        <v>361</v>
      </c>
      <c r="B2089" s="546" t="s">
        <v>362</v>
      </c>
      <c r="C2089" s="910" t="e">
        <f>VLOOKUP(B2087,'LƯƠNG KT'!$D$16:$AC$184,14,0)</f>
        <v>#N/A</v>
      </c>
      <c r="D2089" s="609" t="e">
        <f>C2089*$L$4</f>
        <v>#N/A</v>
      </c>
      <c r="E2089" s="912"/>
      <c r="F2089" s="912"/>
      <c r="G2089" s="905" t="s">
        <v>361</v>
      </c>
      <c r="H2089" s="546" t="s">
        <v>362</v>
      </c>
      <c r="I2089" s="910" t="e">
        <f>VLOOKUP(H2087,'LƯƠNG KT'!$D$16:$AC$184,14,0)</f>
        <v>#N/A</v>
      </c>
      <c r="J2089" s="609" t="e">
        <f>I2089*$L$4</f>
        <v>#N/A</v>
      </c>
      <c r="K2089" s="935"/>
      <c r="L2089" s="935"/>
      <c r="M2089" s="935"/>
      <c r="N2089" s="935"/>
      <c r="O2089" s="935"/>
    </row>
    <row r="2090" spans="1:15" ht="15" customHeight="1">
      <c r="A2090" s="905" t="s">
        <v>364</v>
      </c>
      <c r="B2090" s="546" t="s">
        <v>365</v>
      </c>
      <c r="C2090" s="910" t="e">
        <f>VLOOKUP(B2087,'LƯƠNG KT'!$D$16:$AC$184,15,0)</f>
        <v>#N/A</v>
      </c>
      <c r="D2090" s="609" t="e">
        <f>C2090*$L$5</f>
        <v>#N/A</v>
      </c>
      <c r="E2090" s="912"/>
      <c r="F2090" s="912"/>
      <c r="G2090" s="905" t="s">
        <v>364</v>
      </c>
      <c r="H2090" s="546" t="s">
        <v>365</v>
      </c>
      <c r="I2090" s="910" t="e">
        <f>VLOOKUP(H2087,'LƯƠNG KT'!$D$16:$AC$184,15,0)</f>
        <v>#N/A</v>
      </c>
      <c r="J2090" s="609" t="e">
        <f>I2090*$L$5</f>
        <v>#N/A</v>
      </c>
      <c r="K2090" s="935"/>
      <c r="L2090" s="935"/>
      <c r="M2090" s="935"/>
      <c r="N2090" s="935"/>
      <c r="O2090" s="935"/>
    </row>
    <row r="2091" spans="1:15" ht="15" customHeight="1">
      <c r="A2091" s="905" t="s">
        <v>367</v>
      </c>
      <c r="B2091" s="546"/>
      <c r="C2091" s="910" t="e">
        <f>VLOOKUP(B2087,'LƯƠNG KT'!$D$16:$AC$184,16,0)</f>
        <v>#N/A</v>
      </c>
      <c r="D2091" s="609" t="e">
        <f>+C2091*$L$6</f>
        <v>#N/A</v>
      </c>
      <c r="E2091" s="912"/>
      <c r="F2091" s="912"/>
      <c r="G2091" s="905" t="s">
        <v>367</v>
      </c>
      <c r="H2091" s="546"/>
      <c r="I2091" s="910" t="e">
        <f>VLOOKUP(H2087,'LƯƠNG KT'!$D$16:$AC$184,16,0)</f>
        <v>#N/A</v>
      </c>
      <c r="J2091" s="609" t="e">
        <f>+I2091*$L$6</f>
        <v>#N/A</v>
      </c>
      <c r="K2091" s="935"/>
      <c r="L2091" s="935"/>
      <c r="M2091" s="935"/>
      <c r="N2091" s="935"/>
      <c r="O2091" s="935"/>
    </row>
    <row r="2092" spans="1:15" ht="15" customHeight="1">
      <c r="A2092" s="905" t="s">
        <v>371</v>
      </c>
      <c r="B2092" s="546" t="s">
        <v>372</v>
      </c>
      <c r="C2092" s="910" t="e">
        <f>VLOOKUP(B2087,'LƯƠNG KT'!$D$16:$AC$184,9,0)*$L$10</f>
        <v>#N/A</v>
      </c>
      <c r="D2092" s="609" t="e">
        <f>+C2092*0.5*3000</f>
        <v>#N/A</v>
      </c>
      <c r="E2092" s="912"/>
      <c r="F2092" s="912"/>
      <c r="G2092" s="905" t="s">
        <v>371</v>
      </c>
      <c r="H2092" s="546" t="s">
        <v>372</v>
      </c>
      <c r="I2092" s="910" t="e">
        <f>VLOOKUP(H2087,'LƯƠNG KT'!$D$16:$AC$184,9,0)*$L$10</f>
        <v>#N/A</v>
      </c>
      <c r="J2092" s="609" t="e">
        <f>+I2092*0.5*3000</f>
        <v>#N/A</v>
      </c>
      <c r="K2092" s="935"/>
      <c r="L2092" s="935"/>
      <c r="M2092" s="935"/>
      <c r="N2092" s="935"/>
      <c r="O2092" s="935"/>
    </row>
    <row r="2093" spans="1:15" ht="15" customHeight="1">
      <c r="A2093" s="905" t="s">
        <v>374</v>
      </c>
      <c r="B2093" s="546" t="s">
        <v>375</v>
      </c>
      <c r="C2093" s="910" t="e">
        <f>VLOOKUP(B2087,'LƯƠNG KT'!$D$16:$AC$184,8,0)*$L$11</f>
        <v>#N/A</v>
      </c>
      <c r="D2093" s="609" t="e">
        <f>VLOOKUP(B2087,'LƯƠNG KT'!$D$16:$AC$184,13,0)-D2092</f>
        <v>#N/A</v>
      </c>
      <c r="E2093" s="914"/>
      <c r="F2093" s="912"/>
      <c r="G2093" s="905" t="s">
        <v>374</v>
      </c>
      <c r="H2093" s="546" t="s">
        <v>375</v>
      </c>
      <c r="I2093" s="910" t="e">
        <f>VLOOKUP(H2087,'LƯƠNG KT'!$D$16:$AC$184,8,0)*$L$11</f>
        <v>#N/A</v>
      </c>
      <c r="J2093" s="609" t="e">
        <f>VLOOKUP(H2087,'LƯƠNG KT'!$D$16:$AC$184,13,0)-J2092</f>
        <v>#N/A</v>
      </c>
      <c r="K2093" s="935"/>
      <c r="L2093" s="935"/>
      <c r="M2093" s="935"/>
      <c r="N2093" s="935"/>
      <c r="O2093" s="935"/>
    </row>
    <row r="2094" spans="1:15" ht="15" customHeight="1">
      <c r="A2094" s="609" t="s">
        <v>377</v>
      </c>
      <c r="B2094" s="546" t="s">
        <v>378</v>
      </c>
      <c r="C2094" s="910"/>
      <c r="D2094" s="609"/>
      <c r="E2094" s="916"/>
      <c r="F2094" s="916"/>
      <c r="G2094" s="609" t="s">
        <v>377</v>
      </c>
      <c r="H2094" s="546" t="s">
        <v>378</v>
      </c>
      <c r="I2094" s="910"/>
      <c r="J2094" s="609"/>
    </row>
    <row r="2095" spans="1:15" ht="15" customHeight="1">
      <c r="A2095" s="547" t="s">
        <v>379</v>
      </c>
      <c r="B2095" s="546" t="s">
        <v>380</v>
      </c>
      <c r="C2095" s="910"/>
      <c r="D2095" s="609"/>
      <c r="E2095" s="914"/>
      <c r="F2095" s="916"/>
      <c r="G2095" s="547" t="s">
        <v>379</v>
      </c>
      <c r="H2095" s="546" t="s">
        <v>380</v>
      </c>
      <c r="I2095" s="910"/>
      <c r="J2095" s="609"/>
    </row>
    <row r="2096" spans="1:15" ht="15" customHeight="1">
      <c r="A2096" s="905" t="s">
        <v>381</v>
      </c>
      <c r="B2096" s="546" t="s">
        <v>382</v>
      </c>
      <c r="C2096" s="910"/>
      <c r="D2096" s="609">
        <f>D2095</f>
        <v>0</v>
      </c>
      <c r="E2096" s="917"/>
      <c r="F2096" s="904"/>
      <c r="G2096" s="905" t="s">
        <v>381</v>
      </c>
      <c r="H2096" s="546" t="s">
        <v>382</v>
      </c>
      <c r="I2096" s="910"/>
      <c r="J2096" s="609">
        <f>J2095</f>
        <v>0</v>
      </c>
    </row>
    <row r="2097" spans="1:15" ht="15" customHeight="1">
      <c r="A2097" s="918" t="s">
        <v>383</v>
      </c>
      <c r="B2097" s="919" t="s">
        <v>384</v>
      </c>
      <c r="C2097" s="920"/>
      <c r="D2097" s="921" t="e">
        <f>SUM(D2088:D2093)-D2096</f>
        <v>#N/A</v>
      </c>
      <c r="E2097" s="922"/>
      <c r="F2097" s="923"/>
      <c r="G2097" s="918" t="s">
        <v>383</v>
      </c>
      <c r="H2097" s="919" t="s">
        <v>384</v>
      </c>
      <c r="I2097" s="920"/>
      <c r="J2097" s="921" t="e">
        <f>SUM(J2088:J2093)-J2096</f>
        <v>#N/A</v>
      </c>
    </row>
    <row r="2098" spans="1:15" ht="18.75" customHeight="1">
      <c r="A2098" s="924"/>
      <c r="B2098" s="925"/>
      <c r="C2098" s="926"/>
      <c r="D2098" s="927"/>
      <c r="E2098" s="927"/>
      <c r="F2098" s="928"/>
      <c r="G2098" s="924"/>
      <c r="H2098" s="925"/>
      <c r="I2098" s="926"/>
      <c r="J2098" s="927"/>
    </row>
    <row r="2099" spans="1:15" ht="18.75" customHeight="1">
      <c r="A2099" s="925"/>
      <c r="B2099" s="925"/>
      <c r="C2099" s="929"/>
      <c r="D2099" s="930"/>
      <c r="E2099" s="925"/>
      <c r="F2099" s="931"/>
      <c r="G2099" s="925"/>
      <c r="H2099" s="925"/>
      <c r="I2099" s="929"/>
      <c r="J2099" s="930"/>
    </row>
    <row r="2100" spans="1:15" ht="15" customHeight="1">
      <c r="A2100" s="2360" t="str">
        <f>$K$2</f>
        <v>THÁNG 09/2024</v>
      </c>
      <c r="B2100" s="2360"/>
      <c r="C2100" s="2360"/>
      <c r="D2100" s="2360"/>
      <c r="E2100" s="903"/>
      <c r="F2100" s="904"/>
      <c r="G2100" s="2360" t="str">
        <f>$K$2</f>
        <v>THÁNG 09/2024</v>
      </c>
      <c r="H2100" s="2360"/>
      <c r="I2100" s="2360"/>
      <c r="J2100" s="2360"/>
      <c r="K2100" s="276"/>
    </row>
    <row r="2101" spans="1:15" ht="15" customHeight="1">
      <c r="A2101" s="905" t="s">
        <v>356</v>
      </c>
      <c r="B2101" s="642" t="s">
        <v>182</v>
      </c>
      <c r="C2101" s="546"/>
      <c r="D2101" s="902"/>
      <c r="E2101" s="906"/>
      <c r="F2101" s="907"/>
      <c r="G2101" s="905" t="s">
        <v>356</v>
      </c>
      <c r="H2101" s="642" t="s">
        <v>183</v>
      </c>
      <c r="I2101" s="546"/>
      <c r="J2101" s="902"/>
      <c r="L2101" s="938"/>
      <c r="M2101" s="938"/>
      <c r="N2101" s="938"/>
      <c r="O2101" s="938"/>
    </row>
    <row r="2102" spans="1:15" ht="15" customHeight="1">
      <c r="A2102" s="905" t="s">
        <v>359</v>
      </c>
      <c r="B2102" s="939" t="s">
        <v>360</v>
      </c>
      <c r="C2102" s="910" t="e">
        <f>VLOOKUP(B2101,'LƯƠNG KT'!$D$16:$AC$184,3,0)</f>
        <v>#N/A</v>
      </c>
      <c r="D2102" s="609" t="e">
        <f>+C2102*25000</f>
        <v>#N/A</v>
      </c>
      <c r="E2102" s="911"/>
      <c r="F2102" s="911"/>
      <c r="G2102" s="905" t="s">
        <v>359</v>
      </c>
      <c r="H2102" s="939" t="s">
        <v>360</v>
      </c>
      <c r="I2102" s="910" t="e">
        <f>VLOOKUP(H2101,'LƯƠNG KT'!$D$16:$AC$184,3,0)</f>
        <v>#N/A</v>
      </c>
      <c r="J2102" s="609" t="e">
        <f>+I2102*25000</f>
        <v>#N/A</v>
      </c>
      <c r="K2102" s="935"/>
      <c r="L2102" s="935"/>
      <c r="M2102" s="935"/>
      <c r="N2102" s="935"/>
      <c r="O2102" s="935"/>
    </row>
    <row r="2103" spans="1:15" ht="15" customHeight="1">
      <c r="A2103" s="905" t="s">
        <v>361</v>
      </c>
      <c r="B2103" s="546" t="s">
        <v>362</v>
      </c>
      <c r="C2103" s="910" t="e">
        <f>VLOOKUP(B2101,'LƯƠNG KT'!$D$16:$AC$184,14,0)</f>
        <v>#N/A</v>
      </c>
      <c r="D2103" s="609" t="e">
        <f>C2103*$L$4</f>
        <v>#N/A</v>
      </c>
      <c r="E2103" s="912"/>
      <c r="F2103" s="912"/>
      <c r="G2103" s="905" t="s">
        <v>361</v>
      </c>
      <c r="H2103" s="546" t="s">
        <v>362</v>
      </c>
      <c r="I2103" s="910" t="e">
        <f>VLOOKUP(H2101,'LƯƠNG KT'!$D$16:$AC$184,14,0)</f>
        <v>#N/A</v>
      </c>
      <c r="J2103" s="609" t="e">
        <f>I2103*$L$4</f>
        <v>#N/A</v>
      </c>
      <c r="K2103" s="935"/>
      <c r="L2103" s="935"/>
      <c r="M2103" s="935"/>
      <c r="N2103" s="935"/>
      <c r="O2103" s="935"/>
    </row>
    <row r="2104" spans="1:15" ht="15" customHeight="1">
      <c r="A2104" s="905" t="s">
        <v>364</v>
      </c>
      <c r="B2104" s="546" t="s">
        <v>365</v>
      </c>
      <c r="C2104" s="910" t="e">
        <f>VLOOKUP(B2101,'LƯƠNG KT'!$D$16:$AC$184,15,0)</f>
        <v>#N/A</v>
      </c>
      <c r="D2104" s="609" t="e">
        <f>C2104*$L$5</f>
        <v>#N/A</v>
      </c>
      <c r="E2104" s="912"/>
      <c r="F2104" s="912"/>
      <c r="G2104" s="905" t="s">
        <v>364</v>
      </c>
      <c r="H2104" s="546" t="s">
        <v>365</v>
      </c>
      <c r="I2104" s="910" t="e">
        <f>VLOOKUP(H2101,'LƯƠNG KT'!$D$16:$AC$184,15,0)</f>
        <v>#N/A</v>
      </c>
      <c r="J2104" s="609" t="e">
        <f>I2104*$L$5</f>
        <v>#N/A</v>
      </c>
      <c r="K2104" s="935"/>
      <c r="L2104" s="935"/>
      <c r="M2104" s="935"/>
      <c r="N2104" s="935"/>
      <c r="O2104" s="935"/>
    </row>
    <row r="2105" spans="1:15" ht="15" customHeight="1">
      <c r="A2105" s="905" t="s">
        <v>367</v>
      </c>
      <c r="B2105" s="546"/>
      <c r="C2105" s="910" t="e">
        <f>VLOOKUP(B2101,'LƯƠNG KT'!$D$16:$AC$184,16,0)</f>
        <v>#N/A</v>
      </c>
      <c r="D2105" s="609" t="e">
        <f>+C2105*$L$6</f>
        <v>#N/A</v>
      </c>
      <c r="E2105" s="912"/>
      <c r="F2105" s="912"/>
      <c r="G2105" s="905" t="s">
        <v>367</v>
      </c>
      <c r="H2105" s="546"/>
      <c r="I2105" s="910" t="e">
        <f>VLOOKUP(H2101,'LƯƠNG KT'!$D$16:$AC$184,16,0)</f>
        <v>#N/A</v>
      </c>
      <c r="J2105" s="609" t="e">
        <f>+I2105*$L$6</f>
        <v>#N/A</v>
      </c>
      <c r="K2105" s="935"/>
      <c r="L2105" s="935"/>
      <c r="M2105" s="935"/>
      <c r="N2105" s="935"/>
      <c r="O2105" s="935"/>
    </row>
    <row r="2106" spans="1:15" ht="15" customHeight="1">
      <c r="A2106" s="905" t="s">
        <v>371</v>
      </c>
      <c r="B2106" s="546" t="s">
        <v>372</v>
      </c>
      <c r="C2106" s="910" t="e">
        <f>VLOOKUP(B2101,'LƯƠNG KT'!$D$16:$AC$184,9,0)*$L$10</f>
        <v>#N/A</v>
      </c>
      <c r="D2106" s="609" t="e">
        <f>+C2106*0.5*3000</f>
        <v>#N/A</v>
      </c>
      <c r="E2106" s="912"/>
      <c r="F2106" s="912"/>
      <c r="G2106" s="905" t="s">
        <v>371</v>
      </c>
      <c r="H2106" s="546" t="s">
        <v>372</v>
      </c>
      <c r="I2106" s="910" t="e">
        <f>VLOOKUP(H2101,'LƯƠNG KT'!$D$16:$AC$184,9,0)*$L$10</f>
        <v>#N/A</v>
      </c>
      <c r="J2106" s="609" t="e">
        <f>+I2106*0.5*3000</f>
        <v>#N/A</v>
      </c>
      <c r="K2106" s="935"/>
      <c r="L2106" s="935"/>
      <c r="M2106" s="935"/>
      <c r="N2106" s="935"/>
      <c r="O2106" s="935"/>
    </row>
    <row r="2107" spans="1:15" ht="15" customHeight="1">
      <c r="A2107" s="905" t="s">
        <v>374</v>
      </c>
      <c r="B2107" s="546" t="s">
        <v>375</v>
      </c>
      <c r="C2107" s="910" t="e">
        <f>VLOOKUP(B2101,'LƯƠNG KT'!$D$16:$AC$184,8,0)*$L$11</f>
        <v>#N/A</v>
      </c>
      <c r="D2107" s="609" t="e">
        <f>VLOOKUP(B2101,'LƯƠNG KT'!$D$16:$AC$184,13,0)-D2106</f>
        <v>#N/A</v>
      </c>
      <c r="E2107" s="914"/>
      <c r="F2107" s="912"/>
      <c r="G2107" s="905" t="s">
        <v>374</v>
      </c>
      <c r="H2107" s="546" t="s">
        <v>375</v>
      </c>
      <c r="I2107" s="910" t="e">
        <f>VLOOKUP(H2101,'LƯƠNG KT'!$D$16:$AC$184,8,0)*$L$11</f>
        <v>#N/A</v>
      </c>
      <c r="J2107" s="609" t="e">
        <f>VLOOKUP(H2101,'LƯƠNG KT'!$D$16:$AC$184,13,0)-J2106</f>
        <v>#N/A</v>
      </c>
      <c r="K2107" s="935"/>
      <c r="L2107" s="935"/>
      <c r="M2107" s="935"/>
      <c r="N2107" s="935"/>
      <c r="O2107" s="935"/>
    </row>
    <row r="2108" spans="1:15" ht="15" customHeight="1">
      <c r="A2108" s="609" t="s">
        <v>377</v>
      </c>
      <c r="B2108" s="546" t="s">
        <v>378</v>
      </c>
      <c r="C2108" s="910"/>
      <c r="D2108" s="609"/>
      <c r="E2108" s="916"/>
      <c r="F2108" s="916"/>
      <c r="G2108" s="609" t="s">
        <v>377</v>
      </c>
      <c r="H2108" s="546" t="s">
        <v>378</v>
      </c>
      <c r="I2108" s="910"/>
      <c r="J2108" s="609"/>
    </row>
    <row r="2109" spans="1:15" ht="15" customHeight="1">
      <c r="A2109" s="547" t="s">
        <v>379</v>
      </c>
      <c r="B2109" s="546" t="s">
        <v>380</v>
      </c>
      <c r="C2109" s="910"/>
      <c r="D2109" s="609"/>
      <c r="E2109" s="914"/>
      <c r="F2109" s="916"/>
      <c r="G2109" s="547" t="s">
        <v>379</v>
      </c>
      <c r="H2109" s="546" t="s">
        <v>380</v>
      </c>
      <c r="I2109" s="910"/>
      <c r="J2109" s="609"/>
    </row>
    <row r="2110" spans="1:15" ht="15" customHeight="1">
      <c r="A2110" s="905" t="s">
        <v>381</v>
      </c>
      <c r="B2110" s="546" t="s">
        <v>382</v>
      </c>
      <c r="C2110" s="910"/>
      <c r="D2110" s="609">
        <f>D2109</f>
        <v>0</v>
      </c>
      <c r="E2110" s="917"/>
      <c r="F2110" s="904"/>
      <c r="G2110" s="905" t="s">
        <v>381</v>
      </c>
      <c r="H2110" s="546" t="s">
        <v>382</v>
      </c>
      <c r="I2110" s="910"/>
      <c r="J2110" s="609">
        <f>J2109</f>
        <v>0</v>
      </c>
    </row>
    <row r="2111" spans="1:15" ht="15" customHeight="1">
      <c r="A2111" s="918" t="s">
        <v>383</v>
      </c>
      <c r="B2111" s="919" t="s">
        <v>384</v>
      </c>
      <c r="C2111" s="920"/>
      <c r="D2111" s="921" t="e">
        <f>SUM(D2102:D2107)-D2110</f>
        <v>#N/A</v>
      </c>
      <c r="E2111" s="922"/>
      <c r="F2111" s="923"/>
      <c r="G2111" s="918" t="s">
        <v>383</v>
      </c>
      <c r="H2111" s="919" t="s">
        <v>384</v>
      </c>
      <c r="I2111" s="920"/>
      <c r="J2111" s="921" t="e">
        <f>SUM(J2102:J2107)-J2110</f>
        <v>#N/A</v>
      </c>
    </row>
    <row r="2112" spans="1:15" ht="18.75" customHeight="1">
      <c r="A2112" s="924"/>
      <c r="B2112" s="925"/>
      <c r="C2112" s="926"/>
      <c r="D2112" s="927"/>
      <c r="E2112" s="927"/>
      <c r="F2112" s="928"/>
      <c r="G2112" s="924"/>
      <c r="H2112" s="925"/>
      <c r="I2112" s="926"/>
      <c r="J2112" s="927"/>
    </row>
    <row r="2113" spans="1:15" ht="18.75" customHeight="1">
      <c r="A2113" s="925"/>
      <c r="B2113" s="925"/>
      <c r="C2113" s="929"/>
      <c r="D2113" s="930"/>
      <c r="E2113" s="925"/>
      <c r="F2113" s="931"/>
      <c r="G2113" s="925"/>
      <c r="H2113" s="925"/>
      <c r="I2113" s="929"/>
      <c r="J2113" s="930"/>
    </row>
    <row r="2114" spans="1:15" ht="15" customHeight="1">
      <c r="A2114" s="2360" t="str">
        <f>$K$2</f>
        <v>THÁNG 09/2024</v>
      </c>
      <c r="B2114" s="2360"/>
      <c r="C2114" s="2360"/>
      <c r="D2114" s="2360"/>
      <c r="E2114" s="903"/>
      <c r="F2114" s="904"/>
      <c r="G2114" s="2360" t="str">
        <f>$K$2</f>
        <v>THÁNG 09/2024</v>
      </c>
      <c r="H2114" s="2360"/>
      <c r="I2114" s="2360"/>
      <c r="J2114" s="2360"/>
      <c r="K2114" s="276"/>
    </row>
    <row r="2115" spans="1:15" ht="15" customHeight="1">
      <c r="A2115" s="905" t="s">
        <v>356</v>
      </c>
      <c r="B2115" s="642" t="s">
        <v>184</v>
      </c>
      <c r="C2115" s="546"/>
      <c r="D2115" s="902"/>
      <c r="E2115" s="906"/>
      <c r="F2115" s="907"/>
      <c r="G2115" s="905" t="s">
        <v>356</v>
      </c>
      <c r="H2115" s="642" t="s">
        <v>185</v>
      </c>
      <c r="I2115" s="546"/>
      <c r="J2115" s="902"/>
      <c r="L2115" s="938"/>
      <c r="M2115" s="938"/>
      <c r="N2115" s="938"/>
      <c r="O2115" s="938"/>
    </row>
    <row r="2116" spans="1:15" ht="15" customHeight="1">
      <c r="A2116" s="905" t="s">
        <v>359</v>
      </c>
      <c r="B2116" s="939" t="s">
        <v>360</v>
      </c>
      <c r="C2116" s="910" t="e">
        <f>VLOOKUP(B2115,'LƯƠNG KT'!$D$16:$AC$184,3,0)</f>
        <v>#N/A</v>
      </c>
      <c r="D2116" s="609" t="e">
        <f>+C2116*25000</f>
        <v>#N/A</v>
      </c>
      <c r="E2116" s="911"/>
      <c r="F2116" s="911"/>
      <c r="G2116" s="905" t="s">
        <v>359</v>
      </c>
      <c r="H2116" s="939" t="s">
        <v>360</v>
      </c>
      <c r="I2116" s="910" t="e">
        <f>VLOOKUP(H2115,'LƯƠNG KT'!$D$16:$AC$184,3,0)</f>
        <v>#N/A</v>
      </c>
      <c r="J2116" s="609" t="e">
        <f>+I2116*25000</f>
        <v>#N/A</v>
      </c>
      <c r="K2116" s="935"/>
      <c r="L2116" s="935"/>
      <c r="M2116" s="935"/>
      <c r="N2116" s="935"/>
      <c r="O2116" s="935"/>
    </row>
    <row r="2117" spans="1:15" ht="15" customHeight="1">
      <c r="A2117" s="905" t="s">
        <v>361</v>
      </c>
      <c r="B2117" s="546" t="s">
        <v>362</v>
      </c>
      <c r="C2117" s="910" t="e">
        <f>VLOOKUP(B2115,'LƯƠNG KT'!$D$16:$AC$184,14,0)</f>
        <v>#N/A</v>
      </c>
      <c r="D2117" s="609" t="e">
        <f>C2117*$L$4</f>
        <v>#N/A</v>
      </c>
      <c r="E2117" s="912"/>
      <c r="F2117" s="912"/>
      <c r="G2117" s="905" t="s">
        <v>361</v>
      </c>
      <c r="H2117" s="546" t="s">
        <v>362</v>
      </c>
      <c r="I2117" s="910" t="e">
        <f>VLOOKUP(H2115,'LƯƠNG KT'!$D$16:$AC$184,14,0)</f>
        <v>#N/A</v>
      </c>
      <c r="J2117" s="609" t="e">
        <f>I2117*$L$4</f>
        <v>#N/A</v>
      </c>
      <c r="K2117" s="935"/>
      <c r="L2117" s="935"/>
      <c r="M2117" s="935"/>
      <c r="N2117" s="935"/>
      <c r="O2117" s="935"/>
    </row>
    <row r="2118" spans="1:15" ht="15" customHeight="1">
      <c r="A2118" s="905" t="s">
        <v>364</v>
      </c>
      <c r="B2118" s="546" t="s">
        <v>365</v>
      </c>
      <c r="C2118" s="910" t="e">
        <f>VLOOKUP(B2115,'LƯƠNG KT'!$D$16:$AC$184,15,0)</f>
        <v>#N/A</v>
      </c>
      <c r="D2118" s="609" t="e">
        <f>C2118*$L$5</f>
        <v>#N/A</v>
      </c>
      <c r="E2118" s="912"/>
      <c r="F2118" s="912"/>
      <c r="G2118" s="905" t="s">
        <v>364</v>
      </c>
      <c r="H2118" s="546" t="s">
        <v>365</v>
      </c>
      <c r="I2118" s="910" t="e">
        <f>VLOOKUP(H2115,'LƯƠNG KT'!$D$16:$AC$184,15,0)</f>
        <v>#N/A</v>
      </c>
      <c r="J2118" s="609" t="e">
        <f>I2118*$L$5</f>
        <v>#N/A</v>
      </c>
      <c r="K2118" s="935"/>
      <c r="L2118" s="935"/>
      <c r="M2118" s="935"/>
      <c r="N2118" s="935"/>
      <c r="O2118" s="935"/>
    </row>
    <row r="2119" spans="1:15" ht="15" customHeight="1">
      <c r="A2119" s="905" t="s">
        <v>367</v>
      </c>
      <c r="B2119" s="546"/>
      <c r="C2119" s="910" t="e">
        <f>VLOOKUP(B2115,'LƯƠNG KT'!$D$16:$AC$184,16,0)</f>
        <v>#N/A</v>
      </c>
      <c r="D2119" s="609" t="e">
        <f>+C2119*$L$6</f>
        <v>#N/A</v>
      </c>
      <c r="E2119" s="912"/>
      <c r="F2119" s="912"/>
      <c r="G2119" s="905" t="s">
        <v>367</v>
      </c>
      <c r="H2119" s="546"/>
      <c r="I2119" s="910" t="e">
        <f>VLOOKUP(H2115,'LƯƠNG KT'!$D$16:$AC$184,16,0)</f>
        <v>#N/A</v>
      </c>
      <c r="J2119" s="609" t="e">
        <f>+I2119*$L$6</f>
        <v>#N/A</v>
      </c>
      <c r="K2119" s="935"/>
      <c r="L2119" s="935"/>
      <c r="M2119" s="935"/>
      <c r="N2119" s="935"/>
      <c r="O2119" s="935"/>
    </row>
    <row r="2120" spans="1:15" ht="15" customHeight="1">
      <c r="A2120" s="905" t="s">
        <v>371</v>
      </c>
      <c r="B2120" s="546" t="s">
        <v>372</v>
      </c>
      <c r="C2120" s="910" t="e">
        <f>VLOOKUP(B2115,'LƯƠNG KT'!$D$16:$AC$184,9,0)*$L$10</f>
        <v>#N/A</v>
      </c>
      <c r="D2120" s="609" t="e">
        <f>+C2120*0.5*3000</f>
        <v>#N/A</v>
      </c>
      <c r="E2120" s="912"/>
      <c r="F2120" s="912"/>
      <c r="G2120" s="905" t="s">
        <v>371</v>
      </c>
      <c r="H2120" s="546" t="s">
        <v>372</v>
      </c>
      <c r="I2120" s="910" t="e">
        <f>VLOOKUP(H2115,'LƯƠNG KT'!$D$16:$AC$184,9,0)*$L$10</f>
        <v>#N/A</v>
      </c>
      <c r="J2120" s="609" t="e">
        <f>+I2120*0.5*3000</f>
        <v>#N/A</v>
      </c>
      <c r="K2120" s="935"/>
      <c r="L2120" s="935"/>
      <c r="M2120" s="935"/>
      <c r="N2120" s="935"/>
      <c r="O2120" s="935"/>
    </row>
    <row r="2121" spans="1:15" ht="15" customHeight="1">
      <c r="A2121" s="905" t="s">
        <v>374</v>
      </c>
      <c r="B2121" s="546" t="s">
        <v>375</v>
      </c>
      <c r="C2121" s="910" t="e">
        <f>VLOOKUP(B2115,'LƯƠNG KT'!$D$16:$AC$184,8,0)*$L$11</f>
        <v>#N/A</v>
      </c>
      <c r="D2121" s="609" t="e">
        <f>VLOOKUP(B2115,'LƯƠNG KT'!$D$16:$AC$184,13,0)-D2120</f>
        <v>#N/A</v>
      </c>
      <c r="E2121" s="914"/>
      <c r="F2121" s="912"/>
      <c r="G2121" s="905" t="s">
        <v>374</v>
      </c>
      <c r="H2121" s="546" t="s">
        <v>375</v>
      </c>
      <c r="I2121" s="910" t="e">
        <f>VLOOKUP(H2115,'LƯƠNG KT'!$D$16:$AC$184,8,0)*$L$11</f>
        <v>#N/A</v>
      </c>
      <c r="J2121" s="609" t="e">
        <f>VLOOKUP(H2115,'LƯƠNG KT'!$D$16:$AC$184,13,0)-J2120</f>
        <v>#N/A</v>
      </c>
      <c r="K2121" s="935"/>
      <c r="L2121" s="935"/>
      <c r="M2121" s="935"/>
      <c r="N2121" s="935"/>
      <c r="O2121" s="935"/>
    </row>
    <row r="2122" spans="1:15" ht="15" customHeight="1">
      <c r="A2122" s="609" t="s">
        <v>377</v>
      </c>
      <c r="B2122" s="546" t="s">
        <v>378</v>
      </c>
      <c r="C2122" s="910"/>
      <c r="D2122" s="609"/>
      <c r="E2122" s="916"/>
      <c r="F2122" s="916"/>
      <c r="G2122" s="609" t="s">
        <v>377</v>
      </c>
      <c r="H2122" s="546" t="s">
        <v>378</v>
      </c>
      <c r="I2122" s="910"/>
      <c r="J2122" s="609"/>
    </row>
    <row r="2123" spans="1:15" ht="15" customHeight="1">
      <c r="A2123" s="547" t="s">
        <v>379</v>
      </c>
      <c r="B2123" s="546" t="s">
        <v>380</v>
      </c>
      <c r="C2123" s="910"/>
      <c r="D2123" s="609"/>
      <c r="E2123" s="914"/>
      <c r="F2123" s="916"/>
      <c r="G2123" s="547" t="s">
        <v>379</v>
      </c>
      <c r="H2123" s="546" t="s">
        <v>380</v>
      </c>
      <c r="I2123" s="910"/>
      <c r="J2123" s="609"/>
    </row>
    <row r="2124" spans="1:15" ht="15" customHeight="1">
      <c r="A2124" s="905" t="s">
        <v>381</v>
      </c>
      <c r="B2124" s="546" t="s">
        <v>382</v>
      </c>
      <c r="C2124" s="910"/>
      <c r="D2124" s="609">
        <f>D2123</f>
        <v>0</v>
      </c>
      <c r="E2124" s="917"/>
      <c r="F2124" s="904"/>
      <c r="G2124" s="905" t="s">
        <v>381</v>
      </c>
      <c r="H2124" s="546" t="s">
        <v>382</v>
      </c>
      <c r="I2124" s="910"/>
      <c r="J2124" s="609">
        <f>J2123</f>
        <v>0</v>
      </c>
    </row>
    <row r="2125" spans="1:15" ht="15" customHeight="1">
      <c r="A2125" s="918" t="s">
        <v>383</v>
      </c>
      <c r="B2125" s="919" t="s">
        <v>384</v>
      </c>
      <c r="C2125" s="920"/>
      <c r="D2125" s="921" t="e">
        <f>SUM(D2116:D2121)-D2124</f>
        <v>#N/A</v>
      </c>
      <c r="E2125" s="922"/>
      <c r="F2125" s="923"/>
      <c r="G2125" s="918" t="s">
        <v>383</v>
      </c>
      <c r="H2125" s="919" t="s">
        <v>384</v>
      </c>
      <c r="I2125" s="920"/>
      <c r="J2125" s="921" t="e">
        <f>SUM(J2116:J2121)-J2124</f>
        <v>#N/A</v>
      </c>
    </row>
    <row r="2126" spans="1:15" ht="15.75" customHeight="1">
      <c r="A2126" s="924"/>
      <c r="B2126" s="925"/>
      <c r="C2126" s="926"/>
      <c r="D2126" s="927"/>
      <c r="E2126" s="927"/>
      <c r="F2126" s="928"/>
      <c r="G2126" s="924"/>
      <c r="H2126" s="925"/>
      <c r="I2126" s="926"/>
      <c r="J2126" s="927"/>
    </row>
    <row r="2128" spans="1:15" ht="12" customHeight="1">
      <c r="A2128" s="2361"/>
      <c r="B2128" s="2361"/>
      <c r="C2128" s="2361"/>
      <c r="D2128" s="2361"/>
      <c r="E2128" s="2361"/>
      <c r="F2128" s="2361"/>
      <c r="G2128" s="2361"/>
      <c r="H2128" s="2361"/>
      <c r="I2128" s="2361"/>
      <c r="J2128" s="2361"/>
    </row>
    <row r="2129" spans="1:15" ht="15" customHeight="1">
      <c r="A2129" s="2360" t="str">
        <f>$K$2</f>
        <v>THÁNG 09/2024</v>
      </c>
      <c r="B2129" s="2360"/>
      <c r="C2129" s="2360"/>
      <c r="D2129" s="2360"/>
      <c r="E2129" s="903"/>
      <c r="F2129" s="904"/>
      <c r="G2129" s="2360" t="str">
        <f>$K$2</f>
        <v>THÁNG 09/2024</v>
      </c>
      <c r="H2129" s="2360"/>
      <c r="I2129" s="2360"/>
      <c r="J2129" s="2360"/>
      <c r="K2129" s="276"/>
    </row>
    <row r="2130" spans="1:15" ht="15" customHeight="1">
      <c r="A2130" s="905" t="s">
        <v>356</v>
      </c>
      <c r="B2130" s="642" t="s">
        <v>186</v>
      </c>
      <c r="C2130" s="546"/>
      <c r="D2130" s="902"/>
      <c r="E2130" s="906"/>
      <c r="F2130" s="907"/>
      <c r="G2130" s="905" t="s">
        <v>356</v>
      </c>
      <c r="H2130" s="642" t="s">
        <v>187</v>
      </c>
      <c r="I2130" s="546"/>
      <c r="J2130" s="902"/>
      <c r="L2130" s="938"/>
      <c r="M2130" s="938"/>
      <c r="N2130" s="938"/>
      <c r="O2130" s="938"/>
    </row>
    <row r="2131" spans="1:15" ht="15" customHeight="1">
      <c r="A2131" s="905" t="s">
        <v>359</v>
      </c>
      <c r="B2131" s="939" t="s">
        <v>360</v>
      </c>
      <c r="C2131" s="910" t="e">
        <f>VLOOKUP(B2130,'LƯƠNG KT'!$D$16:$AC$184,3,0)</f>
        <v>#N/A</v>
      </c>
      <c r="D2131" s="609" t="e">
        <f>+C2131*25000</f>
        <v>#N/A</v>
      </c>
      <c r="E2131" s="911"/>
      <c r="F2131" s="911"/>
      <c r="G2131" s="905" t="s">
        <v>359</v>
      </c>
      <c r="H2131" s="939" t="s">
        <v>360</v>
      </c>
      <c r="I2131" s="910" t="e">
        <f>VLOOKUP(H2130,'LƯƠNG KT'!$D$16:$AC$184,3,0)</f>
        <v>#N/A</v>
      </c>
      <c r="J2131" s="609" t="e">
        <f>+I2131*25000</f>
        <v>#N/A</v>
      </c>
      <c r="K2131" s="934"/>
      <c r="L2131" s="935"/>
      <c r="M2131" s="935"/>
      <c r="N2131" s="935"/>
      <c r="O2131" s="935"/>
    </row>
    <row r="2132" spans="1:15" ht="15" customHeight="1">
      <c r="A2132" s="905" t="s">
        <v>361</v>
      </c>
      <c r="B2132" s="546" t="s">
        <v>362</v>
      </c>
      <c r="C2132" s="910" t="e">
        <f>VLOOKUP(B2130,'LƯƠNG KT'!$D$16:$AC$184,14,0)</f>
        <v>#N/A</v>
      </c>
      <c r="D2132" s="609" t="e">
        <f>C2132*$L$4</f>
        <v>#N/A</v>
      </c>
      <c r="E2132" s="912"/>
      <c r="F2132" s="912"/>
      <c r="G2132" s="905" t="s">
        <v>361</v>
      </c>
      <c r="H2132" s="546" t="s">
        <v>362</v>
      </c>
      <c r="I2132" s="910" t="e">
        <f>VLOOKUP(H2130,'LƯƠNG KT'!$D$16:$AC$184,14,0)</f>
        <v>#N/A</v>
      </c>
      <c r="J2132" s="609" t="e">
        <f>I2132*$L$4</f>
        <v>#N/A</v>
      </c>
      <c r="K2132" s="934"/>
      <c r="L2132" s="935"/>
      <c r="M2132" s="935"/>
      <c r="N2132" s="935"/>
      <c r="O2132" s="935"/>
    </row>
    <row r="2133" spans="1:15" ht="15" customHeight="1">
      <c r="A2133" s="905" t="s">
        <v>364</v>
      </c>
      <c r="B2133" s="546" t="s">
        <v>365</v>
      </c>
      <c r="C2133" s="910" t="e">
        <f>VLOOKUP(B2130,'LƯƠNG KT'!$D$16:$AC$184,15,0)</f>
        <v>#N/A</v>
      </c>
      <c r="D2133" s="609" t="e">
        <f>C2133*$L$5</f>
        <v>#N/A</v>
      </c>
      <c r="E2133" s="912"/>
      <c r="F2133" s="912"/>
      <c r="G2133" s="905" t="s">
        <v>364</v>
      </c>
      <c r="H2133" s="546" t="s">
        <v>365</v>
      </c>
      <c r="I2133" s="910" t="e">
        <f>VLOOKUP(H2130,'LƯƠNG KT'!$D$16:$AC$184,15,0)</f>
        <v>#N/A</v>
      </c>
      <c r="J2133" s="609" t="e">
        <f>I2133*$L$5</f>
        <v>#N/A</v>
      </c>
      <c r="K2133" s="934"/>
      <c r="L2133" s="935"/>
      <c r="M2133" s="935"/>
      <c r="N2133" s="935"/>
      <c r="O2133" s="935"/>
    </row>
    <row r="2134" spans="1:15" ht="15" customHeight="1">
      <c r="A2134" s="905" t="s">
        <v>367</v>
      </c>
      <c r="B2134" s="546"/>
      <c r="C2134" s="910" t="e">
        <f>VLOOKUP(B2130,'LƯƠNG KT'!$D$16:$AC$184,16,0)</f>
        <v>#N/A</v>
      </c>
      <c r="D2134" s="609" t="e">
        <f>+C2134*$L$6</f>
        <v>#N/A</v>
      </c>
      <c r="E2134" s="912"/>
      <c r="F2134" s="912"/>
      <c r="G2134" s="905" t="s">
        <v>367</v>
      </c>
      <c r="H2134" s="546"/>
      <c r="I2134" s="910" t="e">
        <f>VLOOKUP(H2130,'LƯƠNG KT'!$D$16:$AC$184,16,0)</f>
        <v>#N/A</v>
      </c>
      <c r="J2134" s="609" t="e">
        <f>+I2134*$L$6</f>
        <v>#N/A</v>
      </c>
      <c r="K2134" s="935"/>
      <c r="L2134" s="935"/>
      <c r="M2134" s="935"/>
      <c r="N2134" s="935"/>
      <c r="O2134" s="935"/>
    </row>
    <row r="2135" spans="1:15" ht="15" customHeight="1">
      <c r="A2135" s="905" t="s">
        <v>371</v>
      </c>
      <c r="B2135" s="546" t="s">
        <v>372</v>
      </c>
      <c r="C2135" s="910" t="e">
        <f>VLOOKUP(B2130,'LƯƠNG KT'!$D$16:$AC$184,9,0)*$L$10</f>
        <v>#N/A</v>
      </c>
      <c r="D2135" s="609" t="e">
        <f>+C2135*0.5*3000</f>
        <v>#N/A</v>
      </c>
      <c r="E2135" s="912"/>
      <c r="F2135" s="912"/>
      <c r="G2135" s="905" t="s">
        <v>371</v>
      </c>
      <c r="H2135" s="546" t="s">
        <v>372</v>
      </c>
      <c r="I2135" s="910" t="e">
        <f>VLOOKUP(H2130,'LƯƠNG KT'!$D$16:$AC$184,9,0)*$L$10</f>
        <v>#N/A</v>
      </c>
      <c r="J2135" s="609" t="e">
        <f>+I2135*0.5*3000</f>
        <v>#N/A</v>
      </c>
      <c r="K2135" s="935"/>
      <c r="L2135" s="935"/>
      <c r="M2135" s="935"/>
      <c r="N2135" s="935"/>
      <c r="O2135" s="935"/>
    </row>
    <row r="2136" spans="1:15" ht="15" customHeight="1">
      <c r="A2136" s="905" t="s">
        <v>374</v>
      </c>
      <c r="B2136" s="546" t="s">
        <v>375</v>
      </c>
      <c r="C2136" s="910" t="e">
        <f>VLOOKUP(B2130,'LƯƠNG KT'!$D$16:$AC$184,8,0)*$L$11</f>
        <v>#N/A</v>
      </c>
      <c r="D2136" s="609" t="e">
        <f>VLOOKUP(B2130,'LƯƠNG KT'!$D$16:$AC$184,13,0)-D2135</f>
        <v>#N/A</v>
      </c>
      <c r="E2136" s="914"/>
      <c r="F2136" s="912"/>
      <c r="G2136" s="905" t="s">
        <v>374</v>
      </c>
      <c r="H2136" s="546" t="s">
        <v>375</v>
      </c>
      <c r="I2136" s="910" t="e">
        <f>VLOOKUP(H2130,'LƯƠNG KT'!$D$16:$AC$184,8,0)*$L$11</f>
        <v>#N/A</v>
      </c>
      <c r="J2136" s="609" t="e">
        <f>VLOOKUP(H2130,'LƯƠNG KT'!$D$16:$AC$184,13,0)-J2135</f>
        <v>#N/A</v>
      </c>
      <c r="K2136" s="935"/>
      <c r="L2136" s="935"/>
      <c r="M2136" s="935"/>
      <c r="N2136" s="935"/>
      <c r="O2136" s="935"/>
    </row>
    <row r="2137" spans="1:15" ht="15" customHeight="1">
      <c r="A2137" s="609" t="s">
        <v>377</v>
      </c>
      <c r="B2137" s="546" t="s">
        <v>378</v>
      </c>
      <c r="C2137" s="910"/>
      <c r="D2137" s="609"/>
      <c r="E2137" s="916"/>
      <c r="F2137" s="916"/>
      <c r="G2137" s="609" t="s">
        <v>377</v>
      </c>
      <c r="H2137" s="546" t="s">
        <v>378</v>
      </c>
      <c r="I2137" s="910"/>
      <c r="J2137" s="609"/>
    </row>
    <row r="2138" spans="1:15" ht="15" customHeight="1">
      <c r="A2138" s="547" t="s">
        <v>379</v>
      </c>
      <c r="B2138" s="546" t="s">
        <v>380</v>
      </c>
      <c r="C2138" s="910"/>
      <c r="D2138" s="609"/>
      <c r="E2138" s="914"/>
      <c r="F2138" s="916"/>
      <c r="G2138" s="547" t="s">
        <v>379</v>
      </c>
      <c r="H2138" s="546" t="s">
        <v>380</v>
      </c>
      <c r="I2138" s="910"/>
      <c r="J2138" s="609"/>
    </row>
    <row r="2139" spans="1:15" ht="15" customHeight="1">
      <c r="A2139" s="905" t="s">
        <v>381</v>
      </c>
      <c r="B2139" s="546" t="s">
        <v>382</v>
      </c>
      <c r="C2139" s="910"/>
      <c r="D2139" s="609">
        <f>D2138</f>
        <v>0</v>
      </c>
      <c r="E2139" s="917"/>
      <c r="F2139" s="904"/>
      <c r="G2139" s="905" t="s">
        <v>381</v>
      </c>
      <c r="H2139" s="546" t="s">
        <v>382</v>
      </c>
      <c r="I2139" s="910"/>
      <c r="J2139" s="609">
        <f>J2138</f>
        <v>0</v>
      </c>
    </row>
    <row r="2140" spans="1:15" ht="15" customHeight="1">
      <c r="A2140" s="918" t="s">
        <v>383</v>
      </c>
      <c r="B2140" s="919" t="s">
        <v>384</v>
      </c>
      <c r="C2140" s="920"/>
      <c r="D2140" s="921" t="e">
        <f>SUM(D2131:D2136)-D2139</f>
        <v>#N/A</v>
      </c>
      <c r="E2140" s="922"/>
      <c r="F2140" s="923"/>
      <c r="G2140" s="918" t="s">
        <v>383</v>
      </c>
      <c r="H2140" s="919" t="s">
        <v>384</v>
      </c>
      <c r="I2140" s="920"/>
      <c r="J2140" s="921" t="e">
        <f>SUM(J2131:J2136)-J2139</f>
        <v>#N/A</v>
      </c>
    </row>
    <row r="2141" spans="1:15" ht="12.6" customHeight="1">
      <c r="A2141" s="924"/>
      <c r="B2141" s="925"/>
      <c r="C2141" s="926"/>
      <c r="D2141" s="927"/>
      <c r="E2141" s="927"/>
      <c r="F2141" s="928"/>
      <c r="G2141" s="924"/>
      <c r="H2141" s="925"/>
      <c r="I2141" s="926"/>
      <c r="J2141" s="927"/>
    </row>
    <row r="2142" spans="1:15" ht="12.6" customHeight="1">
      <c r="A2142" s="925"/>
      <c r="B2142" s="925"/>
      <c r="C2142" s="929"/>
      <c r="D2142" s="930"/>
      <c r="E2142" s="925"/>
      <c r="F2142" s="931"/>
      <c r="G2142" s="925"/>
      <c r="H2142" s="925"/>
      <c r="I2142" s="929"/>
      <c r="J2142" s="930"/>
    </row>
    <row r="2143" spans="1:15" ht="15" customHeight="1">
      <c r="A2143" s="2360" t="str">
        <f>$K$2</f>
        <v>THÁNG 09/2024</v>
      </c>
      <c r="B2143" s="2360"/>
      <c r="C2143" s="2360"/>
      <c r="D2143" s="2360"/>
      <c r="E2143" s="903"/>
      <c r="F2143" s="904"/>
      <c r="G2143" s="2360" t="str">
        <f>$K$2</f>
        <v>THÁNG 09/2024</v>
      </c>
      <c r="H2143" s="2360"/>
      <c r="I2143" s="2360"/>
      <c r="J2143" s="2360"/>
      <c r="K2143" s="276"/>
    </row>
    <row r="2144" spans="1:15" ht="15" customHeight="1">
      <c r="A2144" s="905" t="s">
        <v>356</v>
      </c>
      <c r="B2144" s="642" t="s">
        <v>188</v>
      </c>
      <c r="C2144" s="546"/>
      <c r="D2144" s="902"/>
      <c r="E2144" s="906"/>
      <c r="F2144" s="907"/>
      <c r="G2144" s="905" t="s">
        <v>356</v>
      </c>
      <c r="H2144" s="642" t="s">
        <v>189</v>
      </c>
      <c r="I2144" s="546"/>
      <c r="J2144" s="902"/>
      <c r="L2144" s="938"/>
      <c r="M2144" s="938"/>
      <c r="N2144" s="938"/>
      <c r="O2144" s="938"/>
    </row>
    <row r="2145" spans="1:15" ht="15" customHeight="1">
      <c r="A2145" s="905" t="s">
        <v>359</v>
      </c>
      <c r="B2145" s="939" t="s">
        <v>360</v>
      </c>
      <c r="C2145" s="910" t="e">
        <f>VLOOKUP(B2144,'LƯƠNG KT'!$D$16:$AC$184,3,0)</f>
        <v>#N/A</v>
      </c>
      <c r="D2145" s="609" t="e">
        <f>+C2145*25000</f>
        <v>#N/A</v>
      </c>
      <c r="E2145" s="911"/>
      <c r="F2145" s="911"/>
      <c r="G2145" s="905" t="s">
        <v>359</v>
      </c>
      <c r="H2145" s="939" t="s">
        <v>360</v>
      </c>
      <c r="I2145" s="910" t="e">
        <f>VLOOKUP(H2144,'LƯƠNG KT'!$D$16:$AC$184,3,0)</f>
        <v>#N/A</v>
      </c>
      <c r="J2145" s="609" t="e">
        <f>+I2145*25000</f>
        <v>#N/A</v>
      </c>
      <c r="K2145" s="935"/>
      <c r="L2145" s="935"/>
      <c r="M2145" s="935"/>
      <c r="N2145" s="935"/>
      <c r="O2145" s="935"/>
    </row>
    <row r="2146" spans="1:15" ht="15" customHeight="1">
      <c r="A2146" s="905" t="s">
        <v>361</v>
      </c>
      <c r="B2146" s="546" t="s">
        <v>362</v>
      </c>
      <c r="C2146" s="910" t="e">
        <f>VLOOKUP(B2144,'LƯƠNG KT'!$D$16:$AC$184,14,0)</f>
        <v>#N/A</v>
      </c>
      <c r="D2146" s="609" t="e">
        <f>C2146*$L$4</f>
        <v>#N/A</v>
      </c>
      <c r="E2146" s="912"/>
      <c r="F2146" s="912"/>
      <c r="G2146" s="905" t="s">
        <v>361</v>
      </c>
      <c r="H2146" s="546" t="s">
        <v>362</v>
      </c>
      <c r="I2146" s="910" t="e">
        <f>VLOOKUP(H2144,'LƯƠNG KT'!$D$16:$AC$184,14,0)</f>
        <v>#N/A</v>
      </c>
      <c r="J2146" s="609" t="e">
        <f>I2146*$L$4</f>
        <v>#N/A</v>
      </c>
      <c r="K2146" s="935"/>
      <c r="L2146" s="935"/>
      <c r="M2146" s="935"/>
      <c r="N2146" s="935"/>
      <c r="O2146" s="935"/>
    </row>
    <row r="2147" spans="1:15" ht="15" customHeight="1">
      <c r="A2147" s="905" t="s">
        <v>364</v>
      </c>
      <c r="B2147" s="546" t="s">
        <v>365</v>
      </c>
      <c r="C2147" s="910" t="e">
        <f>VLOOKUP(B2144,'LƯƠNG KT'!$D$16:$AC$184,15,0)</f>
        <v>#N/A</v>
      </c>
      <c r="D2147" s="609" t="e">
        <f>C2147*$L$5</f>
        <v>#N/A</v>
      </c>
      <c r="E2147" s="912"/>
      <c r="F2147" s="912"/>
      <c r="G2147" s="905" t="s">
        <v>364</v>
      </c>
      <c r="H2147" s="546" t="s">
        <v>365</v>
      </c>
      <c r="I2147" s="910" t="e">
        <f>VLOOKUP(H2144,'LƯƠNG KT'!$D$16:$AC$184,15,0)</f>
        <v>#N/A</v>
      </c>
      <c r="J2147" s="609" t="e">
        <f>I2147*$L$5</f>
        <v>#N/A</v>
      </c>
      <c r="K2147" s="935"/>
      <c r="L2147" s="935"/>
      <c r="M2147" s="935"/>
      <c r="N2147" s="935"/>
      <c r="O2147" s="935"/>
    </row>
    <row r="2148" spans="1:15" ht="15" customHeight="1">
      <c r="A2148" s="905" t="s">
        <v>367</v>
      </c>
      <c r="B2148" s="546"/>
      <c r="C2148" s="910" t="e">
        <f>VLOOKUP(B2144,'LƯƠNG KT'!$D$16:$AC$184,16,0)</f>
        <v>#N/A</v>
      </c>
      <c r="D2148" s="609" t="e">
        <f>+C2148*$L$6</f>
        <v>#N/A</v>
      </c>
      <c r="E2148" s="912"/>
      <c r="F2148" s="912"/>
      <c r="G2148" s="905" t="s">
        <v>367</v>
      </c>
      <c r="H2148" s="546"/>
      <c r="I2148" s="910" t="e">
        <f>VLOOKUP(H2144,'LƯƠNG KT'!$D$16:$AC$184,16,0)</f>
        <v>#N/A</v>
      </c>
      <c r="J2148" s="609" t="e">
        <f>+I2148*$L$6</f>
        <v>#N/A</v>
      </c>
      <c r="K2148" s="935"/>
      <c r="L2148" s="935"/>
      <c r="M2148" s="935"/>
      <c r="N2148" s="935"/>
      <c r="O2148" s="935"/>
    </row>
    <row r="2149" spans="1:15" ht="15" customHeight="1">
      <c r="A2149" s="905" t="s">
        <v>371</v>
      </c>
      <c r="B2149" s="546" t="s">
        <v>372</v>
      </c>
      <c r="C2149" s="910" t="e">
        <f>VLOOKUP(B2144,'LƯƠNG KT'!$D$16:$AC$184,9,0)*$L$10</f>
        <v>#N/A</v>
      </c>
      <c r="D2149" s="609" t="e">
        <f>+C2149*0.5*3000</f>
        <v>#N/A</v>
      </c>
      <c r="E2149" s="912"/>
      <c r="F2149" s="912"/>
      <c r="G2149" s="905" t="s">
        <v>371</v>
      </c>
      <c r="H2149" s="546" t="s">
        <v>372</v>
      </c>
      <c r="I2149" s="910" t="e">
        <f>VLOOKUP(H2144,'LƯƠNG KT'!$D$16:$AC$184,9,0)*$L$10</f>
        <v>#N/A</v>
      </c>
      <c r="J2149" s="609" t="e">
        <f>+I2149*0.5*3000</f>
        <v>#N/A</v>
      </c>
      <c r="K2149" s="935"/>
      <c r="L2149" s="935"/>
      <c r="M2149" s="935"/>
      <c r="N2149" s="935"/>
      <c r="O2149" s="935"/>
    </row>
    <row r="2150" spans="1:15" ht="15" customHeight="1">
      <c r="A2150" s="905" t="s">
        <v>374</v>
      </c>
      <c r="B2150" s="546" t="s">
        <v>375</v>
      </c>
      <c r="C2150" s="910" t="e">
        <f>VLOOKUP(B2144,'LƯƠNG KT'!$D$16:$AC$184,8,0)*$L$11</f>
        <v>#N/A</v>
      </c>
      <c r="D2150" s="609" t="e">
        <f>VLOOKUP(B2144,'LƯƠNG KT'!$D$16:$AC$184,13,0)-D2149</f>
        <v>#N/A</v>
      </c>
      <c r="E2150" s="914"/>
      <c r="F2150" s="912"/>
      <c r="G2150" s="905" t="s">
        <v>374</v>
      </c>
      <c r="H2150" s="546" t="s">
        <v>375</v>
      </c>
      <c r="I2150" s="910" t="e">
        <f>VLOOKUP(H2144,'LƯƠNG KT'!$D$16:$AC$184,8,0)*$L$11</f>
        <v>#N/A</v>
      </c>
      <c r="J2150" s="609" t="e">
        <f>VLOOKUP(H2144,'LƯƠNG KT'!$D$16:$AC$184,13,0)-J2149</f>
        <v>#N/A</v>
      </c>
      <c r="K2150" s="935"/>
      <c r="L2150" s="935"/>
      <c r="M2150" s="935"/>
      <c r="N2150" s="935"/>
      <c r="O2150" s="935"/>
    </row>
    <row r="2151" spans="1:15" ht="15" customHeight="1">
      <c r="A2151" s="609" t="s">
        <v>377</v>
      </c>
      <c r="B2151" s="546" t="s">
        <v>378</v>
      </c>
      <c r="C2151" s="910"/>
      <c r="D2151" s="609"/>
      <c r="E2151" s="916"/>
      <c r="F2151" s="916"/>
      <c r="G2151" s="609" t="s">
        <v>377</v>
      </c>
      <c r="H2151" s="546" t="s">
        <v>378</v>
      </c>
      <c r="I2151" s="910"/>
      <c r="J2151" s="609"/>
    </row>
    <row r="2152" spans="1:15" ht="15" customHeight="1">
      <c r="A2152" s="547" t="s">
        <v>379</v>
      </c>
      <c r="B2152" s="546" t="s">
        <v>380</v>
      </c>
      <c r="C2152" s="910"/>
      <c r="D2152" s="609"/>
      <c r="E2152" s="914"/>
      <c r="F2152" s="916"/>
      <c r="G2152" s="547" t="s">
        <v>379</v>
      </c>
      <c r="H2152" s="546" t="s">
        <v>380</v>
      </c>
      <c r="I2152" s="910"/>
      <c r="J2152" s="609"/>
    </row>
    <row r="2153" spans="1:15" ht="15" customHeight="1">
      <c r="A2153" s="905" t="s">
        <v>381</v>
      </c>
      <c r="B2153" s="546" t="s">
        <v>382</v>
      </c>
      <c r="C2153" s="910"/>
      <c r="D2153" s="609">
        <f>D2152</f>
        <v>0</v>
      </c>
      <c r="E2153" s="917"/>
      <c r="F2153" s="904"/>
      <c r="G2153" s="905" t="s">
        <v>381</v>
      </c>
      <c r="H2153" s="546" t="s">
        <v>382</v>
      </c>
      <c r="I2153" s="910"/>
      <c r="J2153" s="609">
        <f>J2152</f>
        <v>0</v>
      </c>
    </row>
    <row r="2154" spans="1:15" ht="15" customHeight="1">
      <c r="A2154" s="918" t="s">
        <v>383</v>
      </c>
      <c r="B2154" s="919" t="s">
        <v>384</v>
      </c>
      <c r="C2154" s="920"/>
      <c r="D2154" s="921" t="e">
        <f>SUM(D2145:D2150)-D2153</f>
        <v>#N/A</v>
      </c>
      <c r="E2154" s="922"/>
      <c r="F2154" s="923"/>
      <c r="G2154" s="918" t="s">
        <v>383</v>
      </c>
      <c r="H2154" s="919" t="s">
        <v>384</v>
      </c>
      <c r="I2154" s="920"/>
      <c r="J2154" s="921" t="e">
        <f>SUM(J2145:J2150)-J2153</f>
        <v>#N/A</v>
      </c>
    </row>
    <row r="2155" spans="1:15" ht="18.75" customHeight="1">
      <c r="A2155" s="924"/>
      <c r="B2155" s="925"/>
      <c r="C2155" s="926"/>
      <c r="D2155" s="927"/>
      <c r="E2155" s="927"/>
      <c r="F2155" s="928"/>
      <c r="G2155" s="924"/>
      <c r="H2155" s="925"/>
      <c r="I2155" s="926"/>
      <c r="J2155" s="927"/>
    </row>
    <row r="2156" spans="1:15" ht="18.75" customHeight="1">
      <c r="A2156" s="925"/>
      <c r="B2156" s="925"/>
      <c r="C2156" s="929"/>
      <c r="D2156" s="930"/>
      <c r="E2156" s="925"/>
      <c r="F2156" s="931"/>
      <c r="G2156" s="925"/>
      <c r="H2156" s="925"/>
      <c r="I2156" s="929"/>
      <c r="J2156" s="930"/>
    </row>
    <row r="2157" spans="1:15" ht="15" customHeight="1">
      <c r="A2157" s="2360" t="str">
        <f>$K$2</f>
        <v>THÁNG 09/2024</v>
      </c>
      <c r="B2157" s="2360"/>
      <c r="C2157" s="2360"/>
      <c r="D2157" s="2360"/>
      <c r="E2157" s="903"/>
      <c r="F2157" s="904"/>
      <c r="G2157" s="2360" t="str">
        <f>$K$2</f>
        <v>THÁNG 09/2024</v>
      </c>
      <c r="H2157" s="2360"/>
      <c r="I2157" s="2360"/>
      <c r="J2157" s="2360"/>
      <c r="K2157" s="276"/>
    </row>
    <row r="2158" spans="1:15" ht="15" customHeight="1">
      <c r="A2158" s="905" t="s">
        <v>356</v>
      </c>
      <c r="B2158" s="642" t="s">
        <v>190</v>
      </c>
      <c r="C2158" s="546"/>
      <c r="D2158" s="902"/>
      <c r="E2158" s="906"/>
      <c r="F2158" s="907"/>
      <c r="G2158" s="905" t="s">
        <v>356</v>
      </c>
      <c r="H2158" s="642" t="s">
        <v>191</v>
      </c>
      <c r="I2158" s="546"/>
      <c r="J2158" s="902"/>
      <c r="L2158" s="938"/>
      <c r="M2158" s="938"/>
      <c r="N2158" s="938"/>
      <c r="O2158" s="938"/>
    </row>
    <row r="2159" spans="1:15" ht="15" customHeight="1">
      <c r="A2159" s="905" t="s">
        <v>359</v>
      </c>
      <c r="B2159" s="939" t="s">
        <v>360</v>
      </c>
      <c r="C2159" s="910" t="e">
        <f>VLOOKUP(B2158,'LƯƠNG KT'!$D$16:$AC$184,3,0)</f>
        <v>#N/A</v>
      </c>
      <c r="D2159" s="609" t="e">
        <f>+C2159*25000</f>
        <v>#N/A</v>
      </c>
      <c r="E2159" s="911"/>
      <c r="F2159" s="911"/>
      <c r="G2159" s="905" t="s">
        <v>359</v>
      </c>
      <c r="H2159" s="939" t="s">
        <v>360</v>
      </c>
      <c r="I2159" s="910" t="e">
        <f>VLOOKUP(H2158,'LƯƠNG KT'!$D$16:$AC$184,3,0)</f>
        <v>#N/A</v>
      </c>
      <c r="J2159" s="609" t="e">
        <f>+I2159*25000</f>
        <v>#N/A</v>
      </c>
      <c r="K2159" s="935"/>
      <c r="L2159" s="935"/>
      <c r="M2159" s="935"/>
      <c r="N2159" s="935"/>
      <c r="O2159" s="935"/>
    </row>
    <row r="2160" spans="1:15" ht="15" customHeight="1">
      <c r="A2160" s="905" t="s">
        <v>361</v>
      </c>
      <c r="B2160" s="546" t="s">
        <v>362</v>
      </c>
      <c r="C2160" s="910" t="e">
        <f>VLOOKUP(B2158,'LƯƠNG KT'!$D$16:$AC$184,14,0)</f>
        <v>#N/A</v>
      </c>
      <c r="D2160" s="609" t="e">
        <f>C2160*$L$4</f>
        <v>#N/A</v>
      </c>
      <c r="E2160" s="912"/>
      <c r="F2160" s="912"/>
      <c r="G2160" s="905" t="s">
        <v>361</v>
      </c>
      <c r="H2160" s="546" t="s">
        <v>362</v>
      </c>
      <c r="I2160" s="910" t="e">
        <f>VLOOKUP(H2158,'LƯƠNG KT'!$D$16:$AC$184,14,0)</f>
        <v>#N/A</v>
      </c>
      <c r="J2160" s="609" t="e">
        <f>I2160*$L$4</f>
        <v>#N/A</v>
      </c>
      <c r="K2160" s="935"/>
      <c r="L2160" s="935"/>
      <c r="M2160" s="935"/>
      <c r="N2160" s="935"/>
      <c r="O2160" s="935"/>
    </row>
    <row r="2161" spans="1:15" ht="15" customHeight="1">
      <c r="A2161" s="905" t="s">
        <v>364</v>
      </c>
      <c r="B2161" s="546" t="s">
        <v>365</v>
      </c>
      <c r="C2161" s="910" t="e">
        <f>VLOOKUP(B2158,'LƯƠNG KT'!$D$16:$AC$184,15,0)</f>
        <v>#N/A</v>
      </c>
      <c r="D2161" s="609" t="e">
        <f>C2161*$L$5</f>
        <v>#N/A</v>
      </c>
      <c r="E2161" s="912"/>
      <c r="F2161" s="912"/>
      <c r="G2161" s="905" t="s">
        <v>364</v>
      </c>
      <c r="H2161" s="546" t="s">
        <v>365</v>
      </c>
      <c r="I2161" s="910" t="e">
        <f>VLOOKUP(H2158,'LƯƠNG KT'!$D$16:$AC$184,15,0)</f>
        <v>#N/A</v>
      </c>
      <c r="J2161" s="609" t="e">
        <f>I2161*$L$5</f>
        <v>#N/A</v>
      </c>
      <c r="K2161" s="935"/>
      <c r="L2161" s="935"/>
      <c r="M2161" s="935"/>
      <c r="N2161" s="935"/>
      <c r="O2161" s="935"/>
    </row>
    <row r="2162" spans="1:15" ht="15" customHeight="1">
      <c r="A2162" s="905" t="s">
        <v>367</v>
      </c>
      <c r="B2162" s="546"/>
      <c r="C2162" s="910" t="e">
        <f>VLOOKUP(B2158,'LƯƠNG KT'!$D$16:$AC$184,16,0)</f>
        <v>#N/A</v>
      </c>
      <c r="D2162" s="609" t="e">
        <f>+C2162*$L$6</f>
        <v>#N/A</v>
      </c>
      <c r="E2162" s="912"/>
      <c r="F2162" s="912"/>
      <c r="G2162" s="905" t="s">
        <v>367</v>
      </c>
      <c r="H2162" s="546"/>
      <c r="I2162" s="910" t="e">
        <f>VLOOKUP(H2158,'LƯƠNG KT'!$D$16:$AC$184,16,0)</f>
        <v>#N/A</v>
      </c>
      <c r="J2162" s="609" t="e">
        <f>+I2162*$L$6</f>
        <v>#N/A</v>
      </c>
      <c r="K2162" s="935"/>
      <c r="L2162" s="935"/>
      <c r="M2162" s="935"/>
      <c r="N2162" s="935"/>
      <c r="O2162" s="935"/>
    </row>
    <row r="2163" spans="1:15" ht="15" customHeight="1">
      <c r="A2163" s="905" t="s">
        <v>371</v>
      </c>
      <c r="B2163" s="546" t="s">
        <v>372</v>
      </c>
      <c r="C2163" s="910" t="e">
        <f>VLOOKUP(B2158,'LƯƠNG KT'!$D$16:$AC$184,9,0)*$L$10</f>
        <v>#N/A</v>
      </c>
      <c r="D2163" s="609" t="e">
        <f>+C2163*0.5*3000</f>
        <v>#N/A</v>
      </c>
      <c r="E2163" s="912"/>
      <c r="F2163" s="912"/>
      <c r="G2163" s="905" t="s">
        <v>371</v>
      </c>
      <c r="H2163" s="546" t="s">
        <v>372</v>
      </c>
      <c r="I2163" s="910" t="e">
        <f>VLOOKUP(H2158,'LƯƠNG KT'!$D$16:$AC$184,9,0)*$L$10</f>
        <v>#N/A</v>
      </c>
      <c r="J2163" s="609" t="e">
        <f>+I2163*0.5*3000</f>
        <v>#N/A</v>
      </c>
      <c r="K2163" s="935"/>
      <c r="L2163" s="935"/>
      <c r="M2163" s="935"/>
      <c r="N2163" s="935"/>
      <c r="O2163" s="935"/>
    </row>
    <row r="2164" spans="1:15" ht="15" customHeight="1">
      <c r="A2164" s="905" t="s">
        <v>374</v>
      </c>
      <c r="B2164" s="546" t="s">
        <v>375</v>
      </c>
      <c r="C2164" s="910" t="e">
        <f>VLOOKUP(B2158,'LƯƠNG KT'!$D$16:$AC$184,8,0)*$L$11</f>
        <v>#N/A</v>
      </c>
      <c r="D2164" s="609" t="e">
        <f>VLOOKUP(B2158,'LƯƠNG KT'!$D$16:$AC$184,13,0)-D2163</f>
        <v>#N/A</v>
      </c>
      <c r="E2164" s="914"/>
      <c r="F2164" s="912"/>
      <c r="G2164" s="905" t="s">
        <v>374</v>
      </c>
      <c r="H2164" s="546" t="s">
        <v>375</v>
      </c>
      <c r="I2164" s="910" t="e">
        <f>VLOOKUP(H2158,'LƯƠNG KT'!$D$16:$AC$184,8,0)*$L$11</f>
        <v>#N/A</v>
      </c>
      <c r="J2164" s="609" t="e">
        <f>VLOOKUP(H2158,'LƯƠNG KT'!$D$16:$AC$184,13,0)-J2163</f>
        <v>#N/A</v>
      </c>
      <c r="K2164" s="935"/>
      <c r="L2164" s="935"/>
      <c r="M2164" s="935"/>
      <c r="N2164" s="935"/>
      <c r="O2164" s="935"/>
    </row>
    <row r="2165" spans="1:15" ht="15" customHeight="1">
      <c r="A2165" s="609" t="s">
        <v>377</v>
      </c>
      <c r="B2165" s="546" t="s">
        <v>378</v>
      </c>
      <c r="C2165" s="910"/>
      <c r="D2165" s="609"/>
      <c r="E2165" s="916"/>
      <c r="F2165" s="916"/>
      <c r="G2165" s="609" t="s">
        <v>377</v>
      </c>
      <c r="H2165" s="546" t="s">
        <v>378</v>
      </c>
      <c r="I2165" s="910"/>
      <c r="J2165" s="609"/>
    </row>
    <row r="2166" spans="1:15" ht="15" customHeight="1">
      <c r="A2166" s="547" t="s">
        <v>379</v>
      </c>
      <c r="B2166" s="546" t="s">
        <v>380</v>
      </c>
      <c r="C2166" s="910"/>
      <c r="D2166" s="609"/>
      <c r="E2166" s="914"/>
      <c r="F2166" s="916"/>
      <c r="G2166" s="547" t="s">
        <v>379</v>
      </c>
      <c r="H2166" s="546" t="s">
        <v>380</v>
      </c>
      <c r="I2166" s="910"/>
      <c r="J2166" s="609"/>
    </row>
    <row r="2167" spans="1:15" ht="15" customHeight="1">
      <c r="A2167" s="905" t="s">
        <v>381</v>
      </c>
      <c r="B2167" s="546" t="s">
        <v>382</v>
      </c>
      <c r="C2167" s="910"/>
      <c r="D2167" s="609">
        <f>D2166</f>
        <v>0</v>
      </c>
      <c r="E2167" s="917"/>
      <c r="F2167" s="904"/>
      <c r="G2167" s="905" t="s">
        <v>381</v>
      </c>
      <c r="H2167" s="546" t="s">
        <v>382</v>
      </c>
      <c r="I2167" s="910"/>
      <c r="J2167" s="609">
        <f>J2166</f>
        <v>0</v>
      </c>
    </row>
    <row r="2168" spans="1:15" ht="15" customHeight="1">
      <c r="A2168" s="918" t="s">
        <v>383</v>
      </c>
      <c r="B2168" s="919" t="s">
        <v>384</v>
      </c>
      <c r="C2168" s="920"/>
      <c r="D2168" s="921" t="e">
        <f>SUM(D2159:D2164)-D2167</f>
        <v>#N/A</v>
      </c>
      <c r="E2168" s="922"/>
      <c r="F2168" s="923"/>
      <c r="G2168" s="918" t="s">
        <v>383</v>
      </c>
      <c r="H2168" s="919" t="s">
        <v>384</v>
      </c>
      <c r="I2168" s="920"/>
      <c r="J2168" s="921" t="e">
        <f>SUM(J2159:J2164)-J2167</f>
        <v>#N/A</v>
      </c>
    </row>
    <row r="2169" spans="1:15" ht="18.75" customHeight="1">
      <c r="A2169" s="924"/>
      <c r="B2169" s="925"/>
      <c r="C2169" s="926"/>
      <c r="D2169" s="927"/>
      <c r="E2169" s="927"/>
      <c r="F2169" s="928"/>
      <c r="G2169" s="924"/>
      <c r="H2169" s="925"/>
      <c r="I2169" s="926"/>
      <c r="J2169" s="927"/>
    </row>
    <row r="2170" spans="1:15" ht="18.75" customHeight="1">
      <c r="A2170" s="925"/>
      <c r="B2170" s="925"/>
      <c r="C2170" s="929"/>
      <c r="D2170" s="930"/>
      <c r="E2170" s="925"/>
      <c r="F2170" s="931"/>
      <c r="G2170" s="925"/>
      <c r="H2170" s="925"/>
      <c r="I2170" s="929"/>
      <c r="J2170" s="930"/>
    </row>
    <row r="2171" spans="1:15" ht="15" customHeight="1">
      <c r="A2171" s="2360" t="str">
        <f>$K$2</f>
        <v>THÁNG 09/2024</v>
      </c>
      <c r="B2171" s="2360"/>
      <c r="C2171" s="2360"/>
      <c r="D2171" s="2360"/>
      <c r="E2171" s="903"/>
      <c r="F2171" s="904"/>
      <c r="G2171" s="2360" t="str">
        <f>$K$2</f>
        <v>THÁNG 09/2024</v>
      </c>
      <c r="H2171" s="2360"/>
      <c r="I2171" s="2360"/>
      <c r="J2171" s="2360"/>
      <c r="K2171" s="276"/>
    </row>
    <row r="2172" spans="1:15" ht="15" customHeight="1">
      <c r="A2172" s="905" t="s">
        <v>356</v>
      </c>
      <c r="B2172" s="642" t="s">
        <v>504</v>
      </c>
      <c r="C2172" s="546"/>
      <c r="D2172" s="902"/>
      <c r="E2172" s="906"/>
      <c r="F2172" s="907"/>
      <c r="G2172" s="905" t="s">
        <v>356</v>
      </c>
      <c r="H2172" s="642" t="s">
        <v>193</v>
      </c>
      <c r="I2172" s="546"/>
      <c r="J2172" s="902"/>
      <c r="L2172" s="938"/>
      <c r="M2172" s="938"/>
      <c r="N2172" s="938"/>
      <c r="O2172" s="938"/>
    </row>
    <row r="2173" spans="1:15" ht="15" customHeight="1">
      <c r="A2173" s="905" t="s">
        <v>359</v>
      </c>
      <c r="B2173" s="939" t="s">
        <v>360</v>
      </c>
      <c r="C2173" s="910" t="e">
        <f>VLOOKUP(B2172,'LƯƠNG KT'!$D$16:$AC$184,3,0)</f>
        <v>#N/A</v>
      </c>
      <c r="D2173" s="609" t="e">
        <f>+C2173*25000</f>
        <v>#N/A</v>
      </c>
      <c r="E2173" s="911"/>
      <c r="F2173" s="911"/>
      <c r="G2173" s="905" t="s">
        <v>359</v>
      </c>
      <c r="H2173" s="939" t="s">
        <v>360</v>
      </c>
      <c r="I2173" s="910" t="e">
        <f>VLOOKUP(H2172,'LƯƠNG KT'!$D$16:$AC$184,3,0)</f>
        <v>#N/A</v>
      </c>
      <c r="J2173" s="609" t="e">
        <f>+I2173*25000</f>
        <v>#N/A</v>
      </c>
      <c r="K2173" s="935"/>
      <c r="L2173" s="935"/>
      <c r="M2173" s="935"/>
      <c r="N2173" s="935"/>
      <c r="O2173" s="935"/>
    </row>
    <row r="2174" spans="1:15" ht="15" customHeight="1">
      <c r="A2174" s="905" t="s">
        <v>361</v>
      </c>
      <c r="B2174" s="546" t="s">
        <v>362</v>
      </c>
      <c r="C2174" s="910" t="e">
        <f>VLOOKUP(B2172,'LƯƠNG KT'!$D$16:$AC$184,14,0)</f>
        <v>#N/A</v>
      </c>
      <c r="D2174" s="609" t="e">
        <f>C2174*$L$4</f>
        <v>#N/A</v>
      </c>
      <c r="E2174" s="912"/>
      <c r="F2174" s="912"/>
      <c r="G2174" s="905" t="s">
        <v>361</v>
      </c>
      <c r="H2174" s="546" t="s">
        <v>362</v>
      </c>
      <c r="I2174" s="910" t="e">
        <f>VLOOKUP(H2172,'LƯƠNG KT'!$D$16:$AC$184,14,0)</f>
        <v>#N/A</v>
      </c>
      <c r="J2174" s="609" t="e">
        <f>I2174*$L$4</f>
        <v>#N/A</v>
      </c>
      <c r="K2174" s="935"/>
      <c r="L2174" s="935"/>
      <c r="M2174" s="935"/>
      <c r="N2174" s="935"/>
      <c r="O2174" s="935"/>
    </row>
    <row r="2175" spans="1:15" ht="15" customHeight="1">
      <c r="A2175" s="905" t="s">
        <v>364</v>
      </c>
      <c r="B2175" s="546" t="s">
        <v>365</v>
      </c>
      <c r="C2175" s="910" t="e">
        <f>VLOOKUP(B2172,'LƯƠNG KT'!$D$16:$AC$184,15,0)</f>
        <v>#N/A</v>
      </c>
      <c r="D2175" s="609" t="e">
        <f>C2175*$L$5</f>
        <v>#N/A</v>
      </c>
      <c r="E2175" s="912"/>
      <c r="F2175" s="912"/>
      <c r="G2175" s="905" t="s">
        <v>364</v>
      </c>
      <c r="H2175" s="546" t="s">
        <v>365</v>
      </c>
      <c r="I2175" s="910" t="e">
        <f>VLOOKUP(H2172,'LƯƠNG KT'!$D$16:$AC$184,15,0)</f>
        <v>#N/A</v>
      </c>
      <c r="J2175" s="609" t="e">
        <f>I2175*$L$5</f>
        <v>#N/A</v>
      </c>
      <c r="K2175" s="935"/>
      <c r="L2175" s="935"/>
      <c r="M2175" s="935"/>
      <c r="N2175" s="935"/>
      <c r="O2175" s="935"/>
    </row>
    <row r="2176" spans="1:15" ht="15" customHeight="1">
      <c r="A2176" s="905" t="s">
        <v>367</v>
      </c>
      <c r="B2176" s="546"/>
      <c r="C2176" s="910" t="e">
        <f>VLOOKUP(B2172,'LƯƠNG KT'!$D$16:$AC$184,16,0)</f>
        <v>#N/A</v>
      </c>
      <c r="D2176" s="609" t="e">
        <f>+C2176*$L$6</f>
        <v>#N/A</v>
      </c>
      <c r="E2176" s="912"/>
      <c r="F2176" s="912"/>
      <c r="G2176" s="905" t="s">
        <v>367</v>
      </c>
      <c r="H2176" s="546"/>
      <c r="I2176" s="910" t="e">
        <f>VLOOKUP(H2172,'LƯƠNG KT'!$D$16:$AC$184,16,0)</f>
        <v>#N/A</v>
      </c>
      <c r="J2176" s="609" t="e">
        <f>+I2176*$L$6</f>
        <v>#N/A</v>
      </c>
      <c r="K2176" s="935"/>
      <c r="L2176" s="935"/>
      <c r="M2176" s="935"/>
      <c r="N2176" s="935"/>
      <c r="O2176" s="935"/>
    </row>
    <row r="2177" spans="1:15" ht="15" customHeight="1">
      <c r="A2177" s="905" t="s">
        <v>371</v>
      </c>
      <c r="B2177" s="546" t="s">
        <v>372</v>
      </c>
      <c r="C2177" s="910" t="e">
        <f>VLOOKUP(B2172,'LƯƠNG KT'!$D$16:$AC$184,9,0)*$L$10</f>
        <v>#N/A</v>
      </c>
      <c r="D2177" s="609" t="e">
        <f>+C2177*0.5*3000</f>
        <v>#N/A</v>
      </c>
      <c r="E2177" s="912"/>
      <c r="F2177" s="912"/>
      <c r="G2177" s="905" t="s">
        <v>371</v>
      </c>
      <c r="H2177" s="546" t="s">
        <v>372</v>
      </c>
      <c r="I2177" s="910" t="e">
        <f>VLOOKUP(H2172,'LƯƠNG KT'!$D$16:$AC$184,9,0)*$L$10</f>
        <v>#N/A</v>
      </c>
      <c r="J2177" s="609" t="e">
        <f>+I2177*0.5*3000</f>
        <v>#N/A</v>
      </c>
      <c r="K2177" s="935"/>
      <c r="L2177" s="935"/>
      <c r="M2177" s="935"/>
      <c r="N2177" s="935"/>
      <c r="O2177" s="935"/>
    </row>
    <row r="2178" spans="1:15" ht="15" customHeight="1">
      <c r="A2178" s="905" t="s">
        <v>374</v>
      </c>
      <c r="B2178" s="546" t="s">
        <v>375</v>
      </c>
      <c r="C2178" s="910" t="e">
        <f>VLOOKUP(B2172,'LƯƠNG KT'!$D$16:$AC$184,8,0)*$L$11</f>
        <v>#N/A</v>
      </c>
      <c r="D2178" s="609" t="e">
        <f>VLOOKUP(B2172,'LƯƠNG KT'!$D$16:$AC$184,13,0)-D2177</f>
        <v>#N/A</v>
      </c>
      <c r="E2178" s="914"/>
      <c r="F2178" s="912"/>
      <c r="G2178" s="905" t="s">
        <v>374</v>
      </c>
      <c r="H2178" s="546" t="s">
        <v>375</v>
      </c>
      <c r="I2178" s="910" t="e">
        <f>VLOOKUP(H2172,'LƯƠNG KT'!$D$16:$AC$184,8,0)*$L$11</f>
        <v>#N/A</v>
      </c>
      <c r="J2178" s="609" t="e">
        <f>VLOOKUP(H2172,'LƯƠNG KT'!$D$16:$AC$184,13,0)-J2177</f>
        <v>#N/A</v>
      </c>
      <c r="K2178" s="935"/>
      <c r="L2178" s="935"/>
      <c r="M2178" s="935"/>
      <c r="N2178" s="935"/>
      <c r="O2178" s="935"/>
    </row>
    <row r="2179" spans="1:15" ht="15" customHeight="1">
      <c r="A2179" s="609" t="s">
        <v>377</v>
      </c>
      <c r="B2179" s="546" t="s">
        <v>378</v>
      </c>
      <c r="C2179" s="910"/>
      <c r="D2179" s="609"/>
      <c r="E2179" s="916"/>
      <c r="F2179" s="916"/>
      <c r="G2179" s="609" t="s">
        <v>377</v>
      </c>
      <c r="H2179" s="546" t="s">
        <v>378</v>
      </c>
      <c r="I2179" s="910"/>
      <c r="J2179" s="609"/>
    </row>
    <row r="2180" spans="1:15" ht="15" customHeight="1">
      <c r="A2180" s="547" t="s">
        <v>379</v>
      </c>
      <c r="B2180" s="546" t="s">
        <v>380</v>
      </c>
      <c r="C2180" s="910"/>
      <c r="D2180" s="609"/>
      <c r="E2180" s="914"/>
      <c r="F2180" s="916"/>
      <c r="G2180" s="547" t="s">
        <v>379</v>
      </c>
      <c r="H2180" s="546" t="s">
        <v>380</v>
      </c>
      <c r="I2180" s="910"/>
      <c r="J2180" s="609"/>
    </row>
    <row r="2181" spans="1:15" ht="15" customHeight="1">
      <c r="A2181" s="905" t="s">
        <v>381</v>
      </c>
      <c r="B2181" s="546" t="s">
        <v>382</v>
      </c>
      <c r="C2181" s="910"/>
      <c r="D2181" s="609">
        <f>D2180</f>
        <v>0</v>
      </c>
      <c r="E2181" s="917"/>
      <c r="F2181" s="904"/>
      <c r="G2181" s="905" t="s">
        <v>381</v>
      </c>
      <c r="H2181" s="546" t="s">
        <v>382</v>
      </c>
      <c r="I2181" s="910"/>
      <c r="J2181" s="609">
        <f>J2180</f>
        <v>0</v>
      </c>
    </row>
    <row r="2182" spans="1:15" ht="15" customHeight="1">
      <c r="A2182" s="918" t="s">
        <v>383</v>
      </c>
      <c r="B2182" s="919" t="s">
        <v>384</v>
      </c>
      <c r="C2182" s="920"/>
      <c r="D2182" s="921" t="e">
        <f>SUM(D2173:D2178)-D2181</f>
        <v>#N/A</v>
      </c>
      <c r="E2182" s="922"/>
      <c r="F2182" s="923"/>
      <c r="G2182" s="918" t="s">
        <v>383</v>
      </c>
      <c r="H2182" s="919" t="s">
        <v>384</v>
      </c>
      <c r="I2182" s="920"/>
      <c r="J2182" s="921" t="e">
        <f>SUM(J2173:J2178)-J2181</f>
        <v>#N/A</v>
      </c>
    </row>
    <row r="2183" spans="1:15" ht="15.75" customHeight="1">
      <c r="A2183" s="924"/>
      <c r="B2183" s="925"/>
      <c r="C2183" s="926"/>
      <c r="D2183" s="927"/>
      <c r="E2183" s="927"/>
      <c r="F2183" s="928"/>
      <c r="G2183" s="924"/>
      <c r="H2183" s="925"/>
      <c r="I2183" s="926"/>
      <c r="J2183" s="927"/>
    </row>
    <row r="2185" spans="1:15" ht="12" customHeight="1">
      <c r="A2185" s="2361"/>
      <c r="B2185" s="2361"/>
      <c r="C2185" s="2361"/>
      <c r="D2185" s="2361"/>
      <c r="E2185" s="2361"/>
      <c r="F2185" s="2361"/>
      <c r="G2185" s="2361"/>
      <c r="H2185" s="2361"/>
      <c r="I2185" s="2361"/>
      <c r="J2185" s="2361"/>
    </row>
    <row r="2186" spans="1:15" ht="15" customHeight="1">
      <c r="A2186" s="2360" t="str">
        <f>$K$2</f>
        <v>THÁNG 09/2024</v>
      </c>
      <c r="B2186" s="2360"/>
      <c r="C2186" s="2360"/>
      <c r="D2186" s="2360"/>
      <c r="E2186" s="903"/>
      <c r="F2186" s="904"/>
      <c r="G2186" s="2360" t="str">
        <f>$K$2</f>
        <v>THÁNG 09/2024</v>
      </c>
      <c r="H2186" s="2360"/>
      <c r="I2186" s="2360"/>
      <c r="J2186" s="2360"/>
      <c r="K2186" s="276"/>
    </row>
    <row r="2187" spans="1:15" ht="15" customHeight="1">
      <c r="A2187" s="905" t="s">
        <v>356</v>
      </c>
      <c r="B2187" s="642" t="s">
        <v>194</v>
      </c>
      <c r="C2187" s="546"/>
      <c r="D2187" s="902"/>
      <c r="E2187" s="906"/>
      <c r="F2187" s="907"/>
      <c r="G2187" s="905" t="s">
        <v>356</v>
      </c>
      <c r="H2187" s="642" t="s">
        <v>195</v>
      </c>
      <c r="I2187" s="546"/>
      <c r="J2187" s="902"/>
      <c r="L2187" s="938"/>
      <c r="M2187" s="938"/>
      <c r="N2187" s="938"/>
      <c r="O2187" s="938"/>
    </row>
    <row r="2188" spans="1:15" ht="15" customHeight="1">
      <c r="A2188" s="905" t="s">
        <v>359</v>
      </c>
      <c r="B2188" s="939" t="s">
        <v>360</v>
      </c>
      <c r="C2188" s="910" t="e">
        <f>VLOOKUP(B2187,'LƯƠNG KT'!$D$16:$AC$184,3,0)</f>
        <v>#N/A</v>
      </c>
      <c r="D2188" s="609" t="e">
        <f>+C2188*25000</f>
        <v>#N/A</v>
      </c>
      <c r="E2188" s="911"/>
      <c r="F2188" s="911"/>
      <c r="G2188" s="905" t="s">
        <v>359</v>
      </c>
      <c r="H2188" s="939" t="s">
        <v>360</v>
      </c>
      <c r="I2188" s="910" t="e">
        <f>VLOOKUP(H2187,'LƯƠNG KT'!$D$16:$AC$184,3,0)</f>
        <v>#N/A</v>
      </c>
      <c r="J2188" s="609" t="e">
        <f>+I2188*25000</f>
        <v>#N/A</v>
      </c>
      <c r="K2188" s="934"/>
      <c r="L2188" s="935"/>
      <c r="M2188" s="935"/>
      <c r="N2188" s="935"/>
      <c r="O2188" s="935"/>
    </row>
    <row r="2189" spans="1:15" ht="15" customHeight="1">
      <c r="A2189" s="905" t="s">
        <v>361</v>
      </c>
      <c r="B2189" s="546" t="s">
        <v>362</v>
      </c>
      <c r="C2189" s="910" t="e">
        <f>VLOOKUP(B2187,'LƯƠNG KT'!$D$16:$AC$184,14,0)</f>
        <v>#N/A</v>
      </c>
      <c r="D2189" s="609" t="e">
        <f>C2189*$L$4</f>
        <v>#N/A</v>
      </c>
      <c r="E2189" s="912"/>
      <c r="F2189" s="912"/>
      <c r="G2189" s="905" t="s">
        <v>361</v>
      </c>
      <c r="H2189" s="546" t="s">
        <v>362</v>
      </c>
      <c r="I2189" s="910" t="e">
        <f>VLOOKUP(H2187,'LƯƠNG KT'!$D$16:$AC$184,14,0)</f>
        <v>#N/A</v>
      </c>
      <c r="J2189" s="609" t="e">
        <f>I2189*$L$4</f>
        <v>#N/A</v>
      </c>
      <c r="K2189" s="934"/>
      <c r="L2189" s="935"/>
      <c r="M2189" s="935"/>
      <c r="N2189" s="935"/>
      <c r="O2189" s="935"/>
    </row>
    <row r="2190" spans="1:15" ht="15" customHeight="1">
      <c r="A2190" s="905" t="s">
        <v>364</v>
      </c>
      <c r="B2190" s="546" t="s">
        <v>365</v>
      </c>
      <c r="C2190" s="910" t="e">
        <f>VLOOKUP(B2187,'LƯƠNG KT'!$D$16:$AC$184,15,0)</f>
        <v>#N/A</v>
      </c>
      <c r="D2190" s="609" t="e">
        <f>C2190*$L$5</f>
        <v>#N/A</v>
      </c>
      <c r="E2190" s="912"/>
      <c r="F2190" s="912"/>
      <c r="G2190" s="905" t="s">
        <v>364</v>
      </c>
      <c r="H2190" s="546" t="s">
        <v>365</v>
      </c>
      <c r="I2190" s="910" t="e">
        <f>VLOOKUP(H2187,'LƯƠNG KT'!$D$16:$AC$184,15,0)</f>
        <v>#N/A</v>
      </c>
      <c r="J2190" s="609" t="e">
        <f>I2190*$L$5</f>
        <v>#N/A</v>
      </c>
      <c r="K2190" s="934"/>
      <c r="L2190" s="935"/>
      <c r="M2190" s="935"/>
      <c r="N2190" s="935"/>
      <c r="O2190" s="935"/>
    </row>
    <row r="2191" spans="1:15" ht="15" customHeight="1">
      <c r="A2191" s="905" t="s">
        <v>367</v>
      </c>
      <c r="B2191" s="546"/>
      <c r="C2191" s="910" t="e">
        <f>VLOOKUP(B2187,'LƯƠNG KT'!$D$16:$AC$184,16,0)</f>
        <v>#N/A</v>
      </c>
      <c r="D2191" s="609" t="e">
        <f>+C2191*$L$6</f>
        <v>#N/A</v>
      </c>
      <c r="E2191" s="912"/>
      <c r="F2191" s="912"/>
      <c r="G2191" s="905" t="s">
        <v>367</v>
      </c>
      <c r="H2191" s="546"/>
      <c r="I2191" s="910" t="e">
        <f>VLOOKUP(H2187,'LƯƠNG KT'!$D$16:$AC$184,16,0)</f>
        <v>#N/A</v>
      </c>
      <c r="J2191" s="609" t="e">
        <f>+I2191*$L$6</f>
        <v>#N/A</v>
      </c>
      <c r="K2191" s="935"/>
      <c r="L2191" s="935"/>
      <c r="M2191" s="935"/>
      <c r="N2191" s="935"/>
      <c r="O2191" s="935"/>
    </row>
    <row r="2192" spans="1:15" ht="15" customHeight="1">
      <c r="A2192" s="905" t="s">
        <v>371</v>
      </c>
      <c r="B2192" s="546" t="s">
        <v>372</v>
      </c>
      <c r="C2192" s="910" t="e">
        <f>VLOOKUP(B2187,'LƯƠNG KT'!$D$16:$AC$184,9,0)*$L$10</f>
        <v>#N/A</v>
      </c>
      <c r="D2192" s="609" t="e">
        <f>+C2192*0.5*3000</f>
        <v>#N/A</v>
      </c>
      <c r="E2192" s="912"/>
      <c r="F2192" s="912"/>
      <c r="G2192" s="905" t="s">
        <v>371</v>
      </c>
      <c r="H2192" s="546" t="s">
        <v>372</v>
      </c>
      <c r="I2192" s="910" t="e">
        <f>VLOOKUP(H2187,'LƯƠNG KT'!$D$16:$AC$184,9,0)*$L$10</f>
        <v>#N/A</v>
      </c>
      <c r="J2192" s="609" t="e">
        <f>+I2192*0.5*3000</f>
        <v>#N/A</v>
      </c>
      <c r="K2192" s="935"/>
      <c r="L2192" s="935"/>
      <c r="M2192" s="935"/>
      <c r="N2192" s="935"/>
      <c r="O2192" s="935"/>
    </row>
    <row r="2193" spans="1:15" ht="15" customHeight="1">
      <c r="A2193" s="905" t="s">
        <v>374</v>
      </c>
      <c r="B2193" s="546" t="s">
        <v>375</v>
      </c>
      <c r="C2193" s="910" t="e">
        <f>VLOOKUP(B2187,'LƯƠNG KT'!$D$16:$AC$184,8,0)*$L$11</f>
        <v>#N/A</v>
      </c>
      <c r="D2193" s="609" t="e">
        <f>VLOOKUP(B2187,'LƯƠNG KT'!$D$16:$AC$184,13,0)-D2192</f>
        <v>#N/A</v>
      </c>
      <c r="E2193" s="914"/>
      <c r="F2193" s="912"/>
      <c r="G2193" s="905" t="s">
        <v>374</v>
      </c>
      <c r="H2193" s="546" t="s">
        <v>375</v>
      </c>
      <c r="I2193" s="910" t="e">
        <f>VLOOKUP(H2187,'LƯƠNG KT'!$D$16:$AC$184,8,0)*$L$11</f>
        <v>#N/A</v>
      </c>
      <c r="J2193" s="609" t="e">
        <f>VLOOKUP(H2187,'LƯƠNG KT'!$D$16:$AC$184,13,0)-J2192</f>
        <v>#N/A</v>
      </c>
      <c r="K2193" s="935"/>
      <c r="L2193" s="935"/>
      <c r="M2193" s="935"/>
      <c r="N2193" s="935"/>
      <c r="O2193" s="935"/>
    </row>
    <row r="2194" spans="1:15" ht="15" customHeight="1">
      <c r="A2194" s="609" t="s">
        <v>377</v>
      </c>
      <c r="B2194" s="546" t="s">
        <v>378</v>
      </c>
      <c r="C2194" s="910"/>
      <c r="D2194" s="609"/>
      <c r="E2194" s="916"/>
      <c r="F2194" s="916"/>
      <c r="G2194" s="609" t="s">
        <v>377</v>
      </c>
      <c r="H2194" s="546" t="s">
        <v>378</v>
      </c>
      <c r="I2194" s="910"/>
      <c r="J2194" s="609"/>
    </row>
    <row r="2195" spans="1:15" ht="15" customHeight="1">
      <c r="A2195" s="547" t="s">
        <v>379</v>
      </c>
      <c r="B2195" s="546" t="s">
        <v>380</v>
      </c>
      <c r="C2195" s="910"/>
      <c r="D2195" s="609"/>
      <c r="E2195" s="914"/>
      <c r="F2195" s="916"/>
      <c r="G2195" s="547" t="s">
        <v>379</v>
      </c>
      <c r="H2195" s="546" t="s">
        <v>380</v>
      </c>
      <c r="I2195" s="910"/>
      <c r="J2195" s="609"/>
    </row>
    <row r="2196" spans="1:15" ht="15" customHeight="1">
      <c r="A2196" s="905" t="s">
        <v>381</v>
      </c>
      <c r="B2196" s="546" t="s">
        <v>382</v>
      </c>
      <c r="C2196" s="910"/>
      <c r="D2196" s="609">
        <f>D2195</f>
        <v>0</v>
      </c>
      <c r="E2196" s="917"/>
      <c r="F2196" s="904"/>
      <c r="G2196" s="905" t="s">
        <v>381</v>
      </c>
      <c r="H2196" s="546" t="s">
        <v>382</v>
      </c>
      <c r="I2196" s="910"/>
      <c r="J2196" s="609">
        <f>J2195</f>
        <v>0</v>
      </c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SUM(D2188:D2193)-D2196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SUM(J2188:J2193)-J2196</f>
        <v>#N/A</v>
      </c>
    </row>
    <row r="2198" spans="1:15" ht="12.6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2.6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60" t="str">
        <f>$K$2</f>
        <v>THÁNG 09/2024</v>
      </c>
      <c r="B2200" s="2360"/>
      <c r="C2200" s="2360"/>
      <c r="D2200" s="2360"/>
      <c r="E2200" s="903"/>
      <c r="F2200" s="904"/>
      <c r="G2200" s="2360" t="str">
        <f>$K$2</f>
        <v>THÁNG 09/2024</v>
      </c>
      <c r="H2200" s="2360"/>
      <c r="I2200" s="2360"/>
      <c r="J2200" s="2360"/>
      <c r="K2200" s="276"/>
    </row>
    <row r="2201" spans="1:15" ht="15" customHeight="1">
      <c r="A2201" s="905" t="s">
        <v>356</v>
      </c>
      <c r="B2201" s="642" t="s">
        <v>196</v>
      </c>
      <c r="C2201" s="546"/>
      <c r="D2201" s="902"/>
      <c r="E2201" s="906"/>
      <c r="F2201" s="907"/>
      <c r="G2201" s="905" t="s">
        <v>356</v>
      </c>
      <c r="H2201" s="642" t="s">
        <v>197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5" t="s">
        <v>359</v>
      </c>
      <c r="B2202" s="939" t="s">
        <v>360</v>
      </c>
      <c r="C2202" s="910" t="e">
        <f>VLOOKUP(B2201,'LƯƠNG KT'!$D$16:$AC$184,3,0)</f>
        <v>#N/A</v>
      </c>
      <c r="D2202" s="609" t="e">
        <f>+C2202*25000</f>
        <v>#N/A</v>
      </c>
      <c r="E2202" s="911"/>
      <c r="F2202" s="911"/>
      <c r="G2202" s="905" t="s">
        <v>359</v>
      </c>
      <c r="H2202" s="939" t="s">
        <v>360</v>
      </c>
      <c r="I2202" s="910" t="e">
        <f>VLOOKUP(H2201,'LƯƠNG KT'!$D$16:$AC$184,3,0)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5" t="s">
        <v>361</v>
      </c>
      <c r="B2203" s="546" t="s">
        <v>362</v>
      </c>
      <c r="C2203" s="910" t="e">
        <f>VLOOKUP(B2201,'LƯƠNG KT'!$D$16:$AC$184,14,0)</f>
        <v>#N/A</v>
      </c>
      <c r="D2203" s="609" t="e">
        <f>C2203*$L$4</f>
        <v>#N/A</v>
      </c>
      <c r="E2203" s="912"/>
      <c r="F2203" s="912"/>
      <c r="G2203" s="905" t="s">
        <v>361</v>
      </c>
      <c r="H2203" s="546" t="s">
        <v>362</v>
      </c>
      <c r="I2203" s="910" t="e">
        <f>VLOOKUP(H2201,'LƯƠNG KT'!$D$16:$AC$184,14,0)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5" t="s">
        <v>364</v>
      </c>
      <c r="B2204" s="546" t="s">
        <v>365</v>
      </c>
      <c r="C2204" s="910" t="e">
        <f>VLOOKUP(B2201,'LƯƠNG KT'!$D$16:$AC$184,15,0)</f>
        <v>#N/A</v>
      </c>
      <c r="D2204" s="609" t="e">
        <f>C2204*$L$5</f>
        <v>#N/A</v>
      </c>
      <c r="E2204" s="912"/>
      <c r="F2204" s="912"/>
      <c r="G2204" s="905" t="s">
        <v>364</v>
      </c>
      <c r="H2204" s="546" t="s">
        <v>365</v>
      </c>
      <c r="I2204" s="910" t="e">
        <f>VLOOKUP(H2201,'LƯƠNG KT'!$D$16:$AC$184,15,0)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5" t="s">
        <v>367</v>
      </c>
      <c r="B2205" s="546"/>
      <c r="C2205" s="910" t="e">
        <f>VLOOKUP(B2201,'LƯƠNG KT'!$D$16:$AC$184,16,0)</f>
        <v>#N/A</v>
      </c>
      <c r="D2205" s="609" t="e">
        <f>+C2205*$L$6</f>
        <v>#N/A</v>
      </c>
      <c r="E2205" s="912"/>
      <c r="F2205" s="912"/>
      <c r="G2205" s="905" t="s">
        <v>367</v>
      </c>
      <c r="H2205" s="546"/>
      <c r="I2205" s="910" t="e">
        <f>VLOOKUP(H2201,'LƯƠNG KT'!$D$16:$AC$184,16,0)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5" t="s">
        <v>371</v>
      </c>
      <c r="B2206" s="546" t="s">
        <v>372</v>
      </c>
      <c r="C2206" s="910" t="e">
        <f>VLOOKUP(B2201,'LƯƠNG KT'!$D$16:$AC$184,9,0)*$L$10</f>
        <v>#N/A</v>
      </c>
      <c r="D2206" s="609" t="e">
        <f>+C2206*0.5*3000</f>
        <v>#N/A</v>
      </c>
      <c r="E2206" s="912"/>
      <c r="F2206" s="912"/>
      <c r="G2206" s="905" t="s">
        <v>371</v>
      </c>
      <c r="H2206" s="546" t="s">
        <v>372</v>
      </c>
      <c r="I2206" s="910" t="e">
        <f>VLOOKUP(H2201,'LƯƠNG KT'!$D$16:$AC$184,9,0)*$L$10</f>
        <v>#N/A</v>
      </c>
      <c r="J2206" s="609" t="e">
        <f>+I2206*0.5*3000</f>
        <v>#N/A</v>
      </c>
      <c r="K2206" s="935"/>
      <c r="L2206" s="935"/>
      <c r="M2206" s="935"/>
      <c r="N2206" s="935"/>
      <c r="O2206" s="935"/>
    </row>
    <row r="2207" spans="1:15" ht="15" customHeight="1">
      <c r="A2207" s="905" t="s">
        <v>374</v>
      </c>
      <c r="B2207" s="546" t="s">
        <v>375</v>
      </c>
      <c r="C2207" s="910" t="e">
        <f>VLOOKUP(B2201,'LƯƠNG KT'!$D$16:$AC$184,8,0)*$L$11</f>
        <v>#N/A</v>
      </c>
      <c r="D2207" s="609" t="e">
        <f>VLOOKUP(B2201,'LƯƠNG KT'!$D$16:$AC$184,13,0)-D2206</f>
        <v>#N/A</v>
      </c>
      <c r="E2207" s="914"/>
      <c r="F2207" s="912"/>
      <c r="G2207" s="905" t="s">
        <v>374</v>
      </c>
      <c r="H2207" s="546" t="s">
        <v>375</v>
      </c>
      <c r="I2207" s="910" t="e">
        <f>VLOOKUP(H2201,'LƯƠNG KT'!$D$16:$AC$184,8,0)*$L$11</f>
        <v>#N/A</v>
      </c>
      <c r="J2207" s="609" t="e">
        <f>VLOOKUP(H2201,'LƯƠNG KT'!$D$16:$AC$184,13,0)-J2206</f>
        <v>#N/A</v>
      </c>
      <c r="K2207" s="935"/>
      <c r="L2207" s="935"/>
      <c r="M2207" s="935"/>
      <c r="N2207" s="935"/>
      <c r="O2207" s="935"/>
    </row>
    <row r="2208" spans="1:15" ht="15" customHeight="1">
      <c r="A2208" s="609" t="s">
        <v>377</v>
      </c>
      <c r="B2208" s="546" t="s">
        <v>378</v>
      </c>
      <c r="C2208" s="910"/>
      <c r="D2208" s="609"/>
      <c r="E2208" s="916"/>
      <c r="F2208" s="916"/>
      <c r="G2208" s="609" t="s">
        <v>377</v>
      </c>
      <c r="H2208" s="546" t="s">
        <v>378</v>
      </c>
      <c r="I2208" s="910"/>
      <c r="J2208" s="609"/>
    </row>
    <row r="2209" spans="1:15" ht="15" customHeight="1">
      <c r="A2209" s="547" t="s">
        <v>379</v>
      </c>
      <c r="B2209" s="546" t="s">
        <v>380</v>
      </c>
      <c r="C2209" s="910"/>
      <c r="D2209" s="609"/>
      <c r="E2209" s="914"/>
      <c r="F2209" s="916"/>
      <c r="G2209" s="547" t="s">
        <v>379</v>
      </c>
      <c r="H2209" s="546" t="s">
        <v>380</v>
      </c>
      <c r="I2209" s="910"/>
      <c r="J2209" s="609"/>
    </row>
    <row r="2210" spans="1:15" ht="15" customHeight="1">
      <c r="A2210" s="905" t="s">
        <v>381</v>
      </c>
      <c r="B2210" s="546" t="s">
        <v>382</v>
      </c>
      <c r="C2210" s="910"/>
      <c r="D2210" s="609">
        <f>D2209</f>
        <v>0</v>
      </c>
      <c r="E2210" s="917"/>
      <c r="F2210" s="904"/>
      <c r="G2210" s="905" t="s">
        <v>381</v>
      </c>
      <c r="H2210" s="546" t="s">
        <v>382</v>
      </c>
      <c r="I2210" s="910"/>
      <c r="J2210" s="609">
        <f>J2209</f>
        <v>0</v>
      </c>
    </row>
    <row r="2211" spans="1:15" ht="15" customHeight="1">
      <c r="A2211" s="918" t="s">
        <v>383</v>
      </c>
      <c r="B2211" s="919" t="s">
        <v>384</v>
      </c>
      <c r="C2211" s="920"/>
      <c r="D2211" s="921" t="e">
        <f>SUM(D2202:D2207)-D2210</f>
        <v>#N/A</v>
      </c>
      <c r="E2211" s="922"/>
      <c r="F2211" s="923"/>
      <c r="G2211" s="918" t="s">
        <v>383</v>
      </c>
      <c r="H2211" s="919" t="s">
        <v>384</v>
      </c>
      <c r="I2211" s="920"/>
      <c r="J2211" s="921" t="e">
        <f>SUM(J2202:J2207)-J2210</f>
        <v>#N/A</v>
      </c>
    </row>
    <row r="2212" spans="1:15" ht="18.75" customHeight="1">
      <c r="A2212" s="924"/>
      <c r="B2212" s="925"/>
      <c r="C2212" s="926"/>
      <c r="D2212" s="927"/>
      <c r="E2212" s="927"/>
      <c r="F2212" s="928"/>
      <c r="G2212" s="924"/>
      <c r="H2212" s="925"/>
      <c r="I2212" s="926"/>
      <c r="J2212" s="927"/>
    </row>
    <row r="2213" spans="1:15" ht="18.75" customHeight="1">
      <c r="A2213" s="925"/>
      <c r="B2213" s="925"/>
      <c r="C2213" s="929"/>
      <c r="D2213" s="930"/>
      <c r="E2213" s="925"/>
      <c r="F2213" s="931"/>
      <c r="G2213" s="925"/>
      <c r="H2213" s="925"/>
      <c r="I2213" s="929"/>
      <c r="J2213" s="930"/>
    </row>
    <row r="2214" spans="1:15" ht="15" customHeight="1">
      <c r="A2214" s="2360" t="str">
        <f>$K$2</f>
        <v>THÁNG 09/2024</v>
      </c>
      <c r="B2214" s="2360"/>
      <c r="C2214" s="2360"/>
      <c r="D2214" s="2360"/>
      <c r="E2214" s="903"/>
      <c r="F2214" s="904"/>
      <c r="G2214" s="2360" t="str">
        <f>$K$2</f>
        <v>THÁNG 09/2024</v>
      </c>
      <c r="H2214" s="2360"/>
      <c r="I2214" s="2360"/>
      <c r="J2214" s="2360"/>
      <c r="K2214" s="276"/>
    </row>
    <row r="2215" spans="1:15" ht="15" customHeight="1">
      <c r="A2215" s="905" t="s">
        <v>356</v>
      </c>
      <c r="B2215" s="642" t="s">
        <v>198</v>
      </c>
      <c r="C2215" s="546"/>
      <c r="D2215" s="902"/>
      <c r="E2215" s="906"/>
      <c r="F2215" s="907"/>
      <c r="G2215" s="905" t="s">
        <v>356</v>
      </c>
      <c r="H2215" s="642" t="s">
        <v>199</v>
      </c>
      <c r="I2215" s="546"/>
      <c r="J2215" s="902"/>
      <c r="L2215" s="938"/>
      <c r="M2215" s="938"/>
      <c r="N2215" s="938"/>
      <c r="O2215" s="938"/>
    </row>
    <row r="2216" spans="1:15" ht="15" customHeight="1">
      <c r="A2216" s="905" t="s">
        <v>359</v>
      </c>
      <c r="B2216" s="939" t="s">
        <v>360</v>
      </c>
      <c r="C2216" s="910" t="e">
        <f>VLOOKUP(B2215,'LƯƠNG KT'!$D$16:$AC$184,3,0)</f>
        <v>#N/A</v>
      </c>
      <c r="D2216" s="609" t="e">
        <f>+C2216*25000</f>
        <v>#N/A</v>
      </c>
      <c r="E2216" s="911"/>
      <c r="F2216" s="911"/>
      <c r="G2216" s="905" t="s">
        <v>359</v>
      </c>
      <c r="H2216" s="939" t="s">
        <v>360</v>
      </c>
      <c r="I2216" s="910" t="e">
        <f>VLOOKUP(H2215,'LƯƠNG KT'!$D$16:$AC$184,3,0)</f>
        <v>#N/A</v>
      </c>
      <c r="J2216" s="609" t="e">
        <f>+I2216*25000</f>
        <v>#N/A</v>
      </c>
      <c r="K2216" s="935"/>
      <c r="L2216" s="935"/>
      <c r="M2216" s="935"/>
      <c r="N2216" s="935"/>
      <c r="O2216" s="935"/>
    </row>
    <row r="2217" spans="1:15" ht="15" customHeight="1">
      <c r="A2217" s="905" t="s">
        <v>361</v>
      </c>
      <c r="B2217" s="546" t="s">
        <v>362</v>
      </c>
      <c r="C2217" s="910" t="e">
        <f>VLOOKUP(B2215,'LƯƠNG KT'!$D$16:$AC$184,14,0)</f>
        <v>#N/A</v>
      </c>
      <c r="D2217" s="609" t="e">
        <f>C2217*$L$4</f>
        <v>#N/A</v>
      </c>
      <c r="E2217" s="912"/>
      <c r="F2217" s="912"/>
      <c r="G2217" s="905" t="s">
        <v>361</v>
      </c>
      <c r="H2217" s="546" t="s">
        <v>362</v>
      </c>
      <c r="I2217" s="910" t="e">
        <f>VLOOKUP(H2215,'LƯƠNG KT'!$D$16:$AC$184,14,0)</f>
        <v>#N/A</v>
      </c>
      <c r="J2217" s="609" t="e">
        <f>I2217*$L$4</f>
        <v>#N/A</v>
      </c>
      <c r="K2217" s="935"/>
      <c r="L2217" s="935"/>
      <c r="M2217" s="935"/>
      <c r="N2217" s="935"/>
      <c r="O2217" s="935"/>
    </row>
    <row r="2218" spans="1:15" ht="15" customHeight="1">
      <c r="A2218" s="905" t="s">
        <v>364</v>
      </c>
      <c r="B2218" s="546" t="s">
        <v>365</v>
      </c>
      <c r="C2218" s="910" t="e">
        <f>VLOOKUP(B2215,'LƯƠNG KT'!$D$16:$AC$184,15,0)</f>
        <v>#N/A</v>
      </c>
      <c r="D2218" s="609" t="e">
        <f>C2218*$L$5</f>
        <v>#N/A</v>
      </c>
      <c r="E2218" s="912"/>
      <c r="F2218" s="912"/>
      <c r="G2218" s="905" t="s">
        <v>364</v>
      </c>
      <c r="H2218" s="546" t="s">
        <v>365</v>
      </c>
      <c r="I2218" s="910" t="e">
        <f>VLOOKUP(H2215,'LƯƠNG KT'!$D$16:$AC$184,15,0)</f>
        <v>#N/A</v>
      </c>
      <c r="J2218" s="609" t="e">
        <f>I2218*$L$5</f>
        <v>#N/A</v>
      </c>
      <c r="K2218" s="935"/>
      <c r="L2218" s="935"/>
      <c r="M2218" s="935"/>
      <c r="N2218" s="935"/>
      <c r="O2218" s="935"/>
    </row>
    <row r="2219" spans="1:15" ht="15" customHeight="1">
      <c r="A2219" s="905" t="s">
        <v>367</v>
      </c>
      <c r="B2219" s="546"/>
      <c r="C2219" s="910" t="e">
        <f>VLOOKUP(B2215,'LƯƠNG KT'!$D$16:$AC$184,16,0)</f>
        <v>#N/A</v>
      </c>
      <c r="D2219" s="609" t="e">
        <f>+C2219*$L$6</f>
        <v>#N/A</v>
      </c>
      <c r="E2219" s="912"/>
      <c r="F2219" s="912"/>
      <c r="G2219" s="905" t="s">
        <v>367</v>
      </c>
      <c r="H2219" s="546"/>
      <c r="I2219" s="910" t="e">
        <f>VLOOKUP(H2215,'LƯƠNG KT'!$D$16:$AC$184,16,0)</f>
        <v>#N/A</v>
      </c>
      <c r="J2219" s="609" t="e">
        <f>+I2219*$L$6</f>
        <v>#N/A</v>
      </c>
      <c r="K2219" s="935"/>
      <c r="L2219" s="935"/>
      <c r="M2219" s="935"/>
      <c r="N2219" s="935"/>
      <c r="O2219" s="935"/>
    </row>
    <row r="2220" spans="1:15" ht="15" customHeight="1">
      <c r="A2220" s="905" t="s">
        <v>371</v>
      </c>
      <c r="B2220" s="546" t="s">
        <v>372</v>
      </c>
      <c r="C2220" s="910" t="e">
        <f>VLOOKUP(B2215,'LƯƠNG KT'!$D$16:$AC$184,9,0)*$L$10</f>
        <v>#N/A</v>
      </c>
      <c r="D2220" s="609" t="e">
        <f>+C2220*0.5*3000</f>
        <v>#N/A</v>
      </c>
      <c r="E2220" s="912"/>
      <c r="F2220" s="912"/>
      <c r="G2220" s="905" t="s">
        <v>371</v>
      </c>
      <c r="H2220" s="546" t="s">
        <v>372</v>
      </c>
      <c r="I2220" s="910" t="e">
        <f>VLOOKUP(H2215,'LƯƠNG KT'!$D$16:$AC$184,9,0)*$L$10</f>
        <v>#N/A</v>
      </c>
      <c r="J2220" s="609" t="e">
        <f>+I2220*0.5*3000</f>
        <v>#N/A</v>
      </c>
      <c r="K2220" s="935"/>
      <c r="L2220" s="935"/>
      <c r="M2220" s="935"/>
      <c r="N2220" s="935"/>
      <c r="O2220" s="935"/>
    </row>
    <row r="2221" spans="1:15" ht="15" customHeight="1">
      <c r="A2221" s="905" t="s">
        <v>374</v>
      </c>
      <c r="B2221" s="546" t="s">
        <v>375</v>
      </c>
      <c r="C2221" s="910" t="e">
        <f>VLOOKUP(B2215,'LƯƠNG KT'!$D$16:$AC$184,8,0)*$L$11</f>
        <v>#N/A</v>
      </c>
      <c r="D2221" s="609" t="e">
        <f>VLOOKUP(B2215,'LƯƠNG KT'!$D$16:$AC$184,13,0)-D2220</f>
        <v>#N/A</v>
      </c>
      <c r="E2221" s="914"/>
      <c r="F2221" s="912"/>
      <c r="G2221" s="905" t="s">
        <v>374</v>
      </c>
      <c r="H2221" s="546" t="s">
        <v>375</v>
      </c>
      <c r="I2221" s="910" t="e">
        <f>VLOOKUP(H2215,'LƯƠNG KT'!$D$16:$AC$184,8,0)*$L$11</f>
        <v>#N/A</v>
      </c>
      <c r="J2221" s="609" t="e">
        <f>VLOOKUP(H2215,'LƯƠNG KT'!$D$16:$AC$184,13,0)-J2220</f>
        <v>#N/A</v>
      </c>
      <c r="K2221" s="935"/>
      <c r="L2221" s="935"/>
      <c r="M2221" s="935"/>
      <c r="N2221" s="935"/>
      <c r="O2221" s="935"/>
    </row>
    <row r="2222" spans="1:15" ht="15" customHeight="1">
      <c r="A2222" s="609" t="s">
        <v>377</v>
      </c>
      <c r="B2222" s="546" t="s">
        <v>378</v>
      </c>
      <c r="C2222" s="910"/>
      <c r="D2222" s="609"/>
      <c r="E2222" s="916"/>
      <c r="F2222" s="916"/>
      <c r="G2222" s="609" t="s">
        <v>377</v>
      </c>
      <c r="H2222" s="546" t="s">
        <v>378</v>
      </c>
      <c r="I2222" s="910"/>
      <c r="J2222" s="609"/>
    </row>
    <row r="2223" spans="1:15" ht="15" customHeight="1">
      <c r="A2223" s="547" t="s">
        <v>379</v>
      </c>
      <c r="B2223" s="546" t="s">
        <v>380</v>
      </c>
      <c r="C2223" s="910"/>
      <c r="D2223" s="609"/>
      <c r="E2223" s="914"/>
      <c r="F2223" s="916"/>
      <c r="G2223" s="547" t="s">
        <v>379</v>
      </c>
      <c r="H2223" s="546" t="s">
        <v>380</v>
      </c>
      <c r="I2223" s="910"/>
      <c r="J2223" s="609"/>
    </row>
    <row r="2224" spans="1:15" ht="15" customHeight="1">
      <c r="A2224" s="905" t="s">
        <v>381</v>
      </c>
      <c r="B2224" s="546" t="s">
        <v>382</v>
      </c>
      <c r="C2224" s="910"/>
      <c r="D2224" s="609">
        <f>D2223</f>
        <v>0</v>
      </c>
      <c r="E2224" s="917"/>
      <c r="F2224" s="904"/>
      <c r="G2224" s="905" t="s">
        <v>381</v>
      </c>
      <c r="H2224" s="546" t="s">
        <v>382</v>
      </c>
      <c r="I2224" s="910"/>
      <c r="J2224" s="609">
        <f>J2223</f>
        <v>0</v>
      </c>
    </row>
    <row r="2225" spans="1:15" ht="15" customHeight="1">
      <c r="A2225" s="918" t="s">
        <v>383</v>
      </c>
      <c r="B2225" s="919" t="s">
        <v>384</v>
      </c>
      <c r="C2225" s="920"/>
      <c r="D2225" s="921" t="e">
        <f>SUM(D2216:D2221)-D2224</f>
        <v>#N/A</v>
      </c>
      <c r="E2225" s="922"/>
      <c r="F2225" s="923"/>
      <c r="G2225" s="918" t="s">
        <v>383</v>
      </c>
      <c r="H2225" s="919" t="s">
        <v>384</v>
      </c>
      <c r="I2225" s="920"/>
      <c r="J2225" s="921" t="e">
        <f>SUM(J2216:J2221)-J2224</f>
        <v>#N/A</v>
      </c>
    </row>
    <row r="2226" spans="1:15" ht="18.75" customHeight="1">
      <c r="A2226" s="924"/>
      <c r="B2226" s="925"/>
      <c r="C2226" s="926"/>
      <c r="D2226" s="927"/>
      <c r="E2226" s="927"/>
      <c r="F2226" s="928"/>
      <c r="G2226" s="924"/>
      <c r="H2226" s="925"/>
      <c r="I2226" s="926"/>
      <c r="J2226" s="927"/>
    </row>
    <row r="2227" spans="1:15" ht="18.75" customHeight="1">
      <c r="A2227" s="925"/>
      <c r="B2227" s="925"/>
      <c r="C2227" s="929"/>
      <c r="D2227" s="930"/>
      <c r="E2227" s="925"/>
      <c r="F2227" s="931"/>
      <c r="G2227" s="925"/>
      <c r="H2227" s="925"/>
      <c r="I2227" s="929"/>
      <c r="J2227" s="930"/>
    </row>
    <row r="2228" spans="1:15" ht="15" customHeight="1">
      <c r="A2228" s="2360" t="str">
        <f>$K$2</f>
        <v>THÁNG 09/2024</v>
      </c>
      <c r="B2228" s="2360"/>
      <c r="C2228" s="2360"/>
      <c r="D2228" s="2360"/>
      <c r="E2228" s="903"/>
      <c r="F2228" s="904"/>
      <c r="G2228" s="2360" t="str">
        <f>$K$2</f>
        <v>THÁNG 09/2024</v>
      </c>
      <c r="H2228" s="2360"/>
      <c r="I2228" s="2360"/>
      <c r="J2228" s="2360"/>
      <c r="K2228" s="276"/>
    </row>
    <row r="2229" spans="1:15" ht="15" customHeight="1">
      <c r="A2229" s="905" t="s">
        <v>356</v>
      </c>
      <c r="B2229" s="642" t="s">
        <v>200</v>
      </c>
      <c r="C2229" s="546"/>
      <c r="D2229" s="902"/>
      <c r="E2229" s="906"/>
      <c r="F2229" s="907"/>
      <c r="G2229" s="905" t="s">
        <v>356</v>
      </c>
      <c r="H2229" s="642" t="s">
        <v>201</v>
      </c>
      <c r="I2229" s="546"/>
      <c r="J2229" s="902"/>
      <c r="L2229" s="938"/>
      <c r="M2229" s="938"/>
      <c r="N2229" s="938"/>
      <c r="O2229" s="938"/>
    </row>
    <row r="2230" spans="1:15" ht="15" customHeight="1">
      <c r="A2230" s="905" t="s">
        <v>359</v>
      </c>
      <c r="B2230" s="939" t="s">
        <v>360</v>
      </c>
      <c r="C2230" s="910" t="e">
        <f>VLOOKUP(B2229,'LƯƠNG KT'!$D$16:$AC$184,3,0)</f>
        <v>#N/A</v>
      </c>
      <c r="D2230" s="609" t="e">
        <f>+C2230*25000</f>
        <v>#N/A</v>
      </c>
      <c r="E2230" s="911"/>
      <c r="F2230" s="911"/>
      <c r="G2230" s="905" t="s">
        <v>359</v>
      </c>
      <c r="H2230" s="939" t="s">
        <v>360</v>
      </c>
      <c r="I2230" s="910" t="e">
        <f>VLOOKUP(H2229,'LƯƠNG KT'!$D$16:$AC$184,3,0)</f>
        <v>#N/A</v>
      </c>
      <c r="J2230" s="609" t="e">
        <f>+I2230*25000</f>
        <v>#N/A</v>
      </c>
      <c r="K2230" s="935"/>
      <c r="L2230" s="935"/>
      <c r="M2230" s="935"/>
      <c r="N2230" s="935"/>
      <c r="O2230" s="935"/>
    </row>
    <row r="2231" spans="1:15" ht="15" customHeight="1">
      <c r="A2231" s="905" t="s">
        <v>361</v>
      </c>
      <c r="B2231" s="546" t="s">
        <v>362</v>
      </c>
      <c r="C2231" s="910" t="e">
        <f>VLOOKUP(B2229,'LƯƠNG KT'!$D$16:$AC$184,14,0)</f>
        <v>#N/A</v>
      </c>
      <c r="D2231" s="609" t="e">
        <f>C2231*$L$4</f>
        <v>#N/A</v>
      </c>
      <c r="E2231" s="912"/>
      <c r="F2231" s="912"/>
      <c r="G2231" s="905" t="s">
        <v>361</v>
      </c>
      <c r="H2231" s="546" t="s">
        <v>362</v>
      </c>
      <c r="I2231" s="910" t="e">
        <f>VLOOKUP(H2229,'LƯƠNG KT'!$D$16:$AC$184,14,0)</f>
        <v>#N/A</v>
      </c>
      <c r="J2231" s="609" t="e">
        <f>I2231*$L$4</f>
        <v>#N/A</v>
      </c>
      <c r="K2231" s="935"/>
      <c r="L2231" s="935"/>
      <c r="M2231" s="935"/>
      <c r="N2231" s="935"/>
      <c r="O2231" s="935"/>
    </row>
    <row r="2232" spans="1:15" ht="15" customHeight="1">
      <c r="A2232" s="905" t="s">
        <v>364</v>
      </c>
      <c r="B2232" s="546" t="s">
        <v>365</v>
      </c>
      <c r="C2232" s="910" t="e">
        <f>VLOOKUP(B2229,'LƯƠNG KT'!$D$16:$AC$184,15,0)</f>
        <v>#N/A</v>
      </c>
      <c r="D2232" s="609" t="e">
        <f>C2232*$L$5</f>
        <v>#N/A</v>
      </c>
      <c r="E2232" s="912"/>
      <c r="F2232" s="912"/>
      <c r="G2232" s="905" t="s">
        <v>364</v>
      </c>
      <c r="H2232" s="546" t="s">
        <v>365</v>
      </c>
      <c r="I2232" s="910" t="e">
        <f>VLOOKUP(H2229,'LƯƠNG KT'!$D$16:$AC$184,15,0)</f>
        <v>#N/A</v>
      </c>
      <c r="J2232" s="609" t="e">
        <f>I2232*$L$5</f>
        <v>#N/A</v>
      </c>
      <c r="K2232" s="935"/>
      <c r="L2232" s="935"/>
      <c r="M2232" s="935"/>
      <c r="N2232" s="935"/>
      <c r="O2232" s="935"/>
    </row>
    <row r="2233" spans="1:15" ht="15" customHeight="1">
      <c r="A2233" s="905" t="s">
        <v>367</v>
      </c>
      <c r="B2233" s="546"/>
      <c r="C2233" s="910" t="e">
        <f>VLOOKUP(B2229,'LƯƠNG KT'!$D$16:$AC$184,16,0)</f>
        <v>#N/A</v>
      </c>
      <c r="D2233" s="609" t="e">
        <f>+C2233*$L$6</f>
        <v>#N/A</v>
      </c>
      <c r="E2233" s="912"/>
      <c r="F2233" s="912"/>
      <c r="G2233" s="905" t="s">
        <v>367</v>
      </c>
      <c r="H2233" s="546"/>
      <c r="I2233" s="910" t="e">
        <f>VLOOKUP(H2229,'LƯƠNG KT'!$D$16:$AC$184,16,0)</f>
        <v>#N/A</v>
      </c>
      <c r="J2233" s="609" t="e">
        <f>+I2233*$L$6</f>
        <v>#N/A</v>
      </c>
      <c r="K2233" s="935"/>
      <c r="L2233" s="935"/>
      <c r="M2233" s="935"/>
      <c r="N2233" s="935"/>
      <c r="O2233" s="935"/>
    </row>
    <row r="2234" spans="1:15" ht="15" customHeight="1">
      <c r="A2234" s="905" t="s">
        <v>371</v>
      </c>
      <c r="B2234" s="546" t="s">
        <v>372</v>
      </c>
      <c r="C2234" s="910" t="e">
        <f>VLOOKUP(B2229,'LƯƠNG KT'!$D$16:$AC$184,9,0)*$L$10</f>
        <v>#N/A</v>
      </c>
      <c r="D2234" s="609" t="e">
        <f>+C2234*0.5*3000</f>
        <v>#N/A</v>
      </c>
      <c r="E2234" s="912"/>
      <c r="F2234" s="912"/>
      <c r="G2234" s="905" t="s">
        <v>371</v>
      </c>
      <c r="H2234" s="546" t="s">
        <v>372</v>
      </c>
      <c r="I2234" s="910" t="e">
        <f>VLOOKUP(H2229,'LƯƠNG KT'!$D$16:$AC$184,9,0)*$L$10</f>
        <v>#N/A</v>
      </c>
      <c r="J2234" s="609" t="e">
        <f>+I2234*0.5*3000</f>
        <v>#N/A</v>
      </c>
      <c r="K2234" s="935"/>
      <c r="L2234" s="935"/>
      <c r="M2234" s="935"/>
      <c r="N2234" s="935"/>
      <c r="O2234" s="935"/>
    </row>
    <row r="2235" spans="1:15" ht="15" customHeight="1">
      <c r="A2235" s="905" t="s">
        <v>374</v>
      </c>
      <c r="B2235" s="546" t="s">
        <v>375</v>
      </c>
      <c r="C2235" s="910" t="e">
        <f>VLOOKUP(B2229,'LƯƠNG KT'!$D$16:$AC$184,8,0)*$L$11</f>
        <v>#N/A</v>
      </c>
      <c r="D2235" s="609" t="e">
        <f>VLOOKUP(B2229,'LƯƠNG KT'!$D$16:$AC$184,13,0)-D2234</f>
        <v>#N/A</v>
      </c>
      <c r="E2235" s="914"/>
      <c r="F2235" s="912"/>
      <c r="G2235" s="905" t="s">
        <v>374</v>
      </c>
      <c r="H2235" s="546" t="s">
        <v>375</v>
      </c>
      <c r="I2235" s="910" t="e">
        <f>VLOOKUP(H2229,'LƯƠNG KT'!$D$16:$AC$184,8,0)*$L$11</f>
        <v>#N/A</v>
      </c>
      <c r="J2235" s="609" t="e">
        <f>VLOOKUP(H2229,'LƯƠNG KT'!$D$16:$AC$184,13,0)-J2234</f>
        <v>#N/A</v>
      </c>
      <c r="K2235" s="935"/>
      <c r="L2235" s="935"/>
      <c r="M2235" s="935"/>
      <c r="N2235" s="935"/>
      <c r="O2235" s="935"/>
    </row>
    <row r="2236" spans="1:15" ht="15" customHeight="1">
      <c r="A2236" s="609" t="s">
        <v>377</v>
      </c>
      <c r="B2236" s="546" t="s">
        <v>378</v>
      </c>
      <c r="C2236" s="910"/>
      <c r="D2236" s="609"/>
      <c r="E2236" s="916"/>
      <c r="F2236" s="916"/>
      <c r="G2236" s="609" t="s">
        <v>377</v>
      </c>
      <c r="H2236" s="546" t="s">
        <v>378</v>
      </c>
      <c r="I2236" s="910"/>
      <c r="J2236" s="609"/>
    </row>
    <row r="2237" spans="1:15" ht="15" customHeight="1">
      <c r="A2237" s="547" t="s">
        <v>379</v>
      </c>
      <c r="B2237" s="546" t="s">
        <v>380</v>
      </c>
      <c r="C2237" s="910"/>
      <c r="D2237" s="609"/>
      <c r="E2237" s="914"/>
      <c r="F2237" s="916"/>
      <c r="G2237" s="547" t="s">
        <v>379</v>
      </c>
      <c r="H2237" s="546" t="s">
        <v>380</v>
      </c>
      <c r="I2237" s="910"/>
      <c r="J2237" s="609"/>
    </row>
    <row r="2238" spans="1:15" ht="15" customHeight="1">
      <c r="A2238" s="905" t="s">
        <v>381</v>
      </c>
      <c r="B2238" s="546" t="s">
        <v>382</v>
      </c>
      <c r="C2238" s="910"/>
      <c r="D2238" s="609">
        <f>D2237</f>
        <v>0</v>
      </c>
      <c r="E2238" s="917"/>
      <c r="F2238" s="904"/>
      <c r="G2238" s="905" t="s">
        <v>381</v>
      </c>
      <c r="H2238" s="546" t="s">
        <v>382</v>
      </c>
      <c r="I2238" s="910"/>
      <c r="J2238" s="609">
        <f>J2237</f>
        <v>0</v>
      </c>
    </row>
    <row r="2239" spans="1:15" ht="15" customHeight="1">
      <c r="A2239" s="918" t="s">
        <v>383</v>
      </c>
      <c r="B2239" s="919" t="s">
        <v>384</v>
      </c>
      <c r="C2239" s="920"/>
      <c r="D2239" s="921" t="e">
        <f>SUM(D2230:D2235)-D2238</f>
        <v>#N/A</v>
      </c>
      <c r="E2239" s="922"/>
      <c r="F2239" s="923"/>
      <c r="G2239" s="918" t="s">
        <v>383</v>
      </c>
      <c r="H2239" s="919" t="s">
        <v>384</v>
      </c>
      <c r="I2239" s="920"/>
      <c r="J2239" s="921" t="e">
        <f>SUM(J2230:J2235)-J2238</f>
        <v>#N/A</v>
      </c>
    </row>
    <row r="2240" spans="1:15" ht="15.75" customHeight="1">
      <c r="A2240" s="924"/>
      <c r="B2240" s="925"/>
      <c r="C2240" s="926"/>
      <c r="D2240" s="927"/>
      <c r="E2240" s="927"/>
      <c r="F2240" s="928"/>
      <c r="G2240" s="924"/>
      <c r="H2240" s="925"/>
      <c r="I2240" s="926"/>
      <c r="J2240" s="927"/>
    </row>
    <row r="2242" spans="1:15" ht="12" customHeight="1">
      <c r="A2242" s="2361"/>
      <c r="B2242" s="2361"/>
      <c r="C2242" s="2361"/>
      <c r="D2242" s="2361"/>
      <c r="E2242" s="2361"/>
      <c r="F2242" s="2361"/>
      <c r="G2242" s="2361"/>
      <c r="H2242" s="2361"/>
      <c r="I2242" s="2361"/>
      <c r="J2242" s="2361"/>
    </row>
    <row r="2243" spans="1:15" ht="15" customHeight="1">
      <c r="A2243" s="2360" t="str">
        <f>$K$2</f>
        <v>THÁNG 09/2024</v>
      </c>
      <c r="B2243" s="2360"/>
      <c r="C2243" s="2360"/>
      <c r="D2243" s="2360"/>
      <c r="E2243" s="903"/>
      <c r="F2243" s="904"/>
      <c r="G2243" s="2360" t="str">
        <f>$K$2</f>
        <v>THÁNG 09/2024</v>
      </c>
      <c r="H2243" s="2360"/>
      <c r="I2243" s="2360"/>
      <c r="J2243" s="2360"/>
      <c r="K2243" s="276"/>
    </row>
    <row r="2244" spans="1:15" ht="15" customHeight="1">
      <c r="A2244" s="905" t="s">
        <v>356</v>
      </c>
      <c r="B2244" s="642" t="s">
        <v>202</v>
      </c>
      <c r="C2244" s="546"/>
      <c r="D2244" s="902"/>
      <c r="E2244" s="906"/>
      <c r="F2244" s="907"/>
      <c r="G2244" s="905" t="s">
        <v>356</v>
      </c>
      <c r="H2244" s="642" t="s">
        <v>203</v>
      </c>
      <c r="I2244" s="546"/>
      <c r="J2244" s="902"/>
      <c r="L2244" s="938"/>
      <c r="M2244" s="938"/>
      <c r="N2244" s="938"/>
      <c r="O2244" s="938"/>
    </row>
    <row r="2245" spans="1:15" ht="15" customHeight="1">
      <c r="A2245" s="905" t="s">
        <v>359</v>
      </c>
      <c r="B2245" s="939" t="s">
        <v>360</v>
      </c>
      <c r="C2245" s="910" t="e">
        <f>VLOOKUP(B2244,'LƯƠNG KT'!$D$16:$AC$184,3,0)</f>
        <v>#N/A</v>
      </c>
      <c r="D2245" s="609" t="e">
        <f>+C2245*25000</f>
        <v>#N/A</v>
      </c>
      <c r="E2245" s="911"/>
      <c r="F2245" s="911"/>
      <c r="G2245" s="905" t="s">
        <v>359</v>
      </c>
      <c r="H2245" s="939" t="s">
        <v>360</v>
      </c>
      <c r="I2245" s="910" t="e">
        <f>VLOOKUP(H2244,'LƯƠNG KT'!$D$16:$AC$184,3,0)</f>
        <v>#N/A</v>
      </c>
      <c r="J2245" s="609" t="e">
        <f>+I2245*25000</f>
        <v>#N/A</v>
      </c>
      <c r="K2245" s="934"/>
      <c r="L2245" s="935"/>
      <c r="M2245" s="935"/>
      <c r="N2245" s="935"/>
      <c r="O2245" s="935"/>
    </row>
    <row r="2246" spans="1:15" ht="15" customHeight="1">
      <c r="A2246" s="905" t="s">
        <v>361</v>
      </c>
      <c r="B2246" s="546" t="s">
        <v>362</v>
      </c>
      <c r="C2246" s="910" t="e">
        <f>VLOOKUP(B2244,'LƯƠNG KT'!$D$16:$AC$184,14,0)</f>
        <v>#N/A</v>
      </c>
      <c r="D2246" s="609" t="e">
        <f>C2246*$L$4</f>
        <v>#N/A</v>
      </c>
      <c r="E2246" s="912"/>
      <c r="F2246" s="912"/>
      <c r="G2246" s="905" t="s">
        <v>361</v>
      </c>
      <c r="H2246" s="546" t="s">
        <v>362</v>
      </c>
      <c r="I2246" s="910" t="e">
        <f>VLOOKUP(H2244,'LƯƠNG KT'!$D$16:$AC$184,14,0)</f>
        <v>#N/A</v>
      </c>
      <c r="J2246" s="609" t="e">
        <f>I2246*$L$4</f>
        <v>#N/A</v>
      </c>
      <c r="K2246" s="934"/>
      <c r="L2246" s="935"/>
      <c r="M2246" s="935"/>
      <c r="N2246" s="935"/>
      <c r="O2246" s="935"/>
    </row>
    <row r="2247" spans="1:15" ht="15" customHeight="1">
      <c r="A2247" s="905" t="s">
        <v>364</v>
      </c>
      <c r="B2247" s="546" t="s">
        <v>365</v>
      </c>
      <c r="C2247" s="910" t="e">
        <f>VLOOKUP(B2244,'LƯƠNG KT'!$D$16:$AC$184,15,0)</f>
        <v>#N/A</v>
      </c>
      <c r="D2247" s="609" t="e">
        <f>C2247*$L$5</f>
        <v>#N/A</v>
      </c>
      <c r="E2247" s="912"/>
      <c r="F2247" s="912"/>
      <c r="G2247" s="905" t="s">
        <v>364</v>
      </c>
      <c r="H2247" s="546" t="s">
        <v>365</v>
      </c>
      <c r="I2247" s="910" t="e">
        <f>VLOOKUP(H2244,'LƯƠNG KT'!$D$16:$AC$184,15,0)</f>
        <v>#N/A</v>
      </c>
      <c r="J2247" s="609" t="e">
        <f>I2247*$L$5</f>
        <v>#N/A</v>
      </c>
      <c r="K2247" s="934"/>
      <c r="L2247" s="935"/>
      <c r="M2247" s="935"/>
      <c r="N2247" s="935"/>
      <c r="O2247" s="935"/>
    </row>
    <row r="2248" spans="1:15" ht="15" customHeight="1">
      <c r="A2248" s="905" t="s">
        <v>367</v>
      </c>
      <c r="B2248" s="546"/>
      <c r="C2248" s="910" t="e">
        <f>VLOOKUP(B2244,'LƯƠNG KT'!$D$16:$AC$184,16,0)</f>
        <v>#N/A</v>
      </c>
      <c r="D2248" s="609" t="e">
        <f>+C2248*$L$6</f>
        <v>#N/A</v>
      </c>
      <c r="E2248" s="912"/>
      <c r="F2248" s="912"/>
      <c r="G2248" s="905" t="s">
        <v>367</v>
      </c>
      <c r="H2248" s="546"/>
      <c r="I2248" s="910" t="e">
        <f>VLOOKUP(H2244,'LƯƠNG KT'!$D$16:$AC$184,16,0)</f>
        <v>#N/A</v>
      </c>
      <c r="J2248" s="609" t="e">
        <f>+I2248*$L$6</f>
        <v>#N/A</v>
      </c>
      <c r="K2248" s="935"/>
      <c r="L2248" s="935"/>
      <c r="M2248" s="935"/>
      <c r="N2248" s="935"/>
      <c r="O2248" s="935"/>
    </row>
    <row r="2249" spans="1:15" ht="15" customHeight="1">
      <c r="A2249" s="905" t="s">
        <v>371</v>
      </c>
      <c r="B2249" s="546" t="s">
        <v>372</v>
      </c>
      <c r="C2249" s="910" t="e">
        <f>VLOOKUP(B2244,'LƯƠNG KT'!$D$16:$AC$184,9,0)*$L$10</f>
        <v>#N/A</v>
      </c>
      <c r="D2249" s="609" t="e">
        <f>+C2249*0.5*3000</f>
        <v>#N/A</v>
      </c>
      <c r="E2249" s="912"/>
      <c r="F2249" s="912"/>
      <c r="G2249" s="905" t="s">
        <v>371</v>
      </c>
      <c r="H2249" s="546" t="s">
        <v>372</v>
      </c>
      <c r="I2249" s="910" t="e">
        <f>VLOOKUP(H2244,'LƯƠNG KT'!$D$16:$AC$184,9,0)*$L$10</f>
        <v>#N/A</v>
      </c>
      <c r="J2249" s="609" t="e">
        <f>+I2249*0.5*3000</f>
        <v>#N/A</v>
      </c>
      <c r="K2249" s="935"/>
      <c r="L2249" s="935"/>
      <c r="M2249" s="935"/>
      <c r="N2249" s="935"/>
      <c r="O2249" s="935"/>
    </row>
    <row r="2250" spans="1:15" ht="15" customHeight="1">
      <c r="A2250" s="905" t="s">
        <v>374</v>
      </c>
      <c r="B2250" s="546" t="s">
        <v>375</v>
      </c>
      <c r="C2250" s="910" t="e">
        <f>VLOOKUP(B2244,'LƯƠNG KT'!$D$16:$AC$184,8,0)*$L$11</f>
        <v>#N/A</v>
      </c>
      <c r="D2250" s="609" t="e">
        <f>VLOOKUP(B2244,'LƯƠNG KT'!$D$16:$AC$184,13,0)-D2249</f>
        <v>#N/A</v>
      </c>
      <c r="E2250" s="914"/>
      <c r="F2250" s="912"/>
      <c r="G2250" s="905" t="s">
        <v>374</v>
      </c>
      <c r="H2250" s="546" t="s">
        <v>375</v>
      </c>
      <c r="I2250" s="910" t="e">
        <f>VLOOKUP(H2244,'LƯƠNG KT'!$D$16:$AC$184,8,0)*$L$11</f>
        <v>#N/A</v>
      </c>
      <c r="J2250" s="609" t="e">
        <f>VLOOKUP(H2244,'LƯƠNG KT'!$D$16:$AC$184,13,0)-J2249</f>
        <v>#N/A</v>
      </c>
      <c r="K2250" s="935"/>
      <c r="L2250" s="935"/>
      <c r="M2250" s="935"/>
      <c r="N2250" s="935"/>
      <c r="O2250" s="935"/>
    </row>
    <row r="2251" spans="1:15" ht="15" customHeight="1">
      <c r="A2251" s="609" t="s">
        <v>377</v>
      </c>
      <c r="B2251" s="546" t="s">
        <v>378</v>
      </c>
      <c r="C2251" s="910"/>
      <c r="D2251" s="609"/>
      <c r="E2251" s="916"/>
      <c r="F2251" s="916"/>
      <c r="G2251" s="609" t="s">
        <v>377</v>
      </c>
      <c r="H2251" s="546" t="s">
        <v>378</v>
      </c>
      <c r="I2251" s="910"/>
      <c r="J2251" s="609"/>
    </row>
    <row r="2252" spans="1:15" ht="15" customHeight="1">
      <c r="A2252" s="547" t="s">
        <v>379</v>
      </c>
      <c r="B2252" s="546" t="s">
        <v>380</v>
      </c>
      <c r="C2252" s="910"/>
      <c r="D2252" s="609"/>
      <c r="E2252" s="914"/>
      <c r="F2252" s="916"/>
      <c r="G2252" s="547" t="s">
        <v>379</v>
      </c>
      <c r="H2252" s="546" t="s">
        <v>380</v>
      </c>
      <c r="I2252" s="910"/>
      <c r="J2252" s="609"/>
    </row>
    <row r="2253" spans="1:15" ht="15" customHeight="1">
      <c r="A2253" s="905" t="s">
        <v>381</v>
      </c>
      <c r="B2253" s="546" t="s">
        <v>382</v>
      </c>
      <c r="C2253" s="910"/>
      <c r="D2253" s="609">
        <f>D2252</f>
        <v>0</v>
      </c>
      <c r="E2253" s="917"/>
      <c r="F2253" s="904"/>
      <c r="G2253" s="905" t="s">
        <v>381</v>
      </c>
      <c r="H2253" s="546" t="s">
        <v>382</v>
      </c>
      <c r="I2253" s="910"/>
      <c r="J2253" s="609">
        <f>J2252</f>
        <v>0</v>
      </c>
    </row>
    <row r="2254" spans="1:15" ht="15" customHeight="1">
      <c r="A2254" s="918" t="s">
        <v>383</v>
      </c>
      <c r="B2254" s="919" t="s">
        <v>384</v>
      </c>
      <c r="C2254" s="920"/>
      <c r="D2254" s="921" t="e">
        <f>SUM(D2245:D2250)-D2253</f>
        <v>#N/A</v>
      </c>
      <c r="E2254" s="922"/>
      <c r="F2254" s="923"/>
      <c r="G2254" s="918" t="s">
        <v>383</v>
      </c>
      <c r="H2254" s="919" t="s">
        <v>384</v>
      </c>
      <c r="I2254" s="920"/>
      <c r="J2254" s="921" t="e">
        <f>SUM(J2245:J2250)-J2253</f>
        <v>#N/A</v>
      </c>
    </row>
    <row r="2255" spans="1:15" ht="12.6" customHeight="1">
      <c r="A2255" s="924"/>
      <c r="B2255" s="925"/>
      <c r="C2255" s="926"/>
      <c r="D2255" s="927"/>
      <c r="E2255" s="927"/>
      <c r="F2255" s="928"/>
      <c r="G2255" s="924"/>
      <c r="H2255" s="925"/>
      <c r="I2255" s="926"/>
      <c r="J2255" s="927"/>
    </row>
    <row r="2256" spans="1:15" ht="12.6" customHeight="1">
      <c r="A2256" s="925"/>
      <c r="B2256" s="925"/>
      <c r="C2256" s="929"/>
      <c r="D2256" s="930"/>
      <c r="E2256" s="925"/>
      <c r="F2256" s="931"/>
      <c r="G2256" s="925"/>
      <c r="H2256" s="925"/>
      <c r="I2256" s="929"/>
      <c r="J2256" s="930"/>
    </row>
    <row r="2257" spans="1:15" ht="15" customHeight="1">
      <c r="A2257" s="2360" t="str">
        <f>$K$2</f>
        <v>THÁNG 09/2024</v>
      </c>
      <c r="B2257" s="2360"/>
      <c r="C2257" s="2360"/>
      <c r="D2257" s="2360"/>
      <c r="E2257" s="903"/>
      <c r="F2257" s="904"/>
      <c r="G2257" s="2360" t="str">
        <f>$K$2</f>
        <v>THÁNG 09/2024</v>
      </c>
      <c r="H2257" s="2360"/>
      <c r="I2257" s="2360"/>
      <c r="J2257" s="2360"/>
      <c r="K2257" s="276"/>
    </row>
    <row r="2258" spans="1:15" ht="15" customHeight="1">
      <c r="A2258" s="905" t="s">
        <v>356</v>
      </c>
      <c r="B2258" s="642" t="s">
        <v>204</v>
      </c>
      <c r="C2258" s="546"/>
      <c r="D2258" s="902"/>
      <c r="E2258" s="906"/>
      <c r="F2258" s="907"/>
      <c r="G2258" s="905" t="s">
        <v>356</v>
      </c>
      <c r="H2258" s="642" t="s">
        <v>205</v>
      </c>
      <c r="I2258" s="546"/>
      <c r="J2258" s="902"/>
      <c r="L2258" s="938"/>
      <c r="M2258" s="938"/>
      <c r="N2258" s="938"/>
      <c r="O2258" s="938"/>
    </row>
    <row r="2259" spans="1:15" ht="15" customHeight="1">
      <c r="A2259" s="905" t="s">
        <v>359</v>
      </c>
      <c r="B2259" s="939" t="s">
        <v>360</v>
      </c>
      <c r="C2259" s="910" t="e">
        <f>VLOOKUP(B2258,'LƯƠNG KT'!$D$16:$AC$184,3,0)</f>
        <v>#N/A</v>
      </c>
      <c r="D2259" s="609" t="e">
        <f>+C2259*25000</f>
        <v>#N/A</v>
      </c>
      <c r="E2259" s="911"/>
      <c r="F2259" s="911"/>
      <c r="G2259" s="905" t="s">
        <v>359</v>
      </c>
      <c r="H2259" s="939" t="s">
        <v>360</v>
      </c>
      <c r="I2259" s="910" t="e">
        <f>VLOOKUP(H2258,'LƯƠNG KT'!$D$16:$AC$184,3,0)</f>
        <v>#N/A</v>
      </c>
      <c r="J2259" s="609" t="e">
        <f>+I2259*25000</f>
        <v>#N/A</v>
      </c>
      <c r="K2259" s="935"/>
      <c r="L2259" s="935"/>
      <c r="M2259" s="935"/>
      <c r="N2259" s="935"/>
      <c r="O2259" s="935"/>
    </row>
    <row r="2260" spans="1:15" ht="15" customHeight="1">
      <c r="A2260" s="905" t="s">
        <v>361</v>
      </c>
      <c r="B2260" s="546" t="s">
        <v>362</v>
      </c>
      <c r="C2260" s="910" t="e">
        <f>VLOOKUP(B2258,'LƯƠNG KT'!$D$16:$AC$184,14,0)</f>
        <v>#N/A</v>
      </c>
      <c r="D2260" s="609" t="e">
        <f>C2260*$L$4</f>
        <v>#N/A</v>
      </c>
      <c r="E2260" s="912"/>
      <c r="F2260" s="912"/>
      <c r="G2260" s="905" t="s">
        <v>361</v>
      </c>
      <c r="H2260" s="546" t="s">
        <v>362</v>
      </c>
      <c r="I2260" s="910" t="e">
        <f>VLOOKUP(H2258,'LƯƠNG KT'!$D$16:$AC$184,14,0)</f>
        <v>#N/A</v>
      </c>
      <c r="J2260" s="609" t="e">
        <f>I2260*$L$4</f>
        <v>#N/A</v>
      </c>
      <c r="K2260" s="935"/>
      <c r="L2260" s="935"/>
      <c r="M2260" s="935"/>
      <c r="N2260" s="935"/>
      <c r="O2260" s="935"/>
    </row>
    <row r="2261" spans="1:15" ht="15" customHeight="1">
      <c r="A2261" s="905" t="s">
        <v>364</v>
      </c>
      <c r="B2261" s="546" t="s">
        <v>365</v>
      </c>
      <c r="C2261" s="910" t="e">
        <f>VLOOKUP(B2258,'LƯƠNG KT'!$D$16:$AC$184,15,0)</f>
        <v>#N/A</v>
      </c>
      <c r="D2261" s="609" t="e">
        <f>C2261*$L$5</f>
        <v>#N/A</v>
      </c>
      <c r="E2261" s="912"/>
      <c r="F2261" s="912"/>
      <c r="G2261" s="905" t="s">
        <v>364</v>
      </c>
      <c r="H2261" s="546" t="s">
        <v>365</v>
      </c>
      <c r="I2261" s="910" t="e">
        <f>VLOOKUP(H2258,'LƯƠNG KT'!$D$16:$AC$184,15,0)</f>
        <v>#N/A</v>
      </c>
      <c r="J2261" s="609" t="e">
        <f>I2261*$L$5</f>
        <v>#N/A</v>
      </c>
      <c r="K2261" s="935"/>
      <c r="L2261" s="935"/>
      <c r="M2261" s="935"/>
      <c r="N2261" s="935"/>
      <c r="O2261" s="935"/>
    </row>
    <row r="2262" spans="1:15" ht="15" customHeight="1">
      <c r="A2262" s="905" t="s">
        <v>367</v>
      </c>
      <c r="B2262" s="546"/>
      <c r="C2262" s="910" t="e">
        <f>VLOOKUP(B2258,'LƯƠNG KT'!$D$16:$AC$184,16,0)</f>
        <v>#N/A</v>
      </c>
      <c r="D2262" s="609" t="e">
        <f>+C2262*$L$6</f>
        <v>#N/A</v>
      </c>
      <c r="E2262" s="912"/>
      <c r="F2262" s="912"/>
      <c r="G2262" s="905" t="s">
        <v>367</v>
      </c>
      <c r="H2262" s="546"/>
      <c r="I2262" s="910" t="e">
        <f>VLOOKUP(H2258,'LƯƠNG KT'!$D$16:$AC$184,16,0)</f>
        <v>#N/A</v>
      </c>
      <c r="J2262" s="609" t="e">
        <f>+I2262*$L$6</f>
        <v>#N/A</v>
      </c>
      <c r="K2262" s="935"/>
      <c r="L2262" s="935"/>
      <c r="M2262" s="935"/>
      <c r="N2262" s="935"/>
      <c r="O2262" s="935"/>
    </row>
    <row r="2263" spans="1:15" ht="15" customHeight="1">
      <c r="A2263" s="905" t="s">
        <v>371</v>
      </c>
      <c r="B2263" s="546" t="s">
        <v>372</v>
      </c>
      <c r="C2263" s="910" t="e">
        <f>VLOOKUP(B2258,'LƯƠNG KT'!$D$16:$AC$184,9,0)*$L$10</f>
        <v>#N/A</v>
      </c>
      <c r="D2263" s="609" t="e">
        <f>+C2263*0.5*3000</f>
        <v>#N/A</v>
      </c>
      <c r="E2263" s="912"/>
      <c r="F2263" s="912"/>
      <c r="G2263" s="905" t="s">
        <v>371</v>
      </c>
      <c r="H2263" s="546" t="s">
        <v>372</v>
      </c>
      <c r="I2263" s="910" t="e">
        <f>VLOOKUP(H2258,'LƯƠNG KT'!$D$16:$AC$184,9,0)*$L$10</f>
        <v>#N/A</v>
      </c>
      <c r="J2263" s="609" t="e">
        <f>+I2263*0.5*3000</f>
        <v>#N/A</v>
      </c>
      <c r="K2263" s="935"/>
      <c r="L2263" s="935"/>
      <c r="M2263" s="935"/>
      <c r="N2263" s="935"/>
      <c r="O2263" s="935"/>
    </row>
    <row r="2264" spans="1:15" ht="15" customHeight="1">
      <c r="A2264" s="905" t="s">
        <v>374</v>
      </c>
      <c r="B2264" s="546" t="s">
        <v>375</v>
      </c>
      <c r="C2264" s="910" t="e">
        <f>VLOOKUP(B2258,'LƯƠNG KT'!$D$16:$AC$184,8,0)*$L$11</f>
        <v>#N/A</v>
      </c>
      <c r="D2264" s="609" t="e">
        <f>VLOOKUP(B2258,'LƯƠNG KT'!$D$16:$AC$184,13,0)-D2263</f>
        <v>#N/A</v>
      </c>
      <c r="E2264" s="914"/>
      <c r="F2264" s="912"/>
      <c r="G2264" s="905" t="s">
        <v>374</v>
      </c>
      <c r="H2264" s="546" t="s">
        <v>375</v>
      </c>
      <c r="I2264" s="910" t="e">
        <f>VLOOKUP(H2258,'LƯƠNG KT'!$D$16:$AC$184,8,0)*$L$11</f>
        <v>#N/A</v>
      </c>
      <c r="J2264" s="609" t="e">
        <f>VLOOKUP(H2258,'LƯƠNG KT'!$D$16:$AC$184,13,0)-J2263</f>
        <v>#N/A</v>
      </c>
      <c r="K2264" s="935"/>
      <c r="L2264" s="935"/>
      <c r="M2264" s="935"/>
      <c r="N2264" s="935"/>
      <c r="O2264" s="935"/>
    </row>
    <row r="2265" spans="1:15" ht="15" customHeight="1">
      <c r="A2265" s="609" t="s">
        <v>377</v>
      </c>
      <c r="B2265" s="546" t="s">
        <v>378</v>
      </c>
      <c r="C2265" s="910"/>
      <c r="D2265" s="609"/>
      <c r="E2265" s="916"/>
      <c r="F2265" s="916"/>
      <c r="G2265" s="609" t="s">
        <v>377</v>
      </c>
      <c r="H2265" s="546" t="s">
        <v>378</v>
      </c>
      <c r="I2265" s="910"/>
      <c r="J2265" s="609"/>
    </row>
    <row r="2266" spans="1:15" ht="15" customHeight="1">
      <c r="A2266" s="547" t="s">
        <v>379</v>
      </c>
      <c r="B2266" s="546" t="s">
        <v>380</v>
      </c>
      <c r="C2266" s="910"/>
      <c r="D2266" s="609"/>
      <c r="E2266" s="914"/>
      <c r="F2266" s="916"/>
      <c r="G2266" s="547" t="s">
        <v>379</v>
      </c>
      <c r="H2266" s="546" t="s">
        <v>380</v>
      </c>
      <c r="I2266" s="910"/>
      <c r="J2266" s="609"/>
    </row>
    <row r="2267" spans="1:15" ht="15" customHeight="1">
      <c r="A2267" s="905" t="s">
        <v>381</v>
      </c>
      <c r="B2267" s="546" t="s">
        <v>382</v>
      </c>
      <c r="C2267" s="910"/>
      <c r="D2267" s="609">
        <f>D2266</f>
        <v>0</v>
      </c>
      <c r="E2267" s="917"/>
      <c r="F2267" s="904"/>
      <c r="G2267" s="905" t="s">
        <v>381</v>
      </c>
      <c r="H2267" s="546" t="s">
        <v>382</v>
      </c>
      <c r="I2267" s="910"/>
      <c r="J2267" s="609">
        <f>J2266</f>
        <v>0</v>
      </c>
    </row>
    <row r="2268" spans="1:15" ht="15" customHeight="1">
      <c r="A2268" s="918" t="s">
        <v>383</v>
      </c>
      <c r="B2268" s="919" t="s">
        <v>384</v>
      </c>
      <c r="C2268" s="920"/>
      <c r="D2268" s="921" t="e">
        <f>SUM(D2259:D2264)-D2267</f>
        <v>#N/A</v>
      </c>
      <c r="E2268" s="922"/>
      <c r="F2268" s="923"/>
      <c r="G2268" s="918" t="s">
        <v>383</v>
      </c>
      <c r="H2268" s="919" t="s">
        <v>384</v>
      </c>
      <c r="I2268" s="920"/>
      <c r="J2268" s="921" t="e">
        <f>SUM(J2259:J2264)-J2267</f>
        <v>#N/A</v>
      </c>
    </row>
    <row r="2269" spans="1:15" ht="18.75" customHeight="1">
      <c r="A2269" s="924"/>
      <c r="B2269" s="925"/>
      <c r="C2269" s="926"/>
      <c r="D2269" s="927"/>
      <c r="E2269" s="927"/>
      <c r="F2269" s="928"/>
      <c r="G2269" s="924"/>
      <c r="H2269" s="925"/>
      <c r="I2269" s="926"/>
      <c r="J2269" s="927"/>
    </row>
    <row r="2270" spans="1:15" ht="18.75" customHeight="1">
      <c r="A2270" s="925"/>
      <c r="B2270" s="925"/>
      <c r="C2270" s="929"/>
      <c r="D2270" s="930"/>
      <c r="E2270" s="925"/>
      <c r="F2270" s="931"/>
      <c r="G2270" s="925"/>
      <c r="H2270" s="925"/>
      <c r="I2270" s="929"/>
      <c r="J2270" s="930"/>
    </row>
    <row r="2271" spans="1:15" ht="15" customHeight="1">
      <c r="A2271" s="2360" t="str">
        <f>$K$2</f>
        <v>THÁNG 09/2024</v>
      </c>
      <c r="B2271" s="2360"/>
      <c r="C2271" s="2360"/>
      <c r="D2271" s="2360"/>
      <c r="E2271" s="903"/>
      <c r="F2271" s="904"/>
      <c r="G2271" s="2360" t="str">
        <f>$K$2</f>
        <v>THÁNG 09/2024</v>
      </c>
      <c r="H2271" s="2360"/>
      <c r="I2271" s="2360"/>
      <c r="J2271" s="2360"/>
      <c r="K2271" s="276"/>
    </row>
    <row r="2272" spans="1:15" ht="15" customHeight="1">
      <c r="A2272" s="905" t="s">
        <v>356</v>
      </c>
      <c r="B2272" s="642" t="s">
        <v>505</v>
      </c>
      <c r="C2272" s="546"/>
      <c r="D2272" s="902"/>
      <c r="E2272" s="906"/>
      <c r="F2272" s="907"/>
      <c r="G2272" s="905" t="s">
        <v>356</v>
      </c>
      <c r="H2272" s="642" t="s">
        <v>506</v>
      </c>
      <c r="I2272" s="546"/>
      <c r="J2272" s="902"/>
      <c r="L2272" s="938"/>
      <c r="M2272" s="938"/>
      <c r="N2272" s="938"/>
      <c r="O2272" s="938"/>
    </row>
    <row r="2273" spans="1:15" ht="15" customHeight="1">
      <c r="A2273" s="905" t="s">
        <v>359</v>
      </c>
      <c r="B2273" s="939" t="s">
        <v>360</v>
      </c>
      <c r="C2273" s="910" t="e">
        <f>VLOOKUP(B2272,'LƯƠNG KT'!$D$16:$AC$184,3,0)</f>
        <v>#N/A</v>
      </c>
      <c r="D2273" s="609" t="e">
        <f>+C2273*25000</f>
        <v>#N/A</v>
      </c>
      <c r="E2273" s="911"/>
      <c r="F2273" s="911"/>
      <c r="G2273" s="905" t="s">
        <v>359</v>
      </c>
      <c r="H2273" s="939" t="s">
        <v>360</v>
      </c>
      <c r="I2273" s="910" t="e">
        <f>VLOOKUP(H2272,'LƯƠNG KT'!$D$16:$AC$184,3,0)</f>
        <v>#N/A</v>
      </c>
      <c r="J2273" s="609" t="e">
        <f>+I2273*25000</f>
        <v>#N/A</v>
      </c>
      <c r="K2273" s="935"/>
      <c r="L2273" s="935"/>
      <c r="M2273" s="935"/>
      <c r="N2273" s="935"/>
      <c r="O2273" s="935"/>
    </row>
    <row r="2274" spans="1:15" ht="15" customHeight="1">
      <c r="A2274" s="905" t="s">
        <v>361</v>
      </c>
      <c r="B2274" s="546" t="s">
        <v>362</v>
      </c>
      <c r="C2274" s="910" t="e">
        <f>VLOOKUP(B2272,'LƯƠNG KT'!$D$16:$AC$184,14,0)</f>
        <v>#N/A</v>
      </c>
      <c r="D2274" s="609" t="e">
        <f>C2274*$L$4</f>
        <v>#N/A</v>
      </c>
      <c r="E2274" s="912"/>
      <c r="F2274" s="912"/>
      <c r="G2274" s="905" t="s">
        <v>361</v>
      </c>
      <c r="H2274" s="546" t="s">
        <v>362</v>
      </c>
      <c r="I2274" s="910" t="e">
        <f>VLOOKUP(H2272,'LƯƠNG KT'!$D$16:$AC$184,14,0)</f>
        <v>#N/A</v>
      </c>
      <c r="J2274" s="609" t="e">
        <f>I2274*$L$4</f>
        <v>#N/A</v>
      </c>
      <c r="K2274" s="935"/>
      <c r="L2274" s="935"/>
      <c r="M2274" s="935"/>
      <c r="N2274" s="935"/>
      <c r="O2274" s="935"/>
    </row>
    <row r="2275" spans="1:15" ht="15" customHeight="1">
      <c r="A2275" s="905" t="s">
        <v>364</v>
      </c>
      <c r="B2275" s="546" t="s">
        <v>365</v>
      </c>
      <c r="C2275" s="910" t="e">
        <f>VLOOKUP(B2272,'LƯƠNG KT'!$D$16:$AC$184,15,0)</f>
        <v>#N/A</v>
      </c>
      <c r="D2275" s="609" t="e">
        <f>C2275*$L$5</f>
        <v>#N/A</v>
      </c>
      <c r="E2275" s="912"/>
      <c r="F2275" s="912"/>
      <c r="G2275" s="905" t="s">
        <v>364</v>
      </c>
      <c r="H2275" s="546" t="s">
        <v>365</v>
      </c>
      <c r="I2275" s="910" t="e">
        <f>VLOOKUP(H2272,'LƯƠNG KT'!$D$16:$AC$184,15,0)</f>
        <v>#N/A</v>
      </c>
      <c r="J2275" s="609" t="e">
        <f>I2275*$L$5</f>
        <v>#N/A</v>
      </c>
      <c r="K2275" s="935"/>
      <c r="L2275" s="935"/>
      <c r="M2275" s="935"/>
      <c r="N2275" s="935"/>
      <c r="O2275" s="935"/>
    </row>
    <row r="2276" spans="1:15" ht="15" customHeight="1">
      <c r="A2276" s="905" t="s">
        <v>367</v>
      </c>
      <c r="B2276" s="546"/>
      <c r="C2276" s="910" t="e">
        <f>VLOOKUP(B2272,'LƯƠNG KT'!$D$16:$AC$184,16,0)</f>
        <v>#N/A</v>
      </c>
      <c r="D2276" s="609" t="e">
        <f>+C2276*$L$6</f>
        <v>#N/A</v>
      </c>
      <c r="E2276" s="912"/>
      <c r="F2276" s="912"/>
      <c r="G2276" s="905" t="s">
        <v>367</v>
      </c>
      <c r="H2276" s="546"/>
      <c r="I2276" s="910" t="e">
        <f>VLOOKUP(H2272,'LƯƠNG KT'!$D$16:$AC$184,16,0)</f>
        <v>#N/A</v>
      </c>
      <c r="J2276" s="609" t="e">
        <f>+I2276*$L$6</f>
        <v>#N/A</v>
      </c>
      <c r="K2276" s="935"/>
      <c r="L2276" s="935"/>
      <c r="M2276" s="935"/>
      <c r="N2276" s="935"/>
      <c r="O2276" s="935"/>
    </row>
    <row r="2277" spans="1:15" ht="15" customHeight="1">
      <c r="A2277" s="905" t="s">
        <v>371</v>
      </c>
      <c r="B2277" s="546" t="s">
        <v>372</v>
      </c>
      <c r="C2277" s="910" t="e">
        <f>VLOOKUP(B2272,'LƯƠNG KT'!$D$16:$AC$184,9,0)*$L$10</f>
        <v>#N/A</v>
      </c>
      <c r="D2277" s="609" t="e">
        <f>+C2277*0.5*3000</f>
        <v>#N/A</v>
      </c>
      <c r="E2277" s="912"/>
      <c r="F2277" s="912"/>
      <c r="G2277" s="905" t="s">
        <v>371</v>
      </c>
      <c r="H2277" s="546" t="s">
        <v>372</v>
      </c>
      <c r="I2277" s="910" t="e">
        <f>VLOOKUP(H2272,'LƯƠNG KT'!$D$16:$AC$184,9,0)*$L$10</f>
        <v>#N/A</v>
      </c>
      <c r="J2277" s="609" t="e">
        <f>+I2277*0.5*3000</f>
        <v>#N/A</v>
      </c>
      <c r="K2277" s="935"/>
      <c r="L2277" s="935"/>
      <c r="M2277" s="935"/>
      <c r="N2277" s="935"/>
      <c r="O2277" s="935"/>
    </row>
    <row r="2278" spans="1:15" ht="15" customHeight="1">
      <c r="A2278" s="905" t="s">
        <v>374</v>
      </c>
      <c r="B2278" s="546" t="s">
        <v>375</v>
      </c>
      <c r="C2278" s="910" t="e">
        <f>VLOOKUP(B2272,'LƯƠNG KT'!$D$16:$AC$184,8,0)*$L$11</f>
        <v>#N/A</v>
      </c>
      <c r="D2278" s="609" t="e">
        <f>VLOOKUP(B2272,'LƯƠNG KT'!$D$16:$AC$184,13,0)-D2277</f>
        <v>#N/A</v>
      </c>
      <c r="E2278" s="914"/>
      <c r="F2278" s="912"/>
      <c r="G2278" s="905" t="s">
        <v>374</v>
      </c>
      <c r="H2278" s="546" t="s">
        <v>375</v>
      </c>
      <c r="I2278" s="910" t="e">
        <f>VLOOKUP(H2272,'LƯƠNG KT'!$D$16:$AC$184,8,0)*$L$11</f>
        <v>#N/A</v>
      </c>
      <c r="J2278" s="609" t="e">
        <f>VLOOKUP(H2272,'LƯƠNG KT'!$D$16:$AC$184,13,0)-J2277</f>
        <v>#N/A</v>
      </c>
      <c r="K2278" s="935"/>
      <c r="L2278" s="935"/>
      <c r="M2278" s="935"/>
      <c r="N2278" s="935"/>
      <c r="O2278" s="935"/>
    </row>
    <row r="2279" spans="1:15" ht="15" customHeight="1">
      <c r="A2279" s="609" t="s">
        <v>377</v>
      </c>
      <c r="B2279" s="546" t="s">
        <v>378</v>
      </c>
      <c r="C2279" s="910"/>
      <c r="D2279" s="609"/>
      <c r="E2279" s="916"/>
      <c r="F2279" s="916"/>
      <c r="G2279" s="609" t="s">
        <v>377</v>
      </c>
      <c r="H2279" s="546" t="s">
        <v>378</v>
      </c>
      <c r="I2279" s="910"/>
      <c r="J2279" s="609"/>
    </row>
    <row r="2280" spans="1:15" ht="15" customHeight="1">
      <c r="A2280" s="547" t="s">
        <v>379</v>
      </c>
      <c r="B2280" s="546" t="s">
        <v>380</v>
      </c>
      <c r="C2280" s="910"/>
      <c r="D2280" s="609"/>
      <c r="E2280" s="914"/>
      <c r="F2280" s="916"/>
      <c r="G2280" s="547" t="s">
        <v>379</v>
      </c>
      <c r="H2280" s="546" t="s">
        <v>380</v>
      </c>
      <c r="I2280" s="910"/>
      <c r="J2280" s="609"/>
    </row>
    <row r="2281" spans="1:15" ht="15" customHeight="1">
      <c r="A2281" s="905" t="s">
        <v>381</v>
      </c>
      <c r="B2281" s="546" t="s">
        <v>382</v>
      </c>
      <c r="C2281" s="910"/>
      <c r="D2281" s="609">
        <f>D2280</f>
        <v>0</v>
      </c>
      <c r="E2281" s="917"/>
      <c r="F2281" s="904"/>
      <c r="G2281" s="905" t="s">
        <v>381</v>
      </c>
      <c r="H2281" s="546" t="s">
        <v>382</v>
      </c>
      <c r="I2281" s="910"/>
      <c r="J2281" s="609">
        <f>J2280</f>
        <v>0</v>
      </c>
    </row>
    <row r="2282" spans="1:15" ht="15" customHeight="1">
      <c r="A2282" s="918" t="s">
        <v>383</v>
      </c>
      <c r="B2282" s="919" t="s">
        <v>384</v>
      </c>
      <c r="C2282" s="920"/>
      <c r="D2282" s="921" t="e">
        <f>SUM(D2273:D2278)-D2281</f>
        <v>#N/A</v>
      </c>
      <c r="E2282" s="922"/>
      <c r="F2282" s="923"/>
      <c r="G2282" s="918" t="s">
        <v>383</v>
      </c>
      <c r="H2282" s="919" t="s">
        <v>384</v>
      </c>
      <c r="I2282" s="920"/>
      <c r="J2282" s="921" t="e">
        <f>SUM(J2273:J2278)-J2281</f>
        <v>#N/A</v>
      </c>
    </row>
    <row r="2283" spans="1:15" ht="18.75" customHeight="1">
      <c r="A2283" s="924"/>
      <c r="B2283" s="925"/>
      <c r="C2283" s="926"/>
      <c r="D2283" s="927"/>
      <c r="E2283" s="927"/>
      <c r="F2283" s="928"/>
      <c r="G2283" s="924"/>
      <c r="H2283" s="925"/>
      <c r="I2283" s="926"/>
      <c r="J2283" s="927"/>
    </row>
    <row r="2284" spans="1:15" ht="18.75" customHeight="1">
      <c r="A2284" s="925"/>
      <c r="B2284" s="925"/>
      <c r="C2284" s="929"/>
      <c r="D2284" s="930"/>
      <c r="E2284" s="925"/>
      <c r="F2284" s="931"/>
      <c r="G2284" s="925"/>
      <c r="H2284" s="925"/>
      <c r="I2284" s="929"/>
      <c r="J2284" s="930"/>
    </row>
    <row r="2285" spans="1:15" ht="15" customHeight="1">
      <c r="A2285" s="2360" t="str">
        <f>$K$2</f>
        <v>THÁNG 09/2024</v>
      </c>
      <c r="B2285" s="2360"/>
      <c r="C2285" s="2360"/>
      <c r="D2285" s="2360"/>
      <c r="E2285" s="903"/>
      <c r="F2285" s="904"/>
      <c r="G2285" s="2360" t="str">
        <f>$K$2</f>
        <v>THÁNG 09/2024</v>
      </c>
      <c r="H2285" s="2360"/>
      <c r="I2285" s="2360"/>
      <c r="J2285" s="2360"/>
      <c r="K2285" s="276"/>
    </row>
    <row r="2286" spans="1:15" ht="15" customHeight="1">
      <c r="A2286" s="905" t="s">
        <v>356</v>
      </c>
      <c r="B2286" s="642" t="s">
        <v>507</v>
      </c>
      <c r="C2286" s="546"/>
      <c r="D2286" s="902"/>
      <c r="E2286" s="906"/>
      <c r="F2286" s="907"/>
      <c r="G2286" s="905" t="s">
        <v>356</v>
      </c>
      <c r="H2286" s="642"/>
      <c r="I2286" s="546"/>
      <c r="J2286" s="902"/>
      <c r="L2286" s="938"/>
      <c r="M2286" s="938"/>
      <c r="N2286" s="938"/>
      <c r="O2286" s="938"/>
    </row>
    <row r="2287" spans="1:15" ht="15" customHeight="1">
      <c r="A2287" s="905" t="s">
        <v>359</v>
      </c>
      <c r="B2287" s="939" t="s">
        <v>360</v>
      </c>
      <c r="C2287" s="910" t="e">
        <f>VLOOKUP(B2286,'LƯƠNG KT'!$D$16:$AC$184,3,0)</f>
        <v>#N/A</v>
      </c>
      <c r="D2287" s="609" t="e">
        <f>+C2287*25000</f>
        <v>#N/A</v>
      </c>
      <c r="E2287" s="911"/>
      <c r="F2287" s="911"/>
      <c r="G2287" s="905" t="s">
        <v>359</v>
      </c>
      <c r="H2287" s="939" t="s">
        <v>360</v>
      </c>
      <c r="I2287" s="910" t="e">
        <f>VLOOKUP(H2286,'LƯƠNG KT'!$D$16:$AC$184,3,0)</f>
        <v>#N/A</v>
      </c>
      <c r="J2287" s="609" t="e">
        <f>+I2287*25000</f>
        <v>#N/A</v>
      </c>
      <c r="K2287" s="935"/>
      <c r="L2287" s="935"/>
      <c r="M2287" s="935"/>
      <c r="N2287" s="935"/>
      <c r="O2287" s="935"/>
    </row>
    <row r="2288" spans="1:15" ht="15" customHeight="1">
      <c r="A2288" s="905" t="s">
        <v>361</v>
      </c>
      <c r="B2288" s="546" t="s">
        <v>362</v>
      </c>
      <c r="C2288" s="910" t="e">
        <f>VLOOKUP(B2286,'LƯƠNG KT'!$D$16:$AC$184,14,0)</f>
        <v>#N/A</v>
      </c>
      <c r="D2288" s="609" t="e">
        <f>C2288*$L$4</f>
        <v>#N/A</v>
      </c>
      <c r="E2288" s="912"/>
      <c r="F2288" s="912"/>
      <c r="G2288" s="905" t="s">
        <v>361</v>
      </c>
      <c r="H2288" s="546" t="s">
        <v>362</v>
      </c>
      <c r="I2288" s="910" t="e">
        <f>VLOOKUP(H2286,'LƯƠNG KT'!$D$16:$AC$184,14,0)</f>
        <v>#N/A</v>
      </c>
      <c r="J2288" s="609" t="e">
        <f>I2288*$L$4</f>
        <v>#N/A</v>
      </c>
      <c r="K2288" s="935"/>
      <c r="L2288" s="935"/>
      <c r="M2288" s="935"/>
      <c r="N2288" s="935"/>
      <c r="O2288" s="935"/>
    </row>
    <row r="2289" spans="1:15" ht="15" customHeight="1">
      <c r="A2289" s="905" t="s">
        <v>364</v>
      </c>
      <c r="B2289" s="546" t="s">
        <v>365</v>
      </c>
      <c r="C2289" s="910" t="e">
        <f>VLOOKUP(B2286,'LƯƠNG KT'!$D$16:$AC$184,15,0)</f>
        <v>#N/A</v>
      </c>
      <c r="D2289" s="609" t="e">
        <f>C2289*$L$5</f>
        <v>#N/A</v>
      </c>
      <c r="E2289" s="912"/>
      <c r="F2289" s="912"/>
      <c r="G2289" s="905" t="s">
        <v>364</v>
      </c>
      <c r="H2289" s="546" t="s">
        <v>365</v>
      </c>
      <c r="I2289" s="910" t="e">
        <f>VLOOKUP(H2286,'LƯƠNG KT'!$D$16:$AC$184,15,0)</f>
        <v>#N/A</v>
      </c>
      <c r="J2289" s="609" t="e">
        <f>I2289*$L$5</f>
        <v>#N/A</v>
      </c>
      <c r="K2289" s="935"/>
      <c r="L2289" s="935"/>
      <c r="M2289" s="935"/>
      <c r="N2289" s="935"/>
      <c r="O2289" s="935"/>
    </row>
    <row r="2290" spans="1:15" ht="15" customHeight="1">
      <c r="A2290" s="905" t="s">
        <v>367</v>
      </c>
      <c r="B2290" s="546"/>
      <c r="C2290" s="910" t="e">
        <f>VLOOKUP(B2286,'LƯƠNG KT'!$D$16:$AC$184,16,0)</f>
        <v>#N/A</v>
      </c>
      <c r="D2290" s="609" t="e">
        <f>+C2290*$L$6</f>
        <v>#N/A</v>
      </c>
      <c r="E2290" s="912"/>
      <c r="F2290" s="912"/>
      <c r="G2290" s="905" t="s">
        <v>367</v>
      </c>
      <c r="H2290" s="546"/>
      <c r="I2290" s="910" t="e">
        <f>VLOOKUP(H2286,'LƯƠNG KT'!$D$16:$AC$184,16,0)</f>
        <v>#N/A</v>
      </c>
      <c r="J2290" s="609" t="e">
        <f>+I2290*$L$6</f>
        <v>#N/A</v>
      </c>
      <c r="K2290" s="935"/>
      <c r="L2290" s="935"/>
      <c r="M2290" s="935"/>
      <c r="N2290" s="935"/>
      <c r="O2290" s="935"/>
    </row>
    <row r="2291" spans="1:15" ht="15" customHeight="1">
      <c r="A2291" s="905" t="s">
        <v>371</v>
      </c>
      <c r="B2291" s="546" t="s">
        <v>372</v>
      </c>
      <c r="C2291" s="910" t="e">
        <f>VLOOKUP(B2286,'LƯƠNG KT'!$D$16:$AC$184,9,0)*$L$10</f>
        <v>#N/A</v>
      </c>
      <c r="D2291" s="609" t="e">
        <f>+C2291*0.5*3000</f>
        <v>#N/A</v>
      </c>
      <c r="E2291" s="912"/>
      <c r="F2291" s="912"/>
      <c r="G2291" s="905" t="s">
        <v>371</v>
      </c>
      <c r="H2291" s="546" t="s">
        <v>372</v>
      </c>
      <c r="I2291" s="910" t="e">
        <f>VLOOKUP(H2286,'LƯƠNG KT'!$D$16:$AC$184,9,0)*$L$10</f>
        <v>#N/A</v>
      </c>
      <c r="J2291" s="609" t="e">
        <f>+I2291*0.5*3000</f>
        <v>#N/A</v>
      </c>
      <c r="K2291" s="935"/>
      <c r="L2291" s="935"/>
      <c r="M2291" s="935"/>
      <c r="N2291" s="935"/>
      <c r="O2291" s="935"/>
    </row>
    <row r="2292" spans="1:15" ht="15" customHeight="1">
      <c r="A2292" s="905" t="s">
        <v>374</v>
      </c>
      <c r="B2292" s="546" t="s">
        <v>375</v>
      </c>
      <c r="C2292" s="910" t="e">
        <f>VLOOKUP(B2286,'LƯƠNG KT'!$D$16:$AC$184,8,0)*$L$11</f>
        <v>#N/A</v>
      </c>
      <c r="D2292" s="609" t="e">
        <f>VLOOKUP(B2286,'LƯƠNG KT'!$D$16:$AC$184,13,0)-D2291</f>
        <v>#N/A</v>
      </c>
      <c r="E2292" s="914"/>
      <c r="F2292" s="912"/>
      <c r="G2292" s="905" t="s">
        <v>374</v>
      </c>
      <c r="H2292" s="546" t="s">
        <v>375</v>
      </c>
      <c r="I2292" s="910" t="e">
        <f>VLOOKUP(H2286,'LƯƠNG KT'!$D$16:$AC$184,8,0)*$L$11</f>
        <v>#N/A</v>
      </c>
      <c r="J2292" s="609" t="e">
        <f>VLOOKUP(H2286,'LƯƠNG KT'!$D$16:$AC$184,13,0)-J2291</f>
        <v>#N/A</v>
      </c>
      <c r="K2292" s="935"/>
      <c r="L2292" s="935"/>
      <c r="M2292" s="935"/>
      <c r="N2292" s="935"/>
      <c r="O2292" s="935"/>
    </row>
    <row r="2293" spans="1:15" ht="15" customHeight="1">
      <c r="A2293" s="609" t="s">
        <v>377</v>
      </c>
      <c r="B2293" s="546" t="s">
        <v>378</v>
      </c>
      <c r="C2293" s="910"/>
      <c r="D2293" s="609"/>
      <c r="E2293" s="916"/>
      <c r="F2293" s="916"/>
      <c r="G2293" s="609" t="s">
        <v>377</v>
      </c>
      <c r="H2293" s="546" t="s">
        <v>378</v>
      </c>
      <c r="I2293" s="910"/>
      <c r="J2293" s="609"/>
    </row>
    <row r="2294" spans="1:15" ht="15" customHeight="1">
      <c r="A2294" s="547" t="s">
        <v>379</v>
      </c>
      <c r="B2294" s="546" t="s">
        <v>380</v>
      </c>
      <c r="C2294" s="910"/>
      <c r="D2294" s="609"/>
      <c r="E2294" s="914"/>
      <c r="F2294" s="916"/>
      <c r="G2294" s="547" t="s">
        <v>379</v>
      </c>
      <c r="H2294" s="546" t="s">
        <v>380</v>
      </c>
      <c r="I2294" s="910"/>
      <c r="J2294" s="609"/>
    </row>
    <row r="2295" spans="1:15" ht="15" customHeight="1">
      <c r="A2295" s="905" t="s">
        <v>381</v>
      </c>
      <c r="B2295" s="546" t="s">
        <v>382</v>
      </c>
      <c r="C2295" s="910"/>
      <c r="D2295" s="609"/>
      <c r="E2295" s="917"/>
      <c r="F2295" s="904"/>
      <c r="G2295" s="905" t="s">
        <v>381</v>
      </c>
      <c r="H2295" s="546" t="s">
        <v>382</v>
      </c>
      <c r="I2295" s="910"/>
      <c r="J2295" s="609"/>
    </row>
    <row r="2296" spans="1:15" ht="15" customHeight="1">
      <c r="A2296" s="918" t="s">
        <v>383</v>
      </c>
      <c r="B2296" s="919" t="s">
        <v>384</v>
      </c>
      <c r="C2296" s="920"/>
      <c r="D2296" s="921" t="e">
        <f>SUM(D2287:D2292)-D2295</f>
        <v>#N/A</v>
      </c>
      <c r="E2296" s="922"/>
      <c r="F2296" s="923"/>
      <c r="G2296" s="918" t="s">
        <v>383</v>
      </c>
      <c r="H2296" s="919" t="s">
        <v>384</v>
      </c>
      <c r="I2296" s="920"/>
      <c r="J2296" s="921"/>
    </row>
    <row r="2297" spans="1:15" ht="15.75" customHeight="1">
      <c r="A2297" s="924"/>
      <c r="B2297" s="925"/>
      <c r="C2297" s="926"/>
      <c r="D2297" s="927"/>
      <c r="E2297" s="927"/>
      <c r="F2297" s="928"/>
      <c r="G2297" s="924"/>
      <c r="H2297" s="925"/>
      <c r="I2297" s="926"/>
      <c r="J2297" s="927"/>
    </row>
    <row r="2299" spans="1:15" ht="12" customHeight="1">
      <c r="A2299" s="2361"/>
      <c r="B2299" s="2361"/>
      <c r="C2299" s="2361"/>
      <c r="D2299" s="2361"/>
      <c r="E2299" s="2361"/>
      <c r="F2299" s="2361"/>
      <c r="G2299" s="2361"/>
      <c r="H2299" s="2361"/>
      <c r="I2299" s="2361"/>
      <c r="J2299" s="2361"/>
    </row>
    <row r="2300" spans="1:15" ht="15" customHeight="1">
      <c r="A2300" s="2360" t="str">
        <f>$K$2</f>
        <v>THÁNG 09/2024</v>
      </c>
      <c r="B2300" s="2360"/>
      <c r="C2300" s="2360"/>
      <c r="D2300" s="2360"/>
      <c r="E2300" s="903"/>
      <c r="F2300" s="904"/>
      <c r="G2300" s="2360" t="str">
        <f>$K$2</f>
        <v>THÁNG 09/2024</v>
      </c>
      <c r="H2300" s="2360"/>
      <c r="I2300" s="2360"/>
      <c r="J2300" s="2360"/>
      <c r="K2300" s="276"/>
    </row>
    <row r="2301" spans="1:15" ht="15" customHeight="1">
      <c r="A2301" s="905" t="s">
        <v>356</v>
      </c>
      <c r="B2301" s="642"/>
      <c r="C2301" s="546"/>
      <c r="D2301" s="902"/>
      <c r="E2301" s="906"/>
      <c r="F2301" s="907"/>
      <c r="G2301" s="905" t="s">
        <v>356</v>
      </c>
      <c r="H2301" s="642"/>
      <c r="I2301" s="546"/>
      <c r="J2301" s="902"/>
      <c r="L2301" s="938"/>
      <c r="M2301" s="938"/>
      <c r="N2301" s="938"/>
      <c r="O2301" s="938"/>
    </row>
    <row r="2302" spans="1:15" ht="15" customHeight="1">
      <c r="A2302" s="905" t="s">
        <v>359</v>
      </c>
      <c r="B2302" s="939" t="s">
        <v>360</v>
      </c>
      <c r="C2302" s="910"/>
      <c r="D2302" s="609"/>
      <c r="E2302" s="911"/>
      <c r="F2302" s="911"/>
      <c r="G2302" s="905" t="s">
        <v>359</v>
      </c>
      <c r="H2302" s="939" t="s">
        <v>360</v>
      </c>
      <c r="I2302" s="910"/>
      <c r="J2302" s="609"/>
      <c r="K2302" s="934"/>
      <c r="L2302" s="935"/>
      <c r="M2302" s="935"/>
      <c r="N2302" s="935"/>
      <c r="O2302" s="935"/>
    </row>
    <row r="2303" spans="1:15" ht="15" customHeight="1">
      <c r="A2303" s="905" t="s">
        <v>361</v>
      </c>
      <c r="B2303" s="546" t="s">
        <v>362</v>
      </c>
      <c r="C2303" s="910"/>
      <c r="D2303" s="609"/>
      <c r="E2303" s="912"/>
      <c r="F2303" s="912"/>
      <c r="G2303" s="905" t="s">
        <v>361</v>
      </c>
      <c r="H2303" s="546" t="s">
        <v>362</v>
      </c>
      <c r="I2303" s="910"/>
      <c r="J2303" s="609"/>
      <c r="K2303" s="934"/>
      <c r="L2303" s="935"/>
      <c r="M2303" s="935"/>
      <c r="N2303" s="935"/>
      <c r="O2303" s="935"/>
    </row>
    <row r="2304" spans="1:15" ht="15" customHeight="1">
      <c r="A2304" s="905" t="s">
        <v>364</v>
      </c>
      <c r="B2304" s="546" t="s">
        <v>365</v>
      </c>
      <c r="C2304" s="910"/>
      <c r="D2304" s="609"/>
      <c r="E2304" s="912"/>
      <c r="F2304" s="912"/>
      <c r="G2304" s="905" t="s">
        <v>364</v>
      </c>
      <c r="H2304" s="546" t="s">
        <v>365</v>
      </c>
      <c r="I2304" s="910"/>
      <c r="J2304" s="609"/>
      <c r="K2304" s="934"/>
      <c r="L2304" s="935"/>
      <c r="M2304" s="935"/>
      <c r="N2304" s="935"/>
      <c r="O2304" s="935"/>
    </row>
    <row r="2305" spans="1:15" ht="15" customHeight="1">
      <c r="A2305" s="905" t="s">
        <v>508</v>
      </c>
      <c r="B2305" s="546"/>
      <c r="C2305" s="910"/>
      <c r="D2305" s="609"/>
      <c r="E2305" s="912"/>
      <c r="F2305" s="912"/>
      <c r="G2305" s="905" t="s">
        <v>508</v>
      </c>
      <c r="H2305" s="546"/>
      <c r="I2305" s="910"/>
      <c r="J2305" s="609"/>
      <c r="K2305" s="935"/>
      <c r="L2305" s="935"/>
      <c r="M2305" s="935"/>
      <c r="N2305" s="935"/>
      <c r="O2305" s="935"/>
    </row>
    <row r="2306" spans="1:15" ht="15" customHeight="1">
      <c r="A2306" s="905" t="s">
        <v>371</v>
      </c>
      <c r="B2306" s="546" t="s">
        <v>372</v>
      </c>
      <c r="C2306" s="910"/>
      <c r="D2306" s="609"/>
      <c r="E2306" s="912"/>
      <c r="F2306" s="912"/>
      <c r="G2306" s="905" t="s">
        <v>371</v>
      </c>
      <c r="H2306" s="546" t="s">
        <v>372</v>
      </c>
      <c r="I2306" s="910"/>
      <c r="J2306" s="609"/>
      <c r="K2306" s="935"/>
      <c r="L2306" s="935"/>
      <c r="M2306" s="935"/>
      <c r="N2306" s="935"/>
      <c r="O2306" s="935"/>
    </row>
    <row r="2307" spans="1:15" ht="15" customHeight="1">
      <c r="A2307" s="905" t="s">
        <v>374</v>
      </c>
      <c r="B2307" s="546" t="s">
        <v>375</v>
      </c>
      <c r="C2307" s="910"/>
      <c r="D2307" s="609"/>
      <c r="E2307" s="914"/>
      <c r="F2307" s="912"/>
      <c r="G2307" s="905" t="s">
        <v>374</v>
      </c>
      <c r="H2307" s="546" t="s">
        <v>375</v>
      </c>
      <c r="I2307" s="910"/>
      <c r="J2307" s="609"/>
      <c r="K2307" s="935"/>
      <c r="L2307" s="935"/>
      <c r="M2307" s="935"/>
      <c r="N2307" s="935"/>
      <c r="O2307" s="935"/>
    </row>
    <row r="2308" spans="1:15" ht="15" customHeight="1">
      <c r="A2308" s="609" t="s">
        <v>377</v>
      </c>
      <c r="B2308" s="546" t="s">
        <v>378</v>
      </c>
      <c r="C2308" s="910"/>
      <c r="D2308" s="609"/>
      <c r="E2308" s="916"/>
      <c r="F2308" s="916"/>
      <c r="G2308" s="609" t="s">
        <v>377</v>
      </c>
      <c r="H2308" s="546" t="s">
        <v>378</v>
      </c>
      <c r="I2308" s="910"/>
      <c r="J2308" s="609"/>
    </row>
    <row r="2309" spans="1:15" ht="15" customHeight="1">
      <c r="A2309" s="547" t="s">
        <v>379</v>
      </c>
      <c r="B2309" s="546" t="s">
        <v>380</v>
      </c>
      <c r="C2309" s="910"/>
      <c r="D2309" s="609"/>
      <c r="E2309" s="914"/>
      <c r="F2309" s="916"/>
      <c r="G2309" s="547" t="s">
        <v>379</v>
      </c>
      <c r="H2309" s="546" t="s">
        <v>380</v>
      </c>
      <c r="I2309" s="910"/>
      <c r="J2309" s="609"/>
    </row>
    <row r="2310" spans="1:15" ht="15" customHeight="1">
      <c r="A2310" s="905" t="s">
        <v>381</v>
      </c>
      <c r="B2310" s="546" t="s">
        <v>382</v>
      </c>
      <c r="C2310" s="910"/>
      <c r="D2310" s="609"/>
      <c r="E2310" s="917"/>
      <c r="F2310" s="904"/>
      <c r="G2310" s="905" t="s">
        <v>381</v>
      </c>
      <c r="H2310" s="546" t="s">
        <v>382</v>
      </c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/>
      <c r="E2311" s="922"/>
      <c r="F2311" s="923"/>
      <c r="G2311" s="918" t="s">
        <v>383</v>
      </c>
      <c r="H2311" s="919" t="s">
        <v>384</v>
      </c>
      <c r="I2311" s="920"/>
      <c r="J2311" s="921"/>
      <c r="K2311" s="940" t="s">
        <v>503</v>
      </c>
      <c r="L2311" s="940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0"/>
      <c r="N2311" s="940"/>
      <c r="O2311" s="940"/>
    </row>
    <row r="2312" spans="1:15" ht="12.6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2.6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60"/>
      <c r="B2314" s="2360"/>
      <c r="C2314" s="2360"/>
      <c r="D2314" s="2360"/>
      <c r="E2314" s="903"/>
      <c r="F2314" s="904"/>
      <c r="G2314" s="2360"/>
      <c r="H2314" s="2360"/>
      <c r="I2314" s="2360"/>
      <c r="J2314" s="2360"/>
      <c r="K2314" s="276"/>
    </row>
    <row r="2315" spans="1:15" ht="15" customHeight="1">
      <c r="A2315" s="905"/>
      <c r="B2315" s="642"/>
      <c r="C2315" s="546"/>
      <c r="D2315" s="902"/>
      <c r="E2315" s="906"/>
      <c r="F2315" s="907"/>
      <c r="G2315" s="905"/>
      <c r="H2315" s="642"/>
      <c r="I2315" s="546"/>
      <c r="J2315" s="902"/>
      <c r="L2315" s="938"/>
      <c r="M2315" s="938"/>
      <c r="N2315" s="938"/>
      <c r="O2315" s="938"/>
    </row>
    <row r="2316" spans="1:15" ht="15" customHeight="1">
      <c r="A2316" s="905"/>
      <c r="B2316" s="939"/>
      <c r="C2316" s="910"/>
      <c r="D2316" s="609"/>
      <c r="E2316" s="911"/>
      <c r="F2316" s="911"/>
      <c r="G2316" s="905"/>
      <c r="H2316" s="939"/>
      <c r="I2316" s="910"/>
      <c r="J2316" s="609"/>
      <c r="K2316" s="935"/>
      <c r="L2316" s="935"/>
      <c r="M2316" s="935"/>
      <c r="N2316" s="935"/>
      <c r="O2316" s="935"/>
    </row>
    <row r="2317" spans="1:15" ht="15" customHeight="1">
      <c r="A2317" s="905"/>
      <c r="B2317" s="546"/>
      <c r="C2317" s="910"/>
      <c r="D2317" s="609"/>
      <c r="E2317" s="912"/>
      <c r="F2317" s="912"/>
      <c r="G2317" s="905"/>
      <c r="H2317" s="546"/>
      <c r="I2317" s="910"/>
      <c r="J2317" s="609"/>
      <c r="K2317" s="935"/>
      <c r="L2317" s="935"/>
      <c r="M2317" s="935"/>
      <c r="N2317" s="935"/>
      <c r="O2317" s="935"/>
    </row>
    <row r="2318" spans="1:15" ht="15" customHeight="1">
      <c r="A2318" s="905"/>
      <c r="B2318" s="546"/>
      <c r="C2318" s="910"/>
      <c r="D2318" s="609"/>
      <c r="E2318" s="912"/>
      <c r="F2318" s="912"/>
      <c r="G2318" s="905"/>
      <c r="H2318" s="546"/>
      <c r="I2318" s="910"/>
      <c r="J2318" s="609"/>
      <c r="K2318" s="935"/>
      <c r="L2318" s="935"/>
      <c r="M2318" s="935"/>
      <c r="N2318" s="935"/>
      <c r="O2318" s="935"/>
    </row>
    <row r="2319" spans="1:15" ht="15" customHeight="1">
      <c r="A2319" s="905"/>
      <c r="B2319" s="546"/>
      <c r="C2319" s="910"/>
      <c r="D2319" s="609"/>
      <c r="E2319" s="912"/>
      <c r="F2319" s="912"/>
      <c r="G2319" s="905"/>
      <c r="H2319" s="546"/>
      <c r="I2319" s="910"/>
      <c r="J2319" s="609"/>
      <c r="K2319" s="935"/>
      <c r="L2319" s="935"/>
      <c r="M2319" s="935"/>
      <c r="N2319" s="935"/>
      <c r="O2319" s="935"/>
    </row>
    <row r="2320" spans="1:15" ht="15" customHeight="1">
      <c r="A2320" s="905"/>
      <c r="B2320" s="546"/>
      <c r="C2320" s="910"/>
      <c r="D2320" s="609"/>
      <c r="E2320" s="912"/>
      <c r="F2320" s="912"/>
      <c r="G2320" s="905"/>
      <c r="H2320" s="546"/>
      <c r="I2320" s="910"/>
      <c r="J2320" s="609"/>
      <c r="K2320" s="935"/>
      <c r="L2320" s="935"/>
      <c r="M2320" s="935"/>
      <c r="N2320" s="935"/>
      <c r="O2320" s="935"/>
    </row>
    <row r="2321" spans="1:15" ht="15" customHeight="1">
      <c r="A2321" s="905"/>
      <c r="B2321" s="546"/>
      <c r="C2321" s="910"/>
      <c r="D2321" s="609"/>
      <c r="E2321" s="914"/>
      <c r="F2321" s="912"/>
      <c r="G2321" s="905"/>
      <c r="H2321" s="546"/>
      <c r="I2321" s="910"/>
      <c r="J2321" s="609"/>
      <c r="K2321" s="935"/>
      <c r="L2321" s="935"/>
      <c r="M2321" s="935"/>
      <c r="N2321" s="935"/>
      <c r="O2321" s="935"/>
    </row>
    <row r="2322" spans="1:15" ht="15" customHeight="1">
      <c r="A2322" s="609"/>
      <c r="B2322" s="546"/>
      <c r="C2322" s="910"/>
      <c r="D2322" s="609"/>
      <c r="E2322" s="916"/>
      <c r="F2322" s="916"/>
      <c r="G2322" s="609"/>
      <c r="H2322" s="546"/>
      <c r="I2322" s="910"/>
      <c r="J2322" s="609"/>
    </row>
    <row r="2323" spans="1:15" ht="15" customHeight="1">
      <c r="A2323" s="547"/>
      <c r="B2323" s="546"/>
      <c r="C2323" s="910"/>
      <c r="D2323" s="609"/>
      <c r="E2323" s="914"/>
      <c r="F2323" s="916"/>
      <c r="G2323" s="547"/>
      <c r="H2323" s="546"/>
      <c r="I2323" s="910"/>
      <c r="J2323" s="609"/>
    </row>
    <row r="2324" spans="1:15" ht="15" customHeight="1">
      <c r="A2324" s="905"/>
      <c r="B2324" s="546"/>
      <c r="C2324" s="910"/>
      <c r="D2324" s="609"/>
      <c r="E2324" s="917"/>
      <c r="F2324" s="904"/>
      <c r="G2324" s="905"/>
      <c r="H2324" s="546"/>
      <c r="I2324" s="910"/>
      <c r="J2324" s="609"/>
    </row>
    <row r="2325" spans="1:15" ht="15" customHeight="1">
      <c r="A2325" s="918"/>
      <c r="B2325" s="919"/>
      <c r="C2325" s="920"/>
      <c r="D2325" s="921"/>
      <c r="E2325" s="922"/>
      <c r="F2325" s="923"/>
      <c r="G2325" s="918"/>
      <c r="H2325" s="919"/>
      <c r="I2325" s="920"/>
      <c r="J2325" s="921"/>
    </row>
    <row r="2326" spans="1:15" ht="18.75" customHeight="1">
      <c r="A2326" s="924"/>
      <c r="B2326" s="925"/>
      <c r="C2326" s="926"/>
      <c r="D2326" s="927"/>
      <c r="E2326" s="927"/>
      <c r="F2326" s="928"/>
      <c r="G2326" s="924"/>
      <c r="H2326" s="925"/>
      <c r="I2326" s="926"/>
      <c r="J2326" s="927"/>
    </row>
    <row r="2327" spans="1:15" ht="18.75" customHeight="1">
      <c r="A2327" s="925"/>
      <c r="B2327" s="925"/>
      <c r="C2327" s="929"/>
      <c r="D2327" s="930"/>
      <c r="E2327" s="925"/>
      <c r="F2327" s="931"/>
      <c r="G2327" s="925"/>
      <c r="H2327" s="925"/>
      <c r="I2327" s="929"/>
      <c r="J2327" s="930"/>
    </row>
    <row r="2328" spans="1:15" ht="15" customHeight="1">
      <c r="A2328" s="2360"/>
      <c r="B2328" s="2360"/>
      <c r="C2328" s="2360"/>
      <c r="D2328" s="2360"/>
      <c r="E2328" s="903"/>
      <c r="F2328" s="904"/>
      <c r="G2328" s="2360"/>
      <c r="H2328" s="2360"/>
      <c r="I2328" s="2360"/>
      <c r="J2328" s="2360"/>
      <c r="K2328" s="276"/>
    </row>
    <row r="2329" spans="1:15" ht="15" customHeight="1">
      <c r="A2329" s="905"/>
      <c r="B2329" s="642"/>
      <c r="C2329" s="546"/>
      <c r="D2329" s="902"/>
      <c r="E2329" s="906"/>
      <c r="F2329" s="907"/>
      <c r="G2329" s="905"/>
      <c r="H2329" s="642"/>
      <c r="I2329" s="546"/>
      <c r="J2329" s="902"/>
      <c r="L2329" s="938"/>
      <c r="M2329" s="938"/>
      <c r="N2329" s="938"/>
      <c r="O2329" s="938"/>
    </row>
    <row r="2330" spans="1:15" ht="15" customHeight="1">
      <c r="A2330" s="905"/>
      <c r="B2330" s="939"/>
      <c r="C2330" s="910"/>
      <c r="D2330" s="609"/>
      <c r="E2330" s="911"/>
      <c r="F2330" s="911"/>
      <c r="G2330" s="905"/>
      <c r="H2330" s="939"/>
      <c r="I2330" s="910"/>
      <c r="J2330" s="609"/>
      <c r="K2330" s="935"/>
      <c r="L2330" s="935"/>
      <c r="M2330" s="935"/>
      <c r="N2330" s="935"/>
      <c r="O2330" s="935"/>
    </row>
    <row r="2331" spans="1:15" ht="15" customHeight="1">
      <c r="A2331" s="905"/>
      <c r="B2331" s="546"/>
      <c r="C2331" s="910"/>
      <c r="D2331" s="609"/>
      <c r="E2331" s="912"/>
      <c r="F2331" s="912"/>
      <c r="G2331" s="905"/>
      <c r="H2331" s="546"/>
      <c r="I2331" s="910"/>
      <c r="J2331" s="609"/>
      <c r="K2331" s="935"/>
      <c r="L2331" s="935"/>
      <c r="M2331" s="935"/>
      <c r="N2331" s="935"/>
      <c r="O2331" s="935"/>
    </row>
    <row r="2332" spans="1:15" ht="15" customHeight="1">
      <c r="A2332" s="905"/>
      <c r="B2332" s="546"/>
      <c r="C2332" s="910"/>
      <c r="D2332" s="609"/>
      <c r="E2332" s="912"/>
      <c r="F2332" s="912"/>
      <c r="G2332" s="905"/>
      <c r="H2332" s="546"/>
      <c r="I2332" s="910"/>
      <c r="J2332" s="609"/>
      <c r="K2332" s="935"/>
      <c r="L2332" s="935"/>
      <c r="M2332" s="935"/>
      <c r="N2332" s="935"/>
      <c r="O2332" s="935"/>
    </row>
    <row r="2333" spans="1:15" ht="15" customHeight="1">
      <c r="A2333" s="905"/>
      <c r="B2333" s="546"/>
      <c r="C2333" s="910"/>
      <c r="D2333" s="609"/>
      <c r="E2333" s="912"/>
      <c r="F2333" s="912"/>
      <c r="G2333" s="905"/>
      <c r="H2333" s="546"/>
      <c r="I2333" s="910"/>
      <c r="J2333" s="609"/>
      <c r="K2333" s="935"/>
      <c r="L2333" s="935"/>
      <c r="M2333" s="935"/>
      <c r="N2333" s="935"/>
      <c r="O2333" s="935"/>
    </row>
    <row r="2334" spans="1:15" ht="15" customHeight="1">
      <c r="A2334" s="905"/>
      <c r="B2334" s="546"/>
      <c r="C2334" s="910"/>
      <c r="D2334" s="609"/>
      <c r="E2334" s="912"/>
      <c r="F2334" s="912"/>
      <c r="G2334" s="905"/>
      <c r="H2334" s="546"/>
      <c r="I2334" s="910"/>
      <c r="J2334" s="609"/>
      <c r="K2334" s="935"/>
      <c r="L2334" s="935"/>
      <c r="M2334" s="935"/>
      <c r="N2334" s="935"/>
      <c r="O2334" s="935"/>
    </row>
    <row r="2335" spans="1:15" ht="15" customHeight="1">
      <c r="A2335" s="905"/>
      <c r="B2335" s="546"/>
      <c r="C2335" s="910"/>
      <c r="D2335" s="609"/>
      <c r="E2335" s="914"/>
      <c r="F2335" s="912"/>
      <c r="G2335" s="905"/>
      <c r="H2335" s="546"/>
      <c r="I2335" s="910"/>
      <c r="J2335" s="609"/>
      <c r="K2335" s="935"/>
      <c r="L2335" s="935"/>
      <c r="M2335" s="935"/>
      <c r="N2335" s="935"/>
      <c r="O2335" s="935"/>
    </row>
    <row r="2336" spans="1:15" ht="15" customHeight="1">
      <c r="A2336" s="609"/>
      <c r="B2336" s="546"/>
      <c r="C2336" s="910"/>
      <c r="D2336" s="609"/>
      <c r="E2336" s="916"/>
      <c r="F2336" s="916"/>
      <c r="G2336" s="609"/>
      <c r="H2336" s="546"/>
      <c r="I2336" s="910"/>
      <c r="J2336" s="609"/>
    </row>
    <row r="2337" spans="1:15" ht="15" customHeight="1">
      <c r="A2337" s="547"/>
      <c r="B2337" s="546"/>
      <c r="C2337" s="910"/>
      <c r="D2337" s="609"/>
      <c r="E2337" s="914"/>
      <c r="F2337" s="916"/>
      <c r="G2337" s="547"/>
      <c r="H2337" s="546"/>
      <c r="I2337" s="910"/>
      <c r="J2337" s="609"/>
    </row>
    <row r="2338" spans="1:15" ht="15" customHeight="1">
      <c r="A2338" s="905"/>
      <c r="B2338" s="546"/>
      <c r="C2338" s="910"/>
      <c r="D2338" s="609"/>
      <c r="E2338" s="917"/>
      <c r="F2338" s="904"/>
      <c r="G2338" s="905"/>
      <c r="H2338" s="546"/>
      <c r="I2338" s="910"/>
      <c r="J2338" s="609"/>
    </row>
    <row r="2339" spans="1:15" ht="15" customHeight="1">
      <c r="A2339" s="918"/>
      <c r="B2339" s="919"/>
      <c r="C2339" s="920"/>
      <c r="D2339" s="921"/>
      <c r="E2339" s="922"/>
      <c r="F2339" s="923"/>
      <c r="G2339" s="918"/>
      <c r="H2339" s="919"/>
      <c r="I2339" s="920"/>
      <c r="J2339" s="921"/>
    </row>
    <row r="2340" spans="1:15" ht="18.75" customHeight="1">
      <c r="A2340" s="924"/>
      <c r="B2340" s="925"/>
      <c r="C2340" s="926"/>
      <c r="D2340" s="927"/>
      <c r="E2340" s="927"/>
      <c r="F2340" s="928"/>
      <c r="G2340" s="924"/>
      <c r="H2340" s="925"/>
      <c r="I2340" s="926"/>
      <c r="J2340" s="927"/>
    </row>
    <row r="2341" spans="1:15" ht="18.75" customHeight="1">
      <c r="A2341" s="925"/>
      <c r="B2341" s="925"/>
      <c r="C2341" s="929"/>
      <c r="D2341" s="930"/>
      <c r="E2341" s="925"/>
      <c r="F2341" s="931"/>
      <c r="G2341" s="925"/>
      <c r="H2341" s="925"/>
      <c r="I2341" s="929"/>
      <c r="J2341" s="930"/>
    </row>
    <row r="2342" spans="1:15" ht="15" customHeight="1">
      <c r="A2342" s="2360"/>
      <c r="B2342" s="2360"/>
      <c r="C2342" s="2360"/>
      <c r="D2342" s="2360"/>
      <c r="E2342" s="903"/>
      <c r="F2342" s="904"/>
      <c r="G2342" s="2360"/>
      <c r="H2342" s="2360"/>
      <c r="I2342" s="2360"/>
      <c r="J2342" s="2360"/>
      <c r="K2342" s="276"/>
    </row>
    <row r="2343" spans="1:15" ht="15" customHeight="1">
      <c r="A2343" s="905"/>
      <c r="B2343" s="642"/>
      <c r="C2343" s="546"/>
      <c r="D2343" s="902"/>
      <c r="E2343" s="906"/>
      <c r="F2343" s="907"/>
      <c r="G2343" s="905"/>
      <c r="H2343" s="642"/>
      <c r="I2343" s="546"/>
      <c r="J2343" s="902"/>
      <c r="L2343" s="938"/>
      <c r="M2343" s="938"/>
      <c r="N2343" s="938"/>
      <c r="O2343" s="938"/>
    </row>
    <row r="2344" spans="1:15" ht="15" customHeight="1">
      <c r="A2344" s="905"/>
      <c r="B2344" s="939"/>
      <c r="C2344" s="910"/>
      <c r="D2344" s="609"/>
      <c r="E2344" s="911"/>
      <c r="F2344" s="911"/>
      <c r="G2344" s="905"/>
      <c r="H2344" s="939"/>
      <c r="I2344" s="910"/>
      <c r="J2344" s="609"/>
      <c r="K2344" s="935"/>
      <c r="L2344" s="935"/>
      <c r="M2344" s="935"/>
      <c r="N2344" s="935"/>
      <c r="O2344" s="935"/>
    </row>
    <row r="2345" spans="1:15" ht="15" customHeight="1">
      <c r="A2345" s="905"/>
      <c r="B2345" s="546"/>
      <c r="C2345" s="910"/>
      <c r="D2345" s="609"/>
      <c r="E2345" s="912"/>
      <c r="F2345" s="912"/>
      <c r="G2345" s="905"/>
      <c r="H2345" s="546"/>
      <c r="I2345" s="910"/>
      <c r="J2345" s="609"/>
      <c r="K2345" s="935"/>
      <c r="L2345" s="935"/>
      <c r="M2345" s="935"/>
      <c r="N2345" s="935"/>
      <c r="O2345" s="935"/>
    </row>
    <row r="2346" spans="1:15" ht="15" customHeight="1">
      <c r="A2346" s="905"/>
      <c r="B2346" s="546"/>
      <c r="C2346" s="910"/>
      <c r="D2346" s="609"/>
      <c r="E2346" s="912"/>
      <c r="F2346" s="912"/>
      <c r="G2346" s="905"/>
      <c r="H2346" s="546"/>
      <c r="I2346" s="910"/>
      <c r="J2346" s="609"/>
      <c r="K2346" s="935"/>
      <c r="L2346" s="935"/>
      <c r="M2346" s="935"/>
      <c r="N2346" s="935"/>
      <c r="O2346" s="935"/>
    </row>
    <row r="2347" spans="1:15" ht="15" customHeight="1">
      <c r="A2347" s="905"/>
      <c r="B2347" s="546"/>
      <c r="C2347" s="910"/>
      <c r="D2347" s="609"/>
      <c r="E2347" s="912"/>
      <c r="F2347" s="912"/>
      <c r="G2347" s="905"/>
      <c r="H2347" s="546"/>
      <c r="I2347" s="910"/>
      <c r="J2347" s="609"/>
      <c r="K2347" s="935"/>
      <c r="L2347" s="935"/>
      <c r="M2347" s="935"/>
      <c r="N2347" s="935"/>
      <c r="O2347" s="935"/>
    </row>
    <row r="2348" spans="1:15" ht="15" customHeight="1">
      <c r="A2348" s="905"/>
      <c r="B2348" s="546"/>
      <c r="C2348" s="910"/>
      <c r="D2348" s="609"/>
      <c r="E2348" s="912"/>
      <c r="F2348" s="912"/>
      <c r="G2348" s="905"/>
      <c r="H2348" s="546"/>
      <c r="I2348" s="910"/>
      <c r="J2348" s="609"/>
    </row>
    <row r="2349" spans="1:15" ht="15" customHeight="1">
      <c r="A2349" s="905"/>
      <c r="B2349" s="546"/>
      <c r="C2349" s="910"/>
      <c r="D2349" s="609"/>
      <c r="E2349" s="914"/>
      <c r="F2349" s="912"/>
      <c r="G2349" s="905"/>
      <c r="H2349" s="546"/>
      <c r="I2349" s="910"/>
      <c r="J2349" s="609"/>
      <c r="K2349" s="935"/>
      <c r="L2349" s="935"/>
      <c r="M2349" s="935"/>
      <c r="N2349" s="935"/>
      <c r="O2349" s="935"/>
    </row>
    <row r="2350" spans="1:15" ht="15" customHeight="1">
      <c r="A2350" s="609"/>
      <c r="B2350" s="546"/>
      <c r="C2350" s="910"/>
      <c r="D2350" s="609"/>
      <c r="E2350" s="916"/>
      <c r="F2350" s="916"/>
      <c r="G2350" s="609"/>
      <c r="H2350" s="546"/>
      <c r="I2350" s="910"/>
      <c r="J2350" s="609"/>
    </row>
    <row r="2351" spans="1:15" ht="15" customHeight="1">
      <c r="A2351" s="547"/>
      <c r="B2351" s="546"/>
      <c r="C2351" s="910"/>
      <c r="D2351" s="609"/>
      <c r="E2351" s="914"/>
      <c r="F2351" s="916"/>
      <c r="G2351" s="547"/>
      <c r="H2351" s="546"/>
      <c r="I2351" s="910"/>
      <c r="J2351" s="609"/>
    </row>
    <row r="2352" spans="1:15" ht="15" customHeight="1">
      <c r="A2352" s="905"/>
      <c r="B2352" s="546"/>
      <c r="C2352" s="910"/>
      <c r="D2352" s="609"/>
      <c r="E2352" s="917"/>
      <c r="F2352" s="904"/>
      <c r="G2352" s="905"/>
      <c r="H2352" s="546"/>
      <c r="I2352" s="910"/>
      <c r="J2352" s="609"/>
    </row>
    <row r="2353" spans="1:15" ht="15" customHeight="1">
      <c r="A2353" s="918"/>
      <c r="B2353" s="919"/>
      <c r="C2353" s="920"/>
      <c r="D2353" s="921"/>
      <c r="E2353" s="922"/>
      <c r="F2353" s="923"/>
      <c r="G2353" s="918"/>
      <c r="H2353" s="919"/>
      <c r="I2353" s="920"/>
      <c r="J2353" s="921"/>
    </row>
    <row r="2354" spans="1:15" ht="15.75" customHeight="1">
      <c r="A2354" s="924"/>
      <c r="B2354" s="925"/>
      <c r="C2354" s="926"/>
      <c r="D2354" s="927"/>
      <c r="E2354" s="927"/>
      <c r="F2354" s="928"/>
      <c r="G2354" s="924"/>
      <c r="H2354" s="925"/>
      <c r="I2354" s="926"/>
      <c r="J2354" s="927"/>
    </row>
    <row r="2356" spans="1:15" ht="12" customHeight="1">
      <c r="A2356" s="2362" t="s">
        <v>509</v>
      </c>
      <c r="B2356" s="2362"/>
      <c r="C2356" s="2362"/>
      <c r="D2356" s="2362"/>
      <c r="E2356" s="2362"/>
      <c r="F2356" s="2362"/>
      <c r="G2356" s="2362"/>
      <c r="H2356" s="2362"/>
      <c r="I2356" s="2362"/>
      <c r="J2356" s="2362"/>
    </row>
    <row r="2357" spans="1:15" ht="15" customHeight="1">
      <c r="A2357" s="2360" t="str">
        <f>$K$2</f>
        <v>THÁNG 09/2024</v>
      </c>
      <c r="B2357" s="2360"/>
      <c r="C2357" s="2360"/>
      <c r="D2357" s="2360"/>
      <c r="E2357" s="903"/>
      <c r="F2357" s="904"/>
      <c r="G2357" s="2360" t="str">
        <f>$K$2</f>
        <v>THÁNG 09/2024</v>
      </c>
      <c r="H2357" s="2360"/>
      <c r="I2357" s="2360"/>
      <c r="J2357" s="2360"/>
      <c r="K2357" s="276"/>
    </row>
    <row r="2358" spans="1:15" ht="15" customHeight="1">
      <c r="A2358" s="905" t="s">
        <v>356</v>
      </c>
      <c r="B2358" s="642" t="s">
        <v>206</v>
      </c>
      <c r="C2358" s="546"/>
      <c r="D2358" s="902"/>
      <c r="E2358" s="906"/>
      <c r="F2358" s="907"/>
      <c r="G2358" s="905" t="s">
        <v>356</v>
      </c>
      <c r="H2358" s="642" t="s">
        <v>207</v>
      </c>
      <c r="I2358" s="546"/>
      <c r="J2358" s="902"/>
      <c r="L2358" s="938"/>
      <c r="M2358" s="938"/>
      <c r="N2358" s="938"/>
      <c r="O2358" s="938"/>
    </row>
    <row r="2359" spans="1:15" ht="15" customHeight="1">
      <c r="A2359" s="905" t="s">
        <v>359</v>
      </c>
      <c r="B2359" s="939" t="s">
        <v>360</v>
      </c>
      <c r="C2359" s="910" t="e">
        <f>VLOOKUP(B2358,'LƯƠNG KT'!$D$16:$AC$184,3,0)</f>
        <v>#N/A</v>
      </c>
      <c r="D2359" s="609" t="e">
        <f>+C2359*25000</f>
        <v>#N/A</v>
      </c>
      <c r="E2359" s="911"/>
      <c r="F2359" s="911"/>
      <c r="G2359" s="905" t="s">
        <v>359</v>
      </c>
      <c r="H2359" s="939" t="s">
        <v>360</v>
      </c>
      <c r="I2359" s="910" t="e">
        <f>VLOOKUP(H2358,'LƯƠNG KT'!$D$16:$AC$184,3,0)</f>
        <v>#N/A</v>
      </c>
      <c r="J2359" s="609" t="e">
        <f>+I2359*25000</f>
        <v>#N/A</v>
      </c>
      <c r="K2359" s="934"/>
      <c r="L2359" s="935"/>
      <c r="M2359" s="935"/>
      <c r="N2359" s="935"/>
      <c r="O2359" s="935"/>
    </row>
    <row r="2360" spans="1:15" ht="15" customHeight="1">
      <c r="A2360" s="905" t="s">
        <v>361</v>
      </c>
      <c r="B2360" s="546" t="s">
        <v>362</v>
      </c>
      <c r="C2360" s="910" t="e">
        <f>VLOOKUP(B2358,'LƯƠNG KT'!$D$16:$AC$184,14,0)</f>
        <v>#N/A</v>
      </c>
      <c r="D2360" s="609" t="e">
        <f>C2360*$L$4</f>
        <v>#N/A</v>
      </c>
      <c r="E2360" s="912"/>
      <c r="F2360" s="912"/>
      <c r="G2360" s="905" t="s">
        <v>361</v>
      </c>
      <c r="H2360" s="546" t="s">
        <v>362</v>
      </c>
      <c r="I2360" s="910" t="e">
        <f>VLOOKUP(H2358,'LƯƠNG KT'!$D$16:$AC$184,14,0)</f>
        <v>#N/A</v>
      </c>
      <c r="J2360" s="609" t="e">
        <f>I2360*$L$4</f>
        <v>#N/A</v>
      </c>
      <c r="K2360" s="934"/>
      <c r="L2360" s="935"/>
      <c r="M2360" s="935"/>
      <c r="N2360" s="935"/>
      <c r="O2360" s="935"/>
    </row>
    <row r="2361" spans="1:15" ht="15" customHeight="1">
      <c r="A2361" s="905" t="s">
        <v>364</v>
      </c>
      <c r="B2361" s="546" t="s">
        <v>365</v>
      </c>
      <c r="C2361" s="910" t="e">
        <f>VLOOKUP(B2358,'LƯƠNG KT'!$D$16:$AC$184,15,0)</f>
        <v>#N/A</v>
      </c>
      <c r="D2361" s="609" t="e">
        <f>C2361*$L$5</f>
        <v>#N/A</v>
      </c>
      <c r="E2361" s="912"/>
      <c r="F2361" s="912"/>
      <c r="G2361" s="905" t="s">
        <v>364</v>
      </c>
      <c r="H2361" s="546" t="s">
        <v>365</v>
      </c>
      <c r="I2361" s="910" t="e">
        <f>VLOOKUP(H2358,'LƯƠNG KT'!$D$16:$AC$184,15,0)</f>
        <v>#N/A</v>
      </c>
      <c r="J2361" s="609" t="e">
        <f>I2361*$L$5</f>
        <v>#N/A</v>
      </c>
      <c r="K2361" s="934"/>
      <c r="L2361" s="935"/>
      <c r="M2361" s="935"/>
      <c r="N2361" s="935"/>
      <c r="O2361" s="935"/>
    </row>
    <row r="2362" spans="1:15" ht="15" customHeight="1">
      <c r="A2362" s="905" t="s">
        <v>367</v>
      </c>
      <c r="B2362" s="546"/>
      <c r="C2362" s="910" t="e">
        <f>VLOOKUP(B2358,'LƯƠNG KT'!$D$16:$AC$184,16,0)</f>
        <v>#N/A</v>
      </c>
      <c r="D2362" s="609" t="e">
        <f>+C2362*$L$6</f>
        <v>#N/A</v>
      </c>
      <c r="E2362" s="912"/>
      <c r="F2362" s="912"/>
      <c r="G2362" s="905" t="s">
        <v>367</v>
      </c>
      <c r="H2362" s="546"/>
      <c r="I2362" s="910" t="e">
        <f>VLOOKUP(H2358,'LƯƠNG KT'!$D$16:$AC$184,16,0)</f>
        <v>#N/A</v>
      </c>
      <c r="J2362" s="609" t="e">
        <f>+I2362*$L$6</f>
        <v>#N/A</v>
      </c>
      <c r="K2362" s="935"/>
      <c r="L2362" s="935"/>
      <c r="M2362" s="935"/>
      <c r="N2362" s="935"/>
      <c r="O2362" s="935"/>
    </row>
    <row r="2363" spans="1:15" ht="15" customHeight="1">
      <c r="A2363" s="905" t="s">
        <v>371</v>
      </c>
      <c r="B2363" s="546" t="s">
        <v>372</v>
      </c>
      <c r="C2363" s="910" t="e">
        <f>VLOOKUP(B2358,'LƯƠNG KT'!$D$16:$AC$184,9,0)*$L$10</f>
        <v>#N/A</v>
      </c>
      <c r="D2363" s="609" t="e">
        <f>+C2363*0.5*3000</f>
        <v>#N/A</v>
      </c>
      <c r="E2363" s="912"/>
      <c r="F2363" s="912"/>
      <c r="G2363" s="905" t="s">
        <v>371</v>
      </c>
      <c r="H2363" s="546" t="s">
        <v>372</v>
      </c>
      <c r="I2363" s="910" t="e">
        <f>VLOOKUP(H2358,'LƯƠNG KT'!$D$16:$AC$184,9,0)*$L$10</f>
        <v>#N/A</v>
      </c>
      <c r="J2363" s="609" t="e">
        <f>+I2363*0.5*3000</f>
        <v>#N/A</v>
      </c>
      <c r="K2363" s="935"/>
      <c r="L2363" s="935"/>
      <c r="M2363" s="935"/>
      <c r="N2363" s="935"/>
      <c r="O2363" s="935"/>
    </row>
    <row r="2364" spans="1:15" ht="15" customHeight="1">
      <c r="A2364" s="905" t="s">
        <v>374</v>
      </c>
      <c r="B2364" s="546" t="s">
        <v>375</v>
      </c>
      <c r="C2364" s="910" t="e">
        <f>VLOOKUP(B2358,'LƯƠNG KT'!$D$16:$AC$184,8,0)*$L$11</f>
        <v>#N/A</v>
      </c>
      <c r="D2364" s="609" t="e">
        <f>VLOOKUP(B2358,'LƯƠNG KT'!$D$16:$AC$184,13,0)-D2363</f>
        <v>#N/A</v>
      </c>
      <c r="E2364" s="914"/>
      <c r="F2364" s="912"/>
      <c r="G2364" s="905" t="s">
        <v>374</v>
      </c>
      <c r="H2364" s="546" t="s">
        <v>375</v>
      </c>
      <c r="I2364" s="910" t="e">
        <f>VLOOKUP(H2358,'LƯƠNG KT'!$D$16:$AC$184,8,0)*$L$11</f>
        <v>#N/A</v>
      </c>
      <c r="J2364" s="609" t="e">
        <f>VLOOKUP(H2358,'LƯƠNG KT'!$D$16:$AC$184,13,0)-J2363</f>
        <v>#N/A</v>
      </c>
      <c r="K2364" s="935"/>
      <c r="L2364" s="935"/>
      <c r="M2364" s="935"/>
      <c r="N2364" s="935"/>
      <c r="O2364" s="935"/>
    </row>
    <row r="2365" spans="1:15" ht="15" customHeight="1">
      <c r="A2365" s="609" t="s">
        <v>377</v>
      </c>
      <c r="B2365" s="546" t="s">
        <v>378</v>
      </c>
      <c r="C2365" s="910"/>
      <c r="D2365" s="609"/>
      <c r="E2365" s="916"/>
      <c r="F2365" s="916"/>
      <c r="G2365" s="609" t="s">
        <v>377</v>
      </c>
      <c r="H2365" s="546" t="s">
        <v>378</v>
      </c>
      <c r="I2365" s="910"/>
      <c r="J2365" s="609"/>
    </row>
    <row r="2366" spans="1:15" ht="15" customHeight="1">
      <c r="A2366" s="547" t="s">
        <v>379</v>
      </c>
      <c r="B2366" s="546" t="s">
        <v>380</v>
      </c>
      <c r="C2366" s="910"/>
      <c r="D2366" s="609"/>
      <c r="E2366" s="914"/>
      <c r="F2366" s="916"/>
      <c r="G2366" s="547" t="s">
        <v>379</v>
      </c>
      <c r="H2366" s="546" t="s">
        <v>380</v>
      </c>
      <c r="I2366" s="910"/>
      <c r="J2366" s="609"/>
    </row>
    <row r="2367" spans="1:15" ht="15" customHeight="1">
      <c r="A2367" s="905" t="s">
        <v>381</v>
      </c>
      <c r="B2367" s="546" t="s">
        <v>382</v>
      </c>
      <c r="C2367" s="910"/>
      <c r="D2367" s="609">
        <f>D2366</f>
        <v>0</v>
      </c>
      <c r="E2367" s="917"/>
      <c r="F2367" s="904"/>
      <c r="G2367" s="905" t="s">
        <v>381</v>
      </c>
      <c r="H2367" s="546" t="s">
        <v>382</v>
      </c>
      <c r="I2367" s="910"/>
      <c r="J2367" s="609">
        <f>J2366</f>
        <v>0</v>
      </c>
    </row>
    <row r="2368" spans="1:15" ht="15" customHeight="1">
      <c r="A2368" s="918" t="s">
        <v>383</v>
      </c>
      <c r="B2368" s="919" t="s">
        <v>384</v>
      </c>
      <c r="C2368" s="920"/>
      <c r="D2368" s="921" t="e">
        <f>SUM(D2359:D2364)-D2367</f>
        <v>#N/A</v>
      </c>
      <c r="E2368" s="922"/>
      <c r="F2368" s="923"/>
      <c r="G2368" s="918" t="s">
        <v>383</v>
      </c>
      <c r="H2368" s="919" t="s">
        <v>384</v>
      </c>
      <c r="I2368" s="920"/>
      <c r="J2368" s="921" t="e">
        <f>SUM(J2359:J2364)-J2367</f>
        <v>#N/A</v>
      </c>
    </row>
    <row r="2369" spans="1:15" ht="12.6" customHeight="1">
      <c r="A2369" s="924"/>
      <c r="B2369" s="925"/>
      <c r="C2369" s="926"/>
      <c r="D2369" s="927"/>
      <c r="E2369" s="927"/>
      <c r="F2369" s="928"/>
      <c r="G2369" s="924"/>
      <c r="H2369" s="925"/>
      <c r="I2369" s="926"/>
      <c r="J2369" s="927"/>
    </row>
    <row r="2370" spans="1:15" ht="12.6" customHeight="1">
      <c r="A2370" s="925"/>
      <c r="B2370" s="925"/>
      <c r="C2370" s="929"/>
      <c r="D2370" s="930"/>
      <c r="E2370" s="925"/>
      <c r="F2370" s="931"/>
      <c r="G2370" s="925"/>
      <c r="H2370" s="925"/>
      <c r="I2370" s="929"/>
      <c r="J2370" s="930"/>
    </row>
    <row r="2371" spans="1:15" ht="15" customHeight="1">
      <c r="A2371" s="2360" t="str">
        <f>$K$2</f>
        <v>THÁNG 09/2024</v>
      </c>
      <c r="B2371" s="2360"/>
      <c r="C2371" s="2360"/>
      <c r="D2371" s="2360"/>
      <c r="E2371" s="903"/>
      <c r="F2371" s="904"/>
      <c r="G2371" s="2360" t="str">
        <f>$K$2</f>
        <v>THÁNG 09/2024</v>
      </c>
      <c r="H2371" s="2360"/>
      <c r="I2371" s="2360"/>
      <c r="J2371" s="2360"/>
      <c r="K2371" s="276"/>
    </row>
    <row r="2372" spans="1:15" ht="15" customHeight="1">
      <c r="A2372" s="905" t="s">
        <v>356</v>
      </c>
      <c r="B2372" s="642" t="s">
        <v>208</v>
      </c>
      <c r="C2372" s="546"/>
      <c r="D2372" s="902"/>
      <c r="E2372" s="906"/>
      <c r="F2372" s="907"/>
      <c r="G2372" s="905" t="s">
        <v>356</v>
      </c>
      <c r="H2372" s="642" t="s">
        <v>209</v>
      </c>
      <c r="I2372" s="546"/>
      <c r="J2372" s="902"/>
      <c r="L2372" s="938"/>
      <c r="M2372" s="938"/>
      <c r="N2372" s="938"/>
      <c r="O2372" s="938"/>
    </row>
    <row r="2373" spans="1:15" ht="15" customHeight="1">
      <c r="A2373" s="905" t="s">
        <v>359</v>
      </c>
      <c r="B2373" s="939" t="s">
        <v>360</v>
      </c>
      <c r="C2373" s="910" t="e">
        <f>VLOOKUP(B2372,'LƯƠNG KT'!$D$16:$AC$184,3,0)</f>
        <v>#N/A</v>
      </c>
      <c r="D2373" s="609" t="e">
        <f>+C2373*25000</f>
        <v>#N/A</v>
      </c>
      <c r="E2373" s="911"/>
      <c r="F2373" s="911"/>
      <c r="G2373" s="905" t="s">
        <v>359</v>
      </c>
      <c r="H2373" s="939" t="s">
        <v>360</v>
      </c>
      <c r="I2373" s="910" t="e">
        <f>VLOOKUP(H2372,'LƯƠNG KT'!$D$16:$AC$184,3,0)</f>
        <v>#N/A</v>
      </c>
      <c r="J2373" s="609" t="e">
        <f>+I2373*25000</f>
        <v>#N/A</v>
      </c>
      <c r="K2373" s="935"/>
      <c r="L2373" s="935"/>
      <c r="M2373" s="935"/>
      <c r="N2373" s="935"/>
      <c r="O2373" s="935"/>
    </row>
    <row r="2374" spans="1:15" ht="15" customHeight="1">
      <c r="A2374" s="905" t="s">
        <v>361</v>
      </c>
      <c r="B2374" s="546" t="s">
        <v>362</v>
      </c>
      <c r="C2374" s="910" t="e">
        <f>VLOOKUP(B2372,'LƯƠNG KT'!$D$16:$AC$184,14,0)</f>
        <v>#N/A</v>
      </c>
      <c r="D2374" s="609" t="e">
        <f>C2374*$L$4</f>
        <v>#N/A</v>
      </c>
      <c r="E2374" s="912"/>
      <c r="F2374" s="912"/>
      <c r="G2374" s="905" t="s">
        <v>361</v>
      </c>
      <c r="H2374" s="546" t="s">
        <v>362</v>
      </c>
      <c r="I2374" s="910" t="e">
        <f>VLOOKUP(H2372,'LƯƠNG KT'!$D$16:$AC$184,14,0)</f>
        <v>#N/A</v>
      </c>
      <c r="J2374" s="609" t="e">
        <f>I2374*$L$4</f>
        <v>#N/A</v>
      </c>
      <c r="K2374" s="935"/>
      <c r="L2374" s="935"/>
      <c r="M2374" s="935"/>
      <c r="N2374" s="935"/>
      <c r="O2374" s="935"/>
    </row>
    <row r="2375" spans="1:15" ht="15" customHeight="1">
      <c r="A2375" s="905" t="s">
        <v>364</v>
      </c>
      <c r="B2375" s="546" t="s">
        <v>365</v>
      </c>
      <c r="C2375" s="910" t="e">
        <f>VLOOKUP(B2372,'LƯƠNG KT'!$D$16:$AC$184,15,0)</f>
        <v>#N/A</v>
      </c>
      <c r="D2375" s="609" t="e">
        <f>C2375*$L$5</f>
        <v>#N/A</v>
      </c>
      <c r="E2375" s="912"/>
      <c r="F2375" s="912"/>
      <c r="G2375" s="905" t="s">
        <v>364</v>
      </c>
      <c r="H2375" s="546" t="s">
        <v>365</v>
      </c>
      <c r="I2375" s="910" t="e">
        <f>VLOOKUP(H2372,'LƯƠNG KT'!$D$16:$AC$184,15,0)</f>
        <v>#N/A</v>
      </c>
      <c r="J2375" s="609" t="e">
        <f>I2375*$L$5</f>
        <v>#N/A</v>
      </c>
      <c r="K2375" s="935"/>
      <c r="L2375" s="935"/>
      <c r="M2375" s="935"/>
      <c r="N2375" s="935"/>
      <c r="O2375" s="935"/>
    </row>
    <row r="2376" spans="1:15" ht="15" customHeight="1">
      <c r="A2376" s="905" t="s">
        <v>367</v>
      </c>
      <c r="B2376" s="546"/>
      <c r="C2376" s="910" t="e">
        <f>VLOOKUP(B2372,'LƯƠNG KT'!$D$16:$AC$184,16,0)</f>
        <v>#N/A</v>
      </c>
      <c r="D2376" s="609" t="e">
        <f>+C2376*$L$6</f>
        <v>#N/A</v>
      </c>
      <c r="E2376" s="912"/>
      <c r="F2376" s="912"/>
      <c r="G2376" s="905" t="s">
        <v>367</v>
      </c>
      <c r="H2376" s="546"/>
      <c r="I2376" s="910" t="e">
        <f>VLOOKUP(H2372,'LƯƠNG KT'!$D$16:$AC$184,16,0)</f>
        <v>#N/A</v>
      </c>
      <c r="J2376" s="609" t="e">
        <f>+I2376*$L$6</f>
        <v>#N/A</v>
      </c>
      <c r="K2376" s="935"/>
      <c r="L2376" s="935"/>
      <c r="M2376" s="935"/>
      <c r="N2376" s="935"/>
      <c r="O2376" s="935"/>
    </row>
    <row r="2377" spans="1:15" ht="15" customHeight="1">
      <c r="A2377" s="905" t="s">
        <v>371</v>
      </c>
      <c r="B2377" s="546" t="s">
        <v>372</v>
      </c>
      <c r="C2377" s="910" t="e">
        <f>VLOOKUP(B2372,'LƯƠNG KT'!$D$16:$AC$184,9,0)*$L$10</f>
        <v>#N/A</v>
      </c>
      <c r="D2377" s="609" t="e">
        <f>+C2377*0.5*3000</f>
        <v>#N/A</v>
      </c>
      <c r="E2377" s="912"/>
      <c r="F2377" s="912"/>
      <c r="G2377" s="905" t="s">
        <v>371</v>
      </c>
      <c r="H2377" s="546" t="s">
        <v>372</v>
      </c>
      <c r="I2377" s="910" t="e">
        <f>VLOOKUP(H2372,'LƯƠNG KT'!$D$16:$AC$184,9,0)*$L$10</f>
        <v>#N/A</v>
      </c>
      <c r="J2377" s="609" t="e">
        <f>+I2377*0.5*3000</f>
        <v>#N/A</v>
      </c>
      <c r="K2377" s="935"/>
      <c r="L2377" s="935"/>
      <c r="M2377" s="935"/>
      <c r="N2377" s="935"/>
      <c r="O2377" s="935"/>
    </row>
    <row r="2378" spans="1:15" ht="15" customHeight="1">
      <c r="A2378" s="905" t="s">
        <v>374</v>
      </c>
      <c r="B2378" s="546" t="s">
        <v>375</v>
      </c>
      <c r="C2378" s="910" t="e">
        <f>VLOOKUP(B2372,'LƯƠNG KT'!$D$16:$AC$184,8,0)*$L$11</f>
        <v>#N/A</v>
      </c>
      <c r="D2378" s="609" t="e">
        <f>VLOOKUP(B2372,'LƯƠNG KT'!$D$16:$AC$184,13,0)-D2377</f>
        <v>#N/A</v>
      </c>
      <c r="E2378" s="914"/>
      <c r="F2378" s="912"/>
      <c r="G2378" s="905" t="s">
        <v>374</v>
      </c>
      <c r="H2378" s="546" t="s">
        <v>375</v>
      </c>
      <c r="I2378" s="910" t="e">
        <f>VLOOKUP(H2372,'LƯƠNG KT'!$D$16:$AC$184,8,0)*$L$11</f>
        <v>#N/A</v>
      </c>
      <c r="J2378" s="609" t="e">
        <f>VLOOKUP(H2372,'LƯƠNG KT'!$D$16:$AC$184,13,0)-J2377</f>
        <v>#N/A</v>
      </c>
      <c r="K2378" s="935"/>
      <c r="L2378" s="935"/>
      <c r="M2378" s="935"/>
      <c r="N2378" s="935"/>
      <c r="O2378" s="935"/>
    </row>
    <row r="2379" spans="1:15" ht="15" customHeight="1">
      <c r="A2379" s="609" t="s">
        <v>377</v>
      </c>
      <c r="B2379" s="546" t="s">
        <v>378</v>
      </c>
      <c r="C2379" s="910"/>
      <c r="D2379" s="609"/>
      <c r="E2379" s="916"/>
      <c r="F2379" s="916"/>
      <c r="G2379" s="609" t="s">
        <v>377</v>
      </c>
      <c r="H2379" s="546" t="s">
        <v>378</v>
      </c>
      <c r="I2379" s="910"/>
      <c r="J2379" s="609"/>
    </row>
    <row r="2380" spans="1:15" ht="15" customHeight="1">
      <c r="A2380" s="547" t="s">
        <v>379</v>
      </c>
      <c r="B2380" s="546" t="s">
        <v>380</v>
      </c>
      <c r="C2380" s="910"/>
      <c r="D2380" s="609"/>
      <c r="E2380" s="914"/>
      <c r="F2380" s="916"/>
      <c r="G2380" s="547" t="s">
        <v>379</v>
      </c>
      <c r="H2380" s="546" t="s">
        <v>380</v>
      </c>
      <c r="I2380" s="910"/>
      <c r="J2380" s="609"/>
    </row>
    <row r="2381" spans="1:15" ht="15" customHeight="1">
      <c r="A2381" s="905" t="s">
        <v>381</v>
      </c>
      <c r="B2381" s="546" t="s">
        <v>382</v>
      </c>
      <c r="C2381" s="910"/>
      <c r="D2381" s="609">
        <f>D2380</f>
        <v>0</v>
      </c>
      <c r="E2381" s="917"/>
      <c r="F2381" s="904"/>
      <c r="G2381" s="905" t="s">
        <v>381</v>
      </c>
      <c r="H2381" s="546" t="s">
        <v>382</v>
      </c>
      <c r="I2381" s="910"/>
      <c r="J2381" s="609">
        <f>J2380</f>
        <v>0</v>
      </c>
    </row>
    <row r="2382" spans="1:15" ht="15" customHeight="1">
      <c r="A2382" s="918" t="s">
        <v>383</v>
      </c>
      <c r="B2382" s="919" t="s">
        <v>384</v>
      </c>
      <c r="C2382" s="920"/>
      <c r="D2382" s="921" t="e">
        <f>SUM(D2373:D2378)-D2381</f>
        <v>#N/A</v>
      </c>
      <c r="E2382" s="922"/>
      <c r="F2382" s="923"/>
      <c r="G2382" s="918" t="s">
        <v>383</v>
      </c>
      <c r="H2382" s="919" t="s">
        <v>384</v>
      </c>
      <c r="I2382" s="920"/>
      <c r="J2382" s="921" t="e">
        <f>SUM(J2373:J2378)-J2381</f>
        <v>#N/A</v>
      </c>
    </row>
    <row r="2383" spans="1:15" ht="18.75" customHeight="1">
      <c r="A2383" s="924"/>
      <c r="B2383" s="925"/>
      <c r="C2383" s="926"/>
      <c r="D2383" s="927"/>
      <c r="E2383" s="927"/>
      <c r="F2383" s="928"/>
      <c r="G2383" s="924"/>
      <c r="H2383" s="925"/>
      <c r="I2383" s="926"/>
      <c r="J2383" s="927"/>
    </row>
    <row r="2384" spans="1:15" ht="18.75" customHeight="1">
      <c r="A2384" s="925"/>
      <c r="B2384" s="925"/>
      <c r="C2384" s="929"/>
      <c r="D2384" s="930"/>
      <c r="E2384" s="925"/>
      <c r="F2384" s="931"/>
      <c r="G2384" s="925"/>
      <c r="H2384" s="925"/>
      <c r="I2384" s="929"/>
      <c r="J2384" s="930"/>
    </row>
    <row r="2385" spans="1:15" ht="15" customHeight="1">
      <c r="A2385" s="2360" t="str">
        <f>$K$2</f>
        <v>THÁNG 09/2024</v>
      </c>
      <c r="B2385" s="2360"/>
      <c r="C2385" s="2360"/>
      <c r="D2385" s="2360"/>
      <c r="E2385" s="903"/>
      <c r="F2385" s="904"/>
      <c r="G2385" s="2360" t="str">
        <f>$K$2</f>
        <v>THÁNG 09/2024</v>
      </c>
      <c r="H2385" s="2360"/>
      <c r="I2385" s="2360"/>
      <c r="J2385" s="2360"/>
      <c r="K2385" s="276"/>
    </row>
    <row r="2386" spans="1:15" ht="15" customHeight="1">
      <c r="A2386" s="905" t="s">
        <v>356</v>
      </c>
      <c r="B2386" s="642" t="s">
        <v>210</v>
      </c>
      <c r="C2386" s="546"/>
      <c r="D2386" s="902"/>
      <c r="E2386" s="906"/>
      <c r="F2386" s="907"/>
      <c r="G2386" s="905" t="s">
        <v>356</v>
      </c>
      <c r="H2386" s="642" t="s">
        <v>211</v>
      </c>
      <c r="I2386" s="546"/>
      <c r="J2386" s="902"/>
      <c r="L2386" s="938"/>
      <c r="M2386" s="938"/>
      <c r="N2386" s="938"/>
      <c r="O2386" s="938"/>
    </row>
    <row r="2387" spans="1:15" ht="15" customHeight="1">
      <c r="A2387" s="905" t="s">
        <v>359</v>
      </c>
      <c r="B2387" s="939" t="s">
        <v>360</v>
      </c>
      <c r="C2387" s="910" t="e">
        <f>VLOOKUP(B2386,'LƯƠNG KT'!$D$16:$AC$184,3,0)</f>
        <v>#N/A</v>
      </c>
      <c r="D2387" s="609" t="e">
        <f>+C2387*25000</f>
        <v>#N/A</v>
      </c>
      <c r="E2387" s="911"/>
      <c r="F2387" s="911"/>
      <c r="G2387" s="905" t="s">
        <v>359</v>
      </c>
      <c r="H2387" s="939" t="s">
        <v>360</v>
      </c>
      <c r="I2387" s="910" t="e">
        <f>VLOOKUP(H2386,'LƯƠNG KT'!$D$16:$AC$184,3,0)</f>
        <v>#N/A</v>
      </c>
      <c r="J2387" s="609" t="e">
        <f>+I2387*25000</f>
        <v>#N/A</v>
      </c>
      <c r="K2387" s="935"/>
      <c r="L2387" s="935"/>
      <c r="M2387" s="935"/>
      <c r="N2387" s="935"/>
      <c r="O2387" s="935"/>
    </row>
    <row r="2388" spans="1:15" ht="15" customHeight="1">
      <c r="A2388" s="905" t="s">
        <v>361</v>
      </c>
      <c r="B2388" s="546" t="s">
        <v>362</v>
      </c>
      <c r="C2388" s="910" t="e">
        <f>VLOOKUP(B2386,'LƯƠNG KT'!$D$16:$AC$184,14,0)</f>
        <v>#N/A</v>
      </c>
      <c r="D2388" s="609" t="e">
        <f>C2388*$L$4</f>
        <v>#N/A</v>
      </c>
      <c r="E2388" s="912"/>
      <c r="F2388" s="912"/>
      <c r="G2388" s="905" t="s">
        <v>361</v>
      </c>
      <c r="H2388" s="546" t="s">
        <v>362</v>
      </c>
      <c r="I2388" s="910" t="e">
        <f>VLOOKUP(H2386,'LƯƠNG KT'!$D$16:$AC$184,14,0)</f>
        <v>#N/A</v>
      </c>
      <c r="J2388" s="609" t="e">
        <f>I2388*$L$4</f>
        <v>#N/A</v>
      </c>
      <c r="K2388" s="935"/>
      <c r="L2388" s="935"/>
      <c r="M2388" s="935"/>
      <c r="N2388" s="935"/>
      <c r="O2388" s="935"/>
    </row>
    <row r="2389" spans="1:15" ht="15" customHeight="1">
      <c r="A2389" s="905" t="s">
        <v>364</v>
      </c>
      <c r="B2389" s="546" t="s">
        <v>365</v>
      </c>
      <c r="C2389" s="910" t="e">
        <f>VLOOKUP(B2386,'LƯƠNG KT'!$D$16:$AC$184,15,0)</f>
        <v>#N/A</v>
      </c>
      <c r="D2389" s="609" t="e">
        <f>C2389*$L$5</f>
        <v>#N/A</v>
      </c>
      <c r="E2389" s="912"/>
      <c r="F2389" s="912"/>
      <c r="G2389" s="905" t="s">
        <v>364</v>
      </c>
      <c r="H2389" s="546" t="s">
        <v>365</v>
      </c>
      <c r="I2389" s="910" t="e">
        <f>VLOOKUP(H2386,'LƯƠNG KT'!$D$16:$AC$184,15,0)</f>
        <v>#N/A</v>
      </c>
      <c r="J2389" s="609" t="e">
        <f>I2389*$L$5</f>
        <v>#N/A</v>
      </c>
      <c r="K2389" s="935"/>
      <c r="L2389" s="935"/>
      <c r="M2389" s="935"/>
      <c r="N2389" s="935"/>
      <c r="O2389" s="935"/>
    </row>
    <row r="2390" spans="1:15" ht="15" customHeight="1">
      <c r="A2390" s="905" t="s">
        <v>367</v>
      </c>
      <c r="B2390" s="546"/>
      <c r="C2390" s="910" t="e">
        <f>VLOOKUP(B2386,'LƯƠNG KT'!$D$16:$AC$184,16,0)</f>
        <v>#N/A</v>
      </c>
      <c r="D2390" s="609" t="e">
        <f>+C2390*$L$6</f>
        <v>#N/A</v>
      </c>
      <c r="E2390" s="912"/>
      <c r="F2390" s="912"/>
      <c r="G2390" s="905" t="s">
        <v>367</v>
      </c>
      <c r="H2390" s="546"/>
      <c r="I2390" s="910" t="e">
        <f>VLOOKUP(H2386,'LƯƠNG KT'!$D$16:$AC$184,16,0)</f>
        <v>#N/A</v>
      </c>
      <c r="J2390" s="609" t="e">
        <f>+I2390*$L$6</f>
        <v>#N/A</v>
      </c>
      <c r="K2390" s="935"/>
      <c r="L2390" s="935"/>
      <c r="M2390" s="935"/>
      <c r="N2390" s="935"/>
      <c r="O2390" s="935"/>
    </row>
    <row r="2391" spans="1:15" ht="15" customHeight="1">
      <c r="A2391" s="905" t="s">
        <v>371</v>
      </c>
      <c r="B2391" s="546" t="s">
        <v>372</v>
      </c>
      <c r="C2391" s="910" t="e">
        <f>VLOOKUP(B2386,'LƯƠNG KT'!$D$16:$AC$184,9,0)*$L$10</f>
        <v>#N/A</v>
      </c>
      <c r="D2391" s="609" t="e">
        <f>+C2391*0.5*3000</f>
        <v>#N/A</v>
      </c>
      <c r="E2391" s="912"/>
      <c r="F2391" s="912"/>
      <c r="G2391" s="905" t="s">
        <v>371</v>
      </c>
      <c r="H2391" s="546" t="s">
        <v>372</v>
      </c>
      <c r="I2391" s="910" t="e">
        <f>VLOOKUP(H2386,'LƯƠNG KT'!$D$16:$AC$184,9,0)*$L$10</f>
        <v>#N/A</v>
      </c>
      <c r="J2391" s="609" t="e">
        <f>+I2391*0.5*3000</f>
        <v>#N/A</v>
      </c>
      <c r="K2391" s="935"/>
      <c r="L2391" s="935"/>
      <c r="M2391" s="935"/>
      <c r="N2391" s="935"/>
      <c r="O2391" s="935"/>
    </row>
    <row r="2392" spans="1:15" ht="15" customHeight="1">
      <c r="A2392" s="905" t="s">
        <v>374</v>
      </c>
      <c r="B2392" s="546" t="s">
        <v>375</v>
      </c>
      <c r="C2392" s="910" t="e">
        <f>VLOOKUP(B2386,'LƯƠNG KT'!$D$16:$AC$184,8,0)*$L$11</f>
        <v>#N/A</v>
      </c>
      <c r="D2392" s="609" t="e">
        <f>VLOOKUP(B2386,'LƯƠNG KT'!$D$16:$AC$184,13,0)-D2391</f>
        <v>#N/A</v>
      </c>
      <c r="E2392" s="914"/>
      <c r="F2392" s="912"/>
      <c r="G2392" s="905" t="s">
        <v>374</v>
      </c>
      <c r="H2392" s="546" t="s">
        <v>375</v>
      </c>
      <c r="I2392" s="910" t="e">
        <f>VLOOKUP(H2386,'LƯƠNG KT'!$D$16:$AC$184,8,0)*$L$11</f>
        <v>#N/A</v>
      </c>
      <c r="J2392" s="609" t="e">
        <f>VLOOKUP(H2386,'LƯƠNG KT'!$D$16:$AC$184,13,0)-J2391</f>
        <v>#N/A</v>
      </c>
      <c r="K2392" s="935"/>
      <c r="L2392" s="935"/>
      <c r="M2392" s="935"/>
      <c r="N2392" s="935"/>
      <c r="O2392" s="935"/>
    </row>
    <row r="2393" spans="1:15" ht="15" customHeight="1">
      <c r="A2393" s="609" t="s">
        <v>377</v>
      </c>
      <c r="B2393" s="546" t="s">
        <v>378</v>
      </c>
      <c r="C2393" s="910"/>
      <c r="D2393" s="609"/>
      <c r="E2393" s="916"/>
      <c r="F2393" s="916"/>
      <c r="G2393" s="609" t="s">
        <v>377</v>
      </c>
      <c r="H2393" s="546" t="s">
        <v>378</v>
      </c>
      <c r="I2393" s="910"/>
      <c r="J2393" s="609"/>
    </row>
    <row r="2394" spans="1:15" ht="15" customHeight="1">
      <c r="A2394" s="547" t="s">
        <v>379</v>
      </c>
      <c r="B2394" s="546" t="s">
        <v>380</v>
      </c>
      <c r="C2394" s="910"/>
      <c r="D2394" s="609"/>
      <c r="E2394" s="914"/>
      <c r="F2394" s="916"/>
      <c r="G2394" s="547" t="s">
        <v>379</v>
      </c>
      <c r="H2394" s="546" t="s">
        <v>380</v>
      </c>
      <c r="I2394" s="910"/>
      <c r="J2394" s="609"/>
    </row>
    <row r="2395" spans="1:15" ht="15" customHeight="1">
      <c r="A2395" s="905" t="s">
        <v>381</v>
      </c>
      <c r="B2395" s="546" t="s">
        <v>382</v>
      </c>
      <c r="C2395" s="910"/>
      <c r="D2395" s="609">
        <f>D2394</f>
        <v>0</v>
      </c>
      <c r="E2395" s="917"/>
      <c r="F2395" s="904"/>
      <c r="G2395" s="905" t="s">
        <v>381</v>
      </c>
      <c r="H2395" s="546" t="s">
        <v>382</v>
      </c>
      <c r="I2395" s="910"/>
      <c r="J2395" s="609">
        <f>J2394</f>
        <v>0</v>
      </c>
    </row>
    <row r="2396" spans="1:15" ht="15" customHeight="1">
      <c r="A2396" s="918" t="s">
        <v>383</v>
      </c>
      <c r="B2396" s="919" t="s">
        <v>384</v>
      </c>
      <c r="C2396" s="920"/>
      <c r="D2396" s="921" t="e">
        <f>SUM(D2387:D2392)-D2395</f>
        <v>#N/A</v>
      </c>
      <c r="E2396" s="922"/>
      <c r="F2396" s="923"/>
      <c r="G2396" s="918" t="s">
        <v>383</v>
      </c>
      <c r="H2396" s="919" t="s">
        <v>384</v>
      </c>
      <c r="I2396" s="920"/>
      <c r="J2396" s="921" t="e">
        <f>SUM(J2387:J2392)-J2395</f>
        <v>#N/A</v>
      </c>
    </row>
    <row r="2397" spans="1:15" ht="18.75" customHeight="1">
      <c r="A2397" s="924"/>
      <c r="B2397" s="925"/>
      <c r="C2397" s="926"/>
      <c r="D2397" s="927"/>
      <c r="E2397" s="927"/>
      <c r="F2397" s="928"/>
      <c r="G2397" s="924"/>
      <c r="H2397" s="925"/>
      <c r="I2397" s="926"/>
      <c r="J2397" s="927"/>
    </row>
    <row r="2398" spans="1:15" ht="18.75" customHeight="1">
      <c r="A2398" s="925"/>
      <c r="B2398" s="925"/>
      <c r="C2398" s="929"/>
      <c r="D2398" s="930"/>
      <c r="E2398" s="925"/>
      <c r="F2398" s="931"/>
      <c r="G2398" s="925"/>
      <c r="H2398" s="925"/>
      <c r="I2398" s="929"/>
      <c r="J2398" s="930"/>
    </row>
    <row r="2399" spans="1:15" ht="15" customHeight="1">
      <c r="A2399" s="2360" t="str">
        <f>$K$2</f>
        <v>THÁNG 09/2024</v>
      </c>
      <c r="B2399" s="2360"/>
      <c r="C2399" s="2360"/>
      <c r="D2399" s="2360"/>
      <c r="E2399" s="903"/>
      <c r="F2399" s="904"/>
      <c r="G2399" s="2360" t="str">
        <f>$K$2</f>
        <v>THÁNG 09/2024</v>
      </c>
      <c r="H2399" s="2360"/>
      <c r="I2399" s="2360"/>
      <c r="J2399" s="2360"/>
      <c r="K2399" s="276"/>
    </row>
    <row r="2400" spans="1:15" ht="15" customHeight="1">
      <c r="A2400" s="905" t="s">
        <v>356</v>
      </c>
      <c r="B2400" s="642" t="s">
        <v>212</v>
      </c>
      <c r="C2400" s="546"/>
      <c r="D2400" s="902"/>
      <c r="E2400" s="906"/>
      <c r="F2400" s="907"/>
      <c r="G2400" s="905" t="s">
        <v>356</v>
      </c>
      <c r="H2400" s="642" t="s">
        <v>213</v>
      </c>
      <c r="I2400" s="546"/>
      <c r="J2400" s="902"/>
      <c r="L2400" s="938"/>
      <c r="M2400" s="938"/>
      <c r="N2400" s="938"/>
      <c r="O2400" s="938"/>
    </row>
    <row r="2401" spans="1:15" ht="15" customHeight="1">
      <c r="A2401" s="905" t="s">
        <v>359</v>
      </c>
      <c r="B2401" s="939" t="s">
        <v>360</v>
      </c>
      <c r="C2401" s="910" t="e">
        <f>VLOOKUP(B2400,'LƯƠNG KT'!$D$16:$AC$184,3,0)</f>
        <v>#N/A</v>
      </c>
      <c r="D2401" s="609" t="e">
        <f>+C2401*25000</f>
        <v>#N/A</v>
      </c>
      <c r="E2401" s="911"/>
      <c r="F2401" s="911"/>
      <c r="G2401" s="905" t="s">
        <v>359</v>
      </c>
      <c r="H2401" s="939" t="s">
        <v>360</v>
      </c>
      <c r="I2401" s="910" t="e">
        <f>VLOOKUP(H2400,'LƯƠNG KT'!$D$16:$AC$184,3,0)</f>
        <v>#N/A</v>
      </c>
      <c r="J2401" s="609" t="e">
        <f>+I2401*25000</f>
        <v>#N/A</v>
      </c>
      <c r="K2401" s="935"/>
      <c r="L2401" s="935"/>
      <c r="M2401" s="935"/>
      <c r="N2401" s="935"/>
      <c r="O2401" s="935"/>
    </row>
    <row r="2402" spans="1:15" ht="15" customHeight="1">
      <c r="A2402" s="905" t="s">
        <v>361</v>
      </c>
      <c r="B2402" s="546" t="s">
        <v>362</v>
      </c>
      <c r="C2402" s="910" t="e">
        <f>VLOOKUP(B2400,'LƯƠNG KT'!$D$16:$AC$184,14,0)</f>
        <v>#N/A</v>
      </c>
      <c r="D2402" s="609" t="e">
        <f>C2402*$L$4</f>
        <v>#N/A</v>
      </c>
      <c r="E2402" s="912"/>
      <c r="F2402" s="912"/>
      <c r="G2402" s="905" t="s">
        <v>361</v>
      </c>
      <c r="H2402" s="546" t="s">
        <v>362</v>
      </c>
      <c r="I2402" s="910" t="e">
        <f>VLOOKUP(H2400,'LƯƠNG KT'!$D$16:$AC$184,14,0)</f>
        <v>#N/A</v>
      </c>
      <c r="J2402" s="609" t="e">
        <f>I2402*$L$4</f>
        <v>#N/A</v>
      </c>
      <c r="K2402" s="935"/>
      <c r="L2402" s="935"/>
      <c r="M2402" s="935"/>
      <c r="N2402" s="935"/>
      <c r="O2402" s="935"/>
    </row>
    <row r="2403" spans="1:15" ht="15" customHeight="1">
      <c r="A2403" s="905" t="s">
        <v>364</v>
      </c>
      <c r="B2403" s="546" t="s">
        <v>365</v>
      </c>
      <c r="C2403" s="910" t="e">
        <f>VLOOKUP(B2400,'LƯƠNG KT'!$D$16:$AC$184,15,0)</f>
        <v>#N/A</v>
      </c>
      <c r="D2403" s="609" t="e">
        <f>C2403*$L$5</f>
        <v>#N/A</v>
      </c>
      <c r="E2403" s="912"/>
      <c r="F2403" s="912"/>
      <c r="G2403" s="905" t="s">
        <v>364</v>
      </c>
      <c r="H2403" s="546" t="s">
        <v>365</v>
      </c>
      <c r="I2403" s="910" t="e">
        <f>VLOOKUP(H2400,'LƯƠNG KT'!$D$16:$AC$184,15,0)</f>
        <v>#N/A</v>
      </c>
      <c r="J2403" s="609" t="e">
        <f>I2403*$L$5</f>
        <v>#N/A</v>
      </c>
      <c r="K2403" s="935"/>
      <c r="L2403" s="935"/>
      <c r="M2403" s="935"/>
      <c r="N2403" s="935"/>
      <c r="O2403" s="935"/>
    </row>
    <row r="2404" spans="1:15" ht="15" customHeight="1">
      <c r="A2404" s="905" t="s">
        <v>367</v>
      </c>
      <c r="B2404" s="546"/>
      <c r="C2404" s="910" t="e">
        <f>VLOOKUP(B2400,'LƯƠNG KT'!$D$16:$AC$184,16,0)</f>
        <v>#N/A</v>
      </c>
      <c r="D2404" s="609" t="e">
        <f>+C2404*$L$6</f>
        <v>#N/A</v>
      </c>
      <c r="E2404" s="912"/>
      <c r="F2404" s="912"/>
      <c r="G2404" s="905" t="s">
        <v>367</v>
      </c>
      <c r="H2404" s="546"/>
      <c r="I2404" s="910" t="e">
        <f>VLOOKUP(H2400,'LƯƠNG KT'!$D$16:$AC$184,16,0)</f>
        <v>#N/A</v>
      </c>
      <c r="J2404" s="609" t="e">
        <f>+I2404*$L$6</f>
        <v>#N/A</v>
      </c>
      <c r="K2404" s="935"/>
      <c r="L2404" s="935"/>
      <c r="M2404" s="935"/>
      <c r="N2404" s="935"/>
      <c r="O2404" s="935"/>
    </row>
    <row r="2405" spans="1:15" ht="15" customHeight="1">
      <c r="A2405" s="905" t="s">
        <v>371</v>
      </c>
      <c r="B2405" s="546" t="s">
        <v>372</v>
      </c>
      <c r="C2405" s="910" t="e">
        <f>VLOOKUP(B2400,'LƯƠNG KT'!$D$16:$AC$184,9,0)*$L$10</f>
        <v>#N/A</v>
      </c>
      <c r="D2405" s="609" t="e">
        <f>+C2405*0.5*3000</f>
        <v>#N/A</v>
      </c>
      <c r="E2405" s="912"/>
      <c r="F2405" s="912"/>
      <c r="G2405" s="905" t="s">
        <v>371</v>
      </c>
      <c r="H2405" s="546" t="s">
        <v>372</v>
      </c>
      <c r="I2405" s="910" t="e">
        <f>VLOOKUP(H2400,'LƯƠNG KT'!$D$16:$AC$184,9,0)*$L$10</f>
        <v>#N/A</v>
      </c>
      <c r="J2405" s="609" t="e">
        <f>+I2405*0.5*3000</f>
        <v>#N/A</v>
      </c>
      <c r="K2405" s="935"/>
      <c r="L2405" s="935"/>
      <c r="M2405" s="935"/>
      <c r="N2405" s="935"/>
      <c r="O2405" s="935"/>
    </row>
    <row r="2406" spans="1:15" ht="15" customHeight="1">
      <c r="A2406" s="905" t="s">
        <v>374</v>
      </c>
      <c r="B2406" s="546" t="s">
        <v>375</v>
      </c>
      <c r="C2406" s="910" t="e">
        <f>VLOOKUP(B2400,'LƯƠNG KT'!$D$16:$AC$184,8,0)*$L$11</f>
        <v>#N/A</v>
      </c>
      <c r="D2406" s="609" t="e">
        <f>VLOOKUP(B2400,'LƯƠNG KT'!$D$16:$AC$184,13,0)-D2405</f>
        <v>#N/A</v>
      </c>
      <c r="E2406" s="914"/>
      <c r="F2406" s="912"/>
      <c r="G2406" s="905" t="s">
        <v>374</v>
      </c>
      <c r="H2406" s="546" t="s">
        <v>375</v>
      </c>
      <c r="I2406" s="910" t="e">
        <f>VLOOKUP(H2400,'LƯƠNG KT'!$D$16:$AC$184,8,0)*$L$11</f>
        <v>#N/A</v>
      </c>
      <c r="J2406" s="609" t="e">
        <f>VLOOKUP(H2400,'LƯƠNG KT'!$D$16:$AC$184,13,0)-J2405</f>
        <v>#N/A</v>
      </c>
      <c r="K2406" s="935"/>
      <c r="L2406" s="935"/>
      <c r="M2406" s="935"/>
      <c r="N2406" s="935"/>
      <c r="O2406" s="935"/>
    </row>
    <row r="2407" spans="1:15" ht="15" customHeight="1">
      <c r="A2407" s="609" t="s">
        <v>377</v>
      </c>
      <c r="B2407" s="546" t="s">
        <v>378</v>
      </c>
      <c r="C2407" s="910"/>
      <c r="D2407" s="609"/>
      <c r="E2407" s="916"/>
      <c r="F2407" s="916"/>
      <c r="G2407" s="609" t="s">
        <v>377</v>
      </c>
      <c r="H2407" s="546" t="s">
        <v>378</v>
      </c>
      <c r="I2407" s="910"/>
      <c r="J2407" s="609"/>
    </row>
    <row r="2408" spans="1:15" ht="15" customHeight="1">
      <c r="A2408" s="547" t="s">
        <v>379</v>
      </c>
      <c r="B2408" s="546" t="s">
        <v>380</v>
      </c>
      <c r="C2408" s="910"/>
      <c r="D2408" s="609"/>
      <c r="E2408" s="914"/>
      <c r="F2408" s="916"/>
      <c r="G2408" s="547" t="s">
        <v>379</v>
      </c>
      <c r="H2408" s="546" t="s">
        <v>380</v>
      </c>
      <c r="I2408" s="910"/>
      <c r="J2408" s="609"/>
    </row>
    <row r="2409" spans="1:15" ht="15" customHeight="1">
      <c r="A2409" s="905" t="s">
        <v>381</v>
      </c>
      <c r="B2409" s="546" t="s">
        <v>382</v>
      </c>
      <c r="C2409" s="910"/>
      <c r="D2409" s="609">
        <f>D2408</f>
        <v>0</v>
      </c>
      <c r="E2409" s="917"/>
      <c r="F2409" s="904"/>
      <c r="G2409" s="905" t="s">
        <v>381</v>
      </c>
      <c r="H2409" s="546" t="s">
        <v>382</v>
      </c>
      <c r="I2409" s="910"/>
      <c r="J2409" s="609">
        <f>J2408</f>
        <v>0</v>
      </c>
    </row>
    <row r="2410" spans="1:15" ht="15" customHeight="1">
      <c r="A2410" s="918" t="s">
        <v>383</v>
      </c>
      <c r="B2410" s="919" t="s">
        <v>384</v>
      </c>
      <c r="C2410" s="920"/>
      <c r="D2410" s="921" t="e">
        <f>SUM(D2401:D2406)-D2409</f>
        <v>#N/A</v>
      </c>
      <c r="E2410" s="922"/>
      <c r="F2410" s="923"/>
      <c r="G2410" s="918" t="s">
        <v>383</v>
      </c>
      <c r="H2410" s="919" t="s">
        <v>384</v>
      </c>
      <c r="I2410" s="920"/>
      <c r="J2410" s="921" t="e">
        <f>SUM(J2401:J2406)-J2409</f>
        <v>#N/A</v>
      </c>
    </row>
    <row r="2411" spans="1:15" ht="15.75" customHeight="1">
      <c r="A2411" s="924"/>
      <c r="B2411" s="925"/>
      <c r="C2411" s="926"/>
      <c r="D2411" s="927"/>
      <c r="E2411" s="927"/>
      <c r="F2411" s="928"/>
      <c r="G2411" s="924"/>
      <c r="H2411" s="925"/>
      <c r="I2411" s="926"/>
      <c r="J2411" s="927"/>
    </row>
    <row r="2413" spans="1:15" ht="12" customHeight="1">
      <c r="A2413" s="2361"/>
      <c r="B2413" s="2361"/>
      <c r="C2413" s="2361"/>
      <c r="D2413" s="2361"/>
      <c r="E2413" s="2361"/>
      <c r="F2413" s="2361"/>
      <c r="G2413" s="2361"/>
      <c r="H2413" s="2361"/>
      <c r="I2413" s="2361"/>
      <c r="J2413" s="2361"/>
    </row>
    <row r="2414" spans="1:15" ht="15" customHeight="1">
      <c r="A2414" s="2360" t="str">
        <f>$K$2</f>
        <v>THÁNG 09/2024</v>
      </c>
      <c r="B2414" s="2360"/>
      <c r="C2414" s="2360"/>
      <c r="D2414" s="2360"/>
      <c r="E2414" s="903"/>
      <c r="F2414" s="904"/>
      <c r="G2414" s="2360" t="str">
        <f>$K$2</f>
        <v>THÁNG 09/2024</v>
      </c>
      <c r="H2414" s="2360"/>
      <c r="I2414" s="2360"/>
      <c r="J2414" s="2360"/>
      <c r="K2414" s="276"/>
    </row>
    <row r="2415" spans="1:15" ht="15" customHeight="1">
      <c r="A2415" s="905" t="s">
        <v>356</v>
      </c>
      <c r="B2415" s="642" t="s">
        <v>214</v>
      </c>
      <c r="C2415" s="546"/>
      <c r="D2415" s="902"/>
      <c r="E2415" s="906"/>
      <c r="F2415" s="907"/>
      <c r="G2415" s="905" t="s">
        <v>356</v>
      </c>
      <c r="H2415" s="642" t="s">
        <v>215</v>
      </c>
      <c r="I2415" s="546"/>
      <c r="J2415" s="902"/>
      <c r="L2415" s="938"/>
      <c r="M2415" s="938"/>
      <c r="N2415" s="938"/>
      <c r="O2415" s="938"/>
    </row>
    <row r="2416" spans="1:15" ht="15" customHeight="1">
      <c r="A2416" s="905" t="s">
        <v>359</v>
      </c>
      <c r="B2416" s="939" t="s">
        <v>360</v>
      </c>
      <c r="C2416" s="910" t="e">
        <f>VLOOKUP(B2415,'LƯƠNG KT'!$D$16:$AC$184,3,0)</f>
        <v>#N/A</v>
      </c>
      <c r="D2416" s="609" t="e">
        <f>+C2416*25000</f>
        <v>#N/A</v>
      </c>
      <c r="E2416" s="911"/>
      <c r="F2416" s="911"/>
      <c r="G2416" s="905" t="s">
        <v>359</v>
      </c>
      <c r="H2416" s="939" t="s">
        <v>360</v>
      </c>
      <c r="I2416" s="910" t="e">
        <f>VLOOKUP(H2415,'LƯƠNG KT'!$D$16:$AC$184,3,0)</f>
        <v>#N/A</v>
      </c>
      <c r="J2416" s="609" t="e">
        <f>+I2416*25000</f>
        <v>#N/A</v>
      </c>
      <c r="K2416" s="934"/>
      <c r="L2416" s="935"/>
      <c r="M2416" s="935"/>
      <c r="N2416" s="935"/>
      <c r="O2416" s="935"/>
    </row>
    <row r="2417" spans="1:15" ht="15" customHeight="1">
      <c r="A2417" s="905" t="s">
        <v>361</v>
      </c>
      <c r="B2417" s="546" t="s">
        <v>362</v>
      </c>
      <c r="C2417" s="910" t="e">
        <f>VLOOKUP(B2415,'LƯƠNG KT'!$D$16:$AC$184,14,0)</f>
        <v>#N/A</v>
      </c>
      <c r="D2417" s="609" t="e">
        <f>C2417*$L$4</f>
        <v>#N/A</v>
      </c>
      <c r="E2417" s="912"/>
      <c r="F2417" s="912"/>
      <c r="G2417" s="905" t="s">
        <v>361</v>
      </c>
      <c r="H2417" s="546" t="s">
        <v>362</v>
      </c>
      <c r="I2417" s="910" t="e">
        <f>VLOOKUP(H2415,'LƯƠNG KT'!$D$16:$AC$184,14,0)</f>
        <v>#N/A</v>
      </c>
      <c r="J2417" s="609" t="e">
        <f>I2417*$L$4</f>
        <v>#N/A</v>
      </c>
      <c r="K2417" s="934"/>
      <c r="L2417" s="935"/>
      <c r="M2417" s="935"/>
      <c r="N2417" s="935"/>
      <c r="O2417" s="935"/>
    </row>
    <row r="2418" spans="1:15" ht="15" customHeight="1">
      <c r="A2418" s="905" t="s">
        <v>364</v>
      </c>
      <c r="B2418" s="546" t="s">
        <v>365</v>
      </c>
      <c r="C2418" s="910" t="e">
        <f>VLOOKUP(B2415,'LƯƠNG KT'!$D$16:$AC$184,15,0)</f>
        <v>#N/A</v>
      </c>
      <c r="D2418" s="609" t="e">
        <f>C2418*$L$5</f>
        <v>#N/A</v>
      </c>
      <c r="E2418" s="912"/>
      <c r="F2418" s="912"/>
      <c r="G2418" s="905" t="s">
        <v>364</v>
      </c>
      <c r="H2418" s="546" t="s">
        <v>365</v>
      </c>
      <c r="I2418" s="910" t="e">
        <f>VLOOKUP(H2415,'LƯƠNG KT'!$D$16:$AC$184,15,0)</f>
        <v>#N/A</v>
      </c>
      <c r="J2418" s="609" t="e">
        <f>I2418*$L$5</f>
        <v>#N/A</v>
      </c>
      <c r="K2418" s="934"/>
      <c r="L2418" s="935"/>
      <c r="M2418" s="935"/>
      <c r="N2418" s="935"/>
      <c r="O2418" s="935"/>
    </row>
    <row r="2419" spans="1:15" ht="15" customHeight="1">
      <c r="A2419" s="905" t="s">
        <v>367</v>
      </c>
      <c r="B2419" s="546"/>
      <c r="C2419" s="910" t="e">
        <f>VLOOKUP(B2415,'LƯƠNG KT'!$D$16:$AC$184,16,0)</f>
        <v>#N/A</v>
      </c>
      <c r="D2419" s="609" t="e">
        <f>+C2419*$L$6</f>
        <v>#N/A</v>
      </c>
      <c r="E2419" s="912"/>
      <c r="F2419" s="912"/>
      <c r="G2419" s="905" t="s">
        <v>367</v>
      </c>
      <c r="H2419" s="546"/>
      <c r="I2419" s="910" t="e">
        <f>VLOOKUP(H2415,'LƯƠNG KT'!$D$16:$AC$184,16,0)</f>
        <v>#N/A</v>
      </c>
      <c r="J2419" s="609" t="e">
        <f>+I2419*$L$6</f>
        <v>#N/A</v>
      </c>
      <c r="K2419" s="935"/>
      <c r="L2419" s="935"/>
      <c r="M2419" s="935"/>
      <c r="N2419" s="935"/>
      <c r="O2419" s="935"/>
    </row>
    <row r="2420" spans="1:15" ht="15" customHeight="1">
      <c r="A2420" s="905" t="s">
        <v>371</v>
      </c>
      <c r="B2420" s="546" t="s">
        <v>372</v>
      </c>
      <c r="C2420" s="910" t="e">
        <f>VLOOKUP(B2415,'LƯƠNG KT'!$D$16:$AC$184,9,0)*$L$10</f>
        <v>#N/A</v>
      </c>
      <c r="D2420" s="609" t="e">
        <f>+C2420*0.5*3000</f>
        <v>#N/A</v>
      </c>
      <c r="E2420" s="912"/>
      <c r="F2420" s="912"/>
      <c r="G2420" s="905" t="s">
        <v>371</v>
      </c>
      <c r="H2420" s="546" t="s">
        <v>372</v>
      </c>
      <c r="I2420" s="910" t="e">
        <f>VLOOKUP(H2415,'LƯƠNG KT'!$D$16:$AC$184,9,0)*$L$10</f>
        <v>#N/A</v>
      </c>
      <c r="J2420" s="609" t="e">
        <f>+I2420*0.5*3000</f>
        <v>#N/A</v>
      </c>
      <c r="K2420" s="935"/>
      <c r="L2420" s="935"/>
      <c r="M2420" s="935"/>
      <c r="N2420" s="935"/>
      <c r="O2420" s="935"/>
    </row>
    <row r="2421" spans="1:15" ht="15" customHeight="1">
      <c r="A2421" s="905" t="s">
        <v>374</v>
      </c>
      <c r="B2421" s="546" t="s">
        <v>375</v>
      </c>
      <c r="C2421" s="910" t="e">
        <f>VLOOKUP(B2415,'LƯƠNG KT'!$D$16:$AC$184,8,0)*$L$11</f>
        <v>#N/A</v>
      </c>
      <c r="D2421" s="609" t="e">
        <f>VLOOKUP(B2415,'LƯƠNG KT'!$D$16:$AC$184,13,0)-D2420</f>
        <v>#N/A</v>
      </c>
      <c r="E2421" s="914"/>
      <c r="F2421" s="912"/>
      <c r="G2421" s="905" t="s">
        <v>374</v>
      </c>
      <c r="H2421" s="546" t="s">
        <v>375</v>
      </c>
      <c r="I2421" s="910" t="e">
        <f>VLOOKUP(H2415,'LƯƠNG KT'!$D$16:$AC$184,8,0)*$L$11</f>
        <v>#N/A</v>
      </c>
      <c r="J2421" s="609" t="e">
        <f>VLOOKUP(H2415,'LƯƠNG KT'!$D$16:$AC$184,13,0)-J2420</f>
        <v>#N/A</v>
      </c>
      <c r="K2421" s="935"/>
      <c r="L2421" s="935"/>
      <c r="M2421" s="935"/>
      <c r="N2421" s="935"/>
      <c r="O2421" s="935"/>
    </row>
    <row r="2422" spans="1:15" ht="15" customHeight="1">
      <c r="A2422" s="609" t="s">
        <v>377</v>
      </c>
      <c r="B2422" s="546" t="s">
        <v>378</v>
      </c>
      <c r="C2422" s="910"/>
      <c r="D2422" s="609"/>
      <c r="E2422" s="916"/>
      <c r="F2422" s="916"/>
      <c r="G2422" s="609" t="s">
        <v>377</v>
      </c>
      <c r="H2422" s="546" t="s">
        <v>378</v>
      </c>
      <c r="I2422" s="910"/>
      <c r="J2422" s="609"/>
    </row>
    <row r="2423" spans="1:15" ht="15" customHeight="1">
      <c r="A2423" s="547" t="s">
        <v>379</v>
      </c>
      <c r="B2423" s="546" t="s">
        <v>380</v>
      </c>
      <c r="C2423" s="910"/>
      <c r="D2423" s="609"/>
      <c r="E2423" s="914"/>
      <c r="F2423" s="916"/>
      <c r="G2423" s="547" t="s">
        <v>379</v>
      </c>
      <c r="H2423" s="546" t="s">
        <v>380</v>
      </c>
      <c r="I2423" s="910"/>
      <c r="J2423" s="609"/>
    </row>
    <row r="2424" spans="1:15" ht="15" customHeight="1">
      <c r="A2424" s="905" t="s">
        <v>381</v>
      </c>
      <c r="B2424" s="546" t="s">
        <v>382</v>
      </c>
      <c r="C2424" s="910"/>
      <c r="D2424" s="609">
        <f>D2423</f>
        <v>0</v>
      </c>
      <c r="E2424" s="917"/>
      <c r="F2424" s="904"/>
      <c r="G2424" s="905" t="s">
        <v>381</v>
      </c>
      <c r="H2424" s="546" t="s">
        <v>382</v>
      </c>
      <c r="I2424" s="910"/>
      <c r="J2424" s="609">
        <f>J2423</f>
        <v>0</v>
      </c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SUM(D2416:D2421)-D2424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SUM(J2416:J2421)-J2424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2.6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60" t="str">
        <f>$K$2</f>
        <v>THÁNG 09/2024</v>
      </c>
      <c r="B2428" s="2360"/>
      <c r="C2428" s="2360"/>
      <c r="D2428" s="2360"/>
      <c r="E2428" s="903"/>
      <c r="F2428" s="904"/>
      <c r="G2428" s="2360" t="str">
        <f>$K$2</f>
        <v>THÁNG 09/2024</v>
      </c>
      <c r="H2428" s="2360"/>
      <c r="I2428" s="2360"/>
      <c r="J2428" s="2360"/>
      <c r="K2428" s="276"/>
    </row>
    <row r="2429" spans="1:15" ht="15" customHeight="1">
      <c r="A2429" s="905" t="s">
        <v>356</v>
      </c>
      <c r="B2429" s="642" t="s">
        <v>216</v>
      </c>
      <c r="C2429" s="546"/>
      <c r="D2429" s="902"/>
      <c r="E2429" s="906"/>
      <c r="F2429" s="907"/>
      <c r="G2429" s="905" t="s">
        <v>356</v>
      </c>
      <c r="H2429" s="642" t="s">
        <v>217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5" t="s">
        <v>359</v>
      </c>
      <c r="B2430" s="939" t="s">
        <v>360</v>
      </c>
      <c r="C2430" s="910" t="e">
        <f>VLOOKUP(B2429,'LƯƠNG KT'!$D$16:$AC$184,3,0)</f>
        <v>#N/A</v>
      </c>
      <c r="D2430" s="609" t="e">
        <f>+C2430*25000</f>
        <v>#N/A</v>
      </c>
      <c r="E2430" s="911"/>
      <c r="F2430" s="911"/>
      <c r="G2430" s="905" t="s">
        <v>359</v>
      </c>
      <c r="H2430" s="939" t="s">
        <v>360</v>
      </c>
      <c r="I2430" s="910" t="e">
        <f>VLOOKUP(H2429,'LƯƠNG KT'!$D$16:$AC$184,3,0)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5" t="s">
        <v>361</v>
      </c>
      <c r="B2431" s="546" t="s">
        <v>362</v>
      </c>
      <c r="C2431" s="910" t="e">
        <f>VLOOKUP(B2429,'LƯƠNG KT'!$D$16:$AC$184,14,0)</f>
        <v>#N/A</v>
      </c>
      <c r="D2431" s="609" t="e">
        <f>C2431*$L$4</f>
        <v>#N/A</v>
      </c>
      <c r="E2431" s="912"/>
      <c r="F2431" s="912"/>
      <c r="G2431" s="905" t="s">
        <v>361</v>
      </c>
      <c r="H2431" s="546" t="s">
        <v>362</v>
      </c>
      <c r="I2431" s="910" t="e">
        <f>VLOOKUP(H2429,'LƯƠNG KT'!$D$16:$AC$184,14,0)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5" t="s">
        <v>364</v>
      </c>
      <c r="B2432" s="546" t="s">
        <v>365</v>
      </c>
      <c r="C2432" s="910" t="e">
        <f>VLOOKUP(B2429,'LƯƠNG KT'!$D$16:$AC$184,15,0)</f>
        <v>#N/A</v>
      </c>
      <c r="D2432" s="609" t="e">
        <f>C2432*$L$5</f>
        <v>#N/A</v>
      </c>
      <c r="E2432" s="912"/>
      <c r="F2432" s="912"/>
      <c r="G2432" s="905" t="s">
        <v>364</v>
      </c>
      <c r="H2432" s="546" t="s">
        <v>365</v>
      </c>
      <c r="I2432" s="910" t="e">
        <f>VLOOKUP(H2429,'LƯƠNG KT'!$D$16:$AC$184,15,0)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5" t="s">
        <v>367</v>
      </c>
      <c r="B2433" s="546"/>
      <c r="C2433" s="910" t="e">
        <f>VLOOKUP(B2429,'LƯƠNG KT'!$D$16:$AC$184,16,0)</f>
        <v>#N/A</v>
      </c>
      <c r="D2433" s="609" t="e">
        <f>+C2433*$L$6</f>
        <v>#N/A</v>
      </c>
      <c r="E2433" s="912"/>
      <c r="F2433" s="912"/>
      <c r="G2433" s="905" t="s">
        <v>367</v>
      </c>
      <c r="H2433" s="546"/>
      <c r="I2433" s="910" t="e">
        <f>VLOOKUP(H2429,'LƯƠNG KT'!$D$16:$AC$184,16,0)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5" t="s">
        <v>371</v>
      </c>
      <c r="B2434" s="546" t="s">
        <v>372</v>
      </c>
      <c r="C2434" s="910" t="e">
        <f>VLOOKUP(B2429,'LƯƠNG KT'!$D$16:$AC$184,9,0)*$L$10</f>
        <v>#N/A</v>
      </c>
      <c r="D2434" s="609" t="e">
        <f>+C2434*0.5*3000</f>
        <v>#N/A</v>
      </c>
      <c r="E2434" s="912"/>
      <c r="F2434" s="912"/>
      <c r="G2434" s="905" t="s">
        <v>371</v>
      </c>
      <c r="H2434" s="546" t="s">
        <v>372</v>
      </c>
      <c r="I2434" s="910" t="e">
        <f>VLOOKUP(H2429,'LƯƠNG KT'!$D$16:$AC$184,9,0)*$L$10</f>
        <v>#N/A</v>
      </c>
      <c r="J2434" s="609" t="e">
        <f>+I2434*0.5*3000</f>
        <v>#N/A</v>
      </c>
      <c r="K2434" s="935"/>
      <c r="L2434" s="935"/>
      <c r="M2434" s="935"/>
      <c r="N2434" s="935"/>
      <c r="O2434" s="935"/>
    </row>
    <row r="2435" spans="1:15" ht="15" customHeight="1">
      <c r="A2435" s="905" t="s">
        <v>374</v>
      </c>
      <c r="B2435" s="546" t="s">
        <v>375</v>
      </c>
      <c r="C2435" s="910" t="e">
        <f>VLOOKUP(B2429,'LƯƠNG KT'!$D$16:$AC$184,8,0)*$L$11</f>
        <v>#N/A</v>
      </c>
      <c r="D2435" s="609" t="e">
        <f>VLOOKUP(B2429,'LƯƠNG KT'!$D$16:$AC$184,13,0)-D2434</f>
        <v>#N/A</v>
      </c>
      <c r="E2435" s="914"/>
      <c r="F2435" s="912"/>
      <c r="G2435" s="905" t="s">
        <v>374</v>
      </c>
      <c r="H2435" s="546" t="s">
        <v>375</v>
      </c>
      <c r="I2435" s="910" t="e">
        <f>VLOOKUP(H2429,'LƯƠNG KT'!$D$16:$AC$184,8,0)*$L$11</f>
        <v>#N/A</v>
      </c>
      <c r="J2435" s="609" t="e">
        <f>VLOOKUP(H2429,'LƯƠNG KT'!$D$16:$AC$184,13,0)-J2434</f>
        <v>#N/A</v>
      </c>
      <c r="K2435" s="935"/>
      <c r="L2435" s="935"/>
      <c r="M2435" s="935"/>
      <c r="N2435" s="935"/>
      <c r="O2435" s="935"/>
    </row>
    <row r="2436" spans="1:15" ht="15" customHeight="1">
      <c r="A2436" s="609" t="s">
        <v>377</v>
      </c>
      <c r="B2436" s="546" t="s">
        <v>378</v>
      </c>
      <c r="C2436" s="910"/>
      <c r="D2436" s="609"/>
      <c r="E2436" s="916"/>
      <c r="F2436" s="916"/>
      <c r="G2436" s="609" t="s">
        <v>377</v>
      </c>
      <c r="H2436" s="546" t="s">
        <v>378</v>
      </c>
      <c r="I2436" s="910"/>
      <c r="J2436" s="609"/>
    </row>
    <row r="2437" spans="1:15" ht="15" customHeight="1">
      <c r="A2437" s="547" t="s">
        <v>379</v>
      </c>
      <c r="B2437" s="546" t="s">
        <v>380</v>
      </c>
      <c r="C2437" s="910"/>
      <c r="D2437" s="609"/>
      <c r="E2437" s="914"/>
      <c r="F2437" s="916"/>
      <c r="G2437" s="547" t="s">
        <v>379</v>
      </c>
      <c r="H2437" s="546" t="s">
        <v>380</v>
      </c>
      <c r="I2437" s="910"/>
      <c r="J2437" s="609"/>
    </row>
    <row r="2438" spans="1:15" ht="15" customHeight="1">
      <c r="A2438" s="905" t="s">
        <v>381</v>
      </c>
      <c r="B2438" s="546" t="s">
        <v>382</v>
      </c>
      <c r="C2438" s="910"/>
      <c r="D2438" s="609">
        <f>D2437</f>
        <v>0</v>
      </c>
      <c r="E2438" s="917"/>
      <c r="F2438" s="904"/>
      <c r="G2438" s="905" t="s">
        <v>381</v>
      </c>
      <c r="H2438" s="546" t="s">
        <v>382</v>
      </c>
      <c r="I2438" s="910"/>
      <c r="J2438" s="609">
        <f>J2437</f>
        <v>0</v>
      </c>
    </row>
    <row r="2439" spans="1:15" ht="15" customHeight="1">
      <c r="A2439" s="918" t="s">
        <v>383</v>
      </c>
      <c r="B2439" s="919" t="s">
        <v>384</v>
      </c>
      <c r="C2439" s="920"/>
      <c r="D2439" s="921" t="e">
        <f>SUM(D2430:D2435)-D2438</f>
        <v>#N/A</v>
      </c>
      <c r="E2439" s="922"/>
      <c r="F2439" s="923"/>
      <c r="G2439" s="918" t="s">
        <v>383</v>
      </c>
      <c r="H2439" s="919" t="s">
        <v>384</v>
      </c>
      <c r="I2439" s="920"/>
      <c r="J2439" s="921" t="e">
        <f>SUM(J2430:J2435)-J2438</f>
        <v>#N/A</v>
      </c>
    </row>
    <row r="2440" spans="1:15" ht="18.75" customHeight="1">
      <c r="A2440" s="924"/>
      <c r="B2440" s="925"/>
      <c r="C2440" s="926"/>
      <c r="D2440" s="927"/>
      <c r="E2440" s="927"/>
      <c r="F2440" s="928"/>
      <c r="G2440" s="924"/>
      <c r="H2440" s="925"/>
      <c r="I2440" s="926"/>
      <c r="J2440" s="927"/>
    </row>
    <row r="2441" spans="1:15" ht="18.75" customHeight="1">
      <c r="A2441" s="925"/>
      <c r="B2441" s="925"/>
      <c r="C2441" s="929"/>
      <c r="D2441" s="930"/>
      <c r="E2441" s="925"/>
      <c r="F2441" s="931"/>
      <c r="G2441" s="925"/>
      <c r="H2441" s="925"/>
      <c r="I2441" s="929"/>
      <c r="J2441" s="930"/>
    </row>
    <row r="2442" spans="1:15" ht="15" customHeight="1">
      <c r="A2442" s="2360" t="str">
        <f>$K$2</f>
        <v>THÁNG 09/2024</v>
      </c>
      <c r="B2442" s="2360"/>
      <c r="C2442" s="2360"/>
      <c r="D2442" s="2360"/>
      <c r="E2442" s="903"/>
      <c r="F2442" s="904"/>
      <c r="G2442" s="2360" t="str">
        <f>$K$2</f>
        <v>THÁNG 09/2024</v>
      </c>
      <c r="H2442" s="2360"/>
      <c r="I2442" s="2360"/>
      <c r="J2442" s="2360"/>
      <c r="K2442" s="276"/>
    </row>
    <row r="2443" spans="1:15" ht="15" customHeight="1">
      <c r="A2443" s="905" t="s">
        <v>356</v>
      </c>
      <c r="B2443" s="642" t="s">
        <v>218</v>
      </c>
      <c r="C2443" s="546"/>
      <c r="D2443" s="902"/>
      <c r="E2443" s="906"/>
      <c r="F2443" s="907"/>
      <c r="G2443" s="905" t="s">
        <v>356</v>
      </c>
      <c r="H2443" s="642" t="s">
        <v>219</v>
      </c>
      <c r="I2443" s="546"/>
      <c r="J2443" s="902"/>
      <c r="L2443" s="938"/>
      <c r="M2443" s="938"/>
      <c r="N2443" s="938"/>
      <c r="O2443" s="938"/>
    </row>
    <row r="2444" spans="1:15" ht="15" customHeight="1">
      <c r="A2444" s="905" t="s">
        <v>359</v>
      </c>
      <c r="B2444" s="939" t="s">
        <v>360</v>
      </c>
      <c r="C2444" s="910" t="e">
        <f>VLOOKUP(B2443,'LƯƠNG KT'!$D$16:$AC$184,3,0)</f>
        <v>#N/A</v>
      </c>
      <c r="D2444" s="609" t="e">
        <f>+C2444*25000</f>
        <v>#N/A</v>
      </c>
      <c r="E2444" s="911"/>
      <c r="F2444" s="911"/>
      <c r="G2444" s="905" t="s">
        <v>359</v>
      </c>
      <c r="H2444" s="939" t="s">
        <v>360</v>
      </c>
      <c r="I2444" s="910" t="e">
        <f>VLOOKUP(H2443,'LƯƠNG KT'!$D$16:$AC$184,3,0)</f>
        <v>#N/A</v>
      </c>
      <c r="J2444" s="609" t="e">
        <f>+I2444*25000</f>
        <v>#N/A</v>
      </c>
      <c r="K2444" s="935"/>
      <c r="L2444" s="935"/>
      <c r="M2444" s="935"/>
      <c r="N2444" s="935"/>
      <c r="O2444" s="935"/>
    </row>
    <row r="2445" spans="1:15" ht="15" customHeight="1">
      <c r="A2445" s="905" t="s">
        <v>361</v>
      </c>
      <c r="B2445" s="546" t="s">
        <v>362</v>
      </c>
      <c r="C2445" s="910" t="e">
        <f>VLOOKUP(B2443,'LƯƠNG KT'!$D$16:$AC$184,14,0)</f>
        <v>#N/A</v>
      </c>
      <c r="D2445" s="609" t="e">
        <f>C2445*$L$4</f>
        <v>#N/A</v>
      </c>
      <c r="E2445" s="912"/>
      <c r="F2445" s="912"/>
      <c r="G2445" s="905" t="s">
        <v>361</v>
      </c>
      <c r="H2445" s="546" t="s">
        <v>362</v>
      </c>
      <c r="I2445" s="910" t="e">
        <f>VLOOKUP(H2443,'LƯƠNG KT'!$D$16:$AC$184,14,0)</f>
        <v>#N/A</v>
      </c>
      <c r="J2445" s="609" t="e">
        <f>I2445*$L$4</f>
        <v>#N/A</v>
      </c>
      <c r="K2445" s="935"/>
      <c r="L2445" s="935"/>
      <c r="M2445" s="935"/>
      <c r="N2445" s="935"/>
      <c r="O2445" s="935"/>
    </row>
    <row r="2446" spans="1:15" ht="15" customHeight="1">
      <c r="A2446" s="905" t="s">
        <v>364</v>
      </c>
      <c r="B2446" s="546" t="s">
        <v>365</v>
      </c>
      <c r="C2446" s="910" t="e">
        <f>VLOOKUP(B2443,'LƯƠNG KT'!$D$16:$AC$184,15,0)</f>
        <v>#N/A</v>
      </c>
      <c r="D2446" s="609" t="e">
        <f>C2446*$L$5</f>
        <v>#N/A</v>
      </c>
      <c r="E2446" s="912"/>
      <c r="F2446" s="912"/>
      <c r="G2446" s="905" t="s">
        <v>364</v>
      </c>
      <c r="H2446" s="546" t="s">
        <v>365</v>
      </c>
      <c r="I2446" s="910" t="e">
        <f>VLOOKUP(H2443,'LƯƠNG KT'!$D$16:$AC$184,15,0)</f>
        <v>#N/A</v>
      </c>
      <c r="J2446" s="609" t="e">
        <f>I2446*$L$5</f>
        <v>#N/A</v>
      </c>
      <c r="K2446" s="935"/>
      <c r="L2446" s="935"/>
      <c r="M2446" s="935"/>
      <c r="N2446" s="935"/>
      <c r="O2446" s="935"/>
    </row>
    <row r="2447" spans="1:15" ht="15" customHeight="1">
      <c r="A2447" s="905" t="s">
        <v>367</v>
      </c>
      <c r="B2447" s="546"/>
      <c r="C2447" s="910" t="e">
        <f>VLOOKUP(B2443,'LƯƠNG KT'!$D$16:$AC$184,16,0)</f>
        <v>#N/A</v>
      </c>
      <c r="D2447" s="609" t="e">
        <f>+C2447*$L$6</f>
        <v>#N/A</v>
      </c>
      <c r="E2447" s="912"/>
      <c r="F2447" s="912"/>
      <c r="G2447" s="905" t="s">
        <v>367</v>
      </c>
      <c r="H2447" s="546"/>
      <c r="I2447" s="910" t="e">
        <f>VLOOKUP(H2443,'LƯƠNG KT'!$D$16:$AC$184,16,0)</f>
        <v>#N/A</v>
      </c>
      <c r="J2447" s="609" t="e">
        <f>+I2447*$L$6</f>
        <v>#N/A</v>
      </c>
      <c r="K2447" s="935"/>
      <c r="L2447" s="935"/>
      <c r="M2447" s="935"/>
      <c r="N2447" s="935"/>
      <c r="O2447" s="935"/>
    </row>
    <row r="2448" spans="1:15" ht="15" customHeight="1">
      <c r="A2448" s="905" t="s">
        <v>371</v>
      </c>
      <c r="B2448" s="546" t="s">
        <v>372</v>
      </c>
      <c r="C2448" s="910" t="e">
        <f>VLOOKUP(B2443,'LƯƠNG KT'!$D$16:$AC$184,9,0)*$L$10</f>
        <v>#N/A</v>
      </c>
      <c r="D2448" s="609" t="e">
        <f>+C2448*0.5*3000</f>
        <v>#N/A</v>
      </c>
      <c r="E2448" s="912"/>
      <c r="F2448" s="912"/>
      <c r="G2448" s="905" t="s">
        <v>371</v>
      </c>
      <c r="H2448" s="546" t="s">
        <v>372</v>
      </c>
      <c r="I2448" s="910" t="e">
        <f>VLOOKUP(H2443,'LƯƠNG KT'!$D$16:$AC$184,9,0)*$L$10</f>
        <v>#N/A</v>
      </c>
      <c r="J2448" s="609" t="e">
        <f>+I2448*0.5*3000</f>
        <v>#N/A</v>
      </c>
      <c r="K2448" s="935"/>
      <c r="L2448" s="935"/>
      <c r="M2448" s="935"/>
      <c r="N2448" s="935"/>
      <c r="O2448" s="935"/>
    </row>
    <row r="2449" spans="1:15" ht="15" customHeight="1">
      <c r="A2449" s="905" t="s">
        <v>374</v>
      </c>
      <c r="B2449" s="546" t="s">
        <v>375</v>
      </c>
      <c r="C2449" s="910" t="e">
        <f>VLOOKUP(B2443,'LƯƠNG KT'!$D$16:$AC$184,8,0)*$L$11</f>
        <v>#N/A</v>
      </c>
      <c r="D2449" s="609" t="e">
        <f>VLOOKUP(B2443,'LƯƠNG KT'!$D$16:$AC$184,13,0)-D2448</f>
        <v>#N/A</v>
      </c>
      <c r="E2449" s="914"/>
      <c r="F2449" s="912"/>
      <c r="G2449" s="905" t="s">
        <v>374</v>
      </c>
      <c r="H2449" s="546" t="s">
        <v>375</v>
      </c>
      <c r="I2449" s="910" t="e">
        <f>VLOOKUP(H2443,'LƯƠNG KT'!$D$16:$AC$184,8,0)*$L$11</f>
        <v>#N/A</v>
      </c>
      <c r="J2449" s="609" t="e">
        <f>VLOOKUP(H2443,'LƯƠNG KT'!$D$16:$AC$184,13,0)-J2448</f>
        <v>#N/A</v>
      </c>
      <c r="K2449" s="935"/>
      <c r="L2449" s="935"/>
      <c r="M2449" s="935"/>
      <c r="N2449" s="935"/>
      <c r="O2449" s="935"/>
    </row>
    <row r="2450" spans="1:15" ht="15" customHeight="1">
      <c r="A2450" s="609" t="s">
        <v>377</v>
      </c>
      <c r="B2450" s="546" t="s">
        <v>378</v>
      </c>
      <c r="C2450" s="910"/>
      <c r="D2450" s="609"/>
      <c r="E2450" s="916"/>
      <c r="F2450" s="916"/>
      <c r="G2450" s="609" t="s">
        <v>377</v>
      </c>
      <c r="H2450" s="546" t="s">
        <v>378</v>
      </c>
      <c r="I2450" s="910"/>
      <c r="J2450" s="609"/>
    </row>
    <row r="2451" spans="1:15" ht="15" customHeight="1">
      <c r="A2451" s="547" t="s">
        <v>379</v>
      </c>
      <c r="B2451" s="546" t="s">
        <v>380</v>
      </c>
      <c r="C2451" s="910"/>
      <c r="D2451" s="609"/>
      <c r="E2451" s="914"/>
      <c r="F2451" s="916"/>
      <c r="G2451" s="547" t="s">
        <v>379</v>
      </c>
      <c r="H2451" s="546" t="s">
        <v>380</v>
      </c>
      <c r="I2451" s="910"/>
      <c r="J2451" s="609"/>
    </row>
    <row r="2452" spans="1:15" ht="15" customHeight="1">
      <c r="A2452" s="905" t="s">
        <v>381</v>
      </c>
      <c r="B2452" s="546" t="s">
        <v>382</v>
      </c>
      <c r="C2452" s="910"/>
      <c r="D2452" s="609">
        <f>D2451</f>
        <v>0</v>
      </c>
      <c r="E2452" s="917"/>
      <c r="F2452" s="904"/>
      <c r="G2452" s="905" t="s">
        <v>381</v>
      </c>
      <c r="H2452" s="546" t="s">
        <v>382</v>
      </c>
      <c r="I2452" s="910"/>
      <c r="J2452" s="609">
        <f>J2451</f>
        <v>0</v>
      </c>
    </row>
    <row r="2453" spans="1:15" ht="15" customHeight="1">
      <c r="A2453" s="918" t="s">
        <v>383</v>
      </c>
      <c r="B2453" s="919" t="s">
        <v>384</v>
      </c>
      <c r="C2453" s="920"/>
      <c r="D2453" s="921" t="e">
        <f>SUM(D2444:D2449)-D2452</f>
        <v>#N/A</v>
      </c>
      <c r="E2453" s="922"/>
      <c r="F2453" s="923"/>
      <c r="G2453" s="918" t="s">
        <v>383</v>
      </c>
      <c r="H2453" s="919" t="s">
        <v>384</v>
      </c>
      <c r="I2453" s="920"/>
      <c r="J2453" s="921" t="e">
        <f>SUM(J2444:J2449)-J2452</f>
        <v>#N/A</v>
      </c>
    </row>
    <row r="2454" spans="1:15" ht="18.75" customHeight="1">
      <c r="A2454" s="924"/>
      <c r="B2454" s="925"/>
      <c r="C2454" s="926"/>
      <c r="D2454" s="927"/>
      <c r="E2454" s="927"/>
      <c r="F2454" s="928"/>
      <c r="G2454" s="924"/>
      <c r="H2454" s="925"/>
      <c r="I2454" s="926"/>
      <c r="J2454" s="927"/>
    </row>
    <row r="2455" spans="1:15" ht="18.75" customHeight="1">
      <c r="A2455" s="925"/>
      <c r="B2455" s="925"/>
      <c r="C2455" s="929"/>
      <c r="D2455" s="930"/>
      <c r="E2455" s="925"/>
      <c r="F2455" s="931"/>
      <c r="G2455" s="925"/>
      <c r="H2455" s="925"/>
      <c r="I2455" s="929"/>
      <c r="J2455" s="930"/>
    </row>
    <row r="2456" spans="1:15" ht="15" customHeight="1">
      <c r="A2456" s="2360" t="str">
        <f>$K$2</f>
        <v>THÁNG 09/2024</v>
      </c>
      <c r="B2456" s="2360"/>
      <c r="C2456" s="2360"/>
      <c r="D2456" s="2360"/>
      <c r="E2456" s="903"/>
      <c r="F2456" s="904"/>
      <c r="G2456" s="2360" t="str">
        <f>$K$2</f>
        <v>THÁNG 09/2024</v>
      </c>
      <c r="H2456" s="2360"/>
      <c r="I2456" s="2360"/>
      <c r="J2456" s="2360"/>
      <c r="K2456" s="276"/>
    </row>
    <row r="2457" spans="1:15" ht="15" customHeight="1">
      <c r="A2457" s="905" t="s">
        <v>356</v>
      </c>
      <c r="B2457" s="642" t="s">
        <v>220</v>
      </c>
      <c r="C2457" s="546"/>
      <c r="D2457" s="902"/>
      <c r="E2457" s="906"/>
      <c r="F2457" s="907"/>
      <c r="G2457" s="905" t="s">
        <v>356</v>
      </c>
      <c r="H2457" s="642" t="s">
        <v>221</v>
      </c>
      <c r="I2457" s="546"/>
      <c r="J2457" s="902"/>
      <c r="L2457" s="938"/>
      <c r="M2457" s="938"/>
      <c r="N2457" s="938"/>
      <c r="O2457" s="938"/>
    </row>
    <row r="2458" spans="1:15" ht="15" customHeight="1">
      <c r="A2458" s="905" t="s">
        <v>359</v>
      </c>
      <c r="B2458" s="939" t="s">
        <v>360</v>
      </c>
      <c r="C2458" s="910" t="e">
        <f>VLOOKUP(B2457,'LƯƠNG KT'!$D$16:$AC$184,3,0)</f>
        <v>#N/A</v>
      </c>
      <c r="D2458" s="609" t="e">
        <f>+C2458*25000</f>
        <v>#N/A</v>
      </c>
      <c r="E2458" s="911"/>
      <c r="F2458" s="911"/>
      <c r="G2458" s="905" t="s">
        <v>359</v>
      </c>
      <c r="H2458" s="939" t="s">
        <v>360</v>
      </c>
      <c r="I2458" s="910" t="e">
        <f>VLOOKUP(H2457,'LƯƠNG KT'!$D$16:$AC$184,3,0)</f>
        <v>#N/A</v>
      </c>
      <c r="J2458" s="609" t="e">
        <f>+I2458*25000</f>
        <v>#N/A</v>
      </c>
      <c r="K2458" s="935"/>
      <c r="L2458" s="935"/>
      <c r="M2458" s="935"/>
      <c r="N2458" s="935"/>
      <c r="O2458" s="935"/>
    </row>
    <row r="2459" spans="1:15" ht="15" customHeight="1">
      <c r="A2459" s="905" t="s">
        <v>361</v>
      </c>
      <c r="B2459" s="546" t="s">
        <v>362</v>
      </c>
      <c r="C2459" s="910" t="e">
        <f>VLOOKUP(B2457,'LƯƠNG KT'!$D$16:$AC$184,14,0)</f>
        <v>#N/A</v>
      </c>
      <c r="D2459" s="609" t="e">
        <f>C2459*$L$4</f>
        <v>#N/A</v>
      </c>
      <c r="E2459" s="912"/>
      <c r="F2459" s="912"/>
      <c r="G2459" s="905" t="s">
        <v>361</v>
      </c>
      <c r="H2459" s="546" t="s">
        <v>362</v>
      </c>
      <c r="I2459" s="910" t="e">
        <f>VLOOKUP(H2457,'LƯƠNG KT'!$D$16:$AC$184,14,0)</f>
        <v>#N/A</v>
      </c>
      <c r="J2459" s="609" t="e">
        <f>I2459*$L$4</f>
        <v>#N/A</v>
      </c>
      <c r="K2459" s="935"/>
      <c r="L2459" s="935"/>
      <c r="M2459" s="935"/>
      <c r="N2459" s="935"/>
      <c r="O2459" s="935"/>
    </row>
    <row r="2460" spans="1:15" ht="15" customHeight="1">
      <c r="A2460" s="905" t="s">
        <v>364</v>
      </c>
      <c r="B2460" s="546" t="s">
        <v>365</v>
      </c>
      <c r="C2460" s="910" t="e">
        <f>VLOOKUP(B2457,'LƯƠNG KT'!$D$16:$AC$184,15,0)</f>
        <v>#N/A</v>
      </c>
      <c r="D2460" s="609" t="e">
        <f>C2460*$L$5</f>
        <v>#N/A</v>
      </c>
      <c r="E2460" s="912"/>
      <c r="F2460" s="912"/>
      <c r="G2460" s="905" t="s">
        <v>364</v>
      </c>
      <c r="H2460" s="546" t="s">
        <v>365</v>
      </c>
      <c r="I2460" s="910" t="e">
        <f>VLOOKUP(H2457,'LƯƠNG KT'!$D$16:$AC$184,15,0)</f>
        <v>#N/A</v>
      </c>
      <c r="J2460" s="609" t="e">
        <f>I2460*$L$5</f>
        <v>#N/A</v>
      </c>
      <c r="K2460" s="935"/>
      <c r="L2460" s="935"/>
      <c r="M2460" s="935"/>
      <c r="N2460" s="935"/>
      <c r="O2460" s="935"/>
    </row>
    <row r="2461" spans="1:15" ht="15" customHeight="1">
      <c r="A2461" s="905" t="s">
        <v>367</v>
      </c>
      <c r="B2461" s="546"/>
      <c r="C2461" s="910" t="e">
        <f>VLOOKUP(B2457,'LƯƠNG KT'!$D$16:$AC$184,16,0)</f>
        <v>#N/A</v>
      </c>
      <c r="D2461" s="609" t="e">
        <f>+C2461*$L$6</f>
        <v>#N/A</v>
      </c>
      <c r="E2461" s="912"/>
      <c r="F2461" s="912"/>
      <c r="G2461" s="905" t="s">
        <v>367</v>
      </c>
      <c r="H2461" s="546"/>
      <c r="I2461" s="910" t="e">
        <f>VLOOKUP(H2457,'LƯƠNG KT'!$D$16:$AC$184,16,0)</f>
        <v>#N/A</v>
      </c>
      <c r="J2461" s="609" t="e">
        <f>+I2461*$L$6</f>
        <v>#N/A</v>
      </c>
      <c r="K2461" s="935"/>
      <c r="L2461" s="935"/>
      <c r="M2461" s="935"/>
      <c r="N2461" s="935"/>
      <c r="O2461" s="935"/>
    </row>
    <row r="2462" spans="1:15" ht="15" customHeight="1">
      <c r="A2462" s="905" t="s">
        <v>371</v>
      </c>
      <c r="B2462" s="546" t="s">
        <v>372</v>
      </c>
      <c r="C2462" s="910" t="e">
        <f>VLOOKUP(B2457,'LƯƠNG KT'!$D$16:$AC$184,9,0)*$L$10</f>
        <v>#N/A</v>
      </c>
      <c r="D2462" s="609" t="e">
        <f>+C2462*0.5*3000</f>
        <v>#N/A</v>
      </c>
      <c r="E2462" s="912"/>
      <c r="F2462" s="912"/>
      <c r="G2462" s="905" t="s">
        <v>371</v>
      </c>
      <c r="H2462" s="546" t="s">
        <v>372</v>
      </c>
      <c r="I2462" s="910" t="e">
        <f>VLOOKUP(H2457,'LƯƠNG KT'!$D$16:$AC$184,9,0)*$L$10</f>
        <v>#N/A</v>
      </c>
      <c r="J2462" s="609" t="e">
        <f>+I2462*0.5*3000</f>
        <v>#N/A</v>
      </c>
      <c r="K2462" s="935"/>
      <c r="L2462" s="935"/>
      <c r="M2462" s="935"/>
      <c r="N2462" s="935"/>
      <c r="O2462" s="935"/>
    </row>
    <row r="2463" spans="1:15" ht="15" customHeight="1">
      <c r="A2463" s="905" t="s">
        <v>374</v>
      </c>
      <c r="B2463" s="546" t="s">
        <v>375</v>
      </c>
      <c r="C2463" s="910" t="e">
        <f>VLOOKUP(B2457,'LƯƠNG KT'!$D$16:$AC$184,8,0)*$L$11</f>
        <v>#N/A</v>
      </c>
      <c r="D2463" s="609" t="e">
        <f>VLOOKUP(B2457,'LƯƠNG KT'!$D$16:$AC$184,13,0)-D2462</f>
        <v>#N/A</v>
      </c>
      <c r="E2463" s="914"/>
      <c r="F2463" s="912"/>
      <c r="G2463" s="905" t="s">
        <v>374</v>
      </c>
      <c r="H2463" s="546" t="s">
        <v>375</v>
      </c>
      <c r="I2463" s="910" t="e">
        <f>VLOOKUP(H2457,'LƯƠNG KT'!$D$16:$AC$184,8,0)*$L$11</f>
        <v>#N/A</v>
      </c>
      <c r="J2463" s="609" t="e">
        <f>VLOOKUP(H2457,'LƯƠNG KT'!$D$16:$AC$184,13,0)-J2462</f>
        <v>#N/A</v>
      </c>
      <c r="K2463" s="935"/>
      <c r="L2463" s="935"/>
      <c r="M2463" s="935"/>
      <c r="N2463" s="935"/>
      <c r="O2463" s="935"/>
    </row>
    <row r="2464" spans="1:15" ht="15" customHeight="1">
      <c r="A2464" s="609" t="s">
        <v>377</v>
      </c>
      <c r="B2464" s="546" t="s">
        <v>378</v>
      </c>
      <c r="C2464" s="910"/>
      <c r="D2464" s="609"/>
      <c r="E2464" s="916"/>
      <c r="F2464" s="916"/>
      <c r="G2464" s="609" t="s">
        <v>377</v>
      </c>
      <c r="H2464" s="546" t="s">
        <v>378</v>
      </c>
      <c r="I2464" s="910"/>
      <c r="J2464" s="609"/>
    </row>
    <row r="2465" spans="1:15" ht="15" customHeight="1">
      <c r="A2465" s="547" t="s">
        <v>379</v>
      </c>
      <c r="B2465" s="546" t="s">
        <v>380</v>
      </c>
      <c r="C2465" s="910"/>
      <c r="D2465" s="609"/>
      <c r="E2465" s="914"/>
      <c r="F2465" s="916"/>
      <c r="G2465" s="547" t="s">
        <v>379</v>
      </c>
      <c r="H2465" s="546" t="s">
        <v>380</v>
      </c>
      <c r="I2465" s="910"/>
      <c r="J2465" s="609"/>
    </row>
    <row r="2466" spans="1:15" ht="15" customHeight="1">
      <c r="A2466" s="905" t="s">
        <v>381</v>
      </c>
      <c r="B2466" s="546" t="s">
        <v>382</v>
      </c>
      <c r="C2466" s="910"/>
      <c r="D2466" s="609">
        <f>D2465</f>
        <v>0</v>
      </c>
      <c r="E2466" s="917"/>
      <c r="F2466" s="904"/>
      <c r="G2466" s="905" t="s">
        <v>381</v>
      </c>
      <c r="H2466" s="546" t="s">
        <v>382</v>
      </c>
      <c r="I2466" s="910"/>
      <c r="J2466" s="609">
        <f>J2465</f>
        <v>0</v>
      </c>
    </row>
    <row r="2467" spans="1:15" ht="15" customHeight="1">
      <c r="A2467" s="918" t="s">
        <v>383</v>
      </c>
      <c r="B2467" s="919" t="s">
        <v>384</v>
      </c>
      <c r="C2467" s="920"/>
      <c r="D2467" s="921" t="e">
        <f>SUM(D2458:D2463)-D2466</f>
        <v>#N/A</v>
      </c>
      <c r="E2467" s="922"/>
      <c r="F2467" s="923"/>
      <c r="G2467" s="918" t="s">
        <v>383</v>
      </c>
      <c r="H2467" s="919" t="s">
        <v>384</v>
      </c>
      <c r="I2467" s="920"/>
      <c r="J2467" s="921" t="e">
        <f>SUM(J2458:J2463)-J2466</f>
        <v>#N/A</v>
      </c>
    </row>
    <row r="2468" spans="1:15" ht="15.75" customHeight="1">
      <c r="A2468" s="924"/>
      <c r="B2468" s="925"/>
      <c r="C2468" s="926"/>
      <c r="D2468" s="927"/>
      <c r="E2468" s="927"/>
      <c r="F2468" s="928"/>
      <c r="G2468" s="924"/>
      <c r="H2468" s="925"/>
      <c r="I2468" s="926"/>
      <c r="J2468" s="927"/>
    </row>
    <row r="2470" spans="1:15" ht="12" customHeight="1">
      <c r="A2470" s="2361"/>
      <c r="B2470" s="2361"/>
      <c r="C2470" s="2361"/>
      <c r="D2470" s="2361"/>
      <c r="E2470" s="2361"/>
      <c r="F2470" s="2361"/>
      <c r="G2470" s="2361"/>
      <c r="H2470" s="2361"/>
      <c r="I2470" s="2361"/>
      <c r="J2470" s="2361"/>
    </row>
    <row r="2471" spans="1:15" ht="15" customHeight="1">
      <c r="A2471" s="2360" t="str">
        <f>$K$2</f>
        <v>THÁNG 09/2024</v>
      </c>
      <c r="B2471" s="2360"/>
      <c r="C2471" s="2360"/>
      <c r="D2471" s="2360"/>
      <c r="E2471" s="903"/>
      <c r="F2471" s="904"/>
      <c r="G2471" s="2360" t="str">
        <f>$K$2</f>
        <v>THÁNG 09/2024</v>
      </c>
      <c r="H2471" s="2360"/>
      <c r="I2471" s="2360"/>
      <c r="J2471" s="2360"/>
      <c r="K2471" s="276"/>
    </row>
    <row r="2472" spans="1:15" ht="15" customHeight="1">
      <c r="A2472" s="905" t="s">
        <v>356</v>
      </c>
      <c r="B2472" s="642" t="s">
        <v>222</v>
      </c>
      <c r="C2472" s="546"/>
      <c r="D2472" s="902"/>
      <c r="E2472" s="906"/>
      <c r="F2472" s="907"/>
      <c r="G2472" s="905" t="s">
        <v>356</v>
      </c>
      <c r="H2472" s="642" t="s">
        <v>223</v>
      </c>
      <c r="I2472" s="546"/>
      <c r="J2472" s="902"/>
      <c r="L2472" s="938"/>
      <c r="M2472" s="938"/>
      <c r="N2472" s="938"/>
      <c r="O2472" s="938"/>
    </row>
    <row r="2473" spans="1:15" ht="15" customHeight="1">
      <c r="A2473" s="905" t="s">
        <v>359</v>
      </c>
      <c r="B2473" s="939" t="s">
        <v>360</v>
      </c>
      <c r="C2473" s="910" t="e">
        <f>VLOOKUP(B2472,'LƯƠNG KT'!$D$16:$AC$184,3,0)</f>
        <v>#N/A</v>
      </c>
      <c r="D2473" s="609" t="e">
        <f>+C2473*25000</f>
        <v>#N/A</v>
      </c>
      <c r="E2473" s="911"/>
      <c r="F2473" s="911"/>
      <c r="G2473" s="905" t="s">
        <v>359</v>
      </c>
      <c r="H2473" s="939" t="s">
        <v>360</v>
      </c>
      <c r="I2473" s="910" t="e">
        <f>VLOOKUP(H2472,'LƯƠNG KT'!$D$16:$AC$184,3,0)</f>
        <v>#N/A</v>
      </c>
      <c r="J2473" s="609" t="e">
        <f>+I2473*25000</f>
        <v>#N/A</v>
      </c>
      <c r="K2473" s="934"/>
      <c r="L2473" s="935"/>
      <c r="M2473" s="935"/>
      <c r="N2473" s="935"/>
      <c r="O2473" s="935"/>
    </row>
    <row r="2474" spans="1:15" ht="15" customHeight="1">
      <c r="A2474" s="905" t="s">
        <v>361</v>
      </c>
      <c r="B2474" s="546" t="s">
        <v>362</v>
      </c>
      <c r="C2474" s="910" t="e">
        <f>VLOOKUP(B2472,'LƯƠNG KT'!$D$16:$AC$184,14,0)</f>
        <v>#N/A</v>
      </c>
      <c r="D2474" s="609" t="e">
        <f>C2474*$L$4</f>
        <v>#N/A</v>
      </c>
      <c r="E2474" s="912"/>
      <c r="F2474" s="912"/>
      <c r="G2474" s="905" t="s">
        <v>361</v>
      </c>
      <c r="H2474" s="546" t="s">
        <v>362</v>
      </c>
      <c r="I2474" s="910" t="e">
        <f>VLOOKUP(H2472,'LƯƠNG KT'!$D$16:$AC$184,14,0)</f>
        <v>#N/A</v>
      </c>
      <c r="J2474" s="609" t="e">
        <f>I2474*$L$4</f>
        <v>#N/A</v>
      </c>
      <c r="K2474" s="934"/>
      <c r="L2474" s="935"/>
      <c r="M2474" s="935"/>
      <c r="N2474" s="935"/>
      <c r="O2474" s="935"/>
    </row>
    <row r="2475" spans="1:15" ht="15" customHeight="1">
      <c r="A2475" s="905" t="s">
        <v>364</v>
      </c>
      <c r="B2475" s="546" t="s">
        <v>365</v>
      </c>
      <c r="C2475" s="910" t="e">
        <f>VLOOKUP(B2472,'LƯƠNG KT'!$D$16:$AC$184,15,0)</f>
        <v>#N/A</v>
      </c>
      <c r="D2475" s="609" t="e">
        <f>C2475*$L$5</f>
        <v>#N/A</v>
      </c>
      <c r="E2475" s="912"/>
      <c r="F2475" s="912"/>
      <c r="G2475" s="905" t="s">
        <v>364</v>
      </c>
      <c r="H2475" s="546" t="s">
        <v>365</v>
      </c>
      <c r="I2475" s="910" t="e">
        <f>VLOOKUP(H2472,'LƯƠNG KT'!$D$16:$AC$184,15,0)</f>
        <v>#N/A</v>
      </c>
      <c r="J2475" s="609" t="e">
        <f>I2475*$L$5</f>
        <v>#N/A</v>
      </c>
      <c r="K2475" s="934"/>
      <c r="L2475" s="935"/>
      <c r="M2475" s="935"/>
      <c r="N2475" s="935"/>
      <c r="O2475" s="935"/>
    </row>
    <row r="2476" spans="1:15" ht="15" customHeight="1">
      <c r="A2476" s="905" t="s">
        <v>367</v>
      </c>
      <c r="B2476" s="546"/>
      <c r="C2476" s="910" t="e">
        <f>VLOOKUP(B2472,'LƯƠNG KT'!$D$16:$AC$184,16,0)</f>
        <v>#N/A</v>
      </c>
      <c r="D2476" s="609" t="e">
        <f>+C2476*$L$6</f>
        <v>#N/A</v>
      </c>
      <c r="E2476" s="912"/>
      <c r="F2476" s="912"/>
      <c r="G2476" s="905" t="s">
        <v>367</v>
      </c>
      <c r="H2476" s="546"/>
      <c r="I2476" s="910" t="e">
        <f>VLOOKUP(H2472,'LƯƠNG KT'!$D$16:$AC$184,16,0)</f>
        <v>#N/A</v>
      </c>
      <c r="J2476" s="609" t="e">
        <f>+I2476*$L$6</f>
        <v>#N/A</v>
      </c>
      <c r="K2476" s="935"/>
      <c r="L2476" s="935"/>
      <c r="M2476" s="935"/>
      <c r="N2476" s="935"/>
      <c r="O2476" s="935"/>
    </row>
    <row r="2477" spans="1:15" ht="15" customHeight="1">
      <c r="A2477" s="905" t="s">
        <v>371</v>
      </c>
      <c r="B2477" s="546" t="s">
        <v>372</v>
      </c>
      <c r="C2477" s="910" t="e">
        <f>VLOOKUP(B2472,'LƯƠNG KT'!$D$16:$AC$184,9,0)*$L$10</f>
        <v>#N/A</v>
      </c>
      <c r="D2477" s="609" t="e">
        <f>+C2477*0.5*3000</f>
        <v>#N/A</v>
      </c>
      <c r="E2477" s="912"/>
      <c r="F2477" s="912"/>
      <c r="G2477" s="905" t="s">
        <v>371</v>
      </c>
      <c r="H2477" s="546" t="s">
        <v>372</v>
      </c>
      <c r="I2477" s="910" t="e">
        <f>VLOOKUP(H2472,'LƯƠNG KT'!$D$16:$AC$184,9,0)*$L$10</f>
        <v>#N/A</v>
      </c>
      <c r="J2477" s="609" t="e">
        <f>+I2477*0.5*3000</f>
        <v>#N/A</v>
      </c>
      <c r="K2477" s="935"/>
      <c r="L2477" s="935"/>
      <c r="M2477" s="935"/>
      <c r="N2477" s="935"/>
      <c r="O2477" s="935"/>
    </row>
    <row r="2478" spans="1:15" ht="15" customHeight="1">
      <c r="A2478" s="905" t="s">
        <v>374</v>
      </c>
      <c r="B2478" s="546" t="s">
        <v>375</v>
      </c>
      <c r="C2478" s="910" t="e">
        <f>VLOOKUP(B2472,'LƯƠNG KT'!$D$16:$AC$184,8,0)*$L$11</f>
        <v>#N/A</v>
      </c>
      <c r="D2478" s="609" t="e">
        <f>VLOOKUP(B2472,'LƯƠNG KT'!$D$16:$AC$184,13,0)-D2477</f>
        <v>#N/A</v>
      </c>
      <c r="E2478" s="914"/>
      <c r="F2478" s="912"/>
      <c r="G2478" s="905" t="s">
        <v>374</v>
      </c>
      <c r="H2478" s="546" t="s">
        <v>375</v>
      </c>
      <c r="I2478" s="910" t="e">
        <f>VLOOKUP(H2472,'LƯƠNG KT'!$D$16:$AC$184,8,0)*$L$11</f>
        <v>#N/A</v>
      </c>
      <c r="J2478" s="609" t="e">
        <f>VLOOKUP(H2472,'LƯƠNG KT'!$D$16:$AC$184,13,0)-J2477</f>
        <v>#N/A</v>
      </c>
      <c r="K2478" s="935"/>
      <c r="L2478" s="935"/>
      <c r="M2478" s="935"/>
      <c r="N2478" s="935"/>
      <c r="O2478" s="935"/>
    </row>
    <row r="2479" spans="1:15" ht="15" customHeight="1">
      <c r="A2479" s="609" t="s">
        <v>377</v>
      </c>
      <c r="B2479" s="546" t="s">
        <v>378</v>
      </c>
      <c r="C2479" s="910"/>
      <c r="D2479" s="609"/>
      <c r="E2479" s="916"/>
      <c r="F2479" s="916"/>
      <c r="G2479" s="609" t="s">
        <v>377</v>
      </c>
      <c r="H2479" s="546" t="s">
        <v>378</v>
      </c>
      <c r="I2479" s="910"/>
      <c r="J2479" s="609"/>
    </row>
    <row r="2480" spans="1:15" ht="15" customHeight="1">
      <c r="A2480" s="547" t="s">
        <v>379</v>
      </c>
      <c r="B2480" s="546" t="s">
        <v>380</v>
      </c>
      <c r="C2480" s="910"/>
      <c r="D2480" s="609"/>
      <c r="E2480" s="914"/>
      <c r="F2480" s="916"/>
      <c r="G2480" s="547" t="s">
        <v>379</v>
      </c>
      <c r="H2480" s="546" t="s">
        <v>380</v>
      </c>
      <c r="I2480" s="910"/>
      <c r="J2480" s="609"/>
    </row>
    <row r="2481" spans="1:15" ht="15" customHeight="1">
      <c r="A2481" s="905" t="s">
        <v>381</v>
      </c>
      <c r="B2481" s="546" t="s">
        <v>382</v>
      </c>
      <c r="C2481" s="910"/>
      <c r="D2481" s="609">
        <f>D2480</f>
        <v>0</v>
      </c>
      <c r="E2481" s="917"/>
      <c r="F2481" s="904"/>
      <c r="G2481" s="905" t="s">
        <v>381</v>
      </c>
      <c r="H2481" s="546" t="s">
        <v>382</v>
      </c>
      <c r="I2481" s="910"/>
      <c r="J2481" s="609">
        <f>J2480</f>
        <v>0</v>
      </c>
    </row>
    <row r="2482" spans="1:15" ht="15" customHeight="1">
      <c r="A2482" s="918" t="s">
        <v>383</v>
      </c>
      <c r="B2482" s="919" t="s">
        <v>384</v>
      </c>
      <c r="C2482" s="920"/>
      <c r="D2482" s="921" t="e">
        <f>SUM(D2473:D2478)-D2481</f>
        <v>#N/A</v>
      </c>
      <c r="E2482" s="922"/>
      <c r="F2482" s="923"/>
      <c r="G2482" s="918" t="s">
        <v>383</v>
      </c>
      <c r="H2482" s="919" t="s">
        <v>384</v>
      </c>
      <c r="I2482" s="920"/>
      <c r="J2482" s="921" t="e">
        <f>SUM(J2473:J2478)-J2481</f>
        <v>#N/A</v>
      </c>
    </row>
    <row r="2483" spans="1:15" ht="12.6" customHeight="1">
      <c r="A2483" s="924"/>
      <c r="B2483" s="925"/>
      <c r="C2483" s="926"/>
      <c r="D2483" s="927"/>
      <c r="E2483" s="927"/>
      <c r="F2483" s="928"/>
      <c r="G2483" s="924"/>
      <c r="H2483" s="925"/>
      <c r="I2483" s="926"/>
      <c r="J2483" s="927"/>
    </row>
    <row r="2484" spans="1:15" ht="12.6" customHeight="1">
      <c r="A2484" s="925"/>
      <c r="B2484" s="925"/>
      <c r="C2484" s="929"/>
      <c r="D2484" s="930"/>
      <c r="E2484" s="925"/>
      <c r="F2484" s="931"/>
      <c r="G2484" s="925"/>
      <c r="H2484" s="925"/>
      <c r="I2484" s="929"/>
      <c r="J2484" s="930"/>
    </row>
    <row r="2485" spans="1:15" ht="15" customHeight="1">
      <c r="A2485" s="2360" t="str">
        <f>$K$2</f>
        <v>THÁNG 09/2024</v>
      </c>
      <c r="B2485" s="2360"/>
      <c r="C2485" s="2360"/>
      <c r="D2485" s="2360"/>
      <c r="E2485" s="903"/>
      <c r="F2485" s="904"/>
      <c r="G2485" s="2360" t="str">
        <f>$K$2</f>
        <v>THÁNG 09/2024</v>
      </c>
      <c r="H2485" s="2360"/>
      <c r="I2485" s="2360"/>
      <c r="J2485" s="2360"/>
      <c r="K2485" s="276"/>
    </row>
    <row r="2486" spans="1:15" ht="15" customHeight="1">
      <c r="A2486" s="905" t="s">
        <v>356</v>
      </c>
      <c r="B2486" s="642" t="s">
        <v>224</v>
      </c>
      <c r="C2486" s="546"/>
      <c r="D2486" s="902"/>
      <c r="E2486" s="906"/>
      <c r="F2486" s="907"/>
      <c r="G2486" s="905" t="s">
        <v>356</v>
      </c>
      <c r="H2486" s="642" t="s">
        <v>225</v>
      </c>
      <c r="I2486" s="546"/>
      <c r="J2486" s="902"/>
      <c r="L2486" s="938"/>
      <c r="M2486" s="938"/>
      <c r="N2486" s="938"/>
      <c r="O2486" s="938"/>
    </row>
    <row r="2487" spans="1:15" ht="15" customHeight="1">
      <c r="A2487" s="905" t="s">
        <v>359</v>
      </c>
      <c r="B2487" s="939" t="s">
        <v>360</v>
      </c>
      <c r="C2487" s="910" t="e">
        <f>VLOOKUP(B2486,'LƯƠNG KT'!$D$16:$AC$184,3,0)</f>
        <v>#N/A</v>
      </c>
      <c r="D2487" s="609" t="e">
        <f>+C2487*25000</f>
        <v>#N/A</v>
      </c>
      <c r="E2487" s="911"/>
      <c r="F2487" s="911"/>
      <c r="G2487" s="905" t="s">
        <v>359</v>
      </c>
      <c r="H2487" s="939" t="s">
        <v>360</v>
      </c>
      <c r="I2487" s="910" t="e">
        <f>VLOOKUP(H2486,'LƯƠNG KT'!$D$16:$AC$184,3,0)</f>
        <v>#N/A</v>
      </c>
      <c r="J2487" s="609" t="e">
        <f>+I2487*25000</f>
        <v>#N/A</v>
      </c>
      <c r="K2487" s="935"/>
      <c r="L2487" s="935"/>
      <c r="M2487" s="935"/>
      <c r="N2487" s="935"/>
      <c r="O2487" s="935"/>
    </row>
    <row r="2488" spans="1:15" ht="15" customHeight="1">
      <c r="A2488" s="905" t="s">
        <v>361</v>
      </c>
      <c r="B2488" s="546" t="s">
        <v>362</v>
      </c>
      <c r="C2488" s="910" t="e">
        <f>VLOOKUP(B2486,'LƯƠNG KT'!$D$16:$AC$184,14,0)</f>
        <v>#N/A</v>
      </c>
      <c r="D2488" s="609" t="e">
        <f>C2488*$L$4</f>
        <v>#N/A</v>
      </c>
      <c r="E2488" s="912"/>
      <c r="F2488" s="912"/>
      <c r="G2488" s="905" t="s">
        <v>361</v>
      </c>
      <c r="H2488" s="546" t="s">
        <v>362</v>
      </c>
      <c r="I2488" s="910" t="e">
        <f>VLOOKUP(H2486,'LƯƠNG KT'!$D$16:$AC$184,14,0)</f>
        <v>#N/A</v>
      </c>
      <c r="J2488" s="609" t="e">
        <f>I2488*$L$4</f>
        <v>#N/A</v>
      </c>
      <c r="K2488" s="935"/>
      <c r="L2488" s="935"/>
      <c r="M2488" s="935"/>
      <c r="N2488" s="935"/>
      <c r="O2488" s="935"/>
    </row>
    <row r="2489" spans="1:15" ht="15" customHeight="1">
      <c r="A2489" s="905" t="s">
        <v>364</v>
      </c>
      <c r="B2489" s="546" t="s">
        <v>365</v>
      </c>
      <c r="C2489" s="910" t="e">
        <f>VLOOKUP(B2486,'LƯƠNG KT'!$D$16:$AC$184,15,0)</f>
        <v>#N/A</v>
      </c>
      <c r="D2489" s="609" t="e">
        <f>C2489*$L$5</f>
        <v>#N/A</v>
      </c>
      <c r="E2489" s="912"/>
      <c r="F2489" s="912"/>
      <c r="G2489" s="905" t="s">
        <v>364</v>
      </c>
      <c r="H2489" s="546" t="s">
        <v>365</v>
      </c>
      <c r="I2489" s="910" t="e">
        <f>VLOOKUP(H2486,'LƯƠNG KT'!$D$16:$AC$184,15,0)</f>
        <v>#N/A</v>
      </c>
      <c r="J2489" s="609" t="e">
        <f>I2489*$L$5</f>
        <v>#N/A</v>
      </c>
      <c r="K2489" s="935"/>
      <c r="L2489" s="935"/>
      <c r="M2489" s="935"/>
      <c r="N2489" s="935"/>
      <c r="O2489" s="935"/>
    </row>
    <row r="2490" spans="1:15" ht="15" customHeight="1">
      <c r="A2490" s="905" t="s">
        <v>367</v>
      </c>
      <c r="B2490" s="546"/>
      <c r="C2490" s="910" t="e">
        <f>VLOOKUP(B2486,'LƯƠNG KT'!$D$16:$AC$184,16,0)</f>
        <v>#N/A</v>
      </c>
      <c r="D2490" s="609" t="e">
        <f>+C2490*$L$6</f>
        <v>#N/A</v>
      </c>
      <c r="E2490" s="912"/>
      <c r="F2490" s="912"/>
      <c r="G2490" s="905" t="s">
        <v>367</v>
      </c>
      <c r="H2490" s="546"/>
      <c r="I2490" s="910" t="e">
        <f>VLOOKUP(H2486,'LƯƠNG KT'!$D$16:$AC$184,16,0)</f>
        <v>#N/A</v>
      </c>
      <c r="J2490" s="609" t="e">
        <f>+I2490*$L$6</f>
        <v>#N/A</v>
      </c>
      <c r="K2490" s="935"/>
      <c r="L2490" s="935"/>
      <c r="M2490" s="935"/>
      <c r="N2490" s="935"/>
      <c r="O2490" s="935"/>
    </row>
    <row r="2491" spans="1:15" ht="15" customHeight="1">
      <c r="A2491" s="905" t="s">
        <v>371</v>
      </c>
      <c r="B2491" s="546" t="s">
        <v>372</v>
      </c>
      <c r="C2491" s="910" t="e">
        <f>VLOOKUP(B2486,'LƯƠNG KT'!$D$16:$AC$184,9,0)*$L$10</f>
        <v>#N/A</v>
      </c>
      <c r="D2491" s="609" t="e">
        <f>+C2491*0.5*3000</f>
        <v>#N/A</v>
      </c>
      <c r="E2491" s="912"/>
      <c r="F2491" s="912"/>
      <c r="G2491" s="905" t="s">
        <v>371</v>
      </c>
      <c r="H2491" s="546" t="s">
        <v>372</v>
      </c>
      <c r="I2491" s="910" t="e">
        <f>VLOOKUP(H2486,'LƯƠNG KT'!$D$16:$AC$184,9,0)*$L$10</f>
        <v>#N/A</v>
      </c>
      <c r="J2491" s="609" t="e">
        <f>+I2491*0.5*3000</f>
        <v>#N/A</v>
      </c>
      <c r="K2491" s="935"/>
      <c r="L2491" s="935"/>
      <c r="M2491" s="935"/>
      <c r="N2491" s="935"/>
      <c r="O2491" s="935"/>
    </row>
    <row r="2492" spans="1:15" ht="15" customHeight="1">
      <c r="A2492" s="905" t="s">
        <v>374</v>
      </c>
      <c r="B2492" s="546" t="s">
        <v>375</v>
      </c>
      <c r="C2492" s="910" t="e">
        <f>VLOOKUP(B2486,'LƯƠNG KT'!$D$16:$AC$184,8,0)*$L$11</f>
        <v>#N/A</v>
      </c>
      <c r="D2492" s="609" t="e">
        <f>VLOOKUP(B2486,'LƯƠNG KT'!$D$16:$AC$184,13,0)-D2491</f>
        <v>#N/A</v>
      </c>
      <c r="E2492" s="914"/>
      <c r="F2492" s="912"/>
      <c r="G2492" s="905" t="s">
        <v>374</v>
      </c>
      <c r="H2492" s="546" t="s">
        <v>375</v>
      </c>
      <c r="I2492" s="910" t="e">
        <f>VLOOKUP(H2486,'LƯƠNG KT'!$D$16:$AC$184,8,0)*$L$11</f>
        <v>#N/A</v>
      </c>
      <c r="J2492" s="609" t="e">
        <f>VLOOKUP(H2486,'LƯƠNG KT'!$D$16:$AC$184,13,0)-J2491</f>
        <v>#N/A</v>
      </c>
      <c r="K2492" s="935"/>
      <c r="L2492" s="935"/>
      <c r="M2492" s="935"/>
      <c r="N2492" s="935"/>
      <c r="O2492" s="935"/>
    </row>
    <row r="2493" spans="1:15" ht="15" customHeight="1">
      <c r="A2493" s="609" t="s">
        <v>377</v>
      </c>
      <c r="B2493" s="546" t="s">
        <v>378</v>
      </c>
      <c r="C2493" s="910"/>
      <c r="D2493" s="609"/>
      <c r="E2493" s="916"/>
      <c r="F2493" s="916"/>
      <c r="G2493" s="609" t="s">
        <v>377</v>
      </c>
      <c r="H2493" s="546" t="s">
        <v>378</v>
      </c>
      <c r="I2493" s="910"/>
      <c r="J2493" s="609"/>
    </row>
    <row r="2494" spans="1:15" ht="15" customHeight="1">
      <c r="A2494" s="547" t="s">
        <v>379</v>
      </c>
      <c r="B2494" s="546" t="s">
        <v>380</v>
      </c>
      <c r="C2494" s="910"/>
      <c r="D2494" s="609"/>
      <c r="E2494" s="914"/>
      <c r="F2494" s="916"/>
      <c r="G2494" s="547" t="s">
        <v>379</v>
      </c>
      <c r="H2494" s="546" t="s">
        <v>380</v>
      </c>
      <c r="I2494" s="910"/>
      <c r="J2494" s="609"/>
    </row>
    <row r="2495" spans="1:15" ht="15" customHeight="1">
      <c r="A2495" s="905" t="s">
        <v>381</v>
      </c>
      <c r="B2495" s="546" t="s">
        <v>382</v>
      </c>
      <c r="C2495" s="910"/>
      <c r="D2495" s="609">
        <f>D2494</f>
        <v>0</v>
      </c>
      <c r="E2495" s="917"/>
      <c r="F2495" s="904"/>
      <c r="G2495" s="905" t="s">
        <v>381</v>
      </c>
      <c r="H2495" s="546" t="s">
        <v>382</v>
      </c>
      <c r="I2495" s="910"/>
      <c r="J2495" s="609">
        <f>J2494</f>
        <v>0</v>
      </c>
    </row>
    <row r="2496" spans="1:15" ht="15" customHeight="1">
      <c r="A2496" s="918" t="s">
        <v>383</v>
      </c>
      <c r="B2496" s="919" t="s">
        <v>384</v>
      </c>
      <c r="C2496" s="920"/>
      <c r="D2496" s="921" t="e">
        <f>SUM(D2487:D2492)-D2495</f>
        <v>#N/A</v>
      </c>
      <c r="E2496" s="922"/>
      <c r="F2496" s="923"/>
      <c r="G2496" s="918" t="s">
        <v>383</v>
      </c>
      <c r="H2496" s="919" t="s">
        <v>384</v>
      </c>
      <c r="I2496" s="920"/>
      <c r="J2496" s="921" t="e">
        <f>SUM(J2487:J2492)-J2495</f>
        <v>#N/A</v>
      </c>
    </row>
    <row r="2497" spans="1:15" ht="18.75" customHeight="1">
      <c r="A2497" s="924"/>
      <c r="B2497" s="925"/>
      <c r="C2497" s="926"/>
      <c r="D2497" s="927"/>
      <c r="E2497" s="927"/>
      <c r="F2497" s="928"/>
      <c r="G2497" s="924"/>
      <c r="H2497" s="925"/>
      <c r="I2497" s="926"/>
      <c r="J2497" s="927"/>
    </row>
    <row r="2498" spans="1:15" ht="18.75" customHeight="1">
      <c r="A2498" s="925"/>
      <c r="B2498" s="925"/>
      <c r="C2498" s="929"/>
      <c r="D2498" s="930"/>
      <c r="E2498" s="925"/>
      <c r="F2498" s="931"/>
      <c r="G2498" s="925"/>
      <c r="H2498" s="925"/>
      <c r="I2498" s="929"/>
      <c r="J2498" s="930"/>
    </row>
    <row r="2499" spans="1:15" ht="15" customHeight="1">
      <c r="A2499" s="2360" t="str">
        <f>$K$2</f>
        <v>THÁNG 09/2024</v>
      </c>
      <c r="B2499" s="2360"/>
      <c r="C2499" s="2360"/>
      <c r="D2499" s="2360"/>
      <c r="E2499" s="903"/>
      <c r="F2499" s="904"/>
      <c r="G2499" s="2360" t="str">
        <f>$K$2</f>
        <v>THÁNG 09/2024</v>
      </c>
      <c r="H2499" s="2360"/>
      <c r="I2499" s="2360"/>
      <c r="J2499" s="2360"/>
      <c r="K2499" s="276"/>
    </row>
    <row r="2500" spans="1:15" ht="15" customHeight="1">
      <c r="A2500" s="905" t="s">
        <v>356</v>
      </c>
      <c r="B2500" s="642" t="s">
        <v>226</v>
      </c>
      <c r="C2500" s="546"/>
      <c r="D2500" s="902"/>
      <c r="E2500" s="906"/>
      <c r="F2500" s="907"/>
      <c r="G2500" s="905" t="s">
        <v>356</v>
      </c>
      <c r="H2500" s="642" t="s">
        <v>227</v>
      </c>
      <c r="I2500" s="546"/>
      <c r="J2500" s="902"/>
      <c r="L2500" s="938"/>
      <c r="M2500" s="938"/>
      <c r="N2500" s="938"/>
      <c r="O2500" s="938"/>
    </row>
    <row r="2501" spans="1:15" ht="15" customHeight="1">
      <c r="A2501" s="905" t="s">
        <v>359</v>
      </c>
      <c r="B2501" s="939" t="s">
        <v>360</v>
      </c>
      <c r="C2501" s="910" t="e">
        <f>VLOOKUP(B2500,'LƯƠNG KT'!$D$16:$AC$184,3,0)</f>
        <v>#N/A</v>
      </c>
      <c r="D2501" s="609" t="e">
        <f>+C2501*25000</f>
        <v>#N/A</v>
      </c>
      <c r="E2501" s="911"/>
      <c r="F2501" s="911"/>
      <c r="G2501" s="905" t="s">
        <v>359</v>
      </c>
      <c r="H2501" s="939" t="s">
        <v>360</v>
      </c>
      <c r="I2501" s="910" t="e">
        <f>VLOOKUP(H2500,'LƯƠNG KT'!$D$16:$AC$184,3,0)</f>
        <v>#N/A</v>
      </c>
      <c r="J2501" s="609" t="e">
        <f>+I2501*25000</f>
        <v>#N/A</v>
      </c>
      <c r="K2501" s="935"/>
      <c r="L2501" s="935"/>
      <c r="M2501" s="935"/>
      <c r="N2501" s="935"/>
      <c r="O2501" s="935"/>
    </row>
    <row r="2502" spans="1:15" ht="15" customHeight="1">
      <c r="A2502" s="905" t="s">
        <v>361</v>
      </c>
      <c r="B2502" s="546" t="s">
        <v>362</v>
      </c>
      <c r="C2502" s="910" t="e">
        <f>VLOOKUP(B2500,'LƯƠNG KT'!$D$16:$AC$184,14,0)</f>
        <v>#N/A</v>
      </c>
      <c r="D2502" s="609" t="e">
        <f>C2502*$L$4</f>
        <v>#N/A</v>
      </c>
      <c r="E2502" s="912"/>
      <c r="F2502" s="912"/>
      <c r="G2502" s="905" t="s">
        <v>361</v>
      </c>
      <c r="H2502" s="546" t="s">
        <v>362</v>
      </c>
      <c r="I2502" s="910" t="e">
        <f>VLOOKUP(H2500,'LƯƠNG KT'!$D$16:$AC$184,14,0)</f>
        <v>#N/A</v>
      </c>
      <c r="J2502" s="609" t="e">
        <f>I2502*$L$4</f>
        <v>#N/A</v>
      </c>
      <c r="K2502" s="935"/>
      <c r="L2502" s="935"/>
      <c r="M2502" s="935"/>
      <c r="N2502" s="935"/>
      <c r="O2502" s="935"/>
    </row>
    <row r="2503" spans="1:15" ht="15" customHeight="1">
      <c r="A2503" s="905" t="s">
        <v>364</v>
      </c>
      <c r="B2503" s="546" t="s">
        <v>365</v>
      </c>
      <c r="C2503" s="910" t="e">
        <f>VLOOKUP(B2500,'LƯƠNG KT'!$D$16:$AC$184,15,0)</f>
        <v>#N/A</v>
      </c>
      <c r="D2503" s="609" t="e">
        <f>C2503*$L$5</f>
        <v>#N/A</v>
      </c>
      <c r="E2503" s="912"/>
      <c r="F2503" s="912"/>
      <c r="G2503" s="905" t="s">
        <v>364</v>
      </c>
      <c r="H2503" s="546" t="s">
        <v>365</v>
      </c>
      <c r="I2503" s="910" t="e">
        <f>VLOOKUP(H2500,'LƯƠNG KT'!$D$16:$AC$184,15,0)</f>
        <v>#N/A</v>
      </c>
      <c r="J2503" s="609" t="e">
        <f>I2503*$L$5</f>
        <v>#N/A</v>
      </c>
      <c r="K2503" s="935"/>
      <c r="L2503" s="935"/>
      <c r="M2503" s="935"/>
      <c r="N2503" s="935"/>
      <c r="O2503" s="935"/>
    </row>
    <row r="2504" spans="1:15" ht="15" customHeight="1">
      <c r="A2504" s="905" t="s">
        <v>367</v>
      </c>
      <c r="B2504" s="546"/>
      <c r="C2504" s="910" t="e">
        <f>VLOOKUP(B2500,'LƯƠNG KT'!$D$16:$AC$184,16,0)</f>
        <v>#N/A</v>
      </c>
      <c r="D2504" s="609" t="e">
        <f>+C2504*$L$6</f>
        <v>#N/A</v>
      </c>
      <c r="E2504" s="912"/>
      <c r="F2504" s="912"/>
      <c r="G2504" s="905" t="s">
        <v>367</v>
      </c>
      <c r="H2504" s="546"/>
      <c r="I2504" s="910" t="e">
        <f>VLOOKUP(H2500,'LƯƠNG KT'!$D$16:$AC$184,16,0)</f>
        <v>#N/A</v>
      </c>
      <c r="J2504" s="609" t="e">
        <f>+I2504*$L$6</f>
        <v>#N/A</v>
      </c>
      <c r="K2504" s="935"/>
      <c r="L2504" s="935"/>
      <c r="M2504" s="935"/>
      <c r="N2504" s="935"/>
      <c r="O2504" s="935"/>
    </row>
    <row r="2505" spans="1:15" ht="15" customHeight="1">
      <c r="A2505" s="905" t="s">
        <v>371</v>
      </c>
      <c r="B2505" s="546" t="s">
        <v>372</v>
      </c>
      <c r="C2505" s="910" t="e">
        <f>VLOOKUP(B2500,'LƯƠNG KT'!$D$16:$AC$184,9,0)*$L$10</f>
        <v>#N/A</v>
      </c>
      <c r="D2505" s="609" t="e">
        <f>+C2505*0.5*3000</f>
        <v>#N/A</v>
      </c>
      <c r="E2505" s="912"/>
      <c r="F2505" s="912"/>
      <c r="G2505" s="905" t="s">
        <v>371</v>
      </c>
      <c r="H2505" s="546" t="s">
        <v>372</v>
      </c>
      <c r="I2505" s="910" t="e">
        <f>VLOOKUP(H2500,'LƯƠNG KT'!$D$16:$AC$184,9,0)*$L$10</f>
        <v>#N/A</v>
      </c>
      <c r="J2505" s="609" t="e">
        <f>+I2505*0.5*3000</f>
        <v>#N/A</v>
      </c>
      <c r="K2505" s="935"/>
      <c r="L2505" s="935"/>
      <c r="M2505" s="935"/>
      <c r="N2505" s="935"/>
      <c r="O2505" s="935"/>
    </row>
    <row r="2506" spans="1:15" ht="15" customHeight="1">
      <c r="A2506" s="905" t="s">
        <v>374</v>
      </c>
      <c r="B2506" s="546" t="s">
        <v>375</v>
      </c>
      <c r="C2506" s="910" t="e">
        <f>VLOOKUP(B2500,'LƯƠNG KT'!$D$16:$AC$184,8,0)*$L$11</f>
        <v>#N/A</v>
      </c>
      <c r="D2506" s="609" t="e">
        <f>VLOOKUP(B2500,'LƯƠNG KT'!$D$16:$AC$184,13,0)-D2505</f>
        <v>#N/A</v>
      </c>
      <c r="E2506" s="914"/>
      <c r="F2506" s="912"/>
      <c r="G2506" s="905" t="s">
        <v>374</v>
      </c>
      <c r="H2506" s="546" t="s">
        <v>375</v>
      </c>
      <c r="I2506" s="910" t="e">
        <f>VLOOKUP(H2500,'LƯƠNG KT'!$D$16:$AC$184,8,0)*$L$11</f>
        <v>#N/A</v>
      </c>
      <c r="J2506" s="609" t="e">
        <f>VLOOKUP(H2500,'LƯƠNG KT'!$D$16:$AC$184,13,0)-J2505</f>
        <v>#N/A</v>
      </c>
      <c r="K2506" s="935"/>
      <c r="L2506" s="935"/>
      <c r="M2506" s="935"/>
      <c r="N2506" s="935"/>
      <c r="O2506" s="935"/>
    </row>
    <row r="2507" spans="1:15" ht="15" customHeight="1">
      <c r="A2507" s="609" t="s">
        <v>377</v>
      </c>
      <c r="B2507" s="546" t="s">
        <v>378</v>
      </c>
      <c r="C2507" s="910"/>
      <c r="D2507" s="609"/>
      <c r="E2507" s="916"/>
      <c r="F2507" s="916"/>
      <c r="G2507" s="609" t="s">
        <v>377</v>
      </c>
      <c r="H2507" s="546" t="s">
        <v>378</v>
      </c>
      <c r="I2507" s="910"/>
      <c r="J2507" s="609"/>
    </row>
    <row r="2508" spans="1:15" ht="15" customHeight="1">
      <c r="A2508" s="547" t="s">
        <v>379</v>
      </c>
      <c r="B2508" s="546" t="s">
        <v>380</v>
      </c>
      <c r="C2508" s="910"/>
      <c r="D2508" s="609"/>
      <c r="E2508" s="914"/>
      <c r="F2508" s="916"/>
      <c r="G2508" s="547" t="s">
        <v>379</v>
      </c>
      <c r="H2508" s="546" t="s">
        <v>380</v>
      </c>
      <c r="I2508" s="910"/>
      <c r="J2508" s="609"/>
    </row>
    <row r="2509" spans="1:15" ht="15" customHeight="1">
      <c r="A2509" s="905" t="s">
        <v>381</v>
      </c>
      <c r="B2509" s="546" t="s">
        <v>382</v>
      </c>
      <c r="C2509" s="910"/>
      <c r="D2509" s="609">
        <f>D2508</f>
        <v>0</v>
      </c>
      <c r="E2509" s="917"/>
      <c r="F2509" s="904"/>
      <c r="G2509" s="905" t="s">
        <v>381</v>
      </c>
      <c r="H2509" s="546" t="s">
        <v>382</v>
      </c>
      <c r="I2509" s="910"/>
      <c r="J2509" s="609">
        <f>J2508</f>
        <v>0</v>
      </c>
    </row>
    <row r="2510" spans="1:15" ht="15" customHeight="1">
      <c r="A2510" s="918" t="s">
        <v>383</v>
      </c>
      <c r="B2510" s="919" t="s">
        <v>384</v>
      </c>
      <c r="C2510" s="920"/>
      <c r="D2510" s="921" t="e">
        <f>SUM(D2501:D2506)-D2509</f>
        <v>#N/A</v>
      </c>
      <c r="E2510" s="922"/>
      <c r="F2510" s="923"/>
      <c r="G2510" s="918" t="s">
        <v>383</v>
      </c>
      <c r="H2510" s="919" t="s">
        <v>384</v>
      </c>
      <c r="I2510" s="920"/>
      <c r="J2510" s="921" t="e">
        <f>SUM(J2501:J2506)-J2509</f>
        <v>#N/A</v>
      </c>
    </row>
    <row r="2511" spans="1:15" ht="18.75" customHeight="1">
      <c r="A2511" s="924"/>
      <c r="B2511" s="925"/>
      <c r="C2511" s="926"/>
      <c r="D2511" s="927"/>
      <c r="E2511" s="927"/>
      <c r="F2511" s="928"/>
      <c r="G2511" s="924"/>
      <c r="H2511" s="925"/>
      <c r="I2511" s="926"/>
      <c r="J2511" s="927"/>
    </row>
    <row r="2512" spans="1:15" ht="18.75" customHeight="1">
      <c r="A2512" s="925"/>
      <c r="B2512" s="925"/>
      <c r="C2512" s="929"/>
      <c r="D2512" s="930"/>
      <c r="E2512" s="925"/>
      <c r="F2512" s="931"/>
      <c r="G2512" s="925"/>
      <c r="H2512" s="925"/>
      <c r="I2512" s="929"/>
      <c r="J2512" s="930"/>
    </row>
    <row r="2513" spans="1:15" ht="15" customHeight="1">
      <c r="A2513" s="2360" t="str">
        <f>$K$2</f>
        <v>THÁNG 09/2024</v>
      </c>
      <c r="B2513" s="2360"/>
      <c r="C2513" s="2360"/>
      <c r="D2513" s="2360"/>
      <c r="E2513" s="903"/>
      <c r="F2513" s="904"/>
      <c r="G2513" s="2360" t="str">
        <f>$K$2</f>
        <v>THÁNG 09/2024</v>
      </c>
      <c r="H2513" s="2360"/>
      <c r="I2513" s="2360"/>
      <c r="J2513" s="2360"/>
      <c r="K2513" s="276"/>
    </row>
    <row r="2514" spans="1:15" ht="15" customHeight="1">
      <c r="A2514" s="905" t="s">
        <v>356</v>
      </c>
      <c r="B2514" s="642" t="s">
        <v>228</v>
      </c>
      <c r="C2514" s="546"/>
      <c r="D2514" s="902"/>
      <c r="E2514" s="906"/>
      <c r="F2514" s="907"/>
      <c r="G2514" s="905" t="s">
        <v>356</v>
      </c>
      <c r="H2514" s="642" t="s">
        <v>229</v>
      </c>
      <c r="I2514" s="546"/>
      <c r="J2514" s="902"/>
      <c r="L2514" s="938"/>
      <c r="M2514" s="938"/>
      <c r="N2514" s="938"/>
      <c r="O2514" s="938"/>
    </row>
    <row r="2515" spans="1:15" ht="15" customHeight="1">
      <c r="A2515" s="905" t="s">
        <v>359</v>
      </c>
      <c r="B2515" s="939" t="s">
        <v>360</v>
      </c>
      <c r="C2515" s="910" t="e">
        <f>VLOOKUP(B2514,'LƯƠNG KT'!$D$16:$AC$184,3,0)</f>
        <v>#N/A</v>
      </c>
      <c r="D2515" s="609" t="e">
        <f>+C2515*25000</f>
        <v>#N/A</v>
      </c>
      <c r="E2515" s="911"/>
      <c r="F2515" s="911"/>
      <c r="G2515" s="905" t="s">
        <v>359</v>
      </c>
      <c r="H2515" s="939" t="s">
        <v>360</v>
      </c>
      <c r="I2515" s="910" t="e">
        <f>VLOOKUP(H2514,'LƯƠNG KT'!$D$16:$AC$184,3,0)</f>
        <v>#N/A</v>
      </c>
      <c r="J2515" s="609" t="e">
        <f>+I2515*25000</f>
        <v>#N/A</v>
      </c>
      <c r="K2515" s="935"/>
      <c r="L2515" s="935"/>
      <c r="M2515" s="935"/>
      <c r="N2515" s="935"/>
      <c r="O2515" s="935"/>
    </row>
    <row r="2516" spans="1:15" ht="15" customHeight="1">
      <c r="A2516" s="905" t="s">
        <v>361</v>
      </c>
      <c r="B2516" s="546" t="s">
        <v>362</v>
      </c>
      <c r="C2516" s="910" t="e">
        <f>VLOOKUP(B2514,'LƯƠNG KT'!$D$16:$AC$184,14,0)</f>
        <v>#N/A</v>
      </c>
      <c r="D2516" s="609" t="e">
        <f>C2516*$L$4</f>
        <v>#N/A</v>
      </c>
      <c r="E2516" s="912"/>
      <c r="F2516" s="912"/>
      <c r="G2516" s="905" t="s">
        <v>361</v>
      </c>
      <c r="H2516" s="546" t="s">
        <v>362</v>
      </c>
      <c r="I2516" s="910" t="e">
        <f>VLOOKUP(H2514,'LƯƠNG KT'!$D$16:$AC$184,14,0)</f>
        <v>#N/A</v>
      </c>
      <c r="J2516" s="609" t="e">
        <f>I2516*$L$4</f>
        <v>#N/A</v>
      </c>
      <c r="K2516" s="935"/>
      <c r="L2516" s="935"/>
      <c r="M2516" s="935"/>
      <c r="N2516" s="935"/>
      <c r="O2516" s="935"/>
    </row>
    <row r="2517" spans="1:15" ht="15" customHeight="1">
      <c r="A2517" s="905" t="s">
        <v>364</v>
      </c>
      <c r="B2517" s="546" t="s">
        <v>365</v>
      </c>
      <c r="C2517" s="910" t="e">
        <f>VLOOKUP(B2514,'LƯƠNG KT'!$D$16:$AC$184,15,0)</f>
        <v>#N/A</v>
      </c>
      <c r="D2517" s="609" t="e">
        <f>C2517*$L$5</f>
        <v>#N/A</v>
      </c>
      <c r="E2517" s="912"/>
      <c r="F2517" s="912"/>
      <c r="G2517" s="905" t="s">
        <v>364</v>
      </c>
      <c r="H2517" s="546" t="s">
        <v>365</v>
      </c>
      <c r="I2517" s="910" t="e">
        <f>VLOOKUP(H2514,'LƯƠNG KT'!$D$16:$AC$184,15,0)</f>
        <v>#N/A</v>
      </c>
      <c r="J2517" s="609" t="e">
        <f>I2517*$L$5</f>
        <v>#N/A</v>
      </c>
      <c r="K2517" s="935"/>
      <c r="L2517" s="935"/>
      <c r="M2517" s="935"/>
      <c r="N2517" s="935"/>
      <c r="O2517" s="935"/>
    </row>
    <row r="2518" spans="1:15" ht="15" customHeight="1">
      <c r="A2518" s="905" t="s">
        <v>367</v>
      </c>
      <c r="B2518" s="546"/>
      <c r="C2518" s="910" t="e">
        <f>VLOOKUP(B2514,'LƯƠNG KT'!$D$16:$AC$184,16,0)</f>
        <v>#N/A</v>
      </c>
      <c r="D2518" s="609" t="e">
        <f>+C2518*$L$6</f>
        <v>#N/A</v>
      </c>
      <c r="E2518" s="912"/>
      <c r="F2518" s="912"/>
      <c r="G2518" s="905" t="s">
        <v>367</v>
      </c>
      <c r="H2518" s="546"/>
      <c r="I2518" s="910" t="e">
        <f>VLOOKUP(H2514,'LƯƠNG KT'!$D$16:$AC$184,16,0)</f>
        <v>#N/A</v>
      </c>
      <c r="J2518" s="609" t="e">
        <f>+I2518*$L$6</f>
        <v>#N/A</v>
      </c>
      <c r="K2518" s="935"/>
      <c r="L2518" s="935"/>
      <c r="M2518" s="935"/>
      <c r="N2518" s="935"/>
      <c r="O2518" s="935"/>
    </row>
    <row r="2519" spans="1:15" ht="15" customHeight="1">
      <c r="A2519" s="905" t="s">
        <v>371</v>
      </c>
      <c r="B2519" s="546" t="s">
        <v>372</v>
      </c>
      <c r="C2519" s="910" t="e">
        <f>VLOOKUP(B2514,'LƯƠNG KT'!$D$16:$AC$184,9,0)*$L$10</f>
        <v>#N/A</v>
      </c>
      <c r="D2519" s="609" t="e">
        <f>+C2519*0.5*3000</f>
        <v>#N/A</v>
      </c>
      <c r="E2519" s="912"/>
      <c r="F2519" s="912"/>
      <c r="G2519" s="905" t="s">
        <v>371</v>
      </c>
      <c r="H2519" s="546" t="s">
        <v>372</v>
      </c>
      <c r="I2519" s="910" t="e">
        <f>VLOOKUP(H2514,'LƯƠNG KT'!$D$16:$AC$184,9,0)*$L$10</f>
        <v>#N/A</v>
      </c>
      <c r="J2519" s="609" t="e">
        <f>+I2519*0.5*3000</f>
        <v>#N/A</v>
      </c>
      <c r="K2519" s="935"/>
      <c r="L2519" s="935"/>
      <c r="M2519" s="935"/>
      <c r="N2519" s="935"/>
      <c r="O2519" s="935"/>
    </row>
    <row r="2520" spans="1:15" ht="15" customHeight="1">
      <c r="A2520" s="905" t="s">
        <v>374</v>
      </c>
      <c r="B2520" s="546" t="s">
        <v>375</v>
      </c>
      <c r="C2520" s="910" t="e">
        <f>VLOOKUP(B2514,'LƯƠNG KT'!$D$16:$AC$184,8,0)*$L$11</f>
        <v>#N/A</v>
      </c>
      <c r="D2520" s="609" t="e">
        <f>VLOOKUP(B2514,'LƯƠNG KT'!$D$16:$AC$184,13,0)-D2519</f>
        <v>#N/A</v>
      </c>
      <c r="E2520" s="914"/>
      <c r="F2520" s="912"/>
      <c r="G2520" s="905" t="s">
        <v>374</v>
      </c>
      <c r="H2520" s="546" t="s">
        <v>375</v>
      </c>
      <c r="I2520" s="910" t="e">
        <f>VLOOKUP(H2514,'LƯƠNG KT'!$D$16:$AC$184,8,0)*$L$11</f>
        <v>#N/A</v>
      </c>
      <c r="J2520" s="609" t="e">
        <f>VLOOKUP(H2514,'LƯƠNG KT'!$D$16:$AC$184,13,0)-J2519</f>
        <v>#N/A</v>
      </c>
      <c r="K2520" s="935"/>
      <c r="L2520" s="935"/>
      <c r="M2520" s="935"/>
      <c r="N2520" s="935"/>
      <c r="O2520" s="935"/>
    </row>
    <row r="2521" spans="1:15" ht="15" customHeight="1">
      <c r="A2521" s="609" t="s">
        <v>377</v>
      </c>
      <c r="B2521" s="546" t="s">
        <v>378</v>
      </c>
      <c r="C2521" s="910"/>
      <c r="D2521" s="609"/>
      <c r="E2521" s="916"/>
      <c r="F2521" s="916"/>
      <c r="G2521" s="609" t="s">
        <v>377</v>
      </c>
      <c r="H2521" s="546" t="s">
        <v>378</v>
      </c>
      <c r="I2521" s="910"/>
      <c r="J2521" s="609"/>
    </row>
    <row r="2522" spans="1:15" ht="15" customHeight="1">
      <c r="A2522" s="547" t="s">
        <v>379</v>
      </c>
      <c r="B2522" s="546" t="s">
        <v>380</v>
      </c>
      <c r="C2522" s="910"/>
      <c r="D2522" s="609"/>
      <c r="E2522" s="914"/>
      <c r="F2522" s="916"/>
      <c r="G2522" s="547" t="s">
        <v>379</v>
      </c>
      <c r="H2522" s="546" t="s">
        <v>380</v>
      </c>
      <c r="I2522" s="910"/>
      <c r="J2522" s="609"/>
    </row>
    <row r="2523" spans="1:15" ht="15" customHeight="1">
      <c r="A2523" s="905" t="s">
        <v>381</v>
      </c>
      <c r="B2523" s="546" t="s">
        <v>382</v>
      </c>
      <c r="C2523" s="910"/>
      <c r="D2523" s="609">
        <f>D2522</f>
        <v>0</v>
      </c>
      <c r="E2523" s="917"/>
      <c r="F2523" s="904"/>
      <c r="G2523" s="905" t="s">
        <v>381</v>
      </c>
      <c r="H2523" s="546" t="s">
        <v>382</v>
      </c>
      <c r="I2523" s="910"/>
      <c r="J2523" s="609">
        <f>J2522</f>
        <v>0</v>
      </c>
    </row>
    <row r="2524" spans="1:15" ht="15" customHeight="1">
      <c r="A2524" s="918" t="s">
        <v>383</v>
      </c>
      <c r="B2524" s="919" t="s">
        <v>384</v>
      </c>
      <c r="C2524" s="920"/>
      <c r="D2524" s="921" t="e">
        <f>SUM(D2515:D2520)-D2523</f>
        <v>#N/A</v>
      </c>
      <c r="E2524" s="922"/>
      <c r="F2524" s="923"/>
      <c r="G2524" s="918" t="s">
        <v>383</v>
      </c>
      <c r="H2524" s="919" t="s">
        <v>384</v>
      </c>
      <c r="I2524" s="920"/>
      <c r="J2524" s="921" t="e">
        <f>SUM(J2515:J2520)-J2523</f>
        <v>#N/A</v>
      </c>
    </row>
    <row r="2525" spans="1:15" ht="15.75" customHeight="1">
      <c r="A2525" s="924"/>
      <c r="B2525" s="925"/>
      <c r="C2525" s="926"/>
      <c r="D2525" s="927"/>
      <c r="E2525" s="927"/>
      <c r="F2525" s="928"/>
      <c r="G2525" s="924"/>
      <c r="H2525" s="925"/>
      <c r="I2525" s="926"/>
      <c r="J2525" s="927"/>
    </row>
    <row r="2527" spans="1:15" ht="12" customHeight="1">
      <c r="A2527" s="2361"/>
      <c r="B2527" s="2361"/>
      <c r="C2527" s="2361"/>
      <c r="D2527" s="2361"/>
      <c r="E2527" s="2361"/>
      <c r="F2527" s="2361"/>
      <c r="G2527" s="2361"/>
      <c r="H2527" s="2361"/>
      <c r="I2527" s="2361"/>
      <c r="J2527" s="2361"/>
    </row>
    <row r="2528" spans="1:15" ht="15" customHeight="1">
      <c r="A2528" s="2360" t="str">
        <f>$K$2</f>
        <v>THÁNG 09/2024</v>
      </c>
      <c r="B2528" s="2360"/>
      <c r="C2528" s="2360"/>
      <c r="D2528" s="2360"/>
      <c r="E2528" s="903"/>
      <c r="F2528" s="904"/>
      <c r="G2528" s="2360" t="str">
        <f>$K$2</f>
        <v>THÁNG 09/2024</v>
      </c>
      <c r="H2528" s="2360"/>
      <c r="I2528" s="2360"/>
      <c r="J2528" s="2360"/>
      <c r="K2528" s="276"/>
    </row>
    <row r="2529" spans="1:15" ht="15" customHeight="1">
      <c r="A2529" s="905" t="s">
        <v>356</v>
      </c>
      <c r="B2529" s="642" t="s">
        <v>230</v>
      </c>
      <c r="C2529" s="546"/>
      <c r="D2529" s="902"/>
      <c r="E2529" s="906"/>
      <c r="F2529" s="907"/>
      <c r="G2529" s="905" t="s">
        <v>356</v>
      </c>
      <c r="H2529" s="642" t="s">
        <v>231</v>
      </c>
      <c r="I2529" s="546"/>
      <c r="J2529" s="902"/>
      <c r="L2529" s="938"/>
      <c r="M2529" s="938"/>
      <c r="N2529" s="938"/>
      <c r="O2529" s="938"/>
    </row>
    <row r="2530" spans="1:15" ht="15" customHeight="1">
      <c r="A2530" s="905" t="s">
        <v>359</v>
      </c>
      <c r="B2530" s="939" t="s">
        <v>360</v>
      </c>
      <c r="C2530" s="910" t="e">
        <f>VLOOKUP(B2529,'LƯƠNG KT'!$D$16:$AC$184,3,0)</f>
        <v>#N/A</v>
      </c>
      <c r="D2530" s="609" t="e">
        <f>+C2530*25000</f>
        <v>#N/A</v>
      </c>
      <c r="E2530" s="911"/>
      <c r="F2530" s="911"/>
      <c r="G2530" s="905" t="s">
        <v>359</v>
      </c>
      <c r="H2530" s="939" t="s">
        <v>360</v>
      </c>
      <c r="I2530" s="910" t="e">
        <f>VLOOKUP(H2529,'LƯƠNG KT'!$D$16:$AC$184,3,0)</f>
        <v>#N/A</v>
      </c>
      <c r="J2530" s="609" t="e">
        <f>+I2530*25000</f>
        <v>#N/A</v>
      </c>
      <c r="K2530" s="934"/>
      <c r="L2530" s="935"/>
      <c r="M2530" s="935"/>
      <c r="N2530" s="935"/>
      <c r="O2530" s="935"/>
    </row>
    <row r="2531" spans="1:15" ht="15" customHeight="1">
      <c r="A2531" s="905" t="s">
        <v>361</v>
      </c>
      <c r="B2531" s="546" t="s">
        <v>362</v>
      </c>
      <c r="C2531" s="910" t="e">
        <f>VLOOKUP(B2529,'LƯƠNG KT'!$D$16:$AC$184,14,0)</f>
        <v>#N/A</v>
      </c>
      <c r="D2531" s="609" t="e">
        <f>C2531*$L$4</f>
        <v>#N/A</v>
      </c>
      <c r="E2531" s="912"/>
      <c r="F2531" s="912"/>
      <c r="G2531" s="905" t="s">
        <v>361</v>
      </c>
      <c r="H2531" s="546" t="s">
        <v>362</v>
      </c>
      <c r="I2531" s="910" t="e">
        <f>VLOOKUP(H2529,'LƯƠNG KT'!$D$16:$AC$184,14,0)</f>
        <v>#N/A</v>
      </c>
      <c r="J2531" s="609" t="e">
        <f>I2531*$L$4</f>
        <v>#N/A</v>
      </c>
      <c r="K2531" s="934"/>
      <c r="L2531" s="935"/>
      <c r="M2531" s="935"/>
      <c r="N2531" s="935"/>
      <c r="O2531" s="935"/>
    </row>
    <row r="2532" spans="1:15" ht="15" customHeight="1">
      <c r="A2532" s="905" t="s">
        <v>364</v>
      </c>
      <c r="B2532" s="546" t="s">
        <v>365</v>
      </c>
      <c r="C2532" s="910" t="e">
        <f>VLOOKUP(B2529,'LƯƠNG KT'!$D$16:$AC$184,15,0)</f>
        <v>#N/A</v>
      </c>
      <c r="D2532" s="609" t="e">
        <f>C2532*$L$5</f>
        <v>#N/A</v>
      </c>
      <c r="E2532" s="912"/>
      <c r="F2532" s="912"/>
      <c r="G2532" s="905" t="s">
        <v>364</v>
      </c>
      <c r="H2532" s="546" t="s">
        <v>365</v>
      </c>
      <c r="I2532" s="910" t="e">
        <f>VLOOKUP(H2529,'LƯƠNG KT'!$D$16:$AC$184,15,0)</f>
        <v>#N/A</v>
      </c>
      <c r="J2532" s="609" t="e">
        <f>I2532*$L$5</f>
        <v>#N/A</v>
      </c>
      <c r="K2532" s="934"/>
      <c r="L2532" s="935"/>
      <c r="M2532" s="935"/>
      <c r="N2532" s="935"/>
      <c r="O2532" s="935"/>
    </row>
    <row r="2533" spans="1:15" ht="15" customHeight="1">
      <c r="A2533" s="905" t="s">
        <v>367</v>
      </c>
      <c r="B2533" s="546"/>
      <c r="C2533" s="910" t="e">
        <f>VLOOKUP(B2529,'LƯƠNG KT'!$D$16:$AC$184,16,0)</f>
        <v>#N/A</v>
      </c>
      <c r="D2533" s="609" t="e">
        <f>+C2533*$L$6</f>
        <v>#N/A</v>
      </c>
      <c r="E2533" s="912"/>
      <c r="F2533" s="912"/>
      <c r="G2533" s="905" t="s">
        <v>367</v>
      </c>
      <c r="H2533" s="546"/>
      <c r="I2533" s="910" t="e">
        <f>VLOOKUP(H2529,'LƯƠNG KT'!$D$16:$AC$184,16,0)</f>
        <v>#N/A</v>
      </c>
      <c r="J2533" s="609" t="e">
        <f>+I2533*$L$6</f>
        <v>#N/A</v>
      </c>
      <c r="K2533" s="935"/>
      <c r="L2533" s="935"/>
      <c r="M2533" s="935"/>
      <c r="N2533" s="935"/>
      <c r="O2533" s="935"/>
    </row>
    <row r="2534" spans="1:15" ht="15" customHeight="1">
      <c r="A2534" s="905" t="s">
        <v>371</v>
      </c>
      <c r="B2534" s="546" t="s">
        <v>372</v>
      </c>
      <c r="C2534" s="910" t="e">
        <f>VLOOKUP(B2529,'LƯƠNG KT'!$D$16:$AC$184,9,0)*$L$10</f>
        <v>#N/A</v>
      </c>
      <c r="D2534" s="609" t="e">
        <f>+C2534*0.5*3000</f>
        <v>#N/A</v>
      </c>
      <c r="E2534" s="912"/>
      <c r="F2534" s="912"/>
      <c r="G2534" s="905" t="s">
        <v>371</v>
      </c>
      <c r="H2534" s="546" t="s">
        <v>372</v>
      </c>
      <c r="I2534" s="910" t="e">
        <f>VLOOKUP(H2529,'LƯƠNG KT'!$D$16:$AC$184,9,0)*$L$10</f>
        <v>#N/A</v>
      </c>
      <c r="J2534" s="609" t="e">
        <f>+I2534*0.5*3000</f>
        <v>#N/A</v>
      </c>
      <c r="K2534" s="935"/>
      <c r="L2534" s="935"/>
      <c r="M2534" s="935"/>
      <c r="N2534" s="935"/>
      <c r="O2534" s="935"/>
    </row>
    <row r="2535" spans="1:15" ht="15" customHeight="1">
      <c r="A2535" s="905" t="s">
        <v>374</v>
      </c>
      <c r="B2535" s="546" t="s">
        <v>375</v>
      </c>
      <c r="C2535" s="910" t="e">
        <f>VLOOKUP(B2529,'LƯƠNG KT'!$D$16:$AC$184,8,0)*$L$11</f>
        <v>#N/A</v>
      </c>
      <c r="D2535" s="609" t="e">
        <f>VLOOKUP(B2529,'LƯƠNG KT'!$D$16:$AC$184,13,0)-D2534</f>
        <v>#N/A</v>
      </c>
      <c r="E2535" s="914"/>
      <c r="F2535" s="912"/>
      <c r="G2535" s="905" t="s">
        <v>374</v>
      </c>
      <c r="H2535" s="546" t="s">
        <v>375</v>
      </c>
      <c r="I2535" s="910" t="e">
        <f>VLOOKUP(H2529,'LƯƠNG KT'!$D$16:$AC$184,8,0)*$L$11</f>
        <v>#N/A</v>
      </c>
      <c r="J2535" s="609" t="e">
        <f>VLOOKUP(H2529,'LƯƠNG KT'!$D$16:$AC$184,13,0)-J2534</f>
        <v>#N/A</v>
      </c>
      <c r="K2535" s="935"/>
      <c r="L2535" s="935"/>
      <c r="M2535" s="935"/>
      <c r="N2535" s="935"/>
      <c r="O2535" s="935"/>
    </row>
    <row r="2536" spans="1:15" ht="15" customHeight="1">
      <c r="A2536" s="609" t="s">
        <v>377</v>
      </c>
      <c r="B2536" s="546" t="s">
        <v>378</v>
      </c>
      <c r="C2536" s="910"/>
      <c r="D2536" s="609"/>
      <c r="E2536" s="916"/>
      <c r="F2536" s="916"/>
      <c r="G2536" s="609" t="s">
        <v>377</v>
      </c>
      <c r="H2536" s="546" t="s">
        <v>378</v>
      </c>
      <c r="I2536" s="910"/>
      <c r="J2536" s="609"/>
    </row>
    <row r="2537" spans="1:15" ht="15" customHeight="1">
      <c r="A2537" s="547" t="s">
        <v>379</v>
      </c>
      <c r="B2537" s="546" t="s">
        <v>380</v>
      </c>
      <c r="C2537" s="910"/>
      <c r="D2537" s="609"/>
      <c r="E2537" s="914"/>
      <c r="F2537" s="916"/>
      <c r="G2537" s="547" t="s">
        <v>379</v>
      </c>
      <c r="H2537" s="546" t="s">
        <v>380</v>
      </c>
      <c r="I2537" s="910"/>
      <c r="J2537" s="609"/>
    </row>
    <row r="2538" spans="1:15" ht="15" customHeight="1">
      <c r="A2538" s="905" t="s">
        <v>381</v>
      </c>
      <c r="B2538" s="546" t="s">
        <v>382</v>
      </c>
      <c r="C2538" s="910"/>
      <c r="D2538" s="609">
        <f>D2537</f>
        <v>0</v>
      </c>
      <c r="E2538" s="917"/>
      <c r="F2538" s="904"/>
      <c r="G2538" s="905" t="s">
        <v>381</v>
      </c>
      <c r="H2538" s="546" t="s">
        <v>382</v>
      </c>
      <c r="I2538" s="910"/>
      <c r="J2538" s="609">
        <f>J2537</f>
        <v>0</v>
      </c>
    </row>
    <row r="2539" spans="1:15" ht="15" customHeight="1">
      <c r="A2539" s="918" t="s">
        <v>383</v>
      </c>
      <c r="B2539" s="919" t="s">
        <v>384</v>
      </c>
      <c r="C2539" s="920"/>
      <c r="D2539" s="921" t="e">
        <f>SUM(D2530:D2535)-D2538</f>
        <v>#N/A</v>
      </c>
      <c r="E2539" s="922"/>
      <c r="F2539" s="923"/>
      <c r="G2539" s="918" t="s">
        <v>383</v>
      </c>
      <c r="H2539" s="919" t="s">
        <v>384</v>
      </c>
      <c r="I2539" s="920"/>
      <c r="J2539" s="921" t="e">
        <f>SUM(J2530:J2535)-J2538</f>
        <v>#N/A</v>
      </c>
    </row>
    <row r="2540" spans="1:15" ht="12.6" customHeight="1">
      <c r="A2540" s="924"/>
      <c r="B2540" s="925"/>
      <c r="C2540" s="926"/>
      <c r="D2540" s="927"/>
      <c r="E2540" s="927"/>
      <c r="F2540" s="928"/>
      <c r="G2540" s="924"/>
      <c r="H2540" s="925"/>
      <c r="I2540" s="926"/>
      <c r="J2540" s="927"/>
    </row>
    <row r="2541" spans="1:15" ht="12.6" customHeight="1">
      <c r="A2541" s="925"/>
      <c r="B2541" s="925"/>
      <c r="C2541" s="929"/>
      <c r="D2541" s="930"/>
      <c r="E2541" s="925"/>
      <c r="F2541" s="931"/>
      <c r="G2541" s="925"/>
      <c r="H2541" s="925"/>
      <c r="I2541" s="929"/>
      <c r="J2541" s="930"/>
    </row>
    <row r="2542" spans="1:15" ht="15" customHeight="1">
      <c r="A2542" s="2360" t="str">
        <f>$K$2</f>
        <v>THÁNG 09/2024</v>
      </c>
      <c r="B2542" s="2360"/>
      <c r="C2542" s="2360"/>
      <c r="D2542" s="2360"/>
      <c r="E2542" s="903"/>
      <c r="F2542" s="904"/>
      <c r="G2542" s="2360" t="str">
        <f>$K$2</f>
        <v>THÁNG 09/2024</v>
      </c>
      <c r="H2542" s="2360"/>
      <c r="I2542" s="2360"/>
      <c r="J2542" s="2360"/>
      <c r="K2542" s="276"/>
    </row>
    <row r="2543" spans="1:15" ht="15" customHeight="1">
      <c r="A2543" s="905" t="s">
        <v>356</v>
      </c>
      <c r="B2543" s="642" t="s">
        <v>232</v>
      </c>
      <c r="C2543" s="546"/>
      <c r="D2543" s="902"/>
      <c r="E2543" s="906"/>
      <c r="F2543" s="907"/>
      <c r="G2543" s="905" t="s">
        <v>356</v>
      </c>
      <c r="H2543" s="642" t="s">
        <v>233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5" t="s">
        <v>359</v>
      </c>
      <c r="B2544" s="939" t="s">
        <v>360</v>
      </c>
      <c r="C2544" s="910" t="e">
        <f>VLOOKUP(B2543,'LƯƠNG KT'!$D$16:$AC$184,3,0)</f>
        <v>#N/A</v>
      </c>
      <c r="D2544" s="609" t="e">
        <f>+C2544*25000</f>
        <v>#N/A</v>
      </c>
      <c r="E2544" s="911"/>
      <c r="F2544" s="911"/>
      <c r="G2544" s="905" t="s">
        <v>359</v>
      </c>
      <c r="H2544" s="939" t="s">
        <v>360</v>
      </c>
      <c r="I2544" s="910">
        <f>VLOOKUP(H2543,'LƯƠNG KT'!$D$16:$AC$184,3,0)</f>
        <v>0</v>
      </c>
      <c r="J2544" s="609">
        <f>+I2544*25000</f>
        <v>0</v>
      </c>
      <c r="K2544" s="935"/>
      <c r="L2544" s="935"/>
      <c r="M2544" s="935"/>
      <c r="N2544" s="935"/>
      <c r="O2544" s="935"/>
    </row>
    <row r="2545" spans="1:15" ht="15" customHeight="1">
      <c r="A2545" s="905" t="s">
        <v>361</v>
      </c>
      <c r="B2545" s="546" t="s">
        <v>362</v>
      </c>
      <c r="C2545" s="910" t="e">
        <f>VLOOKUP(B2543,'LƯƠNG KT'!$D$16:$AC$184,14,0)</f>
        <v>#N/A</v>
      </c>
      <c r="D2545" s="609" t="e">
        <f>C2545*$L$4</f>
        <v>#N/A</v>
      </c>
      <c r="E2545" s="912"/>
      <c r="F2545" s="912"/>
      <c r="G2545" s="905" t="s">
        <v>361</v>
      </c>
      <c r="H2545" s="546" t="s">
        <v>362</v>
      </c>
      <c r="I2545" s="910">
        <f>VLOOKUP(H2543,'LƯƠNG KT'!$D$16:$AC$184,14,0)</f>
        <v>4</v>
      </c>
      <c r="J2545" s="609">
        <f>I2545*$L$4</f>
        <v>125478.66800000001</v>
      </c>
      <c r="K2545" s="935"/>
      <c r="L2545" s="935"/>
      <c r="M2545" s="935"/>
      <c r="N2545" s="935"/>
      <c r="O2545" s="935"/>
    </row>
    <row r="2546" spans="1:15" ht="15" customHeight="1">
      <c r="A2546" s="905" t="s">
        <v>364</v>
      </c>
      <c r="B2546" s="546" t="s">
        <v>365</v>
      </c>
      <c r="C2546" s="910" t="e">
        <f>VLOOKUP(B2543,'LƯƠNG KT'!$D$16:$AC$184,15,0)</f>
        <v>#N/A</v>
      </c>
      <c r="D2546" s="609" t="e">
        <f>C2546*$L$5</f>
        <v>#N/A</v>
      </c>
      <c r="E2546" s="912"/>
      <c r="F2546" s="912"/>
      <c r="G2546" s="905" t="s">
        <v>364</v>
      </c>
      <c r="H2546" s="546" t="s">
        <v>365</v>
      </c>
      <c r="I2546" s="910">
        <f>VLOOKUP(H2543,'LƯƠNG KT'!$D$16:$AC$184,15,0)</f>
        <v>0</v>
      </c>
      <c r="J2546" s="609">
        <f>I2546*$L$5</f>
        <v>0</v>
      </c>
      <c r="K2546" s="935"/>
      <c r="L2546" s="935"/>
      <c r="M2546" s="935"/>
      <c r="N2546" s="935"/>
      <c r="O2546" s="935"/>
    </row>
    <row r="2547" spans="1:15" ht="15" customHeight="1">
      <c r="A2547" s="905" t="s">
        <v>367</v>
      </c>
      <c r="B2547" s="546"/>
      <c r="C2547" s="910" t="e">
        <f>VLOOKUP(B2543,'LƯƠNG KT'!$D$16:$AC$184,16,0)</f>
        <v>#N/A</v>
      </c>
      <c r="D2547" s="609" t="e">
        <f>+C2547*$L$6</f>
        <v>#N/A</v>
      </c>
      <c r="E2547" s="912"/>
      <c r="F2547" s="912"/>
      <c r="G2547" s="905" t="s">
        <v>367</v>
      </c>
      <c r="H2547" s="546"/>
      <c r="I2547" s="910">
        <f>VLOOKUP(H2543,'LƯƠNG KT'!$D$16:$AC$184,16,0)</f>
        <v>4</v>
      </c>
      <c r="J2547" s="609">
        <f>+I2547*$L$6</f>
        <v>40000</v>
      </c>
      <c r="K2547" s="935"/>
      <c r="L2547" s="935"/>
      <c r="M2547" s="935"/>
      <c r="N2547" s="935"/>
      <c r="O2547" s="935"/>
    </row>
    <row r="2548" spans="1:15" ht="15" customHeight="1">
      <c r="A2548" s="905" t="s">
        <v>371</v>
      </c>
      <c r="B2548" s="546" t="s">
        <v>372</v>
      </c>
      <c r="C2548" s="910" t="e">
        <f>VLOOKUP(B2543,'LƯƠNG KT'!$D$16:$AC$184,9,0)*$L$10</f>
        <v>#N/A</v>
      </c>
      <c r="D2548" s="609" t="e">
        <f>+C2548*0.5*3000</f>
        <v>#N/A</v>
      </c>
      <c r="E2548" s="912"/>
      <c r="F2548" s="912"/>
      <c r="G2548" s="905" t="s">
        <v>371</v>
      </c>
      <c r="H2548" s="546" t="s">
        <v>372</v>
      </c>
      <c r="I2548" s="910">
        <f>VLOOKUP(H2543,'LƯƠNG KT'!$D$16:$AC$184,9,0)*$L$10</f>
        <v>667.24820168589883</v>
      </c>
      <c r="J2548" s="609">
        <f>+I2548*0.5*3000</f>
        <v>1000872.3025288483</v>
      </c>
      <c r="K2548" s="935"/>
      <c r="L2548" s="935"/>
      <c r="M2548" s="935"/>
      <c r="N2548" s="935"/>
      <c r="O2548" s="935"/>
    </row>
    <row r="2549" spans="1:15" ht="15" customHeight="1">
      <c r="A2549" s="905" t="s">
        <v>374</v>
      </c>
      <c r="B2549" s="546" t="s">
        <v>375</v>
      </c>
      <c r="C2549" s="910" t="e">
        <f>VLOOKUP(B2543,'LƯƠNG KT'!$D$16:$AC$184,8,0)*$L$11</f>
        <v>#N/A</v>
      </c>
      <c r="D2549" s="609" t="e">
        <f>VLOOKUP(B2543,'LƯƠNG KT'!$D$16:$AC$184,13,0)-D2548</f>
        <v>#N/A</v>
      </c>
      <c r="E2549" s="914"/>
      <c r="F2549" s="912"/>
      <c r="G2549" s="905" t="s">
        <v>374</v>
      </c>
      <c r="H2549" s="546" t="s">
        <v>375</v>
      </c>
      <c r="I2549" s="910">
        <f>VLOOKUP(H2543,'LƯƠNG KT'!$D$16:$AC$184,8,0)*$L$11</f>
        <v>48.110018512353513</v>
      </c>
      <c r="J2549" s="609">
        <f>VLOOKUP(H2543,'LƯƠNG KT'!$D$16:$AC$184,13,0)-J2548</f>
        <v>-1000868.3025288483</v>
      </c>
      <c r="K2549" s="935"/>
      <c r="L2549" s="935"/>
      <c r="M2549" s="935"/>
      <c r="N2549" s="935"/>
      <c r="O2549" s="935"/>
    </row>
    <row r="2550" spans="1:15" ht="15" customHeight="1">
      <c r="A2550" s="609" t="s">
        <v>377</v>
      </c>
      <c r="B2550" s="546" t="s">
        <v>378</v>
      </c>
      <c r="C2550" s="910"/>
      <c r="D2550" s="609"/>
      <c r="E2550" s="916"/>
      <c r="F2550" s="916"/>
      <c r="G2550" s="609" t="s">
        <v>377</v>
      </c>
      <c r="H2550" s="546" t="s">
        <v>378</v>
      </c>
      <c r="I2550" s="910"/>
      <c r="J2550" s="609"/>
    </row>
    <row r="2551" spans="1:15" ht="15" customHeight="1">
      <c r="A2551" s="547" t="s">
        <v>379</v>
      </c>
      <c r="B2551" s="546" t="s">
        <v>380</v>
      </c>
      <c r="C2551" s="910"/>
      <c r="D2551" s="609"/>
      <c r="E2551" s="914"/>
      <c r="F2551" s="916"/>
      <c r="G2551" s="547" t="s">
        <v>379</v>
      </c>
      <c r="H2551" s="546" t="s">
        <v>380</v>
      </c>
      <c r="I2551" s="910"/>
      <c r="J2551" s="609"/>
    </row>
    <row r="2552" spans="1:15" ht="15" customHeight="1">
      <c r="A2552" s="905" t="s">
        <v>381</v>
      </c>
      <c r="B2552" s="546" t="s">
        <v>382</v>
      </c>
      <c r="C2552" s="910"/>
      <c r="D2552" s="609">
        <f>D2551</f>
        <v>0</v>
      </c>
      <c r="E2552" s="917"/>
      <c r="F2552" s="904"/>
      <c r="G2552" s="905" t="s">
        <v>381</v>
      </c>
      <c r="H2552" s="546" t="s">
        <v>382</v>
      </c>
      <c r="I2552" s="910"/>
      <c r="J2552" s="609">
        <f>J2551</f>
        <v>0</v>
      </c>
    </row>
    <row r="2553" spans="1:15" ht="15" customHeight="1">
      <c r="A2553" s="918" t="s">
        <v>383</v>
      </c>
      <c r="B2553" s="919" t="s">
        <v>384</v>
      </c>
      <c r="C2553" s="920"/>
      <c r="D2553" s="921" t="e">
        <f>SUM(D2544:D2549)-D2552</f>
        <v>#N/A</v>
      </c>
      <c r="E2553" s="922"/>
      <c r="F2553" s="923"/>
      <c r="G2553" s="918" t="s">
        <v>383</v>
      </c>
      <c r="H2553" s="919" t="s">
        <v>384</v>
      </c>
      <c r="I2553" s="920"/>
      <c r="J2553" s="921">
        <f>SUM(J2544:J2549)-J2552</f>
        <v>165482.66799999995</v>
      </c>
    </row>
    <row r="2554" spans="1:15" ht="18.75" customHeight="1">
      <c r="A2554" s="924"/>
      <c r="B2554" s="925"/>
      <c r="C2554" s="926"/>
      <c r="D2554" s="927"/>
      <c r="E2554" s="927"/>
      <c r="F2554" s="928"/>
      <c r="G2554" s="924"/>
      <c r="H2554" s="925"/>
      <c r="I2554" s="926"/>
      <c r="J2554" s="927"/>
    </row>
    <row r="2555" spans="1:15" ht="18.75" customHeight="1">
      <c r="A2555" s="925"/>
      <c r="B2555" s="925"/>
      <c r="C2555" s="929"/>
      <c r="D2555" s="930"/>
      <c r="E2555" s="925"/>
      <c r="F2555" s="931"/>
      <c r="G2555" s="925"/>
      <c r="H2555" s="925"/>
      <c r="I2555" s="929"/>
      <c r="J2555" s="930"/>
    </row>
    <row r="2556" spans="1:15" ht="15" customHeight="1">
      <c r="A2556" s="2360" t="str">
        <f>$K$2</f>
        <v>THÁNG 09/2024</v>
      </c>
      <c r="B2556" s="2360"/>
      <c r="C2556" s="2360"/>
      <c r="D2556" s="2360"/>
      <c r="E2556" s="903"/>
      <c r="F2556" s="904"/>
      <c r="G2556" s="2360" t="str">
        <f>$K$2</f>
        <v>THÁNG 09/2024</v>
      </c>
      <c r="H2556" s="2360"/>
      <c r="I2556" s="2360"/>
      <c r="J2556" s="2360"/>
      <c r="K2556" s="276"/>
    </row>
    <row r="2557" spans="1:15" ht="15" customHeight="1">
      <c r="A2557" s="905" t="s">
        <v>356</v>
      </c>
      <c r="B2557" s="642" t="s">
        <v>234</v>
      </c>
      <c r="C2557" s="546"/>
      <c r="D2557" s="902"/>
      <c r="E2557" s="906"/>
      <c r="F2557" s="907"/>
      <c r="G2557" s="905" t="s">
        <v>356</v>
      </c>
      <c r="H2557" s="642" t="s">
        <v>235</v>
      </c>
      <c r="I2557" s="546"/>
      <c r="J2557" s="902"/>
      <c r="L2557" s="938"/>
      <c r="M2557" s="938"/>
      <c r="N2557" s="938"/>
      <c r="O2557" s="938"/>
    </row>
    <row r="2558" spans="1:15" ht="15" customHeight="1">
      <c r="A2558" s="905" t="s">
        <v>359</v>
      </c>
      <c r="B2558" s="939" t="s">
        <v>360</v>
      </c>
      <c r="C2558" s="910" t="e">
        <f>VLOOKUP(B2557,'LƯƠNG KT'!$D$16:$AC$184,3,0)</f>
        <v>#N/A</v>
      </c>
      <c r="D2558" s="609" t="e">
        <f>+C2558*25000</f>
        <v>#N/A</v>
      </c>
      <c r="E2558" s="911"/>
      <c r="F2558" s="911"/>
      <c r="G2558" s="905" t="s">
        <v>359</v>
      </c>
      <c r="H2558" s="939" t="s">
        <v>360</v>
      </c>
      <c r="I2558" s="910" t="e">
        <f>VLOOKUP(H2557,'LƯƠNG KT'!$D$16:$AC$184,3,0)</f>
        <v>#N/A</v>
      </c>
      <c r="J2558" s="609" t="e">
        <f>+I2558*25000</f>
        <v>#N/A</v>
      </c>
      <c r="K2558" s="935"/>
      <c r="L2558" s="935"/>
      <c r="M2558" s="935"/>
      <c r="N2558" s="935"/>
      <c r="O2558" s="935"/>
    </row>
    <row r="2559" spans="1:15" ht="15" customHeight="1">
      <c r="A2559" s="905" t="s">
        <v>361</v>
      </c>
      <c r="B2559" s="546" t="s">
        <v>362</v>
      </c>
      <c r="C2559" s="910" t="e">
        <f>VLOOKUP(B2557,'LƯƠNG KT'!$D$16:$AC$184,14,0)</f>
        <v>#N/A</v>
      </c>
      <c r="D2559" s="609" t="e">
        <f>C2559*$L$4</f>
        <v>#N/A</v>
      </c>
      <c r="E2559" s="912"/>
      <c r="F2559" s="912"/>
      <c r="G2559" s="905" t="s">
        <v>361</v>
      </c>
      <c r="H2559" s="546" t="s">
        <v>362</v>
      </c>
      <c r="I2559" s="910" t="e">
        <f>VLOOKUP(H2557,'LƯƠNG KT'!$D$16:$AC$184,14,0)</f>
        <v>#N/A</v>
      </c>
      <c r="J2559" s="609" t="e">
        <f>I2559*$L$4</f>
        <v>#N/A</v>
      </c>
      <c r="K2559" s="935"/>
      <c r="L2559" s="935"/>
      <c r="M2559" s="935"/>
      <c r="N2559" s="935"/>
      <c r="O2559" s="935"/>
    </row>
    <row r="2560" spans="1:15" ht="15" customHeight="1">
      <c r="A2560" s="905" t="s">
        <v>364</v>
      </c>
      <c r="B2560" s="546" t="s">
        <v>365</v>
      </c>
      <c r="C2560" s="910" t="e">
        <f>VLOOKUP(B2557,'LƯƠNG KT'!$D$16:$AC$184,15,0)</f>
        <v>#N/A</v>
      </c>
      <c r="D2560" s="609" t="e">
        <f>C2560*$L$5</f>
        <v>#N/A</v>
      </c>
      <c r="E2560" s="912"/>
      <c r="F2560" s="912"/>
      <c r="G2560" s="905" t="s">
        <v>364</v>
      </c>
      <c r="H2560" s="546" t="s">
        <v>365</v>
      </c>
      <c r="I2560" s="910" t="e">
        <f>VLOOKUP(H2557,'LƯƠNG KT'!$D$16:$AC$184,15,0)</f>
        <v>#N/A</v>
      </c>
      <c r="J2560" s="609" t="e">
        <f>I2560*$L$5</f>
        <v>#N/A</v>
      </c>
      <c r="K2560" s="935"/>
      <c r="L2560" s="935"/>
      <c r="M2560" s="935"/>
      <c r="N2560" s="935"/>
      <c r="O2560" s="935"/>
    </row>
    <row r="2561" spans="1:15" ht="15" customHeight="1">
      <c r="A2561" s="905" t="s">
        <v>367</v>
      </c>
      <c r="B2561" s="546"/>
      <c r="C2561" s="910" t="e">
        <f>VLOOKUP(B2557,'LƯƠNG KT'!$D$16:$AC$184,16,0)</f>
        <v>#N/A</v>
      </c>
      <c r="D2561" s="609" t="e">
        <f>+C2561*$L$6</f>
        <v>#N/A</v>
      </c>
      <c r="E2561" s="912"/>
      <c r="F2561" s="912"/>
      <c r="G2561" s="905" t="s">
        <v>367</v>
      </c>
      <c r="H2561" s="546"/>
      <c r="I2561" s="910" t="e">
        <f>VLOOKUP(H2557,'LƯƠNG KT'!$D$16:$AC$184,16,0)</f>
        <v>#N/A</v>
      </c>
      <c r="J2561" s="609" t="e">
        <f>+I2561*$L$6</f>
        <v>#N/A</v>
      </c>
      <c r="K2561" s="935"/>
      <c r="L2561" s="935"/>
      <c r="M2561" s="935"/>
      <c r="N2561" s="935"/>
      <c r="O2561" s="935"/>
    </row>
    <row r="2562" spans="1:15" ht="15" customHeight="1">
      <c r="A2562" s="905" t="s">
        <v>371</v>
      </c>
      <c r="B2562" s="546" t="s">
        <v>372</v>
      </c>
      <c r="C2562" s="910" t="e">
        <f>VLOOKUP(B2557,'LƯƠNG KT'!$D$16:$AC$184,9,0)*$L$10</f>
        <v>#N/A</v>
      </c>
      <c r="D2562" s="609" t="e">
        <f>+C2562*0.5*3000</f>
        <v>#N/A</v>
      </c>
      <c r="E2562" s="912"/>
      <c r="F2562" s="912"/>
      <c r="G2562" s="905" t="s">
        <v>371</v>
      </c>
      <c r="H2562" s="546" t="s">
        <v>372</v>
      </c>
      <c r="I2562" s="910" t="e">
        <f>VLOOKUP(H2557,'LƯƠNG KT'!$D$16:$AC$184,9,0)*$L$10</f>
        <v>#N/A</v>
      </c>
      <c r="J2562" s="609" t="e">
        <f>+I2562*0.5*3000</f>
        <v>#N/A</v>
      </c>
      <c r="K2562" s="935"/>
      <c r="L2562" s="935"/>
      <c r="M2562" s="935"/>
      <c r="N2562" s="935"/>
      <c r="O2562" s="935"/>
    </row>
    <row r="2563" spans="1:15" ht="15" customHeight="1">
      <c r="A2563" s="905" t="s">
        <v>374</v>
      </c>
      <c r="B2563" s="546" t="s">
        <v>375</v>
      </c>
      <c r="C2563" s="910" t="e">
        <f>VLOOKUP(B2557,'LƯƠNG KT'!$D$16:$AC$184,8,0)*$L$11</f>
        <v>#N/A</v>
      </c>
      <c r="D2563" s="609" t="e">
        <f>VLOOKUP(B2557,'LƯƠNG KT'!$D$16:$AC$184,13,0)-D2562</f>
        <v>#N/A</v>
      </c>
      <c r="E2563" s="914"/>
      <c r="F2563" s="912"/>
      <c r="G2563" s="905" t="s">
        <v>374</v>
      </c>
      <c r="H2563" s="546" t="s">
        <v>375</v>
      </c>
      <c r="I2563" s="910" t="e">
        <f>VLOOKUP(H2557,'LƯƠNG KT'!$D$16:$AC$184,8,0)*$L$11</f>
        <v>#N/A</v>
      </c>
      <c r="J2563" s="609" t="e">
        <f>VLOOKUP(H2557,'LƯƠNG KT'!$D$16:$AC$184,13,0)-J2562</f>
        <v>#N/A</v>
      </c>
      <c r="K2563" s="935"/>
      <c r="L2563" s="935"/>
      <c r="M2563" s="935"/>
      <c r="N2563" s="935"/>
      <c r="O2563" s="935"/>
    </row>
    <row r="2564" spans="1:15" ht="15" customHeight="1">
      <c r="A2564" s="609" t="s">
        <v>377</v>
      </c>
      <c r="B2564" s="546" t="s">
        <v>378</v>
      </c>
      <c r="C2564" s="910"/>
      <c r="D2564" s="609"/>
      <c r="E2564" s="916"/>
      <c r="F2564" s="916"/>
      <c r="G2564" s="609" t="s">
        <v>377</v>
      </c>
      <c r="H2564" s="546" t="s">
        <v>378</v>
      </c>
      <c r="I2564" s="910"/>
      <c r="J2564" s="609"/>
    </row>
    <row r="2565" spans="1:15" ht="15" customHeight="1">
      <c r="A2565" s="547" t="s">
        <v>379</v>
      </c>
      <c r="B2565" s="546" t="s">
        <v>380</v>
      </c>
      <c r="C2565" s="910"/>
      <c r="D2565" s="609"/>
      <c r="E2565" s="914"/>
      <c r="F2565" s="916"/>
      <c r="G2565" s="547" t="s">
        <v>379</v>
      </c>
      <c r="H2565" s="546" t="s">
        <v>380</v>
      </c>
      <c r="I2565" s="910"/>
      <c r="J2565" s="609"/>
    </row>
    <row r="2566" spans="1:15" ht="15" customHeight="1">
      <c r="A2566" s="905" t="s">
        <v>381</v>
      </c>
      <c r="B2566" s="546" t="s">
        <v>382</v>
      </c>
      <c r="C2566" s="910"/>
      <c r="D2566" s="609">
        <f>D2565</f>
        <v>0</v>
      </c>
      <c r="E2566" s="917"/>
      <c r="F2566" s="904"/>
      <c r="G2566" s="905" t="s">
        <v>381</v>
      </c>
      <c r="H2566" s="546" t="s">
        <v>382</v>
      </c>
      <c r="I2566" s="910"/>
      <c r="J2566" s="609">
        <f>J2565</f>
        <v>0</v>
      </c>
    </row>
    <row r="2567" spans="1:15" ht="15" customHeight="1">
      <c r="A2567" s="918" t="s">
        <v>383</v>
      </c>
      <c r="B2567" s="919" t="s">
        <v>384</v>
      </c>
      <c r="C2567" s="920"/>
      <c r="D2567" s="921" t="e">
        <f>SUM(D2558:D2563)-D2566</f>
        <v>#N/A</v>
      </c>
      <c r="E2567" s="922"/>
      <c r="F2567" s="923"/>
      <c r="G2567" s="918" t="s">
        <v>383</v>
      </c>
      <c r="H2567" s="919" t="s">
        <v>384</v>
      </c>
      <c r="I2567" s="920"/>
      <c r="J2567" s="921" t="e">
        <f>SUM(J2558:J2563)-J2566</f>
        <v>#N/A</v>
      </c>
    </row>
    <row r="2568" spans="1:15" ht="18.75" customHeight="1">
      <c r="A2568" s="924"/>
      <c r="B2568" s="925"/>
      <c r="C2568" s="926"/>
      <c r="D2568" s="927"/>
      <c r="E2568" s="927"/>
      <c r="F2568" s="928"/>
      <c r="G2568" s="924"/>
      <c r="H2568" s="925"/>
      <c r="I2568" s="926"/>
      <c r="J2568" s="927"/>
    </row>
    <row r="2569" spans="1:15" ht="18.75" customHeight="1">
      <c r="A2569" s="925"/>
      <c r="B2569" s="925"/>
      <c r="C2569" s="929"/>
      <c r="D2569" s="930"/>
      <c r="E2569" s="925"/>
      <c r="F2569" s="931"/>
      <c r="G2569" s="925"/>
      <c r="H2569" s="925"/>
      <c r="I2569" s="929"/>
      <c r="J2569" s="930"/>
    </row>
    <row r="2570" spans="1:15" ht="15" customHeight="1">
      <c r="A2570" s="2360" t="str">
        <f>$K$2</f>
        <v>THÁNG 09/2024</v>
      </c>
      <c r="B2570" s="2360"/>
      <c r="C2570" s="2360"/>
      <c r="D2570" s="2360"/>
      <c r="E2570" s="903"/>
      <c r="F2570" s="904"/>
      <c r="G2570" s="2360" t="str">
        <f>$K$2</f>
        <v>THÁNG 09/2024</v>
      </c>
      <c r="H2570" s="2360"/>
      <c r="I2570" s="2360"/>
      <c r="J2570" s="2360"/>
      <c r="K2570" s="276"/>
    </row>
    <row r="2571" spans="1:15" ht="15" customHeight="1">
      <c r="A2571" s="905" t="s">
        <v>356</v>
      </c>
      <c r="B2571" s="642" t="s">
        <v>236</v>
      </c>
      <c r="C2571" s="546"/>
      <c r="D2571" s="902"/>
      <c r="E2571" s="906"/>
      <c r="F2571" s="907"/>
      <c r="G2571" s="905" t="s">
        <v>356</v>
      </c>
      <c r="H2571" s="642" t="s">
        <v>237</v>
      </c>
      <c r="I2571" s="546"/>
      <c r="J2571" s="902"/>
      <c r="L2571" s="938"/>
      <c r="M2571" s="938"/>
      <c r="N2571" s="938"/>
      <c r="O2571" s="938"/>
    </row>
    <row r="2572" spans="1:15" ht="15" customHeight="1">
      <c r="A2572" s="905" t="s">
        <v>359</v>
      </c>
      <c r="B2572" s="939" t="s">
        <v>360</v>
      </c>
      <c r="C2572" s="910">
        <f>VLOOKUP(B2571,'LƯƠNG KT'!$D$16:$AC$184,3,0)</f>
        <v>0</v>
      </c>
      <c r="D2572" s="609">
        <f>+C2572*25000</f>
        <v>0</v>
      </c>
      <c r="E2572" s="911"/>
      <c r="F2572" s="911"/>
      <c r="G2572" s="905" t="s">
        <v>359</v>
      </c>
      <c r="H2572" s="939" t="s">
        <v>360</v>
      </c>
      <c r="I2572" s="910" t="e">
        <f>VLOOKUP(H2571,'LƯƠNG KT'!$D$16:$AC$184,3,0)</f>
        <v>#N/A</v>
      </c>
      <c r="J2572" s="609" t="e">
        <f>+I2572*25000</f>
        <v>#N/A</v>
      </c>
      <c r="K2572" s="935"/>
      <c r="L2572" s="935"/>
      <c r="M2572" s="935"/>
      <c r="N2572" s="935"/>
      <c r="O2572" s="935"/>
    </row>
    <row r="2573" spans="1:15" ht="15" customHeight="1">
      <c r="A2573" s="905" t="s">
        <v>361</v>
      </c>
      <c r="B2573" s="546" t="s">
        <v>362</v>
      </c>
      <c r="C2573" s="910">
        <f>VLOOKUP(B2571,'LƯƠNG KT'!$D$16:$AC$184,14,0)</f>
        <v>3</v>
      </c>
      <c r="D2573" s="609">
        <f>C2573*$L$4</f>
        <v>94109.001000000004</v>
      </c>
      <c r="E2573" s="912"/>
      <c r="F2573" s="912"/>
      <c r="G2573" s="905" t="s">
        <v>361</v>
      </c>
      <c r="H2573" s="546" t="s">
        <v>362</v>
      </c>
      <c r="I2573" s="910" t="e">
        <f>VLOOKUP(H2571,'LƯƠNG KT'!$D$16:$AC$184,14,0)</f>
        <v>#N/A</v>
      </c>
      <c r="J2573" s="609" t="e">
        <f>I2573*$L$4</f>
        <v>#N/A</v>
      </c>
      <c r="K2573" s="935"/>
      <c r="L2573" s="935"/>
      <c r="M2573" s="935"/>
      <c r="N2573" s="935"/>
      <c r="O2573" s="935"/>
    </row>
    <row r="2574" spans="1:15" ht="15" customHeight="1">
      <c r="A2574" s="905" t="s">
        <v>364</v>
      </c>
      <c r="B2574" s="546" t="s">
        <v>365</v>
      </c>
      <c r="C2574" s="910">
        <f>VLOOKUP(B2571,'LƯƠNG KT'!$D$16:$AC$184,15,0)</f>
        <v>0</v>
      </c>
      <c r="D2574" s="609">
        <f>C2574*$L$5</f>
        <v>0</v>
      </c>
      <c r="E2574" s="912"/>
      <c r="F2574" s="912"/>
      <c r="G2574" s="905" t="s">
        <v>364</v>
      </c>
      <c r="H2574" s="546" t="s">
        <v>365</v>
      </c>
      <c r="I2574" s="910" t="e">
        <f>VLOOKUP(H2571,'LƯƠNG KT'!$D$16:$AC$184,15,0)</f>
        <v>#N/A</v>
      </c>
      <c r="J2574" s="609" t="e">
        <f>I2574*$L$5</f>
        <v>#N/A</v>
      </c>
      <c r="K2574" s="935"/>
      <c r="L2574" s="935"/>
      <c r="M2574" s="935"/>
      <c r="N2574" s="935"/>
      <c r="O2574" s="935"/>
    </row>
    <row r="2575" spans="1:15" ht="15" customHeight="1">
      <c r="A2575" s="905" t="s">
        <v>367</v>
      </c>
      <c r="B2575" s="546"/>
      <c r="C2575" s="910">
        <f>VLOOKUP(B2571,'LƯƠNG KT'!$D$16:$AC$184,16,0)</f>
        <v>3</v>
      </c>
      <c r="D2575" s="609">
        <f>+C2575*$L$6</f>
        <v>30000</v>
      </c>
      <c r="E2575" s="912"/>
      <c r="F2575" s="912"/>
      <c r="G2575" s="905" t="s">
        <v>367</v>
      </c>
      <c r="H2575" s="546"/>
      <c r="I2575" s="910" t="e">
        <f>VLOOKUP(H2571,'LƯƠNG KT'!$D$16:$AC$184,16,0)</f>
        <v>#N/A</v>
      </c>
      <c r="J2575" s="609" t="e">
        <f>+I2575*$L$6</f>
        <v>#N/A</v>
      </c>
      <c r="K2575" s="935"/>
      <c r="L2575" s="935"/>
      <c r="M2575" s="935"/>
      <c r="N2575" s="935"/>
      <c r="O2575" s="935"/>
    </row>
    <row r="2576" spans="1:15" ht="15" customHeight="1">
      <c r="A2576" s="905" t="s">
        <v>371</v>
      </c>
      <c r="B2576" s="546" t="s">
        <v>372</v>
      </c>
      <c r="C2576" s="910">
        <f>VLOOKUP(B2571,'LƯƠNG KT'!$D$16:$AC$184,9,0)*$L$10</f>
        <v>508.88986688178647</v>
      </c>
      <c r="D2576" s="609">
        <f>+C2576*0.5*3000</f>
        <v>763334.80032267969</v>
      </c>
      <c r="E2576" s="912"/>
      <c r="F2576" s="912"/>
      <c r="G2576" s="905" t="s">
        <v>371</v>
      </c>
      <c r="H2576" s="546" t="s">
        <v>372</v>
      </c>
      <c r="I2576" s="910" t="e">
        <f>VLOOKUP(H2571,'LƯƠNG KT'!$D$16:$AC$184,9,0)*$L$10</f>
        <v>#N/A</v>
      </c>
      <c r="J2576" s="609" t="e">
        <f>+I2576*0.5*3000</f>
        <v>#N/A</v>
      </c>
      <c r="K2576" s="935"/>
      <c r="L2576" s="935"/>
      <c r="M2576" s="935"/>
      <c r="N2576" s="935"/>
      <c r="O2576" s="935"/>
    </row>
    <row r="2577" spans="1:15" ht="15" customHeight="1">
      <c r="A2577" s="905" t="s">
        <v>374</v>
      </c>
      <c r="B2577" s="546" t="s">
        <v>375</v>
      </c>
      <c r="C2577" s="910">
        <f>VLOOKUP(B2571,'LƯƠNG KT'!$D$16:$AC$184,8,0)*$L$11</f>
        <v>36.692044811170398</v>
      </c>
      <c r="D2577" s="609">
        <f>VLOOKUP(B2571,'LƯƠNG KT'!$D$16:$AC$184,13,0)-D2576</f>
        <v>-763330.80032267969</v>
      </c>
      <c r="E2577" s="914"/>
      <c r="F2577" s="912"/>
      <c r="G2577" s="905" t="s">
        <v>374</v>
      </c>
      <c r="H2577" s="546" t="s">
        <v>375</v>
      </c>
      <c r="I2577" s="910" t="e">
        <f>VLOOKUP(H2571,'LƯƠNG KT'!$D$16:$AC$184,8,0)*$L$11</f>
        <v>#N/A</v>
      </c>
      <c r="J2577" s="609" t="e">
        <f>VLOOKUP(H2571,'LƯƠNG KT'!$D$16:$AC$184,13,0)-J2576</f>
        <v>#N/A</v>
      </c>
      <c r="K2577" s="935"/>
      <c r="L2577" s="935"/>
      <c r="M2577" s="935"/>
      <c r="N2577" s="935"/>
      <c r="O2577" s="935"/>
    </row>
    <row r="2578" spans="1:15" ht="15" customHeight="1">
      <c r="A2578" s="609" t="s">
        <v>377</v>
      </c>
      <c r="B2578" s="546" t="s">
        <v>378</v>
      </c>
      <c r="C2578" s="910"/>
      <c r="D2578" s="609"/>
      <c r="E2578" s="916"/>
      <c r="F2578" s="916"/>
      <c r="G2578" s="609" t="s">
        <v>377</v>
      </c>
      <c r="H2578" s="546" t="s">
        <v>378</v>
      </c>
      <c r="I2578" s="910"/>
      <c r="J2578" s="609"/>
    </row>
    <row r="2579" spans="1:15" ht="15" customHeight="1">
      <c r="A2579" s="547" t="s">
        <v>379</v>
      </c>
      <c r="B2579" s="546" t="s">
        <v>380</v>
      </c>
      <c r="C2579" s="910"/>
      <c r="D2579" s="609"/>
      <c r="E2579" s="914"/>
      <c r="F2579" s="916"/>
      <c r="G2579" s="547" t="s">
        <v>379</v>
      </c>
      <c r="H2579" s="546" t="s">
        <v>380</v>
      </c>
      <c r="I2579" s="910"/>
      <c r="J2579" s="609"/>
    </row>
    <row r="2580" spans="1:15" ht="15" customHeight="1">
      <c r="A2580" s="905" t="s">
        <v>381</v>
      </c>
      <c r="B2580" s="546" t="s">
        <v>382</v>
      </c>
      <c r="C2580" s="910"/>
      <c r="D2580" s="609">
        <f>D2579</f>
        <v>0</v>
      </c>
      <c r="E2580" s="917"/>
      <c r="F2580" s="904"/>
      <c r="G2580" s="905" t="s">
        <v>381</v>
      </c>
      <c r="H2580" s="546" t="s">
        <v>382</v>
      </c>
      <c r="I2580" s="910"/>
      <c r="J2580" s="609">
        <f>J2579</f>
        <v>0</v>
      </c>
    </row>
    <row r="2581" spans="1:15" ht="15" customHeight="1">
      <c r="A2581" s="918" t="s">
        <v>383</v>
      </c>
      <c r="B2581" s="919" t="s">
        <v>384</v>
      </c>
      <c r="C2581" s="920"/>
      <c r="D2581" s="921">
        <f>SUM(D2572:D2577)-D2580</f>
        <v>124113.00100000005</v>
      </c>
      <c r="E2581" s="922"/>
      <c r="F2581" s="923"/>
      <c r="G2581" s="918" t="s">
        <v>383</v>
      </c>
      <c r="H2581" s="919" t="s">
        <v>384</v>
      </c>
      <c r="I2581" s="920"/>
      <c r="J2581" s="921" t="e">
        <f>SUM(J2572:J2577)-J2580</f>
        <v>#N/A</v>
      </c>
    </row>
    <row r="2582" spans="1:15" ht="15.75" customHeight="1">
      <c r="A2582" s="924"/>
      <c r="B2582" s="925"/>
      <c r="C2582" s="926"/>
      <c r="D2582" s="927"/>
      <c r="E2582" s="927"/>
      <c r="F2582" s="928"/>
      <c r="G2582" s="924"/>
      <c r="H2582" s="925"/>
      <c r="I2582" s="926"/>
      <c r="J2582" s="927"/>
    </row>
    <row r="2584" spans="1:15" ht="12" customHeight="1">
      <c r="A2584" s="2361"/>
      <c r="B2584" s="2361"/>
      <c r="C2584" s="2361"/>
      <c r="D2584" s="2361"/>
      <c r="E2584" s="2361"/>
      <c r="F2584" s="2361"/>
      <c r="G2584" s="2361"/>
      <c r="H2584" s="2361"/>
      <c r="I2584" s="2361"/>
      <c r="J2584" s="2361"/>
    </row>
    <row r="2585" spans="1:15" ht="15" customHeight="1">
      <c r="A2585" s="2360" t="str">
        <f>$K$2</f>
        <v>THÁNG 09/2024</v>
      </c>
      <c r="B2585" s="2360"/>
      <c r="C2585" s="2360"/>
      <c r="D2585" s="2360"/>
      <c r="E2585" s="903"/>
      <c r="F2585" s="904"/>
      <c r="G2585" s="2360" t="str">
        <f>$K$2</f>
        <v>THÁNG 09/2024</v>
      </c>
      <c r="H2585" s="2360"/>
      <c r="I2585" s="2360"/>
      <c r="J2585" s="2360"/>
      <c r="K2585" s="276"/>
    </row>
    <row r="2586" spans="1:15" ht="15" customHeight="1">
      <c r="A2586" s="905" t="s">
        <v>356</v>
      </c>
      <c r="B2586" s="642" t="s">
        <v>238</v>
      </c>
      <c r="C2586" s="546"/>
      <c r="D2586" s="902"/>
      <c r="E2586" s="906"/>
      <c r="F2586" s="907"/>
      <c r="G2586" s="905" t="s">
        <v>356</v>
      </c>
      <c r="H2586" s="642" t="s">
        <v>239</v>
      </c>
      <c r="I2586" s="546"/>
      <c r="J2586" s="902"/>
      <c r="L2586" s="938"/>
      <c r="M2586" s="938"/>
      <c r="N2586" s="938"/>
      <c r="O2586" s="938"/>
    </row>
    <row r="2587" spans="1:15" ht="15" customHeight="1">
      <c r="A2587" s="905" t="s">
        <v>359</v>
      </c>
      <c r="B2587" s="939" t="s">
        <v>360</v>
      </c>
      <c r="C2587" s="910" t="e">
        <f>VLOOKUP(B2586,'LƯƠNG KT'!$D$16:$AC$184,3,0)</f>
        <v>#N/A</v>
      </c>
      <c r="D2587" s="609" t="e">
        <f>+C2587*25000</f>
        <v>#N/A</v>
      </c>
      <c r="E2587" s="911"/>
      <c r="F2587" s="911"/>
      <c r="G2587" s="905" t="s">
        <v>359</v>
      </c>
      <c r="H2587" s="939" t="s">
        <v>360</v>
      </c>
      <c r="I2587" s="910" t="e">
        <f>VLOOKUP(H2586,'LƯƠNG KT'!$D$16:$AC$184,3,0)</f>
        <v>#N/A</v>
      </c>
      <c r="J2587" s="609" t="e">
        <f>+I2587*25000</f>
        <v>#N/A</v>
      </c>
      <c r="K2587" s="934"/>
      <c r="L2587" s="935"/>
      <c r="M2587" s="935"/>
      <c r="N2587" s="935"/>
      <c r="O2587" s="935"/>
    </row>
    <row r="2588" spans="1:15" ht="15" customHeight="1">
      <c r="A2588" s="905" t="s">
        <v>361</v>
      </c>
      <c r="B2588" s="546" t="s">
        <v>362</v>
      </c>
      <c r="C2588" s="910" t="e">
        <f>VLOOKUP(B2586,'LƯƠNG KT'!$D$16:$AC$184,14,0)</f>
        <v>#N/A</v>
      </c>
      <c r="D2588" s="609" t="e">
        <f>C2588*$L$4</f>
        <v>#N/A</v>
      </c>
      <c r="E2588" s="912"/>
      <c r="F2588" s="912"/>
      <c r="G2588" s="905" t="s">
        <v>361</v>
      </c>
      <c r="H2588" s="546" t="s">
        <v>362</v>
      </c>
      <c r="I2588" s="910" t="e">
        <f>VLOOKUP(H2586,'LƯƠNG KT'!$D$16:$AC$184,14,0)</f>
        <v>#N/A</v>
      </c>
      <c r="J2588" s="609" t="e">
        <f>I2588*$L$4</f>
        <v>#N/A</v>
      </c>
      <c r="K2588" s="934"/>
      <c r="L2588" s="935"/>
      <c r="M2588" s="935"/>
      <c r="N2588" s="935"/>
      <c r="O2588" s="935"/>
    </row>
    <row r="2589" spans="1:15" ht="15" customHeight="1">
      <c r="A2589" s="905" t="s">
        <v>364</v>
      </c>
      <c r="B2589" s="546" t="s">
        <v>365</v>
      </c>
      <c r="C2589" s="910" t="e">
        <f>VLOOKUP(B2586,'LƯƠNG KT'!$D$16:$AC$184,15,0)</f>
        <v>#N/A</v>
      </c>
      <c r="D2589" s="609" t="e">
        <f>C2589*$L$5</f>
        <v>#N/A</v>
      </c>
      <c r="E2589" s="912"/>
      <c r="F2589" s="912"/>
      <c r="G2589" s="905" t="s">
        <v>364</v>
      </c>
      <c r="H2589" s="546" t="s">
        <v>365</v>
      </c>
      <c r="I2589" s="910" t="e">
        <f>VLOOKUP(H2586,'LƯƠNG KT'!$D$16:$AC$184,15,0)</f>
        <v>#N/A</v>
      </c>
      <c r="J2589" s="609" t="e">
        <f>I2589*$L$5</f>
        <v>#N/A</v>
      </c>
      <c r="K2589" s="934"/>
      <c r="L2589" s="935"/>
      <c r="M2589" s="935"/>
      <c r="N2589" s="935"/>
      <c r="O2589" s="935"/>
    </row>
    <row r="2590" spans="1:15" ht="15" customHeight="1">
      <c r="A2590" s="905" t="s">
        <v>367</v>
      </c>
      <c r="B2590" s="546"/>
      <c r="C2590" s="910" t="e">
        <f>VLOOKUP(B2586,'LƯƠNG KT'!$D$16:$AC$184,16,0)</f>
        <v>#N/A</v>
      </c>
      <c r="D2590" s="609" t="e">
        <f>+C2590*$L$6</f>
        <v>#N/A</v>
      </c>
      <c r="E2590" s="912"/>
      <c r="F2590" s="912"/>
      <c r="G2590" s="905" t="s">
        <v>367</v>
      </c>
      <c r="H2590" s="546"/>
      <c r="I2590" s="910" t="e">
        <f>VLOOKUP(H2586,'LƯƠNG KT'!$D$16:$AC$184,16,0)</f>
        <v>#N/A</v>
      </c>
      <c r="J2590" s="609" t="e">
        <f>+I2590*$L$6</f>
        <v>#N/A</v>
      </c>
      <c r="K2590" s="935"/>
      <c r="L2590" s="935"/>
      <c r="M2590" s="935"/>
      <c r="N2590" s="935"/>
      <c r="O2590" s="935"/>
    </row>
    <row r="2591" spans="1:15" ht="15" customHeight="1">
      <c r="A2591" s="905" t="s">
        <v>371</v>
      </c>
      <c r="B2591" s="546" t="s">
        <v>372</v>
      </c>
      <c r="C2591" s="910" t="e">
        <f>VLOOKUP(B2586,'LƯƠNG KT'!$D$16:$AC$184,9,0)*$L$10</f>
        <v>#N/A</v>
      </c>
      <c r="D2591" s="609" t="e">
        <f>+C2591*0.5*3000</f>
        <v>#N/A</v>
      </c>
      <c r="E2591" s="912"/>
      <c r="F2591" s="912"/>
      <c r="G2591" s="905" t="s">
        <v>371</v>
      </c>
      <c r="H2591" s="546" t="s">
        <v>372</v>
      </c>
      <c r="I2591" s="910" t="e">
        <f>VLOOKUP(H2586,'LƯƠNG KT'!$D$16:$AC$184,9,0)*$L$10</f>
        <v>#N/A</v>
      </c>
      <c r="J2591" s="609" t="e">
        <f>+I2591*0.5*3000</f>
        <v>#N/A</v>
      </c>
      <c r="K2591" s="935"/>
      <c r="L2591" s="935"/>
      <c r="M2591" s="935"/>
      <c r="N2591" s="935"/>
      <c r="O2591" s="935"/>
    </row>
    <row r="2592" spans="1:15" ht="15" customHeight="1">
      <c r="A2592" s="905" t="s">
        <v>374</v>
      </c>
      <c r="B2592" s="546" t="s">
        <v>375</v>
      </c>
      <c r="C2592" s="910" t="e">
        <f>VLOOKUP(B2586,'LƯƠNG KT'!$D$16:$AC$184,8,0)*$L$11</f>
        <v>#N/A</v>
      </c>
      <c r="D2592" s="609" t="e">
        <f>VLOOKUP(B2586,'LƯƠNG KT'!$D$16:$AC$184,13,0)-D2591</f>
        <v>#N/A</v>
      </c>
      <c r="E2592" s="914"/>
      <c r="F2592" s="912"/>
      <c r="G2592" s="905" t="s">
        <v>374</v>
      </c>
      <c r="H2592" s="546" t="s">
        <v>375</v>
      </c>
      <c r="I2592" s="910" t="e">
        <f>VLOOKUP(H2586,'LƯƠNG KT'!$D$16:$AC$184,8,0)*$L$11</f>
        <v>#N/A</v>
      </c>
      <c r="J2592" s="609" t="e">
        <f>VLOOKUP(H2586,'LƯƠNG KT'!$D$16:$AC$184,13,0)-J2591</f>
        <v>#N/A</v>
      </c>
      <c r="K2592" s="935"/>
      <c r="L2592" s="935"/>
      <c r="M2592" s="935"/>
      <c r="N2592" s="935"/>
      <c r="O2592" s="935"/>
    </row>
    <row r="2593" spans="1:15" ht="15" customHeight="1">
      <c r="A2593" s="609" t="s">
        <v>377</v>
      </c>
      <c r="B2593" s="546" t="s">
        <v>378</v>
      </c>
      <c r="C2593" s="910"/>
      <c r="D2593" s="609"/>
      <c r="E2593" s="916"/>
      <c r="F2593" s="916"/>
      <c r="G2593" s="609" t="s">
        <v>377</v>
      </c>
      <c r="H2593" s="546" t="s">
        <v>378</v>
      </c>
      <c r="I2593" s="910"/>
      <c r="J2593" s="609"/>
    </row>
    <row r="2594" spans="1:15" ht="15" customHeight="1">
      <c r="A2594" s="547" t="s">
        <v>379</v>
      </c>
      <c r="B2594" s="546" t="s">
        <v>380</v>
      </c>
      <c r="C2594" s="910"/>
      <c r="D2594" s="609"/>
      <c r="E2594" s="914"/>
      <c r="F2594" s="916"/>
      <c r="G2594" s="547" t="s">
        <v>379</v>
      </c>
      <c r="H2594" s="546" t="s">
        <v>380</v>
      </c>
      <c r="I2594" s="910"/>
      <c r="J2594" s="609"/>
    </row>
    <row r="2595" spans="1:15" ht="15" customHeight="1">
      <c r="A2595" s="905" t="s">
        <v>381</v>
      </c>
      <c r="B2595" s="546" t="s">
        <v>382</v>
      </c>
      <c r="C2595" s="910"/>
      <c r="D2595" s="609">
        <f>D2594</f>
        <v>0</v>
      </c>
      <c r="E2595" s="917"/>
      <c r="F2595" s="904"/>
      <c r="G2595" s="905" t="s">
        <v>381</v>
      </c>
      <c r="H2595" s="546" t="s">
        <v>382</v>
      </c>
      <c r="I2595" s="910"/>
      <c r="J2595" s="609">
        <f>J2594</f>
        <v>0</v>
      </c>
    </row>
    <row r="2596" spans="1:15" ht="15" customHeight="1">
      <c r="A2596" s="918" t="s">
        <v>383</v>
      </c>
      <c r="B2596" s="919" t="s">
        <v>384</v>
      </c>
      <c r="C2596" s="920"/>
      <c r="D2596" s="921" t="e">
        <f>SUM(D2587:D2592)-D2595</f>
        <v>#N/A</v>
      </c>
      <c r="E2596" s="922"/>
      <c r="F2596" s="923"/>
      <c r="G2596" s="918" t="s">
        <v>383</v>
      </c>
      <c r="H2596" s="919" t="s">
        <v>384</v>
      </c>
      <c r="I2596" s="920"/>
      <c r="J2596" s="921" t="e">
        <f>SUM(J2587:J2592)-J2595</f>
        <v>#N/A</v>
      </c>
    </row>
    <row r="2597" spans="1:15" ht="12.6" customHeight="1">
      <c r="A2597" s="924"/>
      <c r="B2597" s="925"/>
      <c r="C2597" s="926"/>
      <c r="D2597" s="927"/>
      <c r="E2597" s="927"/>
      <c r="F2597" s="928"/>
      <c r="G2597" s="924"/>
      <c r="H2597" s="925"/>
      <c r="I2597" s="926"/>
      <c r="J2597" s="927"/>
    </row>
    <row r="2598" spans="1:15" ht="12.6" customHeight="1">
      <c r="A2598" s="925"/>
      <c r="B2598" s="925"/>
      <c r="C2598" s="929"/>
      <c r="D2598" s="930"/>
      <c r="E2598" s="925"/>
      <c r="F2598" s="931"/>
      <c r="G2598" s="925"/>
      <c r="H2598" s="925"/>
      <c r="I2598" s="929"/>
      <c r="J2598" s="930"/>
    </row>
    <row r="2599" spans="1:15" ht="15" customHeight="1">
      <c r="A2599" s="2360" t="str">
        <f>$K$2</f>
        <v>THÁNG 09/2024</v>
      </c>
      <c r="B2599" s="2360"/>
      <c r="C2599" s="2360"/>
      <c r="D2599" s="2360"/>
      <c r="E2599" s="903"/>
      <c r="F2599" s="904"/>
      <c r="G2599" s="2360" t="str">
        <f>$K$2</f>
        <v>THÁNG 09/2024</v>
      </c>
      <c r="H2599" s="2360"/>
      <c r="I2599" s="2360"/>
      <c r="J2599" s="2360"/>
      <c r="K2599" s="276"/>
    </row>
    <row r="2600" spans="1:15" ht="15" customHeight="1">
      <c r="A2600" s="905" t="s">
        <v>356</v>
      </c>
      <c r="B2600" s="642" t="s">
        <v>240</v>
      </c>
      <c r="C2600" s="546"/>
      <c r="D2600" s="902"/>
      <c r="E2600" s="906"/>
      <c r="F2600" s="907"/>
      <c r="G2600" s="905" t="s">
        <v>356</v>
      </c>
      <c r="H2600" s="642" t="s">
        <v>241</v>
      </c>
      <c r="I2600" s="546"/>
      <c r="J2600" s="902"/>
      <c r="L2600" s="938"/>
      <c r="M2600" s="938"/>
      <c r="N2600" s="938"/>
      <c r="O2600" s="938"/>
    </row>
    <row r="2601" spans="1:15" ht="15" customHeight="1">
      <c r="A2601" s="905" t="s">
        <v>359</v>
      </c>
      <c r="B2601" s="939" t="s">
        <v>360</v>
      </c>
      <c r="C2601" s="910" t="e">
        <f>VLOOKUP(B2600,'LƯƠNG KT'!$D$16:$AC$184,3,0)</f>
        <v>#N/A</v>
      </c>
      <c r="D2601" s="609" t="e">
        <f>+C2601*25000</f>
        <v>#N/A</v>
      </c>
      <c r="E2601" s="911"/>
      <c r="F2601" s="911"/>
      <c r="G2601" s="905" t="s">
        <v>359</v>
      </c>
      <c r="H2601" s="939" t="s">
        <v>360</v>
      </c>
      <c r="I2601" s="910" t="e">
        <f>VLOOKUP(H2600,'LƯƠNG KT'!$D$16:$AC$184,3,0)</f>
        <v>#N/A</v>
      </c>
      <c r="J2601" s="609" t="e">
        <f>+I2601*25000</f>
        <v>#N/A</v>
      </c>
      <c r="K2601" s="935"/>
      <c r="L2601" s="935"/>
      <c r="M2601" s="935"/>
      <c r="N2601" s="935"/>
      <c r="O2601" s="935"/>
    </row>
    <row r="2602" spans="1:15" ht="15" customHeight="1">
      <c r="A2602" s="905" t="s">
        <v>361</v>
      </c>
      <c r="B2602" s="546" t="s">
        <v>362</v>
      </c>
      <c r="C2602" s="910" t="e">
        <f>VLOOKUP(B2600,'LƯƠNG KT'!$D$16:$AC$184,14,0)</f>
        <v>#N/A</v>
      </c>
      <c r="D2602" s="609" t="e">
        <f>C2602*$L$4</f>
        <v>#N/A</v>
      </c>
      <c r="E2602" s="912"/>
      <c r="F2602" s="912"/>
      <c r="G2602" s="905" t="s">
        <v>361</v>
      </c>
      <c r="H2602" s="546" t="s">
        <v>362</v>
      </c>
      <c r="I2602" s="910" t="e">
        <f>VLOOKUP(H2600,'LƯƠNG KT'!$D$16:$AC$184,14,0)</f>
        <v>#N/A</v>
      </c>
      <c r="J2602" s="609" t="e">
        <f>I2602*$L$4</f>
        <v>#N/A</v>
      </c>
      <c r="K2602" s="935"/>
      <c r="L2602" s="935"/>
      <c r="M2602" s="935"/>
      <c r="N2602" s="935"/>
      <c r="O2602" s="935"/>
    </row>
    <row r="2603" spans="1:15" ht="15" customHeight="1">
      <c r="A2603" s="905" t="s">
        <v>364</v>
      </c>
      <c r="B2603" s="546" t="s">
        <v>365</v>
      </c>
      <c r="C2603" s="910" t="e">
        <f>VLOOKUP(B2600,'LƯƠNG KT'!$D$16:$AC$184,15,0)</f>
        <v>#N/A</v>
      </c>
      <c r="D2603" s="609" t="e">
        <f>C2603*$L$5</f>
        <v>#N/A</v>
      </c>
      <c r="E2603" s="912"/>
      <c r="F2603" s="912"/>
      <c r="G2603" s="905" t="s">
        <v>364</v>
      </c>
      <c r="H2603" s="546" t="s">
        <v>365</v>
      </c>
      <c r="I2603" s="910" t="e">
        <f>VLOOKUP(H2600,'LƯƠNG KT'!$D$16:$AC$184,15,0)</f>
        <v>#N/A</v>
      </c>
      <c r="J2603" s="609" t="e">
        <f>I2603*$L$5</f>
        <v>#N/A</v>
      </c>
      <c r="K2603" s="935"/>
      <c r="L2603" s="935"/>
      <c r="M2603" s="935"/>
      <c r="N2603" s="935"/>
      <c r="O2603" s="935"/>
    </row>
    <row r="2604" spans="1:15" ht="15" customHeight="1">
      <c r="A2604" s="905" t="s">
        <v>367</v>
      </c>
      <c r="B2604" s="546"/>
      <c r="C2604" s="910" t="e">
        <f>VLOOKUP(B2600,'LƯƠNG KT'!$D$16:$AC$184,16,0)</f>
        <v>#N/A</v>
      </c>
      <c r="D2604" s="609" t="e">
        <f>+C2604*$L$6</f>
        <v>#N/A</v>
      </c>
      <c r="E2604" s="912"/>
      <c r="F2604" s="912"/>
      <c r="G2604" s="905" t="s">
        <v>367</v>
      </c>
      <c r="H2604" s="546"/>
      <c r="I2604" s="910" t="e">
        <f>VLOOKUP(H2600,'LƯƠNG KT'!$D$16:$AC$184,16,0)</f>
        <v>#N/A</v>
      </c>
      <c r="J2604" s="609" t="e">
        <f>+I2604*$L$6</f>
        <v>#N/A</v>
      </c>
      <c r="K2604" s="935"/>
      <c r="L2604" s="935"/>
      <c r="M2604" s="935"/>
      <c r="N2604" s="935"/>
      <c r="O2604" s="935"/>
    </row>
    <row r="2605" spans="1:15" ht="15" customHeight="1">
      <c r="A2605" s="905" t="s">
        <v>371</v>
      </c>
      <c r="B2605" s="546" t="s">
        <v>372</v>
      </c>
      <c r="C2605" s="910" t="e">
        <f>VLOOKUP(B2600,'LƯƠNG KT'!$D$16:$AC$184,9,0)*$L$10</f>
        <v>#N/A</v>
      </c>
      <c r="D2605" s="609" t="e">
        <f>+C2605*0.5*3000</f>
        <v>#N/A</v>
      </c>
      <c r="E2605" s="912"/>
      <c r="F2605" s="912"/>
      <c r="G2605" s="905" t="s">
        <v>371</v>
      </c>
      <c r="H2605" s="546" t="s">
        <v>372</v>
      </c>
      <c r="I2605" s="910" t="e">
        <f>VLOOKUP(H2600,'LƯƠNG KT'!$D$16:$AC$184,9,0)*$L$10</f>
        <v>#N/A</v>
      </c>
      <c r="J2605" s="609" t="e">
        <f>+I2605*0.5*3000</f>
        <v>#N/A</v>
      </c>
      <c r="K2605" s="935"/>
      <c r="L2605" s="935"/>
      <c r="M2605" s="935"/>
      <c r="N2605" s="935"/>
      <c r="O2605" s="935"/>
    </row>
    <row r="2606" spans="1:15" ht="15" customHeight="1">
      <c r="A2606" s="905" t="s">
        <v>374</v>
      </c>
      <c r="B2606" s="546" t="s">
        <v>375</v>
      </c>
      <c r="C2606" s="910" t="e">
        <f>VLOOKUP(B2600,'LƯƠNG KT'!$D$16:$AC$184,8,0)*$L$11</f>
        <v>#N/A</v>
      </c>
      <c r="D2606" s="609" t="e">
        <f>VLOOKUP(B2600,'LƯƠNG KT'!$D$16:$AC$184,13,0)-D2605</f>
        <v>#N/A</v>
      </c>
      <c r="E2606" s="914"/>
      <c r="F2606" s="912"/>
      <c r="G2606" s="905" t="s">
        <v>374</v>
      </c>
      <c r="H2606" s="546" t="s">
        <v>375</v>
      </c>
      <c r="I2606" s="910" t="e">
        <f>VLOOKUP(H2600,'LƯƠNG KT'!$D$16:$AC$184,8,0)*$L$11</f>
        <v>#N/A</v>
      </c>
      <c r="J2606" s="609" t="e">
        <f>VLOOKUP(H2600,'LƯƠNG KT'!$D$16:$AC$184,13,0)-J2605</f>
        <v>#N/A</v>
      </c>
      <c r="K2606" s="935"/>
      <c r="L2606" s="935"/>
      <c r="M2606" s="935"/>
      <c r="N2606" s="935"/>
      <c r="O2606" s="935"/>
    </row>
    <row r="2607" spans="1:15" ht="15" customHeight="1">
      <c r="A2607" s="609" t="s">
        <v>377</v>
      </c>
      <c r="B2607" s="546" t="s">
        <v>378</v>
      </c>
      <c r="C2607" s="910"/>
      <c r="D2607" s="609"/>
      <c r="E2607" s="916"/>
      <c r="F2607" s="916"/>
      <c r="G2607" s="609" t="s">
        <v>377</v>
      </c>
      <c r="H2607" s="546" t="s">
        <v>378</v>
      </c>
      <c r="I2607" s="910"/>
      <c r="J2607" s="609"/>
    </row>
    <row r="2608" spans="1:15" ht="15" customHeight="1">
      <c r="A2608" s="547" t="s">
        <v>379</v>
      </c>
      <c r="B2608" s="546" t="s">
        <v>380</v>
      </c>
      <c r="C2608" s="910"/>
      <c r="D2608" s="609"/>
      <c r="E2608" s="914"/>
      <c r="F2608" s="916"/>
      <c r="G2608" s="547" t="s">
        <v>379</v>
      </c>
      <c r="H2608" s="546" t="s">
        <v>380</v>
      </c>
      <c r="I2608" s="910"/>
      <c r="J2608" s="609"/>
    </row>
    <row r="2609" spans="1:15" ht="15" customHeight="1">
      <c r="A2609" s="905" t="s">
        <v>381</v>
      </c>
      <c r="B2609" s="546" t="s">
        <v>382</v>
      </c>
      <c r="C2609" s="910"/>
      <c r="D2609" s="609">
        <f>D2608</f>
        <v>0</v>
      </c>
      <c r="E2609" s="917"/>
      <c r="F2609" s="904"/>
      <c r="G2609" s="905" t="s">
        <v>381</v>
      </c>
      <c r="H2609" s="546" t="s">
        <v>382</v>
      </c>
      <c r="I2609" s="910"/>
      <c r="J2609" s="609">
        <f>J2608</f>
        <v>0</v>
      </c>
    </row>
    <row r="2610" spans="1:15" ht="15" customHeight="1">
      <c r="A2610" s="918" t="s">
        <v>383</v>
      </c>
      <c r="B2610" s="919" t="s">
        <v>384</v>
      </c>
      <c r="C2610" s="920"/>
      <c r="D2610" s="921" t="e">
        <f>SUM(D2601:D2606)-D2609</f>
        <v>#N/A</v>
      </c>
      <c r="E2610" s="922"/>
      <c r="F2610" s="923"/>
      <c r="G2610" s="918" t="s">
        <v>383</v>
      </c>
      <c r="H2610" s="919" t="s">
        <v>384</v>
      </c>
      <c r="I2610" s="920"/>
      <c r="J2610" s="921" t="e">
        <f>SUM(J2601:J2606)-J2609</f>
        <v>#N/A</v>
      </c>
    </row>
    <row r="2611" spans="1:15" ht="18.75" customHeight="1">
      <c r="A2611" s="924"/>
      <c r="B2611" s="925"/>
      <c r="C2611" s="926"/>
      <c r="D2611" s="927"/>
      <c r="E2611" s="927"/>
      <c r="F2611" s="928"/>
      <c r="G2611" s="924"/>
      <c r="H2611" s="925"/>
      <c r="I2611" s="926"/>
      <c r="J2611" s="927"/>
    </row>
    <row r="2612" spans="1:15" ht="18.75" customHeight="1">
      <c r="A2612" s="925"/>
      <c r="B2612" s="925"/>
      <c r="C2612" s="929"/>
      <c r="D2612" s="930"/>
      <c r="E2612" s="925"/>
      <c r="F2612" s="931"/>
      <c r="G2612" s="925"/>
      <c r="H2612" s="925"/>
      <c r="I2612" s="929"/>
      <c r="J2612" s="930"/>
    </row>
    <row r="2613" spans="1:15" ht="15" customHeight="1">
      <c r="A2613" s="2360" t="str">
        <f>$K$2</f>
        <v>THÁNG 09/2024</v>
      </c>
      <c r="B2613" s="2360"/>
      <c r="C2613" s="2360"/>
      <c r="D2613" s="2360"/>
      <c r="E2613" s="903"/>
      <c r="F2613" s="904"/>
      <c r="G2613" s="2360" t="str">
        <f>$K$2</f>
        <v>THÁNG 09/2024</v>
      </c>
      <c r="H2613" s="2360"/>
      <c r="I2613" s="2360"/>
      <c r="J2613" s="2360"/>
      <c r="K2613" s="276"/>
    </row>
    <row r="2614" spans="1:15" ht="15" customHeight="1">
      <c r="A2614" s="905" t="s">
        <v>356</v>
      </c>
      <c r="B2614" s="642" t="s">
        <v>242</v>
      </c>
      <c r="C2614" s="546"/>
      <c r="D2614" s="902"/>
      <c r="E2614" s="906"/>
      <c r="F2614" s="907"/>
      <c r="G2614" s="905" t="s">
        <v>356</v>
      </c>
      <c r="H2614" s="642" t="s">
        <v>243</v>
      </c>
      <c r="I2614" s="546"/>
      <c r="J2614" s="902"/>
      <c r="L2614" s="938"/>
      <c r="M2614" s="938"/>
      <c r="N2614" s="938"/>
      <c r="O2614" s="938"/>
    </row>
    <row r="2615" spans="1:15" ht="15" customHeight="1">
      <c r="A2615" s="905" t="s">
        <v>359</v>
      </c>
      <c r="B2615" s="939" t="s">
        <v>360</v>
      </c>
      <c r="C2615" s="910" t="e">
        <f>VLOOKUP(B2614,'LƯƠNG KT'!$D$16:$AC$184,3,0)</f>
        <v>#N/A</v>
      </c>
      <c r="D2615" s="609" t="e">
        <f>+C2615*25000</f>
        <v>#N/A</v>
      </c>
      <c r="E2615" s="911"/>
      <c r="F2615" s="911"/>
      <c r="G2615" s="905" t="s">
        <v>359</v>
      </c>
      <c r="H2615" s="939" t="s">
        <v>360</v>
      </c>
      <c r="I2615" s="910" t="e">
        <f>VLOOKUP(H2614,'LƯƠNG KT'!$D$16:$AC$184,3,0)</f>
        <v>#N/A</v>
      </c>
      <c r="J2615" s="609" t="e">
        <f>+I2615*25000</f>
        <v>#N/A</v>
      </c>
      <c r="K2615" s="935"/>
      <c r="L2615" s="935"/>
      <c r="M2615" s="935"/>
      <c r="N2615" s="935"/>
      <c r="O2615" s="935"/>
    </row>
    <row r="2616" spans="1:15" ht="15" customHeight="1">
      <c r="A2616" s="905" t="s">
        <v>361</v>
      </c>
      <c r="B2616" s="546" t="s">
        <v>362</v>
      </c>
      <c r="C2616" s="910" t="e">
        <f>VLOOKUP(B2614,'LƯƠNG KT'!$D$16:$AC$184,14,0)</f>
        <v>#N/A</v>
      </c>
      <c r="D2616" s="609" t="e">
        <f>C2616*$L$4</f>
        <v>#N/A</v>
      </c>
      <c r="E2616" s="912"/>
      <c r="F2616" s="912"/>
      <c r="G2616" s="905" t="s">
        <v>361</v>
      </c>
      <c r="H2616" s="546" t="s">
        <v>362</v>
      </c>
      <c r="I2616" s="910" t="e">
        <f>VLOOKUP(H2614,'LƯƠNG KT'!$D$16:$AC$184,14,0)</f>
        <v>#N/A</v>
      </c>
      <c r="J2616" s="609" t="e">
        <f>I2616*$L$4</f>
        <v>#N/A</v>
      </c>
      <c r="K2616" s="935"/>
      <c r="L2616" s="935"/>
      <c r="M2616" s="935"/>
      <c r="N2616" s="935"/>
      <c r="O2616" s="935"/>
    </row>
    <row r="2617" spans="1:15" ht="15" customHeight="1">
      <c r="A2617" s="905" t="s">
        <v>364</v>
      </c>
      <c r="B2617" s="546" t="s">
        <v>365</v>
      </c>
      <c r="C2617" s="910" t="e">
        <f>VLOOKUP(B2614,'LƯƠNG KT'!$D$16:$AC$184,15,0)</f>
        <v>#N/A</v>
      </c>
      <c r="D2617" s="609" t="e">
        <f>C2617*$L$5</f>
        <v>#N/A</v>
      </c>
      <c r="E2617" s="912"/>
      <c r="F2617" s="912"/>
      <c r="G2617" s="905" t="s">
        <v>364</v>
      </c>
      <c r="H2617" s="546" t="s">
        <v>365</v>
      </c>
      <c r="I2617" s="910" t="e">
        <f>VLOOKUP(H2614,'LƯƠNG KT'!$D$16:$AC$184,15,0)</f>
        <v>#N/A</v>
      </c>
      <c r="J2617" s="609" t="e">
        <f>I2617*$L$5</f>
        <v>#N/A</v>
      </c>
      <c r="K2617" s="935"/>
      <c r="L2617" s="935"/>
      <c r="M2617" s="935"/>
      <c r="N2617" s="935"/>
      <c r="O2617" s="935"/>
    </row>
    <row r="2618" spans="1:15" ht="15" customHeight="1">
      <c r="A2618" s="905" t="s">
        <v>367</v>
      </c>
      <c r="B2618" s="546"/>
      <c r="C2618" s="910" t="e">
        <f>VLOOKUP(B2614,'LƯƠNG KT'!$D$16:$AC$184,16,0)</f>
        <v>#N/A</v>
      </c>
      <c r="D2618" s="609" t="e">
        <f>+C2618*$L$6</f>
        <v>#N/A</v>
      </c>
      <c r="E2618" s="912"/>
      <c r="F2618" s="912"/>
      <c r="G2618" s="905" t="s">
        <v>367</v>
      </c>
      <c r="H2618" s="546"/>
      <c r="I2618" s="910" t="e">
        <f>VLOOKUP(H2614,'LƯƠNG KT'!$D$16:$AC$184,16,0)</f>
        <v>#N/A</v>
      </c>
      <c r="J2618" s="609" t="e">
        <f>+I2618*$L$6</f>
        <v>#N/A</v>
      </c>
      <c r="K2618" s="935"/>
      <c r="L2618" s="935"/>
      <c r="M2618" s="935"/>
      <c r="N2618" s="935"/>
      <c r="O2618" s="935"/>
    </row>
    <row r="2619" spans="1:15" ht="15" customHeight="1">
      <c r="A2619" s="905" t="s">
        <v>371</v>
      </c>
      <c r="B2619" s="546" t="s">
        <v>372</v>
      </c>
      <c r="C2619" s="910" t="e">
        <f>VLOOKUP(B2614,'LƯƠNG KT'!$D$16:$AC$184,9,0)*$L$10</f>
        <v>#N/A</v>
      </c>
      <c r="D2619" s="609" t="e">
        <f>+C2619*0.5*3000</f>
        <v>#N/A</v>
      </c>
      <c r="E2619" s="912"/>
      <c r="F2619" s="912"/>
      <c r="G2619" s="905" t="s">
        <v>371</v>
      </c>
      <c r="H2619" s="546" t="s">
        <v>372</v>
      </c>
      <c r="I2619" s="910" t="e">
        <f>VLOOKUP(H2614,'LƯƠNG KT'!$D$16:$AC$184,9,0)*$L$10</f>
        <v>#N/A</v>
      </c>
      <c r="J2619" s="609" t="e">
        <f>+I2619*0.5*3000</f>
        <v>#N/A</v>
      </c>
      <c r="K2619" s="935"/>
      <c r="L2619" s="935"/>
      <c r="M2619" s="935"/>
      <c r="N2619" s="935"/>
      <c r="O2619" s="935"/>
    </row>
    <row r="2620" spans="1:15" ht="15" customHeight="1">
      <c r="A2620" s="905" t="s">
        <v>374</v>
      </c>
      <c r="B2620" s="546" t="s">
        <v>375</v>
      </c>
      <c r="C2620" s="910" t="e">
        <f>VLOOKUP(B2614,'LƯƠNG KT'!$D$16:$AC$184,8,0)*$L$11</f>
        <v>#N/A</v>
      </c>
      <c r="D2620" s="609" t="e">
        <f>VLOOKUP(B2614,'LƯƠNG KT'!$D$16:$AC$184,13,0)-D2619</f>
        <v>#N/A</v>
      </c>
      <c r="E2620" s="914"/>
      <c r="F2620" s="912"/>
      <c r="G2620" s="905" t="s">
        <v>374</v>
      </c>
      <c r="H2620" s="546" t="s">
        <v>375</v>
      </c>
      <c r="I2620" s="910" t="e">
        <f>VLOOKUP(H2614,'LƯƠNG KT'!$D$16:$AC$184,8,0)*$L$11</f>
        <v>#N/A</v>
      </c>
      <c r="J2620" s="609" t="e">
        <f>VLOOKUP(H2614,'LƯƠNG KT'!$D$16:$AC$184,13,0)-J2619</f>
        <v>#N/A</v>
      </c>
      <c r="K2620" s="935"/>
      <c r="L2620" s="935"/>
      <c r="M2620" s="935"/>
      <c r="N2620" s="935"/>
      <c r="O2620" s="935"/>
    </row>
    <row r="2621" spans="1:15" ht="15" customHeight="1">
      <c r="A2621" s="609" t="s">
        <v>377</v>
      </c>
      <c r="B2621" s="546" t="s">
        <v>378</v>
      </c>
      <c r="C2621" s="910"/>
      <c r="D2621" s="609"/>
      <c r="E2621" s="916"/>
      <c r="F2621" s="916"/>
      <c r="G2621" s="609" t="s">
        <v>377</v>
      </c>
      <c r="H2621" s="546" t="s">
        <v>378</v>
      </c>
      <c r="I2621" s="910"/>
      <c r="J2621" s="609"/>
    </row>
    <row r="2622" spans="1:15" ht="15" customHeight="1">
      <c r="A2622" s="547" t="s">
        <v>379</v>
      </c>
      <c r="B2622" s="546" t="s">
        <v>380</v>
      </c>
      <c r="C2622" s="910"/>
      <c r="D2622" s="609"/>
      <c r="E2622" s="914"/>
      <c r="F2622" s="916"/>
      <c r="G2622" s="547" t="s">
        <v>379</v>
      </c>
      <c r="H2622" s="546" t="s">
        <v>380</v>
      </c>
      <c r="I2622" s="910"/>
      <c r="J2622" s="609"/>
    </row>
    <row r="2623" spans="1:15" ht="15" customHeight="1">
      <c r="A2623" s="905" t="s">
        <v>381</v>
      </c>
      <c r="B2623" s="546" t="s">
        <v>382</v>
      </c>
      <c r="C2623" s="910"/>
      <c r="D2623" s="609">
        <f>D2622</f>
        <v>0</v>
      </c>
      <c r="E2623" s="917"/>
      <c r="F2623" s="904"/>
      <c r="G2623" s="905" t="s">
        <v>381</v>
      </c>
      <c r="H2623" s="546" t="s">
        <v>382</v>
      </c>
      <c r="I2623" s="910"/>
      <c r="J2623" s="609">
        <f>J2622</f>
        <v>0</v>
      </c>
    </row>
    <row r="2624" spans="1:15" ht="15" customHeight="1">
      <c r="A2624" s="918" t="s">
        <v>383</v>
      </c>
      <c r="B2624" s="919" t="s">
        <v>384</v>
      </c>
      <c r="C2624" s="920"/>
      <c r="D2624" s="921" t="e">
        <f>SUM(D2615:D2620)-D2623</f>
        <v>#N/A</v>
      </c>
      <c r="E2624" s="922"/>
      <c r="F2624" s="923"/>
      <c r="G2624" s="918" t="s">
        <v>383</v>
      </c>
      <c r="H2624" s="919" t="s">
        <v>384</v>
      </c>
      <c r="I2624" s="920"/>
      <c r="J2624" s="921" t="e">
        <f>SUM(J2615:J2620)-J2623</f>
        <v>#N/A</v>
      </c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60" t="str">
        <f>$K$2</f>
        <v>THÁNG 09/2024</v>
      </c>
      <c r="B2627" s="2360"/>
      <c r="C2627" s="2360"/>
      <c r="D2627" s="2360"/>
      <c r="E2627" s="903"/>
      <c r="F2627" s="904"/>
      <c r="G2627" s="2360" t="str">
        <f>$K$2</f>
        <v>THÁNG 09/2024</v>
      </c>
      <c r="H2627" s="2360"/>
      <c r="I2627" s="2360"/>
      <c r="J2627" s="2360"/>
      <c r="K2627" s="276"/>
    </row>
    <row r="2628" spans="1:15" ht="15" customHeight="1">
      <c r="A2628" s="905" t="s">
        <v>356</v>
      </c>
      <c r="B2628" s="642" t="s">
        <v>244</v>
      </c>
      <c r="C2628" s="546"/>
      <c r="D2628" s="902"/>
      <c r="E2628" s="906"/>
      <c r="F2628" s="907"/>
      <c r="G2628" s="905" t="s">
        <v>356</v>
      </c>
      <c r="H2628" s="642" t="s">
        <v>245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5" t="s">
        <v>359</v>
      </c>
      <c r="B2629" s="939" t="s">
        <v>360</v>
      </c>
      <c r="C2629" s="910" t="e">
        <f>VLOOKUP(B2628,'LƯƠNG KT'!$D$16:$AC$184,3,0)</f>
        <v>#N/A</v>
      </c>
      <c r="D2629" s="609" t="e">
        <f>+C2629*25000</f>
        <v>#N/A</v>
      </c>
      <c r="E2629" s="911"/>
      <c r="F2629" s="911"/>
      <c r="G2629" s="905" t="s">
        <v>359</v>
      </c>
      <c r="H2629" s="939" t="s">
        <v>360</v>
      </c>
      <c r="I2629" s="910" t="e">
        <f>VLOOKUP(H2628,'LƯƠNG KT'!$D$16:$AC$184,3,0)</f>
        <v>#N/A</v>
      </c>
      <c r="J2629" s="609" t="e">
        <f>+I2629*25000</f>
        <v>#N/A</v>
      </c>
      <c r="K2629" s="935"/>
      <c r="L2629" s="935"/>
      <c r="M2629" s="935"/>
      <c r="N2629" s="935"/>
      <c r="O2629" s="935"/>
    </row>
    <row r="2630" spans="1:15" ht="15" customHeight="1">
      <c r="A2630" s="905" t="s">
        <v>361</v>
      </c>
      <c r="B2630" s="546" t="s">
        <v>362</v>
      </c>
      <c r="C2630" s="910" t="e">
        <f>VLOOKUP(B2628,'LƯƠNG KT'!$D$16:$AC$184,14,0)</f>
        <v>#N/A</v>
      </c>
      <c r="D2630" s="609" t="e">
        <f>C2630*$L$4</f>
        <v>#N/A</v>
      </c>
      <c r="E2630" s="912"/>
      <c r="F2630" s="912"/>
      <c r="G2630" s="905" t="s">
        <v>361</v>
      </c>
      <c r="H2630" s="546" t="s">
        <v>362</v>
      </c>
      <c r="I2630" s="910" t="e">
        <f>VLOOKUP(H2628,'LƯƠNG KT'!$D$16:$AC$184,14,0)</f>
        <v>#N/A</v>
      </c>
      <c r="J2630" s="609" t="e">
        <f>I2630*$L$4</f>
        <v>#N/A</v>
      </c>
      <c r="K2630" s="935"/>
      <c r="L2630" s="935"/>
      <c r="M2630" s="935"/>
      <c r="N2630" s="935"/>
      <c r="O2630" s="935"/>
    </row>
    <row r="2631" spans="1:15" ht="15" customHeight="1">
      <c r="A2631" s="905" t="s">
        <v>364</v>
      </c>
      <c r="B2631" s="546" t="s">
        <v>365</v>
      </c>
      <c r="C2631" s="910" t="e">
        <f>VLOOKUP(B2628,'LƯƠNG KT'!$D$16:$AC$184,15,0)</f>
        <v>#N/A</v>
      </c>
      <c r="D2631" s="609" t="e">
        <f>C2631*$L$5</f>
        <v>#N/A</v>
      </c>
      <c r="E2631" s="912"/>
      <c r="F2631" s="912"/>
      <c r="G2631" s="905" t="s">
        <v>364</v>
      </c>
      <c r="H2631" s="546" t="s">
        <v>365</v>
      </c>
      <c r="I2631" s="910" t="e">
        <f>VLOOKUP(H2628,'LƯƠNG KT'!$D$16:$AC$184,15,0)</f>
        <v>#N/A</v>
      </c>
      <c r="J2631" s="609" t="e">
        <f>I2631*$L$5</f>
        <v>#N/A</v>
      </c>
      <c r="K2631" s="935"/>
      <c r="L2631" s="935"/>
      <c r="M2631" s="935"/>
      <c r="N2631" s="935"/>
      <c r="O2631" s="935"/>
    </row>
    <row r="2632" spans="1:15" ht="15" customHeight="1">
      <c r="A2632" s="905" t="s">
        <v>367</v>
      </c>
      <c r="B2632" s="546"/>
      <c r="C2632" s="910" t="e">
        <f>VLOOKUP(B2628,'LƯƠNG KT'!$D$16:$AC$184,16,0)</f>
        <v>#N/A</v>
      </c>
      <c r="D2632" s="609" t="e">
        <f>+C2632*$L$6</f>
        <v>#N/A</v>
      </c>
      <c r="E2632" s="912"/>
      <c r="F2632" s="912"/>
      <c r="G2632" s="905" t="s">
        <v>367</v>
      </c>
      <c r="H2632" s="546"/>
      <c r="I2632" s="910" t="e">
        <f>VLOOKUP(H2628,'LƯƠNG KT'!$D$16:$AC$184,16,0)</f>
        <v>#N/A</v>
      </c>
      <c r="J2632" s="609" t="e">
        <f>+I2632*$L$6</f>
        <v>#N/A</v>
      </c>
      <c r="K2632" s="935"/>
      <c r="L2632" s="935"/>
      <c r="M2632" s="935"/>
      <c r="N2632" s="935"/>
      <c r="O2632" s="935"/>
    </row>
    <row r="2633" spans="1:15" ht="15" customHeight="1">
      <c r="A2633" s="905" t="s">
        <v>371</v>
      </c>
      <c r="B2633" s="546" t="s">
        <v>372</v>
      </c>
      <c r="C2633" s="910" t="e">
        <f>VLOOKUP(B2628,'LƯƠNG KT'!$D$16:$AC$184,9,0)*$L$10</f>
        <v>#N/A</v>
      </c>
      <c r="D2633" s="609" t="e">
        <f>+C2633*0.5*3000</f>
        <v>#N/A</v>
      </c>
      <c r="E2633" s="912"/>
      <c r="F2633" s="912"/>
      <c r="G2633" s="905" t="s">
        <v>371</v>
      </c>
      <c r="H2633" s="546" t="s">
        <v>372</v>
      </c>
      <c r="I2633" s="910" t="e">
        <f>VLOOKUP(H2628,'LƯƠNG KT'!$D$16:$AC$184,9,0)*$L$10</f>
        <v>#N/A</v>
      </c>
      <c r="J2633" s="609" t="e">
        <f>+I2633*0.5*3000</f>
        <v>#N/A</v>
      </c>
      <c r="K2633" s="935"/>
      <c r="L2633" s="935"/>
      <c r="M2633" s="935"/>
      <c r="N2633" s="935"/>
      <c r="O2633" s="935"/>
    </row>
    <row r="2634" spans="1:15" ht="15" customHeight="1">
      <c r="A2634" s="905" t="s">
        <v>374</v>
      </c>
      <c r="B2634" s="546" t="s">
        <v>375</v>
      </c>
      <c r="C2634" s="910" t="e">
        <f>VLOOKUP(B2628,'LƯƠNG KT'!$D$16:$AC$184,8,0)*$L$11</f>
        <v>#N/A</v>
      </c>
      <c r="D2634" s="609" t="e">
        <f>VLOOKUP(B2628,'LƯƠNG KT'!$D$16:$AC$184,13,0)-D2633</f>
        <v>#N/A</v>
      </c>
      <c r="E2634" s="914"/>
      <c r="F2634" s="912"/>
      <c r="G2634" s="905" t="s">
        <v>374</v>
      </c>
      <c r="H2634" s="546" t="s">
        <v>375</v>
      </c>
      <c r="I2634" s="910" t="e">
        <f>VLOOKUP(H2628,'LƯƠNG KT'!$D$16:$AC$184,8,0)*$L$11</f>
        <v>#N/A</v>
      </c>
      <c r="J2634" s="609" t="e">
        <f>VLOOKUP(H2628,'LƯƠNG KT'!$D$16:$AC$184,13,0)-J2633</f>
        <v>#N/A</v>
      </c>
      <c r="K2634" s="935"/>
      <c r="L2634" s="935"/>
      <c r="M2634" s="935"/>
      <c r="N2634" s="935"/>
      <c r="O2634" s="935"/>
    </row>
    <row r="2635" spans="1:15" ht="15" customHeight="1">
      <c r="A2635" s="609" t="s">
        <v>377</v>
      </c>
      <c r="B2635" s="546" t="s">
        <v>378</v>
      </c>
      <c r="C2635" s="910"/>
      <c r="D2635" s="609"/>
      <c r="E2635" s="916"/>
      <c r="F2635" s="916"/>
      <c r="G2635" s="609" t="s">
        <v>377</v>
      </c>
      <c r="H2635" s="546" t="s">
        <v>378</v>
      </c>
      <c r="I2635" s="910"/>
      <c r="J2635" s="609"/>
    </row>
    <row r="2636" spans="1:15" ht="15" customHeight="1">
      <c r="A2636" s="547" t="s">
        <v>379</v>
      </c>
      <c r="B2636" s="546" t="s">
        <v>380</v>
      </c>
      <c r="C2636" s="910"/>
      <c r="D2636" s="609"/>
      <c r="E2636" s="914"/>
      <c r="F2636" s="916"/>
      <c r="G2636" s="547" t="s">
        <v>379</v>
      </c>
      <c r="H2636" s="546" t="s">
        <v>380</v>
      </c>
      <c r="I2636" s="910"/>
      <c r="J2636" s="609"/>
    </row>
    <row r="2637" spans="1:15" ht="15" customHeight="1">
      <c r="A2637" s="905" t="s">
        <v>381</v>
      </c>
      <c r="B2637" s="546" t="s">
        <v>382</v>
      </c>
      <c r="C2637" s="910"/>
      <c r="D2637" s="609">
        <f>D2636</f>
        <v>0</v>
      </c>
      <c r="E2637" s="917"/>
      <c r="F2637" s="904"/>
      <c r="G2637" s="905" t="s">
        <v>381</v>
      </c>
      <c r="H2637" s="546" t="s">
        <v>382</v>
      </c>
      <c r="I2637" s="910"/>
      <c r="J2637" s="609">
        <f>J2636</f>
        <v>0</v>
      </c>
    </row>
    <row r="2638" spans="1:15" ht="15" customHeight="1">
      <c r="A2638" s="918" t="s">
        <v>383</v>
      </c>
      <c r="B2638" s="919" t="s">
        <v>384</v>
      </c>
      <c r="C2638" s="920"/>
      <c r="D2638" s="921" t="e">
        <f>SUM(D2629:D2634)-D2637</f>
        <v>#N/A</v>
      </c>
      <c r="E2638" s="922"/>
      <c r="F2638" s="923"/>
      <c r="G2638" s="918" t="s">
        <v>383</v>
      </c>
      <c r="H2638" s="919" t="s">
        <v>384</v>
      </c>
      <c r="I2638" s="920"/>
      <c r="J2638" s="921" t="e">
        <f>SUM(J2629:J2634)-J2637</f>
        <v>#N/A</v>
      </c>
    </row>
    <row r="2639" spans="1:15" ht="15.75" customHeight="1">
      <c r="A2639" s="924"/>
      <c r="B2639" s="925"/>
      <c r="C2639" s="926"/>
      <c r="D2639" s="927"/>
      <c r="E2639" s="927"/>
      <c r="F2639" s="928"/>
      <c r="G2639" s="924"/>
      <c r="H2639" s="925"/>
      <c r="I2639" s="926"/>
      <c r="J2639" s="927"/>
    </row>
    <row r="2641" spans="1:15" ht="12" customHeight="1">
      <c r="A2641" s="2361"/>
      <c r="B2641" s="2361"/>
      <c r="C2641" s="2361"/>
      <c r="D2641" s="2361"/>
      <c r="E2641" s="2361"/>
      <c r="F2641" s="2361"/>
      <c r="G2641" s="2361"/>
      <c r="H2641" s="2361"/>
      <c r="I2641" s="2361"/>
      <c r="J2641" s="2361"/>
    </row>
    <row r="2642" spans="1:15" ht="15" customHeight="1">
      <c r="A2642" s="2360" t="str">
        <f>$K$2</f>
        <v>THÁNG 09/2024</v>
      </c>
      <c r="B2642" s="2360"/>
      <c r="C2642" s="2360"/>
      <c r="D2642" s="2360"/>
      <c r="E2642" s="903"/>
      <c r="F2642" s="904"/>
      <c r="G2642" s="2360" t="str">
        <f>$K$2</f>
        <v>THÁNG 09/2024</v>
      </c>
      <c r="H2642" s="2360"/>
      <c r="I2642" s="2360"/>
      <c r="J2642" s="2360"/>
      <c r="K2642" s="276"/>
    </row>
    <row r="2643" spans="1:15" ht="15" customHeight="1">
      <c r="A2643" s="905" t="s">
        <v>356</v>
      </c>
      <c r="B2643" s="642" t="s">
        <v>246</v>
      </c>
      <c r="C2643" s="546"/>
      <c r="D2643" s="902"/>
      <c r="E2643" s="906"/>
      <c r="F2643" s="907"/>
      <c r="G2643" s="905" t="s">
        <v>356</v>
      </c>
      <c r="H2643" s="642" t="s">
        <v>247</v>
      </c>
      <c r="I2643" s="546"/>
      <c r="J2643" s="902"/>
      <c r="L2643" s="938"/>
      <c r="M2643" s="938"/>
      <c r="N2643" s="938"/>
      <c r="O2643" s="938"/>
    </row>
    <row r="2644" spans="1:15" ht="15" customHeight="1">
      <c r="A2644" s="905" t="s">
        <v>359</v>
      </c>
      <c r="B2644" s="939" t="s">
        <v>360</v>
      </c>
      <c r="C2644" s="910" t="e">
        <f>VLOOKUP(B2643,'LƯƠNG KT'!$D$16:$AC$184,3,0)</f>
        <v>#N/A</v>
      </c>
      <c r="D2644" s="609" t="e">
        <f>+C2644*25000</f>
        <v>#N/A</v>
      </c>
      <c r="E2644" s="911"/>
      <c r="F2644" s="911"/>
      <c r="G2644" s="905" t="s">
        <v>359</v>
      </c>
      <c r="H2644" s="939" t="s">
        <v>360</v>
      </c>
      <c r="I2644" s="910" t="e">
        <f>VLOOKUP(H2643,'LƯƠNG KT'!$D$16:$AC$184,3,0)</f>
        <v>#N/A</v>
      </c>
      <c r="J2644" s="609" t="e">
        <f>+I2644*25000</f>
        <v>#N/A</v>
      </c>
      <c r="K2644" s="934"/>
      <c r="L2644" s="935"/>
      <c r="M2644" s="935"/>
      <c r="N2644" s="935"/>
      <c r="O2644" s="935"/>
    </row>
    <row r="2645" spans="1:15" ht="15" customHeight="1">
      <c r="A2645" s="905" t="s">
        <v>361</v>
      </c>
      <c r="B2645" s="546" t="s">
        <v>362</v>
      </c>
      <c r="C2645" s="910" t="e">
        <f>VLOOKUP(B2643,'LƯƠNG KT'!$D$16:$AC$184,14,0)</f>
        <v>#N/A</v>
      </c>
      <c r="D2645" s="609" t="e">
        <f>C2645*$L$4</f>
        <v>#N/A</v>
      </c>
      <c r="E2645" s="912"/>
      <c r="F2645" s="912"/>
      <c r="G2645" s="905" t="s">
        <v>361</v>
      </c>
      <c r="H2645" s="546" t="s">
        <v>362</v>
      </c>
      <c r="I2645" s="910" t="e">
        <f>VLOOKUP(H2643,'LƯƠNG KT'!$D$16:$AC$184,14,0)</f>
        <v>#N/A</v>
      </c>
      <c r="J2645" s="609" t="e">
        <f>I2645*$L$4</f>
        <v>#N/A</v>
      </c>
      <c r="K2645" s="934"/>
      <c r="L2645" s="935"/>
      <c r="M2645" s="935"/>
      <c r="N2645" s="935"/>
      <c r="O2645" s="935"/>
    </row>
    <row r="2646" spans="1:15" ht="15" customHeight="1">
      <c r="A2646" s="905" t="s">
        <v>364</v>
      </c>
      <c r="B2646" s="546" t="s">
        <v>365</v>
      </c>
      <c r="C2646" s="910" t="e">
        <f>VLOOKUP(B2643,'LƯƠNG KT'!$D$16:$AC$184,15,0)</f>
        <v>#N/A</v>
      </c>
      <c r="D2646" s="609" t="e">
        <f>C2646*$L$5</f>
        <v>#N/A</v>
      </c>
      <c r="E2646" s="912"/>
      <c r="F2646" s="912"/>
      <c r="G2646" s="905" t="s">
        <v>364</v>
      </c>
      <c r="H2646" s="546" t="s">
        <v>365</v>
      </c>
      <c r="I2646" s="910" t="e">
        <f>VLOOKUP(H2643,'LƯƠNG KT'!$D$16:$AC$184,15,0)</f>
        <v>#N/A</v>
      </c>
      <c r="J2646" s="609" t="e">
        <f>I2646*$L$5</f>
        <v>#N/A</v>
      </c>
      <c r="K2646" s="934"/>
      <c r="L2646" s="935"/>
      <c r="M2646" s="935"/>
      <c r="N2646" s="935"/>
      <c r="O2646" s="935"/>
    </row>
    <row r="2647" spans="1:15" ht="15" customHeight="1">
      <c r="A2647" s="905" t="s">
        <v>367</v>
      </c>
      <c r="B2647" s="546"/>
      <c r="C2647" s="910" t="e">
        <f>VLOOKUP(B2643,'LƯƠNG KT'!$D$16:$AC$184,16,0)</f>
        <v>#N/A</v>
      </c>
      <c r="D2647" s="609" t="e">
        <f>+C2647*$L$6</f>
        <v>#N/A</v>
      </c>
      <c r="E2647" s="912"/>
      <c r="F2647" s="912"/>
      <c r="G2647" s="905" t="s">
        <v>367</v>
      </c>
      <c r="H2647" s="546"/>
      <c r="I2647" s="910" t="e">
        <f>VLOOKUP(H2643,'LƯƠNG KT'!$D$16:$AC$184,16,0)</f>
        <v>#N/A</v>
      </c>
      <c r="J2647" s="609" t="e">
        <f>+I2647*$L$6</f>
        <v>#N/A</v>
      </c>
      <c r="K2647" s="935"/>
      <c r="L2647" s="935"/>
      <c r="M2647" s="935"/>
      <c r="N2647" s="935"/>
      <c r="O2647" s="935"/>
    </row>
    <row r="2648" spans="1:15" ht="15" customHeight="1">
      <c r="A2648" s="905" t="s">
        <v>371</v>
      </c>
      <c r="B2648" s="546" t="s">
        <v>372</v>
      </c>
      <c r="C2648" s="910" t="e">
        <f>VLOOKUP(B2643,'LƯƠNG KT'!$D$16:$AC$184,9,0)*$L$10</f>
        <v>#N/A</v>
      </c>
      <c r="D2648" s="609" t="e">
        <f>+C2648*0.5*3000</f>
        <v>#N/A</v>
      </c>
      <c r="E2648" s="912"/>
      <c r="F2648" s="912"/>
      <c r="G2648" s="905" t="s">
        <v>371</v>
      </c>
      <c r="H2648" s="546" t="s">
        <v>372</v>
      </c>
      <c r="I2648" s="910" t="e">
        <f>VLOOKUP(H2643,'LƯƠNG KT'!$D$16:$AC$184,9,0)*$L$10</f>
        <v>#N/A</v>
      </c>
      <c r="J2648" s="609" t="e">
        <f>+I2648*0.5*3000</f>
        <v>#N/A</v>
      </c>
      <c r="K2648" s="935"/>
      <c r="L2648" s="935"/>
      <c r="M2648" s="935"/>
      <c r="N2648" s="935"/>
      <c r="O2648" s="935"/>
    </row>
    <row r="2649" spans="1:15" ht="15" customHeight="1">
      <c r="A2649" s="905" t="s">
        <v>374</v>
      </c>
      <c r="B2649" s="546" t="s">
        <v>375</v>
      </c>
      <c r="C2649" s="910" t="e">
        <f>VLOOKUP(B2643,'LƯƠNG KT'!$D$16:$AC$184,8,0)*$L$11</f>
        <v>#N/A</v>
      </c>
      <c r="D2649" s="609" t="e">
        <f>VLOOKUP(B2643,'LƯƠNG KT'!$D$16:$AC$184,13,0)-D2648</f>
        <v>#N/A</v>
      </c>
      <c r="E2649" s="914"/>
      <c r="F2649" s="912"/>
      <c r="G2649" s="905" t="s">
        <v>374</v>
      </c>
      <c r="H2649" s="546" t="s">
        <v>375</v>
      </c>
      <c r="I2649" s="910" t="e">
        <f>VLOOKUP(H2643,'LƯƠNG KT'!$D$16:$AC$184,8,0)*$L$11</f>
        <v>#N/A</v>
      </c>
      <c r="J2649" s="609" t="e">
        <f>VLOOKUP(H2643,'LƯƠNG KT'!$D$16:$AC$184,13,0)-J2648</f>
        <v>#N/A</v>
      </c>
      <c r="K2649" s="935"/>
      <c r="L2649" s="935"/>
      <c r="M2649" s="935"/>
      <c r="N2649" s="935"/>
      <c r="O2649" s="935"/>
    </row>
    <row r="2650" spans="1:15" ht="15" customHeight="1">
      <c r="A2650" s="609" t="s">
        <v>377</v>
      </c>
      <c r="B2650" s="546" t="s">
        <v>378</v>
      </c>
      <c r="C2650" s="910"/>
      <c r="D2650" s="609"/>
      <c r="E2650" s="916"/>
      <c r="F2650" s="916"/>
      <c r="G2650" s="609" t="s">
        <v>377</v>
      </c>
      <c r="H2650" s="546" t="s">
        <v>378</v>
      </c>
      <c r="I2650" s="910"/>
      <c r="J2650" s="609"/>
    </row>
    <row r="2651" spans="1:15" ht="15" customHeight="1">
      <c r="A2651" s="547" t="s">
        <v>379</v>
      </c>
      <c r="B2651" s="546" t="s">
        <v>380</v>
      </c>
      <c r="C2651" s="910"/>
      <c r="D2651" s="609"/>
      <c r="E2651" s="914"/>
      <c r="F2651" s="916"/>
      <c r="G2651" s="547" t="s">
        <v>379</v>
      </c>
      <c r="H2651" s="546" t="s">
        <v>380</v>
      </c>
      <c r="I2651" s="910"/>
      <c r="J2651" s="609"/>
    </row>
    <row r="2652" spans="1:15" ht="15" customHeight="1">
      <c r="A2652" s="905" t="s">
        <v>381</v>
      </c>
      <c r="B2652" s="546" t="s">
        <v>382</v>
      </c>
      <c r="C2652" s="910"/>
      <c r="D2652" s="609">
        <f>D2651</f>
        <v>0</v>
      </c>
      <c r="E2652" s="917"/>
      <c r="F2652" s="904"/>
      <c r="G2652" s="905" t="s">
        <v>381</v>
      </c>
      <c r="H2652" s="546" t="s">
        <v>382</v>
      </c>
      <c r="I2652" s="910"/>
      <c r="J2652" s="609">
        <f>J2651</f>
        <v>0</v>
      </c>
    </row>
    <row r="2653" spans="1:15" ht="15" customHeight="1">
      <c r="A2653" s="918" t="s">
        <v>383</v>
      </c>
      <c r="B2653" s="919" t="s">
        <v>384</v>
      </c>
      <c r="C2653" s="920"/>
      <c r="D2653" s="921" t="e">
        <f>SUM(D2644:D2649)-D2652</f>
        <v>#N/A</v>
      </c>
      <c r="E2653" s="922"/>
      <c r="F2653" s="923"/>
      <c r="G2653" s="918" t="s">
        <v>383</v>
      </c>
      <c r="H2653" s="919" t="s">
        <v>384</v>
      </c>
      <c r="I2653" s="920"/>
      <c r="J2653" s="921" t="e">
        <f>SUM(J2644:J2649)-J2652</f>
        <v>#N/A</v>
      </c>
    </row>
    <row r="2654" spans="1:15" ht="12.6" customHeight="1">
      <c r="A2654" s="924"/>
      <c r="B2654" s="925"/>
      <c r="C2654" s="926"/>
      <c r="D2654" s="927"/>
      <c r="E2654" s="927"/>
      <c r="F2654" s="928"/>
      <c r="G2654" s="924"/>
      <c r="H2654" s="925"/>
      <c r="I2654" s="926"/>
      <c r="J2654" s="927"/>
    </row>
    <row r="2655" spans="1:15" ht="12.6" customHeight="1">
      <c r="A2655" s="925"/>
      <c r="B2655" s="925"/>
      <c r="C2655" s="929"/>
      <c r="D2655" s="930"/>
      <c r="E2655" s="925"/>
      <c r="F2655" s="931"/>
      <c r="G2655" s="925"/>
      <c r="H2655" s="925"/>
      <c r="I2655" s="929"/>
      <c r="J2655" s="930"/>
    </row>
    <row r="2656" spans="1:15" ht="15" customHeight="1">
      <c r="A2656" s="2360" t="str">
        <f>$K$2</f>
        <v>THÁNG 09/2024</v>
      </c>
      <c r="B2656" s="2360"/>
      <c r="C2656" s="2360"/>
      <c r="D2656" s="2360"/>
      <c r="E2656" s="903"/>
      <c r="F2656" s="904"/>
      <c r="G2656" s="2360" t="str">
        <f>$K$2</f>
        <v>THÁNG 09/2024</v>
      </c>
      <c r="H2656" s="2360"/>
      <c r="I2656" s="2360"/>
      <c r="J2656" s="2360"/>
      <c r="K2656" s="276"/>
    </row>
    <row r="2657" spans="1:15" ht="15" customHeight="1">
      <c r="A2657" s="905" t="s">
        <v>356</v>
      </c>
      <c r="B2657" s="642" t="s">
        <v>248</v>
      </c>
      <c r="C2657" s="546"/>
      <c r="D2657" s="902"/>
      <c r="E2657" s="906"/>
      <c r="F2657" s="907"/>
      <c r="G2657" s="905" t="s">
        <v>356</v>
      </c>
      <c r="H2657" s="642" t="s">
        <v>249</v>
      </c>
      <c r="I2657" s="546"/>
      <c r="J2657" s="902"/>
      <c r="L2657" s="938"/>
      <c r="M2657" s="938"/>
      <c r="N2657" s="938"/>
      <c r="O2657" s="938"/>
    </row>
    <row r="2658" spans="1:15" ht="15" customHeight="1">
      <c r="A2658" s="905" t="s">
        <v>359</v>
      </c>
      <c r="B2658" s="939" t="s">
        <v>360</v>
      </c>
      <c r="C2658" s="910" t="e">
        <f>VLOOKUP(B2657,'LƯƠNG KT'!$D$16:$AC$184,3,0)</f>
        <v>#N/A</v>
      </c>
      <c r="D2658" s="609" t="e">
        <f>+C2658*25000</f>
        <v>#N/A</v>
      </c>
      <c r="E2658" s="911"/>
      <c r="F2658" s="911"/>
      <c r="G2658" s="905" t="s">
        <v>359</v>
      </c>
      <c r="H2658" s="939" t="s">
        <v>360</v>
      </c>
      <c r="I2658" s="910" t="e">
        <f>VLOOKUP(H2657,'LƯƠNG KT'!$D$16:$AC$184,3,0)</f>
        <v>#N/A</v>
      </c>
      <c r="J2658" s="609" t="e">
        <f>+I2658*25000</f>
        <v>#N/A</v>
      </c>
      <c r="K2658" s="935"/>
      <c r="L2658" s="935"/>
      <c r="M2658" s="935"/>
      <c r="N2658" s="935"/>
      <c r="O2658" s="935"/>
    </row>
    <row r="2659" spans="1:15" ht="15" customHeight="1">
      <c r="A2659" s="905" t="s">
        <v>361</v>
      </c>
      <c r="B2659" s="546" t="s">
        <v>362</v>
      </c>
      <c r="C2659" s="910" t="e">
        <f>VLOOKUP(B2657,'LƯƠNG KT'!$D$16:$AC$184,14,0)</f>
        <v>#N/A</v>
      </c>
      <c r="D2659" s="609" t="e">
        <f>C2659*$L$4</f>
        <v>#N/A</v>
      </c>
      <c r="E2659" s="912"/>
      <c r="F2659" s="912"/>
      <c r="G2659" s="905" t="s">
        <v>361</v>
      </c>
      <c r="H2659" s="546" t="s">
        <v>362</v>
      </c>
      <c r="I2659" s="910" t="e">
        <f>VLOOKUP(H2657,'LƯƠNG KT'!$D$16:$AC$184,14,0)</f>
        <v>#N/A</v>
      </c>
      <c r="J2659" s="609" t="e">
        <f>I2659*$L$4</f>
        <v>#N/A</v>
      </c>
      <c r="K2659" s="935"/>
      <c r="L2659" s="935"/>
      <c r="M2659" s="935"/>
      <c r="N2659" s="935"/>
      <c r="O2659" s="935"/>
    </row>
    <row r="2660" spans="1:15" ht="15" customHeight="1">
      <c r="A2660" s="905" t="s">
        <v>364</v>
      </c>
      <c r="B2660" s="546" t="s">
        <v>365</v>
      </c>
      <c r="C2660" s="910" t="e">
        <f>VLOOKUP(B2657,'LƯƠNG KT'!$D$16:$AC$184,15,0)</f>
        <v>#N/A</v>
      </c>
      <c r="D2660" s="609" t="e">
        <f>C2660*$L$5</f>
        <v>#N/A</v>
      </c>
      <c r="E2660" s="912"/>
      <c r="F2660" s="912"/>
      <c r="G2660" s="905" t="s">
        <v>364</v>
      </c>
      <c r="H2660" s="546" t="s">
        <v>365</v>
      </c>
      <c r="I2660" s="910" t="e">
        <f>VLOOKUP(H2657,'LƯƠNG KT'!$D$16:$AC$184,15,0)</f>
        <v>#N/A</v>
      </c>
      <c r="J2660" s="609" t="e">
        <f>I2660*$L$5</f>
        <v>#N/A</v>
      </c>
      <c r="K2660" s="935"/>
      <c r="L2660" s="935"/>
      <c r="M2660" s="935"/>
      <c r="N2660" s="935"/>
      <c r="O2660" s="935"/>
    </row>
    <row r="2661" spans="1:15" ht="15" customHeight="1">
      <c r="A2661" s="905" t="s">
        <v>367</v>
      </c>
      <c r="B2661" s="546"/>
      <c r="C2661" s="910" t="e">
        <f>VLOOKUP(B2657,'LƯƠNG KT'!$D$16:$AC$184,16,0)</f>
        <v>#N/A</v>
      </c>
      <c r="D2661" s="609" t="e">
        <f>+C2661*$L$6</f>
        <v>#N/A</v>
      </c>
      <c r="E2661" s="912"/>
      <c r="F2661" s="912"/>
      <c r="G2661" s="905" t="s">
        <v>367</v>
      </c>
      <c r="H2661" s="546"/>
      <c r="I2661" s="910" t="e">
        <f>VLOOKUP(H2657,'LƯƠNG KT'!$D$16:$AC$184,16,0)</f>
        <v>#N/A</v>
      </c>
      <c r="J2661" s="609" t="e">
        <f>+I2661*$L$6</f>
        <v>#N/A</v>
      </c>
      <c r="K2661" s="935"/>
      <c r="L2661" s="935"/>
      <c r="M2661" s="935"/>
      <c r="N2661" s="935"/>
      <c r="O2661" s="935"/>
    </row>
    <row r="2662" spans="1:15" ht="15" customHeight="1">
      <c r="A2662" s="905" t="s">
        <v>371</v>
      </c>
      <c r="B2662" s="546" t="s">
        <v>372</v>
      </c>
      <c r="C2662" s="910" t="e">
        <f>VLOOKUP(B2657,'LƯƠNG KT'!$D$16:$AC$184,9,0)*$L$10</f>
        <v>#N/A</v>
      </c>
      <c r="D2662" s="609" t="e">
        <f>+C2662*0.5*3000</f>
        <v>#N/A</v>
      </c>
      <c r="E2662" s="912"/>
      <c r="F2662" s="912"/>
      <c r="G2662" s="905" t="s">
        <v>371</v>
      </c>
      <c r="H2662" s="546" t="s">
        <v>372</v>
      </c>
      <c r="I2662" s="910" t="e">
        <f>VLOOKUP(H2657,'LƯƠNG KT'!$D$16:$AC$184,9,0)*$L$10</f>
        <v>#N/A</v>
      </c>
      <c r="J2662" s="609" t="e">
        <f>+I2662*0.5*3000</f>
        <v>#N/A</v>
      </c>
      <c r="K2662" s="935"/>
      <c r="L2662" s="935"/>
      <c r="M2662" s="935"/>
      <c r="N2662" s="935"/>
      <c r="O2662" s="935"/>
    </row>
    <row r="2663" spans="1:15" ht="15" customHeight="1">
      <c r="A2663" s="905" t="s">
        <v>374</v>
      </c>
      <c r="B2663" s="546" t="s">
        <v>375</v>
      </c>
      <c r="C2663" s="910" t="e">
        <f>VLOOKUP(B2657,'LƯƠNG KT'!$D$16:$AC$184,8,0)*$L$11</f>
        <v>#N/A</v>
      </c>
      <c r="D2663" s="609" t="e">
        <f>VLOOKUP(B2657,'LƯƠNG KT'!$D$16:$AC$184,13,0)-D2662</f>
        <v>#N/A</v>
      </c>
      <c r="E2663" s="914"/>
      <c r="F2663" s="912"/>
      <c r="G2663" s="905" t="s">
        <v>374</v>
      </c>
      <c r="H2663" s="546" t="s">
        <v>375</v>
      </c>
      <c r="I2663" s="910" t="e">
        <f>VLOOKUP(H2657,'LƯƠNG KT'!$D$16:$AC$184,8,0)*$L$11</f>
        <v>#N/A</v>
      </c>
      <c r="J2663" s="609" t="e">
        <f>VLOOKUP(H2657,'LƯƠNG KT'!$D$16:$AC$184,13,0)-J2662</f>
        <v>#N/A</v>
      </c>
      <c r="K2663" s="935"/>
      <c r="L2663" s="935"/>
      <c r="M2663" s="935"/>
      <c r="N2663" s="935"/>
      <c r="O2663" s="935"/>
    </row>
    <row r="2664" spans="1:15" ht="15" customHeight="1">
      <c r="A2664" s="609" t="s">
        <v>377</v>
      </c>
      <c r="B2664" s="546" t="s">
        <v>378</v>
      </c>
      <c r="C2664" s="910"/>
      <c r="D2664" s="609"/>
      <c r="E2664" s="916"/>
      <c r="F2664" s="916"/>
      <c r="G2664" s="609" t="s">
        <v>377</v>
      </c>
      <c r="H2664" s="546" t="s">
        <v>378</v>
      </c>
      <c r="I2664" s="910"/>
      <c r="J2664" s="609"/>
    </row>
    <row r="2665" spans="1:15" ht="15" customHeight="1">
      <c r="A2665" s="547" t="s">
        <v>379</v>
      </c>
      <c r="B2665" s="546" t="s">
        <v>380</v>
      </c>
      <c r="C2665" s="910"/>
      <c r="D2665" s="609"/>
      <c r="E2665" s="914"/>
      <c r="F2665" s="916"/>
      <c r="G2665" s="547" t="s">
        <v>379</v>
      </c>
      <c r="H2665" s="546" t="s">
        <v>380</v>
      </c>
      <c r="I2665" s="910"/>
      <c r="J2665" s="609"/>
    </row>
    <row r="2666" spans="1:15" ht="15" customHeight="1">
      <c r="A2666" s="905" t="s">
        <v>381</v>
      </c>
      <c r="B2666" s="546" t="s">
        <v>382</v>
      </c>
      <c r="C2666" s="910"/>
      <c r="D2666" s="609">
        <f>D2665</f>
        <v>0</v>
      </c>
      <c r="E2666" s="917"/>
      <c r="F2666" s="904"/>
      <c r="G2666" s="905" t="s">
        <v>381</v>
      </c>
      <c r="H2666" s="546" t="s">
        <v>382</v>
      </c>
      <c r="I2666" s="910"/>
      <c r="J2666" s="609">
        <f>J2665</f>
        <v>0</v>
      </c>
    </row>
    <row r="2667" spans="1:15" ht="15" customHeight="1">
      <c r="A2667" s="918" t="s">
        <v>383</v>
      </c>
      <c r="B2667" s="919" t="s">
        <v>384</v>
      </c>
      <c r="C2667" s="920"/>
      <c r="D2667" s="921" t="e">
        <f>SUM(D2658:D2663)-D2666</f>
        <v>#N/A</v>
      </c>
      <c r="E2667" s="922"/>
      <c r="F2667" s="923"/>
      <c r="G2667" s="918" t="s">
        <v>383</v>
      </c>
      <c r="H2667" s="919" t="s">
        <v>384</v>
      </c>
      <c r="I2667" s="920"/>
      <c r="J2667" s="921" t="e">
        <f>SUM(J2658:J2663)-J2666</f>
        <v>#N/A</v>
      </c>
    </row>
    <row r="2668" spans="1:15" ht="18.75" customHeight="1">
      <c r="A2668" s="924"/>
      <c r="B2668" s="925"/>
      <c r="C2668" s="926"/>
      <c r="D2668" s="927"/>
      <c r="E2668" s="927"/>
      <c r="F2668" s="928"/>
      <c r="G2668" s="924"/>
      <c r="H2668" s="925"/>
      <c r="I2668" s="926"/>
      <c r="J2668" s="927"/>
    </row>
    <row r="2669" spans="1:15" ht="18.75" customHeight="1">
      <c r="A2669" s="925"/>
      <c r="B2669" s="925"/>
      <c r="C2669" s="929"/>
      <c r="D2669" s="930"/>
      <c r="E2669" s="925"/>
      <c r="F2669" s="931"/>
      <c r="G2669" s="925"/>
      <c r="H2669" s="925"/>
      <c r="I2669" s="929"/>
      <c r="J2669" s="930"/>
    </row>
    <row r="2670" spans="1:15" ht="15" customHeight="1">
      <c r="A2670" s="2360" t="str">
        <f>$K$2</f>
        <v>THÁNG 09/2024</v>
      </c>
      <c r="B2670" s="2360"/>
      <c r="C2670" s="2360"/>
      <c r="D2670" s="2360"/>
      <c r="E2670" s="903"/>
      <c r="F2670" s="904"/>
      <c r="G2670" s="2360" t="str">
        <f>$K$2</f>
        <v>THÁNG 09/2024</v>
      </c>
      <c r="H2670" s="2360"/>
      <c r="I2670" s="2360"/>
      <c r="J2670" s="2360"/>
      <c r="K2670" s="276"/>
    </row>
    <row r="2671" spans="1:15" ht="15" customHeight="1">
      <c r="A2671" s="905" t="s">
        <v>356</v>
      </c>
      <c r="B2671" s="642" t="s">
        <v>250</v>
      </c>
      <c r="C2671" s="546"/>
      <c r="D2671" s="902"/>
      <c r="E2671" s="906"/>
      <c r="F2671" s="907"/>
      <c r="G2671" s="905" t="s">
        <v>356</v>
      </c>
      <c r="H2671" s="642" t="s">
        <v>251</v>
      </c>
      <c r="I2671" s="546"/>
      <c r="J2671" s="902"/>
      <c r="L2671" s="938"/>
      <c r="M2671" s="938"/>
      <c r="N2671" s="938"/>
      <c r="O2671" s="938"/>
    </row>
    <row r="2672" spans="1:15" ht="15" customHeight="1">
      <c r="A2672" s="905" t="s">
        <v>359</v>
      </c>
      <c r="B2672" s="939" t="s">
        <v>360</v>
      </c>
      <c r="C2672" s="910" t="e">
        <f>VLOOKUP(B2671,'LƯƠNG KT'!$D$16:$AC$184,3,0)</f>
        <v>#N/A</v>
      </c>
      <c r="D2672" s="609" t="e">
        <f>+C2672*25000</f>
        <v>#N/A</v>
      </c>
      <c r="E2672" s="911"/>
      <c r="F2672" s="911"/>
      <c r="G2672" s="905" t="s">
        <v>359</v>
      </c>
      <c r="H2672" s="939" t="s">
        <v>360</v>
      </c>
      <c r="I2672" s="910" t="e">
        <f>VLOOKUP(H2671,'LƯƠNG KT'!$D$16:$AC$184,3,0)</f>
        <v>#N/A</v>
      </c>
      <c r="J2672" s="609" t="e">
        <f>+I2672*25000</f>
        <v>#N/A</v>
      </c>
      <c r="K2672" s="935"/>
      <c r="L2672" s="935"/>
      <c r="M2672" s="935"/>
      <c r="N2672" s="935"/>
      <c r="O2672" s="935"/>
    </row>
    <row r="2673" spans="1:15" ht="15" customHeight="1">
      <c r="A2673" s="905" t="s">
        <v>361</v>
      </c>
      <c r="B2673" s="546" t="s">
        <v>362</v>
      </c>
      <c r="C2673" s="910" t="e">
        <f>VLOOKUP(B2671,'LƯƠNG KT'!$D$16:$AC$184,14,0)</f>
        <v>#N/A</v>
      </c>
      <c r="D2673" s="609" t="e">
        <f>C2673*$L$4</f>
        <v>#N/A</v>
      </c>
      <c r="E2673" s="912"/>
      <c r="F2673" s="912"/>
      <c r="G2673" s="905" t="s">
        <v>361</v>
      </c>
      <c r="H2673" s="546" t="s">
        <v>362</v>
      </c>
      <c r="I2673" s="910" t="e">
        <f>VLOOKUP(H2671,'LƯƠNG KT'!$D$16:$AC$184,14,0)</f>
        <v>#N/A</v>
      </c>
      <c r="J2673" s="609" t="e">
        <f>I2673*$L$4</f>
        <v>#N/A</v>
      </c>
      <c r="K2673" s="935"/>
      <c r="L2673" s="935"/>
      <c r="M2673" s="935"/>
      <c r="N2673" s="935"/>
      <c r="O2673" s="935"/>
    </row>
    <row r="2674" spans="1:15" ht="15" customHeight="1">
      <c r="A2674" s="905" t="s">
        <v>364</v>
      </c>
      <c r="B2674" s="546" t="s">
        <v>365</v>
      </c>
      <c r="C2674" s="910" t="e">
        <f>VLOOKUP(B2671,'LƯƠNG KT'!$D$16:$AC$184,15,0)</f>
        <v>#N/A</v>
      </c>
      <c r="D2674" s="609" t="e">
        <f>C2674*$L$5</f>
        <v>#N/A</v>
      </c>
      <c r="E2674" s="912"/>
      <c r="F2674" s="912"/>
      <c r="G2674" s="905" t="s">
        <v>364</v>
      </c>
      <c r="H2674" s="546" t="s">
        <v>365</v>
      </c>
      <c r="I2674" s="910" t="e">
        <f>VLOOKUP(H2671,'LƯƠNG KT'!$D$16:$AC$184,15,0)</f>
        <v>#N/A</v>
      </c>
      <c r="J2674" s="609" t="e">
        <f>I2674*$L$5</f>
        <v>#N/A</v>
      </c>
      <c r="K2674" s="935"/>
      <c r="L2674" s="935"/>
      <c r="M2674" s="935"/>
      <c r="N2674" s="935"/>
      <c r="O2674" s="935"/>
    </row>
    <row r="2675" spans="1:15" ht="15" customHeight="1">
      <c r="A2675" s="905" t="s">
        <v>367</v>
      </c>
      <c r="B2675" s="546"/>
      <c r="C2675" s="910" t="e">
        <f>VLOOKUP(B2671,'LƯƠNG KT'!$D$16:$AC$184,16,0)</f>
        <v>#N/A</v>
      </c>
      <c r="D2675" s="609" t="e">
        <f>+C2675*$L$6</f>
        <v>#N/A</v>
      </c>
      <c r="E2675" s="912"/>
      <c r="F2675" s="912"/>
      <c r="G2675" s="905" t="s">
        <v>367</v>
      </c>
      <c r="H2675" s="546"/>
      <c r="I2675" s="910" t="e">
        <f>VLOOKUP(H2671,'LƯƠNG KT'!$D$16:$AC$184,16,0)</f>
        <v>#N/A</v>
      </c>
      <c r="J2675" s="609" t="e">
        <f>+I2675*$L$6</f>
        <v>#N/A</v>
      </c>
      <c r="K2675" s="935"/>
      <c r="L2675" s="935"/>
      <c r="M2675" s="935"/>
      <c r="N2675" s="935"/>
      <c r="O2675" s="935"/>
    </row>
    <row r="2676" spans="1:15" ht="15" customHeight="1">
      <c r="A2676" s="905" t="s">
        <v>371</v>
      </c>
      <c r="B2676" s="546" t="s">
        <v>372</v>
      </c>
      <c r="C2676" s="910" t="e">
        <f>VLOOKUP(B2671,'LƯƠNG KT'!$D$16:$AC$184,9,0)*$L$10</f>
        <v>#N/A</v>
      </c>
      <c r="D2676" s="609" t="e">
        <f>+C2676*0.5*3000</f>
        <v>#N/A</v>
      </c>
      <c r="E2676" s="912"/>
      <c r="F2676" s="912"/>
      <c r="G2676" s="905" t="s">
        <v>371</v>
      </c>
      <c r="H2676" s="546" t="s">
        <v>372</v>
      </c>
      <c r="I2676" s="910" t="e">
        <f>VLOOKUP(H2671,'LƯƠNG KT'!$D$16:$AC$184,9,0)*$L$10</f>
        <v>#N/A</v>
      </c>
      <c r="J2676" s="609" t="e">
        <f>+I2676*0.5*3000</f>
        <v>#N/A</v>
      </c>
      <c r="K2676" s="935"/>
      <c r="L2676" s="935"/>
      <c r="M2676" s="935"/>
      <c r="N2676" s="935"/>
      <c r="O2676" s="935"/>
    </row>
    <row r="2677" spans="1:15" ht="15" customHeight="1">
      <c r="A2677" s="905" t="s">
        <v>374</v>
      </c>
      <c r="B2677" s="546" t="s">
        <v>375</v>
      </c>
      <c r="C2677" s="910" t="e">
        <f>VLOOKUP(B2671,'LƯƠNG KT'!$D$16:$AC$184,8,0)*$L$11</f>
        <v>#N/A</v>
      </c>
      <c r="D2677" s="609" t="e">
        <f>VLOOKUP(B2671,'LƯƠNG KT'!$D$16:$AC$184,13,0)-D2676</f>
        <v>#N/A</v>
      </c>
      <c r="E2677" s="914"/>
      <c r="F2677" s="912"/>
      <c r="G2677" s="905" t="s">
        <v>374</v>
      </c>
      <c r="H2677" s="546" t="s">
        <v>375</v>
      </c>
      <c r="I2677" s="910" t="e">
        <f>VLOOKUP(H2671,'LƯƠNG KT'!$D$16:$AC$184,8,0)*$L$11</f>
        <v>#N/A</v>
      </c>
      <c r="J2677" s="609" t="e">
        <f>VLOOKUP(H2671,'LƯƠNG KT'!$D$16:$AC$184,13,0)-J2676</f>
        <v>#N/A</v>
      </c>
      <c r="K2677" s="935"/>
      <c r="L2677" s="935"/>
      <c r="M2677" s="935"/>
      <c r="N2677" s="935"/>
      <c r="O2677" s="935"/>
    </row>
    <row r="2678" spans="1:15" ht="15" customHeight="1">
      <c r="A2678" s="609" t="s">
        <v>377</v>
      </c>
      <c r="B2678" s="546" t="s">
        <v>378</v>
      </c>
      <c r="C2678" s="910"/>
      <c r="D2678" s="609"/>
      <c r="E2678" s="916"/>
      <c r="F2678" s="916"/>
      <c r="G2678" s="609" t="s">
        <v>377</v>
      </c>
      <c r="H2678" s="546" t="s">
        <v>378</v>
      </c>
      <c r="I2678" s="910"/>
      <c r="J2678" s="609"/>
    </row>
    <row r="2679" spans="1:15" ht="15" customHeight="1">
      <c r="A2679" s="547" t="s">
        <v>379</v>
      </c>
      <c r="B2679" s="546" t="s">
        <v>380</v>
      </c>
      <c r="C2679" s="910"/>
      <c r="D2679" s="609"/>
      <c r="E2679" s="914"/>
      <c r="F2679" s="916"/>
      <c r="G2679" s="547" t="s">
        <v>379</v>
      </c>
      <c r="H2679" s="546" t="s">
        <v>380</v>
      </c>
      <c r="I2679" s="910"/>
      <c r="J2679" s="609"/>
    </row>
    <row r="2680" spans="1:15" ht="15" customHeight="1">
      <c r="A2680" s="905" t="s">
        <v>381</v>
      </c>
      <c r="B2680" s="546" t="s">
        <v>382</v>
      </c>
      <c r="C2680" s="910"/>
      <c r="D2680" s="609">
        <f>D2679</f>
        <v>0</v>
      </c>
      <c r="E2680" s="917"/>
      <c r="F2680" s="904"/>
      <c r="G2680" s="905" t="s">
        <v>381</v>
      </c>
      <c r="H2680" s="546" t="s">
        <v>382</v>
      </c>
      <c r="I2680" s="910"/>
      <c r="J2680" s="609">
        <f>J2679</f>
        <v>0</v>
      </c>
    </row>
    <row r="2681" spans="1:15" ht="15" customHeight="1">
      <c r="A2681" s="918" t="s">
        <v>383</v>
      </c>
      <c r="B2681" s="919" t="s">
        <v>384</v>
      </c>
      <c r="C2681" s="920"/>
      <c r="D2681" s="921" t="e">
        <f>SUM(D2672:D2677)-D2680</f>
        <v>#N/A</v>
      </c>
      <c r="E2681" s="922"/>
      <c r="F2681" s="923"/>
      <c r="G2681" s="918" t="s">
        <v>383</v>
      </c>
      <c r="H2681" s="919" t="s">
        <v>384</v>
      </c>
      <c r="I2681" s="920"/>
      <c r="J2681" s="921" t="e">
        <f>SUM(J2672:J2677)-J2680</f>
        <v>#N/A</v>
      </c>
    </row>
    <row r="2682" spans="1:15" ht="18.75" customHeight="1">
      <c r="A2682" s="924"/>
      <c r="B2682" s="925"/>
      <c r="C2682" s="926"/>
      <c r="D2682" s="927"/>
      <c r="E2682" s="927"/>
      <c r="F2682" s="928"/>
      <c r="G2682" s="924"/>
      <c r="H2682" s="925"/>
      <c r="I2682" s="926"/>
      <c r="J2682" s="927"/>
    </row>
    <row r="2683" spans="1:15" ht="18.75" customHeight="1">
      <c r="A2683" s="925"/>
      <c r="B2683" s="925"/>
      <c r="C2683" s="929"/>
      <c r="D2683" s="930"/>
      <c r="E2683" s="925"/>
      <c r="F2683" s="931"/>
      <c r="G2683" s="925"/>
      <c r="H2683" s="925"/>
      <c r="I2683" s="929"/>
      <c r="J2683" s="930"/>
    </row>
    <row r="2684" spans="1:15" ht="15" customHeight="1">
      <c r="A2684" s="2360" t="str">
        <f>$K$2</f>
        <v>THÁNG 09/2024</v>
      </c>
      <c r="B2684" s="2360"/>
      <c r="C2684" s="2360"/>
      <c r="D2684" s="2360"/>
      <c r="E2684" s="903"/>
      <c r="F2684" s="904"/>
      <c r="G2684" s="2360" t="str">
        <f>$K$2</f>
        <v>THÁNG 09/2024</v>
      </c>
      <c r="H2684" s="2360"/>
      <c r="I2684" s="2360"/>
      <c r="J2684" s="2360"/>
      <c r="K2684" s="276"/>
    </row>
    <row r="2685" spans="1:15" ht="15" customHeight="1">
      <c r="A2685" s="905" t="s">
        <v>356</v>
      </c>
      <c r="B2685" s="642" t="s">
        <v>252</v>
      </c>
      <c r="C2685" s="546"/>
      <c r="D2685" s="902"/>
      <c r="E2685" s="906"/>
      <c r="F2685" s="907"/>
      <c r="G2685" s="905" t="s">
        <v>356</v>
      </c>
      <c r="H2685" s="642" t="s">
        <v>253</v>
      </c>
      <c r="I2685" s="546"/>
      <c r="J2685" s="902"/>
      <c r="L2685" s="938"/>
      <c r="M2685" s="938"/>
      <c r="N2685" s="938"/>
      <c r="O2685" s="938"/>
    </row>
    <row r="2686" spans="1:15" ht="15" customHeight="1">
      <c r="A2686" s="905" t="s">
        <v>359</v>
      </c>
      <c r="B2686" s="939" t="s">
        <v>360</v>
      </c>
      <c r="C2686" s="910" t="e">
        <f>VLOOKUP(B2685,'LƯƠNG KT'!$D$16:$AC$184,3,0)</f>
        <v>#N/A</v>
      </c>
      <c r="D2686" s="609" t="e">
        <f>+C2686*25000</f>
        <v>#N/A</v>
      </c>
      <c r="E2686" s="911"/>
      <c r="F2686" s="911"/>
      <c r="G2686" s="905" t="s">
        <v>359</v>
      </c>
      <c r="H2686" s="939" t="s">
        <v>360</v>
      </c>
      <c r="I2686" s="910" t="e">
        <f>VLOOKUP(H2685,'LƯƠNG KT'!$D$16:$AC$184,3,0)</f>
        <v>#N/A</v>
      </c>
      <c r="J2686" s="609" t="e">
        <f>+I2686*25000</f>
        <v>#N/A</v>
      </c>
      <c r="K2686" s="935"/>
      <c r="L2686" s="935"/>
      <c r="M2686" s="935"/>
      <c r="N2686" s="935"/>
      <c r="O2686" s="935"/>
    </row>
    <row r="2687" spans="1:15" ht="15" customHeight="1">
      <c r="A2687" s="905" t="s">
        <v>361</v>
      </c>
      <c r="B2687" s="546" t="s">
        <v>362</v>
      </c>
      <c r="C2687" s="910" t="e">
        <f>VLOOKUP(B2685,'LƯƠNG KT'!$D$16:$AC$184,14,0)</f>
        <v>#N/A</v>
      </c>
      <c r="D2687" s="609" t="e">
        <f>C2687*$L$4</f>
        <v>#N/A</v>
      </c>
      <c r="E2687" s="912"/>
      <c r="F2687" s="912"/>
      <c r="G2687" s="905" t="s">
        <v>361</v>
      </c>
      <c r="H2687" s="546" t="s">
        <v>362</v>
      </c>
      <c r="I2687" s="910" t="e">
        <f>VLOOKUP(H2685,'LƯƠNG KT'!$D$16:$AC$184,14,0)</f>
        <v>#N/A</v>
      </c>
      <c r="J2687" s="609" t="e">
        <f>I2687*$L$4</f>
        <v>#N/A</v>
      </c>
      <c r="K2687" s="935"/>
      <c r="L2687" s="935"/>
      <c r="M2687" s="935"/>
      <c r="N2687" s="935"/>
      <c r="O2687" s="935"/>
    </row>
    <row r="2688" spans="1:15" ht="15" customHeight="1">
      <c r="A2688" s="905" t="s">
        <v>364</v>
      </c>
      <c r="B2688" s="546" t="s">
        <v>365</v>
      </c>
      <c r="C2688" s="910" t="e">
        <f>VLOOKUP(B2685,'LƯƠNG KT'!$D$16:$AC$184,15,0)</f>
        <v>#N/A</v>
      </c>
      <c r="D2688" s="609" t="e">
        <f>C2688*$L$5</f>
        <v>#N/A</v>
      </c>
      <c r="E2688" s="912"/>
      <c r="F2688" s="912"/>
      <c r="G2688" s="905" t="s">
        <v>364</v>
      </c>
      <c r="H2688" s="546" t="s">
        <v>365</v>
      </c>
      <c r="I2688" s="910" t="e">
        <f>VLOOKUP(H2685,'LƯƠNG KT'!$D$16:$AC$184,15,0)</f>
        <v>#N/A</v>
      </c>
      <c r="J2688" s="609" t="e">
        <f>I2688*$L$5</f>
        <v>#N/A</v>
      </c>
      <c r="K2688" s="935"/>
      <c r="L2688" s="935"/>
      <c r="M2688" s="935"/>
      <c r="N2688" s="935"/>
      <c r="O2688" s="935"/>
    </row>
    <row r="2689" spans="1:15" ht="15" customHeight="1">
      <c r="A2689" s="905" t="s">
        <v>367</v>
      </c>
      <c r="B2689" s="546"/>
      <c r="C2689" s="910" t="e">
        <f>VLOOKUP(B2685,'LƯƠNG KT'!$D$16:$AC$184,16,0)</f>
        <v>#N/A</v>
      </c>
      <c r="D2689" s="609" t="e">
        <f>+C2689*$L$6</f>
        <v>#N/A</v>
      </c>
      <c r="E2689" s="912"/>
      <c r="F2689" s="912"/>
      <c r="G2689" s="905" t="s">
        <v>367</v>
      </c>
      <c r="H2689" s="546"/>
      <c r="I2689" s="910" t="e">
        <f>VLOOKUP(H2685,'LƯƠNG KT'!$D$16:$AC$184,16,0)</f>
        <v>#N/A</v>
      </c>
      <c r="J2689" s="609" t="e">
        <f>+I2689*$L$6</f>
        <v>#N/A</v>
      </c>
      <c r="K2689" s="935"/>
      <c r="L2689" s="935"/>
      <c r="M2689" s="935"/>
      <c r="N2689" s="935"/>
      <c r="O2689" s="935"/>
    </row>
    <row r="2690" spans="1:15" ht="15" customHeight="1">
      <c r="A2690" s="905" t="s">
        <v>371</v>
      </c>
      <c r="B2690" s="546" t="s">
        <v>372</v>
      </c>
      <c r="C2690" s="910" t="e">
        <f>VLOOKUP(B2685,'LƯƠNG KT'!$D$16:$AC$184,9,0)*$L$10</f>
        <v>#N/A</v>
      </c>
      <c r="D2690" s="609" t="e">
        <f>+C2690*0.5*3000</f>
        <v>#N/A</v>
      </c>
      <c r="E2690" s="912"/>
      <c r="F2690" s="912"/>
      <c r="G2690" s="905" t="s">
        <v>371</v>
      </c>
      <c r="H2690" s="546" t="s">
        <v>372</v>
      </c>
      <c r="I2690" s="910" t="e">
        <f>VLOOKUP(H2685,'LƯƠNG KT'!$D$16:$AC$184,9,0)*$L$10</f>
        <v>#N/A</v>
      </c>
      <c r="J2690" s="609" t="e">
        <f>+I2690*0.5*3000</f>
        <v>#N/A</v>
      </c>
      <c r="K2690" s="935"/>
      <c r="L2690" s="935"/>
      <c r="M2690" s="935"/>
      <c r="N2690" s="935"/>
      <c r="O2690" s="935"/>
    </row>
    <row r="2691" spans="1:15" ht="15" customHeight="1">
      <c r="A2691" s="905" t="s">
        <v>374</v>
      </c>
      <c r="B2691" s="546" t="s">
        <v>375</v>
      </c>
      <c r="C2691" s="910" t="e">
        <f>VLOOKUP(B2685,'LƯƠNG KT'!$D$16:$AC$184,8,0)*$L$11</f>
        <v>#N/A</v>
      </c>
      <c r="D2691" s="609" t="e">
        <f>VLOOKUP(B2685,'LƯƠNG KT'!$D$16:$AC$184,13,0)-D2690</f>
        <v>#N/A</v>
      </c>
      <c r="E2691" s="914"/>
      <c r="F2691" s="912"/>
      <c r="G2691" s="905" t="s">
        <v>374</v>
      </c>
      <c r="H2691" s="546" t="s">
        <v>375</v>
      </c>
      <c r="I2691" s="910" t="e">
        <f>VLOOKUP(H2685,'LƯƠNG KT'!$D$16:$AC$184,8,0)*$L$11</f>
        <v>#N/A</v>
      </c>
      <c r="J2691" s="609" t="e">
        <f>VLOOKUP(H2685,'LƯƠNG KT'!$D$16:$AC$184,13,0)-J2690</f>
        <v>#N/A</v>
      </c>
      <c r="K2691" s="935"/>
      <c r="L2691" s="935"/>
      <c r="M2691" s="935"/>
      <c r="N2691" s="935"/>
      <c r="O2691" s="935"/>
    </row>
    <row r="2692" spans="1:15" ht="15" customHeight="1">
      <c r="A2692" s="609" t="s">
        <v>377</v>
      </c>
      <c r="B2692" s="546" t="s">
        <v>378</v>
      </c>
      <c r="C2692" s="910"/>
      <c r="D2692" s="609"/>
      <c r="E2692" s="916"/>
      <c r="F2692" s="916"/>
      <c r="G2692" s="609" t="s">
        <v>377</v>
      </c>
      <c r="H2692" s="546" t="s">
        <v>378</v>
      </c>
      <c r="I2692" s="910"/>
      <c r="J2692" s="609"/>
    </row>
    <row r="2693" spans="1:15" ht="15" customHeight="1">
      <c r="A2693" s="547" t="s">
        <v>379</v>
      </c>
      <c r="B2693" s="546" t="s">
        <v>380</v>
      </c>
      <c r="C2693" s="910"/>
      <c r="D2693" s="609"/>
      <c r="E2693" s="914"/>
      <c r="F2693" s="916"/>
      <c r="G2693" s="547" t="s">
        <v>379</v>
      </c>
      <c r="H2693" s="546" t="s">
        <v>380</v>
      </c>
      <c r="I2693" s="910"/>
      <c r="J2693" s="609"/>
    </row>
    <row r="2694" spans="1:15" ht="15" customHeight="1">
      <c r="A2694" s="905" t="s">
        <v>381</v>
      </c>
      <c r="B2694" s="546" t="s">
        <v>382</v>
      </c>
      <c r="C2694" s="910"/>
      <c r="D2694" s="609">
        <f>D2693</f>
        <v>0</v>
      </c>
      <c r="E2694" s="917"/>
      <c r="F2694" s="904"/>
      <c r="G2694" s="905" t="s">
        <v>381</v>
      </c>
      <c r="H2694" s="546" t="s">
        <v>382</v>
      </c>
      <c r="I2694" s="910"/>
      <c r="J2694" s="609">
        <f>J2693</f>
        <v>0</v>
      </c>
    </row>
    <row r="2695" spans="1:15" ht="15" customHeight="1">
      <c r="A2695" s="918" t="s">
        <v>383</v>
      </c>
      <c r="B2695" s="919" t="s">
        <v>384</v>
      </c>
      <c r="C2695" s="920"/>
      <c r="D2695" s="921" t="e">
        <f>SUM(D2686:D2691)-D2694</f>
        <v>#N/A</v>
      </c>
      <c r="E2695" s="922"/>
      <c r="F2695" s="923"/>
      <c r="G2695" s="918" t="s">
        <v>383</v>
      </c>
      <c r="H2695" s="919" t="s">
        <v>384</v>
      </c>
      <c r="I2695" s="920"/>
      <c r="J2695" s="921" t="e">
        <f>SUM(J2686:J2691)-J2694</f>
        <v>#N/A</v>
      </c>
    </row>
    <row r="2696" spans="1:15" ht="15.75" customHeight="1">
      <c r="A2696" s="924"/>
      <c r="B2696" s="925"/>
      <c r="C2696" s="926"/>
      <c r="D2696" s="927"/>
      <c r="E2696" s="927"/>
      <c r="F2696" s="928"/>
      <c r="G2696" s="924"/>
      <c r="H2696" s="925"/>
      <c r="I2696" s="926"/>
      <c r="J2696" s="927"/>
    </row>
    <row r="2698" spans="1:15" ht="12" customHeight="1">
      <c r="A2698" s="2361"/>
      <c r="B2698" s="2361"/>
      <c r="C2698" s="2361"/>
      <c r="D2698" s="2361"/>
      <c r="E2698" s="2361"/>
      <c r="F2698" s="2361"/>
      <c r="G2698" s="2361"/>
      <c r="H2698" s="2361"/>
      <c r="I2698" s="2361"/>
      <c r="J2698" s="2361"/>
    </row>
    <row r="2699" spans="1:15" ht="15" customHeight="1">
      <c r="A2699" s="2360" t="str">
        <f>$K$2</f>
        <v>THÁNG 09/2024</v>
      </c>
      <c r="B2699" s="2360"/>
      <c r="C2699" s="2360"/>
      <c r="D2699" s="2360"/>
      <c r="E2699" s="903"/>
      <c r="F2699" s="904"/>
      <c r="G2699" s="2360" t="str">
        <f>$K$2</f>
        <v>THÁNG 09/2024</v>
      </c>
      <c r="H2699" s="2360"/>
      <c r="I2699" s="2360"/>
      <c r="J2699" s="2360"/>
      <c r="K2699" s="276"/>
    </row>
    <row r="2700" spans="1:15" ht="15" customHeight="1">
      <c r="A2700" s="905" t="s">
        <v>356</v>
      </c>
      <c r="B2700" s="642" t="s">
        <v>254</v>
      </c>
      <c r="C2700" s="546"/>
      <c r="D2700" s="902"/>
      <c r="E2700" s="906"/>
      <c r="F2700" s="907"/>
      <c r="G2700" s="905" t="s">
        <v>356</v>
      </c>
      <c r="H2700" s="642" t="s">
        <v>255</v>
      </c>
      <c r="I2700" s="546"/>
      <c r="J2700" s="902"/>
      <c r="L2700" s="938"/>
      <c r="M2700" s="938"/>
      <c r="N2700" s="938"/>
      <c r="O2700" s="938"/>
    </row>
    <row r="2701" spans="1:15" ht="15" customHeight="1">
      <c r="A2701" s="905" t="s">
        <v>359</v>
      </c>
      <c r="B2701" s="939" t="s">
        <v>360</v>
      </c>
      <c r="C2701" s="910" t="e">
        <f>VLOOKUP(B2700,'LƯƠNG KT'!$D$16:$AC$184,3,0)</f>
        <v>#N/A</v>
      </c>
      <c r="D2701" s="609" t="e">
        <f>+C2701*25000</f>
        <v>#N/A</v>
      </c>
      <c r="E2701" s="911"/>
      <c r="F2701" s="911"/>
      <c r="G2701" s="905" t="s">
        <v>359</v>
      </c>
      <c r="H2701" s="939" t="s">
        <v>360</v>
      </c>
      <c r="I2701" s="910" t="e">
        <f>VLOOKUP(H2700,'LƯƠNG KT'!$D$16:$AC$184,3,0)</f>
        <v>#N/A</v>
      </c>
      <c r="J2701" s="609" t="e">
        <f>+I2701*25000</f>
        <v>#N/A</v>
      </c>
      <c r="K2701" s="934"/>
      <c r="L2701" s="935"/>
      <c r="M2701" s="935"/>
      <c r="N2701" s="935"/>
      <c r="O2701" s="935"/>
    </row>
    <row r="2702" spans="1:15" ht="15" customHeight="1">
      <c r="A2702" s="905" t="s">
        <v>361</v>
      </c>
      <c r="B2702" s="546" t="s">
        <v>362</v>
      </c>
      <c r="C2702" s="910" t="e">
        <f>VLOOKUP(B2700,'LƯƠNG KT'!$D$16:$AC$184,14,0)</f>
        <v>#N/A</v>
      </c>
      <c r="D2702" s="609" t="e">
        <f>C2702*$L$4</f>
        <v>#N/A</v>
      </c>
      <c r="E2702" s="912"/>
      <c r="F2702" s="912"/>
      <c r="G2702" s="905" t="s">
        <v>361</v>
      </c>
      <c r="H2702" s="546" t="s">
        <v>362</v>
      </c>
      <c r="I2702" s="910" t="e">
        <f>VLOOKUP(H2700,'LƯƠNG KT'!$D$16:$AC$184,14,0)</f>
        <v>#N/A</v>
      </c>
      <c r="J2702" s="609" t="e">
        <f>I2702*$L$4</f>
        <v>#N/A</v>
      </c>
      <c r="K2702" s="934"/>
      <c r="L2702" s="935"/>
      <c r="M2702" s="935"/>
      <c r="N2702" s="935"/>
      <c r="O2702" s="935"/>
    </row>
    <row r="2703" spans="1:15" ht="15" customHeight="1">
      <c r="A2703" s="905" t="s">
        <v>364</v>
      </c>
      <c r="B2703" s="546" t="s">
        <v>365</v>
      </c>
      <c r="C2703" s="910" t="e">
        <f>VLOOKUP(B2700,'LƯƠNG KT'!$D$16:$AC$184,15,0)</f>
        <v>#N/A</v>
      </c>
      <c r="D2703" s="609" t="e">
        <f>C2703*$L$5</f>
        <v>#N/A</v>
      </c>
      <c r="E2703" s="912"/>
      <c r="F2703" s="912"/>
      <c r="G2703" s="905" t="s">
        <v>364</v>
      </c>
      <c r="H2703" s="546" t="s">
        <v>365</v>
      </c>
      <c r="I2703" s="910" t="e">
        <f>VLOOKUP(H2700,'LƯƠNG KT'!$D$16:$AC$184,15,0)</f>
        <v>#N/A</v>
      </c>
      <c r="J2703" s="609" t="e">
        <f>I2703*$L$5</f>
        <v>#N/A</v>
      </c>
      <c r="K2703" s="934"/>
      <c r="L2703" s="935"/>
      <c r="M2703" s="935"/>
      <c r="N2703" s="935"/>
      <c r="O2703" s="935"/>
    </row>
    <row r="2704" spans="1:15" ht="15" customHeight="1">
      <c r="A2704" s="905" t="s">
        <v>367</v>
      </c>
      <c r="B2704" s="546"/>
      <c r="C2704" s="910" t="e">
        <f>VLOOKUP(B2700,'LƯƠNG KT'!$D$16:$AC$184,16,0)</f>
        <v>#N/A</v>
      </c>
      <c r="D2704" s="609" t="e">
        <f>+C2704*$L$6</f>
        <v>#N/A</v>
      </c>
      <c r="E2704" s="912"/>
      <c r="F2704" s="912"/>
      <c r="G2704" s="905" t="s">
        <v>367</v>
      </c>
      <c r="H2704" s="546"/>
      <c r="I2704" s="910" t="e">
        <f>VLOOKUP(H2700,'LƯƠNG KT'!$D$16:$AC$184,16,0)</f>
        <v>#N/A</v>
      </c>
      <c r="J2704" s="609" t="e">
        <f>+I2704*$L$6</f>
        <v>#N/A</v>
      </c>
      <c r="K2704" s="935"/>
      <c r="L2704" s="935"/>
      <c r="M2704" s="935"/>
      <c r="N2704" s="935"/>
      <c r="O2704" s="935"/>
    </row>
    <row r="2705" spans="1:15" ht="15" customHeight="1">
      <c r="A2705" s="905" t="s">
        <v>371</v>
      </c>
      <c r="B2705" s="546" t="s">
        <v>372</v>
      </c>
      <c r="C2705" s="910" t="e">
        <f>VLOOKUP(B2700,'LƯƠNG KT'!$D$16:$AC$184,9,0)*$L$10</f>
        <v>#N/A</v>
      </c>
      <c r="D2705" s="609" t="e">
        <f>+C2705*0.5*3000</f>
        <v>#N/A</v>
      </c>
      <c r="E2705" s="912"/>
      <c r="F2705" s="912"/>
      <c r="G2705" s="905" t="s">
        <v>371</v>
      </c>
      <c r="H2705" s="546" t="s">
        <v>372</v>
      </c>
      <c r="I2705" s="910" t="e">
        <f>VLOOKUP(H2700,'LƯƠNG KT'!$D$16:$AC$184,9,0)*$L$10</f>
        <v>#N/A</v>
      </c>
      <c r="J2705" s="609" t="e">
        <f>+I2705*0.5*3000</f>
        <v>#N/A</v>
      </c>
      <c r="K2705" s="935"/>
      <c r="L2705" s="935"/>
      <c r="M2705" s="935"/>
      <c r="N2705" s="935"/>
      <c r="O2705" s="935"/>
    </row>
    <row r="2706" spans="1:15" ht="15" customHeight="1">
      <c r="A2706" s="905" t="s">
        <v>374</v>
      </c>
      <c r="B2706" s="546" t="s">
        <v>375</v>
      </c>
      <c r="C2706" s="910" t="e">
        <f>VLOOKUP(B2700,'LƯƠNG KT'!$D$16:$AC$184,8,0)*$L$11</f>
        <v>#N/A</v>
      </c>
      <c r="D2706" s="609" t="e">
        <f>VLOOKUP(B2700,'LƯƠNG KT'!$D$16:$AC$184,13,0)-D2705</f>
        <v>#N/A</v>
      </c>
      <c r="E2706" s="914"/>
      <c r="F2706" s="912"/>
      <c r="G2706" s="905" t="s">
        <v>374</v>
      </c>
      <c r="H2706" s="546" t="s">
        <v>375</v>
      </c>
      <c r="I2706" s="910" t="e">
        <f>VLOOKUP(H2700,'LƯƠNG KT'!$D$16:$AC$184,8,0)*$L$11</f>
        <v>#N/A</v>
      </c>
      <c r="J2706" s="609" t="e">
        <f>VLOOKUP(H2700,'LƯƠNG KT'!$D$16:$AC$184,13,0)-J2705</f>
        <v>#N/A</v>
      </c>
      <c r="K2706" s="935"/>
      <c r="L2706" s="935"/>
      <c r="M2706" s="935"/>
      <c r="N2706" s="935"/>
      <c r="O2706" s="935"/>
    </row>
    <row r="2707" spans="1:15" ht="15" customHeight="1">
      <c r="A2707" s="609" t="s">
        <v>377</v>
      </c>
      <c r="B2707" s="546" t="s">
        <v>378</v>
      </c>
      <c r="C2707" s="910"/>
      <c r="D2707" s="609"/>
      <c r="E2707" s="916"/>
      <c r="F2707" s="916"/>
      <c r="G2707" s="609" t="s">
        <v>377</v>
      </c>
      <c r="H2707" s="546" t="s">
        <v>378</v>
      </c>
      <c r="I2707" s="910"/>
      <c r="J2707" s="609"/>
    </row>
    <row r="2708" spans="1:15" ht="15" customHeight="1">
      <c r="A2708" s="547" t="s">
        <v>379</v>
      </c>
      <c r="B2708" s="546" t="s">
        <v>380</v>
      </c>
      <c r="C2708" s="910"/>
      <c r="D2708" s="609"/>
      <c r="E2708" s="914"/>
      <c r="F2708" s="916"/>
      <c r="G2708" s="547" t="s">
        <v>379</v>
      </c>
      <c r="H2708" s="546" t="s">
        <v>380</v>
      </c>
      <c r="I2708" s="910"/>
      <c r="J2708" s="609"/>
    </row>
    <row r="2709" spans="1:15" ht="15" customHeight="1">
      <c r="A2709" s="905" t="s">
        <v>381</v>
      </c>
      <c r="B2709" s="546" t="s">
        <v>382</v>
      </c>
      <c r="C2709" s="910"/>
      <c r="D2709" s="609">
        <f>D2708</f>
        <v>0</v>
      </c>
      <c r="E2709" s="917"/>
      <c r="F2709" s="904"/>
      <c r="G2709" s="905" t="s">
        <v>381</v>
      </c>
      <c r="H2709" s="546" t="s">
        <v>382</v>
      </c>
      <c r="I2709" s="910"/>
      <c r="J2709" s="609">
        <f>J2708</f>
        <v>0</v>
      </c>
    </row>
    <row r="2710" spans="1:15" ht="15" customHeight="1">
      <c r="A2710" s="918" t="s">
        <v>383</v>
      </c>
      <c r="B2710" s="919" t="s">
        <v>384</v>
      </c>
      <c r="C2710" s="920"/>
      <c r="D2710" s="921" t="e">
        <f>SUM(D2701:D2706)-D2709</f>
        <v>#N/A</v>
      </c>
      <c r="E2710" s="922"/>
      <c r="F2710" s="923"/>
      <c r="G2710" s="918" t="s">
        <v>383</v>
      </c>
      <c r="H2710" s="919" t="s">
        <v>384</v>
      </c>
      <c r="I2710" s="920"/>
      <c r="J2710" s="921" t="e">
        <f>SUM(J2701:J2706)-J2709</f>
        <v>#N/A</v>
      </c>
    </row>
    <row r="2711" spans="1:15" ht="12.6" customHeight="1">
      <c r="A2711" s="924"/>
      <c r="B2711" s="925"/>
      <c r="C2711" s="926"/>
      <c r="D2711" s="927"/>
      <c r="E2711" s="927"/>
      <c r="F2711" s="928"/>
      <c r="G2711" s="924"/>
      <c r="H2711" s="925"/>
      <c r="I2711" s="926"/>
      <c r="J2711" s="927"/>
    </row>
    <row r="2712" spans="1:15" ht="12.6" customHeight="1">
      <c r="A2712" s="925"/>
      <c r="B2712" s="925"/>
      <c r="C2712" s="929"/>
      <c r="D2712" s="930"/>
      <c r="E2712" s="925"/>
      <c r="F2712" s="931"/>
      <c r="G2712" s="925"/>
      <c r="H2712" s="925"/>
      <c r="I2712" s="929"/>
      <c r="J2712" s="930"/>
    </row>
    <row r="2713" spans="1:15" ht="15" customHeight="1">
      <c r="A2713" s="2360" t="str">
        <f>$K$2</f>
        <v>THÁNG 09/2024</v>
      </c>
      <c r="B2713" s="2360"/>
      <c r="C2713" s="2360"/>
      <c r="D2713" s="2360"/>
      <c r="E2713" s="903"/>
      <c r="F2713" s="904"/>
      <c r="G2713" s="2360" t="str">
        <f>$K$2</f>
        <v>THÁNG 09/2024</v>
      </c>
      <c r="H2713" s="2360"/>
      <c r="I2713" s="2360"/>
      <c r="J2713" s="2360"/>
      <c r="K2713" s="276"/>
    </row>
    <row r="2714" spans="1:15" ht="15" customHeight="1">
      <c r="A2714" s="905" t="s">
        <v>356</v>
      </c>
      <c r="B2714" s="642" t="s">
        <v>256</v>
      </c>
      <c r="C2714" s="546"/>
      <c r="D2714" s="902"/>
      <c r="E2714" s="906"/>
      <c r="F2714" s="907"/>
      <c r="G2714" s="905" t="s">
        <v>356</v>
      </c>
      <c r="H2714" s="642" t="s">
        <v>257</v>
      </c>
      <c r="I2714" s="546"/>
      <c r="J2714" s="902"/>
      <c r="L2714" s="938"/>
      <c r="M2714" s="938"/>
      <c r="N2714" s="938"/>
      <c r="O2714" s="938"/>
    </row>
    <row r="2715" spans="1:15" ht="15" customHeight="1">
      <c r="A2715" s="905" t="s">
        <v>359</v>
      </c>
      <c r="B2715" s="939" t="s">
        <v>360</v>
      </c>
      <c r="C2715" s="910" t="e">
        <f>VLOOKUP(B2714,'LƯƠNG KT'!$D$16:$AC$184,3,0)</f>
        <v>#N/A</v>
      </c>
      <c r="D2715" s="609" t="e">
        <f>+C2715*25000</f>
        <v>#N/A</v>
      </c>
      <c r="E2715" s="911"/>
      <c r="F2715" s="911"/>
      <c r="G2715" s="905" t="s">
        <v>359</v>
      </c>
      <c r="H2715" s="939" t="s">
        <v>360</v>
      </c>
      <c r="I2715" s="910" t="e">
        <f>VLOOKUP(H2714,'LƯƠNG KT'!$D$16:$AC$184,3,0)</f>
        <v>#N/A</v>
      </c>
      <c r="J2715" s="609" t="e">
        <f>+I2715*25000</f>
        <v>#N/A</v>
      </c>
      <c r="K2715" s="935"/>
      <c r="L2715" s="935"/>
      <c r="M2715" s="935"/>
      <c r="N2715" s="935"/>
      <c r="O2715" s="935"/>
    </row>
    <row r="2716" spans="1:15" ht="15" customHeight="1">
      <c r="A2716" s="905" t="s">
        <v>361</v>
      </c>
      <c r="B2716" s="546" t="s">
        <v>362</v>
      </c>
      <c r="C2716" s="910" t="e">
        <f>VLOOKUP(B2714,'LƯƠNG KT'!$D$16:$AC$184,14,0)</f>
        <v>#N/A</v>
      </c>
      <c r="D2716" s="609" t="e">
        <f>C2716*$L$4</f>
        <v>#N/A</v>
      </c>
      <c r="E2716" s="912"/>
      <c r="F2716" s="912"/>
      <c r="G2716" s="905" t="s">
        <v>361</v>
      </c>
      <c r="H2716" s="546" t="s">
        <v>362</v>
      </c>
      <c r="I2716" s="910" t="e">
        <f>VLOOKUP(H2714,'LƯƠNG KT'!$D$16:$AC$184,14,0)</f>
        <v>#N/A</v>
      </c>
      <c r="J2716" s="609" t="e">
        <f>I2716*$L$4</f>
        <v>#N/A</v>
      </c>
      <c r="K2716" s="935"/>
      <c r="L2716" s="935"/>
      <c r="M2716" s="935"/>
      <c r="N2716" s="935"/>
      <c r="O2716" s="935"/>
    </row>
    <row r="2717" spans="1:15" ht="15" customHeight="1">
      <c r="A2717" s="905" t="s">
        <v>364</v>
      </c>
      <c r="B2717" s="546" t="s">
        <v>365</v>
      </c>
      <c r="C2717" s="910" t="e">
        <f>VLOOKUP(B2714,'LƯƠNG KT'!$D$16:$AC$184,15,0)</f>
        <v>#N/A</v>
      </c>
      <c r="D2717" s="609" t="e">
        <f>C2717*$L$5</f>
        <v>#N/A</v>
      </c>
      <c r="E2717" s="912"/>
      <c r="F2717" s="912"/>
      <c r="G2717" s="905" t="s">
        <v>364</v>
      </c>
      <c r="H2717" s="546" t="s">
        <v>365</v>
      </c>
      <c r="I2717" s="910" t="e">
        <f>VLOOKUP(H2714,'LƯƠNG KT'!$D$16:$AC$184,15,0)</f>
        <v>#N/A</v>
      </c>
      <c r="J2717" s="609" t="e">
        <f>I2717*$L$5</f>
        <v>#N/A</v>
      </c>
      <c r="K2717" s="935"/>
      <c r="L2717" s="935"/>
      <c r="M2717" s="935"/>
      <c r="N2717" s="935"/>
      <c r="O2717" s="935"/>
    </row>
    <row r="2718" spans="1:15" ht="15" customHeight="1">
      <c r="A2718" s="905" t="s">
        <v>367</v>
      </c>
      <c r="B2718" s="546"/>
      <c r="C2718" s="910" t="e">
        <f>VLOOKUP(B2714,'LƯƠNG KT'!$D$16:$AC$184,16,0)</f>
        <v>#N/A</v>
      </c>
      <c r="D2718" s="609" t="e">
        <f>+C2718*$L$6</f>
        <v>#N/A</v>
      </c>
      <c r="E2718" s="912"/>
      <c r="F2718" s="912"/>
      <c r="G2718" s="905" t="s">
        <v>367</v>
      </c>
      <c r="H2718" s="546"/>
      <c r="I2718" s="910" t="e">
        <f>VLOOKUP(H2714,'LƯƠNG KT'!$D$16:$AC$184,16,0)</f>
        <v>#N/A</v>
      </c>
      <c r="J2718" s="609" t="e">
        <f>+I2718*$L$6</f>
        <v>#N/A</v>
      </c>
      <c r="K2718" s="642" t="s">
        <v>259</v>
      </c>
      <c r="L2718" s="935"/>
      <c r="M2718" s="935"/>
      <c r="N2718" s="935"/>
      <c r="O2718" s="935"/>
    </row>
    <row r="2719" spans="1:15" ht="15" customHeight="1">
      <c r="A2719" s="905" t="s">
        <v>371</v>
      </c>
      <c r="B2719" s="546" t="s">
        <v>372</v>
      </c>
      <c r="C2719" s="910" t="e">
        <f>VLOOKUP(B2714,'LƯƠNG KT'!$D$16:$AC$184,9,0)*$L$10</f>
        <v>#N/A</v>
      </c>
      <c r="D2719" s="609" t="e">
        <f>+C2719*0.5*3000</f>
        <v>#N/A</v>
      </c>
      <c r="E2719" s="912"/>
      <c r="F2719" s="912"/>
      <c r="G2719" s="905" t="s">
        <v>371</v>
      </c>
      <c r="H2719" s="546" t="s">
        <v>372</v>
      </c>
      <c r="I2719" s="910" t="e">
        <f>VLOOKUP(H2714,'LƯƠNG KT'!$D$16:$AC$184,9,0)*$L$10</f>
        <v>#N/A</v>
      </c>
      <c r="J2719" s="609" t="e">
        <f>+I2719*0.5*3000</f>
        <v>#N/A</v>
      </c>
      <c r="K2719" s="935"/>
      <c r="L2719" s="935"/>
      <c r="M2719" s="935"/>
      <c r="N2719" s="935"/>
      <c r="O2719" s="935"/>
    </row>
    <row r="2720" spans="1:15" ht="15" customHeight="1">
      <c r="A2720" s="905" t="s">
        <v>374</v>
      </c>
      <c r="B2720" s="546" t="s">
        <v>375</v>
      </c>
      <c r="C2720" s="910" t="e">
        <f>VLOOKUP(B2714,'LƯƠNG KT'!$D$16:$AC$184,8,0)*$L$11</f>
        <v>#N/A</v>
      </c>
      <c r="D2720" s="609" t="e">
        <f>VLOOKUP(B2714,'LƯƠNG KT'!$D$16:$AC$184,13,0)-D2719</f>
        <v>#N/A</v>
      </c>
      <c r="E2720" s="914"/>
      <c r="F2720" s="912"/>
      <c r="G2720" s="905" t="s">
        <v>374</v>
      </c>
      <c r="H2720" s="546" t="s">
        <v>375</v>
      </c>
      <c r="I2720" s="910" t="e">
        <f>VLOOKUP(H2714,'LƯƠNG KT'!$D$16:$AC$184,8,0)*$L$11</f>
        <v>#N/A</v>
      </c>
      <c r="J2720" s="609" t="e">
        <f>VLOOKUP(H2714,'LƯƠNG KT'!$D$16:$AC$184,13,0)-J2719</f>
        <v>#N/A</v>
      </c>
      <c r="K2720" s="935"/>
      <c r="L2720" s="935"/>
      <c r="M2720" s="935"/>
      <c r="N2720" s="935"/>
      <c r="O2720" s="935"/>
    </row>
    <row r="2721" spans="1:15" ht="15" customHeight="1">
      <c r="A2721" s="609" t="s">
        <v>377</v>
      </c>
      <c r="B2721" s="546" t="s">
        <v>378</v>
      </c>
      <c r="C2721" s="910"/>
      <c r="D2721" s="609"/>
      <c r="E2721" s="916"/>
      <c r="F2721" s="916"/>
      <c r="G2721" s="609" t="s">
        <v>377</v>
      </c>
      <c r="H2721" s="546" t="s">
        <v>378</v>
      </c>
      <c r="I2721" s="910"/>
      <c r="J2721" s="609"/>
    </row>
    <row r="2722" spans="1:15" ht="15" customHeight="1">
      <c r="A2722" s="547" t="s">
        <v>379</v>
      </c>
      <c r="B2722" s="546" t="s">
        <v>380</v>
      </c>
      <c r="C2722" s="910"/>
      <c r="D2722" s="609"/>
      <c r="E2722" s="914"/>
      <c r="F2722" s="916"/>
      <c r="G2722" s="547" t="s">
        <v>379</v>
      </c>
      <c r="H2722" s="546" t="s">
        <v>380</v>
      </c>
      <c r="I2722" s="910"/>
      <c r="J2722" s="609"/>
    </row>
    <row r="2723" spans="1:15" ht="15" customHeight="1">
      <c r="A2723" s="905" t="s">
        <v>381</v>
      </c>
      <c r="B2723" s="546" t="s">
        <v>382</v>
      </c>
      <c r="C2723" s="910"/>
      <c r="D2723" s="609">
        <f>D2722</f>
        <v>0</v>
      </c>
      <c r="E2723" s="917"/>
      <c r="F2723" s="904"/>
      <c r="G2723" s="905" t="s">
        <v>381</v>
      </c>
      <c r="H2723" s="546" t="s">
        <v>382</v>
      </c>
      <c r="I2723" s="910"/>
      <c r="J2723" s="609">
        <f>J2722</f>
        <v>0</v>
      </c>
    </row>
    <row r="2724" spans="1:15" ht="15" customHeight="1">
      <c r="A2724" s="918" t="s">
        <v>383</v>
      </c>
      <c r="B2724" s="919" t="s">
        <v>384</v>
      </c>
      <c r="C2724" s="920"/>
      <c r="D2724" s="921" t="e">
        <f>SUM(D2715:D2720)-D2723</f>
        <v>#N/A</v>
      </c>
      <c r="E2724" s="922"/>
      <c r="F2724" s="923"/>
      <c r="G2724" s="918" t="s">
        <v>383</v>
      </c>
      <c r="H2724" s="919" t="s">
        <v>384</v>
      </c>
      <c r="I2724" s="920"/>
      <c r="J2724" s="921" t="e">
        <f>SUM(J2715:J2720)-J2723</f>
        <v>#N/A</v>
      </c>
    </row>
    <row r="2725" spans="1:15" ht="18.75" customHeight="1">
      <c r="A2725" s="924"/>
      <c r="B2725" s="925"/>
      <c r="C2725" s="926"/>
      <c r="D2725" s="927"/>
      <c r="E2725" s="927"/>
      <c r="F2725" s="928"/>
      <c r="G2725" s="924"/>
      <c r="H2725" s="925"/>
      <c r="I2725" s="926"/>
      <c r="J2725" s="927"/>
    </row>
    <row r="2726" spans="1:15" ht="18.75" customHeight="1">
      <c r="A2726" s="925"/>
      <c r="B2726" s="925"/>
      <c r="C2726" s="929"/>
      <c r="D2726" s="930"/>
      <c r="E2726" s="925"/>
      <c r="F2726" s="931"/>
      <c r="G2726" s="925"/>
      <c r="H2726" s="925"/>
      <c r="I2726" s="929"/>
      <c r="J2726" s="930"/>
    </row>
    <row r="2727" spans="1:15" ht="15" customHeight="1">
      <c r="A2727" s="2360" t="str">
        <f>$K$2</f>
        <v>THÁNG 09/2024</v>
      </c>
      <c r="B2727" s="2360"/>
      <c r="C2727" s="2360"/>
      <c r="D2727" s="2360"/>
      <c r="E2727" s="903"/>
      <c r="F2727" s="904"/>
      <c r="G2727" s="2360" t="str">
        <f>$K$2</f>
        <v>THÁNG 09/2024</v>
      </c>
      <c r="H2727" s="2360"/>
      <c r="I2727" s="2360"/>
      <c r="J2727" s="2360"/>
      <c r="K2727" s="276"/>
    </row>
    <row r="2728" spans="1:15" ht="15" customHeight="1">
      <c r="A2728" s="905" t="s">
        <v>356</v>
      </c>
      <c r="B2728" s="642" t="s">
        <v>258</v>
      </c>
      <c r="C2728" s="546"/>
      <c r="D2728" s="902"/>
      <c r="E2728" s="906"/>
      <c r="F2728" s="907"/>
      <c r="G2728" s="905" t="s">
        <v>356</v>
      </c>
      <c r="H2728" s="642" t="s">
        <v>259</v>
      </c>
      <c r="I2728" s="546"/>
      <c r="J2728" s="902"/>
      <c r="L2728" s="938"/>
      <c r="M2728" s="938"/>
      <c r="N2728" s="938"/>
      <c r="O2728" s="938"/>
    </row>
    <row r="2729" spans="1:15" ht="15" customHeight="1">
      <c r="A2729" s="905" t="s">
        <v>359</v>
      </c>
      <c r="B2729" s="939" t="s">
        <v>360</v>
      </c>
      <c r="C2729" s="910" t="e">
        <f>VLOOKUP(B2728,'LƯƠNG KT'!$D$16:$AC$184,3,0)</f>
        <v>#N/A</v>
      </c>
      <c r="D2729" s="609" t="e">
        <f>+C2729*25000</f>
        <v>#N/A</v>
      </c>
      <c r="E2729" s="911"/>
      <c r="F2729" s="911"/>
      <c r="G2729" s="905" t="s">
        <v>359</v>
      </c>
      <c r="H2729" s="939" t="s">
        <v>360</v>
      </c>
      <c r="I2729" s="910" t="e">
        <f>VLOOKUP(H2728,'LƯƠNG KT'!$D$16:$AC$184,3,0)</f>
        <v>#N/A</v>
      </c>
      <c r="J2729" s="609" t="e">
        <f>+I2729*25000</f>
        <v>#N/A</v>
      </c>
      <c r="K2729" s="935"/>
      <c r="L2729" s="935"/>
      <c r="M2729" s="935"/>
      <c r="N2729" s="935"/>
      <c r="O2729" s="935"/>
    </row>
    <row r="2730" spans="1:15" ht="15" customHeight="1">
      <c r="A2730" s="905" t="s">
        <v>361</v>
      </c>
      <c r="B2730" s="546" t="s">
        <v>362</v>
      </c>
      <c r="C2730" s="910" t="e">
        <f>VLOOKUP(B2728,'LƯƠNG KT'!$D$16:$AC$184,14,0)</f>
        <v>#N/A</v>
      </c>
      <c r="D2730" s="609" t="e">
        <f>C2730*$L$4</f>
        <v>#N/A</v>
      </c>
      <c r="E2730" s="912"/>
      <c r="F2730" s="912"/>
      <c r="G2730" s="905" t="s">
        <v>361</v>
      </c>
      <c r="H2730" s="546" t="s">
        <v>362</v>
      </c>
      <c r="I2730" s="910" t="e">
        <f>VLOOKUP(H2728,'LƯƠNG KT'!$D$16:$AC$184,14,0)</f>
        <v>#N/A</v>
      </c>
      <c r="J2730" s="609" t="e">
        <f>I2730*$L$4</f>
        <v>#N/A</v>
      </c>
      <c r="K2730" s="935"/>
      <c r="L2730" s="935"/>
      <c r="M2730" s="935"/>
      <c r="N2730" s="935"/>
      <c r="O2730" s="935"/>
    </row>
    <row r="2731" spans="1:15" ht="15" customHeight="1">
      <c r="A2731" s="905" t="s">
        <v>364</v>
      </c>
      <c r="B2731" s="546" t="s">
        <v>365</v>
      </c>
      <c r="C2731" s="910" t="e">
        <f>VLOOKUP(B2728,'LƯƠNG KT'!$D$16:$AC$184,15,0)</f>
        <v>#N/A</v>
      </c>
      <c r="D2731" s="609" t="e">
        <f>C2731*$L$5</f>
        <v>#N/A</v>
      </c>
      <c r="E2731" s="912"/>
      <c r="F2731" s="912"/>
      <c r="G2731" s="905" t="s">
        <v>364</v>
      </c>
      <c r="H2731" s="546" t="s">
        <v>365</v>
      </c>
      <c r="I2731" s="910" t="e">
        <f>VLOOKUP(H2728,'LƯƠNG KT'!$D$16:$AC$184,15,0)</f>
        <v>#N/A</v>
      </c>
      <c r="J2731" s="609" t="e">
        <f>I2731*$L$5</f>
        <v>#N/A</v>
      </c>
      <c r="K2731" s="935"/>
      <c r="L2731" s="935"/>
      <c r="M2731" s="935"/>
      <c r="N2731" s="935"/>
      <c r="O2731" s="935"/>
    </row>
    <row r="2732" spans="1:15" ht="15" customHeight="1">
      <c r="A2732" s="905" t="s">
        <v>367</v>
      </c>
      <c r="B2732" s="546"/>
      <c r="C2732" s="910" t="e">
        <f>VLOOKUP(B2728,'LƯƠNG KT'!$D$16:$AC$184,16,0)</f>
        <v>#N/A</v>
      </c>
      <c r="D2732" s="609" t="e">
        <f>+C2732*$L$6</f>
        <v>#N/A</v>
      </c>
      <c r="E2732" s="912"/>
      <c r="F2732" s="912"/>
      <c r="G2732" s="905" t="s">
        <v>367</v>
      </c>
      <c r="H2732" s="546"/>
      <c r="I2732" s="910" t="e">
        <f>VLOOKUP(H2728,'LƯƠNG KT'!$D$16:$AC$184,16,0)</f>
        <v>#N/A</v>
      </c>
      <c r="J2732" s="609" t="e">
        <f>+I2732*$L$6</f>
        <v>#N/A</v>
      </c>
      <c r="K2732" s="935"/>
      <c r="L2732" s="935"/>
      <c r="M2732" s="935"/>
      <c r="N2732" s="935"/>
      <c r="O2732" s="935"/>
    </row>
    <row r="2733" spans="1:15" ht="15" customHeight="1">
      <c r="A2733" s="905" t="s">
        <v>371</v>
      </c>
      <c r="B2733" s="546" t="s">
        <v>372</v>
      </c>
      <c r="C2733" s="910" t="e">
        <f>VLOOKUP(B2728,'LƯƠNG KT'!$D$16:$AC$184,9,0)*$L$10</f>
        <v>#N/A</v>
      </c>
      <c r="D2733" s="609" t="e">
        <f>+C2733*0.5*3000</f>
        <v>#N/A</v>
      </c>
      <c r="E2733" s="912"/>
      <c r="F2733" s="912"/>
      <c r="G2733" s="905" t="s">
        <v>371</v>
      </c>
      <c r="H2733" s="546" t="s">
        <v>372</v>
      </c>
      <c r="I2733" s="910" t="e">
        <f>VLOOKUP(H2728,'LƯƠNG KT'!$D$16:$AC$184,9,0)*$L$10</f>
        <v>#N/A</v>
      </c>
      <c r="J2733" s="609" t="e">
        <f>+I2733*0.5*3000</f>
        <v>#N/A</v>
      </c>
      <c r="K2733" s="935"/>
      <c r="L2733" s="935"/>
      <c r="M2733" s="935"/>
      <c r="N2733" s="935"/>
      <c r="O2733" s="935"/>
    </row>
    <row r="2734" spans="1:15" ht="15" customHeight="1">
      <c r="A2734" s="905" t="s">
        <v>374</v>
      </c>
      <c r="B2734" s="546" t="s">
        <v>375</v>
      </c>
      <c r="C2734" s="910" t="e">
        <f>VLOOKUP(B2728,'LƯƠNG KT'!$D$16:$AC$184,8,0)*$L$11</f>
        <v>#N/A</v>
      </c>
      <c r="D2734" s="609" t="e">
        <f>VLOOKUP(B2728,'LƯƠNG KT'!$D$16:$AC$184,13,0)-D2733</f>
        <v>#N/A</v>
      </c>
      <c r="E2734" s="914"/>
      <c r="F2734" s="912"/>
      <c r="G2734" s="905" t="s">
        <v>374</v>
      </c>
      <c r="H2734" s="546" t="s">
        <v>375</v>
      </c>
      <c r="I2734" s="910" t="e">
        <f>VLOOKUP(H2728,'LƯƠNG KT'!$D$16:$AC$184,8,0)*$L$11</f>
        <v>#N/A</v>
      </c>
      <c r="J2734" s="609" t="e">
        <f>VLOOKUP(H2728,'LƯƠNG KT'!$D$16:$AC$184,13,0)-J2733</f>
        <v>#N/A</v>
      </c>
      <c r="K2734" s="935"/>
      <c r="L2734" s="935"/>
      <c r="M2734" s="935"/>
      <c r="N2734" s="935"/>
      <c r="O2734" s="935"/>
    </row>
    <row r="2735" spans="1:15" ht="15" customHeight="1">
      <c r="A2735" s="609" t="s">
        <v>377</v>
      </c>
      <c r="B2735" s="546" t="s">
        <v>378</v>
      </c>
      <c r="C2735" s="910"/>
      <c r="D2735" s="609"/>
      <c r="E2735" s="916"/>
      <c r="F2735" s="916"/>
      <c r="G2735" s="609" t="s">
        <v>377</v>
      </c>
      <c r="H2735" s="546" t="s">
        <v>378</v>
      </c>
      <c r="I2735" s="910"/>
      <c r="J2735" s="609"/>
    </row>
    <row r="2736" spans="1:15" ht="15" customHeight="1">
      <c r="A2736" s="547" t="s">
        <v>379</v>
      </c>
      <c r="B2736" s="546" t="s">
        <v>380</v>
      </c>
      <c r="C2736" s="910"/>
      <c r="D2736" s="609"/>
      <c r="E2736" s="914"/>
      <c r="F2736" s="916"/>
      <c r="G2736" s="547" t="s">
        <v>379</v>
      </c>
      <c r="H2736" s="546" t="s">
        <v>380</v>
      </c>
      <c r="I2736" s="910"/>
      <c r="J2736" s="609"/>
    </row>
    <row r="2737" spans="1:15" ht="15" customHeight="1">
      <c r="A2737" s="905" t="s">
        <v>381</v>
      </c>
      <c r="B2737" s="546" t="s">
        <v>382</v>
      </c>
      <c r="C2737" s="910"/>
      <c r="D2737" s="609">
        <f>D2736</f>
        <v>0</v>
      </c>
      <c r="E2737" s="917"/>
      <c r="F2737" s="904"/>
      <c r="G2737" s="905" t="s">
        <v>381</v>
      </c>
      <c r="H2737" s="546" t="s">
        <v>382</v>
      </c>
      <c r="I2737" s="910"/>
      <c r="J2737" s="609">
        <f>J2736</f>
        <v>0</v>
      </c>
    </row>
    <row r="2738" spans="1:15" ht="15" customHeight="1">
      <c r="A2738" s="918" t="s">
        <v>383</v>
      </c>
      <c r="B2738" s="919" t="s">
        <v>384</v>
      </c>
      <c r="C2738" s="920"/>
      <c r="D2738" s="921" t="e">
        <f>SUM(D2729:D2734)-D2737</f>
        <v>#N/A</v>
      </c>
      <c r="E2738" s="922"/>
      <c r="F2738" s="923"/>
      <c r="G2738" s="918" t="s">
        <v>383</v>
      </c>
      <c r="H2738" s="919" t="s">
        <v>384</v>
      </c>
      <c r="I2738" s="920"/>
      <c r="J2738" s="921" t="e">
        <f>SUM(J2729:J2734)-J2737</f>
        <v>#N/A</v>
      </c>
    </row>
    <row r="2739" spans="1:15" ht="18.75" customHeight="1">
      <c r="A2739" s="924"/>
      <c r="B2739" s="925"/>
      <c r="C2739" s="926"/>
      <c r="D2739" s="927"/>
      <c r="E2739" s="927"/>
      <c r="F2739" s="928"/>
      <c r="G2739" s="924"/>
      <c r="H2739" s="925"/>
      <c r="I2739" s="926"/>
      <c r="J2739" s="927"/>
    </row>
    <row r="2740" spans="1:15" ht="18.75" customHeight="1">
      <c r="A2740" s="925"/>
      <c r="B2740" s="925"/>
      <c r="C2740" s="929"/>
      <c r="D2740" s="930"/>
      <c r="E2740" s="925"/>
      <c r="F2740" s="931"/>
      <c r="G2740" s="925"/>
      <c r="H2740" s="925"/>
      <c r="I2740" s="929"/>
      <c r="J2740" s="930"/>
    </row>
    <row r="2741" spans="1:15" ht="15" customHeight="1">
      <c r="A2741" s="2360" t="str">
        <f>$K$2</f>
        <v>THÁNG 09/2024</v>
      </c>
      <c r="B2741" s="2360"/>
      <c r="C2741" s="2360"/>
      <c r="D2741" s="2360"/>
      <c r="E2741" s="903"/>
      <c r="F2741" s="904"/>
      <c r="G2741" s="2360" t="str">
        <f>$K$2</f>
        <v>THÁNG 09/2024</v>
      </c>
      <c r="H2741" s="2360"/>
      <c r="I2741" s="2360"/>
      <c r="J2741" s="2360"/>
      <c r="K2741" s="276"/>
    </row>
    <row r="2742" spans="1:15" ht="15" customHeight="1">
      <c r="A2742" s="905" t="s">
        <v>356</v>
      </c>
      <c r="B2742" s="642" t="s">
        <v>260</v>
      </c>
      <c r="C2742" s="546"/>
      <c r="D2742" s="902"/>
      <c r="E2742" s="906"/>
      <c r="F2742" s="907"/>
      <c r="G2742" s="905" t="s">
        <v>356</v>
      </c>
      <c r="H2742" s="642" t="s">
        <v>261</v>
      </c>
      <c r="I2742" s="546"/>
      <c r="J2742" s="902"/>
      <c r="L2742" s="938"/>
      <c r="M2742" s="938"/>
      <c r="N2742" s="938"/>
      <c r="O2742" s="938"/>
    </row>
    <row r="2743" spans="1:15" ht="15" customHeight="1">
      <c r="A2743" s="905" t="s">
        <v>359</v>
      </c>
      <c r="B2743" s="939" t="s">
        <v>360</v>
      </c>
      <c r="C2743" s="910" t="e">
        <f>VLOOKUP(B2742,'LƯƠNG KT'!$D$16:$AC$184,3,0)</f>
        <v>#N/A</v>
      </c>
      <c r="D2743" s="609" t="e">
        <f>+C2743*25000</f>
        <v>#N/A</v>
      </c>
      <c r="E2743" s="911"/>
      <c r="F2743" s="911"/>
      <c r="G2743" s="905" t="s">
        <v>359</v>
      </c>
      <c r="H2743" s="939" t="s">
        <v>360</v>
      </c>
      <c r="I2743" s="910" t="e">
        <f>VLOOKUP(H2742,'LƯƠNG KT'!$D$16:$AC$184,3,0)</f>
        <v>#N/A</v>
      </c>
      <c r="J2743" s="609" t="e">
        <f>+I2743*25000</f>
        <v>#N/A</v>
      </c>
      <c r="K2743" s="935"/>
      <c r="L2743" s="935"/>
      <c r="M2743" s="935"/>
      <c r="N2743" s="935"/>
      <c r="O2743" s="935"/>
    </row>
    <row r="2744" spans="1:15" ht="15" customHeight="1">
      <c r="A2744" s="905" t="s">
        <v>361</v>
      </c>
      <c r="B2744" s="546" t="s">
        <v>362</v>
      </c>
      <c r="C2744" s="910" t="e">
        <f>VLOOKUP(B2742,'LƯƠNG KT'!$D$16:$AC$184,14,0)</f>
        <v>#N/A</v>
      </c>
      <c r="D2744" s="609" t="e">
        <f>C2744*$L$4</f>
        <v>#N/A</v>
      </c>
      <c r="E2744" s="912"/>
      <c r="F2744" s="912"/>
      <c r="G2744" s="905" t="s">
        <v>361</v>
      </c>
      <c r="H2744" s="546" t="s">
        <v>362</v>
      </c>
      <c r="I2744" s="910" t="e">
        <f>VLOOKUP(H2742,'LƯƠNG KT'!$D$16:$AC$184,14,0)</f>
        <v>#N/A</v>
      </c>
      <c r="J2744" s="609" t="e">
        <f>I2744*$L$4</f>
        <v>#N/A</v>
      </c>
      <c r="K2744" s="935"/>
      <c r="L2744" s="935"/>
      <c r="M2744" s="935"/>
      <c r="N2744" s="935"/>
      <c r="O2744" s="935"/>
    </row>
    <row r="2745" spans="1:15" ht="15" customHeight="1">
      <c r="A2745" s="905" t="s">
        <v>364</v>
      </c>
      <c r="B2745" s="546" t="s">
        <v>365</v>
      </c>
      <c r="C2745" s="910" t="e">
        <f>VLOOKUP(B2742,'LƯƠNG KT'!$D$16:$AC$184,15,0)</f>
        <v>#N/A</v>
      </c>
      <c r="D2745" s="609" t="e">
        <f>C2745*$L$5</f>
        <v>#N/A</v>
      </c>
      <c r="E2745" s="912"/>
      <c r="F2745" s="912"/>
      <c r="G2745" s="905" t="s">
        <v>364</v>
      </c>
      <c r="H2745" s="546" t="s">
        <v>365</v>
      </c>
      <c r="I2745" s="910" t="e">
        <f>VLOOKUP(H2742,'LƯƠNG KT'!$D$16:$AC$184,15,0)</f>
        <v>#N/A</v>
      </c>
      <c r="J2745" s="609" t="e">
        <f>I2745*$L$5</f>
        <v>#N/A</v>
      </c>
      <c r="K2745" s="935"/>
      <c r="L2745" s="935"/>
      <c r="M2745" s="935"/>
      <c r="N2745" s="935"/>
      <c r="O2745" s="935"/>
    </row>
    <row r="2746" spans="1:15" ht="15" customHeight="1">
      <c r="A2746" s="905" t="s">
        <v>367</v>
      </c>
      <c r="B2746" s="546"/>
      <c r="C2746" s="910" t="e">
        <f>VLOOKUP(B2742,'LƯƠNG KT'!$D$16:$AC$184,16,0)</f>
        <v>#N/A</v>
      </c>
      <c r="D2746" s="609" t="e">
        <f>+C2746*$L$6</f>
        <v>#N/A</v>
      </c>
      <c r="E2746" s="912"/>
      <c r="F2746" s="912"/>
      <c r="G2746" s="905" t="s">
        <v>367</v>
      </c>
      <c r="H2746" s="546"/>
      <c r="I2746" s="910" t="e">
        <f>VLOOKUP(H2742,'LƯƠNG KT'!$D$16:$AC$184,16,0)</f>
        <v>#N/A</v>
      </c>
      <c r="J2746" s="609" t="e">
        <f>+I2746*$L$6</f>
        <v>#N/A</v>
      </c>
      <c r="K2746" s="935"/>
      <c r="L2746" s="935"/>
      <c r="M2746" s="935"/>
      <c r="N2746" s="935"/>
      <c r="O2746" s="935"/>
    </row>
    <row r="2747" spans="1:15" ht="15" customHeight="1">
      <c r="A2747" s="905" t="s">
        <v>371</v>
      </c>
      <c r="B2747" s="546" t="s">
        <v>372</v>
      </c>
      <c r="C2747" s="910" t="e">
        <f>VLOOKUP(B2742,'LƯƠNG KT'!$D$16:$AC$184,9,0)*$L$10</f>
        <v>#N/A</v>
      </c>
      <c r="D2747" s="609" t="e">
        <f>+C2747*0.5*3000</f>
        <v>#N/A</v>
      </c>
      <c r="E2747" s="912"/>
      <c r="F2747" s="912"/>
      <c r="G2747" s="905" t="s">
        <v>371</v>
      </c>
      <c r="H2747" s="546" t="s">
        <v>372</v>
      </c>
      <c r="I2747" s="910" t="e">
        <f>VLOOKUP(H2742,'LƯƠNG KT'!$D$16:$AC$184,9,0)*$L$10</f>
        <v>#N/A</v>
      </c>
      <c r="J2747" s="609" t="e">
        <f>+I2747*0.5*3000</f>
        <v>#N/A</v>
      </c>
      <c r="K2747" s="935"/>
      <c r="L2747" s="935"/>
      <c r="M2747" s="935"/>
      <c r="N2747" s="935"/>
      <c r="O2747" s="935"/>
    </row>
    <row r="2748" spans="1:15" ht="15" customHeight="1">
      <c r="A2748" s="905" t="s">
        <v>374</v>
      </c>
      <c r="B2748" s="546" t="s">
        <v>375</v>
      </c>
      <c r="C2748" s="910" t="e">
        <f>VLOOKUP(B2742,'LƯƠNG KT'!$D$16:$AC$184,8,0)*$L$11</f>
        <v>#N/A</v>
      </c>
      <c r="D2748" s="609" t="e">
        <f>VLOOKUP(B2742,'LƯƠNG KT'!$D$16:$AC$184,13,0)-D2747</f>
        <v>#N/A</v>
      </c>
      <c r="E2748" s="914"/>
      <c r="F2748" s="912"/>
      <c r="G2748" s="905" t="s">
        <v>374</v>
      </c>
      <c r="H2748" s="546" t="s">
        <v>375</v>
      </c>
      <c r="I2748" s="910" t="e">
        <f>VLOOKUP(H2742,'LƯƠNG KT'!$D$16:$AC$184,8,0)*$L$11</f>
        <v>#N/A</v>
      </c>
      <c r="J2748" s="609" t="e">
        <f>VLOOKUP(H2742,'LƯƠNG KT'!$D$16:$AC$184,13,0)-J2747</f>
        <v>#N/A</v>
      </c>
      <c r="K2748" s="935"/>
      <c r="L2748" s="935"/>
      <c r="M2748" s="935"/>
      <c r="N2748" s="935"/>
      <c r="O2748" s="935"/>
    </row>
    <row r="2749" spans="1:15" ht="15" customHeight="1">
      <c r="A2749" s="609" t="s">
        <v>377</v>
      </c>
      <c r="B2749" s="546" t="s">
        <v>378</v>
      </c>
      <c r="C2749" s="910"/>
      <c r="D2749" s="609"/>
      <c r="E2749" s="916"/>
      <c r="F2749" s="916"/>
      <c r="G2749" s="609" t="s">
        <v>377</v>
      </c>
      <c r="H2749" s="546" t="s">
        <v>378</v>
      </c>
      <c r="I2749" s="910"/>
      <c r="J2749" s="609"/>
    </row>
    <row r="2750" spans="1:15" ht="15" customHeight="1">
      <c r="A2750" s="547" t="s">
        <v>379</v>
      </c>
      <c r="B2750" s="546" t="s">
        <v>380</v>
      </c>
      <c r="C2750" s="910"/>
      <c r="D2750" s="609"/>
      <c r="E2750" s="914"/>
      <c r="F2750" s="916"/>
      <c r="G2750" s="547" t="s">
        <v>379</v>
      </c>
      <c r="H2750" s="546" t="s">
        <v>380</v>
      </c>
      <c r="I2750" s="910"/>
      <c r="J2750" s="609"/>
    </row>
    <row r="2751" spans="1:15" ht="15" customHeight="1">
      <c r="A2751" s="905" t="s">
        <v>381</v>
      </c>
      <c r="B2751" s="546" t="s">
        <v>382</v>
      </c>
      <c r="C2751" s="910"/>
      <c r="D2751" s="609">
        <f>D2750</f>
        <v>0</v>
      </c>
      <c r="E2751" s="917"/>
      <c r="F2751" s="904"/>
      <c r="G2751" s="905" t="s">
        <v>381</v>
      </c>
      <c r="H2751" s="546" t="s">
        <v>382</v>
      </c>
      <c r="I2751" s="910"/>
      <c r="J2751" s="609">
        <f>J2750</f>
        <v>0</v>
      </c>
    </row>
    <row r="2752" spans="1:15" ht="15" customHeight="1">
      <c r="A2752" s="918" t="s">
        <v>383</v>
      </c>
      <c r="B2752" s="919" t="s">
        <v>384</v>
      </c>
      <c r="C2752" s="920"/>
      <c r="D2752" s="921" t="e">
        <f>SUM(D2743:D2748)-D2751</f>
        <v>#N/A</v>
      </c>
      <c r="E2752" s="922"/>
      <c r="F2752" s="923"/>
      <c r="G2752" s="918" t="s">
        <v>383</v>
      </c>
      <c r="H2752" s="919" t="s">
        <v>384</v>
      </c>
      <c r="I2752" s="920"/>
      <c r="J2752" s="921" t="e">
        <f>SUM(J2743:J2748)-J2751</f>
        <v>#N/A</v>
      </c>
    </row>
    <row r="2753" spans="1:15" ht="15.75" customHeight="1">
      <c r="A2753" s="924"/>
      <c r="B2753" s="925"/>
      <c r="C2753" s="926"/>
      <c r="D2753" s="927"/>
      <c r="E2753" s="927"/>
      <c r="F2753" s="928"/>
      <c r="G2753" s="924"/>
      <c r="H2753" s="925"/>
      <c r="I2753" s="926"/>
      <c r="J2753" s="927"/>
    </row>
    <row r="2755" spans="1:15" ht="12" customHeight="1">
      <c r="A2755" s="2361"/>
      <c r="B2755" s="2361"/>
      <c r="C2755" s="2361"/>
      <c r="D2755" s="2361"/>
      <c r="E2755" s="2361"/>
      <c r="F2755" s="2361"/>
      <c r="G2755" s="2361"/>
      <c r="H2755" s="2361"/>
      <c r="I2755" s="2361"/>
      <c r="J2755" s="2361"/>
    </row>
    <row r="2756" spans="1:15" ht="15" customHeight="1">
      <c r="A2756" s="2360" t="str">
        <f>$K$2</f>
        <v>THÁNG 09/2024</v>
      </c>
      <c r="B2756" s="2360"/>
      <c r="C2756" s="2360"/>
      <c r="D2756" s="2360"/>
      <c r="E2756" s="903"/>
      <c r="F2756" s="904"/>
      <c r="G2756" s="2360" t="str">
        <f>$K$2</f>
        <v>THÁNG 09/2024</v>
      </c>
      <c r="H2756" s="2360"/>
      <c r="I2756" s="2360"/>
      <c r="J2756" s="2360"/>
      <c r="K2756" s="276"/>
    </row>
    <row r="2757" spans="1:15" ht="15" customHeight="1">
      <c r="A2757" s="905" t="s">
        <v>356</v>
      </c>
      <c r="B2757" s="642" t="s">
        <v>262</v>
      </c>
      <c r="C2757" s="546"/>
      <c r="D2757" s="902"/>
      <c r="E2757" s="906"/>
      <c r="F2757" s="907"/>
      <c r="G2757" s="905" t="s">
        <v>356</v>
      </c>
      <c r="H2757" s="642" t="s">
        <v>263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5" t="s">
        <v>359</v>
      </c>
      <c r="B2758" s="939" t="s">
        <v>360</v>
      </c>
      <c r="C2758" s="910" t="e">
        <f>VLOOKUP(B2757,'LƯƠNG KT'!$D$16:$AC$184,3,0)</f>
        <v>#N/A</v>
      </c>
      <c r="D2758" s="609" t="e">
        <f>+C2758*25000</f>
        <v>#N/A</v>
      </c>
      <c r="E2758" s="911"/>
      <c r="F2758" s="911"/>
      <c r="G2758" s="905" t="s">
        <v>359</v>
      </c>
      <c r="H2758" s="939" t="s">
        <v>360</v>
      </c>
      <c r="I2758" s="910" t="e">
        <f>VLOOKUP(H2757,'LƯƠNG KT'!$D$16:$AC$184,3,0)</f>
        <v>#N/A</v>
      </c>
      <c r="J2758" s="609" t="e">
        <f>+I2758*25000</f>
        <v>#N/A</v>
      </c>
      <c r="K2758" s="934"/>
      <c r="L2758" s="935"/>
      <c r="M2758" s="935"/>
      <c r="N2758" s="935"/>
      <c r="O2758" s="935"/>
    </row>
    <row r="2759" spans="1:15" ht="15" customHeight="1">
      <c r="A2759" s="905" t="s">
        <v>361</v>
      </c>
      <c r="B2759" s="546" t="s">
        <v>362</v>
      </c>
      <c r="C2759" s="910" t="e">
        <f>VLOOKUP(B2757,'LƯƠNG KT'!$D$16:$AC$184,14,0)</f>
        <v>#N/A</v>
      </c>
      <c r="D2759" s="609" t="e">
        <f>C2759*$L$4</f>
        <v>#N/A</v>
      </c>
      <c r="E2759" s="912"/>
      <c r="F2759" s="912"/>
      <c r="G2759" s="905" t="s">
        <v>361</v>
      </c>
      <c r="H2759" s="546" t="s">
        <v>362</v>
      </c>
      <c r="I2759" s="910" t="e">
        <f>VLOOKUP(H2757,'LƯƠNG KT'!$D$16:$AC$184,14,0)</f>
        <v>#N/A</v>
      </c>
      <c r="J2759" s="609" t="e">
        <f>I2759*$L$4</f>
        <v>#N/A</v>
      </c>
      <c r="K2759" s="934"/>
      <c r="L2759" s="935"/>
      <c r="M2759" s="935"/>
      <c r="N2759" s="935"/>
      <c r="O2759" s="935"/>
    </row>
    <row r="2760" spans="1:15" ht="15" customHeight="1">
      <c r="A2760" s="905" t="s">
        <v>364</v>
      </c>
      <c r="B2760" s="546" t="s">
        <v>365</v>
      </c>
      <c r="C2760" s="910" t="e">
        <f>VLOOKUP(B2757,'LƯƠNG KT'!$D$16:$AC$184,15,0)</f>
        <v>#N/A</v>
      </c>
      <c r="D2760" s="609" t="e">
        <f>C2760*$L$5</f>
        <v>#N/A</v>
      </c>
      <c r="E2760" s="912"/>
      <c r="F2760" s="912"/>
      <c r="G2760" s="905" t="s">
        <v>364</v>
      </c>
      <c r="H2760" s="546" t="s">
        <v>365</v>
      </c>
      <c r="I2760" s="910" t="e">
        <f>VLOOKUP(H2757,'LƯƠNG KT'!$D$16:$AC$184,15,0)</f>
        <v>#N/A</v>
      </c>
      <c r="J2760" s="609" t="e">
        <f>I2760*$L$5</f>
        <v>#N/A</v>
      </c>
      <c r="K2760" s="934"/>
      <c r="L2760" s="935"/>
      <c r="M2760" s="935"/>
      <c r="N2760" s="935"/>
      <c r="O2760" s="935"/>
    </row>
    <row r="2761" spans="1:15" ht="15" customHeight="1">
      <c r="A2761" s="905" t="s">
        <v>367</v>
      </c>
      <c r="B2761" s="546"/>
      <c r="C2761" s="910" t="e">
        <f>VLOOKUP(B2757,'LƯƠNG KT'!$D$16:$AC$184,16,0)</f>
        <v>#N/A</v>
      </c>
      <c r="D2761" s="609" t="e">
        <f>+C2761*$L$6</f>
        <v>#N/A</v>
      </c>
      <c r="E2761" s="912"/>
      <c r="F2761" s="912"/>
      <c r="G2761" s="905" t="s">
        <v>367</v>
      </c>
      <c r="H2761" s="546"/>
      <c r="I2761" s="910" t="e">
        <f>VLOOKUP(H2757,'LƯƠNG KT'!$D$16:$AC$184,16,0)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5" t="s">
        <v>371</v>
      </c>
      <c r="B2762" s="546" t="s">
        <v>372</v>
      </c>
      <c r="C2762" s="910" t="e">
        <f>VLOOKUP(B2757,'LƯƠNG KT'!$D$16:$AC$184,9,0)*$L$10</f>
        <v>#N/A</v>
      </c>
      <c r="D2762" s="609" t="e">
        <f>+C2762*0.5*3000</f>
        <v>#N/A</v>
      </c>
      <c r="E2762" s="912"/>
      <c r="F2762" s="912"/>
      <c r="G2762" s="905" t="s">
        <v>371</v>
      </c>
      <c r="H2762" s="546" t="s">
        <v>372</v>
      </c>
      <c r="I2762" s="910" t="e">
        <f>VLOOKUP(H2757,'LƯƠNG KT'!$D$16:$AC$184,9,0)*$L$10</f>
        <v>#N/A</v>
      </c>
      <c r="J2762" s="609" t="e">
        <f>+I2762*0.5*3000</f>
        <v>#N/A</v>
      </c>
      <c r="K2762" s="935"/>
      <c r="L2762" s="935"/>
      <c r="M2762" s="935"/>
      <c r="N2762" s="935"/>
      <c r="O2762" s="935"/>
    </row>
    <row r="2763" spans="1:15" ht="15" customHeight="1">
      <c r="A2763" s="905" t="s">
        <v>374</v>
      </c>
      <c r="B2763" s="546" t="s">
        <v>375</v>
      </c>
      <c r="C2763" s="910" t="e">
        <f>VLOOKUP(B2757,'LƯƠNG KT'!$D$16:$AC$184,8,0)*$L$11</f>
        <v>#N/A</v>
      </c>
      <c r="D2763" s="609" t="e">
        <f>VLOOKUP(B2757,'LƯƠNG KT'!$D$16:$AC$184,13,0)-D2762</f>
        <v>#N/A</v>
      </c>
      <c r="E2763" s="914"/>
      <c r="F2763" s="912"/>
      <c r="G2763" s="905" t="s">
        <v>374</v>
      </c>
      <c r="H2763" s="546" t="s">
        <v>375</v>
      </c>
      <c r="I2763" s="910" t="e">
        <f>VLOOKUP(H2757,'LƯƠNG KT'!$D$16:$AC$184,8,0)*$L$11</f>
        <v>#N/A</v>
      </c>
      <c r="J2763" s="609" t="e">
        <f>VLOOKUP(H2757,'LƯƠNG KT'!$D$16:$AC$184,13,0)-J2762</f>
        <v>#N/A</v>
      </c>
      <c r="K2763" s="935"/>
      <c r="L2763" s="935"/>
      <c r="M2763" s="935"/>
      <c r="N2763" s="935"/>
      <c r="O2763" s="935"/>
    </row>
    <row r="2764" spans="1:15" ht="15" customHeight="1">
      <c r="A2764" s="609" t="s">
        <v>377</v>
      </c>
      <c r="B2764" s="546" t="s">
        <v>378</v>
      </c>
      <c r="C2764" s="910"/>
      <c r="D2764" s="609"/>
      <c r="E2764" s="916"/>
      <c r="F2764" s="916"/>
      <c r="G2764" s="609" t="s">
        <v>377</v>
      </c>
      <c r="H2764" s="546" t="s">
        <v>378</v>
      </c>
      <c r="I2764" s="910"/>
      <c r="J2764" s="609"/>
    </row>
    <row r="2765" spans="1:15" ht="15" customHeight="1">
      <c r="A2765" s="547" t="s">
        <v>379</v>
      </c>
      <c r="B2765" s="546" t="s">
        <v>380</v>
      </c>
      <c r="C2765" s="910"/>
      <c r="D2765" s="609"/>
      <c r="E2765" s="914"/>
      <c r="F2765" s="916"/>
      <c r="G2765" s="547" t="s">
        <v>379</v>
      </c>
      <c r="H2765" s="546" t="s">
        <v>380</v>
      </c>
      <c r="I2765" s="910"/>
      <c r="J2765" s="609"/>
    </row>
    <row r="2766" spans="1:15" ht="15" customHeight="1">
      <c r="A2766" s="905" t="s">
        <v>381</v>
      </c>
      <c r="B2766" s="546" t="s">
        <v>382</v>
      </c>
      <c r="C2766" s="910"/>
      <c r="D2766" s="609">
        <f>D2765</f>
        <v>0</v>
      </c>
      <c r="E2766" s="917"/>
      <c r="F2766" s="904"/>
      <c r="G2766" s="905" t="s">
        <v>381</v>
      </c>
      <c r="H2766" s="546" t="s">
        <v>382</v>
      </c>
      <c r="I2766" s="910"/>
      <c r="J2766" s="609">
        <f>J2765</f>
        <v>0</v>
      </c>
    </row>
    <row r="2767" spans="1:15" ht="15" customHeight="1">
      <c r="A2767" s="918" t="s">
        <v>383</v>
      </c>
      <c r="B2767" s="919" t="s">
        <v>384</v>
      </c>
      <c r="C2767" s="920"/>
      <c r="D2767" s="921" t="e">
        <f>SUM(D2758:D2763)-D2766</f>
        <v>#N/A</v>
      </c>
      <c r="E2767" s="922"/>
      <c r="F2767" s="923"/>
      <c r="G2767" s="918" t="s">
        <v>383</v>
      </c>
      <c r="H2767" s="919" t="s">
        <v>384</v>
      </c>
      <c r="I2767" s="920"/>
      <c r="J2767" s="921" t="e">
        <f>SUM(J2758:J2763)-J2766</f>
        <v>#N/A</v>
      </c>
    </row>
    <row r="2768" spans="1:15" ht="12.6" customHeight="1">
      <c r="A2768" s="924"/>
      <c r="B2768" s="925"/>
      <c r="C2768" s="926"/>
      <c r="D2768" s="927"/>
      <c r="E2768" s="927"/>
      <c r="F2768" s="928"/>
      <c r="G2768" s="924"/>
      <c r="H2768" s="925"/>
      <c r="I2768" s="926"/>
      <c r="J2768" s="927"/>
    </row>
    <row r="2769" spans="1:15" ht="12.6" customHeight="1">
      <c r="A2769" s="925"/>
      <c r="B2769" s="925"/>
      <c r="C2769" s="929"/>
      <c r="D2769" s="930"/>
      <c r="E2769" s="925"/>
      <c r="F2769" s="931"/>
      <c r="G2769" s="925"/>
      <c r="H2769" s="925"/>
      <c r="I2769" s="929"/>
      <c r="J2769" s="930"/>
    </row>
    <row r="2770" spans="1:15" ht="15" customHeight="1">
      <c r="A2770" s="2360" t="str">
        <f>$K$2</f>
        <v>THÁNG 09/2024</v>
      </c>
      <c r="B2770" s="2360"/>
      <c r="C2770" s="2360"/>
      <c r="D2770" s="2360"/>
      <c r="E2770" s="903"/>
      <c r="F2770" s="904"/>
      <c r="G2770" s="2360" t="str">
        <f>$K$2</f>
        <v>THÁNG 09/2024</v>
      </c>
      <c r="H2770" s="2360"/>
      <c r="I2770" s="2360"/>
      <c r="J2770" s="2360"/>
      <c r="K2770" s="276"/>
    </row>
    <row r="2771" spans="1:15" ht="15" customHeight="1">
      <c r="A2771" s="905" t="s">
        <v>356</v>
      </c>
      <c r="B2771" s="642" t="s">
        <v>264</v>
      </c>
      <c r="C2771" s="546"/>
      <c r="D2771" s="902"/>
      <c r="E2771" s="906"/>
      <c r="F2771" s="907"/>
      <c r="G2771" s="905" t="s">
        <v>356</v>
      </c>
      <c r="H2771" s="642" t="s">
        <v>265</v>
      </c>
      <c r="I2771" s="546"/>
      <c r="J2771" s="902"/>
      <c r="L2771" s="938"/>
      <c r="M2771" s="938"/>
      <c r="N2771" s="938"/>
      <c r="O2771" s="938"/>
    </row>
    <row r="2772" spans="1:15" ht="15" customHeight="1">
      <c r="A2772" s="905" t="s">
        <v>359</v>
      </c>
      <c r="B2772" s="939" t="s">
        <v>360</v>
      </c>
      <c r="C2772" s="910" t="e">
        <f>VLOOKUP(B2771,'LƯƠNG KT'!$D$16:$AC$184,3,0)</f>
        <v>#N/A</v>
      </c>
      <c r="D2772" s="609" t="e">
        <f>+C2772*25000</f>
        <v>#N/A</v>
      </c>
      <c r="E2772" s="911"/>
      <c r="F2772" s="911"/>
      <c r="G2772" s="905" t="s">
        <v>359</v>
      </c>
      <c r="H2772" s="939" t="s">
        <v>360</v>
      </c>
      <c r="I2772" s="910" t="e">
        <f>VLOOKUP(H2771,'LƯƠNG KT'!$D$16:$AC$184,3,0)</f>
        <v>#N/A</v>
      </c>
      <c r="J2772" s="609" t="e">
        <f>+I2772*25000</f>
        <v>#N/A</v>
      </c>
      <c r="K2772" s="935"/>
      <c r="L2772" s="935"/>
      <c r="M2772" s="935"/>
      <c r="N2772" s="935"/>
      <c r="O2772" s="935"/>
    </row>
    <row r="2773" spans="1:15" ht="15" customHeight="1">
      <c r="A2773" s="905" t="s">
        <v>361</v>
      </c>
      <c r="B2773" s="546" t="s">
        <v>362</v>
      </c>
      <c r="C2773" s="910" t="e">
        <f>VLOOKUP(B2771,'LƯƠNG KT'!$D$16:$AC$184,14,0)</f>
        <v>#N/A</v>
      </c>
      <c r="D2773" s="609" t="e">
        <f>C2773*$L$4</f>
        <v>#N/A</v>
      </c>
      <c r="E2773" s="912"/>
      <c r="F2773" s="912"/>
      <c r="G2773" s="905" t="s">
        <v>361</v>
      </c>
      <c r="H2773" s="546" t="s">
        <v>362</v>
      </c>
      <c r="I2773" s="910" t="e">
        <f>VLOOKUP(H2771,'LƯƠNG KT'!$D$16:$AC$184,14,0)</f>
        <v>#N/A</v>
      </c>
      <c r="J2773" s="609" t="e">
        <f>I2773*$L$4</f>
        <v>#N/A</v>
      </c>
      <c r="K2773" s="935"/>
      <c r="L2773" s="935"/>
      <c r="M2773" s="935"/>
      <c r="N2773" s="935"/>
      <c r="O2773" s="935"/>
    </row>
    <row r="2774" spans="1:15" ht="15" customHeight="1">
      <c r="A2774" s="905" t="s">
        <v>364</v>
      </c>
      <c r="B2774" s="546" t="s">
        <v>365</v>
      </c>
      <c r="C2774" s="910" t="e">
        <f>VLOOKUP(B2771,'LƯƠNG KT'!$D$16:$AC$184,15,0)</f>
        <v>#N/A</v>
      </c>
      <c r="D2774" s="609" t="e">
        <f>C2774*$L$5</f>
        <v>#N/A</v>
      </c>
      <c r="E2774" s="912"/>
      <c r="F2774" s="912"/>
      <c r="G2774" s="905" t="s">
        <v>364</v>
      </c>
      <c r="H2774" s="546" t="s">
        <v>365</v>
      </c>
      <c r="I2774" s="910" t="e">
        <f>VLOOKUP(H2771,'LƯƠNG KT'!$D$16:$AC$184,15,0)</f>
        <v>#N/A</v>
      </c>
      <c r="J2774" s="609" t="e">
        <f>I2774*$L$5</f>
        <v>#N/A</v>
      </c>
      <c r="K2774" s="935"/>
      <c r="L2774" s="935"/>
      <c r="M2774" s="935"/>
      <c r="N2774" s="935"/>
      <c r="O2774" s="935"/>
    </row>
    <row r="2775" spans="1:15" ht="15" customHeight="1">
      <c r="A2775" s="905" t="s">
        <v>367</v>
      </c>
      <c r="B2775" s="546"/>
      <c r="C2775" s="910" t="e">
        <f>VLOOKUP(B2771,'LƯƠNG KT'!$D$16:$AC$184,16,0)</f>
        <v>#N/A</v>
      </c>
      <c r="D2775" s="609" t="e">
        <f>+C2775*$L$6</f>
        <v>#N/A</v>
      </c>
      <c r="E2775" s="912"/>
      <c r="F2775" s="912"/>
      <c r="G2775" s="905" t="s">
        <v>367</v>
      </c>
      <c r="H2775" s="546"/>
      <c r="I2775" s="910" t="e">
        <f>VLOOKUP(H2771,'LƯƠNG KT'!$D$16:$AC$184,16,0)</f>
        <v>#N/A</v>
      </c>
      <c r="J2775" s="609" t="e">
        <f>+I2775*$L$6</f>
        <v>#N/A</v>
      </c>
      <c r="K2775" s="935"/>
      <c r="L2775" s="935"/>
      <c r="M2775" s="935"/>
      <c r="N2775" s="935"/>
      <c r="O2775" s="935"/>
    </row>
    <row r="2776" spans="1:15" ht="15" customHeight="1">
      <c r="A2776" s="905" t="s">
        <v>371</v>
      </c>
      <c r="B2776" s="546" t="s">
        <v>372</v>
      </c>
      <c r="C2776" s="910" t="e">
        <f>VLOOKUP(B2771,'LƯƠNG KT'!$D$16:$AC$184,9,0)*$L$10</f>
        <v>#N/A</v>
      </c>
      <c r="D2776" s="609" t="e">
        <f>+C2776*0.5*3000</f>
        <v>#N/A</v>
      </c>
      <c r="E2776" s="912"/>
      <c r="F2776" s="912"/>
      <c r="G2776" s="905" t="s">
        <v>371</v>
      </c>
      <c r="H2776" s="546" t="s">
        <v>372</v>
      </c>
      <c r="I2776" s="910" t="e">
        <f>VLOOKUP(H2771,'LƯƠNG KT'!$D$16:$AC$184,9,0)*$L$10</f>
        <v>#N/A</v>
      </c>
      <c r="J2776" s="609" t="e">
        <f>+I2776*0.5*3000</f>
        <v>#N/A</v>
      </c>
      <c r="K2776" s="935"/>
      <c r="L2776" s="935"/>
      <c r="M2776" s="935"/>
      <c r="N2776" s="935"/>
      <c r="O2776" s="935"/>
    </row>
    <row r="2777" spans="1:15" ht="15" customHeight="1">
      <c r="A2777" s="905" t="s">
        <v>374</v>
      </c>
      <c r="B2777" s="546" t="s">
        <v>375</v>
      </c>
      <c r="C2777" s="910" t="e">
        <f>VLOOKUP(B2771,'LƯƠNG KT'!$D$16:$AC$184,8,0)*$L$11</f>
        <v>#N/A</v>
      </c>
      <c r="D2777" s="609" t="e">
        <f>VLOOKUP(B2771,'LƯƠNG KT'!$D$16:$AC$184,13,0)-D2776</f>
        <v>#N/A</v>
      </c>
      <c r="E2777" s="914"/>
      <c r="F2777" s="912"/>
      <c r="G2777" s="905" t="s">
        <v>374</v>
      </c>
      <c r="H2777" s="546" t="s">
        <v>375</v>
      </c>
      <c r="I2777" s="910" t="e">
        <f>VLOOKUP(H2771,'LƯƠNG KT'!$D$16:$AC$184,8,0)*$L$11</f>
        <v>#N/A</v>
      </c>
      <c r="J2777" s="609" t="e">
        <f>VLOOKUP(H2771,'LƯƠNG KT'!$D$16:$AC$184,13,0)-J2776</f>
        <v>#N/A</v>
      </c>
      <c r="K2777" s="935"/>
      <c r="L2777" s="935"/>
      <c r="M2777" s="935"/>
      <c r="N2777" s="935"/>
      <c r="O2777" s="935"/>
    </row>
    <row r="2778" spans="1:15" ht="15" customHeight="1">
      <c r="A2778" s="609" t="s">
        <v>377</v>
      </c>
      <c r="B2778" s="546" t="s">
        <v>378</v>
      </c>
      <c r="C2778" s="910"/>
      <c r="D2778" s="609"/>
      <c r="E2778" s="916"/>
      <c r="F2778" s="916"/>
      <c r="G2778" s="609" t="s">
        <v>377</v>
      </c>
      <c r="H2778" s="546" t="s">
        <v>378</v>
      </c>
      <c r="I2778" s="910"/>
      <c r="J2778" s="609"/>
    </row>
    <row r="2779" spans="1:15" ht="15" customHeight="1">
      <c r="A2779" s="547" t="s">
        <v>379</v>
      </c>
      <c r="B2779" s="546" t="s">
        <v>380</v>
      </c>
      <c r="C2779" s="910"/>
      <c r="D2779" s="609"/>
      <c r="E2779" s="914"/>
      <c r="F2779" s="916"/>
      <c r="G2779" s="547" t="s">
        <v>379</v>
      </c>
      <c r="H2779" s="546" t="s">
        <v>380</v>
      </c>
      <c r="I2779" s="910"/>
      <c r="J2779" s="609"/>
    </row>
    <row r="2780" spans="1:15" ht="15" customHeight="1">
      <c r="A2780" s="905" t="s">
        <v>381</v>
      </c>
      <c r="B2780" s="546" t="s">
        <v>382</v>
      </c>
      <c r="C2780" s="910"/>
      <c r="D2780" s="609">
        <f>D2779</f>
        <v>0</v>
      </c>
      <c r="E2780" s="917"/>
      <c r="F2780" s="904"/>
      <c r="G2780" s="905" t="s">
        <v>381</v>
      </c>
      <c r="H2780" s="546" t="s">
        <v>382</v>
      </c>
      <c r="I2780" s="910"/>
      <c r="J2780" s="609">
        <f>J2779</f>
        <v>0</v>
      </c>
    </row>
    <row r="2781" spans="1:15" ht="15" customHeight="1">
      <c r="A2781" s="918" t="s">
        <v>383</v>
      </c>
      <c r="B2781" s="919" t="s">
        <v>384</v>
      </c>
      <c r="C2781" s="920"/>
      <c r="D2781" s="921" t="e">
        <f>SUM(D2772:D2777)-D2780</f>
        <v>#N/A</v>
      </c>
      <c r="E2781" s="922"/>
      <c r="F2781" s="923"/>
      <c r="G2781" s="918" t="s">
        <v>383</v>
      </c>
      <c r="H2781" s="919" t="s">
        <v>384</v>
      </c>
      <c r="I2781" s="920"/>
      <c r="J2781" s="921" t="e">
        <f>SUM(J2772:J2777)-J2780</f>
        <v>#N/A</v>
      </c>
    </row>
    <row r="2782" spans="1:15" ht="18.75" customHeight="1">
      <c r="A2782" s="924"/>
      <c r="B2782" s="925"/>
      <c r="C2782" s="926"/>
      <c r="D2782" s="927"/>
      <c r="E2782" s="927"/>
      <c r="F2782" s="928"/>
      <c r="G2782" s="924"/>
      <c r="H2782" s="925"/>
      <c r="I2782" s="926"/>
      <c r="J2782" s="927"/>
    </row>
    <row r="2783" spans="1:15" ht="18.75" customHeight="1">
      <c r="A2783" s="925"/>
      <c r="B2783" s="925"/>
      <c r="C2783" s="929"/>
      <c r="D2783" s="930"/>
      <c r="E2783" s="925"/>
      <c r="F2783" s="931"/>
      <c r="G2783" s="925"/>
      <c r="H2783" s="925"/>
      <c r="I2783" s="929"/>
      <c r="J2783" s="930"/>
    </row>
    <row r="2784" spans="1:15" ht="15" customHeight="1">
      <c r="A2784" s="2360" t="str">
        <f>$K$2</f>
        <v>THÁNG 09/2024</v>
      </c>
      <c r="B2784" s="2360"/>
      <c r="C2784" s="2360"/>
      <c r="D2784" s="2360"/>
      <c r="E2784" s="903"/>
      <c r="F2784" s="904"/>
      <c r="G2784" s="2360" t="str">
        <f>$K$2</f>
        <v>THÁNG 09/2024</v>
      </c>
      <c r="H2784" s="2360"/>
      <c r="I2784" s="2360"/>
      <c r="J2784" s="2360"/>
      <c r="K2784" s="276"/>
    </row>
    <row r="2785" spans="1:15" ht="15" customHeight="1">
      <c r="A2785" s="905" t="s">
        <v>356</v>
      </c>
      <c r="B2785" s="642" t="s">
        <v>266</v>
      </c>
      <c r="C2785" s="546"/>
      <c r="D2785" s="902"/>
      <c r="E2785" s="906"/>
      <c r="F2785" s="907"/>
      <c r="G2785" s="905" t="s">
        <v>356</v>
      </c>
      <c r="H2785" s="642" t="s">
        <v>267</v>
      </c>
      <c r="I2785" s="546"/>
      <c r="J2785" s="902"/>
      <c r="L2785" s="938"/>
      <c r="M2785" s="938"/>
      <c r="N2785" s="938"/>
      <c r="O2785" s="938"/>
    </row>
    <row r="2786" spans="1:15" ht="15" customHeight="1">
      <c r="A2786" s="905" t="s">
        <v>359</v>
      </c>
      <c r="B2786" s="939" t="s">
        <v>360</v>
      </c>
      <c r="C2786" s="910" t="e">
        <f>VLOOKUP(B2785,'LƯƠNG KT'!$D$16:$AC$184,3,0)</f>
        <v>#N/A</v>
      </c>
      <c r="D2786" s="609" t="e">
        <f>+C2786*25000</f>
        <v>#N/A</v>
      </c>
      <c r="E2786" s="911"/>
      <c r="F2786" s="911"/>
      <c r="G2786" s="905" t="s">
        <v>359</v>
      </c>
      <c r="H2786" s="939" t="s">
        <v>360</v>
      </c>
      <c r="I2786" s="910" t="e">
        <f>VLOOKUP(H2785,'LƯƠNG KT'!$D$16:$AC$184,3,0)</f>
        <v>#N/A</v>
      </c>
      <c r="J2786" s="609" t="e">
        <f>+I2786*25000</f>
        <v>#N/A</v>
      </c>
      <c r="K2786" s="935"/>
      <c r="L2786" s="935"/>
      <c r="M2786" s="935"/>
      <c r="N2786" s="935"/>
      <c r="O2786" s="935"/>
    </row>
    <row r="2787" spans="1:15" ht="15" customHeight="1">
      <c r="A2787" s="905" t="s">
        <v>361</v>
      </c>
      <c r="B2787" s="546" t="s">
        <v>362</v>
      </c>
      <c r="C2787" s="910" t="e">
        <f>VLOOKUP(B2785,'LƯƠNG KT'!$D$16:$AC$184,14,0)</f>
        <v>#N/A</v>
      </c>
      <c r="D2787" s="609" t="e">
        <f>C2787*$L$4</f>
        <v>#N/A</v>
      </c>
      <c r="E2787" s="912"/>
      <c r="F2787" s="912"/>
      <c r="G2787" s="905" t="s">
        <v>361</v>
      </c>
      <c r="H2787" s="546" t="s">
        <v>362</v>
      </c>
      <c r="I2787" s="910" t="e">
        <f>VLOOKUP(H2785,'LƯƠNG KT'!$D$16:$AC$184,14,0)</f>
        <v>#N/A</v>
      </c>
      <c r="J2787" s="609" t="e">
        <f>I2787*$L$4</f>
        <v>#N/A</v>
      </c>
      <c r="K2787" s="935"/>
      <c r="L2787" s="935"/>
      <c r="M2787" s="935"/>
      <c r="N2787" s="935"/>
      <c r="O2787" s="935"/>
    </row>
    <row r="2788" spans="1:15" ht="15" customHeight="1">
      <c r="A2788" s="905" t="s">
        <v>364</v>
      </c>
      <c r="B2788" s="546" t="s">
        <v>365</v>
      </c>
      <c r="C2788" s="910" t="e">
        <f>VLOOKUP(B2785,'LƯƠNG KT'!$D$16:$AC$184,15,0)</f>
        <v>#N/A</v>
      </c>
      <c r="D2788" s="609" t="e">
        <f>C2788*$L$5</f>
        <v>#N/A</v>
      </c>
      <c r="E2788" s="912"/>
      <c r="F2788" s="912"/>
      <c r="G2788" s="905" t="s">
        <v>364</v>
      </c>
      <c r="H2788" s="546" t="s">
        <v>365</v>
      </c>
      <c r="I2788" s="910" t="e">
        <f>VLOOKUP(H2785,'LƯƠNG KT'!$D$16:$AC$184,15,0)</f>
        <v>#N/A</v>
      </c>
      <c r="J2788" s="609" t="e">
        <f>I2788*$L$5</f>
        <v>#N/A</v>
      </c>
      <c r="K2788" s="935"/>
      <c r="L2788" s="935"/>
      <c r="M2788" s="935"/>
      <c r="N2788" s="935"/>
      <c r="O2788" s="935"/>
    </row>
    <row r="2789" spans="1:15" ht="15" customHeight="1">
      <c r="A2789" s="905" t="s">
        <v>367</v>
      </c>
      <c r="B2789" s="546"/>
      <c r="C2789" s="910" t="e">
        <f>VLOOKUP(B2785,'LƯƠNG KT'!$D$16:$AC$184,16,0)</f>
        <v>#N/A</v>
      </c>
      <c r="D2789" s="609" t="e">
        <f>+C2789*$L$6</f>
        <v>#N/A</v>
      </c>
      <c r="E2789" s="912"/>
      <c r="F2789" s="912"/>
      <c r="G2789" s="905" t="s">
        <v>367</v>
      </c>
      <c r="H2789" s="546"/>
      <c r="I2789" s="910" t="e">
        <f>VLOOKUP(H2785,'LƯƠNG KT'!$D$16:$AC$184,16,0)</f>
        <v>#N/A</v>
      </c>
      <c r="J2789" s="609" t="e">
        <f>+I2789*$L$6</f>
        <v>#N/A</v>
      </c>
      <c r="K2789" s="935"/>
      <c r="L2789" s="935"/>
      <c r="M2789" s="935"/>
      <c r="N2789" s="935"/>
      <c r="O2789" s="935"/>
    </row>
    <row r="2790" spans="1:15" ht="15" customHeight="1">
      <c r="A2790" s="905" t="s">
        <v>371</v>
      </c>
      <c r="B2790" s="546" t="s">
        <v>372</v>
      </c>
      <c r="C2790" s="910" t="e">
        <f>VLOOKUP(B2785,'LƯƠNG KT'!$D$16:$AC$184,9,0)*$L$10</f>
        <v>#N/A</v>
      </c>
      <c r="D2790" s="609" t="e">
        <f>+C2790*0.5*3000</f>
        <v>#N/A</v>
      </c>
      <c r="E2790" s="912"/>
      <c r="F2790" s="912"/>
      <c r="G2790" s="905" t="s">
        <v>371</v>
      </c>
      <c r="H2790" s="546" t="s">
        <v>372</v>
      </c>
      <c r="I2790" s="910" t="e">
        <f>VLOOKUP(H2785,'LƯƠNG KT'!$D$16:$AC$184,9,0)*$L$10</f>
        <v>#N/A</v>
      </c>
      <c r="J2790" s="609" t="e">
        <f>+I2790*0.5*3000</f>
        <v>#N/A</v>
      </c>
      <c r="K2790" s="935"/>
      <c r="L2790" s="935"/>
      <c r="M2790" s="935"/>
      <c r="N2790" s="935"/>
      <c r="O2790" s="935"/>
    </row>
    <row r="2791" spans="1:15" ht="15" customHeight="1">
      <c r="A2791" s="905" t="s">
        <v>374</v>
      </c>
      <c r="B2791" s="546" t="s">
        <v>375</v>
      </c>
      <c r="C2791" s="910" t="e">
        <f>VLOOKUP(B2785,'LƯƠNG KT'!$D$16:$AC$184,8,0)*$L$11</f>
        <v>#N/A</v>
      </c>
      <c r="D2791" s="609" t="e">
        <f>VLOOKUP(B2785,'LƯƠNG KT'!$D$16:$AC$184,13,0)-D2790</f>
        <v>#N/A</v>
      </c>
      <c r="E2791" s="914"/>
      <c r="F2791" s="912"/>
      <c r="G2791" s="905" t="s">
        <v>374</v>
      </c>
      <c r="H2791" s="546" t="s">
        <v>375</v>
      </c>
      <c r="I2791" s="910" t="e">
        <f>VLOOKUP(H2785,'LƯƠNG KT'!$D$16:$AC$184,8,0)*$L$11</f>
        <v>#N/A</v>
      </c>
      <c r="J2791" s="609" t="e">
        <f>VLOOKUP(H2785,'LƯƠNG KT'!$D$16:$AC$184,13,0)-J2790</f>
        <v>#N/A</v>
      </c>
      <c r="K2791" s="935"/>
      <c r="L2791" s="935"/>
      <c r="M2791" s="935"/>
      <c r="N2791" s="935"/>
      <c r="O2791" s="935"/>
    </row>
    <row r="2792" spans="1:15" ht="15" customHeight="1">
      <c r="A2792" s="609" t="s">
        <v>377</v>
      </c>
      <c r="B2792" s="546" t="s">
        <v>378</v>
      </c>
      <c r="C2792" s="910"/>
      <c r="D2792" s="609"/>
      <c r="E2792" s="916"/>
      <c r="F2792" s="916"/>
      <c r="G2792" s="609" t="s">
        <v>377</v>
      </c>
      <c r="H2792" s="546" t="s">
        <v>378</v>
      </c>
      <c r="I2792" s="910"/>
      <c r="J2792" s="609"/>
    </row>
    <row r="2793" spans="1:15" ht="15" customHeight="1">
      <c r="A2793" s="547" t="s">
        <v>379</v>
      </c>
      <c r="B2793" s="546" t="s">
        <v>380</v>
      </c>
      <c r="C2793" s="910"/>
      <c r="D2793" s="609"/>
      <c r="E2793" s="914"/>
      <c r="F2793" s="916"/>
      <c r="G2793" s="547" t="s">
        <v>379</v>
      </c>
      <c r="H2793" s="546" t="s">
        <v>380</v>
      </c>
      <c r="I2793" s="910"/>
      <c r="J2793" s="609"/>
    </row>
    <row r="2794" spans="1:15" ht="15" customHeight="1">
      <c r="A2794" s="905" t="s">
        <v>381</v>
      </c>
      <c r="B2794" s="546" t="s">
        <v>382</v>
      </c>
      <c r="C2794" s="910"/>
      <c r="D2794" s="609">
        <f>D2793</f>
        <v>0</v>
      </c>
      <c r="E2794" s="917"/>
      <c r="F2794" s="904"/>
      <c r="G2794" s="905" t="s">
        <v>381</v>
      </c>
      <c r="H2794" s="546" t="s">
        <v>382</v>
      </c>
      <c r="I2794" s="910"/>
      <c r="J2794" s="609">
        <f>J2793</f>
        <v>0</v>
      </c>
    </row>
    <row r="2795" spans="1:15" ht="15" customHeight="1">
      <c r="A2795" s="918" t="s">
        <v>383</v>
      </c>
      <c r="B2795" s="919" t="s">
        <v>384</v>
      </c>
      <c r="C2795" s="920"/>
      <c r="D2795" s="921" t="e">
        <f>SUM(D2786:D2791)-D2794</f>
        <v>#N/A</v>
      </c>
      <c r="E2795" s="922"/>
      <c r="F2795" s="923"/>
      <c r="G2795" s="918" t="s">
        <v>383</v>
      </c>
      <c r="H2795" s="919" t="s">
        <v>384</v>
      </c>
      <c r="I2795" s="920"/>
      <c r="J2795" s="921" t="e">
        <f>SUM(J2786:J2791)-J2794</f>
        <v>#N/A</v>
      </c>
    </row>
    <row r="2796" spans="1:15" ht="18.75" customHeight="1">
      <c r="A2796" s="924"/>
      <c r="B2796" s="925"/>
      <c r="C2796" s="926"/>
      <c r="D2796" s="927"/>
      <c r="E2796" s="927"/>
      <c r="F2796" s="928"/>
      <c r="G2796" s="924"/>
      <c r="H2796" s="925"/>
      <c r="I2796" s="926"/>
      <c r="J2796" s="927"/>
    </row>
    <row r="2797" spans="1:15" ht="18.75" customHeight="1">
      <c r="A2797" s="925"/>
      <c r="B2797" s="925"/>
      <c r="C2797" s="929"/>
      <c r="D2797" s="930"/>
      <c r="E2797" s="925"/>
      <c r="F2797" s="931"/>
      <c r="G2797" s="925"/>
      <c r="H2797" s="925"/>
      <c r="I2797" s="929"/>
      <c r="J2797" s="930"/>
    </row>
    <row r="2798" spans="1:15" ht="15" customHeight="1">
      <c r="A2798" s="2360" t="str">
        <f>$K$2</f>
        <v>THÁNG 09/2024</v>
      </c>
      <c r="B2798" s="2360"/>
      <c r="C2798" s="2360"/>
      <c r="D2798" s="2360"/>
      <c r="E2798" s="903"/>
      <c r="F2798" s="904"/>
      <c r="G2798" s="2360" t="str">
        <f>$K$2</f>
        <v>THÁNG 09/2024</v>
      </c>
      <c r="H2798" s="2360"/>
      <c r="I2798" s="2360"/>
      <c r="J2798" s="2360"/>
      <c r="K2798" s="276"/>
    </row>
    <row r="2799" spans="1:15" ht="15" customHeight="1">
      <c r="A2799" s="905" t="s">
        <v>356</v>
      </c>
      <c r="B2799" s="642" t="s">
        <v>268</v>
      </c>
      <c r="C2799" s="546"/>
      <c r="D2799" s="902"/>
      <c r="E2799" s="906"/>
      <c r="F2799" s="907"/>
      <c r="G2799" s="905" t="s">
        <v>356</v>
      </c>
      <c r="H2799" s="642" t="s">
        <v>269</v>
      </c>
      <c r="I2799" s="546"/>
      <c r="J2799" s="902"/>
      <c r="L2799" s="938"/>
      <c r="M2799" s="938"/>
      <c r="N2799" s="938"/>
      <c r="O2799" s="938"/>
    </row>
    <row r="2800" spans="1:15" ht="15" customHeight="1">
      <c r="A2800" s="905" t="s">
        <v>359</v>
      </c>
      <c r="B2800" s="939" t="s">
        <v>360</v>
      </c>
      <c r="C2800" s="910" t="e">
        <f>VLOOKUP(B2799,'LƯƠNG KT'!$D$16:$AC$184,3,0)</f>
        <v>#N/A</v>
      </c>
      <c r="D2800" s="609" t="e">
        <f>+C2800*25000</f>
        <v>#N/A</v>
      </c>
      <c r="E2800" s="911"/>
      <c r="F2800" s="911"/>
      <c r="G2800" s="905" t="s">
        <v>359</v>
      </c>
      <c r="H2800" s="939" t="s">
        <v>360</v>
      </c>
      <c r="I2800" s="910" t="e">
        <f>VLOOKUP(H2799,'LƯƠNG KT'!$D$16:$AC$184,3,0)</f>
        <v>#N/A</v>
      </c>
      <c r="J2800" s="609" t="e">
        <f>+I2800*25000</f>
        <v>#N/A</v>
      </c>
      <c r="K2800" s="935"/>
      <c r="L2800" s="935"/>
      <c r="M2800" s="935"/>
      <c r="N2800" s="935"/>
      <c r="O2800" s="935"/>
    </row>
    <row r="2801" spans="1:15" ht="15" customHeight="1">
      <c r="A2801" s="905" t="s">
        <v>361</v>
      </c>
      <c r="B2801" s="546" t="s">
        <v>362</v>
      </c>
      <c r="C2801" s="910" t="e">
        <f>VLOOKUP(B2799,'LƯƠNG KT'!$D$16:$AC$184,14,0)</f>
        <v>#N/A</v>
      </c>
      <c r="D2801" s="609" t="e">
        <f>C2801*$L$4</f>
        <v>#N/A</v>
      </c>
      <c r="E2801" s="912"/>
      <c r="F2801" s="912"/>
      <c r="G2801" s="905" t="s">
        <v>361</v>
      </c>
      <c r="H2801" s="546" t="s">
        <v>362</v>
      </c>
      <c r="I2801" s="910" t="e">
        <f>VLOOKUP(H2799,'LƯƠNG KT'!$D$16:$AC$184,14,0)</f>
        <v>#N/A</v>
      </c>
      <c r="J2801" s="609" t="e">
        <f>I2801*$L$4</f>
        <v>#N/A</v>
      </c>
      <c r="K2801" s="935"/>
      <c r="L2801" s="935"/>
      <c r="M2801" s="935"/>
      <c r="N2801" s="935"/>
      <c r="O2801" s="935"/>
    </row>
    <row r="2802" spans="1:15" ht="15" customHeight="1">
      <c r="A2802" s="905" t="s">
        <v>364</v>
      </c>
      <c r="B2802" s="546" t="s">
        <v>365</v>
      </c>
      <c r="C2802" s="910" t="e">
        <f>VLOOKUP(B2799,'LƯƠNG KT'!$D$16:$AC$184,15,0)</f>
        <v>#N/A</v>
      </c>
      <c r="D2802" s="609" t="e">
        <f>C2802*$L$5</f>
        <v>#N/A</v>
      </c>
      <c r="E2802" s="912"/>
      <c r="F2802" s="912"/>
      <c r="G2802" s="905" t="s">
        <v>364</v>
      </c>
      <c r="H2802" s="546" t="s">
        <v>365</v>
      </c>
      <c r="I2802" s="910" t="e">
        <f>VLOOKUP(H2799,'LƯƠNG KT'!$D$16:$AC$184,15,0)</f>
        <v>#N/A</v>
      </c>
      <c r="J2802" s="609" t="e">
        <f>I2802*$L$5</f>
        <v>#N/A</v>
      </c>
      <c r="K2802" s="935"/>
      <c r="L2802" s="935"/>
      <c r="M2802" s="935"/>
      <c r="N2802" s="935"/>
      <c r="O2802" s="935"/>
    </row>
    <row r="2803" spans="1:15" ht="15" customHeight="1">
      <c r="A2803" s="905" t="s">
        <v>367</v>
      </c>
      <c r="B2803" s="546"/>
      <c r="C2803" s="910" t="e">
        <f>VLOOKUP(B2799,'LƯƠNG KT'!$D$16:$AC$184,16,0)</f>
        <v>#N/A</v>
      </c>
      <c r="D2803" s="609" t="e">
        <f>+C2803*$L$6</f>
        <v>#N/A</v>
      </c>
      <c r="E2803" s="912"/>
      <c r="F2803" s="912"/>
      <c r="G2803" s="905" t="s">
        <v>367</v>
      </c>
      <c r="H2803" s="546"/>
      <c r="I2803" s="910" t="e">
        <f>VLOOKUP(H2799,'LƯƠNG KT'!$D$16:$AC$184,16,0)</f>
        <v>#N/A</v>
      </c>
      <c r="J2803" s="609" t="e">
        <f>+I2803*$L$6</f>
        <v>#N/A</v>
      </c>
      <c r="K2803" s="935"/>
      <c r="L2803" s="935"/>
      <c r="M2803" s="935"/>
      <c r="N2803" s="935"/>
      <c r="O2803" s="935"/>
    </row>
    <row r="2804" spans="1:15" ht="15" customHeight="1">
      <c r="A2804" s="905" t="s">
        <v>371</v>
      </c>
      <c r="B2804" s="546" t="s">
        <v>372</v>
      </c>
      <c r="C2804" s="910" t="e">
        <f>VLOOKUP(B2799,'LƯƠNG KT'!$D$16:$AC$184,9,0)*$L$10</f>
        <v>#N/A</v>
      </c>
      <c r="D2804" s="609" t="e">
        <f>+C2804*0.5*3000</f>
        <v>#N/A</v>
      </c>
      <c r="E2804" s="912"/>
      <c r="F2804" s="912"/>
      <c r="G2804" s="905" t="s">
        <v>371</v>
      </c>
      <c r="H2804" s="546" t="s">
        <v>372</v>
      </c>
      <c r="I2804" s="910" t="e">
        <f>VLOOKUP(H2799,'LƯƠNG KT'!$D$16:$AC$184,9,0)*$L$10</f>
        <v>#N/A</v>
      </c>
      <c r="J2804" s="609" t="e">
        <f>+I2804*0.5*3000</f>
        <v>#N/A</v>
      </c>
      <c r="K2804" s="935"/>
      <c r="L2804" s="935"/>
      <c r="M2804" s="935"/>
      <c r="N2804" s="935"/>
      <c r="O2804" s="935"/>
    </row>
    <row r="2805" spans="1:15" ht="15" customHeight="1">
      <c r="A2805" s="905" t="s">
        <v>374</v>
      </c>
      <c r="B2805" s="546" t="s">
        <v>375</v>
      </c>
      <c r="C2805" s="910" t="e">
        <f>VLOOKUP(B2799,'LƯƠNG KT'!$D$16:$AC$184,8,0)*$L$11</f>
        <v>#N/A</v>
      </c>
      <c r="D2805" s="609" t="e">
        <f>VLOOKUP(B2799,'LƯƠNG KT'!$D$16:$AC$184,13,0)-D2804</f>
        <v>#N/A</v>
      </c>
      <c r="E2805" s="914"/>
      <c r="F2805" s="912"/>
      <c r="G2805" s="905" t="s">
        <v>374</v>
      </c>
      <c r="H2805" s="546" t="s">
        <v>375</v>
      </c>
      <c r="I2805" s="910" t="e">
        <f>VLOOKUP(H2799,'LƯƠNG KT'!$D$16:$AC$184,8,0)*$L$11</f>
        <v>#N/A</v>
      </c>
      <c r="J2805" s="609" t="e">
        <f>VLOOKUP(H2799,'LƯƠNG KT'!$D$16:$AC$184,13,0)-J2804</f>
        <v>#N/A</v>
      </c>
      <c r="K2805" s="935"/>
      <c r="L2805" s="935"/>
      <c r="M2805" s="935"/>
      <c r="N2805" s="935"/>
      <c r="O2805" s="935"/>
    </row>
    <row r="2806" spans="1:15" ht="15" customHeight="1">
      <c r="A2806" s="609" t="s">
        <v>377</v>
      </c>
      <c r="B2806" s="546" t="s">
        <v>378</v>
      </c>
      <c r="C2806" s="910"/>
      <c r="D2806" s="609"/>
      <c r="E2806" s="916"/>
      <c r="F2806" s="916"/>
      <c r="G2806" s="609" t="s">
        <v>377</v>
      </c>
      <c r="H2806" s="546" t="s">
        <v>378</v>
      </c>
      <c r="I2806" s="910"/>
      <c r="J2806" s="609"/>
    </row>
    <row r="2807" spans="1:15" ht="15" customHeight="1">
      <c r="A2807" s="547" t="s">
        <v>379</v>
      </c>
      <c r="B2807" s="546" t="s">
        <v>380</v>
      </c>
      <c r="C2807" s="910"/>
      <c r="D2807" s="609"/>
      <c r="E2807" s="914"/>
      <c r="F2807" s="916"/>
      <c r="G2807" s="547" t="s">
        <v>379</v>
      </c>
      <c r="H2807" s="546" t="s">
        <v>380</v>
      </c>
      <c r="I2807" s="910"/>
      <c r="J2807" s="609"/>
    </row>
    <row r="2808" spans="1:15" ht="15" customHeight="1">
      <c r="A2808" s="905" t="s">
        <v>381</v>
      </c>
      <c r="B2808" s="546" t="s">
        <v>382</v>
      </c>
      <c r="C2808" s="910"/>
      <c r="D2808" s="609">
        <f>D2807</f>
        <v>0</v>
      </c>
      <c r="E2808" s="917"/>
      <c r="F2808" s="904"/>
      <c r="G2808" s="905" t="s">
        <v>381</v>
      </c>
      <c r="H2808" s="546" t="s">
        <v>382</v>
      </c>
      <c r="I2808" s="910"/>
      <c r="J2808" s="609">
        <f>J2807</f>
        <v>0</v>
      </c>
    </row>
    <row r="2809" spans="1:15" ht="15" customHeight="1">
      <c r="A2809" s="918" t="s">
        <v>383</v>
      </c>
      <c r="B2809" s="919" t="s">
        <v>384</v>
      </c>
      <c r="C2809" s="920"/>
      <c r="D2809" s="921" t="e">
        <f>SUM(D2800:D2805)-D2808</f>
        <v>#N/A</v>
      </c>
      <c r="E2809" s="922"/>
      <c r="F2809" s="923"/>
      <c r="G2809" s="918" t="s">
        <v>383</v>
      </c>
      <c r="H2809" s="919" t="s">
        <v>384</v>
      </c>
      <c r="I2809" s="920"/>
      <c r="J2809" s="921" t="e">
        <f>SUM(J2800:J2805)-J2808</f>
        <v>#N/A</v>
      </c>
    </row>
    <row r="2810" spans="1:15" ht="15.75" customHeight="1">
      <c r="A2810" s="924"/>
      <c r="B2810" s="925"/>
      <c r="C2810" s="926"/>
      <c r="D2810" s="927"/>
      <c r="E2810" s="927"/>
      <c r="F2810" s="928"/>
      <c r="G2810" s="924"/>
      <c r="H2810" s="925"/>
      <c r="I2810" s="926"/>
      <c r="J2810" s="927"/>
    </row>
    <row r="2812" spans="1:15" ht="12" customHeight="1">
      <c r="A2812" s="2361"/>
      <c r="B2812" s="2361"/>
      <c r="C2812" s="2361"/>
      <c r="D2812" s="2361"/>
      <c r="E2812" s="2361"/>
      <c r="F2812" s="2361"/>
      <c r="G2812" s="2361"/>
      <c r="H2812" s="2361"/>
      <c r="I2812" s="2361"/>
      <c r="J2812" s="2361"/>
    </row>
    <row r="2813" spans="1:15" ht="15" customHeight="1">
      <c r="A2813" s="2360" t="str">
        <f>$K$2</f>
        <v>THÁNG 09/2024</v>
      </c>
      <c r="B2813" s="2360"/>
      <c r="C2813" s="2360"/>
      <c r="D2813" s="2360"/>
      <c r="E2813" s="903"/>
      <c r="F2813" s="904"/>
      <c r="G2813" s="2360" t="str">
        <f>$K$2</f>
        <v>THÁNG 09/2024</v>
      </c>
      <c r="H2813" s="2360"/>
      <c r="I2813" s="2360"/>
      <c r="J2813" s="2360"/>
      <c r="K2813" s="276"/>
    </row>
    <row r="2814" spans="1:15" ht="15" customHeight="1">
      <c r="A2814" s="905" t="s">
        <v>356</v>
      </c>
      <c r="B2814" s="642" t="s">
        <v>271</v>
      </c>
      <c r="C2814" s="546"/>
      <c r="D2814" s="902"/>
      <c r="E2814" s="906"/>
      <c r="F2814" s="907"/>
      <c r="G2814" s="905" t="s">
        <v>356</v>
      </c>
      <c r="H2814" s="642" t="s">
        <v>270</v>
      </c>
      <c r="I2814" s="546"/>
      <c r="J2814" s="902"/>
      <c r="L2814" s="938"/>
      <c r="M2814" s="938"/>
      <c r="N2814" s="938"/>
      <c r="O2814" s="938"/>
    </row>
    <row r="2815" spans="1:15" ht="15" customHeight="1">
      <c r="A2815" s="905" t="s">
        <v>359</v>
      </c>
      <c r="B2815" s="939" t="s">
        <v>360</v>
      </c>
      <c r="C2815" s="910">
        <f>VLOOKUP(B2814,'LƯƠNG KT'!$D$16:$AC$184,3,0)</f>
        <v>0</v>
      </c>
      <c r="D2815" s="609">
        <f>+C2815*25000</f>
        <v>0</v>
      </c>
      <c r="E2815" s="911"/>
      <c r="F2815" s="911"/>
      <c r="G2815" s="905" t="s">
        <v>359</v>
      </c>
      <c r="H2815" s="939" t="s">
        <v>360</v>
      </c>
      <c r="I2815" s="910" t="e">
        <f>VLOOKUP(H2814,'LƯƠNG KT'!$D$16:$AC$184,3,0)</f>
        <v>#N/A</v>
      </c>
      <c r="J2815" s="609" t="e">
        <f>+I2815*25000</f>
        <v>#N/A</v>
      </c>
      <c r="K2815" s="934"/>
      <c r="L2815" s="935"/>
      <c r="M2815" s="935"/>
      <c r="N2815" s="935"/>
      <c r="O2815" s="935"/>
    </row>
    <row r="2816" spans="1:15" ht="15" customHeight="1">
      <c r="A2816" s="905" t="s">
        <v>361</v>
      </c>
      <c r="B2816" s="546" t="s">
        <v>362</v>
      </c>
      <c r="C2816" s="910">
        <f>VLOOKUP(B2814,'LƯƠNG KT'!$D$16:$AC$184,14,0)</f>
        <v>0</v>
      </c>
      <c r="D2816" s="609">
        <f>C2816*$L$4</f>
        <v>0</v>
      </c>
      <c r="E2816" s="912"/>
      <c r="F2816" s="912"/>
      <c r="G2816" s="905" t="s">
        <v>361</v>
      </c>
      <c r="H2816" s="546" t="s">
        <v>362</v>
      </c>
      <c r="I2816" s="910" t="e">
        <f>VLOOKUP(H2814,'LƯƠNG KT'!$D$16:$AC$184,14,0)</f>
        <v>#N/A</v>
      </c>
      <c r="J2816" s="609" t="e">
        <f>I2816*$L$4</f>
        <v>#N/A</v>
      </c>
      <c r="K2816" s="934"/>
      <c r="L2816" s="935"/>
      <c r="M2816" s="935"/>
      <c r="N2816" s="935"/>
      <c r="O2816" s="935"/>
    </row>
    <row r="2817" spans="1:15" ht="15" customHeight="1">
      <c r="A2817" s="905" t="s">
        <v>364</v>
      </c>
      <c r="B2817" s="546" t="s">
        <v>365</v>
      </c>
      <c r="C2817" s="910">
        <f>VLOOKUP(B2814,'LƯƠNG KT'!$D$16:$AC$184,15,0)</f>
        <v>0</v>
      </c>
      <c r="D2817" s="609">
        <f>C2817*$L$5</f>
        <v>0</v>
      </c>
      <c r="E2817" s="912"/>
      <c r="F2817" s="912"/>
      <c r="G2817" s="905" t="s">
        <v>364</v>
      </c>
      <c r="H2817" s="546" t="s">
        <v>365</v>
      </c>
      <c r="I2817" s="910" t="e">
        <f>VLOOKUP(H2814,'LƯƠNG KT'!$D$16:$AC$184,15,0)</f>
        <v>#N/A</v>
      </c>
      <c r="J2817" s="609" t="e">
        <f>I2817*$L$5</f>
        <v>#N/A</v>
      </c>
      <c r="K2817" s="934"/>
      <c r="L2817" s="935"/>
      <c r="M2817" s="935"/>
      <c r="N2817" s="935"/>
      <c r="O2817" s="935"/>
    </row>
    <row r="2818" spans="1:15" ht="15" customHeight="1">
      <c r="A2818" s="905" t="s">
        <v>367</v>
      </c>
      <c r="B2818" s="546"/>
      <c r="C2818" s="910">
        <f>VLOOKUP(B2814,'LƯƠNG KT'!$D$16:$AC$184,16,0)</f>
        <v>0</v>
      </c>
      <c r="D2818" s="609">
        <f>+C2818*$L$6</f>
        <v>0</v>
      </c>
      <c r="E2818" s="912"/>
      <c r="F2818" s="912"/>
      <c r="G2818" s="905" t="s">
        <v>367</v>
      </c>
      <c r="H2818" s="546"/>
      <c r="I2818" s="910" t="e">
        <f>VLOOKUP(H2814,'LƯƠNG KT'!$D$16:$AC$184,16,0)</f>
        <v>#N/A</v>
      </c>
      <c r="J2818" s="609" t="e">
        <f>+I2818*$L$6</f>
        <v>#N/A</v>
      </c>
      <c r="K2818" s="935"/>
      <c r="L2818" s="935"/>
      <c r="M2818" s="935"/>
      <c r="N2818" s="935"/>
      <c r="O2818" s="935"/>
    </row>
    <row r="2819" spans="1:15" ht="15" customHeight="1">
      <c r="A2819" s="905" t="s">
        <v>371</v>
      </c>
      <c r="B2819" s="546" t="s">
        <v>372</v>
      </c>
      <c r="C2819" s="910">
        <f>VLOOKUP(B2814,'LƯƠNG KT'!$D$16:$AC$184,9,0)*$L$10</f>
        <v>743.01608484311055</v>
      </c>
      <c r="D2819" s="609">
        <f>+C2819*0.5*3000</f>
        <v>1114524.1272646659</v>
      </c>
      <c r="E2819" s="912"/>
      <c r="F2819" s="912"/>
      <c r="G2819" s="905" t="s">
        <v>371</v>
      </c>
      <c r="H2819" s="546" t="s">
        <v>372</v>
      </c>
      <c r="I2819" s="910" t="e">
        <f>VLOOKUP(H2814,'LƯƠNG KT'!$D$16:$AC$184,9,0)*$L$10</f>
        <v>#N/A</v>
      </c>
      <c r="J2819" s="609" t="e">
        <f>+I2819*0.5*3000</f>
        <v>#N/A</v>
      </c>
      <c r="K2819" s="935"/>
      <c r="L2819" s="935"/>
      <c r="M2819" s="935"/>
      <c r="N2819" s="935"/>
      <c r="O2819" s="935"/>
    </row>
    <row r="2820" spans="1:15" ht="15" customHeight="1">
      <c r="A2820" s="905" t="s">
        <v>374</v>
      </c>
      <c r="B2820" s="546" t="s">
        <v>375</v>
      </c>
      <c r="C2820" s="910">
        <f>VLOOKUP(B2814,'LƯƠNG KT'!$D$16:$AC$184,8,0)*$L$11</f>
        <v>71.819288984067242</v>
      </c>
      <c r="D2820" s="609">
        <f>VLOOKUP(B2814,'LƯƠNG KT'!$D$16:$AC$184,13,0)-D2819</f>
        <v>-1114520.1272646659</v>
      </c>
      <c r="E2820" s="914"/>
      <c r="F2820" s="912"/>
      <c r="G2820" s="905" t="s">
        <v>374</v>
      </c>
      <c r="H2820" s="546" t="s">
        <v>375</v>
      </c>
      <c r="I2820" s="910" t="e">
        <f>VLOOKUP(H2814,'LƯƠNG KT'!$D$16:$AC$184,8,0)*$L$11</f>
        <v>#N/A</v>
      </c>
      <c r="J2820" s="609" t="e">
        <f>VLOOKUP(H2814,'LƯƠNG KT'!$D$16:$AC$184,13,0)-J2819</f>
        <v>#N/A</v>
      </c>
      <c r="K2820" s="935"/>
      <c r="L2820" s="935"/>
      <c r="M2820" s="935"/>
      <c r="N2820" s="935"/>
      <c r="O2820" s="935"/>
    </row>
    <row r="2821" spans="1:15" ht="15" customHeight="1">
      <c r="A2821" s="609" t="s">
        <v>377</v>
      </c>
      <c r="B2821" s="546" t="s">
        <v>378</v>
      </c>
      <c r="C2821" s="910"/>
      <c r="D2821" s="609"/>
      <c r="E2821" s="916"/>
      <c r="F2821" s="916"/>
      <c r="G2821" s="609" t="s">
        <v>377</v>
      </c>
      <c r="H2821" s="546" t="s">
        <v>378</v>
      </c>
      <c r="I2821" s="910"/>
      <c r="J2821" s="609"/>
    </row>
    <row r="2822" spans="1:15" ht="15" customHeight="1">
      <c r="A2822" s="547" t="s">
        <v>379</v>
      </c>
      <c r="B2822" s="546" t="s">
        <v>380</v>
      </c>
      <c r="C2822" s="910"/>
      <c r="D2822" s="609"/>
      <c r="E2822" s="914"/>
      <c r="F2822" s="916"/>
      <c r="G2822" s="547" t="s">
        <v>379</v>
      </c>
      <c r="H2822" s="546" t="s">
        <v>380</v>
      </c>
      <c r="I2822" s="910"/>
      <c r="J2822" s="609"/>
    </row>
    <row r="2823" spans="1:15" ht="15" customHeight="1">
      <c r="A2823" s="905" t="s">
        <v>381</v>
      </c>
      <c r="B2823" s="546" t="s">
        <v>382</v>
      </c>
      <c r="C2823" s="910"/>
      <c r="D2823" s="609">
        <f>D2822</f>
        <v>0</v>
      </c>
      <c r="E2823" s="917"/>
      <c r="F2823" s="904"/>
      <c r="G2823" s="905" t="s">
        <v>381</v>
      </c>
      <c r="H2823" s="546" t="s">
        <v>382</v>
      </c>
      <c r="I2823" s="910"/>
      <c r="J2823" s="609">
        <f>J2822</f>
        <v>0</v>
      </c>
    </row>
    <row r="2824" spans="1:15" ht="15" customHeight="1">
      <c r="A2824" s="918" t="s">
        <v>383</v>
      </c>
      <c r="B2824" s="919" t="s">
        <v>384</v>
      </c>
      <c r="C2824" s="920"/>
      <c r="D2824" s="921">
        <f>SUM(D2815:D2820)-D2823</f>
        <v>4</v>
      </c>
      <c r="E2824" s="922"/>
      <c r="F2824" s="923"/>
      <c r="G2824" s="918" t="s">
        <v>383</v>
      </c>
      <c r="H2824" s="919" t="s">
        <v>384</v>
      </c>
      <c r="I2824" s="920"/>
      <c r="J2824" s="921" t="e">
        <f>SUM(J2815:J2820)-J2823</f>
        <v>#N/A</v>
      </c>
    </row>
    <row r="2825" spans="1:15" ht="12.6" customHeight="1">
      <c r="A2825" s="924"/>
      <c r="B2825" s="925"/>
      <c r="C2825" s="926"/>
      <c r="D2825" s="927"/>
      <c r="E2825" s="927"/>
      <c r="F2825" s="928"/>
      <c r="G2825" s="924"/>
      <c r="H2825" s="925"/>
      <c r="I2825" s="926"/>
      <c r="J2825" s="927"/>
    </row>
    <row r="2826" spans="1:15" ht="12.6" customHeight="1">
      <c r="A2826" s="925"/>
      <c r="B2826" s="925"/>
      <c r="C2826" s="929"/>
      <c r="D2826" s="930"/>
      <c r="E2826" s="925"/>
      <c r="F2826" s="931"/>
      <c r="G2826" s="925"/>
      <c r="H2826" s="925"/>
      <c r="I2826" s="929"/>
      <c r="J2826" s="930"/>
    </row>
    <row r="2827" spans="1:15" ht="15" customHeight="1">
      <c r="A2827" s="2360" t="str">
        <f>$K$2</f>
        <v>THÁNG 09/2024</v>
      </c>
      <c r="B2827" s="2360"/>
      <c r="C2827" s="2360"/>
      <c r="D2827" s="2360"/>
      <c r="E2827" s="903"/>
      <c r="F2827" s="904"/>
      <c r="G2827" s="2360" t="str">
        <f>$K$2</f>
        <v>THÁNG 09/2024</v>
      </c>
      <c r="H2827" s="2360"/>
      <c r="I2827" s="2360"/>
      <c r="J2827" s="2360"/>
      <c r="K2827" s="276"/>
    </row>
    <row r="2828" spans="1:15" ht="15" customHeight="1">
      <c r="A2828" s="905" t="s">
        <v>356</v>
      </c>
      <c r="B2828" s="642" t="s">
        <v>272</v>
      </c>
      <c r="C2828" s="546"/>
      <c r="D2828" s="902"/>
      <c r="E2828" s="906"/>
      <c r="F2828" s="907"/>
      <c r="G2828" s="905" t="s">
        <v>356</v>
      </c>
      <c r="H2828" s="642" t="s">
        <v>273</v>
      </c>
      <c r="I2828" s="546"/>
      <c r="J2828" s="902"/>
      <c r="L2828" s="938"/>
      <c r="M2828" s="938"/>
      <c r="N2828" s="938"/>
      <c r="O2828" s="938"/>
    </row>
    <row r="2829" spans="1:15" ht="15" customHeight="1">
      <c r="A2829" s="905" t="s">
        <v>359</v>
      </c>
      <c r="B2829" s="939" t="s">
        <v>360</v>
      </c>
      <c r="C2829" s="910" t="e">
        <f>VLOOKUP(B2828,'LƯƠNG KT'!$D$16:$AC$184,3,0)</f>
        <v>#N/A</v>
      </c>
      <c r="D2829" s="609" t="e">
        <f>+C2829*25000</f>
        <v>#N/A</v>
      </c>
      <c r="E2829" s="911"/>
      <c r="F2829" s="911"/>
      <c r="G2829" s="905" t="s">
        <v>359</v>
      </c>
      <c r="H2829" s="939" t="s">
        <v>360</v>
      </c>
      <c r="I2829" s="910" t="e">
        <f>VLOOKUP(H2828,'LƯƠNG KT'!$D$16:$AC$184,3,0)</f>
        <v>#N/A</v>
      </c>
      <c r="J2829" s="609" t="e">
        <f>+I2829*25000</f>
        <v>#N/A</v>
      </c>
      <c r="K2829" s="935"/>
      <c r="L2829" s="935"/>
      <c r="M2829" s="935"/>
      <c r="N2829" s="935"/>
      <c r="O2829" s="935"/>
    </row>
    <row r="2830" spans="1:15" ht="15" customHeight="1">
      <c r="A2830" s="905" t="s">
        <v>361</v>
      </c>
      <c r="B2830" s="546" t="s">
        <v>362</v>
      </c>
      <c r="C2830" s="910" t="e">
        <f>VLOOKUP(B2828,'LƯƠNG KT'!$D$16:$AC$184,14,0)</f>
        <v>#N/A</v>
      </c>
      <c r="D2830" s="609" t="e">
        <f>C2830*$L$4</f>
        <v>#N/A</v>
      </c>
      <c r="E2830" s="912"/>
      <c r="F2830" s="912"/>
      <c r="G2830" s="905" t="s">
        <v>361</v>
      </c>
      <c r="H2830" s="546" t="s">
        <v>362</v>
      </c>
      <c r="I2830" s="910" t="e">
        <f>VLOOKUP(H2828,'LƯƠNG KT'!$D$16:$AC$184,14,0)</f>
        <v>#N/A</v>
      </c>
      <c r="J2830" s="609" t="e">
        <f>I2830*$L$4</f>
        <v>#N/A</v>
      </c>
      <c r="K2830" s="935"/>
      <c r="L2830" s="935"/>
      <c r="M2830" s="935"/>
      <c r="N2830" s="935"/>
      <c r="O2830" s="935"/>
    </row>
    <row r="2831" spans="1:15" ht="15" customHeight="1">
      <c r="A2831" s="905" t="s">
        <v>364</v>
      </c>
      <c r="B2831" s="546" t="s">
        <v>365</v>
      </c>
      <c r="C2831" s="910" t="e">
        <f>VLOOKUP(B2828,'LƯƠNG KT'!$D$16:$AC$184,15,0)</f>
        <v>#N/A</v>
      </c>
      <c r="D2831" s="609" t="e">
        <f>C2831*$L$5</f>
        <v>#N/A</v>
      </c>
      <c r="E2831" s="912"/>
      <c r="F2831" s="912"/>
      <c r="G2831" s="905" t="s">
        <v>364</v>
      </c>
      <c r="H2831" s="546" t="s">
        <v>365</v>
      </c>
      <c r="I2831" s="910" t="e">
        <f>VLOOKUP(H2828,'LƯƠNG KT'!$D$16:$AC$184,15,0)</f>
        <v>#N/A</v>
      </c>
      <c r="J2831" s="609" t="e">
        <f>I2831*$L$5</f>
        <v>#N/A</v>
      </c>
      <c r="K2831" s="935"/>
      <c r="L2831" s="935"/>
      <c r="M2831" s="935"/>
      <c r="N2831" s="935"/>
      <c r="O2831" s="935"/>
    </row>
    <row r="2832" spans="1:15" ht="15" customHeight="1">
      <c r="A2832" s="905" t="s">
        <v>367</v>
      </c>
      <c r="B2832" s="546"/>
      <c r="C2832" s="910" t="e">
        <f>VLOOKUP(B2828,'LƯƠNG KT'!$D$16:$AC$184,16,0)</f>
        <v>#N/A</v>
      </c>
      <c r="D2832" s="609" t="e">
        <f>+C2832*$L$6</f>
        <v>#N/A</v>
      </c>
      <c r="E2832" s="912"/>
      <c r="F2832" s="912"/>
      <c r="G2832" s="905" t="s">
        <v>367</v>
      </c>
      <c r="H2832" s="546"/>
      <c r="I2832" s="910" t="e">
        <f>VLOOKUP(H2828,'LƯƠNG KT'!$D$16:$AC$184,16,0)</f>
        <v>#N/A</v>
      </c>
      <c r="J2832" s="609" t="e">
        <f>+I2832*$L$6</f>
        <v>#N/A</v>
      </c>
      <c r="K2832" s="935"/>
      <c r="L2832" s="935"/>
      <c r="M2832" s="935"/>
      <c r="N2832" s="935"/>
      <c r="O2832" s="935"/>
    </row>
    <row r="2833" spans="1:15" ht="15" customHeight="1">
      <c r="A2833" s="905" t="s">
        <v>371</v>
      </c>
      <c r="B2833" s="546" t="s">
        <v>372</v>
      </c>
      <c r="C2833" s="910" t="e">
        <f>VLOOKUP(B2828,'LƯƠNG KT'!$D$16:$AC$184,9,0)*$L$10</f>
        <v>#N/A</v>
      </c>
      <c r="D2833" s="609" t="e">
        <f>+C2833*0.5*3000</f>
        <v>#N/A</v>
      </c>
      <c r="E2833" s="912"/>
      <c r="F2833" s="912"/>
      <c r="G2833" s="905" t="s">
        <v>371</v>
      </c>
      <c r="H2833" s="546" t="s">
        <v>372</v>
      </c>
      <c r="I2833" s="910" t="e">
        <f>VLOOKUP(H2828,'LƯƠNG KT'!$D$16:$AC$184,9,0)*$L$10</f>
        <v>#N/A</v>
      </c>
      <c r="J2833" s="609" t="e">
        <f>+I2833*0.5*3000</f>
        <v>#N/A</v>
      </c>
      <c r="K2833" s="935"/>
      <c r="L2833" s="935"/>
      <c r="M2833" s="935"/>
      <c r="N2833" s="935"/>
      <c r="O2833" s="935"/>
    </row>
    <row r="2834" spans="1:15" ht="15" customHeight="1">
      <c r="A2834" s="905" t="s">
        <v>374</v>
      </c>
      <c r="B2834" s="546" t="s">
        <v>375</v>
      </c>
      <c r="C2834" s="910" t="e">
        <f>VLOOKUP(B2828,'LƯƠNG KT'!$D$16:$AC$184,8,0)*$L$11</f>
        <v>#N/A</v>
      </c>
      <c r="D2834" s="609" t="e">
        <f>VLOOKUP(B2828,'LƯƠNG KT'!$D$16:$AC$184,13,0)-D2833</f>
        <v>#N/A</v>
      </c>
      <c r="E2834" s="914"/>
      <c r="F2834" s="912"/>
      <c r="G2834" s="905" t="s">
        <v>374</v>
      </c>
      <c r="H2834" s="546" t="s">
        <v>375</v>
      </c>
      <c r="I2834" s="910" t="e">
        <f>VLOOKUP(H2828,'LƯƠNG KT'!$D$16:$AC$184,8,0)*$L$11</f>
        <v>#N/A</v>
      </c>
      <c r="J2834" s="609" t="e">
        <f>VLOOKUP(H2828,'LƯƠNG KT'!$D$16:$AC$184,13,0)-J2833</f>
        <v>#N/A</v>
      </c>
      <c r="K2834" s="935"/>
      <c r="L2834" s="935"/>
      <c r="M2834" s="935"/>
      <c r="N2834" s="935"/>
      <c r="O2834" s="935"/>
    </row>
    <row r="2835" spans="1:15" ht="15" customHeight="1">
      <c r="A2835" s="609" t="s">
        <v>377</v>
      </c>
      <c r="B2835" s="546" t="s">
        <v>378</v>
      </c>
      <c r="C2835" s="910"/>
      <c r="D2835" s="609"/>
      <c r="E2835" s="916"/>
      <c r="F2835" s="916"/>
      <c r="G2835" s="609" t="s">
        <v>377</v>
      </c>
      <c r="H2835" s="546" t="s">
        <v>378</v>
      </c>
      <c r="I2835" s="910"/>
      <c r="J2835" s="609"/>
    </row>
    <row r="2836" spans="1:15" ht="15" customHeight="1">
      <c r="A2836" s="547" t="s">
        <v>379</v>
      </c>
      <c r="B2836" s="546" t="s">
        <v>380</v>
      </c>
      <c r="C2836" s="910"/>
      <c r="D2836" s="609"/>
      <c r="E2836" s="914"/>
      <c r="F2836" s="916"/>
      <c r="G2836" s="547" t="s">
        <v>379</v>
      </c>
      <c r="H2836" s="546" t="s">
        <v>380</v>
      </c>
      <c r="I2836" s="910"/>
      <c r="J2836" s="609"/>
    </row>
    <row r="2837" spans="1:15" ht="15" customHeight="1">
      <c r="A2837" s="905" t="s">
        <v>381</v>
      </c>
      <c r="B2837" s="546" t="s">
        <v>382</v>
      </c>
      <c r="C2837" s="910"/>
      <c r="D2837" s="609">
        <f>D2836</f>
        <v>0</v>
      </c>
      <c r="E2837" s="917"/>
      <c r="F2837" s="904"/>
      <c r="G2837" s="905" t="s">
        <v>381</v>
      </c>
      <c r="H2837" s="546" t="s">
        <v>382</v>
      </c>
      <c r="I2837" s="910"/>
      <c r="J2837" s="609">
        <f>J2836</f>
        <v>0</v>
      </c>
    </row>
    <row r="2838" spans="1:15" ht="15" customHeight="1">
      <c r="A2838" s="918" t="s">
        <v>383</v>
      </c>
      <c r="B2838" s="919" t="s">
        <v>384</v>
      </c>
      <c r="C2838" s="920"/>
      <c r="D2838" s="921" t="e">
        <f>SUM(D2829:D2834)-D2837</f>
        <v>#N/A</v>
      </c>
      <c r="E2838" s="922"/>
      <c r="F2838" s="923"/>
      <c r="G2838" s="918" t="s">
        <v>383</v>
      </c>
      <c r="H2838" s="919" t="s">
        <v>384</v>
      </c>
      <c r="I2838" s="920"/>
      <c r="J2838" s="921" t="e">
        <f>SUM(J2829:J2834)-J2837</f>
        <v>#N/A</v>
      </c>
    </row>
    <row r="2839" spans="1:15" ht="18.75" customHeight="1">
      <c r="A2839" s="924"/>
      <c r="B2839" s="925"/>
      <c r="C2839" s="926"/>
      <c r="D2839" s="927"/>
      <c r="E2839" s="927"/>
      <c r="F2839" s="928"/>
      <c r="G2839" s="924"/>
      <c r="H2839" s="925"/>
      <c r="I2839" s="926"/>
      <c r="J2839" s="927"/>
    </row>
    <row r="2840" spans="1:15" ht="18.75" customHeight="1">
      <c r="A2840" s="925"/>
      <c r="B2840" s="925"/>
      <c r="C2840" s="929"/>
      <c r="D2840" s="930"/>
      <c r="E2840" s="925"/>
      <c r="F2840" s="931"/>
      <c r="G2840" s="925"/>
      <c r="H2840" s="925"/>
      <c r="I2840" s="929"/>
      <c r="J2840" s="930"/>
    </row>
    <row r="2841" spans="1:15" ht="15" customHeight="1">
      <c r="A2841" s="2360" t="str">
        <f>$K$2</f>
        <v>THÁNG 09/2024</v>
      </c>
      <c r="B2841" s="2360"/>
      <c r="C2841" s="2360"/>
      <c r="D2841" s="2360"/>
      <c r="E2841" s="903"/>
      <c r="F2841" s="904"/>
      <c r="G2841" s="2360" t="str">
        <f>$K$2</f>
        <v>THÁNG 09/2024</v>
      </c>
      <c r="H2841" s="2360"/>
      <c r="I2841" s="2360"/>
      <c r="J2841" s="2360"/>
      <c r="K2841" s="276"/>
    </row>
    <row r="2842" spans="1:15" ht="15" customHeight="1">
      <c r="A2842" s="905" t="s">
        <v>356</v>
      </c>
      <c r="B2842" s="642" t="s">
        <v>274</v>
      </c>
      <c r="C2842" s="546"/>
      <c r="D2842" s="902"/>
      <c r="E2842" s="906"/>
      <c r="F2842" s="907"/>
      <c r="G2842" s="905" t="s">
        <v>356</v>
      </c>
      <c r="H2842" s="642" t="s">
        <v>510</v>
      </c>
      <c r="I2842" s="546"/>
      <c r="J2842" s="902"/>
      <c r="L2842" s="938"/>
      <c r="M2842" s="938"/>
      <c r="N2842" s="938"/>
      <c r="O2842" s="938"/>
    </row>
    <row r="2843" spans="1:15" ht="15" customHeight="1">
      <c r="A2843" s="905" t="s">
        <v>359</v>
      </c>
      <c r="B2843" s="939" t="s">
        <v>360</v>
      </c>
      <c r="C2843" s="910" t="e">
        <f>VLOOKUP(B2842,'LƯƠNG KT'!$D$16:$AC$184,3,0)</f>
        <v>#N/A</v>
      </c>
      <c r="D2843" s="609" t="e">
        <f>+C2843*25000</f>
        <v>#N/A</v>
      </c>
      <c r="E2843" s="911"/>
      <c r="F2843" s="911"/>
      <c r="G2843" s="905" t="s">
        <v>359</v>
      </c>
      <c r="H2843" s="939" t="s">
        <v>360</v>
      </c>
      <c r="I2843" s="910" t="e">
        <f>VLOOKUP(H2842,'LƯƠNG KT'!$D$16:$AC$184,3,0)</f>
        <v>#N/A</v>
      </c>
      <c r="J2843" s="609" t="e">
        <f>+I2843*25000</f>
        <v>#N/A</v>
      </c>
      <c r="K2843" s="935"/>
      <c r="L2843" s="935"/>
      <c r="M2843" s="935"/>
      <c r="N2843" s="935"/>
      <c r="O2843" s="935"/>
    </row>
    <row r="2844" spans="1:15" ht="15" customHeight="1">
      <c r="A2844" s="905" t="s">
        <v>361</v>
      </c>
      <c r="B2844" s="546" t="s">
        <v>362</v>
      </c>
      <c r="C2844" s="910" t="e">
        <f>VLOOKUP(B2842,'LƯƠNG KT'!$D$16:$AC$184,14,0)</f>
        <v>#N/A</v>
      </c>
      <c r="D2844" s="609" t="e">
        <f>C2844*$L$4</f>
        <v>#N/A</v>
      </c>
      <c r="E2844" s="912"/>
      <c r="F2844" s="912"/>
      <c r="G2844" s="905" t="s">
        <v>361</v>
      </c>
      <c r="H2844" s="546" t="s">
        <v>362</v>
      </c>
      <c r="I2844" s="910" t="e">
        <f>VLOOKUP(H2842,'LƯƠNG KT'!$D$16:$AC$184,14,0)</f>
        <v>#N/A</v>
      </c>
      <c r="J2844" s="609" t="e">
        <f>I2844*$L$4</f>
        <v>#N/A</v>
      </c>
      <c r="K2844" s="935"/>
      <c r="L2844" s="935"/>
      <c r="M2844" s="935"/>
      <c r="N2844" s="935"/>
      <c r="O2844" s="935"/>
    </row>
    <row r="2845" spans="1:15" ht="15" customHeight="1">
      <c r="A2845" s="905" t="s">
        <v>364</v>
      </c>
      <c r="B2845" s="546" t="s">
        <v>365</v>
      </c>
      <c r="C2845" s="910" t="e">
        <f>VLOOKUP(B2842,'LƯƠNG KT'!$D$16:$AC$184,15,0)</f>
        <v>#N/A</v>
      </c>
      <c r="D2845" s="609" t="e">
        <f>C2845*$L$5</f>
        <v>#N/A</v>
      </c>
      <c r="E2845" s="912"/>
      <c r="F2845" s="912"/>
      <c r="G2845" s="905" t="s">
        <v>364</v>
      </c>
      <c r="H2845" s="546" t="s">
        <v>365</v>
      </c>
      <c r="I2845" s="910" t="e">
        <f>VLOOKUP(H2842,'LƯƠNG KT'!$D$16:$AC$184,15,0)</f>
        <v>#N/A</v>
      </c>
      <c r="J2845" s="609" t="e">
        <f>I2845*$L$5</f>
        <v>#N/A</v>
      </c>
      <c r="K2845" s="935"/>
      <c r="L2845" s="935"/>
      <c r="M2845" s="935"/>
      <c r="N2845" s="935"/>
      <c r="O2845" s="935"/>
    </row>
    <row r="2846" spans="1:15" ht="15" customHeight="1">
      <c r="A2846" s="905" t="s">
        <v>367</v>
      </c>
      <c r="B2846" s="546"/>
      <c r="C2846" s="910" t="e">
        <f>VLOOKUP(B2842,'LƯƠNG KT'!$D$16:$AC$184,16,0)</f>
        <v>#N/A</v>
      </c>
      <c r="D2846" s="609" t="e">
        <f>+C2846*$L$6</f>
        <v>#N/A</v>
      </c>
      <c r="E2846" s="912"/>
      <c r="F2846" s="912"/>
      <c r="G2846" s="905" t="s">
        <v>367</v>
      </c>
      <c r="H2846" s="546"/>
      <c r="I2846" s="910" t="e">
        <f>VLOOKUP(H2842,'LƯƠNG KT'!$D$16:$AC$184,16,0)</f>
        <v>#N/A</v>
      </c>
      <c r="J2846" s="609" t="e">
        <f>+I2846*$L$6</f>
        <v>#N/A</v>
      </c>
      <c r="K2846" s="935"/>
      <c r="L2846" s="935"/>
      <c r="M2846" s="935"/>
      <c r="N2846" s="935"/>
      <c r="O2846" s="935"/>
    </row>
    <row r="2847" spans="1:15" ht="15" customHeight="1">
      <c r="A2847" s="905" t="s">
        <v>371</v>
      </c>
      <c r="B2847" s="546" t="s">
        <v>372</v>
      </c>
      <c r="C2847" s="910" t="e">
        <f>VLOOKUP(B2842,'LƯƠNG KT'!$D$16:$AC$184,9,0)*$L$10</f>
        <v>#N/A</v>
      </c>
      <c r="D2847" s="609" t="e">
        <f>+C2847*0.5*3000</f>
        <v>#N/A</v>
      </c>
      <c r="E2847" s="912"/>
      <c r="F2847" s="912"/>
      <c r="G2847" s="905" t="s">
        <v>371</v>
      </c>
      <c r="H2847" s="546" t="s">
        <v>372</v>
      </c>
      <c r="I2847" s="910" t="e">
        <f>VLOOKUP(H2842,'LƯƠNG KT'!$D$16:$AC$184,9,0)*$L$10</f>
        <v>#N/A</v>
      </c>
      <c r="J2847" s="609" t="e">
        <f>+I2847*0.5*3000</f>
        <v>#N/A</v>
      </c>
      <c r="K2847" s="935"/>
      <c r="L2847" s="935"/>
      <c r="M2847" s="935"/>
      <c r="N2847" s="935"/>
      <c r="O2847" s="935"/>
    </row>
    <row r="2848" spans="1:15" ht="15" customHeight="1">
      <c r="A2848" s="905" t="s">
        <v>374</v>
      </c>
      <c r="B2848" s="546" t="s">
        <v>375</v>
      </c>
      <c r="C2848" s="910" t="e">
        <f>VLOOKUP(B2842,'LƯƠNG KT'!$D$16:$AC$184,8,0)*$L$11</f>
        <v>#N/A</v>
      </c>
      <c r="D2848" s="609" t="e">
        <f>VLOOKUP(B2842,'LƯƠNG KT'!$D$16:$AC$184,13,0)-D2847</f>
        <v>#N/A</v>
      </c>
      <c r="E2848" s="914"/>
      <c r="F2848" s="912"/>
      <c r="G2848" s="905" t="s">
        <v>374</v>
      </c>
      <c r="H2848" s="546" t="s">
        <v>375</v>
      </c>
      <c r="I2848" s="910" t="e">
        <f>VLOOKUP(H2842,'LƯƠNG KT'!$D$16:$AC$184,8,0)*$L$11</f>
        <v>#N/A</v>
      </c>
      <c r="J2848" s="609" t="e">
        <f>VLOOKUP(H2842,'LƯƠNG KT'!$D$16:$AC$184,13,0)-J2847</f>
        <v>#N/A</v>
      </c>
      <c r="K2848" s="935"/>
      <c r="L2848" s="935"/>
      <c r="M2848" s="935"/>
      <c r="N2848" s="935"/>
      <c r="O2848" s="935"/>
    </row>
    <row r="2849" spans="1:15" ht="15" customHeight="1">
      <c r="A2849" s="609" t="s">
        <v>377</v>
      </c>
      <c r="B2849" s="546" t="s">
        <v>378</v>
      </c>
      <c r="C2849" s="910"/>
      <c r="D2849" s="609"/>
      <c r="E2849" s="916"/>
      <c r="F2849" s="916"/>
      <c r="G2849" s="609" t="s">
        <v>377</v>
      </c>
      <c r="H2849" s="546" t="s">
        <v>378</v>
      </c>
      <c r="I2849" s="910"/>
      <c r="J2849" s="609"/>
    </row>
    <row r="2850" spans="1:15" ht="15" customHeight="1">
      <c r="A2850" s="547" t="s">
        <v>379</v>
      </c>
      <c r="B2850" s="546" t="s">
        <v>380</v>
      </c>
      <c r="C2850" s="910"/>
      <c r="D2850" s="609"/>
      <c r="E2850" s="914"/>
      <c r="F2850" s="916"/>
      <c r="G2850" s="547" t="s">
        <v>379</v>
      </c>
      <c r="H2850" s="546" t="s">
        <v>380</v>
      </c>
      <c r="I2850" s="910"/>
      <c r="J2850" s="609"/>
    </row>
    <row r="2851" spans="1:15" ht="15" customHeight="1">
      <c r="A2851" s="905" t="s">
        <v>381</v>
      </c>
      <c r="B2851" s="546" t="s">
        <v>382</v>
      </c>
      <c r="C2851" s="910"/>
      <c r="D2851" s="609">
        <f>D2850</f>
        <v>0</v>
      </c>
      <c r="E2851" s="917"/>
      <c r="F2851" s="904"/>
      <c r="G2851" s="905" t="s">
        <v>381</v>
      </c>
      <c r="H2851" s="546" t="s">
        <v>382</v>
      </c>
      <c r="I2851" s="910"/>
      <c r="J2851" s="609">
        <f>J2850</f>
        <v>0</v>
      </c>
    </row>
    <row r="2852" spans="1:15" ht="15" customHeight="1">
      <c r="A2852" s="918" t="s">
        <v>383</v>
      </c>
      <c r="B2852" s="919" t="s">
        <v>384</v>
      </c>
      <c r="C2852" s="920"/>
      <c r="D2852" s="921" t="e">
        <f>SUM(D2843:D2848)-D2851</f>
        <v>#N/A</v>
      </c>
      <c r="E2852" s="922"/>
      <c r="F2852" s="923"/>
      <c r="G2852" s="918" t="s">
        <v>383</v>
      </c>
      <c r="H2852" s="919" t="s">
        <v>384</v>
      </c>
      <c r="I2852" s="920"/>
      <c r="J2852" s="921" t="e">
        <f>SUM(J2843:J2848)-J2851</f>
        <v>#N/A</v>
      </c>
    </row>
    <row r="2853" spans="1:15" ht="18.75" customHeight="1">
      <c r="A2853" s="924"/>
      <c r="B2853" s="925"/>
      <c r="C2853" s="926"/>
      <c r="D2853" s="927"/>
      <c r="E2853" s="927"/>
      <c r="F2853" s="928"/>
      <c r="G2853" s="924"/>
      <c r="H2853" s="925"/>
      <c r="I2853" s="926"/>
      <c r="J2853" s="927"/>
    </row>
    <row r="2854" spans="1:15" ht="18.75" customHeight="1">
      <c r="A2854" s="925"/>
      <c r="B2854" s="925"/>
      <c r="C2854" s="929"/>
      <c r="D2854" s="930"/>
      <c r="E2854" s="925"/>
      <c r="F2854" s="931"/>
      <c r="G2854" s="925"/>
      <c r="H2854" s="925"/>
      <c r="I2854" s="929"/>
      <c r="J2854" s="930"/>
    </row>
    <row r="2855" spans="1:15" ht="15" customHeight="1">
      <c r="A2855" s="2360" t="str">
        <f>$K$2</f>
        <v>THÁNG 09/2024</v>
      </c>
      <c r="B2855" s="2360"/>
      <c r="C2855" s="2360"/>
      <c r="D2855" s="2360"/>
      <c r="E2855" s="903"/>
      <c r="F2855" s="904"/>
      <c r="G2855" s="2360" t="str">
        <f>$K$2</f>
        <v>THÁNG 09/2024</v>
      </c>
      <c r="H2855" s="2360"/>
      <c r="I2855" s="2360"/>
      <c r="J2855" s="2360"/>
      <c r="K2855" s="276"/>
    </row>
    <row r="2856" spans="1:15" ht="15" customHeight="1">
      <c r="A2856" s="905" t="s">
        <v>356</v>
      </c>
      <c r="B2856" s="642" t="s">
        <v>511</v>
      </c>
      <c r="C2856" s="546"/>
      <c r="D2856" s="902"/>
      <c r="E2856" s="906"/>
      <c r="F2856" s="907"/>
      <c r="G2856" s="905" t="s">
        <v>356</v>
      </c>
      <c r="H2856" s="642" t="s">
        <v>512</v>
      </c>
      <c r="I2856" s="546"/>
      <c r="J2856" s="902"/>
      <c r="L2856" s="938"/>
      <c r="M2856" s="938"/>
      <c r="N2856" s="938"/>
      <c r="O2856" s="938"/>
    </row>
    <row r="2857" spans="1:15" ht="15" customHeight="1">
      <c r="A2857" s="905" t="s">
        <v>359</v>
      </c>
      <c r="B2857" s="939" t="s">
        <v>360</v>
      </c>
      <c r="C2857" s="910" t="e">
        <f>VLOOKUP(B2856,'LƯƠNG KT'!$D$16:$AC$184,3,0)</f>
        <v>#N/A</v>
      </c>
      <c r="D2857" s="609" t="e">
        <f>+C2857*25000</f>
        <v>#N/A</v>
      </c>
      <c r="E2857" s="911"/>
      <c r="F2857" s="911"/>
      <c r="G2857" s="905" t="s">
        <v>359</v>
      </c>
      <c r="H2857" s="939" t="s">
        <v>360</v>
      </c>
      <c r="I2857" s="910" t="e">
        <f>VLOOKUP(H2856,'LƯƠNG KT'!$D$16:$AC$184,3,0)</f>
        <v>#N/A</v>
      </c>
      <c r="J2857" s="609" t="e">
        <f>+I2857*25000</f>
        <v>#N/A</v>
      </c>
      <c r="K2857" s="935"/>
      <c r="L2857" s="935"/>
      <c r="M2857" s="935"/>
      <c r="N2857" s="935"/>
      <c r="O2857" s="935"/>
    </row>
    <row r="2858" spans="1:15" ht="15" customHeight="1">
      <c r="A2858" s="905" t="s">
        <v>361</v>
      </c>
      <c r="B2858" s="546" t="s">
        <v>362</v>
      </c>
      <c r="C2858" s="910" t="e">
        <f>VLOOKUP(B2856,'LƯƠNG KT'!$D$16:$AC$184,14,0)</f>
        <v>#N/A</v>
      </c>
      <c r="D2858" s="609" t="e">
        <f>C2858*$L$4</f>
        <v>#N/A</v>
      </c>
      <c r="E2858" s="912"/>
      <c r="F2858" s="912"/>
      <c r="G2858" s="905" t="s">
        <v>361</v>
      </c>
      <c r="H2858" s="546" t="s">
        <v>362</v>
      </c>
      <c r="I2858" s="910" t="e">
        <f>VLOOKUP(H2856,'LƯƠNG KT'!$D$16:$AC$184,14,0)</f>
        <v>#N/A</v>
      </c>
      <c r="J2858" s="609" t="e">
        <f>I2858*$L$4</f>
        <v>#N/A</v>
      </c>
      <c r="K2858" s="935"/>
      <c r="L2858" s="935"/>
      <c r="M2858" s="935"/>
      <c r="N2858" s="935"/>
      <c r="O2858" s="935"/>
    </row>
    <row r="2859" spans="1:15" ht="15" customHeight="1">
      <c r="A2859" s="905" t="s">
        <v>364</v>
      </c>
      <c r="B2859" s="546" t="s">
        <v>365</v>
      </c>
      <c r="C2859" s="910" t="e">
        <f>VLOOKUP(B2856,'LƯƠNG KT'!$D$16:$AC$184,15,0)</f>
        <v>#N/A</v>
      </c>
      <c r="D2859" s="609" t="e">
        <f>C2859*$L$5</f>
        <v>#N/A</v>
      </c>
      <c r="E2859" s="912"/>
      <c r="F2859" s="912"/>
      <c r="G2859" s="905" t="s">
        <v>364</v>
      </c>
      <c r="H2859" s="546" t="s">
        <v>365</v>
      </c>
      <c r="I2859" s="910" t="e">
        <f>VLOOKUP(H2856,'LƯƠNG KT'!$D$16:$AC$184,15,0)</f>
        <v>#N/A</v>
      </c>
      <c r="J2859" s="609" t="e">
        <f>I2859*$L$5</f>
        <v>#N/A</v>
      </c>
      <c r="K2859" s="935"/>
      <c r="L2859" s="935"/>
      <c r="M2859" s="935"/>
      <c r="N2859" s="935"/>
      <c r="O2859" s="935"/>
    </row>
    <row r="2860" spans="1:15" ht="15" customHeight="1">
      <c r="A2860" s="905" t="s">
        <v>367</v>
      </c>
      <c r="B2860" s="546"/>
      <c r="C2860" s="910" t="e">
        <f>VLOOKUP(B2856,'LƯƠNG KT'!$D$16:$AC$184,16,0)</f>
        <v>#N/A</v>
      </c>
      <c r="D2860" s="609" t="e">
        <f>+C2860*$L$6</f>
        <v>#N/A</v>
      </c>
      <c r="E2860" s="912"/>
      <c r="F2860" s="912"/>
      <c r="G2860" s="905" t="s">
        <v>367</v>
      </c>
      <c r="H2860" s="546"/>
      <c r="I2860" s="910" t="e">
        <f>VLOOKUP(H2856,'LƯƠNG KT'!$D$16:$AC$184,16,0)</f>
        <v>#N/A</v>
      </c>
      <c r="J2860" s="609" t="e">
        <f>+I2860*$L$6</f>
        <v>#N/A</v>
      </c>
      <c r="K2860" s="935"/>
      <c r="L2860" s="935"/>
      <c r="M2860" s="935"/>
      <c r="N2860" s="935"/>
      <c r="O2860" s="935"/>
    </row>
    <row r="2861" spans="1:15" ht="15" customHeight="1">
      <c r="A2861" s="905" t="s">
        <v>371</v>
      </c>
      <c r="B2861" s="546" t="s">
        <v>372</v>
      </c>
      <c r="C2861" s="910" t="e">
        <f>VLOOKUP(B2856,'LƯƠNG KT'!$D$16:$AC$184,9,0)*$L$10</f>
        <v>#N/A</v>
      </c>
      <c r="D2861" s="609" t="e">
        <f>+C2861*0.5*3000</f>
        <v>#N/A</v>
      </c>
      <c r="E2861" s="912"/>
      <c r="F2861" s="912"/>
      <c r="G2861" s="905" t="s">
        <v>371</v>
      </c>
      <c r="H2861" s="546" t="s">
        <v>372</v>
      </c>
      <c r="I2861" s="910" t="e">
        <f>VLOOKUP(H2856,'LƯƠNG KT'!$D$16:$AC$184,9,0)*$L$10</f>
        <v>#N/A</v>
      </c>
      <c r="J2861" s="609" t="e">
        <f>+I2861*0.5*3000</f>
        <v>#N/A</v>
      </c>
      <c r="K2861" s="935"/>
      <c r="L2861" s="935"/>
      <c r="M2861" s="935"/>
      <c r="N2861" s="935"/>
      <c r="O2861" s="935"/>
    </row>
    <row r="2862" spans="1:15" ht="15" customHeight="1">
      <c r="A2862" s="905" t="s">
        <v>374</v>
      </c>
      <c r="B2862" s="546" t="s">
        <v>375</v>
      </c>
      <c r="C2862" s="910" t="e">
        <f>VLOOKUP(B2856,'LƯƠNG KT'!$D$16:$AC$184,8,0)*$L$11</f>
        <v>#N/A</v>
      </c>
      <c r="D2862" s="609" t="e">
        <f>VLOOKUP(B2856,'LƯƠNG KT'!$D$16:$AC$184,13,0)-D2861</f>
        <v>#N/A</v>
      </c>
      <c r="E2862" s="914"/>
      <c r="F2862" s="912"/>
      <c r="G2862" s="905" t="s">
        <v>374</v>
      </c>
      <c r="H2862" s="546" t="s">
        <v>375</v>
      </c>
      <c r="I2862" s="910" t="e">
        <f>VLOOKUP(H2856,'LƯƠNG KT'!$D$16:$AC$184,8,0)*$L$11</f>
        <v>#N/A</v>
      </c>
      <c r="J2862" s="609" t="e">
        <f>VLOOKUP(H2856,'LƯƠNG KT'!$D$16:$AC$184,13,0)-J2861</f>
        <v>#N/A</v>
      </c>
      <c r="K2862" s="935"/>
      <c r="L2862" s="935"/>
      <c r="M2862" s="935"/>
      <c r="N2862" s="935"/>
      <c r="O2862" s="935"/>
    </row>
    <row r="2863" spans="1:15" ht="15" customHeight="1">
      <c r="A2863" s="609" t="s">
        <v>377</v>
      </c>
      <c r="B2863" s="546" t="s">
        <v>378</v>
      </c>
      <c r="C2863" s="910"/>
      <c r="D2863" s="609"/>
      <c r="E2863" s="916"/>
      <c r="F2863" s="916"/>
      <c r="G2863" s="609" t="s">
        <v>377</v>
      </c>
      <c r="H2863" s="546" t="s">
        <v>378</v>
      </c>
      <c r="I2863" s="910"/>
      <c r="J2863" s="609"/>
    </row>
    <row r="2864" spans="1:15" ht="15" customHeight="1">
      <c r="A2864" s="547" t="s">
        <v>379</v>
      </c>
      <c r="B2864" s="546" t="s">
        <v>380</v>
      </c>
      <c r="C2864" s="910"/>
      <c r="D2864" s="609"/>
      <c r="E2864" s="914"/>
      <c r="F2864" s="916"/>
      <c r="G2864" s="547" t="s">
        <v>379</v>
      </c>
      <c r="H2864" s="546" t="s">
        <v>380</v>
      </c>
      <c r="I2864" s="910"/>
      <c r="J2864" s="609"/>
    </row>
    <row r="2865" spans="1:15" ht="15" customHeight="1">
      <c r="A2865" s="905" t="s">
        <v>381</v>
      </c>
      <c r="B2865" s="546" t="s">
        <v>382</v>
      </c>
      <c r="C2865" s="910"/>
      <c r="D2865" s="609">
        <f>D2864</f>
        <v>0</v>
      </c>
      <c r="E2865" s="917"/>
      <c r="F2865" s="904"/>
      <c r="G2865" s="905" t="s">
        <v>381</v>
      </c>
      <c r="H2865" s="546" t="s">
        <v>382</v>
      </c>
      <c r="I2865" s="910"/>
      <c r="J2865" s="609">
        <f>J2864</f>
        <v>0</v>
      </c>
    </row>
    <row r="2866" spans="1:15" ht="15" customHeight="1">
      <c r="A2866" s="918" t="s">
        <v>383</v>
      </c>
      <c r="B2866" s="919" t="s">
        <v>384</v>
      </c>
      <c r="C2866" s="920"/>
      <c r="D2866" s="921" t="e">
        <f>SUM(D2857:D2862)-D2865</f>
        <v>#N/A</v>
      </c>
      <c r="E2866" s="922"/>
      <c r="F2866" s="923"/>
      <c r="G2866" s="918" t="s">
        <v>383</v>
      </c>
      <c r="H2866" s="919" t="s">
        <v>384</v>
      </c>
      <c r="I2866" s="920"/>
      <c r="J2866" s="921" t="e">
        <f>SUM(J2857:J2862)-J2865</f>
        <v>#N/A</v>
      </c>
    </row>
    <row r="2867" spans="1:15" ht="15.75" customHeight="1">
      <c r="A2867" s="924"/>
      <c r="B2867" s="925"/>
      <c r="C2867" s="926"/>
      <c r="D2867" s="927"/>
      <c r="E2867" s="927"/>
      <c r="F2867" s="928"/>
      <c r="G2867" s="924"/>
      <c r="H2867" s="925"/>
      <c r="I2867" s="926"/>
      <c r="J2867" s="927"/>
    </row>
    <row r="2869" spans="1:15" ht="12" customHeight="1">
      <c r="A2869" s="2361"/>
      <c r="B2869" s="2361"/>
      <c r="C2869" s="2361"/>
      <c r="D2869" s="2361"/>
      <c r="E2869" s="2361"/>
      <c r="F2869" s="2361"/>
      <c r="G2869" s="2361"/>
      <c r="H2869" s="2361"/>
      <c r="I2869" s="2361"/>
      <c r="J2869" s="2361"/>
    </row>
    <row r="2870" spans="1:15" ht="15" customHeight="1">
      <c r="A2870" s="2360" t="str">
        <f>$K$2</f>
        <v>THÁNG 09/2024</v>
      </c>
      <c r="B2870" s="2360"/>
      <c r="C2870" s="2360"/>
      <c r="D2870" s="2360"/>
      <c r="E2870" s="903"/>
      <c r="F2870" s="904"/>
      <c r="G2870" s="2360" t="str">
        <f>$K$2</f>
        <v>THÁNG 09/2024</v>
      </c>
      <c r="H2870" s="2360"/>
      <c r="I2870" s="2360"/>
      <c r="J2870" s="2360"/>
      <c r="K2870" s="276"/>
    </row>
    <row r="2871" spans="1:15" ht="15" customHeight="1">
      <c r="A2871" s="905" t="s">
        <v>356</v>
      </c>
      <c r="B2871" s="642" t="s">
        <v>278</v>
      </c>
      <c r="C2871" s="546"/>
      <c r="D2871" s="902"/>
      <c r="E2871" s="906"/>
      <c r="F2871" s="907"/>
      <c r="G2871" s="905" t="s">
        <v>356</v>
      </c>
      <c r="H2871" s="642" t="s">
        <v>281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5" t="s">
        <v>359</v>
      </c>
      <c r="B2872" s="939" t="s">
        <v>360</v>
      </c>
      <c r="C2872" s="910" t="e">
        <f>VLOOKUP(B2871,'LƯƠNG KT'!$D$16:$AC$184,3,0)</f>
        <v>#N/A</v>
      </c>
      <c r="D2872" s="609" t="e">
        <f>+C2872*25000</f>
        <v>#N/A</v>
      </c>
      <c r="E2872" s="911"/>
      <c r="F2872" s="911"/>
      <c r="G2872" s="905" t="s">
        <v>359</v>
      </c>
      <c r="H2872" s="939" t="s">
        <v>360</v>
      </c>
      <c r="I2872" s="910" t="e">
        <f>VLOOKUP(H2871,'LƯƠNG KT'!$D$16:$AC$184,3,0)</f>
        <v>#N/A</v>
      </c>
      <c r="J2872" s="609" t="e">
        <f>+I2872*25000</f>
        <v>#N/A</v>
      </c>
      <c r="K2872" s="934"/>
      <c r="L2872" s="935"/>
      <c r="M2872" s="935"/>
      <c r="N2872" s="935"/>
      <c r="O2872" s="935"/>
    </row>
    <row r="2873" spans="1:15" ht="15" customHeight="1">
      <c r="A2873" s="905" t="s">
        <v>361</v>
      </c>
      <c r="B2873" s="546" t="s">
        <v>362</v>
      </c>
      <c r="C2873" s="910" t="e">
        <f>VLOOKUP(B2871,'LƯƠNG KT'!$D$16:$AC$184,14,0)</f>
        <v>#N/A</v>
      </c>
      <c r="D2873" s="609" t="e">
        <f>C2873*$L$4</f>
        <v>#N/A</v>
      </c>
      <c r="E2873" s="912"/>
      <c r="F2873" s="912"/>
      <c r="G2873" s="905" t="s">
        <v>361</v>
      </c>
      <c r="H2873" s="546" t="s">
        <v>362</v>
      </c>
      <c r="I2873" s="910" t="e">
        <f>VLOOKUP(H2871,'LƯƠNG KT'!$D$16:$AC$184,14,0)</f>
        <v>#N/A</v>
      </c>
      <c r="J2873" s="609" t="e">
        <f>I2873*$L$4</f>
        <v>#N/A</v>
      </c>
      <c r="K2873" s="934"/>
      <c r="L2873" s="935"/>
      <c r="M2873" s="935"/>
      <c r="N2873" s="935"/>
      <c r="O2873" s="935"/>
    </row>
    <row r="2874" spans="1:15" ht="15" customHeight="1">
      <c r="A2874" s="905" t="s">
        <v>364</v>
      </c>
      <c r="B2874" s="546" t="s">
        <v>365</v>
      </c>
      <c r="C2874" s="910" t="e">
        <f>VLOOKUP(B2871,'LƯƠNG KT'!$D$16:$AC$184,15,0)</f>
        <v>#N/A</v>
      </c>
      <c r="D2874" s="609" t="e">
        <f>C2874*$L$5</f>
        <v>#N/A</v>
      </c>
      <c r="E2874" s="912"/>
      <c r="F2874" s="912"/>
      <c r="G2874" s="905" t="s">
        <v>364</v>
      </c>
      <c r="H2874" s="546" t="s">
        <v>365</v>
      </c>
      <c r="I2874" s="910" t="e">
        <f>VLOOKUP(H2871,'LƯƠNG KT'!$D$16:$AC$184,15,0)</f>
        <v>#N/A</v>
      </c>
      <c r="J2874" s="609" t="e">
        <f>I2874*$L$5</f>
        <v>#N/A</v>
      </c>
      <c r="K2874" s="934"/>
      <c r="L2874" s="935"/>
      <c r="M2874" s="935"/>
      <c r="N2874" s="935"/>
      <c r="O2874" s="935"/>
    </row>
    <row r="2875" spans="1:15" ht="15" customHeight="1">
      <c r="A2875" s="905" t="s">
        <v>367</v>
      </c>
      <c r="B2875" s="546"/>
      <c r="C2875" s="910" t="e">
        <f>VLOOKUP(B2871,'LƯƠNG KT'!$D$16:$AC$184,16,0)</f>
        <v>#N/A</v>
      </c>
      <c r="D2875" s="609" t="e">
        <f>+C2875*$L$6</f>
        <v>#N/A</v>
      </c>
      <c r="E2875" s="912"/>
      <c r="F2875" s="912"/>
      <c r="G2875" s="905" t="s">
        <v>367</v>
      </c>
      <c r="H2875" s="546"/>
      <c r="I2875" s="910" t="e">
        <f>VLOOKUP(H2871,'LƯƠNG KT'!$D$16:$AC$184,16,0)</f>
        <v>#N/A</v>
      </c>
      <c r="J2875" s="609" t="e">
        <f>+I2875*$L$6</f>
        <v>#N/A</v>
      </c>
      <c r="K2875" s="935"/>
      <c r="L2875" s="935"/>
      <c r="M2875" s="935"/>
      <c r="N2875" s="935"/>
      <c r="O2875" s="935"/>
    </row>
    <row r="2876" spans="1:15" ht="15" customHeight="1">
      <c r="A2876" s="905" t="s">
        <v>371</v>
      </c>
      <c r="B2876" s="546" t="s">
        <v>372</v>
      </c>
      <c r="C2876" s="910" t="e">
        <f>VLOOKUP(B2871,'LƯƠNG KT'!$D$16:$AC$184,9,0)*$L$10</f>
        <v>#N/A</v>
      </c>
      <c r="D2876" s="609" t="e">
        <f>+C2876*0.5*3000</f>
        <v>#N/A</v>
      </c>
      <c r="E2876" s="912"/>
      <c r="F2876" s="912"/>
      <c r="G2876" s="905" t="s">
        <v>371</v>
      </c>
      <c r="H2876" s="546" t="s">
        <v>372</v>
      </c>
      <c r="I2876" s="910" t="e">
        <f>VLOOKUP(H2871,'LƯƠNG KT'!$D$16:$AC$184,9,0)*$L$10</f>
        <v>#N/A</v>
      </c>
      <c r="J2876" s="609" t="e">
        <f>+I2876*0.5*3000</f>
        <v>#N/A</v>
      </c>
      <c r="K2876" s="935"/>
      <c r="L2876" s="935"/>
      <c r="M2876" s="935"/>
      <c r="N2876" s="935"/>
      <c r="O2876" s="935"/>
    </row>
    <row r="2877" spans="1:15" ht="15" customHeight="1">
      <c r="A2877" s="905" t="s">
        <v>374</v>
      </c>
      <c r="B2877" s="546" t="s">
        <v>375</v>
      </c>
      <c r="C2877" s="910" t="e">
        <f>VLOOKUP(B2871,'LƯƠNG KT'!$D$16:$AC$184,8,0)*$L$11</f>
        <v>#N/A</v>
      </c>
      <c r="D2877" s="609" t="e">
        <f>VLOOKUP(B2871,'LƯƠNG KT'!$D$16:$AC$184,13,0)-D2876</f>
        <v>#N/A</v>
      </c>
      <c r="E2877" s="914"/>
      <c r="F2877" s="912"/>
      <c r="G2877" s="905" t="s">
        <v>374</v>
      </c>
      <c r="H2877" s="546" t="s">
        <v>375</v>
      </c>
      <c r="I2877" s="910" t="e">
        <f>VLOOKUP(H2871,'LƯƠNG KT'!$D$16:$AC$184,8,0)*$L$11</f>
        <v>#N/A</v>
      </c>
      <c r="J2877" s="609" t="e">
        <f>VLOOKUP(H2871,'LƯƠNG KT'!$D$16:$AC$184,13,0)-J2876</f>
        <v>#N/A</v>
      </c>
      <c r="K2877" s="935"/>
      <c r="L2877" s="935"/>
      <c r="M2877" s="935"/>
      <c r="N2877" s="935"/>
      <c r="O2877" s="935"/>
    </row>
    <row r="2878" spans="1:15" ht="15" customHeight="1">
      <c r="A2878" s="609" t="s">
        <v>377</v>
      </c>
      <c r="B2878" s="546" t="s">
        <v>378</v>
      </c>
      <c r="C2878" s="910"/>
      <c r="D2878" s="609"/>
      <c r="E2878" s="916"/>
      <c r="F2878" s="916"/>
      <c r="G2878" s="609" t="s">
        <v>377</v>
      </c>
      <c r="H2878" s="546" t="s">
        <v>378</v>
      </c>
      <c r="I2878" s="910"/>
      <c r="J2878" s="609"/>
    </row>
    <row r="2879" spans="1:15" ht="15" customHeight="1">
      <c r="A2879" s="547" t="s">
        <v>379</v>
      </c>
      <c r="B2879" s="546" t="s">
        <v>380</v>
      </c>
      <c r="C2879" s="910"/>
      <c r="D2879" s="609"/>
      <c r="E2879" s="914"/>
      <c r="F2879" s="916"/>
      <c r="G2879" s="547" t="s">
        <v>379</v>
      </c>
      <c r="H2879" s="546" t="s">
        <v>380</v>
      </c>
      <c r="I2879" s="910"/>
      <c r="J2879" s="609"/>
    </row>
    <row r="2880" spans="1:15" ht="15" customHeight="1">
      <c r="A2880" s="905" t="s">
        <v>381</v>
      </c>
      <c r="B2880" s="546" t="s">
        <v>382</v>
      </c>
      <c r="C2880" s="910"/>
      <c r="D2880" s="609">
        <f>D2879</f>
        <v>0</v>
      </c>
      <c r="E2880" s="917"/>
      <c r="F2880" s="904"/>
      <c r="G2880" s="905" t="s">
        <v>381</v>
      </c>
      <c r="H2880" s="546" t="s">
        <v>382</v>
      </c>
      <c r="I2880" s="910"/>
      <c r="J2880" s="609">
        <f>J2879</f>
        <v>0</v>
      </c>
    </row>
    <row r="2881" spans="1:15" ht="15" customHeight="1">
      <c r="A2881" s="918" t="s">
        <v>383</v>
      </c>
      <c r="B2881" s="919" t="s">
        <v>384</v>
      </c>
      <c r="C2881" s="920"/>
      <c r="D2881" s="921" t="e">
        <f>SUM(D2872:D2877)-D2880</f>
        <v>#N/A</v>
      </c>
      <c r="E2881" s="922"/>
      <c r="F2881" s="923"/>
      <c r="G2881" s="918" t="s">
        <v>383</v>
      </c>
      <c r="H2881" s="919" t="s">
        <v>384</v>
      </c>
      <c r="I2881" s="920"/>
      <c r="J2881" s="921" t="e">
        <f>SUM(J2872:J2877)-J2880</f>
        <v>#N/A</v>
      </c>
    </row>
    <row r="2882" spans="1:15" ht="12.6" customHeight="1">
      <c r="A2882" s="924"/>
      <c r="B2882" s="925"/>
      <c r="C2882" s="926"/>
      <c r="D2882" s="927"/>
      <c r="E2882" s="927"/>
      <c r="F2882" s="928"/>
      <c r="G2882" s="924"/>
      <c r="H2882" s="925"/>
      <c r="I2882" s="926"/>
      <c r="J2882" s="927"/>
    </row>
    <row r="2883" spans="1:15" ht="12.6" customHeight="1">
      <c r="A2883" s="925"/>
      <c r="B2883" s="925"/>
      <c r="C2883" s="929"/>
      <c r="D2883" s="930"/>
      <c r="E2883" s="925"/>
      <c r="F2883" s="931"/>
      <c r="G2883" s="925"/>
      <c r="H2883" s="925"/>
      <c r="I2883" s="929"/>
      <c r="J2883" s="930"/>
    </row>
    <row r="2884" spans="1:15" ht="15" customHeight="1">
      <c r="A2884" s="2360" t="str">
        <f>$K$2</f>
        <v>THÁNG 09/2024</v>
      </c>
      <c r="B2884" s="2360"/>
      <c r="C2884" s="2360"/>
      <c r="D2884" s="2360"/>
      <c r="E2884" s="903"/>
      <c r="F2884" s="904"/>
      <c r="G2884" s="2360" t="str">
        <f>$K$2</f>
        <v>THÁNG 09/2024</v>
      </c>
      <c r="H2884" s="2360"/>
      <c r="I2884" s="2360"/>
      <c r="J2884" s="2360"/>
      <c r="K2884" s="276"/>
    </row>
    <row r="2885" spans="1:15" ht="15" customHeight="1">
      <c r="A2885" s="905" t="s">
        <v>356</v>
      </c>
      <c r="B2885" s="642" t="s">
        <v>283</v>
      </c>
      <c r="C2885" s="546"/>
      <c r="D2885" s="902"/>
      <c r="E2885" s="906"/>
      <c r="F2885" s="907"/>
      <c r="G2885" s="905" t="s">
        <v>356</v>
      </c>
      <c r="H2885" s="642" t="s">
        <v>280</v>
      </c>
      <c r="I2885" s="546"/>
      <c r="J2885" s="902"/>
      <c r="L2885" s="938"/>
      <c r="M2885" s="938"/>
      <c r="N2885" s="938"/>
      <c r="O2885" s="938"/>
    </row>
    <row r="2886" spans="1:15" ht="15" customHeight="1">
      <c r="A2886" s="905" t="s">
        <v>359</v>
      </c>
      <c r="B2886" s="939" t="s">
        <v>360</v>
      </c>
      <c r="C2886" s="910" t="e">
        <f>VLOOKUP(B2885,'LƯƠNG KT'!$D$16:$AC$184,3,0)</f>
        <v>#N/A</v>
      </c>
      <c r="D2886" s="609" t="e">
        <f>+C2886*25000</f>
        <v>#N/A</v>
      </c>
      <c r="E2886" s="911"/>
      <c r="F2886" s="911"/>
      <c r="G2886" s="905" t="s">
        <v>359</v>
      </c>
      <c r="H2886" s="939" t="s">
        <v>360</v>
      </c>
      <c r="I2886" s="910" t="e">
        <f>VLOOKUP(H2885,'LƯƠNG KT'!$D$16:$AC$184,3,0)</f>
        <v>#N/A</v>
      </c>
      <c r="J2886" s="609" t="e">
        <f>+I2886*25000</f>
        <v>#N/A</v>
      </c>
      <c r="K2886" s="935"/>
      <c r="L2886" s="935"/>
      <c r="M2886" s="935"/>
      <c r="N2886" s="935"/>
      <c r="O2886" s="935"/>
    </row>
    <row r="2887" spans="1:15" ht="15" customHeight="1">
      <c r="A2887" s="905" t="s">
        <v>361</v>
      </c>
      <c r="B2887" s="546" t="s">
        <v>362</v>
      </c>
      <c r="C2887" s="910" t="e">
        <f>VLOOKUP(B2885,'LƯƠNG KT'!$D$16:$AC$184,14,0)</f>
        <v>#N/A</v>
      </c>
      <c r="D2887" s="609" t="e">
        <f>C2887*$L$4</f>
        <v>#N/A</v>
      </c>
      <c r="E2887" s="912"/>
      <c r="F2887" s="912"/>
      <c r="G2887" s="905" t="s">
        <v>361</v>
      </c>
      <c r="H2887" s="546" t="s">
        <v>362</v>
      </c>
      <c r="I2887" s="910" t="e">
        <f>VLOOKUP(H2885,'LƯƠNG KT'!$D$16:$AC$184,14,0)</f>
        <v>#N/A</v>
      </c>
      <c r="J2887" s="609" t="e">
        <f>I2887*$L$4</f>
        <v>#N/A</v>
      </c>
      <c r="K2887" s="935"/>
      <c r="L2887" s="935"/>
      <c r="M2887" s="935"/>
      <c r="N2887" s="935"/>
      <c r="O2887" s="935"/>
    </row>
    <row r="2888" spans="1:15" ht="15" customHeight="1">
      <c r="A2888" s="905" t="s">
        <v>364</v>
      </c>
      <c r="B2888" s="546" t="s">
        <v>365</v>
      </c>
      <c r="C2888" s="910" t="e">
        <f>VLOOKUP(B2885,'LƯƠNG KT'!$D$16:$AC$184,15,0)</f>
        <v>#N/A</v>
      </c>
      <c r="D2888" s="609" t="e">
        <f>C2888*$L$5</f>
        <v>#N/A</v>
      </c>
      <c r="E2888" s="912"/>
      <c r="F2888" s="912"/>
      <c r="G2888" s="905" t="s">
        <v>364</v>
      </c>
      <c r="H2888" s="546" t="s">
        <v>365</v>
      </c>
      <c r="I2888" s="910" t="e">
        <f>VLOOKUP(H2885,'LƯƠNG KT'!$D$16:$AC$184,15,0)</f>
        <v>#N/A</v>
      </c>
      <c r="J2888" s="609" t="e">
        <f>I2888*$L$5</f>
        <v>#N/A</v>
      </c>
      <c r="K2888" s="935"/>
      <c r="L2888" s="935"/>
      <c r="M2888" s="935"/>
      <c r="N2888" s="935"/>
      <c r="O2888" s="935"/>
    </row>
    <row r="2889" spans="1:15" ht="15" customHeight="1">
      <c r="A2889" s="905" t="s">
        <v>367</v>
      </c>
      <c r="B2889" s="546"/>
      <c r="C2889" s="910" t="e">
        <f>VLOOKUP(B2885,'LƯƠNG KT'!$D$16:$AC$184,16,0)</f>
        <v>#N/A</v>
      </c>
      <c r="D2889" s="609" t="e">
        <f>+C2889*$L$6</f>
        <v>#N/A</v>
      </c>
      <c r="E2889" s="912"/>
      <c r="F2889" s="912"/>
      <c r="G2889" s="905" t="s">
        <v>367</v>
      </c>
      <c r="H2889" s="546"/>
      <c r="I2889" s="910" t="e">
        <f>VLOOKUP(H2885,'LƯƠNG KT'!$D$16:$AC$184,16,0)</f>
        <v>#N/A</v>
      </c>
      <c r="J2889" s="609" t="e">
        <f>+I2889*$L$6</f>
        <v>#N/A</v>
      </c>
      <c r="K2889" s="935"/>
      <c r="L2889" s="935"/>
      <c r="M2889" s="935"/>
      <c r="N2889" s="935"/>
      <c r="O2889" s="935"/>
    </row>
    <row r="2890" spans="1:15" ht="15" customHeight="1">
      <c r="A2890" s="905" t="s">
        <v>371</v>
      </c>
      <c r="B2890" s="546" t="s">
        <v>372</v>
      </c>
      <c r="C2890" s="910" t="e">
        <f>VLOOKUP(B2885,'LƯƠNG KT'!$D$16:$AC$184,9,0)*$L$10</f>
        <v>#N/A</v>
      </c>
      <c r="D2890" s="609" t="e">
        <f>+C2890*0.5*3000</f>
        <v>#N/A</v>
      </c>
      <c r="E2890" s="912"/>
      <c r="F2890" s="912"/>
      <c r="G2890" s="905" t="s">
        <v>371</v>
      </c>
      <c r="H2890" s="546" t="s">
        <v>372</v>
      </c>
      <c r="I2890" s="910" t="e">
        <f>VLOOKUP(H2885,'LƯƠNG KT'!$D$16:$AC$184,9,0)*$L$10</f>
        <v>#N/A</v>
      </c>
      <c r="J2890" s="609" t="e">
        <f>+I2890*0.5*3000</f>
        <v>#N/A</v>
      </c>
      <c r="K2890" s="935"/>
      <c r="L2890" s="935"/>
      <c r="M2890" s="935"/>
      <c r="N2890" s="935"/>
      <c r="O2890" s="935"/>
    </row>
    <row r="2891" spans="1:15" ht="15" customHeight="1">
      <c r="A2891" s="905" t="s">
        <v>374</v>
      </c>
      <c r="B2891" s="546" t="s">
        <v>375</v>
      </c>
      <c r="C2891" s="910" t="e">
        <f>VLOOKUP(B2885,'LƯƠNG KT'!$D$16:$AC$184,8,0)*$L$11</f>
        <v>#N/A</v>
      </c>
      <c r="D2891" s="609" t="e">
        <f>VLOOKUP(B2885,'LƯƠNG KT'!$D$16:$AC$184,13,0)-D2890</f>
        <v>#N/A</v>
      </c>
      <c r="E2891" s="914"/>
      <c r="F2891" s="912"/>
      <c r="G2891" s="905" t="s">
        <v>374</v>
      </c>
      <c r="H2891" s="546" t="s">
        <v>375</v>
      </c>
      <c r="I2891" s="910" t="e">
        <f>VLOOKUP(H2885,'LƯƠNG KT'!$D$16:$AC$184,8,0)*$L$11</f>
        <v>#N/A</v>
      </c>
      <c r="J2891" s="609" t="e">
        <f>VLOOKUP(H2885,'LƯƠNG KT'!$D$16:$AC$184,13,0)-J2890</f>
        <v>#N/A</v>
      </c>
      <c r="K2891" s="935"/>
      <c r="L2891" s="935"/>
      <c r="M2891" s="935"/>
      <c r="N2891" s="935"/>
      <c r="O2891" s="935"/>
    </row>
    <row r="2892" spans="1:15" ht="15" customHeight="1">
      <c r="A2892" s="609" t="s">
        <v>377</v>
      </c>
      <c r="B2892" s="546" t="s">
        <v>378</v>
      </c>
      <c r="C2892" s="910"/>
      <c r="D2892" s="609"/>
      <c r="E2892" s="916"/>
      <c r="F2892" s="916"/>
      <c r="G2892" s="609" t="s">
        <v>377</v>
      </c>
      <c r="H2892" s="546" t="s">
        <v>378</v>
      </c>
      <c r="I2892" s="910"/>
      <c r="J2892" s="609"/>
    </row>
    <row r="2893" spans="1:15" ht="15" customHeight="1">
      <c r="A2893" s="547" t="s">
        <v>379</v>
      </c>
      <c r="B2893" s="546" t="s">
        <v>380</v>
      </c>
      <c r="C2893" s="910"/>
      <c r="D2893" s="609"/>
      <c r="E2893" s="914"/>
      <c r="F2893" s="916"/>
      <c r="G2893" s="547" t="s">
        <v>379</v>
      </c>
      <c r="H2893" s="546" t="s">
        <v>380</v>
      </c>
      <c r="I2893" s="910"/>
      <c r="J2893" s="609"/>
    </row>
    <row r="2894" spans="1:15" ht="15" customHeight="1">
      <c r="A2894" s="905" t="s">
        <v>381</v>
      </c>
      <c r="B2894" s="546" t="s">
        <v>382</v>
      </c>
      <c r="C2894" s="910"/>
      <c r="D2894" s="609">
        <f>D2893</f>
        <v>0</v>
      </c>
      <c r="E2894" s="917"/>
      <c r="F2894" s="904"/>
      <c r="G2894" s="905" t="s">
        <v>381</v>
      </c>
      <c r="H2894" s="546" t="s">
        <v>382</v>
      </c>
      <c r="I2894" s="910"/>
      <c r="J2894" s="609">
        <f>J2893</f>
        <v>0</v>
      </c>
    </row>
    <row r="2895" spans="1:15" ht="15" customHeight="1">
      <c r="A2895" s="918" t="s">
        <v>383</v>
      </c>
      <c r="B2895" s="919" t="s">
        <v>384</v>
      </c>
      <c r="C2895" s="920"/>
      <c r="D2895" s="921" t="e">
        <f>SUM(D2886:D2891)-D2894</f>
        <v>#N/A</v>
      </c>
      <c r="E2895" s="922"/>
      <c r="F2895" s="923"/>
      <c r="G2895" s="918" t="s">
        <v>383</v>
      </c>
      <c r="H2895" s="919" t="s">
        <v>384</v>
      </c>
      <c r="I2895" s="920"/>
      <c r="J2895" s="921" t="e">
        <f>SUM(J2886:J2891)-J2894</f>
        <v>#N/A</v>
      </c>
    </row>
    <row r="2896" spans="1:15" ht="18.75" customHeight="1">
      <c r="A2896" s="924"/>
      <c r="B2896" s="925"/>
      <c r="C2896" s="926"/>
      <c r="D2896" s="927"/>
      <c r="E2896" s="927"/>
      <c r="F2896" s="928"/>
      <c r="G2896" s="924"/>
      <c r="H2896" s="925"/>
      <c r="I2896" s="926"/>
      <c r="J2896" s="927"/>
    </row>
    <row r="2897" spans="1:15" ht="18.75" customHeight="1">
      <c r="A2897" s="925"/>
      <c r="B2897" s="925"/>
      <c r="C2897" s="929"/>
      <c r="D2897" s="930"/>
      <c r="E2897" s="925"/>
      <c r="F2897" s="931"/>
      <c r="G2897" s="925"/>
      <c r="H2897" s="925"/>
      <c r="I2897" s="929"/>
      <c r="J2897" s="930"/>
    </row>
    <row r="2898" spans="1:15" ht="15" customHeight="1">
      <c r="A2898" s="2360" t="str">
        <f>$K$2</f>
        <v>THÁNG 09/2024</v>
      </c>
      <c r="B2898" s="2360"/>
      <c r="C2898" s="2360"/>
      <c r="D2898" s="2360"/>
      <c r="E2898" s="903"/>
      <c r="F2898" s="904"/>
      <c r="G2898" s="2360" t="str">
        <f>$K$2</f>
        <v>THÁNG 09/2024</v>
      </c>
      <c r="H2898" s="2360"/>
      <c r="I2898" s="2360"/>
      <c r="J2898" s="2360"/>
      <c r="K2898" s="276"/>
    </row>
    <row r="2899" spans="1:15" ht="15" customHeight="1">
      <c r="A2899" s="905" t="s">
        <v>356</v>
      </c>
      <c r="B2899" s="642" t="s">
        <v>282</v>
      </c>
      <c r="C2899" s="546"/>
      <c r="D2899" s="902"/>
      <c r="E2899" s="906"/>
      <c r="F2899" s="907"/>
      <c r="G2899" s="905" t="s">
        <v>356</v>
      </c>
      <c r="H2899" s="642" t="s">
        <v>284</v>
      </c>
      <c r="I2899" s="546"/>
      <c r="J2899" s="902"/>
      <c r="L2899" s="938"/>
      <c r="M2899" s="938"/>
      <c r="N2899" s="938"/>
      <c r="O2899" s="938"/>
    </row>
    <row r="2900" spans="1:15" ht="15" customHeight="1">
      <c r="A2900" s="905" t="s">
        <v>359</v>
      </c>
      <c r="B2900" s="939" t="s">
        <v>360</v>
      </c>
      <c r="C2900" s="910" t="e">
        <f>VLOOKUP(B2899,'LƯƠNG KT'!$D$16:$AC$184,3,0)</f>
        <v>#N/A</v>
      </c>
      <c r="D2900" s="609" t="e">
        <f>+C2900*25000</f>
        <v>#N/A</v>
      </c>
      <c r="E2900" s="911"/>
      <c r="F2900" s="911"/>
      <c r="G2900" s="905" t="s">
        <v>359</v>
      </c>
      <c r="H2900" s="939" t="s">
        <v>360</v>
      </c>
      <c r="I2900" s="910" t="e">
        <f>VLOOKUP(H2899,'LƯƠNG KT'!$D$16:$AC$184,3,0)</f>
        <v>#N/A</v>
      </c>
      <c r="J2900" s="609" t="e">
        <f>+I2900*25000</f>
        <v>#N/A</v>
      </c>
      <c r="K2900" s="935"/>
      <c r="L2900" s="935"/>
      <c r="M2900" s="935"/>
      <c r="N2900" s="935"/>
      <c r="O2900" s="935"/>
    </row>
    <row r="2901" spans="1:15" ht="15" customHeight="1">
      <c r="A2901" s="905" t="s">
        <v>361</v>
      </c>
      <c r="B2901" s="546" t="s">
        <v>362</v>
      </c>
      <c r="C2901" s="910" t="e">
        <f>VLOOKUP(B2899,'LƯƠNG KT'!$D$16:$AC$184,14,0)</f>
        <v>#N/A</v>
      </c>
      <c r="D2901" s="609" t="e">
        <f>C2901*$L$4</f>
        <v>#N/A</v>
      </c>
      <c r="E2901" s="912"/>
      <c r="F2901" s="912"/>
      <c r="G2901" s="905" t="s">
        <v>361</v>
      </c>
      <c r="H2901" s="546" t="s">
        <v>362</v>
      </c>
      <c r="I2901" s="910" t="e">
        <f>VLOOKUP(H2899,'LƯƠNG KT'!$D$16:$AC$184,14,0)</f>
        <v>#N/A</v>
      </c>
      <c r="J2901" s="609" t="e">
        <f>I2901*$L$4</f>
        <v>#N/A</v>
      </c>
      <c r="K2901" s="935"/>
      <c r="L2901" s="935"/>
      <c r="M2901" s="935"/>
      <c r="N2901" s="935"/>
      <c r="O2901" s="935"/>
    </row>
    <row r="2902" spans="1:15" ht="15" customHeight="1">
      <c r="A2902" s="905" t="s">
        <v>364</v>
      </c>
      <c r="B2902" s="546" t="s">
        <v>365</v>
      </c>
      <c r="C2902" s="910" t="e">
        <f>VLOOKUP(B2899,'LƯƠNG KT'!$D$16:$AC$184,15,0)</f>
        <v>#N/A</v>
      </c>
      <c r="D2902" s="609" t="e">
        <f>C2902*$L$5</f>
        <v>#N/A</v>
      </c>
      <c r="E2902" s="912"/>
      <c r="F2902" s="912"/>
      <c r="G2902" s="905" t="s">
        <v>364</v>
      </c>
      <c r="H2902" s="546" t="s">
        <v>365</v>
      </c>
      <c r="I2902" s="910" t="e">
        <f>VLOOKUP(H2899,'LƯƠNG KT'!$D$16:$AC$184,15,0)</f>
        <v>#N/A</v>
      </c>
      <c r="J2902" s="609" t="e">
        <f>I2902*$L$5</f>
        <v>#N/A</v>
      </c>
      <c r="K2902" s="935"/>
      <c r="L2902" s="935"/>
      <c r="M2902" s="935"/>
      <c r="N2902" s="935"/>
      <c r="O2902" s="935"/>
    </row>
    <row r="2903" spans="1:15" ht="15" customHeight="1">
      <c r="A2903" s="905" t="s">
        <v>367</v>
      </c>
      <c r="B2903" s="546"/>
      <c r="C2903" s="910" t="e">
        <f>VLOOKUP(B2899,'LƯƠNG KT'!$D$16:$AC$184,16,0)</f>
        <v>#N/A</v>
      </c>
      <c r="D2903" s="609" t="e">
        <f>+C2903*$L$6</f>
        <v>#N/A</v>
      </c>
      <c r="E2903" s="912"/>
      <c r="F2903" s="912"/>
      <c r="G2903" s="905" t="s">
        <v>367</v>
      </c>
      <c r="H2903" s="546"/>
      <c r="I2903" s="910" t="e">
        <f>VLOOKUP(H2899,'LƯƠNG KT'!$D$16:$AC$184,16,0)</f>
        <v>#N/A</v>
      </c>
      <c r="J2903" s="609" t="e">
        <f>+I2903*$L$6</f>
        <v>#N/A</v>
      </c>
      <c r="K2903" s="935"/>
      <c r="L2903" s="935"/>
      <c r="M2903" s="935"/>
      <c r="N2903" s="935"/>
      <c r="O2903" s="935"/>
    </row>
    <row r="2904" spans="1:15" ht="15" customHeight="1">
      <c r="A2904" s="905" t="s">
        <v>371</v>
      </c>
      <c r="B2904" s="546" t="s">
        <v>372</v>
      </c>
      <c r="C2904" s="910" t="e">
        <f>VLOOKUP(B2899,'LƯƠNG KT'!$D$16:$AC$184,9,0)*$L$10</f>
        <v>#N/A</v>
      </c>
      <c r="D2904" s="609" t="e">
        <f>+C2904*0.5*3000</f>
        <v>#N/A</v>
      </c>
      <c r="E2904" s="912"/>
      <c r="F2904" s="912"/>
      <c r="G2904" s="905" t="s">
        <v>371</v>
      </c>
      <c r="H2904" s="546" t="s">
        <v>372</v>
      </c>
      <c r="I2904" s="910" t="e">
        <f>VLOOKUP(H2899,'LƯƠNG KT'!$D$16:$AC$184,9,0)*$L$10</f>
        <v>#N/A</v>
      </c>
      <c r="J2904" s="609" t="e">
        <f>+I2904*0.5*3000</f>
        <v>#N/A</v>
      </c>
      <c r="K2904" s="935"/>
      <c r="L2904" s="935"/>
      <c r="M2904" s="935"/>
      <c r="N2904" s="935"/>
      <c r="O2904" s="935"/>
    </row>
    <row r="2905" spans="1:15" ht="15" customHeight="1">
      <c r="A2905" s="905" t="s">
        <v>374</v>
      </c>
      <c r="B2905" s="546" t="s">
        <v>375</v>
      </c>
      <c r="C2905" s="910" t="e">
        <f>VLOOKUP(B2899,'LƯƠNG KT'!$D$16:$AC$184,8,0)*$L$11</f>
        <v>#N/A</v>
      </c>
      <c r="D2905" s="609" t="e">
        <f>VLOOKUP(B2899,'LƯƠNG KT'!$D$16:$AC$184,13,0)-D2904</f>
        <v>#N/A</v>
      </c>
      <c r="E2905" s="914"/>
      <c r="F2905" s="912"/>
      <c r="G2905" s="905" t="s">
        <v>374</v>
      </c>
      <c r="H2905" s="546" t="s">
        <v>375</v>
      </c>
      <c r="I2905" s="910" t="e">
        <f>VLOOKUP(H2899,'LƯƠNG KT'!$D$16:$AC$184,8,0)*$L$11</f>
        <v>#N/A</v>
      </c>
      <c r="J2905" s="609" t="e">
        <f>VLOOKUP(H2899,'LƯƠNG KT'!$D$16:$AC$184,13,0)-J2904</f>
        <v>#N/A</v>
      </c>
      <c r="K2905" s="935"/>
      <c r="L2905" s="935"/>
      <c r="M2905" s="935"/>
      <c r="N2905" s="935"/>
      <c r="O2905" s="935"/>
    </row>
    <row r="2906" spans="1:15" ht="15" customHeight="1">
      <c r="A2906" s="609" t="s">
        <v>377</v>
      </c>
      <c r="B2906" s="546" t="s">
        <v>378</v>
      </c>
      <c r="C2906" s="910"/>
      <c r="D2906" s="609"/>
      <c r="E2906" s="916"/>
      <c r="F2906" s="916"/>
      <c r="G2906" s="609" t="s">
        <v>377</v>
      </c>
      <c r="H2906" s="546" t="s">
        <v>378</v>
      </c>
      <c r="I2906" s="910"/>
      <c r="J2906" s="609"/>
    </row>
    <row r="2907" spans="1:15" ht="15" customHeight="1">
      <c r="A2907" s="547" t="s">
        <v>379</v>
      </c>
      <c r="B2907" s="546" t="s">
        <v>380</v>
      </c>
      <c r="C2907" s="910"/>
      <c r="D2907" s="609"/>
      <c r="E2907" s="914"/>
      <c r="F2907" s="916"/>
      <c r="G2907" s="547" t="s">
        <v>379</v>
      </c>
      <c r="H2907" s="546" t="s">
        <v>380</v>
      </c>
      <c r="I2907" s="910"/>
      <c r="J2907" s="609"/>
    </row>
    <row r="2908" spans="1:15" ht="15" customHeight="1">
      <c r="A2908" s="905" t="s">
        <v>381</v>
      </c>
      <c r="B2908" s="546" t="s">
        <v>382</v>
      </c>
      <c r="C2908" s="910"/>
      <c r="D2908" s="609">
        <f>D2907</f>
        <v>0</v>
      </c>
      <c r="E2908" s="917"/>
      <c r="F2908" s="904"/>
      <c r="G2908" s="905" t="s">
        <v>381</v>
      </c>
      <c r="H2908" s="546" t="s">
        <v>382</v>
      </c>
      <c r="I2908" s="910"/>
      <c r="J2908" s="609">
        <f>J2907</f>
        <v>0</v>
      </c>
    </row>
    <row r="2909" spans="1:15" ht="15" customHeight="1">
      <c r="A2909" s="918" t="s">
        <v>383</v>
      </c>
      <c r="B2909" s="919" t="s">
        <v>384</v>
      </c>
      <c r="C2909" s="920"/>
      <c r="D2909" s="921" t="e">
        <f>SUM(D2900:D2905)-D2908</f>
        <v>#N/A</v>
      </c>
      <c r="E2909" s="922"/>
      <c r="F2909" s="923"/>
      <c r="G2909" s="918" t="s">
        <v>383</v>
      </c>
      <c r="H2909" s="919" t="s">
        <v>384</v>
      </c>
      <c r="I2909" s="920"/>
      <c r="J2909" s="921" t="e">
        <f>SUM(J2900:J2905)-J2908</f>
        <v>#N/A</v>
      </c>
    </row>
    <row r="2910" spans="1:15" ht="18.75" customHeight="1">
      <c r="A2910" s="924"/>
      <c r="B2910" s="925"/>
      <c r="C2910" s="926"/>
      <c r="D2910" s="927"/>
      <c r="E2910" s="927"/>
      <c r="F2910" s="928"/>
      <c r="G2910" s="924"/>
      <c r="H2910" s="925"/>
      <c r="I2910" s="926"/>
      <c r="J2910" s="927"/>
    </row>
    <row r="2911" spans="1:15" ht="18.75" customHeight="1">
      <c r="A2911" s="925"/>
      <c r="B2911" s="925"/>
      <c r="C2911" s="929"/>
      <c r="D2911" s="930"/>
      <c r="E2911" s="925"/>
      <c r="F2911" s="931"/>
      <c r="G2911" s="925"/>
      <c r="H2911" s="925"/>
      <c r="I2911" s="929"/>
      <c r="J2911" s="930"/>
    </row>
    <row r="2912" spans="1:15" ht="15" customHeight="1">
      <c r="A2912" s="2360" t="str">
        <f>$K$2</f>
        <v>THÁNG 09/2024</v>
      </c>
      <c r="B2912" s="2360"/>
      <c r="C2912" s="2360"/>
      <c r="D2912" s="2360"/>
      <c r="E2912" s="903"/>
      <c r="F2912" s="904"/>
      <c r="G2912" s="2360" t="str">
        <f>$K$2</f>
        <v>THÁNG 09/2024</v>
      </c>
      <c r="H2912" s="2360"/>
      <c r="I2912" s="2360"/>
      <c r="J2912" s="2360"/>
      <c r="K2912" s="276"/>
    </row>
    <row r="2913" spans="1:15" ht="15" customHeight="1">
      <c r="A2913" s="905" t="s">
        <v>356</v>
      </c>
      <c r="B2913" s="642" t="s">
        <v>279</v>
      </c>
      <c r="C2913" s="546"/>
      <c r="D2913" s="902"/>
      <c r="E2913" s="906"/>
      <c r="F2913" s="907"/>
      <c r="G2913" s="905" t="s">
        <v>356</v>
      </c>
      <c r="H2913" s="642" t="s">
        <v>513</v>
      </c>
      <c r="I2913" s="546"/>
      <c r="J2913" s="902"/>
      <c r="L2913" s="938"/>
      <c r="M2913" s="938"/>
      <c r="N2913" s="938"/>
      <c r="O2913" s="938"/>
    </row>
    <row r="2914" spans="1:15" ht="15" customHeight="1">
      <c r="A2914" s="905" t="s">
        <v>359</v>
      </c>
      <c r="B2914" s="939" t="s">
        <v>360</v>
      </c>
      <c r="C2914" s="910" t="e">
        <f>VLOOKUP(B2913,'LƯƠNG KT'!$D$16:$AC$184,3,0)</f>
        <v>#N/A</v>
      </c>
      <c r="D2914" s="609" t="e">
        <f>+C2914*25000</f>
        <v>#N/A</v>
      </c>
      <c r="E2914" s="911"/>
      <c r="F2914" s="911"/>
      <c r="G2914" s="905" t="s">
        <v>359</v>
      </c>
      <c r="H2914" s="939" t="s">
        <v>360</v>
      </c>
      <c r="I2914" s="910" t="e">
        <f>VLOOKUP(H2913,'LƯƠNG KT'!$D$16:$AC$184,3,0)</f>
        <v>#N/A</v>
      </c>
      <c r="J2914" s="609" t="e">
        <f>+I2914*25000</f>
        <v>#N/A</v>
      </c>
      <c r="K2914" s="935"/>
      <c r="L2914" s="935"/>
      <c r="M2914" s="935"/>
      <c r="N2914" s="935"/>
      <c r="O2914" s="935"/>
    </row>
    <row r="2915" spans="1:15" ht="15" customHeight="1">
      <c r="A2915" s="905" t="s">
        <v>361</v>
      </c>
      <c r="B2915" s="546" t="s">
        <v>362</v>
      </c>
      <c r="C2915" s="910" t="e">
        <f>VLOOKUP(B2913,'LƯƠNG KT'!$D$16:$AC$184,14,0)</f>
        <v>#N/A</v>
      </c>
      <c r="D2915" s="609" t="e">
        <f>C2915*$L$4</f>
        <v>#N/A</v>
      </c>
      <c r="E2915" s="912"/>
      <c r="F2915" s="912"/>
      <c r="G2915" s="905" t="s">
        <v>361</v>
      </c>
      <c r="H2915" s="546" t="s">
        <v>362</v>
      </c>
      <c r="I2915" s="910" t="e">
        <f>VLOOKUP(H2913,'LƯƠNG KT'!$D$16:$AC$184,14,0)</f>
        <v>#N/A</v>
      </c>
      <c r="J2915" s="609" t="e">
        <f>I2915*$L$4</f>
        <v>#N/A</v>
      </c>
      <c r="K2915" s="935"/>
      <c r="L2915" s="935"/>
      <c r="M2915" s="935"/>
      <c r="N2915" s="935"/>
      <c r="O2915" s="935"/>
    </row>
    <row r="2916" spans="1:15" ht="15" customHeight="1">
      <c r="A2916" s="905" t="s">
        <v>364</v>
      </c>
      <c r="B2916" s="546" t="s">
        <v>365</v>
      </c>
      <c r="C2916" s="910" t="e">
        <f>VLOOKUP(B2913,'LƯƠNG KT'!$D$16:$AC$184,15,0)</f>
        <v>#N/A</v>
      </c>
      <c r="D2916" s="609" t="e">
        <f>C2916*$L$5</f>
        <v>#N/A</v>
      </c>
      <c r="E2916" s="912"/>
      <c r="F2916" s="912"/>
      <c r="G2916" s="905" t="s">
        <v>364</v>
      </c>
      <c r="H2916" s="546" t="s">
        <v>365</v>
      </c>
      <c r="I2916" s="910" t="e">
        <f>VLOOKUP(H2913,'LƯƠNG KT'!$D$16:$AC$184,15,0)</f>
        <v>#N/A</v>
      </c>
      <c r="J2916" s="609" t="e">
        <f>I2916*$L$5</f>
        <v>#N/A</v>
      </c>
      <c r="K2916" s="935"/>
      <c r="L2916" s="935"/>
      <c r="M2916" s="935"/>
      <c r="N2916" s="935"/>
      <c r="O2916" s="935"/>
    </row>
    <row r="2917" spans="1:15" ht="15" customHeight="1">
      <c r="A2917" s="905" t="s">
        <v>367</v>
      </c>
      <c r="B2917" s="546"/>
      <c r="C2917" s="910" t="e">
        <f>VLOOKUP(B2913,'LƯƠNG KT'!$D$16:$AC$184,16,0)</f>
        <v>#N/A</v>
      </c>
      <c r="D2917" s="609" t="e">
        <f>+C2917*$L$6</f>
        <v>#N/A</v>
      </c>
      <c r="E2917" s="912"/>
      <c r="F2917" s="912"/>
      <c r="G2917" s="905" t="s">
        <v>367</v>
      </c>
      <c r="H2917" s="546"/>
      <c r="I2917" s="910" t="e">
        <f>VLOOKUP(H2913,'LƯƠNG KT'!$D$16:$AC$184,16,0)</f>
        <v>#N/A</v>
      </c>
      <c r="J2917" s="609" t="e">
        <f>+I2917*$L$6</f>
        <v>#N/A</v>
      </c>
      <c r="K2917" s="935"/>
      <c r="L2917" s="935"/>
      <c r="M2917" s="935"/>
      <c r="N2917" s="935"/>
      <c r="O2917" s="935"/>
    </row>
    <row r="2918" spans="1:15" ht="15" customHeight="1">
      <c r="A2918" s="905" t="s">
        <v>371</v>
      </c>
      <c r="B2918" s="546" t="s">
        <v>372</v>
      </c>
      <c r="C2918" s="910" t="e">
        <f>VLOOKUP(B2913,'LƯƠNG KT'!$D$16:$AC$184,9,0)*$L$10</f>
        <v>#N/A</v>
      </c>
      <c r="D2918" s="609" t="e">
        <f>+C2918*0.5*3000</f>
        <v>#N/A</v>
      </c>
      <c r="E2918" s="912"/>
      <c r="F2918" s="912"/>
      <c r="G2918" s="905" t="s">
        <v>371</v>
      </c>
      <c r="H2918" s="546" t="s">
        <v>372</v>
      </c>
      <c r="I2918" s="910" t="e">
        <f>VLOOKUP(H2913,'LƯƠNG KT'!$D$16:$AC$184,9,0)*$L$10</f>
        <v>#N/A</v>
      </c>
      <c r="J2918" s="609" t="e">
        <f>+I2918*0.5*3000</f>
        <v>#N/A</v>
      </c>
      <c r="K2918" s="935"/>
      <c r="L2918" s="935"/>
      <c r="M2918" s="935"/>
      <c r="N2918" s="935"/>
      <c r="O2918" s="935"/>
    </row>
    <row r="2919" spans="1:15" ht="15" customHeight="1">
      <c r="A2919" s="905" t="s">
        <v>374</v>
      </c>
      <c r="B2919" s="546" t="s">
        <v>375</v>
      </c>
      <c r="C2919" s="910" t="e">
        <f>VLOOKUP(B2913,'LƯƠNG KT'!$D$16:$AC$184,8,0)*$L$11</f>
        <v>#N/A</v>
      </c>
      <c r="D2919" s="609" t="e">
        <f>VLOOKUP(B2913,'LƯƠNG KT'!$D$16:$AC$184,13,0)-D2918</f>
        <v>#N/A</v>
      </c>
      <c r="E2919" s="914"/>
      <c r="F2919" s="912"/>
      <c r="G2919" s="905" t="s">
        <v>374</v>
      </c>
      <c r="H2919" s="546" t="s">
        <v>375</v>
      </c>
      <c r="I2919" s="910" t="e">
        <f>VLOOKUP(H2913,'LƯƠNG KT'!$D$16:$AC$184,8,0)*$L$11</f>
        <v>#N/A</v>
      </c>
      <c r="J2919" s="609" t="e">
        <f>VLOOKUP(H2913,'LƯƠNG KT'!$D$16:$AC$184,13,0)-J2918</f>
        <v>#N/A</v>
      </c>
      <c r="K2919" s="940" t="s">
        <v>509</v>
      </c>
      <c r="L2919" s="940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0"/>
      <c r="N2919" s="940"/>
      <c r="O2919" s="940"/>
    </row>
    <row r="2920" spans="1:15" ht="15" customHeight="1">
      <c r="A2920" s="609" t="s">
        <v>377</v>
      </c>
      <c r="B2920" s="546" t="s">
        <v>378</v>
      </c>
      <c r="C2920" s="910"/>
      <c r="D2920" s="609"/>
      <c r="E2920" s="916"/>
      <c r="F2920" s="916"/>
      <c r="G2920" s="609" t="s">
        <v>377</v>
      </c>
      <c r="H2920" s="546" t="s">
        <v>378</v>
      </c>
      <c r="I2920" s="910"/>
      <c r="J2920" s="609"/>
    </row>
    <row r="2921" spans="1:15" ht="15" customHeight="1">
      <c r="A2921" s="547" t="s">
        <v>379</v>
      </c>
      <c r="B2921" s="546" t="s">
        <v>380</v>
      </c>
      <c r="C2921" s="910"/>
      <c r="D2921" s="609"/>
      <c r="E2921" s="914"/>
      <c r="F2921" s="916"/>
      <c r="G2921" s="547" t="s">
        <v>379</v>
      </c>
      <c r="H2921" s="546" t="s">
        <v>380</v>
      </c>
      <c r="I2921" s="910"/>
      <c r="J2921" s="609"/>
    </row>
    <row r="2922" spans="1:15" ht="15" customHeight="1">
      <c r="A2922" s="905" t="s">
        <v>381</v>
      </c>
      <c r="B2922" s="546" t="s">
        <v>382</v>
      </c>
      <c r="C2922" s="910"/>
      <c r="D2922" s="609">
        <f>D2921</f>
        <v>0</v>
      </c>
      <c r="E2922" s="917"/>
      <c r="F2922" s="904"/>
      <c r="G2922" s="905" t="s">
        <v>381</v>
      </c>
      <c r="H2922" s="546" t="s">
        <v>382</v>
      </c>
      <c r="I2922" s="910"/>
      <c r="J2922" s="609"/>
    </row>
    <row r="2923" spans="1:15" ht="15" customHeight="1">
      <c r="A2923" s="918" t="s">
        <v>383</v>
      </c>
      <c r="B2923" s="919" t="s">
        <v>384</v>
      </c>
      <c r="C2923" s="920"/>
      <c r="D2923" s="921" t="e">
        <f>SUM(D2914:D2919)-D2922</f>
        <v>#N/A</v>
      </c>
      <c r="E2923" s="922"/>
      <c r="F2923" s="923"/>
      <c r="G2923" s="918" t="s">
        <v>383</v>
      </c>
      <c r="H2923" s="919" t="s">
        <v>384</v>
      </c>
      <c r="I2923" s="920"/>
      <c r="J2923" s="921"/>
    </row>
    <row r="2924" spans="1:15" ht="15.75" customHeight="1">
      <c r="A2924" s="924"/>
      <c r="B2924" s="925"/>
      <c r="C2924" s="926"/>
      <c r="D2924" s="927"/>
      <c r="E2924" s="927"/>
      <c r="F2924" s="928"/>
      <c r="G2924" s="924"/>
      <c r="H2924" s="925"/>
      <c r="I2924" s="926"/>
      <c r="J2924" s="927"/>
    </row>
    <row r="2926" spans="1:15" ht="12" customHeight="1">
      <c r="A2926" s="2362" t="s">
        <v>514</v>
      </c>
      <c r="B2926" s="2362"/>
      <c r="C2926" s="2362"/>
      <c r="D2926" s="2362"/>
      <c r="E2926" s="2362"/>
      <c r="F2926" s="2362"/>
      <c r="G2926" s="2362"/>
      <c r="H2926" s="2362"/>
      <c r="I2926" s="2362"/>
      <c r="J2926" s="2362"/>
    </row>
    <row r="2927" spans="1:15" ht="15" customHeight="1">
      <c r="A2927" s="2360" t="str">
        <f>$K$2</f>
        <v>THÁNG 09/2024</v>
      </c>
      <c r="B2927" s="2360"/>
      <c r="C2927" s="2360"/>
      <c r="D2927" s="2360"/>
      <c r="E2927" s="903"/>
      <c r="F2927" s="904"/>
      <c r="G2927" s="2360" t="str">
        <f>$K$2</f>
        <v>THÁNG 09/2024</v>
      </c>
      <c r="H2927" s="2360"/>
      <c r="I2927" s="2360"/>
      <c r="J2927" s="2360"/>
      <c r="K2927" s="276"/>
    </row>
    <row r="2928" spans="1:15" ht="15" customHeight="1">
      <c r="A2928" s="905" t="s">
        <v>356</v>
      </c>
      <c r="B2928" s="642" t="s">
        <v>308</v>
      </c>
      <c r="C2928" s="546"/>
      <c r="D2928" s="902"/>
      <c r="E2928" s="906"/>
      <c r="F2928" s="907"/>
      <c r="G2928" s="905" t="s">
        <v>356</v>
      </c>
      <c r="H2928" s="642" t="s">
        <v>309</v>
      </c>
      <c r="I2928" s="546"/>
      <c r="J2928" s="902"/>
      <c r="L2928" s="938"/>
      <c r="M2928" s="938"/>
      <c r="N2928" s="938"/>
      <c r="O2928" s="938"/>
    </row>
    <row r="2929" spans="1:15" ht="15" customHeight="1">
      <c r="A2929" s="905" t="s">
        <v>359</v>
      </c>
      <c r="B2929" s="939" t="s">
        <v>360</v>
      </c>
      <c r="C2929" s="910" t="e">
        <f>VLOOKUP(B2928,'LƯƠNG KT'!$D$16:$AC$184,3,0)</f>
        <v>#N/A</v>
      </c>
      <c r="D2929" s="609" t="e">
        <f>+C2929*25000</f>
        <v>#N/A</v>
      </c>
      <c r="E2929" s="911"/>
      <c r="F2929" s="911"/>
      <c r="G2929" s="905" t="s">
        <v>359</v>
      </c>
      <c r="H2929" s="939" t="s">
        <v>360</v>
      </c>
      <c r="I2929" s="910" t="e">
        <f>VLOOKUP(H2928,'LƯƠNG KT'!$D$16:$AC$184,3,0)</f>
        <v>#N/A</v>
      </c>
      <c r="J2929" s="609" t="e">
        <f>+I2929*25000</f>
        <v>#N/A</v>
      </c>
      <c r="K2929" s="934"/>
      <c r="L2929" s="935"/>
      <c r="M2929" s="935"/>
      <c r="N2929" s="935"/>
      <c r="O2929" s="935"/>
    </row>
    <row r="2930" spans="1:15" ht="15" customHeight="1">
      <c r="A2930" s="905" t="s">
        <v>361</v>
      </c>
      <c r="B2930" s="546" t="s">
        <v>362</v>
      </c>
      <c r="C2930" s="910" t="e">
        <f>VLOOKUP(B2928,'LƯƠNG KT'!$D$16:$AC$184,14,0)</f>
        <v>#N/A</v>
      </c>
      <c r="D2930" s="609" t="e">
        <f>C2930*$L$4</f>
        <v>#N/A</v>
      </c>
      <c r="E2930" s="912"/>
      <c r="F2930" s="912"/>
      <c r="G2930" s="905" t="s">
        <v>361</v>
      </c>
      <c r="H2930" s="546" t="s">
        <v>362</v>
      </c>
      <c r="I2930" s="910" t="e">
        <f>VLOOKUP(H2928,'LƯƠNG KT'!$D$16:$AC$184,14,0)</f>
        <v>#N/A</v>
      </c>
      <c r="J2930" s="609" t="e">
        <f>I2930*$L$4</f>
        <v>#N/A</v>
      </c>
      <c r="K2930" s="934"/>
      <c r="L2930" s="935"/>
      <c r="M2930" s="935"/>
      <c r="N2930" s="935"/>
      <c r="O2930" s="935"/>
    </row>
    <row r="2931" spans="1:15" ht="15" customHeight="1">
      <c r="A2931" s="905" t="s">
        <v>364</v>
      </c>
      <c r="B2931" s="546" t="s">
        <v>365</v>
      </c>
      <c r="C2931" s="910" t="e">
        <f>VLOOKUP(B2928,'LƯƠNG KT'!$D$16:$AC$184,15,0)</f>
        <v>#N/A</v>
      </c>
      <c r="D2931" s="609" t="e">
        <f>C2931*$L$5</f>
        <v>#N/A</v>
      </c>
      <c r="E2931" s="912"/>
      <c r="F2931" s="912"/>
      <c r="G2931" s="905" t="s">
        <v>364</v>
      </c>
      <c r="H2931" s="546" t="s">
        <v>365</v>
      </c>
      <c r="I2931" s="910" t="e">
        <f>VLOOKUP(H2928,'LƯƠNG KT'!$D$16:$AC$184,15,0)</f>
        <v>#N/A</v>
      </c>
      <c r="J2931" s="609" t="e">
        <f>I2931*$L$5</f>
        <v>#N/A</v>
      </c>
      <c r="K2931" s="934"/>
      <c r="L2931" s="935"/>
      <c r="M2931" s="935"/>
      <c r="N2931" s="935"/>
      <c r="O2931" s="935"/>
    </row>
    <row r="2932" spans="1:15" ht="15" customHeight="1">
      <c r="A2932" s="905" t="s">
        <v>367</v>
      </c>
      <c r="B2932" s="546"/>
      <c r="C2932" s="910" t="e">
        <f>VLOOKUP(B2928,'LƯƠNG KT'!$D$16:$AC$184,16,0)</f>
        <v>#N/A</v>
      </c>
      <c r="D2932" s="609" t="e">
        <f>+C2932*$L$6</f>
        <v>#N/A</v>
      </c>
      <c r="E2932" s="912"/>
      <c r="F2932" s="912"/>
      <c r="G2932" s="905" t="s">
        <v>367</v>
      </c>
      <c r="H2932" s="546"/>
      <c r="I2932" s="910" t="e">
        <f>VLOOKUP(H2928,'LƯƠNG KT'!$D$16:$AC$184,16,0)</f>
        <v>#N/A</v>
      </c>
      <c r="J2932" s="609" t="e">
        <f>+I2932*$L$6</f>
        <v>#N/A</v>
      </c>
      <c r="K2932" s="935"/>
      <c r="L2932" s="935"/>
      <c r="M2932" s="935"/>
      <c r="N2932" s="935"/>
      <c r="O2932" s="935"/>
    </row>
    <row r="2933" spans="1:15" ht="15" customHeight="1">
      <c r="A2933" s="905" t="s">
        <v>515</v>
      </c>
      <c r="B2933" s="546"/>
      <c r="C2933" s="910" t="e">
        <f>VLOOKUP(B2928,'LƯƠNG KT'!$D$16:$AC$184,17,0)</f>
        <v>#N/A</v>
      </c>
      <c r="D2933" s="609" t="e">
        <f>+C2933*$L$7</f>
        <v>#N/A</v>
      </c>
      <c r="E2933" s="912"/>
      <c r="F2933" s="912"/>
      <c r="G2933" s="905" t="s">
        <v>515</v>
      </c>
      <c r="H2933" s="546"/>
      <c r="I2933" s="910" t="e">
        <f>VLOOKUP(H2928,'LƯƠNG KT'!$D$16:$AC$184,17,0)</f>
        <v>#N/A</v>
      </c>
      <c r="J2933" s="609" t="e">
        <f>+I2933*$L$7</f>
        <v>#N/A</v>
      </c>
      <c r="K2933" s="935"/>
      <c r="L2933" s="935"/>
      <c r="M2933" s="935"/>
      <c r="N2933" s="935"/>
      <c r="O2933" s="935"/>
    </row>
    <row r="2934" spans="1:15" ht="15" customHeight="1">
      <c r="A2934" s="905" t="s">
        <v>371</v>
      </c>
      <c r="B2934" s="546" t="s">
        <v>372</v>
      </c>
      <c r="C2934" s="910" t="e">
        <f>VLOOKUP(B2928,'LƯƠNG KT'!$D$16:$AC$184,9,0)*$L$10</f>
        <v>#N/A</v>
      </c>
      <c r="D2934" s="609" t="e">
        <f>+C2934*0.5*3000</f>
        <v>#N/A</v>
      </c>
      <c r="E2934" s="912"/>
      <c r="F2934" s="912"/>
      <c r="G2934" s="905" t="s">
        <v>371</v>
      </c>
      <c r="H2934" s="546" t="s">
        <v>372</v>
      </c>
      <c r="I2934" s="910" t="e">
        <f>VLOOKUP(H2928,'LƯƠNG KT'!$D$16:$AC$184,9,0)*$L$10</f>
        <v>#N/A</v>
      </c>
      <c r="J2934" s="609" t="e">
        <f>+I2934*0.5*3000</f>
        <v>#N/A</v>
      </c>
      <c r="K2934" s="935"/>
      <c r="L2934" s="935"/>
      <c r="M2934" s="935"/>
      <c r="N2934" s="935"/>
      <c r="O2934" s="935"/>
    </row>
    <row r="2935" spans="1:15" ht="15" customHeight="1">
      <c r="A2935" s="905" t="s">
        <v>374</v>
      </c>
      <c r="B2935" s="546" t="s">
        <v>375</v>
      </c>
      <c r="C2935" s="910" t="e">
        <f>VLOOKUP(B2928,'LƯƠNG KT'!$D$16:$AC$184,8,0)*$L$11</f>
        <v>#N/A</v>
      </c>
      <c r="D2935" s="609" t="e">
        <f>VLOOKUP(B2928,'LƯƠNG KT'!$D$16:$AC$184,13,0)-D2934</f>
        <v>#N/A</v>
      </c>
      <c r="E2935" s="914"/>
      <c r="F2935" s="912"/>
      <c r="G2935" s="905" t="s">
        <v>374</v>
      </c>
      <c r="H2935" s="546" t="s">
        <v>375</v>
      </c>
      <c r="I2935" s="910" t="e">
        <f>VLOOKUP(H2928,'LƯƠNG KT'!$D$16:$AC$184,8,0)*$L$11</f>
        <v>#N/A</v>
      </c>
      <c r="J2935" s="609" t="e">
        <f>VLOOKUP(H2928,'LƯƠNG KT'!$D$16:$AC$184,13,0)-J2934</f>
        <v>#N/A</v>
      </c>
      <c r="K2935" s="935"/>
      <c r="L2935" s="935"/>
      <c r="M2935" s="935"/>
      <c r="N2935" s="935"/>
      <c r="O2935" s="935"/>
    </row>
    <row r="2936" spans="1:15" ht="15" customHeight="1">
      <c r="A2936" s="609" t="s">
        <v>377</v>
      </c>
      <c r="B2936" s="546" t="s">
        <v>378</v>
      </c>
      <c r="C2936" s="910"/>
      <c r="D2936" s="609"/>
      <c r="E2936" s="916"/>
      <c r="F2936" s="916"/>
      <c r="G2936" s="609" t="s">
        <v>377</v>
      </c>
      <c r="H2936" s="546" t="s">
        <v>378</v>
      </c>
      <c r="I2936" s="910"/>
      <c r="J2936" s="609"/>
    </row>
    <row r="2937" spans="1:15" ht="15" customHeight="1">
      <c r="A2937" s="547" t="s">
        <v>379</v>
      </c>
      <c r="B2937" s="546" t="s">
        <v>380</v>
      </c>
      <c r="C2937" s="910"/>
      <c r="D2937" s="609"/>
      <c r="E2937" s="914"/>
      <c r="F2937" s="916"/>
      <c r="G2937" s="547" t="s">
        <v>379</v>
      </c>
      <c r="H2937" s="546" t="s">
        <v>380</v>
      </c>
      <c r="I2937" s="910"/>
      <c r="J2937" s="609"/>
    </row>
    <row r="2938" spans="1:15" ht="15" customHeight="1">
      <c r="A2938" s="905" t="s">
        <v>381</v>
      </c>
      <c r="B2938" s="546" t="s">
        <v>382</v>
      </c>
      <c r="C2938" s="910"/>
      <c r="D2938" s="609">
        <f>D2937</f>
        <v>0</v>
      </c>
      <c r="E2938" s="917"/>
      <c r="F2938" s="904"/>
      <c r="G2938" s="905" t="s">
        <v>381</v>
      </c>
      <c r="H2938" s="546" t="s">
        <v>382</v>
      </c>
      <c r="I2938" s="910"/>
      <c r="J2938" s="609">
        <f>J2937</f>
        <v>0</v>
      </c>
    </row>
    <row r="2939" spans="1:15" ht="15" customHeight="1">
      <c r="A2939" s="918" t="s">
        <v>383</v>
      </c>
      <c r="B2939" s="919" t="s">
        <v>384</v>
      </c>
      <c r="C2939" s="920"/>
      <c r="D2939" s="921" t="e">
        <f>SUM(D2929:D2935)-D2938</f>
        <v>#N/A</v>
      </c>
      <c r="E2939" s="922"/>
      <c r="F2939" s="923"/>
      <c r="G2939" s="918" t="s">
        <v>383</v>
      </c>
      <c r="H2939" s="919" t="s">
        <v>384</v>
      </c>
      <c r="I2939" s="920"/>
      <c r="J2939" s="921" t="e">
        <f>SUM(J2929:J2935)-J2938</f>
        <v>#N/A</v>
      </c>
    </row>
    <row r="2940" spans="1:15" ht="12.6" customHeight="1">
      <c r="A2940" s="924"/>
      <c r="B2940" s="925"/>
      <c r="C2940" s="926"/>
      <c r="D2940" s="927"/>
      <c r="E2940" s="927"/>
      <c r="F2940" s="928"/>
      <c r="G2940" s="924"/>
      <c r="H2940" s="925"/>
      <c r="I2940" s="926"/>
      <c r="J2940" s="927"/>
    </row>
    <row r="2941" spans="1:15" ht="12.6" customHeight="1">
      <c r="A2941" s="925"/>
      <c r="B2941" s="925"/>
      <c r="C2941" s="929"/>
      <c r="D2941" s="930"/>
      <c r="E2941" s="925"/>
      <c r="F2941" s="931"/>
      <c r="G2941" s="925"/>
      <c r="H2941" s="925"/>
      <c r="I2941" s="929"/>
      <c r="J2941" s="930"/>
    </row>
    <row r="2942" spans="1:15" ht="15" customHeight="1">
      <c r="A2942" s="2360" t="str">
        <f>$K$2</f>
        <v>THÁNG 09/2024</v>
      </c>
      <c r="B2942" s="2360"/>
      <c r="C2942" s="2360"/>
      <c r="D2942" s="2360"/>
      <c r="E2942" s="903"/>
      <c r="F2942" s="904"/>
      <c r="G2942" s="2360" t="str">
        <f>$K$2</f>
        <v>THÁNG 09/2024</v>
      </c>
      <c r="H2942" s="2360"/>
      <c r="I2942" s="2360"/>
      <c r="J2942" s="2360"/>
      <c r="K2942" s="276"/>
    </row>
    <row r="2943" spans="1:15" ht="15" customHeight="1">
      <c r="A2943" s="905" t="s">
        <v>356</v>
      </c>
      <c r="B2943" s="642" t="s">
        <v>310</v>
      </c>
      <c r="C2943" s="546"/>
      <c r="D2943" s="902"/>
      <c r="E2943" s="906"/>
      <c r="F2943" s="907"/>
      <c r="G2943" s="905" t="s">
        <v>356</v>
      </c>
      <c r="H2943" s="642" t="s">
        <v>311</v>
      </c>
      <c r="I2943" s="546"/>
      <c r="J2943" s="902"/>
      <c r="L2943" s="938"/>
      <c r="M2943" s="938"/>
      <c r="N2943" s="938"/>
      <c r="O2943" s="938"/>
    </row>
    <row r="2944" spans="1:15" ht="15" customHeight="1">
      <c r="A2944" s="905" t="s">
        <v>359</v>
      </c>
      <c r="B2944" s="939" t="s">
        <v>360</v>
      </c>
      <c r="C2944" s="910" t="e">
        <f>VLOOKUP(B2943,'LƯƠNG KT'!$D$16:$AC$184,3,0)</f>
        <v>#N/A</v>
      </c>
      <c r="D2944" s="609" t="e">
        <f>+C2944*25000</f>
        <v>#N/A</v>
      </c>
      <c r="E2944" s="911"/>
      <c r="F2944" s="911"/>
      <c r="G2944" s="905" t="s">
        <v>359</v>
      </c>
      <c r="H2944" s="939" t="s">
        <v>360</v>
      </c>
      <c r="I2944" s="910" t="e">
        <f>VLOOKUP(H2943,'LƯƠNG KT'!$D$16:$AC$184,3,0)</f>
        <v>#N/A</v>
      </c>
      <c r="J2944" s="609" t="e">
        <f>+I2944*25000</f>
        <v>#N/A</v>
      </c>
      <c r="K2944" s="935"/>
      <c r="L2944" s="935"/>
      <c r="M2944" s="935"/>
      <c r="N2944" s="935"/>
      <c r="O2944" s="935"/>
    </row>
    <row r="2945" spans="1:15" ht="15" customHeight="1">
      <c r="A2945" s="905" t="s">
        <v>361</v>
      </c>
      <c r="B2945" s="546" t="s">
        <v>362</v>
      </c>
      <c r="C2945" s="910" t="e">
        <f>VLOOKUP(B2943,'LƯƠNG KT'!$D$16:$AC$184,14,0)</f>
        <v>#N/A</v>
      </c>
      <c r="D2945" s="609" t="e">
        <f>C2945*$L$4</f>
        <v>#N/A</v>
      </c>
      <c r="E2945" s="912"/>
      <c r="F2945" s="912"/>
      <c r="G2945" s="905" t="s">
        <v>361</v>
      </c>
      <c r="H2945" s="546" t="s">
        <v>362</v>
      </c>
      <c r="I2945" s="910" t="e">
        <f>VLOOKUP(H2943,'LƯƠNG KT'!$D$16:$AC$184,14,0)</f>
        <v>#N/A</v>
      </c>
      <c r="J2945" s="609" t="e">
        <f>I2945*$L$4</f>
        <v>#N/A</v>
      </c>
      <c r="K2945" s="935"/>
      <c r="L2945" s="935"/>
      <c r="M2945" s="935"/>
      <c r="N2945" s="935"/>
      <c r="O2945" s="935"/>
    </row>
    <row r="2946" spans="1:15" ht="15" customHeight="1">
      <c r="A2946" s="905" t="s">
        <v>364</v>
      </c>
      <c r="B2946" s="546" t="s">
        <v>365</v>
      </c>
      <c r="C2946" s="910" t="e">
        <f>VLOOKUP(B2943,'LƯƠNG KT'!$D$16:$AC$184,15,0)</f>
        <v>#N/A</v>
      </c>
      <c r="D2946" s="609" t="e">
        <f>C2946*$L$5</f>
        <v>#N/A</v>
      </c>
      <c r="E2946" s="912"/>
      <c r="F2946" s="912"/>
      <c r="G2946" s="905" t="s">
        <v>364</v>
      </c>
      <c r="H2946" s="546" t="s">
        <v>365</v>
      </c>
      <c r="I2946" s="910" t="e">
        <f>VLOOKUP(H2943,'LƯƠNG KT'!$D$16:$AC$184,15,0)</f>
        <v>#N/A</v>
      </c>
      <c r="J2946" s="609" t="e">
        <f>I2946*$L$5</f>
        <v>#N/A</v>
      </c>
      <c r="K2946" s="935"/>
      <c r="L2946" s="935"/>
      <c r="M2946" s="935"/>
      <c r="N2946" s="935"/>
      <c r="O2946" s="935"/>
    </row>
    <row r="2947" spans="1:15" ht="15" customHeight="1">
      <c r="A2947" s="905" t="s">
        <v>367</v>
      </c>
      <c r="B2947" s="546"/>
      <c r="C2947" s="910" t="e">
        <f>VLOOKUP(B2943,'LƯƠNG KT'!$D$16:$AC$184,16,0)</f>
        <v>#N/A</v>
      </c>
      <c r="D2947" s="609" t="e">
        <f>+C2947*$L$6</f>
        <v>#N/A</v>
      </c>
      <c r="E2947" s="912"/>
      <c r="F2947" s="912"/>
      <c r="G2947" s="905" t="s">
        <v>367</v>
      </c>
      <c r="H2947" s="546"/>
      <c r="I2947" s="910" t="e">
        <f>VLOOKUP(H2943,'LƯƠNG KT'!$D$16:$AC$184,16,0)</f>
        <v>#N/A</v>
      </c>
      <c r="J2947" s="609" t="e">
        <f>+I2947*$L$6</f>
        <v>#N/A</v>
      </c>
      <c r="K2947" s="935"/>
      <c r="L2947" s="935"/>
      <c r="M2947" s="935"/>
      <c r="N2947" s="935"/>
      <c r="O2947" s="935"/>
    </row>
    <row r="2948" spans="1:15" ht="15" customHeight="1">
      <c r="A2948" s="905" t="s">
        <v>515</v>
      </c>
      <c r="B2948" s="546"/>
      <c r="C2948" s="910" t="e">
        <f>VLOOKUP(B2943,'LƯƠNG KT'!$D$16:$AC$184,17,0)</f>
        <v>#N/A</v>
      </c>
      <c r="D2948" s="609" t="e">
        <f>+C2948*$L$7</f>
        <v>#N/A</v>
      </c>
      <c r="E2948" s="912"/>
      <c r="F2948" s="912"/>
      <c r="G2948" s="905" t="s">
        <v>515</v>
      </c>
      <c r="H2948" s="546"/>
      <c r="I2948" s="910" t="e">
        <f>VLOOKUP(H2943,'LƯƠNG KT'!$D$16:$AC$184,17,0)</f>
        <v>#N/A</v>
      </c>
      <c r="J2948" s="609" t="e">
        <f>+I2948*$L$7</f>
        <v>#N/A</v>
      </c>
      <c r="K2948" s="935"/>
      <c r="L2948" s="935"/>
      <c r="M2948" s="935"/>
      <c r="N2948" s="935"/>
      <c r="O2948" s="935"/>
    </row>
    <row r="2949" spans="1:15" ht="15" customHeight="1">
      <c r="A2949" s="905" t="s">
        <v>371</v>
      </c>
      <c r="B2949" s="546" t="s">
        <v>372</v>
      </c>
      <c r="C2949" s="910" t="e">
        <f>VLOOKUP(B2943,'LƯƠNG KT'!$D$16:$AC$184,9,0)*$L$10</f>
        <v>#N/A</v>
      </c>
      <c r="D2949" s="609" t="e">
        <f>+C2949*0.5*3000</f>
        <v>#N/A</v>
      </c>
      <c r="E2949" s="912"/>
      <c r="F2949" s="912"/>
      <c r="G2949" s="905" t="s">
        <v>371</v>
      </c>
      <c r="H2949" s="546" t="s">
        <v>372</v>
      </c>
      <c r="I2949" s="910" t="e">
        <f>VLOOKUP(H2943,'LƯƠNG KT'!$D$16:$AC$184,9,0)*$L$10</f>
        <v>#N/A</v>
      </c>
      <c r="J2949" s="609" t="e">
        <f>+I2949*0.5*3000</f>
        <v>#N/A</v>
      </c>
      <c r="K2949" s="935"/>
      <c r="L2949" s="935"/>
      <c r="M2949" s="935"/>
      <c r="N2949" s="935"/>
      <c r="O2949" s="935"/>
    </row>
    <row r="2950" spans="1:15" ht="15" customHeight="1">
      <c r="A2950" s="905" t="s">
        <v>374</v>
      </c>
      <c r="B2950" s="546" t="s">
        <v>375</v>
      </c>
      <c r="C2950" s="910" t="e">
        <f>VLOOKUP(B2943,'LƯƠNG KT'!$D$16:$AC$184,8,0)*$L$11</f>
        <v>#N/A</v>
      </c>
      <c r="D2950" s="609" t="e">
        <f>VLOOKUP(B2943,'LƯƠNG KT'!$D$16:$AC$184,13,0)-D2949</f>
        <v>#N/A</v>
      </c>
      <c r="E2950" s="914"/>
      <c r="F2950" s="912"/>
      <c r="G2950" s="905" t="s">
        <v>374</v>
      </c>
      <c r="H2950" s="546" t="s">
        <v>375</v>
      </c>
      <c r="I2950" s="910" t="e">
        <f>VLOOKUP(H2943,'LƯƠNG KT'!$D$16:$AC$184,8,0)*$L$11</f>
        <v>#N/A</v>
      </c>
      <c r="J2950" s="609" t="e">
        <f>VLOOKUP(H2943,'LƯƠNG KT'!$D$16:$AC$184,13,0)-J2949</f>
        <v>#N/A</v>
      </c>
      <c r="K2950" s="935"/>
      <c r="L2950" s="935"/>
      <c r="M2950" s="935"/>
      <c r="N2950" s="935"/>
      <c r="O2950" s="935"/>
    </row>
    <row r="2951" spans="1:15" ht="15" customHeight="1">
      <c r="A2951" s="609" t="s">
        <v>377</v>
      </c>
      <c r="B2951" s="546" t="s">
        <v>378</v>
      </c>
      <c r="C2951" s="910"/>
      <c r="D2951" s="609"/>
      <c r="E2951" s="916"/>
      <c r="F2951" s="916"/>
      <c r="G2951" s="609" t="s">
        <v>377</v>
      </c>
      <c r="H2951" s="546" t="s">
        <v>378</v>
      </c>
      <c r="I2951" s="910"/>
      <c r="J2951" s="609"/>
    </row>
    <row r="2952" spans="1:15" ht="15" customHeight="1">
      <c r="A2952" s="547" t="s">
        <v>379</v>
      </c>
      <c r="B2952" s="546" t="s">
        <v>380</v>
      </c>
      <c r="C2952" s="910"/>
      <c r="D2952" s="609"/>
      <c r="E2952" s="914"/>
      <c r="F2952" s="916"/>
      <c r="G2952" s="547" t="s">
        <v>379</v>
      </c>
      <c r="H2952" s="546" t="s">
        <v>380</v>
      </c>
      <c r="I2952" s="910"/>
      <c r="J2952" s="609"/>
    </row>
    <row r="2953" spans="1:15" ht="15" customHeight="1">
      <c r="A2953" s="905" t="s">
        <v>381</v>
      </c>
      <c r="B2953" s="546" t="s">
        <v>382</v>
      </c>
      <c r="C2953" s="910"/>
      <c r="D2953" s="609">
        <f>D2952</f>
        <v>0</v>
      </c>
      <c r="E2953" s="917"/>
      <c r="F2953" s="904"/>
      <c r="G2953" s="905" t="s">
        <v>381</v>
      </c>
      <c r="H2953" s="546" t="s">
        <v>382</v>
      </c>
      <c r="I2953" s="910"/>
      <c r="J2953" s="609">
        <f>J2952</f>
        <v>0</v>
      </c>
    </row>
    <row r="2954" spans="1:15" ht="15" customHeight="1">
      <c r="A2954" s="918" t="s">
        <v>383</v>
      </c>
      <c r="B2954" s="919" t="s">
        <v>384</v>
      </c>
      <c r="C2954" s="920"/>
      <c r="D2954" s="921" t="e">
        <f>SUM(D2944:D2950)-D2953</f>
        <v>#N/A</v>
      </c>
      <c r="E2954" s="922"/>
      <c r="F2954" s="923"/>
      <c r="G2954" s="918" t="s">
        <v>383</v>
      </c>
      <c r="H2954" s="919" t="s">
        <v>384</v>
      </c>
      <c r="I2954" s="920"/>
      <c r="J2954" s="921" t="e">
        <f>SUM(J2944:J2950)-J2953</f>
        <v>#N/A</v>
      </c>
    </row>
    <row r="2955" spans="1:15" ht="11.25" customHeight="1">
      <c r="A2955" s="924"/>
      <c r="B2955" s="925"/>
      <c r="C2955" s="926"/>
      <c r="D2955" s="927"/>
      <c r="E2955" s="927"/>
      <c r="F2955" s="928"/>
      <c r="G2955" s="924"/>
      <c r="H2955" s="925"/>
      <c r="I2955" s="926"/>
      <c r="J2955" s="927"/>
    </row>
    <row r="2956" spans="1:15" ht="11.25" customHeight="1">
      <c r="A2956" s="925"/>
      <c r="B2956" s="925"/>
      <c r="C2956" s="929"/>
      <c r="D2956" s="930"/>
      <c r="E2956" s="925"/>
      <c r="F2956" s="931"/>
      <c r="G2956" s="925"/>
      <c r="H2956" s="925"/>
      <c r="I2956" s="929"/>
      <c r="J2956" s="930"/>
    </row>
    <row r="2957" spans="1:15" ht="15" customHeight="1">
      <c r="A2957" s="2360" t="str">
        <f>$K$2</f>
        <v>THÁNG 09/2024</v>
      </c>
      <c r="B2957" s="2360"/>
      <c r="C2957" s="2360"/>
      <c r="D2957" s="2360"/>
      <c r="E2957" s="903"/>
      <c r="F2957" s="904"/>
      <c r="G2957" s="2360" t="str">
        <f>$K$2</f>
        <v>THÁNG 09/2024</v>
      </c>
      <c r="H2957" s="2360"/>
      <c r="I2957" s="2360"/>
      <c r="J2957" s="2360"/>
      <c r="K2957" s="276"/>
    </row>
    <row r="2958" spans="1:15" ht="15" customHeight="1">
      <c r="A2958" s="905" t="s">
        <v>356</v>
      </c>
      <c r="B2958" s="642" t="s">
        <v>312</v>
      </c>
      <c r="C2958" s="546"/>
      <c r="D2958" s="902"/>
      <c r="E2958" s="906"/>
      <c r="F2958" s="907"/>
      <c r="G2958" s="905" t="s">
        <v>356</v>
      </c>
      <c r="H2958" s="642" t="s">
        <v>313</v>
      </c>
      <c r="I2958" s="546"/>
      <c r="J2958" s="902"/>
      <c r="L2958" s="938"/>
      <c r="M2958" s="938"/>
      <c r="N2958" s="938"/>
      <c r="O2958" s="938"/>
    </row>
    <row r="2959" spans="1:15" ht="15" customHeight="1">
      <c r="A2959" s="905" t="s">
        <v>359</v>
      </c>
      <c r="B2959" s="939" t="s">
        <v>360</v>
      </c>
      <c r="C2959" s="910" t="e">
        <f>VLOOKUP(B2958,'LƯƠNG KT'!$D$16:$AC$184,3,0)</f>
        <v>#N/A</v>
      </c>
      <c r="D2959" s="609" t="e">
        <f>+C2959*25000</f>
        <v>#N/A</v>
      </c>
      <c r="E2959" s="911"/>
      <c r="F2959" s="911"/>
      <c r="G2959" s="905" t="s">
        <v>359</v>
      </c>
      <c r="H2959" s="939" t="s">
        <v>360</v>
      </c>
      <c r="I2959" s="910" t="e">
        <f>VLOOKUP(H2958,'LƯƠNG KT'!$D$16:$AC$184,3,0)</f>
        <v>#N/A</v>
      </c>
      <c r="J2959" s="609" t="e">
        <f>+I2959*25000</f>
        <v>#N/A</v>
      </c>
      <c r="K2959" s="935"/>
      <c r="L2959" s="935"/>
      <c r="M2959" s="935"/>
      <c r="N2959" s="935"/>
      <c r="O2959" s="935"/>
    </row>
    <row r="2960" spans="1:15" ht="15" customHeight="1">
      <c r="A2960" s="905" t="s">
        <v>361</v>
      </c>
      <c r="B2960" s="546" t="s">
        <v>362</v>
      </c>
      <c r="C2960" s="910" t="e">
        <f>VLOOKUP(B2958,'LƯƠNG KT'!$D$16:$AC$184,14,0)</f>
        <v>#N/A</v>
      </c>
      <c r="D2960" s="609" t="e">
        <f>C2960*$L$4</f>
        <v>#N/A</v>
      </c>
      <c r="E2960" s="912"/>
      <c r="F2960" s="912"/>
      <c r="G2960" s="905" t="s">
        <v>361</v>
      </c>
      <c r="H2960" s="546" t="s">
        <v>362</v>
      </c>
      <c r="I2960" s="910" t="e">
        <f>VLOOKUP(H2958,'LƯƠNG KT'!$D$16:$AC$184,14,0)</f>
        <v>#N/A</v>
      </c>
      <c r="J2960" s="609" t="e">
        <f>I2960*$L$4</f>
        <v>#N/A</v>
      </c>
      <c r="K2960" s="935"/>
      <c r="L2960" s="935"/>
      <c r="M2960" s="935"/>
      <c r="N2960" s="935"/>
      <c r="O2960" s="935"/>
    </row>
    <row r="2961" spans="1:15" ht="15" customHeight="1">
      <c r="A2961" s="905" t="s">
        <v>364</v>
      </c>
      <c r="B2961" s="546" t="s">
        <v>365</v>
      </c>
      <c r="C2961" s="910" t="e">
        <f>VLOOKUP(B2958,'LƯƠNG KT'!$D$16:$AC$184,15,0)</f>
        <v>#N/A</v>
      </c>
      <c r="D2961" s="609" t="e">
        <f>C2961*$L$5</f>
        <v>#N/A</v>
      </c>
      <c r="E2961" s="912"/>
      <c r="F2961" s="912"/>
      <c r="G2961" s="905" t="s">
        <v>364</v>
      </c>
      <c r="H2961" s="546" t="s">
        <v>365</v>
      </c>
      <c r="I2961" s="910" t="e">
        <f>VLOOKUP(H2958,'LƯƠNG KT'!$D$16:$AC$184,15,0)</f>
        <v>#N/A</v>
      </c>
      <c r="J2961" s="609" t="e">
        <f>I2961*$L$5</f>
        <v>#N/A</v>
      </c>
      <c r="K2961" s="935"/>
      <c r="L2961" s="935"/>
      <c r="M2961" s="935"/>
      <c r="N2961" s="935"/>
      <c r="O2961" s="935"/>
    </row>
    <row r="2962" spans="1:15" ht="15" customHeight="1">
      <c r="A2962" s="905" t="s">
        <v>367</v>
      </c>
      <c r="B2962" s="546"/>
      <c r="C2962" s="910" t="e">
        <f>VLOOKUP(B2958,'LƯƠNG KT'!$D$16:$AC$184,16,0)</f>
        <v>#N/A</v>
      </c>
      <c r="D2962" s="609" t="e">
        <f>+C2962*$L$6</f>
        <v>#N/A</v>
      </c>
      <c r="E2962" s="912"/>
      <c r="F2962" s="912"/>
      <c r="G2962" s="905" t="s">
        <v>367</v>
      </c>
      <c r="H2962" s="546"/>
      <c r="I2962" s="910" t="e">
        <f>VLOOKUP(H2958,'LƯƠNG KT'!$D$16:$AC$184,16,0)</f>
        <v>#N/A</v>
      </c>
      <c r="J2962" s="609" t="e">
        <f>+I2962*$L$6</f>
        <v>#N/A</v>
      </c>
      <c r="K2962" s="935"/>
      <c r="L2962" s="935"/>
      <c r="M2962" s="935"/>
      <c r="N2962" s="935"/>
      <c r="O2962" s="935"/>
    </row>
    <row r="2963" spans="1:15" ht="15" customHeight="1">
      <c r="A2963" s="905" t="s">
        <v>515</v>
      </c>
      <c r="B2963" s="546"/>
      <c r="C2963" s="910" t="e">
        <f>VLOOKUP(B2958,'LƯƠNG KT'!$D$16:$AC$184,17,0)</f>
        <v>#N/A</v>
      </c>
      <c r="D2963" s="609" t="e">
        <f>+C2963*$L$7</f>
        <v>#N/A</v>
      </c>
      <c r="E2963" s="912"/>
      <c r="F2963" s="912"/>
      <c r="G2963" s="905" t="s">
        <v>515</v>
      </c>
      <c r="H2963" s="546"/>
      <c r="I2963" s="910" t="e">
        <f>VLOOKUP(H2958,'LƯƠNG KT'!$D$16:$AC$184,17,0)</f>
        <v>#N/A</v>
      </c>
      <c r="J2963" s="609" t="e">
        <f>+I2963*$L$7</f>
        <v>#N/A</v>
      </c>
      <c r="K2963" s="935"/>
      <c r="L2963" s="935"/>
      <c r="M2963" s="935"/>
      <c r="N2963" s="935"/>
      <c r="O2963" s="935"/>
    </row>
    <row r="2964" spans="1:15" ht="15" customHeight="1">
      <c r="A2964" s="905" t="s">
        <v>371</v>
      </c>
      <c r="B2964" s="546" t="s">
        <v>372</v>
      </c>
      <c r="C2964" s="910" t="e">
        <f>VLOOKUP(B2958,'LƯƠNG KT'!$D$16:$AC$184,9,0)*$L$10</f>
        <v>#N/A</v>
      </c>
      <c r="D2964" s="609" t="e">
        <f>+C2964*0.5*3000</f>
        <v>#N/A</v>
      </c>
      <c r="E2964" s="912"/>
      <c r="F2964" s="912"/>
      <c r="G2964" s="905" t="s">
        <v>371</v>
      </c>
      <c r="H2964" s="546" t="s">
        <v>372</v>
      </c>
      <c r="I2964" s="910" t="e">
        <f>VLOOKUP(H2958,'LƯƠNG KT'!$D$16:$AC$184,9,0)*$L$10</f>
        <v>#N/A</v>
      </c>
      <c r="J2964" s="609" t="e">
        <f>+I2964*0.5*3000</f>
        <v>#N/A</v>
      </c>
      <c r="K2964" s="935"/>
      <c r="L2964" s="935"/>
      <c r="M2964" s="935"/>
      <c r="N2964" s="935"/>
      <c r="O2964" s="935"/>
    </row>
    <row r="2965" spans="1:15" ht="15" customHeight="1">
      <c r="A2965" s="905" t="s">
        <v>374</v>
      </c>
      <c r="B2965" s="546" t="s">
        <v>375</v>
      </c>
      <c r="C2965" s="910" t="e">
        <f>VLOOKUP(B2958,'LƯƠNG KT'!$D$16:$AC$184,8,0)*$L$11</f>
        <v>#N/A</v>
      </c>
      <c r="D2965" s="609" t="e">
        <f>VLOOKUP(B2958,'LƯƠNG KT'!$D$16:$AC$184,13,0)-D2964</f>
        <v>#N/A</v>
      </c>
      <c r="E2965" s="914"/>
      <c r="F2965" s="912"/>
      <c r="G2965" s="905" t="s">
        <v>374</v>
      </c>
      <c r="H2965" s="546" t="s">
        <v>375</v>
      </c>
      <c r="I2965" s="910" t="e">
        <f>VLOOKUP(H2958,'LƯƠNG KT'!$D$16:$AC$184,8,0)*$L$11</f>
        <v>#N/A</v>
      </c>
      <c r="J2965" s="609" t="e">
        <f>VLOOKUP(H2958,'LƯƠNG KT'!$D$16:$AC$184,13,0)-J2964</f>
        <v>#N/A</v>
      </c>
      <c r="K2965" s="935"/>
      <c r="L2965" s="935"/>
      <c r="M2965" s="935"/>
      <c r="N2965" s="935"/>
      <c r="O2965" s="935"/>
    </row>
    <row r="2966" spans="1:15" ht="15" customHeight="1">
      <c r="A2966" s="609" t="s">
        <v>377</v>
      </c>
      <c r="B2966" s="546" t="s">
        <v>378</v>
      </c>
      <c r="C2966" s="910"/>
      <c r="D2966" s="609"/>
      <c r="E2966" s="916"/>
      <c r="F2966" s="916"/>
      <c r="G2966" s="609" t="s">
        <v>377</v>
      </c>
      <c r="H2966" s="546" t="s">
        <v>378</v>
      </c>
      <c r="I2966" s="910"/>
      <c r="J2966" s="609"/>
    </row>
    <row r="2967" spans="1:15" ht="15" customHeight="1">
      <c r="A2967" s="547" t="s">
        <v>379</v>
      </c>
      <c r="B2967" s="546" t="s">
        <v>380</v>
      </c>
      <c r="C2967" s="910"/>
      <c r="D2967" s="609"/>
      <c r="E2967" s="914"/>
      <c r="F2967" s="916"/>
      <c r="G2967" s="547" t="s">
        <v>379</v>
      </c>
      <c r="H2967" s="546" t="s">
        <v>380</v>
      </c>
      <c r="I2967" s="910"/>
      <c r="J2967" s="609"/>
    </row>
    <row r="2968" spans="1:15" ht="15" customHeight="1">
      <c r="A2968" s="905" t="s">
        <v>381</v>
      </c>
      <c r="B2968" s="546" t="s">
        <v>382</v>
      </c>
      <c r="C2968" s="910"/>
      <c r="D2968" s="609">
        <f>D2967</f>
        <v>0</v>
      </c>
      <c r="E2968" s="917"/>
      <c r="F2968" s="904"/>
      <c r="G2968" s="905" t="s">
        <v>381</v>
      </c>
      <c r="H2968" s="546" t="s">
        <v>382</v>
      </c>
      <c r="I2968" s="910"/>
      <c r="J2968" s="609">
        <f>J2967</f>
        <v>0</v>
      </c>
    </row>
    <row r="2969" spans="1:15" ht="15" customHeight="1">
      <c r="A2969" s="918" t="s">
        <v>383</v>
      </c>
      <c r="B2969" s="919" t="s">
        <v>384</v>
      </c>
      <c r="C2969" s="920"/>
      <c r="D2969" s="921" t="e">
        <f>SUM(D2959:D2965)-D2968</f>
        <v>#N/A</v>
      </c>
      <c r="E2969" s="922"/>
      <c r="F2969" s="923"/>
      <c r="G2969" s="918" t="s">
        <v>383</v>
      </c>
      <c r="H2969" s="919" t="s">
        <v>384</v>
      </c>
      <c r="I2969" s="920"/>
      <c r="J2969" s="921" t="e">
        <f>SUM(J2959:J2965)-J2968</f>
        <v>#N/A</v>
      </c>
    </row>
    <row r="2970" spans="1:15" ht="11.25" customHeight="1">
      <c r="A2970" s="924"/>
      <c r="B2970" s="925"/>
      <c r="C2970" s="926"/>
      <c r="D2970" s="927"/>
      <c r="E2970" s="927"/>
      <c r="F2970" s="928"/>
      <c r="G2970" s="924"/>
      <c r="H2970" s="925"/>
      <c r="I2970" s="926"/>
      <c r="J2970" s="927"/>
    </row>
    <row r="2971" spans="1:15" ht="11.25" customHeight="1">
      <c r="A2971" s="925"/>
      <c r="B2971" s="925"/>
      <c r="C2971" s="929"/>
      <c r="D2971" s="930"/>
      <c r="E2971" s="925"/>
      <c r="F2971" s="931"/>
      <c r="G2971" s="925"/>
      <c r="H2971" s="925"/>
      <c r="I2971" s="929"/>
      <c r="J2971" s="930"/>
    </row>
    <row r="2972" spans="1:15" ht="15" customHeight="1">
      <c r="A2972" s="2360" t="str">
        <f>$K$2</f>
        <v>THÁNG 09/2024</v>
      </c>
      <c r="B2972" s="2360"/>
      <c r="C2972" s="2360"/>
      <c r="D2972" s="2360"/>
      <c r="E2972" s="903"/>
      <c r="F2972" s="904"/>
      <c r="G2972" s="2360" t="str">
        <f>$K$2</f>
        <v>THÁNG 09/2024</v>
      </c>
      <c r="H2972" s="2360"/>
      <c r="I2972" s="2360"/>
      <c r="J2972" s="2360"/>
      <c r="K2972" s="276"/>
    </row>
    <row r="2973" spans="1:15" ht="15" customHeight="1">
      <c r="A2973" s="905" t="s">
        <v>356</v>
      </c>
      <c r="B2973" s="642" t="s">
        <v>314</v>
      </c>
      <c r="C2973" s="546"/>
      <c r="D2973" s="902"/>
      <c r="E2973" s="906"/>
      <c r="F2973" s="907"/>
      <c r="G2973" s="905" t="s">
        <v>356</v>
      </c>
      <c r="H2973" s="642" t="s">
        <v>315</v>
      </c>
      <c r="I2973" s="546"/>
      <c r="J2973" s="902"/>
      <c r="L2973" s="938"/>
      <c r="M2973" s="938"/>
      <c r="N2973" s="938"/>
      <c r="O2973" s="938"/>
    </row>
    <row r="2974" spans="1:15" ht="15" customHeight="1">
      <c r="A2974" s="905" t="s">
        <v>359</v>
      </c>
      <c r="B2974" s="939" t="s">
        <v>360</v>
      </c>
      <c r="C2974" s="910" t="e">
        <f>VLOOKUP(B2973,'LƯƠNG KT'!$D$16:$AC$184,3,0)</f>
        <v>#N/A</v>
      </c>
      <c r="D2974" s="609" t="e">
        <f>+C2974*25000</f>
        <v>#N/A</v>
      </c>
      <c r="E2974" s="911"/>
      <c r="F2974" s="911"/>
      <c r="G2974" s="905" t="s">
        <v>359</v>
      </c>
      <c r="H2974" s="939" t="s">
        <v>360</v>
      </c>
      <c r="I2974" s="910" t="e">
        <f>VLOOKUP(H2973,'LƯƠNG KT'!$D$16:$AC$184,3,0)</f>
        <v>#N/A</v>
      </c>
      <c r="J2974" s="609" t="e">
        <f>+I2974*25000</f>
        <v>#N/A</v>
      </c>
      <c r="K2974" s="935"/>
      <c r="L2974" s="935"/>
      <c r="M2974" s="935"/>
      <c r="N2974" s="935"/>
      <c r="O2974" s="935"/>
    </row>
    <row r="2975" spans="1:15" ht="15" customHeight="1">
      <c r="A2975" s="905" t="s">
        <v>361</v>
      </c>
      <c r="B2975" s="546" t="s">
        <v>362</v>
      </c>
      <c r="C2975" s="910" t="e">
        <f>VLOOKUP(B2973,'LƯƠNG KT'!$D$16:$AC$184,14,0)</f>
        <v>#N/A</v>
      </c>
      <c r="D2975" s="609" t="e">
        <f>C2975*$L$4</f>
        <v>#N/A</v>
      </c>
      <c r="E2975" s="912"/>
      <c r="F2975" s="912"/>
      <c r="G2975" s="905" t="s">
        <v>361</v>
      </c>
      <c r="H2975" s="546" t="s">
        <v>362</v>
      </c>
      <c r="I2975" s="910" t="e">
        <f>VLOOKUP(H2973,'LƯƠNG KT'!$D$16:$AC$184,14,0)</f>
        <v>#N/A</v>
      </c>
      <c r="J2975" s="609" t="e">
        <f>I2975*$L$4</f>
        <v>#N/A</v>
      </c>
      <c r="K2975" s="935"/>
      <c r="L2975" s="935"/>
      <c r="M2975" s="935"/>
      <c r="N2975" s="935"/>
      <c r="O2975" s="935"/>
    </row>
    <row r="2976" spans="1:15" ht="15" customHeight="1">
      <c r="A2976" s="905" t="s">
        <v>364</v>
      </c>
      <c r="B2976" s="546" t="s">
        <v>365</v>
      </c>
      <c r="C2976" s="910" t="e">
        <f>VLOOKUP(B2973,'LƯƠNG KT'!$D$16:$AC$184,15,0)</f>
        <v>#N/A</v>
      </c>
      <c r="D2976" s="609" t="e">
        <f>C2976*$L$5</f>
        <v>#N/A</v>
      </c>
      <c r="E2976" s="912"/>
      <c r="F2976" s="912"/>
      <c r="G2976" s="905" t="s">
        <v>364</v>
      </c>
      <c r="H2976" s="546" t="s">
        <v>365</v>
      </c>
      <c r="I2976" s="910" t="e">
        <f>VLOOKUP(H2973,'LƯƠNG KT'!$D$16:$AC$184,15,0)</f>
        <v>#N/A</v>
      </c>
      <c r="J2976" s="609" t="e">
        <f>I2976*$L$5</f>
        <v>#N/A</v>
      </c>
      <c r="K2976" s="935"/>
      <c r="L2976" s="935"/>
      <c r="M2976" s="935"/>
      <c r="N2976" s="935"/>
      <c r="O2976" s="935"/>
    </row>
    <row r="2977" spans="1:15" ht="15" customHeight="1">
      <c r="A2977" s="905" t="s">
        <v>367</v>
      </c>
      <c r="B2977" s="546"/>
      <c r="C2977" s="910" t="e">
        <f>VLOOKUP(B2973,'LƯƠNG KT'!$D$16:$AC$184,16,0)</f>
        <v>#N/A</v>
      </c>
      <c r="D2977" s="609" t="e">
        <f>+C2977*$L$6</f>
        <v>#N/A</v>
      </c>
      <c r="E2977" s="912"/>
      <c r="F2977" s="912"/>
      <c r="G2977" s="905" t="s">
        <v>367</v>
      </c>
      <c r="H2977" s="546"/>
      <c r="I2977" s="910" t="e">
        <f>VLOOKUP(H2973,'LƯƠNG KT'!$D$16:$AC$184,16,0)</f>
        <v>#N/A</v>
      </c>
      <c r="J2977" s="609" t="e">
        <f>+I2977*$L$6</f>
        <v>#N/A</v>
      </c>
      <c r="K2977" s="935"/>
      <c r="L2977" s="935"/>
      <c r="M2977" s="935"/>
      <c r="N2977" s="935"/>
      <c r="O2977" s="935"/>
    </row>
    <row r="2978" spans="1:15" ht="15" customHeight="1">
      <c r="A2978" s="905" t="s">
        <v>515</v>
      </c>
      <c r="B2978" s="546"/>
      <c r="C2978" s="910" t="e">
        <f>VLOOKUP(B2973,'LƯƠNG KT'!$D$16:$AC$184,17,0)</f>
        <v>#N/A</v>
      </c>
      <c r="D2978" s="609" t="e">
        <f>+C2978*$L$7</f>
        <v>#N/A</v>
      </c>
      <c r="E2978" s="912"/>
      <c r="F2978" s="912"/>
      <c r="G2978" s="905" t="s">
        <v>515</v>
      </c>
      <c r="H2978" s="546"/>
      <c r="I2978" s="910" t="e">
        <f>VLOOKUP(H2973,'LƯƠNG KT'!$D$16:$AC$184,17,0)</f>
        <v>#N/A</v>
      </c>
      <c r="J2978" s="609" t="e">
        <f>+I2978*$L$7</f>
        <v>#N/A</v>
      </c>
      <c r="K2978" s="935"/>
      <c r="L2978" s="935"/>
      <c r="M2978" s="935"/>
      <c r="N2978" s="935"/>
      <c r="O2978" s="935"/>
    </row>
    <row r="2979" spans="1:15" ht="15" customHeight="1">
      <c r="A2979" s="905" t="s">
        <v>371</v>
      </c>
      <c r="B2979" s="546" t="s">
        <v>372</v>
      </c>
      <c r="C2979" s="910" t="e">
        <f>VLOOKUP(B2973,'LƯƠNG KT'!$D$16:$AC$184,9,0)*$L$10</f>
        <v>#N/A</v>
      </c>
      <c r="D2979" s="609" t="e">
        <f>+C2979*0.5*3000</f>
        <v>#N/A</v>
      </c>
      <c r="E2979" s="912"/>
      <c r="F2979" s="912"/>
      <c r="G2979" s="905" t="s">
        <v>371</v>
      </c>
      <c r="H2979" s="546" t="s">
        <v>372</v>
      </c>
      <c r="I2979" s="910" t="e">
        <f>VLOOKUP(H2973,'LƯƠNG KT'!$D$16:$AC$184,9,0)*$L$10</f>
        <v>#N/A</v>
      </c>
      <c r="J2979" s="609" t="e">
        <f>+I2979*0.5*3000</f>
        <v>#N/A</v>
      </c>
      <c r="K2979" s="935"/>
      <c r="L2979" s="935"/>
      <c r="M2979" s="935"/>
      <c r="N2979" s="935"/>
      <c r="O2979" s="935"/>
    </row>
    <row r="2980" spans="1:15" ht="15" customHeight="1">
      <c r="A2980" s="905" t="s">
        <v>374</v>
      </c>
      <c r="B2980" s="546" t="s">
        <v>375</v>
      </c>
      <c r="C2980" s="910" t="e">
        <f>VLOOKUP(B2973,'LƯƠNG KT'!$D$16:$AC$184,8,0)*$L$11</f>
        <v>#N/A</v>
      </c>
      <c r="D2980" s="609" t="e">
        <f>VLOOKUP(B2973,'LƯƠNG KT'!$D$16:$AC$184,13,0)-D2979</f>
        <v>#N/A</v>
      </c>
      <c r="E2980" s="914"/>
      <c r="F2980" s="912"/>
      <c r="G2980" s="905" t="s">
        <v>374</v>
      </c>
      <c r="H2980" s="546" t="s">
        <v>375</v>
      </c>
      <c r="I2980" s="910" t="e">
        <f>VLOOKUP(H2973,'LƯƠNG KT'!$D$16:$AC$184,8,0)*$L$11</f>
        <v>#N/A</v>
      </c>
      <c r="J2980" s="609" t="e">
        <f>VLOOKUP(H2973,'LƯƠNG KT'!$D$16:$AC$184,13,0)-J2979</f>
        <v>#N/A</v>
      </c>
      <c r="K2980" s="935"/>
      <c r="L2980" s="935"/>
      <c r="M2980" s="935"/>
      <c r="N2980" s="935"/>
      <c r="O2980" s="935"/>
    </row>
    <row r="2981" spans="1:15" ht="15" customHeight="1">
      <c r="A2981" s="609" t="s">
        <v>377</v>
      </c>
      <c r="B2981" s="546" t="s">
        <v>378</v>
      </c>
      <c r="C2981" s="910"/>
      <c r="D2981" s="609"/>
      <c r="E2981" s="916"/>
      <c r="F2981" s="916"/>
      <c r="G2981" s="609" t="s">
        <v>377</v>
      </c>
      <c r="H2981" s="546" t="s">
        <v>378</v>
      </c>
      <c r="I2981" s="910"/>
      <c r="J2981" s="609"/>
    </row>
    <row r="2982" spans="1:15" ht="15" customHeight="1">
      <c r="A2982" s="547" t="s">
        <v>379</v>
      </c>
      <c r="B2982" s="546" t="s">
        <v>380</v>
      </c>
      <c r="C2982" s="910"/>
      <c r="D2982" s="609"/>
      <c r="E2982" s="914"/>
      <c r="F2982" s="916"/>
      <c r="G2982" s="547" t="s">
        <v>379</v>
      </c>
      <c r="H2982" s="546" t="s">
        <v>380</v>
      </c>
      <c r="I2982" s="910"/>
      <c r="J2982" s="609"/>
    </row>
    <row r="2983" spans="1:15" ht="15" customHeight="1">
      <c r="A2983" s="905" t="s">
        <v>381</v>
      </c>
      <c r="B2983" s="546" t="s">
        <v>382</v>
      </c>
      <c r="C2983" s="910"/>
      <c r="D2983" s="609">
        <f>D2982</f>
        <v>0</v>
      </c>
      <c r="E2983" s="917"/>
      <c r="F2983" s="904"/>
      <c r="G2983" s="905" t="s">
        <v>381</v>
      </c>
      <c r="H2983" s="546" t="s">
        <v>382</v>
      </c>
      <c r="I2983" s="910"/>
      <c r="J2983" s="609">
        <f>J2982</f>
        <v>0</v>
      </c>
    </row>
    <row r="2984" spans="1:15" ht="15" customHeight="1">
      <c r="A2984" s="918" t="s">
        <v>383</v>
      </c>
      <c r="B2984" s="919" t="s">
        <v>384</v>
      </c>
      <c r="C2984" s="920"/>
      <c r="D2984" s="921" t="e">
        <f>SUM(D2974:D2980)-D2983</f>
        <v>#N/A</v>
      </c>
      <c r="E2984" s="922"/>
      <c r="F2984" s="923"/>
      <c r="G2984" s="918" t="s">
        <v>383</v>
      </c>
      <c r="H2984" s="919" t="s">
        <v>384</v>
      </c>
      <c r="I2984" s="920"/>
      <c r="J2984" s="921" t="e">
        <f>SUM(J2974:J2980)-J2983</f>
        <v>#N/A</v>
      </c>
    </row>
    <row r="2985" spans="1:15" ht="6.75" customHeight="1">
      <c r="A2985" s="924"/>
      <c r="B2985" s="925"/>
      <c r="C2985" s="926"/>
      <c r="D2985" s="927"/>
      <c r="E2985" s="927"/>
      <c r="F2985" s="928"/>
      <c r="G2985" s="924"/>
      <c r="H2985" s="925"/>
      <c r="I2985" s="926"/>
      <c r="J2985" s="927"/>
    </row>
    <row r="2986" spans="1:15" ht="6.75" customHeight="1"/>
    <row r="2987" spans="1:15" ht="6.75" customHeight="1">
      <c r="A2987" s="2361"/>
      <c r="B2987" s="2361"/>
      <c r="C2987" s="2361"/>
      <c r="D2987" s="2361"/>
      <c r="E2987" s="2361"/>
      <c r="F2987" s="2361"/>
      <c r="G2987" s="2361"/>
      <c r="H2987" s="2361"/>
      <c r="I2987" s="2361"/>
      <c r="J2987" s="2361"/>
    </row>
    <row r="2988" spans="1:15" ht="15" customHeight="1">
      <c r="A2988" s="2360" t="str">
        <f>$K$2</f>
        <v>THÁNG 09/2024</v>
      </c>
      <c r="B2988" s="2360"/>
      <c r="C2988" s="2360"/>
      <c r="D2988" s="2360"/>
      <c r="E2988" s="903"/>
      <c r="F2988" s="904"/>
      <c r="G2988" s="2360" t="str">
        <f>$K$2</f>
        <v>THÁNG 09/2024</v>
      </c>
      <c r="H2988" s="2360"/>
      <c r="I2988" s="2360"/>
      <c r="J2988" s="2360"/>
      <c r="K2988" s="276"/>
    </row>
    <row r="2989" spans="1:15" ht="15" customHeight="1">
      <c r="A2989" s="905" t="s">
        <v>356</v>
      </c>
      <c r="B2989" s="642" t="s">
        <v>316</v>
      </c>
      <c r="C2989" s="546"/>
      <c r="D2989" s="902"/>
      <c r="E2989" s="906"/>
      <c r="F2989" s="907"/>
      <c r="G2989" s="905" t="s">
        <v>356</v>
      </c>
      <c r="H2989" s="642" t="s">
        <v>317</v>
      </c>
      <c r="I2989" s="546"/>
      <c r="J2989" s="902"/>
      <c r="L2989" s="938"/>
      <c r="M2989" s="938"/>
      <c r="N2989" s="938"/>
      <c r="O2989" s="938"/>
    </row>
    <row r="2990" spans="1:15" ht="15" customHeight="1">
      <c r="A2990" s="905" t="s">
        <v>359</v>
      </c>
      <c r="B2990" s="939" t="s">
        <v>360</v>
      </c>
      <c r="C2990" s="910" t="e">
        <f>VLOOKUP(B2989,'LƯƠNG KT'!$D$16:$AC$184,3,0)</f>
        <v>#N/A</v>
      </c>
      <c r="D2990" s="609" t="e">
        <f>+C2990*25000</f>
        <v>#N/A</v>
      </c>
      <c r="E2990" s="911"/>
      <c r="F2990" s="911"/>
      <c r="G2990" s="905" t="s">
        <v>359</v>
      </c>
      <c r="H2990" s="939" t="s">
        <v>360</v>
      </c>
      <c r="I2990" s="910" t="e">
        <f>VLOOKUP(H2989,'LƯƠNG KT'!$D$16:$AC$184,3,0)</f>
        <v>#N/A</v>
      </c>
      <c r="J2990" s="609" t="e">
        <f>+I2990*25000</f>
        <v>#N/A</v>
      </c>
      <c r="K2990" s="934"/>
      <c r="L2990" s="935"/>
      <c r="M2990" s="935"/>
      <c r="N2990" s="935"/>
      <c r="O2990" s="935"/>
    </row>
    <row r="2991" spans="1:15" ht="15" customHeight="1">
      <c r="A2991" s="905" t="s">
        <v>361</v>
      </c>
      <c r="B2991" s="546" t="s">
        <v>362</v>
      </c>
      <c r="C2991" s="910" t="e">
        <f>VLOOKUP(B2989,'LƯƠNG KT'!$D$16:$AC$184,14,0)</f>
        <v>#N/A</v>
      </c>
      <c r="D2991" s="609" t="e">
        <f>C2991*$L$4</f>
        <v>#N/A</v>
      </c>
      <c r="E2991" s="912"/>
      <c r="F2991" s="912"/>
      <c r="G2991" s="905" t="s">
        <v>361</v>
      </c>
      <c r="H2991" s="546" t="s">
        <v>362</v>
      </c>
      <c r="I2991" s="910" t="e">
        <f>VLOOKUP(H2989,'LƯƠNG KT'!$D$16:$AC$184,14,0)</f>
        <v>#N/A</v>
      </c>
      <c r="J2991" s="609" t="e">
        <f>I2991*$L$4</f>
        <v>#N/A</v>
      </c>
      <c r="K2991" s="934"/>
      <c r="L2991" s="935"/>
      <c r="M2991" s="935"/>
      <c r="N2991" s="935"/>
      <c r="O2991" s="935"/>
    </row>
    <row r="2992" spans="1:15" ht="15" customHeight="1">
      <c r="A2992" s="905" t="s">
        <v>364</v>
      </c>
      <c r="B2992" s="546" t="s">
        <v>365</v>
      </c>
      <c r="C2992" s="910" t="e">
        <f>VLOOKUP(B2989,'LƯƠNG KT'!$D$16:$AC$184,15,0)</f>
        <v>#N/A</v>
      </c>
      <c r="D2992" s="609" t="e">
        <f>C2992*$L$5</f>
        <v>#N/A</v>
      </c>
      <c r="E2992" s="912"/>
      <c r="F2992" s="912"/>
      <c r="G2992" s="905" t="s">
        <v>364</v>
      </c>
      <c r="H2992" s="546" t="s">
        <v>365</v>
      </c>
      <c r="I2992" s="910" t="e">
        <f>VLOOKUP(H2989,'LƯƠNG KT'!$D$16:$AC$184,15,0)</f>
        <v>#N/A</v>
      </c>
      <c r="J2992" s="609" t="e">
        <f>I2992*$L$5</f>
        <v>#N/A</v>
      </c>
      <c r="K2992" s="934"/>
      <c r="L2992" s="935"/>
      <c r="M2992" s="935"/>
      <c r="N2992" s="935"/>
      <c r="O2992" s="935"/>
    </row>
    <row r="2993" spans="1:15" ht="15" customHeight="1">
      <c r="A2993" s="905" t="s">
        <v>367</v>
      </c>
      <c r="B2993" s="546"/>
      <c r="C2993" s="910" t="e">
        <f>VLOOKUP(B2989,'LƯƠNG KT'!$D$16:$AC$184,16,0)</f>
        <v>#N/A</v>
      </c>
      <c r="D2993" s="609" t="e">
        <f>+C2993*$L$6</f>
        <v>#N/A</v>
      </c>
      <c r="E2993" s="912"/>
      <c r="F2993" s="912"/>
      <c r="G2993" s="905" t="s">
        <v>367</v>
      </c>
      <c r="H2993" s="546"/>
      <c r="I2993" s="910" t="e">
        <f>VLOOKUP(H2989,'LƯƠNG KT'!$D$16:$AC$184,16,0)</f>
        <v>#N/A</v>
      </c>
      <c r="J2993" s="609" t="e">
        <f>+I2993*$L$6</f>
        <v>#N/A</v>
      </c>
      <c r="K2993" s="934"/>
      <c r="L2993" s="935"/>
      <c r="M2993" s="935"/>
      <c r="N2993" s="935"/>
      <c r="O2993" s="935"/>
    </row>
    <row r="2994" spans="1:15" ht="15" customHeight="1">
      <c r="A2994" s="905" t="s">
        <v>515</v>
      </c>
      <c r="B2994" s="546"/>
      <c r="C2994" s="910" t="e">
        <f>VLOOKUP(B2989,'LƯƠNG KT'!$D$16:$AC$184,17,0)</f>
        <v>#N/A</v>
      </c>
      <c r="D2994" s="609" t="e">
        <f>+C2994*$L$7</f>
        <v>#N/A</v>
      </c>
      <c r="E2994" s="912"/>
      <c r="F2994" s="912"/>
      <c r="G2994" s="905" t="s">
        <v>515</v>
      </c>
      <c r="H2994" s="546"/>
      <c r="I2994" s="910" t="e">
        <f>VLOOKUP(H2989,'LƯƠNG KT'!$D$16:$AC$184,17,0)</f>
        <v>#N/A</v>
      </c>
      <c r="J2994" s="609" t="e">
        <f>+I2994*$L$7</f>
        <v>#N/A</v>
      </c>
      <c r="K2994" s="935"/>
      <c r="L2994" s="935"/>
      <c r="M2994" s="935"/>
      <c r="N2994" s="935"/>
      <c r="O2994" s="935"/>
    </row>
    <row r="2995" spans="1:15" ht="15" customHeight="1">
      <c r="A2995" s="905" t="s">
        <v>371</v>
      </c>
      <c r="B2995" s="546" t="s">
        <v>372</v>
      </c>
      <c r="C2995" s="910" t="e">
        <f>VLOOKUP(B2989,'LƯƠNG KT'!$D$16:$AC$184,9,0)*$L$10</f>
        <v>#N/A</v>
      </c>
      <c r="D2995" s="609" t="e">
        <f>+C2995*0.5*3000</f>
        <v>#N/A</v>
      </c>
      <c r="E2995" s="912"/>
      <c r="F2995" s="912"/>
      <c r="G2995" s="905" t="s">
        <v>371</v>
      </c>
      <c r="H2995" s="546" t="s">
        <v>372</v>
      </c>
      <c r="I2995" s="910" t="e">
        <f>VLOOKUP(H2989,'LƯƠNG KT'!$D$16:$AC$184,9,0)*$L$10</f>
        <v>#N/A</v>
      </c>
      <c r="J2995" s="609" t="e">
        <f>+I2995*0.5*3000</f>
        <v>#N/A</v>
      </c>
      <c r="K2995" s="935"/>
      <c r="L2995" s="935"/>
      <c r="M2995" s="935"/>
      <c r="N2995" s="935"/>
      <c r="O2995" s="935"/>
    </row>
    <row r="2996" spans="1:15" ht="15" customHeight="1">
      <c r="A2996" s="905" t="s">
        <v>374</v>
      </c>
      <c r="B2996" s="546" t="s">
        <v>375</v>
      </c>
      <c r="C2996" s="910" t="e">
        <f>VLOOKUP(B2989,'LƯƠNG KT'!$D$16:$AC$184,8,0)*$L$11</f>
        <v>#N/A</v>
      </c>
      <c r="D2996" s="609" t="e">
        <f>VLOOKUP(B2989,'LƯƠNG KT'!$D$16:$AC$184,13,0)-D2995</f>
        <v>#N/A</v>
      </c>
      <c r="E2996" s="914"/>
      <c r="F2996" s="912"/>
      <c r="G2996" s="905" t="s">
        <v>374</v>
      </c>
      <c r="H2996" s="546" t="s">
        <v>375</v>
      </c>
      <c r="I2996" s="910" t="e">
        <f>VLOOKUP(H2989,'LƯƠNG KT'!$D$16:$AC$184,8,0)*$L$11</f>
        <v>#N/A</v>
      </c>
      <c r="J2996" s="609" t="e">
        <f>VLOOKUP(H2989,'LƯƠNG KT'!$D$16:$AC$184,13,0)-J2995</f>
        <v>#N/A</v>
      </c>
      <c r="K2996" s="935"/>
      <c r="L2996" s="935"/>
      <c r="M2996" s="935"/>
      <c r="N2996" s="935"/>
      <c r="O2996" s="935"/>
    </row>
    <row r="2997" spans="1:15" ht="15" customHeight="1">
      <c r="A2997" s="609" t="s">
        <v>377</v>
      </c>
      <c r="B2997" s="546" t="s">
        <v>378</v>
      </c>
      <c r="C2997" s="910"/>
      <c r="D2997" s="609"/>
      <c r="E2997" s="916"/>
      <c r="F2997" s="916"/>
      <c r="G2997" s="609" t="s">
        <v>377</v>
      </c>
      <c r="H2997" s="546" t="s">
        <v>378</v>
      </c>
      <c r="I2997" s="910"/>
      <c r="J2997" s="609"/>
    </row>
    <row r="2998" spans="1:15" ht="15" customHeight="1">
      <c r="A2998" s="547" t="s">
        <v>379</v>
      </c>
      <c r="B2998" s="546" t="s">
        <v>380</v>
      </c>
      <c r="C2998" s="910"/>
      <c r="D2998" s="609"/>
      <c r="E2998" s="914"/>
      <c r="F2998" s="916"/>
      <c r="G2998" s="547" t="s">
        <v>379</v>
      </c>
      <c r="H2998" s="546" t="s">
        <v>380</v>
      </c>
      <c r="I2998" s="910"/>
      <c r="J2998" s="609"/>
    </row>
    <row r="2999" spans="1:15" ht="15" customHeight="1">
      <c r="A2999" s="905" t="s">
        <v>381</v>
      </c>
      <c r="B2999" s="546" t="s">
        <v>382</v>
      </c>
      <c r="C2999" s="910"/>
      <c r="D2999" s="609">
        <f>D2998</f>
        <v>0</v>
      </c>
      <c r="E2999" s="917"/>
      <c r="F2999" s="904"/>
      <c r="G2999" s="905" t="s">
        <v>381</v>
      </c>
      <c r="H2999" s="546" t="s">
        <v>382</v>
      </c>
      <c r="I2999" s="910"/>
      <c r="J2999" s="609">
        <f>J2998</f>
        <v>0</v>
      </c>
    </row>
    <row r="3000" spans="1:15" ht="15" customHeight="1">
      <c r="A3000" s="918" t="s">
        <v>383</v>
      </c>
      <c r="B3000" s="919" t="s">
        <v>384</v>
      </c>
      <c r="C3000" s="920"/>
      <c r="D3000" s="921" t="e">
        <f>SUM(D2990:D2996)-D2999</f>
        <v>#N/A</v>
      </c>
      <c r="E3000" s="922"/>
      <c r="F3000" s="923"/>
      <c r="G3000" s="918" t="s">
        <v>383</v>
      </c>
      <c r="H3000" s="919" t="s">
        <v>384</v>
      </c>
      <c r="I3000" s="920"/>
      <c r="J3000" s="921" t="e">
        <f>SUM(J2990:J2996)-J2999</f>
        <v>#N/A</v>
      </c>
    </row>
    <row r="3001" spans="1:15" ht="6.75" customHeight="1">
      <c r="A3001" s="924"/>
      <c r="B3001" s="925"/>
      <c r="C3001" s="926"/>
      <c r="D3001" s="927"/>
      <c r="E3001" s="927"/>
      <c r="F3001" s="928"/>
      <c r="G3001" s="924"/>
      <c r="H3001" s="925"/>
      <c r="I3001" s="926"/>
      <c r="J3001" s="927"/>
    </row>
    <row r="3002" spans="1:15" ht="6.75" customHeight="1">
      <c r="A3002" s="925"/>
      <c r="B3002" s="925"/>
      <c r="C3002" s="929"/>
      <c r="D3002" s="930"/>
      <c r="E3002" s="925"/>
      <c r="F3002" s="931"/>
      <c r="G3002" s="925"/>
      <c r="H3002" s="925"/>
      <c r="I3002" s="929"/>
      <c r="J3002" s="930"/>
    </row>
    <row r="3003" spans="1:15" ht="15" customHeight="1">
      <c r="A3003" s="2360" t="str">
        <f>$K$2</f>
        <v>THÁNG 09/2024</v>
      </c>
      <c r="B3003" s="2360"/>
      <c r="C3003" s="2360"/>
      <c r="D3003" s="2360"/>
      <c r="E3003" s="903"/>
      <c r="F3003" s="904"/>
      <c r="G3003" s="2360" t="str">
        <f>$K$2</f>
        <v>THÁNG 09/2024</v>
      </c>
      <c r="H3003" s="2360"/>
      <c r="I3003" s="2360"/>
      <c r="J3003" s="2360"/>
      <c r="K3003" s="276"/>
    </row>
    <row r="3004" spans="1:15" ht="15" customHeight="1">
      <c r="A3004" s="905" t="s">
        <v>356</v>
      </c>
      <c r="B3004" s="642" t="s">
        <v>318</v>
      </c>
      <c r="C3004" s="546"/>
      <c r="D3004" s="902"/>
      <c r="E3004" s="906"/>
      <c r="F3004" s="907"/>
      <c r="G3004" s="905" t="s">
        <v>356</v>
      </c>
      <c r="H3004" s="642" t="s">
        <v>319</v>
      </c>
      <c r="I3004" s="546"/>
      <c r="J3004" s="902"/>
      <c r="L3004" s="938"/>
      <c r="M3004" s="938"/>
      <c r="N3004" s="938"/>
      <c r="O3004" s="938"/>
    </row>
    <row r="3005" spans="1:15" ht="15" customHeight="1">
      <c r="A3005" s="905" t="s">
        <v>359</v>
      </c>
      <c r="B3005" s="939" t="s">
        <v>360</v>
      </c>
      <c r="C3005" s="910" t="e">
        <f>VLOOKUP(B3004,'LƯƠNG KT'!$D$16:$AC$184,3,0)</f>
        <v>#N/A</v>
      </c>
      <c r="D3005" s="609" t="e">
        <f>+C3005*25000</f>
        <v>#N/A</v>
      </c>
      <c r="E3005" s="911"/>
      <c r="F3005" s="911"/>
      <c r="G3005" s="905" t="s">
        <v>359</v>
      </c>
      <c r="H3005" s="939" t="s">
        <v>360</v>
      </c>
      <c r="I3005" s="910" t="e">
        <f>VLOOKUP(H3004,'LƯƠNG KT'!$D$16:$AC$184,3,0)</f>
        <v>#N/A</v>
      </c>
      <c r="J3005" s="609" t="e">
        <f>+I3005*25000</f>
        <v>#N/A</v>
      </c>
      <c r="K3005" s="935"/>
      <c r="L3005" s="935"/>
      <c r="M3005" s="935"/>
      <c r="N3005" s="935"/>
      <c r="O3005" s="935"/>
    </row>
    <row r="3006" spans="1:15" ht="15" customHeight="1">
      <c r="A3006" s="905" t="s">
        <v>361</v>
      </c>
      <c r="B3006" s="546" t="s">
        <v>362</v>
      </c>
      <c r="C3006" s="910" t="e">
        <f>VLOOKUP(B3004,'LƯƠNG KT'!$D$16:$AC$184,14,0)</f>
        <v>#N/A</v>
      </c>
      <c r="D3006" s="609" t="e">
        <f>C3006*$L$4</f>
        <v>#N/A</v>
      </c>
      <c r="E3006" s="912"/>
      <c r="F3006" s="912"/>
      <c r="G3006" s="905" t="s">
        <v>361</v>
      </c>
      <c r="H3006" s="546" t="s">
        <v>362</v>
      </c>
      <c r="I3006" s="910" t="e">
        <f>VLOOKUP(H3004,'LƯƠNG KT'!$D$16:$AC$184,14,0)</f>
        <v>#N/A</v>
      </c>
      <c r="J3006" s="609" t="e">
        <f>I3006*$L$4</f>
        <v>#N/A</v>
      </c>
      <c r="K3006" s="935"/>
      <c r="L3006" s="935"/>
      <c r="M3006" s="935"/>
      <c r="N3006" s="935"/>
      <c r="O3006" s="935"/>
    </row>
    <row r="3007" spans="1:15" ht="15" customHeight="1">
      <c r="A3007" s="905" t="s">
        <v>364</v>
      </c>
      <c r="B3007" s="546" t="s">
        <v>365</v>
      </c>
      <c r="C3007" s="910" t="e">
        <f>VLOOKUP(B3004,'LƯƠNG KT'!$D$16:$AC$184,15,0)</f>
        <v>#N/A</v>
      </c>
      <c r="D3007" s="609" t="e">
        <f>C3007*$L$5</f>
        <v>#N/A</v>
      </c>
      <c r="E3007" s="912"/>
      <c r="F3007" s="912"/>
      <c r="G3007" s="905" t="s">
        <v>364</v>
      </c>
      <c r="H3007" s="546" t="s">
        <v>365</v>
      </c>
      <c r="I3007" s="910" t="e">
        <f>VLOOKUP(H3004,'LƯƠNG KT'!$D$16:$AC$184,15,0)</f>
        <v>#N/A</v>
      </c>
      <c r="J3007" s="609" t="e">
        <f>I3007*$L$5</f>
        <v>#N/A</v>
      </c>
      <c r="K3007" s="935"/>
      <c r="L3007" s="935"/>
      <c r="M3007" s="935"/>
      <c r="N3007" s="935"/>
      <c r="O3007" s="935"/>
    </row>
    <row r="3008" spans="1:15" ht="15" customHeight="1">
      <c r="A3008" s="905" t="s">
        <v>367</v>
      </c>
      <c r="B3008" s="546"/>
      <c r="C3008" s="910" t="e">
        <f>VLOOKUP(B3004,'LƯƠNG KT'!$D$16:$AC$184,16,0)</f>
        <v>#N/A</v>
      </c>
      <c r="D3008" s="609" t="e">
        <f>+C3008*$L$6</f>
        <v>#N/A</v>
      </c>
      <c r="E3008" s="912"/>
      <c r="F3008" s="912"/>
      <c r="G3008" s="905" t="s">
        <v>367</v>
      </c>
      <c r="H3008" s="546"/>
      <c r="I3008" s="910" t="e">
        <f>VLOOKUP(H3004,'LƯƠNG KT'!$D$16:$AC$184,16,0)</f>
        <v>#N/A</v>
      </c>
      <c r="J3008" s="609" t="e">
        <f>+I3008*$L$6</f>
        <v>#N/A</v>
      </c>
      <c r="K3008" s="935"/>
      <c r="L3008" s="935"/>
      <c r="M3008" s="935"/>
      <c r="N3008" s="935"/>
      <c r="O3008" s="935"/>
    </row>
    <row r="3009" spans="1:15" ht="15" customHeight="1">
      <c r="A3009" s="905" t="s">
        <v>515</v>
      </c>
      <c r="B3009" s="546"/>
      <c r="C3009" s="910" t="e">
        <f>VLOOKUP(B3004,'LƯƠNG KT'!$D$16:$AC$184,17,0)</f>
        <v>#N/A</v>
      </c>
      <c r="D3009" s="609" t="e">
        <f>+C3009*$L$7</f>
        <v>#N/A</v>
      </c>
      <c r="E3009" s="912"/>
      <c r="F3009" s="912"/>
      <c r="G3009" s="905" t="s">
        <v>515</v>
      </c>
      <c r="H3009" s="546"/>
      <c r="I3009" s="910" t="e">
        <f>VLOOKUP(H3004,'LƯƠNG KT'!$D$16:$AC$184,17,0)</f>
        <v>#N/A</v>
      </c>
      <c r="J3009" s="609" t="e">
        <f>+I3009*$L$7</f>
        <v>#N/A</v>
      </c>
      <c r="K3009" s="935"/>
      <c r="L3009" s="935"/>
      <c r="M3009" s="935"/>
      <c r="N3009" s="935"/>
      <c r="O3009" s="935"/>
    </row>
    <row r="3010" spans="1:15" ht="15" customHeight="1">
      <c r="A3010" s="905" t="s">
        <v>371</v>
      </c>
      <c r="B3010" s="546" t="s">
        <v>372</v>
      </c>
      <c r="C3010" s="910" t="e">
        <f>VLOOKUP(B3004,'LƯƠNG KT'!$D$16:$AC$184,9,0)*$L$10</f>
        <v>#N/A</v>
      </c>
      <c r="D3010" s="609" t="e">
        <f>+C3010*0.5*3000</f>
        <v>#N/A</v>
      </c>
      <c r="E3010" s="912"/>
      <c r="F3010" s="912"/>
      <c r="G3010" s="905" t="s">
        <v>371</v>
      </c>
      <c r="H3010" s="546" t="s">
        <v>372</v>
      </c>
      <c r="I3010" s="910" t="e">
        <f>VLOOKUP(H3004,'LƯƠNG KT'!$D$16:$AC$184,9,0)*$L$10</f>
        <v>#N/A</v>
      </c>
      <c r="J3010" s="609" t="e">
        <f>+I3010*0.5*3000</f>
        <v>#N/A</v>
      </c>
      <c r="K3010" s="935"/>
      <c r="L3010" s="935"/>
      <c r="M3010" s="935"/>
      <c r="N3010" s="935"/>
      <c r="O3010" s="935"/>
    </row>
    <row r="3011" spans="1:15" ht="15" customHeight="1">
      <c r="A3011" s="905" t="s">
        <v>374</v>
      </c>
      <c r="B3011" s="546" t="s">
        <v>375</v>
      </c>
      <c r="C3011" s="910" t="e">
        <f>VLOOKUP(B3004,'LƯƠNG KT'!$D$16:$AC$184,8,0)*$L$11</f>
        <v>#N/A</v>
      </c>
      <c r="D3011" s="609" t="e">
        <f>VLOOKUP(B3004,'LƯƠNG KT'!$D$16:$AC$184,13,0)-D3010</f>
        <v>#N/A</v>
      </c>
      <c r="E3011" s="914"/>
      <c r="F3011" s="912"/>
      <c r="G3011" s="905" t="s">
        <v>374</v>
      </c>
      <c r="H3011" s="546" t="s">
        <v>375</v>
      </c>
      <c r="I3011" s="910" t="e">
        <f>VLOOKUP(H3004,'LƯƠNG KT'!$D$16:$AC$184,8,0)*$L$11</f>
        <v>#N/A</v>
      </c>
      <c r="J3011" s="609" t="e">
        <f>VLOOKUP(H3004,'LƯƠNG KT'!$D$16:$AC$184,13,0)-J3010</f>
        <v>#N/A</v>
      </c>
      <c r="K3011" s="935"/>
      <c r="L3011" s="935"/>
      <c r="M3011" s="935"/>
      <c r="N3011" s="935"/>
      <c r="O3011" s="935"/>
    </row>
    <row r="3012" spans="1:15" ht="15" customHeight="1">
      <c r="A3012" s="609" t="s">
        <v>377</v>
      </c>
      <c r="B3012" s="546" t="s">
        <v>378</v>
      </c>
      <c r="C3012" s="910"/>
      <c r="D3012" s="609"/>
      <c r="E3012" s="916"/>
      <c r="F3012" s="916"/>
      <c r="G3012" s="609" t="s">
        <v>377</v>
      </c>
      <c r="H3012" s="546" t="s">
        <v>378</v>
      </c>
      <c r="I3012" s="910"/>
      <c r="J3012" s="609"/>
    </row>
    <row r="3013" spans="1:15" ht="15" customHeight="1">
      <c r="A3013" s="547" t="s">
        <v>379</v>
      </c>
      <c r="B3013" s="546" t="s">
        <v>380</v>
      </c>
      <c r="C3013" s="910"/>
      <c r="D3013" s="609"/>
      <c r="E3013" s="914"/>
      <c r="F3013" s="916"/>
      <c r="G3013" s="547" t="s">
        <v>379</v>
      </c>
      <c r="H3013" s="546" t="s">
        <v>380</v>
      </c>
      <c r="I3013" s="910"/>
      <c r="J3013" s="609"/>
    </row>
    <row r="3014" spans="1:15" ht="15" customHeight="1">
      <c r="A3014" s="905" t="s">
        <v>381</v>
      </c>
      <c r="B3014" s="546" t="s">
        <v>382</v>
      </c>
      <c r="C3014" s="910"/>
      <c r="D3014" s="609">
        <f>D3013</f>
        <v>0</v>
      </c>
      <c r="E3014" s="917"/>
      <c r="F3014" s="904"/>
      <c r="G3014" s="905" t="s">
        <v>381</v>
      </c>
      <c r="H3014" s="546" t="s">
        <v>382</v>
      </c>
      <c r="I3014" s="910"/>
      <c r="J3014" s="609">
        <f>J3013</f>
        <v>0</v>
      </c>
    </row>
    <row r="3015" spans="1:15" ht="15" customHeight="1">
      <c r="A3015" s="918" t="s">
        <v>383</v>
      </c>
      <c r="B3015" s="919" t="s">
        <v>384</v>
      </c>
      <c r="C3015" s="920"/>
      <c r="D3015" s="921" t="e">
        <f>SUM(D3005:D3011)-D3014</f>
        <v>#N/A</v>
      </c>
      <c r="E3015" s="922"/>
      <c r="F3015" s="923"/>
      <c r="G3015" s="918" t="s">
        <v>383</v>
      </c>
      <c r="H3015" s="919" t="s">
        <v>384</v>
      </c>
      <c r="I3015" s="920"/>
      <c r="J3015" s="921" t="e">
        <f>SUM(J3005:J3011)-J3014</f>
        <v>#N/A</v>
      </c>
    </row>
    <row r="3016" spans="1:15" ht="6.75" customHeight="1">
      <c r="A3016" s="924"/>
      <c r="B3016" s="925"/>
      <c r="C3016" s="926"/>
      <c r="D3016" s="927"/>
      <c r="E3016" s="927"/>
      <c r="F3016" s="928"/>
      <c r="G3016" s="924"/>
      <c r="H3016" s="925"/>
      <c r="I3016" s="926"/>
      <c r="J3016" s="927"/>
    </row>
    <row r="3017" spans="1:15" ht="6.75" customHeight="1">
      <c r="A3017" s="925"/>
      <c r="B3017" s="925"/>
      <c r="C3017" s="929"/>
      <c r="D3017" s="930"/>
      <c r="E3017" s="925"/>
      <c r="F3017" s="931"/>
      <c r="G3017" s="925"/>
      <c r="H3017" s="925"/>
      <c r="I3017" s="929"/>
      <c r="J3017" s="930"/>
    </row>
    <row r="3018" spans="1:15" ht="15" customHeight="1">
      <c r="A3018" s="2360" t="str">
        <f>$K$2</f>
        <v>THÁNG 09/2024</v>
      </c>
      <c r="B3018" s="2360"/>
      <c r="C3018" s="2360"/>
      <c r="D3018" s="2360"/>
      <c r="E3018" s="903"/>
      <c r="F3018" s="904"/>
      <c r="G3018" s="2360" t="str">
        <f>$K$2</f>
        <v>THÁNG 09/2024</v>
      </c>
      <c r="H3018" s="2360"/>
      <c r="I3018" s="2360"/>
      <c r="J3018" s="2360"/>
      <c r="K3018" s="276"/>
    </row>
    <row r="3019" spans="1:15" ht="15" customHeight="1">
      <c r="A3019" s="905" t="s">
        <v>356</v>
      </c>
      <c r="B3019" s="642" t="s">
        <v>320</v>
      </c>
      <c r="C3019" s="546"/>
      <c r="D3019" s="902"/>
      <c r="E3019" s="906"/>
      <c r="F3019" s="907"/>
      <c r="G3019" s="905" t="s">
        <v>356</v>
      </c>
      <c r="H3019" s="642" t="s">
        <v>321</v>
      </c>
      <c r="I3019" s="546"/>
      <c r="J3019" s="902"/>
      <c r="L3019" s="938"/>
      <c r="M3019" s="938"/>
      <c r="N3019" s="938"/>
      <c r="O3019" s="938"/>
    </row>
    <row r="3020" spans="1:15" ht="15" customHeight="1">
      <c r="A3020" s="905" t="s">
        <v>359</v>
      </c>
      <c r="B3020" s="939" t="s">
        <v>360</v>
      </c>
      <c r="C3020" s="910" t="e">
        <f>VLOOKUP(B3019,'LƯƠNG KT'!$D$16:$AC$184,3,0)</f>
        <v>#N/A</v>
      </c>
      <c r="D3020" s="609" t="e">
        <f>+C3020*25000</f>
        <v>#N/A</v>
      </c>
      <c r="E3020" s="911"/>
      <c r="F3020" s="911"/>
      <c r="G3020" s="905" t="s">
        <v>359</v>
      </c>
      <c r="H3020" s="939" t="s">
        <v>360</v>
      </c>
      <c r="I3020" s="910" t="e">
        <f>VLOOKUP(H3019,'LƯƠNG KT'!$D$16:$AC$184,3,0)</f>
        <v>#N/A</v>
      </c>
      <c r="J3020" s="609" t="e">
        <f>+I3020*25000</f>
        <v>#N/A</v>
      </c>
      <c r="K3020" s="935"/>
      <c r="L3020" s="935"/>
      <c r="M3020" s="935"/>
      <c r="N3020" s="935"/>
      <c r="O3020" s="935"/>
    </row>
    <row r="3021" spans="1:15" ht="15" customHeight="1">
      <c r="A3021" s="905" t="s">
        <v>361</v>
      </c>
      <c r="B3021" s="546" t="s">
        <v>362</v>
      </c>
      <c r="C3021" s="910" t="e">
        <f>VLOOKUP(B3019,'LƯƠNG KT'!$D$16:$AC$184,14,0)</f>
        <v>#N/A</v>
      </c>
      <c r="D3021" s="609" t="e">
        <f>C3021*$L$4</f>
        <v>#N/A</v>
      </c>
      <c r="E3021" s="912"/>
      <c r="F3021" s="912"/>
      <c r="G3021" s="905" t="s">
        <v>361</v>
      </c>
      <c r="H3021" s="546" t="s">
        <v>362</v>
      </c>
      <c r="I3021" s="910" t="e">
        <f>VLOOKUP(H3019,'LƯƠNG KT'!$D$16:$AC$184,14,0)</f>
        <v>#N/A</v>
      </c>
      <c r="J3021" s="609" t="e">
        <f>I3021*$L$4</f>
        <v>#N/A</v>
      </c>
      <c r="K3021" s="935"/>
      <c r="L3021" s="935"/>
      <c r="M3021" s="935"/>
      <c r="N3021" s="935"/>
      <c r="O3021" s="935"/>
    </row>
    <row r="3022" spans="1:15" ht="15" customHeight="1">
      <c r="A3022" s="905" t="s">
        <v>364</v>
      </c>
      <c r="B3022" s="546" t="s">
        <v>365</v>
      </c>
      <c r="C3022" s="910" t="e">
        <f>VLOOKUP(B3019,'LƯƠNG KT'!$D$16:$AC$184,15,0)</f>
        <v>#N/A</v>
      </c>
      <c r="D3022" s="609" t="e">
        <f>C3022*$L$5</f>
        <v>#N/A</v>
      </c>
      <c r="E3022" s="912"/>
      <c r="F3022" s="912"/>
      <c r="G3022" s="905" t="s">
        <v>364</v>
      </c>
      <c r="H3022" s="546" t="s">
        <v>365</v>
      </c>
      <c r="I3022" s="910" t="e">
        <f>VLOOKUP(H3019,'LƯƠNG KT'!$D$16:$AC$184,15,0)</f>
        <v>#N/A</v>
      </c>
      <c r="J3022" s="609" t="e">
        <f>I3022*$L$5</f>
        <v>#N/A</v>
      </c>
      <c r="K3022" s="935"/>
      <c r="L3022" s="935"/>
      <c r="M3022" s="935"/>
      <c r="N3022" s="935"/>
      <c r="O3022" s="935"/>
    </row>
    <row r="3023" spans="1:15" ht="15" customHeight="1">
      <c r="A3023" s="905" t="s">
        <v>367</v>
      </c>
      <c r="B3023" s="546"/>
      <c r="C3023" s="910" t="e">
        <f>VLOOKUP(B3019,'LƯƠNG KT'!$D$16:$AC$184,16,0)</f>
        <v>#N/A</v>
      </c>
      <c r="D3023" s="609" t="e">
        <f>+C3023*$L$6</f>
        <v>#N/A</v>
      </c>
      <c r="E3023" s="912"/>
      <c r="F3023" s="912"/>
      <c r="G3023" s="905" t="s">
        <v>367</v>
      </c>
      <c r="H3023" s="546"/>
      <c r="I3023" s="910" t="e">
        <f>VLOOKUP(H3019,'LƯƠNG KT'!$D$16:$AC$184,16,0)</f>
        <v>#N/A</v>
      </c>
      <c r="J3023" s="609" t="e">
        <f>+I3023*$L$6</f>
        <v>#N/A</v>
      </c>
      <c r="K3023" s="935"/>
      <c r="L3023" s="935"/>
      <c r="M3023" s="935"/>
      <c r="N3023" s="935"/>
      <c r="O3023" s="935"/>
    </row>
    <row r="3024" spans="1:15" ht="15" customHeight="1">
      <c r="A3024" s="905" t="s">
        <v>515</v>
      </c>
      <c r="B3024" s="546"/>
      <c r="C3024" s="910" t="e">
        <f>VLOOKUP(B3019,'LƯƠNG KT'!$D$16:$AC$184,17,0)</f>
        <v>#N/A</v>
      </c>
      <c r="D3024" s="609" t="e">
        <f>+C3024*$L$7</f>
        <v>#N/A</v>
      </c>
      <c r="E3024" s="912"/>
      <c r="F3024" s="912"/>
      <c r="G3024" s="905" t="s">
        <v>515</v>
      </c>
      <c r="H3024" s="546"/>
      <c r="I3024" s="910" t="e">
        <f>VLOOKUP(H3019,'LƯƠNG KT'!$D$16:$AC$184,17,0)</f>
        <v>#N/A</v>
      </c>
      <c r="J3024" s="609" t="e">
        <f>+I3024*$L$7</f>
        <v>#N/A</v>
      </c>
      <c r="K3024" s="935"/>
      <c r="L3024" s="935"/>
      <c r="M3024" s="935"/>
      <c r="N3024" s="935"/>
      <c r="O3024" s="935"/>
    </row>
    <row r="3025" spans="1:15" ht="15" customHeight="1">
      <c r="A3025" s="905" t="s">
        <v>371</v>
      </c>
      <c r="B3025" s="546" t="s">
        <v>372</v>
      </c>
      <c r="C3025" s="910" t="e">
        <f>VLOOKUP(B3019,'LƯƠNG KT'!$D$16:$AC$184,9,0)*$L$10</f>
        <v>#N/A</v>
      </c>
      <c r="D3025" s="609" t="e">
        <f>+C3025*0.5*3000</f>
        <v>#N/A</v>
      </c>
      <c r="E3025" s="912"/>
      <c r="F3025" s="912"/>
      <c r="G3025" s="905" t="s">
        <v>371</v>
      </c>
      <c r="H3025" s="546" t="s">
        <v>372</v>
      </c>
      <c r="I3025" s="910" t="e">
        <f>VLOOKUP(H3019,'LƯƠNG KT'!$D$16:$AC$184,9,0)*$L$10</f>
        <v>#N/A</v>
      </c>
      <c r="J3025" s="609" t="e">
        <f>+I3025*0.5*3000</f>
        <v>#N/A</v>
      </c>
      <c r="K3025" s="935"/>
      <c r="L3025" s="935"/>
      <c r="M3025" s="935"/>
      <c r="N3025" s="935"/>
      <c r="O3025" s="935"/>
    </row>
    <row r="3026" spans="1:15" ht="15" customHeight="1">
      <c r="A3026" s="905" t="s">
        <v>374</v>
      </c>
      <c r="B3026" s="546" t="s">
        <v>375</v>
      </c>
      <c r="C3026" s="910" t="e">
        <f>VLOOKUP(B3019,'LƯƠNG KT'!$D$16:$AC$184,8,0)*$L$11</f>
        <v>#N/A</v>
      </c>
      <c r="D3026" s="609" t="e">
        <f>VLOOKUP(B3019,'LƯƠNG KT'!$D$16:$AC$184,13,0)-D3025</f>
        <v>#N/A</v>
      </c>
      <c r="E3026" s="914"/>
      <c r="F3026" s="912"/>
      <c r="G3026" s="905" t="s">
        <v>374</v>
      </c>
      <c r="H3026" s="546" t="s">
        <v>375</v>
      </c>
      <c r="I3026" s="910" t="e">
        <f>VLOOKUP(H3019,'LƯƠNG KT'!$D$16:$AC$184,8,0)*$L$11</f>
        <v>#N/A</v>
      </c>
      <c r="J3026" s="609" t="e">
        <f>VLOOKUP(H3019,'LƯƠNG KT'!$D$16:$AC$184,13,0)-J3025</f>
        <v>#N/A</v>
      </c>
      <c r="K3026" s="935"/>
      <c r="L3026" s="935"/>
      <c r="M3026" s="935"/>
      <c r="N3026" s="935"/>
      <c r="O3026" s="935"/>
    </row>
    <row r="3027" spans="1:15" ht="15" customHeight="1">
      <c r="A3027" s="609" t="s">
        <v>377</v>
      </c>
      <c r="B3027" s="546" t="s">
        <v>378</v>
      </c>
      <c r="C3027" s="910"/>
      <c r="D3027" s="609"/>
      <c r="E3027" s="916"/>
      <c r="F3027" s="916"/>
      <c r="G3027" s="609" t="s">
        <v>377</v>
      </c>
      <c r="H3027" s="546" t="s">
        <v>378</v>
      </c>
      <c r="I3027" s="910"/>
      <c r="J3027" s="609"/>
    </row>
    <row r="3028" spans="1:15" ht="15" customHeight="1">
      <c r="A3028" s="547" t="s">
        <v>379</v>
      </c>
      <c r="B3028" s="546" t="s">
        <v>380</v>
      </c>
      <c r="C3028" s="910"/>
      <c r="D3028" s="609"/>
      <c r="E3028" s="914"/>
      <c r="F3028" s="916"/>
      <c r="G3028" s="547" t="s">
        <v>379</v>
      </c>
      <c r="H3028" s="546" t="s">
        <v>380</v>
      </c>
      <c r="I3028" s="910"/>
      <c r="J3028" s="609"/>
    </row>
    <row r="3029" spans="1:15" ht="15" customHeight="1">
      <c r="A3029" s="905" t="s">
        <v>381</v>
      </c>
      <c r="B3029" s="546" t="s">
        <v>382</v>
      </c>
      <c r="C3029" s="910"/>
      <c r="D3029" s="609">
        <f>D3028</f>
        <v>0</v>
      </c>
      <c r="E3029" s="917"/>
      <c r="F3029" s="904"/>
      <c r="G3029" s="905" t="s">
        <v>381</v>
      </c>
      <c r="H3029" s="546" t="s">
        <v>382</v>
      </c>
      <c r="I3029" s="910"/>
      <c r="J3029" s="609">
        <f>J3028</f>
        <v>0</v>
      </c>
    </row>
    <row r="3030" spans="1:15" ht="15" customHeight="1">
      <c r="A3030" s="918" t="s">
        <v>383</v>
      </c>
      <c r="B3030" s="919" t="s">
        <v>384</v>
      </c>
      <c r="C3030" s="920"/>
      <c r="D3030" s="921" t="e">
        <f>SUM(D3020:D3026)-D3029</f>
        <v>#N/A</v>
      </c>
      <c r="E3030" s="922"/>
      <c r="F3030" s="923"/>
      <c r="G3030" s="918" t="s">
        <v>383</v>
      </c>
      <c r="H3030" s="919" t="s">
        <v>384</v>
      </c>
      <c r="I3030" s="920"/>
      <c r="J3030" s="921" t="e">
        <f>SUM(J3020:J3026)-J3029</f>
        <v>#N/A</v>
      </c>
    </row>
    <row r="3031" spans="1:15" ht="6.75" customHeight="1">
      <c r="A3031" s="924"/>
      <c r="B3031" s="925"/>
      <c r="C3031" s="926"/>
      <c r="D3031" s="927"/>
      <c r="E3031" s="927"/>
      <c r="F3031" s="928"/>
      <c r="G3031" s="924"/>
      <c r="H3031" s="925"/>
      <c r="I3031" s="926"/>
      <c r="J3031" s="927"/>
    </row>
    <row r="3032" spans="1:15" ht="6.75" customHeight="1">
      <c r="A3032" s="925"/>
      <c r="B3032" s="925"/>
      <c r="C3032" s="929"/>
      <c r="D3032" s="930"/>
      <c r="E3032" s="925"/>
      <c r="F3032" s="931"/>
      <c r="G3032" s="925"/>
      <c r="H3032" s="925"/>
      <c r="I3032" s="929"/>
      <c r="J3032" s="930"/>
    </row>
    <row r="3033" spans="1:15" ht="15" customHeight="1">
      <c r="A3033" s="2360" t="str">
        <f>$K$2</f>
        <v>THÁNG 09/2024</v>
      </c>
      <c r="B3033" s="2360"/>
      <c r="C3033" s="2360"/>
      <c r="D3033" s="2360"/>
      <c r="E3033" s="903"/>
      <c r="F3033" s="904"/>
      <c r="G3033" s="2360" t="str">
        <f>$K$2</f>
        <v>THÁNG 09/2024</v>
      </c>
      <c r="H3033" s="2360"/>
      <c r="I3033" s="2360"/>
      <c r="J3033" s="2360"/>
      <c r="K3033" s="276"/>
    </row>
    <row r="3034" spans="1:15" ht="15" customHeight="1">
      <c r="A3034" s="905" t="s">
        <v>356</v>
      </c>
      <c r="B3034" s="642" t="s">
        <v>322</v>
      </c>
      <c r="C3034" s="546"/>
      <c r="D3034" s="902"/>
      <c r="E3034" s="906"/>
      <c r="F3034" s="907"/>
      <c r="G3034" s="905" t="s">
        <v>356</v>
      </c>
      <c r="H3034" s="642" t="s">
        <v>323</v>
      </c>
      <c r="I3034" s="546"/>
      <c r="J3034" s="902"/>
      <c r="L3034" s="938"/>
      <c r="M3034" s="938"/>
      <c r="N3034" s="938"/>
      <c r="O3034" s="938"/>
    </row>
    <row r="3035" spans="1:15" ht="15" customHeight="1">
      <c r="A3035" s="905" t="s">
        <v>359</v>
      </c>
      <c r="B3035" s="939" t="s">
        <v>360</v>
      </c>
      <c r="C3035" s="910" t="e">
        <f>VLOOKUP(B3034,'LƯƠNG KT'!$D$16:$AC$184,3,0)</f>
        <v>#N/A</v>
      </c>
      <c r="D3035" s="609" t="e">
        <f>+C3035*25000</f>
        <v>#N/A</v>
      </c>
      <c r="E3035" s="911"/>
      <c r="F3035" s="911"/>
      <c r="G3035" s="905" t="s">
        <v>359</v>
      </c>
      <c r="H3035" s="939" t="s">
        <v>360</v>
      </c>
      <c r="I3035" s="910" t="e">
        <f>VLOOKUP(H3034,'LƯƠNG KT'!$D$16:$AC$184,3,0)</f>
        <v>#N/A</v>
      </c>
      <c r="J3035" s="609" t="e">
        <f>+I3035*25000</f>
        <v>#N/A</v>
      </c>
      <c r="K3035" s="935"/>
      <c r="L3035" s="935"/>
      <c r="M3035" s="935"/>
      <c r="N3035" s="935"/>
      <c r="O3035" s="935"/>
    </row>
    <row r="3036" spans="1:15" ht="15" customHeight="1">
      <c r="A3036" s="905" t="s">
        <v>361</v>
      </c>
      <c r="B3036" s="546" t="s">
        <v>362</v>
      </c>
      <c r="C3036" s="910" t="e">
        <f>VLOOKUP(B3034,'LƯƠNG KT'!$D$16:$AC$184,14,0)</f>
        <v>#N/A</v>
      </c>
      <c r="D3036" s="609" t="e">
        <f>C3036*$L$4</f>
        <v>#N/A</v>
      </c>
      <c r="E3036" s="912"/>
      <c r="F3036" s="912"/>
      <c r="G3036" s="905" t="s">
        <v>361</v>
      </c>
      <c r="H3036" s="546" t="s">
        <v>362</v>
      </c>
      <c r="I3036" s="910" t="e">
        <f>VLOOKUP(H3034,'LƯƠNG KT'!$D$16:$AC$184,14,0)</f>
        <v>#N/A</v>
      </c>
      <c r="J3036" s="609" t="e">
        <f>I3036*$L$4</f>
        <v>#N/A</v>
      </c>
      <c r="K3036" s="935"/>
      <c r="L3036" s="935"/>
      <c r="M3036" s="935"/>
      <c r="N3036" s="935"/>
      <c r="O3036" s="935"/>
    </row>
    <row r="3037" spans="1:15" ht="15" customHeight="1">
      <c r="A3037" s="905" t="s">
        <v>364</v>
      </c>
      <c r="B3037" s="546" t="s">
        <v>365</v>
      </c>
      <c r="C3037" s="910" t="e">
        <f>VLOOKUP(B3034,'LƯƠNG KT'!$D$16:$AC$184,15,0)</f>
        <v>#N/A</v>
      </c>
      <c r="D3037" s="609" t="e">
        <f>C3037*$L$5</f>
        <v>#N/A</v>
      </c>
      <c r="E3037" s="912"/>
      <c r="F3037" s="912"/>
      <c r="G3037" s="905" t="s">
        <v>364</v>
      </c>
      <c r="H3037" s="546" t="s">
        <v>365</v>
      </c>
      <c r="I3037" s="910" t="e">
        <f>VLOOKUP(H3034,'LƯƠNG KT'!$D$16:$AC$184,15,0)</f>
        <v>#N/A</v>
      </c>
      <c r="J3037" s="609" t="e">
        <f>I3037*$L$5</f>
        <v>#N/A</v>
      </c>
      <c r="K3037" s="935"/>
      <c r="L3037" s="935"/>
      <c r="M3037" s="935"/>
      <c r="N3037" s="935"/>
      <c r="O3037" s="935"/>
    </row>
    <row r="3038" spans="1:15" ht="15" customHeight="1">
      <c r="A3038" s="905" t="s">
        <v>367</v>
      </c>
      <c r="B3038" s="546"/>
      <c r="C3038" s="910" t="e">
        <f>VLOOKUP(B3034,'LƯƠNG KT'!$D$16:$AC$184,16,0)</f>
        <v>#N/A</v>
      </c>
      <c r="D3038" s="609" t="e">
        <f>+C3038*$L$6</f>
        <v>#N/A</v>
      </c>
      <c r="E3038" s="912"/>
      <c r="F3038" s="912"/>
      <c r="G3038" s="905" t="s">
        <v>367</v>
      </c>
      <c r="H3038" s="546"/>
      <c r="I3038" s="910" t="e">
        <f>VLOOKUP(H3034,'LƯƠNG KT'!$D$16:$AC$184,16,0)</f>
        <v>#N/A</v>
      </c>
      <c r="J3038" s="609" t="e">
        <f>+I3038*$L$6</f>
        <v>#N/A</v>
      </c>
      <c r="K3038" s="935"/>
      <c r="L3038" s="935"/>
      <c r="M3038" s="935"/>
      <c r="N3038" s="935"/>
      <c r="O3038" s="935"/>
    </row>
    <row r="3039" spans="1:15" ht="15" customHeight="1">
      <c r="A3039" s="905" t="s">
        <v>515</v>
      </c>
      <c r="B3039" s="546"/>
      <c r="C3039" s="910" t="e">
        <f>VLOOKUP(B3034,'LƯƠNG KT'!$D$16:$AC$184,17,0)</f>
        <v>#N/A</v>
      </c>
      <c r="D3039" s="609" t="e">
        <f>+C3039*$L$7</f>
        <v>#N/A</v>
      </c>
      <c r="E3039" s="912"/>
      <c r="F3039" s="912"/>
      <c r="G3039" s="905" t="s">
        <v>515</v>
      </c>
      <c r="H3039" s="546"/>
      <c r="I3039" s="910" t="e">
        <f>VLOOKUP(H3034,'LƯƠNG KT'!$D$16:$AC$184,17,0)</f>
        <v>#N/A</v>
      </c>
      <c r="J3039" s="609" t="e">
        <f>+I3039*$L$7</f>
        <v>#N/A</v>
      </c>
      <c r="K3039" s="935"/>
      <c r="L3039" s="935"/>
      <c r="M3039" s="935"/>
      <c r="N3039" s="935"/>
      <c r="O3039" s="935"/>
    </row>
    <row r="3040" spans="1:15" ht="15" customHeight="1">
      <c r="A3040" s="905" t="s">
        <v>371</v>
      </c>
      <c r="B3040" s="546" t="s">
        <v>372</v>
      </c>
      <c r="C3040" s="910" t="e">
        <f>VLOOKUP(B3034,'LƯƠNG KT'!$D$16:$AC$184,9,0)*$L$10</f>
        <v>#N/A</v>
      </c>
      <c r="D3040" s="609" t="e">
        <f>+C3040*0.5*3000</f>
        <v>#N/A</v>
      </c>
      <c r="E3040" s="912"/>
      <c r="F3040" s="912"/>
      <c r="G3040" s="905" t="s">
        <v>371</v>
      </c>
      <c r="H3040" s="546" t="s">
        <v>372</v>
      </c>
      <c r="I3040" s="910" t="e">
        <f>VLOOKUP(H3034,'LƯƠNG KT'!$D$16:$AC$184,9,0)*$L$10</f>
        <v>#N/A</v>
      </c>
      <c r="J3040" s="609" t="e">
        <f>+I3040*0.5*3000</f>
        <v>#N/A</v>
      </c>
      <c r="K3040" s="935"/>
      <c r="L3040" s="935"/>
      <c r="M3040" s="935"/>
      <c r="N3040" s="935"/>
      <c r="O3040" s="935"/>
    </row>
    <row r="3041" spans="1:15" ht="15" customHeight="1">
      <c r="A3041" s="905" t="s">
        <v>374</v>
      </c>
      <c r="B3041" s="546" t="s">
        <v>375</v>
      </c>
      <c r="C3041" s="910" t="e">
        <f>VLOOKUP(B3034,'LƯƠNG KT'!$D$16:$AC$184,8,0)*$L$11</f>
        <v>#N/A</v>
      </c>
      <c r="D3041" s="609" t="e">
        <f>VLOOKUP(B3034,'LƯƠNG KT'!$D$16:$AC$184,13,0)-D3040</f>
        <v>#N/A</v>
      </c>
      <c r="E3041" s="914"/>
      <c r="F3041" s="912"/>
      <c r="G3041" s="905" t="s">
        <v>374</v>
      </c>
      <c r="H3041" s="546" t="s">
        <v>375</v>
      </c>
      <c r="I3041" s="910" t="e">
        <f>VLOOKUP(H3034,'LƯƠNG KT'!$D$16:$AC$184,8,0)*$L$11</f>
        <v>#N/A</v>
      </c>
      <c r="J3041" s="609" t="e">
        <f>VLOOKUP(H3034,'LƯƠNG KT'!$D$16:$AC$184,13,0)-J3040</f>
        <v>#N/A</v>
      </c>
      <c r="K3041" s="935"/>
      <c r="L3041" s="935"/>
      <c r="M3041" s="935"/>
      <c r="N3041" s="935"/>
      <c r="O3041" s="935"/>
    </row>
    <row r="3042" spans="1:15" ht="15" customHeight="1">
      <c r="A3042" s="609" t="s">
        <v>377</v>
      </c>
      <c r="B3042" s="546" t="s">
        <v>378</v>
      </c>
      <c r="C3042" s="910"/>
      <c r="D3042" s="609"/>
      <c r="E3042" s="916"/>
      <c r="F3042" s="916"/>
      <c r="G3042" s="609" t="s">
        <v>377</v>
      </c>
      <c r="H3042" s="546" t="s">
        <v>378</v>
      </c>
      <c r="I3042" s="910"/>
      <c r="J3042" s="609"/>
    </row>
    <row r="3043" spans="1:15" ht="15" customHeight="1">
      <c r="A3043" s="547" t="s">
        <v>379</v>
      </c>
      <c r="B3043" s="546" t="s">
        <v>380</v>
      </c>
      <c r="C3043" s="910"/>
      <c r="D3043" s="609"/>
      <c r="E3043" s="914"/>
      <c r="F3043" s="916"/>
      <c r="G3043" s="547" t="s">
        <v>379</v>
      </c>
      <c r="H3043" s="546" t="s">
        <v>380</v>
      </c>
      <c r="I3043" s="910"/>
      <c r="J3043" s="609"/>
    </row>
    <row r="3044" spans="1:15" ht="15" customHeight="1">
      <c r="A3044" s="905" t="s">
        <v>381</v>
      </c>
      <c r="B3044" s="546" t="s">
        <v>382</v>
      </c>
      <c r="C3044" s="910"/>
      <c r="D3044" s="609">
        <f>D3043</f>
        <v>0</v>
      </c>
      <c r="E3044" s="917"/>
      <c r="F3044" s="904"/>
      <c r="G3044" s="905" t="s">
        <v>381</v>
      </c>
      <c r="H3044" s="546" t="s">
        <v>382</v>
      </c>
      <c r="I3044" s="910"/>
      <c r="J3044" s="609">
        <f>J3043</f>
        <v>0</v>
      </c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SUM(D3035:D3041)-D3044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SUM(J3035:J3041)-J3044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7" spans="1:15" ht="6.75" customHeight="1"/>
    <row r="3048" spans="1:15" ht="6.75" customHeight="1">
      <c r="A3048" s="2361"/>
      <c r="B3048" s="2361"/>
      <c r="C3048" s="2361"/>
      <c r="D3048" s="2361"/>
      <c r="E3048" s="2361"/>
      <c r="F3048" s="2361"/>
      <c r="G3048" s="2361"/>
      <c r="H3048" s="2361"/>
      <c r="I3048" s="2361"/>
      <c r="J3048" s="2361"/>
    </row>
    <row r="3049" spans="1:15" ht="15" customHeight="1">
      <c r="A3049" s="2360" t="str">
        <f>$K$2</f>
        <v>THÁNG 09/2024</v>
      </c>
      <c r="B3049" s="2360"/>
      <c r="C3049" s="2360"/>
      <c r="D3049" s="2360"/>
      <c r="E3049" s="903"/>
      <c r="F3049" s="904"/>
      <c r="G3049" s="2360" t="str">
        <f>$K$2</f>
        <v>THÁNG 09/2024</v>
      </c>
      <c r="H3049" s="2360"/>
      <c r="I3049" s="2360"/>
      <c r="J3049" s="2360"/>
      <c r="K3049" s="276"/>
    </row>
    <row r="3050" spans="1:15" ht="15" customHeight="1">
      <c r="A3050" s="905" t="s">
        <v>356</v>
      </c>
      <c r="B3050" s="642" t="s">
        <v>324</v>
      </c>
      <c r="C3050" s="546"/>
      <c r="D3050" s="902"/>
      <c r="E3050" s="906"/>
      <c r="F3050" s="907"/>
      <c r="G3050" s="905" t="s">
        <v>356</v>
      </c>
      <c r="H3050" s="642" t="s">
        <v>325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5" t="s">
        <v>359</v>
      </c>
      <c r="B3051" s="939" t="s">
        <v>360</v>
      </c>
      <c r="C3051" s="910" t="e">
        <f>VLOOKUP(B3050,'LƯƠNG KT'!$D$16:$AC$184,3,0)</f>
        <v>#N/A</v>
      </c>
      <c r="D3051" s="609" t="e">
        <f>+C3051*25000</f>
        <v>#N/A</v>
      </c>
      <c r="E3051" s="911"/>
      <c r="F3051" s="911"/>
      <c r="G3051" s="905" t="s">
        <v>359</v>
      </c>
      <c r="H3051" s="939" t="s">
        <v>360</v>
      </c>
      <c r="I3051" s="910" t="e">
        <f>VLOOKUP(H3050,'LƯƠNG KT'!$D$16:$AC$184,3,0)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5" t="s">
        <v>361</v>
      </c>
      <c r="B3052" s="546" t="s">
        <v>362</v>
      </c>
      <c r="C3052" s="910" t="e">
        <f>VLOOKUP(B3050,'LƯƠNG KT'!$D$16:$AC$184,14,0)</f>
        <v>#N/A</v>
      </c>
      <c r="D3052" s="609" t="e">
        <f>C3052*$L$4</f>
        <v>#N/A</v>
      </c>
      <c r="E3052" s="912"/>
      <c r="F3052" s="912"/>
      <c r="G3052" s="905" t="s">
        <v>361</v>
      </c>
      <c r="H3052" s="546" t="s">
        <v>362</v>
      </c>
      <c r="I3052" s="910" t="e">
        <f>VLOOKUP(H3050,'LƯƠNG KT'!$D$16:$AC$184,14,0)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5" t="s">
        <v>364</v>
      </c>
      <c r="B3053" s="546" t="s">
        <v>365</v>
      </c>
      <c r="C3053" s="910" t="e">
        <f>VLOOKUP(B3050,'LƯƠNG KT'!$D$16:$AC$184,15,0)</f>
        <v>#N/A</v>
      </c>
      <c r="D3053" s="609" t="e">
        <f>C3053*$L$5</f>
        <v>#N/A</v>
      </c>
      <c r="E3053" s="912"/>
      <c r="F3053" s="912"/>
      <c r="G3053" s="905" t="s">
        <v>364</v>
      </c>
      <c r="H3053" s="546" t="s">
        <v>365</v>
      </c>
      <c r="I3053" s="910" t="e">
        <f>VLOOKUP(H3050,'LƯƠNG KT'!$D$16:$AC$184,15,0)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5" t="s">
        <v>367</v>
      </c>
      <c r="B3054" s="546"/>
      <c r="C3054" s="910" t="e">
        <f>VLOOKUP(B3050,'LƯƠNG KT'!$D$16:$AC$184,16,0)</f>
        <v>#N/A</v>
      </c>
      <c r="D3054" s="609" t="e">
        <f>+C3054*$L$6</f>
        <v>#N/A</v>
      </c>
      <c r="E3054" s="912"/>
      <c r="F3054" s="912"/>
      <c r="G3054" s="905" t="s">
        <v>367</v>
      </c>
      <c r="H3054" s="546"/>
      <c r="I3054" s="910" t="e">
        <f>VLOOKUP(H3050,'LƯƠNG KT'!$D$16:$AC$184,16,0)</f>
        <v>#N/A</v>
      </c>
      <c r="J3054" s="609" t="e">
        <f>+I3054*$L$6</f>
        <v>#N/A</v>
      </c>
      <c r="K3054" s="934"/>
      <c r="L3054" s="935"/>
      <c r="M3054" s="935"/>
      <c r="N3054" s="935"/>
      <c r="O3054" s="935"/>
    </row>
    <row r="3055" spans="1:15" ht="15" customHeight="1">
      <c r="A3055" s="905" t="s">
        <v>515</v>
      </c>
      <c r="B3055" s="546"/>
      <c r="C3055" s="910" t="e">
        <f>VLOOKUP(B3050,'LƯƠNG KT'!$D$16:$AC$184,17,0)</f>
        <v>#N/A</v>
      </c>
      <c r="D3055" s="609" t="e">
        <f>+C3055*$L$7</f>
        <v>#N/A</v>
      </c>
      <c r="E3055" s="912"/>
      <c r="F3055" s="912"/>
      <c r="G3055" s="905" t="s">
        <v>515</v>
      </c>
      <c r="H3055" s="546"/>
      <c r="I3055" s="910" t="e">
        <f>VLOOKUP(H3050,'LƯƠNG KT'!$D$16:$AC$184,17,0)</f>
        <v>#N/A</v>
      </c>
      <c r="J3055" s="609" t="e">
        <f>+I3055*$L$7</f>
        <v>#N/A</v>
      </c>
      <c r="K3055" s="935"/>
      <c r="L3055" s="935"/>
      <c r="M3055" s="935"/>
      <c r="N3055" s="935"/>
      <c r="O3055" s="935"/>
    </row>
    <row r="3056" spans="1:15" ht="15" customHeight="1">
      <c r="A3056" s="905" t="s">
        <v>371</v>
      </c>
      <c r="B3056" s="546" t="s">
        <v>372</v>
      </c>
      <c r="C3056" s="910" t="e">
        <f>VLOOKUP(B3050,'LƯƠNG KT'!$D$16:$AC$184,9,0)*$L$10</f>
        <v>#N/A</v>
      </c>
      <c r="D3056" s="609" t="e">
        <f>+C3056*0.5*3000</f>
        <v>#N/A</v>
      </c>
      <c r="E3056" s="912"/>
      <c r="F3056" s="912"/>
      <c r="G3056" s="905" t="s">
        <v>371</v>
      </c>
      <c r="H3056" s="546" t="s">
        <v>372</v>
      </c>
      <c r="I3056" s="910" t="e">
        <f>VLOOKUP(H3050,'LƯƠNG KT'!$D$16:$AC$184,9,0)*$L$10</f>
        <v>#N/A</v>
      </c>
      <c r="J3056" s="609" t="e">
        <f>+I3056*0.5*3000</f>
        <v>#N/A</v>
      </c>
      <c r="K3056" s="935"/>
      <c r="L3056" s="935"/>
      <c r="M3056" s="935"/>
      <c r="N3056" s="935"/>
      <c r="O3056" s="935"/>
    </row>
    <row r="3057" spans="1:15" ht="15" customHeight="1">
      <c r="A3057" s="905" t="s">
        <v>374</v>
      </c>
      <c r="B3057" s="546" t="s">
        <v>375</v>
      </c>
      <c r="C3057" s="910" t="e">
        <f>VLOOKUP(B3050,'LƯƠNG KT'!$D$16:$AC$184,8,0)*$L$11</f>
        <v>#N/A</v>
      </c>
      <c r="D3057" s="609" t="e">
        <f>VLOOKUP(B3050,'LƯƠNG KT'!$D$16:$AC$184,13,0)-D3056</f>
        <v>#N/A</v>
      </c>
      <c r="E3057" s="914"/>
      <c r="F3057" s="912"/>
      <c r="G3057" s="905" t="s">
        <v>374</v>
      </c>
      <c r="H3057" s="546" t="s">
        <v>375</v>
      </c>
      <c r="I3057" s="910" t="e">
        <f>VLOOKUP(H3050,'LƯƠNG KT'!$D$16:$AC$184,8,0)*$L$11</f>
        <v>#N/A</v>
      </c>
      <c r="J3057" s="609" t="e">
        <f>VLOOKUP(H3050,'LƯƠNG KT'!$D$16:$AC$184,13,0)-J3056</f>
        <v>#N/A</v>
      </c>
      <c r="K3057" s="935"/>
      <c r="L3057" s="935"/>
      <c r="M3057" s="935"/>
      <c r="N3057" s="935"/>
      <c r="O3057" s="935"/>
    </row>
    <row r="3058" spans="1:15" ht="15" customHeight="1">
      <c r="A3058" s="609" t="s">
        <v>377</v>
      </c>
      <c r="B3058" s="546" t="s">
        <v>378</v>
      </c>
      <c r="C3058" s="910"/>
      <c r="D3058" s="609"/>
      <c r="E3058" s="916"/>
      <c r="F3058" s="916"/>
      <c r="G3058" s="609" t="s">
        <v>377</v>
      </c>
      <c r="H3058" s="546" t="s">
        <v>378</v>
      </c>
      <c r="I3058" s="910"/>
      <c r="J3058" s="609"/>
    </row>
    <row r="3059" spans="1:15" ht="15" customHeight="1">
      <c r="A3059" s="547" t="s">
        <v>379</v>
      </c>
      <c r="B3059" s="546" t="s">
        <v>380</v>
      </c>
      <c r="C3059" s="910"/>
      <c r="D3059" s="609"/>
      <c r="E3059" s="914"/>
      <c r="F3059" s="916"/>
      <c r="G3059" s="547" t="s">
        <v>379</v>
      </c>
      <c r="H3059" s="546" t="s">
        <v>380</v>
      </c>
      <c r="I3059" s="910"/>
      <c r="J3059" s="609"/>
    </row>
    <row r="3060" spans="1:15" ht="15" customHeight="1">
      <c r="A3060" s="905" t="s">
        <v>381</v>
      </c>
      <c r="B3060" s="546" t="s">
        <v>382</v>
      </c>
      <c r="C3060" s="910"/>
      <c r="D3060" s="609">
        <f>D3059</f>
        <v>0</v>
      </c>
      <c r="E3060" s="917"/>
      <c r="F3060" s="904"/>
      <c r="G3060" s="905" t="s">
        <v>381</v>
      </c>
      <c r="H3060" s="546" t="s">
        <v>382</v>
      </c>
      <c r="I3060" s="910"/>
      <c r="J3060" s="609">
        <f>J3059</f>
        <v>0</v>
      </c>
    </row>
    <row r="3061" spans="1:15" ht="15" customHeight="1">
      <c r="A3061" s="918" t="s">
        <v>383</v>
      </c>
      <c r="B3061" s="919" t="s">
        <v>384</v>
      </c>
      <c r="C3061" s="920"/>
      <c r="D3061" s="921" t="e">
        <f>SUM(D3051:D3057)-D3060</f>
        <v>#N/A</v>
      </c>
      <c r="E3061" s="922"/>
      <c r="F3061" s="923"/>
      <c r="G3061" s="918" t="s">
        <v>383</v>
      </c>
      <c r="H3061" s="919" t="s">
        <v>384</v>
      </c>
      <c r="I3061" s="920"/>
      <c r="J3061" s="921" t="e">
        <f>SUM(J3051:J3057)-J3060</f>
        <v>#N/A</v>
      </c>
    </row>
    <row r="3062" spans="1:15" ht="12.6" customHeight="1">
      <c r="A3062" s="924"/>
      <c r="B3062" s="925"/>
      <c r="C3062" s="926"/>
      <c r="D3062" s="927"/>
      <c r="E3062" s="927"/>
      <c r="F3062" s="928"/>
      <c r="G3062" s="924"/>
      <c r="H3062" s="925"/>
      <c r="I3062" s="926"/>
      <c r="J3062" s="927"/>
    </row>
    <row r="3063" spans="1:15" ht="12.6" customHeight="1">
      <c r="A3063" s="925"/>
      <c r="B3063" s="925"/>
      <c r="C3063" s="929"/>
      <c r="D3063" s="930"/>
      <c r="E3063" s="925"/>
      <c r="F3063" s="931"/>
      <c r="G3063" s="925"/>
      <c r="H3063" s="925"/>
      <c r="I3063" s="929"/>
      <c r="J3063" s="930"/>
    </row>
    <row r="3064" spans="1:15" ht="15" customHeight="1">
      <c r="A3064" s="2360" t="str">
        <f>$K$2</f>
        <v>THÁNG 09/2024</v>
      </c>
      <c r="B3064" s="2360"/>
      <c r="C3064" s="2360"/>
      <c r="D3064" s="2360"/>
      <c r="E3064" s="903"/>
      <c r="F3064" s="904"/>
      <c r="G3064" s="2360" t="str">
        <f>$K$2</f>
        <v>THÁNG 09/2024</v>
      </c>
      <c r="H3064" s="2360"/>
      <c r="I3064" s="2360"/>
      <c r="J3064" s="2360"/>
      <c r="K3064" s="276"/>
    </row>
    <row r="3065" spans="1:15" ht="15" customHeight="1">
      <c r="A3065" s="905" t="s">
        <v>356</v>
      </c>
      <c r="B3065" s="642" t="s">
        <v>326</v>
      </c>
      <c r="C3065" s="546"/>
      <c r="D3065" s="902"/>
      <c r="E3065" s="906"/>
      <c r="F3065" s="907"/>
      <c r="G3065" s="905" t="s">
        <v>356</v>
      </c>
      <c r="H3065" s="642" t="s">
        <v>327</v>
      </c>
      <c r="I3065" s="546"/>
      <c r="J3065" s="902"/>
      <c r="L3065" s="938"/>
      <c r="M3065" s="938"/>
      <c r="N3065" s="938"/>
      <c r="O3065" s="938"/>
    </row>
    <row r="3066" spans="1:15" ht="15" customHeight="1">
      <c r="A3066" s="905" t="s">
        <v>359</v>
      </c>
      <c r="B3066" s="939" t="s">
        <v>360</v>
      </c>
      <c r="C3066" s="910" t="e">
        <f>VLOOKUP(B3065,'LƯƠNG KT'!$D$16:$AC$184,3,0)</f>
        <v>#N/A</v>
      </c>
      <c r="D3066" s="609" t="e">
        <f>+C3066*25000</f>
        <v>#N/A</v>
      </c>
      <c r="E3066" s="911"/>
      <c r="F3066" s="911"/>
      <c r="G3066" s="905" t="s">
        <v>359</v>
      </c>
      <c r="H3066" s="939" t="s">
        <v>360</v>
      </c>
      <c r="I3066" s="910" t="e">
        <f>VLOOKUP(H3065,'LƯƠNG KT'!$D$16:$AC$184,3,0)</f>
        <v>#N/A</v>
      </c>
      <c r="J3066" s="609" t="e">
        <f>+I3066*25000</f>
        <v>#N/A</v>
      </c>
      <c r="K3066" s="935"/>
      <c r="L3066" s="935"/>
      <c r="M3066" s="935"/>
      <c r="N3066" s="935"/>
      <c r="O3066" s="935"/>
    </row>
    <row r="3067" spans="1:15" ht="15" customHeight="1">
      <c r="A3067" s="905" t="s">
        <v>361</v>
      </c>
      <c r="B3067" s="546" t="s">
        <v>362</v>
      </c>
      <c r="C3067" s="910" t="e">
        <f>VLOOKUP(B3065,'LƯƠNG KT'!$D$16:$AC$184,14,0)</f>
        <v>#N/A</v>
      </c>
      <c r="D3067" s="609" t="e">
        <f>C3067*$L$4</f>
        <v>#N/A</v>
      </c>
      <c r="E3067" s="912"/>
      <c r="F3067" s="912"/>
      <c r="G3067" s="905" t="s">
        <v>361</v>
      </c>
      <c r="H3067" s="546" t="s">
        <v>362</v>
      </c>
      <c r="I3067" s="910" t="e">
        <f>VLOOKUP(H3065,'LƯƠNG KT'!$D$16:$AC$184,14,0)</f>
        <v>#N/A</v>
      </c>
      <c r="J3067" s="609" t="e">
        <f>I3067*$L$4</f>
        <v>#N/A</v>
      </c>
      <c r="K3067" s="935"/>
      <c r="L3067" s="935"/>
      <c r="M3067" s="935"/>
      <c r="N3067" s="935"/>
      <c r="O3067" s="935"/>
    </row>
    <row r="3068" spans="1:15" ht="15" customHeight="1">
      <c r="A3068" s="905" t="s">
        <v>364</v>
      </c>
      <c r="B3068" s="546" t="s">
        <v>365</v>
      </c>
      <c r="C3068" s="910" t="e">
        <f>VLOOKUP(B3065,'LƯƠNG KT'!$D$16:$AC$184,15,0)</f>
        <v>#N/A</v>
      </c>
      <c r="D3068" s="609" t="e">
        <f>C3068*$L$5</f>
        <v>#N/A</v>
      </c>
      <c r="E3068" s="912"/>
      <c r="F3068" s="912"/>
      <c r="G3068" s="905" t="s">
        <v>364</v>
      </c>
      <c r="H3068" s="546" t="s">
        <v>365</v>
      </c>
      <c r="I3068" s="910" t="e">
        <f>VLOOKUP(H3065,'LƯƠNG KT'!$D$16:$AC$184,15,0)</f>
        <v>#N/A</v>
      </c>
      <c r="J3068" s="609" t="e">
        <f>I3068*$L$5</f>
        <v>#N/A</v>
      </c>
      <c r="K3068" s="935"/>
      <c r="L3068" s="935"/>
      <c r="M3068" s="935"/>
      <c r="N3068" s="935"/>
      <c r="O3068" s="935"/>
    </row>
    <row r="3069" spans="1:15" ht="15" customHeight="1">
      <c r="A3069" s="905" t="s">
        <v>367</v>
      </c>
      <c r="B3069" s="546"/>
      <c r="C3069" s="910" t="e">
        <f>VLOOKUP(B3065,'LƯƠNG KT'!$D$16:$AC$184,16,0)</f>
        <v>#N/A</v>
      </c>
      <c r="D3069" s="609" t="e">
        <f>+C3069*$L$6</f>
        <v>#N/A</v>
      </c>
      <c r="E3069" s="912"/>
      <c r="F3069" s="912"/>
      <c r="G3069" s="905" t="s">
        <v>367</v>
      </c>
      <c r="H3069" s="546"/>
      <c r="I3069" s="910" t="e">
        <f>VLOOKUP(H3065,'LƯƠNG KT'!$D$16:$AC$184,16,0)</f>
        <v>#N/A</v>
      </c>
      <c r="J3069" s="609" t="e">
        <f>+I3069*$L$6</f>
        <v>#N/A</v>
      </c>
      <c r="K3069" s="935"/>
      <c r="L3069" s="935"/>
      <c r="M3069" s="935"/>
      <c r="N3069" s="935"/>
      <c r="O3069" s="935"/>
    </row>
    <row r="3070" spans="1:15" ht="15" customHeight="1">
      <c r="A3070" s="905" t="s">
        <v>515</v>
      </c>
      <c r="B3070" s="546"/>
      <c r="C3070" s="910" t="e">
        <f>VLOOKUP(B3065,'LƯƠNG KT'!$D$16:$AC$184,17,0)</f>
        <v>#N/A</v>
      </c>
      <c r="D3070" s="609" t="e">
        <f>+C3070*$L$7</f>
        <v>#N/A</v>
      </c>
      <c r="E3070" s="912"/>
      <c r="F3070" s="912"/>
      <c r="G3070" s="905" t="s">
        <v>515</v>
      </c>
      <c r="H3070" s="546"/>
      <c r="I3070" s="910" t="e">
        <f>VLOOKUP(H3065,'LƯƠNG KT'!$D$16:$AC$184,17,0)</f>
        <v>#N/A</v>
      </c>
      <c r="J3070" s="609" t="e">
        <f>+I3070*$L$7</f>
        <v>#N/A</v>
      </c>
      <c r="K3070" s="935"/>
      <c r="L3070" s="935"/>
      <c r="M3070" s="935"/>
      <c r="N3070" s="935"/>
      <c r="O3070" s="935"/>
    </row>
    <row r="3071" spans="1:15" ht="15" customHeight="1">
      <c r="A3071" s="905" t="s">
        <v>371</v>
      </c>
      <c r="B3071" s="546" t="s">
        <v>372</v>
      </c>
      <c r="C3071" s="910" t="e">
        <f>VLOOKUP(B3065,'LƯƠNG KT'!$D$16:$AC$184,9,0)*$L$10</f>
        <v>#N/A</v>
      </c>
      <c r="D3071" s="609" t="e">
        <f>+C3071*0.5*3000</f>
        <v>#N/A</v>
      </c>
      <c r="E3071" s="912"/>
      <c r="F3071" s="912"/>
      <c r="G3071" s="905" t="s">
        <v>371</v>
      </c>
      <c r="H3071" s="546" t="s">
        <v>372</v>
      </c>
      <c r="I3071" s="910" t="e">
        <f>VLOOKUP(H3065,'LƯƠNG KT'!$D$16:$AC$184,9,0)*$L$10</f>
        <v>#N/A</v>
      </c>
      <c r="J3071" s="609" t="e">
        <f>+I3071*0.5*3000</f>
        <v>#N/A</v>
      </c>
      <c r="K3071" s="935"/>
      <c r="L3071" s="935"/>
      <c r="M3071" s="935"/>
      <c r="N3071" s="935"/>
      <c r="O3071" s="935"/>
    </row>
    <row r="3072" spans="1:15" ht="15" customHeight="1">
      <c r="A3072" s="905" t="s">
        <v>374</v>
      </c>
      <c r="B3072" s="546" t="s">
        <v>375</v>
      </c>
      <c r="C3072" s="910" t="e">
        <f>VLOOKUP(B3065,'LƯƠNG KT'!$D$16:$AC$184,8,0)*$L$11</f>
        <v>#N/A</v>
      </c>
      <c r="D3072" s="609" t="e">
        <f>VLOOKUP(B3065,'LƯƠNG KT'!$D$16:$AC$184,13,0)-D3071</f>
        <v>#N/A</v>
      </c>
      <c r="E3072" s="914"/>
      <c r="F3072" s="912"/>
      <c r="G3072" s="905" t="s">
        <v>374</v>
      </c>
      <c r="H3072" s="546" t="s">
        <v>375</v>
      </c>
      <c r="I3072" s="910" t="e">
        <f>VLOOKUP(H3065,'LƯƠNG KT'!$D$16:$AC$184,8,0)*$L$11</f>
        <v>#N/A</v>
      </c>
      <c r="J3072" s="609" t="e">
        <f>VLOOKUP(H3065,'LƯƠNG KT'!$D$16:$AC$184,13,0)-J3071</f>
        <v>#N/A</v>
      </c>
      <c r="K3072" s="935"/>
      <c r="L3072" s="935"/>
      <c r="M3072" s="935"/>
      <c r="N3072" s="935"/>
      <c r="O3072" s="935"/>
    </row>
    <row r="3073" spans="1:15" ht="15" customHeight="1">
      <c r="A3073" s="609" t="s">
        <v>377</v>
      </c>
      <c r="B3073" s="546" t="s">
        <v>378</v>
      </c>
      <c r="C3073" s="910"/>
      <c r="D3073" s="609"/>
      <c r="E3073" s="916"/>
      <c r="F3073" s="916"/>
      <c r="G3073" s="609" t="s">
        <v>377</v>
      </c>
      <c r="H3073" s="546" t="s">
        <v>378</v>
      </c>
      <c r="I3073" s="910"/>
      <c r="J3073" s="609"/>
    </row>
    <row r="3074" spans="1:15" ht="15" customHeight="1">
      <c r="A3074" s="547" t="s">
        <v>379</v>
      </c>
      <c r="B3074" s="546" t="s">
        <v>380</v>
      </c>
      <c r="C3074" s="910"/>
      <c r="D3074" s="609"/>
      <c r="E3074" s="914"/>
      <c r="F3074" s="916"/>
      <c r="G3074" s="547" t="s">
        <v>379</v>
      </c>
      <c r="H3074" s="546" t="s">
        <v>380</v>
      </c>
      <c r="I3074" s="910"/>
      <c r="J3074" s="609"/>
    </row>
    <row r="3075" spans="1:15" ht="15" customHeight="1">
      <c r="A3075" s="905" t="s">
        <v>381</v>
      </c>
      <c r="B3075" s="546" t="s">
        <v>382</v>
      </c>
      <c r="C3075" s="910"/>
      <c r="D3075" s="609">
        <f>D3074</f>
        <v>0</v>
      </c>
      <c r="E3075" s="917"/>
      <c r="F3075" s="904"/>
      <c r="G3075" s="905" t="s">
        <v>381</v>
      </c>
      <c r="H3075" s="546" t="s">
        <v>382</v>
      </c>
      <c r="I3075" s="910"/>
      <c r="J3075" s="609">
        <f>J3074</f>
        <v>0</v>
      </c>
    </row>
    <row r="3076" spans="1:15" ht="15" customHeight="1">
      <c r="A3076" s="918" t="s">
        <v>383</v>
      </c>
      <c r="B3076" s="919" t="s">
        <v>384</v>
      </c>
      <c r="C3076" s="920"/>
      <c r="D3076" s="921" t="e">
        <f>SUM(D3066:D3072)-D3075</f>
        <v>#N/A</v>
      </c>
      <c r="E3076" s="922"/>
      <c r="F3076" s="923"/>
      <c r="G3076" s="918" t="s">
        <v>383</v>
      </c>
      <c r="H3076" s="919" t="s">
        <v>384</v>
      </c>
      <c r="I3076" s="920"/>
      <c r="J3076" s="921" t="e">
        <f>SUM(J3066:J3072)-J3075</f>
        <v>#N/A</v>
      </c>
    </row>
    <row r="3077" spans="1:15" ht="6.75" customHeight="1">
      <c r="A3077" s="924"/>
      <c r="B3077" s="925"/>
      <c r="C3077" s="926"/>
      <c r="D3077" s="927"/>
      <c r="E3077" s="927"/>
      <c r="F3077" s="928"/>
      <c r="G3077" s="924"/>
      <c r="H3077" s="925"/>
      <c r="I3077" s="926"/>
      <c r="J3077" s="927"/>
    </row>
    <row r="3078" spans="1:15" ht="6.75" customHeight="1">
      <c r="A3078" s="925"/>
      <c r="B3078" s="925"/>
      <c r="C3078" s="929"/>
      <c r="D3078" s="930"/>
      <c r="E3078" s="925"/>
      <c r="F3078" s="931"/>
      <c r="G3078" s="925"/>
      <c r="H3078" s="925"/>
      <c r="I3078" s="929"/>
      <c r="J3078" s="930"/>
    </row>
    <row r="3079" spans="1:15" ht="15" customHeight="1">
      <c r="A3079" s="2360" t="str">
        <f>$K$2</f>
        <v>THÁNG 09/2024</v>
      </c>
      <c r="B3079" s="2360"/>
      <c r="C3079" s="2360"/>
      <c r="D3079" s="2360"/>
      <c r="E3079" s="903"/>
      <c r="F3079" s="904"/>
      <c r="G3079" s="2360" t="str">
        <f>$K$2</f>
        <v>THÁNG 09/2024</v>
      </c>
      <c r="H3079" s="2360"/>
      <c r="I3079" s="2360"/>
      <c r="J3079" s="2360"/>
      <c r="K3079" s="276"/>
    </row>
    <row r="3080" spans="1:15" ht="15" customHeight="1">
      <c r="A3080" s="905" t="s">
        <v>356</v>
      </c>
      <c r="B3080" s="642" t="s">
        <v>328</v>
      </c>
      <c r="C3080" s="546"/>
      <c r="D3080" s="902"/>
      <c r="E3080" s="906"/>
      <c r="F3080" s="907"/>
      <c r="G3080" s="905" t="s">
        <v>356</v>
      </c>
      <c r="H3080" s="642" t="s">
        <v>329</v>
      </c>
      <c r="I3080" s="546"/>
      <c r="J3080" s="902"/>
      <c r="L3080" s="938"/>
      <c r="M3080" s="938"/>
      <c r="N3080" s="938"/>
      <c r="O3080" s="938"/>
    </row>
    <row r="3081" spans="1:15" ht="15" customHeight="1">
      <c r="A3081" s="905" t="s">
        <v>359</v>
      </c>
      <c r="B3081" s="939" t="s">
        <v>360</v>
      </c>
      <c r="C3081" s="910" t="e">
        <f>VLOOKUP(B3080,'LƯƠNG KT'!$D$16:$AC$184,3,0)</f>
        <v>#N/A</v>
      </c>
      <c r="D3081" s="609" t="e">
        <f>+C3081*25000</f>
        <v>#N/A</v>
      </c>
      <c r="E3081" s="911"/>
      <c r="F3081" s="911"/>
      <c r="G3081" s="905" t="s">
        <v>359</v>
      </c>
      <c r="H3081" s="939" t="s">
        <v>360</v>
      </c>
      <c r="I3081" s="910" t="e">
        <f>VLOOKUP(H3080,'LƯƠNG KT'!$D$16:$AC$184,3,0)</f>
        <v>#N/A</v>
      </c>
      <c r="J3081" s="609" t="e">
        <f>+I3081*25000</f>
        <v>#N/A</v>
      </c>
      <c r="K3081" s="935"/>
      <c r="L3081" s="935"/>
      <c r="M3081" s="935"/>
      <c r="N3081" s="935"/>
      <c r="O3081" s="935"/>
    </row>
    <row r="3082" spans="1:15" ht="15" customHeight="1">
      <c r="A3082" s="905" t="s">
        <v>361</v>
      </c>
      <c r="B3082" s="546" t="s">
        <v>362</v>
      </c>
      <c r="C3082" s="910" t="e">
        <f>VLOOKUP(B3080,'LƯƠNG KT'!$D$16:$AC$184,14,0)</f>
        <v>#N/A</v>
      </c>
      <c r="D3082" s="609" t="e">
        <f>C3082*$L$4</f>
        <v>#N/A</v>
      </c>
      <c r="E3082" s="912"/>
      <c r="F3082" s="912"/>
      <c r="G3082" s="905" t="s">
        <v>361</v>
      </c>
      <c r="H3082" s="546" t="s">
        <v>362</v>
      </c>
      <c r="I3082" s="910" t="e">
        <f>VLOOKUP(H3080,'LƯƠNG KT'!$D$16:$AC$184,14,0)</f>
        <v>#N/A</v>
      </c>
      <c r="J3082" s="609" t="e">
        <f>I3082*$L$4</f>
        <v>#N/A</v>
      </c>
      <c r="K3082" s="935"/>
      <c r="L3082" s="935"/>
      <c r="M3082" s="935"/>
      <c r="N3082" s="935"/>
      <c r="O3082" s="935"/>
    </row>
    <row r="3083" spans="1:15" ht="15" customHeight="1">
      <c r="A3083" s="905" t="s">
        <v>364</v>
      </c>
      <c r="B3083" s="546" t="s">
        <v>365</v>
      </c>
      <c r="C3083" s="910" t="e">
        <f>VLOOKUP(B3080,'LƯƠNG KT'!$D$16:$AC$184,15,0)</f>
        <v>#N/A</v>
      </c>
      <c r="D3083" s="609" t="e">
        <f>C3083*$L$5</f>
        <v>#N/A</v>
      </c>
      <c r="E3083" s="912"/>
      <c r="F3083" s="912"/>
      <c r="G3083" s="905" t="s">
        <v>364</v>
      </c>
      <c r="H3083" s="546" t="s">
        <v>365</v>
      </c>
      <c r="I3083" s="910" t="e">
        <f>VLOOKUP(H3080,'LƯƠNG KT'!$D$16:$AC$184,15,0)</f>
        <v>#N/A</v>
      </c>
      <c r="J3083" s="609" t="e">
        <f>I3083*$L$5</f>
        <v>#N/A</v>
      </c>
      <c r="K3083" s="935"/>
      <c r="L3083" s="935"/>
      <c r="M3083" s="935"/>
      <c r="N3083" s="935"/>
      <c r="O3083" s="935"/>
    </row>
    <row r="3084" spans="1:15" ht="15" customHeight="1">
      <c r="A3084" s="905" t="s">
        <v>367</v>
      </c>
      <c r="B3084" s="546"/>
      <c r="C3084" s="910" t="e">
        <f>VLOOKUP(B3080,'LƯƠNG KT'!$D$16:$AC$184,16,0)</f>
        <v>#N/A</v>
      </c>
      <c r="D3084" s="609" t="e">
        <f>+C3084*$L$6</f>
        <v>#N/A</v>
      </c>
      <c r="E3084" s="912"/>
      <c r="F3084" s="912"/>
      <c r="G3084" s="905" t="s">
        <v>367</v>
      </c>
      <c r="H3084" s="546"/>
      <c r="I3084" s="910" t="e">
        <f>VLOOKUP(H3080,'LƯƠNG KT'!$D$16:$AC$184,16,0)</f>
        <v>#N/A</v>
      </c>
      <c r="J3084" s="609" t="e">
        <f>+I3084*$L$6</f>
        <v>#N/A</v>
      </c>
      <c r="K3084" s="935"/>
      <c r="L3084" s="935"/>
      <c r="M3084" s="935"/>
      <c r="N3084" s="935"/>
      <c r="O3084" s="935"/>
    </row>
    <row r="3085" spans="1:15" ht="15" customHeight="1">
      <c r="A3085" s="905" t="s">
        <v>515</v>
      </c>
      <c r="B3085" s="546"/>
      <c r="C3085" s="910" t="e">
        <f>VLOOKUP(B3080,'LƯƠNG KT'!$D$16:$AC$184,17,0)</f>
        <v>#N/A</v>
      </c>
      <c r="D3085" s="609" t="e">
        <f>+C3085*$L$7</f>
        <v>#N/A</v>
      </c>
      <c r="E3085" s="912"/>
      <c r="F3085" s="912"/>
      <c r="G3085" s="905" t="s">
        <v>515</v>
      </c>
      <c r="H3085" s="546"/>
      <c r="I3085" s="910" t="e">
        <f>VLOOKUP(H3080,'LƯƠNG KT'!$D$16:$AC$184,17,0)</f>
        <v>#N/A</v>
      </c>
      <c r="J3085" s="609" t="e">
        <f>+I3085*$L$7</f>
        <v>#N/A</v>
      </c>
      <c r="K3085" s="935"/>
      <c r="L3085" s="935"/>
      <c r="M3085" s="935"/>
      <c r="N3085" s="935"/>
      <c r="O3085" s="935"/>
    </row>
    <row r="3086" spans="1:15" ht="15" customHeight="1">
      <c r="A3086" s="905" t="s">
        <v>371</v>
      </c>
      <c r="B3086" s="546" t="s">
        <v>372</v>
      </c>
      <c r="C3086" s="910" t="e">
        <f>VLOOKUP(B3080,'LƯƠNG KT'!$D$16:$AC$184,9,0)*$L$10</f>
        <v>#N/A</v>
      </c>
      <c r="D3086" s="609" t="e">
        <f>+C3086*0.5*3000</f>
        <v>#N/A</v>
      </c>
      <c r="E3086" s="912"/>
      <c r="F3086" s="912"/>
      <c r="G3086" s="905" t="s">
        <v>371</v>
      </c>
      <c r="H3086" s="546" t="s">
        <v>372</v>
      </c>
      <c r="I3086" s="910" t="e">
        <f>VLOOKUP(H3080,'LƯƠNG KT'!$D$16:$AC$184,9,0)*$L$10</f>
        <v>#N/A</v>
      </c>
      <c r="J3086" s="609" t="e">
        <f>+I3086*0.5*3000</f>
        <v>#N/A</v>
      </c>
      <c r="K3086" s="935"/>
      <c r="L3086" s="935"/>
      <c r="M3086" s="935"/>
      <c r="N3086" s="935"/>
      <c r="O3086" s="935"/>
    </row>
    <row r="3087" spans="1:15" ht="15" customHeight="1">
      <c r="A3087" s="905" t="s">
        <v>374</v>
      </c>
      <c r="B3087" s="546" t="s">
        <v>375</v>
      </c>
      <c r="C3087" s="910" t="e">
        <f>VLOOKUP(B3080,'LƯƠNG KT'!$D$16:$AC$184,8,0)*$L$11</f>
        <v>#N/A</v>
      </c>
      <c r="D3087" s="609" t="e">
        <f>VLOOKUP(B3080,'LƯƠNG KT'!$D$16:$AC$184,13,0)-D3086</f>
        <v>#N/A</v>
      </c>
      <c r="E3087" s="914"/>
      <c r="F3087" s="912"/>
      <c r="G3087" s="905" t="s">
        <v>374</v>
      </c>
      <c r="H3087" s="546" t="s">
        <v>375</v>
      </c>
      <c r="I3087" s="910" t="e">
        <f>VLOOKUP(H3080,'LƯƠNG KT'!$D$16:$AC$184,8,0)*$L$11</f>
        <v>#N/A</v>
      </c>
      <c r="J3087" s="609" t="e">
        <f>VLOOKUP(H3080,'LƯƠNG KT'!$D$16:$AC$184,13,0)-J3086</f>
        <v>#N/A</v>
      </c>
      <c r="K3087" s="935"/>
      <c r="L3087" s="935"/>
      <c r="M3087" s="935"/>
      <c r="N3087" s="935"/>
      <c r="O3087" s="935"/>
    </row>
    <row r="3088" spans="1:15" ht="15" customHeight="1">
      <c r="A3088" s="609" t="s">
        <v>377</v>
      </c>
      <c r="B3088" s="546" t="s">
        <v>378</v>
      </c>
      <c r="C3088" s="910"/>
      <c r="D3088" s="609"/>
      <c r="E3088" s="916"/>
      <c r="F3088" s="916"/>
      <c r="G3088" s="609" t="s">
        <v>377</v>
      </c>
      <c r="H3088" s="546" t="s">
        <v>378</v>
      </c>
      <c r="I3088" s="910"/>
      <c r="J3088" s="609"/>
    </row>
    <row r="3089" spans="1:15" ht="15" customHeight="1">
      <c r="A3089" s="547" t="s">
        <v>379</v>
      </c>
      <c r="B3089" s="546" t="s">
        <v>380</v>
      </c>
      <c r="C3089" s="910"/>
      <c r="D3089" s="609"/>
      <c r="E3089" s="914"/>
      <c r="F3089" s="916"/>
      <c r="G3089" s="547" t="s">
        <v>379</v>
      </c>
      <c r="H3089" s="546" t="s">
        <v>380</v>
      </c>
      <c r="I3089" s="910"/>
      <c r="J3089" s="609"/>
    </row>
    <row r="3090" spans="1:15" ht="15" customHeight="1">
      <c r="A3090" s="905" t="s">
        <v>381</v>
      </c>
      <c r="B3090" s="546" t="s">
        <v>382</v>
      </c>
      <c r="C3090" s="910"/>
      <c r="D3090" s="609">
        <f>D3089</f>
        <v>0</v>
      </c>
      <c r="E3090" s="917"/>
      <c r="F3090" s="904"/>
      <c r="G3090" s="905" t="s">
        <v>381</v>
      </c>
      <c r="H3090" s="546" t="s">
        <v>382</v>
      </c>
      <c r="I3090" s="910"/>
      <c r="J3090" s="609">
        <f>J3089</f>
        <v>0</v>
      </c>
    </row>
    <row r="3091" spans="1:15" ht="15" customHeight="1">
      <c r="A3091" s="918" t="s">
        <v>383</v>
      </c>
      <c r="B3091" s="919" t="s">
        <v>384</v>
      </c>
      <c r="C3091" s="920"/>
      <c r="D3091" s="921" t="e">
        <f>SUM(D3081:D3087)-D3090</f>
        <v>#N/A</v>
      </c>
      <c r="E3091" s="922"/>
      <c r="F3091" s="923"/>
      <c r="G3091" s="918" t="s">
        <v>383</v>
      </c>
      <c r="H3091" s="919" t="s">
        <v>384</v>
      </c>
      <c r="I3091" s="920"/>
      <c r="J3091" s="921" t="e">
        <f>SUM(J3081:J3087)-J3090</f>
        <v>#N/A</v>
      </c>
    </row>
    <row r="3092" spans="1:15" ht="6.75" customHeight="1">
      <c r="A3092" s="924"/>
      <c r="B3092" s="925"/>
      <c r="C3092" s="926"/>
      <c r="D3092" s="927"/>
      <c r="E3092" s="927"/>
      <c r="F3092" s="928"/>
      <c r="G3092" s="924"/>
      <c r="H3092" s="925"/>
      <c r="I3092" s="926"/>
      <c r="J3092" s="927"/>
    </row>
    <row r="3093" spans="1:15" ht="6.75" customHeight="1">
      <c r="A3093" s="925"/>
      <c r="B3093" s="925"/>
      <c r="C3093" s="929"/>
      <c r="D3093" s="930"/>
      <c r="E3093" s="925"/>
      <c r="F3093" s="931"/>
      <c r="G3093" s="925"/>
      <c r="H3093" s="925"/>
      <c r="I3093" s="929"/>
      <c r="J3093" s="930"/>
    </row>
    <row r="3094" spans="1:15" ht="15" customHeight="1">
      <c r="A3094" s="2360" t="str">
        <f>$K$2</f>
        <v>THÁNG 09/2024</v>
      </c>
      <c r="B3094" s="2360"/>
      <c r="C3094" s="2360"/>
      <c r="D3094" s="2360"/>
      <c r="E3094" s="903"/>
      <c r="F3094" s="904"/>
      <c r="G3094" s="2360" t="str">
        <f>$K$2</f>
        <v>THÁNG 09/2024</v>
      </c>
      <c r="H3094" s="2360"/>
      <c r="I3094" s="2360"/>
      <c r="J3094" s="2360"/>
      <c r="K3094" s="276"/>
    </row>
    <row r="3095" spans="1:15" ht="15" customHeight="1">
      <c r="A3095" s="905" t="s">
        <v>356</v>
      </c>
      <c r="B3095" s="642" t="s">
        <v>516</v>
      </c>
      <c r="C3095" s="546"/>
      <c r="D3095" s="902"/>
      <c r="E3095" s="906"/>
      <c r="F3095" s="907"/>
      <c r="G3095" s="905" t="s">
        <v>356</v>
      </c>
      <c r="H3095" s="642" t="s">
        <v>287</v>
      </c>
      <c r="I3095" s="546"/>
      <c r="J3095" s="902"/>
      <c r="L3095" s="938"/>
      <c r="M3095" s="938"/>
      <c r="N3095" s="938"/>
      <c r="O3095" s="938"/>
    </row>
    <row r="3096" spans="1:15" ht="15" customHeight="1">
      <c r="A3096" s="905" t="s">
        <v>359</v>
      </c>
      <c r="B3096" s="939" t="s">
        <v>360</v>
      </c>
      <c r="C3096" s="910" t="e">
        <f>VLOOKUP(B3095,'LƯƠNG KT'!$D$16:$AC$184,3,0)</f>
        <v>#N/A</v>
      </c>
      <c r="D3096" s="609" t="e">
        <f>+C3096*25000</f>
        <v>#N/A</v>
      </c>
      <c r="E3096" s="911"/>
      <c r="F3096" s="911"/>
      <c r="G3096" s="905" t="s">
        <v>359</v>
      </c>
      <c r="H3096" s="939" t="s">
        <v>360</v>
      </c>
      <c r="I3096" s="910" t="e">
        <f>VLOOKUP(H3095,'LƯƠNG KT'!$D$16:$AC$184,3,0)</f>
        <v>#N/A</v>
      </c>
      <c r="J3096" s="609" t="e">
        <f>+I3096*25000</f>
        <v>#N/A</v>
      </c>
      <c r="K3096" s="935"/>
      <c r="L3096" s="935"/>
      <c r="M3096" s="935"/>
      <c r="N3096" s="935"/>
      <c r="O3096" s="935"/>
    </row>
    <row r="3097" spans="1:15" ht="15" customHeight="1">
      <c r="A3097" s="905" t="s">
        <v>361</v>
      </c>
      <c r="B3097" s="546" t="s">
        <v>362</v>
      </c>
      <c r="C3097" s="910" t="e">
        <f>VLOOKUP(B3095,'LƯƠNG KT'!$D$16:$AC$184,14,0)</f>
        <v>#N/A</v>
      </c>
      <c r="D3097" s="609" t="e">
        <f>C3097*$L$4</f>
        <v>#N/A</v>
      </c>
      <c r="E3097" s="912"/>
      <c r="F3097" s="912"/>
      <c r="G3097" s="905" t="s">
        <v>361</v>
      </c>
      <c r="H3097" s="546" t="s">
        <v>362</v>
      </c>
      <c r="I3097" s="910" t="e">
        <f>VLOOKUP(H3095,'LƯƠNG KT'!$D$16:$AC$184,14,0)</f>
        <v>#N/A</v>
      </c>
      <c r="J3097" s="609" t="e">
        <f>I3097*$L$4</f>
        <v>#N/A</v>
      </c>
      <c r="K3097" s="935"/>
      <c r="L3097" s="935"/>
      <c r="M3097" s="935"/>
      <c r="N3097" s="935"/>
      <c r="O3097" s="935"/>
    </row>
    <row r="3098" spans="1:15" ht="15" customHeight="1">
      <c r="A3098" s="905" t="s">
        <v>364</v>
      </c>
      <c r="B3098" s="546" t="s">
        <v>365</v>
      </c>
      <c r="C3098" s="910" t="e">
        <f>VLOOKUP(B3095,'LƯƠNG KT'!$D$16:$AC$184,15,0)</f>
        <v>#N/A</v>
      </c>
      <c r="D3098" s="609" t="e">
        <f>C3098*$L$5</f>
        <v>#N/A</v>
      </c>
      <c r="E3098" s="912"/>
      <c r="F3098" s="912"/>
      <c r="G3098" s="905" t="s">
        <v>364</v>
      </c>
      <c r="H3098" s="546" t="s">
        <v>365</v>
      </c>
      <c r="I3098" s="910" t="e">
        <f>VLOOKUP(H3095,'LƯƠNG KT'!$D$16:$AC$184,15,0)</f>
        <v>#N/A</v>
      </c>
      <c r="J3098" s="609" t="e">
        <f>I3098*$L$5</f>
        <v>#N/A</v>
      </c>
      <c r="K3098" s="935"/>
      <c r="L3098" s="935"/>
      <c r="M3098" s="935"/>
      <c r="N3098" s="935"/>
      <c r="O3098" s="935"/>
    </row>
    <row r="3099" spans="1:15" ht="15" customHeight="1">
      <c r="A3099" s="905" t="s">
        <v>367</v>
      </c>
      <c r="B3099" s="546"/>
      <c r="C3099" s="910" t="e">
        <f>VLOOKUP(B3095,'LƯƠNG KT'!$D$16:$AC$184,16,0)</f>
        <v>#N/A</v>
      </c>
      <c r="D3099" s="609" t="e">
        <f>+C3099*$L$6</f>
        <v>#N/A</v>
      </c>
      <c r="E3099" s="912"/>
      <c r="F3099" s="912"/>
      <c r="G3099" s="905" t="s">
        <v>367</v>
      </c>
      <c r="H3099" s="546"/>
      <c r="I3099" s="910" t="e">
        <f>VLOOKUP(H3095,'LƯƠNG KT'!$D$16:$AC$184,16,0)</f>
        <v>#N/A</v>
      </c>
      <c r="J3099" s="609" t="e">
        <f>+I3099*$L$6</f>
        <v>#N/A</v>
      </c>
      <c r="K3099" s="935"/>
      <c r="L3099" s="935"/>
      <c r="M3099" s="935"/>
      <c r="N3099" s="935"/>
      <c r="O3099" s="935"/>
    </row>
    <row r="3100" spans="1:15" ht="15" customHeight="1">
      <c r="A3100" s="905" t="s">
        <v>515</v>
      </c>
      <c r="B3100" s="546"/>
      <c r="C3100" s="910" t="e">
        <f>VLOOKUP(B3095,'LƯƠNG KT'!$D$16:$AC$184,17,0)</f>
        <v>#N/A</v>
      </c>
      <c r="D3100" s="609" t="e">
        <f>+C3100*$L$7</f>
        <v>#N/A</v>
      </c>
      <c r="E3100" s="912"/>
      <c r="F3100" s="912"/>
      <c r="G3100" s="905" t="s">
        <v>515</v>
      </c>
      <c r="H3100" s="546"/>
      <c r="I3100" s="910" t="e">
        <f>VLOOKUP(H3095,'LƯƠNG KT'!$D$16:$AC$184,17,0)</f>
        <v>#N/A</v>
      </c>
      <c r="J3100" s="609" t="e">
        <f>+I3100*$L$7</f>
        <v>#N/A</v>
      </c>
      <c r="K3100" s="935"/>
      <c r="L3100" s="935"/>
      <c r="M3100" s="935"/>
      <c r="N3100" s="935"/>
      <c r="O3100" s="935"/>
    </row>
    <row r="3101" spans="1:15" ht="15" customHeight="1">
      <c r="A3101" s="905" t="s">
        <v>371</v>
      </c>
      <c r="B3101" s="546" t="s">
        <v>372</v>
      </c>
      <c r="C3101" s="910" t="e">
        <f>VLOOKUP(B3095,'LƯƠNG KT'!$D$16:$AC$184,9,0)*$L$10</f>
        <v>#N/A</v>
      </c>
      <c r="D3101" s="609" t="e">
        <f>+C3101*0.5*3000</f>
        <v>#N/A</v>
      </c>
      <c r="E3101" s="912"/>
      <c r="F3101" s="912"/>
      <c r="G3101" s="905" t="s">
        <v>371</v>
      </c>
      <c r="H3101" s="546" t="s">
        <v>372</v>
      </c>
      <c r="I3101" s="910" t="e">
        <f>VLOOKUP(H3095,'LƯƠNG KT'!$D$16:$AC$184,9,0)*$L$10</f>
        <v>#N/A</v>
      </c>
      <c r="J3101" s="609" t="e">
        <f>+I3101*0.5*3000</f>
        <v>#N/A</v>
      </c>
      <c r="K3101" s="935"/>
      <c r="L3101" s="935"/>
      <c r="M3101" s="935"/>
      <c r="N3101" s="935"/>
      <c r="O3101" s="935"/>
    </row>
    <row r="3102" spans="1:15" ht="15" customHeight="1">
      <c r="A3102" s="905" t="s">
        <v>374</v>
      </c>
      <c r="B3102" s="546" t="s">
        <v>375</v>
      </c>
      <c r="C3102" s="910" t="e">
        <f>VLOOKUP(B3095,'LƯƠNG KT'!$D$16:$AC$184,8,0)*$L$11</f>
        <v>#N/A</v>
      </c>
      <c r="D3102" s="609" t="e">
        <f>VLOOKUP(B3095,'LƯƠNG KT'!$D$16:$AC$184,13,0)-D3101</f>
        <v>#N/A</v>
      </c>
      <c r="E3102" s="914"/>
      <c r="F3102" s="912"/>
      <c r="G3102" s="905" t="s">
        <v>374</v>
      </c>
      <c r="H3102" s="546" t="s">
        <v>375</v>
      </c>
      <c r="I3102" s="910" t="e">
        <f>VLOOKUP(H3095,'LƯƠNG KT'!$D$16:$AC$184,8,0)*$L$11</f>
        <v>#N/A</v>
      </c>
      <c r="J3102" s="609" t="e">
        <f>VLOOKUP(H3095,'LƯƠNG KT'!$D$16:$AC$184,13,0)-J3101</f>
        <v>#N/A</v>
      </c>
      <c r="K3102" s="935"/>
      <c r="L3102" s="935"/>
      <c r="M3102" s="935"/>
      <c r="N3102" s="935"/>
      <c r="O3102" s="935"/>
    </row>
    <row r="3103" spans="1:15" ht="15" customHeight="1">
      <c r="A3103" s="609" t="s">
        <v>377</v>
      </c>
      <c r="B3103" s="546" t="s">
        <v>378</v>
      </c>
      <c r="C3103" s="910"/>
      <c r="D3103" s="609"/>
      <c r="E3103" s="916"/>
      <c r="F3103" s="916"/>
      <c r="G3103" s="609" t="s">
        <v>377</v>
      </c>
      <c r="H3103" s="546" t="s">
        <v>378</v>
      </c>
      <c r="I3103" s="910"/>
      <c r="J3103" s="609"/>
    </row>
    <row r="3104" spans="1:15" ht="15" customHeight="1">
      <c r="A3104" s="547" t="s">
        <v>379</v>
      </c>
      <c r="B3104" s="546" t="s">
        <v>380</v>
      </c>
      <c r="C3104" s="910"/>
      <c r="D3104" s="609"/>
      <c r="E3104" s="914"/>
      <c r="F3104" s="916"/>
      <c r="G3104" s="547" t="s">
        <v>379</v>
      </c>
      <c r="H3104" s="546" t="s">
        <v>380</v>
      </c>
      <c r="I3104" s="910"/>
      <c r="J3104" s="609"/>
    </row>
    <row r="3105" spans="1:15" ht="15" customHeight="1">
      <c r="A3105" s="905" t="s">
        <v>381</v>
      </c>
      <c r="B3105" s="546" t="s">
        <v>382</v>
      </c>
      <c r="C3105" s="910"/>
      <c r="D3105" s="609">
        <f>D3104</f>
        <v>0</v>
      </c>
      <c r="E3105" s="917"/>
      <c r="F3105" s="904"/>
      <c r="G3105" s="905" t="s">
        <v>381</v>
      </c>
      <c r="H3105" s="546" t="s">
        <v>382</v>
      </c>
      <c r="I3105" s="910"/>
      <c r="J3105" s="609">
        <f>J3104</f>
        <v>0</v>
      </c>
    </row>
    <row r="3106" spans="1:15" ht="15" customHeight="1">
      <c r="A3106" s="918" t="s">
        <v>383</v>
      </c>
      <c r="B3106" s="919" t="s">
        <v>384</v>
      </c>
      <c r="C3106" s="920"/>
      <c r="D3106" s="921" t="e">
        <f>SUM(D3096:D3102)-D3105</f>
        <v>#N/A</v>
      </c>
      <c r="E3106" s="922"/>
      <c r="F3106" s="923"/>
      <c r="G3106" s="918" t="s">
        <v>383</v>
      </c>
      <c r="H3106" s="919" t="s">
        <v>384</v>
      </c>
      <c r="I3106" s="920"/>
      <c r="J3106" s="921" t="e">
        <f>SUM(J3096:J3102)-J3105</f>
        <v>#N/A</v>
      </c>
    </row>
    <row r="3107" spans="1:15" ht="15.75" customHeight="1">
      <c r="A3107" s="924"/>
      <c r="B3107" s="925"/>
      <c r="C3107" s="926"/>
      <c r="D3107" s="927"/>
      <c r="E3107" s="927"/>
      <c r="F3107" s="928"/>
      <c r="G3107" s="924"/>
      <c r="H3107" s="925"/>
      <c r="I3107" s="926"/>
      <c r="J3107" s="927"/>
    </row>
    <row r="3109" spans="1:15" ht="12" customHeight="1">
      <c r="A3109" s="2361"/>
      <c r="B3109" s="2361"/>
      <c r="C3109" s="2361"/>
      <c r="D3109" s="2361"/>
      <c r="E3109" s="2361"/>
      <c r="F3109" s="2361"/>
      <c r="G3109" s="2361"/>
      <c r="H3109" s="2361"/>
      <c r="I3109" s="2361"/>
      <c r="J3109" s="2361"/>
    </row>
    <row r="3110" spans="1:15" ht="15" customHeight="1">
      <c r="A3110" s="2360" t="str">
        <f>$K$2</f>
        <v>THÁNG 09/2024</v>
      </c>
      <c r="B3110" s="2360"/>
      <c r="C3110" s="2360"/>
      <c r="D3110" s="2360"/>
      <c r="E3110" s="903"/>
      <c r="F3110" s="904"/>
      <c r="G3110" s="2360" t="str">
        <f>$K$2</f>
        <v>THÁNG 09/2024</v>
      </c>
      <c r="H3110" s="2360"/>
      <c r="I3110" s="2360"/>
      <c r="J3110" s="2360"/>
      <c r="K3110" s="276"/>
    </row>
    <row r="3111" spans="1:15" ht="15" customHeight="1">
      <c r="A3111" s="905" t="s">
        <v>356</v>
      </c>
      <c r="B3111" s="642" t="s">
        <v>288</v>
      </c>
      <c r="C3111" s="546"/>
      <c r="D3111" s="902"/>
      <c r="E3111" s="906"/>
      <c r="F3111" s="907"/>
      <c r="G3111" s="905" t="s">
        <v>356</v>
      </c>
      <c r="H3111" s="642" t="s">
        <v>289</v>
      </c>
      <c r="I3111" s="546"/>
      <c r="J3111" s="902"/>
      <c r="L3111" s="938"/>
      <c r="M3111" s="938"/>
      <c r="N3111" s="938"/>
      <c r="O3111" s="938"/>
    </row>
    <row r="3112" spans="1:15" ht="15" customHeight="1">
      <c r="A3112" s="905" t="s">
        <v>359</v>
      </c>
      <c r="B3112" s="939" t="s">
        <v>360</v>
      </c>
      <c r="C3112" s="910" t="e">
        <f>VLOOKUP(B3111,'LƯƠNG KT'!$D$16:$AC$184,3,0)</f>
        <v>#N/A</v>
      </c>
      <c r="D3112" s="609" t="e">
        <f>+C3112*25000</f>
        <v>#N/A</v>
      </c>
      <c r="E3112" s="911"/>
      <c r="F3112" s="911"/>
      <c r="G3112" s="905" t="s">
        <v>359</v>
      </c>
      <c r="H3112" s="939" t="s">
        <v>360</v>
      </c>
      <c r="I3112" s="910" t="e">
        <f>VLOOKUP(H3111,'LƯƠNG KT'!$D$16:$AC$184,3,0)</f>
        <v>#N/A</v>
      </c>
      <c r="J3112" s="609" t="e">
        <f>+I3112*25000</f>
        <v>#N/A</v>
      </c>
      <c r="K3112" s="934"/>
      <c r="L3112" s="935"/>
      <c r="M3112" s="935"/>
      <c r="N3112" s="935"/>
      <c r="O3112" s="935"/>
    </row>
    <row r="3113" spans="1:15" ht="15" customHeight="1">
      <c r="A3113" s="905" t="s">
        <v>361</v>
      </c>
      <c r="B3113" s="546" t="s">
        <v>362</v>
      </c>
      <c r="C3113" s="910" t="e">
        <f>VLOOKUP(B3111,'LƯƠNG KT'!$D$16:$AC$184,14,0)</f>
        <v>#N/A</v>
      </c>
      <c r="D3113" s="609" t="e">
        <f>C3113*$L$4</f>
        <v>#N/A</v>
      </c>
      <c r="E3113" s="912"/>
      <c r="F3113" s="912"/>
      <c r="G3113" s="905" t="s">
        <v>361</v>
      </c>
      <c r="H3113" s="546" t="s">
        <v>362</v>
      </c>
      <c r="I3113" s="910" t="e">
        <f>VLOOKUP(H3111,'LƯƠNG KT'!$D$16:$AC$184,14,0)</f>
        <v>#N/A</v>
      </c>
      <c r="J3113" s="609" t="e">
        <f>I3113*$L$4</f>
        <v>#N/A</v>
      </c>
      <c r="K3113" s="934"/>
      <c r="L3113" s="935"/>
      <c r="M3113" s="935"/>
      <c r="N3113" s="935"/>
      <c r="O3113" s="935"/>
    </row>
    <row r="3114" spans="1:15" ht="15" customHeight="1">
      <c r="A3114" s="905" t="s">
        <v>364</v>
      </c>
      <c r="B3114" s="546" t="s">
        <v>365</v>
      </c>
      <c r="C3114" s="910" t="e">
        <f>VLOOKUP(B3111,'LƯƠNG KT'!$D$16:$AC$184,15,0)</f>
        <v>#N/A</v>
      </c>
      <c r="D3114" s="609" t="e">
        <f>C3114*$L$5</f>
        <v>#N/A</v>
      </c>
      <c r="E3114" s="912"/>
      <c r="F3114" s="912"/>
      <c r="G3114" s="905" t="s">
        <v>364</v>
      </c>
      <c r="H3114" s="546" t="s">
        <v>365</v>
      </c>
      <c r="I3114" s="910" t="e">
        <f>VLOOKUP(H3111,'LƯƠNG KT'!$D$16:$AC$184,15,0)</f>
        <v>#N/A</v>
      </c>
      <c r="J3114" s="609" t="e">
        <f>I3114*$L$5</f>
        <v>#N/A</v>
      </c>
      <c r="K3114" s="934"/>
      <c r="L3114" s="935"/>
      <c r="M3114" s="935"/>
      <c r="N3114" s="935"/>
      <c r="O3114" s="935"/>
    </row>
    <row r="3115" spans="1:15" ht="15" customHeight="1">
      <c r="A3115" s="905" t="s">
        <v>367</v>
      </c>
      <c r="B3115" s="546"/>
      <c r="C3115" s="910" t="e">
        <f>VLOOKUP(B3111,'LƯƠNG KT'!$D$16:$AC$184,16,0)</f>
        <v>#N/A</v>
      </c>
      <c r="D3115" s="609" t="e">
        <f>+C3115*$L$6</f>
        <v>#N/A</v>
      </c>
      <c r="E3115" s="912"/>
      <c r="F3115" s="912"/>
      <c r="G3115" s="905" t="s">
        <v>367</v>
      </c>
      <c r="H3115" s="546"/>
      <c r="I3115" s="910" t="e">
        <f>VLOOKUP(H3111,'LƯƠNG KT'!$D$16:$AC$184,16,0)</f>
        <v>#N/A</v>
      </c>
      <c r="J3115" s="609" t="e">
        <f>+I3115*$L$6</f>
        <v>#N/A</v>
      </c>
      <c r="K3115" s="935"/>
      <c r="L3115" s="935"/>
      <c r="M3115" s="935"/>
      <c r="N3115" s="935"/>
      <c r="O3115" s="935"/>
    </row>
    <row r="3116" spans="1:15" ht="15" customHeight="1">
      <c r="A3116" s="905" t="s">
        <v>515</v>
      </c>
      <c r="B3116" s="546"/>
      <c r="C3116" s="910" t="e">
        <f>VLOOKUP(B3111,'LƯƠNG KT'!$D$16:$AC$184,17,0)</f>
        <v>#N/A</v>
      </c>
      <c r="D3116" s="609" t="e">
        <f>+C3116*$L$7</f>
        <v>#N/A</v>
      </c>
      <c r="E3116" s="912"/>
      <c r="F3116" s="912"/>
      <c r="G3116" s="905" t="s">
        <v>515</v>
      </c>
      <c r="H3116" s="546"/>
      <c r="I3116" s="910" t="e">
        <f>VLOOKUP(H3111,'LƯƠNG KT'!$D$16:$AC$184,17,0)</f>
        <v>#N/A</v>
      </c>
      <c r="J3116" s="609" t="e">
        <f>+I3116*$L$7</f>
        <v>#N/A</v>
      </c>
      <c r="K3116" s="935"/>
      <c r="L3116" s="935"/>
      <c r="M3116" s="935"/>
      <c r="N3116" s="935"/>
      <c r="O3116" s="935"/>
    </row>
    <row r="3117" spans="1:15" ht="15" customHeight="1">
      <c r="A3117" s="905" t="s">
        <v>371</v>
      </c>
      <c r="B3117" s="546" t="s">
        <v>372</v>
      </c>
      <c r="C3117" s="910" t="e">
        <f>VLOOKUP(B3111,'LƯƠNG KT'!$D$16:$AC$184,9,0)*$L$10</f>
        <v>#N/A</v>
      </c>
      <c r="D3117" s="609" t="e">
        <f>+C3117*0.5*3000</f>
        <v>#N/A</v>
      </c>
      <c r="E3117" s="912"/>
      <c r="F3117" s="912"/>
      <c r="G3117" s="905" t="s">
        <v>371</v>
      </c>
      <c r="H3117" s="546" t="s">
        <v>372</v>
      </c>
      <c r="I3117" s="910" t="e">
        <f>VLOOKUP(H3111,'LƯƠNG KT'!$D$16:$AC$184,9,0)*$L$10</f>
        <v>#N/A</v>
      </c>
      <c r="J3117" s="609" t="e">
        <f>+I3117*0.5*3000</f>
        <v>#N/A</v>
      </c>
      <c r="K3117" s="935"/>
      <c r="L3117" s="935"/>
      <c r="M3117" s="935"/>
      <c r="N3117" s="935"/>
      <c r="O3117" s="935"/>
    </row>
    <row r="3118" spans="1:15" ht="15" customHeight="1">
      <c r="A3118" s="905" t="s">
        <v>374</v>
      </c>
      <c r="B3118" s="546" t="s">
        <v>375</v>
      </c>
      <c r="C3118" s="910" t="e">
        <f>VLOOKUP(B3111,'LƯƠNG KT'!$D$16:$AC$184,8,0)*$L$11</f>
        <v>#N/A</v>
      </c>
      <c r="D3118" s="609" t="e">
        <f>VLOOKUP(B3111,'LƯƠNG KT'!$D$16:$AC$184,13,0)-D3117</f>
        <v>#N/A</v>
      </c>
      <c r="E3118" s="914"/>
      <c r="F3118" s="912"/>
      <c r="G3118" s="905" t="s">
        <v>374</v>
      </c>
      <c r="H3118" s="546" t="s">
        <v>375</v>
      </c>
      <c r="I3118" s="910" t="e">
        <f>VLOOKUP(H3111,'LƯƠNG KT'!$D$16:$AC$184,8,0)*$L$11</f>
        <v>#N/A</v>
      </c>
      <c r="J3118" s="609" t="e">
        <f>VLOOKUP(H3111,'LƯƠNG KT'!$D$16:$AC$184,13,0)-J3117</f>
        <v>#N/A</v>
      </c>
      <c r="K3118" s="935"/>
      <c r="L3118" s="935"/>
      <c r="M3118" s="935"/>
      <c r="N3118" s="935"/>
      <c r="O3118" s="935"/>
    </row>
    <row r="3119" spans="1:15" ht="15" customHeight="1">
      <c r="A3119" s="609" t="s">
        <v>377</v>
      </c>
      <c r="B3119" s="546" t="s">
        <v>378</v>
      </c>
      <c r="C3119" s="910"/>
      <c r="D3119" s="609"/>
      <c r="E3119" s="916"/>
      <c r="F3119" s="916"/>
      <c r="G3119" s="609" t="s">
        <v>377</v>
      </c>
      <c r="H3119" s="546" t="s">
        <v>378</v>
      </c>
      <c r="I3119" s="910"/>
      <c r="J3119" s="609"/>
    </row>
    <row r="3120" spans="1:15" ht="15" customHeight="1">
      <c r="A3120" s="547" t="s">
        <v>379</v>
      </c>
      <c r="B3120" s="546" t="s">
        <v>380</v>
      </c>
      <c r="C3120" s="910"/>
      <c r="D3120" s="609"/>
      <c r="E3120" s="914"/>
      <c r="F3120" s="916"/>
      <c r="G3120" s="547" t="s">
        <v>379</v>
      </c>
      <c r="H3120" s="546" t="s">
        <v>380</v>
      </c>
      <c r="I3120" s="910"/>
      <c r="J3120" s="609"/>
    </row>
    <row r="3121" spans="1:15" ht="15" customHeight="1">
      <c r="A3121" s="905" t="s">
        <v>381</v>
      </c>
      <c r="B3121" s="546" t="s">
        <v>382</v>
      </c>
      <c r="C3121" s="910"/>
      <c r="D3121" s="609">
        <f>D3120</f>
        <v>0</v>
      </c>
      <c r="E3121" s="917"/>
      <c r="F3121" s="904"/>
      <c r="G3121" s="905" t="s">
        <v>381</v>
      </c>
      <c r="H3121" s="546" t="s">
        <v>382</v>
      </c>
      <c r="I3121" s="910"/>
      <c r="J3121" s="609">
        <f>J3120</f>
        <v>0</v>
      </c>
    </row>
    <row r="3122" spans="1:15" ht="15" customHeight="1">
      <c r="A3122" s="918" t="s">
        <v>383</v>
      </c>
      <c r="B3122" s="919" t="s">
        <v>384</v>
      </c>
      <c r="C3122" s="920"/>
      <c r="D3122" s="921" t="e">
        <f>SUM(D3112:D3118)-D3121</f>
        <v>#N/A</v>
      </c>
      <c r="E3122" s="922"/>
      <c r="F3122" s="923"/>
      <c r="G3122" s="918" t="s">
        <v>383</v>
      </c>
      <c r="H3122" s="919" t="s">
        <v>384</v>
      </c>
      <c r="I3122" s="920"/>
      <c r="J3122" s="921" t="e">
        <f>SUM(J3112:J3118)-J3121</f>
        <v>#N/A</v>
      </c>
    </row>
    <row r="3123" spans="1:15" ht="12.6" customHeight="1">
      <c r="A3123" s="924"/>
      <c r="B3123" s="925"/>
      <c r="C3123" s="926"/>
      <c r="D3123" s="927"/>
      <c r="E3123" s="927"/>
      <c r="F3123" s="928"/>
      <c r="G3123" s="924"/>
      <c r="H3123" s="925"/>
      <c r="I3123" s="926"/>
      <c r="J3123" s="927"/>
    </row>
    <row r="3124" spans="1:15" ht="12.6" customHeight="1">
      <c r="A3124" s="925"/>
      <c r="B3124" s="925"/>
      <c r="C3124" s="929"/>
      <c r="D3124" s="930"/>
      <c r="E3124" s="925"/>
      <c r="F3124" s="931"/>
      <c r="G3124" s="925"/>
      <c r="H3124" s="925"/>
      <c r="I3124" s="929"/>
      <c r="J3124" s="930"/>
    </row>
    <row r="3125" spans="1:15" ht="15" customHeight="1">
      <c r="A3125" s="2360" t="str">
        <f>$K$2</f>
        <v>THÁNG 09/2024</v>
      </c>
      <c r="B3125" s="2360"/>
      <c r="C3125" s="2360"/>
      <c r="D3125" s="2360"/>
      <c r="E3125" s="903"/>
      <c r="F3125" s="904"/>
      <c r="G3125" s="2360" t="str">
        <f>$K$2</f>
        <v>THÁNG 09/2024</v>
      </c>
      <c r="H3125" s="2360"/>
      <c r="I3125" s="2360"/>
      <c r="J3125" s="2360"/>
      <c r="K3125" s="276"/>
    </row>
    <row r="3126" spans="1:15" ht="15" customHeight="1">
      <c r="A3126" s="905" t="s">
        <v>356</v>
      </c>
      <c r="B3126" s="642" t="s">
        <v>517</v>
      </c>
      <c r="C3126" s="546"/>
      <c r="D3126" s="902"/>
      <c r="E3126" s="906"/>
      <c r="F3126" s="907"/>
      <c r="G3126" s="905" t="s">
        <v>356</v>
      </c>
      <c r="H3126" s="642" t="s">
        <v>291</v>
      </c>
      <c r="I3126" s="546"/>
      <c r="J3126" s="902"/>
      <c r="L3126" s="938"/>
      <c r="M3126" s="938"/>
      <c r="N3126" s="938"/>
      <c r="O3126" s="938"/>
    </row>
    <row r="3127" spans="1:15" ht="15" customHeight="1">
      <c r="A3127" s="905" t="s">
        <v>359</v>
      </c>
      <c r="B3127" s="939" t="s">
        <v>360</v>
      </c>
      <c r="C3127" s="910" t="e">
        <f>VLOOKUP(B3126,'LƯƠNG KT'!$D$16:$AC$184,3,0)</f>
        <v>#N/A</v>
      </c>
      <c r="D3127" s="609" t="e">
        <f>+C3127*25000</f>
        <v>#N/A</v>
      </c>
      <c r="E3127" s="911"/>
      <c r="F3127" s="911"/>
      <c r="G3127" s="905" t="s">
        <v>359</v>
      </c>
      <c r="H3127" s="939" t="s">
        <v>360</v>
      </c>
      <c r="I3127" s="910" t="e">
        <f>VLOOKUP(H3126,'LƯƠNG KT'!$D$16:$AC$184,3,0)</f>
        <v>#N/A</v>
      </c>
      <c r="J3127" s="609" t="e">
        <f>+I3127*25000</f>
        <v>#N/A</v>
      </c>
      <c r="K3127" s="935"/>
      <c r="L3127" s="935"/>
      <c r="M3127" s="935"/>
      <c r="N3127" s="935"/>
      <c r="O3127" s="935"/>
    </row>
    <row r="3128" spans="1:15" ht="15" customHeight="1">
      <c r="A3128" s="905" t="s">
        <v>361</v>
      </c>
      <c r="B3128" s="546" t="s">
        <v>362</v>
      </c>
      <c r="C3128" s="910" t="e">
        <f>VLOOKUP(B3126,'LƯƠNG KT'!$D$16:$AC$184,14,0)</f>
        <v>#N/A</v>
      </c>
      <c r="D3128" s="609" t="e">
        <f>C3128*$L$4</f>
        <v>#N/A</v>
      </c>
      <c r="E3128" s="912"/>
      <c r="F3128" s="912"/>
      <c r="G3128" s="905" t="s">
        <v>361</v>
      </c>
      <c r="H3128" s="546" t="s">
        <v>362</v>
      </c>
      <c r="I3128" s="910" t="e">
        <f>VLOOKUP(H3126,'LƯƠNG KT'!$D$16:$AC$184,14,0)</f>
        <v>#N/A</v>
      </c>
      <c r="J3128" s="609" t="e">
        <f>I3128*$L$4</f>
        <v>#N/A</v>
      </c>
      <c r="K3128" s="935"/>
      <c r="L3128" s="935"/>
      <c r="M3128" s="935"/>
      <c r="N3128" s="935"/>
      <c r="O3128" s="935"/>
    </row>
    <row r="3129" spans="1:15" ht="15" customHeight="1">
      <c r="A3129" s="905" t="s">
        <v>364</v>
      </c>
      <c r="B3129" s="546" t="s">
        <v>365</v>
      </c>
      <c r="C3129" s="910" t="e">
        <f>VLOOKUP(B3126,'LƯƠNG KT'!$D$16:$AC$184,15,0)</f>
        <v>#N/A</v>
      </c>
      <c r="D3129" s="609" t="e">
        <f>C3129*$L$5</f>
        <v>#N/A</v>
      </c>
      <c r="E3129" s="912"/>
      <c r="F3129" s="912"/>
      <c r="G3129" s="905" t="s">
        <v>364</v>
      </c>
      <c r="H3129" s="546" t="s">
        <v>365</v>
      </c>
      <c r="I3129" s="910" t="e">
        <f>VLOOKUP(H3126,'LƯƠNG KT'!$D$16:$AC$184,15,0)</f>
        <v>#N/A</v>
      </c>
      <c r="J3129" s="609" t="e">
        <f>I3129*$L$5</f>
        <v>#N/A</v>
      </c>
      <c r="K3129" s="935"/>
      <c r="L3129" s="935"/>
      <c r="M3129" s="935"/>
      <c r="N3129" s="935"/>
      <c r="O3129" s="935"/>
    </row>
    <row r="3130" spans="1:15" ht="15" customHeight="1">
      <c r="A3130" s="905" t="s">
        <v>367</v>
      </c>
      <c r="B3130" s="546"/>
      <c r="C3130" s="910" t="e">
        <f>VLOOKUP(B3126,'LƯƠNG KT'!$D$16:$AC$184,16,0)</f>
        <v>#N/A</v>
      </c>
      <c r="D3130" s="609" t="e">
        <f>+C3130*$L$6</f>
        <v>#N/A</v>
      </c>
      <c r="E3130" s="912"/>
      <c r="F3130" s="912"/>
      <c r="G3130" s="905" t="s">
        <v>367</v>
      </c>
      <c r="H3130" s="546"/>
      <c r="I3130" s="910" t="e">
        <f>VLOOKUP(H3126,'LƯƠNG KT'!$D$16:$AC$184,16,0)</f>
        <v>#N/A</v>
      </c>
      <c r="J3130" s="609" t="e">
        <f>+I3130*$L$6</f>
        <v>#N/A</v>
      </c>
      <c r="K3130" s="935"/>
      <c r="L3130" s="935"/>
      <c r="M3130" s="935"/>
      <c r="N3130" s="935"/>
      <c r="O3130" s="935"/>
    </row>
    <row r="3131" spans="1:15" ht="15" customHeight="1">
      <c r="A3131" s="905" t="s">
        <v>515</v>
      </c>
      <c r="B3131" s="546"/>
      <c r="C3131" s="910" t="e">
        <f>VLOOKUP(B3126,'LƯƠNG KT'!$D$16:$AC$184,17,0)</f>
        <v>#N/A</v>
      </c>
      <c r="D3131" s="609" t="e">
        <f>+C3131*$L$7</f>
        <v>#N/A</v>
      </c>
      <c r="E3131" s="912"/>
      <c r="F3131" s="912"/>
      <c r="G3131" s="905" t="s">
        <v>515</v>
      </c>
      <c r="H3131" s="546"/>
      <c r="I3131" s="910" t="e">
        <f>VLOOKUP(H3126,'LƯƠNG KT'!$D$16:$AC$184,17,0)</f>
        <v>#N/A</v>
      </c>
      <c r="J3131" s="609" t="e">
        <f>+I3131*$L$7</f>
        <v>#N/A</v>
      </c>
      <c r="K3131" s="935"/>
      <c r="L3131" s="935"/>
      <c r="M3131" s="935"/>
      <c r="N3131" s="935"/>
      <c r="O3131" s="935"/>
    </row>
    <row r="3132" spans="1:15" ht="15" customHeight="1">
      <c r="A3132" s="905" t="s">
        <v>371</v>
      </c>
      <c r="B3132" s="546" t="s">
        <v>372</v>
      </c>
      <c r="C3132" s="910" t="e">
        <f>VLOOKUP(B3126,'LƯƠNG KT'!$D$16:$AC$184,9,0)*$L$10</f>
        <v>#N/A</v>
      </c>
      <c r="D3132" s="609" t="e">
        <f>+C3132*0.5*3000</f>
        <v>#N/A</v>
      </c>
      <c r="E3132" s="912"/>
      <c r="F3132" s="912"/>
      <c r="G3132" s="905" t="s">
        <v>371</v>
      </c>
      <c r="H3132" s="546" t="s">
        <v>372</v>
      </c>
      <c r="I3132" s="910" t="e">
        <f>VLOOKUP(H3126,'LƯƠNG KT'!$D$16:$AC$184,9,0)*$L$10</f>
        <v>#N/A</v>
      </c>
      <c r="J3132" s="609" t="e">
        <f>+I3132*0.5*3000</f>
        <v>#N/A</v>
      </c>
      <c r="K3132" s="935"/>
      <c r="L3132" s="935"/>
      <c r="M3132" s="935"/>
      <c r="N3132" s="935"/>
      <c r="O3132" s="935"/>
    </row>
    <row r="3133" spans="1:15" ht="15" customHeight="1">
      <c r="A3133" s="905" t="s">
        <v>374</v>
      </c>
      <c r="B3133" s="546" t="s">
        <v>375</v>
      </c>
      <c r="C3133" s="910" t="e">
        <f>VLOOKUP(B3126,'LƯƠNG KT'!$D$16:$AC$184,8,0)*$L$11</f>
        <v>#N/A</v>
      </c>
      <c r="D3133" s="609" t="e">
        <f>VLOOKUP(B3126,'LƯƠNG KT'!$D$16:$AC$184,13,0)-D3132</f>
        <v>#N/A</v>
      </c>
      <c r="E3133" s="914"/>
      <c r="F3133" s="912"/>
      <c r="G3133" s="905" t="s">
        <v>374</v>
      </c>
      <c r="H3133" s="546" t="s">
        <v>375</v>
      </c>
      <c r="I3133" s="910" t="e">
        <f>VLOOKUP(H3126,'LƯƠNG KT'!$D$16:$AC$184,8,0)*$L$11</f>
        <v>#N/A</v>
      </c>
      <c r="J3133" s="609" t="e">
        <f>VLOOKUP(H3126,'LƯƠNG KT'!$D$16:$AC$184,13,0)-J3132</f>
        <v>#N/A</v>
      </c>
      <c r="K3133" s="935"/>
      <c r="L3133" s="935"/>
      <c r="M3133" s="935"/>
      <c r="N3133" s="935"/>
      <c r="O3133" s="935"/>
    </row>
    <row r="3134" spans="1:15" ht="15" customHeight="1">
      <c r="A3134" s="609" t="s">
        <v>377</v>
      </c>
      <c r="B3134" s="546" t="s">
        <v>378</v>
      </c>
      <c r="C3134" s="910"/>
      <c r="D3134" s="609"/>
      <c r="E3134" s="916"/>
      <c r="F3134" s="916"/>
      <c r="G3134" s="609" t="s">
        <v>377</v>
      </c>
      <c r="H3134" s="546" t="s">
        <v>378</v>
      </c>
      <c r="I3134" s="910"/>
      <c r="J3134" s="609"/>
    </row>
    <row r="3135" spans="1:15" ht="15" customHeight="1">
      <c r="A3135" s="547" t="s">
        <v>379</v>
      </c>
      <c r="B3135" s="546" t="s">
        <v>380</v>
      </c>
      <c r="C3135" s="910"/>
      <c r="D3135" s="609"/>
      <c r="E3135" s="914"/>
      <c r="F3135" s="916"/>
      <c r="G3135" s="547" t="s">
        <v>379</v>
      </c>
      <c r="H3135" s="546" t="s">
        <v>380</v>
      </c>
      <c r="I3135" s="910"/>
      <c r="J3135" s="609"/>
    </row>
    <row r="3136" spans="1:15" ht="15" customHeight="1">
      <c r="A3136" s="905" t="s">
        <v>381</v>
      </c>
      <c r="B3136" s="546" t="s">
        <v>382</v>
      </c>
      <c r="C3136" s="910"/>
      <c r="D3136" s="609">
        <f>D3135</f>
        <v>0</v>
      </c>
      <c r="E3136" s="917"/>
      <c r="F3136" s="904"/>
      <c r="G3136" s="905" t="s">
        <v>381</v>
      </c>
      <c r="H3136" s="546" t="s">
        <v>382</v>
      </c>
      <c r="I3136" s="910"/>
      <c r="J3136" s="609">
        <f>J3135</f>
        <v>0</v>
      </c>
    </row>
    <row r="3137" spans="1:15" ht="15" customHeight="1">
      <c r="A3137" s="918" t="s">
        <v>383</v>
      </c>
      <c r="B3137" s="919" t="s">
        <v>384</v>
      </c>
      <c r="C3137" s="920"/>
      <c r="D3137" s="921" t="e">
        <f>SUM(D3127:D3133)-D3136</f>
        <v>#N/A</v>
      </c>
      <c r="E3137" s="922"/>
      <c r="F3137" s="923"/>
      <c r="G3137" s="918" t="s">
        <v>383</v>
      </c>
      <c r="H3137" s="919" t="s">
        <v>384</v>
      </c>
      <c r="I3137" s="920"/>
      <c r="J3137" s="921" t="e">
        <f>SUM(J3127:J3133)-J3136</f>
        <v>#N/A</v>
      </c>
    </row>
    <row r="3138" spans="1:15" ht="13.5" customHeight="1">
      <c r="A3138" s="924"/>
      <c r="B3138" s="925"/>
      <c r="C3138" s="926"/>
      <c r="D3138" s="927"/>
      <c r="E3138" s="927"/>
      <c r="F3138" s="928"/>
      <c r="G3138" s="924"/>
      <c r="H3138" s="925"/>
      <c r="I3138" s="926"/>
      <c r="J3138" s="927"/>
    </row>
    <row r="3139" spans="1:15" ht="13.5" customHeight="1">
      <c r="A3139" s="925"/>
      <c r="B3139" s="925"/>
      <c r="C3139" s="929"/>
      <c r="D3139" s="930"/>
      <c r="E3139" s="925"/>
      <c r="F3139" s="931"/>
      <c r="G3139" s="925"/>
      <c r="H3139" s="925"/>
      <c r="I3139" s="929"/>
      <c r="J3139" s="930"/>
    </row>
    <row r="3140" spans="1:15" ht="15" customHeight="1">
      <c r="A3140" s="2360" t="str">
        <f>$K$2</f>
        <v>THÁNG 09/2024</v>
      </c>
      <c r="B3140" s="2360"/>
      <c r="C3140" s="2360"/>
      <c r="D3140" s="2360"/>
      <c r="E3140" s="903"/>
      <c r="F3140" s="904"/>
      <c r="G3140" s="2360" t="str">
        <f>$K$2</f>
        <v>THÁNG 09/2024</v>
      </c>
      <c r="H3140" s="2360"/>
      <c r="I3140" s="2360"/>
      <c r="J3140" s="2360"/>
      <c r="K3140" s="276"/>
    </row>
    <row r="3141" spans="1:15" ht="15" customHeight="1">
      <c r="A3141" s="905" t="s">
        <v>356</v>
      </c>
      <c r="B3141" s="642" t="s">
        <v>292</v>
      </c>
      <c r="C3141" s="546"/>
      <c r="D3141" s="902"/>
      <c r="E3141" s="906"/>
      <c r="F3141" s="907"/>
      <c r="G3141" s="905" t="s">
        <v>356</v>
      </c>
      <c r="H3141" s="642" t="s">
        <v>293</v>
      </c>
      <c r="I3141" s="546"/>
      <c r="J3141" s="902"/>
      <c r="L3141" s="938"/>
      <c r="M3141" s="938"/>
      <c r="N3141" s="938"/>
      <c r="O3141" s="938"/>
    </row>
    <row r="3142" spans="1:15" ht="15" customHeight="1">
      <c r="A3142" s="905" t="s">
        <v>359</v>
      </c>
      <c r="B3142" s="939" t="s">
        <v>360</v>
      </c>
      <c r="C3142" s="910" t="e">
        <f>VLOOKUP(B3141,'LƯƠNG KT'!$D$16:$AC$184,3,0)</f>
        <v>#N/A</v>
      </c>
      <c r="D3142" s="609" t="e">
        <f>+C3142*25000</f>
        <v>#N/A</v>
      </c>
      <c r="E3142" s="911"/>
      <c r="F3142" s="911"/>
      <c r="G3142" s="905" t="s">
        <v>359</v>
      </c>
      <c r="H3142" s="939" t="s">
        <v>360</v>
      </c>
      <c r="I3142" s="910" t="e">
        <f>VLOOKUP(H3141,'LƯƠNG KT'!$D$16:$AC$184,3,0)</f>
        <v>#N/A</v>
      </c>
      <c r="J3142" s="609" t="e">
        <f>+I3142*25000</f>
        <v>#N/A</v>
      </c>
      <c r="K3142" s="935"/>
      <c r="L3142" s="935"/>
      <c r="M3142" s="935"/>
      <c r="N3142" s="935"/>
      <c r="O3142" s="935"/>
    </row>
    <row r="3143" spans="1:15" ht="15" customHeight="1">
      <c r="A3143" s="905" t="s">
        <v>361</v>
      </c>
      <c r="B3143" s="546" t="s">
        <v>362</v>
      </c>
      <c r="C3143" s="910" t="e">
        <f>VLOOKUP(B3141,'LƯƠNG KT'!$D$16:$AC$184,14,0)</f>
        <v>#N/A</v>
      </c>
      <c r="D3143" s="609" t="e">
        <f>C3143*$L$4</f>
        <v>#N/A</v>
      </c>
      <c r="E3143" s="912"/>
      <c r="F3143" s="912"/>
      <c r="G3143" s="905" t="s">
        <v>361</v>
      </c>
      <c r="H3143" s="546" t="s">
        <v>362</v>
      </c>
      <c r="I3143" s="910" t="e">
        <f>VLOOKUP(H3141,'LƯƠNG KT'!$D$16:$AC$184,14,0)</f>
        <v>#N/A</v>
      </c>
      <c r="J3143" s="609" t="e">
        <f>I3143*$L$4</f>
        <v>#N/A</v>
      </c>
      <c r="K3143" s="935"/>
      <c r="L3143" s="935"/>
      <c r="M3143" s="935"/>
      <c r="N3143" s="935"/>
      <c r="O3143" s="935"/>
    </row>
    <row r="3144" spans="1:15" ht="15" customHeight="1">
      <c r="A3144" s="905" t="s">
        <v>364</v>
      </c>
      <c r="B3144" s="546" t="s">
        <v>365</v>
      </c>
      <c r="C3144" s="910" t="e">
        <f>VLOOKUP(B3141,'LƯƠNG KT'!$D$16:$AC$184,15,0)</f>
        <v>#N/A</v>
      </c>
      <c r="D3144" s="609" t="e">
        <f>C3144*$L$5</f>
        <v>#N/A</v>
      </c>
      <c r="E3144" s="912"/>
      <c r="F3144" s="912"/>
      <c r="G3144" s="905" t="s">
        <v>364</v>
      </c>
      <c r="H3144" s="546" t="s">
        <v>365</v>
      </c>
      <c r="I3144" s="910" t="e">
        <f>VLOOKUP(H3141,'LƯƠNG KT'!$D$16:$AC$184,15,0)</f>
        <v>#N/A</v>
      </c>
      <c r="J3144" s="609" t="e">
        <f>I3144*$L$5</f>
        <v>#N/A</v>
      </c>
      <c r="K3144" s="935"/>
      <c r="L3144" s="935"/>
      <c r="M3144" s="935"/>
      <c r="N3144" s="935"/>
      <c r="O3144" s="935"/>
    </row>
    <row r="3145" spans="1:15" ht="15" customHeight="1">
      <c r="A3145" s="905" t="s">
        <v>367</v>
      </c>
      <c r="B3145" s="546"/>
      <c r="C3145" s="910" t="e">
        <f>VLOOKUP(B3141,'LƯƠNG KT'!$D$16:$AC$184,16,0)</f>
        <v>#N/A</v>
      </c>
      <c r="D3145" s="609" t="e">
        <f>+C3145*$L$6</f>
        <v>#N/A</v>
      </c>
      <c r="E3145" s="912"/>
      <c r="F3145" s="912"/>
      <c r="G3145" s="905" t="s">
        <v>367</v>
      </c>
      <c r="H3145" s="546"/>
      <c r="I3145" s="910" t="e">
        <f>VLOOKUP(H3141,'LƯƠNG KT'!$D$16:$AC$184,16,0)</f>
        <v>#N/A</v>
      </c>
      <c r="J3145" s="609" t="e">
        <f>+I3145*$L$6</f>
        <v>#N/A</v>
      </c>
      <c r="K3145" s="935"/>
      <c r="L3145" s="935"/>
      <c r="M3145" s="935"/>
      <c r="N3145" s="935"/>
      <c r="O3145" s="935"/>
    </row>
    <row r="3146" spans="1:15" ht="15" customHeight="1">
      <c r="A3146" s="905" t="s">
        <v>515</v>
      </c>
      <c r="B3146" s="546"/>
      <c r="C3146" s="910" t="e">
        <f>VLOOKUP(B3141,'LƯƠNG KT'!$D$16:$AC$184,17,0)</f>
        <v>#N/A</v>
      </c>
      <c r="D3146" s="609" t="e">
        <f>+C3146*$L$7</f>
        <v>#N/A</v>
      </c>
      <c r="E3146" s="912"/>
      <c r="F3146" s="912"/>
      <c r="G3146" s="905" t="s">
        <v>515</v>
      </c>
      <c r="H3146" s="546"/>
      <c r="I3146" s="910" t="e">
        <f>VLOOKUP(H3141,'LƯƠNG KT'!$D$16:$AC$184,17,0)</f>
        <v>#N/A</v>
      </c>
      <c r="J3146" s="609" t="e">
        <f>+I3146*$L$7</f>
        <v>#N/A</v>
      </c>
      <c r="K3146" s="935"/>
      <c r="L3146" s="935"/>
      <c r="M3146" s="935"/>
      <c r="N3146" s="935"/>
      <c r="O3146" s="935"/>
    </row>
    <row r="3147" spans="1:15" ht="15" customHeight="1">
      <c r="A3147" s="905" t="s">
        <v>371</v>
      </c>
      <c r="B3147" s="546" t="s">
        <v>372</v>
      </c>
      <c r="C3147" s="910" t="e">
        <f>VLOOKUP(B3141,'LƯƠNG KT'!$D$16:$AC$184,9,0)*$L$10</f>
        <v>#N/A</v>
      </c>
      <c r="D3147" s="609" t="e">
        <f>+C3147*0.5*3000</f>
        <v>#N/A</v>
      </c>
      <c r="E3147" s="912"/>
      <c r="F3147" s="912"/>
      <c r="G3147" s="905" t="s">
        <v>371</v>
      </c>
      <c r="H3147" s="546" t="s">
        <v>372</v>
      </c>
      <c r="I3147" s="910" t="e">
        <f>VLOOKUP(H3141,'LƯƠNG KT'!$D$16:$AC$184,9,0)*$L$10</f>
        <v>#N/A</v>
      </c>
      <c r="J3147" s="609" t="e">
        <f>+I3147*0.5*3000</f>
        <v>#N/A</v>
      </c>
      <c r="K3147" s="935"/>
      <c r="L3147" s="935"/>
      <c r="M3147" s="935"/>
      <c r="N3147" s="935"/>
      <c r="O3147" s="935"/>
    </row>
    <row r="3148" spans="1:15" ht="15" customHeight="1">
      <c r="A3148" s="905" t="s">
        <v>374</v>
      </c>
      <c r="B3148" s="546" t="s">
        <v>375</v>
      </c>
      <c r="C3148" s="910" t="e">
        <f>VLOOKUP(B3141,'LƯƠNG KT'!$D$16:$AC$184,8,0)*$L$11</f>
        <v>#N/A</v>
      </c>
      <c r="D3148" s="609" t="e">
        <f>VLOOKUP(B3141,'LƯƠNG KT'!$D$16:$AC$184,13,0)-D3147</f>
        <v>#N/A</v>
      </c>
      <c r="E3148" s="914"/>
      <c r="F3148" s="912"/>
      <c r="G3148" s="905" t="s">
        <v>374</v>
      </c>
      <c r="H3148" s="546" t="s">
        <v>375</v>
      </c>
      <c r="I3148" s="910" t="e">
        <f>VLOOKUP(H3141,'LƯƠNG KT'!$D$16:$AC$184,8,0)*$L$11</f>
        <v>#N/A</v>
      </c>
      <c r="J3148" s="609" t="e">
        <f>VLOOKUP(H3141,'LƯƠNG KT'!$D$16:$AC$184,13,0)-J3147</f>
        <v>#N/A</v>
      </c>
      <c r="K3148" s="935"/>
      <c r="L3148" s="935"/>
      <c r="M3148" s="935"/>
      <c r="N3148" s="935"/>
      <c r="O3148" s="935"/>
    </row>
    <row r="3149" spans="1:15" ht="15" customHeight="1">
      <c r="A3149" s="609" t="s">
        <v>377</v>
      </c>
      <c r="B3149" s="546" t="s">
        <v>378</v>
      </c>
      <c r="C3149" s="910"/>
      <c r="D3149" s="609"/>
      <c r="E3149" s="916"/>
      <c r="F3149" s="916"/>
      <c r="G3149" s="609" t="s">
        <v>377</v>
      </c>
      <c r="H3149" s="546" t="s">
        <v>378</v>
      </c>
      <c r="I3149" s="910"/>
      <c r="J3149" s="609"/>
    </row>
    <row r="3150" spans="1:15" ht="15" customHeight="1">
      <c r="A3150" s="547" t="s">
        <v>379</v>
      </c>
      <c r="B3150" s="546" t="s">
        <v>380</v>
      </c>
      <c r="C3150" s="910"/>
      <c r="D3150" s="609"/>
      <c r="E3150" s="914"/>
      <c r="F3150" s="916"/>
      <c r="G3150" s="547" t="s">
        <v>379</v>
      </c>
      <c r="H3150" s="546" t="s">
        <v>380</v>
      </c>
      <c r="I3150" s="910"/>
      <c r="J3150" s="609"/>
    </row>
    <row r="3151" spans="1:15" ht="15" customHeight="1">
      <c r="A3151" s="905" t="s">
        <v>381</v>
      </c>
      <c r="B3151" s="546" t="s">
        <v>382</v>
      </c>
      <c r="C3151" s="910"/>
      <c r="D3151" s="609">
        <f>D3150</f>
        <v>0</v>
      </c>
      <c r="E3151" s="917"/>
      <c r="F3151" s="904"/>
      <c r="G3151" s="905" t="s">
        <v>381</v>
      </c>
      <c r="H3151" s="546" t="s">
        <v>382</v>
      </c>
      <c r="I3151" s="910"/>
      <c r="J3151" s="609">
        <f>J3150</f>
        <v>0</v>
      </c>
    </row>
    <row r="3152" spans="1:15" ht="15" customHeight="1">
      <c r="A3152" s="918" t="s">
        <v>383</v>
      </c>
      <c r="B3152" s="919" t="s">
        <v>384</v>
      </c>
      <c r="C3152" s="920"/>
      <c r="D3152" s="921" t="e">
        <f>SUM(D3142:D3148)-D3151</f>
        <v>#N/A</v>
      </c>
      <c r="E3152" s="922"/>
      <c r="F3152" s="923"/>
      <c r="G3152" s="918" t="s">
        <v>383</v>
      </c>
      <c r="H3152" s="919" t="s">
        <v>384</v>
      </c>
      <c r="I3152" s="920"/>
      <c r="J3152" s="921" t="e">
        <f>SUM(J3142:J3148)-J3151</f>
        <v>#N/A</v>
      </c>
    </row>
    <row r="3153" spans="1:15" ht="11.25" customHeight="1">
      <c r="A3153" s="924"/>
      <c r="B3153" s="925"/>
      <c r="C3153" s="926"/>
      <c r="D3153" s="927"/>
      <c r="E3153" s="927"/>
      <c r="F3153" s="928"/>
      <c r="G3153" s="924"/>
      <c r="H3153" s="925"/>
      <c r="I3153" s="926"/>
      <c r="J3153" s="927"/>
    </row>
    <row r="3154" spans="1:15" ht="11.25" customHeight="1">
      <c r="A3154" s="925"/>
      <c r="B3154" s="925"/>
      <c r="C3154" s="929"/>
      <c r="D3154" s="930"/>
      <c r="E3154" s="925"/>
      <c r="F3154" s="931"/>
      <c r="G3154" s="925"/>
      <c r="H3154" s="925"/>
      <c r="I3154" s="929"/>
      <c r="J3154" s="930"/>
    </row>
    <row r="3155" spans="1:15" ht="15" customHeight="1">
      <c r="A3155" s="2360" t="str">
        <f>$K$2</f>
        <v>THÁNG 09/2024</v>
      </c>
      <c r="B3155" s="2360"/>
      <c r="C3155" s="2360"/>
      <c r="D3155" s="2360"/>
      <c r="E3155" s="903"/>
      <c r="F3155" s="904"/>
      <c r="G3155" s="2360" t="str">
        <f>$K$2</f>
        <v>THÁNG 09/2024</v>
      </c>
      <c r="H3155" s="2360"/>
      <c r="I3155" s="2360"/>
      <c r="J3155" s="2360"/>
      <c r="K3155" s="276"/>
    </row>
    <row r="3156" spans="1:15" ht="15" customHeight="1">
      <c r="A3156" s="905" t="s">
        <v>356</v>
      </c>
      <c r="B3156" s="642" t="s">
        <v>294</v>
      </c>
      <c r="C3156" s="546"/>
      <c r="D3156" s="902"/>
      <c r="E3156" s="906"/>
      <c r="F3156" s="907"/>
      <c r="G3156" s="905" t="s">
        <v>356</v>
      </c>
      <c r="H3156" s="642" t="s">
        <v>295</v>
      </c>
      <c r="I3156" s="546"/>
      <c r="J3156" s="902"/>
      <c r="L3156" s="938"/>
      <c r="M3156" s="938"/>
      <c r="N3156" s="938"/>
      <c r="O3156" s="938"/>
    </row>
    <row r="3157" spans="1:15" ht="15" customHeight="1">
      <c r="A3157" s="905" t="s">
        <v>359</v>
      </c>
      <c r="B3157" s="939" t="s">
        <v>360</v>
      </c>
      <c r="C3157" s="910" t="e">
        <f>VLOOKUP(B3156,'LƯƠNG KT'!$D$16:$AC$184,3,0)</f>
        <v>#N/A</v>
      </c>
      <c r="D3157" s="609" t="e">
        <f>+C3157*25000</f>
        <v>#N/A</v>
      </c>
      <c r="E3157" s="911"/>
      <c r="F3157" s="911"/>
      <c r="G3157" s="905" t="s">
        <v>359</v>
      </c>
      <c r="H3157" s="939" t="s">
        <v>360</v>
      </c>
      <c r="I3157" s="910" t="e">
        <f>VLOOKUP(H3156,'LƯƠNG KT'!$D$16:$AC$184,3,0)</f>
        <v>#N/A</v>
      </c>
      <c r="J3157" s="609" t="e">
        <f>+I3157*25000</f>
        <v>#N/A</v>
      </c>
      <c r="K3157" s="935"/>
      <c r="L3157" s="935"/>
      <c r="M3157" s="935"/>
      <c r="N3157" s="935"/>
      <c r="O3157" s="935"/>
    </row>
    <row r="3158" spans="1:15" ht="15" customHeight="1">
      <c r="A3158" s="905" t="s">
        <v>361</v>
      </c>
      <c r="B3158" s="546" t="s">
        <v>362</v>
      </c>
      <c r="C3158" s="910" t="e">
        <f>VLOOKUP(B3156,'LƯƠNG KT'!$D$16:$AC$184,14,0)</f>
        <v>#N/A</v>
      </c>
      <c r="D3158" s="609" t="e">
        <f>C3158*$L$4</f>
        <v>#N/A</v>
      </c>
      <c r="E3158" s="912"/>
      <c r="F3158" s="912"/>
      <c r="G3158" s="905" t="s">
        <v>361</v>
      </c>
      <c r="H3158" s="546" t="s">
        <v>362</v>
      </c>
      <c r="I3158" s="910" t="e">
        <f>VLOOKUP(H3156,'LƯƠNG KT'!$D$16:$AC$184,14,0)</f>
        <v>#N/A</v>
      </c>
      <c r="J3158" s="609" t="e">
        <f>I3158*$L$4</f>
        <v>#N/A</v>
      </c>
      <c r="K3158" s="935"/>
      <c r="L3158" s="935"/>
      <c r="M3158" s="935"/>
      <c r="N3158" s="935"/>
      <c r="O3158" s="935"/>
    </row>
    <row r="3159" spans="1:15" ht="15" customHeight="1">
      <c r="A3159" s="905" t="s">
        <v>364</v>
      </c>
      <c r="B3159" s="546" t="s">
        <v>365</v>
      </c>
      <c r="C3159" s="910" t="e">
        <f>VLOOKUP(B3156,'LƯƠNG KT'!$D$16:$AC$184,15,0)</f>
        <v>#N/A</v>
      </c>
      <c r="D3159" s="609" t="e">
        <f>C3159*$L$5</f>
        <v>#N/A</v>
      </c>
      <c r="E3159" s="912"/>
      <c r="F3159" s="912"/>
      <c r="G3159" s="905" t="s">
        <v>364</v>
      </c>
      <c r="H3159" s="546" t="s">
        <v>365</v>
      </c>
      <c r="I3159" s="910" t="e">
        <f>VLOOKUP(H3156,'LƯƠNG KT'!$D$16:$AC$184,15,0)</f>
        <v>#N/A</v>
      </c>
      <c r="J3159" s="609" t="e">
        <f>I3159*$L$5</f>
        <v>#N/A</v>
      </c>
      <c r="K3159" s="935"/>
      <c r="L3159" s="935"/>
      <c r="M3159" s="935"/>
      <c r="N3159" s="935"/>
      <c r="O3159" s="935"/>
    </row>
    <row r="3160" spans="1:15" ht="15" customHeight="1">
      <c r="A3160" s="905" t="s">
        <v>367</v>
      </c>
      <c r="B3160" s="546"/>
      <c r="C3160" s="910" t="e">
        <f>VLOOKUP(B3156,'LƯƠNG KT'!$D$16:$AC$184,16,0)</f>
        <v>#N/A</v>
      </c>
      <c r="D3160" s="609" t="e">
        <f>+C3160*$L$6</f>
        <v>#N/A</v>
      </c>
      <c r="E3160" s="912"/>
      <c r="F3160" s="912"/>
      <c r="G3160" s="905" t="s">
        <v>367</v>
      </c>
      <c r="H3160" s="546"/>
      <c r="I3160" s="910" t="e">
        <f>VLOOKUP(H3156,'LƯƠNG KT'!$D$16:$AC$184,16,0)</f>
        <v>#N/A</v>
      </c>
      <c r="J3160" s="609" t="e">
        <f>+I3160*$L$6</f>
        <v>#N/A</v>
      </c>
      <c r="K3160" s="935"/>
      <c r="L3160" s="935"/>
      <c r="M3160" s="935"/>
      <c r="N3160" s="935"/>
      <c r="O3160" s="935"/>
    </row>
    <row r="3161" spans="1:15" ht="15" customHeight="1">
      <c r="A3161" s="905" t="s">
        <v>515</v>
      </c>
      <c r="B3161" s="546"/>
      <c r="C3161" s="910" t="e">
        <f>VLOOKUP(B3156,'LƯƠNG KT'!$D$16:$AC$184,17,0)</f>
        <v>#N/A</v>
      </c>
      <c r="D3161" s="609" t="e">
        <f>+C3161*$L$7</f>
        <v>#N/A</v>
      </c>
      <c r="E3161" s="912"/>
      <c r="F3161" s="912"/>
      <c r="G3161" s="905" t="s">
        <v>515</v>
      </c>
      <c r="H3161" s="546"/>
      <c r="I3161" s="910" t="e">
        <f>VLOOKUP(H3156,'LƯƠNG KT'!$D$16:$AC$184,17,0)</f>
        <v>#N/A</v>
      </c>
      <c r="J3161" s="609" t="e">
        <f>+I3161*$L$7</f>
        <v>#N/A</v>
      </c>
      <c r="K3161" s="935"/>
      <c r="L3161" s="935"/>
      <c r="M3161" s="935"/>
      <c r="N3161" s="935"/>
      <c r="O3161" s="935"/>
    </row>
    <row r="3162" spans="1:15" ht="15" customHeight="1">
      <c r="A3162" s="905" t="s">
        <v>371</v>
      </c>
      <c r="B3162" s="546" t="s">
        <v>372</v>
      </c>
      <c r="C3162" s="910" t="e">
        <f>VLOOKUP(B3156,'LƯƠNG KT'!$D$16:$AC$184,9,0)*$L$10</f>
        <v>#N/A</v>
      </c>
      <c r="D3162" s="609" t="e">
        <f>+C3162*0.5*3000</f>
        <v>#N/A</v>
      </c>
      <c r="E3162" s="912"/>
      <c r="F3162" s="912"/>
      <c r="G3162" s="905" t="s">
        <v>371</v>
      </c>
      <c r="H3162" s="546" t="s">
        <v>372</v>
      </c>
      <c r="I3162" s="910" t="e">
        <f>VLOOKUP(H3156,'LƯƠNG KT'!$D$16:$AC$184,9,0)*$L$10</f>
        <v>#N/A</v>
      </c>
      <c r="J3162" s="609" t="e">
        <f>+I3162*0.5*3000</f>
        <v>#N/A</v>
      </c>
      <c r="K3162" s="935"/>
      <c r="L3162" s="935"/>
      <c r="M3162" s="935"/>
      <c r="N3162" s="935"/>
      <c r="O3162" s="935"/>
    </row>
    <row r="3163" spans="1:15" ht="15" customHeight="1">
      <c r="A3163" s="905" t="s">
        <v>374</v>
      </c>
      <c r="B3163" s="546" t="s">
        <v>375</v>
      </c>
      <c r="C3163" s="910" t="e">
        <f>VLOOKUP(B3156,'LƯƠNG KT'!$D$16:$AC$184,8,0)*$L$11</f>
        <v>#N/A</v>
      </c>
      <c r="D3163" s="609" t="e">
        <f>VLOOKUP(B3156,'LƯƠNG KT'!$D$16:$AC$184,13,0)-D3162</f>
        <v>#N/A</v>
      </c>
      <c r="E3163" s="914"/>
      <c r="F3163" s="912"/>
      <c r="G3163" s="905" t="s">
        <v>374</v>
      </c>
      <c r="H3163" s="546" t="s">
        <v>375</v>
      </c>
      <c r="I3163" s="910" t="e">
        <f>VLOOKUP(H3156,'LƯƠNG KT'!$D$16:$AC$184,8,0)*$L$11</f>
        <v>#N/A</v>
      </c>
      <c r="J3163" s="609" t="e">
        <f>VLOOKUP(H3156,'LƯƠNG KT'!$D$16:$AC$184,13,0)-J3162</f>
        <v>#N/A</v>
      </c>
      <c r="K3163" s="935"/>
      <c r="L3163" s="935"/>
      <c r="M3163" s="935"/>
      <c r="N3163" s="935"/>
      <c r="O3163" s="935"/>
    </row>
    <row r="3164" spans="1:15" ht="15" customHeight="1">
      <c r="A3164" s="609" t="s">
        <v>377</v>
      </c>
      <c r="B3164" s="546" t="s">
        <v>378</v>
      </c>
      <c r="C3164" s="910"/>
      <c r="D3164" s="609"/>
      <c r="E3164" s="916"/>
      <c r="F3164" s="916"/>
      <c r="G3164" s="609" t="s">
        <v>377</v>
      </c>
      <c r="H3164" s="546" t="s">
        <v>378</v>
      </c>
      <c r="I3164" s="910"/>
      <c r="J3164" s="609"/>
    </row>
    <row r="3165" spans="1:15" ht="15" customHeight="1">
      <c r="A3165" s="547" t="s">
        <v>379</v>
      </c>
      <c r="B3165" s="546" t="s">
        <v>380</v>
      </c>
      <c r="C3165" s="910"/>
      <c r="D3165" s="609"/>
      <c r="E3165" s="914"/>
      <c r="F3165" s="916"/>
      <c r="G3165" s="547" t="s">
        <v>379</v>
      </c>
      <c r="H3165" s="546" t="s">
        <v>380</v>
      </c>
      <c r="I3165" s="910"/>
      <c r="J3165" s="609"/>
    </row>
    <row r="3166" spans="1:15" ht="15" customHeight="1">
      <c r="A3166" s="905" t="s">
        <v>381</v>
      </c>
      <c r="B3166" s="546" t="s">
        <v>382</v>
      </c>
      <c r="C3166" s="910"/>
      <c r="D3166" s="609">
        <f>D3165</f>
        <v>0</v>
      </c>
      <c r="E3166" s="917"/>
      <c r="F3166" s="904"/>
      <c r="G3166" s="905" t="s">
        <v>381</v>
      </c>
      <c r="H3166" s="546" t="s">
        <v>382</v>
      </c>
      <c r="I3166" s="910"/>
      <c r="J3166" s="609">
        <f>J3165</f>
        <v>0</v>
      </c>
    </row>
    <row r="3167" spans="1:15" ht="15" customHeight="1">
      <c r="A3167" s="918" t="s">
        <v>383</v>
      </c>
      <c r="B3167" s="919" t="s">
        <v>384</v>
      </c>
      <c r="C3167" s="920"/>
      <c r="D3167" s="921" t="e">
        <f>SUM(D3157:D3163)-D3166</f>
        <v>#N/A</v>
      </c>
      <c r="E3167" s="922"/>
      <c r="F3167" s="923"/>
      <c r="G3167" s="918" t="s">
        <v>383</v>
      </c>
      <c r="H3167" s="919" t="s">
        <v>384</v>
      </c>
      <c r="I3167" s="920"/>
      <c r="J3167" s="921" t="e">
        <f>SUM(J3157:J3163)-J3166</f>
        <v>#N/A</v>
      </c>
    </row>
    <row r="3168" spans="1:15" ht="11.25" customHeight="1">
      <c r="A3168" s="924"/>
      <c r="B3168" s="925"/>
      <c r="C3168" s="926"/>
      <c r="D3168" s="927"/>
      <c r="E3168" s="927"/>
      <c r="F3168" s="928"/>
      <c r="G3168" s="924"/>
      <c r="H3168" s="925"/>
      <c r="I3168" s="926"/>
      <c r="J3168" s="927"/>
    </row>
    <row r="3169" spans="1:15" ht="15" customHeight="1">
      <c r="A3169" s="2360" t="str">
        <f>$K$2</f>
        <v>THÁNG 09/2024</v>
      </c>
      <c r="B3169" s="2360"/>
      <c r="C3169" s="2360"/>
      <c r="D3169" s="2360"/>
      <c r="E3169" s="903"/>
      <c r="F3169" s="904"/>
      <c r="G3169" s="2360" t="str">
        <f>$K$2</f>
        <v>THÁNG 09/2024</v>
      </c>
      <c r="H3169" s="2360"/>
      <c r="I3169" s="2360"/>
      <c r="J3169" s="2360"/>
      <c r="K3169" s="276"/>
    </row>
    <row r="3170" spans="1:15" ht="15" customHeight="1">
      <c r="A3170" s="905" t="s">
        <v>356</v>
      </c>
      <c r="B3170" s="642" t="s">
        <v>296</v>
      </c>
      <c r="C3170" s="546"/>
      <c r="D3170" s="902"/>
      <c r="E3170" s="906"/>
      <c r="F3170" s="907"/>
      <c r="G3170" s="905" t="s">
        <v>356</v>
      </c>
      <c r="H3170" s="642" t="s">
        <v>297</v>
      </c>
      <c r="I3170" s="546"/>
      <c r="J3170" s="902"/>
      <c r="L3170" s="938"/>
      <c r="M3170" s="938"/>
      <c r="N3170" s="938"/>
      <c r="O3170" s="938"/>
    </row>
    <row r="3171" spans="1:15" ht="15" customHeight="1">
      <c r="A3171" s="905" t="s">
        <v>359</v>
      </c>
      <c r="B3171" s="939" t="s">
        <v>360</v>
      </c>
      <c r="C3171" s="910" t="e">
        <f>VLOOKUP(B3170,'LƯƠNG KT'!$D$16:$AC$184,3,0)</f>
        <v>#N/A</v>
      </c>
      <c r="D3171" s="609" t="e">
        <f>+C3171*25000</f>
        <v>#N/A</v>
      </c>
      <c r="E3171" s="911"/>
      <c r="F3171" s="911"/>
      <c r="G3171" s="905" t="s">
        <v>359</v>
      </c>
      <c r="H3171" s="939" t="s">
        <v>360</v>
      </c>
      <c r="I3171" s="910" t="e">
        <f>VLOOKUP(H3170,'LƯƠNG KT'!$D$16:$AC$184,3,0)</f>
        <v>#N/A</v>
      </c>
      <c r="J3171" s="609" t="e">
        <f>+I3171*25000</f>
        <v>#N/A</v>
      </c>
      <c r="K3171" s="934"/>
      <c r="L3171" s="935"/>
      <c r="M3171" s="935"/>
      <c r="N3171" s="935"/>
      <c r="O3171" s="935"/>
    </row>
    <row r="3172" spans="1:15" ht="15" customHeight="1">
      <c r="A3172" s="905" t="s">
        <v>361</v>
      </c>
      <c r="B3172" s="546" t="s">
        <v>362</v>
      </c>
      <c r="C3172" s="910" t="e">
        <f>VLOOKUP(B3170,'LƯƠNG KT'!$D$16:$AC$184,14,0)</f>
        <v>#N/A</v>
      </c>
      <c r="D3172" s="609" t="e">
        <f>C3172*$L$4</f>
        <v>#N/A</v>
      </c>
      <c r="E3172" s="912"/>
      <c r="F3172" s="912"/>
      <c r="G3172" s="905" t="s">
        <v>361</v>
      </c>
      <c r="H3172" s="546" t="s">
        <v>362</v>
      </c>
      <c r="I3172" s="910" t="e">
        <f>VLOOKUP(H3170,'LƯƠNG KT'!$D$16:$AC$184,14,0)</f>
        <v>#N/A</v>
      </c>
      <c r="J3172" s="609" t="e">
        <f>I3172*$L$4</f>
        <v>#N/A</v>
      </c>
      <c r="K3172" s="934"/>
      <c r="L3172" s="935"/>
      <c r="M3172" s="935"/>
      <c r="N3172" s="935"/>
      <c r="O3172" s="935"/>
    </row>
    <row r="3173" spans="1:15" ht="15" customHeight="1">
      <c r="A3173" s="905" t="s">
        <v>364</v>
      </c>
      <c r="B3173" s="546" t="s">
        <v>365</v>
      </c>
      <c r="C3173" s="910" t="e">
        <f>VLOOKUP(B3170,'LƯƠNG KT'!$D$16:$AC$184,15,0)</f>
        <v>#N/A</v>
      </c>
      <c r="D3173" s="609" t="e">
        <f>C3173*$L$5</f>
        <v>#N/A</v>
      </c>
      <c r="E3173" s="912"/>
      <c r="F3173" s="912"/>
      <c r="G3173" s="905" t="s">
        <v>364</v>
      </c>
      <c r="H3173" s="546" t="s">
        <v>365</v>
      </c>
      <c r="I3173" s="910" t="e">
        <f>VLOOKUP(H3170,'LƯƠNG KT'!$D$16:$AC$184,15,0)</f>
        <v>#N/A</v>
      </c>
      <c r="J3173" s="609" t="e">
        <f>I3173*$L$5</f>
        <v>#N/A</v>
      </c>
      <c r="K3173" s="934"/>
      <c r="L3173" s="935"/>
      <c r="M3173" s="935"/>
      <c r="N3173" s="935"/>
      <c r="O3173" s="935"/>
    </row>
    <row r="3174" spans="1:15" ht="15" customHeight="1">
      <c r="A3174" s="905" t="s">
        <v>367</v>
      </c>
      <c r="B3174" s="546"/>
      <c r="C3174" s="910" t="e">
        <f>VLOOKUP(B3170,'LƯƠNG KT'!$D$16:$AC$184,16,0)</f>
        <v>#N/A</v>
      </c>
      <c r="D3174" s="609" t="e">
        <f>+C3174*$L$6</f>
        <v>#N/A</v>
      </c>
      <c r="E3174" s="912"/>
      <c r="F3174" s="912"/>
      <c r="G3174" s="905" t="s">
        <v>367</v>
      </c>
      <c r="H3174" s="546"/>
      <c r="I3174" s="910" t="e">
        <f>VLOOKUP(H3170,'LƯƠNG KT'!$D$16:$AC$184,16,0)</f>
        <v>#N/A</v>
      </c>
      <c r="J3174" s="609" t="e">
        <f>+I3174*$L$6</f>
        <v>#N/A</v>
      </c>
      <c r="K3174" s="935"/>
      <c r="L3174" s="935"/>
      <c r="M3174" s="935"/>
      <c r="N3174" s="935"/>
      <c r="O3174" s="935"/>
    </row>
    <row r="3175" spans="1:15" ht="15" customHeight="1">
      <c r="A3175" s="905" t="s">
        <v>515</v>
      </c>
      <c r="B3175" s="546"/>
      <c r="C3175" s="910" t="e">
        <f>VLOOKUP(B3170,'LƯƠNG KT'!$D$16:$AC$184,17,0)</f>
        <v>#N/A</v>
      </c>
      <c r="D3175" s="609" t="e">
        <f>+C3175*$L$7</f>
        <v>#N/A</v>
      </c>
      <c r="E3175" s="912"/>
      <c r="F3175" s="912"/>
      <c r="G3175" s="905" t="s">
        <v>515</v>
      </c>
      <c r="H3175" s="546"/>
      <c r="I3175" s="910" t="e">
        <f>VLOOKUP(H3170,'LƯƠNG KT'!$D$16:$AC$184,17,0)</f>
        <v>#N/A</v>
      </c>
      <c r="J3175" s="609" t="e">
        <f>+I3175*$L$7</f>
        <v>#N/A</v>
      </c>
      <c r="K3175" s="935"/>
      <c r="L3175" s="935"/>
      <c r="M3175" s="935"/>
      <c r="N3175" s="935"/>
      <c r="O3175" s="935"/>
    </row>
    <row r="3176" spans="1:15" ht="15" customHeight="1">
      <c r="A3176" s="905" t="s">
        <v>371</v>
      </c>
      <c r="B3176" s="546" t="s">
        <v>372</v>
      </c>
      <c r="C3176" s="910" t="e">
        <f>VLOOKUP(B3170,'LƯƠNG KT'!$D$16:$AC$184,9,0)*$L$10</f>
        <v>#N/A</v>
      </c>
      <c r="D3176" s="609" t="e">
        <f>+C3176*0.5*3000</f>
        <v>#N/A</v>
      </c>
      <c r="E3176" s="912"/>
      <c r="F3176" s="912"/>
      <c r="G3176" s="905" t="s">
        <v>371</v>
      </c>
      <c r="H3176" s="546" t="s">
        <v>372</v>
      </c>
      <c r="I3176" s="910" t="e">
        <f>VLOOKUP(H3170,'LƯƠNG KT'!$D$16:$AC$184,9,0)*$L$10</f>
        <v>#N/A</v>
      </c>
      <c r="J3176" s="609" t="e">
        <f>+I3176*0.5*3000</f>
        <v>#N/A</v>
      </c>
      <c r="K3176" s="935"/>
      <c r="L3176" s="935"/>
      <c r="M3176" s="935"/>
      <c r="N3176" s="935"/>
      <c r="O3176" s="935"/>
    </row>
    <row r="3177" spans="1:15" ht="15" customHeight="1">
      <c r="A3177" s="905" t="s">
        <v>374</v>
      </c>
      <c r="B3177" s="546" t="s">
        <v>375</v>
      </c>
      <c r="C3177" s="910" t="e">
        <f>VLOOKUP(B3170,'LƯƠNG KT'!$D$16:$AC$184,8,0)*$L$11</f>
        <v>#N/A</v>
      </c>
      <c r="D3177" s="609" t="e">
        <f>VLOOKUP(B3170,'LƯƠNG KT'!$D$16:$AC$184,13,0)-D3176</f>
        <v>#N/A</v>
      </c>
      <c r="E3177" s="914"/>
      <c r="F3177" s="912"/>
      <c r="G3177" s="905" t="s">
        <v>374</v>
      </c>
      <c r="H3177" s="546" t="s">
        <v>375</v>
      </c>
      <c r="I3177" s="910" t="e">
        <f>VLOOKUP(H3170,'LƯƠNG KT'!$D$16:$AC$184,8,0)*$L$11</f>
        <v>#N/A</v>
      </c>
      <c r="J3177" s="609" t="e">
        <f>VLOOKUP(H3170,'LƯƠNG KT'!$D$16:$AC$184,13,0)-J3176</f>
        <v>#N/A</v>
      </c>
      <c r="K3177" s="935"/>
      <c r="L3177" s="935"/>
      <c r="M3177" s="935"/>
      <c r="N3177" s="935"/>
      <c r="O3177" s="935"/>
    </row>
    <row r="3178" spans="1:15" ht="15" customHeight="1">
      <c r="A3178" s="609" t="s">
        <v>377</v>
      </c>
      <c r="B3178" s="546" t="s">
        <v>378</v>
      </c>
      <c r="C3178" s="910"/>
      <c r="D3178" s="609"/>
      <c r="E3178" s="916"/>
      <c r="F3178" s="916"/>
      <c r="G3178" s="609" t="s">
        <v>377</v>
      </c>
      <c r="H3178" s="546" t="s">
        <v>378</v>
      </c>
      <c r="I3178" s="910"/>
      <c r="J3178" s="609"/>
    </row>
    <row r="3179" spans="1:15" ht="15" customHeight="1">
      <c r="A3179" s="547" t="s">
        <v>379</v>
      </c>
      <c r="B3179" s="546" t="s">
        <v>380</v>
      </c>
      <c r="C3179" s="910"/>
      <c r="D3179" s="609"/>
      <c r="E3179" s="914"/>
      <c r="F3179" s="916"/>
      <c r="G3179" s="547" t="s">
        <v>379</v>
      </c>
      <c r="H3179" s="546" t="s">
        <v>380</v>
      </c>
      <c r="I3179" s="910"/>
      <c r="J3179" s="609"/>
    </row>
    <row r="3180" spans="1:15" ht="15" customHeight="1">
      <c r="A3180" s="905" t="s">
        <v>381</v>
      </c>
      <c r="B3180" s="546" t="s">
        <v>382</v>
      </c>
      <c r="C3180" s="910"/>
      <c r="D3180" s="609">
        <f>D3179</f>
        <v>0</v>
      </c>
      <c r="E3180" s="917"/>
      <c r="F3180" s="904"/>
      <c r="G3180" s="905" t="s">
        <v>381</v>
      </c>
      <c r="H3180" s="546" t="s">
        <v>382</v>
      </c>
      <c r="I3180" s="910"/>
      <c r="J3180" s="609">
        <f>J3179</f>
        <v>0</v>
      </c>
    </row>
    <row r="3181" spans="1:15" ht="15" customHeight="1">
      <c r="A3181" s="918" t="s">
        <v>383</v>
      </c>
      <c r="B3181" s="919" t="s">
        <v>384</v>
      </c>
      <c r="C3181" s="920"/>
      <c r="D3181" s="921" t="e">
        <f>SUM(D3171:D3177)-D3180</f>
        <v>#N/A</v>
      </c>
      <c r="E3181" s="922"/>
      <c r="F3181" s="923"/>
      <c r="G3181" s="918" t="s">
        <v>383</v>
      </c>
      <c r="H3181" s="919" t="s">
        <v>384</v>
      </c>
      <c r="I3181" s="920"/>
      <c r="J3181" s="921" t="e">
        <f>SUM(J3171:J3177)-J3180</f>
        <v>#N/A</v>
      </c>
    </row>
    <row r="3182" spans="1:15" ht="11.25" customHeight="1">
      <c r="A3182" s="924"/>
      <c r="B3182" s="925"/>
      <c r="C3182" s="926"/>
      <c r="D3182" s="927"/>
      <c r="E3182" s="927"/>
      <c r="F3182" s="928"/>
      <c r="G3182" s="924"/>
      <c r="H3182" s="925"/>
      <c r="I3182" s="926"/>
      <c r="J3182" s="927"/>
    </row>
    <row r="3183" spans="1:15" ht="11.25" customHeight="1">
      <c r="A3183" s="925"/>
      <c r="B3183" s="925"/>
      <c r="C3183" s="929"/>
      <c r="D3183" s="930"/>
      <c r="E3183" s="925"/>
      <c r="F3183" s="931"/>
      <c r="G3183" s="925"/>
      <c r="H3183" s="925"/>
      <c r="I3183" s="929"/>
      <c r="J3183" s="930"/>
    </row>
    <row r="3184" spans="1:15" ht="15" customHeight="1">
      <c r="A3184" s="2360" t="str">
        <f>$K$2</f>
        <v>THÁNG 09/2024</v>
      </c>
      <c r="B3184" s="2360"/>
      <c r="C3184" s="2360"/>
      <c r="D3184" s="2360"/>
      <c r="E3184" s="903"/>
      <c r="F3184" s="904"/>
      <c r="G3184" s="2360" t="str">
        <f>$K$2</f>
        <v>THÁNG 09/2024</v>
      </c>
      <c r="H3184" s="2360"/>
      <c r="I3184" s="2360"/>
      <c r="J3184" s="2360"/>
      <c r="K3184" s="276"/>
    </row>
    <row r="3185" spans="1:15" ht="15" customHeight="1">
      <c r="A3185" s="905" t="s">
        <v>356</v>
      </c>
      <c r="B3185" s="642" t="s">
        <v>518</v>
      </c>
      <c r="C3185" s="546"/>
      <c r="D3185" s="902"/>
      <c r="E3185" s="906"/>
      <c r="F3185" s="907"/>
      <c r="G3185" s="905" t="s">
        <v>356</v>
      </c>
      <c r="H3185" s="642" t="s">
        <v>299</v>
      </c>
      <c r="I3185" s="546"/>
      <c r="J3185" s="902"/>
      <c r="L3185" s="938"/>
      <c r="M3185" s="938"/>
      <c r="N3185" s="938"/>
      <c r="O3185" s="938"/>
    </row>
    <row r="3186" spans="1:15" ht="15" customHeight="1">
      <c r="A3186" s="905" t="s">
        <v>359</v>
      </c>
      <c r="B3186" s="939" t="s">
        <v>360</v>
      </c>
      <c r="C3186" s="910" t="e">
        <f>VLOOKUP(B3185,'LƯƠNG KT'!$D$16:$AC$184,3,0)</f>
        <v>#N/A</v>
      </c>
      <c r="D3186" s="609" t="e">
        <f>+C3186*25000</f>
        <v>#N/A</v>
      </c>
      <c r="E3186" s="911"/>
      <c r="F3186" s="911"/>
      <c r="G3186" s="905" t="s">
        <v>359</v>
      </c>
      <c r="H3186" s="939" t="s">
        <v>360</v>
      </c>
      <c r="I3186" s="910" t="e">
        <f>VLOOKUP(H3185,'LƯƠNG KT'!$D$16:$AC$184,3,0)</f>
        <v>#N/A</v>
      </c>
      <c r="J3186" s="609" t="e">
        <f>+I3186*25000</f>
        <v>#N/A</v>
      </c>
      <c r="K3186" s="935"/>
      <c r="L3186" s="935"/>
      <c r="M3186" s="935"/>
      <c r="N3186" s="935"/>
      <c r="O3186" s="935"/>
    </row>
    <row r="3187" spans="1:15" ht="15" customHeight="1">
      <c r="A3187" s="905" t="s">
        <v>361</v>
      </c>
      <c r="B3187" s="546" t="s">
        <v>362</v>
      </c>
      <c r="C3187" s="910" t="e">
        <f>VLOOKUP(B3185,'LƯƠNG KT'!$D$16:$AC$184,14,0)</f>
        <v>#N/A</v>
      </c>
      <c r="D3187" s="609" t="e">
        <f>C3187*$L$4</f>
        <v>#N/A</v>
      </c>
      <c r="E3187" s="912"/>
      <c r="F3187" s="912"/>
      <c r="G3187" s="905" t="s">
        <v>361</v>
      </c>
      <c r="H3187" s="546" t="s">
        <v>362</v>
      </c>
      <c r="I3187" s="910" t="e">
        <f>VLOOKUP(H3185,'LƯƠNG KT'!$D$16:$AC$184,14,0)</f>
        <v>#N/A</v>
      </c>
      <c r="J3187" s="609" t="e">
        <f>I3187*$L$4</f>
        <v>#N/A</v>
      </c>
      <c r="K3187" s="935"/>
      <c r="L3187" s="935"/>
      <c r="M3187" s="935"/>
      <c r="N3187" s="935"/>
      <c r="O3187" s="935"/>
    </row>
    <row r="3188" spans="1:15" ht="15" customHeight="1">
      <c r="A3188" s="905" t="s">
        <v>364</v>
      </c>
      <c r="B3188" s="546" t="s">
        <v>365</v>
      </c>
      <c r="C3188" s="910" t="e">
        <f>VLOOKUP(B3185,'LƯƠNG KT'!$D$16:$AC$184,15,0)</f>
        <v>#N/A</v>
      </c>
      <c r="D3188" s="609" t="e">
        <f>C3188*$L$5</f>
        <v>#N/A</v>
      </c>
      <c r="E3188" s="912"/>
      <c r="F3188" s="912"/>
      <c r="G3188" s="905" t="s">
        <v>364</v>
      </c>
      <c r="H3188" s="546" t="s">
        <v>365</v>
      </c>
      <c r="I3188" s="910" t="e">
        <f>VLOOKUP(H3185,'LƯƠNG KT'!$D$16:$AC$184,15,0)</f>
        <v>#N/A</v>
      </c>
      <c r="J3188" s="609" t="e">
        <f>I3188*$L$5</f>
        <v>#N/A</v>
      </c>
      <c r="K3188" s="935"/>
      <c r="L3188" s="935"/>
      <c r="M3188" s="935"/>
      <c r="N3188" s="935"/>
      <c r="O3188" s="935"/>
    </row>
    <row r="3189" spans="1:15" ht="15" customHeight="1">
      <c r="A3189" s="905" t="s">
        <v>367</v>
      </c>
      <c r="B3189" s="546"/>
      <c r="C3189" s="910" t="e">
        <f>VLOOKUP(B3185,'LƯƠNG KT'!$D$16:$AC$184,16,0)</f>
        <v>#N/A</v>
      </c>
      <c r="D3189" s="609" t="e">
        <f>+C3189*$L$6</f>
        <v>#N/A</v>
      </c>
      <c r="E3189" s="912"/>
      <c r="F3189" s="912"/>
      <c r="G3189" s="905" t="s">
        <v>367</v>
      </c>
      <c r="H3189" s="546"/>
      <c r="I3189" s="910" t="e">
        <f>VLOOKUP(H3185,'LƯƠNG KT'!$D$16:$AC$184,16,0)</f>
        <v>#N/A</v>
      </c>
      <c r="J3189" s="609" t="e">
        <f>+I3189*$L$6</f>
        <v>#N/A</v>
      </c>
      <c r="K3189" s="935"/>
      <c r="L3189" s="935"/>
      <c r="M3189" s="935"/>
      <c r="N3189" s="935"/>
      <c r="O3189" s="935"/>
    </row>
    <row r="3190" spans="1:15" ht="15" customHeight="1">
      <c r="A3190" s="905" t="s">
        <v>515</v>
      </c>
      <c r="B3190" s="546"/>
      <c r="C3190" s="910" t="e">
        <f>VLOOKUP(B3185,'LƯƠNG KT'!$D$16:$AC$184,17,0)</f>
        <v>#N/A</v>
      </c>
      <c r="D3190" s="609" t="e">
        <f>+C3190*$L$7</f>
        <v>#N/A</v>
      </c>
      <c r="E3190" s="912"/>
      <c r="F3190" s="912"/>
      <c r="G3190" s="905" t="s">
        <v>515</v>
      </c>
      <c r="H3190" s="546"/>
      <c r="I3190" s="910" t="e">
        <f>VLOOKUP(H3185,'LƯƠNG KT'!$D$16:$AC$184,17,0)</f>
        <v>#N/A</v>
      </c>
      <c r="J3190" s="609" t="e">
        <f>+I3190*$L$7</f>
        <v>#N/A</v>
      </c>
      <c r="K3190" s="935"/>
      <c r="L3190" s="935"/>
      <c r="M3190" s="935"/>
      <c r="N3190" s="935"/>
      <c r="O3190" s="935"/>
    </row>
    <row r="3191" spans="1:15" ht="15" customHeight="1">
      <c r="A3191" s="905" t="s">
        <v>371</v>
      </c>
      <c r="B3191" s="546" t="s">
        <v>372</v>
      </c>
      <c r="C3191" s="910" t="e">
        <f>VLOOKUP(B3185,'LƯƠNG KT'!$D$16:$AC$184,9,0)*$L$10</f>
        <v>#N/A</v>
      </c>
      <c r="D3191" s="609" t="e">
        <f>+C3191*0.5*3000</f>
        <v>#N/A</v>
      </c>
      <c r="E3191" s="912"/>
      <c r="F3191" s="912"/>
      <c r="G3191" s="905" t="s">
        <v>371</v>
      </c>
      <c r="H3191" s="546" t="s">
        <v>372</v>
      </c>
      <c r="I3191" s="910" t="e">
        <f>VLOOKUP(H3185,'LƯƠNG KT'!$D$16:$AC$184,9,0)*$L$10</f>
        <v>#N/A</v>
      </c>
      <c r="J3191" s="609" t="e">
        <f>+I3191*0.5*3000</f>
        <v>#N/A</v>
      </c>
      <c r="K3191" s="935"/>
      <c r="L3191" s="935"/>
      <c r="M3191" s="935"/>
      <c r="N3191" s="935"/>
      <c r="O3191" s="935"/>
    </row>
    <row r="3192" spans="1:15" ht="15" customHeight="1">
      <c r="A3192" s="905" t="s">
        <v>374</v>
      </c>
      <c r="B3192" s="546" t="s">
        <v>375</v>
      </c>
      <c r="C3192" s="910" t="e">
        <f>VLOOKUP(B3185,'LƯƠNG KT'!$D$16:$AC$184,8,0)*$L$11</f>
        <v>#N/A</v>
      </c>
      <c r="D3192" s="609" t="e">
        <f>VLOOKUP(B3185,'LƯƠNG KT'!$D$16:$AC$184,13,0)-D3191</f>
        <v>#N/A</v>
      </c>
      <c r="E3192" s="914"/>
      <c r="F3192" s="912"/>
      <c r="G3192" s="905" t="s">
        <v>374</v>
      </c>
      <c r="H3192" s="546" t="s">
        <v>375</v>
      </c>
      <c r="I3192" s="910" t="e">
        <f>VLOOKUP(H3185,'LƯƠNG KT'!$D$16:$AC$184,8,0)*$L$11</f>
        <v>#N/A</v>
      </c>
      <c r="J3192" s="609" t="e">
        <f>VLOOKUP(H3185,'LƯƠNG KT'!$D$16:$AC$184,13,0)-J3191</f>
        <v>#N/A</v>
      </c>
      <c r="K3192" s="935"/>
      <c r="L3192" s="935"/>
      <c r="M3192" s="935"/>
      <c r="N3192" s="935"/>
      <c r="O3192" s="935"/>
    </row>
    <row r="3193" spans="1:15" ht="15" customHeight="1">
      <c r="A3193" s="609" t="s">
        <v>377</v>
      </c>
      <c r="B3193" s="546" t="s">
        <v>378</v>
      </c>
      <c r="C3193" s="910"/>
      <c r="D3193" s="609"/>
      <c r="E3193" s="916"/>
      <c r="F3193" s="916"/>
      <c r="G3193" s="609" t="s">
        <v>377</v>
      </c>
      <c r="H3193" s="546" t="s">
        <v>378</v>
      </c>
      <c r="I3193" s="910"/>
      <c r="J3193" s="609"/>
    </row>
    <row r="3194" spans="1:15" ht="15" customHeight="1">
      <c r="A3194" s="547" t="s">
        <v>379</v>
      </c>
      <c r="B3194" s="546" t="s">
        <v>380</v>
      </c>
      <c r="C3194" s="910"/>
      <c r="D3194" s="609"/>
      <c r="E3194" s="914"/>
      <c r="F3194" s="916"/>
      <c r="G3194" s="547" t="s">
        <v>379</v>
      </c>
      <c r="H3194" s="546" t="s">
        <v>380</v>
      </c>
      <c r="I3194" s="910"/>
      <c r="J3194" s="609"/>
    </row>
    <row r="3195" spans="1:15" ht="15" customHeight="1">
      <c r="A3195" s="905" t="s">
        <v>381</v>
      </c>
      <c r="B3195" s="546" t="s">
        <v>382</v>
      </c>
      <c r="C3195" s="910"/>
      <c r="D3195" s="609">
        <f>D3194</f>
        <v>0</v>
      </c>
      <c r="E3195" s="917"/>
      <c r="F3195" s="904"/>
      <c r="G3195" s="905" t="s">
        <v>381</v>
      </c>
      <c r="H3195" s="546" t="s">
        <v>382</v>
      </c>
      <c r="I3195" s="910"/>
      <c r="J3195" s="609">
        <f>J3194</f>
        <v>0</v>
      </c>
    </row>
    <row r="3196" spans="1:15" ht="15" customHeight="1">
      <c r="A3196" s="918" t="s">
        <v>383</v>
      </c>
      <c r="B3196" s="919" t="s">
        <v>384</v>
      </c>
      <c r="C3196" s="920"/>
      <c r="D3196" s="921" t="e">
        <f>SUM(D3186:D3192)-D3195</f>
        <v>#N/A</v>
      </c>
      <c r="E3196" s="922"/>
      <c r="F3196" s="923"/>
      <c r="G3196" s="918" t="s">
        <v>383</v>
      </c>
      <c r="H3196" s="919" t="s">
        <v>384</v>
      </c>
      <c r="I3196" s="920"/>
      <c r="J3196" s="921" t="e">
        <f>SUM(J3186:J3192)-J3195</f>
        <v>#N/A</v>
      </c>
    </row>
    <row r="3197" spans="1:15" ht="11.25" customHeight="1">
      <c r="A3197" s="924"/>
      <c r="B3197" s="925"/>
      <c r="C3197" s="926"/>
      <c r="D3197" s="927"/>
      <c r="E3197" s="927"/>
      <c r="F3197" s="928"/>
      <c r="G3197" s="924"/>
      <c r="H3197" s="925"/>
      <c r="I3197" s="926"/>
      <c r="J3197" s="927"/>
    </row>
    <row r="3198" spans="1:15" ht="11.25" customHeight="1">
      <c r="A3198" s="925"/>
      <c r="B3198" s="925"/>
      <c r="C3198" s="929"/>
      <c r="D3198" s="930"/>
      <c r="E3198" s="925"/>
      <c r="F3198" s="931"/>
      <c r="G3198" s="925"/>
      <c r="H3198" s="925"/>
      <c r="I3198" s="929"/>
      <c r="J3198" s="930"/>
    </row>
    <row r="3199" spans="1:15" ht="15" customHeight="1">
      <c r="A3199" s="2360" t="str">
        <f>$K$2</f>
        <v>THÁNG 09/2024</v>
      </c>
      <c r="B3199" s="2360"/>
      <c r="C3199" s="2360"/>
      <c r="D3199" s="2360"/>
      <c r="E3199" s="903"/>
      <c r="F3199" s="904"/>
      <c r="G3199" s="2360" t="str">
        <f>$K$2</f>
        <v>THÁNG 09/2024</v>
      </c>
      <c r="H3199" s="2360"/>
      <c r="I3199" s="2360"/>
      <c r="J3199" s="2360"/>
      <c r="K3199" s="276"/>
    </row>
    <row r="3200" spans="1:15" ht="15" customHeight="1">
      <c r="A3200" s="905" t="s">
        <v>356</v>
      </c>
      <c r="B3200" s="642" t="s">
        <v>300</v>
      </c>
      <c r="C3200" s="546"/>
      <c r="D3200" s="902"/>
      <c r="E3200" s="906"/>
      <c r="F3200" s="907"/>
      <c r="G3200" s="905" t="s">
        <v>356</v>
      </c>
      <c r="H3200" s="642" t="s">
        <v>301</v>
      </c>
      <c r="I3200" s="546"/>
      <c r="J3200" s="902"/>
      <c r="L3200" s="938"/>
      <c r="M3200" s="938"/>
      <c r="N3200" s="938"/>
      <c r="O3200" s="938"/>
    </row>
    <row r="3201" spans="1:15" ht="15" customHeight="1">
      <c r="A3201" s="905" t="s">
        <v>359</v>
      </c>
      <c r="B3201" s="939" t="s">
        <v>360</v>
      </c>
      <c r="C3201" s="910" t="e">
        <f>VLOOKUP(B3200,'LƯƠNG KT'!$D$16:$AC$184,3,0)</f>
        <v>#N/A</v>
      </c>
      <c r="D3201" s="609" t="e">
        <f>+C3201*25000</f>
        <v>#N/A</v>
      </c>
      <c r="E3201" s="911"/>
      <c r="F3201" s="911"/>
      <c r="G3201" s="905" t="s">
        <v>359</v>
      </c>
      <c r="H3201" s="939" t="s">
        <v>360</v>
      </c>
      <c r="I3201" s="910" t="e">
        <f>VLOOKUP(H3200,'LƯƠNG KT'!$D$16:$AC$184,3,0)</f>
        <v>#N/A</v>
      </c>
      <c r="J3201" s="609" t="e">
        <f>+I3201*25000</f>
        <v>#N/A</v>
      </c>
      <c r="K3201" s="935"/>
      <c r="L3201" s="935"/>
      <c r="M3201" s="935"/>
      <c r="N3201" s="935"/>
      <c r="O3201" s="935"/>
    </row>
    <row r="3202" spans="1:15" ht="15" customHeight="1">
      <c r="A3202" s="905" t="s">
        <v>361</v>
      </c>
      <c r="B3202" s="546" t="s">
        <v>362</v>
      </c>
      <c r="C3202" s="910" t="e">
        <f>VLOOKUP(B3200,'LƯƠNG KT'!$D$16:$AC$184,14,0)</f>
        <v>#N/A</v>
      </c>
      <c r="D3202" s="609" t="e">
        <f>C3202*$L$4</f>
        <v>#N/A</v>
      </c>
      <c r="E3202" s="912"/>
      <c r="F3202" s="912"/>
      <c r="G3202" s="905" t="s">
        <v>361</v>
      </c>
      <c r="H3202" s="546" t="s">
        <v>362</v>
      </c>
      <c r="I3202" s="910" t="e">
        <f>VLOOKUP(H3200,'LƯƠNG KT'!$D$16:$AC$184,14,0)</f>
        <v>#N/A</v>
      </c>
      <c r="J3202" s="609" t="e">
        <f>I3202*$L$4</f>
        <v>#N/A</v>
      </c>
      <c r="K3202" s="935"/>
      <c r="L3202" s="935"/>
      <c r="M3202" s="935"/>
      <c r="N3202" s="935"/>
      <c r="O3202" s="935"/>
    </row>
    <row r="3203" spans="1:15" ht="15" customHeight="1">
      <c r="A3203" s="905" t="s">
        <v>364</v>
      </c>
      <c r="B3203" s="546" t="s">
        <v>365</v>
      </c>
      <c r="C3203" s="910" t="e">
        <f>VLOOKUP(B3200,'LƯƠNG KT'!$D$16:$AC$184,15,0)</f>
        <v>#N/A</v>
      </c>
      <c r="D3203" s="609" t="e">
        <f>C3203*$L$5</f>
        <v>#N/A</v>
      </c>
      <c r="E3203" s="912"/>
      <c r="F3203" s="912"/>
      <c r="G3203" s="905" t="s">
        <v>364</v>
      </c>
      <c r="H3203" s="546" t="s">
        <v>365</v>
      </c>
      <c r="I3203" s="910" t="e">
        <f>VLOOKUP(H3200,'LƯƠNG KT'!$D$16:$AC$184,15,0)</f>
        <v>#N/A</v>
      </c>
      <c r="J3203" s="609" t="e">
        <f>I3203*$L$5</f>
        <v>#N/A</v>
      </c>
      <c r="K3203" s="935"/>
      <c r="L3203" s="935"/>
      <c r="M3203" s="935"/>
      <c r="N3203" s="935"/>
      <c r="O3203" s="935"/>
    </row>
    <row r="3204" spans="1:15" ht="15" customHeight="1">
      <c r="A3204" s="905" t="s">
        <v>367</v>
      </c>
      <c r="B3204" s="546"/>
      <c r="C3204" s="910" t="e">
        <f>VLOOKUP(B3200,'LƯƠNG KT'!$D$16:$AC$184,16,0)</f>
        <v>#N/A</v>
      </c>
      <c r="D3204" s="609" t="e">
        <f>+C3204*$L$6</f>
        <v>#N/A</v>
      </c>
      <c r="E3204" s="912"/>
      <c r="F3204" s="912"/>
      <c r="G3204" s="905" t="s">
        <v>367</v>
      </c>
      <c r="H3204" s="546"/>
      <c r="I3204" s="910" t="e">
        <f>VLOOKUP(H3200,'LƯƠNG KT'!$D$16:$AC$184,16,0)</f>
        <v>#N/A</v>
      </c>
      <c r="J3204" s="609" t="e">
        <f>+I3204*$L$6</f>
        <v>#N/A</v>
      </c>
      <c r="K3204" s="935"/>
      <c r="L3204" s="935"/>
      <c r="M3204" s="935"/>
      <c r="N3204" s="935"/>
      <c r="O3204" s="935"/>
    </row>
    <row r="3205" spans="1:15" ht="15" customHeight="1">
      <c r="A3205" s="905" t="s">
        <v>515</v>
      </c>
      <c r="B3205" s="546"/>
      <c r="C3205" s="910" t="e">
        <f>VLOOKUP(B3200,'LƯƠNG KT'!$D$16:$AC$184,17,0)</f>
        <v>#N/A</v>
      </c>
      <c r="D3205" s="609" t="e">
        <f>+C3205*$L$7</f>
        <v>#N/A</v>
      </c>
      <c r="E3205" s="912"/>
      <c r="F3205" s="912"/>
      <c r="G3205" s="905" t="s">
        <v>515</v>
      </c>
      <c r="H3205" s="546"/>
      <c r="I3205" s="910" t="e">
        <f>VLOOKUP(H3200,'LƯƠNG KT'!$D$16:$AC$184,17,0)</f>
        <v>#N/A</v>
      </c>
      <c r="J3205" s="609" t="e">
        <f>+I3205*$L$7</f>
        <v>#N/A</v>
      </c>
      <c r="K3205" s="935"/>
      <c r="L3205" s="935"/>
      <c r="M3205" s="935"/>
      <c r="N3205" s="935"/>
      <c r="O3205" s="935"/>
    </row>
    <row r="3206" spans="1:15" ht="15" customHeight="1">
      <c r="A3206" s="905" t="s">
        <v>371</v>
      </c>
      <c r="B3206" s="546" t="s">
        <v>372</v>
      </c>
      <c r="C3206" s="910" t="e">
        <f>VLOOKUP(B3200,'LƯƠNG KT'!$D$16:$AC$184,9,0)*$L$10</f>
        <v>#N/A</v>
      </c>
      <c r="D3206" s="609" t="e">
        <f>+C3206*0.5*3000</f>
        <v>#N/A</v>
      </c>
      <c r="E3206" s="912"/>
      <c r="F3206" s="912"/>
      <c r="G3206" s="905" t="s">
        <v>371</v>
      </c>
      <c r="H3206" s="546" t="s">
        <v>372</v>
      </c>
      <c r="I3206" s="910" t="e">
        <f>VLOOKUP(H3200,'LƯƠNG KT'!$D$16:$AC$184,9,0)*$L$10</f>
        <v>#N/A</v>
      </c>
      <c r="J3206" s="609" t="e">
        <f>+I3206*0.5*3000</f>
        <v>#N/A</v>
      </c>
      <c r="K3206" s="935"/>
      <c r="L3206" s="935"/>
      <c r="M3206" s="935"/>
      <c r="N3206" s="935"/>
      <c r="O3206" s="935"/>
    </row>
    <row r="3207" spans="1:15" ht="15" customHeight="1">
      <c r="A3207" s="905" t="s">
        <v>374</v>
      </c>
      <c r="B3207" s="546" t="s">
        <v>375</v>
      </c>
      <c r="C3207" s="910" t="e">
        <f>VLOOKUP(B3200,'LƯƠNG KT'!$D$16:$AC$184,8,0)*$L$11</f>
        <v>#N/A</v>
      </c>
      <c r="D3207" s="609" t="e">
        <f>VLOOKUP(B3200,'LƯƠNG KT'!$D$16:$AC$184,13,0)-D3206</f>
        <v>#N/A</v>
      </c>
      <c r="E3207" s="914"/>
      <c r="F3207" s="912"/>
      <c r="G3207" s="905" t="s">
        <v>374</v>
      </c>
      <c r="H3207" s="546" t="s">
        <v>375</v>
      </c>
      <c r="I3207" s="910" t="e">
        <f>VLOOKUP(H3200,'LƯƠNG KT'!$D$16:$AC$184,8,0)*$L$11</f>
        <v>#N/A</v>
      </c>
      <c r="J3207" s="609" t="e">
        <f>VLOOKUP(H3200,'LƯƠNG KT'!$D$16:$AC$184,13,0)-J3206</f>
        <v>#N/A</v>
      </c>
      <c r="K3207" s="935"/>
      <c r="L3207" s="935"/>
      <c r="M3207" s="935"/>
      <c r="N3207" s="935"/>
      <c r="O3207" s="935"/>
    </row>
    <row r="3208" spans="1:15" ht="15" customHeight="1">
      <c r="A3208" s="609" t="s">
        <v>377</v>
      </c>
      <c r="B3208" s="546" t="s">
        <v>378</v>
      </c>
      <c r="C3208" s="910"/>
      <c r="D3208" s="609"/>
      <c r="E3208" s="916"/>
      <c r="F3208" s="916"/>
      <c r="G3208" s="609" t="s">
        <v>377</v>
      </c>
      <c r="H3208" s="546" t="s">
        <v>378</v>
      </c>
      <c r="I3208" s="910"/>
      <c r="J3208" s="609"/>
    </row>
    <row r="3209" spans="1:15" ht="15" customHeight="1">
      <c r="A3209" s="547" t="s">
        <v>379</v>
      </c>
      <c r="B3209" s="546" t="s">
        <v>380</v>
      </c>
      <c r="C3209" s="910"/>
      <c r="D3209" s="609"/>
      <c r="E3209" s="914"/>
      <c r="F3209" s="916"/>
      <c r="G3209" s="547" t="s">
        <v>379</v>
      </c>
      <c r="H3209" s="546" t="s">
        <v>380</v>
      </c>
      <c r="I3209" s="910"/>
      <c r="J3209" s="609"/>
    </row>
    <row r="3210" spans="1:15" ht="15" customHeight="1">
      <c r="A3210" s="905" t="s">
        <v>381</v>
      </c>
      <c r="B3210" s="546" t="s">
        <v>382</v>
      </c>
      <c r="C3210" s="910"/>
      <c r="D3210" s="609">
        <f>D3209</f>
        <v>0</v>
      </c>
      <c r="E3210" s="917"/>
      <c r="F3210" s="904"/>
      <c r="G3210" s="905" t="s">
        <v>381</v>
      </c>
      <c r="H3210" s="546" t="s">
        <v>382</v>
      </c>
      <c r="I3210" s="910"/>
      <c r="J3210" s="609">
        <f>J3209</f>
        <v>0</v>
      </c>
    </row>
    <row r="3211" spans="1:15" ht="15" customHeight="1">
      <c r="A3211" s="918" t="s">
        <v>383</v>
      </c>
      <c r="B3211" s="919" t="s">
        <v>384</v>
      </c>
      <c r="C3211" s="920"/>
      <c r="D3211" s="921" t="e">
        <f>SUM(D3201:D3207)-D3210</f>
        <v>#N/A</v>
      </c>
      <c r="E3211" s="922"/>
      <c r="F3211" s="923"/>
      <c r="G3211" s="918" t="s">
        <v>383</v>
      </c>
      <c r="H3211" s="919" t="s">
        <v>384</v>
      </c>
      <c r="I3211" s="920"/>
      <c r="J3211" s="921" t="e">
        <f>SUM(J3201:J3207)-J3210</f>
        <v>#N/A</v>
      </c>
    </row>
    <row r="3212" spans="1:15" ht="11.25" customHeight="1">
      <c r="A3212" s="924"/>
      <c r="B3212" s="925"/>
      <c r="C3212" s="926"/>
      <c r="D3212" s="927"/>
      <c r="E3212" s="927"/>
      <c r="F3212" s="928"/>
      <c r="G3212" s="924"/>
      <c r="H3212" s="925"/>
      <c r="I3212" s="926"/>
      <c r="J3212" s="927"/>
    </row>
    <row r="3213" spans="1:15" ht="11.25" customHeight="1">
      <c r="A3213" s="925"/>
      <c r="B3213" s="925"/>
      <c r="C3213" s="929"/>
      <c r="D3213" s="930"/>
      <c r="E3213" s="925"/>
      <c r="F3213" s="931"/>
      <c r="G3213" s="925"/>
      <c r="H3213" s="925"/>
      <c r="I3213" s="929"/>
      <c r="J3213" s="930"/>
    </row>
    <row r="3214" spans="1:15" ht="15" customHeight="1">
      <c r="A3214" s="2360" t="str">
        <f>$K$2</f>
        <v>THÁNG 09/2024</v>
      </c>
      <c r="B3214" s="2360"/>
      <c r="C3214" s="2360"/>
      <c r="D3214" s="2360"/>
      <c r="E3214" s="903"/>
      <c r="F3214" s="904"/>
      <c r="G3214" s="2360" t="str">
        <f>$K$2</f>
        <v>THÁNG 09/2024</v>
      </c>
      <c r="H3214" s="2360"/>
      <c r="I3214" s="2360"/>
      <c r="J3214" s="2360"/>
      <c r="K3214" s="276"/>
    </row>
    <row r="3215" spans="1:15" ht="15" customHeight="1">
      <c r="A3215" s="905" t="s">
        <v>356</v>
      </c>
      <c r="B3215" s="642" t="s">
        <v>302</v>
      </c>
      <c r="C3215" s="546"/>
      <c r="D3215" s="902"/>
      <c r="E3215" s="906"/>
      <c r="F3215" s="907"/>
      <c r="G3215" s="905" t="s">
        <v>356</v>
      </c>
      <c r="H3215" s="642" t="s">
        <v>303</v>
      </c>
      <c r="I3215" s="546"/>
      <c r="J3215" s="902"/>
      <c r="L3215" s="938"/>
      <c r="M3215" s="938"/>
      <c r="N3215" s="938"/>
      <c r="O3215" s="938"/>
    </row>
    <row r="3216" spans="1:15" ht="15" customHeight="1">
      <c r="A3216" s="905" t="s">
        <v>359</v>
      </c>
      <c r="B3216" s="939" t="s">
        <v>360</v>
      </c>
      <c r="C3216" s="910" t="e">
        <f>VLOOKUP(B3215,'LƯƠNG KT'!$D$16:$AC$184,3,0)</f>
        <v>#N/A</v>
      </c>
      <c r="D3216" s="609" t="e">
        <f>+C3216*25000</f>
        <v>#N/A</v>
      </c>
      <c r="E3216" s="911"/>
      <c r="F3216" s="911"/>
      <c r="G3216" s="905" t="s">
        <v>359</v>
      </c>
      <c r="H3216" s="939" t="s">
        <v>360</v>
      </c>
      <c r="I3216" s="910" t="e">
        <f>VLOOKUP(H3215,'LƯƠNG KT'!$D$16:$AC$184,3,0)</f>
        <v>#N/A</v>
      </c>
      <c r="J3216" s="609" t="e">
        <f>+I3216*25000</f>
        <v>#N/A</v>
      </c>
      <c r="K3216" s="935"/>
      <c r="L3216" s="935"/>
      <c r="M3216" s="935"/>
      <c r="N3216" s="935"/>
      <c r="O3216" s="935"/>
    </row>
    <row r="3217" spans="1:15" ht="15" customHeight="1">
      <c r="A3217" s="905" t="s">
        <v>361</v>
      </c>
      <c r="B3217" s="546" t="s">
        <v>362</v>
      </c>
      <c r="C3217" s="910" t="e">
        <f>VLOOKUP(B3215,'LƯƠNG KT'!$D$16:$AC$184,14,0)</f>
        <v>#N/A</v>
      </c>
      <c r="D3217" s="609" t="e">
        <f>C3217*$L$4</f>
        <v>#N/A</v>
      </c>
      <c r="E3217" s="912"/>
      <c r="F3217" s="912"/>
      <c r="G3217" s="905" t="s">
        <v>361</v>
      </c>
      <c r="H3217" s="546" t="s">
        <v>362</v>
      </c>
      <c r="I3217" s="910" t="e">
        <f>VLOOKUP(H3215,'LƯƠNG KT'!$D$16:$AC$184,14,0)</f>
        <v>#N/A</v>
      </c>
      <c r="J3217" s="609" t="e">
        <f>I3217*$L$4</f>
        <v>#N/A</v>
      </c>
      <c r="K3217" s="935"/>
      <c r="L3217" s="935"/>
      <c r="M3217" s="935"/>
      <c r="N3217" s="935"/>
      <c r="O3217" s="935"/>
    </row>
    <row r="3218" spans="1:15" ht="15" customHeight="1">
      <c r="A3218" s="905" t="s">
        <v>364</v>
      </c>
      <c r="B3218" s="546" t="s">
        <v>365</v>
      </c>
      <c r="C3218" s="910" t="e">
        <f>VLOOKUP(B3215,'LƯƠNG KT'!$D$16:$AC$184,15,0)</f>
        <v>#N/A</v>
      </c>
      <c r="D3218" s="609" t="e">
        <f>C3218*$L$5</f>
        <v>#N/A</v>
      </c>
      <c r="E3218" s="912"/>
      <c r="F3218" s="912"/>
      <c r="G3218" s="905" t="s">
        <v>364</v>
      </c>
      <c r="H3218" s="546" t="s">
        <v>365</v>
      </c>
      <c r="I3218" s="910" t="e">
        <f>VLOOKUP(H3215,'LƯƠNG KT'!$D$16:$AC$184,15,0)</f>
        <v>#N/A</v>
      </c>
      <c r="J3218" s="609" t="e">
        <f>I3218*$L$5</f>
        <v>#N/A</v>
      </c>
      <c r="K3218" s="935"/>
      <c r="L3218" s="935"/>
      <c r="M3218" s="935"/>
      <c r="N3218" s="935"/>
      <c r="O3218" s="935"/>
    </row>
    <row r="3219" spans="1:15" ht="15" customHeight="1">
      <c r="A3219" s="905" t="s">
        <v>367</v>
      </c>
      <c r="B3219" s="546"/>
      <c r="C3219" s="910" t="e">
        <f>VLOOKUP(B3215,'LƯƠNG KT'!$D$16:$AC$184,16,0)</f>
        <v>#N/A</v>
      </c>
      <c r="D3219" s="609" t="e">
        <f>+C3219*$L$6</f>
        <v>#N/A</v>
      </c>
      <c r="E3219" s="912"/>
      <c r="F3219" s="912"/>
      <c r="G3219" s="905" t="s">
        <v>367</v>
      </c>
      <c r="H3219" s="546"/>
      <c r="I3219" s="910" t="e">
        <f>VLOOKUP(H3215,'LƯƠNG KT'!$D$16:$AC$184,16,0)</f>
        <v>#N/A</v>
      </c>
      <c r="J3219" s="609" t="e">
        <f>+I3219*$L$6</f>
        <v>#N/A</v>
      </c>
      <c r="K3219" s="935"/>
      <c r="L3219" s="935"/>
      <c r="M3219" s="935"/>
      <c r="N3219" s="935"/>
      <c r="O3219" s="935"/>
    </row>
    <row r="3220" spans="1:15" ht="15" customHeight="1">
      <c r="A3220" s="905" t="s">
        <v>515</v>
      </c>
      <c r="B3220" s="546"/>
      <c r="C3220" s="910" t="e">
        <f>VLOOKUP(B3215,'LƯƠNG KT'!$D$16:$AC$184,17,0)</f>
        <v>#N/A</v>
      </c>
      <c r="D3220" s="609" t="e">
        <f>+C3220*$L$7</f>
        <v>#N/A</v>
      </c>
      <c r="E3220" s="912"/>
      <c r="F3220" s="912"/>
      <c r="G3220" s="905" t="s">
        <v>515</v>
      </c>
      <c r="H3220" s="546"/>
      <c r="I3220" s="910" t="e">
        <f>VLOOKUP(H3215,'LƯƠNG KT'!$D$16:$AC$184,17,0)</f>
        <v>#N/A</v>
      </c>
      <c r="J3220" s="609" t="e">
        <f>+I3220*$L$7</f>
        <v>#N/A</v>
      </c>
      <c r="K3220" s="935"/>
      <c r="L3220" s="935"/>
      <c r="M3220" s="935"/>
      <c r="N3220" s="935"/>
      <c r="O3220" s="935"/>
    </row>
    <row r="3221" spans="1:15" ht="15" customHeight="1">
      <c r="A3221" s="905" t="s">
        <v>519</v>
      </c>
      <c r="B3221" s="546"/>
      <c r="C3221" s="910"/>
      <c r="D3221" s="609" t="e">
        <f>VLOOKUP(B3215,'LƯƠNG KT'!$D$16:$AC$184,18,0)</f>
        <v>#N/A</v>
      </c>
      <c r="E3221" s="912"/>
      <c r="F3221" s="912"/>
      <c r="G3221" s="905" t="s">
        <v>519</v>
      </c>
      <c r="H3221" s="546"/>
      <c r="I3221" s="910"/>
      <c r="J3221" s="609" t="e">
        <f>VLOOKUP(H3215,'LƯƠNG KT'!$D$16:$AC$184,18,0)</f>
        <v>#N/A</v>
      </c>
      <c r="K3221" s="935"/>
      <c r="L3221" s="935"/>
      <c r="M3221" s="935"/>
      <c r="N3221" s="935"/>
      <c r="O3221" s="935"/>
    </row>
    <row r="3222" spans="1:15" ht="15" customHeight="1">
      <c r="A3222" s="905" t="s">
        <v>371</v>
      </c>
      <c r="B3222" s="546" t="s">
        <v>372</v>
      </c>
      <c r="C3222" s="910" t="e">
        <f>VLOOKUP(B3215,'LƯƠNG KT'!$D$16:$AC$184,9,0)*$L$10</f>
        <v>#N/A</v>
      </c>
      <c r="D3222" s="609" t="e">
        <f>+C3222*0.5*3000</f>
        <v>#N/A</v>
      </c>
      <c r="E3222" s="912"/>
      <c r="F3222" s="912"/>
      <c r="G3222" s="905" t="s">
        <v>371</v>
      </c>
      <c r="H3222" s="546" t="s">
        <v>372</v>
      </c>
      <c r="I3222" s="910" t="e">
        <f>VLOOKUP(H3215,'LƯƠNG KT'!$D$16:$AC$184,9,0)*$L$10</f>
        <v>#N/A</v>
      </c>
      <c r="J3222" s="609" t="e">
        <f>+I3222*0.5*3000</f>
        <v>#N/A</v>
      </c>
      <c r="K3222" s="935"/>
      <c r="L3222" s="935"/>
      <c r="M3222" s="935"/>
      <c r="N3222" s="935"/>
      <c r="O3222" s="935"/>
    </row>
    <row r="3223" spans="1:15" ht="15" customHeight="1">
      <c r="A3223" s="905" t="s">
        <v>374</v>
      </c>
      <c r="B3223" s="546" t="s">
        <v>375</v>
      </c>
      <c r="C3223" s="910" t="e">
        <f>VLOOKUP(B3215,'LƯƠNG KT'!$D$16:$AC$184,8,0)*$L$11</f>
        <v>#N/A</v>
      </c>
      <c r="D3223" s="609" t="e">
        <f>VLOOKUP(B3215,'LƯƠNG KT'!$D$16:$AC$184,13,0)-D3222</f>
        <v>#N/A</v>
      </c>
      <c r="E3223" s="914"/>
      <c r="F3223" s="912"/>
      <c r="G3223" s="905" t="s">
        <v>374</v>
      </c>
      <c r="H3223" s="546" t="s">
        <v>375</v>
      </c>
      <c r="I3223" s="910" t="e">
        <f>VLOOKUP(H3215,'LƯƠNG KT'!$D$16:$AC$184,8,0)*$L$11</f>
        <v>#N/A</v>
      </c>
      <c r="J3223" s="609" t="e">
        <f>VLOOKUP(H3215,'LƯƠNG KT'!$D$16:$AC$184,13,0)-J3222</f>
        <v>#N/A</v>
      </c>
      <c r="K3223" s="935"/>
      <c r="L3223" s="935"/>
      <c r="M3223" s="935"/>
      <c r="N3223" s="935"/>
      <c r="O3223" s="935"/>
    </row>
    <row r="3224" spans="1:15" ht="15" customHeight="1">
      <c r="A3224" s="609" t="s">
        <v>377</v>
      </c>
      <c r="B3224" s="546" t="s">
        <v>378</v>
      </c>
      <c r="C3224" s="910"/>
      <c r="D3224" s="609"/>
      <c r="E3224" s="916"/>
      <c r="F3224" s="916"/>
      <c r="G3224" s="609" t="s">
        <v>377</v>
      </c>
      <c r="H3224" s="546" t="s">
        <v>378</v>
      </c>
      <c r="I3224" s="910"/>
      <c r="J3224" s="609"/>
    </row>
    <row r="3225" spans="1:15" ht="15" customHeight="1">
      <c r="A3225" s="547" t="s">
        <v>379</v>
      </c>
      <c r="B3225" s="546" t="s">
        <v>380</v>
      </c>
      <c r="C3225" s="910"/>
      <c r="D3225" s="609"/>
      <c r="E3225" s="914"/>
      <c r="F3225" s="916"/>
      <c r="G3225" s="547" t="s">
        <v>379</v>
      </c>
      <c r="H3225" s="546" t="s">
        <v>380</v>
      </c>
      <c r="I3225" s="910"/>
      <c r="J3225" s="609"/>
    </row>
    <row r="3226" spans="1:15" ht="15" customHeight="1">
      <c r="A3226" s="918" t="s">
        <v>383</v>
      </c>
      <c r="B3226" s="919" t="s">
        <v>384</v>
      </c>
      <c r="C3226" s="920"/>
      <c r="D3226" s="921" t="e">
        <f>SUM(D3216:D3223)</f>
        <v>#N/A</v>
      </c>
      <c r="E3226" s="922"/>
      <c r="F3226" s="923"/>
      <c r="G3226" s="918" t="s">
        <v>383</v>
      </c>
      <c r="H3226" s="919" t="s">
        <v>384</v>
      </c>
      <c r="I3226" s="920"/>
      <c r="J3226" s="921" t="e">
        <f>SUM(J3216:J3223)</f>
        <v>#N/A</v>
      </c>
    </row>
    <row r="3227" spans="1:15" ht="12" customHeight="1">
      <c r="A3227" s="2361"/>
      <c r="B3227" s="2361"/>
      <c r="C3227" s="2361"/>
      <c r="D3227" s="2361"/>
      <c r="E3227" s="2361"/>
      <c r="F3227" s="2361"/>
      <c r="G3227" s="2361"/>
      <c r="H3227" s="2361"/>
      <c r="I3227" s="2361"/>
      <c r="J3227" s="2361"/>
    </row>
    <row r="3228" spans="1:15" ht="15" customHeight="1">
      <c r="A3228" s="2360" t="str">
        <f>$K$2</f>
        <v>THÁNG 09/2024</v>
      </c>
      <c r="B3228" s="2360"/>
      <c r="C3228" s="2360"/>
      <c r="D3228" s="2360"/>
      <c r="E3228" s="903"/>
      <c r="F3228" s="904"/>
      <c r="G3228" s="2360" t="str">
        <f>$K$2</f>
        <v>THÁNG 09/2024</v>
      </c>
      <c r="H3228" s="2360"/>
      <c r="I3228" s="2360"/>
      <c r="J3228" s="2360"/>
      <c r="K3228" s="276"/>
    </row>
    <row r="3229" spans="1:15" ht="15" customHeight="1">
      <c r="A3229" s="905" t="s">
        <v>356</v>
      </c>
      <c r="B3229" s="642" t="s">
        <v>304</v>
      </c>
      <c r="C3229" s="546"/>
      <c r="D3229" s="902"/>
      <c r="E3229" s="906"/>
      <c r="F3229" s="907"/>
      <c r="G3229" s="905" t="s">
        <v>356</v>
      </c>
      <c r="H3229" s="642" t="s">
        <v>331</v>
      </c>
      <c r="I3229" s="546"/>
      <c r="J3229" s="902"/>
      <c r="L3229" s="938"/>
      <c r="M3229" s="938"/>
      <c r="N3229" s="938"/>
      <c r="O3229" s="938"/>
    </row>
    <row r="3230" spans="1:15" ht="15" customHeight="1">
      <c r="A3230" s="905" t="s">
        <v>359</v>
      </c>
      <c r="B3230" s="939" t="s">
        <v>360</v>
      </c>
      <c r="C3230" s="910" t="e">
        <f>VLOOKUP(B3229,'LƯƠNG KT'!$D$16:$AC$184,3,0)</f>
        <v>#N/A</v>
      </c>
      <c r="D3230" s="609" t="e">
        <f>+C3230*25000</f>
        <v>#N/A</v>
      </c>
      <c r="E3230" s="911"/>
      <c r="F3230" s="911"/>
      <c r="G3230" s="905" t="s">
        <v>359</v>
      </c>
      <c r="H3230" s="939" t="s">
        <v>360</v>
      </c>
      <c r="I3230" s="910" t="e">
        <f>VLOOKUP(H3229,'LƯƠNG KT'!$D$16:$AC$184,3,0)</f>
        <v>#N/A</v>
      </c>
      <c r="J3230" s="609" t="e">
        <f>+I3230*25000</f>
        <v>#N/A</v>
      </c>
      <c r="K3230" s="934"/>
      <c r="L3230" s="935"/>
      <c r="M3230" s="935"/>
      <c r="N3230" s="935"/>
      <c r="O3230" s="935"/>
    </row>
    <row r="3231" spans="1:15" ht="15" customHeight="1">
      <c r="A3231" s="905" t="s">
        <v>361</v>
      </c>
      <c r="B3231" s="546" t="s">
        <v>362</v>
      </c>
      <c r="C3231" s="910" t="e">
        <f>VLOOKUP(B3229,'LƯƠNG KT'!$D$16:$AC$184,14,0)</f>
        <v>#N/A</v>
      </c>
      <c r="D3231" s="609" t="e">
        <f>C3231*$L$4</f>
        <v>#N/A</v>
      </c>
      <c r="E3231" s="912"/>
      <c r="F3231" s="912"/>
      <c r="G3231" s="905" t="s">
        <v>361</v>
      </c>
      <c r="H3231" s="546" t="s">
        <v>362</v>
      </c>
      <c r="I3231" s="910" t="e">
        <f>VLOOKUP(H3229,'LƯƠNG KT'!$D$16:$AC$184,14,0)</f>
        <v>#N/A</v>
      </c>
      <c r="J3231" s="609" t="e">
        <f>I3231*$L$4</f>
        <v>#N/A</v>
      </c>
      <c r="K3231" s="934"/>
      <c r="L3231" s="935"/>
      <c r="M3231" s="935"/>
      <c r="N3231" s="935"/>
      <c r="O3231" s="935"/>
    </row>
    <row r="3232" spans="1:15" ht="15" customHeight="1">
      <c r="A3232" s="905" t="s">
        <v>364</v>
      </c>
      <c r="B3232" s="546" t="s">
        <v>365</v>
      </c>
      <c r="C3232" s="910" t="e">
        <f>VLOOKUP(B3229,'LƯƠNG KT'!$D$16:$AC$184,15,0)</f>
        <v>#N/A</v>
      </c>
      <c r="D3232" s="609" t="e">
        <f>C3232*$L$5</f>
        <v>#N/A</v>
      </c>
      <c r="E3232" s="912"/>
      <c r="F3232" s="912"/>
      <c r="G3232" s="905" t="s">
        <v>364</v>
      </c>
      <c r="H3232" s="546" t="s">
        <v>365</v>
      </c>
      <c r="I3232" s="910" t="e">
        <f>VLOOKUP(H3229,'LƯƠNG KT'!$D$16:$AC$184,15,0)</f>
        <v>#N/A</v>
      </c>
      <c r="J3232" s="609" t="e">
        <f>I3232*$L$5</f>
        <v>#N/A</v>
      </c>
      <c r="K3232" s="934"/>
      <c r="L3232" s="935"/>
      <c r="M3232" s="935"/>
      <c r="N3232" s="935"/>
      <c r="O3232" s="935"/>
    </row>
    <row r="3233" spans="1:15" ht="15" customHeight="1">
      <c r="A3233" s="905" t="s">
        <v>367</v>
      </c>
      <c r="B3233" s="546"/>
      <c r="C3233" s="910" t="e">
        <f>VLOOKUP(B3229,'LƯƠNG KT'!$D$16:$AC$184,16,0)</f>
        <v>#N/A</v>
      </c>
      <c r="D3233" s="609" t="e">
        <f>+C3233*$L$6</f>
        <v>#N/A</v>
      </c>
      <c r="E3233" s="912"/>
      <c r="F3233" s="912"/>
      <c r="G3233" s="905" t="s">
        <v>367</v>
      </c>
      <c r="H3233" s="546"/>
      <c r="I3233" s="910" t="e">
        <f>VLOOKUP(H3229,'LƯƠNG KT'!$D$16:$AC$184,16,0)</f>
        <v>#N/A</v>
      </c>
      <c r="J3233" s="609" t="e">
        <f>+I3233*$L$6</f>
        <v>#N/A</v>
      </c>
      <c r="K3233" s="935"/>
      <c r="L3233" s="935"/>
      <c r="M3233" s="935"/>
      <c r="N3233" s="935"/>
      <c r="O3233" s="935"/>
    </row>
    <row r="3234" spans="1:15" ht="15" customHeight="1">
      <c r="A3234" s="905" t="s">
        <v>515</v>
      </c>
      <c r="B3234" s="546"/>
      <c r="C3234" s="910" t="e">
        <f>VLOOKUP(B3229,'LƯƠNG KT'!$D$16:$AC$184,17,0)</f>
        <v>#N/A</v>
      </c>
      <c r="D3234" s="609" t="e">
        <f>+C3234*$L$7</f>
        <v>#N/A</v>
      </c>
      <c r="E3234" s="912"/>
      <c r="F3234" s="912"/>
      <c r="G3234" s="905" t="s">
        <v>515</v>
      </c>
      <c r="H3234" s="546"/>
      <c r="I3234" s="910" t="e">
        <f>VLOOKUP(H3229,'LƯƠNG KT'!$D$16:$AC$184,17,0)</f>
        <v>#N/A</v>
      </c>
      <c r="J3234" s="609" t="e">
        <f>+I3234*$L$7</f>
        <v>#N/A</v>
      </c>
      <c r="K3234" s="935"/>
      <c r="L3234" s="935"/>
      <c r="M3234" s="935"/>
      <c r="N3234" s="935"/>
      <c r="O3234" s="935"/>
    </row>
    <row r="3235" spans="1:15" ht="15" customHeight="1">
      <c r="A3235" s="905" t="s">
        <v>519</v>
      </c>
      <c r="B3235" s="546"/>
      <c r="C3235" s="910"/>
      <c r="D3235" s="609" t="e">
        <f>VLOOKUP(B3229,'LƯƠNG KT'!$D$16:$AC$184,18,0)</f>
        <v>#N/A</v>
      </c>
      <c r="E3235" s="912"/>
      <c r="F3235" s="912"/>
      <c r="G3235" s="905" t="s">
        <v>519</v>
      </c>
      <c r="H3235" s="546"/>
      <c r="I3235" s="910" t="e">
        <f>VLOOKUP(H3229,'LƯƠNG KT'!$D$16:$AC$184,19,0)</f>
        <v>#N/A</v>
      </c>
      <c r="J3235" s="609" t="e">
        <f>I3235*20000</f>
        <v>#N/A</v>
      </c>
      <c r="K3235" s="935"/>
      <c r="L3235" s="935"/>
      <c r="M3235" s="935"/>
      <c r="N3235" s="935"/>
      <c r="O3235" s="935"/>
    </row>
    <row r="3236" spans="1:15" ht="15" customHeight="1">
      <c r="A3236" s="905" t="s">
        <v>371</v>
      </c>
      <c r="B3236" s="546" t="s">
        <v>372</v>
      </c>
      <c r="C3236" s="910" t="e">
        <f>VLOOKUP(B3229,'LƯƠNG KT'!$D$16:$AC$184,9,0)*$L$10</f>
        <v>#N/A</v>
      </c>
      <c r="D3236" s="609" t="e">
        <f>+C3236*0.5*3000</f>
        <v>#N/A</v>
      </c>
      <c r="E3236" s="912"/>
      <c r="F3236" s="912"/>
      <c r="G3236" s="905" t="s">
        <v>371</v>
      </c>
      <c r="H3236" s="546" t="s">
        <v>372</v>
      </c>
      <c r="I3236" s="910" t="e">
        <f>VLOOKUP(H3229,'LƯƠNG KT'!$D$16:$AC$184,9,0)*$L$10</f>
        <v>#N/A</v>
      </c>
      <c r="J3236" s="609" t="e">
        <f>+I3236*0.5*3000</f>
        <v>#N/A</v>
      </c>
      <c r="K3236" s="935"/>
      <c r="L3236" s="935"/>
      <c r="M3236" s="935"/>
      <c r="N3236" s="935"/>
      <c r="O3236" s="935"/>
    </row>
    <row r="3237" spans="1:15" ht="15" customHeight="1">
      <c r="A3237" s="905" t="s">
        <v>374</v>
      </c>
      <c r="B3237" s="546" t="s">
        <v>375</v>
      </c>
      <c r="C3237" s="910" t="e">
        <f>VLOOKUP(B3229,'LƯƠNG KT'!$D$16:$AC$184,8,0)*$L$11</f>
        <v>#N/A</v>
      </c>
      <c r="D3237" s="609" t="e">
        <f>VLOOKUP(B3229,'LƯƠNG KT'!$D$16:$AC$184,13,0)-D3236</f>
        <v>#N/A</v>
      </c>
      <c r="E3237" s="914"/>
      <c r="F3237" s="912"/>
      <c r="G3237" s="905" t="s">
        <v>374</v>
      </c>
      <c r="H3237" s="546" t="s">
        <v>375</v>
      </c>
      <c r="I3237" s="910" t="e">
        <f>VLOOKUP(H3229,'LƯƠNG KT'!$D$16:$AC$184,8,0)*$L$11</f>
        <v>#N/A</v>
      </c>
      <c r="J3237" s="609" t="e">
        <f>VLOOKUP(H3229,'LƯƠNG KT'!$D$16:$AC$184,13,0)-J3236</f>
        <v>#N/A</v>
      </c>
      <c r="K3237" s="935"/>
      <c r="L3237" s="935"/>
      <c r="M3237" s="935"/>
      <c r="N3237" s="935"/>
      <c r="O3237" s="935"/>
    </row>
    <row r="3238" spans="1:15" ht="15" customHeight="1">
      <c r="A3238" s="609" t="s">
        <v>377</v>
      </c>
      <c r="B3238" s="546" t="s">
        <v>378</v>
      </c>
      <c r="C3238" s="910"/>
      <c r="D3238" s="609"/>
      <c r="E3238" s="916"/>
      <c r="F3238" s="916"/>
      <c r="G3238" s="609" t="s">
        <v>377</v>
      </c>
      <c r="H3238" s="546" t="s">
        <v>378</v>
      </c>
      <c r="I3238" s="910"/>
      <c r="J3238" s="609"/>
    </row>
    <row r="3239" spans="1:15" ht="15" customHeight="1">
      <c r="A3239" s="547" t="s">
        <v>379</v>
      </c>
      <c r="B3239" s="546" t="s">
        <v>380</v>
      </c>
      <c r="C3239" s="910"/>
      <c r="D3239" s="609"/>
      <c r="E3239" s="914"/>
      <c r="F3239" s="916"/>
      <c r="G3239" s="547" t="s">
        <v>379</v>
      </c>
      <c r="H3239" s="546" t="s">
        <v>380</v>
      </c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SUM(D3230:D3237)</f>
        <v>#N/A</v>
      </c>
      <c r="E3240" s="922"/>
      <c r="F3240" s="923"/>
      <c r="G3240" s="918" t="s">
        <v>383</v>
      </c>
      <c r="H3240" s="919" t="s">
        <v>384</v>
      </c>
      <c r="I3240" s="920"/>
      <c r="J3240" s="921" t="e">
        <f>SUM(J3230:J3237)</f>
        <v>#N/A</v>
      </c>
    </row>
    <row r="3241" spans="1:15" ht="12.6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2" spans="1:15" ht="12.6" customHeight="1">
      <c r="A3242" s="925"/>
      <c r="B3242" s="925"/>
      <c r="C3242" s="929"/>
      <c r="D3242" s="930"/>
      <c r="E3242" s="925"/>
      <c r="F3242" s="931"/>
      <c r="G3242" s="925"/>
      <c r="H3242" s="925"/>
      <c r="I3242" s="929"/>
      <c r="J3242" s="930"/>
    </row>
    <row r="3243" spans="1:15" ht="15" customHeight="1">
      <c r="A3243" s="2360" t="str">
        <f>$K$2</f>
        <v>THÁNG 09/2024</v>
      </c>
      <c r="B3243" s="2360"/>
      <c r="C3243" s="2360"/>
      <c r="D3243" s="2360"/>
      <c r="E3243" s="903"/>
      <c r="F3243" s="904"/>
      <c r="G3243" s="2360" t="str">
        <f>$K$2</f>
        <v>THÁNG 09/2024</v>
      </c>
      <c r="H3243" s="2360"/>
      <c r="I3243" s="2360"/>
      <c r="J3243" s="2360"/>
      <c r="K3243" s="276"/>
    </row>
    <row r="3244" spans="1:15" ht="15" customHeight="1">
      <c r="A3244" s="905" t="s">
        <v>356</v>
      </c>
      <c r="B3244" s="642" t="s">
        <v>332</v>
      </c>
      <c r="C3244" s="546"/>
      <c r="D3244" s="902"/>
      <c r="E3244" s="906"/>
      <c r="F3244" s="907"/>
      <c r="G3244" s="905" t="s">
        <v>356</v>
      </c>
      <c r="H3244" s="642" t="s">
        <v>333</v>
      </c>
      <c r="I3244" s="546"/>
      <c r="J3244" s="902"/>
      <c r="L3244" s="938"/>
      <c r="M3244" s="938"/>
      <c r="N3244" s="938"/>
      <c r="O3244" s="938"/>
    </row>
    <row r="3245" spans="1:15" ht="15" customHeight="1">
      <c r="A3245" s="905" t="s">
        <v>359</v>
      </c>
      <c r="B3245" s="939" t="s">
        <v>360</v>
      </c>
      <c r="C3245" s="910" t="e">
        <f>VLOOKUP(B3244,'LƯƠNG KT'!$D$16:$AC$184,3,0)</f>
        <v>#N/A</v>
      </c>
      <c r="D3245" s="609" t="e">
        <f>+C3245*25000</f>
        <v>#N/A</v>
      </c>
      <c r="E3245" s="911"/>
      <c r="F3245" s="911"/>
      <c r="G3245" s="905" t="s">
        <v>359</v>
      </c>
      <c r="H3245" s="939" t="s">
        <v>360</v>
      </c>
      <c r="I3245" s="910" t="e">
        <f>VLOOKUP(H3244,'LƯƠNG KT'!$D$16:$AC$184,3,0)</f>
        <v>#N/A</v>
      </c>
      <c r="J3245" s="609" t="e">
        <f>+I3245*25000</f>
        <v>#N/A</v>
      </c>
      <c r="K3245" s="935"/>
      <c r="L3245" s="935"/>
      <c r="M3245" s="935"/>
      <c r="N3245" s="935"/>
      <c r="O3245" s="935"/>
    </row>
    <row r="3246" spans="1:15" ht="15" customHeight="1">
      <c r="A3246" s="905" t="s">
        <v>361</v>
      </c>
      <c r="B3246" s="546" t="s">
        <v>362</v>
      </c>
      <c r="C3246" s="910" t="e">
        <f>VLOOKUP(B3244,'LƯƠNG KT'!$D$16:$AC$184,14,0)</f>
        <v>#N/A</v>
      </c>
      <c r="D3246" s="609" t="e">
        <f>C3246*$L$4</f>
        <v>#N/A</v>
      </c>
      <c r="E3246" s="912"/>
      <c r="F3246" s="912"/>
      <c r="G3246" s="905" t="s">
        <v>361</v>
      </c>
      <c r="H3246" s="546" t="s">
        <v>362</v>
      </c>
      <c r="I3246" s="910" t="e">
        <f>VLOOKUP(H3244,'LƯƠNG KT'!$D$16:$AC$184,14,0)</f>
        <v>#N/A</v>
      </c>
      <c r="J3246" s="609" t="e">
        <f>I3246*$L$4</f>
        <v>#N/A</v>
      </c>
      <c r="K3246" s="935"/>
      <c r="L3246" s="935"/>
      <c r="M3246" s="935"/>
      <c r="N3246" s="935"/>
      <c r="O3246" s="935"/>
    </row>
    <row r="3247" spans="1:15" ht="15" customHeight="1">
      <c r="A3247" s="905" t="s">
        <v>364</v>
      </c>
      <c r="B3247" s="546" t="s">
        <v>365</v>
      </c>
      <c r="C3247" s="910" t="e">
        <f>VLOOKUP(B3244,'LƯƠNG KT'!$D$16:$AC$184,15,0)</f>
        <v>#N/A</v>
      </c>
      <c r="D3247" s="609" t="e">
        <f>C3247*$L$5</f>
        <v>#N/A</v>
      </c>
      <c r="E3247" s="912"/>
      <c r="F3247" s="912"/>
      <c r="G3247" s="905" t="s">
        <v>364</v>
      </c>
      <c r="H3247" s="546" t="s">
        <v>365</v>
      </c>
      <c r="I3247" s="910" t="e">
        <f>VLOOKUP(H3244,'LƯƠNG KT'!$D$16:$AC$184,15,0)</f>
        <v>#N/A</v>
      </c>
      <c r="J3247" s="609" t="e">
        <f>I3247*$L$5</f>
        <v>#N/A</v>
      </c>
      <c r="K3247" s="935"/>
      <c r="L3247" s="935"/>
      <c r="M3247" s="935"/>
      <c r="N3247" s="935"/>
      <c r="O3247" s="935"/>
    </row>
    <row r="3248" spans="1:15" ht="15" customHeight="1">
      <c r="A3248" s="905" t="s">
        <v>367</v>
      </c>
      <c r="B3248" s="546"/>
      <c r="C3248" s="910" t="e">
        <f>VLOOKUP(B3244,'LƯƠNG KT'!$D$16:$AC$184,16,0)</f>
        <v>#N/A</v>
      </c>
      <c r="D3248" s="609" t="e">
        <f>+C3248*$L$6</f>
        <v>#N/A</v>
      </c>
      <c r="E3248" s="912"/>
      <c r="F3248" s="912"/>
      <c r="G3248" s="905" t="s">
        <v>367</v>
      </c>
      <c r="H3248" s="546"/>
      <c r="I3248" s="910" t="e">
        <f>VLOOKUP(H3244,'LƯƠNG KT'!$D$16:$AC$184,16,0)</f>
        <v>#N/A</v>
      </c>
      <c r="J3248" s="609" t="e">
        <f>+I3248*$L$6</f>
        <v>#N/A</v>
      </c>
      <c r="K3248" s="935"/>
      <c r="L3248" s="935"/>
      <c r="M3248" s="935"/>
      <c r="N3248" s="935"/>
      <c r="O3248" s="935"/>
    </row>
    <row r="3249" spans="1:15" ht="15" customHeight="1">
      <c r="A3249" s="905" t="s">
        <v>515</v>
      </c>
      <c r="B3249" s="546"/>
      <c r="C3249" s="910" t="e">
        <f>VLOOKUP(B3244,'LƯƠNG KT'!$D$16:$AC$184,17,0)</f>
        <v>#N/A</v>
      </c>
      <c r="D3249" s="609" t="e">
        <f>+C3249*$L$7</f>
        <v>#N/A</v>
      </c>
      <c r="E3249" s="912"/>
      <c r="F3249" s="912"/>
      <c r="G3249" s="905" t="s">
        <v>515</v>
      </c>
      <c r="H3249" s="546"/>
      <c r="I3249" s="910" t="e">
        <f>VLOOKUP(H3244,'LƯƠNG KT'!$D$16:$AC$184,17,0)</f>
        <v>#N/A</v>
      </c>
      <c r="J3249" s="609" t="e">
        <f>+I3249*$L$7</f>
        <v>#N/A</v>
      </c>
      <c r="K3249" s="935"/>
      <c r="L3249" s="935"/>
      <c r="M3249" s="935"/>
      <c r="N3249" s="935"/>
      <c r="O3249" s="935"/>
    </row>
    <row r="3250" spans="1:15" ht="15" customHeight="1">
      <c r="A3250" s="905" t="s">
        <v>519</v>
      </c>
      <c r="B3250" s="546"/>
      <c r="C3250" s="910" t="e">
        <f>VLOOKUP(B3244,'LƯƠNG KT'!$D$16:$AC$184,19,0)</f>
        <v>#N/A</v>
      </c>
      <c r="D3250" s="609" t="e">
        <f>C3250*20000</f>
        <v>#N/A</v>
      </c>
      <c r="E3250" s="912"/>
      <c r="F3250" s="912"/>
      <c r="G3250" s="905" t="s">
        <v>519</v>
      </c>
      <c r="H3250" s="546"/>
      <c r="I3250" s="910" t="e">
        <f>VLOOKUP(H3244,'LƯƠNG KT'!$D$16:$AC$184,19,0)</f>
        <v>#N/A</v>
      </c>
      <c r="J3250" s="609" t="e">
        <f>I3250*20000</f>
        <v>#N/A</v>
      </c>
      <c r="K3250" s="935"/>
      <c r="L3250" s="935"/>
      <c r="M3250" s="935"/>
      <c r="N3250" s="935"/>
      <c r="O3250" s="935"/>
    </row>
    <row r="3251" spans="1:15" ht="15" customHeight="1">
      <c r="A3251" s="905" t="s">
        <v>371</v>
      </c>
      <c r="B3251" s="546" t="s">
        <v>372</v>
      </c>
      <c r="C3251" s="910" t="e">
        <f>VLOOKUP(B3244,'LƯƠNG KT'!$D$16:$AC$184,9,0)*$L$10</f>
        <v>#N/A</v>
      </c>
      <c r="D3251" s="609" t="e">
        <f>+C3251*0.5*3000</f>
        <v>#N/A</v>
      </c>
      <c r="E3251" s="912"/>
      <c r="F3251" s="912"/>
      <c r="G3251" s="905" t="s">
        <v>371</v>
      </c>
      <c r="H3251" s="546" t="s">
        <v>372</v>
      </c>
      <c r="I3251" s="910" t="e">
        <f>VLOOKUP(H3244,'LƯƠNG KT'!$D$16:$AC$184,9,0)*$L$10</f>
        <v>#N/A</v>
      </c>
      <c r="J3251" s="609" t="e">
        <f>+I3251*0.5*3000</f>
        <v>#N/A</v>
      </c>
      <c r="K3251" s="935"/>
      <c r="L3251" s="935"/>
      <c r="M3251" s="935"/>
      <c r="N3251" s="935"/>
      <c r="O3251" s="935"/>
    </row>
    <row r="3252" spans="1:15" ht="15" customHeight="1">
      <c r="A3252" s="905" t="s">
        <v>374</v>
      </c>
      <c r="B3252" s="546" t="s">
        <v>375</v>
      </c>
      <c r="C3252" s="910" t="e">
        <f>VLOOKUP(B3244,'LƯƠNG KT'!$D$16:$AC$184,8,0)*$L$11</f>
        <v>#N/A</v>
      </c>
      <c r="D3252" s="609" t="e">
        <f>VLOOKUP(B3244,'LƯƠNG KT'!$D$16:$AC$184,13,0)-D3251</f>
        <v>#N/A</v>
      </c>
      <c r="E3252" s="914"/>
      <c r="F3252" s="912"/>
      <c r="G3252" s="905" t="s">
        <v>374</v>
      </c>
      <c r="H3252" s="546" t="s">
        <v>375</v>
      </c>
      <c r="I3252" s="910" t="e">
        <f>VLOOKUP(H3244,'LƯƠNG KT'!$D$16:$AC$184,8,0)*$L$11</f>
        <v>#N/A</v>
      </c>
      <c r="J3252" s="609" t="e">
        <f>VLOOKUP(H3244,'LƯƠNG KT'!$D$16:$AC$184,13,0)-J3251</f>
        <v>#N/A</v>
      </c>
    </row>
    <row r="3253" spans="1:15" ht="15" customHeight="1">
      <c r="A3253" s="609" t="s">
        <v>377</v>
      </c>
      <c r="B3253" s="546" t="s">
        <v>378</v>
      </c>
      <c r="C3253" s="910"/>
      <c r="D3253" s="609"/>
      <c r="E3253" s="916"/>
      <c r="F3253" s="916"/>
      <c r="G3253" s="609" t="s">
        <v>377</v>
      </c>
      <c r="H3253" s="546" t="s">
        <v>378</v>
      </c>
      <c r="I3253" s="910"/>
      <c r="J3253" s="609"/>
    </row>
    <row r="3254" spans="1:15" ht="15" customHeight="1">
      <c r="A3254" s="547" t="s">
        <v>379</v>
      </c>
      <c r="B3254" s="546" t="s">
        <v>380</v>
      </c>
      <c r="C3254" s="910"/>
      <c r="D3254" s="609"/>
      <c r="E3254" s="914"/>
      <c r="F3254" s="916"/>
      <c r="G3254" s="547" t="s">
        <v>379</v>
      </c>
      <c r="H3254" s="546" t="s">
        <v>380</v>
      </c>
      <c r="I3254" s="910"/>
      <c r="J3254" s="609"/>
    </row>
    <row r="3255" spans="1:15" ht="18" customHeight="1">
      <c r="A3255" s="918" t="s">
        <v>383</v>
      </c>
      <c r="B3255" s="919" t="s">
        <v>384</v>
      </c>
      <c r="C3255" s="920"/>
      <c r="D3255" s="921" t="e">
        <f>SUM(D3245:D3252)</f>
        <v>#N/A</v>
      </c>
      <c r="E3255" s="922"/>
      <c r="F3255" s="923"/>
      <c r="G3255" s="918" t="s">
        <v>383</v>
      </c>
      <c r="H3255" s="919" t="s">
        <v>384</v>
      </c>
      <c r="I3255" s="920"/>
      <c r="J3255" s="921" t="e">
        <f>SUM(J3245:J3252)</f>
        <v>#N/A</v>
      </c>
    </row>
    <row r="3256" spans="1:15" ht="18" customHeight="1">
      <c r="A3256" s="947"/>
      <c r="B3256" s="948"/>
      <c r="C3256" s="949"/>
      <c r="D3256" s="950"/>
      <c r="E3256" s="946"/>
      <c r="F3256" s="922"/>
      <c r="G3256" s="947"/>
      <c r="H3256" s="948"/>
      <c r="I3256" s="949"/>
      <c r="J3256" s="950"/>
    </row>
    <row r="3257" spans="1:15" ht="7.5" customHeight="1">
      <c r="A3257" s="925"/>
      <c r="B3257" s="925"/>
      <c r="C3257" s="929"/>
      <c r="D3257" s="930"/>
      <c r="E3257" s="925"/>
      <c r="F3257" s="931"/>
      <c r="G3257" s="925"/>
      <c r="H3257" s="925"/>
      <c r="I3257" s="929"/>
      <c r="J3257" s="930"/>
    </row>
    <row r="3258" spans="1:15" ht="15" customHeight="1">
      <c r="A3258" s="2360" t="str">
        <f>$K$2</f>
        <v>THÁNG 09/2024</v>
      </c>
      <c r="B3258" s="2360"/>
      <c r="C3258" s="2360"/>
      <c r="D3258" s="2360"/>
      <c r="E3258" s="903"/>
      <c r="F3258" s="904"/>
      <c r="G3258" s="2360" t="str">
        <f>$K$2</f>
        <v>THÁNG 09/2024</v>
      </c>
      <c r="H3258" s="2360"/>
      <c r="I3258" s="2360"/>
      <c r="J3258" s="2360"/>
      <c r="K3258" s="276"/>
    </row>
    <row r="3259" spans="1:15" ht="15" customHeight="1">
      <c r="A3259" s="905" t="s">
        <v>356</v>
      </c>
      <c r="B3259" s="642" t="s">
        <v>334</v>
      </c>
      <c r="C3259" s="546"/>
      <c r="D3259" s="902"/>
      <c r="E3259" s="906"/>
      <c r="F3259" s="907"/>
      <c r="G3259" s="905" t="s">
        <v>356</v>
      </c>
      <c r="H3259" s="642" t="s">
        <v>305</v>
      </c>
      <c r="I3259" s="546"/>
      <c r="J3259" s="902"/>
      <c r="L3259" s="938"/>
      <c r="M3259" s="938"/>
      <c r="N3259" s="938"/>
      <c r="O3259" s="938"/>
    </row>
    <row r="3260" spans="1:15" ht="15" customHeight="1">
      <c r="A3260" s="905" t="s">
        <v>359</v>
      </c>
      <c r="B3260" s="939" t="s">
        <v>360</v>
      </c>
      <c r="C3260" s="910" t="e">
        <f>VLOOKUP(B3259,'LƯƠNG KT'!$D$16:$AC$184,3,0)</f>
        <v>#N/A</v>
      </c>
      <c r="D3260" s="609" t="e">
        <f>+C3260*25000</f>
        <v>#N/A</v>
      </c>
      <c r="E3260" s="911"/>
      <c r="F3260" s="911"/>
      <c r="G3260" s="905" t="s">
        <v>359</v>
      </c>
      <c r="H3260" s="939" t="s">
        <v>360</v>
      </c>
      <c r="I3260" s="910" t="e">
        <f>VLOOKUP(H3259,'LƯƠNG KT'!$D$16:$AC$184,3,0)</f>
        <v>#N/A</v>
      </c>
      <c r="J3260" s="609" t="e">
        <f>+I3260*25000</f>
        <v>#N/A</v>
      </c>
      <c r="K3260" s="935"/>
      <c r="L3260" s="935"/>
      <c r="M3260" s="935"/>
      <c r="N3260" s="935"/>
      <c r="O3260" s="935"/>
    </row>
    <row r="3261" spans="1:15" ht="15" customHeight="1">
      <c r="A3261" s="905" t="s">
        <v>361</v>
      </c>
      <c r="B3261" s="546" t="s">
        <v>362</v>
      </c>
      <c r="C3261" s="910" t="e">
        <f>VLOOKUP(B3259,'LƯƠNG KT'!$D$16:$AC$184,14,0)</f>
        <v>#N/A</v>
      </c>
      <c r="D3261" s="609" t="e">
        <f>C3261*$L$4</f>
        <v>#N/A</v>
      </c>
      <c r="E3261" s="912"/>
      <c r="F3261" s="912"/>
      <c r="G3261" s="905" t="s">
        <v>361</v>
      </c>
      <c r="H3261" s="546" t="s">
        <v>362</v>
      </c>
      <c r="I3261" s="910" t="e">
        <f>VLOOKUP(H3259,'LƯƠNG KT'!$D$16:$AC$184,14,0)</f>
        <v>#N/A</v>
      </c>
      <c r="J3261" s="609" t="e">
        <f>I3261*$L$4</f>
        <v>#N/A</v>
      </c>
      <c r="K3261" s="935"/>
      <c r="L3261" s="935"/>
      <c r="M3261" s="935"/>
      <c r="N3261" s="935"/>
      <c r="O3261" s="935"/>
    </row>
    <row r="3262" spans="1:15" ht="15" customHeight="1">
      <c r="A3262" s="905" t="s">
        <v>364</v>
      </c>
      <c r="B3262" s="546" t="s">
        <v>365</v>
      </c>
      <c r="C3262" s="910" t="e">
        <f>VLOOKUP(B3259,'LƯƠNG KT'!$D$16:$AC$184,15,0)</f>
        <v>#N/A</v>
      </c>
      <c r="D3262" s="609" t="e">
        <f>C3262*$L$5</f>
        <v>#N/A</v>
      </c>
      <c r="E3262" s="912"/>
      <c r="F3262" s="912"/>
      <c r="G3262" s="905" t="s">
        <v>364</v>
      </c>
      <c r="H3262" s="546" t="s">
        <v>365</v>
      </c>
      <c r="I3262" s="910" t="e">
        <f>VLOOKUP(H3259,'LƯƠNG KT'!$D$16:$AC$184,15,0)</f>
        <v>#N/A</v>
      </c>
      <c r="J3262" s="609" t="e">
        <f>I3262*$L$5</f>
        <v>#N/A</v>
      </c>
      <c r="K3262" s="935"/>
      <c r="L3262" s="935"/>
      <c r="M3262" s="935"/>
      <c r="N3262" s="935"/>
      <c r="O3262" s="935"/>
    </row>
    <row r="3263" spans="1:15" ht="15" customHeight="1">
      <c r="A3263" s="905" t="s">
        <v>367</v>
      </c>
      <c r="B3263" s="546"/>
      <c r="C3263" s="910" t="e">
        <f>VLOOKUP(B3259,'LƯƠNG KT'!$D$16:$AC$184,16,0)</f>
        <v>#N/A</v>
      </c>
      <c r="D3263" s="609" t="e">
        <f>+C3263*$L$6</f>
        <v>#N/A</v>
      </c>
      <c r="E3263" s="912"/>
      <c r="F3263" s="912"/>
      <c r="G3263" s="905" t="s">
        <v>367</v>
      </c>
      <c r="H3263" s="546"/>
      <c r="I3263" s="910" t="e">
        <f>VLOOKUP(H3259,'LƯƠNG KT'!$D$16:$AC$184,16,0)</f>
        <v>#N/A</v>
      </c>
      <c r="J3263" s="609" t="e">
        <f>+I3263*$L$6</f>
        <v>#N/A</v>
      </c>
      <c r="K3263" s="935"/>
      <c r="L3263" s="935"/>
      <c r="M3263" s="935"/>
      <c r="N3263" s="935"/>
      <c r="O3263" s="935"/>
    </row>
    <row r="3264" spans="1:15" ht="15" customHeight="1">
      <c r="A3264" s="905" t="s">
        <v>515</v>
      </c>
      <c r="B3264" s="546"/>
      <c r="C3264" s="910" t="e">
        <f>VLOOKUP(B3259,'LƯƠNG KT'!$D$16:$AC$184,17,0)</f>
        <v>#N/A</v>
      </c>
      <c r="D3264" s="609" t="e">
        <f>+C3264*$L$7</f>
        <v>#N/A</v>
      </c>
      <c r="E3264" s="912"/>
      <c r="F3264" s="912"/>
      <c r="G3264" s="905" t="s">
        <v>515</v>
      </c>
      <c r="H3264" s="546"/>
      <c r="I3264" s="910" t="e">
        <f>VLOOKUP(H3259,'LƯƠNG KT'!$D$16:$AC$184,17,0)</f>
        <v>#N/A</v>
      </c>
      <c r="J3264" s="609" t="e">
        <f>+I3264*$L$7</f>
        <v>#N/A</v>
      </c>
      <c r="K3264" s="935"/>
      <c r="L3264" s="935"/>
      <c r="M3264" s="935"/>
      <c r="N3264" s="935"/>
      <c r="O3264" s="935"/>
    </row>
    <row r="3265" spans="1:15" ht="15" customHeight="1">
      <c r="A3265" s="905" t="s">
        <v>519</v>
      </c>
      <c r="B3265" s="546"/>
      <c r="C3265" s="910" t="e">
        <f>VLOOKUP(B3259,'LƯƠNG KT'!$D$16:$AC$184,19,0)</f>
        <v>#N/A</v>
      </c>
      <c r="D3265" s="609" t="e">
        <f>C3265*20000</f>
        <v>#N/A</v>
      </c>
      <c r="E3265" s="912"/>
      <c r="F3265" s="912"/>
      <c r="G3265" s="905" t="s">
        <v>519</v>
      </c>
      <c r="H3265" s="546"/>
      <c r="I3265" s="910" t="e">
        <f>VLOOKUP(H3259,'LƯƠNG KT'!$D$16:$AC$184,19,0)</f>
        <v>#N/A</v>
      </c>
      <c r="J3265" s="609" t="e">
        <f>I3265*20000</f>
        <v>#N/A</v>
      </c>
      <c r="K3265" s="935"/>
      <c r="L3265" s="935"/>
      <c r="M3265" s="935"/>
      <c r="N3265" s="935"/>
      <c r="O3265" s="935"/>
    </row>
    <row r="3266" spans="1:15" ht="15" customHeight="1">
      <c r="A3266" s="905" t="s">
        <v>371</v>
      </c>
      <c r="B3266" s="546" t="s">
        <v>372</v>
      </c>
      <c r="C3266" s="910" t="e">
        <f>VLOOKUP(B3259,'LƯƠNG KT'!$D$16:$AC$184,9,0)*$L$10</f>
        <v>#N/A</v>
      </c>
      <c r="D3266" s="609" t="e">
        <f>+C3266*0.5*3000</f>
        <v>#N/A</v>
      </c>
      <c r="E3266" s="912"/>
      <c r="F3266" s="912"/>
      <c r="G3266" s="905" t="s">
        <v>371</v>
      </c>
      <c r="H3266" s="546" t="s">
        <v>372</v>
      </c>
      <c r="I3266" s="910" t="e">
        <f>VLOOKUP(H3259,'LƯƠNG KT'!$D$16:$AC$184,9,0)*$L$10</f>
        <v>#N/A</v>
      </c>
      <c r="J3266" s="609" t="e">
        <f>+I3266*0.5*3000</f>
        <v>#N/A</v>
      </c>
      <c r="K3266" s="935"/>
      <c r="L3266" s="935"/>
      <c r="M3266" s="935"/>
      <c r="N3266" s="935"/>
      <c r="O3266" s="935"/>
    </row>
    <row r="3267" spans="1:15" ht="15" customHeight="1">
      <c r="A3267" s="905" t="s">
        <v>374</v>
      </c>
      <c r="B3267" s="546" t="s">
        <v>375</v>
      </c>
      <c r="C3267" s="910" t="e">
        <f>VLOOKUP(B3259,'LƯƠNG KT'!$D$16:$AC$184,8,0)*$L$11</f>
        <v>#N/A</v>
      </c>
      <c r="D3267" s="609" t="e">
        <f>VLOOKUP(B3259,'LƯƠNG KT'!$D$16:$AC$184,13,0)-D3266</f>
        <v>#N/A</v>
      </c>
      <c r="E3267" s="914"/>
      <c r="F3267" s="912"/>
      <c r="G3267" s="905" t="s">
        <v>374</v>
      </c>
      <c r="H3267" s="546" t="s">
        <v>375</v>
      </c>
      <c r="I3267" s="910" t="e">
        <f>VLOOKUP(H3259,'LƯƠNG KT'!$D$16:$AC$184,8,0)*$L$11</f>
        <v>#N/A</v>
      </c>
      <c r="J3267" s="609" t="e">
        <f>VLOOKUP(H3259,'LƯƠNG KT'!$D$16:$AC$184,13,0)-J3266</f>
        <v>#N/A</v>
      </c>
      <c r="K3267" s="935"/>
      <c r="L3267" s="935"/>
      <c r="M3267" s="935"/>
      <c r="N3267" s="935"/>
      <c r="O3267" s="935"/>
    </row>
    <row r="3268" spans="1:15" ht="15" customHeight="1">
      <c r="A3268" s="609" t="s">
        <v>377</v>
      </c>
      <c r="B3268" s="546" t="s">
        <v>378</v>
      </c>
      <c r="C3268" s="910"/>
      <c r="D3268" s="609"/>
      <c r="E3268" s="916"/>
      <c r="F3268" s="916"/>
      <c r="G3268" s="609" t="s">
        <v>377</v>
      </c>
      <c r="H3268" s="546" t="s">
        <v>378</v>
      </c>
      <c r="I3268" s="910"/>
      <c r="J3268" s="609"/>
    </row>
    <row r="3269" spans="1:15" ht="15" customHeight="1">
      <c r="A3269" s="547" t="s">
        <v>379</v>
      </c>
      <c r="B3269" s="546" t="s">
        <v>380</v>
      </c>
      <c r="C3269" s="910"/>
      <c r="D3269" s="609"/>
      <c r="E3269" s="914"/>
      <c r="F3269" s="916"/>
      <c r="G3269" s="547" t="s">
        <v>379</v>
      </c>
      <c r="H3269" s="546" t="s">
        <v>380</v>
      </c>
      <c r="I3269" s="910"/>
      <c r="J3269" s="609"/>
    </row>
    <row r="3270" spans="1:15" ht="15" customHeight="1">
      <c r="A3270" s="918" t="s">
        <v>383</v>
      </c>
      <c r="B3270" s="919" t="s">
        <v>384</v>
      </c>
      <c r="C3270" s="920"/>
      <c r="D3270" s="921" t="e">
        <f>SUM(D3260:D3267)</f>
        <v>#N/A</v>
      </c>
      <c r="E3270" s="922"/>
      <c r="F3270" s="923"/>
      <c r="G3270" s="918" t="s">
        <v>383</v>
      </c>
      <c r="H3270" s="919" t="s">
        <v>384</v>
      </c>
      <c r="I3270" s="920"/>
      <c r="J3270" s="921" t="e">
        <f>SUM(J3260:J3267)</f>
        <v>#N/A</v>
      </c>
      <c r="K3270" s="940" t="s">
        <v>514</v>
      </c>
      <c r="L3270" s="940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0"/>
      <c r="N3270" s="940"/>
      <c r="O3270" s="940"/>
    </row>
    <row r="3271" spans="1:15" ht="18.75" customHeight="1">
      <c r="A3271" s="925"/>
      <c r="B3271" s="925"/>
      <c r="C3271" s="929"/>
      <c r="D3271" s="930"/>
      <c r="E3271" s="925"/>
      <c r="F3271" s="931"/>
      <c r="G3271" s="925"/>
      <c r="H3271" s="925"/>
      <c r="I3271" s="929"/>
      <c r="J3271" s="930"/>
    </row>
    <row r="3272" spans="1:15" ht="15" customHeight="1">
      <c r="A3272" s="2360" t="str">
        <f>$K$2</f>
        <v>THÁNG 09/2024</v>
      </c>
      <c r="B3272" s="2360"/>
      <c r="C3272" s="2360"/>
      <c r="D3272" s="2360"/>
      <c r="E3272" s="903"/>
      <c r="F3272" s="904"/>
      <c r="G3272" s="2360" t="str">
        <f>$K$2</f>
        <v>THÁNG 09/2024</v>
      </c>
      <c r="H3272" s="2360"/>
      <c r="I3272" s="2360"/>
      <c r="J3272" s="2360"/>
      <c r="K3272" s="276"/>
    </row>
    <row r="3273" spans="1:15" ht="15" customHeight="1">
      <c r="A3273" s="905" t="s">
        <v>356</v>
      </c>
      <c r="B3273" s="642" t="s">
        <v>335</v>
      </c>
      <c r="C3273" s="546"/>
      <c r="D3273" s="902"/>
      <c r="E3273" s="906"/>
      <c r="F3273" s="907"/>
      <c r="G3273" s="905" t="s">
        <v>356</v>
      </c>
      <c r="H3273" s="642" t="s">
        <v>336</v>
      </c>
      <c r="I3273" s="546"/>
      <c r="J3273" s="902"/>
      <c r="K3273" s="951" t="s">
        <v>427</v>
      </c>
      <c r="L3273" s="951" t="e">
        <f>+L378</f>
        <v>#N/A</v>
      </c>
      <c r="M3273" s="952">
        <f>+'TRẠM 1'!AB108</f>
        <v>657947322</v>
      </c>
      <c r="N3273" s="952" t="e">
        <f>'TRẠM 1'!#REF!</f>
        <v>#REF!</v>
      </c>
      <c r="O3273" s="952" t="e">
        <f>+L3273-M3273</f>
        <v>#N/A</v>
      </c>
    </row>
    <row r="3274" spans="1:15" ht="15" customHeight="1">
      <c r="A3274" s="905" t="s">
        <v>359</v>
      </c>
      <c r="B3274" s="939" t="s">
        <v>360</v>
      </c>
      <c r="C3274" s="910" t="e">
        <f>VLOOKUP(B3273,'LƯƠNG KT'!$D$16:$AC$184,3,0)</f>
        <v>#N/A</v>
      </c>
      <c r="D3274" s="609" t="e">
        <f>+C3274*25000</f>
        <v>#N/A</v>
      </c>
      <c r="E3274" s="911"/>
      <c r="F3274" s="911"/>
      <c r="G3274" s="905" t="s">
        <v>359</v>
      </c>
      <c r="H3274" s="939" t="s">
        <v>360</v>
      </c>
      <c r="I3274" s="910" t="e">
        <f>VLOOKUP(H3273,'LƯƠNG KT'!$D$16:$AC$184,3,0)</f>
        <v>#N/A</v>
      </c>
      <c r="J3274" s="609" t="e">
        <f>+I3274*25000</f>
        <v>#N/A</v>
      </c>
      <c r="K3274" s="951" t="s">
        <v>520</v>
      </c>
      <c r="L3274" s="951" t="e">
        <f>+L801</f>
        <v>#N/A</v>
      </c>
      <c r="M3274" s="951" t="e">
        <f>+#REF!</f>
        <v>#REF!</v>
      </c>
      <c r="N3274" s="951" t="e">
        <f>#REF!</f>
        <v>#REF!</v>
      </c>
      <c r="O3274" s="952" t="e">
        <f t="shared" ref="O3274:O3281" si="6">+L3274-M3274</f>
        <v>#N/A</v>
      </c>
    </row>
    <row r="3275" spans="1:15" ht="15" customHeight="1">
      <c r="A3275" s="905" t="s">
        <v>361</v>
      </c>
      <c r="B3275" s="546" t="s">
        <v>362</v>
      </c>
      <c r="C3275" s="910" t="e">
        <f>VLOOKUP(B3273,'LƯƠNG KT'!$D$16:$AC$184,14,0)</f>
        <v>#N/A</v>
      </c>
      <c r="D3275" s="609" t="e">
        <f>C3275*$L$4</f>
        <v>#N/A</v>
      </c>
      <c r="E3275" s="912"/>
      <c r="F3275" s="912"/>
      <c r="G3275" s="905" t="s">
        <v>361</v>
      </c>
      <c r="H3275" s="546" t="s">
        <v>362</v>
      </c>
      <c r="I3275" s="910" t="e">
        <f>VLOOKUP(H3273,'LƯƠNG KT'!$D$16:$AC$184,14,0)</f>
        <v>#N/A</v>
      </c>
      <c r="J3275" s="609" t="e">
        <f>I3275*$L$4</f>
        <v>#N/A</v>
      </c>
      <c r="K3275" s="951" t="s">
        <v>521</v>
      </c>
      <c r="L3275" s="951" t="e">
        <f>+L1493</f>
        <v>#N/A</v>
      </c>
      <c r="M3275" s="951" t="e">
        <f>+'Đội 3'!AE101</f>
        <v>#N/A</v>
      </c>
      <c r="N3275" s="951" t="e">
        <f>+'Đội 3'!#REF!</f>
        <v>#REF!</v>
      </c>
      <c r="O3275" s="952" t="e">
        <f t="shared" si="6"/>
        <v>#N/A</v>
      </c>
    </row>
    <row r="3276" spans="1:15" ht="15" customHeight="1">
      <c r="A3276" s="905" t="s">
        <v>364</v>
      </c>
      <c r="B3276" s="546" t="s">
        <v>365</v>
      </c>
      <c r="C3276" s="910" t="e">
        <f>VLOOKUP(B3273,'LƯƠNG KT'!$D$16:$AC$184,15,0)</f>
        <v>#N/A</v>
      </c>
      <c r="D3276" s="609" t="e">
        <f>C3276*$L$5</f>
        <v>#N/A</v>
      </c>
      <c r="E3276" s="912"/>
      <c r="F3276" s="912"/>
      <c r="G3276" s="905" t="s">
        <v>364</v>
      </c>
      <c r="H3276" s="546" t="s">
        <v>365</v>
      </c>
      <c r="I3276" s="910" t="e">
        <f>VLOOKUP(H3273,'LƯƠNG KT'!$D$16:$AC$184,15,0)</f>
        <v>#N/A</v>
      </c>
      <c r="J3276" s="609" t="e">
        <f>I3276*$L$5</f>
        <v>#N/A</v>
      </c>
      <c r="K3276" s="951" t="s">
        <v>123</v>
      </c>
      <c r="L3276" s="951" t="e">
        <f>+L2311</f>
        <v>#N/A</v>
      </c>
      <c r="M3276" s="951" t="e">
        <f>+'Đội 4'!AE99</f>
        <v>#N/A</v>
      </c>
      <c r="N3276" s="951" t="e">
        <f>'Đội 4'!AE98</f>
        <v>#N/A</v>
      </c>
      <c r="O3276" s="952" t="e">
        <f t="shared" si="6"/>
        <v>#N/A</v>
      </c>
    </row>
    <row r="3277" spans="1:15" ht="15" customHeight="1">
      <c r="A3277" s="905" t="s">
        <v>367</v>
      </c>
      <c r="B3277" s="546"/>
      <c r="C3277" s="910" t="e">
        <f>VLOOKUP(B3273,'LƯƠNG KT'!$D$16:$AC$184,16,0)</f>
        <v>#N/A</v>
      </c>
      <c r="D3277" s="609" t="e">
        <f>+C3277*$L$6</f>
        <v>#N/A</v>
      </c>
      <c r="E3277" s="912"/>
      <c r="F3277" s="912"/>
      <c r="G3277" s="905" t="s">
        <v>367</v>
      </c>
      <c r="H3277" s="546"/>
      <c r="I3277" s="910" t="e">
        <f>VLOOKUP(H3273,'LƯƠNG KT'!$D$16:$AC$184,16,0)</f>
        <v>#N/A</v>
      </c>
      <c r="J3277" s="609" t="e">
        <f>+I3277*$L$6</f>
        <v>#N/A</v>
      </c>
      <c r="K3277" s="951" t="s">
        <v>522</v>
      </c>
      <c r="L3277" s="951" t="e">
        <f>+L2919</f>
        <v>#N/A</v>
      </c>
      <c r="M3277" s="951" t="e">
        <f>+'Đội 5'!AE85+'Đội 5 - KV71ha'!AE21</f>
        <v>#N/A</v>
      </c>
      <c r="N3277" s="951" t="e">
        <f>+'Đội 5'!#REF!</f>
        <v>#REF!</v>
      </c>
      <c r="O3277" s="952" t="e">
        <f t="shared" si="6"/>
        <v>#N/A</v>
      </c>
    </row>
    <row r="3278" spans="1:15" ht="15" customHeight="1">
      <c r="A3278" s="905" t="s">
        <v>515</v>
      </c>
      <c r="B3278" s="546"/>
      <c r="C3278" s="910" t="e">
        <f>VLOOKUP(B3273,'LƯƠNG KT'!$D$16:$AC$184,17,0)</f>
        <v>#N/A</v>
      </c>
      <c r="D3278" s="609" t="e">
        <f>+C3278*$L$7</f>
        <v>#N/A</v>
      </c>
      <c r="E3278" s="912"/>
      <c r="F3278" s="912"/>
      <c r="G3278" s="905" t="s">
        <v>515</v>
      </c>
      <c r="H3278" s="546"/>
      <c r="I3278" s="910" t="e">
        <f>VLOOKUP(H3273,'LƯƠNG KT'!$D$16:$AC$184,17,0)</f>
        <v>#N/A</v>
      </c>
      <c r="J3278" s="609" t="e">
        <f>+I3278*$L$7</f>
        <v>#N/A</v>
      </c>
      <c r="K3278" s="951" t="s">
        <v>285</v>
      </c>
      <c r="L3278" s="951" t="e">
        <f>+L3270</f>
        <v>#N/A</v>
      </c>
      <c r="M3278" s="951" t="e">
        <f>+'Đội 6'!AE78</f>
        <v>#N/A</v>
      </c>
      <c r="N3278" s="951" t="e">
        <f>+'Đội 6'!#REF!</f>
        <v>#REF!</v>
      </c>
      <c r="O3278" s="952" t="e">
        <f t="shared" si="6"/>
        <v>#N/A</v>
      </c>
    </row>
    <row r="3279" spans="1:15" ht="15" customHeight="1">
      <c r="A3279" s="905" t="s">
        <v>519</v>
      </c>
      <c r="B3279" s="546"/>
      <c r="C3279" s="910" t="e">
        <f>VLOOKUP(B3273,'LƯƠNG KT'!$D$16:$AC$184,19,0)</f>
        <v>#N/A</v>
      </c>
      <c r="D3279" s="609" t="e">
        <f>C3279*20000</f>
        <v>#N/A</v>
      </c>
      <c r="E3279" s="912"/>
      <c r="F3279" s="912"/>
      <c r="G3279" s="905" t="s">
        <v>519</v>
      </c>
      <c r="H3279" s="546"/>
      <c r="I3279" s="910" t="e">
        <f>VLOOKUP(H3273,'LƯƠNG KT'!$D$16:$AC$184,19,0)</f>
        <v>#N/A</v>
      </c>
      <c r="J3279" s="609" t="e">
        <f>I3279*20000</f>
        <v>#N/A</v>
      </c>
      <c r="K3279" s="951" t="s">
        <v>523</v>
      </c>
      <c r="L3279" s="951" t="e">
        <f>+L1631</f>
        <v>#N/A</v>
      </c>
      <c r="M3279" s="951" t="e">
        <f>+'Đ3 - XC'!AE21</f>
        <v>#N/A</v>
      </c>
      <c r="N3279" s="951"/>
      <c r="O3279" s="952" t="e">
        <f t="shared" si="6"/>
        <v>#N/A</v>
      </c>
    </row>
    <row r="3280" spans="1:15" ht="15" customHeight="1">
      <c r="A3280" s="905" t="s">
        <v>371</v>
      </c>
      <c r="B3280" s="546" t="s">
        <v>372</v>
      </c>
      <c r="C3280" s="910" t="e">
        <f>VLOOKUP(B3273,'LƯƠNG KT'!$D$16:$AC$184,9,0)*$L$10</f>
        <v>#N/A</v>
      </c>
      <c r="D3280" s="609" t="e">
        <f>+C3280*0.5*3000</f>
        <v>#N/A</v>
      </c>
      <c r="E3280" s="912"/>
      <c r="F3280" s="912"/>
      <c r="G3280" s="905" t="s">
        <v>371</v>
      </c>
      <c r="H3280" s="546" t="s">
        <v>372</v>
      </c>
      <c r="I3280" s="910" t="e">
        <f>VLOOKUP(H3273,'LƯƠNG KT'!$D$16:$AC$184,9,0)*$L$10</f>
        <v>#N/A</v>
      </c>
      <c r="J3280" s="609" t="e">
        <f>+I3280*0.5*3000</f>
        <v>#N/A</v>
      </c>
      <c r="K3280" s="951" t="s">
        <v>524</v>
      </c>
      <c r="L3280" s="951" t="e">
        <f>+L1582</f>
        <v>#N/A</v>
      </c>
      <c r="M3280" s="951" t="e">
        <f>'Đ3 - TC'!AE25</f>
        <v>#N/A</v>
      </c>
      <c r="N3280" s="951"/>
      <c r="O3280" s="952" t="e">
        <f t="shared" si="6"/>
        <v>#N/A</v>
      </c>
    </row>
    <row r="3281" spans="1:15" ht="15" customHeight="1">
      <c r="A3281" s="905" t="s">
        <v>374</v>
      </c>
      <c r="B3281" s="546" t="s">
        <v>375</v>
      </c>
      <c r="C3281" s="910" t="e">
        <f>VLOOKUP(B3273,'LƯƠNG KT'!$D$16:$AC$184,8,0)*$L$11</f>
        <v>#N/A</v>
      </c>
      <c r="D3281" s="609" t="e">
        <f>VLOOKUP(B3273,'LƯƠNG KT'!$D$16:$AC$184,13,0)-D3280</f>
        <v>#N/A</v>
      </c>
      <c r="E3281" s="914"/>
      <c r="F3281" s="912"/>
      <c r="G3281" s="905" t="s">
        <v>374</v>
      </c>
      <c r="H3281" s="546" t="s">
        <v>375</v>
      </c>
      <c r="I3281" s="910" t="e">
        <f>VLOOKUP(H3273,'LƯƠNG KT'!$D$16:$AC$184,8,0)*$L$11</f>
        <v>#N/A</v>
      </c>
      <c r="J3281" s="609" t="e">
        <f>VLOOKUP(H3273,'LƯƠNG KT'!$D$16:$AC$184,13,0)-J3280</f>
        <v>#N/A</v>
      </c>
      <c r="K3281" s="951" t="s">
        <v>525</v>
      </c>
      <c r="L3281" s="951" t="e">
        <f>SUM(L3273:L3280)</f>
        <v>#N/A</v>
      </c>
      <c r="M3281" s="951" t="e">
        <f>SUM(M3273:M3280)</f>
        <v>#REF!</v>
      </c>
      <c r="N3281" s="951" t="e">
        <f>SUM(N3273:N3280)</f>
        <v>#REF!</v>
      </c>
      <c r="O3281" s="952" t="e">
        <f t="shared" si="6"/>
        <v>#N/A</v>
      </c>
    </row>
    <row r="3282" spans="1:15" ht="15" customHeight="1">
      <c r="A3282" s="609" t="s">
        <v>377</v>
      </c>
      <c r="B3282" s="546" t="s">
        <v>378</v>
      </c>
      <c r="C3282" s="910"/>
      <c r="D3282" s="609"/>
      <c r="E3282" s="916"/>
      <c r="F3282" s="916"/>
      <c r="G3282" s="609" t="s">
        <v>377</v>
      </c>
      <c r="H3282" s="546" t="s">
        <v>378</v>
      </c>
      <c r="I3282" s="910"/>
      <c r="J3282" s="609"/>
      <c r="M3282" s="951"/>
      <c r="N3282" s="951" t="e">
        <f>+M3281-N3281</f>
        <v>#REF!</v>
      </c>
      <c r="O3282" s="952" t="e">
        <f>+L3281-N3282</f>
        <v>#N/A</v>
      </c>
    </row>
    <row r="3283" spans="1:15" ht="15" customHeight="1">
      <c r="A3283" s="547" t="s">
        <v>379</v>
      </c>
      <c r="B3283" s="546" t="s">
        <v>380</v>
      </c>
      <c r="C3283" s="910"/>
      <c r="D3283" s="609"/>
      <c r="E3283" s="914"/>
      <c r="F3283" s="916"/>
      <c r="G3283" s="547" t="s">
        <v>379</v>
      </c>
      <c r="H3283" s="546" t="s">
        <v>380</v>
      </c>
      <c r="I3283" s="910"/>
      <c r="J3283" s="609"/>
      <c r="L3283" s="898" t="e">
        <f>+#REF!+L3281</f>
        <v>#REF!</v>
      </c>
    </row>
    <row r="3284" spans="1:15" ht="15" customHeight="1">
      <c r="A3284" s="918" t="s">
        <v>383</v>
      </c>
      <c r="B3284" s="919" t="s">
        <v>384</v>
      </c>
      <c r="C3284" s="920"/>
      <c r="D3284" s="921" t="e">
        <f>SUM(D3274:D3281)</f>
        <v>#N/A</v>
      </c>
      <c r="E3284" s="922"/>
      <c r="F3284" s="923"/>
      <c r="G3284" s="918" t="s">
        <v>383</v>
      </c>
      <c r="H3284" s="919" t="s">
        <v>384</v>
      </c>
      <c r="I3284" s="920"/>
      <c r="J3284" s="921" t="e">
        <f>SUM(J3274:J3281)</f>
        <v>#N/A</v>
      </c>
    </row>
    <row r="3285" spans="1:15" ht="15" customHeight="1">
      <c r="A3285" s="918"/>
      <c r="B3285" s="919"/>
      <c r="C3285" s="920"/>
      <c r="D3285" s="921"/>
      <c r="E3285" s="946"/>
      <c r="F3285" s="923"/>
      <c r="G3285" s="918"/>
      <c r="H3285" s="919"/>
      <c r="I3285" s="920"/>
      <c r="J3285" s="921"/>
    </row>
    <row r="3286" spans="1:15" ht="15" customHeight="1">
      <c r="A3286" s="2360" t="str">
        <f>$K$2</f>
        <v>THÁNG 09/2024</v>
      </c>
      <c r="B3286" s="2360"/>
      <c r="C3286" s="2360"/>
      <c r="D3286" s="2360"/>
      <c r="E3286" s="903"/>
      <c r="F3286" s="904"/>
      <c r="G3286" s="2360" t="str">
        <f>$K$2</f>
        <v>THÁNG 09/2024</v>
      </c>
      <c r="H3286" s="2360"/>
      <c r="I3286" s="2360"/>
      <c r="J3286" s="2360"/>
      <c r="K3286" s="276"/>
    </row>
    <row r="3287" spans="1:15" ht="15" customHeight="1">
      <c r="A3287" s="905" t="s">
        <v>356</v>
      </c>
      <c r="B3287" s="642" t="s">
        <v>337</v>
      </c>
      <c r="C3287" s="546"/>
      <c r="D3287" s="902"/>
      <c r="E3287" s="906"/>
      <c r="F3287" s="907"/>
      <c r="G3287" s="905" t="s">
        <v>356</v>
      </c>
      <c r="H3287" s="642" t="s">
        <v>338</v>
      </c>
      <c r="I3287" s="546"/>
      <c r="J3287" s="902"/>
      <c r="L3287" s="938"/>
      <c r="M3287" s="938"/>
      <c r="N3287" s="938"/>
      <c r="O3287" s="938"/>
    </row>
    <row r="3288" spans="1:15" ht="15" customHeight="1">
      <c r="A3288" s="905" t="s">
        <v>359</v>
      </c>
      <c r="B3288" s="939" t="s">
        <v>360</v>
      </c>
      <c r="C3288" s="910" t="e">
        <f>VLOOKUP(B3287,'LƯƠNG KT'!$D$16:$AC$184,3,0)</f>
        <v>#N/A</v>
      </c>
      <c r="D3288" s="609" t="e">
        <f>+C3288*25000</f>
        <v>#N/A</v>
      </c>
      <c r="E3288" s="911"/>
      <c r="F3288" s="911"/>
      <c r="G3288" s="905" t="s">
        <v>359</v>
      </c>
      <c r="H3288" s="939" t="s">
        <v>360</v>
      </c>
      <c r="I3288" s="910" t="e">
        <f>VLOOKUP(H3287,'LƯƠNG KT'!$D$16:$AC$184,3,0)</f>
        <v>#N/A</v>
      </c>
      <c r="J3288" s="609" t="e">
        <f>+I3288*25000</f>
        <v>#N/A</v>
      </c>
      <c r="K3288" s="934"/>
      <c r="L3288" s="935"/>
      <c r="M3288" s="935"/>
      <c r="N3288" s="935"/>
      <c r="O3288" s="935"/>
    </row>
    <row r="3289" spans="1:15" ht="15" customHeight="1">
      <c r="A3289" s="905" t="s">
        <v>361</v>
      </c>
      <c r="B3289" s="546" t="s">
        <v>362</v>
      </c>
      <c r="C3289" s="910" t="e">
        <f>VLOOKUP(B3287,'LƯƠNG KT'!$D$16:$AC$184,14,0)</f>
        <v>#N/A</v>
      </c>
      <c r="D3289" s="609" t="e">
        <f>C3289*$L$4</f>
        <v>#N/A</v>
      </c>
      <c r="E3289" s="912"/>
      <c r="F3289" s="912"/>
      <c r="G3289" s="905" t="s">
        <v>361</v>
      </c>
      <c r="H3289" s="546" t="s">
        <v>362</v>
      </c>
      <c r="I3289" s="910" t="e">
        <f>VLOOKUP(H3287,'LƯƠNG KT'!$D$16:$AC$184,14,0)</f>
        <v>#N/A</v>
      </c>
      <c r="J3289" s="609" t="e">
        <f>I3289*$L$4</f>
        <v>#N/A</v>
      </c>
      <c r="K3289" s="934"/>
      <c r="L3289" s="935"/>
      <c r="M3289" s="935"/>
      <c r="N3289" s="935"/>
      <c r="O3289" s="935"/>
    </row>
    <row r="3290" spans="1:15" ht="15" customHeight="1">
      <c r="A3290" s="905" t="s">
        <v>364</v>
      </c>
      <c r="B3290" s="546" t="s">
        <v>365</v>
      </c>
      <c r="C3290" s="910" t="e">
        <f>VLOOKUP(B3287,'LƯƠNG KT'!$D$16:$AC$184,15,0)</f>
        <v>#N/A</v>
      </c>
      <c r="D3290" s="609" t="e">
        <f>C3290*$L$5</f>
        <v>#N/A</v>
      </c>
      <c r="E3290" s="912"/>
      <c r="F3290" s="912"/>
      <c r="G3290" s="905" t="s">
        <v>364</v>
      </c>
      <c r="H3290" s="546" t="s">
        <v>365</v>
      </c>
      <c r="I3290" s="910" t="e">
        <f>VLOOKUP(H3287,'LƯƠNG KT'!$D$16:$AC$184,15,0)</f>
        <v>#N/A</v>
      </c>
      <c r="J3290" s="609" t="e">
        <f>I3290*$L$5</f>
        <v>#N/A</v>
      </c>
      <c r="K3290" s="934"/>
      <c r="L3290" s="935"/>
      <c r="M3290" s="935"/>
      <c r="N3290" s="935"/>
      <c r="O3290" s="935"/>
    </row>
    <row r="3291" spans="1:15" ht="15" customHeight="1">
      <c r="A3291" s="905" t="s">
        <v>367</v>
      </c>
      <c r="B3291" s="546"/>
      <c r="C3291" s="910" t="e">
        <f>VLOOKUP(B3287,'LƯƠNG KT'!$D$16:$AC$184,16,0)</f>
        <v>#N/A</v>
      </c>
      <c r="D3291" s="609" t="e">
        <f>+C3291*$L$6</f>
        <v>#N/A</v>
      </c>
      <c r="E3291" s="912"/>
      <c r="F3291" s="912"/>
      <c r="G3291" s="905" t="s">
        <v>367</v>
      </c>
      <c r="H3291" s="546"/>
      <c r="I3291" s="910" t="e">
        <f>VLOOKUP(H3287,'LƯƠNG KT'!$D$16:$AC$184,16,0)</f>
        <v>#N/A</v>
      </c>
      <c r="J3291" s="609" t="e">
        <f>+I3291*$L$6</f>
        <v>#N/A</v>
      </c>
      <c r="K3291" s="935"/>
      <c r="L3291" s="935"/>
      <c r="M3291" s="935"/>
      <c r="N3291" s="935"/>
      <c r="O3291" s="935"/>
    </row>
    <row r="3292" spans="1:15" ht="15" customHeight="1">
      <c r="A3292" s="905" t="s">
        <v>515</v>
      </c>
      <c r="B3292" s="546"/>
      <c r="C3292" s="910" t="e">
        <f>VLOOKUP(B3287,'LƯƠNG KT'!$D$16:$AC$184,17,0)</f>
        <v>#N/A</v>
      </c>
      <c r="D3292" s="609" t="e">
        <f>+C3292*$L$7</f>
        <v>#N/A</v>
      </c>
      <c r="E3292" s="912"/>
      <c r="F3292" s="912"/>
      <c r="G3292" s="905" t="s">
        <v>515</v>
      </c>
      <c r="H3292" s="546"/>
      <c r="I3292" s="910" t="e">
        <f>VLOOKUP(H3287,'LƯƠNG KT'!$D$16:$AC$184,17,0)</f>
        <v>#N/A</v>
      </c>
      <c r="J3292" s="609" t="e">
        <f>+I3292*$L$7</f>
        <v>#N/A</v>
      </c>
      <c r="K3292" s="935"/>
      <c r="L3292" s="935"/>
      <c r="M3292" s="935"/>
      <c r="N3292" s="935"/>
      <c r="O3292" s="935"/>
    </row>
    <row r="3293" spans="1:15" ht="15" customHeight="1">
      <c r="A3293" s="905" t="s">
        <v>519</v>
      </c>
      <c r="B3293" s="546"/>
      <c r="C3293" s="910" t="e">
        <f>VLOOKUP(B3287,'LƯƠNG KT'!$D$16:$AC$184,19,0)</f>
        <v>#N/A</v>
      </c>
      <c r="D3293" s="609" t="e">
        <f>C3293*20000</f>
        <v>#N/A</v>
      </c>
      <c r="E3293" s="912"/>
      <c r="F3293" s="912"/>
      <c r="G3293" s="905" t="s">
        <v>519</v>
      </c>
      <c r="H3293" s="546"/>
      <c r="I3293" s="910" t="e">
        <f>VLOOKUP(H3287,'LƯƠNG KT'!$D$16:$AC$184,19,0)</f>
        <v>#N/A</v>
      </c>
      <c r="J3293" s="609" t="e">
        <f>I3293*20000</f>
        <v>#N/A</v>
      </c>
      <c r="K3293" s="935"/>
      <c r="L3293" s="935"/>
      <c r="M3293" s="935"/>
      <c r="N3293" s="935"/>
      <c r="O3293" s="935"/>
    </row>
    <row r="3294" spans="1:15" ht="15" customHeight="1">
      <c r="A3294" s="905" t="s">
        <v>371</v>
      </c>
      <c r="B3294" s="546" t="s">
        <v>372</v>
      </c>
      <c r="C3294" s="910" t="e">
        <f>VLOOKUP(B3287,'LƯƠNG KT'!$D$16:$AC$184,9,0)*$L$10</f>
        <v>#N/A</v>
      </c>
      <c r="D3294" s="609" t="e">
        <f>+C3294*0.5*3000</f>
        <v>#N/A</v>
      </c>
      <c r="E3294" s="912"/>
      <c r="F3294" s="912"/>
      <c r="G3294" s="905" t="s">
        <v>371</v>
      </c>
      <c r="H3294" s="546" t="s">
        <v>372</v>
      </c>
      <c r="I3294" s="910" t="e">
        <f>VLOOKUP(H3287,'LƯƠNG KT'!$D$16:$AC$184,9,0)*$L$10</f>
        <v>#N/A</v>
      </c>
      <c r="J3294" s="609" t="e">
        <f>+I3294*0.5*3000</f>
        <v>#N/A</v>
      </c>
      <c r="K3294" s="935"/>
      <c r="L3294" s="935"/>
      <c r="M3294" s="935"/>
      <c r="N3294" s="935"/>
      <c r="O3294" s="935"/>
    </row>
    <row r="3295" spans="1:15" ht="15" customHeight="1">
      <c r="A3295" s="905" t="s">
        <v>374</v>
      </c>
      <c r="B3295" s="546" t="s">
        <v>375</v>
      </c>
      <c r="C3295" s="910" t="e">
        <f>VLOOKUP(B3287,'LƯƠNG KT'!$D$16:$AC$184,8,0)*$L$11</f>
        <v>#N/A</v>
      </c>
      <c r="D3295" s="609" t="e">
        <f>VLOOKUP(B3287,'LƯƠNG KT'!$D$16:$AC$184,13,0)-D3294</f>
        <v>#N/A</v>
      </c>
      <c r="E3295" s="914"/>
      <c r="F3295" s="912"/>
      <c r="G3295" s="905" t="s">
        <v>374</v>
      </c>
      <c r="H3295" s="546" t="s">
        <v>375</v>
      </c>
      <c r="I3295" s="910" t="e">
        <f>VLOOKUP(H3287,'LƯƠNG KT'!$D$16:$AC$184,8,0)*$L$11</f>
        <v>#N/A</v>
      </c>
      <c r="J3295" s="609" t="e">
        <f>VLOOKUP(H3287,'LƯƠNG KT'!$D$16:$AC$184,13,0)-J3294</f>
        <v>#N/A</v>
      </c>
      <c r="K3295" s="935"/>
      <c r="L3295" s="935"/>
      <c r="M3295" s="935"/>
      <c r="N3295" s="935"/>
      <c r="O3295" s="935"/>
    </row>
    <row r="3296" spans="1:15" ht="15" customHeight="1">
      <c r="A3296" s="609" t="s">
        <v>377</v>
      </c>
      <c r="B3296" s="546" t="s">
        <v>378</v>
      </c>
      <c r="C3296" s="910"/>
      <c r="D3296" s="609"/>
      <c r="E3296" s="916"/>
      <c r="F3296" s="916"/>
      <c r="G3296" s="609" t="s">
        <v>377</v>
      </c>
      <c r="H3296" s="546" t="s">
        <v>378</v>
      </c>
      <c r="I3296" s="910"/>
      <c r="J3296" s="609"/>
    </row>
    <row r="3297" spans="1:15" ht="15" customHeight="1">
      <c r="A3297" s="547" t="s">
        <v>379</v>
      </c>
      <c r="B3297" s="546" t="s">
        <v>380</v>
      </c>
      <c r="C3297" s="910"/>
      <c r="D3297" s="609"/>
      <c r="E3297" s="914"/>
      <c r="F3297" s="916"/>
      <c r="G3297" s="547" t="s">
        <v>379</v>
      </c>
      <c r="H3297" s="546" t="s">
        <v>380</v>
      </c>
      <c r="I3297" s="910"/>
      <c r="J3297" s="609"/>
    </row>
    <row r="3298" spans="1:15" ht="15" customHeight="1">
      <c r="A3298" s="918" t="s">
        <v>383</v>
      </c>
      <c r="B3298" s="919" t="s">
        <v>384</v>
      </c>
      <c r="C3298" s="920"/>
      <c r="D3298" s="921" t="e">
        <f>SUM(D3288:D3295)</f>
        <v>#N/A</v>
      </c>
      <c r="E3298" s="922"/>
      <c r="F3298" s="923"/>
      <c r="G3298" s="918" t="s">
        <v>383</v>
      </c>
      <c r="H3298" s="919" t="s">
        <v>384</v>
      </c>
      <c r="I3298" s="920"/>
      <c r="J3298" s="921" t="e">
        <f>SUM(J3288:J3295)</f>
        <v>#N/A</v>
      </c>
    </row>
    <row r="3299" spans="1:15" ht="12.6" customHeight="1">
      <c r="A3299" s="924"/>
      <c r="B3299" s="925"/>
      <c r="C3299" s="926"/>
      <c r="D3299" s="927"/>
      <c r="E3299" s="927"/>
      <c r="F3299" s="928"/>
      <c r="G3299" s="924"/>
      <c r="H3299" s="925"/>
      <c r="I3299" s="926"/>
      <c r="J3299" s="927"/>
    </row>
    <row r="3300" spans="1:15" ht="12.6" customHeight="1">
      <c r="A3300" s="925"/>
      <c r="B3300" s="925"/>
      <c r="C3300" s="929"/>
      <c r="D3300" s="930"/>
      <c r="E3300" s="925"/>
      <c r="F3300" s="931"/>
      <c r="G3300" s="925"/>
      <c r="H3300" s="925"/>
      <c r="I3300" s="929"/>
      <c r="J3300" s="930"/>
    </row>
    <row r="3301" spans="1:15" ht="15" customHeight="1">
      <c r="A3301" s="2360" t="str">
        <f>$K$2</f>
        <v>THÁNG 09/2024</v>
      </c>
      <c r="B3301" s="2360"/>
      <c r="C3301" s="2360"/>
      <c r="D3301" s="2360"/>
      <c r="E3301" s="903"/>
      <c r="F3301" s="904"/>
      <c r="G3301" s="2360" t="str">
        <f>$K$2</f>
        <v>THÁNG 09/2024</v>
      </c>
      <c r="H3301" s="2360"/>
      <c r="I3301" s="2360"/>
      <c r="J3301" s="2360"/>
      <c r="K3301" s="276"/>
    </row>
    <row r="3302" spans="1:15" ht="15" customHeight="1">
      <c r="A3302" s="905" t="s">
        <v>356</v>
      </c>
      <c r="B3302" s="642" t="s">
        <v>339</v>
      </c>
      <c r="C3302" s="546"/>
      <c r="D3302" s="902"/>
      <c r="E3302" s="906"/>
      <c r="F3302" s="907"/>
      <c r="G3302" s="905" t="s">
        <v>356</v>
      </c>
      <c r="H3302" s="642" t="s">
        <v>340</v>
      </c>
      <c r="I3302" s="546"/>
      <c r="J3302" s="902"/>
      <c r="L3302" s="938"/>
      <c r="M3302" s="938"/>
      <c r="N3302" s="938"/>
      <c r="O3302" s="938"/>
    </row>
    <row r="3303" spans="1:15" ht="15" customHeight="1">
      <c r="A3303" s="905" t="s">
        <v>359</v>
      </c>
      <c r="B3303" s="939" t="s">
        <v>360</v>
      </c>
      <c r="C3303" s="910" t="e">
        <f>VLOOKUP(B3302,'LƯƠNG KT'!$D$16:$AC$184,3,0)</f>
        <v>#N/A</v>
      </c>
      <c r="D3303" s="609" t="e">
        <f>+C3303*25000</f>
        <v>#N/A</v>
      </c>
      <c r="E3303" s="911"/>
      <c r="F3303" s="911"/>
      <c r="G3303" s="905" t="s">
        <v>359</v>
      </c>
      <c r="H3303" s="939" t="s">
        <v>360</v>
      </c>
      <c r="I3303" s="910" t="e">
        <f>VLOOKUP(H3302,'LƯƠNG KT'!$D$16:$AC$184,3,0)</f>
        <v>#N/A</v>
      </c>
      <c r="J3303" s="609" t="e">
        <f>+I3303*25000</f>
        <v>#N/A</v>
      </c>
      <c r="K3303" s="935"/>
      <c r="L3303" s="935"/>
      <c r="M3303" s="935"/>
      <c r="N3303" s="935"/>
      <c r="O3303" s="935"/>
    </row>
    <row r="3304" spans="1:15" ht="15" customHeight="1">
      <c r="A3304" s="905" t="s">
        <v>361</v>
      </c>
      <c r="B3304" s="546" t="s">
        <v>362</v>
      </c>
      <c r="C3304" s="910" t="e">
        <f>VLOOKUP(B3302,'LƯƠNG KT'!$D$16:$AC$184,14,0)</f>
        <v>#N/A</v>
      </c>
      <c r="D3304" s="609" t="e">
        <f>C3304*$L$4</f>
        <v>#N/A</v>
      </c>
      <c r="E3304" s="912"/>
      <c r="F3304" s="912"/>
      <c r="G3304" s="905" t="s">
        <v>361</v>
      </c>
      <c r="H3304" s="546" t="s">
        <v>362</v>
      </c>
      <c r="I3304" s="910" t="e">
        <f>VLOOKUP(H3302,'LƯƠNG KT'!$D$16:$AC$184,14,0)</f>
        <v>#N/A</v>
      </c>
      <c r="J3304" s="609" t="e">
        <f>I3304*$L$4</f>
        <v>#N/A</v>
      </c>
      <c r="K3304" s="935"/>
      <c r="L3304" s="935"/>
      <c r="M3304" s="935"/>
      <c r="N3304" s="935"/>
      <c r="O3304" s="935"/>
    </row>
    <row r="3305" spans="1:15" ht="15" customHeight="1">
      <c r="A3305" s="905" t="s">
        <v>364</v>
      </c>
      <c r="B3305" s="546" t="s">
        <v>365</v>
      </c>
      <c r="C3305" s="910" t="e">
        <f>VLOOKUP(B3302,'LƯƠNG KT'!$D$16:$AC$184,15,0)</f>
        <v>#N/A</v>
      </c>
      <c r="D3305" s="609" t="e">
        <f>C3305*$L$5</f>
        <v>#N/A</v>
      </c>
      <c r="E3305" s="912"/>
      <c r="F3305" s="912"/>
      <c r="G3305" s="905" t="s">
        <v>364</v>
      </c>
      <c r="H3305" s="546" t="s">
        <v>365</v>
      </c>
      <c r="I3305" s="910" t="e">
        <f>VLOOKUP(H3302,'LƯƠNG KT'!$D$16:$AC$184,15,0)</f>
        <v>#N/A</v>
      </c>
      <c r="J3305" s="609" t="e">
        <f>I3305*$L$5</f>
        <v>#N/A</v>
      </c>
      <c r="K3305" s="935"/>
      <c r="L3305" s="935"/>
      <c r="M3305" s="935"/>
      <c r="N3305" s="935"/>
      <c r="O3305" s="935"/>
    </row>
    <row r="3306" spans="1:15" ht="15" customHeight="1">
      <c r="A3306" s="905" t="s">
        <v>367</v>
      </c>
      <c r="B3306" s="546"/>
      <c r="C3306" s="910" t="e">
        <f>VLOOKUP(B3302,'LƯƠNG KT'!$D$16:$AC$184,16,0)</f>
        <v>#N/A</v>
      </c>
      <c r="D3306" s="609" t="e">
        <f>+C3306*$L$6</f>
        <v>#N/A</v>
      </c>
      <c r="E3306" s="912"/>
      <c r="F3306" s="912"/>
      <c r="G3306" s="905" t="s">
        <v>367</v>
      </c>
      <c r="H3306" s="546"/>
      <c r="I3306" s="910" t="e">
        <f>VLOOKUP(H3302,'LƯƠNG KT'!$D$16:$AC$184,16,0)</f>
        <v>#N/A</v>
      </c>
      <c r="J3306" s="609" t="e">
        <f>+I3306*$L$6</f>
        <v>#N/A</v>
      </c>
      <c r="K3306" s="935"/>
      <c r="L3306" s="935"/>
      <c r="M3306" s="935"/>
      <c r="N3306" s="935"/>
      <c r="O3306" s="935"/>
    </row>
    <row r="3307" spans="1:15" ht="15" customHeight="1">
      <c r="A3307" s="905" t="s">
        <v>515</v>
      </c>
      <c r="B3307" s="546"/>
      <c r="C3307" s="910" t="e">
        <f>VLOOKUP(B3302,'LƯƠNG KT'!$D$16:$AC$184,17,0)</f>
        <v>#N/A</v>
      </c>
      <c r="D3307" s="609" t="e">
        <f>+C3307*$L$7</f>
        <v>#N/A</v>
      </c>
      <c r="E3307" s="912"/>
      <c r="F3307" s="912"/>
      <c r="G3307" s="905" t="s">
        <v>515</v>
      </c>
      <c r="H3307" s="546"/>
      <c r="I3307" s="910" t="e">
        <f>VLOOKUP(H3302,'LƯƠNG KT'!$D$16:$AC$184,17,0)</f>
        <v>#N/A</v>
      </c>
      <c r="J3307" s="609" t="e">
        <f>+I3307*$L$7</f>
        <v>#N/A</v>
      </c>
      <c r="K3307" s="935"/>
      <c r="L3307" s="935"/>
      <c r="M3307" s="935"/>
      <c r="N3307" s="935"/>
      <c r="O3307" s="935"/>
    </row>
    <row r="3308" spans="1:15" ht="15" customHeight="1">
      <c r="A3308" s="905" t="s">
        <v>519</v>
      </c>
      <c r="B3308" s="546"/>
      <c r="C3308" s="910" t="e">
        <f>VLOOKUP(B3302,'LƯƠNG KT'!$D$16:$AC$184,19,0)</f>
        <v>#N/A</v>
      </c>
      <c r="D3308" s="609" t="e">
        <f>C3308*20000</f>
        <v>#N/A</v>
      </c>
      <c r="E3308" s="912"/>
      <c r="F3308" s="912"/>
      <c r="G3308" s="905" t="s">
        <v>519</v>
      </c>
      <c r="H3308" s="546"/>
      <c r="I3308" s="910" t="e">
        <f>VLOOKUP(H3302,'LƯƠNG KT'!$D$16:$AC$184,19,0)</f>
        <v>#N/A</v>
      </c>
      <c r="J3308" s="609" t="e">
        <f>I3308*20000</f>
        <v>#N/A</v>
      </c>
      <c r="K3308" s="935"/>
      <c r="L3308" s="935"/>
      <c r="M3308" s="935"/>
      <c r="N3308" s="935"/>
      <c r="O3308" s="935"/>
    </row>
    <row r="3309" spans="1:15" ht="15" customHeight="1">
      <c r="A3309" s="905" t="s">
        <v>371</v>
      </c>
      <c r="B3309" s="546" t="s">
        <v>372</v>
      </c>
      <c r="C3309" s="910" t="e">
        <f>VLOOKUP(B3302,'LƯƠNG KT'!$D$16:$AC$184,9,0)*$L$10</f>
        <v>#N/A</v>
      </c>
      <c r="D3309" s="609" t="e">
        <f>+C3309*0.5*3000</f>
        <v>#N/A</v>
      </c>
      <c r="E3309" s="912"/>
      <c r="F3309" s="912"/>
      <c r="G3309" s="905" t="s">
        <v>371</v>
      </c>
      <c r="H3309" s="546" t="s">
        <v>372</v>
      </c>
      <c r="I3309" s="910" t="e">
        <f>VLOOKUP(H3302,'LƯƠNG KT'!$D$16:$AC$184,9,0)*$L$10</f>
        <v>#N/A</v>
      </c>
      <c r="J3309" s="609" t="e">
        <f>+I3309*0.5*3000</f>
        <v>#N/A</v>
      </c>
      <c r="K3309" s="935"/>
      <c r="L3309" s="935"/>
      <c r="M3309" s="935"/>
      <c r="N3309" s="935"/>
      <c r="O3309" s="935"/>
    </row>
    <row r="3310" spans="1:15" ht="15" customHeight="1">
      <c r="A3310" s="905" t="s">
        <v>374</v>
      </c>
      <c r="B3310" s="546" t="s">
        <v>375</v>
      </c>
      <c r="C3310" s="910" t="e">
        <f>VLOOKUP(B3302,'LƯƠNG KT'!$D$16:$AC$184,8,0)*$L$11</f>
        <v>#N/A</v>
      </c>
      <c r="D3310" s="609" t="e">
        <f>VLOOKUP(B3302,'LƯƠNG KT'!$D$16:$AC$184,13,0)-D3309</f>
        <v>#N/A</v>
      </c>
      <c r="E3310" s="914"/>
      <c r="F3310" s="912"/>
      <c r="G3310" s="905" t="s">
        <v>374</v>
      </c>
      <c r="H3310" s="546" t="s">
        <v>375</v>
      </c>
      <c r="I3310" s="910" t="e">
        <f>VLOOKUP(H3302,'LƯƠNG KT'!$D$16:$AC$184,8,0)*$L$11</f>
        <v>#N/A</v>
      </c>
      <c r="J3310" s="609" t="e">
        <f>VLOOKUP(H3302,'LƯƠNG KT'!$D$16:$AC$184,13,0)-J3309</f>
        <v>#N/A</v>
      </c>
      <c r="K3310" s="935"/>
      <c r="L3310" s="935"/>
      <c r="M3310" s="935"/>
      <c r="N3310" s="935"/>
      <c r="O3310" s="935"/>
    </row>
    <row r="3311" spans="1:15" ht="15" customHeight="1">
      <c r="A3311" s="609" t="s">
        <v>377</v>
      </c>
      <c r="B3311" s="546" t="s">
        <v>378</v>
      </c>
      <c r="C3311" s="910"/>
      <c r="D3311" s="609"/>
      <c r="E3311" s="916"/>
      <c r="F3311" s="916"/>
      <c r="G3311" s="609" t="s">
        <v>377</v>
      </c>
      <c r="H3311" s="546" t="s">
        <v>378</v>
      </c>
      <c r="I3311" s="910"/>
      <c r="J3311" s="609"/>
    </row>
    <row r="3312" spans="1:15" ht="15" customHeight="1">
      <c r="A3312" s="547" t="s">
        <v>379</v>
      </c>
      <c r="B3312" s="546" t="s">
        <v>380</v>
      </c>
      <c r="C3312" s="910"/>
      <c r="D3312" s="609"/>
      <c r="E3312" s="914"/>
      <c r="F3312" s="916"/>
      <c r="G3312" s="547" t="s">
        <v>379</v>
      </c>
      <c r="H3312" s="546" t="s">
        <v>380</v>
      </c>
      <c r="I3312" s="910"/>
      <c r="J3312" s="609"/>
    </row>
    <row r="3313" spans="1:15" ht="15" customHeight="1">
      <c r="A3313" s="918" t="s">
        <v>383</v>
      </c>
      <c r="B3313" s="919" t="s">
        <v>384</v>
      </c>
      <c r="C3313" s="920"/>
      <c r="D3313" s="921" t="e">
        <f>SUM(D3303:D3310)</f>
        <v>#N/A</v>
      </c>
      <c r="E3313" s="922"/>
      <c r="F3313" s="923"/>
      <c r="G3313" s="918" t="s">
        <v>383</v>
      </c>
      <c r="H3313" s="919" t="s">
        <v>384</v>
      </c>
      <c r="I3313" s="920"/>
      <c r="J3313" s="921" t="e">
        <f>SUM(J3303:J3310)</f>
        <v>#N/A</v>
      </c>
    </row>
    <row r="3314" spans="1:15" ht="18.75" customHeight="1">
      <c r="A3314" s="924"/>
      <c r="B3314" s="925"/>
      <c r="C3314" s="926"/>
      <c r="D3314" s="927"/>
      <c r="E3314" s="927"/>
      <c r="F3314" s="928"/>
      <c r="G3314" s="924"/>
      <c r="H3314" s="925"/>
      <c r="I3314" s="926"/>
      <c r="J3314" s="927"/>
    </row>
    <row r="3315" spans="1:15" ht="15" customHeight="1">
      <c r="A3315" s="2360" t="str">
        <f>$K$2</f>
        <v>THÁNG 09/2024</v>
      </c>
      <c r="B3315" s="2360"/>
      <c r="C3315" s="2360"/>
      <c r="D3315" s="2360"/>
      <c r="E3315" s="903"/>
      <c r="F3315" s="904"/>
      <c r="G3315" s="2360" t="str">
        <f>$K$2</f>
        <v>THÁNG 09/2024</v>
      </c>
      <c r="H3315" s="2360"/>
      <c r="I3315" s="2360"/>
      <c r="J3315" s="2360"/>
      <c r="K3315" s="276"/>
    </row>
    <row r="3316" spans="1:15" ht="15" customHeight="1">
      <c r="A3316" s="905" t="s">
        <v>356</v>
      </c>
      <c r="B3316" s="642" t="s">
        <v>341</v>
      </c>
      <c r="C3316" s="546"/>
      <c r="D3316" s="902"/>
      <c r="E3316" s="906"/>
      <c r="F3316" s="907"/>
      <c r="G3316" s="905" t="s">
        <v>356</v>
      </c>
      <c r="H3316" s="642" t="s">
        <v>342</v>
      </c>
      <c r="I3316" s="546"/>
      <c r="J3316" s="902"/>
      <c r="L3316" s="938"/>
      <c r="M3316" s="938"/>
      <c r="N3316" s="938"/>
      <c r="O3316" s="938"/>
    </row>
    <row r="3317" spans="1:15" ht="15" customHeight="1">
      <c r="A3317" s="905" t="s">
        <v>359</v>
      </c>
      <c r="B3317" s="939" t="s">
        <v>360</v>
      </c>
      <c r="C3317" s="910" t="e">
        <f>VLOOKUP(B3316,'LƯƠNG KT'!$D$16:$AC$184,3,0)</f>
        <v>#N/A</v>
      </c>
      <c r="D3317" s="609" t="e">
        <f>+C3317*25000</f>
        <v>#N/A</v>
      </c>
      <c r="E3317" s="911"/>
      <c r="F3317" s="911"/>
      <c r="G3317" s="905" t="s">
        <v>359</v>
      </c>
      <c r="H3317" s="939" t="s">
        <v>360</v>
      </c>
      <c r="I3317" s="910" t="e">
        <f>VLOOKUP(H3316,'LƯƠNG KT'!$D$16:$AC$184,3,0)</f>
        <v>#N/A</v>
      </c>
      <c r="J3317" s="609" t="e">
        <f>+I3317*25000</f>
        <v>#N/A</v>
      </c>
      <c r="K3317" s="935"/>
      <c r="L3317" s="935"/>
      <c r="M3317" s="935"/>
      <c r="N3317" s="935"/>
      <c r="O3317" s="935"/>
    </row>
    <row r="3318" spans="1:15" ht="15" customHeight="1">
      <c r="A3318" s="905" t="s">
        <v>361</v>
      </c>
      <c r="B3318" s="546" t="s">
        <v>362</v>
      </c>
      <c r="C3318" s="910" t="e">
        <f>VLOOKUP(B3316,'LƯƠNG KT'!$D$16:$AC$184,14,0)</f>
        <v>#N/A</v>
      </c>
      <c r="D3318" s="609" t="e">
        <f>C3318*$L$4</f>
        <v>#N/A</v>
      </c>
      <c r="E3318" s="912"/>
      <c r="F3318" s="912"/>
      <c r="G3318" s="905" t="s">
        <v>361</v>
      </c>
      <c r="H3318" s="546" t="s">
        <v>362</v>
      </c>
      <c r="I3318" s="910" t="e">
        <f>VLOOKUP(H3316,'LƯƠNG KT'!$D$16:$AC$184,14,0)</f>
        <v>#N/A</v>
      </c>
      <c r="J3318" s="609" t="e">
        <f>I3318*$L$4</f>
        <v>#N/A</v>
      </c>
      <c r="K3318" s="935"/>
      <c r="L3318" s="935"/>
      <c r="M3318" s="935"/>
      <c r="N3318" s="935"/>
      <c r="O3318" s="935"/>
    </row>
    <row r="3319" spans="1:15" ht="15" customHeight="1">
      <c r="A3319" s="905" t="s">
        <v>364</v>
      </c>
      <c r="B3319" s="546" t="s">
        <v>365</v>
      </c>
      <c r="C3319" s="910" t="e">
        <f>VLOOKUP(B3316,'LƯƠNG KT'!$D$16:$AC$184,15,0)</f>
        <v>#N/A</v>
      </c>
      <c r="D3319" s="609" t="e">
        <f>C3319*$L$5</f>
        <v>#N/A</v>
      </c>
      <c r="E3319" s="912"/>
      <c r="F3319" s="912"/>
      <c r="G3319" s="905" t="s">
        <v>364</v>
      </c>
      <c r="H3319" s="546" t="s">
        <v>365</v>
      </c>
      <c r="I3319" s="910" t="e">
        <f>VLOOKUP(H3316,'LƯƠNG KT'!$D$16:$AC$184,15,0)</f>
        <v>#N/A</v>
      </c>
      <c r="J3319" s="609" t="e">
        <f>I3319*$L$5</f>
        <v>#N/A</v>
      </c>
      <c r="K3319" s="935"/>
      <c r="L3319" s="935"/>
      <c r="M3319" s="935"/>
      <c r="N3319" s="935"/>
      <c r="O3319" s="935"/>
    </row>
    <row r="3320" spans="1:15" ht="15" customHeight="1">
      <c r="A3320" s="905" t="s">
        <v>367</v>
      </c>
      <c r="B3320" s="546"/>
      <c r="C3320" s="910" t="e">
        <f>VLOOKUP(B3316,'LƯƠNG KT'!$D$16:$AC$184,16,0)</f>
        <v>#N/A</v>
      </c>
      <c r="D3320" s="609" t="e">
        <f>+C3320*$L$6</f>
        <v>#N/A</v>
      </c>
      <c r="E3320" s="912"/>
      <c r="F3320" s="912"/>
      <c r="G3320" s="905" t="s">
        <v>367</v>
      </c>
      <c r="H3320" s="546"/>
      <c r="I3320" s="910" t="e">
        <f>VLOOKUP(H3316,'LƯƠNG KT'!$D$16:$AC$184,16,0)</f>
        <v>#N/A</v>
      </c>
      <c r="J3320" s="609" t="e">
        <f>+I3320*$L$6</f>
        <v>#N/A</v>
      </c>
      <c r="K3320" s="935"/>
      <c r="L3320" s="935"/>
      <c r="M3320" s="935"/>
      <c r="N3320" s="935"/>
      <c r="O3320" s="935"/>
    </row>
    <row r="3321" spans="1:15" ht="15" customHeight="1">
      <c r="A3321" s="905" t="s">
        <v>515</v>
      </c>
      <c r="B3321" s="546"/>
      <c r="C3321" s="910" t="e">
        <f>VLOOKUP(B3316,'LƯƠNG KT'!$D$16:$AC$184,17,0)</f>
        <v>#N/A</v>
      </c>
      <c r="D3321" s="609" t="e">
        <f>+C3321*$L$7</f>
        <v>#N/A</v>
      </c>
      <c r="E3321" s="912"/>
      <c r="F3321" s="912"/>
      <c r="G3321" s="905" t="s">
        <v>515</v>
      </c>
      <c r="H3321" s="546"/>
      <c r="I3321" s="910" t="e">
        <f>VLOOKUP(H3316,'LƯƠNG KT'!$D$16:$AC$184,17,0)</f>
        <v>#N/A</v>
      </c>
      <c r="J3321" s="609" t="e">
        <f>+I3321*$L$7</f>
        <v>#N/A</v>
      </c>
      <c r="K3321" s="935"/>
      <c r="L3321" s="935"/>
      <c r="M3321" s="935"/>
      <c r="N3321" s="935"/>
      <c r="O3321" s="935"/>
    </row>
    <row r="3322" spans="1:15" ht="15" customHeight="1">
      <c r="A3322" s="905" t="s">
        <v>519</v>
      </c>
      <c r="B3322" s="546"/>
      <c r="C3322" s="910" t="e">
        <f>VLOOKUP(B3316,'LƯƠNG KT'!$D$16:$AC$184,19,0)</f>
        <v>#N/A</v>
      </c>
      <c r="D3322" s="609" t="e">
        <f>C3322*20000</f>
        <v>#N/A</v>
      </c>
      <c r="E3322" s="912"/>
      <c r="F3322" s="912"/>
      <c r="G3322" s="905" t="s">
        <v>519</v>
      </c>
      <c r="H3322" s="546"/>
      <c r="I3322" s="910" t="e">
        <f>VLOOKUP(H3316,'LƯƠNG KT'!$D$16:$AC$184,19,0)</f>
        <v>#N/A</v>
      </c>
      <c r="J3322" s="609" t="e">
        <f>I3322*20000</f>
        <v>#N/A</v>
      </c>
      <c r="K3322" s="935"/>
      <c r="L3322" s="935"/>
      <c r="M3322" s="935"/>
      <c r="N3322" s="935"/>
      <c r="O3322" s="935"/>
    </row>
    <row r="3323" spans="1:15" ht="15" customHeight="1">
      <c r="A3323" s="905" t="s">
        <v>371</v>
      </c>
      <c r="B3323" s="546" t="s">
        <v>372</v>
      </c>
      <c r="C3323" s="910" t="e">
        <f>VLOOKUP(B3316,'LƯƠNG KT'!$D$16:$AC$184,9,0)*$L$10</f>
        <v>#N/A</v>
      </c>
      <c r="D3323" s="609" t="e">
        <f>+C3323*0.5*3000</f>
        <v>#N/A</v>
      </c>
      <c r="E3323" s="912"/>
      <c r="F3323" s="912"/>
      <c r="G3323" s="905" t="s">
        <v>371</v>
      </c>
      <c r="H3323" s="546" t="s">
        <v>372</v>
      </c>
      <c r="I3323" s="910" t="e">
        <f>VLOOKUP(H3316,'LƯƠNG KT'!$D$16:$AC$184,9,0)*$L$10</f>
        <v>#N/A</v>
      </c>
      <c r="J3323" s="609" t="e">
        <f>+I3323*0.5*3000</f>
        <v>#N/A</v>
      </c>
      <c r="K3323" s="935"/>
      <c r="L3323" s="935"/>
      <c r="M3323" s="935"/>
      <c r="N3323" s="935"/>
      <c r="O3323" s="935"/>
    </row>
    <row r="3324" spans="1:15" ht="15" customHeight="1">
      <c r="A3324" s="905" t="s">
        <v>374</v>
      </c>
      <c r="B3324" s="546" t="s">
        <v>375</v>
      </c>
      <c r="C3324" s="910" t="e">
        <f>VLOOKUP(B3316,'LƯƠNG KT'!$D$16:$AC$184,8,0)*$L$11</f>
        <v>#N/A</v>
      </c>
      <c r="D3324" s="609" t="e">
        <f>VLOOKUP(B3316,'LƯƠNG KT'!$D$16:$AC$184,13,0)-D3323</f>
        <v>#N/A</v>
      </c>
      <c r="E3324" s="914"/>
      <c r="F3324" s="912"/>
      <c r="G3324" s="905" t="s">
        <v>374</v>
      </c>
      <c r="H3324" s="546" t="s">
        <v>375</v>
      </c>
      <c r="I3324" s="910" t="e">
        <f>VLOOKUP(H3316,'LƯƠNG KT'!$D$16:$AC$184,8,0)*$L$11</f>
        <v>#N/A</v>
      </c>
      <c r="J3324" s="609" t="e">
        <f>VLOOKUP(H3316,'LƯƠNG KT'!$D$16:$AC$184,13,0)-J3323</f>
        <v>#N/A</v>
      </c>
      <c r="K3324" s="935"/>
      <c r="L3324" s="935"/>
      <c r="M3324" s="935"/>
      <c r="N3324" s="935"/>
      <c r="O3324" s="935"/>
    </row>
    <row r="3325" spans="1:15" ht="15" customHeight="1">
      <c r="A3325" s="609" t="s">
        <v>377</v>
      </c>
      <c r="B3325" s="546" t="s">
        <v>378</v>
      </c>
      <c r="C3325" s="910"/>
      <c r="D3325" s="609"/>
      <c r="E3325" s="916"/>
      <c r="F3325" s="916"/>
      <c r="G3325" s="609" t="s">
        <v>377</v>
      </c>
      <c r="H3325" s="546" t="s">
        <v>378</v>
      </c>
      <c r="I3325" s="910"/>
      <c r="J3325" s="609"/>
    </row>
    <row r="3326" spans="1:15" ht="15" customHeight="1">
      <c r="A3326" s="547" t="s">
        <v>379</v>
      </c>
      <c r="B3326" s="546" t="s">
        <v>380</v>
      </c>
      <c r="C3326" s="910"/>
      <c r="D3326" s="609"/>
      <c r="E3326" s="914"/>
      <c r="F3326" s="916"/>
      <c r="G3326" s="547" t="s">
        <v>379</v>
      </c>
      <c r="H3326" s="546" t="s">
        <v>380</v>
      </c>
      <c r="I3326" s="910"/>
      <c r="J3326" s="609"/>
    </row>
    <row r="3327" spans="1:15" ht="15" customHeight="1">
      <c r="A3327" s="918" t="s">
        <v>383</v>
      </c>
      <c r="B3327" s="919" t="s">
        <v>384</v>
      </c>
      <c r="C3327" s="920"/>
      <c r="D3327" s="921" t="e">
        <f>SUM(D3317:D3324)</f>
        <v>#N/A</v>
      </c>
      <c r="E3327" s="922"/>
      <c r="F3327" s="923"/>
      <c r="G3327" s="918" t="s">
        <v>383</v>
      </c>
      <c r="H3327" s="919" t="s">
        <v>384</v>
      </c>
      <c r="I3327" s="920"/>
      <c r="J3327" s="921" t="e">
        <f>SUM(J3317:J3324)</f>
        <v>#N/A</v>
      </c>
      <c r="K3327" s="940"/>
      <c r="L3327" s="940"/>
      <c r="M3327" s="940"/>
      <c r="N3327" s="940"/>
      <c r="O3327" s="940"/>
    </row>
    <row r="3328" spans="1:15" ht="18.75" customHeight="1">
      <c r="A3328" s="924"/>
      <c r="B3328" s="925"/>
      <c r="C3328" s="926"/>
      <c r="D3328" s="927"/>
      <c r="E3328" s="927"/>
      <c r="F3328" s="928"/>
      <c r="G3328" s="924"/>
      <c r="H3328" s="925"/>
      <c r="I3328" s="926"/>
      <c r="J3328" s="927"/>
    </row>
    <row r="3329" spans="1:15" ht="15" customHeight="1">
      <c r="A3329" s="2360" t="str">
        <f>$K$2</f>
        <v>THÁNG 09/2024</v>
      </c>
      <c r="B3329" s="2360"/>
      <c r="C3329" s="2360"/>
      <c r="D3329" s="2360"/>
      <c r="E3329" s="903"/>
      <c r="F3329" s="904"/>
      <c r="G3329" s="2360" t="str">
        <f>$K$2</f>
        <v>THÁNG 09/2024</v>
      </c>
      <c r="H3329" s="2360"/>
      <c r="I3329" s="2360"/>
      <c r="J3329" s="2360"/>
      <c r="K3329" s="276"/>
    </row>
    <row r="3330" spans="1:15" ht="15" customHeight="1">
      <c r="A3330" s="905" t="s">
        <v>356</v>
      </c>
      <c r="B3330" s="642" t="s">
        <v>343</v>
      </c>
      <c r="C3330" s="546"/>
      <c r="D3330" s="902"/>
      <c r="E3330" s="906"/>
      <c r="F3330" s="907"/>
      <c r="G3330" s="905" t="s">
        <v>356</v>
      </c>
      <c r="H3330" s="642" t="s">
        <v>344</v>
      </c>
      <c r="I3330" s="546"/>
      <c r="J3330" s="902"/>
      <c r="K3330" s="951"/>
      <c r="L3330" s="952"/>
      <c r="M3330" s="952"/>
      <c r="N3330" s="952"/>
      <c r="O3330" s="952"/>
    </row>
    <row r="3331" spans="1:15" ht="15" customHeight="1">
      <c r="A3331" s="905" t="s">
        <v>359</v>
      </c>
      <c r="B3331" s="939" t="s">
        <v>360</v>
      </c>
      <c r="C3331" s="910" t="e">
        <f>VLOOKUP(B3330,'LƯƠNG KT'!$D$16:$AC$184,3,0)</f>
        <v>#N/A</v>
      </c>
      <c r="D3331" s="609" t="e">
        <f>+C3331*25000</f>
        <v>#N/A</v>
      </c>
      <c r="E3331" s="911"/>
      <c r="F3331" s="911"/>
      <c r="G3331" s="905" t="s">
        <v>359</v>
      </c>
      <c r="H3331" s="939" t="s">
        <v>360</v>
      </c>
      <c r="I3331" s="910" t="e">
        <f>VLOOKUP(H3330,'LƯƠNG KT'!$D$16:$AC$184,3,0)</f>
        <v>#N/A</v>
      </c>
      <c r="J3331" s="609" t="e">
        <f>+I3331*25000</f>
        <v>#N/A</v>
      </c>
      <c r="K3331" s="951"/>
      <c r="L3331" s="951"/>
      <c r="M3331" s="951"/>
      <c r="N3331" s="951"/>
      <c r="O3331" s="951"/>
    </row>
    <row r="3332" spans="1:15" ht="15" customHeight="1">
      <c r="A3332" s="905" t="s">
        <v>361</v>
      </c>
      <c r="B3332" s="546" t="s">
        <v>362</v>
      </c>
      <c r="C3332" s="910" t="e">
        <f>VLOOKUP(B3330,'LƯƠNG KT'!$D$16:$AC$184,14,0)</f>
        <v>#N/A</v>
      </c>
      <c r="D3332" s="609" t="e">
        <f>C3332*$L$4</f>
        <v>#N/A</v>
      </c>
      <c r="E3332" s="912"/>
      <c r="F3332" s="912"/>
      <c r="G3332" s="905" t="s">
        <v>361</v>
      </c>
      <c r="H3332" s="546" t="s">
        <v>362</v>
      </c>
      <c r="I3332" s="910" t="e">
        <f>VLOOKUP(H3330,'LƯƠNG KT'!$D$16:$AC$184,14,0)</f>
        <v>#N/A</v>
      </c>
      <c r="J3332" s="609" t="e">
        <f>I3332*$L$4</f>
        <v>#N/A</v>
      </c>
      <c r="K3332" s="951"/>
      <c r="L3332" s="951"/>
      <c r="M3332" s="951"/>
      <c r="N3332" s="951"/>
      <c r="O3332" s="951"/>
    </row>
    <row r="3333" spans="1:15" ht="15" customHeight="1">
      <c r="A3333" s="905" t="s">
        <v>364</v>
      </c>
      <c r="B3333" s="546" t="s">
        <v>365</v>
      </c>
      <c r="C3333" s="910" t="e">
        <f>VLOOKUP(B3330,'LƯƠNG KT'!$D$16:$AC$184,15,0)</f>
        <v>#N/A</v>
      </c>
      <c r="D3333" s="609" t="e">
        <f>C3333*$L$5</f>
        <v>#N/A</v>
      </c>
      <c r="E3333" s="912"/>
      <c r="F3333" s="912"/>
      <c r="G3333" s="905" t="s">
        <v>364</v>
      </c>
      <c r="H3333" s="546" t="s">
        <v>365</v>
      </c>
      <c r="I3333" s="910" t="e">
        <f>VLOOKUP(H3330,'LƯƠNG KT'!$D$16:$AC$184,15,0)</f>
        <v>#N/A</v>
      </c>
      <c r="J3333" s="609" t="e">
        <f>I3333*$L$5</f>
        <v>#N/A</v>
      </c>
      <c r="K3333" s="951"/>
      <c r="L3333" s="951"/>
      <c r="M3333" s="951"/>
      <c r="N3333" s="951"/>
      <c r="O3333" s="951"/>
    </row>
    <row r="3334" spans="1:15" ht="15" customHeight="1">
      <c r="A3334" s="905" t="s">
        <v>367</v>
      </c>
      <c r="B3334" s="546"/>
      <c r="C3334" s="910" t="e">
        <f>VLOOKUP(B3330,'LƯƠNG KT'!$D$16:$AC$184,16,0)</f>
        <v>#N/A</v>
      </c>
      <c r="D3334" s="609" t="e">
        <f>+C3334*$L$6</f>
        <v>#N/A</v>
      </c>
      <c r="E3334" s="912"/>
      <c r="F3334" s="912"/>
      <c r="G3334" s="905" t="s">
        <v>367</v>
      </c>
      <c r="H3334" s="546"/>
      <c r="I3334" s="910" t="e">
        <f>VLOOKUP(H3330,'LƯƠNG KT'!$D$16:$AC$184,16,0)</f>
        <v>#N/A</v>
      </c>
      <c r="J3334" s="609" t="e">
        <f>+I3334*$L$6</f>
        <v>#N/A</v>
      </c>
      <c r="K3334" s="951"/>
      <c r="L3334" s="951"/>
      <c r="M3334" s="951"/>
      <c r="N3334" s="951"/>
      <c r="O3334" s="951"/>
    </row>
    <row r="3335" spans="1:15" ht="15" customHeight="1">
      <c r="A3335" s="905" t="s">
        <v>515</v>
      </c>
      <c r="B3335" s="546"/>
      <c r="C3335" s="910" t="e">
        <f>VLOOKUP(B3330,'LƯƠNG KT'!$D$16:$AC$184,17,0)</f>
        <v>#N/A</v>
      </c>
      <c r="D3335" s="609" t="e">
        <f>+C3335*$L$7</f>
        <v>#N/A</v>
      </c>
      <c r="E3335" s="912"/>
      <c r="F3335" s="912"/>
      <c r="G3335" s="905" t="s">
        <v>515</v>
      </c>
      <c r="H3335" s="546"/>
      <c r="I3335" s="910" t="e">
        <f>VLOOKUP(H3330,'LƯƠNG KT'!$D$16:$AC$184,17,0)</f>
        <v>#N/A</v>
      </c>
      <c r="J3335" s="609" t="e">
        <f>+I3335*$L$7</f>
        <v>#N/A</v>
      </c>
      <c r="K3335" s="951"/>
      <c r="L3335" s="951"/>
      <c r="M3335" s="951"/>
      <c r="N3335" s="951"/>
      <c r="O3335" s="951"/>
    </row>
    <row r="3336" spans="1:15" ht="15" customHeight="1">
      <c r="A3336" s="905" t="s">
        <v>519</v>
      </c>
      <c r="B3336" s="546"/>
      <c r="C3336" s="910" t="e">
        <f>VLOOKUP(B3330,'LƯƠNG KT'!$D$16:$AC$184,19,0)</f>
        <v>#N/A</v>
      </c>
      <c r="D3336" s="609" t="e">
        <f>C3336*20000</f>
        <v>#N/A</v>
      </c>
      <c r="E3336" s="912"/>
      <c r="F3336" s="912"/>
      <c r="G3336" s="905" t="s">
        <v>519</v>
      </c>
      <c r="H3336" s="546"/>
      <c r="I3336" s="910" t="e">
        <f>VLOOKUP(H3330,'LƯƠNG KT'!$D$16:$AC$184,19,0)</f>
        <v>#N/A</v>
      </c>
      <c r="J3336" s="609" t="e">
        <f>I3336*20000</f>
        <v>#N/A</v>
      </c>
      <c r="K3336" s="951"/>
      <c r="L3336" s="951"/>
      <c r="M3336" s="951"/>
      <c r="N3336" s="951"/>
      <c r="O3336" s="951"/>
    </row>
    <row r="3337" spans="1:15" ht="15" customHeight="1">
      <c r="A3337" s="905" t="s">
        <v>371</v>
      </c>
      <c r="B3337" s="546" t="s">
        <v>372</v>
      </c>
      <c r="C3337" s="910" t="e">
        <f>VLOOKUP(B3330,'LƯƠNG KT'!$D$16:$AC$184,9,0)*$L$10</f>
        <v>#N/A</v>
      </c>
      <c r="D3337" s="609" t="e">
        <f>+C3337*0.5*3000</f>
        <v>#N/A</v>
      </c>
      <c r="E3337" s="912"/>
      <c r="F3337" s="912"/>
      <c r="G3337" s="905" t="s">
        <v>371</v>
      </c>
      <c r="H3337" s="546" t="s">
        <v>372</v>
      </c>
      <c r="I3337" s="910" t="e">
        <f>VLOOKUP(H3330,'LƯƠNG KT'!$D$16:$AC$184,9,0)*$L$10</f>
        <v>#N/A</v>
      </c>
      <c r="J3337" s="609" t="e">
        <f>+I3337*0.5*3000</f>
        <v>#N/A</v>
      </c>
      <c r="K3337" s="951"/>
      <c r="L3337" s="951"/>
      <c r="M3337" s="951"/>
      <c r="N3337" s="951"/>
      <c r="O3337" s="951"/>
    </row>
    <row r="3338" spans="1:15" ht="15" customHeight="1">
      <c r="A3338" s="905" t="s">
        <v>374</v>
      </c>
      <c r="B3338" s="546" t="s">
        <v>375</v>
      </c>
      <c r="C3338" s="910" t="e">
        <f>VLOOKUP(B3330,'LƯƠNG KT'!$D$16:$AC$184,8,0)*$L$11</f>
        <v>#N/A</v>
      </c>
      <c r="D3338" s="609" t="e">
        <f>VLOOKUP(B3330,'LƯƠNG KT'!$D$16:$AC$184,13,0)-D3337</f>
        <v>#N/A</v>
      </c>
      <c r="E3338" s="914"/>
      <c r="F3338" s="912"/>
      <c r="G3338" s="905" t="s">
        <v>374</v>
      </c>
      <c r="H3338" s="546" t="s">
        <v>375</v>
      </c>
      <c r="I3338" s="910" t="e">
        <f>VLOOKUP(H3330,'LƯƠNG KT'!$D$16:$AC$184,8,0)*$L$11</f>
        <v>#N/A</v>
      </c>
      <c r="J3338" s="609" t="e">
        <f>VLOOKUP(H3330,'LƯƠNG KT'!$D$16:$AC$184,13,0)-J3337</f>
        <v>#N/A</v>
      </c>
      <c r="K3338" s="951"/>
      <c r="L3338" s="951"/>
      <c r="M3338" s="951"/>
      <c r="N3338" s="951"/>
      <c r="O3338" s="951"/>
    </row>
    <row r="3339" spans="1:15" ht="15" customHeight="1">
      <c r="A3339" s="609" t="s">
        <v>377</v>
      </c>
      <c r="B3339" s="546" t="s">
        <v>378</v>
      </c>
      <c r="C3339" s="910"/>
      <c r="D3339" s="609"/>
      <c r="E3339" s="916"/>
      <c r="F3339" s="916"/>
      <c r="G3339" s="609" t="s">
        <v>377</v>
      </c>
      <c r="H3339" s="546" t="s">
        <v>378</v>
      </c>
      <c r="I3339" s="910"/>
      <c r="J3339" s="609"/>
      <c r="K3339" s="951"/>
      <c r="L3339" s="951"/>
      <c r="M3339" s="951"/>
      <c r="N3339" s="951"/>
      <c r="O3339" s="951"/>
    </row>
    <row r="3340" spans="1:15" ht="15" customHeight="1">
      <c r="A3340" s="547" t="s">
        <v>379</v>
      </c>
      <c r="B3340" s="546" t="s">
        <v>380</v>
      </c>
      <c r="C3340" s="910"/>
      <c r="D3340" s="609"/>
      <c r="E3340" s="914"/>
      <c r="F3340" s="916"/>
      <c r="G3340" s="547" t="s">
        <v>379</v>
      </c>
      <c r="H3340" s="546" t="s">
        <v>380</v>
      </c>
      <c r="I3340" s="910"/>
      <c r="J3340" s="609"/>
      <c r="K3340" s="951"/>
      <c r="L3340" s="951"/>
      <c r="M3340" s="951"/>
      <c r="N3340" s="951"/>
      <c r="O3340" s="951"/>
    </row>
    <row r="3341" spans="1:15" ht="15" customHeight="1">
      <c r="A3341" s="918" t="s">
        <v>383</v>
      </c>
      <c r="B3341" s="919" t="s">
        <v>384</v>
      </c>
      <c r="C3341" s="920"/>
      <c r="D3341" s="921" t="e">
        <f>SUM(D3331:D3338)</f>
        <v>#N/A</v>
      </c>
      <c r="E3341" s="922"/>
      <c r="F3341" s="923"/>
      <c r="G3341" s="918" t="s">
        <v>383</v>
      </c>
      <c r="H3341" s="919" t="s">
        <v>384</v>
      </c>
      <c r="I3341" s="920"/>
      <c r="J3341" s="921" t="e">
        <f>SUM(J3331:J3338)</f>
        <v>#N/A</v>
      </c>
    </row>
    <row r="3342" spans="1:15" ht="15.75" customHeight="1">
      <c r="A3342" s="924"/>
      <c r="B3342" s="925"/>
      <c r="C3342" s="926"/>
      <c r="D3342" s="927"/>
      <c r="E3342" s="927"/>
      <c r="F3342" s="928"/>
      <c r="G3342" s="924"/>
      <c r="H3342" s="925"/>
      <c r="I3342" s="926"/>
      <c r="J3342" s="927"/>
    </row>
    <row r="3343" spans="1:15" ht="12" customHeight="1">
      <c r="A3343" s="2361"/>
      <c r="B3343" s="2361"/>
      <c r="C3343" s="2361"/>
      <c r="D3343" s="2361"/>
      <c r="E3343" s="2361"/>
      <c r="F3343" s="2361"/>
      <c r="G3343" s="2361"/>
      <c r="H3343" s="2361"/>
      <c r="I3343" s="2361"/>
      <c r="J3343" s="2361"/>
    </row>
    <row r="3344" spans="1:15" ht="15" customHeight="1">
      <c r="A3344" s="2360" t="str">
        <f>$K$2</f>
        <v>THÁNG 09/2024</v>
      </c>
      <c r="B3344" s="2360"/>
      <c r="C3344" s="2360"/>
      <c r="D3344" s="2360"/>
      <c r="E3344" s="903"/>
      <c r="F3344" s="904"/>
      <c r="G3344" s="2360" t="str">
        <f>$K$2</f>
        <v>THÁNG 09/2024</v>
      </c>
      <c r="H3344" s="2360"/>
      <c r="I3344" s="2360"/>
      <c r="J3344" s="2360"/>
      <c r="K3344" s="276"/>
    </row>
    <row r="3345" spans="1:15" ht="15" customHeight="1">
      <c r="A3345" s="905" t="s">
        <v>356</v>
      </c>
      <c r="B3345" s="642" t="s">
        <v>345</v>
      </c>
      <c r="C3345" s="546"/>
      <c r="D3345" s="902"/>
      <c r="E3345" s="906"/>
      <c r="F3345" s="907"/>
      <c r="G3345" s="905" t="s">
        <v>356</v>
      </c>
      <c r="H3345" s="642" t="s">
        <v>346</v>
      </c>
      <c r="I3345" s="546"/>
      <c r="J3345" s="902"/>
      <c r="L3345" s="938"/>
      <c r="M3345" s="938"/>
      <c r="N3345" s="938"/>
      <c r="O3345" s="938"/>
    </row>
    <row r="3346" spans="1:15" ht="15" customHeight="1">
      <c r="A3346" s="905" t="s">
        <v>359</v>
      </c>
      <c r="B3346" s="939" t="s">
        <v>360</v>
      </c>
      <c r="C3346" s="910" t="e">
        <f>VLOOKUP(B3345,'LƯƠNG KT'!$D$16:$AC$184,3,0)</f>
        <v>#N/A</v>
      </c>
      <c r="D3346" s="609" t="e">
        <f>+C3346*25000</f>
        <v>#N/A</v>
      </c>
      <c r="E3346" s="911"/>
      <c r="F3346" s="911"/>
      <c r="G3346" s="905" t="s">
        <v>359</v>
      </c>
      <c r="H3346" s="939" t="s">
        <v>360</v>
      </c>
      <c r="I3346" s="910" t="e">
        <f>VLOOKUP(H3345,'LƯƠNG KT'!$D$16:$AC$184,3,0)</f>
        <v>#N/A</v>
      </c>
      <c r="J3346" s="609" t="e">
        <f>+I3346*25000</f>
        <v>#N/A</v>
      </c>
      <c r="K3346" s="934"/>
      <c r="L3346" s="935"/>
      <c r="M3346" s="935"/>
      <c r="N3346" s="935"/>
      <c r="O3346" s="935"/>
    </row>
    <row r="3347" spans="1:15" ht="15" customHeight="1">
      <c r="A3347" s="905" t="s">
        <v>361</v>
      </c>
      <c r="B3347" s="546" t="s">
        <v>362</v>
      </c>
      <c r="C3347" s="910" t="e">
        <f>VLOOKUP(B3345,'LƯƠNG KT'!$D$16:$AC$184,14,0)</f>
        <v>#N/A</v>
      </c>
      <c r="D3347" s="609" t="e">
        <f>C3347*$L$4</f>
        <v>#N/A</v>
      </c>
      <c r="E3347" s="912"/>
      <c r="F3347" s="912"/>
      <c r="G3347" s="905" t="s">
        <v>361</v>
      </c>
      <c r="H3347" s="546" t="s">
        <v>362</v>
      </c>
      <c r="I3347" s="910" t="e">
        <f>VLOOKUP(H3345,'LƯƠNG KT'!$D$16:$AC$184,14,0)</f>
        <v>#N/A</v>
      </c>
      <c r="J3347" s="609" t="e">
        <f>I3347*$L$4</f>
        <v>#N/A</v>
      </c>
      <c r="K3347" s="934"/>
      <c r="L3347" s="935"/>
      <c r="M3347" s="935"/>
      <c r="N3347" s="935"/>
      <c r="O3347" s="935"/>
    </row>
    <row r="3348" spans="1:15" ht="15" customHeight="1">
      <c r="A3348" s="905" t="s">
        <v>364</v>
      </c>
      <c r="B3348" s="546" t="s">
        <v>365</v>
      </c>
      <c r="C3348" s="910" t="e">
        <f>VLOOKUP(B3345,'LƯƠNG KT'!$D$16:$AC$184,15,0)</f>
        <v>#N/A</v>
      </c>
      <c r="D3348" s="609" t="e">
        <f>C3348*$L$5</f>
        <v>#N/A</v>
      </c>
      <c r="E3348" s="912"/>
      <c r="F3348" s="912"/>
      <c r="G3348" s="905" t="s">
        <v>364</v>
      </c>
      <c r="H3348" s="546" t="s">
        <v>365</v>
      </c>
      <c r="I3348" s="910" t="e">
        <f>VLOOKUP(H3345,'LƯƠNG KT'!$D$16:$AC$184,15,0)</f>
        <v>#N/A</v>
      </c>
      <c r="J3348" s="609" t="e">
        <f>I3348*$L$5</f>
        <v>#N/A</v>
      </c>
      <c r="K3348" s="934"/>
      <c r="L3348" s="935"/>
      <c r="M3348" s="935"/>
      <c r="N3348" s="935"/>
      <c r="O3348" s="935"/>
    </row>
    <row r="3349" spans="1:15" ht="15" customHeight="1">
      <c r="A3349" s="905" t="s">
        <v>367</v>
      </c>
      <c r="B3349" s="546"/>
      <c r="C3349" s="910" t="e">
        <f>VLOOKUP(B3345,'LƯƠNG KT'!$D$16:$AC$184,16,0)</f>
        <v>#N/A</v>
      </c>
      <c r="D3349" s="609" t="e">
        <f>+C3349*$L$6</f>
        <v>#N/A</v>
      </c>
      <c r="E3349" s="912"/>
      <c r="F3349" s="912"/>
      <c r="G3349" s="905" t="s">
        <v>367</v>
      </c>
      <c r="H3349" s="546"/>
      <c r="I3349" s="910" t="e">
        <f>VLOOKUP(H3345,'LƯƠNG KT'!$D$16:$AC$184,16,0)</f>
        <v>#N/A</v>
      </c>
      <c r="J3349" s="609" t="e">
        <f>+I3349*$L$6</f>
        <v>#N/A</v>
      </c>
      <c r="K3349" s="934"/>
      <c r="L3349" s="935"/>
      <c r="M3349" s="935"/>
      <c r="N3349" s="935"/>
      <c r="O3349" s="935"/>
    </row>
    <row r="3350" spans="1:15" ht="15" customHeight="1">
      <c r="A3350" s="905" t="s">
        <v>515</v>
      </c>
      <c r="B3350" s="546"/>
      <c r="C3350" s="910" t="e">
        <f>VLOOKUP(B3345,'LƯƠNG KT'!$D$16:$AC$184,17,0)</f>
        <v>#N/A</v>
      </c>
      <c r="D3350" s="609" t="e">
        <f>+C3350*$L$7</f>
        <v>#N/A</v>
      </c>
      <c r="E3350" s="912"/>
      <c r="F3350" s="912"/>
      <c r="G3350" s="905" t="s">
        <v>515</v>
      </c>
      <c r="H3350" s="546"/>
      <c r="I3350" s="910" t="e">
        <f>VLOOKUP(H3345,'LƯƠNG KT'!$D$16:$AC$184,17,0)</f>
        <v>#N/A</v>
      </c>
      <c r="J3350" s="609" t="e">
        <f>+I3350*$L$7</f>
        <v>#N/A</v>
      </c>
      <c r="K3350" s="935"/>
      <c r="L3350" s="935"/>
      <c r="M3350" s="935"/>
      <c r="N3350" s="935"/>
      <c r="O3350" s="935"/>
    </row>
    <row r="3351" spans="1:15" ht="15" customHeight="1">
      <c r="A3351" s="905" t="s">
        <v>519</v>
      </c>
      <c r="B3351" s="546"/>
      <c r="C3351" s="910" t="e">
        <f>VLOOKUP(B3345,'LƯƠNG KT'!$D$16:$AC$184,19,0)</f>
        <v>#N/A</v>
      </c>
      <c r="D3351" s="609" t="e">
        <f>C3351*20000</f>
        <v>#N/A</v>
      </c>
      <c r="E3351" s="912"/>
      <c r="F3351" s="912"/>
      <c r="G3351" s="905" t="s">
        <v>519</v>
      </c>
      <c r="H3351" s="546"/>
      <c r="I3351" s="910" t="e">
        <f>VLOOKUP(H3345,'LƯƠNG KT'!$D$16:$AC$184,19,0)</f>
        <v>#N/A</v>
      </c>
      <c r="J3351" s="609" t="e">
        <f>I3351*20000</f>
        <v>#N/A</v>
      </c>
      <c r="K3351" s="935"/>
      <c r="L3351" s="935"/>
      <c r="M3351" s="935"/>
      <c r="N3351" s="935"/>
      <c r="O3351" s="935"/>
    </row>
    <row r="3352" spans="1:15" ht="15" customHeight="1">
      <c r="A3352" s="905" t="s">
        <v>371</v>
      </c>
      <c r="B3352" s="546" t="s">
        <v>372</v>
      </c>
      <c r="C3352" s="910" t="e">
        <f>VLOOKUP(B3345,'LƯƠNG KT'!$D$16:$AC$184,9,0)*$L$10</f>
        <v>#N/A</v>
      </c>
      <c r="D3352" s="609" t="e">
        <f>+C3352*0.5*3000</f>
        <v>#N/A</v>
      </c>
      <c r="E3352" s="912"/>
      <c r="F3352" s="912"/>
      <c r="G3352" s="905" t="s">
        <v>371</v>
      </c>
      <c r="H3352" s="546" t="s">
        <v>372</v>
      </c>
      <c r="I3352" s="910" t="e">
        <f>VLOOKUP(H3345,'LƯƠNG KT'!$D$16:$AC$184,9,0)*$L$10</f>
        <v>#N/A</v>
      </c>
      <c r="J3352" s="609" t="e">
        <f>+I3352*0.5*3000</f>
        <v>#N/A</v>
      </c>
      <c r="K3352" s="935"/>
      <c r="L3352" s="935"/>
      <c r="M3352" s="935"/>
      <c r="N3352" s="935"/>
      <c r="O3352" s="935"/>
    </row>
    <row r="3353" spans="1:15" ht="15" customHeight="1">
      <c r="A3353" s="905" t="s">
        <v>374</v>
      </c>
      <c r="B3353" s="546" t="s">
        <v>375</v>
      </c>
      <c r="C3353" s="910" t="e">
        <f>VLOOKUP(B3345,'LƯƠNG KT'!$D$16:$AC$184,8,0)*$L$11</f>
        <v>#N/A</v>
      </c>
      <c r="D3353" s="609" t="e">
        <f>VLOOKUP(B3345,'LƯƠNG KT'!$D$16:$AC$184,13,0)-D3352</f>
        <v>#N/A</v>
      </c>
      <c r="E3353" s="914"/>
      <c r="F3353" s="912"/>
      <c r="G3353" s="905" t="s">
        <v>374</v>
      </c>
      <c r="H3353" s="546" t="s">
        <v>375</v>
      </c>
      <c r="I3353" s="910" t="e">
        <f>VLOOKUP(H3345,'LƯƠNG KT'!$D$16:$AC$184,8,0)*$L$11</f>
        <v>#N/A</v>
      </c>
      <c r="J3353" s="609" t="e">
        <f>VLOOKUP(H3345,'LƯƠNG KT'!$D$16:$AC$184,13,0)-J3352</f>
        <v>#N/A</v>
      </c>
      <c r="K3353" s="935"/>
      <c r="L3353" s="935"/>
      <c r="M3353" s="935"/>
      <c r="N3353" s="935"/>
      <c r="O3353" s="935"/>
    </row>
    <row r="3354" spans="1:15" ht="15" customHeight="1">
      <c r="A3354" s="609" t="s">
        <v>377</v>
      </c>
      <c r="B3354" s="546" t="s">
        <v>378</v>
      </c>
      <c r="C3354" s="910"/>
      <c r="D3354" s="609"/>
      <c r="E3354" s="916"/>
      <c r="F3354" s="916"/>
      <c r="G3354" s="609" t="s">
        <v>377</v>
      </c>
      <c r="H3354" s="546" t="s">
        <v>378</v>
      </c>
      <c r="I3354" s="910"/>
      <c r="J3354" s="609"/>
    </row>
    <row r="3355" spans="1:15" ht="15" customHeight="1">
      <c r="A3355" s="547" t="s">
        <v>379</v>
      </c>
      <c r="B3355" s="546" t="s">
        <v>380</v>
      </c>
      <c r="C3355" s="910"/>
      <c r="D3355" s="609"/>
      <c r="E3355" s="914"/>
      <c r="F3355" s="916"/>
      <c r="G3355" s="547" t="s">
        <v>379</v>
      </c>
      <c r="H3355" s="546" t="s">
        <v>380</v>
      </c>
      <c r="I3355" s="910"/>
      <c r="J3355" s="609"/>
    </row>
    <row r="3356" spans="1:15" ht="15" customHeight="1">
      <c r="A3356" s="918" t="s">
        <v>383</v>
      </c>
      <c r="B3356" s="919" t="s">
        <v>384</v>
      </c>
      <c r="C3356" s="920"/>
      <c r="D3356" s="921" t="e">
        <f>SUM(D3346:D3353)</f>
        <v>#N/A</v>
      </c>
      <c r="E3356" s="922"/>
      <c r="F3356" s="923"/>
      <c r="G3356" s="918" t="s">
        <v>383</v>
      </c>
      <c r="H3356" s="919" t="s">
        <v>384</v>
      </c>
      <c r="I3356" s="920"/>
      <c r="J3356" s="921" t="e">
        <f>SUM(J3346:J3353)</f>
        <v>#N/A</v>
      </c>
    </row>
    <row r="3357" spans="1:15" ht="12.6" customHeight="1">
      <c r="A3357" s="924"/>
      <c r="B3357" s="925"/>
      <c r="C3357" s="926"/>
      <c r="D3357" s="927"/>
      <c r="E3357" s="927"/>
      <c r="F3357" s="928"/>
      <c r="G3357" s="924"/>
      <c r="H3357" s="925"/>
      <c r="I3357" s="926"/>
      <c r="J3357" s="927"/>
    </row>
    <row r="3358" spans="1:15" ht="12.6" customHeight="1">
      <c r="A3358" s="925"/>
      <c r="B3358" s="925"/>
      <c r="C3358" s="929"/>
      <c r="D3358" s="930"/>
      <c r="E3358" s="925"/>
      <c r="F3358" s="931"/>
      <c r="G3358" s="925"/>
      <c r="H3358" s="925"/>
      <c r="I3358" s="929"/>
      <c r="J3358" s="930"/>
    </row>
    <row r="3359" spans="1:15" ht="15" customHeight="1">
      <c r="A3359" s="2360"/>
      <c r="B3359" s="2360"/>
      <c r="C3359" s="2360"/>
      <c r="D3359" s="2360"/>
      <c r="E3359" s="903"/>
      <c r="F3359" s="904"/>
      <c r="G3359" s="2360"/>
      <c r="H3359" s="2360"/>
      <c r="I3359" s="2360"/>
      <c r="J3359" s="2360"/>
      <c r="K3359" s="276"/>
    </row>
    <row r="3360" spans="1:15" ht="15" customHeight="1">
      <c r="A3360" s="2360" t="str">
        <f>$K$2</f>
        <v>THÁNG 09/2024</v>
      </c>
      <c r="B3360" s="2360"/>
      <c r="C3360" s="2360"/>
      <c r="D3360" s="2360"/>
      <c r="E3360" s="906"/>
      <c r="F3360" s="907"/>
      <c r="G3360" s="2360" t="str">
        <f>$K$2</f>
        <v>THÁNG 09/2024</v>
      </c>
      <c r="H3360" s="2360"/>
      <c r="I3360" s="2360"/>
      <c r="J3360" s="2360"/>
      <c r="L3360" s="938"/>
      <c r="M3360" s="938"/>
      <c r="N3360" s="938"/>
      <c r="O3360" s="938"/>
    </row>
    <row r="3361" spans="1:15" ht="15" customHeight="1">
      <c r="A3361" s="905" t="s">
        <v>356</v>
      </c>
      <c r="B3361" s="642" t="s">
        <v>526</v>
      </c>
      <c r="C3361" s="546"/>
      <c r="D3361" s="902"/>
      <c r="E3361" s="911"/>
      <c r="F3361" s="911"/>
      <c r="G3361" s="905" t="s">
        <v>356</v>
      </c>
      <c r="H3361" s="642" t="s">
        <v>527</v>
      </c>
      <c r="I3361" s="546"/>
      <c r="J3361" s="902"/>
      <c r="K3361" s="935"/>
      <c r="L3361" s="935"/>
      <c r="M3361" s="935"/>
      <c r="N3361" s="935"/>
      <c r="O3361" s="935"/>
    </row>
    <row r="3362" spans="1:15" ht="15" customHeight="1">
      <c r="A3362" s="905" t="s">
        <v>359</v>
      </c>
      <c r="B3362" s="939" t="s">
        <v>360</v>
      </c>
      <c r="C3362" s="910" t="e">
        <f>VLOOKUP(B3361,'LƯƠNG KT'!$D$16:$AC$184,3,0)</f>
        <v>#N/A</v>
      </c>
      <c r="D3362" s="609" t="e">
        <f>+C3362*25000</f>
        <v>#N/A</v>
      </c>
      <c r="E3362" s="911"/>
      <c r="F3362" s="911"/>
      <c r="G3362" s="905" t="s">
        <v>359</v>
      </c>
      <c r="H3362" s="939" t="s">
        <v>360</v>
      </c>
      <c r="I3362" s="910">
        <f>VLOOKUP(H3361,'LƯƠNG KT'!$D$16:$AC$184,3,0)</f>
        <v>0</v>
      </c>
      <c r="J3362" s="609">
        <f>+I3362*25000</f>
        <v>0</v>
      </c>
      <c r="K3362" s="935"/>
      <c r="L3362" s="935"/>
      <c r="M3362" s="935"/>
      <c r="N3362" s="935"/>
      <c r="O3362" s="935"/>
    </row>
    <row r="3363" spans="1:15" ht="15" customHeight="1">
      <c r="A3363" s="905" t="s">
        <v>361</v>
      </c>
      <c r="B3363" s="546" t="s">
        <v>362</v>
      </c>
      <c r="C3363" s="910" t="e">
        <f>VLOOKUP(B3361,'LƯƠNG KT'!$D$16:$AC$184,14,0)</f>
        <v>#N/A</v>
      </c>
      <c r="D3363" s="609" t="e">
        <f>C3363*$L$4</f>
        <v>#N/A</v>
      </c>
      <c r="E3363" s="912"/>
      <c r="F3363" s="912"/>
      <c r="G3363" s="905" t="s">
        <v>361</v>
      </c>
      <c r="H3363" s="546" t="s">
        <v>362</v>
      </c>
      <c r="I3363" s="910">
        <f>VLOOKUP(H3361,'LƯƠNG KT'!$D$16:$AC$184,14,0)</f>
        <v>0</v>
      </c>
      <c r="J3363" s="609">
        <f>I3363*$L$4</f>
        <v>0</v>
      </c>
      <c r="K3363" s="935"/>
      <c r="L3363" s="935"/>
      <c r="M3363" s="935"/>
      <c r="N3363" s="935"/>
      <c r="O3363" s="935"/>
    </row>
    <row r="3364" spans="1:15" ht="15" customHeight="1">
      <c r="A3364" s="905" t="s">
        <v>364</v>
      </c>
      <c r="B3364" s="546" t="s">
        <v>365</v>
      </c>
      <c r="C3364" s="910" t="e">
        <f>VLOOKUP(B3361,'LƯƠNG KT'!$D$16:$AC$184,15,0)</f>
        <v>#N/A</v>
      </c>
      <c r="D3364" s="609" t="e">
        <f>C3364*$L$5</f>
        <v>#N/A</v>
      </c>
      <c r="E3364" s="912"/>
      <c r="F3364" s="912"/>
      <c r="G3364" s="905" t="s">
        <v>364</v>
      </c>
      <c r="H3364" s="546" t="s">
        <v>365</v>
      </c>
      <c r="I3364" s="910">
        <f>VLOOKUP(H3361,'LƯƠNG KT'!$D$16:$AC$184,15,0)</f>
        <v>0</v>
      </c>
      <c r="J3364" s="609">
        <f>I3364*$L$5</f>
        <v>0</v>
      </c>
      <c r="K3364" s="935"/>
      <c r="L3364" s="935"/>
      <c r="M3364" s="935"/>
      <c r="N3364" s="935"/>
      <c r="O3364" s="935"/>
    </row>
    <row r="3365" spans="1:15" ht="15" customHeight="1">
      <c r="A3365" s="905" t="s">
        <v>367</v>
      </c>
      <c r="B3365" s="546"/>
      <c r="C3365" s="910" t="e">
        <f>VLOOKUP(B3361,'LƯƠNG KT'!$D$16:$AC$184,16,0)</f>
        <v>#N/A</v>
      </c>
      <c r="D3365" s="609" t="e">
        <f>+C3365*$L$6</f>
        <v>#N/A</v>
      </c>
      <c r="E3365" s="912"/>
      <c r="F3365" s="912"/>
      <c r="G3365" s="905" t="s">
        <v>367</v>
      </c>
      <c r="H3365" s="546"/>
      <c r="I3365" s="910">
        <f>VLOOKUP(H3361,'LƯƠNG KT'!$D$16:$AC$184,16,0)</f>
        <v>0</v>
      </c>
      <c r="J3365" s="609">
        <f>+I3365*$L$6</f>
        <v>0</v>
      </c>
      <c r="K3365" s="935"/>
      <c r="L3365" s="935"/>
      <c r="M3365" s="935"/>
      <c r="N3365" s="935"/>
      <c r="O3365" s="935"/>
    </row>
    <row r="3366" spans="1:15" ht="15" customHeight="1">
      <c r="A3366" s="905" t="s">
        <v>515</v>
      </c>
      <c r="B3366" s="546"/>
      <c r="C3366" s="910" t="e">
        <f>VLOOKUP(B3361,'LƯƠNG KT'!$D$16:$AC$184,17,0)</f>
        <v>#N/A</v>
      </c>
      <c r="D3366" s="609" t="e">
        <f>+C3366*$L$7</f>
        <v>#N/A</v>
      </c>
      <c r="E3366" s="912"/>
      <c r="F3366" s="912"/>
      <c r="G3366" s="905" t="s">
        <v>515</v>
      </c>
      <c r="H3366" s="546"/>
      <c r="I3366" s="910">
        <f>VLOOKUP(H3361,'LƯƠNG KT'!$D$16:$AC$184,17,0)</f>
        <v>0</v>
      </c>
      <c r="J3366" s="609">
        <f>+I3366*$L$7</f>
        <v>0</v>
      </c>
      <c r="K3366" s="935"/>
      <c r="L3366" s="935"/>
      <c r="M3366" s="935"/>
      <c r="N3366" s="935"/>
      <c r="O3366" s="935"/>
    </row>
    <row r="3367" spans="1:15" ht="15" customHeight="1">
      <c r="A3367" s="905" t="s">
        <v>519</v>
      </c>
      <c r="B3367" s="546"/>
      <c r="C3367" s="910"/>
      <c r="D3367" s="609" t="e">
        <f>VLOOKUP(B3361,'LƯƠNG KT'!$D$16:$AC$184,18,0)</f>
        <v>#N/A</v>
      </c>
      <c r="E3367" s="912"/>
      <c r="F3367" s="912"/>
      <c r="G3367" s="905" t="s">
        <v>519</v>
      </c>
      <c r="H3367" s="546"/>
      <c r="I3367" s="910"/>
      <c r="J3367" s="609">
        <f>VLOOKUP(H3361,'LƯƠNG KT'!$D$16:$AC$184,18,0)</f>
        <v>0</v>
      </c>
      <c r="K3367" s="935"/>
      <c r="L3367" s="935"/>
      <c r="M3367" s="935"/>
      <c r="N3367" s="935"/>
      <c r="O3367" s="935"/>
    </row>
    <row r="3368" spans="1:15" ht="15" customHeight="1">
      <c r="A3368" s="905" t="s">
        <v>371</v>
      </c>
      <c r="B3368" s="546" t="s">
        <v>372</v>
      </c>
      <c r="C3368" s="910" t="e">
        <f>VLOOKUP(B3361,'LƯƠNG KT'!$D$16:$AC$184,9,0)*$L$10</f>
        <v>#N/A</v>
      </c>
      <c r="D3368" s="609" t="e">
        <f>+C3368*0.5*3000</f>
        <v>#N/A</v>
      </c>
      <c r="E3368" s="912"/>
      <c r="F3368" s="912"/>
      <c r="G3368" s="905" t="s">
        <v>371</v>
      </c>
      <c r="H3368" s="546" t="s">
        <v>372</v>
      </c>
      <c r="I3368" s="910">
        <f>VLOOKUP(H3361,'LƯƠNG KT'!$D$16:$AC$184,9,0)*$L$10</f>
        <v>0</v>
      </c>
      <c r="J3368" s="609">
        <f>+I3368*0.5*3000</f>
        <v>0</v>
      </c>
      <c r="K3368" s="935"/>
      <c r="L3368" s="935"/>
      <c r="M3368" s="935"/>
      <c r="N3368" s="935"/>
      <c r="O3368" s="935"/>
    </row>
    <row r="3369" spans="1:15" ht="15" customHeight="1">
      <c r="A3369" s="905" t="s">
        <v>374</v>
      </c>
      <c r="B3369" s="546" t="s">
        <v>375</v>
      </c>
      <c r="C3369" s="910" t="e">
        <f>VLOOKUP(B3361,'LƯƠNG KT'!$D$16:$AC$184,8,0)*$L$11</f>
        <v>#N/A</v>
      </c>
      <c r="D3369" s="609" t="e">
        <f>VLOOKUP(B3361,'LƯƠNG KT'!$D$16:$AC$184,13,0)-D3368</f>
        <v>#N/A</v>
      </c>
      <c r="E3369" s="914"/>
      <c r="F3369" s="912"/>
      <c r="G3369" s="905" t="s">
        <v>374</v>
      </c>
      <c r="H3369" s="546" t="s">
        <v>375</v>
      </c>
      <c r="I3369" s="910">
        <f>VLOOKUP(H3361,'LƯƠNG KT'!$D$16:$AC$184,8,0)*$L$11</f>
        <v>0</v>
      </c>
      <c r="J3369" s="609">
        <f>VLOOKUP(H3361,'LƯƠNG KT'!$D$16:$AC$184,13,0)-J3368</f>
        <v>0</v>
      </c>
    </row>
    <row r="3370" spans="1:15" ht="15" customHeight="1">
      <c r="A3370" s="609" t="s">
        <v>377</v>
      </c>
      <c r="B3370" s="546" t="s">
        <v>378</v>
      </c>
      <c r="C3370" s="910"/>
      <c r="D3370" s="609"/>
      <c r="E3370" s="916"/>
      <c r="F3370" s="916"/>
      <c r="G3370" s="609" t="s">
        <v>377</v>
      </c>
      <c r="H3370" s="546" t="s">
        <v>378</v>
      </c>
      <c r="I3370" s="910"/>
      <c r="J3370" s="609"/>
    </row>
    <row r="3371" spans="1:15" ht="15" customHeight="1">
      <c r="A3371" s="547" t="s">
        <v>379</v>
      </c>
      <c r="B3371" s="546" t="s">
        <v>380</v>
      </c>
      <c r="C3371" s="910"/>
      <c r="D3371" s="609"/>
      <c r="E3371" s="914"/>
      <c r="F3371" s="916"/>
      <c r="G3371" s="547" t="s">
        <v>379</v>
      </c>
      <c r="H3371" s="546" t="s">
        <v>380</v>
      </c>
      <c r="I3371" s="910"/>
      <c r="J3371" s="609"/>
    </row>
    <row r="3372" spans="1:15" ht="18.75" customHeight="1">
      <c r="A3372" s="918" t="s">
        <v>383</v>
      </c>
      <c r="B3372" s="919" t="s">
        <v>384</v>
      </c>
      <c r="C3372" s="920"/>
      <c r="D3372" s="921"/>
      <c r="E3372" s="922"/>
      <c r="F3372" s="923"/>
      <c r="G3372" s="918" t="s">
        <v>383</v>
      </c>
      <c r="H3372" s="919" t="s">
        <v>384</v>
      </c>
      <c r="I3372" s="920"/>
      <c r="J3372" s="921"/>
    </row>
    <row r="3373" spans="1:15" ht="18.75" customHeight="1">
      <c r="A3373" s="925"/>
      <c r="B3373" s="925"/>
      <c r="C3373" s="929"/>
      <c r="D3373" s="930"/>
      <c r="E3373" s="925"/>
      <c r="F3373" s="931"/>
      <c r="G3373" s="925"/>
      <c r="H3373" s="925"/>
      <c r="I3373" s="929"/>
      <c r="J3373" s="930"/>
    </row>
    <row r="3374" spans="1:15" ht="15" customHeight="1">
      <c r="A3374" s="2360"/>
      <c r="B3374" s="2360"/>
      <c r="C3374" s="2360"/>
      <c r="D3374" s="2360"/>
      <c r="E3374" s="903"/>
      <c r="F3374" s="904"/>
      <c r="G3374" s="2360"/>
      <c r="H3374" s="2360"/>
      <c r="I3374" s="2360"/>
      <c r="J3374" s="2360"/>
      <c r="K3374" s="276"/>
    </row>
    <row r="3375" spans="1:15" ht="15" customHeight="1">
      <c r="A3375" s="905"/>
      <c r="B3375" s="642"/>
      <c r="C3375" s="546"/>
      <c r="D3375" s="902"/>
      <c r="E3375" s="906"/>
      <c r="F3375" s="907"/>
      <c r="G3375" s="905"/>
      <c r="H3375" s="642"/>
      <c r="I3375" s="546"/>
      <c r="J3375" s="902"/>
      <c r="L3375" s="938"/>
      <c r="M3375" s="938"/>
      <c r="N3375" s="938"/>
      <c r="O3375" s="938"/>
    </row>
    <row r="3376" spans="1:15" ht="15" customHeight="1">
      <c r="A3376" s="905"/>
      <c r="B3376" s="939"/>
      <c r="C3376" s="910"/>
      <c r="D3376" s="609"/>
      <c r="E3376" s="911"/>
      <c r="F3376" s="911"/>
      <c r="G3376" s="905"/>
      <c r="H3376" s="939"/>
      <c r="I3376" s="910"/>
      <c r="J3376" s="609"/>
      <c r="K3376" s="935"/>
      <c r="L3376" s="935"/>
      <c r="M3376" s="935"/>
      <c r="N3376" s="935"/>
      <c r="O3376" s="935"/>
    </row>
    <row r="3377" spans="1:15" ht="15" customHeight="1">
      <c r="A3377" s="905"/>
      <c r="B3377" s="546"/>
      <c r="C3377" s="910"/>
      <c r="D3377" s="609"/>
      <c r="E3377" s="912"/>
      <c r="F3377" s="912"/>
      <c r="G3377" s="905"/>
      <c r="H3377" s="546"/>
      <c r="I3377" s="910"/>
      <c r="J3377" s="609"/>
      <c r="K3377" s="935"/>
      <c r="L3377" s="935"/>
      <c r="M3377" s="935"/>
      <c r="N3377" s="935"/>
      <c r="O3377" s="935"/>
    </row>
    <row r="3378" spans="1:15" ht="15" customHeight="1">
      <c r="A3378" s="905"/>
      <c r="B3378" s="546"/>
      <c r="C3378" s="910"/>
      <c r="D3378" s="609"/>
      <c r="E3378" s="912"/>
      <c r="F3378" s="912"/>
      <c r="G3378" s="905"/>
      <c r="H3378" s="546"/>
      <c r="I3378" s="910"/>
      <c r="J3378" s="609"/>
      <c r="K3378" s="935"/>
      <c r="L3378" s="935"/>
      <c r="M3378" s="935"/>
      <c r="N3378" s="935"/>
      <c r="O3378" s="935"/>
    </row>
    <row r="3379" spans="1:15" ht="15" customHeight="1">
      <c r="A3379" s="905"/>
      <c r="B3379" s="546"/>
      <c r="C3379" s="910"/>
      <c r="D3379" s="609"/>
      <c r="E3379" s="912"/>
      <c r="F3379" s="912"/>
      <c r="G3379" s="905"/>
      <c r="H3379" s="546"/>
      <c r="I3379" s="910"/>
      <c r="J3379" s="609"/>
      <c r="K3379" s="935"/>
      <c r="L3379" s="935"/>
      <c r="M3379" s="935"/>
      <c r="N3379" s="935"/>
      <c r="O3379" s="935"/>
    </row>
    <row r="3380" spans="1:15" ht="15" customHeight="1">
      <c r="A3380" s="905"/>
      <c r="B3380" s="546"/>
      <c r="C3380" s="910"/>
      <c r="D3380" s="609"/>
      <c r="E3380" s="912"/>
      <c r="F3380" s="912"/>
      <c r="G3380" s="905"/>
      <c r="H3380" s="546"/>
      <c r="I3380" s="910"/>
      <c r="J3380" s="609"/>
      <c r="K3380" s="935"/>
      <c r="L3380" s="935"/>
      <c r="M3380" s="935"/>
      <c r="N3380" s="935"/>
      <c r="O3380" s="935"/>
    </row>
    <row r="3381" spans="1:15" ht="15" customHeight="1">
      <c r="A3381" s="905"/>
      <c r="B3381" s="546"/>
      <c r="C3381" s="910"/>
      <c r="D3381" s="609"/>
      <c r="E3381" s="914"/>
      <c r="F3381" s="912"/>
      <c r="G3381" s="905"/>
      <c r="H3381" s="546"/>
      <c r="I3381" s="910"/>
      <c r="J3381" s="609"/>
      <c r="K3381" s="935"/>
      <c r="L3381" s="935"/>
      <c r="M3381" s="935"/>
      <c r="N3381" s="935"/>
      <c r="O3381" s="935"/>
    </row>
    <row r="3382" spans="1:15" ht="15" customHeight="1">
      <c r="A3382" s="609"/>
      <c r="B3382" s="546"/>
      <c r="C3382" s="910"/>
      <c r="D3382" s="609"/>
      <c r="E3382" s="916"/>
      <c r="F3382" s="916"/>
      <c r="G3382" s="609"/>
      <c r="H3382" s="546"/>
      <c r="I3382" s="910"/>
      <c r="J3382" s="609"/>
    </row>
    <row r="3383" spans="1:15" ht="15" customHeight="1">
      <c r="A3383" s="547"/>
      <c r="B3383" s="546"/>
      <c r="C3383" s="910"/>
      <c r="D3383" s="609"/>
      <c r="E3383" s="914"/>
      <c r="F3383" s="916"/>
      <c r="G3383" s="547"/>
      <c r="H3383" s="546"/>
      <c r="I3383" s="910"/>
      <c r="J3383" s="609"/>
    </row>
    <row r="3384" spans="1:15" ht="15" customHeight="1">
      <c r="A3384" s="905"/>
      <c r="B3384" s="546"/>
      <c r="C3384" s="910"/>
      <c r="D3384" s="609"/>
      <c r="E3384" s="917"/>
      <c r="F3384" s="904"/>
      <c r="G3384" s="905"/>
      <c r="H3384" s="546"/>
      <c r="I3384" s="910"/>
      <c r="J3384" s="609"/>
    </row>
    <row r="3385" spans="1:15" ht="15" customHeight="1">
      <c r="A3385" s="918"/>
      <c r="B3385" s="919"/>
      <c r="C3385" s="920"/>
      <c r="D3385" s="921"/>
      <c r="E3385" s="922"/>
      <c r="F3385" s="923"/>
      <c r="G3385" s="918"/>
      <c r="H3385" s="919"/>
      <c r="I3385" s="920"/>
      <c r="J3385" s="921"/>
      <c r="K3385" s="940"/>
      <c r="L3385" s="940"/>
      <c r="M3385" s="940"/>
      <c r="N3385" s="940"/>
      <c r="O3385" s="940"/>
    </row>
    <row r="3386" spans="1:15" ht="18.75" customHeight="1">
      <c r="A3386" s="924"/>
      <c r="B3386" s="925"/>
      <c r="C3386" s="926"/>
      <c r="D3386" s="927"/>
      <c r="E3386" s="927"/>
      <c r="F3386" s="928"/>
      <c r="G3386" s="924"/>
      <c r="H3386" s="925"/>
      <c r="I3386" s="926"/>
      <c r="J3386" s="927"/>
    </row>
    <row r="3387" spans="1:15" ht="18.75" customHeight="1">
      <c r="A3387" s="925"/>
      <c r="B3387" s="925"/>
      <c r="C3387" s="929"/>
      <c r="D3387" s="930"/>
      <c r="E3387" s="925"/>
      <c r="F3387" s="931"/>
      <c r="G3387" s="925"/>
      <c r="H3387" s="925"/>
      <c r="I3387" s="929"/>
      <c r="J3387" s="930"/>
    </row>
    <row r="3388" spans="1:15" ht="18.75" customHeight="1">
      <c r="A3388" s="925"/>
      <c r="B3388" s="925"/>
      <c r="C3388" s="929"/>
      <c r="D3388" s="930"/>
      <c r="E3388" s="925"/>
      <c r="F3388" s="931"/>
      <c r="G3388" s="925"/>
      <c r="H3388" s="925"/>
      <c r="I3388" s="929"/>
      <c r="J3388" s="930"/>
    </row>
    <row r="3389" spans="1:15" ht="15" customHeight="1">
      <c r="A3389" s="2360"/>
      <c r="B3389" s="2360"/>
      <c r="C3389" s="2360"/>
      <c r="D3389" s="2360"/>
      <c r="E3389" s="903"/>
      <c r="F3389" s="904"/>
      <c r="G3389" s="2360"/>
      <c r="H3389" s="2360"/>
      <c r="I3389" s="2360"/>
      <c r="J3389" s="2360"/>
      <c r="K3389" s="276"/>
    </row>
    <row r="3390" spans="1:15" ht="15" customHeight="1">
      <c r="A3390" s="905"/>
      <c r="B3390" s="642"/>
      <c r="C3390" s="546"/>
      <c r="D3390" s="902"/>
      <c r="E3390" s="906"/>
      <c r="F3390" s="907"/>
      <c r="G3390" s="905"/>
      <c r="H3390" s="642"/>
      <c r="I3390" s="546"/>
      <c r="J3390" s="902"/>
      <c r="K3390" s="951"/>
      <c r="L3390" s="952"/>
      <c r="M3390" s="952"/>
      <c r="N3390" s="952"/>
      <c r="O3390" s="952"/>
    </row>
    <row r="3391" spans="1:15" ht="15" customHeight="1">
      <c r="A3391" s="905"/>
      <c r="B3391" s="939"/>
      <c r="C3391" s="910"/>
      <c r="D3391" s="609"/>
      <c r="E3391" s="911"/>
      <c r="F3391" s="911"/>
      <c r="G3391" s="905"/>
      <c r="H3391" s="939"/>
      <c r="I3391" s="910"/>
      <c r="J3391" s="609"/>
      <c r="K3391" s="951"/>
      <c r="L3391" s="951"/>
      <c r="M3391" s="951"/>
      <c r="N3391" s="951"/>
      <c r="O3391" s="951"/>
    </row>
    <row r="3392" spans="1:15" ht="15" customHeight="1">
      <c r="A3392" s="905"/>
      <c r="B3392" s="546"/>
      <c r="C3392" s="910"/>
      <c r="D3392" s="609"/>
      <c r="E3392" s="912"/>
      <c r="F3392" s="912"/>
      <c r="G3392" s="905"/>
      <c r="H3392" s="546"/>
      <c r="I3392" s="910"/>
      <c r="J3392" s="609"/>
      <c r="K3392" s="951"/>
      <c r="L3392" s="951"/>
      <c r="M3392" s="951"/>
      <c r="N3392" s="951"/>
      <c r="O3392" s="951"/>
    </row>
    <row r="3393" spans="1:15" ht="15" customHeight="1">
      <c r="A3393" s="905"/>
      <c r="B3393" s="546"/>
      <c r="C3393" s="910"/>
      <c r="D3393" s="609"/>
      <c r="E3393" s="912"/>
      <c r="F3393" s="912"/>
      <c r="G3393" s="905"/>
      <c r="H3393" s="546"/>
      <c r="I3393" s="910"/>
      <c r="J3393" s="609"/>
      <c r="K3393" s="951"/>
      <c r="L3393" s="951"/>
      <c r="M3393" s="951"/>
      <c r="N3393" s="951"/>
      <c r="O3393" s="951"/>
    </row>
    <row r="3394" spans="1:15" ht="15" customHeight="1">
      <c r="A3394" s="905"/>
      <c r="B3394" s="546"/>
      <c r="C3394" s="910"/>
      <c r="D3394" s="609"/>
      <c r="E3394" s="912"/>
      <c r="F3394" s="912"/>
      <c r="G3394" s="905"/>
      <c r="H3394" s="546"/>
      <c r="I3394" s="910"/>
      <c r="J3394" s="609"/>
      <c r="K3394" s="951"/>
      <c r="L3394" s="951"/>
      <c r="M3394" s="951"/>
      <c r="N3394" s="951"/>
      <c r="O3394" s="951"/>
    </row>
    <row r="3395" spans="1:15" ht="15" customHeight="1">
      <c r="A3395" s="905"/>
      <c r="B3395" s="546"/>
      <c r="C3395" s="910"/>
      <c r="D3395" s="609"/>
      <c r="E3395" s="912"/>
      <c r="F3395" s="912"/>
      <c r="G3395" s="905"/>
      <c r="H3395" s="546"/>
      <c r="I3395" s="910"/>
      <c r="J3395" s="609"/>
      <c r="K3395" s="951"/>
      <c r="L3395" s="951"/>
      <c r="M3395" s="951"/>
      <c r="N3395" s="951"/>
      <c r="O3395" s="951"/>
    </row>
    <row r="3396" spans="1:15" ht="15" customHeight="1">
      <c r="A3396" s="905"/>
      <c r="B3396" s="546"/>
      <c r="C3396" s="910"/>
      <c r="D3396" s="609"/>
      <c r="E3396" s="914"/>
      <c r="F3396" s="912"/>
      <c r="G3396" s="905"/>
      <c r="H3396" s="546"/>
      <c r="I3396" s="910"/>
      <c r="J3396" s="609"/>
      <c r="K3396" s="951"/>
      <c r="L3396" s="951"/>
      <c r="M3396" s="951"/>
      <c r="N3396" s="951"/>
      <c r="O3396" s="951"/>
    </row>
    <row r="3397" spans="1:15" ht="15" customHeight="1">
      <c r="A3397" s="609"/>
      <c r="B3397" s="546"/>
      <c r="C3397" s="910"/>
      <c r="D3397" s="609"/>
      <c r="E3397" s="916"/>
      <c r="F3397" s="916"/>
      <c r="G3397" s="609"/>
      <c r="H3397" s="546"/>
      <c r="I3397" s="910"/>
      <c r="J3397" s="609"/>
      <c r="K3397" s="951"/>
      <c r="L3397" s="951"/>
      <c r="M3397" s="951"/>
      <c r="N3397" s="951"/>
      <c r="O3397" s="951"/>
    </row>
    <row r="3398" spans="1:15" ht="15" customHeight="1">
      <c r="A3398" s="547"/>
      <c r="B3398" s="546"/>
      <c r="C3398" s="910"/>
      <c r="D3398" s="609"/>
      <c r="E3398" s="914"/>
      <c r="F3398" s="916"/>
      <c r="G3398" s="547"/>
      <c r="H3398" s="546"/>
      <c r="I3398" s="910"/>
      <c r="J3398" s="609"/>
      <c r="K3398" s="951"/>
      <c r="L3398" s="951"/>
      <c r="M3398" s="951"/>
      <c r="N3398" s="951"/>
      <c r="O3398" s="951"/>
    </row>
    <row r="3399" spans="1:15" ht="15" customHeight="1">
      <c r="A3399" s="905"/>
      <c r="B3399" s="546"/>
      <c r="C3399" s="910"/>
      <c r="D3399" s="609"/>
      <c r="E3399" s="917"/>
      <c r="F3399" s="904"/>
      <c r="G3399" s="905"/>
      <c r="H3399" s="546"/>
      <c r="I3399" s="910"/>
      <c r="J3399" s="609"/>
    </row>
    <row r="3400" spans="1:15" ht="15" customHeight="1">
      <c r="A3400" s="918"/>
      <c r="B3400" s="919"/>
      <c r="C3400" s="920"/>
      <c r="D3400" s="921"/>
      <c r="E3400" s="922"/>
      <c r="F3400" s="923"/>
      <c r="G3400" s="918"/>
      <c r="H3400" s="919"/>
      <c r="I3400" s="920"/>
      <c r="J3400" s="921"/>
    </row>
    <row r="3401" spans="1:15" ht="15.75" customHeight="1">
      <c r="A3401" s="924"/>
      <c r="B3401" s="925"/>
      <c r="C3401" s="926"/>
      <c r="D3401" s="927"/>
      <c r="E3401" s="927"/>
      <c r="F3401" s="928"/>
      <c r="G3401" s="924"/>
      <c r="H3401" s="925"/>
      <c r="I3401" s="926"/>
      <c r="J3401" s="927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1" customWidth="1"/>
    <col min="2" max="2" width="5.5703125" style="841" customWidth="1"/>
    <col min="3" max="4" width="9" style="841" hidden="1" customWidth="1"/>
    <col min="5" max="5" width="18.28515625" style="841" customWidth="1"/>
    <col min="6" max="6" width="15.5703125" style="841" customWidth="1"/>
    <col min="7" max="9" width="10.42578125" style="841" customWidth="1"/>
    <col min="10" max="10" width="12" style="841" customWidth="1"/>
    <col min="11" max="11" width="15" style="841" customWidth="1"/>
    <col min="12" max="12" width="19.28515625" style="841" customWidth="1"/>
    <col min="13" max="13" width="18.85546875" style="841" customWidth="1"/>
    <col min="14" max="16384" width="9.140625" style="841"/>
  </cols>
  <sheetData>
    <row r="1" spans="1:14" ht="16.5">
      <c r="A1" s="2386" t="s">
        <v>0</v>
      </c>
      <c r="B1" s="2386"/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</row>
    <row r="2" spans="1:14" ht="16.5">
      <c r="A2" s="2386" t="s">
        <v>1</v>
      </c>
      <c r="B2" s="2386"/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</row>
    <row r="3" spans="1:14" ht="16.5">
      <c r="A3" s="2387" t="s">
        <v>2</v>
      </c>
      <c r="B3" s="2386"/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</row>
    <row r="4" spans="1:14" ht="10.5" customHeight="1">
      <c r="A4" s="1144"/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</row>
    <row r="5" spans="1:14" ht="15.75">
      <c r="A5" s="1146" t="s">
        <v>3</v>
      </c>
      <c r="B5" s="1146"/>
      <c r="C5" s="1146"/>
      <c r="D5" s="1146"/>
      <c r="E5" s="1146"/>
      <c r="F5" s="1146"/>
      <c r="G5" s="1147"/>
      <c r="H5" s="1147"/>
      <c r="I5" s="1147"/>
      <c r="J5" s="1147"/>
      <c r="K5" s="1147"/>
      <c r="L5" s="1146"/>
      <c r="M5" s="1158"/>
    </row>
    <row r="6" spans="1:14" ht="19.5" customHeight="1">
      <c r="A6" s="2388" t="s">
        <v>4</v>
      </c>
      <c r="B6" s="2388"/>
      <c r="C6" s="2388"/>
      <c r="D6" s="2388"/>
      <c r="E6" s="2388"/>
      <c r="F6" s="2388"/>
      <c r="G6" s="1148"/>
      <c r="H6" s="1148"/>
      <c r="I6" s="1148"/>
      <c r="J6" s="1148"/>
      <c r="K6" s="1148"/>
      <c r="L6" s="1159"/>
      <c r="M6" s="1158"/>
    </row>
    <row r="7" spans="1:14" ht="16.5">
      <c r="A7" s="1148"/>
      <c r="B7" s="1148"/>
      <c r="C7" s="1148"/>
      <c r="D7" s="1148"/>
      <c r="E7" s="1148"/>
      <c r="F7" s="1148"/>
      <c r="G7" s="1148"/>
      <c r="H7" s="1148"/>
      <c r="I7" s="1148"/>
      <c r="J7" s="1148"/>
      <c r="K7" s="1148"/>
      <c r="L7" s="1148"/>
      <c r="M7" s="1158"/>
    </row>
    <row r="8" spans="1:14" ht="48.75" customHeight="1">
      <c r="A8" s="2389" t="s">
        <v>528</v>
      </c>
      <c r="B8" s="2389"/>
      <c r="C8" s="2389"/>
      <c r="D8" s="2389"/>
      <c r="E8" s="2389"/>
      <c r="F8" s="2389"/>
      <c r="G8" s="2389"/>
      <c r="H8" s="2389"/>
      <c r="I8" s="2389"/>
      <c r="J8" s="2389"/>
      <c r="K8" s="2389"/>
      <c r="L8" s="2389"/>
      <c r="M8" s="2389"/>
      <c r="N8" s="1160"/>
    </row>
    <row r="9" spans="1:14" ht="19.5">
      <c r="A9" s="2383"/>
      <c r="B9" s="2383"/>
      <c r="C9" s="2383"/>
      <c r="D9" s="2383"/>
      <c r="E9" s="2383"/>
      <c r="F9" s="2383"/>
      <c r="G9" s="2383"/>
      <c r="H9" s="2383"/>
      <c r="I9" s="2383"/>
      <c r="J9" s="2383"/>
      <c r="K9" s="2383"/>
      <c r="L9" s="2383"/>
      <c r="M9" s="1161"/>
    </row>
    <row r="10" spans="1:14" ht="30.75" customHeight="1">
      <c r="A10" s="2373" t="s">
        <v>6</v>
      </c>
      <c r="B10" s="2374"/>
      <c r="C10" s="1149" t="s">
        <v>7</v>
      </c>
      <c r="D10" s="1150"/>
      <c r="E10" s="2364" t="s">
        <v>8</v>
      </c>
      <c r="F10" s="2366" t="s">
        <v>9</v>
      </c>
      <c r="G10" s="2384" t="s">
        <v>529</v>
      </c>
      <c r="H10" s="2385"/>
      <c r="I10" s="2385"/>
      <c r="J10" s="2385"/>
      <c r="K10" s="2368" t="s">
        <v>530</v>
      </c>
      <c r="L10" s="2369" t="s">
        <v>10</v>
      </c>
      <c r="M10" s="2371" t="s">
        <v>531</v>
      </c>
    </row>
    <row r="11" spans="1:14" ht="30.75" customHeight="1">
      <c r="A11" s="2375"/>
      <c r="B11" s="2376"/>
      <c r="C11" s="1151"/>
      <c r="D11" s="1152"/>
      <c r="E11" s="2365"/>
      <c r="F11" s="2367"/>
      <c r="G11" s="1200" t="s">
        <v>532</v>
      </c>
      <c r="H11" s="1200" t="s">
        <v>533</v>
      </c>
      <c r="I11" s="1200" t="s">
        <v>534</v>
      </c>
      <c r="J11" s="1201" t="s">
        <v>535</v>
      </c>
      <c r="K11" s="2368"/>
      <c r="L11" s="2370"/>
      <c r="M11" s="2372"/>
    </row>
    <row r="12" spans="1:14" s="1143" customFormat="1" ht="18.75" customHeight="1">
      <c r="A12" s="2378" t="s">
        <v>13</v>
      </c>
      <c r="B12" s="2379"/>
      <c r="C12" s="2379"/>
      <c r="D12" s="2379"/>
      <c r="E12" s="2379"/>
      <c r="F12" s="2380"/>
      <c r="G12" s="1153">
        <f>COUNTIF(G13:G55,"X")</f>
        <v>43</v>
      </c>
      <c r="H12" s="1153">
        <f>COUNTIF(H13:H55,"X")</f>
        <v>43</v>
      </c>
      <c r="I12" s="1153">
        <f>COUNTIF(I13:I55,"X")</f>
        <v>42</v>
      </c>
      <c r="J12" s="1153">
        <f>COUNTIF(J13:J55,"X")</f>
        <v>40</v>
      </c>
      <c r="K12" s="1153">
        <f>SUM(K13:K55)</f>
        <v>168</v>
      </c>
      <c r="L12" s="1162">
        <f>SUM(L13:L55)</f>
        <v>16800000</v>
      </c>
      <c r="M12" s="1162"/>
    </row>
    <row r="13" spans="1:14" ht="18.75" customHeight="1">
      <c r="A13" s="1154">
        <v>1</v>
      </c>
      <c r="B13" s="1155">
        <v>1</v>
      </c>
      <c r="C13" s="1156"/>
      <c r="D13" s="1156"/>
      <c r="E13" s="1157" t="s">
        <v>357</v>
      </c>
      <c r="F13" s="1156" t="s">
        <v>15</v>
      </c>
      <c r="G13" s="1155" t="s">
        <v>536</v>
      </c>
      <c r="H13" s="1155" t="s">
        <v>536</v>
      </c>
      <c r="I13" s="1155" t="s">
        <v>536</v>
      </c>
      <c r="J13" s="1155" t="s">
        <v>536</v>
      </c>
      <c r="K13" s="1153">
        <f t="shared" ref="K13:K55" si="0">COUNTIF(G13:J13,"X")</f>
        <v>4</v>
      </c>
      <c r="L13" s="1163">
        <f>K13*100000</f>
        <v>400000</v>
      </c>
      <c r="M13" s="1164"/>
    </row>
    <row r="14" spans="1:14" ht="18.75" customHeight="1">
      <c r="A14" s="1154">
        <v>2</v>
      </c>
      <c r="B14" s="1155">
        <v>2</v>
      </c>
      <c r="C14" s="1156"/>
      <c r="D14" s="1156"/>
      <c r="E14" s="1157" t="s">
        <v>358</v>
      </c>
      <c r="F14" s="1156" t="s">
        <v>15</v>
      </c>
      <c r="G14" s="1155" t="s">
        <v>536</v>
      </c>
      <c r="H14" s="1155" t="s">
        <v>536</v>
      </c>
      <c r="I14" s="1155" t="s">
        <v>536</v>
      </c>
      <c r="J14" s="1155"/>
      <c r="K14" s="1153">
        <f t="shared" si="0"/>
        <v>3</v>
      </c>
      <c r="L14" s="1163">
        <f t="shared" ref="L14:L77" si="1">K14*100000</f>
        <v>300000</v>
      </c>
      <c r="M14" s="1164"/>
    </row>
    <row r="15" spans="1:14" ht="18.75" customHeight="1">
      <c r="A15" s="1154">
        <v>3</v>
      </c>
      <c r="B15" s="1155">
        <v>3</v>
      </c>
      <c r="C15" s="1156"/>
      <c r="D15" s="1156"/>
      <c r="E15" s="1157" t="s">
        <v>385</v>
      </c>
      <c r="F15" s="1156" t="s">
        <v>15</v>
      </c>
      <c r="G15" s="1155" t="s">
        <v>536</v>
      </c>
      <c r="H15" s="1155" t="s">
        <v>536</v>
      </c>
      <c r="I15" s="1155" t="s">
        <v>536</v>
      </c>
      <c r="J15" s="1155" t="s">
        <v>536</v>
      </c>
      <c r="K15" s="1153">
        <f t="shared" si="0"/>
        <v>4</v>
      </c>
      <c r="L15" s="1163">
        <f t="shared" si="1"/>
        <v>400000</v>
      </c>
      <c r="M15" s="1164"/>
    </row>
    <row r="16" spans="1:14" ht="18.75" customHeight="1">
      <c r="A16" s="1154">
        <v>4</v>
      </c>
      <c r="B16" s="1155">
        <v>4</v>
      </c>
      <c r="C16" s="1156"/>
      <c r="D16" s="1156"/>
      <c r="E16" s="1157" t="s">
        <v>386</v>
      </c>
      <c r="F16" s="1156" t="s">
        <v>15</v>
      </c>
      <c r="G16" s="1155" t="s">
        <v>536</v>
      </c>
      <c r="H16" s="1155" t="s">
        <v>536</v>
      </c>
      <c r="I16" s="1155" t="s">
        <v>536</v>
      </c>
      <c r="J16" s="1155"/>
      <c r="K16" s="1153">
        <f t="shared" si="0"/>
        <v>3</v>
      </c>
      <c r="L16" s="1163">
        <f t="shared" si="1"/>
        <v>300000</v>
      </c>
      <c r="M16" s="1164"/>
    </row>
    <row r="17" spans="1:13" ht="18.75" customHeight="1">
      <c r="A17" s="1154">
        <v>5</v>
      </c>
      <c r="B17" s="1155">
        <v>5</v>
      </c>
      <c r="C17" s="1156"/>
      <c r="D17" s="1156"/>
      <c r="E17" s="1157" t="s">
        <v>387</v>
      </c>
      <c r="F17" s="1156" t="s">
        <v>15</v>
      </c>
      <c r="G17" s="1155" t="s">
        <v>536</v>
      </c>
      <c r="H17" s="1155" t="s">
        <v>536</v>
      </c>
      <c r="I17" s="1155"/>
      <c r="J17" s="1155"/>
      <c r="K17" s="1153">
        <f t="shared" si="0"/>
        <v>2</v>
      </c>
      <c r="L17" s="1163">
        <f t="shared" si="1"/>
        <v>200000</v>
      </c>
      <c r="M17" s="1164"/>
    </row>
    <row r="18" spans="1:13" ht="18.75" customHeight="1">
      <c r="A18" s="1154">
        <v>6</v>
      </c>
      <c r="B18" s="1155">
        <v>6</v>
      </c>
      <c r="C18" s="1156"/>
      <c r="D18" s="1156"/>
      <c r="E18" s="1157" t="s">
        <v>388</v>
      </c>
      <c r="F18" s="1156" t="s">
        <v>15</v>
      </c>
      <c r="G18" s="1155" t="s">
        <v>536</v>
      </c>
      <c r="H18" s="1155" t="s">
        <v>536</v>
      </c>
      <c r="I18" s="1155" t="s">
        <v>536</v>
      </c>
      <c r="J18" s="1155" t="s">
        <v>536</v>
      </c>
      <c r="K18" s="1153">
        <f t="shared" si="0"/>
        <v>4</v>
      </c>
      <c r="L18" s="1163">
        <f t="shared" si="1"/>
        <v>400000</v>
      </c>
      <c r="M18" s="1164"/>
    </row>
    <row r="19" spans="1:13" ht="18.75" customHeight="1">
      <c r="A19" s="1154">
        <v>7</v>
      </c>
      <c r="B19" s="1155">
        <v>7</v>
      </c>
      <c r="C19" s="1156"/>
      <c r="D19" s="1156"/>
      <c r="E19" s="1157" t="s">
        <v>389</v>
      </c>
      <c r="F19" s="1156" t="s">
        <v>15</v>
      </c>
      <c r="G19" s="1155" t="s">
        <v>536</v>
      </c>
      <c r="H19" s="1155" t="s">
        <v>536</v>
      </c>
      <c r="I19" s="1155" t="s">
        <v>536</v>
      </c>
      <c r="J19" s="1155" t="s">
        <v>536</v>
      </c>
      <c r="K19" s="1153">
        <f t="shared" si="0"/>
        <v>4</v>
      </c>
      <c r="L19" s="1163">
        <f t="shared" si="1"/>
        <v>400000</v>
      </c>
      <c r="M19" s="1164"/>
    </row>
    <row r="20" spans="1:13" ht="18.75" customHeight="1">
      <c r="A20" s="1154">
        <v>8</v>
      </c>
      <c r="B20" s="1155">
        <v>8</v>
      </c>
      <c r="C20" s="1156"/>
      <c r="D20" s="1156"/>
      <c r="E20" s="1157" t="s">
        <v>390</v>
      </c>
      <c r="F20" s="1156" t="s">
        <v>15</v>
      </c>
      <c r="G20" s="1155" t="s">
        <v>536</v>
      </c>
      <c r="H20" s="1155" t="s">
        <v>536</v>
      </c>
      <c r="I20" s="1155" t="s">
        <v>536</v>
      </c>
      <c r="J20" s="1155" t="s">
        <v>536</v>
      </c>
      <c r="K20" s="1153">
        <f t="shared" si="0"/>
        <v>4</v>
      </c>
      <c r="L20" s="1163">
        <f t="shared" si="1"/>
        <v>400000</v>
      </c>
      <c r="M20" s="1164"/>
    </row>
    <row r="21" spans="1:13" ht="18.75" customHeight="1">
      <c r="A21" s="1154">
        <v>9</v>
      </c>
      <c r="B21" s="1155">
        <v>9</v>
      </c>
      <c r="C21" s="1156"/>
      <c r="D21" s="1156"/>
      <c r="E21" s="1157" t="s">
        <v>391</v>
      </c>
      <c r="F21" s="1156" t="s">
        <v>15</v>
      </c>
      <c r="G21" s="1155" t="s">
        <v>536</v>
      </c>
      <c r="H21" s="1155" t="s">
        <v>536</v>
      </c>
      <c r="I21" s="1155" t="s">
        <v>536</v>
      </c>
      <c r="J21" s="1155" t="s">
        <v>536</v>
      </c>
      <c r="K21" s="1153">
        <f t="shared" si="0"/>
        <v>4</v>
      </c>
      <c r="L21" s="1163">
        <f t="shared" si="1"/>
        <v>400000</v>
      </c>
      <c r="M21" s="1164"/>
    </row>
    <row r="22" spans="1:13" ht="18.75" customHeight="1">
      <c r="A22" s="1154">
        <v>10</v>
      </c>
      <c r="B22" s="1155">
        <v>10</v>
      </c>
      <c r="C22" s="1156"/>
      <c r="D22" s="1156"/>
      <c r="E22" s="1157" t="s">
        <v>392</v>
      </c>
      <c r="F22" s="1156" t="s">
        <v>15</v>
      </c>
      <c r="G22" s="1155" t="s">
        <v>536</v>
      </c>
      <c r="H22" s="1155" t="s">
        <v>536</v>
      </c>
      <c r="I22" s="1155" t="s">
        <v>536</v>
      </c>
      <c r="J22" s="1155" t="s">
        <v>536</v>
      </c>
      <c r="K22" s="1153">
        <f t="shared" si="0"/>
        <v>4</v>
      </c>
      <c r="L22" s="1163">
        <f t="shared" si="1"/>
        <v>400000</v>
      </c>
      <c r="M22" s="1164"/>
    </row>
    <row r="23" spans="1:13" ht="18.75" customHeight="1">
      <c r="A23" s="1154">
        <v>11</v>
      </c>
      <c r="B23" s="1155">
        <v>11</v>
      </c>
      <c r="C23" s="1156"/>
      <c r="D23" s="1156"/>
      <c r="E23" s="1157" t="s">
        <v>393</v>
      </c>
      <c r="F23" s="1156" t="s">
        <v>15</v>
      </c>
      <c r="G23" s="1155" t="s">
        <v>536</v>
      </c>
      <c r="H23" s="1155" t="s">
        <v>536</v>
      </c>
      <c r="I23" s="1155" t="s">
        <v>536</v>
      </c>
      <c r="J23" s="1155" t="s">
        <v>536</v>
      </c>
      <c r="K23" s="1153">
        <f t="shared" si="0"/>
        <v>4</v>
      </c>
      <c r="L23" s="1163">
        <f t="shared" si="1"/>
        <v>400000</v>
      </c>
      <c r="M23" s="1164"/>
    </row>
    <row r="24" spans="1:13" ht="18.75" customHeight="1">
      <c r="A24" s="1154">
        <v>12</v>
      </c>
      <c r="B24" s="1155">
        <v>12</v>
      </c>
      <c r="C24" s="1156"/>
      <c r="D24" s="1156"/>
      <c r="E24" s="1157" t="s">
        <v>394</v>
      </c>
      <c r="F24" s="1156" t="s">
        <v>15</v>
      </c>
      <c r="G24" s="1155" t="s">
        <v>536</v>
      </c>
      <c r="H24" s="1155" t="s">
        <v>536</v>
      </c>
      <c r="I24" s="1155" t="s">
        <v>536</v>
      </c>
      <c r="J24" s="1155" t="s">
        <v>536</v>
      </c>
      <c r="K24" s="1153">
        <f t="shared" si="0"/>
        <v>4</v>
      </c>
      <c r="L24" s="1163">
        <f t="shared" si="1"/>
        <v>400000</v>
      </c>
      <c r="M24" s="1164"/>
    </row>
    <row r="25" spans="1:13" ht="18.75" customHeight="1">
      <c r="A25" s="1154">
        <v>13</v>
      </c>
      <c r="B25" s="1155">
        <v>13</v>
      </c>
      <c r="C25" s="1156"/>
      <c r="D25" s="1156"/>
      <c r="E25" s="1157" t="s">
        <v>537</v>
      </c>
      <c r="F25" s="1156" t="s">
        <v>15</v>
      </c>
      <c r="G25" s="1155" t="s">
        <v>536</v>
      </c>
      <c r="H25" s="1155" t="s">
        <v>536</v>
      </c>
      <c r="I25" s="1155" t="s">
        <v>536</v>
      </c>
      <c r="J25" s="1155" t="s">
        <v>536</v>
      </c>
      <c r="K25" s="1153">
        <f t="shared" si="0"/>
        <v>4</v>
      </c>
      <c r="L25" s="1163">
        <f t="shared" si="1"/>
        <v>400000</v>
      </c>
      <c r="M25" s="1164"/>
    </row>
    <row r="26" spans="1:13" ht="18.75" customHeight="1">
      <c r="A26" s="1154">
        <v>14</v>
      </c>
      <c r="B26" s="1155">
        <v>14</v>
      </c>
      <c r="C26" s="1156"/>
      <c r="D26" s="1156"/>
      <c r="E26" s="1157" t="s">
        <v>396</v>
      </c>
      <c r="F26" s="1156" t="s">
        <v>15</v>
      </c>
      <c r="G26" s="1155" t="s">
        <v>536</v>
      </c>
      <c r="H26" s="1155" t="s">
        <v>536</v>
      </c>
      <c r="I26" s="1155" t="s">
        <v>536</v>
      </c>
      <c r="J26" s="1155" t="s">
        <v>536</v>
      </c>
      <c r="K26" s="1153">
        <f t="shared" si="0"/>
        <v>4</v>
      </c>
      <c r="L26" s="1163">
        <f t="shared" si="1"/>
        <v>400000</v>
      </c>
      <c r="M26" s="1164"/>
    </row>
    <row r="27" spans="1:13" ht="18.75" customHeight="1">
      <c r="A27" s="1154">
        <v>15</v>
      </c>
      <c r="B27" s="1155">
        <v>15</v>
      </c>
      <c r="C27" s="1156"/>
      <c r="D27" s="1156"/>
      <c r="E27" s="1157" t="s">
        <v>397</v>
      </c>
      <c r="F27" s="1156" t="s">
        <v>15</v>
      </c>
      <c r="G27" s="1155" t="s">
        <v>536</v>
      </c>
      <c r="H27" s="1155" t="s">
        <v>536</v>
      </c>
      <c r="I27" s="1155" t="s">
        <v>536</v>
      </c>
      <c r="J27" s="1155" t="s">
        <v>536</v>
      </c>
      <c r="K27" s="1153">
        <f t="shared" si="0"/>
        <v>4</v>
      </c>
      <c r="L27" s="1163">
        <f t="shared" si="1"/>
        <v>400000</v>
      </c>
      <c r="M27" s="1164"/>
    </row>
    <row r="28" spans="1:13" ht="18.75" customHeight="1">
      <c r="A28" s="1154">
        <v>16</v>
      </c>
      <c r="B28" s="1155">
        <v>16</v>
      </c>
      <c r="C28" s="1156"/>
      <c r="D28" s="1156"/>
      <c r="E28" s="1157" t="s">
        <v>398</v>
      </c>
      <c r="F28" s="1156" t="s">
        <v>15</v>
      </c>
      <c r="G28" s="1155" t="s">
        <v>536</v>
      </c>
      <c r="H28" s="1155" t="s">
        <v>536</v>
      </c>
      <c r="I28" s="1155" t="s">
        <v>536</v>
      </c>
      <c r="J28" s="1155" t="s">
        <v>536</v>
      </c>
      <c r="K28" s="1153">
        <f t="shared" si="0"/>
        <v>4</v>
      </c>
      <c r="L28" s="1163">
        <f t="shared" si="1"/>
        <v>400000</v>
      </c>
      <c r="M28" s="1164"/>
    </row>
    <row r="29" spans="1:13" ht="18.75" customHeight="1">
      <c r="A29" s="1154">
        <v>17</v>
      </c>
      <c r="B29" s="1155">
        <v>17</v>
      </c>
      <c r="C29" s="1156"/>
      <c r="D29" s="1156"/>
      <c r="E29" s="1157" t="s">
        <v>108</v>
      </c>
      <c r="F29" s="1156" t="s">
        <v>15</v>
      </c>
      <c r="G29" s="1155" t="s">
        <v>536</v>
      </c>
      <c r="H29" s="1155" t="s">
        <v>536</v>
      </c>
      <c r="I29" s="1155" t="s">
        <v>536</v>
      </c>
      <c r="J29" s="1155" t="s">
        <v>536</v>
      </c>
      <c r="K29" s="1153">
        <f t="shared" si="0"/>
        <v>4</v>
      </c>
      <c r="L29" s="1163">
        <f t="shared" si="1"/>
        <v>400000</v>
      </c>
      <c r="M29" s="1164"/>
    </row>
    <row r="30" spans="1:13" ht="18.75" customHeight="1">
      <c r="A30" s="1154">
        <v>18</v>
      </c>
      <c r="B30" s="1155">
        <v>18</v>
      </c>
      <c r="C30" s="1156"/>
      <c r="D30" s="1156"/>
      <c r="E30" s="1157" t="s">
        <v>400</v>
      </c>
      <c r="F30" s="1156" t="s">
        <v>15</v>
      </c>
      <c r="G30" s="1155" t="s">
        <v>536</v>
      </c>
      <c r="H30" s="1155" t="s">
        <v>536</v>
      </c>
      <c r="I30" s="1155" t="s">
        <v>536</v>
      </c>
      <c r="J30" s="1155" t="s">
        <v>536</v>
      </c>
      <c r="K30" s="1153">
        <f t="shared" si="0"/>
        <v>4</v>
      </c>
      <c r="L30" s="1163">
        <f t="shared" si="1"/>
        <v>400000</v>
      </c>
      <c r="M30" s="1164"/>
    </row>
    <row r="31" spans="1:13" ht="18.75" customHeight="1">
      <c r="A31" s="1154">
        <v>19</v>
      </c>
      <c r="B31" s="1155">
        <v>19</v>
      </c>
      <c r="C31" s="1156"/>
      <c r="D31" s="1156"/>
      <c r="E31" s="1157" t="s">
        <v>401</v>
      </c>
      <c r="F31" s="1156" t="s">
        <v>15</v>
      </c>
      <c r="G31" s="1155" t="s">
        <v>536</v>
      </c>
      <c r="H31" s="1155" t="s">
        <v>536</v>
      </c>
      <c r="I31" s="1155" t="s">
        <v>536</v>
      </c>
      <c r="J31" s="1155" t="s">
        <v>536</v>
      </c>
      <c r="K31" s="1153">
        <f t="shared" si="0"/>
        <v>4</v>
      </c>
      <c r="L31" s="1163">
        <f t="shared" si="1"/>
        <v>400000</v>
      </c>
      <c r="M31" s="1164"/>
    </row>
    <row r="32" spans="1:13" ht="18.75" customHeight="1">
      <c r="A32" s="1154">
        <v>20</v>
      </c>
      <c r="B32" s="1155">
        <v>20</v>
      </c>
      <c r="C32" s="1156"/>
      <c r="D32" s="1156"/>
      <c r="E32" s="1157" t="s">
        <v>402</v>
      </c>
      <c r="F32" s="1156" t="s">
        <v>15</v>
      </c>
      <c r="G32" s="1155" t="s">
        <v>536</v>
      </c>
      <c r="H32" s="1155" t="s">
        <v>536</v>
      </c>
      <c r="I32" s="1155" t="s">
        <v>536</v>
      </c>
      <c r="J32" s="1155" t="s">
        <v>536</v>
      </c>
      <c r="K32" s="1153">
        <f t="shared" si="0"/>
        <v>4</v>
      </c>
      <c r="L32" s="1163">
        <f t="shared" si="1"/>
        <v>400000</v>
      </c>
      <c r="M32" s="1164"/>
    </row>
    <row r="33" spans="1:13" ht="18.75" customHeight="1">
      <c r="A33" s="1154">
        <v>21</v>
      </c>
      <c r="B33" s="1155">
        <v>21</v>
      </c>
      <c r="C33" s="1156"/>
      <c r="D33" s="1156"/>
      <c r="E33" s="1157" t="s">
        <v>403</v>
      </c>
      <c r="F33" s="1156" t="s">
        <v>15</v>
      </c>
      <c r="G33" s="1155" t="s">
        <v>536</v>
      </c>
      <c r="H33" s="1155" t="s">
        <v>536</v>
      </c>
      <c r="I33" s="1155" t="s">
        <v>536</v>
      </c>
      <c r="J33" s="1155" t="s">
        <v>536</v>
      </c>
      <c r="K33" s="1153">
        <f t="shared" si="0"/>
        <v>4</v>
      </c>
      <c r="L33" s="1163">
        <f t="shared" si="1"/>
        <v>400000</v>
      </c>
      <c r="M33" s="1164"/>
    </row>
    <row r="34" spans="1:13" ht="18.75" customHeight="1">
      <c r="A34" s="1154">
        <v>22</v>
      </c>
      <c r="B34" s="1155">
        <v>22</v>
      </c>
      <c r="C34" s="1156"/>
      <c r="D34" s="1156"/>
      <c r="E34" s="1157" t="s">
        <v>404</v>
      </c>
      <c r="F34" s="1156" t="s">
        <v>15</v>
      </c>
      <c r="G34" s="1155" t="s">
        <v>536</v>
      </c>
      <c r="H34" s="1155" t="s">
        <v>536</v>
      </c>
      <c r="I34" s="1155" t="s">
        <v>536</v>
      </c>
      <c r="J34" s="1155" t="s">
        <v>536</v>
      </c>
      <c r="K34" s="1153">
        <f t="shared" si="0"/>
        <v>4</v>
      </c>
      <c r="L34" s="1163">
        <f t="shared" si="1"/>
        <v>400000</v>
      </c>
      <c r="M34" s="1164"/>
    </row>
    <row r="35" spans="1:13" ht="18.75" customHeight="1">
      <c r="A35" s="1154">
        <v>23</v>
      </c>
      <c r="B35" s="1155">
        <v>23</v>
      </c>
      <c r="C35" s="1156"/>
      <c r="D35" s="1156"/>
      <c r="E35" s="1157" t="s">
        <v>405</v>
      </c>
      <c r="F35" s="1156" t="s">
        <v>15</v>
      </c>
      <c r="G35" s="1155" t="s">
        <v>536</v>
      </c>
      <c r="H35" s="1155" t="s">
        <v>536</v>
      </c>
      <c r="I35" s="1155" t="s">
        <v>536</v>
      </c>
      <c r="J35" s="1155" t="s">
        <v>536</v>
      </c>
      <c r="K35" s="1153">
        <f t="shared" si="0"/>
        <v>4</v>
      </c>
      <c r="L35" s="1163">
        <f t="shared" si="1"/>
        <v>400000</v>
      </c>
      <c r="M35" s="1164"/>
    </row>
    <row r="36" spans="1:13" ht="18.75" customHeight="1">
      <c r="A36" s="1154">
        <v>24</v>
      </c>
      <c r="B36" s="1155">
        <v>24</v>
      </c>
      <c r="C36" s="1156"/>
      <c r="D36" s="1156"/>
      <c r="E36" s="1157" t="s">
        <v>406</v>
      </c>
      <c r="F36" s="1156" t="s">
        <v>15</v>
      </c>
      <c r="G36" s="1155" t="s">
        <v>536</v>
      </c>
      <c r="H36" s="1155" t="s">
        <v>536</v>
      </c>
      <c r="I36" s="1155" t="s">
        <v>536</v>
      </c>
      <c r="J36" s="1155" t="s">
        <v>536</v>
      </c>
      <c r="K36" s="1153">
        <f t="shared" si="0"/>
        <v>4</v>
      </c>
      <c r="L36" s="1163">
        <f t="shared" si="1"/>
        <v>400000</v>
      </c>
      <c r="M36" s="1164"/>
    </row>
    <row r="37" spans="1:13" ht="18.75" customHeight="1">
      <c r="A37" s="1154">
        <v>25</v>
      </c>
      <c r="B37" s="1155">
        <v>25</v>
      </c>
      <c r="C37" s="1156"/>
      <c r="D37" s="1156"/>
      <c r="E37" s="1157" t="s">
        <v>407</v>
      </c>
      <c r="F37" s="1156" t="s">
        <v>15</v>
      </c>
      <c r="G37" s="1155" t="s">
        <v>536</v>
      </c>
      <c r="H37" s="1155" t="s">
        <v>536</v>
      </c>
      <c r="I37" s="1155" t="s">
        <v>536</v>
      </c>
      <c r="J37" s="1155" t="s">
        <v>536</v>
      </c>
      <c r="K37" s="1153">
        <f t="shared" si="0"/>
        <v>4</v>
      </c>
      <c r="L37" s="1163">
        <f t="shared" si="1"/>
        <v>400000</v>
      </c>
      <c r="M37" s="1164"/>
    </row>
    <row r="38" spans="1:13" ht="18.75" customHeight="1">
      <c r="A38" s="1154">
        <v>26</v>
      </c>
      <c r="B38" s="1155">
        <v>26</v>
      </c>
      <c r="C38" s="1156"/>
      <c r="D38" s="1156"/>
      <c r="E38" s="1157" t="s">
        <v>408</v>
      </c>
      <c r="F38" s="1156" t="s">
        <v>15</v>
      </c>
      <c r="G38" s="1155" t="s">
        <v>536</v>
      </c>
      <c r="H38" s="1155" t="s">
        <v>536</v>
      </c>
      <c r="I38" s="1155" t="s">
        <v>536</v>
      </c>
      <c r="J38" s="1155" t="s">
        <v>536</v>
      </c>
      <c r="K38" s="1153">
        <f t="shared" si="0"/>
        <v>4</v>
      </c>
      <c r="L38" s="1163">
        <f t="shared" si="1"/>
        <v>400000</v>
      </c>
      <c r="M38" s="1164"/>
    </row>
    <row r="39" spans="1:13" ht="18.75" customHeight="1">
      <c r="A39" s="1154">
        <v>27</v>
      </c>
      <c r="B39" s="1155">
        <v>27</v>
      </c>
      <c r="C39" s="1156"/>
      <c r="D39" s="1156"/>
      <c r="E39" s="1157" t="s">
        <v>409</v>
      </c>
      <c r="F39" s="1156" t="s">
        <v>15</v>
      </c>
      <c r="G39" s="1155" t="s">
        <v>536</v>
      </c>
      <c r="H39" s="1155" t="s">
        <v>536</v>
      </c>
      <c r="I39" s="1155" t="s">
        <v>536</v>
      </c>
      <c r="J39" s="1155" t="s">
        <v>536</v>
      </c>
      <c r="K39" s="1153">
        <f t="shared" si="0"/>
        <v>4</v>
      </c>
      <c r="L39" s="1163">
        <f t="shared" si="1"/>
        <v>400000</v>
      </c>
      <c r="M39" s="1164"/>
    </row>
    <row r="40" spans="1:13" ht="18.75" customHeight="1">
      <c r="A40" s="1154">
        <v>28</v>
      </c>
      <c r="B40" s="1155">
        <v>28</v>
      </c>
      <c r="C40" s="1156"/>
      <c r="D40" s="1156"/>
      <c r="E40" s="1157" t="s">
        <v>410</v>
      </c>
      <c r="F40" s="1156" t="s">
        <v>15</v>
      </c>
      <c r="G40" s="1155" t="s">
        <v>536</v>
      </c>
      <c r="H40" s="1155" t="s">
        <v>536</v>
      </c>
      <c r="I40" s="1155" t="s">
        <v>536</v>
      </c>
      <c r="J40" s="1155" t="s">
        <v>536</v>
      </c>
      <c r="K40" s="1153">
        <f t="shared" si="0"/>
        <v>4</v>
      </c>
      <c r="L40" s="1163">
        <f t="shared" si="1"/>
        <v>400000</v>
      </c>
      <c r="M40" s="1164"/>
    </row>
    <row r="41" spans="1:13" ht="18.75" customHeight="1">
      <c r="A41" s="1154">
        <v>29</v>
      </c>
      <c r="B41" s="1155">
        <v>29</v>
      </c>
      <c r="C41" s="1156"/>
      <c r="D41" s="1156"/>
      <c r="E41" s="1157" t="s">
        <v>411</v>
      </c>
      <c r="F41" s="1156" t="s">
        <v>15</v>
      </c>
      <c r="G41" s="1155" t="s">
        <v>536</v>
      </c>
      <c r="H41" s="1155" t="s">
        <v>536</v>
      </c>
      <c r="I41" s="1155" t="s">
        <v>536</v>
      </c>
      <c r="J41" s="1155" t="s">
        <v>536</v>
      </c>
      <c r="K41" s="1153">
        <f t="shared" si="0"/>
        <v>4</v>
      </c>
      <c r="L41" s="1163">
        <f t="shared" si="1"/>
        <v>400000</v>
      </c>
      <c r="M41" s="1164"/>
    </row>
    <row r="42" spans="1:13" ht="18.75" customHeight="1">
      <c r="A42" s="1154">
        <v>30</v>
      </c>
      <c r="B42" s="1155">
        <v>30</v>
      </c>
      <c r="C42" s="1156"/>
      <c r="D42" s="1156"/>
      <c r="E42" s="1157" t="s">
        <v>412</v>
      </c>
      <c r="F42" s="1156" t="s">
        <v>15</v>
      </c>
      <c r="G42" s="1155" t="s">
        <v>536</v>
      </c>
      <c r="H42" s="1155" t="s">
        <v>536</v>
      </c>
      <c r="I42" s="1155" t="s">
        <v>536</v>
      </c>
      <c r="J42" s="1155" t="s">
        <v>536</v>
      </c>
      <c r="K42" s="1153">
        <f t="shared" si="0"/>
        <v>4</v>
      </c>
      <c r="L42" s="1163">
        <f t="shared" si="1"/>
        <v>400000</v>
      </c>
      <c r="M42" s="1164"/>
    </row>
    <row r="43" spans="1:13" ht="18.75" customHeight="1">
      <c r="A43" s="1154">
        <v>31</v>
      </c>
      <c r="B43" s="1155">
        <v>31</v>
      </c>
      <c r="C43" s="1156"/>
      <c r="D43" s="1156"/>
      <c r="E43" s="1157" t="s">
        <v>413</v>
      </c>
      <c r="F43" s="1156" t="s">
        <v>15</v>
      </c>
      <c r="G43" s="1155" t="s">
        <v>536</v>
      </c>
      <c r="H43" s="1155" t="s">
        <v>536</v>
      </c>
      <c r="I43" s="1155" t="s">
        <v>536</v>
      </c>
      <c r="J43" s="1155" t="s">
        <v>536</v>
      </c>
      <c r="K43" s="1153">
        <f t="shared" si="0"/>
        <v>4</v>
      </c>
      <c r="L43" s="1163">
        <f t="shared" si="1"/>
        <v>400000</v>
      </c>
      <c r="M43" s="1164"/>
    </row>
    <row r="44" spans="1:13" ht="18.75" customHeight="1">
      <c r="A44" s="1154">
        <v>32</v>
      </c>
      <c r="B44" s="1155">
        <v>32</v>
      </c>
      <c r="C44" s="1156"/>
      <c r="D44" s="1156"/>
      <c r="E44" s="1157" t="s">
        <v>414</v>
      </c>
      <c r="F44" s="1156" t="s">
        <v>15</v>
      </c>
      <c r="G44" s="1155" t="s">
        <v>536</v>
      </c>
      <c r="H44" s="1155" t="s">
        <v>536</v>
      </c>
      <c r="I44" s="1155" t="s">
        <v>536</v>
      </c>
      <c r="J44" s="1155" t="s">
        <v>536</v>
      </c>
      <c r="K44" s="1153">
        <f t="shared" si="0"/>
        <v>4</v>
      </c>
      <c r="L44" s="1163">
        <f t="shared" si="1"/>
        <v>400000</v>
      </c>
      <c r="M44" s="1164"/>
    </row>
    <row r="45" spans="1:13" ht="18.75" customHeight="1">
      <c r="A45" s="1154">
        <v>33</v>
      </c>
      <c r="B45" s="1155">
        <v>33</v>
      </c>
      <c r="C45" s="1156"/>
      <c r="D45" s="1156"/>
      <c r="E45" s="1157" t="s">
        <v>415</v>
      </c>
      <c r="F45" s="1156" t="s">
        <v>15</v>
      </c>
      <c r="G45" s="1155" t="s">
        <v>536</v>
      </c>
      <c r="H45" s="1155" t="s">
        <v>536</v>
      </c>
      <c r="I45" s="1155" t="s">
        <v>536</v>
      </c>
      <c r="J45" s="1155" t="s">
        <v>536</v>
      </c>
      <c r="K45" s="1153">
        <f t="shared" si="0"/>
        <v>4</v>
      </c>
      <c r="L45" s="1163">
        <f t="shared" si="1"/>
        <v>400000</v>
      </c>
      <c r="M45" s="1164"/>
    </row>
    <row r="46" spans="1:13" ht="18.75" customHeight="1">
      <c r="A46" s="1154">
        <v>34</v>
      </c>
      <c r="B46" s="1155">
        <v>34</v>
      </c>
      <c r="C46" s="1156"/>
      <c r="D46" s="1156"/>
      <c r="E46" s="1157" t="s">
        <v>416</v>
      </c>
      <c r="F46" s="1156" t="s">
        <v>15</v>
      </c>
      <c r="G46" s="1155" t="s">
        <v>536</v>
      </c>
      <c r="H46" s="1155" t="s">
        <v>536</v>
      </c>
      <c r="I46" s="1155" t="s">
        <v>536</v>
      </c>
      <c r="J46" s="1155" t="s">
        <v>536</v>
      </c>
      <c r="K46" s="1153">
        <f t="shared" si="0"/>
        <v>4</v>
      </c>
      <c r="L46" s="1163">
        <f t="shared" si="1"/>
        <v>400000</v>
      </c>
      <c r="M46" s="1164"/>
    </row>
    <row r="47" spans="1:13" ht="18.75" customHeight="1">
      <c r="A47" s="1154">
        <v>35</v>
      </c>
      <c r="B47" s="1155">
        <v>35</v>
      </c>
      <c r="C47" s="1156"/>
      <c r="D47" s="1156"/>
      <c r="E47" s="1157" t="s">
        <v>417</v>
      </c>
      <c r="F47" s="1156" t="s">
        <v>15</v>
      </c>
      <c r="G47" s="1155" t="s">
        <v>536</v>
      </c>
      <c r="H47" s="1155" t="s">
        <v>536</v>
      </c>
      <c r="I47" s="1155" t="s">
        <v>536</v>
      </c>
      <c r="J47" s="1155" t="s">
        <v>536</v>
      </c>
      <c r="K47" s="1153">
        <f t="shared" si="0"/>
        <v>4</v>
      </c>
      <c r="L47" s="1163">
        <f t="shared" si="1"/>
        <v>400000</v>
      </c>
      <c r="M47" s="1164"/>
    </row>
    <row r="48" spans="1:13" ht="18.75" customHeight="1">
      <c r="A48" s="1154">
        <v>36</v>
      </c>
      <c r="B48" s="1155">
        <v>36</v>
      </c>
      <c r="C48" s="1156"/>
      <c r="D48" s="1156"/>
      <c r="E48" s="1157" t="s">
        <v>418</v>
      </c>
      <c r="F48" s="1156" t="s">
        <v>15</v>
      </c>
      <c r="G48" s="1155" t="s">
        <v>536</v>
      </c>
      <c r="H48" s="1155" t="s">
        <v>536</v>
      </c>
      <c r="I48" s="1155" t="s">
        <v>536</v>
      </c>
      <c r="J48" s="1155" t="s">
        <v>536</v>
      </c>
      <c r="K48" s="1153">
        <f t="shared" si="0"/>
        <v>4</v>
      </c>
      <c r="L48" s="1163">
        <f t="shared" si="1"/>
        <v>400000</v>
      </c>
      <c r="M48" s="1164"/>
    </row>
    <row r="49" spans="1:16" ht="18.75" customHeight="1">
      <c r="A49" s="1154">
        <v>37</v>
      </c>
      <c r="B49" s="1155">
        <v>37</v>
      </c>
      <c r="C49" s="1156"/>
      <c r="D49" s="1156"/>
      <c r="E49" s="1157" t="s">
        <v>419</v>
      </c>
      <c r="F49" s="1156" t="s">
        <v>15</v>
      </c>
      <c r="G49" s="1155" t="s">
        <v>536</v>
      </c>
      <c r="H49" s="1155" t="s">
        <v>536</v>
      </c>
      <c r="I49" s="1155" t="s">
        <v>536</v>
      </c>
      <c r="J49" s="1155" t="s">
        <v>536</v>
      </c>
      <c r="K49" s="1153">
        <f t="shared" si="0"/>
        <v>4</v>
      </c>
      <c r="L49" s="1163">
        <f t="shared" si="1"/>
        <v>400000</v>
      </c>
      <c r="M49" s="1164"/>
    </row>
    <row r="50" spans="1:16" ht="18.75" customHeight="1">
      <c r="A50" s="1154">
        <v>38</v>
      </c>
      <c r="B50" s="1155">
        <v>38</v>
      </c>
      <c r="C50" s="1156"/>
      <c r="D50" s="1156"/>
      <c r="E50" s="1157" t="s">
        <v>420</v>
      </c>
      <c r="F50" s="1156" t="s">
        <v>15</v>
      </c>
      <c r="G50" s="1155" t="s">
        <v>536</v>
      </c>
      <c r="H50" s="1155" t="s">
        <v>536</v>
      </c>
      <c r="I50" s="1155" t="s">
        <v>536</v>
      </c>
      <c r="J50" s="1155" t="s">
        <v>536</v>
      </c>
      <c r="K50" s="1153">
        <f t="shared" si="0"/>
        <v>4</v>
      </c>
      <c r="L50" s="1163">
        <f t="shared" si="1"/>
        <v>400000</v>
      </c>
      <c r="M50" s="1164"/>
    </row>
    <row r="51" spans="1:16" ht="18.75" customHeight="1">
      <c r="A51" s="1154">
        <v>39</v>
      </c>
      <c r="B51" s="1155">
        <v>39</v>
      </c>
      <c r="C51" s="1156"/>
      <c r="D51" s="1156"/>
      <c r="E51" s="1157" t="s">
        <v>421</v>
      </c>
      <c r="F51" s="1156" t="s">
        <v>15</v>
      </c>
      <c r="G51" s="1155" t="s">
        <v>536</v>
      </c>
      <c r="H51" s="1155" t="s">
        <v>536</v>
      </c>
      <c r="I51" s="1155" t="s">
        <v>536</v>
      </c>
      <c r="J51" s="1155" t="s">
        <v>536</v>
      </c>
      <c r="K51" s="1153">
        <f t="shared" si="0"/>
        <v>4</v>
      </c>
      <c r="L51" s="1163">
        <f t="shared" si="1"/>
        <v>400000</v>
      </c>
      <c r="M51" s="1164"/>
    </row>
    <row r="52" spans="1:16" ht="18.75" customHeight="1">
      <c r="A52" s="1154">
        <v>40</v>
      </c>
      <c r="B52" s="1155">
        <v>40</v>
      </c>
      <c r="C52" s="1156"/>
      <c r="D52" s="1156"/>
      <c r="E52" s="1157" t="s">
        <v>422</v>
      </c>
      <c r="F52" s="1156" t="s">
        <v>15</v>
      </c>
      <c r="G52" s="1155" t="s">
        <v>536</v>
      </c>
      <c r="H52" s="1155" t="s">
        <v>536</v>
      </c>
      <c r="I52" s="1155" t="s">
        <v>536</v>
      </c>
      <c r="J52" s="1155" t="s">
        <v>536</v>
      </c>
      <c r="K52" s="1153">
        <f t="shared" si="0"/>
        <v>4</v>
      </c>
      <c r="L52" s="1163">
        <f t="shared" si="1"/>
        <v>400000</v>
      </c>
      <c r="M52" s="1164"/>
    </row>
    <row r="53" spans="1:16" ht="18.75" customHeight="1">
      <c r="A53" s="1154">
        <v>41</v>
      </c>
      <c r="B53" s="1155">
        <v>41</v>
      </c>
      <c r="C53" s="1156"/>
      <c r="D53" s="1156"/>
      <c r="E53" s="1157" t="s">
        <v>423</v>
      </c>
      <c r="F53" s="1156" t="s">
        <v>15</v>
      </c>
      <c r="G53" s="1155" t="s">
        <v>536</v>
      </c>
      <c r="H53" s="1155" t="s">
        <v>536</v>
      </c>
      <c r="I53" s="1155" t="s">
        <v>536</v>
      </c>
      <c r="J53" s="1155" t="s">
        <v>536</v>
      </c>
      <c r="K53" s="1153">
        <f t="shared" si="0"/>
        <v>4</v>
      </c>
      <c r="L53" s="1163">
        <f t="shared" si="1"/>
        <v>400000</v>
      </c>
      <c r="M53" s="1164"/>
    </row>
    <row r="54" spans="1:16" ht="18.75" customHeight="1">
      <c r="A54" s="1154">
        <v>42</v>
      </c>
      <c r="B54" s="1155">
        <v>42</v>
      </c>
      <c r="C54" s="1156"/>
      <c r="D54" s="1156"/>
      <c r="E54" s="1157" t="s">
        <v>424</v>
      </c>
      <c r="F54" s="1156" t="s">
        <v>15</v>
      </c>
      <c r="G54" s="1155" t="s">
        <v>536</v>
      </c>
      <c r="H54" s="1155" t="s">
        <v>536</v>
      </c>
      <c r="I54" s="1155" t="s">
        <v>536</v>
      </c>
      <c r="J54" s="1155" t="s">
        <v>536</v>
      </c>
      <c r="K54" s="1153">
        <f t="shared" si="0"/>
        <v>4</v>
      </c>
      <c r="L54" s="1163">
        <f t="shared" si="1"/>
        <v>400000</v>
      </c>
      <c r="M54" s="1164"/>
    </row>
    <row r="55" spans="1:16" ht="18.75" customHeight="1">
      <c r="A55" s="1154">
        <v>43</v>
      </c>
      <c r="B55" s="1155">
        <v>43</v>
      </c>
      <c r="C55" s="1156"/>
      <c r="D55" s="1156"/>
      <c r="E55" s="1157" t="s">
        <v>425</v>
      </c>
      <c r="F55" s="1156" t="s">
        <v>15</v>
      </c>
      <c r="G55" s="1155" t="s">
        <v>536</v>
      </c>
      <c r="H55" s="1155" t="s">
        <v>536</v>
      </c>
      <c r="I55" s="1155" t="s">
        <v>536</v>
      </c>
      <c r="J55" s="1155" t="s">
        <v>536</v>
      </c>
      <c r="K55" s="1153">
        <f t="shared" si="0"/>
        <v>4</v>
      </c>
      <c r="L55" s="1163">
        <f t="shared" si="1"/>
        <v>400000</v>
      </c>
      <c r="M55" s="1164"/>
    </row>
    <row r="56" spans="1:16" ht="18.75" customHeight="1">
      <c r="A56" s="2378" t="s">
        <v>58</v>
      </c>
      <c r="B56" s="2379"/>
      <c r="C56" s="2379"/>
      <c r="D56" s="2379"/>
      <c r="E56" s="2379"/>
      <c r="F56" s="2380"/>
      <c r="G56" s="1153">
        <f>COUNTIF(G57:G111,"X")</f>
        <v>50</v>
      </c>
      <c r="H56" s="1153">
        <f>COUNTIF(H57:H111,"X")</f>
        <v>53</v>
      </c>
      <c r="I56" s="1153">
        <f>COUNTIF(I57:I111,"X")</f>
        <v>52</v>
      </c>
      <c r="J56" s="1153">
        <f>COUNTIF(J57:J111,"X")</f>
        <v>49</v>
      </c>
      <c r="K56" s="1153">
        <f>SUM(K57:K111)</f>
        <v>204</v>
      </c>
      <c r="L56" s="1162">
        <f>SUM(L57:L111)</f>
        <v>20400000</v>
      </c>
      <c r="M56" s="1162"/>
    </row>
    <row r="57" spans="1:16" ht="18.75" customHeight="1">
      <c r="A57" s="1154">
        <v>44</v>
      </c>
      <c r="B57" s="1155">
        <v>1</v>
      </c>
      <c r="C57" s="1156"/>
      <c r="D57" s="1156"/>
      <c r="E57" s="1157" t="s">
        <v>430</v>
      </c>
      <c r="F57" s="1156" t="s">
        <v>15</v>
      </c>
      <c r="G57" s="1155"/>
      <c r="H57" s="1155"/>
      <c r="I57" s="1155" t="s">
        <v>536</v>
      </c>
      <c r="J57" s="1155"/>
      <c r="K57" s="1153">
        <f t="shared" ref="K57:K111" si="2">COUNTIF(G57:J57,"X")</f>
        <v>1</v>
      </c>
      <c r="L57" s="1163">
        <f t="shared" si="1"/>
        <v>100000</v>
      </c>
      <c r="M57" s="1164"/>
    </row>
    <row r="58" spans="1:16" ht="18.75" customHeight="1">
      <c r="A58" s="1154">
        <v>45</v>
      </c>
      <c r="B58" s="1155">
        <v>2</v>
      </c>
      <c r="C58" s="1156"/>
      <c r="D58" s="1156"/>
      <c r="E58" s="1157" t="s">
        <v>431</v>
      </c>
      <c r="F58" s="1156" t="s">
        <v>15</v>
      </c>
      <c r="G58" s="1155" t="s">
        <v>536</v>
      </c>
      <c r="H58" s="1155" t="s">
        <v>536</v>
      </c>
      <c r="I58" s="1155" t="s">
        <v>536</v>
      </c>
      <c r="J58" s="1155" t="s">
        <v>536</v>
      </c>
      <c r="K58" s="1153">
        <f t="shared" si="2"/>
        <v>4</v>
      </c>
      <c r="L58" s="1163">
        <f t="shared" si="1"/>
        <v>400000</v>
      </c>
      <c r="M58" s="1164"/>
    </row>
    <row r="59" spans="1:16" ht="18.75" customHeight="1">
      <c r="A59" s="1154">
        <v>46</v>
      </c>
      <c r="B59" s="1155">
        <v>3</v>
      </c>
      <c r="C59" s="1156"/>
      <c r="D59" s="1156"/>
      <c r="E59" s="1157" t="s">
        <v>432</v>
      </c>
      <c r="F59" s="1156" t="s">
        <v>15</v>
      </c>
      <c r="G59" s="1155" t="s">
        <v>536</v>
      </c>
      <c r="H59" s="1155" t="s">
        <v>536</v>
      </c>
      <c r="I59" s="1155" t="s">
        <v>536</v>
      </c>
      <c r="J59" s="1155" t="s">
        <v>536</v>
      </c>
      <c r="K59" s="1153">
        <f t="shared" si="2"/>
        <v>4</v>
      </c>
      <c r="L59" s="1163">
        <f t="shared" si="1"/>
        <v>400000</v>
      </c>
      <c r="M59" s="1164"/>
    </row>
    <row r="60" spans="1:16" ht="18.75" customHeight="1">
      <c r="A60" s="1154">
        <v>47</v>
      </c>
      <c r="B60" s="1155">
        <v>4</v>
      </c>
      <c r="C60" s="1156"/>
      <c r="D60" s="1156"/>
      <c r="E60" s="1157" t="s">
        <v>433</v>
      </c>
      <c r="F60" s="1156" t="s">
        <v>15</v>
      </c>
      <c r="G60" s="1155" t="s">
        <v>536</v>
      </c>
      <c r="H60" s="1155" t="s">
        <v>536</v>
      </c>
      <c r="I60" s="1155" t="s">
        <v>536</v>
      </c>
      <c r="J60" s="1155" t="s">
        <v>536</v>
      </c>
      <c r="K60" s="1153">
        <f t="shared" si="2"/>
        <v>4</v>
      </c>
      <c r="L60" s="1163">
        <f t="shared" si="1"/>
        <v>400000</v>
      </c>
      <c r="M60" s="1164"/>
    </row>
    <row r="61" spans="1:16" ht="18.75" customHeight="1">
      <c r="A61" s="1154">
        <v>48</v>
      </c>
      <c r="B61" s="1155">
        <v>5</v>
      </c>
      <c r="C61" s="1156"/>
      <c r="D61" s="1156"/>
      <c r="E61" s="1157" t="s">
        <v>434</v>
      </c>
      <c r="F61" s="1156" t="s">
        <v>15</v>
      </c>
      <c r="G61" s="1155" t="s">
        <v>536</v>
      </c>
      <c r="H61" s="1155" t="s">
        <v>536</v>
      </c>
      <c r="I61" s="1155" t="s">
        <v>536</v>
      </c>
      <c r="J61" s="1155" t="s">
        <v>536</v>
      </c>
      <c r="K61" s="1153">
        <f t="shared" si="2"/>
        <v>4</v>
      </c>
      <c r="L61" s="1163">
        <f t="shared" si="1"/>
        <v>400000</v>
      </c>
      <c r="M61" s="1164"/>
      <c r="P61" s="841">
        <f>5+2+3+6</f>
        <v>16</v>
      </c>
    </row>
    <row r="62" spans="1:16" ht="18.75" customHeight="1">
      <c r="A62" s="1154">
        <v>49</v>
      </c>
      <c r="B62" s="1155">
        <v>6</v>
      </c>
      <c r="C62" s="1156"/>
      <c r="D62" s="1156"/>
      <c r="E62" s="1157" t="s">
        <v>538</v>
      </c>
      <c r="F62" s="1156" t="s">
        <v>15</v>
      </c>
      <c r="G62" s="1155"/>
      <c r="H62" s="1155" t="s">
        <v>536</v>
      </c>
      <c r="I62" s="1155" t="s">
        <v>536</v>
      </c>
      <c r="J62" s="1155" t="s">
        <v>536</v>
      </c>
      <c r="K62" s="1153">
        <f t="shared" si="2"/>
        <v>3</v>
      </c>
      <c r="L62" s="1163">
        <f t="shared" si="1"/>
        <v>300000</v>
      </c>
      <c r="M62" s="1164"/>
      <c r="P62" s="841">
        <f>55*4</f>
        <v>220</v>
      </c>
    </row>
    <row r="63" spans="1:16" ht="18.75" customHeight="1">
      <c r="A63" s="1154">
        <v>50</v>
      </c>
      <c r="B63" s="1155">
        <v>7</v>
      </c>
      <c r="C63" s="1156"/>
      <c r="D63" s="1156"/>
      <c r="E63" s="1157" t="s">
        <v>436</v>
      </c>
      <c r="F63" s="1156" t="s">
        <v>15</v>
      </c>
      <c r="G63" s="1155" t="s">
        <v>536</v>
      </c>
      <c r="H63" s="1155" t="s">
        <v>536</v>
      </c>
      <c r="I63" s="1155" t="s">
        <v>536</v>
      </c>
      <c r="J63" s="1155" t="s">
        <v>536</v>
      </c>
      <c r="K63" s="1153">
        <f t="shared" si="2"/>
        <v>4</v>
      </c>
      <c r="L63" s="1163">
        <f t="shared" si="1"/>
        <v>400000</v>
      </c>
      <c r="M63" s="1164"/>
      <c r="P63" s="841">
        <f>+P62-P61</f>
        <v>204</v>
      </c>
    </row>
    <row r="64" spans="1:16" ht="18.75" customHeight="1">
      <c r="A64" s="1154">
        <v>51</v>
      </c>
      <c r="B64" s="1155">
        <v>8</v>
      </c>
      <c r="C64" s="1156"/>
      <c r="D64" s="1156"/>
      <c r="E64" s="1157" t="s">
        <v>437</v>
      </c>
      <c r="F64" s="1156" t="s">
        <v>15</v>
      </c>
      <c r="G64" s="1155" t="s">
        <v>536</v>
      </c>
      <c r="H64" s="1155" t="s">
        <v>536</v>
      </c>
      <c r="I64" s="1155"/>
      <c r="J64" s="1155" t="s">
        <v>536</v>
      </c>
      <c r="K64" s="1153">
        <f t="shared" si="2"/>
        <v>3</v>
      </c>
      <c r="L64" s="1163">
        <f t="shared" si="1"/>
        <v>300000</v>
      </c>
      <c r="M64" s="1164"/>
    </row>
    <row r="65" spans="1:13" ht="18.75" customHeight="1">
      <c r="A65" s="1154">
        <v>52</v>
      </c>
      <c r="B65" s="1155">
        <v>9</v>
      </c>
      <c r="C65" s="1156"/>
      <c r="D65" s="1156"/>
      <c r="E65" s="1157" t="s">
        <v>539</v>
      </c>
      <c r="F65" s="1156" t="s">
        <v>15</v>
      </c>
      <c r="G65" s="1155" t="s">
        <v>536</v>
      </c>
      <c r="H65" s="1155" t="s">
        <v>536</v>
      </c>
      <c r="I65" s="1155" t="s">
        <v>536</v>
      </c>
      <c r="J65" s="1155" t="s">
        <v>536</v>
      </c>
      <c r="K65" s="1153">
        <f t="shared" si="2"/>
        <v>4</v>
      </c>
      <c r="L65" s="1163">
        <f t="shared" si="1"/>
        <v>400000</v>
      </c>
      <c r="M65" s="1164"/>
    </row>
    <row r="66" spans="1:13" ht="18.75" customHeight="1">
      <c r="A66" s="1154">
        <v>53</v>
      </c>
      <c r="B66" s="1155">
        <v>10</v>
      </c>
      <c r="C66" s="1156"/>
      <c r="D66" s="1156"/>
      <c r="E66" s="1157" t="s">
        <v>439</v>
      </c>
      <c r="F66" s="1156" t="s">
        <v>15</v>
      </c>
      <c r="G66" s="1155" t="s">
        <v>536</v>
      </c>
      <c r="H66" s="1155" t="s">
        <v>536</v>
      </c>
      <c r="I66" s="1155" t="s">
        <v>536</v>
      </c>
      <c r="J66" s="1155"/>
      <c r="K66" s="1153">
        <f t="shared" si="2"/>
        <v>3</v>
      </c>
      <c r="L66" s="1163">
        <f t="shared" si="1"/>
        <v>300000</v>
      </c>
      <c r="M66" s="1164"/>
    </row>
    <row r="67" spans="1:13" ht="18.75" customHeight="1">
      <c r="A67" s="1154">
        <v>54</v>
      </c>
      <c r="B67" s="1155">
        <v>11</v>
      </c>
      <c r="C67" s="1156"/>
      <c r="D67" s="1156"/>
      <c r="E67" s="1157" t="s">
        <v>440</v>
      </c>
      <c r="F67" s="1156" t="s">
        <v>15</v>
      </c>
      <c r="G67" s="1155" t="s">
        <v>536</v>
      </c>
      <c r="H67" s="1155" t="s">
        <v>536</v>
      </c>
      <c r="I67" s="1155" t="s">
        <v>536</v>
      </c>
      <c r="J67" s="1155" t="s">
        <v>536</v>
      </c>
      <c r="K67" s="1153">
        <f t="shared" si="2"/>
        <v>4</v>
      </c>
      <c r="L67" s="1163">
        <f t="shared" si="1"/>
        <v>400000</v>
      </c>
      <c r="M67" s="1164"/>
    </row>
    <row r="68" spans="1:13" ht="18.75" customHeight="1">
      <c r="A68" s="1154">
        <v>55</v>
      </c>
      <c r="B68" s="1155">
        <v>12</v>
      </c>
      <c r="C68" s="1156"/>
      <c r="D68" s="1156"/>
      <c r="E68" s="1157" t="s">
        <v>441</v>
      </c>
      <c r="F68" s="1156" t="s">
        <v>15</v>
      </c>
      <c r="G68" s="1155" t="s">
        <v>536</v>
      </c>
      <c r="H68" s="1155" t="s">
        <v>536</v>
      </c>
      <c r="I68" s="1155" t="s">
        <v>536</v>
      </c>
      <c r="J68" s="1155" t="s">
        <v>536</v>
      </c>
      <c r="K68" s="1153">
        <f t="shared" si="2"/>
        <v>4</v>
      </c>
      <c r="L68" s="1163">
        <f t="shared" si="1"/>
        <v>400000</v>
      </c>
      <c r="M68" s="1164"/>
    </row>
    <row r="69" spans="1:13" ht="18.75" customHeight="1">
      <c r="A69" s="1154">
        <v>56</v>
      </c>
      <c r="B69" s="1155">
        <v>13</v>
      </c>
      <c r="C69" s="1156"/>
      <c r="D69" s="1156"/>
      <c r="E69" s="1157" t="s">
        <v>442</v>
      </c>
      <c r="F69" s="1156" t="s">
        <v>15</v>
      </c>
      <c r="G69" s="1155" t="s">
        <v>536</v>
      </c>
      <c r="H69" s="1155" t="s">
        <v>536</v>
      </c>
      <c r="I69" s="1155" t="s">
        <v>536</v>
      </c>
      <c r="J69" s="1155" t="s">
        <v>536</v>
      </c>
      <c r="K69" s="1153">
        <f t="shared" si="2"/>
        <v>4</v>
      </c>
      <c r="L69" s="1163">
        <f t="shared" si="1"/>
        <v>400000</v>
      </c>
      <c r="M69" s="1164"/>
    </row>
    <row r="70" spans="1:13" ht="18.75" customHeight="1">
      <c r="A70" s="1154">
        <v>57</v>
      </c>
      <c r="B70" s="1155">
        <v>14</v>
      </c>
      <c r="C70" s="1156"/>
      <c r="D70" s="1156"/>
      <c r="E70" s="1157" t="s">
        <v>443</v>
      </c>
      <c r="F70" s="1156" t="s">
        <v>15</v>
      </c>
      <c r="G70" s="1155" t="s">
        <v>536</v>
      </c>
      <c r="H70" s="1155" t="s">
        <v>536</v>
      </c>
      <c r="I70" s="1155" t="s">
        <v>536</v>
      </c>
      <c r="J70" s="1155" t="s">
        <v>536</v>
      </c>
      <c r="K70" s="1153">
        <f t="shared" si="2"/>
        <v>4</v>
      </c>
      <c r="L70" s="1163">
        <f t="shared" si="1"/>
        <v>400000</v>
      </c>
      <c r="M70" s="1164"/>
    </row>
    <row r="71" spans="1:13" ht="18.75" customHeight="1">
      <c r="A71" s="1154">
        <v>58</v>
      </c>
      <c r="B71" s="1155">
        <v>15</v>
      </c>
      <c r="C71" s="1156"/>
      <c r="D71" s="1156"/>
      <c r="E71" s="1157" t="s">
        <v>540</v>
      </c>
      <c r="F71" s="1156" t="s">
        <v>15</v>
      </c>
      <c r="G71" s="1155" t="s">
        <v>536</v>
      </c>
      <c r="H71" s="1155" t="s">
        <v>536</v>
      </c>
      <c r="I71" s="1155" t="s">
        <v>536</v>
      </c>
      <c r="J71" s="1155" t="s">
        <v>536</v>
      </c>
      <c r="K71" s="1153">
        <f t="shared" si="2"/>
        <v>4</v>
      </c>
      <c r="L71" s="1163">
        <f t="shared" si="1"/>
        <v>400000</v>
      </c>
      <c r="M71" s="1164"/>
    </row>
    <row r="72" spans="1:13" ht="18.75" customHeight="1">
      <c r="A72" s="1154">
        <v>59</v>
      </c>
      <c r="B72" s="1155">
        <v>16</v>
      </c>
      <c r="C72" s="1156"/>
      <c r="D72" s="1156"/>
      <c r="E72" s="1157" t="s">
        <v>445</v>
      </c>
      <c r="F72" s="1156" t="s">
        <v>15</v>
      </c>
      <c r="G72" s="1155"/>
      <c r="H72" s="1155" t="s">
        <v>536</v>
      </c>
      <c r="I72" s="1155" t="s">
        <v>536</v>
      </c>
      <c r="J72" s="1155" t="s">
        <v>536</v>
      </c>
      <c r="K72" s="1153">
        <f t="shared" si="2"/>
        <v>3</v>
      </c>
      <c r="L72" s="1163">
        <f t="shared" si="1"/>
        <v>300000</v>
      </c>
      <c r="M72" s="1164"/>
    </row>
    <row r="73" spans="1:13" ht="18.75" customHeight="1">
      <c r="A73" s="1154">
        <v>60</v>
      </c>
      <c r="B73" s="1155">
        <v>17</v>
      </c>
      <c r="C73" s="1156"/>
      <c r="D73" s="1156"/>
      <c r="E73" s="1157" t="s">
        <v>541</v>
      </c>
      <c r="F73" s="1156" t="s">
        <v>15</v>
      </c>
      <c r="G73" s="1155" t="s">
        <v>536</v>
      </c>
      <c r="H73" s="1155" t="s">
        <v>536</v>
      </c>
      <c r="I73" s="1155" t="s">
        <v>536</v>
      </c>
      <c r="J73" s="1155"/>
      <c r="K73" s="1153">
        <f t="shared" si="2"/>
        <v>3</v>
      </c>
      <c r="L73" s="1163">
        <f t="shared" si="1"/>
        <v>300000</v>
      </c>
      <c r="M73" s="1164"/>
    </row>
    <row r="74" spans="1:13" ht="18.75" customHeight="1">
      <c r="A74" s="1154">
        <v>61</v>
      </c>
      <c r="B74" s="1155">
        <v>18</v>
      </c>
      <c r="C74" s="1156"/>
      <c r="D74" s="1156"/>
      <c r="E74" s="1157" t="s">
        <v>542</v>
      </c>
      <c r="F74" s="1156" t="s">
        <v>15</v>
      </c>
      <c r="G74" s="1155" t="s">
        <v>536</v>
      </c>
      <c r="H74" s="1155" t="s">
        <v>536</v>
      </c>
      <c r="I74" s="1155" t="s">
        <v>536</v>
      </c>
      <c r="J74" s="1155"/>
      <c r="K74" s="1153">
        <f t="shared" si="2"/>
        <v>3</v>
      </c>
      <c r="L74" s="1163">
        <f t="shared" si="1"/>
        <v>300000</v>
      </c>
      <c r="M74" s="1164"/>
    </row>
    <row r="75" spans="1:13" ht="18.75" customHeight="1">
      <c r="A75" s="1154">
        <v>62</v>
      </c>
      <c r="B75" s="1155">
        <v>19</v>
      </c>
      <c r="C75" s="1156"/>
      <c r="D75" s="1156"/>
      <c r="E75" s="1157" t="s">
        <v>447</v>
      </c>
      <c r="F75" s="1156" t="s">
        <v>15</v>
      </c>
      <c r="G75" s="1155" t="s">
        <v>536</v>
      </c>
      <c r="H75" s="1155" t="s">
        <v>536</v>
      </c>
      <c r="I75" s="1155" t="s">
        <v>536</v>
      </c>
      <c r="J75" s="1155" t="s">
        <v>536</v>
      </c>
      <c r="K75" s="1153">
        <f t="shared" si="2"/>
        <v>4</v>
      </c>
      <c r="L75" s="1163">
        <f t="shared" si="1"/>
        <v>400000</v>
      </c>
      <c r="M75" s="1164"/>
    </row>
    <row r="76" spans="1:13" ht="18.75" customHeight="1">
      <c r="A76" s="1154">
        <v>63</v>
      </c>
      <c r="B76" s="1155">
        <v>20</v>
      </c>
      <c r="C76" s="1156"/>
      <c r="D76" s="1156"/>
      <c r="E76" s="1157" t="s">
        <v>448</v>
      </c>
      <c r="F76" s="1156" t="s">
        <v>15</v>
      </c>
      <c r="G76" s="1155" t="s">
        <v>536</v>
      </c>
      <c r="H76" s="1155" t="s">
        <v>536</v>
      </c>
      <c r="I76" s="1155" t="s">
        <v>536</v>
      </c>
      <c r="J76" s="1155" t="s">
        <v>536</v>
      </c>
      <c r="K76" s="1153">
        <f t="shared" si="2"/>
        <v>4</v>
      </c>
      <c r="L76" s="1163">
        <f t="shared" si="1"/>
        <v>400000</v>
      </c>
      <c r="M76" s="1164"/>
    </row>
    <row r="77" spans="1:13" ht="18.75" customHeight="1">
      <c r="A77" s="1154">
        <v>64</v>
      </c>
      <c r="B77" s="1155">
        <v>21</v>
      </c>
      <c r="C77" s="1156"/>
      <c r="D77" s="1156"/>
      <c r="E77" s="1157" t="s">
        <v>449</v>
      </c>
      <c r="F77" s="1156" t="s">
        <v>15</v>
      </c>
      <c r="G77" s="1155" t="s">
        <v>536</v>
      </c>
      <c r="H77" s="1155" t="s">
        <v>536</v>
      </c>
      <c r="I77" s="1155" t="s">
        <v>536</v>
      </c>
      <c r="J77" s="1155" t="s">
        <v>536</v>
      </c>
      <c r="K77" s="1153">
        <f t="shared" si="2"/>
        <v>4</v>
      </c>
      <c r="L77" s="1163">
        <f t="shared" si="1"/>
        <v>400000</v>
      </c>
      <c r="M77" s="1164"/>
    </row>
    <row r="78" spans="1:13" ht="18.75" customHeight="1">
      <c r="A78" s="1154">
        <v>65</v>
      </c>
      <c r="B78" s="1155">
        <v>22</v>
      </c>
      <c r="C78" s="1156"/>
      <c r="D78" s="1156"/>
      <c r="E78" s="1157" t="s">
        <v>543</v>
      </c>
      <c r="F78" s="1156" t="s">
        <v>15</v>
      </c>
      <c r="G78" s="1155" t="s">
        <v>536</v>
      </c>
      <c r="H78" s="1155" t="s">
        <v>536</v>
      </c>
      <c r="I78" s="1155" t="s">
        <v>536</v>
      </c>
      <c r="J78" s="1155" t="s">
        <v>536</v>
      </c>
      <c r="K78" s="1153">
        <f t="shared" si="2"/>
        <v>4</v>
      </c>
      <c r="L78" s="1163">
        <f t="shared" ref="L78:L111" si="3">K78*100000</f>
        <v>400000</v>
      </c>
      <c r="M78" s="1164"/>
    </row>
    <row r="79" spans="1:13" ht="18.75" customHeight="1">
      <c r="A79" s="1154">
        <v>66</v>
      </c>
      <c r="B79" s="1155">
        <v>23</v>
      </c>
      <c r="C79" s="1156"/>
      <c r="D79" s="1156"/>
      <c r="E79" s="1157" t="s">
        <v>451</v>
      </c>
      <c r="F79" s="1156" t="s">
        <v>15</v>
      </c>
      <c r="G79" s="1155" t="s">
        <v>536</v>
      </c>
      <c r="H79" s="1155" t="s">
        <v>536</v>
      </c>
      <c r="I79" s="1155" t="s">
        <v>536</v>
      </c>
      <c r="J79" s="1155" t="s">
        <v>536</v>
      </c>
      <c r="K79" s="1153">
        <f t="shared" si="2"/>
        <v>4</v>
      </c>
      <c r="L79" s="1163">
        <f t="shared" si="3"/>
        <v>400000</v>
      </c>
      <c r="M79" s="1164"/>
    </row>
    <row r="80" spans="1:13" ht="18.75" customHeight="1">
      <c r="A80" s="1154">
        <v>67</v>
      </c>
      <c r="B80" s="1155">
        <v>24</v>
      </c>
      <c r="C80" s="1156"/>
      <c r="D80" s="1156"/>
      <c r="E80" s="1157" t="s">
        <v>452</v>
      </c>
      <c r="F80" s="1156" t="s">
        <v>15</v>
      </c>
      <c r="G80" s="1155" t="s">
        <v>536</v>
      </c>
      <c r="H80" s="1155" t="s">
        <v>536</v>
      </c>
      <c r="I80" s="1155" t="s">
        <v>536</v>
      </c>
      <c r="J80" s="1155" t="s">
        <v>536</v>
      </c>
      <c r="K80" s="1153">
        <f t="shared" si="2"/>
        <v>4</v>
      </c>
      <c r="L80" s="1163">
        <f t="shared" si="3"/>
        <v>400000</v>
      </c>
      <c r="M80" s="1164"/>
    </row>
    <row r="81" spans="1:13" ht="18.75" customHeight="1">
      <c r="A81" s="1154">
        <v>68</v>
      </c>
      <c r="B81" s="1155">
        <v>25</v>
      </c>
      <c r="C81" s="1156"/>
      <c r="D81" s="1156"/>
      <c r="E81" s="1157" t="s">
        <v>453</v>
      </c>
      <c r="F81" s="1156" t="s">
        <v>15</v>
      </c>
      <c r="G81" s="1155" t="s">
        <v>536</v>
      </c>
      <c r="H81" s="1155" t="s">
        <v>536</v>
      </c>
      <c r="I81" s="1155" t="s">
        <v>536</v>
      </c>
      <c r="J81" s="1155" t="s">
        <v>536</v>
      </c>
      <c r="K81" s="1153">
        <f t="shared" si="2"/>
        <v>4</v>
      </c>
      <c r="L81" s="1163">
        <f t="shared" si="3"/>
        <v>400000</v>
      </c>
      <c r="M81" s="1164"/>
    </row>
    <row r="82" spans="1:13" ht="18.75" customHeight="1">
      <c r="A82" s="1154">
        <v>69</v>
      </c>
      <c r="B82" s="1155">
        <v>26</v>
      </c>
      <c r="C82" s="1156"/>
      <c r="D82" s="1156"/>
      <c r="E82" s="1157" t="s">
        <v>544</v>
      </c>
      <c r="F82" s="1156" t="s">
        <v>15</v>
      </c>
      <c r="G82" s="1155" t="s">
        <v>536</v>
      </c>
      <c r="H82" s="1155" t="s">
        <v>536</v>
      </c>
      <c r="I82" s="1155" t="s">
        <v>536</v>
      </c>
      <c r="J82" s="1155"/>
      <c r="K82" s="1153">
        <f t="shared" si="2"/>
        <v>3</v>
      </c>
      <c r="L82" s="1163">
        <f t="shared" si="3"/>
        <v>300000</v>
      </c>
      <c r="M82" s="1164"/>
    </row>
    <row r="83" spans="1:13" ht="18.75" customHeight="1">
      <c r="A83" s="1154">
        <v>70</v>
      </c>
      <c r="B83" s="1155">
        <v>27</v>
      </c>
      <c r="C83" s="1156"/>
      <c r="D83" s="1156"/>
      <c r="E83" s="1157" t="s">
        <v>455</v>
      </c>
      <c r="F83" s="1156" t="s">
        <v>15</v>
      </c>
      <c r="G83" s="1155" t="s">
        <v>536</v>
      </c>
      <c r="H83" s="1155" t="s">
        <v>536</v>
      </c>
      <c r="I83" s="1155" t="s">
        <v>536</v>
      </c>
      <c r="J83" s="1155" t="s">
        <v>536</v>
      </c>
      <c r="K83" s="1153">
        <f t="shared" si="2"/>
        <v>4</v>
      </c>
      <c r="L83" s="1163">
        <f t="shared" si="3"/>
        <v>400000</v>
      </c>
      <c r="M83" s="1164"/>
    </row>
    <row r="84" spans="1:13" ht="18.75" customHeight="1">
      <c r="A84" s="1154">
        <v>71</v>
      </c>
      <c r="B84" s="1155">
        <v>28</v>
      </c>
      <c r="C84" s="1156"/>
      <c r="D84" s="1156"/>
      <c r="E84" s="1157" t="s">
        <v>456</v>
      </c>
      <c r="F84" s="1156" t="s">
        <v>15</v>
      </c>
      <c r="G84" s="1155"/>
      <c r="H84" s="1155" t="s">
        <v>536</v>
      </c>
      <c r="I84" s="1155"/>
      <c r="J84" s="1155" t="s">
        <v>536</v>
      </c>
      <c r="K84" s="1153">
        <f t="shared" si="2"/>
        <v>2</v>
      </c>
      <c r="L84" s="1163">
        <f t="shared" si="3"/>
        <v>200000</v>
      </c>
      <c r="M84" s="1164"/>
    </row>
    <row r="85" spans="1:13" ht="18.75" customHeight="1">
      <c r="A85" s="1154">
        <v>72</v>
      </c>
      <c r="B85" s="1155">
        <v>29</v>
      </c>
      <c r="C85" s="1156"/>
      <c r="D85" s="1156"/>
      <c r="E85" s="1157" t="s">
        <v>545</v>
      </c>
      <c r="F85" s="1156" t="s">
        <v>15</v>
      </c>
      <c r="G85" s="1155"/>
      <c r="H85" s="1155" t="s">
        <v>536</v>
      </c>
      <c r="I85" s="1155" t="s">
        <v>536</v>
      </c>
      <c r="J85" s="1155" t="s">
        <v>536</v>
      </c>
      <c r="K85" s="1153">
        <f t="shared" si="2"/>
        <v>3</v>
      </c>
      <c r="L85" s="1163">
        <f t="shared" si="3"/>
        <v>300000</v>
      </c>
      <c r="M85" s="1164"/>
    </row>
    <row r="86" spans="1:13" ht="18.75" customHeight="1">
      <c r="A86" s="1154">
        <v>73</v>
      </c>
      <c r="B86" s="1155">
        <v>30</v>
      </c>
      <c r="C86" s="1156"/>
      <c r="D86" s="1156"/>
      <c r="E86" s="1157" t="s">
        <v>458</v>
      </c>
      <c r="F86" s="1156" t="s">
        <v>15</v>
      </c>
      <c r="G86" s="1155" t="s">
        <v>536</v>
      </c>
      <c r="H86" s="1155" t="s">
        <v>536</v>
      </c>
      <c r="I86" s="1155" t="s">
        <v>536</v>
      </c>
      <c r="J86" s="1155" t="s">
        <v>536</v>
      </c>
      <c r="K86" s="1153">
        <f t="shared" si="2"/>
        <v>4</v>
      </c>
      <c r="L86" s="1163">
        <f t="shared" si="3"/>
        <v>400000</v>
      </c>
      <c r="M86" s="1164"/>
    </row>
    <row r="87" spans="1:13" ht="18.75" customHeight="1">
      <c r="A87" s="1154">
        <v>74</v>
      </c>
      <c r="B87" s="1155">
        <v>31</v>
      </c>
      <c r="C87" s="1156"/>
      <c r="D87" s="1156"/>
      <c r="E87" s="1157" t="s">
        <v>459</v>
      </c>
      <c r="F87" s="1156" t="s">
        <v>15</v>
      </c>
      <c r="G87" s="1155" t="s">
        <v>536</v>
      </c>
      <c r="H87" s="1155" t="s">
        <v>536</v>
      </c>
      <c r="I87" s="1155" t="s">
        <v>536</v>
      </c>
      <c r="J87" s="1155" t="s">
        <v>536</v>
      </c>
      <c r="K87" s="1153">
        <f t="shared" si="2"/>
        <v>4</v>
      </c>
      <c r="L87" s="1163">
        <f t="shared" si="3"/>
        <v>400000</v>
      </c>
      <c r="M87" s="1164"/>
    </row>
    <row r="88" spans="1:13" ht="18.75" customHeight="1">
      <c r="A88" s="1154">
        <v>75</v>
      </c>
      <c r="B88" s="1155">
        <v>32</v>
      </c>
      <c r="C88" s="1156"/>
      <c r="D88" s="1156"/>
      <c r="E88" s="1157" t="s">
        <v>460</v>
      </c>
      <c r="F88" s="1156" t="s">
        <v>15</v>
      </c>
      <c r="G88" s="1155" t="s">
        <v>536</v>
      </c>
      <c r="H88" s="1155" t="s">
        <v>536</v>
      </c>
      <c r="I88" s="1155" t="s">
        <v>536</v>
      </c>
      <c r="J88" s="1155" t="s">
        <v>536</v>
      </c>
      <c r="K88" s="1153">
        <f t="shared" si="2"/>
        <v>4</v>
      </c>
      <c r="L88" s="1163">
        <f t="shared" si="3"/>
        <v>400000</v>
      </c>
      <c r="M88" s="1164"/>
    </row>
    <row r="89" spans="1:13" ht="18.75" customHeight="1">
      <c r="A89" s="1154">
        <v>76</v>
      </c>
      <c r="B89" s="1155">
        <v>33</v>
      </c>
      <c r="C89" s="1156"/>
      <c r="D89" s="1156"/>
      <c r="E89" s="1157" t="s">
        <v>461</v>
      </c>
      <c r="F89" s="1156" t="s">
        <v>15</v>
      </c>
      <c r="G89" s="1155" t="s">
        <v>536</v>
      </c>
      <c r="H89" s="1155" t="s">
        <v>536</v>
      </c>
      <c r="I89" s="1155" t="s">
        <v>536</v>
      </c>
      <c r="J89" s="1155" t="s">
        <v>536</v>
      </c>
      <c r="K89" s="1153">
        <f t="shared" si="2"/>
        <v>4</v>
      </c>
      <c r="L89" s="1163">
        <f t="shared" si="3"/>
        <v>400000</v>
      </c>
      <c r="M89" s="1164"/>
    </row>
    <row r="90" spans="1:13" ht="18.75" customHeight="1">
      <c r="A90" s="1154">
        <v>77</v>
      </c>
      <c r="B90" s="1155">
        <v>34</v>
      </c>
      <c r="C90" s="1156"/>
      <c r="D90" s="1156"/>
      <c r="E90" s="1157" t="s">
        <v>546</v>
      </c>
      <c r="F90" s="1156" t="s">
        <v>15</v>
      </c>
      <c r="G90" s="1155" t="s">
        <v>536</v>
      </c>
      <c r="H90" s="1155" t="s">
        <v>536</v>
      </c>
      <c r="I90" s="1155" t="s">
        <v>536</v>
      </c>
      <c r="J90" s="1155" t="s">
        <v>536</v>
      </c>
      <c r="K90" s="1153">
        <f t="shared" si="2"/>
        <v>4</v>
      </c>
      <c r="L90" s="1163">
        <f t="shared" si="3"/>
        <v>400000</v>
      </c>
      <c r="M90" s="1164"/>
    </row>
    <row r="91" spans="1:13" ht="18.75" customHeight="1">
      <c r="A91" s="1154">
        <v>78</v>
      </c>
      <c r="B91" s="1155">
        <v>35</v>
      </c>
      <c r="C91" s="1156"/>
      <c r="D91" s="1156"/>
      <c r="E91" s="1157" t="s">
        <v>463</v>
      </c>
      <c r="F91" s="1156" t="s">
        <v>15</v>
      </c>
      <c r="G91" s="1155" t="s">
        <v>536</v>
      </c>
      <c r="H91" s="1155" t="s">
        <v>536</v>
      </c>
      <c r="I91" s="1155" t="s">
        <v>536</v>
      </c>
      <c r="J91" s="1155"/>
      <c r="K91" s="1153">
        <f t="shared" si="2"/>
        <v>3</v>
      </c>
      <c r="L91" s="1163">
        <f t="shared" si="3"/>
        <v>300000</v>
      </c>
      <c r="M91" s="1164"/>
    </row>
    <row r="92" spans="1:13" ht="18.75" customHeight="1">
      <c r="A92" s="1154">
        <v>79</v>
      </c>
      <c r="B92" s="1155">
        <v>36</v>
      </c>
      <c r="C92" s="1156"/>
      <c r="D92" s="1156"/>
      <c r="E92" s="1157" t="s">
        <v>547</v>
      </c>
      <c r="F92" s="1156" t="s">
        <v>15</v>
      </c>
      <c r="G92" s="1155" t="s">
        <v>536</v>
      </c>
      <c r="H92" s="1155" t="s">
        <v>536</v>
      </c>
      <c r="I92" s="1155" t="s">
        <v>536</v>
      </c>
      <c r="J92" s="1155" t="s">
        <v>536</v>
      </c>
      <c r="K92" s="1153">
        <f t="shared" si="2"/>
        <v>4</v>
      </c>
      <c r="L92" s="1163">
        <f t="shared" si="3"/>
        <v>400000</v>
      </c>
      <c r="M92" s="1164"/>
    </row>
    <row r="93" spans="1:13" ht="18.75" customHeight="1">
      <c r="A93" s="1154">
        <v>80</v>
      </c>
      <c r="B93" s="1155">
        <v>37</v>
      </c>
      <c r="C93" s="1156"/>
      <c r="D93" s="1156"/>
      <c r="E93" s="1157" t="s">
        <v>465</v>
      </c>
      <c r="F93" s="1156" t="s">
        <v>15</v>
      </c>
      <c r="G93" s="1155" t="s">
        <v>536</v>
      </c>
      <c r="H93" s="1155" t="s">
        <v>536</v>
      </c>
      <c r="I93" s="1155" t="s">
        <v>536</v>
      </c>
      <c r="J93" s="1155" t="s">
        <v>536</v>
      </c>
      <c r="K93" s="1153">
        <f t="shared" si="2"/>
        <v>4</v>
      </c>
      <c r="L93" s="1163">
        <f t="shared" si="3"/>
        <v>400000</v>
      </c>
      <c r="M93" s="1164"/>
    </row>
    <row r="94" spans="1:13" ht="18.75" customHeight="1">
      <c r="A94" s="1154">
        <v>81</v>
      </c>
      <c r="B94" s="1155">
        <v>38</v>
      </c>
      <c r="C94" s="1156"/>
      <c r="D94" s="1156"/>
      <c r="E94" s="1157" t="s">
        <v>466</v>
      </c>
      <c r="F94" s="1156" t="s">
        <v>15</v>
      </c>
      <c r="G94" s="1155" t="s">
        <v>536</v>
      </c>
      <c r="H94" s="1155" t="s">
        <v>536</v>
      </c>
      <c r="I94" s="1155" t="s">
        <v>536</v>
      </c>
      <c r="J94" s="1155" t="s">
        <v>536</v>
      </c>
      <c r="K94" s="1153">
        <f t="shared" si="2"/>
        <v>4</v>
      </c>
      <c r="L94" s="1163">
        <f t="shared" si="3"/>
        <v>400000</v>
      </c>
      <c r="M94" s="1164"/>
    </row>
    <row r="95" spans="1:13" ht="18.75" customHeight="1">
      <c r="A95" s="1154">
        <v>82</v>
      </c>
      <c r="B95" s="1155">
        <v>39</v>
      </c>
      <c r="C95" s="1156"/>
      <c r="D95" s="1156"/>
      <c r="E95" s="1157" t="s">
        <v>548</v>
      </c>
      <c r="F95" s="1156" t="s">
        <v>15</v>
      </c>
      <c r="G95" s="1155" t="s">
        <v>536</v>
      </c>
      <c r="H95" s="1155" t="s">
        <v>536</v>
      </c>
      <c r="I95" s="1155" t="s">
        <v>536</v>
      </c>
      <c r="J95" s="1155" t="s">
        <v>536</v>
      </c>
      <c r="K95" s="1153">
        <f t="shared" si="2"/>
        <v>4</v>
      </c>
      <c r="L95" s="1163">
        <f t="shared" si="3"/>
        <v>400000</v>
      </c>
      <c r="M95" s="1164"/>
    </row>
    <row r="96" spans="1:13" ht="18.75" customHeight="1">
      <c r="A96" s="1154">
        <v>83</v>
      </c>
      <c r="B96" s="1155">
        <v>40</v>
      </c>
      <c r="C96" s="1156"/>
      <c r="D96" s="1156"/>
      <c r="E96" s="1157" t="s">
        <v>468</v>
      </c>
      <c r="F96" s="1156" t="s">
        <v>15</v>
      </c>
      <c r="G96" s="1155" t="s">
        <v>536</v>
      </c>
      <c r="H96" s="1155" t="s">
        <v>536</v>
      </c>
      <c r="I96" s="1155" t="s">
        <v>536</v>
      </c>
      <c r="J96" s="1155" t="s">
        <v>536</v>
      </c>
      <c r="K96" s="1153">
        <f t="shared" si="2"/>
        <v>4</v>
      </c>
      <c r="L96" s="1163">
        <f t="shared" si="3"/>
        <v>400000</v>
      </c>
      <c r="M96" s="1164"/>
    </row>
    <row r="97" spans="1:21" ht="18.75" customHeight="1">
      <c r="A97" s="1154">
        <v>84</v>
      </c>
      <c r="B97" s="1155">
        <v>41</v>
      </c>
      <c r="C97" s="1156"/>
      <c r="D97" s="1156"/>
      <c r="E97" s="1157" t="s">
        <v>469</v>
      </c>
      <c r="F97" s="1156" t="s">
        <v>15</v>
      </c>
      <c r="G97" s="1155" t="s">
        <v>536</v>
      </c>
      <c r="H97" s="1155" t="s">
        <v>536</v>
      </c>
      <c r="I97" s="1155" t="s">
        <v>536</v>
      </c>
      <c r="J97" s="1155" t="s">
        <v>536</v>
      </c>
      <c r="K97" s="1153">
        <f t="shared" si="2"/>
        <v>4</v>
      </c>
      <c r="L97" s="1163">
        <f t="shared" si="3"/>
        <v>400000</v>
      </c>
      <c r="M97" s="1164"/>
    </row>
    <row r="98" spans="1:21" ht="18.75" customHeight="1">
      <c r="A98" s="1154">
        <v>85</v>
      </c>
      <c r="B98" s="1155">
        <v>42</v>
      </c>
      <c r="C98" s="1156"/>
      <c r="D98" s="1156"/>
      <c r="E98" s="1157" t="s">
        <v>470</v>
      </c>
      <c r="F98" s="1156" t="s">
        <v>15</v>
      </c>
      <c r="G98" s="1155" t="s">
        <v>536</v>
      </c>
      <c r="H98" s="1155" t="s">
        <v>536</v>
      </c>
      <c r="I98" s="1155" t="s">
        <v>536</v>
      </c>
      <c r="J98" s="1155" t="s">
        <v>536</v>
      </c>
      <c r="K98" s="1153">
        <f t="shared" si="2"/>
        <v>4</v>
      </c>
      <c r="L98" s="1163">
        <f t="shared" si="3"/>
        <v>400000</v>
      </c>
      <c r="M98" s="1164"/>
    </row>
    <row r="99" spans="1:21" ht="18.75" customHeight="1">
      <c r="A99" s="1154">
        <v>86</v>
      </c>
      <c r="B99" s="1155">
        <v>43</v>
      </c>
      <c r="C99" s="1156"/>
      <c r="D99" s="1156"/>
      <c r="E99" s="1157" t="s">
        <v>549</v>
      </c>
      <c r="F99" s="1156" t="s">
        <v>15</v>
      </c>
      <c r="G99" s="1155" t="s">
        <v>536</v>
      </c>
      <c r="H99" s="1155" t="s">
        <v>536</v>
      </c>
      <c r="I99" s="1155" t="s">
        <v>536</v>
      </c>
      <c r="J99" s="1155" t="s">
        <v>536</v>
      </c>
      <c r="K99" s="1153">
        <f t="shared" si="2"/>
        <v>4</v>
      </c>
      <c r="L99" s="1163">
        <f t="shared" si="3"/>
        <v>400000</v>
      </c>
      <c r="M99" s="1164"/>
    </row>
    <row r="100" spans="1:21" ht="18.75" customHeight="1">
      <c r="A100" s="1154">
        <v>87</v>
      </c>
      <c r="B100" s="1155">
        <v>44</v>
      </c>
      <c r="C100" s="1156"/>
      <c r="D100" s="1156"/>
      <c r="E100" s="1157" t="s">
        <v>472</v>
      </c>
      <c r="F100" s="1156" t="s">
        <v>15</v>
      </c>
      <c r="G100" s="1155" t="s">
        <v>536</v>
      </c>
      <c r="H100" s="1155" t="s">
        <v>536</v>
      </c>
      <c r="I100" s="1155" t="s">
        <v>536</v>
      </c>
      <c r="J100" s="1155" t="s">
        <v>536</v>
      </c>
      <c r="K100" s="1153">
        <f t="shared" si="2"/>
        <v>4</v>
      </c>
      <c r="L100" s="1163">
        <f t="shared" si="3"/>
        <v>400000</v>
      </c>
      <c r="M100" s="1164"/>
    </row>
    <row r="101" spans="1:21" ht="18.75" customHeight="1">
      <c r="A101" s="1154">
        <v>88</v>
      </c>
      <c r="B101" s="1155">
        <v>45</v>
      </c>
      <c r="C101" s="1156"/>
      <c r="D101" s="1156"/>
      <c r="E101" s="1157" t="s">
        <v>473</v>
      </c>
      <c r="F101" s="1156" t="s">
        <v>15</v>
      </c>
      <c r="G101" s="1155" t="s">
        <v>536</v>
      </c>
      <c r="H101" s="1155" t="s">
        <v>536</v>
      </c>
      <c r="I101" s="1155" t="s">
        <v>536</v>
      </c>
      <c r="J101" s="1155" t="s">
        <v>536</v>
      </c>
      <c r="K101" s="1153">
        <f t="shared" si="2"/>
        <v>4</v>
      </c>
      <c r="L101" s="1163">
        <f t="shared" si="3"/>
        <v>400000</v>
      </c>
      <c r="M101" s="1164"/>
      <c r="U101" s="1165"/>
    </row>
    <row r="102" spans="1:21" ht="18.75" customHeight="1">
      <c r="A102" s="1154">
        <v>89</v>
      </c>
      <c r="B102" s="1155">
        <v>46</v>
      </c>
      <c r="C102" s="1156"/>
      <c r="D102" s="1156"/>
      <c r="E102" s="1157" t="s">
        <v>550</v>
      </c>
      <c r="F102" s="1156" t="s">
        <v>15</v>
      </c>
      <c r="G102" s="1155" t="s">
        <v>536</v>
      </c>
      <c r="H102" s="1155" t="s">
        <v>536</v>
      </c>
      <c r="I102" s="1155" t="s">
        <v>536</v>
      </c>
      <c r="J102" s="1155" t="s">
        <v>536</v>
      </c>
      <c r="K102" s="1153">
        <f t="shared" si="2"/>
        <v>4</v>
      </c>
      <c r="L102" s="1163">
        <f t="shared" si="3"/>
        <v>400000</v>
      </c>
      <c r="M102" s="1164"/>
    </row>
    <row r="103" spans="1:21" ht="18.75" customHeight="1">
      <c r="A103" s="1154">
        <v>90</v>
      </c>
      <c r="B103" s="1155">
        <v>47</v>
      </c>
      <c r="C103" s="1156"/>
      <c r="D103" s="1156"/>
      <c r="E103" s="1157" t="s">
        <v>475</v>
      </c>
      <c r="F103" s="1156" t="s">
        <v>15</v>
      </c>
      <c r="G103" s="1155" t="s">
        <v>536</v>
      </c>
      <c r="H103" s="1155" t="s">
        <v>536</v>
      </c>
      <c r="I103" s="1155" t="s">
        <v>536</v>
      </c>
      <c r="J103" s="1155" t="s">
        <v>536</v>
      </c>
      <c r="K103" s="1153">
        <f t="shared" si="2"/>
        <v>4</v>
      </c>
      <c r="L103" s="1163">
        <f t="shared" si="3"/>
        <v>400000</v>
      </c>
      <c r="M103" s="1164"/>
    </row>
    <row r="104" spans="1:21" ht="18.75" customHeight="1">
      <c r="A104" s="1154">
        <v>91</v>
      </c>
      <c r="B104" s="1155">
        <v>48</v>
      </c>
      <c r="C104" s="1156"/>
      <c r="D104" s="1156"/>
      <c r="E104" s="1157" t="s">
        <v>551</v>
      </c>
      <c r="F104" s="1156" t="s">
        <v>15</v>
      </c>
      <c r="G104" s="1155" t="s">
        <v>536</v>
      </c>
      <c r="H104" s="1155" t="s">
        <v>536</v>
      </c>
      <c r="I104" s="1155" t="s">
        <v>536</v>
      </c>
      <c r="J104" s="1155" t="s">
        <v>536</v>
      </c>
      <c r="K104" s="1153">
        <f t="shared" si="2"/>
        <v>4</v>
      </c>
      <c r="L104" s="1163">
        <f t="shared" si="3"/>
        <v>400000</v>
      </c>
      <c r="M104" s="1164"/>
    </row>
    <row r="105" spans="1:21" ht="18.75" customHeight="1">
      <c r="A105" s="1154">
        <v>92</v>
      </c>
      <c r="B105" s="1155">
        <v>49</v>
      </c>
      <c r="C105" s="1156"/>
      <c r="D105" s="1156"/>
      <c r="E105" s="1157" t="s">
        <v>477</v>
      </c>
      <c r="F105" s="1156" t="s">
        <v>15</v>
      </c>
      <c r="G105" s="1155" t="s">
        <v>536</v>
      </c>
      <c r="H105" s="1155" t="s">
        <v>536</v>
      </c>
      <c r="I105" s="1155" t="s">
        <v>536</v>
      </c>
      <c r="J105" s="1155" t="s">
        <v>536</v>
      </c>
      <c r="K105" s="1153">
        <f t="shared" si="2"/>
        <v>4</v>
      </c>
      <c r="L105" s="1163">
        <f t="shared" si="3"/>
        <v>400000</v>
      </c>
      <c r="M105" s="1164"/>
    </row>
    <row r="106" spans="1:21" ht="18.75" customHeight="1">
      <c r="A106" s="1154">
        <v>93</v>
      </c>
      <c r="B106" s="1155">
        <v>50</v>
      </c>
      <c r="C106" s="1156"/>
      <c r="D106" s="1156"/>
      <c r="E106" s="1157" t="s">
        <v>552</v>
      </c>
      <c r="F106" s="1156" t="s">
        <v>15</v>
      </c>
      <c r="G106" s="1155" t="s">
        <v>536</v>
      </c>
      <c r="H106" s="1155" t="s">
        <v>536</v>
      </c>
      <c r="I106" s="1155" t="s">
        <v>536</v>
      </c>
      <c r="J106" s="1155" t="s">
        <v>536</v>
      </c>
      <c r="K106" s="1153">
        <f t="shared" si="2"/>
        <v>4</v>
      </c>
      <c r="L106" s="1163">
        <f t="shared" si="3"/>
        <v>400000</v>
      </c>
      <c r="M106" s="1164"/>
    </row>
    <row r="107" spans="1:21" ht="18.75" customHeight="1">
      <c r="A107" s="1154">
        <v>94</v>
      </c>
      <c r="B107" s="1155">
        <v>51</v>
      </c>
      <c r="C107" s="1156"/>
      <c r="D107" s="1156"/>
      <c r="E107" s="1157" t="s">
        <v>479</v>
      </c>
      <c r="F107" s="1156" t="s">
        <v>15</v>
      </c>
      <c r="G107" s="1155" t="s">
        <v>536</v>
      </c>
      <c r="H107" s="1155" t="s">
        <v>536</v>
      </c>
      <c r="I107" s="1155" t="s">
        <v>536</v>
      </c>
      <c r="J107" s="1155" t="s">
        <v>536</v>
      </c>
      <c r="K107" s="1153">
        <f t="shared" si="2"/>
        <v>4</v>
      </c>
      <c r="L107" s="1163">
        <f t="shared" si="3"/>
        <v>400000</v>
      </c>
      <c r="M107" s="1164"/>
    </row>
    <row r="108" spans="1:21" ht="18.75" customHeight="1">
      <c r="A108" s="1154">
        <v>95</v>
      </c>
      <c r="B108" s="1155">
        <v>52</v>
      </c>
      <c r="C108" s="1156"/>
      <c r="D108" s="1156"/>
      <c r="E108" s="1157" t="s">
        <v>480</v>
      </c>
      <c r="F108" s="1156" t="s">
        <v>15</v>
      </c>
      <c r="G108" s="1155" t="s">
        <v>536</v>
      </c>
      <c r="H108" s="1155" t="s">
        <v>536</v>
      </c>
      <c r="I108" s="1155" t="s">
        <v>536</v>
      </c>
      <c r="J108" s="1155" t="s">
        <v>536</v>
      </c>
      <c r="K108" s="1153">
        <f t="shared" si="2"/>
        <v>4</v>
      </c>
      <c r="L108" s="1163">
        <f t="shared" si="3"/>
        <v>400000</v>
      </c>
      <c r="M108" s="1164"/>
    </row>
    <row r="109" spans="1:21" ht="18.75" customHeight="1">
      <c r="A109" s="1154">
        <v>96</v>
      </c>
      <c r="B109" s="1155">
        <v>53</v>
      </c>
      <c r="C109" s="1156"/>
      <c r="D109" s="1156"/>
      <c r="E109" s="1157" t="s">
        <v>481</v>
      </c>
      <c r="F109" s="1156" t="s">
        <v>15</v>
      </c>
      <c r="G109" s="1155" t="s">
        <v>536</v>
      </c>
      <c r="H109" s="1155"/>
      <c r="I109" s="1155"/>
      <c r="J109" s="1155" t="s">
        <v>536</v>
      </c>
      <c r="K109" s="1153">
        <f t="shared" si="2"/>
        <v>2</v>
      </c>
      <c r="L109" s="1163">
        <f t="shared" si="3"/>
        <v>200000</v>
      </c>
      <c r="M109" s="1164"/>
    </row>
    <row r="110" spans="1:21" ht="18.75" customHeight="1">
      <c r="A110" s="1154">
        <v>97</v>
      </c>
      <c r="B110" s="1155">
        <v>54</v>
      </c>
      <c r="C110" s="1156"/>
      <c r="D110" s="1156"/>
      <c r="E110" s="1157" t="s">
        <v>553</v>
      </c>
      <c r="F110" s="1156" t="s">
        <v>15</v>
      </c>
      <c r="G110" s="1155" t="s">
        <v>536</v>
      </c>
      <c r="H110" s="1155" t="s">
        <v>536</v>
      </c>
      <c r="I110" s="1155" t="s">
        <v>536</v>
      </c>
      <c r="J110" s="1155" t="s">
        <v>536</v>
      </c>
      <c r="K110" s="1153">
        <f t="shared" si="2"/>
        <v>4</v>
      </c>
      <c r="L110" s="1163">
        <f t="shared" si="3"/>
        <v>400000</v>
      </c>
      <c r="M110" s="1164"/>
    </row>
    <row r="111" spans="1:21" ht="18.75" customHeight="1">
      <c r="A111" s="1154">
        <v>98</v>
      </c>
      <c r="B111" s="1155">
        <v>55</v>
      </c>
      <c r="C111" s="1156"/>
      <c r="D111" s="1156"/>
      <c r="E111" s="1157" t="s">
        <v>483</v>
      </c>
      <c r="F111" s="1156" t="s">
        <v>15</v>
      </c>
      <c r="G111" s="1155" t="s">
        <v>536</v>
      </c>
      <c r="H111" s="1155" t="s">
        <v>536</v>
      </c>
      <c r="I111" s="1155" t="s">
        <v>536</v>
      </c>
      <c r="J111" s="1155" t="s">
        <v>536</v>
      </c>
      <c r="K111" s="1153">
        <f t="shared" si="2"/>
        <v>4</v>
      </c>
      <c r="L111" s="1163">
        <f t="shared" si="3"/>
        <v>400000</v>
      </c>
      <c r="M111" s="1164"/>
    </row>
    <row r="112" spans="1:21" ht="18.75" customHeight="1">
      <c r="A112" s="2378" t="s">
        <v>73</v>
      </c>
      <c r="B112" s="2379"/>
      <c r="C112" s="2379"/>
      <c r="D112" s="2379"/>
      <c r="E112" s="2379"/>
      <c r="F112" s="2380"/>
      <c r="G112" s="1153">
        <f>COUNTIF(G113:G205,"X")</f>
        <v>86</v>
      </c>
      <c r="H112" s="1153">
        <f>COUNTIF(H113:H205,"X")</f>
        <v>81</v>
      </c>
      <c r="I112" s="1153">
        <f>COUNTIF(I113:I205,"X")</f>
        <v>63</v>
      </c>
      <c r="J112" s="1153">
        <f>COUNTIF(J113:J205,"X")</f>
        <v>65</v>
      </c>
      <c r="K112" s="1153">
        <f>SUM(K113:K205)</f>
        <v>295</v>
      </c>
      <c r="L112" s="1162">
        <f>SUM(L113:L205)</f>
        <v>29500000</v>
      </c>
      <c r="M112" s="1162"/>
      <c r="O112" s="841">
        <f>+G112+G206+G218</f>
        <v>104</v>
      </c>
      <c r="P112" s="841">
        <f t="shared" ref="P112:R112" si="4">+H112+H206+H218</f>
        <v>99</v>
      </c>
      <c r="Q112" s="841">
        <f t="shared" si="4"/>
        <v>76</v>
      </c>
      <c r="R112" s="841">
        <f t="shared" si="4"/>
        <v>83</v>
      </c>
    </row>
    <row r="113" spans="1:18" ht="18.75" customHeight="1">
      <c r="A113" s="1154">
        <v>99</v>
      </c>
      <c r="B113" s="1155">
        <v>1</v>
      </c>
      <c r="C113" s="1156"/>
      <c r="D113" s="1156"/>
      <c r="E113" s="1157" t="s">
        <v>14</v>
      </c>
      <c r="F113" s="1156" t="s">
        <v>15</v>
      </c>
      <c r="G113" s="1155" t="s">
        <v>536</v>
      </c>
      <c r="H113" s="1155"/>
      <c r="I113" s="1155"/>
      <c r="J113" s="1155" t="s">
        <v>536</v>
      </c>
      <c r="K113" s="1153">
        <f t="shared" ref="K113:K176" si="5">COUNTIF(G113:J113,"X")</f>
        <v>2</v>
      </c>
      <c r="L113" s="1163">
        <f t="shared" ref="L113:L176" si="6">K113*100000</f>
        <v>200000</v>
      </c>
      <c r="M113" s="1164"/>
      <c r="O113" s="841">
        <v>0</v>
      </c>
      <c r="R113" s="841">
        <f>111-33</f>
        <v>78</v>
      </c>
    </row>
    <row r="114" spans="1:18" ht="18.75" customHeight="1">
      <c r="A114" s="1154">
        <v>100</v>
      </c>
      <c r="B114" s="1155">
        <v>2</v>
      </c>
      <c r="C114" s="1156"/>
      <c r="D114" s="1156"/>
      <c r="E114" s="1157" t="s">
        <v>16</v>
      </c>
      <c r="F114" s="1156" t="s">
        <v>15</v>
      </c>
      <c r="G114" s="1155" t="s">
        <v>536</v>
      </c>
      <c r="H114" s="1155" t="s">
        <v>536</v>
      </c>
      <c r="I114" s="1155" t="s">
        <v>536</v>
      </c>
      <c r="J114" s="1155" t="s">
        <v>536</v>
      </c>
      <c r="K114" s="1153">
        <f t="shared" si="5"/>
        <v>4</v>
      </c>
      <c r="L114" s="1163">
        <f t="shared" si="6"/>
        <v>400000</v>
      </c>
      <c r="M114" s="1164"/>
      <c r="N114" s="841" t="s">
        <v>554</v>
      </c>
      <c r="O114" s="841">
        <v>72</v>
      </c>
      <c r="R114" s="841">
        <f>111-24</f>
        <v>87</v>
      </c>
    </row>
    <row r="115" spans="1:18" ht="18.75" customHeight="1">
      <c r="A115" s="1154">
        <v>101</v>
      </c>
      <c r="B115" s="1155">
        <v>3</v>
      </c>
      <c r="C115" s="1156"/>
      <c r="D115" s="1156"/>
      <c r="E115" s="1157" t="s">
        <v>555</v>
      </c>
      <c r="F115" s="1156" t="s">
        <v>15</v>
      </c>
      <c r="G115" s="1155" t="s">
        <v>536</v>
      </c>
      <c r="H115" s="1155" t="s">
        <v>536</v>
      </c>
      <c r="I115" s="1155" t="s">
        <v>536</v>
      </c>
      <c r="J115" s="1155" t="s">
        <v>536</v>
      </c>
      <c r="K115" s="1153">
        <f t="shared" si="5"/>
        <v>4</v>
      </c>
      <c r="L115" s="1163">
        <f t="shared" si="6"/>
        <v>400000</v>
      </c>
      <c r="M115" s="1164"/>
      <c r="N115" s="841" t="s">
        <v>554</v>
      </c>
      <c r="O115" s="841">
        <v>45</v>
      </c>
      <c r="R115" s="841">
        <f>111-24</f>
        <v>87</v>
      </c>
    </row>
    <row r="116" spans="1:18" ht="18.75" customHeight="1">
      <c r="A116" s="1154">
        <v>102</v>
      </c>
      <c r="B116" s="1155">
        <v>4</v>
      </c>
      <c r="C116" s="1156"/>
      <c r="D116" s="1156"/>
      <c r="E116" s="1157" t="s">
        <v>18</v>
      </c>
      <c r="F116" s="1156" t="s">
        <v>15</v>
      </c>
      <c r="G116" s="1155" t="s">
        <v>536</v>
      </c>
      <c r="H116" s="1155" t="s">
        <v>536</v>
      </c>
      <c r="I116" s="1155" t="s">
        <v>536</v>
      </c>
      <c r="J116" s="1155" t="s">
        <v>536</v>
      </c>
      <c r="K116" s="1153">
        <f t="shared" si="5"/>
        <v>4</v>
      </c>
      <c r="L116" s="1163">
        <f t="shared" si="6"/>
        <v>400000</v>
      </c>
      <c r="M116" s="1164"/>
      <c r="N116" s="841" t="s">
        <v>554</v>
      </c>
      <c r="O116" s="841">
        <v>45</v>
      </c>
    </row>
    <row r="117" spans="1:18" ht="18.75" customHeight="1">
      <c r="A117" s="1154">
        <v>103</v>
      </c>
      <c r="B117" s="1155">
        <v>5</v>
      </c>
      <c r="C117" s="1156"/>
      <c r="D117" s="1156"/>
      <c r="E117" s="1157" t="s">
        <v>556</v>
      </c>
      <c r="F117" s="1156" t="s">
        <v>15</v>
      </c>
      <c r="G117" s="1155" t="s">
        <v>536</v>
      </c>
      <c r="H117" s="1155" t="s">
        <v>536</v>
      </c>
      <c r="I117" s="1155" t="s">
        <v>536</v>
      </c>
      <c r="J117" s="1155" t="s">
        <v>536</v>
      </c>
      <c r="K117" s="1153">
        <f t="shared" si="5"/>
        <v>4</v>
      </c>
      <c r="L117" s="1163">
        <f t="shared" si="6"/>
        <v>400000</v>
      </c>
      <c r="M117" s="1164"/>
      <c r="N117" s="841" t="s">
        <v>554</v>
      </c>
      <c r="O117" s="841">
        <v>40</v>
      </c>
    </row>
    <row r="118" spans="1:18" ht="18.75" customHeight="1">
      <c r="A118" s="1154">
        <v>104</v>
      </c>
      <c r="B118" s="1155">
        <v>6</v>
      </c>
      <c r="C118" s="1156"/>
      <c r="D118" s="1156"/>
      <c r="E118" s="1157" t="s">
        <v>557</v>
      </c>
      <c r="F118" s="1156" t="s">
        <v>15</v>
      </c>
      <c r="G118" s="1155" t="s">
        <v>536</v>
      </c>
      <c r="H118" s="1155" t="s">
        <v>536</v>
      </c>
      <c r="I118" s="1155"/>
      <c r="J118" s="1155"/>
      <c r="K118" s="1153">
        <f t="shared" si="5"/>
        <v>2</v>
      </c>
      <c r="L118" s="1163">
        <f t="shared" si="6"/>
        <v>200000</v>
      </c>
      <c r="M118" s="1164"/>
      <c r="N118" s="841" t="s">
        <v>554</v>
      </c>
      <c r="O118" s="841">
        <v>84</v>
      </c>
    </row>
    <row r="119" spans="1:18" ht="18.75" customHeight="1">
      <c r="A119" s="1154">
        <v>105</v>
      </c>
      <c r="B119" s="1155">
        <v>7</v>
      </c>
      <c r="C119" s="1156"/>
      <c r="D119" s="1156"/>
      <c r="E119" s="1157" t="s">
        <v>21</v>
      </c>
      <c r="F119" s="1156" t="s">
        <v>15</v>
      </c>
      <c r="G119" s="1155" t="s">
        <v>536</v>
      </c>
      <c r="H119" s="1155" t="s">
        <v>536</v>
      </c>
      <c r="I119" s="1155" t="s">
        <v>536</v>
      </c>
      <c r="J119" s="1155" t="s">
        <v>536</v>
      </c>
      <c r="K119" s="1153">
        <f t="shared" si="5"/>
        <v>4</v>
      </c>
      <c r="L119" s="1163">
        <f t="shared" si="6"/>
        <v>400000</v>
      </c>
      <c r="M119" s="1164"/>
      <c r="N119" s="841" t="s">
        <v>554</v>
      </c>
      <c r="O119" s="841">
        <v>52</v>
      </c>
    </row>
    <row r="120" spans="1:18" ht="18.75" customHeight="1">
      <c r="A120" s="1154">
        <v>106</v>
      </c>
      <c r="B120" s="1155">
        <v>8</v>
      </c>
      <c r="C120" s="1156"/>
      <c r="D120" s="1156"/>
      <c r="E120" s="1157" t="s">
        <v>22</v>
      </c>
      <c r="F120" s="1156" t="s">
        <v>15</v>
      </c>
      <c r="G120" s="1155" t="s">
        <v>536</v>
      </c>
      <c r="H120" s="1155" t="s">
        <v>536</v>
      </c>
      <c r="I120" s="1155" t="s">
        <v>536</v>
      </c>
      <c r="J120" s="1155" t="s">
        <v>536</v>
      </c>
      <c r="K120" s="1153">
        <f t="shared" si="5"/>
        <v>4</v>
      </c>
      <c r="L120" s="1163">
        <f t="shared" si="6"/>
        <v>400000</v>
      </c>
      <c r="M120" s="1164"/>
      <c r="N120" s="841" t="s">
        <v>554</v>
      </c>
      <c r="O120" s="841">
        <v>58</v>
      </c>
    </row>
    <row r="121" spans="1:18" ht="18.75" customHeight="1">
      <c r="A121" s="1154">
        <v>107</v>
      </c>
      <c r="B121" s="1155">
        <v>9</v>
      </c>
      <c r="C121" s="1156"/>
      <c r="D121" s="1156"/>
      <c r="E121" s="1157" t="s">
        <v>23</v>
      </c>
      <c r="F121" s="1156" t="s">
        <v>15</v>
      </c>
      <c r="G121" s="1155" t="s">
        <v>536</v>
      </c>
      <c r="H121" s="1155" t="s">
        <v>536</v>
      </c>
      <c r="I121" s="1155" t="s">
        <v>536</v>
      </c>
      <c r="J121" s="1155" t="s">
        <v>536</v>
      </c>
      <c r="K121" s="1153">
        <f t="shared" si="5"/>
        <v>4</v>
      </c>
      <c r="L121" s="1163">
        <f t="shared" si="6"/>
        <v>400000</v>
      </c>
      <c r="M121" s="1164"/>
      <c r="N121" s="841" t="s">
        <v>554</v>
      </c>
      <c r="O121" s="841">
        <v>62</v>
      </c>
    </row>
    <row r="122" spans="1:18" ht="18.75" customHeight="1">
      <c r="A122" s="1154">
        <v>108</v>
      </c>
      <c r="B122" s="1155">
        <v>10</v>
      </c>
      <c r="C122" s="1156"/>
      <c r="D122" s="1156"/>
      <c r="E122" s="1157" t="s">
        <v>24</v>
      </c>
      <c r="F122" s="1156" t="s">
        <v>15</v>
      </c>
      <c r="G122" s="1155" t="s">
        <v>536</v>
      </c>
      <c r="H122" s="1155"/>
      <c r="I122" s="1155"/>
      <c r="J122" s="1155"/>
      <c r="K122" s="1153">
        <f t="shared" si="5"/>
        <v>1</v>
      </c>
      <c r="L122" s="1163">
        <f t="shared" si="6"/>
        <v>100000</v>
      </c>
      <c r="M122" s="1164"/>
      <c r="O122" s="841">
        <v>0</v>
      </c>
    </row>
    <row r="123" spans="1:18" ht="18.75" customHeight="1">
      <c r="A123" s="1154">
        <v>109</v>
      </c>
      <c r="B123" s="1155">
        <v>11</v>
      </c>
      <c r="C123" s="1156"/>
      <c r="D123" s="1156"/>
      <c r="E123" s="1157" t="s">
        <v>25</v>
      </c>
      <c r="F123" s="1156" t="s">
        <v>15</v>
      </c>
      <c r="G123" s="1155" t="s">
        <v>536</v>
      </c>
      <c r="H123" s="1155" t="s">
        <v>536</v>
      </c>
      <c r="I123" s="1155" t="s">
        <v>536</v>
      </c>
      <c r="J123" s="1155"/>
      <c r="K123" s="1153">
        <f t="shared" si="5"/>
        <v>3</v>
      </c>
      <c r="L123" s="1163">
        <f t="shared" si="6"/>
        <v>300000</v>
      </c>
      <c r="M123" s="1164"/>
      <c r="N123" s="841" t="s">
        <v>554</v>
      </c>
      <c r="O123" s="841">
        <v>67</v>
      </c>
    </row>
    <row r="124" spans="1:18" ht="18.75" customHeight="1">
      <c r="A124" s="1154">
        <v>110</v>
      </c>
      <c r="B124" s="1155">
        <v>12</v>
      </c>
      <c r="C124" s="1156"/>
      <c r="D124" s="1156"/>
      <c r="E124" s="1157" t="s">
        <v>26</v>
      </c>
      <c r="F124" s="1156" t="s">
        <v>15</v>
      </c>
      <c r="G124" s="1155" t="s">
        <v>536</v>
      </c>
      <c r="H124" s="1155" t="s">
        <v>536</v>
      </c>
      <c r="I124" s="1155" t="s">
        <v>536</v>
      </c>
      <c r="J124" s="1155" t="s">
        <v>536</v>
      </c>
      <c r="K124" s="1153">
        <f t="shared" si="5"/>
        <v>4</v>
      </c>
      <c r="L124" s="1163">
        <f t="shared" si="6"/>
        <v>400000</v>
      </c>
      <c r="M124" s="1164"/>
      <c r="N124" s="841" t="s">
        <v>554</v>
      </c>
      <c r="O124" s="841">
        <v>55</v>
      </c>
    </row>
    <row r="125" spans="1:18" ht="18.75" customHeight="1">
      <c r="A125" s="1154">
        <v>111</v>
      </c>
      <c r="B125" s="1155">
        <v>13</v>
      </c>
      <c r="C125" s="1156"/>
      <c r="D125" s="1156"/>
      <c r="E125" s="1157" t="s">
        <v>27</v>
      </c>
      <c r="F125" s="1156" t="s">
        <v>15</v>
      </c>
      <c r="G125" s="1155" t="s">
        <v>536</v>
      </c>
      <c r="H125" s="1155" t="s">
        <v>536</v>
      </c>
      <c r="I125" s="1155" t="s">
        <v>536</v>
      </c>
      <c r="J125" s="1155" t="s">
        <v>536</v>
      </c>
      <c r="K125" s="1153">
        <f t="shared" si="5"/>
        <v>4</v>
      </c>
      <c r="L125" s="1163">
        <f t="shared" si="6"/>
        <v>400000</v>
      </c>
      <c r="M125" s="1164"/>
      <c r="N125" s="841" t="s">
        <v>554</v>
      </c>
      <c r="O125" s="841">
        <v>146</v>
      </c>
    </row>
    <row r="126" spans="1:18" ht="18.75" customHeight="1">
      <c r="A126" s="1154">
        <v>112</v>
      </c>
      <c r="B126" s="1155">
        <v>14</v>
      </c>
      <c r="C126" s="1156"/>
      <c r="D126" s="1156"/>
      <c r="E126" s="1157" t="s">
        <v>28</v>
      </c>
      <c r="F126" s="1156" t="s">
        <v>15</v>
      </c>
      <c r="G126" s="1155" t="s">
        <v>536</v>
      </c>
      <c r="H126" s="1155" t="s">
        <v>536</v>
      </c>
      <c r="I126" s="1155" t="s">
        <v>536</v>
      </c>
      <c r="J126" s="1155" t="s">
        <v>536</v>
      </c>
      <c r="K126" s="1153">
        <f t="shared" si="5"/>
        <v>4</v>
      </c>
      <c r="L126" s="1163">
        <f t="shared" si="6"/>
        <v>400000</v>
      </c>
      <c r="M126" s="1164"/>
      <c r="N126" s="841" t="s">
        <v>554</v>
      </c>
      <c r="O126" s="841">
        <v>147</v>
      </c>
    </row>
    <row r="127" spans="1:18" ht="18.75" customHeight="1">
      <c r="A127" s="1154">
        <v>113</v>
      </c>
      <c r="B127" s="1155">
        <v>15</v>
      </c>
      <c r="C127" s="1156"/>
      <c r="D127" s="1156"/>
      <c r="E127" s="1157" t="s">
        <v>29</v>
      </c>
      <c r="F127" s="1156" t="s">
        <v>15</v>
      </c>
      <c r="G127" s="1155" t="s">
        <v>536</v>
      </c>
      <c r="H127" s="1155" t="s">
        <v>536</v>
      </c>
      <c r="I127" s="1155"/>
      <c r="J127" s="1155" t="s">
        <v>536</v>
      </c>
      <c r="K127" s="1153">
        <f t="shared" si="5"/>
        <v>3</v>
      </c>
      <c r="L127" s="1163">
        <f t="shared" si="6"/>
        <v>300000</v>
      </c>
      <c r="M127" s="1164"/>
      <c r="N127" s="841" t="s">
        <v>554</v>
      </c>
      <c r="O127" s="841">
        <v>64</v>
      </c>
    </row>
    <row r="128" spans="1:18" ht="18.75" customHeight="1">
      <c r="A128" s="1154">
        <v>114</v>
      </c>
      <c r="B128" s="1155">
        <v>16</v>
      </c>
      <c r="C128" s="1156"/>
      <c r="D128" s="1156"/>
      <c r="E128" s="1157" t="s">
        <v>30</v>
      </c>
      <c r="F128" s="1156" t="s">
        <v>15</v>
      </c>
      <c r="G128" s="1155" t="s">
        <v>536</v>
      </c>
      <c r="H128" s="1155" t="s">
        <v>536</v>
      </c>
      <c r="I128" s="1155"/>
      <c r="J128" s="1155" t="s">
        <v>536</v>
      </c>
      <c r="K128" s="1153">
        <f t="shared" si="5"/>
        <v>3</v>
      </c>
      <c r="L128" s="1163">
        <f t="shared" si="6"/>
        <v>300000</v>
      </c>
      <c r="M128" s="1164"/>
      <c r="N128" s="841" t="s">
        <v>554</v>
      </c>
      <c r="O128" s="841">
        <v>71</v>
      </c>
    </row>
    <row r="129" spans="1:15" ht="18.75" customHeight="1">
      <c r="A129" s="1154">
        <v>115</v>
      </c>
      <c r="B129" s="1155">
        <v>17</v>
      </c>
      <c r="C129" s="1156"/>
      <c r="D129" s="1156"/>
      <c r="E129" s="1157" t="s">
        <v>31</v>
      </c>
      <c r="F129" s="1156" t="s">
        <v>15</v>
      </c>
      <c r="G129" s="1155" t="s">
        <v>536</v>
      </c>
      <c r="H129" s="1155" t="s">
        <v>536</v>
      </c>
      <c r="I129" s="1155" t="s">
        <v>536</v>
      </c>
      <c r="J129" s="1155" t="s">
        <v>536</v>
      </c>
      <c r="K129" s="1153">
        <f t="shared" si="5"/>
        <v>4</v>
      </c>
      <c r="L129" s="1163">
        <f t="shared" si="6"/>
        <v>400000</v>
      </c>
      <c r="M129" s="1164"/>
      <c r="N129" s="841" t="s">
        <v>554</v>
      </c>
      <c r="O129" s="841">
        <v>65</v>
      </c>
    </row>
    <row r="130" spans="1:15" ht="18.75" customHeight="1">
      <c r="A130" s="1154">
        <v>116</v>
      </c>
      <c r="B130" s="1155">
        <v>18</v>
      </c>
      <c r="C130" s="1156"/>
      <c r="D130" s="1156"/>
      <c r="E130" s="1157" t="s">
        <v>32</v>
      </c>
      <c r="F130" s="1156" t="s">
        <v>15</v>
      </c>
      <c r="G130" s="1155" t="s">
        <v>536</v>
      </c>
      <c r="H130" s="1155" t="s">
        <v>536</v>
      </c>
      <c r="I130" s="1155" t="s">
        <v>536</v>
      </c>
      <c r="J130" s="1155" t="s">
        <v>536</v>
      </c>
      <c r="K130" s="1153">
        <f t="shared" si="5"/>
        <v>4</v>
      </c>
      <c r="L130" s="1163">
        <f t="shared" si="6"/>
        <v>400000</v>
      </c>
      <c r="M130" s="1164"/>
      <c r="N130" s="841" t="s">
        <v>554</v>
      </c>
      <c r="O130" s="841">
        <v>60</v>
      </c>
    </row>
    <row r="131" spans="1:15" ht="18.75" customHeight="1">
      <c r="A131" s="1154">
        <v>117</v>
      </c>
      <c r="B131" s="1155">
        <v>19</v>
      </c>
      <c r="C131" s="1156"/>
      <c r="D131" s="1156"/>
      <c r="E131" s="1157" t="s">
        <v>33</v>
      </c>
      <c r="F131" s="1156" t="s">
        <v>15</v>
      </c>
      <c r="G131" s="1155" t="s">
        <v>536</v>
      </c>
      <c r="H131" s="1155" t="s">
        <v>536</v>
      </c>
      <c r="I131" s="1155" t="s">
        <v>536</v>
      </c>
      <c r="J131" s="1155" t="s">
        <v>536</v>
      </c>
      <c r="K131" s="1153">
        <f t="shared" si="5"/>
        <v>4</v>
      </c>
      <c r="L131" s="1163">
        <f t="shared" si="6"/>
        <v>400000</v>
      </c>
      <c r="M131" s="1164"/>
      <c r="N131" s="841" t="s">
        <v>554</v>
      </c>
      <c r="O131" s="841">
        <v>58</v>
      </c>
    </row>
    <row r="132" spans="1:15" ht="18.75" customHeight="1">
      <c r="A132" s="1154">
        <v>118</v>
      </c>
      <c r="B132" s="1155">
        <v>20</v>
      </c>
      <c r="C132" s="1156"/>
      <c r="D132" s="1156"/>
      <c r="E132" s="1157" t="s">
        <v>34</v>
      </c>
      <c r="F132" s="1156" t="s">
        <v>15</v>
      </c>
      <c r="G132" s="1155" t="s">
        <v>536</v>
      </c>
      <c r="H132" s="1155"/>
      <c r="I132" s="1155"/>
      <c r="J132" s="1155"/>
      <c r="K132" s="1153">
        <f t="shared" si="5"/>
        <v>1</v>
      </c>
      <c r="L132" s="1163">
        <f t="shared" si="6"/>
        <v>100000</v>
      </c>
      <c r="M132" s="1164"/>
      <c r="O132" s="841">
        <v>0</v>
      </c>
    </row>
    <row r="133" spans="1:15" ht="18.75" customHeight="1">
      <c r="A133" s="1154">
        <v>119</v>
      </c>
      <c r="B133" s="1155">
        <v>21</v>
      </c>
      <c r="C133" s="1156"/>
      <c r="D133" s="1156"/>
      <c r="E133" s="1157" t="s">
        <v>35</v>
      </c>
      <c r="F133" s="1156" t="s">
        <v>15</v>
      </c>
      <c r="G133" s="1155"/>
      <c r="H133" s="1155" t="s">
        <v>536</v>
      </c>
      <c r="I133" s="1155" t="s">
        <v>536</v>
      </c>
      <c r="J133" s="1155" t="s">
        <v>536</v>
      </c>
      <c r="K133" s="1153">
        <f t="shared" si="5"/>
        <v>3</v>
      </c>
      <c r="L133" s="1163">
        <f t="shared" si="6"/>
        <v>300000</v>
      </c>
      <c r="M133" s="1164"/>
      <c r="N133" s="841" t="s">
        <v>554</v>
      </c>
      <c r="O133" s="841">
        <v>55</v>
      </c>
    </row>
    <row r="134" spans="1:15" ht="18.75" customHeight="1">
      <c r="A134" s="1154">
        <v>120</v>
      </c>
      <c r="B134" s="1155">
        <v>22</v>
      </c>
      <c r="C134" s="1156"/>
      <c r="D134" s="1156"/>
      <c r="E134" s="1157" t="s">
        <v>36</v>
      </c>
      <c r="F134" s="1156" t="s">
        <v>15</v>
      </c>
      <c r="G134" s="1155" t="s">
        <v>536</v>
      </c>
      <c r="H134" s="1155" t="s">
        <v>536</v>
      </c>
      <c r="I134" s="1155"/>
      <c r="J134" s="1155"/>
      <c r="K134" s="1153">
        <f t="shared" si="5"/>
        <v>2</v>
      </c>
      <c r="L134" s="1163">
        <f t="shared" si="6"/>
        <v>200000</v>
      </c>
      <c r="M134" s="1164"/>
      <c r="N134" s="841" t="s">
        <v>554</v>
      </c>
      <c r="O134" s="841">
        <v>72</v>
      </c>
    </row>
    <row r="135" spans="1:15" ht="18.75" customHeight="1">
      <c r="A135" s="1154">
        <v>121</v>
      </c>
      <c r="B135" s="1155">
        <v>23</v>
      </c>
      <c r="C135" s="1156"/>
      <c r="D135" s="1156"/>
      <c r="E135" s="1157" t="s">
        <v>37</v>
      </c>
      <c r="F135" s="1156" t="s">
        <v>15</v>
      </c>
      <c r="G135" s="1155" t="s">
        <v>536</v>
      </c>
      <c r="H135" s="1155" t="s">
        <v>536</v>
      </c>
      <c r="I135" s="1155"/>
      <c r="J135" s="1155"/>
      <c r="K135" s="1153">
        <f t="shared" si="5"/>
        <v>2</v>
      </c>
      <c r="L135" s="1163">
        <f t="shared" si="6"/>
        <v>200000</v>
      </c>
      <c r="M135" s="1164"/>
      <c r="N135" s="841" t="s">
        <v>554</v>
      </c>
      <c r="O135" s="841">
        <v>58</v>
      </c>
    </row>
    <row r="136" spans="1:15" ht="18.75" customHeight="1">
      <c r="A136" s="1154">
        <v>122</v>
      </c>
      <c r="B136" s="1155">
        <v>24</v>
      </c>
      <c r="C136" s="1156"/>
      <c r="D136" s="1156"/>
      <c r="E136" s="1157" t="s">
        <v>38</v>
      </c>
      <c r="F136" s="1156" t="s">
        <v>15</v>
      </c>
      <c r="G136" s="1155" t="s">
        <v>536</v>
      </c>
      <c r="H136" s="1155"/>
      <c r="I136" s="1155"/>
      <c r="J136" s="1155"/>
      <c r="K136" s="1153">
        <f t="shared" si="5"/>
        <v>1</v>
      </c>
      <c r="L136" s="1163">
        <f t="shared" si="6"/>
        <v>100000</v>
      </c>
      <c r="M136" s="1164"/>
      <c r="O136" s="841">
        <v>0</v>
      </c>
    </row>
    <row r="137" spans="1:15" ht="18.75" customHeight="1">
      <c r="A137" s="1154">
        <v>123</v>
      </c>
      <c r="B137" s="1155">
        <v>25</v>
      </c>
      <c r="C137" s="1156"/>
      <c r="D137" s="1156"/>
      <c r="E137" s="1157" t="s">
        <v>39</v>
      </c>
      <c r="F137" s="1156" t="s">
        <v>15</v>
      </c>
      <c r="G137" s="1155" t="s">
        <v>536</v>
      </c>
      <c r="H137" s="1155"/>
      <c r="I137" s="1155"/>
      <c r="J137" s="1155"/>
      <c r="K137" s="1153">
        <f t="shared" si="5"/>
        <v>1</v>
      </c>
      <c r="L137" s="1163">
        <f t="shared" si="6"/>
        <v>100000</v>
      </c>
      <c r="M137" s="1164"/>
      <c r="O137" s="841">
        <v>0</v>
      </c>
    </row>
    <row r="138" spans="1:15" ht="18.75" customHeight="1">
      <c r="A138" s="1154">
        <v>124</v>
      </c>
      <c r="B138" s="1155">
        <v>26</v>
      </c>
      <c r="C138" s="1156"/>
      <c r="D138" s="1156"/>
      <c r="E138" s="1157" t="s">
        <v>40</v>
      </c>
      <c r="F138" s="1156" t="s">
        <v>15</v>
      </c>
      <c r="G138" s="1155" t="s">
        <v>536</v>
      </c>
      <c r="H138" s="1155" t="s">
        <v>536</v>
      </c>
      <c r="I138" s="1155" t="s">
        <v>536</v>
      </c>
      <c r="J138" s="1155"/>
      <c r="K138" s="1153">
        <f t="shared" si="5"/>
        <v>3</v>
      </c>
      <c r="L138" s="1163">
        <f t="shared" si="6"/>
        <v>300000</v>
      </c>
      <c r="M138" s="1164"/>
      <c r="N138" s="841" t="s">
        <v>554</v>
      </c>
      <c r="O138" s="841">
        <v>55</v>
      </c>
    </row>
    <row r="139" spans="1:15" ht="18.75" customHeight="1">
      <c r="A139" s="1154">
        <v>125</v>
      </c>
      <c r="B139" s="1155">
        <v>27</v>
      </c>
      <c r="C139" s="1156"/>
      <c r="D139" s="1156"/>
      <c r="E139" s="1157" t="s">
        <v>41</v>
      </c>
      <c r="F139" s="1156" t="s">
        <v>15</v>
      </c>
      <c r="G139" s="1155" t="s">
        <v>536</v>
      </c>
      <c r="H139" s="1155" t="s">
        <v>536</v>
      </c>
      <c r="I139" s="1155" t="s">
        <v>536</v>
      </c>
      <c r="J139" s="1155" t="s">
        <v>536</v>
      </c>
      <c r="K139" s="1153">
        <f t="shared" si="5"/>
        <v>4</v>
      </c>
      <c r="L139" s="1163">
        <f t="shared" si="6"/>
        <v>400000</v>
      </c>
      <c r="M139" s="1164"/>
      <c r="N139" s="841" t="s">
        <v>554</v>
      </c>
      <c r="O139" s="841">
        <v>72</v>
      </c>
    </row>
    <row r="140" spans="1:15" ht="18.75" customHeight="1">
      <c r="A140" s="1154">
        <v>126</v>
      </c>
      <c r="B140" s="1155">
        <v>28</v>
      </c>
      <c r="C140" s="1156"/>
      <c r="D140" s="1156"/>
      <c r="E140" s="1157" t="s">
        <v>42</v>
      </c>
      <c r="F140" s="1156" t="s">
        <v>15</v>
      </c>
      <c r="G140" s="1155" t="s">
        <v>536</v>
      </c>
      <c r="H140" s="1155" t="s">
        <v>536</v>
      </c>
      <c r="I140" s="1155" t="s">
        <v>536</v>
      </c>
      <c r="J140" s="1155" t="s">
        <v>536</v>
      </c>
      <c r="K140" s="1153">
        <f t="shared" si="5"/>
        <v>4</v>
      </c>
      <c r="L140" s="1163">
        <f t="shared" si="6"/>
        <v>400000</v>
      </c>
      <c r="M140" s="1164"/>
      <c r="N140" s="841" t="s">
        <v>554</v>
      </c>
      <c r="O140" s="841">
        <v>71</v>
      </c>
    </row>
    <row r="141" spans="1:15" ht="18.75" customHeight="1">
      <c r="A141" s="1154">
        <v>127</v>
      </c>
      <c r="B141" s="1155">
        <v>29</v>
      </c>
      <c r="C141" s="1156"/>
      <c r="D141" s="1156"/>
      <c r="E141" s="1157" t="s">
        <v>43</v>
      </c>
      <c r="F141" s="1156" t="s">
        <v>15</v>
      </c>
      <c r="G141" s="1155" t="s">
        <v>536</v>
      </c>
      <c r="H141" s="1155"/>
      <c r="I141" s="1155"/>
      <c r="J141" s="1155"/>
      <c r="K141" s="1153">
        <f t="shared" si="5"/>
        <v>1</v>
      </c>
      <c r="L141" s="1163">
        <f t="shared" si="6"/>
        <v>100000</v>
      </c>
      <c r="M141" s="1164"/>
      <c r="O141" s="841">
        <v>0</v>
      </c>
    </row>
    <row r="142" spans="1:15" ht="18.75" customHeight="1">
      <c r="A142" s="1154">
        <v>128</v>
      </c>
      <c r="B142" s="1155">
        <v>30</v>
      </c>
      <c r="C142" s="1156"/>
      <c r="D142" s="1156"/>
      <c r="E142" s="1157" t="s">
        <v>44</v>
      </c>
      <c r="F142" s="1156" t="s">
        <v>15</v>
      </c>
      <c r="G142" s="1155" t="s">
        <v>536</v>
      </c>
      <c r="H142" s="1155" t="s">
        <v>536</v>
      </c>
      <c r="I142" s="1155" t="s">
        <v>536</v>
      </c>
      <c r="J142" s="1155"/>
      <c r="K142" s="1153">
        <f t="shared" si="5"/>
        <v>3</v>
      </c>
      <c r="L142" s="1163">
        <f t="shared" si="6"/>
        <v>300000</v>
      </c>
      <c r="M142" s="1164"/>
      <c r="N142" s="841" t="s">
        <v>554</v>
      </c>
      <c r="O142" s="841">
        <v>92</v>
      </c>
    </row>
    <row r="143" spans="1:15" ht="18.75" customHeight="1">
      <c r="A143" s="1154">
        <v>129</v>
      </c>
      <c r="B143" s="1155">
        <v>31</v>
      </c>
      <c r="C143" s="1156"/>
      <c r="D143" s="1156"/>
      <c r="E143" s="1157" t="s">
        <v>45</v>
      </c>
      <c r="F143" s="1156" t="s">
        <v>15</v>
      </c>
      <c r="G143" s="1155" t="s">
        <v>536</v>
      </c>
      <c r="H143" s="1155" t="s">
        <v>536</v>
      </c>
      <c r="I143" s="1155" t="s">
        <v>536</v>
      </c>
      <c r="J143" s="1155" t="s">
        <v>536</v>
      </c>
      <c r="K143" s="1153">
        <f t="shared" si="5"/>
        <v>4</v>
      </c>
      <c r="L143" s="1163">
        <f t="shared" si="6"/>
        <v>400000</v>
      </c>
      <c r="M143" s="1164"/>
      <c r="N143" s="841" t="s">
        <v>554</v>
      </c>
      <c r="O143" s="841">
        <v>56</v>
      </c>
    </row>
    <row r="144" spans="1:15" ht="18.75" customHeight="1">
      <c r="A144" s="1154">
        <v>130</v>
      </c>
      <c r="B144" s="1155">
        <v>32</v>
      </c>
      <c r="C144" s="1156"/>
      <c r="D144" s="1156"/>
      <c r="E144" s="1157" t="s">
        <v>46</v>
      </c>
      <c r="F144" s="1156" t="s">
        <v>15</v>
      </c>
      <c r="G144" s="1155" t="s">
        <v>536</v>
      </c>
      <c r="H144" s="1155"/>
      <c r="I144" s="1155" t="s">
        <v>536</v>
      </c>
      <c r="J144" s="1155"/>
      <c r="K144" s="1153">
        <f t="shared" si="5"/>
        <v>2</v>
      </c>
      <c r="L144" s="1163">
        <f t="shared" si="6"/>
        <v>200000</v>
      </c>
      <c r="M144" s="1164"/>
      <c r="O144" s="841">
        <v>100</v>
      </c>
    </row>
    <row r="145" spans="1:21" ht="18.75" customHeight="1">
      <c r="A145" s="1154">
        <v>131</v>
      </c>
      <c r="B145" s="1155">
        <v>33</v>
      </c>
      <c r="C145" s="1156"/>
      <c r="D145" s="1156"/>
      <c r="E145" s="1157" t="s">
        <v>47</v>
      </c>
      <c r="F145" s="1156" t="s">
        <v>15</v>
      </c>
      <c r="G145" s="1155" t="s">
        <v>536</v>
      </c>
      <c r="H145" s="1155" t="s">
        <v>536</v>
      </c>
      <c r="I145" s="1155" t="s">
        <v>536</v>
      </c>
      <c r="J145" s="1155" t="s">
        <v>536</v>
      </c>
      <c r="K145" s="1153">
        <f t="shared" si="5"/>
        <v>4</v>
      </c>
      <c r="L145" s="1163">
        <f t="shared" si="6"/>
        <v>400000</v>
      </c>
      <c r="M145" s="1164"/>
      <c r="N145" s="841" t="s">
        <v>554</v>
      </c>
      <c r="O145" s="841">
        <v>102</v>
      </c>
    </row>
    <row r="146" spans="1:21" ht="18.75" customHeight="1">
      <c r="A146" s="1154">
        <v>132</v>
      </c>
      <c r="B146" s="1155">
        <v>34</v>
      </c>
      <c r="C146" s="1156"/>
      <c r="D146" s="1156"/>
      <c r="E146" s="1157" t="s">
        <v>48</v>
      </c>
      <c r="F146" s="1156" t="s">
        <v>15</v>
      </c>
      <c r="G146" s="1155"/>
      <c r="H146" s="1155" t="s">
        <v>536</v>
      </c>
      <c r="I146" s="1155" t="s">
        <v>536</v>
      </c>
      <c r="J146" s="1155" t="s">
        <v>536</v>
      </c>
      <c r="K146" s="1153">
        <f t="shared" si="5"/>
        <v>3</v>
      </c>
      <c r="L146" s="1163">
        <f t="shared" si="6"/>
        <v>300000</v>
      </c>
      <c r="M146" s="1164"/>
      <c r="N146" s="841" t="s">
        <v>554</v>
      </c>
      <c r="O146" s="841">
        <v>50</v>
      </c>
    </row>
    <row r="147" spans="1:21" ht="18.75" customHeight="1">
      <c r="A147" s="1154">
        <v>133</v>
      </c>
      <c r="B147" s="1155">
        <v>35</v>
      </c>
      <c r="C147" s="1156"/>
      <c r="D147" s="1156"/>
      <c r="E147" s="1157" t="s">
        <v>49</v>
      </c>
      <c r="F147" s="1156" t="s">
        <v>15</v>
      </c>
      <c r="G147" s="1155" t="s">
        <v>536</v>
      </c>
      <c r="H147" s="1155" t="s">
        <v>536</v>
      </c>
      <c r="I147" s="1155"/>
      <c r="J147" s="1155" t="s">
        <v>536</v>
      </c>
      <c r="K147" s="1153">
        <f t="shared" si="5"/>
        <v>3</v>
      </c>
      <c r="L147" s="1163">
        <f t="shared" si="6"/>
        <v>300000</v>
      </c>
      <c r="M147" s="1164"/>
      <c r="N147" s="841" t="s">
        <v>554</v>
      </c>
      <c r="O147" s="841">
        <v>65</v>
      </c>
    </row>
    <row r="148" spans="1:21" ht="18.75" customHeight="1">
      <c r="A148" s="1154">
        <v>134</v>
      </c>
      <c r="B148" s="1155">
        <v>36</v>
      </c>
      <c r="C148" s="1156"/>
      <c r="D148" s="1156"/>
      <c r="E148" s="1157" t="s">
        <v>50</v>
      </c>
      <c r="F148" s="1156" t="s">
        <v>15</v>
      </c>
      <c r="G148" s="1155" t="s">
        <v>536</v>
      </c>
      <c r="H148" s="1155" t="s">
        <v>536</v>
      </c>
      <c r="I148" s="1155"/>
      <c r="J148" s="1155" t="s">
        <v>536</v>
      </c>
      <c r="K148" s="1153">
        <f t="shared" si="5"/>
        <v>3</v>
      </c>
      <c r="L148" s="1163">
        <f t="shared" si="6"/>
        <v>300000</v>
      </c>
      <c r="M148" s="1164"/>
      <c r="N148" s="841" t="s">
        <v>554</v>
      </c>
      <c r="O148" s="841">
        <v>66</v>
      </c>
    </row>
    <row r="149" spans="1:21" ht="18.75" customHeight="1">
      <c r="A149" s="1154">
        <v>135</v>
      </c>
      <c r="B149" s="1155">
        <v>37</v>
      </c>
      <c r="C149" s="1156"/>
      <c r="D149" s="1156"/>
      <c r="E149" s="1157" t="s">
        <v>51</v>
      </c>
      <c r="F149" s="1156" t="s">
        <v>15</v>
      </c>
      <c r="G149" s="1155" t="s">
        <v>536</v>
      </c>
      <c r="H149" s="1155" t="s">
        <v>536</v>
      </c>
      <c r="I149" s="1155" t="s">
        <v>536</v>
      </c>
      <c r="J149" s="1155" t="s">
        <v>536</v>
      </c>
      <c r="K149" s="1153">
        <f t="shared" si="5"/>
        <v>4</v>
      </c>
      <c r="L149" s="1163">
        <f t="shared" si="6"/>
        <v>400000</v>
      </c>
      <c r="M149" s="1164"/>
      <c r="N149" s="841" t="s">
        <v>554</v>
      </c>
      <c r="O149" s="841">
        <v>98</v>
      </c>
    </row>
    <row r="150" spans="1:21" ht="18.75" customHeight="1">
      <c r="A150" s="1154">
        <v>136</v>
      </c>
      <c r="B150" s="1155">
        <v>38</v>
      </c>
      <c r="C150" s="1156"/>
      <c r="D150" s="1156"/>
      <c r="E150" s="1157" t="s">
        <v>52</v>
      </c>
      <c r="F150" s="1156" t="s">
        <v>15</v>
      </c>
      <c r="G150" s="1155" t="s">
        <v>536</v>
      </c>
      <c r="H150" s="1155" t="s">
        <v>536</v>
      </c>
      <c r="I150" s="1155" t="s">
        <v>536</v>
      </c>
      <c r="J150" s="1155"/>
      <c r="K150" s="1153">
        <f t="shared" si="5"/>
        <v>3</v>
      </c>
      <c r="L150" s="1163">
        <f t="shared" si="6"/>
        <v>300000</v>
      </c>
      <c r="M150" s="1164"/>
      <c r="N150" s="841" t="s">
        <v>554</v>
      </c>
      <c r="O150" s="841">
        <v>65</v>
      </c>
    </row>
    <row r="151" spans="1:21" ht="18.75" customHeight="1">
      <c r="A151" s="1154">
        <v>137</v>
      </c>
      <c r="B151" s="1155">
        <v>39</v>
      </c>
      <c r="C151" s="1156"/>
      <c r="D151" s="1156"/>
      <c r="E151" s="1157" t="s">
        <v>53</v>
      </c>
      <c r="F151" s="1156" t="s">
        <v>15</v>
      </c>
      <c r="G151" s="1155" t="s">
        <v>536</v>
      </c>
      <c r="H151" s="1155" t="s">
        <v>536</v>
      </c>
      <c r="I151" s="1155" t="s">
        <v>536</v>
      </c>
      <c r="J151" s="1155"/>
      <c r="K151" s="1153">
        <f t="shared" si="5"/>
        <v>3</v>
      </c>
      <c r="L151" s="1163">
        <f t="shared" si="6"/>
        <v>300000</v>
      </c>
      <c r="M151" s="1164"/>
      <c r="N151" s="841" t="s">
        <v>554</v>
      </c>
      <c r="O151" s="841">
        <v>50</v>
      </c>
    </row>
    <row r="152" spans="1:21" ht="18.75" customHeight="1">
      <c r="A152" s="1154">
        <v>138</v>
      </c>
      <c r="B152" s="1155">
        <v>40</v>
      </c>
      <c r="C152" s="1156"/>
      <c r="D152" s="1156"/>
      <c r="E152" s="1157" t="s">
        <v>54</v>
      </c>
      <c r="F152" s="1156" t="s">
        <v>15</v>
      </c>
      <c r="G152" s="1155" t="s">
        <v>536</v>
      </c>
      <c r="H152" s="1155" t="s">
        <v>536</v>
      </c>
      <c r="I152" s="1155" t="s">
        <v>536</v>
      </c>
      <c r="J152" s="1155" t="s">
        <v>536</v>
      </c>
      <c r="K152" s="1153">
        <f t="shared" si="5"/>
        <v>4</v>
      </c>
      <c r="L152" s="1163">
        <f t="shared" si="6"/>
        <v>400000</v>
      </c>
      <c r="M152" s="1164"/>
      <c r="N152" s="841" t="s">
        <v>554</v>
      </c>
      <c r="O152" s="841">
        <v>60</v>
      </c>
    </row>
    <row r="153" spans="1:21" ht="18.75" customHeight="1">
      <c r="A153" s="1154">
        <v>139</v>
      </c>
      <c r="B153" s="1155">
        <v>41</v>
      </c>
      <c r="C153" s="1156"/>
      <c r="D153" s="1156"/>
      <c r="E153" s="1157" t="s">
        <v>55</v>
      </c>
      <c r="F153" s="1156" t="s">
        <v>15</v>
      </c>
      <c r="G153" s="1155" t="s">
        <v>536</v>
      </c>
      <c r="H153" s="1155" t="s">
        <v>536</v>
      </c>
      <c r="I153" s="1155" t="s">
        <v>536</v>
      </c>
      <c r="J153" s="1155" t="s">
        <v>536</v>
      </c>
      <c r="K153" s="1153">
        <f t="shared" si="5"/>
        <v>4</v>
      </c>
      <c r="L153" s="1163">
        <f t="shared" si="6"/>
        <v>400000</v>
      </c>
      <c r="M153" s="1164"/>
      <c r="N153" s="841" t="s">
        <v>554</v>
      </c>
      <c r="O153" s="841">
        <v>29</v>
      </c>
    </row>
    <row r="154" spans="1:21" ht="18.75" customHeight="1">
      <c r="A154" s="1154">
        <v>140</v>
      </c>
      <c r="B154" s="1155">
        <v>42</v>
      </c>
      <c r="C154" s="1156"/>
      <c r="D154" s="1156"/>
      <c r="E154" s="1157" t="s">
        <v>56</v>
      </c>
      <c r="F154" s="1156" t="s">
        <v>15</v>
      </c>
      <c r="G154" s="1155" t="s">
        <v>536</v>
      </c>
      <c r="H154" s="1155" t="s">
        <v>536</v>
      </c>
      <c r="I154" s="1155" t="s">
        <v>536</v>
      </c>
      <c r="J154" s="1155" t="s">
        <v>536</v>
      </c>
      <c r="K154" s="1153">
        <f t="shared" si="5"/>
        <v>4</v>
      </c>
      <c r="L154" s="1163">
        <f t="shared" si="6"/>
        <v>400000</v>
      </c>
      <c r="M154" s="1164"/>
      <c r="N154" s="841" t="s">
        <v>554</v>
      </c>
      <c r="O154" s="841">
        <v>69</v>
      </c>
    </row>
    <row r="155" spans="1:21" ht="18.75" customHeight="1">
      <c r="A155" s="1154">
        <v>141</v>
      </c>
      <c r="B155" s="1155">
        <v>43</v>
      </c>
      <c r="C155" s="1156"/>
      <c r="D155" s="1156"/>
      <c r="E155" s="1157" t="s">
        <v>57</v>
      </c>
      <c r="F155" s="1156" t="s">
        <v>15</v>
      </c>
      <c r="G155" s="1155" t="s">
        <v>536</v>
      </c>
      <c r="H155" s="1155" t="s">
        <v>536</v>
      </c>
      <c r="I155" s="1155" t="s">
        <v>536</v>
      </c>
      <c r="J155" s="1155" t="s">
        <v>536</v>
      </c>
      <c r="K155" s="1153">
        <f t="shared" si="5"/>
        <v>4</v>
      </c>
      <c r="L155" s="1163">
        <f t="shared" si="6"/>
        <v>400000</v>
      </c>
      <c r="M155" s="1164"/>
      <c r="N155" s="841" t="s">
        <v>554</v>
      </c>
      <c r="O155" s="841">
        <v>52</v>
      </c>
    </row>
    <row r="156" spans="1:21" ht="18.75" customHeight="1">
      <c r="A156" s="1154">
        <v>142</v>
      </c>
      <c r="B156" s="1155">
        <v>44</v>
      </c>
      <c r="C156" s="1156"/>
      <c r="D156" s="1156"/>
      <c r="E156" s="1157" t="s">
        <v>59</v>
      </c>
      <c r="F156" s="1156" t="s">
        <v>15</v>
      </c>
      <c r="G156" s="1155" t="s">
        <v>536</v>
      </c>
      <c r="H156" s="1155" t="s">
        <v>536</v>
      </c>
      <c r="I156" s="1155" t="s">
        <v>536</v>
      </c>
      <c r="J156" s="1155" t="s">
        <v>536</v>
      </c>
      <c r="K156" s="1153">
        <f t="shared" si="5"/>
        <v>4</v>
      </c>
      <c r="L156" s="1163">
        <f t="shared" si="6"/>
        <v>400000</v>
      </c>
      <c r="M156" s="1164"/>
      <c r="N156" s="841" t="s">
        <v>554</v>
      </c>
      <c r="O156" s="841">
        <v>83</v>
      </c>
    </row>
    <row r="157" spans="1:21" ht="18.75" customHeight="1">
      <c r="A157" s="1154">
        <v>143</v>
      </c>
      <c r="B157" s="1155">
        <v>45</v>
      </c>
      <c r="C157" s="1156"/>
      <c r="D157" s="1156"/>
      <c r="E157" s="1157" t="s">
        <v>60</v>
      </c>
      <c r="F157" s="1156" t="s">
        <v>15</v>
      </c>
      <c r="G157" s="1155" t="s">
        <v>536</v>
      </c>
      <c r="H157" s="1155" t="s">
        <v>536</v>
      </c>
      <c r="I157" s="1155"/>
      <c r="J157" s="1155"/>
      <c r="K157" s="1153">
        <f t="shared" si="5"/>
        <v>2</v>
      </c>
      <c r="L157" s="1163">
        <f t="shared" si="6"/>
        <v>200000</v>
      </c>
      <c r="M157" s="1164"/>
      <c r="N157" s="841" t="s">
        <v>554</v>
      </c>
      <c r="O157" s="841">
        <v>84</v>
      </c>
      <c r="U157" s="1165"/>
    </row>
    <row r="158" spans="1:21" ht="18.75" customHeight="1">
      <c r="A158" s="1154">
        <v>144</v>
      </c>
      <c r="B158" s="1155">
        <v>46</v>
      </c>
      <c r="C158" s="1156"/>
      <c r="D158" s="1156"/>
      <c r="E158" s="1157" t="s">
        <v>61</v>
      </c>
      <c r="F158" s="1156" t="s">
        <v>15</v>
      </c>
      <c r="G158" s="1155" t="s">
        <v>536</v>
      </c>
      <c r="H158" s="1155" t="s">
        <v>536</v>
      </c>
      <c r="I158" s="1155"/>
      <c r="J158" s="1155"/>
      <c r="K158" s="1153">
        <f t="shared" si="5"/>
        <v>2</v>
      </c>
      <c r="L158" s="1163">
        <f t="shared" si="6"/>
        <v>200000</v>
      </c>
      <c r="M158" s="1164"/>
      <c r="N158" s="841" t="s">
        <v>554</v>
      </c>
      <c r="O158" s="841">
        <v>87</v>
      </c>
    </row>
    <row r="159" spans="1:21" ht="18.75" customHeight="1">
      <c r="A159" s="1154">
        <v>145</v>
      </c>
      <c r="B159" s="1155">
        <v>47</v>
      </c>
      <c r="C159" s="1156"/>
      <c r="D159" s="1156"/>
      <c r="E159" s="1157" t="s">
        <v>62</v>
      </c>
      <c r="F159" s="1156" t="s">
        <v>15</v>
      </c>
      <c r="G159" s="1155" t="s">
        <v>536</v>
      </c>
      <c r="H159" s="1155" t="s">
        <v>536</v>
      </c>
      <c r="I159" s="1155" t="s">
        <v>536</v>
      </c>
      <c r="J159" s="1155" t="s">
        <v>536</v>
      </c>
      <c r="K159" s="1153">
        <f t="shared" si="5"/>
        <v>4</v>
      </c>
      <c r="L159" s="1163">
        <f t="shared" si="6"/>
        <v>400000</v>
      </c>
      <c r="M159" s="1164"/>
      <c r="N159" s="841" t="s">
        <v>554</v>
      </c>
      <c r="O159" s="841">
        <v>102</v>
      </c>
    </row>
    <row r="160" spans="1:21" ht="18.75" customHeight="1">
      <c r="A160" s="1154">
        <v>146</v>
      </c>
      <c r="B160" s="1155">
        <v>48</v>
      </c>
      <c r="C160" s="1156"/>
      <c r="D160" s="1156"/>
      <c r="E160" s="1157" t="s">
        <v>63</v>
      </c>
      <c r="F160" s="1156" t="s">
        <v>15</v>
      </c>
      <c r="G160" s="1155" t="s">
        <v>536</v>
      </c>
      <c r="H160" s="1155" t="s">
        <v>536</v>
      </c>
      <c r="I160" s="1155" t="s">
        <v>536</v>
      </c>
      <c r="J160" s="1155" t="s">
        <v>536</v>
      </c>
      <c r="K160" s="1153">
        <f t="shared" si="5"/>
        <v>4</v>
      </c>
      <c r="L160" s="1163">
        <f t="shared" si="6"/>
        <v>400000</v>
      </c>
      <c r="M160" s="1164"/>
      <c r="N160" s="841" t="s">
        <v>554</v>
      </c>
      <c r="O160" s="841">
        <v>112</v>
      </c>
    </row>
    <row r="161" spans="1:15" ht="18.75" customHeight="1">
      <c r="A161" s="1154">
        <v>147</v>
      </c>
      <c r="B161" s="1155">
        <v>49</v>
      </c>
      <c r="C161" s="1156"/>
      <c r="D161" s="1156"/>
      <c r="E161" s="1157" t="s">
        <v>64</v>
      </c>
      <c r="F161" s="1156" t="s">
        <v>15</v>
      </c>
      <c r="G161" s="1155" t="s">
        <v>536</v>
      </c>
      <c r="H161" s="1155" t="s">
        <v>536</v>
      </c>
      <c r="I161" s="1155" t="s">
        <v>536</v>
      </c>
      <c r="J161" s="1155" t="s">
        <v>536</v>
      </c>
      <c r="K161" s="1153">
        <f t="shared" si="5"/>
        <v>4</v>
      </c>
      <c r="L161" s="1163">
        <f t="shared" si="6"/>
        <v>400000</v>
      </c>
      <c r="M161" s="1164"/>
      <c r="N161" s="841" t="s">
        <v>554</v>
      </c>
      <c r="O161" s="841">
        <v>78</v>
      </c>
    </row>
    <row r="162" spans="1:15" ht="18.75" customHeight="1">
      <c r="A162" s="1154">
        <v>148</v>
      </c>
      <c r="B162" s="1155">
        <v>50</v>
      </c>
      <c r="C162" s="1156"/>
      <c r="D162" s="1156"/>
      <c r="E162" s="1157" t="s">
        <v>65</v>
      </c>
      <c r="F162" s="1156" t="s">
        <v>15</v>
      </c>
      <c r="G162" s="1155" t="s">
        <v>536</v>
      </c>
      <c r="H162" s="1155" t="s">
        <v>536</v>
      </c>
      <c r="I162" s="1155" t="s">
        <v>536</v>
      </c>
      <c r="J162" s="1155" t="s">
        <v>536</v>
      </c>
      <c r="K162" s="1153">
        <f t="shared" si="5"/>
        <v>4</v>
      </c>
      <c r="L162" s="1163">
        <f t="shared" si="6"/>
        <v>400000</v>
      </c>
      <c r="M162" s="1164"/>
      <c r="N162" s="841" t="s">
        <v>554</v>
      </c>
      <c r="O162" s="841">
        <v>87</v>
      </c>
    </row>
    <row r="163" spans="1:15" ht="18.75" customHeight="1">
      <c r="A163" s="1154">
        <v>149</v>
      </c>
      <c r="B163" s="1155">
        <v>51</v>
      </c>
      <c r="C163" s="1156"/>
      <c r="D163" s="1156"/>
      <c r="E163" s="1157" t="s">
        <v>66</v>
      </c>
      <c r="F163" s="1156" t="s">
        <v>15</v>
      </c>
      <c r="G163" s="1155" t="s">
        <v>536</v>
      </c>
      <c r="H163" s="1155" t="s">
        <v>536</v>
      </c>
      <c r="I163" s="1155" t="s">
        <v>536</v>
      </c>
      <c r="J163" s="1155"/>
      <c r="K163" s="1153">
        <f t="shared" si="5"/>
        <v>3</v>
      </c>
      <c r="L163" s="1163">
        <f t="shared" si="6"/>
        <v>300000</v>
      </c>
      <c r="M163" s="1164"/>
      <c r="N163" s="841" t="s">
        <v>554</v>
      </c>
      <c r="O163" s="841">
        <v>82</v>
      </c>
    </row>
    <row r="164" spans="1:15" ht="18.75" customHeight="1">
      <c r="A164" s="1154">
        <v>150</v>
      </c>
      <c r="B164" s="1155">
        <v>52</v>
      </c>
      <c r="C164" s="1156"/>
      <c r="D164" s="1156"/>
      <c r="E164" s="1157" t="s">
        <v>67</v>
      </c>
      <c r="F164" s="1156" t="s">
        <v>15</v>
      </c>
      <c r="G164" s="1155" t="s">
        <v>536</v>
      </c>
      <c r="H164" s="1155" t="s">
        <v>536</v>
      </c>
      <c r="I164" s="1155" t="s">
        <v>536</v>
      </c>
      <c r="J164" s="1155" t="s">
        <v>536</v>
      </c>
      <c r="K164" s="1153">
        <f t="shared" si="5"/>
        <v>4</v>
      </c>
      <c r="L164" s="1163">
        <f t="shared" si="6"/>
        <v>400000</v>
      </c>
      <c r="M164" s="1164"/>
      <c r="N164" s="841" t="s">
        <v>554</v>
      </c>
      <c r="O164" s="841">
        <v>59</v>
      </c>
    </row>
    <row r="165" spans="1:15" ht="18.75" customHeight="1">
      <c r="A165" s="1154">
        <v>151</v>
      </c>
      <c r="B165" s="1155">
        <v>53</v>
      </c>
      <c r="C165" s="1156"/>
      <c r="D165" s="1156"/>
      <c r="E165" s="1157" t="s">
        <v>68</v>
      </c>
      <c r="F165" s="1156" t="s">
        <v>15</v>
      </c>
      <c r="G165" s="1155" t="s">
        <v>536</v>
      </c>
      <c r="H165" s="1155" t="s">
        <v>536</v>
      </c>
      <c r="I165" s="1155"/>
      <c r="J165" s="1155" t="s">
        <v>536</v>
      </c>
      <c r="K165" s="1153">
        <f t="shared" si="5"/>
        <v>3</v>
      </c>
      <c r="L165" s="1163">
        <f t="shared" si="6"/>
        <v>300000</v>
      </c>
      <c r="M165" s="1164"/>
      <c r="N165" s="841" t="s">
        <v>554</v>
      </c>
      <c r="O165" s="841">
        <v>70</v>
      </c>
    </row>
    <row r="166" spans="1:15" ht="18.75" customHeight="1">
      <c r="A166" s="1154">
        <v>152</v>
      </c>
      <c r="B166" s="1155">
        <v>54</v>
      </c>
      <c r="C166" s="1156"/>
      <c r="D166" s="1156"/>
      <c r="E166" s="1157" t="s">
        <v>69</v>
      </c>
      <c r="F166" s="1156" t="s">
        <v>15</v>
      </c>
      <c r="G166" s="1155" t="s">
        <v>536</v>
      </c>
      <c r="H166" s="1155" t="s">
        <v>536</v>
      </c>
      <c r="I166" s="1155"/>
      <c r="J166" s="1155" t="s">
        <v>536</v>
      </c>
      <c r="K166" s="1153">
        <f t="shared" si="5"/>
        <v>3</v>
      </c>
      <c r="L166" s="1163">
        <f t="shared" si="6"/>
        <v>300000</v>
      </c>
      <c r="M166" s="1164"/>
      <c r="N166" s="841" t="s">
        <v>554</v>
      </c>
      <c r="O166" s="841">
        <v>83</v>
      </c>
    </row>
    <row r="167" spans="1:15" ht="18.75" customHeight="1">
      <c r="A167" s="1154">
        <v>153</v>
      </c>
      <c r="B167" s="1155">
        <v>55</v>
      </c>
      <c r="C167" s="1156"/>
      <c r="D167" s="1156"/>
      <c r="E167" s="1157" t="s">
        <v>70</v>
      </c>
      <c r="F167" s="1156" t="s">
        <v>15</v>
      </c>
      <c r="G167" s="1155" t="s">
        <v>536</v>
      </c>
      <c r="H167" s="1155" t="s">
        <v>536</v>
      </c>
      <c r="I167" s="1155"/>
      <c r="J167" s="1155"/>
      <c r="K167" s="1153">
        <f t="shared" si="5"/>
        <v>2</v>
      </c>
      <c r="L167" s="1163">
        <f t="shared" si="6"/>
        <v>200000</v>
      </c>
      <c r="M167" s="1164"/>
      <c r="N167" s="841" t="s">
        <v>554</v>
      </c>
      <c r="O167" s="841">
        <v>45</v>
      </c>
    </row>
    <row r="168" spans="1:15" ht="18.75" customHeight="1">
      <c r="A168" s="1154">
        <v>154</v>
      </c>
      <c r="B168" s="1155">
        <v>56</v>
      </c>
      <c r="C168" s="1156"/>
      <c r="D168" s="1156"/>
      <c r="E168" s="1157" t="s">
        <v>71</v>
      </c>
      <c r="F168" s="1156" t="s">
        <v>15</v>
      </c>
      <c r="G168" s="1155" t="s">
        <v>536</v>
      </c>
      <c r="H168" s="1155" t="s">
        <v>536</v>
      </c>
      <c r="I168" s="1155"/>
      <c r="J168" s="1155" t="s">
        <v>536</v>
      </c>
      <c r="K168" s="1153">
        <f t="shared" si="5"/>
        <v>3</v>
      </c>
      <c r="L168" s="1163">
        <f t="shared" si="6"/>
        <v>300000</v>
      </c>
      <c r="M168" s="1164"/>
      <c r="N168" s="841" t="s">
        <v>554</v>
      </c>
      <c r="O168" s="841">
        <v>45</v>
      </c>
    </row>
    <row r="169" spans="1:15" ht="18.75" customHeight="1">
      <c r="A169" s="1154">
        <v>155</v>
      </c>
      <c r="B169" s="1155">
        <v>57</v>
      </c>
      <c r="C169" s="1156"/>
      <c r="D169" s="1156"/>
      <c r="E169" s="1157" t="s">
        <v>72</v>
      </c>
      <c r="F169" s="1156" t="s">
        <v>15</v>
      </c>
      <c r="G169" s="1155" t="s">
        <v>536</v>
      </c>
      <c r="H169" s="1155" t="s">
        <v>536</v>
      </c>
      <c r="I169" s="1155"/>
      <c r="J169" s="1155" t="s">
        <v>536</v>
      </c>
      <c r="K169" s="1153">
        <f t="shared" si="5"/>
        <v>3</v>
      </c>
      <c r="L169" s="1163">
        <f t="shared" si="6"/>
        <v>300000</v>
      </c>
      <c r="M169" s="1164"/>
      <c r="N169" s="841" t="s">
        <v>554</v>
      </c>
      <c r="O169" s="841">
        <v>47</v>
      </c>
    </row>
    <row r="170" spans="1:15" ht="18.75" customHeight="1">
      <c r="A170" s="1154">
        <v>156</v>
      </c>
      <c r="B170" s="1155">
        <v>58</v>
      </c>
      <c r="C170" s="1156"/>
      <c r="D170" s="1156"/>
      <c r="E170" s="1157" t="s">
        <v>74</v>
      </c>
      <c r="F170" s="1156" t="s">
        <v>15</v>
      </c>
      <c r="G170" s="1155" t="s">
        <v>536</v>
      </c>
      <c r="H170" s="1155" t="s">
        <v>536</v>
      </c>
      <c r="I170" s="1155" t="s">
        <v>536</v>
      </c>
      <c r="J170" s="1155"/>
      <c r="K170" s="1153">
        <f t="shared" si="5"/>
        <v>3</v>
      </c>
      <c r="L170" s="1163">
        <f t="shared" si="6"/>
        <v>300000</v>
      </c>
      <c r="M170" s="1164"/>
      <c r="N170" s="841" t="s">
        <v>554</v>
      </c>
      <c r="O170" s="841">
        <v>77</v>
      </c>
    </row>
    <row r="171" spans="1:15" ht="18.75" customHeight="1">
      <c r="A171" s="1154">
        <v>157</v>
      </c>
      <c r="B171" s="1155">
        <v>59</v>
      </c>
      <c r="C171" s="1156"/>
      <c r="D171" s="1156"/>
      <c r="E171" s="1157" t="s">
        <v>75</v>
      </c>
      <c r="F171" s="1156" t="s">
        <v>15</v>
      </c>
      <c r="G171" s="1155" t="s">
        <v>536</v>
      </c>
      <c r="H171" s="1155" t="s">
        <v>536</v>
      </c>
      <c r="I171" s="1155" t="s">
        <v>536</v>
      </c>
      <c r="J171" s="1155"/>
      <c r="K171" s="1153">
        <f t="shared" si="5"/>
        <v>3</v>
      </c>
      <c r="L171" s="1163">
        <f t="shared" si="6"/>
        <v>300000</v>
      </c>
      <c r="M171" s="1164"/>
      <c r="N171" s="841" t="s">
        <v>554</v>
      </c>
      <c r="O171" s="841">
        <v>84</v>
      </c>
    </row>
    <row r="172" spans="1:15" ht="18.75" customHeight="1">
      <c r="A172" s="1154">
        <v>158</v>
      </c>
      <c r="B172" s="1155">
        <v>60</v>
      </c>
      <c r="C172" s="1156"/>
      <c r="D172" s="1156"/>
      <c r="E172" s="1157" t="s">
        <v>76</v>
      </c>
      <c r="F172" s="1156" t="s">
        <v>15</v>
      </c>
      <c r="G172" s="1155" t="s">
        <v>536</v>
      </c>
      <c r="H172" s="1155"/>
      <c r="I172" s="1155"/>
      <c r="J172" s="1155"/>
      <c r="K172" s="1153">
        <f t="shared" si="5"/>
        <v>1</v>
      </c>
      <c r="L172" s="1163">
        <f t="shared" si="6"/>
        <v>100000</v>
      </c>
      <c r="M172" s="1164"/>
      <c r="O172" s="841">
        <v>0</v>
      </c>
    </row>
    <row r="173" spans="1:15" ht="18.75" customHeight="1">
      <c r="A173" s="1154">
        <v>159</v>
      </c>
      <c r="B173" s="1155">
        <v>61</v>
      </c>
      <c r="C173" s="1156"/>
      <c r="D173" s="1156"/>
      <c r="E173" s="1157" t="s">
        <v>77</v>
      </c>
      <c r="F173" s="1156" t="s">
        <v>15</v>
      </c>
      <c r="G173" s="1155" t="s">
        <v>536</v>
      </c>
      <c r="H173" s="1155" t="s">
        <v>536</v>
      </c>
      <c r="I173" s="1155" t="s">
        <v>536</v>
      </c>
      <c r="J173" s="1155" t="s">
        <v>536</v>
      </c>
      <c r="K173" s="1153">
        <f t="shared" si="5"/>
        <v>4</v>
      </c>
      <c r="L173" s="1163">
        <f t="shared" si="6"/>
        <v>400000</v>
      </c>
      <c r="M173" s="1164"/>
      <c r="N173" s="841" t="s">
        <v>554</v>
      </c>
      <c r="O173" s="841">
        <v>82</v>
      </c>
    </row>
    <row r="174" spans="1:15" ht="18.75" customHeight="1">
      <c r="A174" s="1154">
        <v>160</v>
      </c>
      <c r="B174" s="1155">
        <v>62</v>
      </c>
      <c r="C174" s="1156"/>
      <c r="D174" s="1156"/>
      <c r="E174" s="1157" t="s">
        <v>78</v>
      </c>
      <c r="F174" s="1156" t="s">
        <v>15</v>
      </c>
      <c r="G174" s="1155" t="s">
        <v>536</v>
      </c>
      <c r="H174" s="1155" t="s">
        <v>536</v>
      </c>
      <c r="I174" s="1155" t="s">
        <v>536</v>
      </c>
      <c r="J174" s="1155" t="s">
        <v>536</v>
      </c>
      <c r="K174" s="1153">
        <f t="shared" si="5"/>
        <v>4</v>
      </c>
      <c r="L174" s="1163">
        <f t="shared" si="6"/>
        <v>400000</v>
      </c>
      <c r="M174" s="1164"/>
      <c r="N174" s="841" t="s">
        <v>554</v>
      </c>
      <c r="O174" s="841">
        <v>81</v>
      </c>
    </row>
    <row r="175" spans="1:15" ht="18.75" customHeight="1">
      <c r="A175" s="1154">
        <v>161</v>
      </c>
      <c r="B175" s="1155">
        <v>63</v>
      </c>
      <c r="C175" s="1156"/>
      <c r="D175" s="1156"/>
      <c r="E175" s="1157" t="s">
        <v>79</v>
      </c>
      <c r="F175" s="1156" t="s">
        <v>15</v>
      </c>
      <c r="G175" s="1155"/>
      <c r="H175" s="1155" t="s">
        <v>536</v>
      </c>
      <c r="I175" s="1155"/>
      <c r="J175" s="1155"/>
      <c r="K175" s="1153">
        <f t="shared" si="5"/>
        <v>1</v>
      </c>
      <c r="L175" s="1163">
        <f t="shared" si="6"/>
        <v>100000</v>
      </c>
      <c r="M175" s="1164"/>
      <c r="N175" s="841" t="s">
        <v>554</v>
      </c>
      <c r="O175" s="841">
        <v>50</v>
      </c>
    </row>
    <row r="176" spans="1:15" ht="18.75" customHeight="1">
      <c r="A176" s="1154">
        <v>162</v>
      </c>
      <c r="B176" s="1155">
        <v>64</v>
      </c>
      <c r="C176" s="1156"/>
      <c r="D176" s="1156"/>
      <c r="E176" s="1157" t="s">
        <v>80</v>
      </c>
      <c r="F176" s="1156" t="s">
        <v>15</v>
      </c>
      <c r="G176" s="1155" t="s">
        <v>536</v>
      </c>
      <c r="H176" s="1155" t="s">
        <v>536</v>
      </c>
      <c r="I176" s="1155" t="s">
        <v>536</v>
      </c>
      <c r="J176" s="1155" t="s">
        <v>536</v>
      </c>
      <c r="K176" s="1153">
        <f t="shared" si="5"/>
        <v>4</v>
      </c>
      <c r="L176" s="1163">
        <f t="shared" si="6"/>
        <v>400000</v>
      </c>
      <c r="M176" s="1164"/>
      <c r="N176" s="841" t="s">
        <v>554</v>
      </c>
      <c r="O176" s="841">
        <v>72</v>
      </c>
    </row>
    <row r="177" spans="1:15" ht="18.75" customHeight="1">
      <c r="A177" s="1154">
        <v>163</v>
      </c>
      <c r="B177" s="1155">
        <v>65</v>
      </c>
      <c r="C177" s="1156"/>
      <c r="D177" s="1156"/>
      <c r="E177" s="1157" t="s">
        <v>81</v>
      </c>
      <c r="F177" s="1156" t="s">
        <v>15</v>
      </c>
      <c r="G177" s="1155" t="s">
        <v>536</v>
      </c>
      <c r="H177" s="1155"/>
      <c r="I177" s="1155" t="s">
        <v>536</v>
      </c>
      <c r="J177" s="1155"/>
      <c r="K177" s="1153">
        <f t="shared" ref="K177:K205" si="7">COUNTIF(G177:J177,"X")</f>
        <v>2</v>
      </c>
      <c r="L177" s="1163">
        <f t="shared" ref="L177:L240" si="8">K177*100000</f>
        <v>200000</v>
      </c>
      <c r="M177" s="1164"/>
      <c r="O177" s="841">
        <v>90</v>
      </c>
    </row>
    <row r="178" spans="1:15" ht="18.75" customHeight="1">
      <c r="A178" s="1154">
        <v>164</v>
      </c>
      <c r="B178" s="1155">
        <v>66</v>
      </c>
      <c r="C178" s="1156"/>
      <c r="D178" s="1156"/>
      <c r="E178" s="1157" t="s">
        <v>82</v>
      </c>
      <c r="F178" s="1156" t="s">
        <v>15</v>
      </c>
      <c r="G178" s="1155" t="s">
        <v>536</v>
      </c>
      <c r="H178" s="1155"/>
      <c r="I178" s="1155" t="s">
        <v>536</v>
      </c>
      <c r="J178" s="1155"/>
      <c r="K178" s="1153">
        <f t="shared" si="7"/>
        <v>2</v>
      </c>
      <c r="L178" s="1163">
        <f t="shared" si="8"/>
        <v>200000</v>
      </c>
      <c r="M178" s="1164"/>
      <c r="O178" s="841">
        <v>95</v>
      </c>
    </row>
    <row r="179" spans="1:15" ht="18.75" customHeight="1">
      <c r="A179" s="1154">
        <v>165</v>
      </c>
      <c r="B179" s="1155">
        <v>67</v>
      </c>
      <c r="C179" s="1156"/>
      <c r="D179" s="1156"/>
      <c r="E179" s="1157" t="s">
        <v>83</v>
      </c>
      <c r="F179" s="1156" t="s">
        <v>15</v>
      </c>
      <c r="G179" s="1155" t="s">
        <v>536</v>
      </c>
      <c r="H179" s="1155" t="s">
        <v>536</v>
      </c>
      <c r="I179" s="1155"/>
      <c r="J179" s="1155"/>
      <c r="K179" s="1153">
        <f t="shared" si="7"/>
        <v>2</v>
      </c>
      <c r="L179" s="1163">
        <f t="shared" si="8"/>
        <v>200000</v>
      </c>
      <c r="M179" s="1164"/>
      <c r="N179" s="841" t="s">
        <v>554</v>
      </c>
      <c r="O179" s="841">
        <v>87</v>
      </c>
    </row>
    <row r="180" spans="1:15" ht="18.75" customHeight="1">
      <c r="A180" s="1154">
        <v>166</v>
      </c>
      <c r="B180" s="1155">
        <v>68</v>
      </c>
      <c r="C180" s="1156"/>
      <c r="D180" s="1156"/>
      <c r="E180" s="1157" t="s">
        <v>84</v>
      </c>
      <c r="F180" s="1156" t="s">
        <v>15</v>
      </c>
      <c r="G180" s="1155" t="s">
        <v>536</v>
      </c>
      <c r="H180" s="1155" t="s">
        <v>536</v>
      </c>
      <c r="I180" s="1155" t="s">
        <v>536</v>
      </c>
      <c r="J180" s="1155" t="s">
        <v>536</v>
      </c>
      <c r="K180" s="1153">
        <f t="shared" si="7"/>
        <v>4</v>
      </c>
      <c r="L180" s="1163">
        <f t="shared" si="8"/>
        <v>400000</v>
      </c>
      <c r="M180" s="1164"/>
      <c r="N180" s="841" t="s">
        <v>554</v>
      </c>
      <c r="O180" s="841">
        <v>145</v>
      </c>
    </row>
    <row r="181" spans="1:15" ht="18.75" customHeight="1">
      <c r="A181" s="1154">
        <v>167</v>
      </c>
      <c r="B181" s="1155">
        <v>69</v>
      </c>
      <c r="C181" s="1156"/>
      <c r="D181" s="1156"/>
      <c r="E181" s="1157" t="s">
        <v>85</v>
      </c>
      <c r="F181" s="1156" t="s">
        <v>15</v>
      </c>
      <c r="G181" s="1155" t="s">
        <v>536</v>
      </c>
      <c r="H181" s="1155" t="s">
        <v>536</v>
      </c>
      <c r="I181" s="1155" t="s">
        <v>536</v>
      </c>
      <c r="J181" s="1155" t="s">
        <v>536</v>
      </c>
      <c r="K181" s="1153">
        <f t="shared" si="7"/>
        <v>4</v>
      </c>
      <c r="L181" s="1163">
        <f t="shared" si="8"/>
        <v>400000</v>
      </c>
      <c r="M181" s="1164"/>
      <c r="N181" s="841" t="s">
        <v>554</v>
      </c>
      <c r="O181" s="841">
        <v>62</v>
      </c>
    </row>
    <row r="182" spans="1:15" ht="18.75" customHeight="1">
      <c r="A182" s="1154">
        <v>168</v>
      </c>
      <c r="B182" s="1155">
        <v>70</v>
      </c>
      <c r="C182" s="1156"/>
      <c r="D182" s="1156"/>
      <c r="E182" s="1157" t="s">
        <v>86</v>
      </c>
      <c r="F182" s="1156" t="s">
        <v>15</v>
      </c>
      <c r="G182" s="1155" t="s">
        <v>536</v>
      </c>
      <c r="H182" s="1155" t="s">
        <v>536</v>
      </c>
      <c r="I182" s="1155"/>
      <c r="J182" s="1155"/>
      <c r="K182" s="1153">
        <f t="shared" si="7"/>
        <v>2</v>
      </c>
      <c r="L182" s="1163">
        <f t="shared" si="8"/>
        <v>200000</v>
      </c>
      <c r="M182" s="1164"/>
      <c r="N182" s="841" t="s">
        <v>558</v>
      </c>
      <c r="O182" s="841">
        <v>38</v>
      </c>
    </row>
    <row r="183" spans="1:15" ht="18.75" customHeight="1">
      <c r="A183" s="1154">
        <v>169</v>
      </c>
      <c r="B183" s="1155">
        <v>71</v>
      </c>
      <c r="C183" s="1156"/>
      <c r="D183" s="1156"/>
      <c r="E183" s="1157" t="s">
        <v>87</v>
      </c>
      <c r="F183" s="1156" t="s">
        <v>15</v>
      </c>
      <c r="G183" s="1155" t="s">
        <v>536</v>
      </c>
      <c r="H183" s="1155" t="s">
        <v>536</v>
      </c>
      <c r="I183" s="1155" t="s">
        <v>536</v>
      </c>
      <c r="J183" s="1155" t="s">
        <v>536</v>
      </c>
      <c r="K183" s="1153">
        <f t="shared" si="7"/>
        <v>4</v>
      </c>
      <c r="L183" s="1163">
        <f t="shared" si="8"/>
        <v>400000</v>
      </c>
      <c r="M183" s="1164"/>
      <c r="N183" s="841" t="s">
        <v>554</v>
      </c>
      <c r="O183" s="841">
        <v>74</v>
      </c>
    </row>
    <row r="184" spans="1:15" ht="18.75" customHeight="1">
      <c r="A184" s="1154">
        <v>170</v>
      </c>
      <c r="B184" s="1155">
        <v>72</v>
      </c>
      <c r="C184" s="1156"/>
      <c r="D184" s="1156"/>
      <c r="E184" s="1157" t="s">
        <v>88</v>
      </c>
      <c r="F184" s="1156" t="s">
        <v>15</v>
      </c>
      <c r="G184" s="1155" t="s">
        <v>536</v>
      </c>
      <c r="H184" s="1155" t="s">
        <v>536</v>
      </c>
      <c r="I184" s="1155" t="s">
        <v>536</v>
      </c>
      <c r="J184" s="1155" t="s">
        <v>536</v>
      </c>
      <c r="K184" s="1153">
        <f t="shared" si="7"/>
        <v>4</v>
      </c>
      <c r="L184" s="1163">
        <f t="shared" si="8"/>
        <v>400000</v>
      </c>
      <c r="M184" s="1164"/>
      <c r="N184" s="841" t="s">
        <v>554</v>
      </c>
      <c r="O184" s="841">
        <v>76</v>
      </c>
    </row>
    <row r="185" spans="1:15" ht="18.75" customHeight="1">
      <c r="A185" s="1154">
        <v>171</v>
      </c>
      <c r="B185" s="1155">
        <v>73</v>
      </c>
      <c r="C185" s="1156"/>
      <c r="D185" s="1156"/>
      <c r="E185" s="1157" t="s">
        <v>89</v>
      </c>
      <c r="F185" s="1156" t="s">
        <v>15</v>
      </c>
      <c r="G185" s="1155"/>
      <c r="H185" s="1155" t="s">
        <v>536</v>
      </c>
      <c r="I185" s="1155"/>
      <c r="J185" s="1155" t="s">
        <v>536</v>
      </c>
      <c r="K185" s="1153">
        <f t="shared" si="7"/>
        <v>2</v>
      </c>
      <c r="L185" s="1163">
        <f t="shared" si="8"/>
        <v>200000</v>
      </c>
      <c r="M185" s="1164"/>
      <c r="N185" s="841" t="s">
        <v>554</v>
      </c>
      <c r="O185" s="841">
        <v>81</v>
      </c>
    </row>
    <row r="186" spans="1:15" ht="18.75" customHeight="1">
      <c r="A186" s="1154">
        <v>172</v>
      </c>
      <c r="B186" s="1155">
        <v>74</v>
      </c>
      <c r="C186" s="1156"/>
      <c r="D186" s="1156"/>
      <c r="E186" s="1157" t="s">
        <v>90</v>
      </c>
      <c r="F186" s="1156" t="s">
        <v>15</v>
      </c>
      <c r="G186" s="1155"/>
      <c r="H186" s="1155" t="s">
        <v>536</v>
      </c>
      <c r="I186" s="1155"/>
      <c r="J186" s="1155" t="s">
        <v>536</v>
      </c>
      <c r="K186" s="1153">
        <f t="shared" si="7"/>
        <v>2</v>
      </c>
      <c r="L186" s="1163">
        <f t="shared" si="8"/>
        <v>200000</v>
      </c>
      <c r="M186" s="1164"/>
      <c r="N186" s="841" t="s">
        <v>554</v>
      </c>
      <c r="O186" s="841">
        <v>81</v>
      </c>
    </row>
    <row r="187" spans="1:15" ht="18.75" customHeight="1">
      <c r="A187" s="1154">
        <v>173</v>
      </c>
      <c r="B187" s="1155">
        <v>75</v>
      </c>
      <c r="C187" s="1156"/>
      <c r="D187" s="1156"/>
      <c r="E187" s="1157" t="s">
        <v>91</v>
      </c>
      <c r="F187" s="1156" t="s">
        <v>15</v>
      </c>
      <c r="G187" s="1155" t="s">
        <v>536</v>
      </c>
      <c r="H187" s="1155" t="s">
        <v>536</v>
      </c>
      <c r="I187" s="1155" t="s">
        <v>536</v>
      </c>
      <c r="J187" s="1155" t="s">
        <v>536</v>
      </c>
      <c r="K187" s="1153">
        <f t="shared" si="7"/>
        <v>4</v>
      </c>
      <c r="L187" s="1163">
        <f t="shared" si="8"/>
        <v>400000</v>
      </c>
      <c r="M187" s="1164"/>
      <c r="N187" s="841" t="s">
        <v>554</v>
      </c>
      <c r="O187" s="841">
        <v>82</v>
      </c>
    </row>
    <row r="188" spans="1:15" ht="18.75" customHeight="1">
      <c r="A188" s="1154">
        <v>174</v>
      </c>
      <c r="B188" s="1155">
        <v>76</v>
      </c>
      <c r="C188" s="1156"/>
      <c r="D188" s="1156"/>
      <c r="E188" s="1157" t="s">
        <v>92</v>
      </c>
      <c r="F188" s="1156" t="s">
        <v>15</v>
      </c>
      <c r="G188" s="1155" t="s">
        <v>536</v>
      </c>
      <c r="H188" s="1155" t="s">
        <v>536</v>
      </c>
      <c r="I188" s="1155" t="s">
        <v>536</v>
      </c>
      <c r="J188" s="1155" t="s">
        <v>536</v>
      </c>
      <c r="K188" s="1153">
        <f t="shared" si="7"/>
        <v>4</v>
      </c>
      <c r="L188" s="1163">
        <f t="shared" si="8"/>
        <v>400000</v>
      </c>
      <c r="M188" s="1164"/>
      <c r="N188" s="841" t="s">
        <v>554</v>
      </c>
      <c r="O188" s="841">
        <v>58</v>
      </c>
    </row>
    <row r="189" spans="1:15" ht="18.75" customHeight="1">
      <c r="A189" s="1154">
        <v>175</v>
      </c>
      <c r="B189" s="1155">
        <v>77</v>
      </c>
      <c r="C189" s="1156"/>
      <c r="D189" s="1156"/>
      <c r="E189" s="1157" t="s">
        <v>93</v>
      </c>
      <c r="F189" s="1156" t="s">
        <v>15</v>
      </c>
      <c r="G189" s="1155" t="s">
        <v>536</v>
      </c>
      <c r="H189" s="1155" t="s">
        <v>536</v>
      </c>
      <c r="I189" s="1155" t="s">
        <v>536</v>
      </c>
      <c r="J189" s="1155" t="s">
        <v>536</v>
      </c>
      <c r="K189" s="1153">
        <f t="shared" si="7"/>
        <v>4</v>
      </c>
      <c r="L189" s="1163">
        <f t="shared" si="8"/>
        <v>400000</v>
      </c>
      <c r="M189" s="1164"/>
      <c r="N189" s="841" t="s">
        <v>554</v>
      </c>
      <c r="O189" s="841">
        <v>60</v>
      </c>
    </row>
    <row r="190" spans="1:15" ht="18.75" customHeight="1">
      <c r="A190" s="1154">
        <v>176</v>
      </c>
      <c r="B190" s="1155">
        <v>78</v>
      </c>
      <c r="C190" s="1156"/>
      <c r="D190" s="1156"/>
      <c r="E190" s="1157" t="s">
        <v>94</v>
      </c>
      <c r="F190" s="1156" t="s">
        <v>15</v>
      </c>
      <c r="G190" s="1155" t="s">
        <v>536</v>
      </c>
      <c r="H190" s="1155" t="s">
        <v>536</v>
      </c>
      <c r="I190" s="1155" t="s">
        <v>536</v>
      </c>
      <c r="J190" s="1155" t="s">
        <v>536</v>
      </c>
      <c r="K190" s="1153">
        <f t="shared" si="7"/>
        <v>4</v>
      </c>
      <c r="L190" s="1163">
        <f t="shared" si="8"/>
        <v>400000</v>
      </c>
      <c r="M190" s="1164"/>
      <c r="N190" s="841" t="s">
        <v>554</v>
      </c>
      <c r="O190" s="841">
        <v>73</v>
      </c>
    </row>
    <row r="191" spans="1:15" ht="18.75" customHeight="1">
      <c r="A191" s="1154">
        <v>177</v>
      </c>
      <c r="B191" s="1155">
        <v>79</v>
      </c>
      <c r="C191" s="1156"/>
      <c r="D191" s="1156"/>
      <c r="E191" s="1157" t="s">
        <v>95</v>
      </c>
      <c r="F191" s="1156" t="s">
        <v>15</v>
      </c>
      <c r="G191" s="1155" t="s">
        <v>536</v>
      </c>
      <c r="H191" s="1155" t="s">
        <v>536</v>
      </c>
      <c r="I191" s="1155" t="s">
        <v>536</v>
      </c>
      <c r="J191" s="1155" t="s">
        <v>536</v>
      </c>
      <c r="K191" s="1153">
        <f t="shared" si="7"/>
        <v>4</v>
      </c>
      <c r="L191" s="1163">
        <f t="shared" si="8"/>
        <v>400000</v>
      </c>
      <c r="M191" s="1164"/>
      <c r="N191" s="841" t="s">
        <v>554</v>
      </c>
      <c r="O191" s="841">
        <v>75</v>
      </c>
    </row>
    <row r="192" spans="1:15" ht="18.75" customHeight="1">
      <c r="A192" s="1154">
        <v>178</v>
      </c>
      <c r="B192" s="1155">
        <v>80</v>
      </c>
      <c r="C192" s="1156"/>
      <c r="D192" s="1156"/>
      <c r="E192" s="1157" t="s">
        <v>96</v>
      </c>
      <c r="F192" s="1156" t="s">
        <v>15</v>
      </c>
      <c r="G192" s="1155" t="s">
        <v>536</v>
      </c>
      <c r="H192" s="1155" t="s">
        <v>536</v>
      </c>
      <c r="I192" s="1155" t="s">
        <v>536</v>
      </c>
      <c r="J192" s="1155" t="s">
        <v>536</v>
      </c>
      <c r="K192" s="1153">
        <f t="shared" si="7"/>
        <v>4</v>
      </c>
      <c r="L192" s="1163">
        <f t="shared" si="8"/>
        <v>400000</v>
      </c>
      <c r="M192" s="1164"/>
      <c r="N192" s="841" t="s">
        <v>554</v>
      </c>
      <c r="O192" s="841">
        <v>56</v>
      </c>
    </row>
    <row r="193" spans="1:15" ht="18.75" customHeight="1">
      <c r="A193" s="1154">
        <v>179</v>
      </c>
      <c r="B193" s="1155">
        <v>81</v>
      </c>
      <c r="C193" s="1156"/>
      <c r="D193" s="1156"/>
      <c r="E193" s="1157" t="s">
        <v>97</v>
      </c>
      <c r="F193" s="1156" t="s">
        <v>15</v>
      </c>
      <c r="G193" s="1155" t="s">
        <v>536</v>
      </c>
      <c r="H193" s="1155" t="s">
        <v>536</v>
      </c>
      <c r="I193" s="1155" t="s">
        <v>536</v>
      </c>
      <c r="J193" s="1155" t="s">
        <v>536</v>
      </c>
      <c r="K193" s="1153">
        <f t="shared" si="7"/>
        <v>4</v>
      </c>
      <c r="L193" s="1163">
        <f t="shared" si="8"/>
        <v>400000</v>
      </c>
      <c r="M193" s="1164"/>
      <c r="N193" s="841" t="s">
        <v>554</v>
      </c>
      <c r="O193" s="841">
        <v>59</v>
      </c>
    </row>
    <row r="194" spans="1:15" ht="18.75" customHeight="1">
      <c r="A194" s="1154">
        <v>180</v>
      </c>
      <c r="B194" s="1155">
        <v>82</v>
      </c>
      <c r="C194" s="1156"/>
      <c r="D194" s="1156"/>
      <c r="E194" s="1157" t="s">
        <v>98</v>
      </c>
      <c r="F194" s="1156" t="s">
        <v>15</v>
      </c>
      <c r="G194" s="1155" t="s">
        <v>536</v>
      </c>
      <c r="H194" s="1155" t="s">
        <v>536</v>
      </c>
      <c r="I194" s="1155" t="s">
        <v>536</v>
      </c>
      <c r="J194" s="1155" t="s">
        <v>536</v>
      </c>
      <c r="K194" s="1153">
        <f t="shared" si="7"/>
        <v>4</v>
      </c>
      <c r="L194" s="1163">
        <f t="shared" si="8"/>
        <v>400000</v>
      </c>
      <c r="M194" s="1164"/>
      <c r="N194" s="841" t="s">
        <v>554</v>
      </c>
      <c r="O194" s="841">
        <v>84</v>
      </c>
    </row>
    <row r="195" spans="1:15" ht="18.75" customHeight="1">
      <c r="A195" s="1154">
        <v>181</v>
      </c>
      <c r="B195" s="1155">
        <v>83</v>
      </c>
      <c r="C195" s="1156"/>
      <c r="D195" s="1156"/>
      <c r="E195" s="1157" t="s">
        <v>99</v>
      </c>
      <c r="F195" s="1156" t="s">
        <v>15</v>
      </c>
      <c r="G195" s="1155" t="s">
        <v>536</v>
      </c>
      <c r="H195" s="1155" t="s">
        <v>536</v>
      </c>
      <c r="I195" s="1155" t="s">
        <v>536</v>
      </c>
      <c r="J195" s="1155" t="s">
        <v>536</v>
      </c>
      <c r="K195" s="1153">
        <f t="shared" si="7"/>
        <v>4</v>
      </c>
      <c r="L195" s="1163">
        <f t="shared" si="8"/>
        <v>400000</v>
      </c>
      <c r="M195" s="1164"/>
      <c r="N195" s="841" t="s">
        <v>554</v>
      </c>
      <c r="O195" s="841">
        <v>84</v>
      </c>
    </row>
    <row r="196" spans="1:15" ht="18.75" customHeight="1">
      <c r="A196" s="1154">
        <v>182</v>
      </c>
      <c r="B196" s="1155">
        <v>84</v>
      </c>
      <c r="C196" s="1156"/>
      <c r="D196" s="1156"/>
      <c r="E196" s="1157" t="s">
        <v>100</v>
      </c>
      <c r="F196" s="1156" t="s">
        <v>15</v>
      </c>
      <c r="G196" s="1155" t="s">
        <v>536</v>
      </c>
      <c r="H196" s="1155" t="s">
        <v>536</v>
      </c>
      <c r="I196" s="1155" t="s">
        <v>536</v>
      </c>
      <c r="J196" s="1155" t="s">
        <v>536</v>
      </c>
      <c r="K196" s="1153">
        <f t="shared" si="7"/>
        <v>4</v>
      </c>
      <c r="L196" s="1163">
        <f t="shared" si="8"/>
        <v>400000</v>
      </c>
      <c r="M196" s="1164"/>
      <c r="N196" s="841" t="s">
        <v>554</v>
      </c>
      <c r="O196" s="841">
        <v>80</v>
      </c>
    </row>
    <row r="197" spans="1:15" ht="18.75" customHeight="1">
      <c r="A197" s="1154">
        <v>183</v>
      </c>
      <c r="B197" s="1155">
        <v>85</v>
      </c>
      <c r="C197" s="1156"/>
      <c r="D197" s="1156"/>
      <c r="E197" s="1157" t="s">
        <v>559</v>
      </c>
      <c r="F197" s="1156" t="s">
        <v>15</v>
      </c>
      <c r="G197" s="1155" t="s">
        <v>536</v>
      </c>
      <c r="H197" s="1155" t="s">
        <v>536</v>
      </c>
      <c r="I197" s="1155" t="s">
        <v>536</v>
      </c>
      <c r="J197" s="1155" t="s">
        <v>536</v>
      </c>
      <c r="K197" s="1153">
        <f t="shared" si="7"/>
        <v>4</v>
      </c>
      <c r="L197" s="1163">
        <f t="shared" si="8"/>
        <v>400000</v>
      </c>
      <c r="M197" s="1164"/>
      <c r="N197" s="841" t="s">
        <v>554</v>
      </c>
      <c r="O197" s="841">
        <v>87</v>
      </c>
    </row>
    <row r="198" spans="1:15" ht="18.75" customHeight="1">
      <c r="A198" s="1154">
        <v>184</v>
      </c>
      <c r="B198" s="1155">
        <v>86</v>
      </c>
      <c r="C198" s="1156"/>
      <c r="D198" s="1156"/>
      <c r="E198" s="1157" t="s">
        <v>102</v>
      </c>
      <c r="F198" s="1156" t="s">
        <v>15</v>
      </c>
      <c r="G198" s="1155" t="s">
        <v>536</v>
      </c>
      <c r="H198" s="1155" t="s">
        <v>536</v>
      </c>
      <c r="I198" s="1155"/>
      <c r="J198" s="1155"/>
      <c r="K198" s="1153">
        <f t="shared" si="7"/>
        <v>2</v>
      </c>
      <c r="L198" s="1163">
        <f t="shared" si="8"/>
        <v>200000</v>
      </c>
      <c r="M198" s="1164"/>
      <c r="N198" s="841" t="s">
        <v>554</v>
      </c>
      <c r="O198" s="841">
        <v>107</v>
      </c>
    </row>
    <row r="199" spans="1:15" ht="18.75" customHeight="1">
      <c r="A199" s="1154">
        <v>185</v>
      </c>
      <c r="B199" s="1155">
        <v>87</v>
      </c>
      <c r="C199" s="1156"/>
      <c r="D199" s="1156"/>
      <c r="E199" s="1157" t="s">
        <v>487</v>
      </c>
      <c r="F199" s="1156" t="s">
        <v>15</v>
      </c>
      <c r="G199" s="1155" t="s">
        <v>536</v>
      </c>
      <c r="H199" s="1155" t="s">
        <v>536</v>
      </c>
      <c r="I199" s="1155" t="s">
        <v>536</v>
      </c>
      <c r="J199" s="1155" t="s">
        <v>536</v>
      </c>
      <c r="K199" s="1153">
        <f t="shared" si="7"/>
        <v>4</v>
      </c>
      <c r="L199" s="1163">
        <f t="shared" si="8"/>
        <v>400000</v>
      </c>
      <c r="M199" s="1164"/>
      <c r="N199" s="841" t="s">
        <v>554</v>
      </c>
      <c r="O199" s="841">
        <v>94</v>
      </c>
    </row>
    <row r="200" spans="1:15" ht="18.75" customHeight="1">
      <c r="A200" s="1154">
        <v>186</v>
      </c>
      <c r="B200" s="1155">
        <v>88</v>
      </c>
      <c r="C200" s="1156"/>
      <c r="D200" s="1156"/>
      <c r="E200" s="1157" t="s">
        <v>488</v>
      </c>
      <c r="F200" s="1156" t="s">
        <v>15</v>
      </c>
      <c r="G200" s="1155" t="s">
        <v>536</v>
      </c>
      <c r="H200" s="1155" t="s">
        <v>536</v>
      </c>
      <c r="I200" s="1155"/>
      <c r="J200" s="1155"/>
      <c r="K200" s="1153">
        <f t="shared" si="7"/>
        <v>2</v>
      </c>
      <c r="L200" s="1163">
        <f t="shared" si="8"/>
        <v>200000</v>
      </c>
      <c r="M200" s="1164"/>
      <c r="N200" s="841" t="s">
        <v>554</v>
      </c>
      <c r="O200" s="841">
        <v>108</v>
      </c>
    </row>
    <row r="201" spans="1:15" ht="18.75" customHeight="1">
      <c r="A201" s="1154">
        <v>187</v>
      </c>
      <c r="B201" s="1155">
        <v>89</v>
      </c>
      <c r="C201" s="1156"/>
      <c r="D201" s="1156"/>
      <c r="E201" s="1157" t="s">
        <v>489</v>
      </c>
      <c r="F201" s="1156" t="s">
        <v>15</v>
      </c>
      <c r="G201" s="1155" t="s">
        <v>536</v>
      </c>
      <c r="H201" s="1155" t="s">
        <v>536</v>
      </c>
      <c r="I201" s="1155" t="s">
        <v>536</v>
      </c>
      <c r="J201" s="1155" t="s">
        <v>536</v>
      </c>
      <c r="K201" s="1153">
        <f t="shared" si="7"/>
        <v>4</v>
      </c>
      <c r="L201" s="1163">
        <f t="shared" si="8"/>
        <v>400000</v>
      </c>
      <c r="M201" s="1164"/>
      <c r="N201" s="841" t="s">
        <v>554</v>
      </c>
      <c r="O201" s="841">
        <v>94</v>
      </c>
    </row>
    <row r="202" spans="1:15" ht="18.75" customHeight="1">
      <c r="A202" s="1154">
        <v>188</v>
      </c>
      <c r="B202" s="1155">
        <v>90</v>
      </c>
      <c r="C202" s="1156"/>
      <c r="D202" s="1156"/>
      <c r="E202" s="1157" t="s">
        <v>490</v>
      </c>
      <c r="F202" s="1156" t="s">
        <v>15</v>
      </c>
      <c r="G202" s="1155" t="s">
        <v>536</v>
      </c>
      <c r="H202" s="1155" t="s">
        <v>536</v>
      </c>
      <c r="I202" s="1155" t="s">
        <v>536</v>
      </c>
      <c r="J202" s="1155" t="s">
        <v>536</v>
      </c>
      <c r="K202" s="1153">
        <f t="shared" si="7"/>
        <v>4</v>
      </c>
      <c r="L202" s="1163">
        <f t="shared" si="8"/>
        <v>400000</v>
      </c>
      <c r="M202" s="1164"/>
      <c r="N202" s="841" t="s">
        <v>554</v>
      </c>
      <c r="O202" s="841">
        <v>94</v>
      </c>
    </row>
    <row r="203" spans="1:15" ht="18.75" customHeight="1">
      <c r="A203" s="1154">
        <v>189</v>
      </c>
      <c r="B203" s="1155">
        <v>91</v>
      </c>
      <c r="C203" s="1166"/>
      <c r="D203" s="1166"/>
      <c r="E203" s="1157" t="s">
        <v>491</v>
      </c>
      <c r="F203" s="1156" t="s">
        <v>15</v>
      </c>
      <c r="G203" s="1155" t="s">
        <v>536</v>
      </c>
      <c r="H203" s="1155" t="s">
        <v>536</v>
      </c>
      <c r="I203" s="1155" t="s">
        <v>536</v>
      </c>
      <c r="J203" s="1155" t="s">
        <v>536</v>
      </c>
      <c r="K203" s="1153">
        <f t="shared" si="7"/>
        <v>4</v>
      </c>
      <c r="L203" s="1163">
        <f t="shared" si="8"/>
        <v>400000</v>
      </c>
      <c r="M203" s="1164"/>
      <c r="N203" s="841" t="s">
        <v>554</v>
      </c>
      <c r="O203" s="841">
        <v>69</v>
      </c>
    </row>
    <row r="204" spans="1:15" ht="18.75" customHeight="1">
      <c r="A204" s="1154">
        <v>190</v>
      </c>
      <c r="B204" s="1155">
        <v>92</v>
      </c>
      <c r="C204" s="1166"/>
      <c r="D204" s="1166"/>
      <c r="E204" s="1157" t="s">
        <v>492</v>
      </c>
      <c r="F204" s="1156" t="s">
        <v>15</v>
      </c>
      <c r="G204" s="1155"/>
      <c r="H204" s="1155"/>
      <c r="I204" s="1155"/>
      <c r="J204" s="1155" t="s">
        <v>536</v>
      </c>
      <c r="K204" s="1153">
        <f t="shared" si="7"/>
        <v>1</v>
      </c>
      <c r="L204" s="1163">
        <f t="shared" si="8"/>
        <v>100000</v>
      </c>
      <c r="M204" s="1164"/>
      <c r="O204" s="841">
        <v>0</v>
      </c>
    </row>
    <row r="205" spans="1:15" ht="18.75" customHeight="1">
      <c r="A205" s="1154">
        <v>191</v>
      </c>
      <c r="B205" s="1155">
        <v>93</v>
      </c>
      <c r="C205" s="1166"/>
      <c r="D205" s="1166"/>
      <c r="E205" s="1157" t="s">
        <v>493</v>
      </c>
      <c r="F205" s="1156" t="s">
        <v>15</v>
      </c>
      <c r="G205" s="1155"/>
      <c r="H205" s="1155"/>
      <c r="I205" s="1155"/>
      <c r="J205" s="1155" t="s">
        <v>536</v>
      </c>
      <c r="K205" s="1153">
        <f t="shared" si="7"/>
        <v>1</v>
      </c>
      <c r="L205" s="1163">
        <f t="shared" si="8"/>
        <v>100000</v>
      </c>
      <c r="M205" s="1164"/>
      <c r="O205" s="841">
        <v>0</v>
      </c>
    </row>
    <row r="206" spans="1:15" ht="18.75" customHeight="1">
      <c r="A206" s="2378" t="s">
        <v>103</v>
      </c>
      <c r="B206" s="2379"/>
      <c r="C206" s="2379"/>
      <c r="D206" s="2379"/>
      <c r="E206" s="2379"/>
      <c r="F206" s="2380"/>
      <c r="G206" s="1153">
        <f>COUNTIF(G207:G217,"X")</f>
        <v>11</v>
      </c>
      <c r="H206" s="1153">
        <f>COUNTIF(H207:H217,"X")</f>
        <v>11</v>
      </c>
      <c r="I206" s="1153">
        <f>COUNTIF(I207:I217,"X")</f>
        <v>6</v>
      </c>
      <c r="J206" s="1153">
        <f>COUNTIF(J207:J217,"X")</f>
        <v>11</v>
      </c>
      <c r="K206" s="1153">
        <f>SUM(K207:K217)</f>
        <v>39</v>
      </c>
      <c r="L206" s="1167">
        <f>SUM(L207:L217)</f>
        <v>3900000</v>
      </c>
      <c r="M206" s="1168"/>
      <c r="N206" s="841" t="s">
        <v>536</v>
      </c>
      <c r="O206" s="841">
        <v>0</v>
      </c>
    </row>
    <row r="207" spans="1:15" ht="18.75" customHeight="1">
      <c r="A207" s="1154">
        <v>192</v>
      </c>
      <c r="B207" s="1155">
        <v>1</v>
      </c>
      <c r="C207" s="1156"/>
      <c r="D207" s="1156"/>
      <c r="E207" s="460" t="s">
        <v>496</v>
      </c>
      <c r="F207" s="1156" t="s">
        <v>15</v>
      </c>
      <c r="G207" s="1155" t="s">
        <v>536</v>
      </c>
      <c r="H207" s="1155" t="s">
        <v>536</v>
      </c>
      <c r="I207" s="1155"/>
      <c r="J207" s="1155" t="s">
        <v>536</v>
      </c>
      <c r="K207" s="1153">
        <f t="shared" ref="K207:K217" si="9">COUNTIF(G207:J207,"X")</f>
        <v>3</v>
      </c>
      <c r="L207" s="1163">
        <f t="shared" si="8"/>
        <v>300000</v>
      </c>
      <c r="M207" s="1164"/>
    </row>
    <row r="208" spans="1:15" ht="18.75" customHeight="1">
      <c r="A208" s="1154">
        <v>193</v>
      </c>
      <c r="B208" s="1155">
        <v>2</v>
      </c>
      <c r="C208" s="1156"/>
      <c r="D208" s="1156"/>
      <c r="E208" s="460" t="s">
        <v>105</v>
      </c>
      <c r="F208" s="1156" t="s">
        <v>15</v>
      </c>
      <c r="G208" s="1155" t="s">
        <v>536</v>
      </c>
      <c r="H208" s="1155" t="s">
        <v>536</v>
      </c>
      <c r="I208" s="1155"/>
      <c r="J208" s="1155" t="s">
        <v>536</v>
      </c>
      <c r="K208" s="1153">
        <f t="shared" si="9"/>
        <v>3</v>
      </c>
      <c r="L208" s="1163">
        <f t="shared" si="8"/>
        <v>300000</v>
      </c>
      <c r="M208" s="1164"/>
    </row>
    <row r="209" spans="1:13" ht="18.75" customHeight="1">
      <c r="A209" s="1154">
        <v>194</v>
      </c>
      <c r="B209" s="1155">
        <v>3</v>
      </c>
      <c r="C209" s="1156"/>
      <c r="D209" s="1156"/>
      <c r="E209" s="460" t="s">
        <v>497</v>
      </c>
      <c r="F209" s="1156" t="s">
        <v>15</v>
      </c>
      <c r="G209" s="1155" t="s">
        <v>536</v>
      </c>
      <c r="H209" s="1155" t="s">
        <v>536</v>
      </c>
      <c r="I209" s="1155" t="s">
        <v>536</v>
      </c>
      <c r="J209" s="1155" t="s">
        <v>536</v>
      </c>
      <c r="K209" s="1153">
        <f t="shared" si="9"/>
        <v>4</v>
      </c>
      <c r="L209" s="1163">
        <f t="shared" si="8"/>
        <v>400000</v>
      </c>
      <c r="M209" s="1164"/>
    </row>
    <row r="210" spans="1:13" ht="18.75" customHeight="1">
      <c r="A210" s="1154">
        <v>195</v>
      </c>
      <c r="B210" s="1155">
        <v>4</v>
      </c>
      <c r="C210" s="1156"/>
      <c r="D210" s="1156"/>
      <c r="E210" s="460" t="s">
        <v>498</v>
      </c>
      <c r="F210" s="1156" t="s">
        <v>15</v>
      </c>
      <c r="G210" s="1155" t="s">
        <v>536</v>
      </c>
      <c r="H210" s="1155" t="s">
        <v>536</v>
      </c>
      <c r="I210" s="1155" t="s">
        <v>536</v>
      </c>
      <c r="J210" s="1155" t="s">
        <v>536</v>
      </c>
      <c r="K210" s="1153">
        <f t="shared" si="9"/>
        <v>4</v>
      </c>
      <c r="L210" s="1163">
        <f t="shared" si="8"/>
        <v>400000</v>
      </c>
      <c r="M210" s="1164"/>
    </row>
    <row r="211" spans="1:13" ht="18.75" customHeight="1">
      <c r="A211" s="1154">
        <v>196</v>
      </c>
      <c r="B211" s="1155">
        <v>5</v>
      </c>
      <c r="C211" s="1156"/>
      <c r="D211" s="1156"/>
      <c r="E211" s="460" t="s">
        <v>108</v>
      </c>
      <c r="F211" s="1156" t="s">
        <v>15</v>
      </c>
      <c r="G211" s="1155" t="s">
        <v>536</v>
      </c>
      <c r="H211" s="1155" t="s">
        <v>536</v>
      </c>
      <c r="I211" s="1155"/>
      <c r="J211" s="1155" t="s">
        <v>536</v>
      </c>
      <c r="K211" s="1153">
        <f t="shared" si="9"/>
        <v>3</v>
      </c>
      <c r="L211" s="1163">
        <f t="shared" si="8"/>
        <v>300000</v>
      </c>
      <c r="M211" s="1164"/>
    </row>
    <row r="212" spans="1:13" ht="18.75" customHeight="1">
      <c r="A212" s="1154">
        <v>197</v>
      </c>
      <c r="B212" s="1155">
        <v>6</v>
      </c>
      <c r="C212" s="1156"/>
      <c r="D212" s="1156"/>
      <c r="E212" s="460" t="s">
        <v>109</v>
      </c>
      <c r="F212" s="1156" t="s">
        <v>15</v>
      </c>
      <c r="G212" s="1155" t="s">
        <v>536</v>
      </c>
      <c r="H212" s="1155" t="s">
        <v>536</v>
      </c>
      <c r="I212" s="1155"/>
      <c r="J212" s="1155" t="s">
        <v>536</v>
      </c>
      <c r="K212" s="1153">
        <f t="shared" si="9"/>
        <v>3</v>
      </c>
      <c r="L212" s="1163">
        <f t="shared" si="8"/>
        <v>300000</v>
      </c>
      <c r="M212" s="1164"/>
    </row>
    <row r="213" spans="1:13" ht="18.75" customHeight="1">
      <c r="A213" s="1154">
        <v>198</v>
      </c>
      <c r="B213" s="1155">
        <v>7</v>
      </c>
      <c r="C213" s="1156"/>
      <c r="D213" s="1156"/>
      <c r="E213" s="460" t="s">
        <v>110</v>
      </c>
      <c r="F213" s="1156" t="s">
        <v>15</v>
      </c>
      <c r="G213" s="1155" t="s">
        <v>536</v>
      </c>
      <c r="H213" s="1155" t="s">
        <v>536</v>
      </c>
      <c r="I213" s="1155"/>
      <c r="J213" s="1155" t="s">
        <v>536</v>
      </c>
      <c r="K213" s="1153">
        <f t="shared" si="9"/>
        <v>3</v>
      </c>
      <c r="L213" s="1163">
        <f t="shared" si="8"/>
        <v>300000</v>
      </c>
      <c r="M213" s="1164"/>
    </row>
    <row r="214" spans="1:13" ht="18.75" customHeight="1">
      <c r="A214" s="1154">
        <v>199</v>
      </c>
      <c r="B214" s="1155">
        <v>8</v>
      </c>
      <c r="C214" s="1156"/>
      <c r="D214" s="1156"/>
      <c r="E214" s="460" t="s">
        <v>111</v>
      </c>
      <c r="F214" s="1156" t="s">
        <v>15</v>
      </c>
      <c r="G214" s="1155" t="s">
        <v>536</v>
      </c>
      <c r="H214" s="1155" t="s">
        <v>536</v>
      </c>
      <c r="I214" s="1155" t="s">
        <v>536</v>
      </c>
      <c r="J214" s="1155" t="s">
        <v>536</v>
      </c>
      <c r="K214" s="1153">
        <f t="shared" si="9"/>
        <v>4</v>
      </c>
      <c r="L214" s="1163">
        <f t="shared" si="8"/>
        <v>400000</v>
      </c>
      <c r="M214" s="1164"/>
    </row>
    <row r="215" spans="1:13" ht="18.75" customHeight="1">
      <c r="A215" s="1154">
        <v>200</v>
      </c>
      <c r="B215" s="1155">
        <v>9</v>
      </c>
      <c r="C215" s="1156"/>
      <c r="D215" s="1156"/>
      <c r="E215" s="460" t="s">
        <v>112</v>
      </c>
      <c r="F215" s="1156" t="s">
        <v>15</v>
      </c>
      <c r="G215" s="1155" t="s">
        <v>536</v>
      </c>
      <c r="H215" s="1155" t="s">
        <v>536</v>
      </c>
      <c r="I215" s="1155" t="s">
        <v>536</v>
      </c>
      <c r="J215" s="1155" t="s">
        <v>536</v>
      </c>
      <c r="K215" s="1153">
        <f t="shared" si="9"/>
        <v>4</v>
      </c>
      <c r="L215" s="1163">
        <f t="shared" si="8"/>
        <v>400000</v>
      </c>
      <c r="M215" s="1164"/>
    </row>
    <row r="216" spans="1:13" ht="18.75" customHeight="1">
      <c r="A216" s="1154">
        <v>201</v>
      </c>
      <c r="B216" s="1155">
        <v>10</v>
      </c>
      <c r="C216" s="1156"/>
      <c r="D216" s="1156"/>
      <c r="E216" s="460" t="s">
        <v>113</v>
      </c>
      <c r="F216" s="1156" t="s">
        <v>15</v>
      </c>
      <c r="G216" s="1155" t="s">
        <v>536</v>
      </c>
      <c r="H216" s="1155" t="s">
        <v>536</v>
      </c>
      <c r="I216" s="1155" t="s">
        <v>536</v>
      </c>
      <c r="J216" s="1155" t="s">
        <v>536</v>
      </c>
      <c r="K216" s="1153">
        <f t="shared" si="9"/>
        <v>4</v>
      </c>
      <c r="L216" s="1163">
        <f t="shared" si="8"/>
        <v>400000</v>
      </c>
      <c r="M216" s="1164"/>
    </row>
    <row r="217" spans="1:13" ht="18.75" customHeight="1">
      <c r="A217" s="1154">
        <v>202</v>
      </c>
      <c r="B217" s="1155">
        <v>11</v>
      </c>
      <c r="C217" s="1156"/>
      <c r="D217" s="1156"/>
      <c r="E217" s="460" t="s">
        <v>499</v>
      </c>
      <c r="F217" s="1156" t="s">
        <v>15</v>
      </c>
      <c r="G217" s="1155" t="s">
        <v>536</v>
      </c>
      <c r="H217" s="1155" t="s">
        <v>536</v>
      </c>
      <c r="I217" s="1155" t="s">
        <v>536</v>
      </c>
      <c r="J217" s="1155" t="s">
        <v>536</v>
      </c>
      <c r="K217" s="1153">
        <f t="shared" si="9"/>
        <v>4</v>
      </c>
      <c r="L217" s="1163">
        <f t="shared" si="8"/>
        <v>400000</v>
      </c>
      <c r="M217" s="1164"/>
    </row>
    <row r="218" spans="1:13" ht="18.75" customHeight="1">
      <c r="A218" s="2378" t="s">
        <v>115</v>
      </c>
      <c r="B218" s="2379"/>
      <c r="C218" s="2379"/>
      <c r="D218" s="2379"/>
      <c r="E218" s="2379"/>
      <c r="F218" s="2380"/>
      <c r="G218" s="1153">
        <f>COUNTIF(G219:G225,"X")</f>
        <v>7</v>
      </c>
      <c r="H218" s="1153">
        <f>COUNTIF(H219:H225,"X")</f>
        <v>7</v>
      </c>
      <c r="I218" s="1153">
        <f>COUNTIF(I219:I225,"X")</f>
        <v>7</v>
      </c>
      <c r="J218" s="1153">
        <f>COUNTIF(J219:J225,"X")</f>
        <v>7</v>
      </c>
      <c r="K218" s="1153">
        <f>SUM(K219:K225)</f>
        <v>28</v>
      </c>
      <c r="L218" s="1167">
        <f>SUM(L219:L225)</f>
        <v>2800000</v>
      </c>
      <c r="M218" s="1164"/>
    </row>
    <row r="219" spans="1:13" ht="18.75" customHeight="1">
      <c r="A219" s="1154">
        <v>203</v>
      </c>
      <c r="B219" s="1155">
        <v>1</v>
      </c>
      <c r="C219" s="1156"/>
      <c r="D219" s="1156"/>
      <c r="E219" s="460" t="s">
        <v>500</v>
      </c>
      <c r="F219" s="1156" t="s">
        <v>15</v>
      </c>
      <c r="G219" s="1155" t="s">
        <v>536</v>
      </c>
      <c r="H219" s="1155" t="s">
        <v>536</v>
      </c>
      <c r="I219" s="1155" t="s">
        <v>536</v>
      </c>
      <c r="J219" s="1155" t="s">
        <v>536</v>
      </c>
      <c r="K219" s="1153">
        <f t="shared" ref="K219:K225" si="10">COUNTIF(G219:J219,"X")</f>
        <v>4</v>
      </c>
      <c r="L219" s="1163">
        <f t="shared" si="8"/>
        <v>400000</v>
      </c>
      <c r="M219" s="1164"/>
    </row>
    <row r="220" spans="1:13" ht="18.75" customHeight="1">
      <c r="A220" s="1154">
        <v>204</v>
      </c>
      <c r="B220" s="1155">
        <v>2</v>
      </c>
      <c r="C220" s="1156"/>
      <c r="D220" s="1156"/>
      <c r="E220" s="460" t="s">
        <v>501</v>
      </c>
      <c r="F220" s="1156" t="s">
        <v>15</v>
      </c>
      <c r="G220" s="1155" t="s">
        <v>536</v>
      </c>
      <c r="H220" s="1155" t="s">
        <v>536</v>
      </c>
      <c r="I220" s="1155" t="s">
        <v>536</v>
      </c>
      <c r="J220" s="1155" t="s">
        <v>536</v>
      </c>
      <c r="K220" s="1153">
        <f t="shared" si="10"/>
        <v>4</v>
      </c>
      <c r="L220" s="1163">
        <f t="shared" si="8"/>
        <v>400000</v>
      </c>
      <c r="M220" s="1164"/>
    </row>
    <row r="221" spans="1:13" ht="18.75" customHeight="1">
      <c r="A221" s="1154">
        <v>205</v>
      </c>
      <c r="B221" s="1155">
        <v>3</v>
      </c>
      <c r="C221" s="1156"/>
      <c r="D221" s="1156"/>
      <c r="E221" s="460" t="s">
        <v>119</v>
      </c>
      <c r="F221" s="1156" t="s">
        <v>15</v>
      </c>
      <c r="G221" s="1155" t="s">
        <v>536</v>
      </c>
      <c r="H221" s="1155" t="s">
        <v>536</v>
      </c>
      <c r="I221" s="1155" t="s">
        <v>536</v>
      </c>
      <c r="J221" s="1155" t="s">
        <v>536</v>
      </c>
      <c r="K221" s="1153">
        <f t="shared" si="10"/>
        <v>4</v>
      </c>
      <c r="L221" s="1163">
        <f t="shared" si="8"/>
        <v>400000</v>
      </c>
      <c r="M221" s="1164"/>
    </row>
    <row r="222" spans="1:13" ht="18.75" customHeight="1">
      <c r="A222" s="1154">
        <v>206</v>
      </c>
      <c r="B222" s="1155">
        <v>4</v>
      </c>
      <c r="C222" s="1156"/>
      <c r="D222" s="1156"/>
      <c r="E222" s="460" t="s">
        <v>120</v>
      </c>
      <c r="F222" s="1156" t="s">
        <v>15</v>
      </c>
      <c r="G222" s="1155" t="s">
        <v>536</v>
      </c>
      <c r="H222" s="1155" t="s">
        <v>536</v>
      </c>
      <c r="I222" s="1155" t="s">
        <v>536</v>
      </c>
      <c r="J222" s="1155" t="s">
        <v>536</v>
      </c>
      <c r="K222" s="1153">
        <f t="shared" si="10"/>
        <v>4</v>
      </c>
      <c r="L222" s="1163">
        <f t="shared" si="8"/>
        <v>400000</v>
      </c>
      <c r="M222" s="1164"/>
    </row>
    <row r="223" spans="1:13" ht="18.75" customHeight="1">
      <c r="A223" s="1154">
        <v>207</v>
      </c>
      <c r="B223" s="1155">
        <v>5</v>
      </c>
      <c r="C223" s="1156"/>
      <c r="D223" s="1156"/>
      <c r="E223" s="460" t="s">
        <v>117</v>
      </c>
      <c r="F223" s="1156" t="s">
        <v>15</v>
      </c>
      <c r="G223" s="1155" t="s">
        <v>536</v>
      </c>
      <c r="H223" s="1155" t="s">
        <v>536</v>
      </c>
      <c r="I223" s="1155" t="s">
        <v>536</v>
      </c>
      <c r="J223" s="1155" t="s">
        <v>536</v>
      </c>
      <c r="K223" s="1153">
        <f t="shared" si="10"/>
        <v>4</v>
      </c>
      <c r="L223" s="1163">
        <f t="shared" si="8"/>
        <v>400000</v>
      </c>
      <c r="M223" s="1164"/>
    </row>
    <row r="224" spans="1:13" ht="18.75" customHeight="1">
      <c r="A224" s="1154">
        <v>208</v>
      </c>
      <c r="B224" s="1155">
        <v>6</v>
      </c>
      <c r="C224" s="1156"/>
      <c r="D224" s="1156"/>
      <c r="E224" s="460" t="s">
        <v>122</v>
      </c>
      <c r="F224" s="1156" t="s">
        <v>15</v>
      </c>
      <c r="G224" s="1155" t="s">
        <v>536</v>
      </c>
      <c r="H224" s="1155" t="s">
        <v>536</v>
      </c>
      <c r="I224" s="1155" t="s">
        <v>536</v>
      </c>
      <c r="J224" s="1155" t="s">
        <v>536</v>
      </c>
      <c r="K224" s="1153">
        <f t="shared" si="10"/>
        <v>4</v>
      </c>
      <c r="L224" s="1163">
        <f t="shared" si="8"/>
        <v>400000</v>
      </c>
      <c r="M224" s="1164"/>
    </row>
    <row r="225" spans="1:13" ht="18.75" customHeight="1">
      <c r="A225" s="1154">
        <v>209</v>
      </c>
      <c r="B225" s="1155">
        <v>7</v>
      </c>
      <c r="C225" s="1156"/>
      <c r="D225" s="1156"/>
      <c r="E225" s="460" t="s">
        <v>121</v>
      </c>
      <c r="F225" s="1156" t="s">
        <v>15</v>
      </c>
      <c r="G225" s="1155" t="s">
        <v>536</v>
      </c>
      <c r="H225" s="1155" t="s">
        <v>536</v>
      </c>
      <c r="I225" s="1155" t="s">
        <v>536</v>
      </c>
      <c r="J225" s="1155" t="s">
        <v>536</v>
      </c>
      <c r="K225" s="1153">
        <f t="shared" si="10"/>
        <v>4</v>
      </c>
      <c r="L225" s="1163">
        <f t="shared" si="8"/>
        <v>400000</v>
      </c>
      <c r="M225" s="1164"/>
    </row>
    <row r="226" spans="1:13" ht="18.75" customHeight="1">
      <c r="A226" s="2378" t="s">
        <v>123</v>
      </c>
      <c r="B226" s="2379"/>
      <c r="C226" s="2379"/>
      <c r="D226" s="2379"/>
      <c r="E226" s="2379"/>
      <c r="F226" s="2380"/>
      <c r="G226" s="1153">
        <f>COUNTIF(G227:G308,"X")</f>
        <v>82</v>
      </c>
      <c r="H226" s="1153">
        <f>COUNTIF(H227:H308,"X")</f>
        <v>80</v>
      </c>
      <c r="I226" s="1153">
        <f>COUNTIF(I227:I308,"X")</f>
        <v>82</v>
      </c>
      <c r="J226" s="1153">
        <f>COUNTIF(J227:J308,"X")</f>
        <v>82</v>
      </c>
      <c r="K226" s="1153">
        <f>SUM(K227:K308)</f>
        <v>326</v>
      </c>
      <c r="L226" s="1167">
        <f>SUM(L227:L308)</f>
        <v>32600000</v>
      </c>
      <c r="M226" s="1164"/>
    </row>
    <row r="227" spans="1:13" ht="18.75" customHeight="1">
      <c r="A227" s="1154">
        <v>210</v>
      </c>
      <c r="B227" s="1155">
        <v>1</v>
      </c>
      <c r="C227" s="1156"/>
      <c r="D227" s="1156"/>
      <c r="E227" s="460" t="s">
        <v>124</v>
      </c>
      <c r="F227" s="1156" t="s">
        <v>15</v>
      </c>
      <c r="G227" s="1155" t="s">
        <v>536</v>
      </c>
      <c r="H227" s="1155" t="s">
        <v>536</v>
      </c>
      <c r="I227" s="1155" t="s">
        <v>536</v>
      </c>
      <c r="J227" s="1155" t="s">
        <v>536</v>
      </c>
      <c r="K227" s="1153">
        <f t="shared" ref="K227:K290" si="11">COUNTIF(G227:J227,"X")</f>
        <v>4</v>
      </c>
      <c r="L227" s="1163">
        <f t="shared" si="8"/>
        <v>400000</v>
      </c>
      <c r="M227" s="1164"/>
    </row>
    <row r="228" spans="1:13" ht="18.75" customHeight="1">
      <c r="A228" s="1154">
        <v>211</v>
      </c>
      <c r="B228" s="1155">
        <v>2</v>
      </c>
      <c r="C228" s="1156"/>
      <c r="D228" s="1156"/>
      <c r="E228" s="460" t="s">
        <v>125</v>
      </c>
      <c r="F228" s="1156" t="s">
        <v>15</v>
      </c>
      <c r="G228" s="1155" t="s">
        <v>536</v>
      </c>
      <c r="H228" s="1155" t="s">
        <v>536</v>
      </c>
      <c r="I228" s="1155" t="s">
        <v>536</v>
      </c>
      <c r="J228" s="1155" t="s">
        <v>536</v>
      </c>
      <c r="K228" s="1153">
        <f t="shared" si="11"/>
        <v>4</v>
      </c>
      <c r="L228" s="1163">
        <f t="shared" si="8"/>
        <v>400000</v>
      </c>
      <c r="M228" s="1164"/>
    </row>
    <row r="229" spans="1:13" ht="18.75" customHeight="1">
      <c r="A229" s="1154">
        <v>212</v>
      </c>
      <c r="B229" s="1155">
        <v>3</v>
      </c>
      <c r="C229" s="1156"/>
      <c r="D229" s="1156"/>
      <c r="E229" s="460" t="s">
        <v>560</v>
      </c>
      <c r="F229" s="1156" t="s">
        <v>15</v>
      </c>
      <c r="G229" s="1155" t="s">
        <v>536</v>
      </c>
      <c r="H229" s="1155" t="s">
        <v>536</v>
      </c>
      <c r="I229" s="1155" t="s">
        <v>536</v>
      </c>
      <c r="J229" s="1155" t="s">
        <v>536</v>
      </c>
      <c r="K229" s="1153">
        <f t="shared" si="11"/>
        <v>4</v>
      </c>
      <c r="L229" s="1163">
        <f t="shared" si="8"/>
        <v>400000</v>
      </c>
      <c r="M229" s="1164"/>
    </row>
    <row r="230" spans="1:13" ht="18.75" customHeight="1">
      <c r="A230" s="1154">
        <v>213</v>
      </c>
      <c r="B230" s="1155">
        <v>4</v>
      </c>
      <c r="C230" s="1156"/>
      <c r="D230" s="1156"/>
      <c r="E230" s="460" t="s">
        <v>127</v>
      </c>
      <c r="F230" s="1156" t="s">
        <v>15</v>
      </c>
      <c r="G230" s="1155" t="s">
        <v>536</v>
      </c>
      <c r="H230" s="1155" t="s">
        <v>536</v>
      </c>
      <c r="I230" s="1155" t="s">
        <v>536</v>
      </c>
      <c r="J230" s="1155" t="s">
        <v>536</v>
      </c>
      <c r="K230" s="1153">
        <f t="shared" si="11"/>
        <v>4</v>
      </c>
      <c r="L230" s="1163">
        <f t="shared" si="8"/>
        <v>400000</v>
      </c>
      <c r="M230" s="1164"/>
    </row>
    <row r="231" spans="1:13" ht="18.75" customHeight="1">
      <c r="A231" s="1154">
        <v>214</v>
      </c>
      <c r="B231" s="1155">
        <v>5</v>
      </c>
      <c r="C231" s="1156"/>
      <c r="D231" s="1156"/>
      <c r="E231" s="460" t="s">
        <v>128</v>
      </c>
      <c r="F231" s="1156" t="s">
        <v>15</v>
      </c>
      <c r="G231" s="1155" t="s">
        <v>536</v>
      </c>
      <c r="H231" s="1155" t="s">
        <v>536</v>
      </c>
      <c r="I231" s="1155" t="s">
        <v>536</v>
      </c>
      <c r="J231" s="1155" t="s">
        <v>536</v>
      </c>
      <c r="K231" s="1153">
        <f t="shared" si="11"/>
        <v>4</v>
      </c>
      <c r="L231" s="1163">
        <f t="shared" si="8"/>
        <v>400000</v>
      </c>
      <c r="M231" s="1164"/>
    </row>
    <row r="232" spans="1:13" ht="18.75" customHeight="1">
      <c r="A232" s="1154">
        <v>215</v>
      </c>
      <c r="B232" s="1155">
        <v>6</v>
      </c>
      <c r="C232" s="1156"/>
      <c r="D232" s="1156"/>
      <c r="E232" s="460" t="s">
        <v>129</v>
      </c>
      <c r="F232" s="1156" t="s">
        <v>15</v>
      </c>
      <c r="G232" s="1155" t="s">
        <v>536</v>
      </c>
      <c r="H232" s="1155" t="s">
        <v>536</v>
      </c>
      <c r="I232" s="1155" t="s">
        <v>536</v>
      </c>
      <c r="J232" s="1155" t="s">
        <v>536</v>
      </c>
      <c r="K232" s="1153">
        <f t="shared" si="11"/>
        <v>4</v>
      </c>
      <c r="L232" s="1163">
        <f t="shared" si="8"/>
        <v>400000</v>
      </c>
      <c r="M232" s="1164"/>
    </row>
    <row r="233" spans="1:13" ht="18.75" customHeight="1">
      <c r="A233" s="1154">
        <v>216</v>
      </c>
      <c r="B233" s="1155">
        <v>7</v>
      </c>
      <c r="C233" s="1156"/>
      <c r="D233" s="1156"/>
      <c r="E233" s="460" t="s">
        <v>561</v>
      </c>
      <c r="F233" s="1156" t="s">
        <v>15</v>
      </c>
      <c r="G233" s="1155" t="s">
        <v>536</v>
      </c>
      <c r="H233" s="1155" t="s">
        <v>536</v>
      </c>
      <c r="I233" s="1155" t="s">
        <v>536</v>
      </c>
      <c r="J233" s="1155" t="s">
        <v>536</v>
      </c>
      <c r="K233" s="1153">
        <f t="shared" si="11"/>
        <v>4</v>
      </c>
      <c r="L233" s="1163">
        <f t="shared" si="8"/>
        <v>400000</v>
      </c>
      <c r="M233" s="1164"/>
    </row>
    <row r="234" spans="1:13" ht="18.75" customHeight="1">
      <c r="A234" s="1154">
        <v>217</v>
      </c>
      <c r="B234" s="1155">
        <v>8</v>
      </c>
      <c r="C234" s="1156"/>
      <c r="D234" s="1156"/>
      <c r="E234" s="460" t="s">
        <v>131</v>
      </c>
      <c r="F234" s="1156" t="s">
        <v>15</v>
      </c>
      <c r="G234" s="1155" t="s">
        <v>536</v>
      </c>
      <c r="H234" s="1155" t="s">
        <v>536</v>
      </c>
      <c r="I234" s="1155" t="s">
        <v>536</v>
      </c>
      <c r="J234" s="1155" t="s">
        <v>536</v>
      </c>
      <c r="K234" s="1153">
        <f t="shared" si="11"/>
        <v>4</v>
      </c>
      <c r="L234" s="1163">
        <f t="shared" si="8"/>
        <v>400000</v>
      </c>
      <c r="M234" s="1164"/>
    </row>
    <row r="235" spans="1:13" ht="18.75" customHeight="1">
      <c r="A235" s="1154">
        <v>218</v>
      </c>
      <c r="B235" s="1155">
        <v>9</v>
      </c>
      <c r="C235" s="1156"/>
      <c r="D235" s="1156"/>
      <c r="E235" s="460" t="s">
        <v>132</v>
      </c>
      <c r="F235" s="1156" t="s">
        <v>15</v>
      </c>
      <c r="G235" s="1155" t="s">
        <v>536</v>
      </c>
      <c r="H235" s="1155" t="s">
        <v>536</v>
      </c>
      <c r="I235" s="1155" t="s">
        <v>536</v>
      </c>
      <c r="J235" s="1155" t="s">
        <v>536</v>
      </c>
      <c r="K235" s="1153">
        <f t="shared" si="11"/>
        <v>4</v>
      </c>
      <c r="L235" s="1163">
        <f t="shared" si="8"/>
        <v>400000</v>
      </c>
      <c r="M235" s="1164"/>
    </row>
    <row r="236" spans="1:13" ht="18.75" customHeight="1">
      <c r="A236" s="1154">
        <v>219</v>
      </c>
      <c r="B236" s="1155">
        <v>10</v>
      </c>
      <c r="C236" s="1156"/>
      <c r="D236" s="1156"/>
      <c r="E236" s="460" t="s">
        <v>133</v>
      </c>
      <c r="F236" s="1156" t="s">
        <v>15</v>
      </c>
      <c r="G236" s="1155" t="s">
        <v>536</v>
      </c>
      <c r="H236" s="1155" t="s">
        <v>536</v>
      </c>
      <c r="I236" s="1155" t="s">
        <v>536</v>
      </c>
      <c r="J236" s="1155" t="s">
        <v>536</v>
      </c>
      <c r="K236" s="1153">
        <f t="shared" si="11"/>
        <v>4</v>
      </c>
      <c r="L236" s="1163">
        <f t="shared" si="8"/>
        <v>400000</v>
      </c>
      <c r="M236" s="1164"/>
    </row>
    <row r="237" spans="1:13" ht="18.75" customHeight="1">
      <c r="A237" s="1154">
        <v>220</v>
      </c>
      <c r="B237" s="1155">
        <v>11</v>
      </c>
      <c r="C237" s="1156"/>
      <c r="D237" s="1156"/>
      <c r="E237" s="460" t="s">
        <v>134</v>
      </c>
      <c r="F237" s="1156" t="s">
        <v>15</v>
      </c>
      <c r="G237" s="1155" t="s">
        <v>536</v>
      </c>
      <c r="H237" s="1155" t="s">
        <v>536</v>
      </c>
      <c r="I237" s="1155" t="s">
        <v>536</v>
      </c>
      <c r="J237" s="1155" t="s">
        <v>536</v>
      </c>
      <c r="K237" s="1153">
        <f t="shared" si="11"/>
        <v>4</v>
      </c>
      <c r="L237" s="1163">
        <f t="shared" si="8"/>
        <v>400000</v>
      </c>
      <c r="M237" s="1164"/>
    </row>
    <row r="238" spans="1:13" ht="18.75" customHeight="1">
      <c r="A238" s="1154">
        <v>221</v>
      </c>
      <c r="B238" s="1155">
        <v>12</v>
      </c>
      <c r="C238" s="1156"/>
      <c r="D238" s="1156"/>
      <c r="E238" s="460" t="s">
        <v>135</v>
      </c>
      <c r="F238" s="1156" t="s">
        <v>15</v>
      </c>
      <c r="G238" s="1155" t="s">
        <v>536</v>
      </c>
      <c r="H238" s="1155" t="s">
        <v>536</v>
      </c>
      <c r="I238" s="1155" t="s">
        <v>536</v>
      </c>
      <c r="J238" s="1155" t="s">
        <v>536</v>
      </c>
      <c r="K238" s="1153">
        <f t="shared" si="11"/>
        <v>4</v>
      </c>
      <c r="L238" s="1163">
        <f t="shared" si="8"/>
        <v>400000</v>
      </c>
      <c r="M238" s="1164"/>
    </row>
    <row r="239" spans="1:13" ht="18.75" customHeight="1">
      <c r="A239" s="1154">
        <v>222</v>
      </c>
      <c r="B239" s="1155">
        <v>13</v>
      </c>
      <c r="C239" s="1156"/>
      <c r="D239" s="1156"/>
      <c r="E239" s="460" t="s">
        <v>136</v>
      </c>
      <c r="F239" s="1156" t="s">
        <v>15</v>
      </c>
      <c r="G239" s="1155" t="s">
        <v>536</v>
      </c>
      <c r="H239" s="1155" t="s">
        <v>536</v>
      </c>
      <c r="I239" s="1155" t="s">
        <v>536</v>
      </c>
      <c r="J239" s="1155" t="s">
        <v>536</v>
      </c>
      <c r="K239" s="1153">
        <f t="shared" si="11"/>
        <v>4</v>
      </c>
      <c r="L239" s="1163">
        <f t="shared" si="8"/>
        <v>400000</v>
      </c>
      <c r="M239" s="1164"/>
    </row>
    <row r="240" spans="1:13" ht="18.75" customHeight="1">
      <c r="A240" s="1154">
        <v>223</v>
      </c>
      <c r="B240" s="1155">
        <v>14</v>
      </c>
      <c r="C240" s="1156"/>
      <c r="D240" s="1156"/>
      <c r="E240" s="460" t="s">
        <v>562</v>
      </c>
      <c r="F240" s="1156" t="s">
        <v>15</v>
      </c>
      <c r="G240" s="1155" t="s">
        <v>536</v>
      </c>
      <c r="H240" s="1155" t="s">
        <v>536</v>
      </c>
      <c r="I240" s="1155" t="s">
        <v>536</v>
      </c>
      <c r="J240" s="1155" t="s">
        <v>536</v>
      </c>
      <c r="K240" s="1153">
        <f t="shared" si="11"/>
        <v>4</v>
      </c>
      <c r="L240" s="1163">
        <f t="shared" si="8"/>
        <v>400000</v>
      </c>
      <c r="M240" s="1164"/>
    </row>
    <row r="241" spans="1:13" ht="18.75" customHeight="1">
      <c r="A241" s="1154">
        <v>224</v>
      </c>
      <c r="B241" s="1155">
        <v>15</v>
      </c>
      <c r="C241" s="1156"/>
      <c r="D241" s="1156"/>
      <c r="E241" s="460" t="s">
        <v>563</v>
      </c>
      <c r="F241" s="1156" t="s">
        <v>15</v>
      </c>
      <c r="G241" s="1155" t="s">
        <v>536</v>
      </c>
      <c r="H241" s="1155" t="s">
        <v>536</v>
      </c>
      <c r="I241" s="1155" t="s">
        <v>536</v>
      </c>
      <c r="J241" s="1155" t="s">
        <v>536</v>
      </c>
      <c r="K241" s="1153">
        <f t="shared" si="11"/>
        <v>4</v>
      </c>
      <c r="L241" s="1163">
        <f t="shared" ref="L241:L304" si="12">K241*100000</f>
        <v>400000</v>
      </c>
      <c r="M241" s="1164"/>
    </row>
    <row r="242" spans="1:13" ht="18.75" customHeight="1">
      <c r="A242" s="1154">
        <v>225</v>
      </c>
      <c r="B242" s="1155">
        <v>16</v>
      </c>
      <c r="C242" s="1156"/>
      <c r="D242" s="1156"/>
      <c r="E242" s="460" t="s">
        <v>139</v>
      </c>
      <c r="F242" s="1156" t="s">
        <v>15</v>
      </c>
      <c r="G242" s="1155" t="s">
        <v>536</v>
      </c>
      <c r="H242" s="1155" t="s">
        <v>536</v>
      </c>
      <c r="I242" s="1155" t="s">
        <v>536</v>
      </c>
      <c r="J242" s="1155" t="s">
        <v>536</v>
      </c>
      <c r="K242" s="1153">
        <f t="shared" si="11"/>
        <v>4</v>
      </c>
      <c r="L242" s="1163">
        <f t="shared" si="12"/>
        <v>400000</v>
      </c>
      <c r="M242" s="1164"/>
    </row>
    <row r="243" spans="1:13" ht="18.75" customHeight="1">
      <c r="A243" s="1154">
        <v>226</v>
      </c>
      <c r="B243" s="1155">
        <v>17</v>
      </c>
      <c r="C243" s="1156"/>
      <c r="D243" s="1156"/>
      <c r="E243" s="460" t="s">
        <v>481</v>
      </c>
      <c r="F243" s="1156" t="s">
        <v>15</v>
      </c>
      <c r="G243" s="1155" t="s">
        <v>536</v>
      </c>
      <c r="H243" s="1155" t="s">
        <v>536</v>
      </c>
      <c r="I243" s="1155" t="s">
        <v>536</v>
      </c>
      <c r="J243" s="1155" t="s">
        <v>536</v>
      </c>
      <c r="K243" s="1153">
        <f t="shared" si="11"/>
        <v>4</v>
      </c>
      <c r="L243" s="1163">
        <f t="shared" si="12"/>
        <v>400000</v>
      </c>
      <c r="M243" s="1164"/>
    </row>
    <row r="244" spans="1:13" ht="18.75" customHeight="1">
      <c r="A244" s="1154">
        <v>227</v>
      </c>
      <c r="B244" s="1155">
        <v>18</v>
      </c>
      <c r="C244" s="1156"/>
      <c r="D244" s="1156"/>
      <c r="E244" s="460" t="s">
        <v>564</v>
      </c>
      <c r="F244" s="1156" t="s">
        <v>15</v>
      </c>
      <c r="G244" s="1155" t="s">
        <v>536</v>
      </c>
      <c r="H244" s="1155" t="s">
        <v>536</v>
      </c>
      <c r="I244" s="1155" t="s">
        <v>536</v>
      </c>
      <c r="J244" s="1155" t="s">
        <v>536</v>
      </c>
      <c r="K244" s="1153">
        <f t="shared" si="11"/>
        <v>4</v>
      </c>
      <c r="L244" s="1163">
        <f t="shared" si="12"/>
        <v>400000</v>
      </c>
      <c r="M244" s="1164"/>
    </row>
    <row r="245" spans="1:13" ht="18.75" customHeight="1">
      <c r="A245" s="1154">
        <v>228</v>
      </c>
      <c r="B245" s="1155">
        <v>19</v>
      </c>
      <c r="C245" s="1156"/>
      <c r="D245" s="1156"/>
      <c r="E245" s="460" t="s">
        <v>142</v>
      </c>
      <c r="F245" s="1156" t="s">
        <v>15</v>
      </c>
      <c r="G245" s="1155" t="s">
        <v>536</v>
      </c>
      <c r="H245" s="1155" t="s">
        <v>536</v>
      </c>
      <c r="I245" s="1155" t="s">
        <v>536</v>
      </c>
      <c r="J245" s="1155" t="s">
        <v>536</v>
      </c>
      <c r="K245" s="1153">
        <f t="shared" si="11"/>
        <v>4</v>
      </c>
      <c r="L245" s="1163">
        <f t="shared" si="12"/>
        <v>400000</v>
      </c>
      <c r="M245" s="1164"/>
    </row>
    <row r="246" spans="1:13" ht="18.75" customHeight="1">
      <c r="A246" s="1154">
        <v>229</v>
      </c>
      <c r="B246" s="1155">
        <v>20</v>
      </c>
      <c r="C246" s="1156"/>
      <c r="D246" s="1156"/>
      <c r="E246" s="460" t="s">
        <v>143</v>
      </c>
      <c r="F246" s="1156" t="s">
        <v>15</v>
      </c>
      <c r="G246" s="1155" t="s">
        <v>536</v>
      </c>
      <c r="H246" s="1155" t="s">
        <v>536</v>
      </c>
      <c r="I246" s="1155" t="s">
        <v>536</v>
      </c>
      <c r="J246" s="1155" t="s">
        <v>536</v>
      </c>
      <c r="K246" s="1153">
        <f t="shared" si="11"/>
        <v>4</v>
      </c>
      <c r="L246" s="1163">
        <f t="shared" si="12"/>
        <v>400000</v>
      </c>
      <c r="M246" s="1164"/>
    </row>
    <row r="247" spans="1:13" ht="18.75" customHeight="1">
      <c r="A247" s="1154">
        <v>230</v>
      </c>
      <c r="B247" s="1155">
        <v>21</v>
      </c>
      <c r="C247" s="1156"/>
      <c r="D247" s="1156"/>
      <c r="E247" s="460" t="s">
        <v>144</v>
      </c>
      <c r="F247" s="1156" t="s">
        <v>15</v>
      </c>
      <c r="G247" s="1155" t="s">
        <v>536</v>
      </c>
      <c r="H247" s="1155" t="s">
        <v>536</v>
      </c>
      <c r="I247" s="1155" t="s">
        <v>536</v>
      </c>
      <c r="J247" s="1155" t="s">
        <v>536</v>
      </c>
      <c r="K247" s="1153">
        <f t="shared" si="11"/>
        <v>4</v>
      </c>
      <c r="L247" s="1163">
        <f t="shared" si="12"/>
        <v>400000</v>
      </c>
      <c r="M247" s="1164"/>
    </row>
    <row r="248" spans="1:13" ht="18.75" customHeight="1">
      <c r="A248" s="1154">
        <v>231</v>
      </c>
      <c r="B248" s="1155">
        <v>22</v>
      </c>
      <c r="C248" s="1156"/>
      <c r="D248" s="1156"/>
      <c r="E248" s="460" t="s">
        <v>145</v>
      </c>
      <c r="F248" s="1156" t="s">
        <v>15</v>
      </c>
      <c r="G248" s="1155" t="s">
        <v>536</v>
      </c>
      <c r="H248" s="1155" t="s">
        <v>536</v>
      </c>
      <c r="I248" s="1155" t="s">
        <v>536</v>
      </c>
      <c r="J248" s="1155" t="s">
        <v>536</v>
      </c>
      <c r="K248" s="1153">
        <f t="shared" si="11"/>
        <v>4</v>
      </c>
      <c r="L248" s="1163">
        <f t="shared" si="12"/>
        <v>400000</v>
      </c>
      <c r="M248" s="1164"/>
    </row>
    <row r="249" spans="1:13" ht="18.75" customHeight="1">
      <c r="A249" s="1154">
        <v>232</v>
      </c>
      <c r="B249" s="1155">
        <v>23</v>
      </c>
      <c r="C249" s="1156"/>
      <c r="D249" s="1156"/>
      <c r="E249" s="460" t="s">
        <v>565</v>
      </c>
      <c r="F249" s="1156" t="s">
        <v>15</v>
      </c>
      <c r="G249" s="1155" t="s">
        <v>536</v>
      </c>
      <c r="H249" s="1155" t="s">
        <v>536</v>
      </c>
      <c r="I249" s="1155" t="s">
        <v>536</v>
      </c>
      <c r="J249" s="1155" t="s">
        <v>536</v>
      </c>
      <c r="K249" s="1153">
        <f t="shared" si="11"/>
        <v>4</v>
      </c>
      <c r="L249" s="1163">
        <f t="shared" si="12"/>
        <v>400000</v>
      </c>
      <c r="M249" s="1164"/>
    </row>
    <row r="250" spans="1:13" ht="18.75" customHeight="1">
      <c r="A250" s="1154">
        <v>233</v>
      </c>
      <c r="B250" s="1155">
        <v>24</v>
      </c>
      <c r="C250" s="1156"/>
      <c r="D250" s="1156"/>
      <c r="E250" s="460" t="s">
        <v>147</v>
      </c>
      <c r="F250" s="1156" t="s">
        <v>15</v>
      </c>
      <c r="G250" s="1155" t="s">
        <v>536</v>
      </c>
      <c r="H250" s="1155" t="s">
        <v>536</v>
      </c>
      <c r="I250" s="1155" t="s">
        <v>536</v>
      </c>
      <c r="J250" s="1155" t="s">
        <v>536</v>
      </c>
      <c r="K250" s="1153">
        <f t="shared" si="11"/>
        <v>4</v>
      </c>
      <c r="L250" s="1163">
        <f t="shared" si="12"/>
        <v>400000</v>
      </c>
      <c r="M250" s="1164"/>
    </row>
    <row r="251" spans="1:13" ht="18.75" customHeight="1">
      <c r="A251" s="1154">
        <v>234</v>
      </c>
      <c r="B251" s="1155">
        <v>25</v>
      </c>
      <c r="C251" s="1156"/>
      <c r="D251" s="1156"/>
      <c r="E251" s="460" t="s">
        <v>566</v>
      </c>
      <c r="F251" s="1156" t="s">
        <v>15</v>
      </c>
      <c r="G251" s="1155" t="s">
        <v>536</v>
      </c>
      <c r="H251" s="1155" t="s">
        <v>536</v>
      </c>
      <c r="I251" s="1155" t="s">
        <v>536</v>
      </c>
      <c r="J251" s="1155" t="s">
        <v>536</v>
      </c>
      <c r="K251" s="1153">
        <f t="shared" si="11"/>
        <v>4</v>
      </c>
      <c r="L251" s="1163">
        <f t="shared" si="12"/>
        <v>400000</v>
      </c>
      <c r="M251" s="1164"/>
    </row>
    <row r="252" spans="1:13" ht="18.75" customHeight="1">
      <c r="A252" s="1154">
        <v>235</v>
      </c>
      <c r="B252" s="1155">
        <v>26</v>
      </c>
      <c r="C252" s="1156"/>
      <c r="D252" s="1156"/>
      <c r="E252" s="460" t="s">
        <v>567</v>
      </c>
      <c r="F252" s="1156" t="s">
        <v>15</v>
      </c>
      <c r="G252" s="1155" t="s">
        <v>536</v>
      </c>
      <c r="H252" s="1155" t="s">
        <v>536</v>
      </c>
      <c r="I252" s="1155" t="s">
        <v>536</v>
      </c>
      <c r="J252" s="1155" t="s">
        <v>536</v>
      </c>
      <c r="K252" s="1153">
        <f t="shared" si="11"/>
        <v>4</v>
      </c>
      <c r="L252" s="1163">
        <f t="shared" si="12"/>
        <v>400000</v>
      </c>
      <c r="M252" s="1164"/>
    </row>
    <row r="253" spans="1:13" ht="18.75" customHeight="1">
      <c r="A253" s="1154">
        <v>236</v>
      </c>
      <c r="B253" s="1155">
        <v>27</v>
      </c>
      <c r="C253" s="1156"/>
      <c r="D253" s="1156"/>
      <c r="E253" s="460" t="s">
        <v>150</v>
      </c>
      <c r="F253" s="1156" t="s">
        <v>15</v>
      </c>
      <c r="G253" s="1155" t="s">
        <v>536</v>
      </c>
      <c r="H253" s="1155" t="s">
        <v>536</v>
      </c>
      <c r="I253" s="1155" t="s">
        <v>536</v>
      </c>
      <c r="J253" s="1155" t="s">
        <v>536</v>
      </c>
      <c r="K253" s="1153">
        <f t="shared" si="11"/>
        <v>4</v>
      </c>
      <c r="L253" s="1163">
        <f t="shared" si="12"/>
        <v>400000</v>
      </c>
      <c r="M253" s="1164"/>
    </row>
    <row r="254" spans="1:13" ht="18.75" customHeight="1">
      <c r="A254" s="1154">
        <v>237</v>
      </c>
      <c r="B254" s="1155">
        <v>28</v>
      </c>
      <c r="C254" s="1156"/>
      <c r="D254" s="1156"/>
      <c r="E254" s="460" t="s">
        <v>151</v>
      </c>
      <c r="F254" s="1156" t="s">
        <v>15</v>
      </c>
      <c r="G254" s="1155" t="s">
        <v>536</v>
      </c>
      <c r="H254" s="1155" t="s">
        <v>536</v>
      </c>
      <c r="I254" s="1155" t="s">
        <v>536</v>
      </c>
      <c r="J254" s="1155" t="s">
        <v>536</v>
      </c>
      <c r="K254" s="1153">
        <f t="shared" si="11"/>
        <v>4</v>
      </c>
      <c r="L254" s="1163">
        <f t="shared" si="12"/>
        <v>400000</v>
      </c>
      <c r="M254" s="1164"/>
    </row>
    <row r="255" spans="1:13" ht="18.75" customHeight="1">
      <c r="A255" s="1154">
        <v>238</v>
      </c>
      <c r="B255" s="1155">
        <v>29</v>
      </c>
      <c r="C255" s="1156"/>
      <c r="D255" s="1156"/>
      <c r="E255" s="460" t="s">
        <v>568</v>
      </c>
      <c r="F255" s="1156" t="s">
        <v>15</v>
      </c>
      <c r="G255" s="1155" t="s">
        <v>536</v>
      </c>
      <c r="H255" s="1155" t="s">
        <v>536</v>
      </c>
      <c r="I255" s="1155" t="s">
        <v>536</v>
      </c>
      <c r="J255" s="1155" t="s">
        <v>536</v>
      </c>
      <c r="K255" s="1153">
        <f t="shared" si="11"/>
        <v>4</v>
      </c>
      <c r="L255" s="1163">
        <f t="shared" si="12"/>
        <v>400000</v>
      </c>
      <c r="M255" s="1164"/>
    </row>
    <row r="256" spans="1:13" ht="18.75" customHeight="1">
      <c r="A256" s="1154">
        <v>239</v>
      </c>
      <c r="B256" s="1155">
        <v>30</v>
      </c>
      <c r="C256" s="1156"/>
      <c r="D256" s="1156"/>
      <c r="E256" s="460" t="s">
        <v>569</v>
      </c>
      <c r="F256" s="1156" t="s">
        <v>15</v>
      </c>
      <c r="G256" s="1155" t="s">
        <v>536</v>
      </c>
      <c r="H256" s="1155" t="s">
        <v>536</v>
      </c>
      <c r="I256" s="1155" t="s">
        <v>536</v>
      </c>
      <c r="J256" s="1155" t="s">
        <v>536</v>
      </c>
      <c r="K256" s="1153">
        <f t="shared" si="11"/>
        <v>4</v>
      </c>
      <c r="L256" s="1163">
        <f t="shared" si="12"/>
        <v>400000</v>
      </c>
      <c r="M256" s="1164"/>
    </row>
    <row r="257" spans="1:13" ht="18.75" customHeight="1">
      <c r="A257" s="1154">
        <v>240</v>
      </c>
      <c r="B257" s="1155">
        <v>31</v>
      </c>
      <c r="C257" s="1156"/>
      <c r="D257" s="1156"/>
      <c r="E257" s="460" t="s">
        <v>154</v>
      </c>
      <c r="F257" s="1156" t="s">
        <v>15</v>
      </c>
      <c r="G257" s="1155" t="s">
        <v>536</v>
      </c>
      <c r="H257" s="1155" t="s">
        <v>536</v>
      </c>
      <c r="I257" s="1155" t="s">
        <v>536</v>
      </c>
      <c r="J257" s="1155" t="s">
        <v>536</v>
      </c>
      <c r="K257" s="1153">
        <f t="shared" si="11"/>
        <v>4</v>
      </c>
      <c r="L257" s="1163">
        <f t="shared" si="12"/>
        <v>400000</v>
      </c>
      <c r="M257" s="1164"/>
    </row>
    <row r="258" spans="1:13" ht="18.75" customHeight="1">
      <c r="A258" s="1154">
        <v>241</v>
      </c>
      <c r="B258" s="1155">
        <v>32</v>
      </c>
      <c r="C258" s="1156"/>
      <c r="D258" s="1156"/>
      <c r="E258" s="460" t="s">
        <v>155</v>
      </c>
      <c r="F258" s="1156" t="s">
        <v>15</v>
      </c>
      <c r="G258" s="1155" t="s">
        <v>536</v>
      </c>
      <c r="H258" s="1155" t="s">
        <v>536</v>
      </c>
      <c r="I258" s="1155" t="s">
        <v>536</v>
      </c>
      <c r="J258" s="1155" t="s">
        <v>536</v>
      </c>
      <c r="K258" s="1153">
        <f t="shared" si="11"/>
        <v>4</v>
      </c>
      <c r="L258" s="1163">
        <f t="shared" si="12"/>
        <v>400000</v>
      </c>
      <c r="M258" s="1164"/>
    </row>
    <row r="259" spans="1:13" ht="18.75" customHeight="1">
      <c r="A259" s="1154">
        <v>242</v>
      </c>
      <c r="B259" s="1155">
        <v>33</v>
      </c>
      <c r="C259" s="1156"/>
      <c r="D259" s="1156"/>
      <c r="E259" s="460" t="s">
        <v>156</v>
      </c>
      <c r="F259" s="1156" t="s">
        <v>15</v>
      </c>
      <c r="G259" s="1155" t="s">
        <v>536</v>
      </c>
      <c r="H259" s="1155" t="s">
        <v>536</v>
      </c>
      <c r="I259" s="1155" t="s">
        <v>536</v>
      </c>
      <c r="J259" s="1155" t="s">
        <v>536</v>
      </c>
      <c r="K259" s="1153">
        <f t="shared" si="11"/>
        <v>4</v>
      </c>
      <c r="L259" s="1163">
        <f t="shared" si="12"/>
        <v>400000</v>
      </c>
      <c r="M259" s="1164"/>
    </row>
    <row r="260" spans="1:13" ht="18.75" customHeight="1">
      <c r="A260" s="1154">
        <v>243</v>
      </c>
      <c r="B260" s="1155">
        <v>34</v>
      </c>
      <c r="C260" s="1156"/>
      <c r="D260" s="1156"/>
      <c r="E260" s="460" t="s">
        <v>157</v>
      </c>
      <c r="F260" s="1156" t="s">
        <v>15</v>
      </c>
      <c r="G260" s="1155" t="s">
        <v>536</v>
      </c>
      <c r="H260" s="1155" t="s">
        <v>536</v>
      </c>
      <c r="I260" s="1155" t="s">
        <v>536</v>
      </c>
      <c r="J260" s="1155" t="s">
        <v>536</v>
      </c>
      <c r="K260" s="1153">
        <f t="shared" si="11"/>
        <v>4</v>
      </c>
      <c r="L260" s="1163">
        <f t="shared" si="12"/>
        <v>400000</v>
      </c>
      <c r="M260" s="1164"/>
    </row>
    <row r="261" spans="1:13" ht="18.75" customHeight="1">
      <c r="A261" s="1154">
        <v>244</v>
      </c>
      <c r="B261" s="1155">
        <v>35</v>
      </c>
      <c r="C261" s="1156"/>
      <c r="D261" s="1156"/>
      <c r="E261" s="460" t="s">
        <v>158</v>
      </c>
      <c r="F261" s="1156" t="s">
        <v>15</v>
      </c>
      <c r="G261" s="1155" t="s">
        <v>536</v>
      </c>
      <c r="H261" s="1155" t="s">
        <v>536</v>
      </c>
      <c r="I261" s="1155" t="s">
        <v>536</v>
      </c>
      <c r="J261" s="1155" t="s">
        <v>536</v>
      </c>
      <c r="K261" s="1153">
        <f t="shared" si="11"/>
        <v>4</v>
      </c>
      <c r="L261" s="1163">
        <f t="shared" si="12"/>
        <v>400000</v>
      </c>
      <c r="M261" s="1164"/>
    </row>
    <row r="262" spans="1:13" ht="18.75" customHeight="1">
      <c r="A262" s="1154">
        <v>245</v>
      </c>
      <c r="B262" s="1155">
        <v>36</v>
      </c>
      <c r="C262" s="1156"/>
      <c r="D262" s="1156"/>
      <c r="E262" s="460" t="s">
        <v>159</v>
      </c>
      <c r="F262" s="1156" t="s">
        <v>15</v>
      </c>
      <c r="G262" s="1155" t="s">
        <v>536</v>
      </c>
      <c r="H262" s="1155" t="s">
        <v>536</v>
      </c>
      <c r="I262" s="1155" t="s">
        <v>536</v>
      </c>
      <c r="J262" s="1155" t="s">
        <v>536</v>
      </c>
      <c r="K262" s="1153">
        <f t="shared" si="11"/>
        <v>4</v>
      </c>
      <c r="L262" s="1163">
        <f t="shared" si="12"/>
        <v>400000</v>
      </c>
      <c r="M262" s="1164"/>
    </row>
    <row r="263" spans="1:13" ht="18.75" customHeight="1">
      <c r="A263" s="1154">
        <v>246</v>
      </c>
      <c r="B263" s="1155">
        <v>37</v>
      </c>
      <c r="C263" s="1156"/>
      <c r="D263" s="1156"/>
      <c r="E263" s="460" t="s">
        <v>160</v>
      </c>
      <c r="F263" s="1156" t="s">
        <v>15</v>
      </c>
      <c r="G263" s="1155" t="s">
        <v>536</v>
      </c>
      <c r="H263" s="1155" t="s">
        <v>536</v>
      </c>
      <c r="I263" s="1155" t="s">
        <v>536</v>
      </c>
      <c r="J263" s="1155" t="s">
        <v>536</v>
      </c>
      <c r="K263" s="1153">
        <f t="shared" si="11"/>
        <v>4</v>
      </c>
      <c r="L263" s="1163">
        <f t="shared" si="12"/>
        <v>400000</v>
      </c>
      <c r="M263" s="1164"/>
    </row>
    <row r="264" spans="1:13" ht="18.75" customHeight="1">
      <c r="A264" s="1154">
        <v>247</v>
      </c>
      <c r="B264" s="1155">
        <v>38</v>
      </c>
      <c r="C264" s="1156"/>
      <c r="D264" s="1156"/>
      <c r="E264" s="460" t="s">
        <v>161</v>
      </c>
      <c r="F264" s="1156" t="s">
        <v>15</v>
      </c>
      <c r="G264" s="1155" t="s">
        <v>536</v>
      </c>
      <c r="H264" s="1155" t="s">
        <v>536</v>
      </c>
      <c r="I264" s="1155" t="s">
        <v>536</v>
      </c>
      <c r="J264" s="1155" t="s">
        <v>536</v>
      </c>
      <c r="K264" s="1153">
        <f t="shared" si="11"/>
        <v>4</v>
      </c>
      <c r="L264" s="1163">
        <f t="shared" si="12"/>
        <v>400000</v>
      </c>
      <c r="M264" s="1164"/>
    </row>
    <row r="265" spans="1:13" ht="18.75" customHeight="1">
      <c r="A265" s="1154">
        <v>248</v>
      </c>
      <c r="B265" s="1155">
        <v>39</v>
      </c>
      <c r="C265" s="1156"/>
      <c r="D265" s="1156"/>
      <c r="E265" s="460" t="s">
        <v>162</v>
      </c>
      <c r="F265" s="1156" t="s">
        <v>15</v>
      </c>
      <c r="G265" s="1155" t="s">
        <v>536</v>
      </c>
      <c r="H265" s="1155" t="s">
        <v>536</v>
      </c>
      <c r="I265" s="1155" t="s">
        <v>536</v>
      </c>
      <c r="J265" s="1155" t="s">
        <v>536</v>
      </c>
      <c r="K265" s="1153">
        <f t="shared" si="11"/>
        <v>4</v>
      </c>
      <c r="L265" s="1163">
        <f t="shared" si="12"/>
        <v>400000</v>
      </c>
      <c r="M265" s="1164"/>
    </row>
    <row r="266" spans="1:13" ht="18.75" customHeight="1">
      <c r="A266" s="1154">
        <v>249</v>
      </c>
      <c r="B266" s="1155">
        <v>40</v>
      </c>
      <c r="C266" s="1156"/>
      <c r="D266" s="1156"/>
      <c r="E266" s="460" t="s">
        <v>163</v>
      </c>
      <c r="F266" s="1156" t="s">
        <v>15</v>
      </c>
      <c r="G266" s="1155" t="s">
        <v>536</v>
      </c>
      <c r="H266" s="1155" t="s">
        <v>536</v>
      </c>
      <c r="I266" s="1155" t="s">
        <v>536</v>
      </c>
      <c r="J266" s="1155" t="s">
        <v>536</v>
      </c>
      <c r="K266" s="1153">
        <f t="shared" si="11"/>
        <v>4</v>
      </c>
      <c r="L266" s="1163">
        <f t="shared" si="12"/>
        <v>400000</v>
      </c>
      <c r="M266" s="1164"/>
    </row>
    <row r="267" spans="1:13" ht="18.75" customHeight="1">
      <c r="A267" s="1154">
        <v>250</v>
      </c>
      <c r="B267" s="1155">
        <v>41</v>
      </c>
      <c r="C267" s="1156"/>
      <c r="D267" s="1156"/>
      <c r="E267" s="460" t="s">
        <v>164</v>
      </c>
      <c r="F267" s="1156" t="s">
        <v>15</v>
      </c>
      <c r="G267" s="1155" t="s">
        <v>536</v>
      </c>
      <c r="H267" s="1155" t="s">
        <v>536</v>
      </c>
      <c r="I267" s="1155" t="s">
        <v>536</v>
      </c>
      <c r="J267" s="1155" t="s">
        <v>536</v>
      </c>
      <c r="K267" s="1153">
        <f t="shared" si="11"/>
        <v>4</v>
      </c>
      <c r="L267" s="1163">
        <f t="shared" si="12"/>
        <v>400000</v>
      </c>
      <c r="M267" s="1164"/>
    </row>
    <row r="268" spans="1:13" ht="18.75" customHeight="1">
      <c r="A268" s="1154">
        <v>251</v>
      </c>
      <c r="B268" s="1155">
        <v>42</v>
      </c>
      <c r="C268" s="1156"/>
      <c r="D268" s="1156"/>
      <c r="E268" s="460" t="s">
        <v>165</v>
      </c>
      <c r="F268" s="1156" t="s">
        <v>15</v>
      </c>
      <c r="G268" s="1155" t="s">
        <v>536</v>
      </c>
      <c r="H268" s="1155" t="s">
        <v>536</v>
      </c>
      <c r="I268" s="1155" t="s">
        <v>536</v>
      </c>
      <c r="J268" s="1155" t="s">
        <v>536</v>
      </c>
      <c r="K268" s="1153">
        <f t="shared" si="11"/>
        <v>4</v>
      </c>
      <c r="L268" s="1163">
        <f t="shared" si="12"/>
        <v>400000</v>
      </c>
      <c r="M268" s="1164"/>
    </row>
    <row r="269" spans="1:13" ht="18.75" customHeight="1">
      <c r="A269" s="1154">
        <v>252</v>
      </c>
      <c r="B269" s="1155">
        <v>43</v>
      </c>
      <c r="C269" s="1156"/>
      <c r="D269" s="1156"/>
      <c r="E269" s="460" t="s">
        <v>166</v>
      </c>
      <c r="F269" s="1156" t="s">
        <v>15</v>
      </c>
      <c r="G269" s="1155" t="s">
        <v>536</v>
      </c>
      <c r="H269" s="1155" t="s">
        <v>536</v>
      </c>
      <c r="I269" s="1155" t="s">
        <v>536</v>
      </c>
      <c r="J269" s="1155" t="s">
        <v>536</v>
      </c>
      <c r="K269" s="1153">
        <f t="shared" si="11"/>
        <v>4</v>
      </c>
      <c r="L269" s="1163">
        <f t="shared" si="12"/>
        <v>400000</v>
      </c>
      <c r="M269" s="1164"/>
    </row>
    <row r="270" spans="1:13" ht="18.75" customHeight="1">
      <c r="A270" s="1154">
        <v>253</v>
      </c>
      <c r="B270" s="1155">
        <v>44</v>
      </c>
      <c r="C270" s="1156"/>
      <c r="D270" s="1156"/>
      <c r="E270" s="460" t="s">
        <v>167</v>
      </c>
      <c r="F270" s="1156" t="s">
        <v>15</v>
      </c>
      <c r="G270" s="1155" t="s">
        <v>536</v>
      </c>
      <c r="H270" s="1155" t="s">
        <v>536</v>
      </c>
      <c r="I270" s="1155" t="s">
        <v>536</v>
      </c>
      <c r="J270" s="1155" t="s">
        <v>536</v>
      </c>
      <c r="K270" s="1153">
        <f t="shared" si="11"/>
        <v>4</v>
      </c>
      <c r="L270" s="1163">
        <f t="shared" si="12"/>
        <v>400000</v>
      </c>
      <c r="M270" s="1164"/>
    </row>
    <row r="271" spans="1:13" ht="18.75" customHeight="1">
      <c r="A271" s="1154">
        <v>254</v>
      </c>
      <c r="B271" s="1155">
        <v>45</v>
      </c>
      <c r="C271" s="1156"/>
      <c r="D271" s="1156"/>
      <c r="E271" s="460" t="s">
        <v>570</v>
      </c>
      <c r="F271" s="1156" t="s">
        <v>15</v>
      </c>
      <c r="G271" s="1155" t="s">
        <v>536</v>
      </c>
      <c r="H271" s="1155" t="s">
        <v>536</v>
      </c>
      <c r="I271" s="1155" t="s">
        <v>536</v>
      </c>
      <c r="J271" s="1155" t="s">
        <v>536</v>
      </c>
      <c r="K271" s="1153">
        <f t="shared" si="11"/>
        <v>4</v>
      </c>
      <c r="L271" s="1163">
        <f t="shared" si="12"/>
        <v>400000</v>
      </c>
      <c r="M271" s="1164"/>
    </row>
    <row r="272" spans="1:13" ht="18.75" customHeight="1">
      <c r="A272" s="1154">
        <v>255</v>
      </c>
      <c r="B272" s="1155">
        <v>46</v>
      </c>
      <c r="C272" s="1156"/>
      <c r="D272" s="1156"/>
      <c r="E272" s="460" t="s">
        <v>169</v>
      </c>
      <c r="F272" s="1156" t="s">
        <v>15</v>
      </c>
      <c r="G272" s="1155" t="s">
        <v>536</v>
      </c>
      <c r="H272" s="1155" t="s">
        <v>536</v>
      </c>
      <c r="I272" s="1155" t="s">
        <v>536</v>
      </c>
      <c r="J272" s="1155" t="s">
        <v>536</v>
      </c>
      <c r="K272" s="1153">
        <f t="shared" si="11"/>
        <v>4</v>
      </c>
      <c r="L272" s="1163">
        <f t="shared" si="12"/>
        <v>400000</v>
      </c>
      <c r="M272" s="1164"/>
    </row>
    <row r="273" spans="1:13" ht="18.75" customHeight="1">
      <c r="A273" s="1154">
        <v>256</v>
      </c>
      <c r="B273" s="1155">
        <v>47</v>
      </c>
      <c r="C273" s="1156"/>
      <c r="D273" s="1156"/>
      <c r="E273" s="460" t="s">
        <v>571</v>
      </c>
      <c r="F273" s="1156" t="s">
        <v>15</v>
      </c>
      <c r="G273" s="1155" t="s">
        <v>536</v>
      </c>
      <c r="H273" s="1155" t="s">
        <v>536</v>
      </c>
      <c r="I273" s="1155" t="s">
        <v>536</v>
      </c>
      <c r="J273" s="1155" t="s">
        <v>536</v>
      </c>
      <c r="K273" s="1153">
        <f t="shared" si="11"/>
        <v>4</v>
      </c>
      <c r="L273" s="1163">
        <f t="shared" si="12"/>
        <v>400000</v>
      </c>
      <c r="M273" s="1164"/>
    </row>
    <row r="274" spans="1:13" ht="18.75" customHeight="1">
      <c r="A274" s="1154">
        <v>257</v>
      </c>
      <c r="B274" s="1155">
        <v>48</v>
      </c>
      <c r="C274" s="1156"/>
      <c r="D274" s="1156"/>
      <c r="E274" s="460" t="s">
        <v>572</v>
      </c>
      <c r="F274" s="1156" t="s">
        <v>15</v>
      </c>
      <c r="G274" s="1155" t="s">
        <v>536</v>
      </c>
      <c r="H274" s="1155" t="s">
        <v>536</v>
      </c>
      <c r="I274" s="1155" t="s">
        <v>536</v>
      </c>
      <c r="J274" s="1155" t="s">
        <v>536</v>
      </c>
      <c r="K274" s="1153">
        <f t="shared" si="11"/>
        <v>4</v>
      </c>
      <c r="L274" s="1163">
        <f t="shared" si="12"/>
        <v>400000</v>
      </c>
      <c r="M274" s="1164"/>
    </row>
    <row r="275" spans="1:13" ht="18.75" customHeight="1">
      <c r="A275" s="1154">
        <v>258</v>
      </c>
      <c r="B275" s="1155">
        <v>49</v>
      </c>
      <c r="C275" s="1156"/>
      <c r="D275" s="1156"/>
      <c r="E275" s="460" t="s">
        <v>172</v>
      </c>
      <c r="F275" s="1156" t="s">
        <v>15</v>
      </c>
      <c r="G275" s="1155" t="s">
        <v>536</v>
      </c>
      <c r="H275" s="1155" t="s">
        <v>536</v>
      </c>
      <c r="I275" s="1155" t="s">
        <v>536</v>
      </c>
      <c r="J275" s="1155" t="s">
        <v>536</v>
      </c>
      <c r="K275" s="1153">
        <f t="shared" si="11"/>
        <v>4</v>
      </c>
      <c r="L275" s="1163">
        <f t="shared" si="12"/>
        <v>400000</v>
      </c>
      <c r="M275" s="1164"/>
    </row>
    <row r="276" spans="1:13" ht="18.75" customHeight="1">
      <c r="A276" s="1154">
        <v>259</v>
      </c>
      <c r="B276" s="1155">
        <v>50</v>
      </c>
      <c r="C276" s="1156"/>
      <c r="D276" s="1156"/>
      <c r="E276" s="460" t="s">
        <v>173</v>
      </c>
      <c r="F276" s="1156" t="s">
        <v>15</v>
      </c>
      <c r="G276" s="1155" t="s">
        <v>536</v>
      </c>
      <c r="H276" s="1155" t="s">
        <v>536</v>
      </c>
      <c r="I276" s="1155" t="s">
        <v>536</v>
      </c>
      <c r="J276" s="1155" t="s">
        <v>536</v>
      </c>
      <c r="K276" s="1153">
        <f t="shared" si="11"/>
        <v>4</v>
      </c>
      <c r="L276" s="1163">
        <f t="shared" si="12"/>
        <v>400000</v>
      </c>
      <c r="M276" s="1164"/>
    </row>
    <row r="277" spans="1:13" ht="18.75" customHeight="1">
      <c r="A277" s="1154">
        <v>260</v>
      </c>
      <c r="B277" s="1155">
        <v>51</v>
      </c>
      <c r="C277" s="1156"/>
      <c r="D277" s="1156"/>
      <c r="E277" s="460" t="s">
        <v>174</v>
      </c>
      <c r="F277" s="1156" t="s">
        <v>15</v>
      </c>
      <c r="G277" s="1155" t="s">
        <v>536</v>
      </c>
      <c r="H277" s="1155" t="s">
        <v>536</v>
      </c>
      <c r="I277" s="1155" t="s">
        <v>536</v>
      </c>
      <c r="J277" s="1155" t="s">
        <v>536</v>
      </c>
      <c r="K277" s="1153">
        <f t="shared" si="11"/>
        <v>4</v>
      </c>
      <c r="L277" s="1163">
        <f t="shared" si="12"/>
        <v>400000</v>
      </c>
      <c r="M277" s="1164"/>
    </row>
    <row r="278" spans="1:13" ht="18.75" customHeight="1">
      <c r="A278" s="1154">
        <v>261</v>
      </c>
      <c r="B278" s="1155">
        <v>52</v>
      </c>
      <c r="C278" s="1156"/>
      <c r="D278" s="1156"/>
      <c r="E278" s="460" t="s">
        <v>175</v>
      </c>
      <c r="F278" s="1156" t="s">
        <v>15</v>
      </c>
      <c r="G278" s="1155" t="s">
        <v>536</v>
      </c>
      <c r="H278" s="1155" t="s">
        <v>536</v>
      </c>
      <c r="I278" s="1155" t="s">
        <v>536</v>
      </c>
      <c r="J278" s="1155" t="s">
        <v>536</v>
      </c>
      <c r="K278" s="1153">
        <f t="shared" si="11"/>
        <v>4</v>
      </c>
      <c r="L278" s="1163">
        <f t="shared" si="12"/>
        <v>400000</v>
      </c>
      <c r="M278" s="1164"/>
    </row>
    <row r="279" spans="1:13" ht="18.75" customHeight="1">
      <c r="A279" s="1154">
        <v>262</v>
      </c>
      <c r="B279" s="1155">
        <v>53</v>
      </c>
      <c r="C279" s="1156"/>
      <c r="D279" s="1156"/>
      <c r="E279" s="460" t="s">
        <v>573</v>
      </c>
      <c r="F279" s="1156" t="s">
        <v>15</v>
      </c>
      <c r="G279" s="1155" t="s">
        <v>536</v>
      </c>
      <c r="H279" s="1155" t="s">
        <v>536</v>
      </c>
      <c r="I279" s="1155" t="s">
        <v>536</v>
      </c>
      <c r="J279" s="1155" t="s">
        <v>536</v>
      </c>
      <c r="K279" s="1153">
        <f t="shared" si="11"/>
        <v>4</v>
      </c>
      <c r="L279" s="1163">
        <f t="shared" si="12"/>
        <v>400000</v>
      </c>
      <c r="M279" s="1164"/>
    </row>
    <row r="280" spans="1:13" ht="18.75" customHeight="1">
      <c r="A280" s="1154">
        <v>263</v>
      </c>
      <c r="B280" s="1155">
        <v>54</v>
      </c>
      <c r="C280" s="1156"/>
      <c r="D280" s="1156"/>
      <c r="E280" s="460" t="s">
        <v>177</v>
      </c>
      <c r="F280" s="1156" t="s">
        <v>15</v>
      </c>
      <c r="G280" s="1155" t="s">
        <v>536</v>
      </c>
      <c r="H280" s="1155" t="s">
        <v>536</v>
      </c>
      <c r="I280" s="1155" t="s">
        <v>536</v>
      </c>
      <c r="J280" s="1155" t="s">
        <v>536</v>
      </c>
      <c r="K280" s="1153">
        <f t="shared" si="11"/>
        <v>4</v>
      </c>
      <c r="L280" s="1163">
        <f t="shared" si="12"/>
        <v>400000</v>
      </c>
      <c r="M280" s="1164"/>
    </row>
    <row r="281" spans="1:13" ht="18.75" customHeight="1">
      <c r="A281" s="1154">
        <v>264</v>
      </c>
      <c r="B281" s="1155">
        <v>55</v>
      </c>
      <c r="C281" s="1156"/>
      <c r="D281" s="1156"/>
      <c r="E281" s="460" t="s">
        <v>178</v>
      </c>
      <c r="F281" s="1156" t="s">
        <v>15</v>
      </c>
      <c r="G281" s="1155" t="s">
        <v>536</v>
      </c>
      <c r="H281" s="1155" t="s">
        <v>536</v>
      </c>
      <c r="I281" s="1155" t="s">
        <v>536</v>
      </c>
      <c r="J281" s="1155" t="s">
        <v>536</v>
      </c>
      <c r="K281" s="1153">
        <f t="shared" si="11"/>
        <v>4</v>
      </c>
      <c r="L281" s="1163">
        <f t="shared" si="12"/>
        <v>400000</v>
      </c>
      <c r="M281" s="1164"/>
    </row>
    <row r="282" spans="1:13" ht="18.75" customHeight="1">
      <c r="A282" s="1154">
        <v>265</v>
      </c>
      <c r="B282" s="1155">
        <v>56</v>
      </c>
      <c r="C282" s="1156"/>
      <c r="D282" s="1156"/>
      <c r="E282" s="460" t="s">
        <v>179</v>
      </c>
      <c r="F282" s="1156" t="s">
        <v>15</v>
      </c>
      <c r="G282" s="1155" t="s">
        <v>536</v>
      </c>
      <c r="H282" s="1155" t="s">
        <v>536</v>
      </c>
      <c r="I282" s="1155" t="s">
        <v>536</v>
      </c>
      <c r="J282" s="1155" t="s">
        <v>536</v>
      </c>
      <c r="K282" s="1153">
        <f t="shared" si="11"/>
        <v>4</v>
      </c>
      <c r="L282" s="1163">
        <f t="shared" si="12"/>
        <v>400000</v>
      </c>
      <c r="M282" s="1164"/>
    </row>
    <row r="283" spans="1:13" ht="18.75" customHeight="1">
      <c r="A283" s="1154">
        <v>266</v>
      </c>
      <c r="B283" s="1155">
        <v>57</v>
      </c>
      <c r="C283" s="1156"/>
      <c r="D283" s="1156"/>
      <c r="E283" s="460" t="s">
        <v>180</v>
      </c>
      <c r="F283" s="1156" t="s">
        <v>15</v>
      </c>
      <c r="G283" s="1155" t="s">
        <v>536</v>
      </c>
      <c r="H283" s="1155" t="s">
        <v>536</v>
      </c>
      <c r="I283" s="1155" t="s">
        <v>536</v>
      </c>
      <c r="J283" s="1155" t="s">
        <v>536</v>
      </c>
      <c r="K283" s="1153">
        <f t="shared" si="11"/>
        <v>4</v>
      </c>
      <c r="L283" s="1163">
        <f t="shared" si="12"/>
        <v>400000</v>
      </c>
      <c r="M283" s="1164"/>
    </row>
    <row r="284" spans="1:13" ht="18.75" customHeight="1">
      <c r="A284" s="1154">
        <v>267</v>
      </c>
      <c r="B284" s="1155">
        <v>58</v>
      </c>
      <c r="C284" s="1156"/>
      <c r="D284" s="1156"/>
      <c r="E284" s="460" t="s">
        <v>181</v>
      </c>
      <c r="F284" s="1156" t="s">
        <v>15</v>
      </c>
      <c r="G284" s="1155" t="s">
        <v>536</v>
      </c>
      <c r="H284" s="1155" t="s">
        <v>536</v>
      </c>
      <c r="I284" s="1155" t="s">
        <v>536</v>
      </c>
      <c r="J284" s="1155" t="s">
        <v>536</v>
      </c>
      <c r="K284" s="1153">
        <f t="shared" si="11"/>
        <v>4</v>
      </c>
      <c r="L284" s="1163">
        <f t="shared" si="12"/>
        <v>400000</v>
      </c>
      <c r="M284" s="1164"/>
    </row>
    <row r="285" spans="1:13" ht="18.75" customHeight="1">
      <c r="A285" s="1154">
        <v>268</v>
      </c>
      <c r="B285" s="1155">
        <v>59</v>
      </c>
      <c r="C285" s="1156"/>
      <c r="D285" s="1156"/>
      <c r="E285" s="460" t="s">
        <v>182</v>
      </c>
      <c r="F285" s="1156" t="s">
        <v>15</v>
      </c>
      <c r="G285" s="1155" t="s">
        <v>536</v>
      </c>
      <c r="H285" s="1155" t="s">
        <v>536</v>
      </c>
      <c r="I285" s="1155" t="s">
        <v>536</v>
      </c>
      <c r="J285" s="1155" t="s">
        <v>536</v>
      </c>
      <c r="K285" s="1153">
        <f t="shared" si="11"/>
        <v>4</v>
      </c>
      <c r="L285" s="1163">
        <f t="shared" si="12"/>
        <v>400000</v>
      </c>
      <c r="M285" s="1164"/>
    </row>
    <row r="286" spans="1:13" ht="18.75" customHeight="1">
      <c r="A286" s="1154">
        <v>269</v>
      </c>
      <c r="B286" s="1155">
        <v>60</v>
      </c>
      <c r="C286" s="1156"/>
      <c r="D286" s="1156"/>
      <c r="E286" s="460" t="s">
        <v>183</v>
      </c>
      <c r="F286" s="1156" t="s">
        <v>15</v>
      </c>
      <c r="G286" s="1155" t="s">
        <v>536</v>
      </c>
      <c r="H286" s="1155" t="s">
        <v>536</v>
      </c>
      <c r="I286" s="1155" t="s">
        <v>536</v>
      </c>
      <c r="J286" s="1155" t="s">
        <v>536</v>
      </c>
      <c r="K286" s="1153">
        <f t="shared" si="11"/>
        <v>4</v>
      </c>
      <c r="L286" s="1163">
        <f t="shared" si="12"/>
        <v>400000</v>
      </c>
      <c r="M286" s="1164"/>
    </row>
    <row r="287" spans="1:13" ht="18.75" customHeight="1">
      <c r="A287" s="1154">
        <v>270</v>
      </c>
      <c r="B287" s="1155">
        <v>61</v>
      </c>
      <c r="C287" s="1156"/>
      <c r="D287" s="1156"/>
      <c r="E287" s="460" t="s">
        <v>574</v>
      </c>
      <c r="F287" s="1156" t="s">
        <v>15</v>
      </c>
      <c r="G287" s="1155" t="s">
        <v>536</v>
      </c>
      <c r="H287" s="1155" t="s">
        <v>536</v>
      </c>
      <c r="I287" s="1155" t="s">
        <v>536</v>
      </c>
      <c r="J287" s="1155" t="s">
        <v>536</v>
      </c>
      <c r="K287" s="1153">
        <f t="shared" si="11"/>
        <v>4</v>
      </c>
      <c r="L287" s="1163">
        <f t="shared" si="12"/>
        <v>400000</v>
      </c>
      <c r="M287" s="1164"/>
    </row>
    <row r="288" spans="1:13" ht="18.75" customHeight="1">
      <c r="A288" s="1154">
        <v>271</v>
      </c>
      <c r="B288" s="1155">
        <v>62</v>
      </c>
      <c r="C288" s="1156"/>
      <c r="D288" s="1156"/>
      <c r="E288" s="460" t="s">
        <v>185</v>
      </c>
      <c r="F288" s="1156" t="s">
        <v>15</v>
      </c>
      <c r="G288" s="1155" t="s">
        <v>536</v>
      </c>
      <c r="H288" s="1155" t="s">
        <v>536</v>
      </c>
      <c r="I288" s="1155" t="s">
        <v>536</v>
      </c>
      <c r="J288" s="1155" t="s">
        <v>536</v>
      </c>
      <c r="K288" s="1153">
        <f t="shared" si="11"/>
        <v>4</v>
      </c>
      <c r="L288" s="1163">
        <f t="shared" si="12"/>
        <v>400000</v>
      </c>
      <c r="M288" s="1164"/>
    </row>
    <row r="289" spans="1:13" ht="18.75" customHeight="1">
      <c r="A289" s="1154">
        <v>272</v>
      </c>
      <c r="B289" s="1155">
        <v>63</v>
      </c>
      <c r="C289" s="1156"/>
      <c r="D289" s="1156"/>
      <c r="E289" s="460" t="s">
        <v>186</v>
      </c>
      <c r="F289" s="1156" t="s">
        <v>15</v>
      </c>
      <c r="G289" s="1155" t="s">
        <v>536</v>
      </c>
      <c r="H289" s="1155" t="s">
        <v>536</v>
      </c>
      <c r="I289" s="1155" t="s">
        <v>536</v>
      </c>
      <c r="J289" s="1155" t="s">
        <v>536</v>
      </c>
      <c r="K289" s="1153">
        <f t="shared" si="11"/>
        <v>4</v>
      </c>
      <c r="L289" s="1163">
        <f t="shared" si="12"/>
        <v>400000</v>
      </c>
      <c r="M289" s="1164"/>
    </row>
    <row r="290" spans="1:13" ht="18.75" customHeight="1">
      <c r="A290" s="1154">
        <v>273</v>
      </c>
      <c r="B290" s="1155">
        <v>64</v>
      </c>
      <c r="C290" s="1156"/>
      <c r="D290" s="1156"/>
      <c r="E290" s="460" t="s">
        <v>187</v>
      </c>
      <c r="F290" s="1156" t="s">
        <v>15</v>
      </c>
      <c r="G290" s="1155" t="s">
        <v>536</v>
      </c>
      <c r="H290" s="1155" t="s">
        <v>536</v>
      </c>
      <c r="I290" s="1155" t="s">
        <v>536</v>
      </c>
      <c r="J290" s="1155" t="s">
        <v>536</v>
      </c>
      <c r="K290" s="1153">
        <f t="shared" si="11"/>
        <v>4</v>
      </c>
      <c r="L290" s="1163">
        <f t="shared" si="12"/>
        <v>400000</v>
      </c>
      <c r="M290" s="1164"/>
    </row>
    <row r="291" spans="1:13" ht="18.75" customHeight="1">
      <c r="A291" s="1154">
        <v>274</v>
      </c>
      <c r="B291" s="1155">
        <v>65</v>
      </c>
      <c r="C291" s="1156"/>
      <c r="D291" s="1156"/>
      <c r="E291" s="460" t="s">
        <v>188</v>
      </c>
      <c r="F291" s="1156" t="s">
        <v>15</v>
      </c>
      <c r="G291" s="1155" t="s">
        <v>536</v>
      </c>
      <c r="H291" s="1155" t="s">
        <v>536</v>
      </c>
      <c r="I291" s="1155" t="s">
        <v>536</v>
      </c>
      <c r="J291" s="1155" t="s">
        <v>536</v>
      </c>
      <c r="K291" s="1153">
        <f t="shared" ref="K291:K308" si="13">COUNTIF(G291:J291,"X")</f>
        <v>4</v>
      </c>
      <c r="L291" s="1163">
        <f t="shared" si="12"/>
        <v>400000</v>
      </c>
      <c r="M291" s="1164"/>
    </row>
    <row r="292" spans="1:13" ht="18.75" customHeight="1">
      <c r="A292" s="1154">
        <v>275</v>
      </c>
      <c r="B292" s="1155">
        <v>66</v>
      </c>
      <c r="C292" s="1156"/>
      <c r="D292" s="1156"/>
      <c r="E292" s="460" t="s">
        <v>189</v>
      </c>
      <c r="F292" s="1156" t="s">
        <v>15</v>
      </c>
      <c r="G292" s="1155" t="s">
        <v>536</v>
      </c>
      <c r="H292" s="1155" t="s">
        <v>536</v>
      </c>
      <c r="I292" s="1155" t="s">
        <v>536</v>
      </c>
      <c r="J292" s="1155" t="s">
        <v>536</v>
      </c>
      <c r="K292" s="1153">
        <f t="shared" si="13"/>
        <v>4</v>
      </c>
      <c r="L292" s="1163">
        <f t="shared" si="12"/>
        <v>400000</v>
      </c>
      <c r="M292" s="1164"/>
    </row>
    <row r="293" spans="1:13" ht="18.75" customHeight="1">
      <c r="A293" s="1154">
        <v>276</v>
      </c>
      <c r="B293" s="1155">
        <v>67</v>
      </c>
      <c r="C293" s="1156"/>
      <c r="D293" s="1156"/>
      <c r="E293" s="460" t="s">
        <v>190</v>
      </c>
      <c r="F293" s="1156" t="s">
        <v>15</v>
      </c>
      <c r="G293" s="1155" t="s">
        <v>536</v>
      </c>
      <c r="H293" s="1155" t="s">
        <v>536</v>
      </c>
      <c r="I293" s="1155" t="s">
        <v>536</v>
      </c>
      <c r="J293" s="1155" t="s">
        <v>536</v>
      </c>
      <c r="K293" s="1153">
        <f t="shared" si="13"/>
        <v>4</v>
      </c>
      <c r="L293" s="1163">
        <f t="shared" si="12"/>
        <v>400000</v>
      </c>
      <c r="M293" s="1164"/>
    </row>
    <row r="294" spans="1:13" ht="18.75" customHeight="1">
      <c r="A294" s="1154">
        <v>277</v>
      </c>
      <c r="B294" s="1155">
        <v>68</v>
      </c>
      <c r="C294" s="1156"/>
      <c r="D294" s="1156"/>
      <c r="E294" s="460" t="s">
        <v>191</v>
      </c>
      <c r="F294" s="1156" t="s">
        <v>15</v>
      </c>
      <c r="G294" s="1155" t="s">
        <v>536</v>
      </c>
      <c r="H294" s="1155" t="s">
        <v>536</v>
      </c>
      <c r="I294" s="1155" t="s">
        <v>536</v>
      </c>
      <c r="J294" s="1155" t="s">
        <v>536</v>
      </c>
      <c r="K294" s="1153">
        <f t="shared" si="13"/>
        <v>4</v>
      </c>
      <c r="L294" s="1163">
        <f t="shared" si="12"/>
        <v>400000</v>
      </c>
      <c r="M294" s="1164"/>
    </row>
    <row r="295" spans="1:13" ht="18.75" customHeight="1">
      <c r="A295" s="1154">
        <v>278</v>
      </c>
      <c r="B295" s="1155">
        <v>69</v>
      </c>
      <c r="C295" s="1156"/>
      <c r="D295" s="1156"/>
      <c r="E295" s="460" t="s">
        <v>575</v>
      </c>
      <c r="F295" s="1156" t="s">
        <v>15</v>
      </c>
      <c r="G295" s="1155" t="s">
        <v>536</v>
      </c>
      <c r="H295" s="1155" t="s">
        <v>536</v>
      </c>
      <c r="I295" s="1155" t="s">
        <v>536</v>
      </c>
      <c r="J295" s="1155" t="s">
        <v>536</v>
      </c>
      <c r="K295" s="1153">
        <f t="shared" si="13"/>
        <v>4</v>
      </c>
      <c r="L295" s="1163">
        <f t="shared" si="12"/>
        <v>400000</v>
      </c>
      <c r="M295" s="1164"/>
    </row>
    <row r="296" spans="1:13" ht="18.75" customHeight="1">
      <c r="A296" s="1154">
        <v>279</v>
      </c>
      <c r="B296" s="1155">
        <v>70</v>
      </c>
      <c r="C296" s="1156"/>
      <c r="D296" s="1156"/>
      <c r="E296" s="460" t="s">
        <v>449</v>
      </c>
      <c r="F296" s="1156" t="s">
        <v>15</v>
      </c>
      <c r="G296" s="1155" t="s">
        <v>536</v>
      </c>
      <c r="H296" s="1155" t="s">
        <v>536</v>
      </c>
      <c r="I296" s="1155" t="s">
        <v>536</v>
      </c>
      <c r="J296" s="1155" t="s">
        <v>536</v>
      </c>
      <c r="K296" s="1153">
        <f t="shared" si="13"/>
        <v>4</v>
      </c>
      <c r="L296" s="1163">
        <f t="shared" si="12"/>
        <v>400000</v>
      </c>
      <c r="M296" s="1164"/>
    </row>
    <row r="297" spans="1:13" ht="18.75" customHeight="1">
      <c r="A297" s="1154">
        <v>280</v>
      </c>
      <c r="B297" s="1155">
        <v>71</v>
      </c>
      <c r="C297" s="1156"/>
      <c r="D297" s="1156"/>
      <c r="E297" s="460" t="s">
        <v>194</v>
      </c>
      <c r="F297" s="1156" t="s">
        <v>15</v>
      </c>
      <c r="G297" s="1155" t="s">
        <v>536</v>
      </c>
      <c r="H297" s="1155" t="s">
        <v>536</v>
      </c>
      <c r="I297" s="1155" t="s">
        <v>536</v>
      </c>
      <c r="J297" s="1155" t="s">
        <v>536</v>
      </c>
      <c r="K297" s="1153">
        <f t="shared" si="13"/>
        <v>4</v>
      </c>
      <c r="L297" s="1163">
        <f t="shared" si="12"/>
        <v>400000</v>
      </c>
      <c r="M297" s="1164"/>
    </row>
    <row r="298" spans="1:13" ht="18.75" customHeight="1">
      <c r="A298" s="1154">
        <v>281</v>
      </c>
      <c r="B298" s="1155">
        <v>72</v>
      </c>
      <c r="C298" s="1156"/>
      <c r="D298" s="1156"/>
      <c r="E298" s="460" t="s">
        <v>195</v>
      </c>
      <c r="F298" s="1156" t="s">
        <v>15</v>
      </c>
      <c r="G298" s="1155" t="s">
        <v>536</v>
      </c>
      <c r="H298" s="1155" t="s">
        <v>536</v>
      </c>
      <c r="I298" s="1155" t="s">
        <v>536</v>
      </c>
      <c r="J298" s="1155" t="s">
        <v>536</v>
      </c>
      <c r="K298" s="1153">
        <f t="shared" si="13"/>
        <v>4</v>
      </c>
      <c r="L298" s="1163">
        <f t="shared" si="12"/>
        <v>400000</v>
      </c>
      <c r="M298" s="1164"/>
    </row>
    <row r="299" spans="1:13" ht="18.75" customHeight="1">
      <c r="A299" s="1154">
        <v>282</v>
      </c>
      <c r="B299" s="1155">
        <v>73</v>
      </c>
      <c r="C299" s="1156"/>
      <c r="D299" s="1156"/>
      <c r="E299" s="460" t="s">
        <v>576</v>
      </c>
      <c r="F299" s="1156" t="s">
        <v>15</v>
      </c>
      <c r="G299" s="1155" t="s">
        <v>536</v>
      </c>
      <c r="H299" s="1155" t="s">
        <v>536</v>
      </c>
      <c r="I299" s="1155" t="s">
        <v>536</v>
      </c>
      <c r="J299" s="1155" t="s">
        <v>536</v>
      </c>
      <c r="K299" s="1153">
        <f t="shared" si="13"/>
        <v>4</v>
      </c>
      <c r="L299" s="1163">
        <f t="shared" si="12"/>
        <v>400000</v>
      </c>
      <c r="M299" s="1164"/>
    </row>
    <row r="300" spans="1:13" ht="18.75" customHeight="1">
      <c r="A300" s="1154">
        <v>283</v>
      </c>
      <c r="B300" s="1155">
        <v>74</v>
      </c>
      <c r="C300" s="1156"/>
      <c r="D300" s="1156"/>
      <c r="E300" s="460" t="s">
        <v>197</v>
      </c>
      <c r="F300" s="1156" t="s">
        <v>15</v>
      </c>
      <c r="G300" s="1155" t="s">
        <v>536</v>
      </c>
      <c r="H300" s="1155" t="s">
        <v>536</v>
      </c>
      <c r="I300" s="1155" t="s">
        <v>536</v>
      </c>
      <c r="J300" s="1155" t="s">
        <v>536</v>
      </c>
      <c r="K300" s="1153">
        <f t="shared" si="13"/>
        <v>4</v>
      </c>
      <c r="L300" s="1163">
        <f t="shared" si="12"/>
        <v>400000</v>
      </c>
      <c r="M300" s="1164"/>
    </row>
    <row r="301" spans="1:13" ht="18.75" customHeight="1">
      <c r="A301" s="1154">
        <v>284</v>
      </c>
      <c r="B301" s="1155">
        <v>75</v>
      </c>
      <c r="C301" s="1156"/>
      <c r="D301" s="1156"/>
      <c r="E301" s="460" t="s">
        <v>198</v>
      </c>
      <c r="F301" s="1156" t="s">
        <v>15</v>
      </c>
      <c r="G301" s="1155" t="s">
        <v>536</v>
      </c>
      <c r="H301" s="1155" t="s">
        <v>536</v>
      </c>
      <c r="I301" s="1155" t="s">
        <v>536</v>
      </c>
      <c r="J301" s="1155" t="s">
        <v>536</v>
      </c>
      <c r="K301" s="1153">
        <f t="shared" si="13"/>
        <v>4</v>
      </c>
      <c r="L301" s="1163">
        <f t="shared" si="12"/>
        <v>400000</v>
      </c>
      <c r="M301" s="1164"/>
    </row>
    <row r="302" spans="1:13" ht="18.75" customHeight="1">
      <c r="A302" s="1154">
        <v>285</v>
      </c>
      <c r="B302" s="1155">
        <v>76</v>
      </c>
      <c r="C302" s="1156"/>
      <c r="D302" s="1156"/>
      <c r="E302" s="460" t="s">
        <v>199</v>
      </c>
      <c r="F302" s="1156" t="s">
        <v>15</v>
      </c>
      <c r="G302" s="1155" t="s">
        <v>536</v>
      </c>
      <c r="H302" s="1155" t="s">
        <v>536</v>
      </c>
      <c r="I302" s="1155" t="s">
        <v>536</v>
      </c>
      <c r="J302" s="1155" t="s">
        <v>536</v>
      </c>
      <c r="K302" s="1153">
        <f t="shared" si="13"/>
        <v>4</v>
      </c>
      <c r="L302" s="1163">
        <f t="shared" si="12"/>
        <v>400000</v>
      </c>
      <c r="M302" s="1164"/>
    </row>
    <row r="303" spans="1:13" ht="18.75" customHeight="1">
      <c r="A303" s="1154">
        <v>286</v>
      </c>
      <c r="B303" s="1155">
        <v>77</v>
      </c>
      <c r="C303" s="1156"/>
      <c r="D303" s="1156"/>
      <c r="E303" s="460" t="s">
        <v>200</v>
      </c>
      <c r="F303" s="1156" t="s">
        <v>15</v>
      </c>
      <c r="G303" s="1155" t="s">
        <v>536</v>
      </c>
      <c r="H303" s="1155" t="s">
        <v>536</v>
      </c>
      <c r="I303" s="1155" t="s">
        <v>536</v>
      </c>
      <c r="J303" s="1155" t="s">
        <v>536</v>
      </c>
      <c r="K303" s="1153">
        <f t="shared" si="13"/>
        <v>4</v>
      </c>
      <c r="L303" s="1163">
        <f t="shared" si="12"/>
        <v>400000</v>
      </c>
      <c r="M303" s="1164"/>
    </row>
    <row r="304" spans="1:13" ht="18.75" customHeight="1">
      <c r="A304" s="1154">
        <v>287</v>
      </c>
      <c r="B304" s="1155">
        <v>78</v>
      </c>
      <c r="C304" s="1156"/>
      <c r="D304" s="1156"/>
      <c r="E304" s="460" t="s">
        <v>577</v>
      </c>
      <c r="F304" s="1156" t="s">
        <v>15</v>
      </c>
      <c r="G304" s="1155" t="s">
        <v>536</v>
      </c>
      <c r="H304" s="1155" t="s">
        <v>536</v>
      </c>
      <c r="I304" s="1155" t="s">
        <v>536</v>
      </c>
      <c r="J304" s="1155" t="s">
        <v>536</v>
      </c>
      <c r="K304" s="1153">
        <f t="shared" si="13"/>
        <v>4</v>
      </c>
      <c r="L304" s="1163">
        <f t="shared" si="12"/>
        <v>400000</v>
      </c>
      <c r="M304" s="1164"/>
    </row>
    <row r="305" spans="1:13" ht="18.75" customHeight="1">
      <c r="A305" s="1154">
        <v>288</v>
      </c>
      <c r="B305" s="1155">
        <v>79</v>
      </c>
      <c r="C305" s="1156"/>
      <c r="D305" s="1156"/>
      <c r="E305" s="460" t="s">
        <v>578</v>
      </c>
      <c r="F305" s="1156" t="s">
        <v>15</v>
      </c>
      <c r="G305" s="1155" t="s">
        <v>536</v>
      </c>
      <c r="H305" s="1155" t="s">
        <v>536</v>
      </c>
      <c r="I305" s="1155" t="s">
        <v>536</v>
      </c>
      <c r="J305" s="1155" t="s">
        <v>536</v>
      </c>
      <c r="K305" s="1153">
        <f t="shared" si="13"/>
        <v>4</v>
      </c>
      <c r="L305" s="1163">
        <f t="shared" ref="L305:L368" si="14">K305*100000</f>
        <v>400000</v>
      </c>
      <c r="M305" s="1164"/>
    </row>
    <row r="306" spans="1:13" ht="18.75" customHeight="1">
      <c r="A306" s="1154">
        <v>289</v>
      </c>
      <c r="B306" s="1155">
        <v>80</v>
      </c>
      <c r="C306" s="1156"/>
      <c r="D306" s="1156"/>
      <c r="E306" s="460" t="s">
        <v>203</v>
      </c>
      <c r="F306" s="1156" t="s">
        <v>15</v>
      </c>
      <c r="G306" s="1155" t="s">
        <v>536</v>
      </c>
      <c r="H306" s="1155" t="s">
        <v>536</v>
      </c>
      <c r="I306" s="1155" t="s">
        <v>536</v>
      </c>
      <c r="J306" s="1155" t="s">
        <v>536</v>
      </c>
      <c r="K306" s="1153">
        <f t="shared" si="13"/>
        <v>4</v>
      </c>
      <c r="L306" s="1163">
        <f t="shared" si="14"/>
        <v>400000</v>
      </c>
      <c r="M306" s="1164"/>
    </row>
    <row r="307" spans="1:13" ht="18.75" customHeight="1">
      <c r="A307" s="1154">
        <v>290</v>
      </c>
      <c r="B307" s="1155">
        <v>81</v>
      </c>
      <c r="C307" s="1156"/>
      <c r="D307" s="1156"/>
      <c r="E307" s="460" t="s">
        <v>579</v>
      </c>
      <c r="F307" s="1156" t="s">
        <v>15</v>
      </c>
      <c r="G307" s="1155" t="s">
        <v>536</v>
      </c>
      <c r="H307" s="1155"/>
      <c r="I307" s="1155" t="s">
        <v>536</v>
      </c>
      <c r="J307" s="1155" t="s">
        <v>536</v>
      </c>
      <c r="K307" s="1153">
        <f t="shared" si="13"/>
        <v>3</v>
      </c>
      <c r="L307" s="1163">
        <f t="shared" si="14"/>
        <v>300000</v>
      </c>
      <c r="M307" s="1164"/>
    </row>
    <row r="308" spans="1:13" ht="18.75" customHeight="1">
      <c r="A308" s="1154">
        <v>291</v>
      </c>
      <c r="B308" s="1155">
        <v>82</v>
      </c>
      <c r="C308" s="1156"/>
      <c r="D308" s="1156"/>
      <c r="E308" s="460" t="s">
        <v>205</v>
      </c>
      <c r="F308" s="1156" t="s">
        <v>15</v>
      </c>
      <c r="G308" s="1155" t="s">
        <v>536</v>
      </c>
      <c r="H308" s="1155"/>
      <c r="I308" s="1155" t="s">
        <v>536</v>
      </c>
      <c r="J308" s="1155" t="s">
        <v>536</v>
      </c>
      <c r="K308" s="1153">
        <f t="shared" si="13"/>
        <v>3</v>
      </c>
      <c r="L308" s="1163">
        <f t="shared" si="14"/>
        <v>300000</v>
      </c>
      <c r="M308" s="1164"/>
    </row>
    <row r="309" spans="1:13" ht="18.75" customHeight="1">
      <c r="A309" s="2378" t="s">
        <v>522</v>
      </c>
      <c r="B309" s="2379"/>
      <c r="C309" s="2379"/>
      <c r="D309" s="2379"/>
      <c r="E309" s="2379"/>
      <c r="F309" s="2380"/>
      <c r="G309" s="1153">
        <f>COUNTIF(G310:G378,"X")</f>
        <v>69</v>
      </c>
      <c r="H309" s="1153">
        <f>COUNTIF(H310:H378,"X")</f>
        <v>69</v>
      </c>
      <c r="I309" s="1153">
        <f>COUNTIF(I310:I378,"X")</f>
        <v>69</v>
      </c>
      <c r="J309" s="1153">
        <f>COUNTIF(J310:J378,"X")</f>
        <v>69</v>
      </c>
      <c r="K309" s="1153">
        <f>SUM(K310:K378)</f>
        <v>276</v>
      </c>
      <c r="L309" s="1167">
        <f>SUM(L310:L378)</f>
        <v>27600000</v>
      </c>
      <c r="M309" s="1164"/>
    </row>
    <row r="310" spans="1:13" ht="18.75" customHeight="1">
      <c r="A310" s="1154">
        <v>292</v>
      </c>
      <c r="B310" s="1155">
        <v>1</v>
      </c>
      <c r="C310" s="1156"/>
      <c r="D310" s="1156"/>
      <c r="E310" s="460" t="s">
        <v>580</v>
      </c>
      <c r="F310" s="1156" t="s">
        <v>15</v>
      </c>
      <c r="G310" s="1155" t="s">
        <v>536</v>
      </c>
      <c r="H310" s="1155" t="s">
        <v>536</v>
      </c>
      <c r="I310" s="1155" t="s">
        <v>536</v>
      </c>
      <c r="J310" s="1155" t="s">
        <v>536</v>
      </c>
      <c r="K310" s="1153">
        <f t="shared" ref="K310:K373" si="15">COUNTIF(G310:J310,"X")</f>
        <v>4</v>
      </c>
      <c r="L310" s="1163">
        <f t="shared" si="14"/>
        <v>400000</v>
      </c>
      <c r="M310" s="1164"/>
    </row>
    <row r="311" spans="1:13" ht="18.75" customHeight="1">
      <c r="A311" s="1154">
        <v>293</v>
      </c>
      <c r="B311" s="1155">
        <v>2</v>
      </c>
      <c r="C311" s="1156"/>
      <c r="D311" s="1156"/>
      <c r="E311" s="460" t="s">
        <v>207</v>
      </c>
      <c r="F311" s="1156" t="s">
        <v>15</v>
      </c>
      <c r="G311" s="1155" t="s">
        <v>536</v>
      </c>
      <c r="H311" s="1155" t="s">
        <v>536</v>
      </c>
      <c r="I311" s="1155" t="s">
        <v>536</v>
      </c>
      <c r="J311" s="1155" t="s">
        <v>536</v>
      </c>
      <c r="K311" s="1153">
        <f t="shared" si="15"/>
        <v>4</v>
      </c>
      <c r="L311" s="1163">
        <f t="shared" si="14"/>
        <v>400000</v>
      </c>
      <c r="M311" s="1164"/>
    </row>
    <row r="312" spans="1:13" ht="18.75" customHeight="1">
      <c r="A312" s="1154">
        <v>294</v>
      </c>
      <c r="B312" s="1155">
        <v>3</v>
      </c>
      <c r="C312" s="1156"/>
      <c r="D312" s="1156"/>
      <c r="E312" s="460" t="s">
        <v>208</v>
      </c>
      <c r="F312" s="1156" t="s">
        <v>15</v>
      </c>
      <c r="G312" s="1155" t="s">
        <v>536</v>
      </c>
      <c r="H312" s="1155" t="s">
        <v>536</v>
      </c>
      <c r="I312" s="1155" t="s">
        <v>536</v>
      </c>
      <c r="J312" s="1155" t="s">
        <v>536</v>
      </c>
      <c r="K312" s="1153">
        <f t="shared" si="15"/>
        <v>4</v>
      </c>
      <c r="L312" s="1163">
        <f t="shared" si="14"/>
        <v>400000</v>
      </c>
      <c r="M312" s="1164"/>
    </row>
    <row r="313" spans="1:13" ht="18.75" customHeight="1">
      <c r="A313" s="1154">
        <v>295</v>
      </c>
      <c r="B313" s="1155">
        <v>4</v>
      </c>
      <c r="C313" s="1156"/>
      <c r="D313" s="1156"/>
      <c r="E313" s="460" t="s">
        <v>209</v>
      </c>
      <c r="F313" s="1156" t="s">
        <v>15</v>
      </c>
      <c r="G313" s="1155" t="s">
        <v>536</v>
      </c>
      <c r="H313" s="1155" t="s">
        <v>536</v>
      </c>
      <c r="I313" s="1155" t="s">
        <v>536</v>
      </c>
      <c r="J313" s="1155" t="s">
        <v>536</v>
      </c>
      <c r="K313" s="1153">
        <f t="shared" si="15"/>
        <v>4</v>
      </c>
      <c r="L313" s="1163">
        <f t="shared" si="14"/>
        <v>400000</v>
      </c>
      <c r="M313" s="1164"/>
    </row>
    <row r="314" spans="1:13" ht="18.75" customHeight="1">
      <c r="A314" s="1154">
        <v>296</v>
      </c>
      <c r="B314" s="1155">
        <v>5</v>
      </c>
      <c r="C314" s="1156"/>
      <c r="D314" s="1156"/>
      <c r="E314" s="460" t="s">
        <v>210</v>
      </c>
      <c r="F314" s="1156" t="s">
        <v>15</v>
      </c>
      <c r="G314" s="1155" t="s">
        <v>536</v>
      </c>
      <c r="H314" s="1155" t="s">
        <v>536</v>
      </c>
      <c r="I314" s="1155" t="s">
        <v>536</v>
      </c>
      <c r="J314" s="1155" t="s">
        <v>536</v>
      </c>
      <c r="K314" s="1153">
        <f t="shared" si="15"/>
        <v>4</v>
      </c>
      <c r="L314" s="1163">
        <f t="shared" si="14"/>
        <v>400000</v>
      </c>
      <c r="M314" s="1164"/>
    </row>
    <row r="315" spans="1:13" ht="18.75" customHeight="1">
      <c r="A315" s="1154">
        <v>297</v>
      </c>
      <c r="B315" s="1155">
        <v>6</v>
      </c>
      <c r="C315" s="1156"/>
      <c r="D315" s="1156"/>
      <c r="E315" s="460" t="s">
        <v>559</v>
      </c>
      <c r="F315" s="1156" t="s">
        <v>15</v>
      </c>
      <c r="G315" s="1155" t="s">
        <v>536</v>
      </c>
      <c r="H315" s="1155" t="s">
        <v>536</v>
      </c>
      <c r="I315" s="1155" t="s">
        <v>536</v>
      </c>
      <c r="J315" s="1155" t="s">
        <v>536</v>
      </c>
      <c r="K315" s="1153">
        <f t="shared" si="15"/>
        <v>4</v>
      </c>
      <c r="L315" s="1163">
        <f t="shared" si="14"/>
        <v>400000</v>
      </c>
      <c r="M315" s="1164"/>
    </row>
    <row r="316" spans="1:13" ht="18.75" customHeight="1">
      <c r="A316" s="1154">
        <v>298</v>
      </c>
      <c r="B316" s="1155">
        <v>7</v>
      </c>
      <c r="C316" s="1156"/>
      <c r="D316" s="1156"/>
      <c r="E316" s="460" t="s">
        <v>212</v>
      </c>
      <c r="F316" s="1156" t="s">
        <v>15</v>
      </c>
      <c r="G316" s="1155" t="s">
        <v>536</v>
      </c>
      <c r="H316" s="1155" t="s">
        <v>536</v>
      </c>
      <c r="I316" s="1155" t="s">
        <v>536</v>
      </c>
      <c r="J316" s="1155" t="s">
        <v>536</v>
      </c>
      <c r="K316" s="1153">
        <f t="shared" si="15"/>
        <v>4</v>
      </c>
      <c r="L316" s="1163">
        <f t="shared" si="14"/>
        <v>400000</v>
      </c>
      <c r="M316" s="1164"/>
    </row>
    <row r="317" spans="1:13" ht="18.75" customHeight="1">
      <c r="A317" s="1154">
        <v>299</v>
      </c>
      <c r="B317" s="1155">
        <v>8</v>
      </c>
      <c r="C317" s="1156"/>
      <c r="D317" s="1156"/>
      <c r="E317" s="460" t="s">
        <v>213</v>
      </c>
      <c r="F317" s="1156" t="s">
        <v>15</v>
      </c>
      <c r="G317" s="1155" t="s">
        <v>536</v>
      </c>
      <c r="H317" s="1155" t="s">
        <v>536</v>
      </c>
      <c r="I317" s="1155" t="s">
        <v>536</v>
      </c>
      <c r="J317" s="1155" t="s">
        <v>536</v>
      </c>
      <c r="K317" s="1153">
        <f t="shared" si="15"/>
        <v>4</v>
      </c>
      <c r="L317" s="1163">
        <f t="shared" si="14"/>
        <v>400000</v>
      </c>
      <c r="M317" s="1164"/>
    </row>
    <row r="318" spans="1:13" ht="18.75" customHeight="1">
      <c r="A318" s="1154">
        <v>300</v>
      </c>
      <c r="B318" s="1155">
        <v>9</v>
      </c>
      <c r="C318" s="1156"/>
      <c r="D318" s="1156"/>
      <c r="E318" s="460" t="s">
        <v>214</v>
      </c>
      <c r="F318" s="1156" t="s">
        <v>15</v>
      </c>
      <c r="G318" s="1155" t="s">
        <v>536</v>
      </c>
      <c r="H318" s="1155" t="s">
        <v>536</v>
      </c>
      <c r="I318" s="1155" t="s">
        <v>536</v>
      </c>
      <c r="J318" s="1155" t="s">
        <v>536</v>
      </c>
      <c r="K318" s="1153">
        <f t="shared" si="15"/>
        <v>4</v>
      </c>
      <c r="L318" s="1163">
        <f t="shared" si="14"/>
        <v>400000</v>
      </c>
      <c r="M318" s="1164"/>
    </row>
    <row r="319" spans="1:13" ht="18.75" customHeight="1">
      <c r="A319" s="1154">
        <v>301</v>
      </c>
      <c r="B319" s="1155">
        <v>10</v>
      </c>
      <c r="C319" s="1156"/>
      <c r="D319" s="1156"/>
      <c r="E319" s="460" t="s">
        <v>215</v>
      </c>
      <c r="F319" s="1156" t="s">
        <v>15</v>
      </c>
      <c r="G319" s="1155" t="s">
        <v>536</v>
      </c>
      <c r="H319" s="1155" t="s">
        <v>536</v>
      </c>
      <c r="I319" s="1155" t="s">
        <v>536</v>
      </c>
      <c r="J319" s="1155" t="s">
        <v>536</v>
      </c>
      <c r="K319" s="1153">
        <f t="shared" si="15"/>
        <v>4</v>
      </c>
      <c r="L319" s="1163">
        <f t="shared" si="14"/>
        <v>400000</v>
      </c>
      <c r="M319" s="1164"/>
    </row>
    <row r="320" spans="1:13" ht="18.75" customHeight="1">
      <c r="A320" s="1154">
        <v>302</v>
      </c>
      <c r="B320" s="1155">
        <v>11</v>
      </c>
      <c r="C320" s="1156"/>
      <c r="D320" s="1156"/>
      <c r="E320" s="460" t="s">
        <v>581</v>
      </c>
      <c r="F320" s="1156" t="s">
        <v>15</v>
      </c>
      <c r="G320" s="1155" t="s">
        <v>536</v>
      </c>
      <c r="H320" s="1155" t="s">
        <v>536</v>
      </c>
      <c r="I320" s="1155" t="s">
        <v>536</v>
      </c>
      <c r="J320" s="1155" t="s">
        <v>536</v>
      </c>
      <c r="K320" s="1153">
        <f t="shared" si="15"/>
        <v>4</v>
      </c>
      <c r="L320" s="1163">
        <f t="shared" si="14"/>
        <v>400000</v>
      </c>
      <c r="M320" s="1164"/>
    </row>
    <row r="321" spans="1:13" ht="18.75" customHeight="1">
      <c r="A321" s="1154">
        <v>303</v>
      </c>
      <c r="B321" s="1155">
        <v>12</v>
      </c>
      <c r="C321" s="1156"/>
      <c r="D321" s="1156"/>
      <c r="E321" s="460" t="s">
        <v>217</v>
      </c>
      <c r="F321" s="1156" t="s">
        <v>15</v>
      </c>
      <c r="G321" s="1155" t="s">
        <v>536</v>
      </c>
      <c r="H321" s="1155" t="s">
        <v>536</v>
      </c>
      <c r="I321" s="1155" t="s">
        <v>536</v>
      </c>
      <c r="J321" s="1155" t="s">
        <v>536</v>
      </c>
      <c r="K321" s="1153">
        <f t="shared" si="15"/>
        <v>4</v>
      </c>
      <c r="L321" s="1163">
        <f t="shared" si="14"/>
        <v>400000</v>
      </c>
      <c r="M321" s="1164"/>
    </row>
    <row r="322" spans="1:13" ht="18.75" customHeight="1">
      <c r="A322" s="1154">
        <v>304</v>
      </c>
      <c r="B322" s="1155">
        <v>13</v>
      </c>
      <c r="C322" s="1156"/>
      <c r="D322" s="1156"/>
      <c r="E322" s="460" t="s">
        <v>218</v>
      </c>
      <c r="F322" s="1156" t="s">
        <v>15</v>
      </c>
      <c r="G322" s="1155" t="s">
        <v>536</v>
      </c>
      <c r="H322" s="1155" t="s">
        <v>536</v>
      </c>
      <c r="I322" s="1155" t="s">
        <v>536</v>
      </c>
      <c r="J322" s="1155" t="s">
        <v>536</v>
      </c>
      <c r="K322" s="1153">
        <f t="shared" si="15"/>
        <v>4</v>
      </c>
      <c r="L322" s="1163">
        <f t="shared" si="14"/>
        <v>400000</v>
      </c>
      <c r="M322" s="1164"/>
    </row>
    <row r="323" spans="1:13" ht="18.75" customHeight="1">
      <c r="A323" s="1154">
        <v>305</v>
      </c>
      <c r="B323" s="1155">
        <v>14</v>
      </c>
      <c r="C323" s="1156"/>
      <c r="D323" s="1156"/>
      <c r="E323" s="460" t="s">
        <v>219</v>
      </c>
      <c r="F323" s="1156" t="s">
        <v>15</v>
      </c>
      <c r="G323" s="1155" t="s">
        <v>536</v>
      </c>
      <c r="H323" s="1155" t="s">
        <v>536</v>
      </c>
      <c r="I323" s="1155" t="s">
        <v>536</v>
      </c>
      <c r="J323" s="1155" t="s">
        <v>536</v>
      </c>
      <c r="K323" s="1153">
        <f t="shared" si="15"/>
        <v>4</v>
      </c>
      <c r="L323" s="1163">
        <f t="shared" si="14"/>
        <v>400000</v>
      </c>
      <c r="M323" s="1164"/>
    </row>
    <row r="324" spans="1:13" ht="18.75" customHeight="1">
      <c r="A324" s="1154">
        <v>306</v>
      </c>
      <c r="B324" s="1155">
        <v>15</v>
      </c>
      <c r="C324" s="1156"/>
      <c r="D324" s="1156"/>
      <c r="E324" s="460" t="s">
        <v>220</v>
      </c>
      <c r="F324" s="1156" t="s">
        <v>15</v>
      </c>
      <c r="G324" s="1155" t="s">
        <v>536</v>
      </c>
      <c r="H324" s="1155" t="s">
        <v>536</v>
      </c>
      <c r="I324" s="1155" t="s">
        <v>536</v>
      </c>
      <c r="J324" s="1155" t="s">
        <v>536</v>
      </c>
      <c r="K324" s="1153">
        <f t="shared" si="15"/>
        <v>4</v>
      </c>
      <c r="L324" s="1163">
        <f t="shared" si="14"/>
        <v>400000</v>
      </c>
      <c r="M324" s="1164"/>
    </row>
    <row r="325" spans="1:13" ht="18.75" customHeight="1">
      <c r="A325" s="1154">
        <v>307</v>
      </c>
      <c r="B325" s="1155">
        <v>16</v>
      </c>
      <c r="C325" s="1156"/>
      <c r="D325" s="1156"/>
      <c r="E325" s="460" t="s">
        <v>221</v>
      </c>
      <c r="F325" s="1156" t="s">
        <v>15</v>
      </c>
      <c r="G325" s="1155" t="s">
        <v>536</v>
      </c>
      <c r="H325" s="1155" t="s">
        <v>536</v>
      </c>
      <c r="I325" s="1155" t="s">
        <v>536</v>
      </c>
      <c r="J325" s="1155" t="s">
        <v>536</v>
      </c>
      <c r="K325" s="1153">
        <f t="shared" si="15"/>
        <v>4</v>
      </c>
      <c r="L325" s="1163">
        <f t="shared" si="14"/>
        <v>400000</v>
      </c>
      <c r="M325" s="1164"/>
    </row>
    <row r="326" spans="1:13" ht="18.75" customHeight="1">
      <c r="A326" s="1154">
        <v>308</v>
      </c>
      <c r="B326" s="1155">
        <v>17</v>
      </c>
      <c r="C326" s="1156"/>
      <c r="D326" s="1156"/>
      <c r="E326" s="460" t="s">
        <v>222</v>
      </c>
      <c r="F326" s="1156" t="s">
        <v>15</v>
      </c>
      <c r="G326" s="1155" t="s">
        <v>536</v>
      </c>
      <c r="H326" s="1155" t="s">
        <v>536</v>
      </c>
      <c r="I326" s="1155" t="s">
        <v>536</v>
      </c>
      <c r="J326" s="1155" t="s">
        <v>536</v>
      </c>
      <c r="K326" s="1153">
        <f t="shared" si="15"/>
        <v>4</v>
      </c>
      <c r="L326" s="1163">
        <f t="shared" si="14"/>
        <v>400000</v>
      </c>
      <c r="M326" s="1164"/>
    </row>
    <row r="327" spans="1:13" ht="18.75" customHeight="1">
      <c r="A327" s="1154">
        <v>309</v>
      </c>
      <c r="B327" s="1155">
        <v>18</v>
      </c>
      <c r="C327" s="1156"/>
      <c r="D327" s="1156"/>
      <c r="E327" s="460" t="s">
        <v>582</v>
      </c>
      <c r="F327" s="1156" t="s">
        <v>15</v>
      </c>
      <c r="G327" s="1155" t="s">
        <v>536</v>
      </c>
      <c r="H327" s="1155" t="s">
        <v>536</v>
      </c>
      <c r="I327" s="1155" t="s">
        <v>536</v>
      </c>
      <c r="J327" s="1155" t="s">
        <v>536</v>
      </c>
      <c r="K327" s="1153">
        <f t="shared" si="15"/>
        <v>4</v>
      </c>
      <c r="L327" s="1163">
        <f t="shared" si="14"/>
        <v>400000</v>
      </c>
      <c r="M327" s="1164"/>
    </row>
    <row r="328" spans="1:13" ht="18.75" customHeight="1">
      <c r="A328" s="1154">
        <v>310</v>
      </c>
      <c r="B328" s="1155">
        <v>19</v>
      </c>
      <c r="C328" s="1156"/>
      <c r="D328" s="1156"/>
      <c r="E328" s="460" t="s">
        <v>224</v>
      </c>
      <c r="F328" s="1156" t="s">
        <v>15</v>
      </c>
      <c r="G328" s="1155" t="s">
        <v>536</v>
      </c>
      <c r="H328" s="1155" t="s">
        <v>536</v>
      </c>
      <c r="I328" s="1155" t="s">
        <v>536</v>
      </c>
      <c r="J328" s="1155" t="s">
        <v>536</v>
      </c>
      <c r="K328" s="1153">
        <f t="shared" si="15"/>
        <v>4</v>
      </c>
      <c r="L328" s="1163">
        <f t="shared" si="14"/>
        <v>400000</v>
      </c>
      <c r="M328" s="1164"/>
    </row>
    <row r="329" spans="1:13" ht="18.75" customHeight="1">
      <c r="A329" s="1154">
        <v>311</v>
      </c>
      <c r="B329" s="1155">
        <v>20</v>
      </c>
      <c r="C329" s="1156"/>
      <c r="D329" s="1156"/>
      <c r="E329" s="460" t="s">
        <v>225</v>
      </c>
      <c r="F329" s="1156" t="s">
        <v>15</v>
      </c>
      <c r="G329" s="1155" t="s">
        <v>536</v>
      </c>
      <c r="H329" s="1155" t="s">
        <v>536</v>
      </c>
      <c r="I329" s="1155" t="s">
        <v>536</v>
      </c>
      <c r="J329" s="1155" t="s">
        <v>536</v>
      </c>
      <c r="K329" s="1153">
        <f t="shared" si="15"/>
        <v>4</v>
      </c>
      <c r="L329" s="1163">
        <f t="shared" si="14"/>
        <v>400000</v>
      </c>
      <c r="M329" s="1164"/>
    </row>
    <row r="330" spans="1:13" ht="18.75" customHeight="1">
      <c r="A330" s="1154">
        <v>312</v>
      </c>
      <c r="B330" s="1155">
        <v>21</v>
      </c>
      <c r="C330" s="1156"/>
      <c r="D330" s="1156"/>
      <c r="E330" s="460" t="s">
        <v>226</v>
      </c>
      <c r="F330" s="1156" t="s">
        <v>15</v>
      </c>
      <c r="G330" s="1155" t="s">
        <v>536</v>
      </c>
      <c r="H330" s="1155" t="s">
        <v>536</v>
      </c>
      <c r="I330" s="1155" t="s">
        <v>536</v>
      </c>
      <c r="J330" s="1155" t="s">
        <v>536</v>
      </c>
      <c r="K330" s="1153">
        <f t="shared" si="15"/>
        <v>4</v>
      </c>
      <c r="L330" s="1163">
        <f t="shared" si="14"/>
        <v>400000</v>
      </c>
      <c r="M330" s="1164"/>
    </row>
    <row r="331" spans="1:13" ht="18.75" customHeight="1">
      <c r="A331" s="1154">
        <v>313</v>
      </c>
      <c r="B331" s="1155">
        <v>22</v>
      </c>
      <c r="C331" s="1156"/>
      <c r="D331" s="1156"/>
      <c r="E331" s="460" t="s">
        <v>408</v>
      </c>
      <c r="F331" s="1156" t="s">
        <v>15</v>
      </c>
      <c r="G331" s="1155" t="s">
        <v>536</v>
      </c>
      <c r="H331" s="1155" t="s">
        <v>536</v>
      </c>
      <c r="I331" s="1155" t="s">
        <v>536</v>
      </c>
      <c r="J331" s="1155" t="s">
        <v>536</v>
      </c>
      <c r="K331" s="1153">
        <f t="shared" si="15"/>
        <v>4</v>
      </c>
      <c r="L331" s="1163">
        <f t="shared" si="14"/>
        <v>400000</v>
      </c>
      <c r="M331" s="1164"/>
    </row>
    <row r="332" spans="1:13" ht="18.75" customHeight="1">
      <c r="A332" s="1154">
        <v>314</v>
      </c>
      <c r="B332" s="1155">
        <v>23</v>
      </c>
      <c r="C332" s="1156"/>
      <c r="D332" s="1156"/>
      <c r="E332" s="460" t="s">
        <v>228</v>
      </c>
      <c r="F332" s="1156" t="s">
        <v>15</v>
      </c>
      <c r="G332" s="1155" t="s">
        <v>536</v>
      </c>
      <c r="H332" s="1155" t="s">
        <v>536</v>
      </c>
      <c r="I332" s="1155" t="s">
        <v>536</v>
      </c>
      <c r="J332" s="1155" t="s">
        <v>536</v>
      </c>
      <c r="K332" s="1153">
        <f t="shared" si="15"/>
        <v>4</v>
      </c>
      <c r="L332" s="1163">
        <f t="shared" si="14"/>
        <v>400000</v>
      </c>
      <c r="M332" s="1164"/>
    </row>
    <row r="333" spans="1:13" ht="18.75" customHeight="1">
      <c r="A333" s="1154">
        <v>315</v>
      </c>
      <c r="B333" s="1155">
        <v>24</v>
      </c>
      <c r="C333" s="1156"/>
      <c r="D333" s="1156"/>
      <c r="E333" s="460" t="s">
        <v>583</v>
      </c>
      <c r="F333" s="1156" t="s">
        <v>15</v>
      </c>
      <c r="G333" s="1155" t="s">
        <v>536</v>
      </c>
      <c r="H333" s="1155" t="s">
        <v>536</v>
      </c>
      <c r="I333" s="1155" t="s">
        <v>536</v>
      </c>
      <c r="J333" s="1155" t="s">
        <v>536</v>
      </c>
      <c r="K333" s="1153">
        <f t="shared" si="15"/>
        <v>4</v>
      </c>
      <c r="L333" s="1163">
        <f t="shared" si="14"/>
        <v>400000</v>
      </c>
      <c r="M333" s="1164"/>
    </row>
    <row r="334" spans="1:13" ht="18.75" customHeight="1">
      <c r="A334" s="1154">
        <v>316</v>
      </c>
      <c r="B334" s="1155">
        <v>25</v>
      </c>
      <c r="C334" s="1156"/>
      <c r="D334" s="1156"/>
      <c r="E334" s="460" t="s">
        <v>230</v>
      </c>
      <c r="F334" s="1156" t="s">
        <v>15</v>
      </c>
      <c r="G334" s="1155" t="s">
        <v>536</v>
      </c>
      <c r="H334" s="1155" t="s">
        <v>536</v>
      </c>
      <c r="I334" s="1155" t="s">
        <v>536</v>
      </c>
      <c r="J334" s="1155" t="s">
        <v>536</v>
      </c>
      <c r="K334" s="1153">
        <f t="shared" si="15"/>
        <v>4</v>
      </c>
      <c r="L334" s="1163">
        <f t="shared" si="14"/>
        <v>400000</v>
      </c>
      <c r="M334" s="1164"/>
    </row>
    <row r="335" spans="1:13" ht="18.75" customHeight="1">
      <c r="A335" s="1154">
        <v>317</v>
      </c>
      <c r="B335" s="1155">
        <v>26</v>
      </c>
      <c r="C335" s="1156"/>
      <c r="D335" s="1156"/>
      <c r="E335" s="460" t="s">
        <v>584</v>
      </c>
      <c r="F335" s="1156" t="s">
        <v>15</v>
      </c>
      <c r="G335" s="1155" t="s">
        <v>536</v>
      </c>
      <c r="H335" s="1155" t="s">
        <v>536</v>
      </c>
      <c r="I335" s="1155" t="s">
        <v>536</v>
      </c>
      <c r="J335" s="1155" t="s">
        <v>536</v>
      </c>
      <c r="K335" s="1153">
        <f t="shared" si="15"/>
        <v>4</v>
      </c>
      <c r="L335" s="1163">
        <f t="shared" si="14"/>
        <v>400000</v>
      </c>
      <c r="M335" s="1164"/>
    </row>
    <row r="336" spans="1:13" ht="18.75" customHeight="1">
      <c r="A336" s="1154">
        <v>318</v>
      </c>
      <c r="B336" s="1155">
        <v>27</v>
      </c>
      <c r="C336" s="1156"/>
      <c r="D336" s="1156"/>
      <c r="E336" s="460" t="s">
        <v>232</v>
      </c>
      <c r="F336" s="1156" t="s">
        <v>15</v>
      </c>
      <c r="G336" s="1155" t="s">
        <v>536</v>
      </c>
      <c r="H336" s="1155" t="s">
        <v>536</v>
      </c>
      <c r="I336" s="1155" t="s">
        <v>536</v>
      </c>
      <c r="J336" s="1155" t="s">
        <v>536</v>
      </c>
      <c r="K336" s="1153">
        <f t="shared" si="15"/>
        <v>4</v>
      </c>
      <c r="L336" s="1163">
        <f t="shared" si="14"/>
        <v>400000</v>
      </c>
      <c r="M336" s="1164"/>
    </row>
    <row r="337" spans="1:13" ht="18.75" customHeight="1">
      <c r="A337" s="1154">
        <v>319</v>
      </c>
      <c r="B337" s="1155">
        <v>28</v>
      </c>
      <c r="C337" s="1156"/>
      <c r="D337" s="1156"/>
      <c r="E337" s="460" t="s">
        <v>233</v>
      </c>
      <c r="F337" s="1156" t="s">
        <v>15</v>
      </c>
      <c r="G337" s="1155" t="s">
        <v>536</v>
      </c>
      <c r="H337" s="1155" t="s">
        <v>536</v>
      </c>
      <c r="I337" s="1155" t="s">
        <v>536</v>
      </c>
      <c r="J337" s="1155" t="s">
        <v>536</v>
      </c>
      <c r="K337" s="1153">
        <f t="shared" si="15"/>
        <v>4</v>
      </c>
      <c r="L337" s="1163">
        <f t="shared" si="14"/>
        <v>400000</v>
      </c>
      <c r="M337" s="1164"/>
    </row>
    <row r="338" spans="1:13" ht="18.75" customHeight="1">
      <c r="A338" s="1154">
        <v>320</v>
      </c>
      <c r="B338" s="1155">
        <v>29</v>
      </c>
      <c r="C338" s="1156"/>
      <c r="D338" s="1156"/>
      <c r="E338" s="460" t="s">
        <v>234</v>
      </c>
      <c r="F338" s="1156" t="s">
        <v>15</v>
      </c>
      <c r="G338" s="1155" t="s">
        <v>536</v>
      </c>
      <c r="H338" s="1155" t="s">
        <v>536</v>
      </c>
      <c r="I338" s="1155" t="s">
        <v>536</v>
      </c>
      <c r="J338" s="1155" t="s">
        <v>536</v>
      </c>
      <c r="K338" s="1153">
        <f t="shared" si="15"/>
        <v>4</v>
      </c>
      <c r="L338" s="1163">
        <f t="shared" si="14"/>
        <v>400000</v>
      </c>
      <c r="M338" s="1164"/>
    </row>
    <row r="339" spans="1:13" ht="18.75" customHeight="1">
      <c r="A339" s="1154">
        <v>321</v>
      </c>
      <c r="B339" s="1155">
        <v>30</v>
      </c>
      <c r="C339" s="1156"/>
      <c r="D339" s="1156"/>
      <c r="E339" s="460" t="s">
        <v>235</v>
      </c>
      <c r="F339" s="1156" t="s">
        <v>15</v>
      </c>
      <c r="G339" s="1155" t="s">
        <v>536</v>
      </c>
      <c r="H339" s="1155" t="s">
        <v>536</v>
      </c>
      <c r="I339" s="1155" t="s">
        <v>536</v>
      </c>
      <c r="J339" s="1155" t="s">
        <v>536</v>
      </c>
      <c r="K339" s="1153">
        <f t="shared" si="15"/>
        <v>4</v>
      </c>
      <c r="L339" s="1163">
        <f t="shared" si="14"/>
        <v>400000</v>
      </c>
      <c r="M339" s="1164"/>
    </row>
    <row r="340" spans="1:13" ht="18.75" customHeight="1">
      <c r="A340" s="1154">
        <v>322</v>
      </c>
      <c r="B340" s="1155">
        <v>31</v>
      </c>
      <c r="C340" s="1156"/>
      <c r="D340" s="1156"/>
      <c r="E340" s="460" t="s">
        <v>236</v>
      </c>
      <c r="F340" s="1156" t="s">
        <v>15</v>
      </c>
      <c r="G340" s="1155" t="s">
        <v>536</v>
      </c>
      <c r="H340" s="1155" t="s">
        <v>536</v>
      </c>
      <c r="I340" s="1155" t="s">
        <v>536</v>
      </c>
      <c r="J340" s="1155" t="s">
        <v>536</v>
      </c>
      <c r="K340" s="1153">
        <f t="shared" si="15"/>
        <v>4</v>
      </c>
      <c r="L340" s="1163">
        <f t="shared" si="14"/>
        <v>400000</v>
      </c>
      <c r="M340" s="1164"/>
    </row>
    <row r="341" spans="1:13" ht="18.75" customHeight="1">
      <c r="A341" s="1154">
        <v>323</v>
      </c>
      <c r="B341" s="1155">
        <v>32</v>
      </c>
      <c r="C341" s="1156"/>
      <c r="D341" s="1156"/>
      <c r="E341" s="460" t="s">
        <v>237</v>
      </c>
      <c r="F341" s="1156" t="s">
        <v>15</v>
      </c>
      <c r="G341" s="1155" t="s">
        <v>536</v>
      </c>
      <c r="H341" s="1155" t="s">
        <v>536</v>
      </c>
      <c r="I341" s="1155" t="s">
        <v>536</v>
      </c>
      <c r="J341" s="1155" t="s">
        <v>536</v>
      </c>
      <c r="K341" s="1153">
        <f t="shared" si="15"/>
        <v>4</v>
      </c>
      <c r="L341" s="1163">
        <f t="shared" si="14"/>
        <v>400000</v>
      </c>
      <c r="M341" s="1164"/>
    </row>
    <row r="342" spans="1:13" ht="18.75" customHeight="1">
      <c r="A342" s="1154">
        <v>324</v>
      </c>
      <c r="B342" s="1155">
        <v>33</v>
      </c>
      <c r="C342" s="1156"/>
      <c r="D342" s="1156"/>
      <c r="E342" s="460" t="s">
        <v>238</v>
      </c>
      <c r="F342" s="1156" t="s">
        <v>15</v>
      </c>
      <c r="G342" s="1155" t="s">
        <v>536</v>
      </c>
      <c r="H342" s="1155" t="s">
        <v>536</v>
      </c>
      <c r="I342" s="1155" t="s">
        <v>536</v>
      </c>
      <c r="J342" s="1155" t="s">
        <v>536</v>
      </c>
      <c r="K342" s="1153">
        <f t="shared" si="15"/>
        <v>4</v>
      </c>
      <c r="L342" s="1163">
        <f t="shared" si="14"/>
        <v>400000</v>
      </c>
      <c r="M342" s="1164"/>
    </row>
    <row r="343" spans="1:13" ht="18.75" customHeight="1">
      <c r="A343" s="1154">
        <v>325</v>
      </c>
      <c r="B343" s="1155">
        <v>34</v>
      </c>
      <c r="C343" s="1156"/>
      <c r="D343" s="1156"/>
      <c r="E343" s="460" t="s">
        <v>117</v>
      </c>
      <c r="F343" s="1156" t="s">
        <v>15</v>
      </c>
      <c r="G343" s="1155" t="s">
        <v>536</v>
      </c>
      <c r="H343" s="1155" t="s">
        <v>536</v>
      </c>
      <c r="I343" s="1155" t="s">
        <v>536</v>
      </c>
      <c r="J343" s="1155" t="s">
        <v>536</v>
      </c>
      <c r="K343" s="1153">
        <f t="shared" si="15"/>
        <v>4</v>
      </c>
      <c r="L343" s="1163">
        <f t="shared" si="14"/>
        <v>400000</v>
      </c>
      <c r="M343" s="1164"/>
    </row>
    <row r="344" spans="1:13" ht="18.75" customHeight="1">
      <c r="A344" s="1154">
        <v>326</v>
      </c>
      <c r="B344" s="1155">
        <v>35</v>
      </c>
      <c r="C344" s="1156"/>
      <c r="D344" s="1156"/>
      <c r="E344" s="460" t="s">
        <v>240</v>
      </c>
      <c r="F344" s="1156" t="s">
        <v>15</v>
      </c>
      <c r="G344" s="1155" t="s">
        <v>536</v>
      </c>
      <c r="H344" s="1155" t="s">
        <v>536</v>
      </c>
      <c r="I344" s="1155" t="s">
        <v>536</v>
      </c>
      <c r="J344" s="1155" t="s">
        <v>536</v>
      </c>
      <c r="K344" s="1153">
        <f t="shared" si="15"/>
        <v>4</v>
      </c>
      <c r="L344" s="1163">
        <f t="shared" si="14"/>
        <v>400000</v>
      </c>
      <c r="M344" s="1164"/>
    </row>
    <row r="345" spans="1:13" ht="18.75" customHeight="1">
      <c r="A345" s="1154">
        <v>327</v>
      </c>
      <c r="B345" s="1155">
        <v>36</v>
      </c>
      <c r="C345" s="1156"/>
      <c r="D345" s="1156"/>
      <c r="E345" s="460" t="s">
        <v>241</v>
      </c>
      <c r="F345" s="1156" t="s">
        <v>15</v>
      </c>
      <c r="G345" s="1155" t="s">
        <v>536</v>
      </c>
      <c r="H345" s="1155" t="s">
        <v>536</v>
      </c>
      <c r="I345" s="1155" t="s">
        <v>536</v>
      </c>
      <c r="J345" s="1155" t="s">
        <v>536</v>
      </c>
      <c r="K345" s="1153">
        <f t="shared" si="15"/>
        <v>4</v>
      </c>
      <c r="L345" s="1163">
        <f t="shared" si="14"/>
        <v>400000</v>
      </c>
      <c r="M345" s="1164"/>
    </row>
    <row r="346" spans="1:13" ht="18.75" customHeight="1">
      <c r="A346" s="1154">
        <v>328</v>
      </c>
      <c r="B346" s="1155">
        <v>37</v>
      </c>
      <c r="C346" s="1156"/>
      <c r="D346" s="1156"/>
      <c r="E346" s="460" t="s">
        <v>242</v>
      </c>
      <c r="F346" s="1156" t="s">
        <v>15</v>
      </c>
      <c r="G346" s="1155" t="s">
        <v>536</v>
      </c>
      <c r="H346" s="1155" t="s">
        <v>536</v>
      </c>
      <c r="I346" s="1155" t="s">
        <v>536</v>
      </c>
      <c r="J346" s="1155" t="s">
        <v>536</v>
      </c>
      <c r="K346" s="1153">
        <f t="shared" si="15"/>
        <v>4</v>
      </c>
      <c r="L346" s="1163">
        <f t="shared" si="14"/>
        <v>400000</v>
      </c>
      <c r="M346" s="1164"/>
    </row>
    <row r="347" spans="1:13" ht="18.75" customHeight="1">
      <c r="A347" s="1154">
        <v>329</v>
      </c>
      <c r="B347" s="1155">
        <v>38</v>
      </c>
      <c r="C347" s="1156"/>
      <c r="D347" s="1156"/>
      <c r="E347" s="460" t="s">
        <v>243</v>
      </c>
      <c r="F347" s="1156" t="s">
        <v>15</v>
      </c>
      <c r="G347" s="1155" t="s">
        <v>536</v>
      </c>
      <c r="H347" s="1155" t="s">
        <v>536</v>
      </c>
      <c r="I347" s="1155" t="s">
        <v>536</v>
      </c>
      <c r="J347" s="1155" t="s">
        <v>536</v>
      </c>
      <c r="K347" s="1153">
        <f t="shared" si="15"/>
        <v>4</v>
      </c>
      <c r="L347" s="1163">
        <f t="shared" si="14"/>
        <v>400000</v>
      </c>
      <c r="M347" s="1164"/>
    </row>
    <row r="348" spans="1:13" ht="18.75" customHeight="1">
      <c r="A348" s="1154">
        <v>330</v>
      </c>
      <c r="B348" s="1155">
        <v>39</v>
      </c>
      <c r="C348" s="1156"/>
      <c r="D348" s="1156"/>
      <c r="E348" s="460" t="s">
        <v>244</v>
      </c>
      <c r="F348" s="1156" t="s">
        <v>15</v>
      </c>
      <c r="G348" s="1155" t="s">
        <v>536</v>
      </c>
      <c r="H348" s="1155" t="s">
        <v>536</v>
      </c>
      <c r="I348" s="1155" t="s">
        <v>536</v>
      </c>
      <c r="J348" s="1155" t="s">
        <v>536</v>
      </c>
      <c r="K348" s="1153">
        <f t="shared" si="15"/>
        <v>4</v>
      </c>
      <c r="L348" s="1163">
        <f t="shared" si="14"/>
        <v>400000</v>
      </c>
      <c r="M348" s="1164"/>
    </row>
    <row r="349" spans="1:13" ht="18.75" customHeight="1">
      <c r="A349" s="1154">
        <v>331</v>
      </c>
      <c r="B349" s="1155">
        <v>40</v>
      </c>
      <c r="C349" s="1156"/>
      <c r="D349" s="1156"/>
      <c r="E349" s="460" t="s">
        <v>567</v>
      </c>
      <c r="F349" s="1156" t="s">
        <v>15</v>
      </c>
      <c r="G349" s="1155" t="s">
        <v>536</v>
      </c>
      <c r="H349" s="1155" t="s">
        <v>536</v>
      </c>
      <c r="I349" s="1155" t="s">
        <v>536</v>
      </c>
      <c r="J349" s="1155" t="s">
        <v>536</v>
      </c>
      <c r="K349" s="1153">
        <f t="shared" si="15"/>
        <v>4</v>
      </c>
      <c r="L349" s="1163">
        <f t="shared" si="14"/>
        <v>400000</v>
      </c>
      <c r="M349" s="1164"/>
    </row>
    <row r="350" spans="1:13" ht="18.75" customHeight="1">
      <c r="A350" s="1154">
        <v>332</v>
      </c>
      <c r="B350" s="1155">
        <v>41</v>
      </c>
      <c r="C350" s="1156"/>
      <c r="D350" s="1156"/>
      <c r="E350" s="460" t="s">
        <v>585</v>
      </c>
      <c r="F350" s="1156" t="s">
        <v>15</v>
      </c>
      <c r="G350" s="1155" t="s">
        <v>536</v>
      </c>
      <c r="H350" s="1155" t="s">
        <v>536</v>
      </c>
      <c r="I350" s="1155" t="s">
        <v>536</v>
      </c>
      <c r="J350" s="1155" t="s">
        <v>536</v>
      </c>
      <c r="K350" s="1153">
        <f t="shared" si="15"/>
        <v>4</v>
      </c>
      <c r="L350" s="1163">
        <f t="shared" si="14"/>
        <v>400000</v>
      </c>
      <c r="M350" s="1164"/>
    </row>
    <row r="351" spans="1:13" ht="18.75" customHeight="1">
      <c r="A351" s="1154">
        <v>333</v>
      </c>
      <c r="B351" s="1155">
        <v>42</v>
      </c>
      <c r="C351" s="1156"/>
      <c r="D351" s="1156"/>
      <c r="E351" s="460" t="s">
        <v>247</v>
      </c>
      <c r="F351" s="1156" t="s">
        <v>15</v>
      </c>
      <c r="G351" s="1155" t="s">
        <v>536</v>
      </c>
      <c r="H351" s="1155" t="s">
        <v>536</v>
      </c>
      <c r="I351" s="1155" t="s">
        <v>536</v>
      </c>
      <c r="J351" s="1155" t="s">
        <v>536</v>
      </c>
      <c r="K351" s="1153">
        <f t="shared" si="15"/>
        <v>4</v>
      </c>
      <c r="L351" s="1163">
        <f t="shared" si="14"/>
        <v>400000</v>
      </c>
      <c r="M351" s="1164"/>
    </row>
    <row r="352" spans="1:13" ht="18.75" customHeight="1">
      <c r="A352" s="1154">
        <v>334</v>
      </c>
      <c r="B352" s="1155">
        <v>43</v>
      </c>
      <c r="C352" s="1156"/>
      <c r="D352" s="1156"/>
      <c r="E352" s="460" t="s">
        <v>248</v>
      </c>
      <c r="F352" s="1156" t="s">
        <v>15</v>
      </c>
      <c r="G352" s="1155" t="s">
        <v>536</v>
      </c>
      <c r="H352" s="1155" t="s">
        <v>536</v>
      </c>
      <c r="I352" s="1155" t="s">
        <v>536</v>
      </c>
      <c r="J352" s="1155" t="s">
        <v>536</v>
      </c>
      <c r="K352" s="1153">
        <f t="shared" si="15"/>
        <v>4</v>
      </c>
      <c r="L352" s="1163">
        <f t="shared" si="14"/>
        <v>400000</v>
      </c>
      <c r="M352" s="1164"/>
    </row>
    <row r="353" spans="1:13" ht="18.75" customHeight="1">
      <c r="A353" s="1154">
        <v>335</v>
      </c>
      <c r="B353" s="1155">
        <v>44</v>
      </c>
      <c r="C353" s="1156"/>
      <c r="D353" s="1156"/>
      <c r="E353" s="460" t="s">
        <v>249</v>
      </c>
      <c r="F353" s="1156" t="s">
        <v>15</v>
      </c>
      <c r="G353" s="1155" t="s">
        <v>536</v>
      </c>
      <c r="H353" s="1155" t="s">
        <v>536</v>
      </c>
      <c r="I353" s="1155" t="s">
        <v>536</v>
      </c>
      <c r="J353" s="1155" t="s">
        <v>536</v>
      </c>
      <c r="K353" s="1153">
        <f t="shared" si="15"/>
        <v>4</v>
      </c>
      <c r="L353" s="1163">
        <f t="shared" si="14"/>
        <v>400000</v>
      </c>
      <c r="M353" s="1164"/>
    </row>
    <row r="354" spans="1:13" ht="18.75" customHeight="1">
      <c r="A354" s="1154">
        <v>336</v>
      </c>
      <c r="B354" s="1155">
        <v>45</v>
      </c>
      <c r="C354" s="1156"/>
      <c r="D354" s="1156"/>
      <c r="E354" s="460" t="s">
        <v>250</v>
      </c>
      <c r="F354" s="1156" t="s">
        <v>15</v>
      </c>
      <c r="G354" s="1155" t="s">
        <v>536</v>
      </c>
      <c r="H354" s="1155" t="s">
        <v>536</v>
      </c>
      <c r="I354" s="1155" t="s">
        <v>536</v>
      </c>
      <c r="J354" s="1155" t="s">
        <v>536</v>
      </c>
      <c r="K354" s="1153">
        <f t="shared" si="15"/>
        <v>4</v>
      </c>
      <c r="L354" s="1163">
        <f t="shared" si="14"/>
        <v>400000</v>
      </c>
      <c r="M354" s="1164"/>
    </row>
    <row r="355" spans="1:13" ht="18.75" customHeight="1">
      <c r="A355" s="1154">
        <v>337</v>
      </c>
      <c r="B355" s="1155">
        <v>46</v>
      </c>
      <c r="C355" s="1156"/>
      <c r="D355" s="1156"/>
      <c r="E355" s="460" t="s">
        <v>251</v>
      </c>
      <c r="F355" s="1156" t="s">
        <v>15</v>
      </c>
      <c r="G355" s="1155" t="s">
        <v>536</v>
      </c>
      <c r="H355" s="1155" t="s">
        <v>536</v>
      </c>
      <c r="I355" s="1155" t="s">
        <v>536</v>
      </c>
      <c r="J355" s="1155" t="s">
        <v>536</v>
      </c>
      <c r="K355" s="1153">
        <f t="shared" si="15"/>
        <v>4</v>
      </c>
      <c r="L355" s="1163">
        <f t="shared" si="14"/>
        <v>400000</v>
      </c>
      <c r="M355" s="1164"/>
    </row>
    <row r="356" spans="1:13" ht="18.75" customHeight="1">
      <c r="A356" s="1154">
        <v>338</v>
      </c>
      <c r="B356" s="1155">
        <v>47</v>
      </c>
      <c r="C356" s="1156"/>
      <c r="D356" s="1156"/>
      <c r="E356" s="460" t="s">
        <v>252</v>
      </c>
      <c r="F356" s="1156" t="s">
        <v>15</v>
      </c>
      <c r="G356" s="1155" t="s">
        <v>536</v>
      </c>
      <c r="H356" s="1155" t="s">
        <v>536</v>
      </c>
      <c r="I356" s="1155" t="s">
        <v>536</v>
      </c>
      <c r="J356" s="1155" t="s">
        <v>536</v>
      </c>
      <c r="K356" s="1153">
        <f t="shared" si="15"/>
        <v>4</v>
      </c>
      <c r="L356" s="1163">
        <f t="shared" si="14"/>
        <v>400000</v>
      </c>
      <c r="M356" s="1164"/>
    </row>
    <row r="357" spans="1:13" ht="18.75" customHeight="1">
      <c r="A357" s="1154">
        <v>339</v>
      </c>
      <c r="B357" s="1155">
        <v>48</v>
      </c>
      <c r="C357" s="1156"/>
      <c r="D357" s="1156"/>
      <c r="E357" s="460" t="s">
        <v>586</v>
      </c>
      <c r="F357" s="1156" t="s">
        <v>15</v>
      </c>
      <c r="G357" s="1155" t="s">
        <v>536</v>
      </c>
      <c r="H357" s="1155" t="s">
        <v>536</v>
      </c>
      <c r="I357" s="1155" t="s">
        <v>536</v>
      </c>
      <c r="J357" s="1155" t="s">
        <v>536</v>
      </c>
      <c r="K357" s="1153">
        <f t="shared" si="15"/>
        <v>4</v>
      </c>
      <c r="L357" s="1163">
        <f t="shared" si="14"/>
        <v>400000</v>
      </c>
      <c r="M357" s="1164"/>
    </row>
    <row r="358" spans="1:13" ht="18.75" customHeight="1">
      <c r="A358" s="1154">
        <v>340</v>
      </c>
      <c r="B358" s="1155">
        <v>49</v>
      </c>
      <c r="C358" s="1156"/>
      <c r="D358" s="1156"/>
      <c r="E358" s="460" t="s">
        <v>587</v>
      </c>
      <c r="F358" s="1156" t="s">
        <v>15</v>
      </c>
      <c r="G358" s="1155" t="s">
        <v>536</v>
      </c>
      <c r="H358" s="1155" t="s">
        <v>536</v>
      </c>
      <c r="I358" s="1155" t="s">
        <v>536</v>
      </c>
      <c r="J358" s="1155" t="s">
        <v>536</v>
      </c>
      <c r="K358" s="1153">
        <f t="shared" si="15"/>
        <v>4</v>
      </c>
      <c r="L358" s="1163">
        <f t="shared" si="14"/>
        <v>400000</v>
      </c>
      <c r="M358" s="1164"/>
    </row>
    <row r="359" spans="1:13" ht="18.75" customHeight="1">
      <c r="A359" s="1154">
        <v>341</v>
      </c>
      <c r="B359" s="1155">
        <v>50</v>
      </c>
      <c r="C359" s="1156"/>
      <c r="D359" s="1156"/>
      <c r="E359" s="460" t="s">
        <v>255</v>
      </c>
      <c r="F359" s="1156" t="s">
        <v>15</v>
      </c>
      <c r="G359" s="1155" t="s">
        <v>536</v>
      </c>
      <c r="H359" s="1155" t="s">
        <v>536</v>
      </c>
      <c r="I359" s="1155" t="s">
        <v>536</v>
      </c>
      <c r="J359" s="1155" t="s">
        <v>536</v>
      </c>
      <c r="K359" s="1153">
        <f t="shared" si="15"/>
        <v>4</v>
      </c>
      <c r="L359" s="1163">
        <f t="shared" si="14"/>
        <v>400000</v>
      </c>
      <c r="M359" s="1164"/>
    </row>
    <row r="360" spans="1:13" ht="18.75" customHeight="1">
      <c r="A360" s="1154">
        <v>342</v>
      </c>
      <c r="B360" s="1155">
        <v>51</v>
      </c>
      <c r="C360" s="1156"/>
      <c r="D360" s="1156"/>
      <c r="E360" s="460" t="s">
        <v>256</v>
      </c>
      <c r="F360" s="1156" t="s">
        <v>15</v>
      </c>
      <c r="G360" s="1155" t="s">
        <v>536</v>
      </c>
      <c r="H360" s="1155" t="s">
        <v>536</v>
      </c>
      <c r="I360" s="1155" t="s">
        <v>536</v>
      </c>
      <c r="J360" s="1155" t="s">
        <v>536</v>
      </c>
      <c r="K360" s="1153">
        <f t="shared" si="15"/>
        <v>4</v>
      </c>
      <c r="L360" s="1163">
        <f t="shared" si="14"/>
        <v>400000</v>
      </c>
      <c r="M360" s="1164"/>
    </row>
    <row r="361" spans="1:13" ht="18.75" customHeight="1">
      <c r="A361" s="1154">
        <v>343</v>
      </c>
      <c r="B361" s="1155">
        <v>52</v>
      </c>
      <c r="C361" s="1156"/>
      <c r="D361" s="1156"/>
      <c r="E361" s="460" t="s">
        <v>257</v>
      </c>
      <c r="F361" s="1156" t="s">
        <v>15</v>
      </c>
      <c r="G361" s="1155" t="s">
        <v>536</v>
      </c>
      <c r="H361" s="1155" t="s">
        <v>536</v>
      </c>
      <c r="I361" s="1155" t="s">
        <v>536</v>
      </c>
      <c r="J361" s="1155" t="s">
        <v>536</v>
      </c>
      <c r="K361" s="1153">
        <f t="shared" si="15"/>
        <v>4</v>
      </c>
      <c r="L361" s="1163">
        <f t="shared" si="14"/>
        <v>400000</v>
      </c>
      <c r="M361" s="1164"/>
    </row>
    <row r="362" spans="1:13" ht="18.75" customHeight="1">
      <c r="A362" s="1154">
        <v>344</v>
      </c>
      <c r="B362" s="1155">
        <v>53</v>
      </c>
      <c r="C362" s="1156"/>
      <c r="D362" s="1156"/>
      <c r="E362" s="460" t="s">
        <v>588</v>
      </c>
      <c r="F362" s="1156" t="s">
        <v>15</v>
      </c>
      <c r="G362" s="1155" t="s">
        <v>536</v>
      </c>
      <c r="H362" s="1155" t="s">
        <v>536</v>
      </c>
      <c r="I362" s="1155" t="s">
        <v>536</v>
      </c>
      <c r="J362" s="1155" t="s">
        <v>536</v>
      </c>
      <c r="K362" s="1153">
        <f t="shared" si="15"/>
        <v>4</v>
      </c>
      <c r="L362" s="1163">
        <f t="shared" si="14"/>
        <v>400000</v>
      </c>
      <c r="M362" s="1164"/>
    </row>
    <row r="363" spans="1:13" ht="18.75" customHeight="1">
      <c r="A363" s="1154">
        <v>345</v>
      </c>
      <c r="B363" s="1155">
        <v>54</v>
      </c>
      <c r="C363" s="1156"/>
      <c r="D363" s="1156"/>
      <c r="E363" s="460" t="s">
        <v>589</v>
      </c>
      <c r="F363" s="1156" t="s">
        <v>15</v>
      </c>
      <c r="G363" s="1155" t="s">
        <v>536</v>
      </c>
      <c r="H363" s="1155" t="s">
        <v>536</v>
      </c>
      <c r="I363" s="1155" t="s">
        <v>536</v>
      </c>
      <c r="J363" s="1155" t="s">
        <v>536</v>
      </c>
      <c r="K363" s="1153">
        <f t="shared" si="15"/>
        <v>4</v>
      </c>
      <c r="L363" s="1163">
        <f t="shared" si="14"/>
        <v>400000</v>
      </c>
      <c r="M363" s="1164"/>
    </row>
    <row r="364" spans="1:13" ht="18.75" customHeight="1">
      <c r="A364" s="1154">
        <v>346</v>
      </c>
      <c r="B364" s="1155">
        <v>55</v>
      </c>
      <c r="C364" s="1156"/>
      <c r="D364" s="1156"/>
      <c r="E364" s="460" t="s">
        <v>590</v>
      </c>
      <c r="F364" s="1156" t="s">
        <v>15</v>
      </c>
      <c r="G364" s="1155" t="s">
        <v>536</v>
      </c>
      <c r="H364" s="1155" t="s">
        <v>536</v>
      </c>
      <c r="I364" s="1155" t="s">
        <v>536</v>
      </c>
      <c r="J364" s="1155" t="s">
        <v>536</v>
      </c>
      <c r="K364" s="1153">
        <f t="shared" si="15"/>
        <v>4</v>
      </c>
      <c r="L364" s="1163">
        <f t="shared" si="14"/>
        <v>400000</v>
      </c>
      <c r="M364" s="1164"/>
    </row>
    <row r="365" spans="1:13" ht="18.75" customHeight="1">
      <c r="A365" s="1154">
        <v>347</v>
      </c>
      <c r="B365" s="1155">
        <v>56</v>
      </c>
      <c r="C365" s="1156"/>
      <c r="D365" s="1156"/>
      <c r="E365" s="460" t="s">
        <v>527</v>
      </c>
      <c r="F365" s="1156" t="s">
        <v>15</v>
      </c>
      <c r="G365" s="1155" t="s">
        <v>536</v>
      </c>
      <c r="H365" s="1155" t="s">
        <v>536</v>
      </c>
      <c r="I365" s="1155" t="s">
        <v>536</v>
      </c>
      <c r="J365" s="1155" t="s">
        <v>536</v>
      </c>
      <c r="K365" s="1153">
        <f t="shared" si="15"/>
        <v>4</v>
      </c>
      <c r="L365" s="1163">
        <f t="shared" si="14"/>
        <v>400000</v>
      </c>
      <c r="M365" s="1164"/>
    </row>
    <row r="366" spans="1:13" ht="18.75" customHeight="1">
      <c r="A366" s="1154">
        <v>348</v>
      </c>
      <c r="B366" s="1155">
        <v>57</v>
      </c>
      <c r="C366" s="1156"/>
      <c r="D366" s="1156"/>
      <c r="E366" s="460" t="s">
        <v>591</v>
      </c>
      <c r="F366" s="1156" t="s">
        <v>15</v>
      </c>
      <c r="G366" s="1155" t="s">
        <v>536</v>
      </c>
      <c r="H366" s="1155" t="s">
        <v>536</v>
      </c>
      <c r="I366" s="1155" t="s">
        <v>536</v>
      </c>
      <c r="J366" s="1155" t="s">
        <v>536</v>
      </c>
      <c r="K366" s="1153">
        <f t="shared" si="15"/>
        <v>4</v>
      </c>
      <c r="L366" s="1163">
        <f t="shared" si="14"/>
        <v>400000</v>
      </c>
      <c r="M366" s="1164"/>
    </row>
    <row r="367" spans="1:13" ht="18.75" customHeight="1">
      <c r="A367" s="1154">
        <v>349</v>
      </c>
      <c r="B367" s="1155">
        <v>58</v>
      </c>
      <c r="C367" s="1156"/>
      <c r="D367" s="1156"/>
      <c r="E367" s="460" t="s">
        <v>592</v>
      </c>
      <c r="F367" s="1156" t="s">
        <v>15</v>
      </c>
      <c r="G367" s="1155" t="s">
        <v>536</v>
      </c>
      <c r="H367" s="1155" t="s">
        <v>536</v>
      </c>
      <c r="I367" s="1155" t="s">
        <v>536</v>
      </c>
      <c r="J367" s="1155" t="s">
        <v>536</v>
      </c>
      <c r="K367" s="1153">
        <f t="shared" si="15"/>
        <v>4</v>
      </c>
      <c r="L367" s="1163">
        <f t="shared" si="14"/>
        <v>400000</v>
      </c>
      <c r="M367" s="1164"/>
    </row>
    <row r="368" spans="1:13" ht="18.75" customHeight="1">
      <c r="A368" s="1154">
        <v>350</v>
      </c>
      <c r="B368" s="1155">
        <v>59</v>
      </c>
      <c r="C368" s="1156"/>
      <c r="D368" s="1156"/>
      <c r="E368" s="460" t="s">
        <v>264</v>
      </c>
      <c r="F368" s="1156" t="s">
        <v>15</v>
      </c>
      <c r="G368" s="1155" t="s">
        <v>536</v>
      </c>
      <c r="H368" s="1155" t="s">
        <v>536</v>
      </c>
      <c r="I368" s="1155" t="s">
        <v>536</v>
      </c>
      <c r="J368" s="1155" t="s">
        <v>536</v>
      </c>
      <c r="K368" s="1153">
        <f t="shared" si="15"/>
        <v>4</v>
      </c>
      <c r="L368" s="1163">
        <f t="shared" si="14"/>
        <v>400000</v>
      </c>
      <c r="M368" s="1164"/>
    </row>
    <row r="369" spans="1:13" ht="18.75" customHeight="1">
      <c r="A369" s="1154">
        <v>351</v>
      </c>
      <c r="B369" s="1155">
        <v>60</v>
      </c>
      <c r="C369" s="1156"/>
      <c r="D369" s="1156"/>
      <c r="E369" s="460" t="s">
        <v>265</v>
      </c>
      <c r="F369" s="1156" t="s">
        <v>15</v>
      </c>
      <c r="G369" s="1155" t="s">
        <v>536</v>
      </c>
      <c r="H369" s="1155" t="s">
        <v>536</v>
      </c>
      <c r="I369" s="1155" t="s">
        <v>536</v>
      </c>
      <c r="J369" s="1155" t="s">
        <v>536</v>
      </c>
      <c r="K369" s="1153">
        <f t="shared" si="15"/>
        <v>4</v>
      </c>
      <c r="L369" s="1163">
        <f t="shared" ref="L369:L430" si="16">K369*100000</f>
        <v>400000</v>
      </c>
      <c r="M369" s="1164"/>
    </row>
    <row r="370" spans="1:13" ht="18.75" customHeight="1">
      <c r="A370" s="1154">
        <v>352</v>
      </c>
      <c r="B370" s="1155">
        <v>61</v>
      </c>
      <c r="C370" s="1156"/>
      <c r="D370" s="1156"/>
      <c r="E370" s="460" t="s">
        <v>266</v>
      </c>
      <c r="F370" s="1156" t="s">
        <v>15</v>
      </c>
      <c r="G370" s="1155" t="s">
        <v>536</v>
      </c>
      <c r="H370" s="1155" t="s">
        <v>536</v>
      </c>
      <c r="I370" s="1155" t="s">
        <v>536</v>
      </c>
      <c r="J370" s="1155" t="s">
        <v>536</v>
      </c>
      <c r="K370" s="1153">
        <f t="shared" si="15"/>
        <v>4</v>
      </c>
      <c r="L370" s="1163">
        <f t="shared" si="16"/>
        <v>400000</v>
      </c>
      <c r="M370" s="1164"/>
    </row>
    <row r="371" spans="1:13" ht="18.75" customHeight="1">
      <c r="A371" s="1154">
        <v>353</v>
      </c>
      <c r="B371" s="1155">
        <v>62</v>
      </c>
      <c r="C371" s="1156"/>
      <c r="D371" s="1156"/>
      <c r="E371" s="460" t="s">
        <v>593</v>
      </c>
      <c r="F371" s="1156" t="s">
        <v>15</v>
      </c>
      <c r="G371" s="1155" t="s">
        <v>536</v>
      </c>
      <c r="H371" s="1155" t="s">
        <v>536</v>
      </c>
      <c r="I371" s="1155" t="s">
        <v>536</v>
      </c>
      <c r="J371" s="1155" t="s">
        <v>536</v>
      </c>
      <c r="K371" s="1153">
        <f t="shared" si="15"/>
        <v>4</v>
      </c>
      <c r="L371" s="1163">
        <f t="shared" si="16"/>
        <v>400000</v>
      </c>
      <c r="M371" s="1164"/>
    </row>
    <row r="372" spans="1:13" ht="18.75" customHeight="1">
      <c r="A372" s="1154">
        <v>354</v>
      </c>
      <c r="B372" s="1155">
        <v>63</v>
      </c>
      <c r="C372" s="1156"/>
      <c r="D372" s="1156"/>
      <c r="E372" s="460" t="s">
        <v>594</v>
      </c>
      <c r="F372" s="1156" t="s">
        <v>15</v>
      </c>
      <c r="G372" s="1155" t="s">
        <v>536</v>
      </c>
      <c r="H372" s="1155" t="s">
        <v>536</v>
      </c>
      <c r="I372" s="1155" t="s">
        <v>536</v>
      </c>
      <c r="J372" s="1155" t="s">
        <v>536</v>
      </c>
      <c r="K372" s="1153">
        <f t="shared" si="15"/>
        <v>4</v>
      </c>
      <c r="L372" s="1163">
        <f t="shared" si="16"/>
        <v>400000</v>
      </c>
      <c r="M372" s="1164"/>
    </row>
    <row r="373" spans="1:13" ht="18.75" customHeight="1">
      <c r="A373" s="1154">
        <v>355</v>
      </c>
      <c r="B373" s="1155">
        <v>64</v>
      </c>
      <c r="C373" s="1156"/>
      <c r="D373" s="1156"/>
      <c r="E373" s="460" t="s">
        <v>269</v>
      </c>
      <c r="F373" s="1156" t="s">
        <v>15</v>
      </c>
      <c r="G373" s="1155" t="s">
        <v>536</v>
      </c>
      <c r="H373" s="1155" t="s">
        <v>536</v>
      </c>
      <c r="I373" s="1155" t="s">
        <v>536</v>
      </c>
      <c r="J373" s="1155" t="s">
        <v>536</v>
      </c>
      <c r="K373" s="1153">
        <f t="shared" si="15"/>
        <v>4</v>
      </c>
      <c r="L373" s="1163">
        <f t="shared" si="16"/>
        <v>400000</v>
      </c>
      <c r="M373" s="1164"/>
    </row>
    <row r="374" spans="1:13" ht="18.75" customHeight="1">
      <c r="A374" s="1154">
        <v>356</v>
      </c>
      <c r="B374" s="1155">
        <v>65</v>
      </c>
      <c r="C374" s="1156"/>
      <c r="D374" s="1156"/>
      <c r="E374" s="460" t="s">
        <v>270</v>
      </c>
      <c r="F374" s="1156" t="s">
        <v>15</v>
      </c>
      <c r="G374" s="1155" t="s">
        <v>536</v>
      </c>
      <c r="H374" s="1155" t="s">
        <v>536</v>
      </c>
      <c r="I374" s="1155" t="s">
        <v>536</v>
      </c>
      <c r="J374" s="1155" t="s">
        <v>536</v>
      </c>
      <c r="K374" s="1153">
        <f t="shared" ref="K374:K378" si="17">COUNTIF(G374:J374,"X")</f>
        <v>4</v>
      </c>
      <c r="L374" s="1163">
        <f t="shared" si="16"/>
        <v>400000</v>
      </c>
      <c r="M374" s="1164"/>
    </row>
    <row r="375" spans="1:13" ht="18.75" customHeight="1">
      <c r="A375" s="1154">
        <v>357</v>
      </c>
      <c r="B375" s="1155">
        <v>66</v>
      </c>
      <c r="C375" s="1156"/>
      <c r="D375" s="1156"/>
      <c r="E375" s="460" t="s">
        <v>271</v>
      </c>
      <c r="F375" s="1156" t="s">
        <v>15</v>
      </c>
      <c r="G375" s="1155" t="s">
        <v>536</v>
      </c>
      <c r="H375" s="1155" t="s">
        <v>536</v>
      </c>
      <c r="I375" s="1155" t="s">
        <v>536</v>
      </c>
      <c r="J375" s="1155" t="s">
        <v>536</v>
      </c>
      <c r="K375" s="1153">
        <f t="shared" si="17"/>
        <v>4</v>
      </c>
      <c r="L375" s="1163">
        <f t="shared" si="16"/>
        <v>400000</v>
      </c>
      <c r="M375" s="1164"/>
    </row>
    <row r="376" spans="1:13" ht="18.75" customHeight="1">
      <c r="A376" s="1154">
        <v>358</v>
      </c>
      <c r="B376" s="1155">
        <v>67</v>
      </c>
      <c r="C376" s="1156"/>
      <c r="D376" s="1156"/>
      <c r="E376" s="460" t="s">
        <v>272</v>
      </c>
      <c r="F376" s="1156" t="s">
        <v>15</v>
      </c>
      <c r="G376" s="1155" t="s">
        <v>536</v>
      </c>
      <c r="H376" s="1155" t="s">
        <v>536</v>
      </c>
      <c r="I376" s="1155" t="s">
        <v>536</v>
      </c>
      <c r="J376" s="1155" t="s">
        <v>536</v>
      </c>
      <c r="K376" s="1153">
        <f t="shared" si="17"/>
        <v>4</v>
      </c>
      <c r="L376" s="1163">
        <f t="shared" si="16"/>
        <v>400000</v>
      </c>
      <c r="M376" s="1164"/>
    </row>
    <row r="377" spans="1:13" ht="18.75" customHeight="1">
      <c r="A377" s="1154">
        <v>359</v>
      </c>
      <c r="B377" s="1155">
        <v>68</v>
      </c>
      <c r="C377" s="1156"/>
      <c r="D377" s="1156"/>
      <c r="E377" s="460" t="s">
        <v>595</v>
      </c>
      <c r="F377" s="1156" t="s">
        <v>15</v>
      </c>
      <c r="G377" s="1155" t="s">
        <v>536</v>
      </c>
      <c r="H377" s="1155" t="s">
        <v>536</v>
      </c>
      <c r="I377" s="1155" t="s">
        <v>536</v>
      </c>
      <c r="J377" s="1155" t="s">
        <v>536</v>
      </c>
      <c r="K377" s="1153">
        <f t="shared" si="17"/>
        <v>4</v>
      </c>
      <c r="L377" s="1163">
        <f t="shared" si="16"/>
        <v>400000</v>
      </c>
      <c r="M377" s="1164"/>
    </row>
    <row r="378" spans="1:13" ht="18.75" customHeight="1">
      <c r="A378" s="1154">
        <v>360</v>
      </c>
      <c r="B378" s="1155">
        <v>69</v>
      </c>
      <c r="C378" s="1156"/>
      <c r="D378" s="1156"/>
      <c r="E378" s="460" t="s">
        <v>596</v>
      </c>
      <c r="F378" s="1156" t="s">
        <v>15</v>
      </c>
      <c r="G378" s="1155" t="s">
        <v>536</v>
      </c>
      <c r="H378" s="1155" t="s">
        <v>536</v>
      </c>
      <c r="I378" s="1155" t="s">
        <v>536</v>
      </c>
      <c r="J378" s="1155" t="s">
        <v>536</v>
      </c>
      <c r="K378" s="1153">
        <f t="shared" si="17"/>
        <v>4</v>
      </c>
      <c r="L378" s="1163">
        <f t="shared" si="16"/>
        <v>400000</v>
      </c>
      <c r="M378" s="1164"/>
    </row>
    <row r="379" spans="1:13" ht="18.75" customHeight="1">
      <c r="A379" s="2378" t="s">
        <v>277</v>
      </c>
      <c r="B379" s="2379"/>
      <c r="C379" s="2379"/>
      <c r="D379" s="2379"/>
      <c r="E379" s="2379"/>
      <c r="F379" s="2380"/>
      <c r="G379" s="1153">
        <f>COUNTIF(G380:G386,"X")</f>
        <v>7</v>
      </c>
      <c r="H379" s="1153">
        <f>COUNTIF(H380:H386,"X")</f>
        <v>7</v>
      </c>
      <c r="I379" s="1153">
        <f>COUNTIF(I380:I386,"X")</f>
        <v>7</v>
      </c>
      <c r="J379" s="1153">
        <f>COUNTIF(J380:J386,"X")</f>
        <v>7</v>
      </c>
      <c r="K379" s="1153">
        <f>SUM(K380:K386)</f>
        <v>28</v>
      </c>
      <c r="L379" s="1167">
        <f>SUM(L380:L386)</f>
        <v>2800000</v>
      </c>
      <c r="M379" s="1164"/>
    </row>
    <row r="380" spans="1:13" ht="18.75" customHeight="1">
      <c r="A380" s="1154">
        <v>361</v>
      </c>
      <c r="B380" s="1155">
        <v>1</v>
      </c>
      <c r="C380" s="1156"/>
      <c r="D380" s="1156"/>
      <c r="E380" s="460" t="s">
        <v>278</v>
      </c>
      <c r="F380" s="1156" t="s">
        <v>15</v>
      </c>
      <c r="G380" s="1155" t="s">
        <v>536</v>
      </c>
      <c r="H380" s="1155" t="s">
        <v>536</v>
      </c>
      <c r="I380" s="1155" t="s">
        <v>536</v>
      </c>
      <c r="J380" s="1155" t="s">
        <v>536</v>
      </c>
      <c r="K380" s="1153">
        <f t="shared" ref="K380:K386" si="18">COUNTIF(G380:J380,"X")</f>
        <v>4</v>
      </c>
      <c r="L380" s="1163">
        <f t="shared" si="16"/>
        <v>400000</v>
      </c>
      <c r="M380" s="1164"/>
    </row>
    <row r="381" spans="1:13" ht="18.75" customHeight="1">
      <c r="A381" s="1154">
        <v>362</v>
      </c>
      <c r="B381" s="1155">
        <v>2</v>
      </c>
      <c r="C381" s="1156"/>
      <c r="D381" s="1156"/>
      <c r="E381" s="460" t="s">
        <v>281</v>
      </c>
      <c r="F381" s="1156" t="s">
        <v>15</v>
      </c>
      <c r="G381" s="1155" t="s">
        <v>536</v>
      </c>
      <c r="H381" s="1155" t="s">
        <v>536</v>
      </c>
      <c r="I381" s="1155" t="s">
        <v>536</v>
      </c>
      <c r="J381" s="1155" t="s">
        <v>536</v>
      </c>
      <c r="K381" s="1153">
        <f t="shared" si="18"/>
        <v>4</v>
      </c>
      <c r="L381" s="1163">
        <f t="shared" si="16"/>
        <v>400000</v>
      </c>
      <c r="M381" s="1164"/>
    </row>
    <row r="382" spans="1:13" ht="18.75" customHeight="1">
      <c r="A382" s="1154">
        <v>363</v>
      </c>
      <c r="B382" s="1155">
        <v>3</v>
      </c>
      <c r="C382" s="1156"/>
      <c r="D382" s="1156"/>
      <c r="E382" s="460" t="s">
        <v>597</v>
      </c>
      <c r="F382" s="1156" t="s">
        <v>15</v>
      </c>
      <c r="G382" s="1155" t="s">
        <v>536</v>
      </c>
      <c r="H382" s="1155" t="s">
        <v>536</v>
      </c>
      <c r="I382" s="1155" t="s">
        <v>536</v>
      </c>
      <c r="J382" s="1155" t="s">
        <v>536</v>
      </c>
      <c r="K382" s="1153">
        <f t="shared" si="18"/>
        <v>4</v>
      </c>
      <c r="L382" s="1163">
        <f t="shared" si="16"/>
        <v>400000</v>
      </c>
      <c r="M382" s="1164"/>
    </row>
    <row r="383" spans="1:13" ht="18.75" customHeight="1">
      <c r="A383" s="1154">
        <v>364</v>
      </c>
      <c r="B383" s="1155">
        <v>4</v>
      </c>
      <c r="C383" s="1156"/>
      <c r="D383" s="1156"/>
      <c r="E383" s="460" t="s">
        <v>280</v>
      </c>
      <c r="F383" s="1156" t="s">
        <v>15</v>
      </c>
      <c r="G383" s="1155" t="s">
        <v>536</v>
      </c>
      <c r="H383" s="1155" t="s">
        <v>536</v>
      </c>
      <c r="I383" s="1155" t="s">
        <v>536</v>
      </c>
      <c r="J383" s="1155" t="s">
        <v>536</v>
      </c>
      <c r="K383" s="1153">
        <f t="shared" si="18"/>
        <v>4</v>
      </c>
      <c r="L383" s="1163">
        <f t="shared" si="16"/>
        <v>400000</v>
      </c>
      <c r="M383" s="1164"/>
    </row>
    <row r="384" spans="1:13" ht="18.75" customHeight="1">
      <c r="A384" s="1154">
        <v>365</v>
      </c>
      <c r="B384" s="1155">
        <v>5</v>
      </c>
      <c r="C384" s="1156"/>
      <c r="D384" s="1156"/>
      <c r="E384" s="460" t="s">
        <v>282</v>
      </c>
      <c r="F384" s="1156" t="s">
        <v>15</v>
      </c>
      <c r="G384" s="1155" t="s">
        <v>536</v>
      </c>
      <c r="H384" s="1155" t="s">
        <v>536</v>
      </c>
      <c r="I384" s="1155" t="s">
        <v>536</v>
      </c>
      <c r="J384" s="1155" t="s">
        <v>536</v>
      </c>
      <c r="K384" s="1153">
        <f t="shared" si="18"/>
        <v>4</v>
      </c>
      <c r="L384" s="1163">
        <f t="shared" si="16"/>
        <v>400000</v>
      </c>
      <c r="M384" s="1164"/>
    </row>
    <row r="385" spans="1:13" ht="18.75" customHeight="1">
      <c r="A385" s="1154">
        <v>366</v>
      </c>
      <c r="B385" s="1155">
        <v>6</v>
      </c>
      <c r="C385" s="1156"/>
      <c r="D385" s="1156"/>
      <c r="E385" s="460" t="s">
        <v>284</v>
      </c>
      <c r="F385" s="1156" t="s">
        <v>15</v>
      </c>
      <c r="G385" s="1155" t="s">
        <v>536</v>
      </c>
      <c r="H385" s="1155" t="s">
        <v>536</v>
      </c>
      <c r="I385" s="1155" t="s">
        <v>536</v>
      </c>
      <c r="J385" s="1155" t="s">
        <v>536</v>
      </c>
      <c r="K385" s="1153">
        <f t="shared" si="18"/>
        <v>4</v>
      </c>
      <c r="L385" s="1163">
        <f t="shared" si="16"/>
        <v>400000</v>
      </c>
      <c r="M385" s="1164"/>
    </row>
    <row r="386" spans="1:13" ht="18.75" customHeight="1">
      <c r="A386" s="1154">
        <v>367</v>
      </c>
      <c r="B386" s="1155">
        <v>7</v>
      </c>
      <c r="C386" s="1156"/>
      <c r="D386" s="1156"/>
      <c r="E386" s="460" t="s">
        <v>279</v>
      </c>
      <c r="F386" s="1156" t="s">
        <v>15</v>
      </c>
      <c r="G386" s="1155" t="s">
        <v>536</v>
      </c>
      <c r="H386" s="1155" t="s">
        <v>536</v>
      </c>
      <c r="I386" s="1155" t="s">
        <v>536</v>
      </c>
      <c r="J386" s="1155" t="s">
        <v>536</v>
      </c>
      <c r="K386" s="1153">
        <f t="shared" si="18"/>
        <v>4</v>
      </c>
      <c r="L386" s="1163">
        <f t="shared" si="16"/>
        <v>400000</v>
      </c>
      <c r="M386" s="1164"/>
    </row>
    <row r="387" spans="1:13" ht="18.75" customHeight="1">
      <c r="A387" s="2378" t="s">
        <v>285</v>
      </c>
      <c r="B387" s="2379"/>
      <c r="C387" s="2379"/>
      <c r="D387" s="2379"/>
      <c r="E387" s="2379"/>
      <c r="F387" s="2380"/>
      <c r="G387" s="1153">
        <f>COUNTIF(G388:G443,"X")</f>
        <v>54</v>
      </c>
      <c r="H387" s="1153">
        <f>COUNTIF(H388:H443,"X")</f>
        <v>52</v>
      </c>
      <c r="I387" s="1153">
        <f>COUNTIF(I388:I443,"X")</f>
        <v>49</v>
      </c>
      <c r="J387" s="1153">
        <f>COUNTIF(J388:J443,"X")</f>
        <v>42</v>
      </c>
      <c r="K387" s="1153">
        <f>SUM(K388:K443)</f>
        <v>197</v>
      </c>
      <c r="L387" s="1167">
        <f>SUM(L388:L443)</f>
        <v>19700000</v>
      </c>
      <c r="M387" s="1164"/>
    </row>
    <row r="388" spans="1:13" ht="18.75" customHeight="1">
      <c r="A388" s="1154">
        <v>368</v>
      </c>
      <c r="B388" s="1155">
        <v>1</v>
      </c>
      <c r="C388" s="1156"/>
      <c r="D388" s="1156"/>
      <c r="E388" s="460" t="s">
        <v>308</v>
      </c>
      <c r="F388" s="1156" t="s">
        <v>15</v>
      </c>
      <c r="G388" s="1155" t="s">
        <v>536</v>
      </c>
      <c r="H388" s="1155" t="s">
        <v>536</v>
      </c>
      <c r="I388" s="1155"/>
      <c r="J388" s="1155"/>
      <c r="K388" s="1153">
        <f t="shared" ref="K388:K443" si="19">COUNTIF(G388:J388,"X")</f>
        <v>2</v>
      </c>
      <c r="L388" s="1163">
        <f t="shared" si="16"/>
        <v>200000</v>
      </c>
      <c r="M388" s="1164"/>
    </row>
    <row r="389" spans="1:13" ht="18.75" customHeight="1">
      <c r="A389" s="1154">
        <v>369</v>
      </c>
      <c r="B389" s="1155">
        <v>2</v>
      </c>
      <c r="C389" s="1156"/>
      <c r="D389" s="1156"/>
      <c r="E389" s="460" t="s">
        <v>309</v>
      </c>
      <c r="F389" s="1156" t="s">
        <v>15</v>
      </c>
      <c r="G389" s="1155"/>
      <c r="H389" s="1155" t="s">
        <v>536</v>
      </c>
      <c r="I389" s="1155" t="s">
        <v>536</v>
      </c>
      <c r="J389" s="1155"/>
      <c r="K389" s="1153">
        <f t="shared" si="19"/>
        <v>2</v>
      </c>
      <c r="L389" s="1163">
        <f t="shared" si="16"/>
        <v>200000</v>
      </c>
      <c r="M389" s="1164"/>
    </row>
    <row r="390" spans="1:13" ht="18.75" customHeight="1">
      <c r="A390" s="1154">
        <v>370</v>
      </c>
      <c r="B390" s="1155">
        <v>3</v>
      </c>
      <c r="C390" s="1156"/>
      <c r="D390" s="1156"/>
      <c r="E390" s="460" t="s">
        <v>310</v>
      </c>
      <c r="F390" s="1156" t="s">
        <v>15</v>
      </c>
      <c r="G390" s="1155" t="s">
        <v>536</v>
      </c>
      <c r="H390" s="1155" t="s">
        <v>536</v>
      </c>
      <c r="I390" s="1155" t="s">
        <v>536</v>
      </c>
      <c r="J390" s="1155" t="s">
        <v>536</v>
      </c>
      <c r="K390" s="1153">
        <f t="shared" si="19"/>
        <v>4</v>
      </c>
      <c r="L390" s="1163">
        <f t="shared" si="16"/>
        <v>400000</v>
      </c>
      <c r="M390" s="1164"/>
    </row>
    <row r="391" spans="1:13" ht="18.75" customHeight="1">
      <c r="A391" s="1154">
        <v>371</v>
      </c>
      <c r="B391" s="1155">
        <v>4</v>
      </c>
      <c r="C391" s="1156"/>
      <c r="D391" s="1156"/>
      <c r="E391" s="460" t="s">
        <v>311</v>
      </c>
      <c r="F391" s="1156" t="s">
        <v>15</v>
      </c>
      <c r="G391" s="1155" t="s">
        <v>536</v>
      </c>
      <c r="H391" s="1155" t="s">
        <v>536</v>
      </c>
      <c r="I391" s="1155" t="s">
        <v>536</v>
      </c>
      <c r="J391" s="1155" t="s">
        <v>536</v>
      </c>
      <c r="K391" s="1153">
        <f t="shared" si="19"/>
        <v>4</v>
      </c>
      <c r="L391" s="1163">
        <f t="shared" si="16"/>
        <v>400000</v>
      </c>
      <c r="M391" s="1164"/>
    </row>
    <row r="392" spans="1:13" ht="18.75" customHeight="1">
      <c r="A392" s="1154">
        <v>372</v>
      </c>
      <c r="B392" s="1155">
        <v>5</v>
      </c>
      <c r="C392" s="1156"/>
      <c r="D392" s="1156"/>
      <c r="E392" s="460" t="s">
        <v>312</v>
      </c>
      <c r="F392" s="1156" t="s">
        <v>15</v>
      </c>
      <c r="G392" s="1155" t="s">
        <v>536</v>
      </c>
      <c r="H392" s="1155" t="s">
        <v>536</v>
      </c>
      <c r="I392" s="1155" t="s">
        <v>536</v>
      </c>
      <c r="J392" s="1155" t="s">
        <v>536</v>
      </c>
      <c r="K392" s="1153">
        <f t="shared" si="19"/>
        <v>4</v>
      </c>
      <c r="L392" s="1163">
        <f t="shared" si="16"/>
        <v>400000</v>
      </c>
      <c r="M392" s="1164"/>
    </row>
    <row r="393" spans="1:13" ht="18.75" customHeight="1">
      <c r="A393" s="1154">
        <v>373</v>
      </c>
      <c r="B393" s="1155">
        <v>6</v>
      </c>
      <c r="C393" s="1156"/>
      <c r="D393" s="1156"/>
      <c r="E393" s="460" t="s">
        <v>313</v>
      </c>
      <c r="F393" s="1156" t="s">
        <v>15</v>
      </c>
      <c r="G393" s="1155" t="s">
        <v>536</v>
      </c>
      <c r="H393" s="1155" t="s">
        <v>536</v>
      </c>
      <c r="I393" s="1155" t="s">
        <v>536</v>
      </c>
      <c r="J393" s="1155"/>
      <c r="K393" s="1153">
        <f t="shared" si="19"/>
        <v>3</v>
      </c>
      <c r="L393" s="1163">
        <f t="shared" si="16"/>
        <v>300000</v>
      </c>
      <c r="M393" s="1164"/>
    </row>
    <row r="394" spans="1:13" ht="18.75" customHeight="1">
      <c r="A394" s="1154">
        <v>374</v>
      </c>
      <c r="B394" s="1155">
        <v>7</v>
      </c>
      <c r="C394" s="1156"/>
      <c r="D394" s="1156"/>
      <c r="E394" s="460" t="s">
        <v>314</v>
      </c>
      <c r="F394" s="1156" t="s">
        <v>15</v>
      </c>
      <c r="G394" s="1155" t="s">
        <v>536</v>
      </c>
      <c r="H394" s="1155" t="s">
        <v>536</v>
      </c>
      <c r="I394" s="1155" t="s">
        <v>536</v>
      </c>
      <c r="J394" s="1155"/>
      <c r="K394" s="1153">
        <f t="shared" si="19"/>
        <v>3</v>
      </c>
      <c r="L394" s="1163">
        <f t="shared" si="16"/>
        <v>300000</v>
      </c>
      <c r="M394" s="1164"/>
    </row>
    <row r="395" spans="1:13" ht="18.75" customHeight="1">
      <c r="A395" s="1154">
        <v>375</v>
      </c>
      <c r="B395" s="1155">
        <v>8</v>
      </c>
      <c r="C395" s="1156"/>
      <c r="D395" s="1156"/>
      <c r="E395" s="460" t="s">
        <v>315</v>
      </c>
      <c r="F395" s="1156" t="s">
        <v>15</v>
      </c>
      <c r="G395" s="1155" t="s">
        <v>536</v>
      </c>
      <c r="H395" s="1155" t="s">
        <v>536</v>
      </c>
      <c r="I395" s="1155" t="s">
        <v>536</v>
      </c>
      <c r="J395" s="1155" t="s">
        <v>536</v>
      </c>
      <c r="K395" s="1153">
        <f t="shared" si="19"/>
        <v>4</v>
      </c>
      <c r="L395" s="1163">
        <f t="shared" si="16"/>
        <v>400000</v>
      </c>
      <c r="M395" s="1164"/>
    </row>
    <row r="396" spans="1:13" ht="18.75" customHeight="1">
      <c r="A396" s="1154">
        <v>376</v>
      </c>
      <c r="B396" s="1155">
        <v>9</v>
      </c>
      <c r="C396" s="1156"/>
      <c r="D396" s="1156"/>
      <c r="E396" s="460" t="s">
        <v>316</v>
      </c>
      <c r="F396" s="1156" t="s">
        <v>15</v>
      </c>
      <c r="G396" s="1155" t="s">
        <v>536</v>
      </c>
      <c r="H396" s="1155"/>
      <c r="I396" s="1155" t="s">
        <v>536</v>
      </c>
      <c r="J396" s="1155"/>
      <c r="K396" s="1153">
        <f t="shared" si="19"/>
        <v>2</v>
      </c>
      <c r="L396" s="1163">
        <f t="shared" si="16"/>
        <v>200000</v>
      </c>
      <c r="M396" s="1164"/>
    </row>
    <row r="397" spans="1:13" ht="18.75" customHeight="1">
      <c r="A397" s="1154">
        <v>377</v>
      </c>
      <c r="B397" s="1155">
        <v>10</v>
      </c>
      <c r="C397" s="1156"/>
      <c r="D397" s="1156"/>
      <c r="E397" s="460" t="s">
        <v>317</v>
      </c>
      <c r="F397" s="1156" t="s">
        <v>15</v>
      </c>
      <c r="G397" s="1155" t="s">
        <v>536</v>
      </c>
      <c r="H397" s="1155" t="s">
        <v>536</v>
      </c>
      <c r="I397" s="1155" t="s">
        <v>536</v>
      </c>
      <c r="J397" s="1155" t="s">
        <v>536</v>
      </c>
      <c r="K397" s="1153">
        <f t="shared" si="19"/>
        <v>4</v>
      </c>
      <c r="L397" s="1163">
        <f t="shared" si="16"/>
        <v>400000</v>
      </c>
      <c r="M397" s="1164"/>
    </row>
    <row r="398" spans="1:13" ht="18.75" customHeight="1">
      <c r="A398" s="1154">
        <v>378</v>
      </c>
      <c r="B398" s="1155">
        <v>11</v>
      </c>
      <c r="C398" s="1156"/>
      <c r="D398" s="1156"/>
      <c r="E398" s="460" t="s">
        <v>318</v>
      </c>
      <c r="F398" s="1156" t="s">
        <v>15</v>
      </c>
      <c r="G398" s="1155" t="s">
        <v>536</v>
      </c>
      <c r="H398" s="1155"/>
      <c r="I398" s="1155"/>
      <c r="J398" s="1155"/>
      <c r="K398" s="1153">
        <f t="shared" si="19"/>
        <v>1</v>
      </c>
      <c r="L398" s="1163">
        <f t="shared" si="16"/>
        <v>100000</v>
      </c>
      <c r="M398" s="1164"/>
    </row>
    <row r="399" spans="1:13" ht="18.75" customHeight="1">
      <c r="A399" s="1154">
        <v>379</v>
      </c>
      <c r="B399" s="1155">
        <v>12</v>
      </c>
      <c r="C399" s="1156"/>
      <c r="D399" s="1156"/>
      <c r="E399" s="460" t="s">
        <v>319</v>
      </c>
      <c r="F399" s="1156" t="s">
        <v>15</v>
      </c>
      <c r="G399" s="1155" t="s">
        <v>536</v>
      </c>
      <c r="H399" s="1155" t="s">
        <v>536</v>
      </c>
      <c r="I399" s="1155" t="s">
        <v>536</v>
      </c>
      <c r="J399" s="1155" t="s">
        <v>536</v>
      </c>
      <c r="K399" s="1153">
        <f t="shared" si="19"/>
        <v>4</v>
      </c>
      <c r="L399" s="1163">
        <f t="shared" si="16"/>
        <v>400000</v>
      </c>
      <c r="M399" s="1164"/>
    </row>
    <row r="400" spans="1:13" ht="18.75" customHeight="1">
      <c r="A400" s="1154">
        <v>380</v>
      </c>
      <c r="B400" s="1155">
        <v>13</v>
      </c>
      <c r="C400" s="1156"/>
      <c r="D400" s="1156"/>
      <c r="E400" s="460" t="s">
        <v>320</v>
      </c>
      <c r="F400" s="1156" t="s">
        <v>15</v>
      </c>
      <c r="G400" s="1155" t="s">
        <v>536</v>
      </c>
      <c r="H400" s="1155" t="s">
        <v>536</v>
      </c>
      <c r="I400" s="1155" t="s">
        <v>536</v>
      </c>
      <c r="J400" s="1155" t="s">
        <v>536</v>
      </c>
      <c r="K400" s="1153">
        <f t="shared" si="19"/>
        <v>4</v>
      </c>
      <c r="L400" s="1163">
        <f t="shared" si="16"/>
        <v>400000</v>
      </c>
      <c r="M400" s="1164"/>
    </row>
    <row r="401" spans="1:13" ht="18.75" customHeight="1">
      <c r="A401" s="1154">
        <v>381</v>
      </c>
      <c r="B401" s="1155">
        <v>14</v>
      </c>
      <c r="C401" s="1156"/>
      <c r="D401" s="1156"/>
      <c r="E401" s="460" t="s">
        <v>321</v>
      </c>
      <c r="F401" s="1156" t="s">
        <v>15</v>
      </c>
      <c r="G401" s="1155" t="s">
        <v>536</v>
      </c>
      <c r="H401" s="1155" t="s">
        <v>536</v>
      </c>
      <c r="I401" s="1155" t="s">
        <v>536</v>
      </c>
      <c r="J401" s="1155" t="s">
        <v>536</v>
      </c>
      <c r="K401" s="1153">
        <f t="shared" si="19"/>
        <v>4</v>
      </c>
      <c r="L401" s="1163">
        <f t="shared" si="16"/>
        <v>400000</v>
      </c>
      <c r="M401" s="1164"/>
    </row>
    <row r="402" spans="1:13" ht="18.75" customHeight="1">
      <c r="A402" s="1154">
        <v>382</v>
      </c>
      <c r="B402" s="1155">
        <v>15</v>
      </c>
      <c r="C402" s="1156"/>
      <c r="D402" s="1156"/>
      <c r="E402" s="460" t="s">
        <v>322</v>
      </c>
      <c r="F402" s="1156" t="s">
        <v>15</v>
      </c>
      <c r="G402" s="1155" t="s">
        <v>536</v>
      </c>
      <c r="H402" s="1155" t="s">
        <v>536</v>
      </c>
      <c r="I402" s="1155"/>
      <c r="J402" s="1155"/>
      <c r="K402" s="1153">
        <f t="shared" si="19"/>
        <v>2</v>
      </c>
      <c r="L402" s="1163">
        <f t="shared" si="16"/>
        <v>200000</v>
      </c>
      <c r="M402" s="1164"/>
    </row>
    <row r="403" spans="1:13" ht="18.75" customHeight="1">
      <c r="A403" s="1154">
        <v>383</v>
      </c>
      <c r="B403" s="1155">
        <v>16</v>
      </c>
      <c r="C403" s="1156"/>
      <c r="D403" s="1156"/>
      <c r="E403" s="460" t="s">
        <v>324</v>
      </c>
      <c r="F403" s="1156" t="s">
        <v>15</v>
      </c>
      <c r="G403" s="1155" t="s">
        <v>536</v>
      </c>
      <c r="H403" s="1155" t="s">
        <v>536</v>
      </c>
      <c r="I403" s="1155" t="s">
        <v>536</v>
      </c>
      <c r="J403" s="1155" t="s">
        <v>536</v>
      </c>
      <c r="K403" s="1153">
        <f t="shared" si="19"/>
        <v>4</v>
      </c>
      <c r="L403" s="1163">
        <f t="shared" si="16"/>
        <v>400000</v>
      </c>
      <c r="M403" s="1164"/>
    </row>
    <row r="404" spans="1:13" ht="18.75" customHeight="1">
      <c r="A404" s="1154">
        <v>384</v>
      </c>
      <c r="B404" s="1155">
        <v>17</v>
      </c>
      <c r="C404" s="1156"/>
      <c r="D404" s="1156"/>
      <c r="E404" s="460" t="s">
        <v>325</v>
      </c>
      <c r="F404" s="1156" t="s">
        <v>15</v>
      </c>
      <c r="G404" s="1155" t="s">
        <v>536</v>
      </c>
      <c r="H404" s="1155" t="s">
        <v>536</v>
      </c>
      <c r="I404" s="1155" t="s">
        <v>536</v>
      </c>
      <c r="J404" s="1155"/>
      <c r="K404" s="1153">
        <f t="shared" si="19"/>
        <v>3</v>
      </c>
      <c r="L404" s="1163">
        <f t="shared" si="16"/>
        <v>300000</v>
      </c>
      <c r="M404" s="1164"/>
    </row>
    <row r="405" spans="1:13" ht="18.75" customHeight="1">
      <c r="A405" s="1154">
        <v>385</v>
      </c>
      <c r="B405" s="1155">
        <v>18</v>
      </c>
      <c r="C405" s="1156"/>
      <c r="D405" s="1156"/>
      <c r="E405" s="460" t="s">
        <v>326</v>
      </c>
      <c r="F405" s="1156" t="s">
        <v>15</v>
      </c>
      <c r="G405" s="1155" t="s">
        <v>536</v>
      </c>
      <c r="H405" s="1155" t="s">
        <v>536</v>
      </c>
      <c r="I405" s="1155" t="s">
        <v>536</v>
      </c>
      <c r="J405" s="1155" t="s">
        <v>536</v>
      </c>
      <c r="K405" s="1153">
        <f t="shared" si="19"/>
        <v>4</v>
      </c>
      <c r="L405" s="1163">
        <f t="shared" si="16"/>
        <v>400000</v>
      </c>
      <c r="M405" s="1164"/>
    </row>
    <row r="406" spans="1:13" ht="18.75" customHeight="1">
      <c r="A406" s="1154">
        <v>386</v>
      </c>
      <c r="B406" s="1155">
        <v>19</v>
      </c>
      <c r="C406" s="1156"/>
      <c r="D406" s="1156"/>
      <c r="E406" s="460" t="s">
        <v>327</v>
      </c>
      <c r="F406" s="1156" t="s">
        <v>15</v>
      </c>
      <c r="G406" s="1155" t="s">
        <v>536</v>
      </c>
      <c r="H406" s="1155" t="s">
        <v>536</v>
      </c>
      <c r="I406" s="1155" t="s">
        <v>536</v>
      </c>
      <c r="J406" s="1155" t="s">
        <v>536</v>
      </c>
      <c r="K406" s="1153">
        <f t="shared" si="19"/>
        <v>4</v>
      </c>
      <c r="L406" s="1163">
        <f t="shared" si="16"/>
        <v>400000</v>
      </c>
      <c r="M406" s="1164"/>
    </row>
    <row r="407" spans="1:13" ht="18.75" customHeight="1">
      <c r="A407" s="1154">
        <v>387</v>
      </c>
      <c r="B407" s="1155">
        <v>20</v>
      </c>
      <c r="C407" s="1156"/>
      <c r="D407" s="1156"/>
      <c r="E407" s="460" t="s">
        <v>329</v>
      </c>
      <c r="F407" s="1156" t="s">
        <v>15</v>
      </c>
      <c r="G407" s="1155" t="s">
        <v>536</v>
      </c>
      <c r="H407" s="1155" t="s">
        <v>536</v>
      </c>
      <c r="I407" s="1155" t="s">
        <v>536</v>
      </c>
      <c r="J407" s="1155" t="s">
        <v>536</v>
      </c>
      <c r="K407" s="1153">
        <f t="shared" si="19"/>
        <v>4</v>
      </c>
      <c r="L407" s="1163">
        <f t="shared" si="16"/>
        <v>400000</v>
      </c>
      <c r="M407" s="1164"/>
    </row>
    <row r="408" spans="1:13" ht="18.75" customHeight="1">
      <c r="A408" s="1154">
        <v>388</v>
      </c>
      <c r="B408" s="1155">
        <v>21</v>
      </c>
      <c r="C408" s="1156"/>
      <c r="D408" s="1156"/>
      <c r="E408" s="460" t="s">
        <v>286</v>
      </c>
      <c r="F408" s="1156" t="s">
        <v>15</v>
      </c>
      <c r="G408" s="1155" t="s">
        <v>536</v>
      </c>
      <c r="H408" s="1155" t="s">
        <v>536</v>
      </c>
      <c r="I408" s="1155" t="s">
        <v>536</v>
      </c>
      <c r="J408" s="1155" t="s">
        <v>536</v>
      </c>
      <c r="K408" s="1153">
        <f t="shared" si="19"/>
        <v>4</v>
      </c>
      <c r="L408" s="1163">
        <f t="shared" si="16"/>
        <v>400000</v>
      </c>
      <c r="M408" s="1164"/>
    </row>
    <row r="409" spans="1:13" ht="18.75" customHeight="1">
      <c r="A409" s="1154">
        <v>389</v>
      </c>
      <c r="B409" s="1155">
        <v>22</v>
      </c>
      <c r="C409" s="1156"/>
      <c r="D409" s="1156"/>
      <c r="E409" s="460" t="s">
        <v>287</v>
      </c>
      <c r="F409" s="1156" t="s">
        <v>15</v>
      </c>
      <c r="G409" s="1155" t="s">
        <v>536</v>
      </c>
      <c r="H409" s="1155" t="s">
        <v>536</v>
      </c>
      <c r="I409" s="1155" t="s">
        <v>536</v>
      </c>
      <c r="J409" s="1155" t="s">
        <v>536</v>
      </c>
      <c r="K409" s="1153">
        <f t="shared" si="19"/>
        <v>4</v>
      </c>
      <c r="L409" s="1163">
        <f t="shared" si="16"/>
        <v>400000</v>
      </c>
      <c r="M409" s="1164"/>
    </row>
    <row r="410" spans="1:13" ht="18.75" customHeight="1">
      <c r="A410" s="1154">
        <v>390</v>
      </c>
      <c r="B410" s="1155">
        <v>23</v>
      </c>
      <c r="C410" s="1156"/>
      <c r="D410" s="1156"/>
      <c r="E410" s="460" t="s">
        <v>288</v>
      </c>
      <c r="F410" s="1156" t="s">
        <v>15</v>
      </c>
      <c r="G410" s="1155" t="s">
        <v>536</v>
      </c>
      <c r="H410" s="1155"/>
      <c r="I410" s="1155"/>
      <c r="J410" s="1155"/>
      <c r="K410" s="1153">
        <f t="shared" si="19"/>
        <v>1</v>
      </c>
      <c r="L410" s="1163">
        <f t="shared" si="16"/>
        <v>100000</v>
      </c>
      <c r="M410" s="1164"/>
    </row>
    <row r="411" spans="1:13" ht="18.75" customHeight="1">
      <c r="A411" s="1154">
        <v>391</v>
      </c>
      <c r="B411" s="1155">
        <v>24</v>
      </c>
      <c r="C411" s="1156"/>
      <c r="D411" s="1156"/>
      <c r="E411" s="460" t="s">
        <v>289</v>
      </c>
      <c r="F411" s="1156" t="s">
        <v>15</v>
      </c>
      <c r="G411" s="1155" t="s">
        <v>536</v>
      </c>
      <c r="H411" s="1155" t="s">
        <v>536</v>
      </c>
      <c r="I411" s="1155" t="s">
        <v>536</v>
      </c>
      <c r="J411" s="1155"/>
      <c r="K411" s="1153">
        <f t="shared" si="19"/>
        <v>3</v>
      </c>
      <c r="L411" s="1163">
        <f t="shared" si="16"/>
        <v>300000</v>
      </c>
      <c r="M411" s="1164"/>
    </row>
    <row r="412" spans="1:13" ht="18.75" customHeight="1">
      <c r="A412" s="1154">
        <v>392</v>
      </c>
      <c r="B412" s="1155">
        <v>25</v>
      </c>
      <c r="C412" s="1156"/>
      <c r="D412" s="1156"/>
      <c r="E412" s="460" t="s">
        <v>517</v>
      </c>
      <c r="F412" s="1156" t="s">
        <v>15</v>
      </c>
      <c r="G412" s="1155" t="s">
        <v>536</v>
      </c>
      <c r="H412" s="1155" t="s">
        <v>536</v>
      </c>
      <c r="I412" s="1155" t="s">
        <v>536</v>
      </c>
      <c r="J412" s="1155" t="s">
        <v>536</v>
      </c>
      <c r="K412" s="1153">
        <f t="shared" si="19"/>
        <v>4</v>
      </c>
      <c r="L412" s="1163">
        <f t="shared" si="16"/>
        <v>400000</v>
      </c>
      <c r="M412" s="1164"/>
    </row>
    <row r="413" spans="1:13" ht="18.75" customHeight="1">
      <c r="A413" s="1154">
        <v>393</v>
      </c>
      <c r="B413" s="1155">
        <v>26</v>
      </c>
      <c r="C413" s="1156"/>
      <c r="D413" s="1156"/>
      <c r="E413" s="460" t="s">
        <v>291</v>
      </c>
      <c r="F413" s="1156" t="s">
        <v>15</v>
      </c>
      <c r="G413" s="1155" t="s">
        <v>536</v>
      </c>
      <c r="H413" s="1155" t="s">
        <v>536</v>
      </c>
      <c r="I413" s="1155" t="s">
        <v>536</v>
      </c>
      <c r="J413" s="1155" t="s">
        <v>536</v>
      </c>
      <c r="K413" s="1153">
        <f t="shared" si="19"/>
        <v>4</v>
      </c>
      <c r="L413" s="1163">
        <f t="shared" si="16"/>
        <v>400000</v>
      </c>
      <c r="M413" s="1164"/>
    </row>
    <row r="414" spans="1:13" ht="18.75" customHeight="1">
      <c r="A414" s="1154">
        <v>394</v>
      </c>
      <c r="B414" s="1155">
        <v>27</v>
      </c>
      <c r="C414" s="1156"/>
      <c r="D414" s="1156"/>
      <c r="E414" s="460" t="s">
        <v>83</v>
      </c>
      <c r="F414" s="1156" t="s">
        <v>15</v>
      </c>
      <c r="G414" s="1155" t="s">
        <v>536</v>
      </c>
      <c r="H414" s="1155" t="s">
        <v>536</v>
      </c>
      <c r="I414" s="1155" t="s">
        <v>536</v>
      </c>
      <c r="J414" s="1155" t="s">
        <v>536</v>
      </c>
      <c r="K414" s="1153">
        <f t="shared" si="19"/>
        <v>4</v>
      </c>
      <c r="L414" s="1163">
        <f t="shared" si="16"/>
        <v>400000</v>
      </c>
      <c r="M414" s="1164"/>
    </row>
    <row r="415" spans="1:13" ht="18.75" customHeight="1">
      <c r="A415" s="1154">
        <v>395</v>
      </c>
      <c r="B415" s="1155">
        <v>28</v>
      </c>
      <c r="C415" s="1156"/>
      <c r="D415" s="1156"/>
      <c r="E415" s="460" t="s">
        <v>293</v>
      </c>
      <c r="F415" s="1156" t="s">
        <v>15</v>
      </c>
      <c r="G415" s="1155" t="s">
        <v>536</v>
      </c>
      <c r="H415" s="1155" t="s">
        <v>536</v>
      </c>
      <c r="I415" s="1155" t="s">
        <v>536</v>
      </c>
      <c r="J415" s="1155" t="s">
        <v>536</v>
      </c>
      <c r="K415" s="1153">
        <f t="shared" si="19"/>
        <v>4</v>
      </c>
      <c r="L415" s="1163">
        <f t="shared" si="16"/>
        <v>400000</v>
      </c>
      <c r="M415" s="1164"/>
    </row>
    <row r="416" spans="1:13" ht="18.75" customHeight="1">
      <c r="A416" s="1154">
        <v>396</v>
      </c>
      <c r="B416" s="1155">
        <v>29</v>
      </c>
      <c r="C416" s="1156"/>
      <c r="D416" s="1156"/>
      <c r="E416" s="460" t="s">
        <v>294</v>
      </c>
      <c r="F416" s="1156" t="s">
        <v>15</v>
      </c>
      <c r="G416" s="1155" t="s">
        <v>536</v>
      </c>
      <c r="H416" s="1155" t="s">
        <v>536</v>
      </c>
      <c r="I416" s="1155" t="s">
        <v>536</v>
      </c>
      <c r="J416" s="1155" t="s">
        <v>536</v>
      </c>
      <c r="K416" s="1153">
        <f t="shared" si="19"/>
        <v>4</v>
      </c>
      <c r="L416" s="1163">
        <f t="shared" si="16"/>
        <v>400000</v>
      </c>
      <c r="M416" s="1164"/>
    </row>
    <row r="417" spans="1:13" ht="18.75" customHeight="1">
      <c r="A417" s="1154">
        <v>397</v>
      </c>
      <c r="B417" s="1155">
        <v>30</v>
      </c>
      <c r="C417" s="1156"/>
      <c r="D417" s="1156"/>
      <c r="E417" s="460" t="s">
        <v>295</v>
      </c>
      <c r="F417" s="1156" t="s">
        <v>15</v>
      </c>
      <c r="G417" s="1155" t="s">
        <v>536</v>
      </c>
      <c r="H417" s="1155" t="s">
        <v>536</v>
      </c>
      <c r="I417" s="1155" t="s">
        <v>536</v>
      </c>
      <c r="J417" s="1155"/>
      <c r="K417" s="1153">
        <f t="shared" si="19"/>
        <v>3</v>
      </c>
      <c r="L417" s="1163">
        <f t="shared" si="16"/>
        <v>300000</v>
      </c>
      <c r="M417" s="1164"/>
    </row>
    <row r="418" spans="1:13" ht="18.75" customHeight="1">
      <c r="A418" s="1154">
        <v>398</v>
      </c>
      <c r="B418" s="1155">
        <v>31</v>
      </c>
      <c r="C418" s="1156"/>
      <c r="D418" s="1156"/>
      <c r="E418" s="460" t="s">
        <v>296</v>
      </c>
      <c r="F418" s="1156" t="s">
        <v>15</v>
      </c>
      <c r="G418" s="1155" t="s">
        <v>536</v>
      </c>
      <c r="H418" s="1155"/>
      <c r="I418" s="1155"/>
      <c r="J418" s="1155"/>
      <c r="K418" s="1153">
        <f t="shared" si="19"/>
        <v>1</v>
      </c>
      <c r="L418" s="1163">
        <f t="shared" si="16"/>
        <v>100000</v>
      </c>
      <c r="M418" s="1164"/>
    </row>
    <row r="419" spans="1:13" ht="18.75" customHeight="1">
      <c r="A419" s="1154">
        <v>399</v>
      </c>
      <c r="B419" s="1155">
        <v>32</v>
      </c>
      <c r="C419" s="1156"/>
      <c r="D419" s="1156"/>
      <c r="E419" s="460" t="s">
        <v>297</v>
      </c>
      <c r="F419" s="1156" t="s">
        <v>15</v>
      </c>
      <c r="G419" s="1155" t="s">
        <v>536</v>
      </c>
      <c r="H419" s="1155" t="s">
        <v>536</v>
      </c>
      <c r="I419" s="1155" t="s">
        <v>536</v>
      </c>
      <c r="J419" s="1155" t="s">
        <v>536</v>
      </c>
      <c r="K419" s="1153">
        <f t="shared" si="19"/>
        <v>4</v>
      </c>
      <c r="L419" s="1163">
        <f t="shared" si="16"/>
        <v>400000</v>
      </c>
      <c r="M419" s="1164"/>
    </row>
    <row r="420" spans="1:13" ht="18.75" customHeight="1">
      <c r="A420" s="1154">
        <v>400</v>
      </c>
      <c r="B420" s="1155">
        <v>33</v>
      </c>
      <c r="C420" s="1156"/>
      <c r="D420" s="1156"/>
      <c r="E420" s="460" t="s">
        <v>298</v>
      </c>
      <c r="F420" s="1156" t="s">
        <v>15</v>
      </c>
      <c r="G420" s="1155" t="s">
        <v>536</v>
      </c>
      <c r="H420" s="1155" t="s">
        <v>536</v>
      </c>
      <c r="I420" s="1155" t="s">
        <v>536</v>
      </c>
      <c r="J420" s="1155" t="s">
        <v>536</v>
      </c>
      <c r="K420" s="1153">
        <f t="shared" si="19"/>
        <v>4</v>
      </c>
      <c r="L420" s="1163">
        <f t="shared" si="16"/>
        <v>400000</v>
      </c>
      <c r="M420" s="1164"/>
    </row>
    <row r="421" spans="1:13" ht="18.75" customHeight="1">
      <c r="A421" s="1154">
        <v>401</v>
      </c>
      <c r="B421" s="1155">
        <v>34</v>
      </c>
      <c r="C421" s="1156"/>
      <c r="D421" s="1156"/>
      <c r="E421" s="460" t="s">
        <v>299</v>
      </c>
      <c r="F421" s="1156" t="s">
        <v>15</v>
      </c>
      <c r="G421" s="1155" t="s">
        <v>536</v>
      </c>
      <c r="H421" s="1155" t="s">
        <v>536</v>
      </c>
      <c r="I421" s="1155" t="s">
        <v>536</v>
      </c>
      <c r="J421" s="1155" t="s">
        <v>536</v>
      </c>
      <c r="K421" s="1153">
        <f t="shared" si="19"/>
        <v>4</v>
      </c>
      <c r="L421" s="1163">
        <f t="shared" si="16"/>
        <v>400000</v>
      </c>
      <c r="M421" s="1164"/>
    </row>
    <row r="422" spans="1:13" ht="18.75" customHeight="1">
      <c r="A422" s="1154">
        <v>402</v>
      </c>
      <c r="B422" s="1155">
        <v>35</v>
      </c>
      <c r="C422" s="1156"/>
      <c r="D422" s="1156"/>
      <c r="E422" s="460" t="s">
        <v>300</v>
      </c>
      <c r="F422" s="1156" t="s">
        <v>15</v>
      </c>
      <c r="G422" s="1155" t="s">
        <v>536</v>
      </c>
      <c r="H422" s="1155" t="s">
        <v>536</v>
      </c>
      <c r="I422" s="1155"/>
      <c r="J422" s="1155"/>
      <c r="K422" s="1153">
        <f t="shared" si="19"/>
        <v>2</v>
      </c>
      <c r="L422" s="1163">
        <f t="shared" si="16"/>
        <v>200000</v>
      </c>
      <c r="M422" s="1164"/>
    </row>
    <row r="423" spans="1:13" ht="18.75" customHeight="1">
      <c r="A423" s="1154">
        <v>403</v>
      </c>
      <c r="B423" s="1155">
        <v>36</v>
      </c>
      <c r="C423" s="1156"/>
      <c r="D423" s="1156"/>
      <c r="E423" s="460" t="s">
        <v>301</v>
      </c>
      <c r="F423" s="1156" t="s">
        <v>15</v>
      </c>
      <c r="G423" s="1155" t="s">
        <v>536</v>
      </c>
      <c r="H423" s="1155" t="s">
        <v>536</v>
      </c>
      <c r="I423" s="1155"/>
      <c r="J423" s="1155"/>
      <c r="K423" s="1153">
        <f t="shared" si="19"/>
        <v>2</v>
      </c>
      <c r="L423" s="1163">
        <f t="shared" si="16"/>
        <v>200000</v>
      </c>
      <c r="M423" s="1164"/>
    </row>
    <row r="424" spans="1:13" ht="18.75" customHeight="1">
      <c r="A424" s="1154">
        <v>404</v>
      </c>
      <c r="B424" s="1155">
        <v>37</v>
      </c>
      <c r="C424" s="1156"/>
      <c r="D424" s="1156"/>
      <c r="E424" s="460" t="s">
        <v>302</v>
      </c>
      <c r="F424" s="1156" t="s">
        <v>15</v>
      </c>
      <c r="G424" s="1155" t="s">
        <v>536</v>
      </c>
      <c r="H424" s="1155" t="s">
        <v>536</v>
      </c>
      <c r="I424" s="1155" t="s">
        <v>536</v>
      </c>
      <c r="J424" s="1155" t="s">
        <v>536</v>
      </c>
      <c r="K424" s="1153">
        <f t="shared" si="19"/>
        <v>4</v>
      </c>
      <c r="L424" s="1163">
        <f t="shared" si="16"/>
        <v>400000</v>
      </c>
      <c r="M424" s="1164"/>
    </row>
    <row r="425" spans="1:13" ht="18.75" customHeight="1">
      <c r="A425" s="1154">
        <v>405</v>
      </c>
      <c r="B425" s="1155">
        <v>38</v>
      </c>
      <c r="C425" s="1156"/>
      <c r="D425" s="1156"/>
      <c r="E425" s="460" t="s">
        <v>303</v>
      </c>
      <c r="F425" s="1156" t="s">
        <v>15</v>
      </c>
      <c r="G425" s="1155" t="s">
        <v>536</v>
      </c>
      <c r="H425" s="1155" t="s">
        <v>536</v>
      </c>
      <c r="I425" s="1155" t="s">
        <v>536</v>
      </c>
      <c r="J425" s="1155" t="s">
        <v>536</v>
      </c>
      <c r="K425" s="1153">
        <f t="shared" si="19"/>
        <v>4</v>
      </c>
      <c r="L425" s="1163">
        <f t="shared" si="16"/>
        <v>400000</v>
      </c>
      <c r="M425" s="1164"/>
    </row>
    <row r="426" spans="1:13" ht="18.75" customHeight="1">
      <c r="A426" s="1154">
        <v>406</v>
      </c>
      <c r="B426" s="1155">
        <v>39</v>
      </c>
      <c r="C426" s="1156"/>
      <c r="D426" s="1156"/>
      <c r="E426" s="460" t="s">
        <v>304</v>
      </c>
      <c r="F426" s="1156" t="s">
        <v>15</v>
      </c>
      <c r="G426" s="1155"/>
      <c r="H426" s="1155" t="s">
        <v>536</v>
      </c>
      <c r="I426" s="1155" t="s">
        <v>536</v>
      </c>
      <c r="J426" s="1155" t="s">
        <v>536</v>
      </c>
      <c r="K426" s="1153">
        <f t="shared" si="19"/>
        <v>3</v>
      </c>
      <c r="L426" s="1163">
        <f t="shared" si="16"/>
        <v>300000</v>
      </c>
      <c r="M426" s="1164"/>
    </row>
    <row r="427" spans="1:13" ht="18.75" customHeight="1">
      <c r="A427" s="1154">
        <v>407</v>
      </c>
      <c r="B427" s="1155">
        <v>40</v>
      </c>
      <c r="C427" s="1156"/>
      <c r="D427" s="1156"/>
      <c r="E427" s="460" t="s">
        <v>305</v>
      </c>
      <c r="F427" s="1156" t="s">
        <v>15</v>
      </c>
      <c r="G427" s="1155" t="s">
        <v>536</v>
      </c>
      <c r="H427" s="1155" t="s">
        <v>536</v>
      </c>
      <c r="I427" s="1155" t="s">
        <v>536</v>
      </c>
      <c r="J427" s="1155" t="s">
        <v>536</v>
      </c>
      <c r="K427" s="1153">
        <f t="shared" si="19"/>
        <v>4</v>
      </c>
      <c r="L427" s="1163">
        <f t="shared" si="16"/>
        <v>400000</v>
      </c>
      <c r="M427" s="1164"/>
    </row>
    <row r="428" spans="1:13" ht="18.75" customHeight="1">
      <c r="A428" s="1154">
        <v>408</v>
      </c>
      <c r="B428" s="1155">
        <v>41</v>
      </c>
      <c r="C428" s="1156"/>
      <c r="D428" s="1156"/>
      <c r="E428" s="460" t="s">
        <v>331</v>
      </c>
      <c r="F428" s="1156" t="s">
        <v>15</v>
      </c>
      <c r="G428" s="1155" t="s">
        <v>536</v>
      </c>
      <c r="H428" s="1155" t="s">
        <v>536</v>
      </c>
      <c r="I428" s="1155" t="s">
        <v>536</v>
      </c>
      <c r="J428" s="1155" t="s">
        <v>536</v>
      </c>
      <c r="K428" s="1153">
        <f t="shared" si="19"/>
        <v>4</v>
      </c>
      <c r="L428" s="1163">
        <f t="shared" si="16"/>
        <v>400000</v>
      </c>
      <c r="M428" s="1164"/>
    </row>
    <row r="429" spans="1:13" ht="18.75" customHeight="1">
      <c r="A429" s="1154">
        <v>409</v>
      </c>
      <c r="B429" s="1155">
        <v>42</v>
      </c>
      <c r="C429" s="1156"/>
      <c r="D429" s="1156"/>
      <c r="E429" s="460" t="s">
        <v>108</v>
      </c>
      <c r="F429" s="1156" t="s">
        <v>15</v>
      </c>
      <c r="G429" s="1155" t="s">
        <v>536</v>
      </c>
      <c r="H429" s="1155" t="s">
        <v>536</v>
      </c>
      <c r="I429" s="1155" t="s">
        <v>536</v>
      </c>
      <c r="J429" s="1155" t="s">
        <v>536</v>
      </c>
      <c r="K429" s="1153">
        <f t="shared" si="19"/>
        <v>4</v>
      </c>
      <c r="L429" s="1163">
        <f t="shared" si="16"/>
        <v>400000</v>
      </c>
      <c r="M429" s="1164"/>
    </row>
    <row r="430" spans="1:13" ht="18.75" customHeight="1">
      <c r="A430" s="1154">
        <v>410</v>
      </c>
      <c r="B430" s="1155">
        <v>43</v>
      </c>
      <c r="C430" s="1156"/>
      <c r="D430" s="1156"/>
      <c r="E430" s="460" t="s">
        <v>333</v>
      </c>
      <c r="F430" s="1156" t="s">
        <v>15</v>
      </c>
      <c r="G430" s="1155" t="s">
        <v>536</v>
      </c>
      <c r="H430" s="1155" t="s">
        <v>536</v>
      </c>
      <c r="I430" s="1155" t="s">
        <v>536</v>
      </c>
      <c r="J430" s="1155" t="s">
        <v>536</v>
      </c>
      <c r="K430" s="1153">
        <f t="shared" si="19"/>
        <v>4</v>
      </c>
      <c r="L430" s="1163">
        <f t="shared" si="16"/>
        <v>400000</v>
      </c>
      <c r="M430" s="1164"/>
    </row>
    <row r="431" spans="1:13" ht="18.75" customHeight="1">
      <c r="A431" s="1154">
        <v>411</v>
      </c>
      <c r="B431" s="1155">
        <v>44</v>
      </c>
      <c r="C431" s="1156"/>
      <c r="D431" s="1156"/>
      <c r="E431" s="460" t="s">
        <v>555</v>
      </c>
      <c r="F431" s="1156" t="s">
        <v>15</v>
      </c>
      <c r="G431" s="1155" t="s">
        <v>536</v>
      </c>
      <c r="H431" s="1155" t="s">
        <v>536</v>
      </c>
      <c r="I431" s="1155" t="s">
        <v>536</v>
      </c>
      <c r="J431" s="1155" t="s">
        <v>536</v>
      </c>
      <c r="K431" s="1153">
        <f t="shared" si="19"/>
        <v>4</v>
      </c>
      <c r="L431" s="1163">
        <f t="shared" ref="L431:L453" si="20">K431*100000</f>
        <v>400000</v>
      </c>
      <c r="M431" s="1164"/>
    </row>
    <row r="432" spans="1:13" ht="18.75" customHeight="1">
      <c r="A432" s="1154">
        <v>412</v>
      </c>
      <c r="B432" s="1155">
        <v>45</v>
      </c>
      <c r="C432" s="1156"/>
      <c r="D432" s="1156"/>
      <c r="E432" s="460" t="s">
        <v>335</v>
      </c>
      <c r="F432" s="1156" t="s">
        <v>15</v>
      </c>
      <c r="G432" s="1155" t="s">
        <v>536</v>
      </c>
      <c r="H432" s="1155" t="s">
        <v>536</v>
      </c>
      <c r="I432" s="1155" t="s">
        <v>536</v>
      </c>
      <c r="J432" s="1155" t="s">
        <v>536</v>
      </c>
      <c r="K432" s="1153">
        <f t="shared" si="19"/>
        <v>4</v>
      </c>
      <c r="L432" s="1163">
        <f t="shared" si="20"/>
        <v>400000</v>
      </c>
      <c r="M432" s="1164"/>
    </row>
    <row r="433" spans="1:13" ht="18.75" customHeight="1">
      <c r="A433" s="1154">
        <v>413</v>
      </c>
      <c r="B433" s="1155">
        <v>46</v>
      </c>
      <c r="C433" s="1156"/>
      <c r="D433" s="1156"/>
      <c r="E433" s="460" t="s">
        <v>565</v>
      </c>
      <c r="F433" s="1156" t="s">
        <v>15</v>
      </c>
      <c r="G433" s="1155" t="s">
        <v>536</v>
      </c>
      <c r="H433" s="1155" t="s">
        <v>536</v>
      </c>
      <c r="I433" s="1155" t="s">
        <v>536</v>
      </c>
      <c r="J433" s="1155" t="s">
        <v>536</v>
      </c>
      <c r="K433" s="1153">
        <f t="shared" si="19"/>
        <v>4</v>
      </c>
      <c r="L433" s="1163">
        <f t="shared" si="20"/>
        <v>400000</v>
      </c>
      <c r="M433" s="1164"/>
    </row>
    <row r="434" spans="1:13" ht="18.75" customHeight="1">
      <c r="A434" s="1154">
        <v>414</v>
      </c>
      <c r="B434" s="1155">
        <v>47</v>
      </c>
      <c r="C434" s="1156"/>
      <c r="D434" s="1156"/>
      <c r="E434" s="460" t="s">
        <v>337</v>
      </c>
      <c r="F434" s="1156" t="s">
        <v>15</v>
      </c>
      <c r="G434" s="1155" t="s">
        <v>536</v>
      </c>
      <c r="H434" s="1155" t="s">
        <v>536</v>
      </c>
      <c r="I434" s="1155" t="s">
        <v>536</v>
      </c>
      <c r="J434" s="1155" t="s">
        <v>536</v>
      </c>
      <c r="K434" s="1153">
        <f t="shared" si="19"/>
        <v>4</v>
      </c>
      <c r="L434" s="1163">
        <f t="shared" si="20"/>
        <v>400000</v>
      </c>
      <c r="M434" s="1164"/>
    </row>
    <row r="435" spans="1:13" ht="18.75" customHeight="1">
      <c r="A435" s="1154">
        <v>415</v>
      </c>
      <c r="B435" s="1155">
        <v>48</v>
      </c>
      <c r="C435" s="1156"/>
      <c r="D435" s="1156"/>
      <c r="E435" s="460" t="s">
        <v>338</v>
      </c>
      <c r="F435" s="1156" t="s">
        <v>15</v>
      </c>
      <c r="G435" s="1155" t="s">
        <v>536</v>
      </c>
      <c r="H435" s="1155" t="s">
        <v>536</v>
      </c>
      <c r="I435" s="1155" t="s">
        <v>536</v>
      </c>
      <c r="J435" s="1155" t="s">
        <v>536</v>
      </c>
      <c r="K435" s="1153">
        <f t="shared" si="19"/>
        <v>4</v>
      </c>
      <c r="L435" s="1163">
        <f t="shared" si="20"/>
        <v>400000</v>
      </c>
      <c r="M435" s="1164"/>
    </row>
    <row r="436" spans="1:13" ht="18.75" customHeight="1">
      <c r="A436" s="1154">
        <v>416</v>
      </c>
      <c r="B436" s="1155">
        <v>49</v>
      </c>
      <c r="C436" s="1156"/>
      <c r="D436" s="1156"/>
      <c r="E436" s="460" t="s">
        <v>339</v>
      </c>
      <c r="F436" s="1156" t="s">
        <v>15</v>
      </c>
      <c r="G436" s="1155" t="s">
        <v>536</v>
      </c>
      <c r="H436" s="1155" t="s">
        <v>536</v>
      </c>
      <c r="I436" s="1155" t="s">
        <v>536</v>
      </c>
      <c r="J436" s="1155" t="s">
        <v>536</v>
      </c>
      <c r="K436" s="1153">
        <f t="shared" si="19"/>
        <v>4</v>
      </c>
      <c r="L436" s="1163">
        <f t="shared" si="20"/>
        <v>400000</v>
      </c>
      <c r="M436" s="1164"/>
    </row>
    <row r="437" spans="1:13" ht="18.75" customHeight="1">
      <c r="A437" s="1154">
        <v>417</v>
      </c>
      <c r="B437" s="1155">
        <v>50</v>
      </c>
      <c r="C437" s="1156"/>
      <c r="D437" s="1156"/>
      <c r="E437" s="460" t="s">
        <v>340</v>
      </c>
      <c r="F437" s="1156" t="s">
        <v>15</v>
      </c>
      <c r="G437" s="1155" t="s">
        <v>536</v>
      </c>
      <c r="H437" s="1155" t="s">
        <v>536</v>
      </c>
      <c r="I437" s="1155" t="s">
        <v>536</v>
      </c>
      <c r="J437" s="1155" t="s">
        <v>536</v>
      </c>
      <c r="K437" s="1153">
        <f t="shared" si="19"/>
        <v>4</v>
      </c>
      <c r="L437" s="1163">
        <f t="shared" si="20"/>
        <v>400000</v>
      </c>
      <c r="M437" s="1164"/>
    </row>
    <row r="438" spans="1:13" ht="18.75" customHeight="1">
      <c r="A438" s="1154">
        <v>418</v>
      </c>
      <c r="B438" s="1155">
        <v>51</v>
      </c>
      <c r="C438" s="1156"/>
      <c r="D438" s="1156"/>
      <c r="E438" s="460" t="s">
        <v>341</v>
      </c>
      <c r="F438" s="1156" t="s">
        <v>15</v>
      </c>
      <c r="G438" s="1155" t="s">
        <v>536</v>
      </c>
      <c r="H438" s="1155" t="s">
        <v>536</v>
      </c>
      <c r="I438" s="1155" t="s">
        <v>536</v>
      </c>
      <c r="J438" s="1155" t="s">
        <v>536</v>
      </c>
      <c r="K438" s="1153">
        <f t="shared" si="19"/>
        <v>4</v>
      </c>
      <c r="L438" s="1163">
        <f t="shared" si="20"/>
        <v>400000</v>
      </c>
      <c r="M438" s="1164"/>
    </row>
    <row r="439" spans="1:13" ht="18.75" customHeight="1">
      <c r="A439" s="1154">
        <v>419</v>
      </c>
      <c r="B439" s="1155">
        <v>52</v>
      </c>
      <c r="C439" s="1156"/>
      <c r="D439" s="1156"/>
      <c r="E439" s="460" t="s">
        <v>342</v>
      </c>
      <c r="F439" s="1156" t="s">
        <v>15</v>
      </c>
      <c r="G439" s="1155" t="s">
        <v>536</v>
      </c>
      <c r="H439" s="1155" t="s">
        <v>536</v>
      </c>
      <c r="I439" s="1155" t="s">
        <v>536</v>
      </c>
      <c r="J439" s="1155" t="s">
        <v>536</v>
      </c>
      <c r="K439" s="1153">
        <f t="shared" si="19"/>
        <v>4</v>
      </c>
      <c r="L439" s="1163">
        <f t="shared" si="20"/>
        <v>400000</v>
      </c>
      <c r="M439" s="1164"/>
    </row>
    <row r="440" spans="1:13" ht="18.75" customHeight="1">
      <c r="A440" s="1154">
        <v>420</v>
      </c>
      <c r="B440" s="1155">
        <v>53</v>
      </c>
      <c r="C440" s="1156"/>
      <c r="D440" s="1156"/>
      <c r="E440" s="460" t="s">
        <v>343</v>
      </c>
      <c r="F440" s="1156" t="s">
        <v>15</v>
      </c>
      <c r="G440" s="1155" t="s">
        <v>536</v>
      </c>
      <c r="H440" s="1155" t="s">
        <v>536</v>
      </c>
      <c r="I440" s="1155" t="s">
        <v>536</v>
      </c>
      <c r="J440" s="1155" t="s">
        <v>536</v>
      </c>
      <c r="K440" s="1153">
        <f t="shared" si="19"/>
        <v>4</v>
      </c>
      <c r="L440" s="1163">
        <f t="shared" si="20"/>
        <v>400000</v>
      </c>
      <c r="M440" s="1164"/>
    </row>
    <row r="441" spans="1:13" ht="18.75" customHeight="1">
      <c r="A441" s="1154">
        <v>421</v>
      </c>
      <c r="B441" s="1155">
        <v>54</v>
      </c>
      <c r="C441" s="1156"/>
      <c r="D441" s="1156"/>
      <c r="E441" s="460" t="s">
        <v>583</v>
      </c>
      <c r="F441" s="1156" t="s">
        <v>15</v>
      </c>
      <c r="G441" s="1155" t="s">
        <v>536</v>
      </c>
      <c r="H441" s="1155" t="s">
        <v>536</v>
      </c>
      <c r="I441" s="1155" t="s">
        <v>536</v>
      </c>
      <c r="J441" s="1155" t="s">
        <v>536</v>
      </c>
      <c r="K441" s="1153">
        <f t="shared" si="19"/>
        <v>4</v>
      </c>
      <c r="L441" s="1163">
        <f t="shared" si="20"/>
        <v>400000</v>
      </c>
      <c r="M441" s="1164"/>
    </row>
    <row r="442" spans="1:13" ht="18.75" customHeight="1">
      <c r="A442" s="1154">
        <v>422</v>
      </c>
      <c r="B442" s="1155">
        <v>55</v>
      </c>
      <c r="C442" s="1156"/>
      <c r="D442" s="1156"/>
      <c r="E442" s="460" t="s">
        <v>598</v>
      </c>
      <c r="F442" s="1156" t="s">
        <v>15</v>
      </c>
      <c r="G442" s="1155" t="s">
        <v>536</v>
      </c>
      <c r="H442" s="1155" t="s">
        <v>536</v>
      </c>
      <c r="I442" s="1155" t="s">
        <v>536</v>
      </c>
      <c r="J442" s="1155" t="s">
        <v>536</v>
      </c>
      <c r="K442" s="1153">
        <f t="shared" si="19"/>
        <v>4</v>
      </c>
      <c r="L442" s="1163">
        <f t="shared" si="20"/>
        <v>400000</v>
      </c>
      <c r="M442" s="1164"/>
    </row>
    <row r="443" spans="1:13" ht="18.75" customHeight="1">
      <c r="A443" s="1154">
        <v>423</v>
      </c>
      <c r="B443" s="1155">
        <v>56</v>
      </c>
      <c r="C443" s="1156"/>
      <c r="D443" s="1156"/>
      <c r="E443" s="460" t="s">
        <v>172</v>
      </c>
      <c r="F443" s="1156" t="s">
        <v>15</v>
      </c>
      <c r="G443" s="1155" t="s">
        <v>536</v>
      </c>
      <c r="H443" s="1155" t="s">
        <v>536</v>
      </c>
      <c r="I443" s="1155" t="s">
        <v>536</v>
      </c>
      <c r="J443" s="1155" t="s">
        <v>536</v>
      </c>
      <c r="K443" s="1153">
        <f t="shared" si="19"/>
        <v>4</v>
      </c>
      <c r="L443" s="1163">
        <f t="shared" si="20"/>
        <v>400000</v>
      </c>
      <c r="M443" s="1164"/>
    </row>
    <row r="444" spans="1:13" ht="18.75" customHeight="1">
      <c r="A444" s="2378" t="s">
        <v>599</v>
      </c>
      <c r="B444" s="2379"/>
      <c r="C444" s="2379"/>
      <c r="D444" s="2379"/>
      <c r="E444" s="2379"/>
      <c r="F444" s="2380"/>
      <c r="G444" s="1153">
        <f>COUNTIF(G445:G453,"X")</f>
        <v>9</v>
      </c>
      <c r="H444" s="1153">
        <f>COUNTIF(H445:H453,"X")</f>
        <v>8</v>
      </c>
      <c r="I444" s="1153">
        <f>COUNTIF(I445:I453,"X")</f>
        <v>0</v>
      </c>
      <c r="J444" s="1153">
        <f>COUNTIF(J445:J453,"X")</f>
        <v>6</v>
      </c>
      <c r="K444" s="1153">
        <f>SUM(K445:K453)</f>
        <v>23</v>
      </c>
      <c r="L444" s="1167">
        <f>SUM(L445:L453)</f>
        <v>2300000</v>
      </c>
      <c r="M444" s="1164"/>
    </row>
    <row r="445" spans="1:13" ht="18.75" customHeight="1">
      <c r="A445" s="1154">
        <v>424</v>
      </c>
      <c r="B445" s="1155">
        <v>1</v>
      </c>
      <c r="C445" s="1156"/>
      <c r="D445" s="1156"/>
      <c r="E445" s="460" t="s">
        <v>126</v>
      </c>
      <c r="F445" s="1156" t="s">
        <v>599</v>
      </c>
      <c r="G445" s="1155" t="s">
        <v>536</v>
      </c>
      <c r="H445" s="1155" t="s">
        <v>536</v>
      </c>
      <c r="I445" s="1155"/>
      <c r="J445" s="1155" t="s">
        <v>536</v>
      </c>
      <c r="K445" s="1153">
        <f t="shared" ref="K445:K453" si="21">COUNTIF(G445:J445,"X")</f>
        <v>3</v>
      </c>
      <c r="L445" s="1163">
        <f t="shared" si="20"/>
        <v>300000</v>
      </c>
      <c r="M445" s="1164"/>
    </row>
    <row r="446" spans="1:13" ht="18.75" customHeight="1">
      <c r="A446" s="1154">
        <v>425</v>
      </c>
      <c r="B446" s="1155">
        <v>2</v>
      </c>
      <c r="C446" s="1156"/>
      <c r="D446" s="1156"/>
      <c r="E446" s="460" t="s">
        <v>600</v>
      </c>
      <c r="F446" s="1156" t="s">
        <v>599</v>
      </c>
      <c r="G446" s="1155" t="s">
        <v>536</v>
      </c>
      <c r="H446" s="1155" t="s">
        <v>536</v>
      </c>
      <c r="I446" s="1155"/>
      <c r="J446" s="1155" t="s">
        <v>536</v>
      </c>
      <c r="K446" s="1153">
        <f t="shared" si="21"/>
        <v>3</v>
      </c>
      <c r="L446" s="1163">
        <f t="shared" si="20"/>
        <v>300000</v>
      </c>
      <c r="M446" s="1164"/>
    </row>
    <row r="447" spans="1:13" ht="18.75" customHeight="1">
      <c r="A447" s="1154">
        <v>426</v>
      </c>
      <c r="B447" s="1155">
        <v>3</v>
      </c>
      <c r="C447" s="1156"/>
      <c r="D447" s="1156"/>
      <c r="E447" s="460" t="s">
        <v>601</v>
      </c>
      <c r="F447" s="1156" t="s">
        <v>599</v>
      </c>
      <c r="G447" s="1155" t="s">
        <v>536</v>
      </c>
      <c r="H447" s="1155" t="s">
        <v>536</v>
      </c>
      <c r="I447" s="1155"/>
      <c r="J447" s="1155" t="s">
        <v>536</v>
      </c>
      <c r="K447" s="1153">
        <f t="shared" si="21"/>
        <v>3</v>
      </c>
      <c r="L447" s="1163">
        <f t="shared" si="20"/>
        <v>300000</v>
      </c>
      <c r="M447" s="1164"/>
    </row>
    <row r="448" spans="1:13" ht="18.75" customHeight="1">
      <c r="A448" s="1154">
        <v>427</v>
      </c>
      <c r="B448" s="1155">
        <v>4</v>
      </c>
      <c r="C448" s="1156"/>
      <c r="D448" s="1156"/>
      <c r="E448" s="460" t="s">
        <v>602</v>
      </c>
      <c r="F448" s="1156" t="s">
        <v>599</v>
      </c>
      <c r="G448" s="1155" t="s">
        <v>536</v>
      </c>
      <c r="H448" s="1155" t="s">
        <v>536</v>
      </c>
      <c r="I448" s="1155"/>
      <c r="J448" s="1155" t="s">
        <v>536</v>
      </c>
      <c r="K448" s="1153">
        <f t="shared" si="21"/>
        <v>3</v>
      </c>
      <c r="L448" s="1163">
        <f t="shared" si="20"/>
        <v>300000</v>
      </c>
      <c r="M448" s="1164"/>
    </row>
    <row r="449" spans="1:16" ht="18.75" customHeight="1">
      <c r="A449" s="1154">
        <v>428</v>
      </c>
      <c r="B449" s="1155">
        <v>5</v>
      </c>
      <c r="C449" s="1156"/>
      <c r="D449" s="1156"/>
      <c r="E449" s="460" t="s">
        <v>603</v>
      </c>
      <c r="F449" s="1156" t="s">
        <v>599</v>
      </c>
      <c r="G449" s="1155" t="s">
        <v>536</v>
      </c>
      <c r="H449" s="1155"/>
      <c r="I449" s="1155"/>
      <c r="J449" s="1155"/>
      <c r="K449" s="1153">
        <f t="shared" si="21"/>
        <v>1</v>
      </c>
      <c r="L449" s="1163">
        <f t="shared" si="20"/>
        <v>100000</v>
      </c>
      <c r="M449" s="1164"/>
    </row>
    <row r="450" spans="1:16" ht="18.75" customHeight="1">
      <c r="A450" s="1154">
        <v>429</v>
      </c>
      <c r="B450" s="1155">
        <v>6</v>
      </c>
      <c r="C450" s="1156"/>
      <c r="D450" s="1156"/>
      <c r="E450" s="460" t="s">
        <v>604</v>
      </c>
      <c r="F450" s="1156" t="s">
        <v>599</v>
      </c>
      <c r="G450" s="1155" t="s">
        <v>536</v>
      </c>
      <c r="H450" s="1155" t="s">
        <v>536</v>
      </c>
      <c r="I450" s="1155"/>
      <c r="J450" s="1155"/>
      <c r="K450" s="1153">
        <f t="shared" si="21"/>
        <v>2</v>
      </c>
      <c r="L450" s="1163">
        <f t="shared" si="20"/>
        <v>200000</v>
      </c>
      <c r="M450" s="1164"/>
    </row>
    <row r="451" spans="1:16" ht="18.75" customHeight="1">
      <c r="A451" s="1154">
        <v>430</v>
      </c>
      <c r="B451" s="1155">
        <v>7</v>
      </c>
      <c r="C451" s="1156"/>
      <c r="D451" s="1156"/>
      <c r="E451" s="460" t="s">
        <v>605</v>
      </c>
      <c r="F451" s="1156" t="s">
        <v>599</v>
      </c>
      <c r="G451" s="1155" t="s">
        <v>536</v>
      </c>
      <c r="H451" s="1155" t="s">
        <v>536</v>
      </c>
      <c r="I451" s="1155"/>
      <c r="J451" s="1155" t="s">
        <v>536</v>
      </c>
      <c r="K451" s="1153">
        <f t="shared" si="21"/>
        <v>3</v>
      </c>
      <c r="L451" s="1163">
        <f t="shared" si="20"/>
        <v>300000</v>
      </c>
      <c r="M451" s="1164"/>
    </row>
    <row r="452" spans="1:16" ht="18.75" customHeight="1">
      <c r="A452" s="1154">
        <v>431</v>
      </c>
      <c r="B452" s="1155">
        <v>8</v>
      </c>
      <c r="C452" s="1156"/>
      <c r="D452" s="1156"/>
      <c r="E452" s="460" t="s">
        <v>606</v>
      </c>
      <c r="F452" s="1156" t="s">
        <v>599</v>
      </c>
      <c r="G452" s="1155" t="s">
        <v>536</v>
      </c>
      <c r="H452" s="1155" t="s">
        <v>536</v>
      </c>
      <c r="I452" s="1155"/>
      <c r="J452" s="1155" t="s">
        <v>536</v>
      </c>
      <c r="K452" s="1153">
        <f t="shared" si="21"/>
        <v>3</v>
      </c>
      <c r="L452" s="1163">
        <f t="shared" si="20"/>
        <v>300000</v>
      </c>
      <c r="M452" s="1164"/>
    </row>
    <row r="453" spans="1:16" ht="18.75" customHeight="1">
      <c r="A453" s="1154">
        <v>432</v>
      </c>
      <c r="B453" s="1155">
        <v>9</v>
      </c>
      <c r="C453" s="1156"/>
      <c r="D453" s="1156"/>
      <c r="E453" s="460" t="s">
        <v>607</v>
      </c>
      <c r="F453" s="1156" t="s">
        <v>599</v>
      </c>
      <c r="G453" s="1155" t="s">
        <v>536</v>
      </c>
      <c r="H453" s="1155" t="s">
        <v>536</v>
      </c>
      <c r="I453" s="1155"/>
      <c r="J453" s="1155"/>
      <c r="K453" s="1153">
        <f t="shared" si="21"/>
        <v>2</v>
      </c>
      <c r="L453" s="1163">
        <f t="shared" si="20"/>
        <v>200000</v>
      </c>
      <c r="M453" s="1164"/>
    </row>
    <row r="454" spans="1:16" ht="16.5">
      <c r="A454" s="2381" t="s">
        <v>608</v>
      </c>
      <c r="B454" s="2381"/>
      <c r="C454" s="2381"/>
      <c r="D454" s="2381"/>
      <c r="E454" s="2381"/>
      <c r="F454" s="1169"/>
      <c r="G454" s="1153">
        <f t="shared" ref="G454:L454" si="22">G444+G387+G379+G309+G226+G218+G206+G112+G56+G12</f>
        <v>418</v>
      </c>
      <c r="H454" s="1153">
        <f t="shared" si="22"/>
        <v>411</v>
      </c>
      <c r="I454" s="1153">
        <f t="shared" si="22"/>
        <v>377</v>
      </c>
      <c r="J454" s="1153">
        <f t="shared" si="22"/>
        <v>378</v>
      </c>
      <c r="K454" s="1171">
        <f t="shared" si="22"/>
        <v>1584</v>
      </c>
      <c r="L454" s="1169">
        <f t="shared" si="22"/>
        <v>158400000</v>
      </c>
      <c r="M454" s="1169"/>
    </row>
    <row r="455" spans="1:16" ht="16.5">
      <c r="A455" s="2381" t="s">
        <v>609</v>
      </c>
      <c r="B455" s="2381"/>
      <c r="C455" s="2381"/>
      <c r="D455" s="2381"/>
      <c r="E455" s="2381"/>
      <c r="F455" s="2381"/>
      <c r="G455" s="2381"/>
      <c r="H455" s="2381"/>
      <c r="I455" s="2381"/>
      <c r="J455" s="2381"/>
      <c r="K455" s="2381"/>
      <c r="L455" s="2381"/>
      <c r="M455" s="2381"/>
    </row>
    <row r="456" spans="1:16" ht="16.5">
      <c r="A456" s="2382" t="s">
        <v>610</v>
      </c>
      <c r="B456" s="2382"/>
      <c r="C456" s="2382"/>
      <c r="D456" s="2382"/>
      <c r="E456" s="2382"/>
      <c r="F456" s="2382"/>
      <c r="G456" s="2382"/>
      <c r="H456" s="2382"/>
      <c r="I456" s="2382"/>
      <c r="J456" s="2382"/>
      <c r="K456" s="2382"/>
      <c r="L456" s="2382"/>
      <c r="M456" s="2382"/>
    </row>
    <row r="457" spans="1:16" ht="27" customHeight="1">
      <c r="A457" s="2377" t="s">
        <v>611</v>
      </c>
      <c r="B457" s="2377"/>
      <c r="C457" s="2377"/>
      <c r="D457" s="2377"/>
      <c r="E457" s="2377"/>
      <c r="F457" s="2377"/>
      <c r="G457" s="2377"/>
      <c r="H457" s="2377"/>
      <c r="I457" s="298"/>
      <c r="J457" s="298"/>
      <c r="K457" s="2377" t="s">
        <v>612</v>
      </c>
      <c r="L457" s="2377"/>
      <c r="M457" s="2377"/>
    </row>
    <row r="462" spans="1:16" ht="43.5" customHeight="1">
      <c r="K462" s="2377" t="s">
        <v>613</v>
      </c>
      <c r="L462" s="2377"/>
      <c r="M462" s="2377"/>
      <c r="P462" s="841">
        <f>55*200</f>
        <v>11000</v>
      </c>
    </row>
    <row r="463" spans="1:16" s="298" customFormat="1" ht="33" customHeight="1">
      <c r="A463" s="2377" t="s">
        <v>614</v>
      </c>
      <c r="B463" s="2377"/>
      <c r="C463" s="2377"/>
      <c r="D463" s="2377"/>
      <c r="E463" s="2377"/>
      <c r="F463" s="2377" t="s">
        <v>615</v>
      </c>
      <c r="G463" s="2377"/>
      <c r="H463" s="2377"/>
      <c r="I463" s="2377"/>
      <c r="J463" s="2377"/>
      <c r="K463" s="2377" t="s">
        <v>616</v>
      </c>
      <c r="L463" s="2377"/>
      <c r="M463" s="2377"/>
    </row>
    <row r="466" spans="1:13" ht="16.5">
      <c r="A466" s="1170"/>
      <c r="B466" s="2363"/>
      <c r="C466" s="2363"/>
      <c r="D466" s="2363"/>
      <c r="E466" s="2363"/>
      <c r="L466" s="2363"/>
      <c r="M466" s="2363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405" t="s">
        <v>617</v>
      </c>
      <c r="B1" s="2405"/>
      <c r="C1" s="2405"/>
      <c r="D1" s="2405"/>
      <c r="E1" s="2405"/>
      <c r="F1" s="2405"/>
      <c r="G1" s="2405"/>
      <c r="H1" s="2405"/>
      <c r="I1" s="2405"/>
      <c r="J1" s="2405"/>
      <c r="K1" s="2405"/>
      <c r="L1" s="2405"/>
      <c r="M1" s="2405"/>
      <c r="N1" s="2405"/>
    </row>
    <row r="2" spans="1:15" s="40" customFormat="1" ht="15.75">
      <c r="A2" s="2405" t="s">
        <v>618</v>
      </c>
      <c r="B2" s="2405"/>
      <c r="C2" s="2405"/>
      <c r="D2" s="2405"/>
      <c r="E2" s="2405"/>
      <c r="F2" s="2405"/>
      <c r="G2" s="2405"/>
      <c r="H2" s="2405"/>
      <c r="I2" s="2405"/>
      <c r="J2" s="2405"/>
      <c r="K2" s="2405"/>
      <c r="L2" s="2405"/>
      <c r="M2" s="2405"/>
      <c r="N2" s="2405"/>
    </row>
    <row r="3" spans="1:15" ht="10.5" customHeight="1">
      <c r="A3" s="2406" t="s">
        <v>619</v>
      </c>
      <c r="B3" s="2390"/>
      <c r="C3" s="2390"/>
      <c r="D3" s="2390"/>
      <c r="E3" s="2390"/>
      <c r="F3" s="2390"/>
      <c r="G3" s="2390"/>
      <c r="H3" s="2390"/>
      <c r="I3" s="2390"/>
      <c r="J3" s="2390"/>
      <c r="K3" s="2390"/>
      <c r="L3" s="2390"/>
      <c r="M3" s="2390"/>
      <c r="N3" s="2390"/>
    </row>
    <row r="4" spans="1:15" ht="17.25" customHeight="1">
      <c r="A4" s="2407" t="s">
        <v>3</v>
      </c>
      <c r="B4" s="2407"/>
      <c r="C4" s="2407"/>
      <c r="D4" s="2407"/>
      <c r="E4" s="2407"/>
      <c r="F4" s="2407"/>
      <c r="G4" s="2407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7"/>
      <c r="H5" s="42"/>
      <c r="I5" s="42"/>
      <c r="J5" s="42"/>
      <c r="K5" s="42"/>
      <c r="L5" s="42"/>
      <c r="M5" s="42"/>
      <c r="N5" s="42"/>
    </row>
    <row r="6" spans="1:15" ht="29.25" customHeight="1">
      <c r="A6" s="2408" t="s">
        <v>621</v>
      </c>
      <c r="B6" s="2408"/>
      <c r="C6" s="2408"/>
      <c r="D6" s="2408"/>
      <c r="E6" s="2408"/>
      <c r="F6" s="2408"/>
      <c r="G6" s="2408"/>
      <c r="H6" s="2408"/>
      <c r="I6" s="2408"/>
      <c r="J6" s="2408"/>
      <c r="K6" s="2408"/>
      <c r="L6" s="2408"/>
      <c r="M6" s="2408"/>
      <c r="N6" s="2408"/>
    </row>
    <row r="7" spans="1:15" ht="16.5">
      <c r="D7" s="2391"/>
      <c r="E7" s="2391"/>
      <c r="F7" s="2391"/>
      <c r="G7" s="2391"/>
      <c r="N7" s="447"/>
    </row>
    <row r="8" spans="1:15" ht="16.5">
      <c r="D8" s="2391" t="s">
        <v>622</v>
      </c>
      <c r="E8" s="2391"/>
      <c r="F8" s="178">
        <v>660</v>
      </c>
      <c r="G8" s="178"/>
      <c r="N8" s="447"/>
    </row>
    <row r="9" spans="1:15" ht="9" customHeight="1">
      <c r="J9" s="631"/>
      <c r="N9" s="447"/>
    </row>
    <row r="10" spans="1:15" ht="24.75" customHeight="1">
      <c r="A10" s="2392" t="s">
        <v>623</v>
      </c>
      <c r="B10" s="2393" t="s">
        <v>624</v>
      </c>
      <c r="C10" s="2394" t="s">
        <v>625</v>
      </c>
      <c r="D10" s="2392" t="s">
        <v>626</v>
      </c>
      <c r="E10" s="2393" t="s">
        <v>9</v>
      </c>
      <c r="F10" s="2395" t="s">
        <v>627</v>
      </c>
      <c r="G10" s="2402" t="s">
        <v>628</v>
      </c>
      <c r="H10" s="2403"/>
      <c r="I10" s="2404"/>
      <c r="J10" s="2395" t="s">
        <v>629</v>
      </c>
      <c r="K10" s="2393" t="s">
        <v>630</v>
      </c>
      <c r="L10" s="2393" t="s">
        <v>631</v>
      </c>
      <c r="M10" s="2393" t="s">
        <v>632</v>
      </c>
      <c r="N10" s="2393" t="s">
        <v>12</v>
      </c>
    </row>
    <row r="11" spans="1:15" ht="26.25" customHeight="1">
      <c r="A11" s="2392"/>
      <c r="B11" s="2393"/>
      <c r="C11" s="2394"/>
      <c r="D11" s="2392"/>
      <c r="E11" s="2393"/>
      <c r="F11" s="2396"/>
      <c r="G11" s="542" t="s">
        <v>633</v>
      </c>
      <c r="H11" s="542" t="s">
        <v>634</v>
      </c>
      <c r="I11" s="542" t="s">
        <v>635</v>
      </c>
      <c r="J11" s="2396"/>
      <c r="K11" s="2393"/>
      <c r="L11" s="2392"/>
      <c r="M11" s="2392"/>
      <c r="N11" s="2393"/>
    </row>
    <row r="12" spans="1:15" s="617" customFormat="1" ht="18.75" hidden="1" customHeight="1">
      <c r="A12" s="621" t="s">
        <v>636</v>
      </c>
      <c r="B12" s="621"/>
      <c r="C12" s="622" t="s">
        <v>637</v>
      </c>
      <c r="D12" s="621" t="s">
        <v>638</v>
      </c>
      <c r="E12" s="621" t="s">
        <v>639</v>
      </c>
      <c r="F12" s="621"/>
      <c r="G12" s="621" t="s">
        <v>640</v>
      </c>
      <c r="H12" s="623" t="s">
        <v>641</v>
      </c>
      <c r="I12" s="621" t="s">
        <v>642</v>
      </c>
      <c r="J12" s="633" t="s">
        <v>643</v>
      </c>
      <c r="K12" s="621" t="s">
        <v>644</v>
      </c>
      <c r="L12" s="621" t="s">
        <v>645</v>
      </c>
      <c r="M12" s="621" t="s">
        <v>646</v>
      </c>
      <c r="N12" s="634"/>
    </row>
    <row r="13" spans="1:15" s="242" customFormat="1" ht="14.25" customHeight="1">
      <c r="A13" s="624">
        <v>1</v>
      </c>
      <c r="B13" s="625"/>
      <c r="C13" s="626" t="s">
        <v>647</v>
      </c>
      <c r="D13" s="627" t="s">
        <v>421</v>
      </c>
      <c r="E13" s="61" t="s">
        <v>15</v>
      </c>
      <c r="F13" s="61"/>
      <c r="G13" s="655">
        <v>40000</v>
      </c>
      <c r="H13" s="655">
        <v>614840.625</v>
      </c>
      <c r="I13" s="655">
        <v>118678.99679999999</v>
      </c>
      <c r="J13" s="635">
        <f>SUM(G13:I13)</f>
        <v>773519.62179999996</v>
      </c>
      <c r="K13" s="635"/>
      <c r="L13" s="655"/>
      <c r="M13" s="655">
        <f>J13-L13</f>
        <v>773519.62179999996</v>
      </c>
      <c r="N13" s="627"/>
      <c r="O13" s="636">
        <f>1300000-M13</f>
        <v>526480.37820000004</v>
      </c>
    </row>
    <row r="14" spans="1:15" s="242" customFormat="1" ht="14.25" customHeight="1">
      <c r="A14" s="624">
        <v>2</v>
      </c>
      <c r="B14" s="625"/>
      <c r="C14" s="626" t="s">
        <v>648</v>
      </c>
      <c r="D14" s="627" t="s">
        <v>649</v>
      </c>
      <c r="E14" s="61" t="s">
        <v>15</v>
      </c>
      <c r="F14" s="61"/>
      <c r="G14" s="655">
        <v>40000</v>
      </c>
      <c r="H14" s="655">
        <v>554373.09900000005</v>
      </c>
      <c r="I14" s="655">
        <v>107985.26639999999</v>
      </c>
      <c r="J14" s="635">
        <f t="shared" ref="J14:J55" si="0">SUM(G14:I14)</f>
        <v>702358.36540000001</v>
      </c>
      <c r="K14" s="635"/>
      <c r="L14" s="655"/>
      <c r="M14" s="655">
        <f t="shared" ref="M14:M77" si="1">J14-L14</f>
        <v>702358.36540000001</v>
      </c>
      <c r="N14" s="627"/>
      <c r="O14" s="636">
        <f>MIN(M14:M193,M195:M524,M526:M1097,M1099:M1141,M1143:M1183,M1185:M1694,M1696:M2162,M2164:M2552)</f>
        <v>544338.9</v>
      </c>
    </row>
    <row r="15" spans="1:15" s="242" customFormat="1" ht="14.25" customHeight="1">
      <c r="A15" s="624">
        <v>3</v>
      </c>
      <c r="B15" s="625" t="str">
        <f>VLOOKUP(D15,'[1]DS CN MOI UP'!$B$11:$C$447,2,0)</f>
        <v>02429</v>
      </c>
      <c r="C15" s="626" t="s">
        <v>650</v>
      </c>
      <c r="D15" s="627" t="s">
        <v>402</v>
      </c>
      <c r="E15" s="61" t="s">
        <v>15</v>
      </c>
      <c r="F15" s="61"/>
      <c r="G15" s="655">
        <v>40000</v>
      </c>
      <c r="H15" s="655">
        <v>554373.09900000005</v>
      </c>
      <c r="I15" s="655">
        <v>106506.792</v>
      </c>
      <c r="J15" s="635">
        <f t="shared" si="0"/>
        <v>700879.89100000006</v>
      </c>
      <c r="K15" s="635"/>
      <c r="L15" s="655"/>
      <c r="M15" s="655">
        <f t="shared" si="1"/>
        <v>700879.89100000006</v>
      </c>
      <c r="N15" s="627"/>
      <c r="O15" s="636"/>
    </row>
    <row r="16" spans="1:15" s="242" customFormat="1" ht="14.25" customHeight="1">
      <c r="A16" s="624">
        <v>4</v>
      </c>
      <c r="B16" s="625" t="e">
        <f>VLOOKUP(D16,'[1]DS CN MOI UP'!$B$11:$C$447,2,0)</f>
        <v>#N/A</v>
      </c>
      <c r="C16" s="626" t="s">
        <v>651</v>
      </c>
      <c r="D16" s="627" t="s">
        <v>652</v>
      </c>
      <c r="E16" s="61" t="s">
        <v>15</v>
      </c>
      <c r="F16" s="61"/>
      <c r="G16" s="655">
        <v>40000</v>
      </c>
      <c r="H16" s="655">
        <v>554373.09900000005</v>
      </c>
      <c r="I16" s="655">
        <v>75304.754400000005</v>
      </c>
      <c r="J16" s="635">
        <f t="shared" si="0"/>
        <v>669677.85340000002</v>
      </c>
      <c r="K16" s="635"/>
      <c r="L16" s="655"/>
      <c r="M16" s="655">
        <f t="shared" si="1"/>
        <v>669677.85340000002</v>
      </c>
      <c r="N16" s="627"/>
      <c r="O16" s="636"/>
    </row>
    <row r="17" spans="1:15" s="242" customFormat="1" ht="14.25" customHeight="1">
      <c r="A17" s="624">
        <v>5</v>
      </c>
      <c r="B17" s="625" t="str">
        <f>VLOOKUP(D17,'[1]DS CN MOI UP'!$B$11:$C$447,2,0)</f>
        <v>02431</v>
      </c>
      <c r="C17" s="626" t="s">
        <v>651</v>
      </c>
      <c r="D17" s="627" t="s">
        <v>409</v>
      </c>
      <c r="E17" s="61" t="s">
        <v>15</v>
      </c>
      <c r="F17" s="61"/>
      <c r="G17" s="655">
        <v>40000</v>
      </c>
      <c r="H17" s="655">
        <v>635040.18900000001</v>
      </c>
      <c r="I17" s="655">
        <v>150609.50880000001</v>
      </c>
      <c r="J17" s="635">
        <f t="shared" si="0"/>
        <v>825649.69779999997</v>
      </c>
      <c r="K17" s="635"/>
      <c r="L17" s="655"/>
      <c r="M17" s="655">
        <f t="shared" si="1"/>
        <v>825649.69779999997</v>
      </c>
      <c r="N17" s="627"/>
      <c r="O17" s="636"/>
    </row>
    <row r="18" spans="1:15" s="242" customFormat="1" ht="14.25" customHeight="1">
      <c r="A18" s="624">
        <v>6</v>
      </c>
      <c r="B18" s="625" t="e">
        <f>VLOOKUP(D18,'[1]DS CN MOI UP'!$B$11:$C$447,2,0)</f>
        <v>#N/A</v>
      </c>
      <c r="C18" s="626" t="s">
        <v>651</v>
      </c>
      <c r="D18" s="627" t="s">
        <v>653</v>
      </c>
      <c r="E18" s="61" t="s">
        <v>15</v>
      </c>
      <c r="F18" s="61"/>
      <c r="G18" s="655">
        <v>40000</v>
      </c>
      <c r="H18" s="655">
        <v>544338.9</v>
      </c>
      <c r="I18" s="655">
        <v>146532.6</v>
      </c>
      <c r="J18" s="635">
        <f t="shared" si="0"/>
        <v>730871.5</v>
      </c>
      <c r="K18" s="635"/>
      <c r="L18" s="655"/>
      <c r="M18" s="655">
        <f t="shared" si="1"/>
        <v>730871.5</v>
      </c>
      <c r="N18" s="627"/>
      <c r="O18" s="636"/>
    </row>
    <row r="19" spans="1:15" s="242" customFormat="1" ht="14.25" customHeight="1">
      <c r="A19" s="624">
        <v>7</v>
      </c>
      <c r="B19" s="625" t="str">
        <f>VLOOKUP(D19,'[1]DS CN MOI UP'!$B$11:$C$447,2,0)</f>
        <v>02433</v>
      </c>
      <c r="C19" s="626" t="s">
        <v>651</v>
      </c>
      <c r="D19" s="627" t="s">
        <v>391</v>
      </c>
      <c r="E19" s="61" t="s">
        <v>15</v>
      </c>
      <c r="F19" s="61"/>
      <c r="G19" s="655">
        <v>40000</v>
      </c>
      <c r="H19" s="655">
        <v>574572.66299999994</v>
      </c>
      <c r="I19" s="655">
        <v>107519.124</v>
      </c>
      <c r="J19" s="635">
        <f t="shared" si="0"/>
        <v>722091.78699999989</v>
      </c>
      <c r="K19" s="635"/>
      <c r="L19" s="655"/>
      <c r="M19" s="655">
        <f t="shared" si="1"/>
        <v>722091.78699999989</v>
      </c>
      <c r="N19" s="627"/>
      <c r="O19" s="636"/>
    </row>
    <row r="20" spans="1:15" s="242" customFormat="1" ht="14.25" customHeight="1">
      <c r="A20" s="624">
        <v>8</v>
      </c>
      <c r="B20" s="625" t="e">
        <f>VLOOKUP(D20,'[1]DS CN MOI UP'!$B$11:$C$447,2,0)</f>
        <v>#N/A</v>
      </c>
      <c r="C20" s="626" t="s">
        <v>651</v>
      </c>
      <c r="D20" s="627" t="s">
        <v>414</v>
      </c>
      <c r="E20" s="61" t="s">
        <v>15</v>
      </c>
      <c r="F20" s="61"/>
      <c r="G20" s="655">
        <v>40000</v>
      </c>
      <c r="H20" s="655">
        <v>604806.42599999998</v>
      </c>
      <c r="I20" s="655">
        <v>109019.124</v>
      </c>
      <c r="J20" s="635">
        <f t="shared" si="0"/>
        <v>753825.54999999993</v>
      </c>
      <c r="K20" s="635"/>
      <c r="L20" s="655"/>
      <c r="M20" s="655">
        <f t="shared" si="1"/>
        <v>753825.54999999993</v>
      </c>
      <c r="N20" s="627"/>
      <c r="O20" s="636"/>
    </row>
    <row r="21" spans="1:15" s="242" customFormat="1" ht="14.25" customHeight="1">
      <c r="A21" s="624">
        <v>9</v>
      </c>
      <c r="B21" s="625" t="str">
        <f>VLOOKUP(D21,'[1]DS CN MOI UP'!$B$11:$C$447,2,0)</f>
        <v>03436</v>
      </c>
      <c r="C21" s="626" t="s">
        <v>651</v>
      </c>
      <c r="D21" s="627" t="s">
        <v>398</v>
      </c>
      <c r="E21" s="61" t="s">
        <v>15</v>
      </c>
      <c r="F21" s="61"/>
      <c r="G21" s="655">
        <v>40000</v>
      </c>
      <c r="H21" s="655">
        <v>584606.86199999996</v>
      </c>
      <c r="I21" s="655">
        <v>229728.84</v>
      </c>
      <c r="J21" s="635">
        <f t="shared" si="0"/>
        <v>854335.70199999993</v>
      </c>
      <c r="K21" s="635"/>
      <c r="L21" s="655"/>
      <c r="M21" s="655">
        <f t="shared" si="1"/>
        <v>854335.70199999993</v>
      </c>
      <c r="N21" s="627"/>
      <c r="O21" s="636"/>
    </row>
    <row r="22" spans="1:15" s="242" customFormat="1" ht="14.25" customHeight="1">
      <c r="A22" s="624">
        <v>10</v>
      </c>
      <c r="B22" s="625" t="str">
        <f>VLOOKUP(D22,'[1]DS CN MOI UP'!$B$11:$C$447,2,0)</f>
        <v>02638</v>
      </c>
      <c r="C22" s="626" t="s">
        <v>651</v>
      </c>
      <c r="D22" s="627" t="s">
        <v>591</v>
      </c>
      <c r="E22" s="61" t="s">
        <v>15</v>
      </c>
      <c r="F22" s="61"/>
      <c r="G22" s="655">
        <v>40000</v>
      </c>
      <c r="H22" s="655">
        <v>635040.18900000001</v>
      </c>
      <c r="I22" s="655">
        <v>193212.22560000001</v>
      </c>
      <c r="J22" s="635">
        <f t="shared" si="0"/>
        <v>868252.41460000002</v>
      </c>
      <c r="K22" s="635"/>
      <c r="L22" s="655"/>
      <c r="M22" s="655">
        <f t="shared" si="1"/>
        <v>868252.41460000002</v>
      </c>
      <c r="N22" s="627"/>
      <c r="O22" s="636"/>
    </row>
    <row r="23" spans="1:15" s="242" customFormat="1" ht="14.25" customHeight="1">
      <c r="A23" s="624">
        <v>11</v>
      </c>
      <c r="B23" s="625" t="str">
        <f>VLOOKUP(D23,'[1]DS CN MOI UP'!$B$11:$C$447,2,0)</f>
        <v>02437</v>
      </c>
      <c r="C23" s="626" t="s">
        <v>651</v>
      </c>
      <c r="D23" s="627" t="s">
        <v>410</v>
      </c>
      <c r="E23" s="61" t="s">
        <v>15</v>
      </c>
      <c r="F23" s="61"/>
      <c r="G23" s="655">
        <v>40000</v>
      </c>
      <c r="H23" s="655">
        <v>524139.33600000001</v>
      </c>
      <c r="I23" s="655">
        <v>524139.33600000001</v>
      </c>
      <c r="J23" s="635">
        <f t="shared" si="0"/>
        <v>1088278.672</v>
      </c>
      <c r="K23" s="635"/>
      <c r="L23" s="655"/>
      <c r="M23" s="655">
        <f t="shared" si="1"/>
        <v>1088278.672</v>
      </c>
      <c r="N23" s="627"/>
      <c r="O23" s="636"/>
    </row>
    <row r="24" spans="1:15" s="242" customFormat="1" ht="14.25" customHeight="1">
      <c r="A24" s="624">
        <v>12</v>
      </c>
      <c r="B24" s="625" t="str">
        <f>VLOOKUP(D24,'[1]DS CN MOI UP'!$B$11:$C$447,2,0)</f>
        <v>02438</v>
      </c>
      <c r="C24" s="626" t="s">
        <v>651</v>
      </c>
      <c r="D24" s="627" t="s">
        <v>419</v>
      </c>
      <c r="E24" s="61" t="s">
        <v>15</v>
      </c>
      <c r="F24" s="61"/>
      <c r="G24" s="655">
        <v>40000</v>
      </c>
      <c r="H24" s="655">
        <v>635040.18900000001</v>
      </c>
      <c r="I24" s="655">
        <v>524139.33600000001</v>
      </c>
      <c r="J24" s="635">
        <f t="shared" si="0"/>
        <v>1199179.5249999999</v>
      </c>
      <c r="K24" s="635"/>
      <c r="L24" s="655"/>
      <c r="M24" s="655">
        <f t="shared" si="1"/>
        <v>1199179.5249999999</v>
      </c>
      <c r="N24" s="627"/>
      <c r="O24" s="636"/>
    </row>
    <row r="25" spans="1:15" s="242" customFormat="1" ht="14.25" customHeight="1">
      <c r="A25" s="624">
        <v>13</v>
      </c>
      <c r="B25" s="625" t="str">
        <f>VLOOKUP(D25,'[1]DS CN MOI UP'!$B$11:$C$447,2,0)</f>
        <v>02440</v>
      </c>
      <c r="C25" s="626" t="s">
        <v>651</v>
      </c>
      <c r="D25" s="627" t="s">
        <v>357</v>
      </c>
      <c r="E25" s="61" t="s">
        <v>15</v>
      </c>
      <c r="F25" s="61"/>
      <c r="G25" s="655">
        <v>40000</v>
      </c>
      <c r="H25" s="655">
        <v>635040.18900000001</v>
      </c>
      <c r="I25" s="655">
        <v>524139.33600000001</v>
      </c>
      <c r="J25" s="635">
        <f t="shared" si="0"/>
        <v>1199179.5249999999</v>
      </c>
      <c r="K25" s="635"/>
      <c r="L25" s="655"/>
      <c r="M25" s="655">
        <f t="shared" si="1"/>
        <v>1199179.5249999999</v>
      </c>
      <c r="N25" s="627"/>
      <c r="O25" s="636"/>
    </row>
    <row r="26" spans="1:15" s="242" customFormat="1" ht="14.25" customHeight="1">
      <c r="A26" s="624">
        <v>14</v>
      </c>
      <c r="B26" s="625" t="str">
        <f>VLOOKUP(D26,'[1]DS CN MOI UP'!$B$11:$C$447,2,0)</f>
        <v>02442</v>
      </c>
      <c r="C26" s="626" t="s">
        <v>651</v>
      </c>
      <c r="D26" s="627" t="s">
        <v>420</v>
      </c>
      <c r="E26" s="61" t="s">
        <v>15</v>
      </c>
      <c r="F26" s="61"/>
      <c r="G26" s="655">
        <v>40000</v>
      </c>
      <c r="H26" s="655">
        <v>554373.09900000005</v>
      </c>
      <c r="I26" s="655">
        <v>524139.33600000001</v>
      </c>
      <c r="J26" s="635">
        <f t="shared" si="0"/>
        <v>1118512.4350000001</v>
      </c>
      <c r="K26" s="635"/>
      <c r="L26" s="655"/>
      <c r="M26" s="655">
        <f t="shared" si="1"/>
        <v>1118512.4350000001</v>
      </c>
      <c r="N26" s="627"/>
      <c r="O26" s="636"/>
    </row>
    <row r="27" spans="1:15" s="242" customFormat="1" ht="14.25" customHeight="1">
      <c r="A27" s="624">
        <v>15</v>
      </c>
      <c r="B27" s="625" t="str">
        <f>VLOOKUP(D27,'[1]DS CN MOI UP'!$B$11:$C$447,2,0)</f>
        <v>02441</v>
      </c>
      <c r="C27" s="626" t="s">
        <v>651</v>
      </c>
      <c r="D27" s="627" t="s">
        <v>389</v>
      </c>
      <c r="E27" s="61" t="s">
        <v>15</v>
      </c>
      <c r="F27" s="61"/>
      <c r="G27" s="655">
        <v>40000</v>
      </c>
      <c r="H27" s="655">
        <v>433438.04700000002</v>
      </c>
      <c r="I27" s="655">
        <v>184104.59760000001</v>
      </c>
      <c r="J27" s="635">
        <f t="shared" si="0"/>
        <v>657542.6446</v>
      </c>
      <c r="K27" s="635"/>
      <c r="L27" s="655"/>
      <c r="M27" s="655">
        <f t="shared" si="1"/>
        <v>657542.6446</v>
      </c>
      <c r="N27" s="627"/>
      <c r="O27" s="636"/>
    </row>
    <row r="28" spans="1:15" s="242" customFormat="1" ht="14.25" customHeight="1">
      <c r="A28" s="624">
        <v>16</v>
      </c>
      <c r="B28" s="625" t="str">
        <f>VLOOKUP(D28,'[1]DS CN MOI UP'!$B$11:$C$447,2,0)</f>
        <v>03441</v>
      </c>
      <c r="C28" s="626" t="s">
        <v>654</v>
      </c>
      <c r="D28" s="627" t="s">
        <v>404</v>
      </c>
      <c r="E28" s="61" t="s">
        <v>15</v>
      </c>
      <c r="F28" s="61"/>
      <c r="G28" s="655">
        <v>40000</v>
      </c>
      <c r="H28" s="655">
        <v>383004.72</v>
      </c>
      <c r="I28" s="655">
        <v>251034.90599999999</v>
      </c>
      <c r="J28" s="635">
        <f t="shared" si="0"/>
        <v>674039.62599999993</v>
      </c>
      <c r="K28" s="635"/>
      <c r="L28" s="655"/>
      <c r="M28" s="655">
        <f t="shared" si="1"/>
        <v>674039.62599999993</v>
      </c>
      <c r="N28" s="627"/>
      <c r="O28" s="636"/>
    </row>
    <row r="29" spans="1:15" s="242" customFormat="1" ht="14.25" customHeight="1">
      <c r="A29" s="624">
        <v>17</v>
      </c>
      <c r="B29" s="625" t="str">
        <f>VLOOKUP(D29,'[1]DS CN MOI UP'!$B$11:$C$447,2,0)</f>
        <v>02439</v>
      </c>
      <c r="C29" s="626" t="s">
        <v>654</v>
      </c>
      <c r="D29" s="627" t="s">
        <v>415</v>
      </c>
      <c r="E29" s="61" t="s">
        <v>15</v>
      </c>
      <c r="F29" s="61"/>
      <c r="G29" s="655">
        <v>40000</v>
      </c>
      <c r="H29" s="655">
        <v>312502.995</v>
      </c>
      <c r="I29" s="655">
        <v>312502.995</v>
      </c>
      <c r="J29" s="635">
        <f t="shared" si="0"/>
        <v>665005.99</v>
      </c>
      <c r="K29" s="635"/>
      <c r="L29" s="655"/>
      <c r="M29" s="655">
        <f t="shared" si="1"/>
        <v>665005.99</v>
      </c>
      <c r="N29" s="627"/>
      <c r="O29" s="636"/>
    </row>
    <row r="30" spans="1:15" s="242" customFormat="1" ht="14.25" customHeight="1">
      <c r="A30" s="624">
        <v>18</v>
      </c>
      <c r="B30" s="625" t="str">
        <f>VLOOKUP(D30,'[1]DS CN MOI UP'!$B$11:$C$447,2,0)</f>
        <v>03428</v>
      </c>
      <c r="C30" s="626" t="s">
        <v>654</v>
      </c>
      <c r="D30" s="627" t="s">
        <v>388</v>
      </c>
      <c r="E30" s="61" t="s">
        <v>15</v>
      </c>
      <c r="F30" s="61"/>
      <c r="G30" s="655">
        <v>40000</v>
      </c>
      <c r="H30" s="655">
        <v>614840.625</v>
      </c>
      <c r="I30" s="655">
        <v>614840.625</v>
      </c>
      <c r="J30" s="635">
        <f t="shared" si="0"/>
        <v>1269681.25</v>
      </c>
      <c r="K30" s="635"/>
      <c r="L30" s="655"/>
      <c r="M30" s="655">
        <f t="shared" si="1"/>
        <v>1269681.25</v>
      </c>
      <c r="N30" s="627"/>
      <c r="O30" s="636"/>
    </row>
    <row r="31" spans="1:15" s="242" customFormat="1" ht="14.25" customHeight="1">
      <c r="A31" s="624">
        <v>19</v>
      </c>
      <c r="B31" s="625" t="e">
        <f>VLOOKUP(D31,'[1]DS CN MOI UP'!$B$11:$C$447,2,0)</f>
        <v>#N/A</v>
      </c>
      <c r="C31" s="626" t="s">
        <v>654</v>
      </c>
      <c r="D31" s="627" t="s">
        <v>655</v>
      </c>
      <c r="E31" s="61" t="s">
        <v>15</v>
      </c>
      <c r="F31" s="61"/>
      <c r="G31" s="655">
        <v>40000</v>
      </c>
      <c r="H31" s="655">
        <v>554373.09900000005</v>
      </c>
      <c r="I31" s="655">
        <v>554373.09900000005</v>
      </c>
      <c r="J31" s="635">
        <f t="shared" si="0"/>
        <v>1148746.1980000001</v>
      </c>
      <c r="K31" s="635"/>
      <c r="L31" s="655"/>
      <c r="M31" s="655">
        <f t="shared" si="1"/>
        <v>1148746.1980000001</v>
      </c>
      <c r="N31" s="627"/>
      <c r="O31" s="636"/>
    </row>
    <row r="32" spans="1:15" s="242" customFormat="1" ht="14.25" customHeight="1">
      <c r="A32" s="624">
        <v>20</v>
      </c>
      <c r="B32" s="625" t="e">
        <f>VLOOKUP(D32,'[1]DS CN MOI UP'!$B$11:$C$447,2,0)</f>
        <v>#N/A</v>
      </c>
      <c r="C32" s="626" t="s">
        <v>654</v>
      </c>
      <c r="D32" s="627" t="s">
        <v>656</v>
      </c>
      <c r="E32" s="61" t="s">
        <v>15</v>
      </c>
      <c r="F32" s="61"/>
      <c r="G32" s="655">
        <v>40000</v>
      </c>
      <c r="H32" s="655">
        <v>554373.09900000005</v>
      </c>
      <c r="I32" s="655">
        <v>554373.09900000005</v>
      </c>
      <c r="J32" s="635">
        <f t="shared" si="0"/>
        <v>1148746.1980000001</v>
      </c>
      <c r="K32" s="635"/>
      <c r="L32" s="655"/>
      <c r="M32" s="655">
        <f t="shared" si="1"/>
        <v>1148746.1980000001</v>
      </c>
      <c r="N32" s="627"/>
      <c r="O32" s="636"/>
    </row>
    <row r="33" spans="1:15" s="242" customFormat="1" ht="14.25" customHeight="1">
      <c r="A33" s="624">
        <v>21</v>
      </c>
      <c r="B33" s="625" t="e">
        <f>VLOOKUP(D33,'[1]DS CN MOI UP'!$B$11:$C$447,2,0)</f>
        <v>#N/A</v>
      </c>
      <c r="C33" s="626" t="s">
        <v>654</v>
      </c>
      <c r="D33" s="627" t="s">
        <v>657</v>
      </c>
      <c r="E33" s="61" t="s">
        <v>15</v>
      </c>
      <c r="F33" s="61"/>
      <c r="G33" s="655">
        <v>40000</v>
      </c>
      <c r="H33" s="655">
        <v>554373.09900000005</v>
      </c>
      <c r="I33" s="655">
        <v>554373.09900000005</v>
      </c>
      <c r="J33" s="635">
        <f t="shared" si="0"/>
        <v>1148746.1980000001</v>
      </c>
      <c r="K33" s="635"/>
      <c r="L33" s="655"/>
      <c r="M33" s="655">
        <f t="shared" si="1"/>
        <v>1148746.1980000001</v>
      </c>
      <c r="N33" s="627"/>
      <c r="O33" s="636"/>
    </row>
    <row r="34" spans="1:15" s="242" customFormat="1" ht="14.25" customHeight="1">
      <c r="A34" s="624">
        <v>22</v>
      </c>
      <c r="B34" s="625" t="e">
        <f>VLOOKUP(D34,'[1]DS CN MOI UP'!$B$11:$C$447,2,0)</f>
        <v>#N/A</v>
      </c>
      <c r="C34" s="626" t="s">
        <v>654</v>
      </c>
      <c r="D34" s="627" t="s">
        <v>658</v>
      </c>
      <c r="E34" s="61" t="s">
        <v>15</v>
      </c>
      <c r="F34" s="61"/>
      <c r="G34" s="655"/>
      <c r="H34" s="655">
        <v>635040.18900000001</v>
      </c>
      <c r="I34" s="655">
        <v>635040.18900000001</v>
      </c>
      <c r="J34" s="635">
        <f t="shared" si="0"/>
        <v>1270080.378</v>
      </c>
      <c r="K34" s="635"/>
      <c r="L34" s="655"/>
      <c r="M34" s="655">
        <f t="shared" si="1"/>
        <v>1270080.378</v>
      </c>
      <c r="N34" s="627"/>
      <c r="O34" s="636"/>
    </row>
    <row r="35" spans="1:15" s="242" customFormat="1" ht="14.25" customHeight="1">
      <c r="A35" s="624">
        <v>23</v>
      </c>
      <c r="B35" s="625" t="e">
        <f>VLOOKUP(D35,'[1]DS CN MOI UP'!$B$11:$C$447,2,0)</f>
        <v>#N/A</v>
      </c>
      <c r="C35" s="626" t="s">
        <v>654</v>
      </c>
      <c r="D35" s="627" t="s">
        <v>659</v>
      </c>
      <c r="E35" s="61" t="s">
        <v>15</v>
      </c>
      <c r="F35" s="61"/>
      <c r="G35" s="655">
        <v>40000</v>
      </c>
      <c r="H35" s="655">
        <v>544338.9</v>
      </c>
      <c r="I35" s="655">
        <v>544338.9</v>
      </c>
      <c r="J35" s="635">
        <f t="shared" si="0"/>
        <v>1128677.8</v>
      </c>
      <c r="K35" s="635"/>
      <c r="L35" s="655"/>
      <c r="M35" s="655">
        <f t="shared" si="1"/>
        <v>1128677.8</v>
      </c>
      <c r="N35" s="627"/>
      <c r="O35" s="636"/>
    </row>
    <row r="36" spans="1:15" s="242" customFormat="1" ht="14.25" customHeight="1">
      <c r="A36" s="624">
        <v>24</v>
      </c>
      <c r="B36" s="625" t="e">
        <f>VLOOKUP(D36,'[1]DS CN MOI UP'!$B$11:$C$447,2,0)</f>
        <v>#N/A</v>
      </c>
      <c r="C36" s="626" t="s">
        <v>654</v>
      </c>
      <c r="D36" s="627" t="s">
        <v>660</v>
      </c>
      <c r="E36" s="61" t="s">
        <v>15</v>
      </c>
      <c r="F36" s="61"/>
      <c r="G36" s="655">
        <v>40000</v>
      </c>
      <c r="H36" s="655">
        <v>574572.66299999994</v>
      </c>
      <c r="I36" s="655">
        <v>574572.66299999994</v>
      </c>
      <c r="J36" s="635">
        <f t="shared" si="0"/>
        <v>1189145.3259999999</v>
      </c>
      <c r="K36" s="635"/>
      <c r="L36" s="655"/>
      <c r="M36" s="655">
        <f t="shared" si="1"/>
        <v>1189145.3259999999</v>
      </c>
      <c r="N36" s="627"/>
      <c r="O36" s="636"/>
    </row>
    <row r="37" spans="1:15" s="242" customFormat="1" ht="14.25" customHeight="1">
      <c r="A37" s="624">
        <v>25</v>
      </c>
      <c r="B37" s="625" t="e">
        <f>VLOOKUP(D37,'[1]DS CN MOI UP'!$B$11:$C$447,2,0)</f>
        <v>#N/A</v>
      </c>
      <c r="C37" s="626" t="s">
        <v>654</v>
      </c>
      <c r="D37" s="627" t="s">
        <v>661</v>
      </c>
      <c r="E37" s="61" t="s">
        <v>15</v>
      </c>
      <c r="F37" s="61"/>
      <c r="G37" s="655">
        <v>40000</v>
      </c>
      <c r="H37" s="655">
        <v>604806.42599999998</v>
      </c>
      <c r="I37" s="655">
        <v>604806.42599999998</v>
      </c>
      <c r="J37" s="635">
        <f t="shared" si="0"/>
        <v>1249612.852</v>
      </c>
      <c r="K37" s="635"/>
      <c r="L37" s="655"/>
      <c r="M37" s="655">
        <f t="shared" si="1"/>
        <v>1249612.852</v>
      </c>
      <c r="N37" s="627"/>
      <c r="O37" s="636"/>
    </row>
    <row r="38" spans="1:15" s="242" customFormat="1" ht="14.25" customHeight="1">
      <c r="A38" s="624">
        <v>26</v>
      </c>
      <c r="B38" s="625" t="e">
        <f>VLOOKUP(D38,'[1]DS CN MOI UP'!$B$11:$C$447,2,0)</f>
        <v>#N/A</v>
      </c>
      <c r="C38" s="626" t="s">
        <v>654</v>
      </c>
      <c r="D38" s="627" t="s">
        <v>662</v>
      </c>
      <c r="E38" s="61" t="s">
        <v>15</v>
      </c>
      <c r="F38" s="61"/>
      <c r="G38" s="655">
        <v>40000</v>
      </c>
      <c r="H38" s="655">
        <v>584606.86199999996</v>
      </c>
      <c r="I38" s="655">
        <v>584606.86199999996</v>
      </c>
      <c r="J38" s="635">
        <f t="shared" si="0"/>
        <v>1209213.7239999999</v>
      </c>
      <c r="K38" s="635"/>
      <c r="L38" s="655"/>
      <c r="M38" s="655">
        <f t="shared" si="1"/>
        <v>1209213.7239999999</v>
      </c>
      <c r="N38" s="627"/>
      <c r="O38" s="636"/>
    </row>
    <row r="39" spans="1:15" s="242" customFormat="1" ht="14.25" customHeight="1">
      <c r="A39" s="624">
        <v>27</v>
      </c>
      <c r="B39" s="625" t="str">
        <f>VLOOKUP(D39,'[1]DS CN MOI UP'!$B$11:$C$447,2,0)</f>
        <v>03442</v>
      </c>
      <c r="C39" s="626" t="s">
        <v>654</v>
      </c>
      <c r="D39" s="627" t="s">
        <v>406</v>
      </c>
      <c r="E39" s="61" t="s">
        <v>15</v>
      </c>
      <c r="F39" s="61"/>
      <c r="G39" s="655"/>
      <c r="H39" s="655">
        <v>635040.18900000001</v>
      </c>
      <c r="I39" s="655">
        <v>635040.18900000001</v>
      </c>
      <c r="J39" s="635">
        <f t="shared" si="0"/>
        <v>1270080.378</v>
      </c>
      <c r="K39" s="635"/>
      <c r="L39" s="655"/>
      <c r="M39" s="655">
        <f t="shared" si="1"/>
        <v>1270080.378</v>
      </c>
      <c r="N39" s="627"/>
      <c r="O39" s="636"/>
    </row>
    <row r="40" spans="1:15" s="242" customFormat="1" ht="14.25" customHeight="1">
      <c r="A40" s="624">
        <v>28</v>
      </c>
      <c r="B40" s="625" t="str">
        <f>VLOOKUP(D40,'[1]DS CN MOI UP'!$B$11:$C$447,2,0)</f>
        <v>03439</v>
      </c>
      <c r="C40" s="626" t="s">
        <v>654</v>
      </c>
      <c r="D40" s="627" t="s">
        <v>401</v>
      </c>
      <c r="E40" s="61" t="s">
        <v>15</v>
      </c>
      <c r="F40" s="61"/>
      <c r="G40" s="655">
        <v>40000</v>
      </c>
      <c r="H40" s="655">
        <v>524139.33600000001</v>
      </c>
      <c r="I40" s="655">
        <v>524139.33600000001</v>
      </c>
      <c r="J40" s="635">
        <f t="shared" si="0"/>
        <v>1088278.672</v>
      </c>
      <c r="K40" s="635"/>
      <c r="L40" s="655"/>
      <c r="M40" s="655">
        <f t="shared" si="1"/>
        <v>1088278.672</v>
      </c>
      <c r="N40" s="627"/>
      <c r="O40" s="636"/>
    </row>
    <row r="41" spans="1:15" s="242" customFormat="1" ht="14.25" customHeight="1">
      <c r="A41" s="624">
        <v>29</v>
      </c>
      <c r="B41" s="625" t="e">
        <f>VLOOKUP(D41,'[1]DS CN MOI UP'!$B$11:$C$447,2,0)</f>
        <v>#N/A</v>
      </c>
      <c r="C41" s="626" t="s">
        <v>654</v>
      </c>
      <c r="D41" s="627" t="s">
        <v>663</v>
      </c>
      <c r="E41" s="61" t="s">
        <v>15</v>
      </c>
      <c r="F41" s="61"/>
      <c r="G41" s="655">
        <v>40000</v>
      </c>
      <c r="H41" s="655">
        <v>554373.09900000005</v>
      </c>
      <c r="I41" s="655">
        <v>554373.09900000005</v>
      </c>
      <c r="J41" s="635">
        <f t="shared" si="0"/>
        <v>1148746.1980000001</v>
      </c>
      <c r="K41" s="635"/>
      <c r="L41" s="655"/>
      <c r="M41" s="655">
        <f t="shared" si="1"/>
        <v>1148746.1980000001</v>
      </c>
      <c r="N41" s="627"/>
      <c r="O41" s="636"/>
    </row>
    <row r="42" spans="1:15" s="242" customFormat="1" ht="14.25" customHeight="1">
      <c r="A42" s="624">
        <v>30</v>
      </c>
      <c r="B42" s="625" t="str">
        <f>VLOOKUP(D42,'[1]DS CN MOI UP'!$B$11:$C$447,2,0)</f>
        <v>03443</v>
      </c>
      <c r="C42" s="626" t="s">
        <v>654</v>
      </c>
      <c r="D42" s="627" t="s">
        <v>407</v>
      </c>
      <c r="E42" s="61" t="s">
        <v>15</v>
      </c>
      <c r="F42" s="61"/>
      <c r="G42" s="655">
        <v>40000</v>
      </c>
      <c r="H42" s="655">
        <v>554373.09900000005</v>
      </c>
      <c r="I42" s="655">
        <v>265581.23460003</v>
      </c>
      <c r="J42" s="635">
        <f t="shared" si="0"/>
        <v>859954.33360003005</v>
      </c>
      <c r="K42" s="635"/>
      <c r="L42" s="655"/>
      <c r="M42" s="655">
        <f t="shared" si="1"/>
        <v>859954.33360003005</v>
      </c>
      <c r="N42" s="627"/>
      <c r="O42" s="636"/>
    </row>
    <row r="43" spans="1:15" s="242" customFormat="1" ht="14.25" customHeight="1">
      <c r="A43" s="624">
        <v>31</v>
      </c>
      <c r="B43" s="625" t="e">
        <f>VLOOKUP(D43,'[1]DS CN MOI UP'!$B$11:$C$447,2,0)</f>
        <v>#N/A</v>
      </c>
      <c r="C43" s="626" t="s">
        <v>654</v>
      </c>
      <c r="D43" s="627" t="s">
        <v>664</v>
      </c>
      <c r="E43" s="61" t="s">
        <v>15</v>
      </c>
      <c r="F43" s="61"/>
      <c r="G43" s="655">
        <v>40000</v>
      </c>
      <c r="H43" s="635">
        <v>614840.625</v>
      </c>
      <c r="I43" s="635">
        <v>118678.99679999999</v>
      </c>
      <c r="J43" s="635">
        <f t="shared" si="0"/>
        <v>773519.62179999996</v>
      </c>
      <c r="K43" s="635"/>
      <c r="L43" s="655"/>
      <c r="M43" s="655">
        <f t="shared" si="1"/>
        <v>773519.62179999996</v>
      </c>
      <c r="N43" s="627"/>
      <c r="O43" s="636"/>
    </row>
    <row r="44" spans="1:15" s="242" customFormat="1" ht="14.25" customHeight="1">
      <c r="A44" s="624">
        <v>32</v>
      </c>
      <c r="B44" s="625" t="str">
        <f>VLOOKUP(D44,'[1]DS CN MOI UP'!$B$11:$C$447,2,0)</f>
        <v>03446</v>
      </c>
      <c r="C44" s="626" t="s">
        <v>654</v>
      </c>
      <c r="D44" s="627" t="s">
        <v>412</v>
      </c>
      <c r="E44" s="61" t="s">
        <v>15</v>
      </c>
      <c r="F44" s="61"/>
      <c r="G44" s="655">
        <v>40000</v>
      </c>
      <c r="H44" s="635">
        <v>554373.09900000005</v>
      </c>
      <c r="I44" s="635">
        <v>107985.26639999999</v>
      </c>
      <c r="J44" s="635">
        <f t="shared" si="0"/>
        <v>702358.36540000001</v>
      </c>
      <c r="K44" s="635"/>
      <c r="L44" s="655"/>
      <c r="M44" s="655">
        <f t="shared" si="1"/>
        <v>702358.36540000001</v>
      </c>
      <c r="N44" s="627"/>
      <c r="O44" s="636"/>
    </row>
    <row r="45" spans="1:15" s="242" customFormat="1" ht="14.25" customHeight="1">
      <c r="A45" s="624">
        <v>33</v>
      </c>
      <c r="B45" s="625" t="str">
        <f>VLOOKUP(D45,'[1]DS CN MOI UP'!$B$11:$C$447,2,0)</f>
        <v>03440</v>
      </c>
      <c r="C45" s="626" t="s">
        <v>654</v>
      </c>
      <c r="D45" s="627" t="s">
        <v>403</v>
      </c>
      <c r="E45" s="61" t="s">
        <v>15</v>
      </c>
      <c r="F45" s="61"/>
      <c r="G45" s="655">
        <v>40000</v>
      </c>
      <c r="H45" s="635">
        <v>554373.09900000005</v>
      </c>
      <c r="I45" s="635">
        <v>106506.792</v>
      </c>
      <c r="J45" s="635">
        <f t="shared" si="0"/>
        <v>700879.89100000006</v>
      </c>
      <c r="K45" s="635"/>
      <c r="L45" s="655"/>
      <c r="M45" s="655">
        <f t="shared" si="1"/>
        <v>700879.89100000006</v>
      </c>
      <c r="N45" s="627"/>
      <c r="O45" s="636"/>
    </row>
    <row r="46" spans="1:15" s="242" customFormat="1" ht="14.25" customHeight="1">
      <c r="A46" s="624">
        <v>34</v>
      </c>
      <c r="B46" s="625" t="str">
        <f>VLOOKUP(D46,'[1]DS CN MOI UP'!$B$11:$C$447,2,0)</f>
        <v>03852</v>
      </c>
      <c r="C46" s="626" t="s">
        <v>654</v>
      </c>
      <c r="D46" s="627" t="s">
        <v>471</v>
      </c>
      <c r="E46" s="61" t="s">
        <v>15</v>
      </c>
      <c r="F46" s="61"/>
      <c r="G46" s="655">
        <v>40000</v>
      </c>
      <c r="H46" s="635">
        <v>554373.09900000005</v>
      </c>
      <c r="I46" s="635">
        <v>75304.754400000005</v>
      </c>
      <c r="J46" s="635">
        <f t="shared" si="0"/>
        <v>669677.85340000002</v>
      </c>
      <c r="K46" s="635"/>
      <c r="L46" s="655"/>
      <c r="M46" s="655">
        <f t="shared" si="1"/>
        <v>669677.85340000002</v>
      </c>
      <c r="N46" s="627"/>
      <c r="O46" s="636"/>
    </row>
    <row r="47" spans="1:15" s="242" customFormat="1" ht="14.25" customHeight="1">
      <c r="A47" s="624">
        <v>35</v>
      </c>
      <c r="B47" s="625" t="e">
        <f>VLOOKUP(D47,'[1]DS CN MOI UP'!$B$11:$C$447,2,0)</f>
        <v>#N/A</v>
      </c>
      <c r="C47" s="626" t="s">
        <v>654</v>
      </c>
      <c r="D47" s="627" t="s">
        <v>665</v>
      </c>
      <c r="E47" s="61" t="s">
        <v>15</v>
      </c>
      <c r="F47" s="61"/>
      <c r="G47" s="655">
        <v>40000</v>
      </c>
      <c r="H47" s="635">
        <v>635040.18900000001</v>
      </c>
      <c r="I47" s="635">
        <v>150609.50880000001</v>
      </c>
      <c r="J47" s="635">
        <f t="shared" si="0"/>
        <v>825649.69779999997</v>
      </c>
      <c r="K47" s="635"/>
      <c r="L47" s="655"/>
      <c r="M47" s="655">
        <f t="shared" si="1"/>
        <v>825649.69779999997</v>
      </c>
      <c r="N47" s="627"/>
      <c r="O47" s="636"/>
    </row>
    <row r="48" spans="1:15" s="242" customFormat="1" ht="14.25" customHeight="1">
      <c r="A48" s="624">
        <v>36</v>
      </c>
      <c r="B48" s="625" t="e">
        <f>VLOOKUP(D48,'[1]DS CN MOI UP'!$B$11:$C$447,2,0)</f>
        <v>#N/A</v>
      </c>
      <c r="C48" s="626" t="s">
        <v>654</v>
      </c>
      <c r="D48" s="627" t="s">
        <v>666</v>
      </c>
      <c r="E48" s="61" t="s">
        <v>15</v>
      </c>
      <c r="F48" s="61"/>
      <c r="G48" s="655">
        <v>40000</v>
      </c>
      <c r="H48" s="635">
        <v>544338.9</v>
      </c>
      <c r="I48" s="635">
        <v>146532.6</v>
      </c>
      <c r="J48" s="635">
        <f t="shared" si="0"/>
        <v>730871.5</v>
      </c>
      <c r="K48" s="635"/>
      <c r="L48" s="655"/>
      <c r="M48" s="655">
        <f t="shared" si="1"/>
        <v>730871.5</v>
      </c>
      <c r="N48" s="627"/>
      <c r="O48" s="636"/>
    </row>
    <row r="49" spans="1:15" s="242" customFormat="1" ht="14.25" customHeight="1">
      <c r="A49" s="624">
        <v>37</v>
      </c>
      <c r="B49" s="625" t="e">
        <f>VLOOKUP(D49,'[1]DS CN MOI UP'!$B$11:$C$447,2,0)</f>
        <v>#N/A</v>
      </c>
      <c r="C49" s="626" t="s">
        <v>654</v>
      </c>
      <c r="D49" s="627" t="s">
        <v>333</v>
      </c>
      <c r="E49" s="61" t="s">
        <v>15</v>
      </c>
      <c r="F49" s="61"/>
      <c r="G49" s="655">
        <v>40000</v>
      </c>
      <c r="H49" s="635">
        <v>574572.66299999994</v>
      </c>
      <c r="I49" s="635">
        <v>107519.124</v>
      </c>
      <c r="J49" s="635">
        <f t="shared" si="0"/>
        <v>722091.78699999989</v>
      </c>
      <c r="K49" s="635"/>
      <c r="L49" s="655"/>
      <c r="M49" s="655">
        <f t="shared" si="1"/>
        <v>722091.78699999989</v>
      </c>
      <c r="N49" s="627"/>
      <c r="O49" s="636"/>
    </row>
    <row r="50" spans="1:15" s="242" customFormat="1" ht="14.25" customHeight="1">
      <c r="A50" s="624">
        <v>38</v>
      </c>
      <c r="B50" s="625" t="e">
        <f>VLOOKUP(D50,'[1]DS CN MOI UP'!$B$11:$C$447,2,0)</f>
        <v>#N/A</v>
      </c>
      <c r="C50" s="626" t="s">
        <v>654</v>
      </c>
      <c r="D50" s="627" t="s">
        <v>667</v>
      </c>
      <c r="E50" s="61" t="s">
        <v>15</v>
      </c>
      <c r="F50" s="61"/>
      <c r="G50" s="655">
        <v>40000</v>
      </c>
      <c r="H50" s="635">
        <v>604806.42599999998</v>
      </c>
      <c r="I50" s="635">
        <v>109019.124</v>
      </c>
      <c r="J50" s="635">
        <f t="shared" si="0"/>
        <v>753825.54999999993</v>
      </c>
      <c r="K50" s="635"/>
      <c r="L50" s="655"/>
      <c r="M50" s="655">
        <f t="shared" si="1"/>
        <v>753825.54999999993</v>
      </c>
      <c r="N50" s="627"/>
      <c r="O50" s="636"/>
    </row>
    <row r="51" spans="1:15" s="242" customFormat="1" ht="14.25" customHeight="1">
      <c r="A51" s="624">
        <v>39</v>
      </c>
      <c r="B51" s="625" t="e">
        <f>VLOOKUP(D51,'[1]DS CN MOI UP'!$B$11:$C$447,2,0)</f>
        <v>#N/A</v>
      </c>
      <c r="C51" s="626" t="s">
        <v>654</v>
      </c>
      <c r="D51" s="627" t="s">
        <v>668</v>
      </c>
      <c r="E51" s="61" t="s">
        <v>15</v>
      </c>
      <c r="F51" s="61"/>
      <c r="G51" s="655">
        <v>40000</v>
      </c>
      <c r="H51" s="635">
        <v>584606.86199999996</v>
      </c>
      <c r="I51" s="635">
        <v>229728.84</v>
      </c>
      <c r="J51" s="635">
        <f t="shared" si="0"/>
        <v>854335.70199999993</v>
      </c>
      <c r="K51" s="635"/>
      <c r="L51" s="655"/>
      <c r="M51" s="655">
        <f t="shared" si="1"/>
        <v>854335.70199999993</v>
      </c>
      <c r="N51" s="627"/>
      <c r="O51" s="636"/>
    </row>
    <row r="52" spans="1:15" s="242" customFormat="1" ht="14.25" customHeight="1">
      <c r="A52" s="624">
        <v>40</v>
      </c>
      <c r="B52" s="625" t="e">
        <f>VLOOKUP(D52,'[1]DS CN MOI UP'!$B$11:$C$447,2,0)</f>
        <v>#N/A</v>
      </c>
      <c r="C52" s="626" t="s">
        <v>654</v>
      </c>
      <c r="D52" s="627" t="s">
        <v>669</v>
      </c>
      <c r="E52" s="61" t="s">
        <v>15</v>
      </c>
      <c r="F52" s="61"/>
      <c r="G52" s="655">
        <v>40000</v>
      </c>
      <c r="H52" s="635">
        <v>635040.18900000001</v>
      </c>
      <c r="I52" s="635">
        <v>193212.22560000001</v>
      </c>
      <c r="J52" s="635">
        <f t="shared" si="0"/>
        <v>868252.41460000002</v>
      </c>
      <c r="K52" s="635"/>
      <c r="L52" s="655"/>
      <c r="M52" s="655">
        <f t="shared" si="1"/>
        <v>868252.41460000002</v>
      </c>
      <c r="N52" s="627"/>
      <c r="O52" s="636"/>
    </row>
    <row r="53" spans="1:15" s="242" customFormat="1" ht="14.25" customHeight="1">
      <c r="A53" s="624">
        <v>41</v>
      </c>
      <c r="B53" s="625" t="e">
        <f>VLOOKUP(D53,'[1]DS CN MOI UP'!$B$11:$C$447,2,0)</f>
        <v>#N/A</v>
      </c>
      <c r="C53" s="626" t="s">
        <v>654</v>
      </c>
      <c r="D53" s="627" t="s">
        <v>670</v>
      </c>
      <c r="E53" s="61" t="s">
        <v>15</v>
      </c>
      <c r="F53" s="61"/>
      <c r="G53" s="655">
        <v>40000</v>
      </c>
      <c r="H53" s="635">
        <v>524139.33600000001</v>
      </c>
      <c r="I53" s="635">
        <v>524139.33600000001</v>
      </c>
      <c r="J53" s="635">
        <f t="shared" si="0"/>
        <v>1088278.672</v>
      </c>
      <c r="K53" s="635"/>
      <c r="L53" s="655"/>
      <c r="M53" s="655">
        <f t="shared" si="1"/>
        <v>1088278.672</v>
      </c>
      <c r="N53" s="627"/>
      <c r="O53" s="636"/>
    </row>
    <row r="54" spans="1:15" s="242" customFormat="1" ht="14.25" customHeight="1">
      <c r="A54" s="624">
        <v>42</v>
      </c>
      <c r="B54" s="625" t="str">
        <f>VLOOKUP(D54,'[1]DS CN MOI UP'!$B$11:$C$447,2,0)</f>
        <v>03451</v>
      </c>
      <c r="C54" s="626" t="s">
        <v>654</v>
      </c>
      <c r="D54" s="627" t="s">
        <v>418</v>
      </c>
      <c r="E54" s="61" t="s">
        <v>15</v>
      </c>
      <c r="F54" s="61"/>
      <c r="G54" s="655">
        <v>40000</v>
      </c>
      <c r="H54" s="635">
        <v>635040.18900000001</v>
      </c>
      <c r="I54" s="635">
        <v>524139.33600000001</v>
      </c>
      <c r="J54" s="635">
        <f t="shared" si="0"/>
        <v>1199179.5249999999</v>
      </c>
      <c r="K54" s="635"/>
      <c r="L54" s="655"/>
      <c r="M54" s="655">
        <f t="shared" si="1"/>
        <v>1199179.5249999999</v>
      </c>
      <c r="N54" s="627"/>
      <c r="O54" s="636"/>
    </row>
    <row r="55" spans="1:15" s="242" customFormat="1" ht="14.25" customHeight="1">
      <c r="A55" s="624">
        <v>43</v>
      </c>
      <c r="B55" s="625" t="str">
        <f>VLOOKUP(D55,'[1]DS CN MOI UP'!$B$11:$C$447,2,0)</f>
        <v>03438</v>
      </c>
      <c r="C55" s="626" t="s">
        <v>654</v>
      </c>
      <c r="D55" s="627" t="s">
        <v>400</v>
      </c>
      <c r="E55" s="61" t="s">
        <v>15</v>
      </c>
      <c r="F55" s="61"/>
      <c r="G55" s="655">
        <v>40000</v>
      </c>
      <c r="H55" s="635">
        <v>635040.18900000001</v>
      </c>
      <c r="I55" s="635">
        <v>524139.33600000001</v>
      </c>
      <c r="J55" s="635">
        <f t="shared" si="0"/>
        <v>1199179.5249999999</v>
      </c>
      <c r="K55" s="635"/>
      <c r="L55" s="655"/>
      <c r="M55" s="655">
        <f t="shared" si="1"/>
        <v>1199179.5249999999</v>
      </c>
      <c r="N55" s="627"/>
      <c r="O55" s="636"/>
    </row>
    <row r="56" spans="1:15" s="242" customFormat="1" ht="14.25" customHeight="1">
      <c r="A56" s="624">
        <v>44</v>
      </c>
      <c r="B56" s="625"/>
      <c r="C56" s="626" t="s">
        <v>648</v>
      </c>
      <c r="D56" s="627" t="s">
        <v>416</v>
      </c>
      <c r="E56" s="61" t="s">
        <v>15</v>
      </c>
      <c r="F56" s="61"/>
      <c r="G56" s="655">
        <v>40000</v>
      </c>
      <c r="H56" s="635">
        <v>554373.09900000005</v>
      </c>
      <c r="I56" s="635">
        <v>524139.33600000001</v>
      </c>
      <c r="J56" s="635">
        <f t="shared" ref="J56:J119" si="2">SUM(G56:I56)</f>
        <v>1118512.4350000001</v>
      </c>
      <c r="K56" s="635"/>
      <c r="L56" s="655"/>
      <c r="M56" s="655">
        <f t="shared" si="1"/>
        <v>1118512.4350000001</v>
      </c>
      <c r="N56" s="627"/>
      <c r="O56" s="636"/>
    </row>
    <row r="57" spans="1:15" s="242" customFormat="1" ht="14.25" customHeight="1">
      <c r="A57" s="624">
        <v>45</v>
      </c>
      <c r="B57" s="625" t="str">
        <f>VLOOKUP(D57,'[1]DS CN MOI UP'!$B$11:$C$447,2,0)</f>
        <v>03432</v>
      </c>
      <c r="C57" s="626" t="s">
        <v>650</v>
      </c>
      <c r="D57" s="627" t="s">
        <v>394</v>
      </c>
      <c r="E57" s="61" t="s">
        <v>15</v>
      </c>
      <c r="F57" s="61"/>
      <c r="G57" s="655">
        <v>40000</v>
      </c>
      <c r="H57" s="635">
        <v>635040.18900000001</v>
      </c>
      <c r="I57" s="635">
        <v>524139.33600000001</v>
      </c>
      <c r="J57" s="635">
        <f t="shared" si="2"/>
        <v>1199179.5249999999</v>
      </c>
      <c r="K57" s="635"/>
      <c r="L57" s="655"/>
      <c r="M57" s="655">
        <f t="shared" si="1"/>
        <v>1199179.5249999999</v>
      </c>
      <c r="N57" s="627"/>
      <c r="O57" s="636"/>
    </row>
    <row r="58" spans="1:15" s="242" customFormat="1" ht="14.25" customHeight="1">
      <c r="A58" s="624">
        <v>46</v>
      </c>
      <c r="B58" s="625" t="str">
        <f>VLOOKUP(D58,'[1]DS CN MOI UP'!$B$11:$C$447,2,0)</f>
        <v>02680</v>
      </c>
      <c r="C58" s="626" t="s">
        <v>651</v>
      </c>
      <c r="D58" s="627" t="s">
        <v>91</v>
      </c>
      <c r="E58" s="61" t="s">
        <v>15</v>
      </c>
      <c r="F58" s="61"/>
      <c r="G58" s="655">
        <v>40000</v>
      </c>
      <c r="H58" s="635">
        <v>635040.18900000001</v>
      </c>
      <c r="I58" s="635">
        <v>524139.33600000001</v>
      </c>
      <c r="J58" s="635">
        <f t="shared" si="2"/>
        <v>1199179.5249999999</v>
      </c>
      <c r="K58" s="635"/>
      <c r="L58" s="655"/>
      <c r="M58" s="655">
        <f t="shared" si="1"/>
        <v>1199179.5249999999</v>
      </c>
      <c r="N58" s="627"/>
      <c r="O58" s="636"/>
    </row>
    <row r="59" spans="1:15" s="242" customFormat="1" ht="14.25" customHeight="1">
      <c r="A59" s="624">
        <v>47</v>
      </c>
      <c r="B59" s="625" t="str">
        <f>VLOOKUP(D59,'[1]DS CN MOI UP'!$B$11:$C$447,2,0)</f>
        <v>03444</v>
      </c>
      <c r="C59" s="626" t="s">
        <v>651</v>
      </c>
      <c r="D59" s="627" t="s">
        <v>408</v>
      </c>
      <c r="E59" s="61" t="s">
        <v>15</v>
      </c>
      <c r="F59" s="61"/>
      <c r="G59" s="655">
        <v>40000</v>
      </c>
      <c r="H59" s="635">
        <v>635040.18900000001</v>
      </c>
      <c r="I59" s="635">
        <v>524139.33600000001</v>
      </c>
      <c r="J59" s="635">
        <f t="shared" si="2"/>
        <v>1199179.5249999999</v>
      </c>
      <c r="K59" s="635"/>
      <c r="L59" s="655"/>
      <c r="M59" s="655">
        <f t="shared" si="1"/>
        <v>1199179.5249999999</v>
      </c>
      <c r="N59" s="627"/>
      <c r="O59" s="636"/>
    </row>
    <row r="60" spans="1:15" s="242" customFormat="1" ht="14.25" customHeight="1">
      <c r="A60" s="624">
        <v>48</v>
      </c>
      <c r="B60" s="625" t="e">
        <f>VLOOKUP(D60,'[1]DS CN MOI UP'!$B$11:$C$447,2,0)</f>
        <v>#N/A</v>
      </c>
      <c r="C60" s="626" t="s">
        <v>651</v>
      </c>
      <c r="D60" s="627" t="s">
        <v>671</v>
      </c>
      <c r="E60" s="61" t="s">
        <v>15</v>
      </c>
      <c r="F60" s="61"/>
      <c r="G60" s="655">
        <v>40000</v>
      </c>
      <c r="H60" s="635">
        <v>614840.625</v>
      </c>
      <c r="I60" s="635">
        <v>614840.625</v>
      </c>
      <c r="J60" s="635">
        <f t="shared" si="2"/>
        <v>1269681.25</v>
      </c>
      <c r="K60" s="635"/>
      <c r="L60" s="655"/>
      <c r="M60" s="655">
        <f t="shared" si="1"/>
        <v>1269681.25</v>
      </c>
      <c r="N60" s="627"/>
      <c r="O60" s="636"/>
    </row>
    <row r="61" spans="1:15" s="242" customFormat="1" ht="14.25" customHeight="1">
      <c r="A61" s="624">
        <v>49</v>
      </c>
      <c r="B61" s="625" t="e">
        <f>VLOOKUP(D61,'[1]DS CN MOI UP'!$B$11:$C$447,2,0)</f>
        <v>#N/A</v>
      </c>
      <c r="C61" s="626" t="s">
        <v>651</v>
      </c>
      <c r="D61" s="627" t="s">
        <v>672</v>
      </c>
      <c r="E61" s="61" t="s">
        <v>15</v>
      </c>
      <c r="F61" s="61"/>
      <c r="G61" s="655">
        <v>40000</v>
      </c>
      <c r="H61" s="635">
        <v>554373.09900000005</v>
      </c>
      <c r="I61" s="635">
        <v>554373.09900000005</v>
      </c>
      <c r="J61" s="635">
        <f t="shared" si="2"/>
        <v>1148746.1980000001</v>
      </c>
      <c r="K61" s="635"/>
      <c r="L61" s="655"/>
      <c r="M61" s="655">
        <f t="shared" si="1"/>
        <v>1148746.1980000001</v>
      </c>
      <c r="N61" s="627"/>
      <c r="O61" s="636"/>
    </row>
    <row r="62" spans="1:15" s="242" customFormat="1" ht="14.25" customHeight="1">
      <c r="A62" s="624">
        <v>50</v>
      </c>
      <c r="B62" s="625" t="e">
        <f>VLOOKUP(D62,'[1]DS CN MOI UP'!$B$11:$C$447,2,0)</f>
        <v>#N/A</v>
      </c>
      <c r="C62" s="626" t="s">
        <v>651</v>
      </c>
      <c r="D62" s="627" t="s">
        <v>673</v>
      </c>
      <c r="E62" s="61" t="s">
        <v>15</v>
      </c>
      <c r="F62" s="61"/>
      <c r="G62" s="655">
        <v>40000</v>
      </c>
      <c r="H62" s="635">
        <v>554373.09900000005</v>
      </c>
      <c r="I62" s="635">
        <v>554373.09900000005</v>
      </c>
      <c r="J62" s="635">
        <f t="shared" si="2"/>
        <v>1148746.1980000001</v>
      </c>
      <c r="K62" s="635"/>
      <c r="L62" s="655"/>
      <c r="M62" s="655">
        <f t="shared" si="1"/>
        <v>1148746.1980000001</v>
      </c>
      <c r="N62" s="627"/>
      <c r="O62" s="636"/>
    </row>
    <row r="63" spans="1:15" s="242" customFormat="1" ht="14.25" customHeight="1">
      <c r="A63" s="624">
        <v>51</v>
      </c>
      <c r="B63" s="625" t="e">
        <f>VLOOKUP(D63,'[1]DS CN MOI UP'!$B$11:$C$447,2,0)</f>
        <v>#N/A</v>
      </c>
      <c r="C63" s="626" t="s">
        <v>651</v>
      </c>
      <c r="D63" s="627" t="s">
        <v>426</v>
      </c>
      <c r="E63" s="61" t="s">
        <v>15</v>
      </c>
      <c r="F63" s="61"/>
      <c r="G63" s="655">
        <v>40000</v>
      </c>
      <c r="H63" s="635">
        <v>554373.09900000005</v>
      </c>
      <c r="I63" s="635">
        <v>554373.09900000005</v>
      </c>
      <c r="J63" s="635">
        <f t="shared" si="2"/>
        <v>1148746.1980000001</v>
      </c>
      <c r="K63" s="635"/>
      <c r="L63" s="655"/>
      <c r="M63" s="655">
        <f t="shared" si="1"/>
        <v>1148746.1980000001</v>
      </c>
      <c r="N63" s="627"/>
      <c r="O63" s="636"/>
    </row>
    <row r="64" spans="1:15" s="242" customFormat="1" ht="14.25" customHeight="1">
      <c r="A64" s="624">
        <v>52</v>
      </c>
      <c r="B64" s="625" t="str">
        <f>VLOOKUP(D64,'[1]DS CN MOI UP'!$B$11:$C$447,2,0)</f>
        <v>03433</v>
      </c>
      <c r="C64" s="626" t="s">
        <v>651</v>
      </c>
      <c r="D64" s="627" t="s">
        <v>537</v>
      </c>
      <c r="E64" s="61" t="s">
        <v>15</v>
      </c>
      <c r="F64" s="61"/>
      <c r="G64" s="655"/>
      <c r="H64" s="635">
        <v>635040.18900000001</v>
      </c>
      <c r="I64" s="635">
        <v>635040.18900000001</v>
      </c>
      <c r="J64" s="635">
        <f t="shared" si="2"/>
        <v>1270080.378</v>
      </c>
      <c r="K64" s="635"/>
      <c r="L64" s="655"/>
      <c r="M64" s="655">
        <f t="shared" si="1"/>
        <v>1270080.378</v>
      </c>
      <c r="N64" s="627"/>
      <c r="O64" s="636"/>
    </row>
    <row r="65" spans="1:15" s="242" customFormat="1" ht="14.25" customHeight="1">
      <c r="A65" s="624">
        <v>53</v>
      </c>
      <c r="B65" s="625" t="str">
        <f>VLOOKUP(D65,'[1]DS CN MOI UP'!$B$11:$C$447,2,0)</f>
        <v>03427</v>
      </c>
      <c r="C65" s="626" t="s">
        <v>651</v>
      </c>
      <c r="D65" s="627" t="s">
        <v>387</v>
      </c>
      <c r="E65" s="61" t="s">
        <v>15</v>
      </c>
      <c r="F65" s="61"/>
      <c r="G65" s="655">
        <v>40000</v>
      </c>
      <c r="H65" s="635">
        <v>544338.9</v>
      </c>
      <c r="I65" s="635">
        <v>544338.9</v>
      </c>
      <c r="J65" s="635">
        <f t="shared" si="2"/>
        <v>1128677.8</v>
      </c>
      <c r="K65" s="635"/>
      <c r="L65" s="655"/>
      <c r="M65" s="655">
        <f t="shared" si="1"/>
        <v>1128677.8</v>
      </c>
      <c r="N65" s="627"/>
      <c r="O65" s="636"/>
    </row>
    <row r="66" spans="1:15" s="242" customFormat="1" ht="14.25" customHeight="1">
      <c r="A66" s="624">
        <v>54</v>
      </c>
      <c r="B66" s="625" t="e">
        <f>VLOOKUP(D66,'[1]DS CN MOI UP'!$B$11:$C$447,2,0)</f>
        <v>#N/A</v>
      </c>
      <c r="C66" s="626" t="s">
        <v>651</v>
      </c>
      <c r="D66" s="627" t="s">
        <v>674</v>
      </c>
      <c r="E66" s="61" t="s">
        <v>15</v>
      </c>
      <c r="F66" s="61"/>
      <c r="G66" s="655">
        <v>40000</v>
      </c>
      <c r="H66" s="635">
        <v>574572.66299999994</v>
      </c>
      <c r="I66" s="635">
        <v>574572.66299999994</v>
      </c>
      <c r="J66" s="635">
        <f t="shared" si="2"/>
        <v>1189145.3259999999</v>
      </c>
      <c r="K66" s="635"/>
      <c r="L66" s="655"/>
      <c r="M66" s="655">
        <f t="shared" si="1"/>
        <v>1189145.3259999999</v>
      </c>
      <c r="N66" s="627"/>
      <c r="O66" s="636"/>
    </row>
    <row r="67" spans="1:15" s="242" customFormat="1" ht="14.25" customHeight="1">
      <c r="A67" s="624">
        <v>55</v>
      </c>
      <c r="B67" s="625" t="e">
        <f>VLOOKUP(D67,'[1]DS CN MOI UP'!$B$11:$C$447,2,0)</f>
        <v>#N/A</v>
      </c>
      <c r="C67" s="626" t="s">
        <v>651</v>
      </c>
      <c r="D67" s="627" t="s">
        <v>675</v>
      </c>
      <c r="E67" s="61" t="s">
        <v>15</v>
      </c>
      <c r="F67" s="61"/>
      <c r="G67" s="655">
        <v>40000</v>
      </c>
      <c r="H67" s="635">
        <v>604806.42599999998</v>
      </c>
      <c r="I67" s="635">
        <v>604806.42599999998</v>
      </c>
      <c r="J67" s="635">
        <f t="shared" si="2"/>
        <v>1249612.852</v>
      </c>
      <c r="K67" s="635"/>
      <c r="L67" s="655"/>
      <c r="M67" s="655">
        <f t="shared" si="1"/>
        <v>1249612.852</v>
      </c>
      <c r="N67" s="627"/>
      <c r="O67" s="636"/>
    </row>
    <row r="68" spans="1:15" s="242" customFormat="1" ht="14.25" customHeight="1">
      <c r="A68" s="624">
        <v>56</v>
      </c>
      <c r="B68" s="625" t="e">
        <f>VLOOKUP(D68,'[1]DS CN MOI UP'!$B$11:$C$447,2,0)</f>
        <v>#N/A</v>
      </c>
      <c r="C68" s="626" t="s">
        <v>651</v>
      </c>
      <c r="D68" s="627" t="s">
        <v>676</v>
      </c>
      <c r="E68" s="61" t="s">
        <v>15</v>
      </c>
      <c r="F68" s="61"/>
      <c r="G68" s="655">
        <v>40000</v>
      </c>
      <c r="H68" s="635">
        <v>584606.86199999996</v>
      </c>
      <c r="I68" s="635">
        <v>584606.86199999996</v>
      </c>
      <c r="J68" s="635">
        <f t="shared" si="2"/>
        <v>1209213.7239999999</v>
      </c>
      <c r="K68" s="635"/>
      <c r="L68" s="655"/>
      <c r="M68" s="655">
        <f t="shared" si="1"/>
        <v>1209213.7239999999</v>
      </c>
      <c r="N68" s="627"/>
      <c r="O68" s="636"/>
    </row>
    <row r="69" spans="1:15" s="242" customFormat="1" ht="14.25" customHeight="1">
      <c r="A69" s="624">
        <v>57</v>
      </c>
      <c r="B69" s="625" t="e">
        <f>VLOOKUP(D69,'[1]DS CN MOI UP'!$B$11:$C$447,2,0)</f>
        <v>#N/A</v>
      </c>
      <c r="C69" s="626" t="s">
        <v>651</v>
      </c>
      <c r="D69" s="627" t="s">
        <v>677</v>
      </c>
      <c r="E69" s="61" t="s">
        <v>15</v>
      </c>
      <c r="F69" s="61"/>
      <c r="G69" s="655"/>
      <c r="H69" s="635">
        <v>635040.18900000001</v>
      </c>
      <c r="I69" s="635">
        <v>635040.18900000001</v>
      </c>
      <c r="J69" s="635">
        <f t="shared" si="2"/>
        <v>1270080.378</v>
      </c>
      <c r="K69" s="635"/>
      <c r="L69" s="655"/>
      <c r="M69" s="655">
        <f t="shared" si="1"/>
        <v>1270080.378</v>
      </c>
      <c r="N69" s="627"/>
      <c r="O69" s="636"/>
    </row>
    <row r="70" spans="1:15" s="242" customFormat="1" ht="14.25" customHeight="1">
      <c r="A70" s="624">
        <v>58</v>
      </c>
      <c r="B70" s="625" t="e">
        <f>VLOOKUP(D70,'[1]DS CN MOI UP'!$B$11:$C$447,2,0)</f>
        <v>#N/A</v>
      </c>
      <c r="C70" s="626" t="s">
        <v>654</v>
      </c>
      <c r="D70" s="627" t="s">
        <v>678</v>
      </c>
      <c r="E70" s="61" t="s">
        <v>15</v>
      </c>
      <c r="F70" s="61"/>
      <c r="G70" s="655">
        <v>80000</v>
      </c>
      <c r="H70" s="635">
        <v>524139.33600000001</v>
      </c>
      <c r="I70" s="635">
        <v>524139.33600000001</v>
      </c>
      <c r="J70" s="635">
        <f t="shared" si="2"/>
        <v>1128278.672</v>
      </c>
      <c r="K70" s="635"/>
      <c r="L70" s="655"/>
      <c r="M70" s="655">
        <f t="shared" si="1"/>
        <v>1128278.672</v>
      </c>
      <c r="N70" s="627"/>
      <c r="O70" s="636"/>
    </row>
    <row r="71" spans="1:15" s="242" customFormat="1" ht="14.25" customHeight="1">
      <c r="A71" s="624">
        <v>59</v>
      </c>
      <c r="B71" s="625" t="str">
        <f>VLOOKUP(D71,'[1]DS CN MOI UP'!$B$11:$C$447,2,0)</f>
        <v>02499</v>
      </c>
      <c r="C71" s="626" t="s">
        <v>654</v>
      </c>
      <c r="D71" s="627" t="s">
        <v>80</v>
      </c>
      <c r="E71" s="61" t="s">
        <v>15</v>
      </c>
      <c r="F71" s="61"/>
      <c r="G71" s="655">
        <v>40000</v>
      </c>
      <c r="H71" s="635">
        <v>554373.09900000005</v>
      </c>
      <c r="I71" s="635">
        <v>554373.09900000005</v>
      </c>
      <c r="J71" s="635">
        <f t="shared" si="2"/>
        <v>1148746.1980000001</v>
      </c>
      <c r="K71" s="635"/>
      <c r="L71" s="655"/>
      <c r="M71" s="655">
        <f t="shared" si="1"/>
        <v>1148746.1980000001</v>
      </c>
      <c r="N71" s="627"/>
      <c r="O71" s="636"/>
    </row>
    <row r="72" spans="1:15" s="242" customFormat="1" ht="14.25" customHeight="1">
      <c r="A72" s="624">
        <v>60</v>
      </c>
      <c r="B72" s="625" t="e">
        <f>VLOOKUP(D72,'[1]DS CN MOI UP'!$B$11:$C$447,2,0)</f>
        <v>#N/A</v>
      </c>
      <c r="C72" s="626" t="s">
        <v>654</v>
      </c>
      <c r="D72" s="627" t="s">
        <v>679</v>
      </c>
      <c r="E72" s="61" t="s">
        <v>15</v>
      </c>
      <c r="F72" s="61"/>
      <c r="G72" s="655">
        <v>40000</v>
      </c>
      <c r="H72" s="635">
        <v>554373.09900000005</v>
      </c>
      <c r="I72" s="635">
        <v>554373.09900000005</v>
      </c>
      <c r="J72" s="635">
        <f t="shared" si="2"/>
        <v>1148746.1980000001</v>
      </c>
      <c r="K72" s="635"/>
      <c r="L72" s="655"/>
      <c r="M72" s="655">
        <f t="shared" si="1"/>
        <v>1148746.1980000001</v>
      </c>
      <c r="N72" s="627"/>
      <c r="O72" s="636"/>
    </row>
    <row r="73" spans="1:15" s="242" customFormat="1" ht="14.25" customHeight="1">
      <c r="A73" s="624">
        <v>61</v>
      </c>
      <c r="B73" s="625" t="str">
        <f>VLOOKUP(D73,'[1]DS CN MOI UP'!$B$11:$C$447,2,0)</f>
        <v>02594</v>
      </c>
      <c r="C73" s="626" t="s">
        <v>654</v>
      </c>
      <c r="D73" s="627" t="s">
        <v>207</v>
      </c>
      <c r="E73" s="61" t="s">
        <v>15</v>
      </c>
      <c r="F73" s="61"/>
      <c r="G73" s="655">
        <v>40000</v>
      </c>
      <c r="H73" s="635">
        <v>614840.625</v>
      </c>
      <c r="I73" s="635">
        <v>554373.09900000005</v>
      </c>
      <c r="J73" s="635">
        <f t="shared" si="2"/>
        <v>1209213.7239999999</v>
      </c>
      <c r="K73" s="635"/>
      <c r="L73" s="655"/>
      <c r="M73" s="655">
        <f t="shared" si="1"/>
        <v>1209213.7239999999</v>
      </c>
      <c r="N73" s="627"/>
      <c r="O73" s="636"/>
    </row>
    <row r="74" spans="1:15" s="242" customFormat="1" ht="14.25" customHeight="1">
      <c r="A74" s="624">
        <v>62</v>
      </c>
      <c r="B74" s="625" t="e">
        <f>VLOOKUP(D74,'[1]DS CN MOI UP'!$B$11:$C$447,2,0)</f>
        <v>#N/A</v>
      </c>
      <c r="C74" s="626" t="s">
        <v>654</v>
      </c>
      <c r="D74" s="627" t="s">
        <v>680</v>
      </c>
      <c r="E74" s="61" t="s">
        <v>15</v>
      </c>
      <c r="F74" s="61"/>
      <c r="G74" s="655">
        <v>40000</v>
      </c>
      <c r="H74" s="635">
        <v>614840.625</v>
      </c>
      <c r="I74" s="635">
        <v>554373.09900000005</v>
      </c>
      <c r="J74" s="635">
        <f t="shared" si="2"/>
        <v>1209213.7239999999</v>
      </c>
      <c r="K74" s="635"/>
      <c r="L74" s="655"/>
      <c r="M74" s="655">
        <f t="shared" si="1"/>
        <v>1209213.7239999999</v>
      </c>
      <c r="N74" s="627"/>
      <c r="O74" s="636"/>
    </row>
    <row r="75" spans="1:15" s="242" customFormat="1" ht="14.25" customHeight="1">
      <c r="A75" s="624">
        <v>63</v>
      </c>
      <c r="B75" s="625" t="e">
        <f>VLOOKUP(D75,'[1]DS CN MOI UP'!$B$11:$C$447,2,0)</f>
        <v>#N/A</v>
      </c>
      <c r="C75" s="626" t="s">
        <v>654</v>
      </c>
      <c r="D75" s="627" t="s">
        <v>681</v>
      </c>
      <c r="E75" s="61" t="s">
        <v>15</v>
      </c>
      <c r="F75" s="61"/>
      <c r="G75" s="655">
        <v>40000</v>
      </c>
      <c r="H75" s="635">
        <v>614840.625</v>
      </c>
      <c r="I75" s="635">
        <v>554373.09900000005</v>
      </c>
      <c r="J75" s="635">
        <f t="shared" si="2"/>
        <v>1209213.7239999999</v>
      </c>
      <c r="K75" s="635"/>
      <c r="L75" s="655"/>
      <c r="M75" s="655">
        <f t="shared" si="1"/>
        <v>1209213.7239999999</v>
      </c>
      <c r="N75" s="627"/>
      <c r="O75" s="636"/>
    </row>
    <row r="76" spans="1:15" s="242" customFormat="1" ht="14.25" customHeight="1">
      <c r="A76" s="624">
        <v>64</v>
      </c>
      <c r="B76" s="625" t="e">
        <f>VLOOKUP(D76,'[1]DS CN MOI UP'!$B$11:$C$447,2,0)</f>
        <v>#N/A</v>
      </c>
      <c r="C76" s="626" t="s">
        <v>654</v>
      </c>
      <c r="D76" s="627" t="s">
        <v>682</v>
      </c>
      <c r="E76" s="61" t="s">
        <v>15</v>
      </c>
      <c r="F76" s="61"/>
      <c r="G76" s="655">
        <v>40000</v>
      </c>
      <c r="H76" s="635">
        <v>614840.625</v>
      </c>
      <c r="I76" s="635">
        <v>554373.09900000005</v>
      </c>
      <c r="J76" s="635">
        <f t="shared" si="2"/>
        <v>1209213.7239999999</v>
      </c>
      <c r="K76" s="635"/>
      <c r="L76" s="655"/>
      <c r="M76" s="655">
        <f t="shared" si="1"/>
        <v>1209213.7239999999</v>
      </c>
      <c r="N76" s="627"/>
      <c r="O76" s="636"/>
    </row>
    <row r="77" spans="1:15" s="242" customFormat="1" ht="14.25" customHeight="1">
      <c r="A77" s="624">
        <v>65</v>
      </c>
      <c r="B77" s="625" t="e">
        <f>VLOOKUP(D77,'[1]DS CN MOI UP'!$B$11:$C$447,2,0)</f>
        <v>#N/A</v>
      </c>
      <c r="C77" s="626" t="s">
        <v>654</v>
      </c>
      <c r="D77" s="627" t="s">
        <v>683</v>
      </c>
      <c r="E77" s="61" t="s">
        <v>15</v>
      </c>
      <c r="F77" s="61"/>
      <c r="G77" s="655">
        <v>40000</v>
      </c>
      <c r="H77" s="635">
        <v>614840.625</v>
      </c>
      <c r="I77" s="635">
        <v>554373.09900000005</v>
      </c>
      <c r="J77" s="635">
        <f t="shared" si="2"/>
        <v>1209213.7239999999</v>
      </c>
      <c r="K77" s="635"/>
      <c r="L77" s="655"/>
      <c r="M77" s="655">
        <f t="shared" si="1"/>
        <v>1209213.7239999999</v>
      </c>
      <c r="N77" s="627"/>
      <c r="O77" s="636"/>
    </row>
    <row r="78" spans="1:15" s="242" customFormat="1" ht="14.25" customHeight="1">
      <c r="A78" s="624">
        <v>66</v>
      </c>
      <c r="B78" s="625" t="e">
        <f>VLOOKUP(D78,'[1]DS CN MOI UP'!$B$11:$C$447,2,0)</f>
        <v>#N/A</v>
      </c>
      <c r="C78" s="626" t="s">
        <v>654</v>
      </c>
      <c r="D78" s="627" t="s">
        <v>684</v>
      </c>
      <c r="E78" s="61" t="s">
        <v>15</v>
      </c>
      <c r="F78" s="61"/>
      <c r="G78" s="655">
        <v>40000</v>
      </c>
      <c r="H78" s="635">
        <v>544338.9</v>
      </c>
      <c r="I78" s="635">
        <v>554373.09900000005</v>
      </c>
      <c r="J78" s="635">
        <f t="shared" si="2"/>
        <v>1138711.9990000001</v>
      </c>
      <c r="K78" s="635"/>
      <c r="L78" s="655"/>
      <c r="M78" s="655">
        <f t="shared" ref="M78:M141" si="3">J78-L78</f>
        <v>1138711.9990000001</v>
      </c>
      <c r="N78" s="627"/>
      <c r="O78" s="636"/>
    </row>
    <row r="79" spans="1:15" s="242" customFormat="1" ht="14.25" customHeight="1">
      <c r="A79" s="624">
        <v>67</v>
      </c>
      <c r="B79" s="625" t="e">
        <f>VLOOKUP(D79,'[1]DS CN MOI UP'!$B$11:$C$447,2,0)</f>
        <v>#N/A</v>
      </c>
      <c r="C79" s="626" t="s">
        <v>654</v>
      </c>
      <c r="D79" s="627" t="s">
        <v>685</v>
      </c>
      <c r="E79" s="61" t="s">
        <v>15</v>
      </c>
      <c r="F79" s="61"/>
      <c r="G79" s="655">
        <v>40000</v>
      </c>
      <c r="H79" s="635">
        <v>574572.66299999994</v>
      </c>
      <c r="I79" s="635">
        <v>554373.09900000005</v>
      </c>
      <c r="J79" s="635">
        <f t="shared" si="2"/>
        <v>1168945.7620000001</v>
      </c>
      <c r="K79" s="635"/>
      <c r="L79" s="655"/>
      <c r="M79" s="655">
        <f t="shared" si="3"/>
        <v>1168945.7620000001</v>
      </c>
      <c r="N79" s="627"/>
      <c r="O79" s="636"/>
    </row>
    <row r="80" spans="1:15" s="242" customFormat="1" ht="14.25" customHeight="1">
      <c r="A80" s="624">
        <v>68</v>
      </c>
      <c r="B80" s="625" t="str">
        <f>VLOOKUP(D80,'[1]DS CN MOI UP'!$B$11:$C$447,2,0)</f>
        <v>02437</v>
      </c>
      <c r="C80" s="626" t="s">
        <v>654</v>
      </c>
      <c r="D80" s="627" t="s">
        <v>410</v>
      </c>
      <c r="E80" s="61" t="s">
        <v>15</v>
      </c>
      <c r="F80" s="61"/>
      <c r="G80" s="655">
        <v>40000</v>
      </c>
      <c r="H80" s="635">
        <v>604806.42599999998</v>
      </c>
      <c r="I80" s="635">
        <v>554373.09900000005</v>
      </c>
      <c r="J80" s="635">
        <f t="shared" si="2"/>
        <v>1199179.5249999999</v>
      </c>
      <c r="K80" s="635"/>
      <c r="L80" s="655"/>
      <c r="M80" s="655">
        <f t="shared" si="3"/>
        <v>1199179.5249999999</v>
      </c>
      <c r="N80" s="627"/>
      <c r="O80" s="636"/>
    </row>
    <row r="81" spans="1:15" s="242" customFormat="1" ht="14.25" customHeight="1">
      <c r="A81" s="624">
        <v>69</v>
      </c>
      <c r="B81" s="625" t="e">
        <f>VLOOKUP(D81,'[1]DS CN MOI UP'!$B$11:$C$447,2,0)</f>
        <v>#N/A</v>
      </c>
      <c r="C81" s="626" t="s">
        <v>654</v>
      </c>
      <c r="D81" s="627" t="s">
        <v>686</v>
      </c>
      <c r="E81" s="61" t="s">
        <v>15</v>
      </c>
      <c r="F81" s="61"/>
      <c r="G81" s="655">
        <v>40000</v>
      </c>
      <c r="H81" s="635">
        <v>584606.86199999996</v>
      </c>
      <c r="I81" s="635">
        <v>554373.09900000005</v>
      </c>
      <c r="J81" s="635">
        <f t="shared" si="2"/>
        <v>1178979.9610000001</v>
      </c>
      <c r="K81" s="635"/>
      <c r="L81" s="655"/>
      <c r="M81" s="655">
        <f t="shared" si="3"/>
        <v>1178979.9610000001</v>
      </c>
      <c r="N81" s="627"/>
      <c r="O81" s="636"/>
    </row>
    <row r="82" spans="1:15" s="242" customFormat="1" ht="14.25" customHeight="1">
      <c r="A82" s="624">
        <v>70</v>
      </c>
      <c r="B82" s="625" t="e">
        <f>VLOOKUP(D82,'[1]DS CN MOI UP'!$B$11:$C$447,2,0)</f>
        <v>#N/A</v>
      </c>
      <c r="C82" s="626" t="s">
        <v>654</v>
      </c>
      <c r="D82" s="627" t="s">
        <v>687</v>
      </c>
      <c r="E82" s="61" t="s">
        <v>15</v>
      </c>
      <c r="F82" s="61"/>
      <c r="G82" s="655">
        <v>40000</v>
      </c>
      <c r="H82" s="635">
        <v>635040.18900000001</v>
      </c>
      <c r="I82" s="635">
        <v>554373.09900000005</v>
      </c>
      <c r="J82" s="635">
        <f t="shared" si="2"/>
        <v>1229413.2880000002</v>
      </c>
      <c r="K82" s="635"/>
      <c r="L82" s="655"/>
      <c r="M82" s="655">
        <f t="shared" si="3"/>
        <v>1229413.2880000002</v>
      </c>
      <c r="N82" s="627"/>
      <c r="O82" s="636"/>
    </row>
    <row r="83" spans="1:15" s="242" customFormat="1" ht="14.25" customHeight="1">
      <c r="A83" s="624">
        <v>71</v>
      </c>
      <c r="B83" s="625" t="e">
        <f>VLOOKUP(D83,'[1]DS CN MOI UP'!$B$11:$C$447,2,0)</f>
        <v>#N/A</v>
      </c>
      <c r="C83" s="626" t="s">
        <v>654</v>
      </c>
      <c r="D83" s="627" t="s">
        <v>649</v>
      </c>
      <c r="E83" s="61" t="s">
        <v>15</v>
      </c>
      <c r="F83" s="61"/>
      <c r="G83" s="655">
        <v>40000</v>
      </c>
      <c r="H83" s="635">
        <v>524139.33600000001</v>
      </c>
      <c r="I83" s="635">
        <v>524139.33600000001</v>
      </c>
      <c r="J83" s="635">
        <f t="shared" si="2"/>
        <v>1088278.672</v>
      </c>
      <c r="K83" s="635"/>
      <c r="L83" s="655"/>
      <c r="M83" s="655">
        <f t="shared" si="3"/>
        <v>1088278.672</v>
      </c>
      <c r="N83" s="627"/>
      <c r="O83" s="636"/>
    </row>
    <row r="84" spans="1:15" s="242" customFormat="1" ht="14.25" customHeight="1">
      <c r="A84" s="624">
        <v>72</v>
      </c>
      <c r="B84" s="625" t="e">
        <f>VLOOKUP(D84,'[1]DS CN MOI UP'!$B$11:$C$447,2,0)</f>
        <v>#N/A</v>
      </c>
      <c r="C84" s="626" t="s">
        <v>654</v>
      </c>
      <c r="D84" s="627" t="s">
        <v>688</v>
      </c>
      <c r="E84" s="61" t="s">
        <v>15</v>
      </c>
      <c r="F84" s="61"/>
      <c r="G84" s="655">
        <v>40000</v>
      </c>
      <c r="H84" s="635">
        <v>635040.18900000001</v>
      </c>
      <c r="I84" s="635">
        <v>524139.33600000001</v>
      </c>
      <c r="J84" s="635">
        <f t="shared" si="2"/>
        <v>1199179.5249999999</v>
      </c>
      <c r="K84" s="635"/>
      <c r="L84" s="655"/>
      <c r="M84" s="655">
        <f t="shared" si="3"/>
        <v>1199179.5249999999</v>
      </c>
      <c r="N84" s="627"/>
      <c r="O84" s="636"/>
    </row>
    <row r="85" spans="1:15" s="242" customFormat="1" ht="14.25" customHeight="1">
      <c r="A85" s="624">
        <v>73</v>
      </c>
      <c r="B85" s="625" t="str">
        <f>VLOOKUP(D85,'[1]DS CN MOI UP'!$B$11:$C$447,2,0)</f>
        <v>02431</v>
      </c>
      <c r="C85" s="626" t="s">
        <v>654</v>
      </c>
      <c r="D85" s="627" t="s">
        <v>409</v>
      </c>
      <c r="E85" s="61" t="s">
        <v>15</v>
      </c>
      <c r="F85" s="61"/>
      <c r="G85" s="655">
        <v>40000</v>
      </c>
      <c r="H85" s="635">
        <v>635040.18900000001</v>
      </c>
      <c r="I85" s="635">
        <v>524139.33600000001</v>
      </c>
      <c r="J85" s="635">
        <f t="shared" si="2"/>
        <v>1199179.5249999999</v>
      </c>
      <c r="K85" s="635"/>
      <c r="L85" s="655"/>
      <c r="M85" s="655">
        <f t="shared" si="3"/>
        <v>1199179.5249999999</v>
      </c>
      <c r="N85" s="627"/>
      <c r="O85" s="636"/>
    </row>
    <row r="86" spans="1:15" s="242" customFormat="1" ht="14.25" customHeight="1">
      <c r="A86" s="624">
        <v>74</v>
      </c>
      <c r="B86" s="625" t="e">
        <f>VLOOKUP(D86,'[1]DS CN MOI UP'!$B$11:$C$447,2,0)</f>
        <v>#N/A</v>
      </c>
      <c r="C86" s="626" t="s">
        <v>654</v>
      </c>
      <c r="D86" s="627" t="s">
        <v>689</v>
      </c>
      <c r="E86" s="61" t="s">
        <v>15</v>
      </c>
      <c r="F86" s="61"/>
      <c r="G86" s="655">
        <v>40000</v>
      </c>
      <c r="H86" s="635">
        <v>635040.18900000001</v>
      </c>
      <c r="I86" s="635">
        <v>524139.33600000001</v>
      </c>
      <c r="J86" s="635">
        <f t="shared" si="2"/>
        <v>1199179.5249999999</v>
      </c>
      <c r="K86" s="635"/>
      <c r="L86" s="655"/>
      <c r="M86" s="655">
        <f t="shared" si="3"/>
        <v>1199179.5249999999</v>
      </c>
      <c r="N86" s="627"/>
      <c r="O86" s="636"/>
    </row>
    <row r="87" spans="1:15" s="242" customFormat="1" ht="14.25" customHeight="1">
      <c r="A87" s="624">
        <v>75</v>
      </c>
      <c r="B87" s="625" t="str">
        <f>VLOOKUP(D87,'[1]DS CN MOI UP'!$B$11:$C$447,2,0)</f>
        <v>02438</v>
      </c>
      <c r="C87" s="626" t="s">
        <v>654</v>
      </c>
      <c r="D87" s="627" t="s">
        <v>419</v>
      </c>
      <c r="E87" s="61" t="s">
        <v>15</v>
      </c>
      <c r="F87" s="61"/>
      <c r="G87" s="655">
        <v>40000</v>
      </c>
      <c r="H87" s="635">
        <v>635040.18900000001</v>
      </c>
      <c r="I87" s="635">
        <v>524139.33600000001</v>
      </c>
      <c r="J87" s="635">
        <f t="shared" si="2"/>
        <v>1199179.5249999999</v>
      </c>
      <c r="K87" s="635"/>
      <c r="L87" s="655"/>
      <c r="M87" s="655">
        <f t="shared" si="3"/>
        <v>1199179.5249999999</v>
      </c>
      <c r="N87" s="627"/>
      <c r="O87" s="636"/>
    </row>
    <row r="88" spans="1:15" s="242" customFormat="1" ht="14.25" customHeight="1">
      <c r="A88" s="624">
        <v>76</v>
      </c>
      <c r="B88" s="625" t="e">
        <f>VLOOKUP(D88,'[1]DS CN MOI UP'!$B$11:$C$447,2,0)</f>
        <v>#N/A</v>
      </c>
      <c r="C88" s="626" t="s">
        <v>654</v>
      </c>
      <c r="D88" s="627" t="s">
        <v>676</v>
      </c>
      <c r="E88" s="61" t="s">
        <v>15</v>
      </c>
      <c r="F88" s="61"/>
      <c r="G88" s="655">
        <v>40000</v>
      </c>
      <c r="H88" s="635">
        <v>635040.18900000001</v>
      </c>
      <c r="I88" s="635">
        <v>524139.33600000001</v>
      </c>
      <c r="J88" s="635">
        <f t="shared" si="2"/>
        <v>1199179.5249999999</v>
      </c>
      <c r="K88" s="635"/>
      <c r="L88" s="655"/>
      <c r="M88" s="655">
        <f t="shared" si="3"/>
        <v>1199179.5249999999</v>
      </c>
      <c r="N88" s="627"/>
      <c r="O88" s="636"/>
    </row>
    <row r="89" spans="1:15" s="242" customFormat="1" ht="14.25" customHeight="1">
      <c r="A89" s="624">
        <v>77</v>
      </c>
      <c r="B89" s="625" t="e">
        <f>VLOOKUP(D89,'[1]DS CN MOI UP'!$B$11:$C$447,2,0)</f>
        <v>#N/A</v>
      </c>
      <c r="C89" s="626" t="s">
        <v>654</v>
      </c>
      <c r="D89" s="627" t="s">
        <v>690</v>
      </c>
      <c r="E89" s="61" t="s">
        <v>15</v>
      </c>
      <c r="F89" s="61"/>
      <c r="G89" s="655">
        <v>40000</v>
      </c>
      <c r="H89" s="635">
        <v>635040.18900000001</v>
      </c>
      <c r="I89" s="635">
        <v>524139.33600000001</v>
      </c>
      <c r="J89" s="635">
        <f t="shared" si="2"/>
        <v>1199179.5249999999</v>
      </c>
      <c r="K89" s="635"/>
      <c r="L89" s="655"/>
      <c r="M89" s="655">
        <f t="shared" si="3"/>
        <v>1199179.5249999999</v>
      </c>
      <c r="N89" s="627"/>
      <c r="O89" s="636"/>
    </row>
    <row r="90" spans="1:15" s="242" customFormat="1" ht="14.25" customHeight="1">
      <c r="A90" s="624">
        <v>78</v>
      </c>
      <c r="B90" s="625" t="e">
        <f>VLOOKUP(D90,'[1]DS CN MOI UP'!$B$11:$C$447,2,0)</f>
        <v>#N/A</v>
      </c>
      <c r="C90" s="626" t="s">
        <v>654</v>
      </c>
      <c r="D90" s="627" t="s">
        <v>691</v>
      </c>
      <c r="E90" s="630" t="s">
        <v>15</v>
      </c>
      <c r="F90" s="61"/>
      <c r="G90" s="655">
        <v>40000</v>
      </c>
      <c r="H90" s="635">
        <v>635040.18900000001</v>
      </c>
      <c r="I90" s="635">
        <v>614840.625</v>
      </c>
      <c r="J90" s="635">
        <f t="shared" si="2"/>
        <v>1289880.814</v>
      </c>
      <c r="K90" s="635"/>
      <c r="L90" s="655"/>
      <c r="M90" s="655">
        <f t="shared" si="3"/>
        <v>1289880.814</v>
      </c>
      <c r="N90" s="627"/>
      <c r="O90" s="636"/>
    </row>
    <row r="91" spans="1:15" s="242" customFormat="1" ht="14.25" customHeight="1">
      <c r="A91" s="624">
        <v>79</v>
      </c>
      <c r="B91" s="625" t="e">
        <f>VLOOKUP(D91,'[1]DS CN MOI UP'!$B$11:$C$447,2,0)</f>
        <v>#N/A</v>
      </c>
      <c r="C91" s="626" t="s">
        <v>654</v>
      </c>
      <c r="D91" s="627" t="s">
        <v>692</v>
      </c>
      <c r="E91" s="630" t="s">
        <v>15</v>
      </c>
      <c r="F91" s="61"/>
      <c r="G91" s="655">
        <v>40000</v>
      </c>
      <c r="H91" s="635">
        <v>554373.09900000005</v>
      </c>
      <c r="I91" s="635">
        <v>554373.09900000005</v>
      </c>
      <c r="J91" s="635">
        <f t="shared" si="2"/>
        <v>1148746.1980000001</v>
      </c>
      <c r="K91" s="635"/>
      <c r="L91" s="655"/>
      <c r="M91" s="655">
        <f t="shared" si="3"/>
        <v>1148746.1980000001</v>
      </c>
      <c r="N91" s="627"/>
      <c r="O91" s="636"/>
    </row>
    <row r="92" spans="1:15" s="242" customFormat="1" ht="14.25" customHeight="1">
      <c r="A92" s="624">
        <v>80</v>
      </c>
      <c r="B92" s="625" t="e">
        <f>VLOOKUP(D92,'[1]DS CN MOI UP'!$B$11:$C$447,2,0)</f>
        <v>#N/A</v>
      </c>
      <c r="C92" s="626" t="s">
        <v>654</v>
      </c>
      <c r="D92" s="627" t="s">
        <v>693</v>
      </c>
      <c r="E92" s="630" t="s">
        <v>15</v>
      </c>
      <c r="F92" s="61"/>
      <c r="G92" s="655">
        <v>40000</v>
      </c>
      <c r="H92" s="635">
        <v>554373.09900000005</v>
      </c>
      <c r="I92" s="635">
        <v>554373.09900000005</v>
      </c>
      <c r="J92" s="635">
        <f t="shared" si="2"/>
        <v>1148746.1980000001</v>
      </c>
      <c r="K92" s="635"/>
      <c r="L92" s="655"/>
      <c r="M92" s="655">
        <f t="shared" si="3"/>
        <v>1148746.1980000001</v>
      </c>
      <c r="N92" s="627"/>
      <c r="O92" s="636"/>
    </row>
    <row r="93" spans="1:15" s="242" customFormat="1" ht="14.25" customHeight="1">
      <c r="A93" s="624">
        <v>81</v>
      </c>
      <c r="B93" s="625" t="e">
        <f>VLOOKUP(D93,'[1]DS CN MOI UP'!$B$11:$C$447,2,0)</f>
        <v>#N/A</v>
      </c>
      <c r="C93" s="626" t="s">
        <v>654</v>
      </c>
      <c r="D93" s="627" t="s">
        <v>681</v>
      </c>
      <c r="E93" s="630" t="s">
        <v>15</v>
      </c>
      <c r="F93" s="61"/>
      <c r="G93" s="655">
        <v>40000</v>
      </c>
      <c r="H93" s="635">
        <v>554373.09900000005</v>
      </c>
      <c r="I93" s="635">
        <v>554373.09900000005</v>
      </c>
      <c r="J93" s="635">
        <f t="shared" si="2"/>
        <v>1148746.1980000001</v>
      </c>
      <c r="K93" s="635"/>
      <c r="L93" s="655"/>
      <c r="M93" s="655">
        <f t="shared" si="3"/>
        <v>1148746.1980000001</v>
      </c>
      <c r="N93" s="627"/>
      <c r="O93" s="636"/>
    </row>
    <row r="94" spans="1:15" s="242" customFormat="1" ht="14.25" customHeight="1">
      <c r="A94" s="624">
        <v>82</v>
      </c>
      <c r="B94" s="625" t="e">
        <f>VLOOKUP(D94,'[1]DS CN MOI UP'!$B$11:$C$447,2,0)</f>
        <v>#N/A</v>
      </c>
      <c r="C94" s="626" t="s">
        <v>654</v>
      </c>
      <c r="D94" s="627" t="s">
        <v>694</v>
      </c>
      <c r="E94" s="630" t="s">
        <v>15</v>
      </c>
      <c r="F94" s="61"/>
      <c r="G94" s="655"/>
      <c r="H94" s="635">
        <v>635040.18900000001</v>
      </c>
      <c r="I94" s="635">
        <v>635040.18900000001</v>
      </c>
      <c r="J94" s="635">
        <f t="shared" si="2"/>
        <v>1270080.378</v>
      </c>
      <c r="K94" s="635"/>
      <c r="L94" s="655"/>
      <c r="M94" s="655">
        <f t="shared" si="3"/>
        <v>1270080.378</v>
      </c>
      <c r="N94" s="627"/>
      <c r="O94" s="636"/>
    </row>
    <row r="95" spans="1:15" s="242" customFormat="1" ht="14.25" customHeight="1">
      <c r="A95" s="624">
        <v>83</v>
      </c>
      <c r="B95" s="625" t="e">
        <f>VLOOKUP(D95,'[1]DS CN MOI UP'!$B$11:$C$447,2,0)</f>
        <v>#N/A</v>
      </c>
      <c r="C95" s="626" t="s">
        <v>654</v>
      </c>
      <c r="D95" s="627" t="s">
        <v>695</v>
      </c>
      <c r="E95" s="630" t="s">
        <v>15</v>
      </c>
      <c r="F95" s="61"/>
      <c r="G95" s="655">
        <v>40000</v>
      </c>
      <c r="H95" s="635">
        <v>544338.9</v>
      </c>
      <c r="I95" s="635">
        <v>544338.9</v>
      </c>
      <c r="J95" s="635">
        <f t="shared" si="2"/>
        <v>1128677.8</v>
      </c>
      <c r="K95" s="635"/>
      <c r="L95" s="655"/>
      <c r="M95" s="655">
        <f t="shared" si="3"/>
        <v>1128677.8</v>
      </c>
      <c r="N95" s="627"/>
      <c r="O95" s="636"/>
    </row>
    <row r="96" spans="1:15" s="242" customFormat="1" ht="14.25" customHeight="1">
      <c r="A96" s="624">
        <v>84</v>
      </c>
      <c r="B96" s="625" t="e">
        <f>VLOOKUP(D96,'[1]DS CN MOI UP'!$B$11:$C$447,2,0)</f>
        <v>#N/A</v>
      </c>
      <c r="C96" s="626" t="s">
        <v>654</v>
      </c>
      <c r="D96" s="627" t="s">
        <v>696</v>
      </c>
      <c r="E96" s="630" t="s">
        <v>15</v>
      </c>
      <c r="F96" s="61"/>
      <c r="G96" s="655">
        <v>40000</v>
      </c>
      <c r="H96" s="635">
        <v>574572.66299999994</v>
      </c>
      <c r="I96" s="635">
        <v>574572.66299999994</v>
      </c>
      <c r="J96" s="635">
        <f t="shared" si="2"/>
        <v>1189145.3259999999</v>
      </c>
      <c r="K96" s="635"/>
      <c r="L96" s="655"/>
      <c r="M96" s="655">
        <f t="shared" si="3"/>
        <v>1189145.3259999999</v>
      </c>
      <c r="N96" s="627"/>
      <c r="O96" s="636"/>
    </row>
    <row r="97" spans="1:15" s="242" customFormat="1" ht="14.25" customHeight="1">
      <c r="A97" s="624">
        <v>85</v>
      </c>
      <c r="B97" s="625" t="e">
        <f>VLOOKUP(D97,'[1]DS CN MOI UP'!$B$11:$C$447,2,0)</f>
        <v>#N/A</v>
      </c>
      <c r="C97" s="626" t="s">
        <v>654</v>
      </c>
      <c r="D97" s="627" t="s">
        <v>697</v>
      </c>
      <c r="E97" s="630" t="s">
        <v>15</v>
      </c>
      <c r="F97" s="61"/>
      <c r="G97" s="655">
        <v>40000</v>
      </c>
      <c r="H97" s="635">
        <v>604806.42599999998</v>
      </c>
      <c r="I97" s="635">
        <v>604806.42599999998</v>
      </c>
      <c r="J97" s="635">
        <f t="shared" si="2"/>
        <v>1249612.852</v>
      </c>
      <c r="K97" s="635"/>
      <c r="L97" s="655"/>
      <c r="M97" s="655">
        <f t="shared" si="3"/>
        <v>1249612.852</v>
      </c>
      <c r="N97" s="627"/>
      <c r="O97" s="636"/>
    </row>
    <row r="98" spans="1:15" s="242" customFormat="1" ht="14.25" customHeight="1">
      <c r="A98" s="624">
        <v>86</v>
      </c>
      <c r="B98" s="625"/>
      <c r="C98" s="626" t="s">
        <v>648</v>
      </c>
      <c r="D98" s="627" t="s">
        <v>698</v>
      </c>
      <c r="E98" s="630" t="s">
        <v>15</v>
      </c>
      <c r="F98" s="61"/>
      <c r="G98" s="655"/>
      <c r="H98" s="655">
        <v>554373.09900000005</v>
      </c>
      <c r="I98" s="635">
        <v>604806.42599999998</v>
      </c>
      <c r="J98" s="635">
        <f t="shared" si="2"/>
        <v>1159179.5249999999</v>
      </c>
      <c r="K98" s="635"/>
      <c r="L98" s="655"/>
      <c r="M98" s="655">
        <f t="shared" si="3"/>
        <v>1159179.5249999999</v>
      </c>
      <c r="N98" s="627"/>
      <c r="O98" s="636"/>
    </row>
    <row r="99" spans="1:15" s="242" customFormat="1" ht="14.25" customHeight="1">
      <c r="A99" s="624">
        <v>87</v>
      </c>
      <c r="B99" s="625" t="e">
        <f>VLOOKUP(D99,'[1]DS CN MOI UP'!$B$11:$C$447,2,0)</f>
        <v>#N/A</v>
      </c>
      <c r="C99" s="626" t="s">
        <v>650</v>
      </c>
      <c r="D99" s="627" t="s">
        <v>699</v>
      </c>
      <c r="E99" s="630" t="s">
        <v>15</v>
      </c>
      <c r="F99" s="61"/>
      <c r="G99" s="655"/>
      <c r="H99" s="655">
        <v>554373.09900000005</v>
      </c>
      <c r="I99" s="635">
        <v>604806.42599999998</v>
      </c>
      <c r="J99" s="635">
        <f t="shared" si="2"/>
        <v>1159179.5249999999</v>
      </c>
      <c r="K99" s="635"/>
      <c r="L99" s="655"/>
      <c r="M99" s="655">
        <f t="shared" si="3"/>
        <v>1159179.5249999999</v>
      </c>
      <c r="N99" s="627"/>
      <c r="O99" s="636"/>
    </row>
    <row r="100" spans="1:15" s="242" customFormat="1" ht="14.25" customHeight="1">
      <c r="A100" s="624">
        <v>88</v>
      </c>
      <c r="B100" s="625" t="e">
        <f>VLOOKUP(D100,'[1]DS CN MOI UP'!$B$11:$C$447,2,0)</f>
        <v>#N/A</v>
      </c>
      <c r="C100" s="626" t="s">
        <v>651</v>
      </c>
      <c r="D100" s="627" t="s">
        <v>700</v>
      </c>
      <c r="E100" s="630" t="s">
        <v>15</v>
      </c>
      <c r="F100" s="61"/>
      <c r="G100" s="655"/>
      <c r="H100" s="655">
        <v>554373.09900000005</v>
      </c>
      <c r="I100" s="635">
        <v>604806.42599999998</v>
      </c>
      <c r="J100" s="635">
        <f t="shared" si="2"/>
        <v>1159179.5249999999</v>
      </c>
      <c r="K100" s="635"/>
      <c r="L100" s="655"/>
      <c r="M100" s="655">
        <f t="shared" si="3"/>
        <v>1159179.5249999999</v>
      </c>
      <c r="N100" s="627"/>
      <c r="O100" s="636"/>
    </row>
    <row r="101" spans="1:15" s="242" customFormat="1" ht="14.25" customHeight="1">
      <c r="A101" s="624">
        <v>89</v>
      </c>
      <c r="B101" s="625" t="e">
        <f>VLOOKUP(D101,'[1]DS CN MOI UP'!$B$11:$C$447,2,0)</f>
        <v>#N/A</v>
      </c>
      <c r="C101" s="626" t="s">
        <v>651</v>
      </c>
      <c r="D101" s="627" t="s">
        <v>701</v>
      </c>
      <c r="E101" s="630" t="s">
        <v>15</v>
      </c>
      <c r="F101" s="61"/>
      <c r="G101" s="655"/>
      <c r="H101" s="655">
        <v>635040.18900000001</v>
      </c>
      <c r="I101" s="635">
        <v>604806.42599999998</v>
      </c>
      <c r="J101" s="635">
        <f t="shared" si="2"/>
        <v>1239846.615</v>
      </c>
      <c r="K101" s="635"/>
      <c r="L101" s="655"/>
      <c r="M101" s="655">
        <f t="shared" si="3"/>
        <v>1239846.615</v>
      </c>
      <c r="N101" s="627"/>
      <c r="O101" s="636"/>
    </row>
    <row r="102" spans="1:15" s="242" customFormat="1" ht="14.25" customHeight="1">
      <c r="A102" s="624">
        <v>90</v>
      </c>
      <c r="B102" s="625" t="e">
        <f>VLOOKUP(D102,'[1]DS CN MOI UP'!$B$11:$C$447,2,0)</f>
        <v>#N/A</v>
      </c>
      <c r="C102" s="626" t="s">
        <v>651</v>
      </c>
      <c r="D102" s="627" t="s">
        <v>702</v>
      </c>
      <c r="E102" s="630" t="s">
        <v>15</v>
      </c>
      <c r="F102" s="61"/>
      <c r="G102" s="655"/>
      <c r="H102" s="655">
        <v>544338.9</v>
      </c>
      <c r="I102" s="635">
        <v>604806.42599999998</v>
      </c>
      <c r="J102" s="635">
        <f t="shared" si="2"/>
        <v>1149145.3259999999</v>
      </c>
      <c r="K102" s="635"/>
      <c r="L102" s="655"/>
      <c r="M102" s="655">
        <f t="shared" si="3"/>
        <v>1149145.3259999999</v>
      </c>
      <c r="N102" s="627"/>
      <c r="O102" s="636"/>
    </row>
    <row r="103" spans="1:15" s="242" customFormat="1" ht="14.25" customHeight="1">
      <c r="A103" s="624">
        <v>91</v>
      </c>
      <c r="B103" s="625" t="str">
        <f>VLOOKUP(D103,'[1]DS CN MOI UP'!$B$11:$C$447,2,0)</f>
        <v>02622</v>
      </c>
      <c r="C103" s="626" t="s">
        <v>651</v>
      </c>
      <c r="D103" s="627" t="s">
        <v>314</v>
      </c>
      <c r="E103" s="630" t="s">
        <v>15</v>
      </c>
      <c r="F103" s="61"/>
      <c r="G103" s="655"/>
      <c r="H103" s="655">
        <v>574572.66299999994</v>
      </c>
      <c r="I103" s="635">
        <v>604806.42599999998</v>
      </c>
      <c r="J103" s="635">
        <f t="shared" si="2"/>
        <v>1179379.0889999999</v>
      </c>
      <c r="K103" s="635"/>
      <c r="L103" s="655"/>
      <c r="M103" s="655">
        <f t="shared" si="3"/>
        <v>1179379.0889999999</v>
      </c>
      <c r="N103" s="627"/>
      <c r="O103" s="636"/>
    </row>
    <row r="104" spans="1:15" s="242" customFormat="1" ht="14.25" customHeight="1">
      <c r="A104" s="624">
        <v>92</v>
      </c>
      <c r="B104" s="625" t="e">
        <f>VLOOKUP(D104,'[1]DS CN MOI UP'!$B$11:$C$447,2,0)</f>
        <v>#N/A</v>
      </c>
      <c r="C104" s="626" t="s">
        <v>651</v>
      </c>
      <c r="D104" s="627" t="s">
        <v>703</v>
      </c>
      <c r="E104" s="630" t="s">
        <v>15</v>
      </c>
      <c r="F104" s="61"/>
      <c r="G104" s="655"/>
      <c r="H104" s="655">
        <v>604806.42599999998</v>
      </c>
      <c r="I104" s="635">
        <v>604806.42599999998</v>
      </c>
      <c r="J104" s="635">
        <f t="shared" si="2"/>
        <v>1209612.852</v>
      </c>
      <c r="K104" s="635"/>
      <c r="L104" s="655"/>
      <c r="M104" s="655">
        <f t="shared" si="3"/>
        <v>1209612.852</v>
      </c>
      <c r="N104" s="627"/>
      <c r="O104" s="636"/>
    </row>
    <row r="105" spans="1:15" s="242" customFormat="1" ht="14.25" customHeight="1">
      <c r="A105" s="624">
        <v>93</v>
      </c>
      <c r="B105" s="625" t="e">
        <f>VLOOKUP(D105,'[1]DS CN MOI UP'!$B$11:$C$447,2,0)</f>
        <v>#N/A</v>
      </c>
      <c r="C105" s="626" t="s">
        <v>651</v>
      </c>
      <c r="D105" s="627" t="s">
        <v>704</v>
      </c>
      <c r="E105" s="630" t="s">
        <v>15</v>
      </c>
      <c r="F105" s="61"/>
      <c r="G105" s="655"/>
      <c r="H105" s="655">
        <v>584606.86199999996</v>
      </c>
      <c r="I105" s="635">
        <v>604806.42599999998</v>
      </c>
      <c r="J105" s="635">
        <f t="shared" si="2"/>
        <v>1189413.2879999999</v>
      </c>
      <c r="K105" s="635"/>
      <c r="L105" s="655"/>
      <c r="M105" s="655">
        <f t="shared" si="3"/>
        <v>1189413.2879999999</v>
      </c>
      <c r="N105" s="627"/>
      <c r="O105" s="636"/>
    </row>
    <row r="106" spans="1:15" s="242" customFormat="1" ht="14.25" customHeight="1">
      <c r="A106" s="624">
        <v>94</v>
      </c>
      <c r="B106" s="625" t="e">
        <f>VLOOKUP(D106,'[1]DS CN MOI UP'!$B$11:$C$447,2,0)</f>
        <v>#N/A</v>
      </c>
      <c r="C106" s="626" t="s">
        <v>651</v>
      </c>
      <c r="D106" s="627" t="s">
        <v>705</v>
      </c>
      <c r="E106" s="630" t="s">
        <v>15</v>
      </c>
      <c r="F106" s="61"/>
      <c r="G106" s="655"/>
      <c r="H106" s="655">
        <v>635040.18900000001</v>
      </c>
      <c r="I106" s="635">
        <v>604806.42599999998</v>
      </c>
      <c r="J106" s="635">
        <f t="shared" si="2"/>
        <v>1239846.615</v>
      </c>
      <c r="K106" s="635"/>
      <c r="L106" s="655"/>
      <c r="M106" s="655">
        <f t="shared" si="3"/>
        <v>1239846.615</v>
      </c>
      <c r="N106" s="627"/>
      <c r="O106" s="636"/>
    </row>
    <row r="107" spans="1:15" s="242" customFormat="1" ht="14.25" customHeight="1">
      <c r="A107" s="624">
        <v>95</v>
      </c>
      <c r="B107" s="625" t="e">
        <f>VLOOKUP(D107,'[1]DS CN MOI UP'!$B$11:$C$447,2,0)</f>
        <v>#N/A</v>
      </c>
      <c r="C107" s="626" t="s">
        <v>651</v>
      </c>
      <c r="D107" s="627" t="s">
        <v>706</v>
      </c>
      <c r="E107" s="630" t="s">
        <v>15</v>
      </c>
      <c r="F107" s="61"/>
      <c r="G107" s="655"/>
      <c r="H107" s="655">
        <v>524139.33600000001</v>
      </c>
      <c r="I107" s="655">
        <v>524139.33600000001</v>
      </c>
      <c r="J107" s="635">
        <f t="shared" si="2"/>
        <v>1048278.672</v>
      </c>
      <c r="K107" s="635"/>
      <c r="L107" s="655"/>
      <c r="M107" s="655">
        <f t="shared" si="3"/>
        <v>1048278.672</v>
      </c>
      <c r="N107" s="627"/>
      <c r="O107" s="636"/>
    </row>
    <row r="108" spans="1:15" s="242" customFormat="1" ht="14.25" customHeight="1">
      <c r="A108" s="624">
        <v>96</v>
      </c>
      <c r="B108" s="625" t="e">
        <f>VLOOKUP(D108,'[1]DS CN MOI UP'!$B$11:$C$447,2,0)</f>
        <v>#N/A</v>
      </c>
      <c r="C108" s="626" t="s">
        <v>651</v>
      </c>
      <c r="D108" s="627" t="s">
        <v>707</v>
      </c>
      <c r="E108" s="630" t="s">
        <v>15</v>
      </c>
      <c r="F108" s="61"/>
      <c r="G108" s="655"/>
      <c r="H108" s="655">
        <v>635040.18900000001</v>
      </c>
      <c r="I108" s="655">
        <v>524139.33600000001</v>
      </c>
      <c r="J108" s="635">
        <f t="shared" si="2"/>
        <v>1159179.5249999999</v>
      </c>
      <c r="K108" s="635"/>
      <c r="L108" s="655"/>
      <c r="M108" s="655">
        <f t="shared" si="3"/>
        <v>1159179.5249999999</v>
      </c>
      <c r="N108" s="627"/>
      <c r="O108" s="636"/>
    </row>
    <row r="109" spans="1:15" s="242" customFormat="1" ht="14.25" customHeight="1">
      <c r="A109" s="624">
        <v>97</v>
      </c>
      <c r="B109" s="625" t="e">
        <f>VLOOKUP(D109,'[1]DS CN MOI UP'!$B$11:$C$447,2,0)</f>
        <v>#N/A</v>
      </c>
      <c r="C109" s="626" t="s">
        <v>651</v>
      </c>
      <c r="D109" s="627" t="s">
        <v>708</v>
      </c>
      <c r="E109" s="630" t="s">
        <v>15</v>
      </c>
      <c r="F109" s="61"/>
      <c r="G109" s="655"/>
      <c r="H109" s="655">
        <v>635040.18900000001</v>
      </c>
      <c r="I109" s="655">
        <v>524139.33600000001</v>
      </c>
      <c r="J109" s="635">
        <f t="shared" si="2"/>
        <v>1159179.5249999999</v>
      </c>
      <c r="K109" s="635"/>
      <c r="L109" s="655"/>
      <c r="M109" s="655">
        <f t="shared" si="3"/>
        <v>1159179.5249999999</v>
      </c>
      <c r="N109" s="627"/>
      <c r="O109" s="636"/>
    </row>
    <row r="110" spans="1:15" s="242" customFormat="1" ht="14.25" customHeight="1">
      <c r="A110" s="624">
        <v>98</v>
      </c>
      <c r="B110" s="625" t="str">
        <f>VLOOKUP(D110,'[1]DS CN MOI UP'!$B$11:$C$447,2,0)</f>
        <v>02691</v>
      </c>
      <c r="C110" s="626" t="s">
        <v>651</v>
      </c>
      <c r="D110" s="627" t="s">
        <v>182</v>
      </c>
      <c r="E110" s="630" t="s">
        <v>15</v>
      </c>
      <c r="F110" s="61"/>
      <c r="G110" s="655"/>
      <c r="H110" s="655">
        <v>635040.18900000001</v>
      </c>
      <c r="I110" s="655">
        <v>524139.33600000001</v>
      </c>
      <c r="J110" s="635">
        <f t="shared" si="2"/>
        <v>1159179.5249999999</v>
      </c>
      <c r="K110" s="635"/>
      <c r="L110" s="655"/>
      <c r="M110" s="655">
        <f t="shared" si="3"/>
        <v>1159179.5249999999</v>
      </c>
      <c r="N110" s="627"/>
      <c r="O110" s="636"/>
    </row>
    <row r="111" spans="1:15" s="242" customFormat="1" ht="14.25" customHeight="1">
      <c r="A111" s="624">
        <v>99</v>
      </c>
      <c r="B111" s="625" t="str">
        <f>VLOOKUP(D111,'[1]DS CN MOI UP'!$B$11:$C$447,2,0)</f>
        <v>03850</v>
      </c>
      <c r="C111" s="626" t="s">
        <v>651</v>
      </c>
      <c r="D111" s="627" t="s">
        <v>449</v>
      </c>
      <c r="E111" s="630" t="s">
        <v>15</v>
      </c>
      <c r="F111" s="61"/>
      <c r="G111" s="655"/>
      <c r="H111" s="655">
        <v>635040.18900000001</v>
      </c>
      <c r="I111" s="655">
        <v>524139.33600000001</v>
      </c>
      <c r="J111" s="635">
        <f t="shared" si="2"/>
        <v>1159179.5249999999</v>
      </c>
      <c r="K111" s="635"/>
      <c r="L111" s="655"/>
      <c r="M111" s="655">
        <f t="shared" si="3"/>
        <v>1159179.5249999999</v>
      </c>
      <c r="N111" s="627"/>
      <c r="O111" s="636"/>
    </row>
    <row r="112" spans="1:15" s="242" customFormat="1" ht="14.25" customHeight="1">
      <c r="A112" s="624">
        <v>100</v>
      </c>
      <c r="B112" s="625" t="e">
        <f>VLOOKUP(D112,'[1]DS CN MOI UP'!$B$11:$C$447,2,0)</f>
        <v>#N/A</v>
      </c>
      <c r="C112" s="626" t="s">
        <v>654</v>
      </c>
      <c r="D112" s="627" t="s">
        <v>709</v>
      </c>
      <c r="E112" s="630" t="s">
        <v>15</v>
      </c>
      <c r="F112" s="61"/>
      <c r="G112" s="655"/>
      <c r="H112" s="655">
        <v>635040.18900000001</v>
      </c>
      <c r="I112" s="655">
        <v>524139.33600000001</v>
      </c>
      <c r="J112" s="635">
        <f t="shared" si="2"/>
        <v>1159179.5249999999</v>
      </c>
      <c r="K112" s="635"/>
      <c r="L112" s="655"/>
      <c r="M112" s="655">
        <f t="shared" si="3"/>
        <v>1159179.5249999999</v>
      </c>
      <c r="N112" s="627"/>
      <c r="O112" s="636"/>
    </row>
    <row r="113" spans="1:15" s="242" customFormat="1" ht="14.25" customHeight="1">
      <c r="A113" s="624">
        <v>101</v>
      </c>
      <c r="B113" s="625" t="e">
        <f>VLOOKUP(D113,'[1]DS CN MOI UP'!$B$11:$C$447,2,0)</f>
        <v>#N/A</v>
      </c>
      <c r="C113" s="626" t="s">
        <v>654</v>
      </c>
      <c r="D113" s="627" t="s">
        <v>710</v>
      </c>
      <c r="E113" s="630" t="s">
        <v>15</v>
      </c>
      <c r="F113" s="61"/>
      <c r="G113" s="655"/>
      <c r="H113" s="655">
        <v>635040.18900000001</v>
      </c>
      <c r="I113" s="655">
        <v>152246.3358</v>
      </c>
      <c r="J113" s="635">
        <f t="shared" si="2"/>
        <v>787286.52480000001</v>
      </c>
      <c r="K113" s="635"/>
      <c r="L113" s="655"/>
      <c r="M113" s="655">
        <f t="shared" si="3"/>
        <v>787286.52480000001</v>
      </c>
      <c r="N113" s="627"/>
      <c r="O113" s="636"/>
    </row>
    <row r="114" spans="1:15" s="242" customFormat="1" ht="14.25" customHeight="1">
      <c r="A114" s="624">
        <v>102</v>
      </c>
      <c r="B114" s="625" t="e">
        <f>VLOOKUP(D114,'[1]DS CN MOI UP'!$B$11:$C$447,2,0)</f>
        <v>#N/A</v>
      </c>
      <c r="C114" s="626" t="s">
        <v>654</v>
      </c>
      <c r="D114" s="627" t="s">
        <v>711</v>
      </c>
      <c r="E114" s="630" t="s">
        <v>15</v>
      </c>
      <c r="F114" s="61"/>
      <c r="G114" s="655"/>
      <c r="H114" s="655">
        <v>614840.625</v>
      </c>
      <c r="I114" s="655"/>
      <c r="J114" s="635">
        <f t="shared" si="2"/>
        <v>614840.625</v>
      </c>
      <c r="K114" s="635"/>
      <c r="L114" s="655"/>
      <c r="M114" s="655">
        <f t="shared" si="3"/>
        <v>614840.625</v>
      </c>
      <c r="N114" s="627"/>
      <c r="O114" s="636"/>
    </row>
    <row r="115" spans="1:15" s="242" customFormat="1" ht="14.25" customHeight="1">
      <c r="A115" s="624">
        <v>103</v>
      </c>
      <c r="B115" s="625" t="e">
        <f>VLOOKUP(D115,'[1]DS CN MOI UP'!$B$11:$C$447,2,0)</f>
        <v>#N/A</v>
      </c>
      <c r="C115" s="626" t="s">
        <v>654</v>
      </c>
      <c r="D115" s="627" t="s">
        <v>712</v>
      </c>
      <c r="E115" s="630" t="s">
        <v>15</v>
      </c>
      <c r="F115" s="61"/>
      <c r="G115" s="655"/>
      <c r="H115" s="655">
        <v>554373.09900000005</v>
      </c>
      <c r="I115" s="655"/>
      <c r="J115" s="635">
        <f t="shared" si="2"/>
        <v>554373.09900000005</v>
      </c>
      <c r="K115" s="635"/>
      <c r="L115" s="655"/>
      <c r="M115" s="655">
        <f t="shared" si="3"/>
        <v>554373.09900000005</v>
      </c>
      <c r="N115" s="627"/>
      <c r="O115" s="636"/>
    </row>
    <row r="116" spans="1:15" s="242" customFormat="1" ht="14.25" customHeight="1">
      <c r="A116" s="624">
        <v>104</v>
      </c>
      <c r="B116" s="625" t="e">
        <f>VLOOKUP(D116,'[1]DS CN MOI UP'!$B$11:$C$447,2,0)</f>
        <v>#N/A</v>
      </c>
      <c r="C116" s="626" t="s">
        <v>654</v>
      </c>
      <c r="D116" s="627" t="s">
        <v>713</v>
      </c>
      <c r="E116" s="630" t="s">
        <v>15</v>
      </c>
      <c r="F116" s="61"/>
      <c r="G116" s="655"/>
      <c r="H116" s="655">
        <v>1250644.9522992801</v>
      </c>
      <c r="I116" s="655"/>
      <c r="J116" s="635">
        <f t="shared" si="2"/>
        <v>1250644.9522992801</v>
      </c>
      <c r="K116" s="635"/>
      <c r="L116" s="655"/>
      <c r="M116" s="655">
        <f t="shared" si="3"/>
        <v>1250644.9522992801</v>
      </c>
      <c r="N116" s="627"/>
      <c r="O116" s="636"/>
    </row>
    <row r="117" spans="1:15" s="242" customFormat="1" ht="14.25" customHeight="1">
      <c r="A117" s="624">
        <v>105</v>
      </c>
      <c r="B117" s="625" t="e">
        <f>VLOOKUP(D117,'[1]DS CN MOI UP'!$B$11:$C$447,2,0)</f>
        <v>#N/A</v>
      </c>
      <c r="C117" s="626" t="s">
        <v>654</v>
      </c>
      <c r="D117" s="627" t="s">
        <v>714</v>
      </c>
      <c r="E117" s="630" t="s">
        <v>15</v>
      </c>
      <c r="F117" s="61"/>
      <c r="G117" s="655"/>
      <c r="H117" s="655">
        <v>554373.09900000005</v>
      </c>
      <c r="I117" s="655"/>
      <c r="J117" s="635">
        <f t="shared" si="2"/>
        <v>554373.09900000005</v>
      </c>
      <c r="K117" s="635"/>
      <c r="L117" s="655"/>
      <c r="M117" s="655">
        <f t="shared" si="3"/>
        <v>554373.09900000005</v>
      </c>
      <c r="N117" s="627"/>
      <c r="O117" s="636"/>
    </row>
    <row r="118" spans="1:15" s="242" customFormat="1" ht="14.25" customHeight="1">
      <c r="A118" s="624">
        <v>106</v>
      </c>
      <c r="B118" s="625" t="e">
        <f>VLOOKUP(D118,'[1]DS CN MOI UP'!$B$11:$C$447,2,0)</f>
        <v>#N/A</v>
      </c>
      <c r="C118" s="626" t="s">
        <v>654</v>
      </c>
      <c r="D118" s="627" t="s">
        <v>715</v>
      </c>
      <c r="E118" s="630" t="s">
        <v>15</v>
      </c>
      <c r="F118" s="61"/>
      <c r="G118" s="655"/>
      <c r="H118" s="655">
        <v>635040.18900000001</v>
      </c>
      <c r="I118" s="655"/>
      <c r="J118" s="635">
        <f t="shared" si="2"/>
        <v>635040.18900000001</v>
      </c>
      <c r="K118" s="635"/>
      <c r="L118" s="655"/>
      <c r="M118" s="655">
        <f t="shared" si="3"/>
        <v>635040.18900000001</v>
      </c>
      <c r="N118" s="627"/>
      <c r="O118" s="636"/>
    </row>
    <row r="119" spans="1:15" s="242" customFormat="1" ht="14.25" customHeight="1">
      <c r="A119" s="624">
        <v>107</v>
      </c>
      <c r="B119" s="625" t="e">
        <f>VLOOKUP(D119,'[1]DS CN MOI UP'!$B$11:$C$447,2,0)</f>
        <v>#N/A</v>
      </c>
      <c r="C119" s="626" t="s">
        <v>654</v>
      </c>
      <c r="D119" s="627" t="s">
        <v>716</v>
      </c>
      <c r="E119" s="630" t="s">
        <v>15</v>
      </c>
      <c r="F119" s="61"/>
      <c r="G119" s="655"/>
      <c r="H119" s="655">
        <v>544338.9</v>
      </c>
      <c r="I119" s="655"/>
      <c r="J119" s="635">
        <f t="shared" si="2"/>
        <v>544338.9</v>
      </c>
      <c r="K119" s="635"/>
      <c r="L119" s="655"/>
      <c r="M119" s="655">
        <f t="shared" si="3"/>
        <v>544338.9</v>
      </c>
      <c r="N119" s="627"/>
      <c r="O119" s="636"/>
    </row>
    <row r="120" spans="1:15" s="242" customFormat="1" ht="14.25" customHeight="1">
      <c r="A120" s="624">
        <v>108</v>
      </c>
      <c r="B120" s="625" t="e">
        <f>VLOOKUP(D120,'[1]DS CN MOI UP'!$B$11:$C$447,2,0)</f>
        <v>#N/A</v>
      </c>
      <c r="C120" s="626" t="s">
        <v>654</v>
      </c>
      <c r="D120" s="627" t="s">
        <v>717</v>
      </c>
      <c r="E120" s="630" t="s">
        <v>15</v>
      </c>
      <c r="F120" s="61"/>
      <c r="G120" s="655">
        <v>200000</v>
      </c>
      <c r="H120" s="655">
        <v>574572.66299999994</v>
      </c>
      <c r="I120" s="655"/>
      <c r="J120" s="635">
        <f t="shared" ref="J120:J162" si="4">SUM(G120:I120)</f>
        <v>774572.66299999994</v>
      </c>
      <c r="K120" s="635"/>
      <c r="L120" s="655"/>
      <c r="M120" s="655">
        <f t="shared" si="3"/>
        <v>774572.66299999994</v>
      </c>
      <c r="N120" s="627"/>
      <c r="O120" s="636"/>
    </row>
    <row r="121" spans="1:15" s="242" customFormat="1" ht="14.25" customHeight="1">
      <c r="A121" s="624">
        <v>109</v>
      </c>
      <c r="B121" s="625" t="e">
        <f>VLOOKUP(D121,'[1]DS CN MOI UP'!$B$11:$C$447,2,0)</f>
        <v>#N/A</v>
      </c>
      <c r="C121" s="626" t="s">
        <v>654</v>
      </c>
      <c r="D121" s="627" t="s">
        <v>718</v>
      </c>
      <c r="E121" s="630" t="s">
        <v>15</v>
      </c>
      <c r="F121" s="61"/>
      <c r="G121" s="655"/>
      <c r="H121" s="655">
        <v>1148746.1980000001</v>
      </c>
      <c r="I121" s="655"/>
      <c r="J121" s="635">
        <f t="shared" si="4"/>
        <v>1148746.1980000001</v>
      </c>
      <c r="K121" s="635"/>
      <c r="L121" s="655"/>
      <c r="M121" s="655">
        <f t="shared" si="3"/>
        <v>1148746.1980000001</v>
      </c>
      <c r="N121" s="627"/>
      <c r="O121" s="636"/>
    </row>
    <row r="122" spans="1:15" s="242" customFormat="1" ht="14.25" customHeight="1">
      <c r="A122" s="624">
        <v>110</v>
      </c>
      <c r="B122" s="625" t="e">
        <f>VLOOKUP(D122,'[1]DS CN MOI UP'!$B$11:$C$447,2,0)</f>
        <v>#N/A</v>
      </c>
      <c r="C122" s="626" t="s">
        <v>654</v>
      </c>
      <c r="D122" s="627" t="s">
        <v>719</v>
      </c>
      <c r="E122" s="630" t="s">
        <v>15</v>
      </c>
      <c r="F122" s="61"/>
      <c r="G122" s="655"/>
      <c r="H122" s="655">
        <v>1270080.378</v>
      </c>
      <c r="I122" s="655"/>
      <c r="J122" s="635">
        <f t="shared" si="4"/>
        <v>1270080.378</v>
      </c>
      <c r="K122" s="635"/>
      <c r="L122" s="655"/>
      <c r="M122" s="655">
        <f t="shared" si="3"/>
        <v>1270080.378</v>
      </c>
      <c r="N122" s="627"/>
      <c r="O122" s="636"/>
    </row>
    <row r="123" spans="1:15" s="242" customFormat="1" ht="14.25" customHeight="1">
      <c r="A123" s="624">
        <v>111</v>
      </c>
      <c r="B123" s="625" t="str">
        <f>VLOOKUP(D123,'[1]DS CN MOI UP'!$B$11:$C$447,2,0)</f>
        <v>02433</v>
      </c>
      <c r="C123" s="626" t="s">
        <v>654</v>
      </c>
      <c r="D123" s="627" t="s">
        <v>391</v>
      </c>
      <c r="E123" s="630" t="s">
        <v>15</v>
      </c>
      <c r="F123" s="61"/>
      <c r="G123" s="655"/>
      <c r="H123" s="655">
        <v>1128677.8</v>
      </c>
      <c r="I123" s="655"/>
      <c r="J123" s="635">
        <f t="shared" si="4"/>
        <v>1128677.8</v>
      </c>
      <c r="K123" s="635"/>
      <c r="L123" s="655"/>
      <c r="M123" s="655">
        <f t="shared" si="3"/>
        <v>1128677.8</v>
      </c>
      <c r="N123" s="627"/>
      <c r="O123" s="636"/>
    </row>
    <row r="124" spans="1:15" s="242" customFormat="1" ht="14.25" customHeight="1">
      <c r="A124" s="624">
        <v>112</v>
      </c>
      <c r="B124" s="625" t="e">
        <f>VLOOKUP(D124,'[1]DS CN MOI UP'!$B$11:$C$447,2,0)</f>
        <v>#N/A</v>
      </c>
      <c r="C124" s="626" t="s">
        <v>654</v>
      </c>
      <c r="D124" s="627" t="s">
        <v>720</v>
      </c>
      <c r="E124" s="630" t="s">
        <v>15</v>
      </c>
      <c r="F124" s="61"/>
      <c r="G124" s="655"/>
      <c r="H124" s="655">
        <v>1189145.3259999999</v>
      </c>
      <c r="I124" s="655"/>
      <c r="J124" s="635">
        <f t="shared" si="4"/>
        <v>1189145.3259999999</v>
      </c>
      <c r="K124" s="635"/>
      <c r="L124" s="655"/>
      <c r="M124" s="655">
        <f t="shared" si="3"/>
        <v>1189145.3259999999</v>
      </c>
      <c r="N124" s="627"/>
      <c r="O124" s="636"/>
    </row>
    <row r="125" spans="1:15" s="242" customFormat="1" ht="14.25" customHeight="1">
      <c r="A125" s="624">
        <v>113</v>
      </c>
      <c r="B125" s="625" t="e">
        <f>VLOOKUP(D125,'[1]DS CN MOI UP'!$B$11:$C$447,2,0)</f>
        <v>#N/A</v>
      </c>
      <c r="C125" s="626" t="s">
        <v>654</v>
      </c>
      <c r="D125" s="627" t="s">
        <v>721</v>
      </c>
      <c r="E125" s="630" t="s">
        <v>15</v>
      </c>
      <c r="F125" s="61"/>
      <c r="G125" s="655"/>
      <c r="H125" s="655">
        <v>1249612.852</v>
      </c>
      <c r="I125" s="655"/>
      <c r="J125" s="635">
        <f t="shared" si="4"/>
        <v>1249612.852</v>
      </c>
      <c r="K125" s="635"/>
      <c r="L125" s="655"/>
      <c r="M125" s="655">
        <f t="shared" si="3"/>
        <v>1249612.852</v>
      </c>
      <c r="N125" s="627"/>
      <c r="O125" s="636"/>
    </row>
    <row r="126" spans="1:15" s="242" customFormat="1" ht="14.25" customHeight="1">
      <c r="A126" s="624">
        <v>114</v>
      </c>
      <c r="B126" s="625" t="e">
        <f>VLOOKUP(D126,'[1]DS CN MOI UP'!$B$11:$C$447,2,0)</f>
        <v>#N/A</v>
      </c>
      <c r="C126" s="626" t="s">
        <v>654</v>
      </c>
      <c r="D126" s="627" t="s">
        <v>722</v>
      </c>
      <c r="E126" s="630" t="s">
        <v>15</v>
      </c>
      <c r="F126" s="61"/>
      <c r="G126" s="655"/>
      <c r="H126" s="655">
        <v>1159179.5249999999</v>
      </c>
      <c r="I126" s="655"/>
      <c r="J126" s="635">
        <f t="shared" si="4"/>
        <v>1159179.5249999999</v>
      </c>
      <c r="K126" s="635"/>
      <c r="L126" s="655"/>
      <c r="M126" s="655">
        <f t="shared" si="3"/>
        <v>1159179.5249999999</v>
      </c>
      <c r="N126" s="627"/>
      <c r="O126" s="636"/>
    </row>
    <row r="127" spans="1:15" s="242" customFormat="1" ht="14.25" customHeight="1">
      <c r="A127" s="624">
        <v>115</v>
      </c>
      <c r="B127" s="625" t="e">
        <f>VLOOKUP(D127,'[1]DS CN MOI UP'!$B$11:$C$447,2,0)</f>
        <v>#N/A</v>
      </c>
      <c r="C127" s="626" t="s">
        <v>654</v>
      </c>
      <c r="D127" s="627" t="s">
        <v>723</v>
      </c>
      <c r="E127" s="630" t="s">
        <v>15</v>
      </c>
      <c r="F127" s="61"/>
      <c r="G127" s="655"/>
      <c r="H127" s="635">
        <v>1159179.5249999999</v>
      </c>
      <c r="I127" s="655"/>
      <c r="J127" s="635">
        <f t="shared" si="4"/>
        <v>1159179.5249999999</v>
      </c>
      <c r="K127" s="635"/>
      <c r="L127" s="655"/>
      <c r="M127" s="655">
        <f t="shared" si="3"/>
        <v>1159179.5249999999</v>
      </c>
      <c r="N127" s="627"/>
      <c r="O127" s="636"/>
    </row>
    <row r="128" spans="1:15" s="242" customFormat="1" ht="14.25" customHeight="1">
      <c r="A128" s="624">
        <v>116</v>
      </c>
      <c r="B128" s="625" t="str">
        <f>VLOOKUP(D128,'[1]DS CN MOI UP'!$B$11:$C$447,2,0)</f>
        <v>03428</v>
      </c>
      <c r="C128" s="626" t="s">
        <v>654</v>
      </c>
      <c r="D128" s="627" t="s">
        <v>388</v>
      </c>
      <c r="E128" s="630" t="s">
        <v>15</v>
      </c>
      <c r="F128" s="61"/>
      <c r="G128" s="655"/>
      <c r="H128" s="635">
        <v>1159179.5249999999</v>
      </c>
      <c r="I128" s="655"/>
      <c r="J128" s="635">
        <f t="shared" si="4"/>
        <v>1159179.5249999999</v>
      </c>
      <c r="K128" s="635"/>
      <c r="L128" s="655"/>
      <c r="M128" s="655">
        <f t="shared" si="3"/>
        <v>1159179.5249999999</v>
      </c>
      <c r="N128" s="627"/>
      <c r="O128" s="636"/>
    </row>
    <row r="129" spans="1:15" s="242" customFormat="1" ht="14.25" customHeight="1">
      <c r="A129" s="624">
        <v>117</v>
      </c>
      <c r="B129" s="625" t="e">
        <f>VLOOKUP(D129,'[1]DS CN MOI UP'!$B$11:$C$447,2,0)</f>
        <v>#N/A</v>
      </c>
      <c r="C129" s="626" t="s">
        <v>654</v>
      </c>
      <c r="D129" s="627" t="s">
        <v>724</v>
      </c>
      <c r="E129" s="630" t="s">
        <v>15</v>
      </c>
      <c r="F129" s="61"/>
      <c r="G129" s="655"/>
      <c r="H129" s="635">
        <v>1239846.615</v>
      </c>
      <c r="I129" s="655"/>
      <c r="J129" s="635">
        <f t="shared" si="4"/>
        <v>1239846.615</v>
      </c>
      <c r="K129" s="635"/>
      <c r="L129" s="655"/>
      <c r="M129" s="655">
        <f t="shared" si="3"/>
        <v>1239846.615</v>
      </c>
      <c r="N129" s="627"/>
      <c r="O129" s="636"/>
    </row>
    <row r="130" spans="1:15" s="242" customFormat="1" ht="14.25" customHeight="1">
      <c r="A130" s="624">
        <v>118</v>
      </c>
      <c r="B130" s="625" t="e">
        <f>VLOOKUP(D130,'[1]DS CN MOI UP'!$B$11:$C$447,2,0)</f>
        <v>#N/A</v>
      </c>
      <c r="C130" s="626" t="s">
        <v>654</v>
      </c>
      <c r="D130" s="627" t="s">
        <v>725</v>
      </c>
      <c r="E130" s="630" t="s">
        <v>15</v>
      </c>
      <c r="F130" s="61"/>
      <c r="G130" s="655"/>
      <c r="H130" s="635">
        <v>1149145.3259999999</v>
      </c>
      <c r="I130" s="655"/>
      <c r="J130" s="635">
        <f t="shared" si="4"/>
        <v>1149145.3259999999</v>
      </c>
      <c r="K130" s="635"/>
      <c r="L130" s="655"/>
      <c r="M130" s="655">
        <f t="shared" si="3"/>
        <v>1149145.3259999999</v>
      </c>
      <c r="N130" s="627"/>
      <c r="O130" s="636"/>
    </row>
    <row r="131" spans="1:15" s="242" customFormat="1" ht="14.25" customHeight="1">
      <c r="A131" s="624">
        <v>119</v>
      </c>
      <c r="B131" s="625" t="e">
        <f>VLOOKUP(D131,'[1]DS CN MOI UP'!$B$11:$C$447,2,0)</f>
        <v>#N/A</v>
      </c>
      <c r="C131" s="626" t="s">
        <v>654</v>
      </c>
      <c r="D131" s="627" t="s">
        <v>726</v>
      </c>
      <c r="E131" s="630" t="s">
        <v>15</v>
      </c>
      <c r="F131" s="61"/>
      <c r="G131" s="655"/>
      <c r="H131" s="635">
        <v>1179379.0889999999</v>
      </c>
      <c r="I131" s="655"/>
      <c r="J131" s="635">
        <f t="shared" si="4"/>
        <v>1179379.0889999999</v>
      </c>
      <c r="K131" s="635"/>
      <c r="L131" s="655"/>
      <c r="M131" s="655">
        <f t="shared" si="3"/>
        <v>1179379.0889999999</v>
      </c>
      <c r="N131" s="627"/>
      <c r="O131" s="636"/>
    </row>
    <row r="132" spans="1:15" s="242" customFormat="1" ht="14.25" customHeight="1">
      <c r="A132" s="624">
        <v>120</v>
      </c>
      <c r="B132" s="625" t="e">
        <f>VLOOKUP(D132,'[1]DS CN MOI UP'!$B$11:$C$447,2,0)</f>
        <v>#N/A</v>
      </c>
      <c r="C132" s="626" t="s">
        <v>654</v>
      </c>
      <c r="D132" s="627" t="s">
        <v>727</v>
      </c>
      <c r="E132" s="630" t="s">
        <v>15</v>
      </c>
      <c r="F132" s="61"/>
      <c r="G132" s="655"/>
      <c r="H132" s="635">
        <v>1209612.852</v>
      </c>
      <c r="I132" s="655"/>
      <c r="J132" s="635">
        <f t="shared" si="4"/>
        <v>1209612.852</v>
      </c>
      <c r="K132" s="635"/>
      <c r="L132" s="655"/>
      <c r="M132" s="655">
        <f t="shared" si="3"/>
        <v>1209612.852</v>
      </c>
      <c r="N132" s="627"/>
      <c r="O132" s="636"/>
    </row>
    <row r="133" spans="1:15" s="242" customFormat="1" ht="14.25" customHeight="1">
      <c r="A133" s="624">
        <v>121</v>
      </c>
      <c r="B133" s="625" t="e">
        <f>VLOOKUP(D133,'[1]DS CN MOI UP'!$B$11:$C$447,2,0)</f>
        <v>#N/A</v>
      </c>
      <c r="C133" s="626" t="s">
        <v>654</v>
      </c>
      <c r="D133" s="627" t="s">
        <v>728</v>
      </c>
      <c r="E133" s="630" t="s">
        <v>15</v>
      </c>
      <c r="F133" s="61"/>
      <c r="G133" s="655"/>
      <c r="H133" s="635">
        <v>1189413.2879999999</v>
      </c>
      <c r="I133" s="655"/>
      <c r="J133" s="635">
        <f t="shared" si="4"/>
        <v>1189413.2879999999</v>
      </c>
      <c r="K133" s="635"/>
      <c r="L133" s="655"/>
      <c r="M133" s="655">
        <f t="shared" si="3"/>
        <v>1189413.2879999999</v>
      </c>
      <c r="N133" s="627"/>
      <c r="O133" s="636"/>
    </row>
    <row r="134" spans="1:15" s="242" customFormat="1" ht="14.25" customHeight="1">
      <c r="A134" s="624">
        <v>122</v>
      </c>
      <c r="B134" s="625" t="str">
        <f>VLOOKUP(D134,'[1]DS CN MOI UP'!$B$11:$C$447,2,0)</f>
        <v>03354</v>
      </c>
      <c r="C134" s="626" t="s">
        <v>654</v>
      </c>
      <c r="D134" s="627" t="s">
        <v>191</v>
      </c>
      <c r="E134" s="630" t="s">
        <v>15</v>
      </c>
      <c r="F134" s="61"/>
      <c r="G134" s="655"/>
      <c r="H134" s="635">
        <v>1239846.615</v>
      </c>
      <c r="I134" s="655"/>
      <c r="J134" s="635">
        <f t="shared" si="4"/>
        <v>1239846.615</v>
      </c>
      <c r="K134" s="635"/>
      <c r="L134" s="655"/>
      <c r="M134" s="655">
        <f t="shared" si="3"/>
        <v>1239846.615</v>
      </c>
      <c r="N134" s="627"/>
      <c r="O134" s="636"/>
    </row>
    <row r="135" spans="1:15" s="242" customFormat="1" ht="14.25" customHeight="1">
      <c r="A135" s="624">
        <v>123</v>
      </c>
      <c r="B135" s="625" t="e">
        <f>VLOOKUP(D135,'[1]DS CN MOI UP'!$B$11:$C$447,2,0)</f>
        <v>#N/A</v>
      </c>
      <c r="C135" s="626" t="s">
        <v>654</v>
      </c>
      <c r="D135" s="627" t="s">
        <v>729</v>
      </c>
      <c r="E135" s="630" t="s">
        <v>15</v>
      </c>
      <c r="F135" s="61"/>
      <c r="G135" s="655"/>
      <c r="H135" s="635">
        <v>1048278.672</v>
      </c>
      <c r="I135" s="655"/>
      <c r="J135" s="635">
        <f t="shared" si="4"/>
        <v>1048278.672</v>
      </c>
      <c r="K135" s="635"/>
      <c r="L135" s="655"/>
      <c r="M135" s="655">
        <f t="shared" si="3"/>
        <v>1048278.672</v>
      </c>
      <c r="N135" s="627"/>
      <c r="O135" s="636"/>
    </row>
    <row r="136" spans="1:15" s="242" customFormat="1" ht="14.25" customHeight="1">
      <c r="A136" s="624">
        <v>124</v>
      </c>
      <c r="B136" s="625" t="e">
        <f>VLOOKUP(D136,'[1]DS CN MOI UP'!$B$11:$C$447,2,0)</f>
        <v>#N/A</v>
      </c>
      <c r="C136" s="626" t="s">
        <v>654</v>
      </c>
      <c r="D136" s="627" t="s">
        <v>730</v>
      </c>
      <c r="E136" s="630" t="s">
        <v>15</v>
      </c>
      <c r="F136" s="61"/>
      <c r="G136" s="655"/>
      <c r="H136" s="635">
        <v>1159179.5249999999</v>
      </c>
      <c r="I136" s="655"/>
      <c r="J136" s="635">
        <f t="shared" si="4"/>
        <v>1159179.5249999999</v>
      </c>
      <c r="K136" s="635"/>
      <c r="L136" s="655"/>
      <c r="M136" s="655">
        <f t="shared" si="3"/>
        <v>1159179.5249999999</v>
      </c>
      <c r="N136" s="627"/>
      <c r="O136" s="636"/>
    </row>
    <row r="137" spans="1:15" s="242" customFormat="1" ht="14.25" customHeight="1">
      <c r="A137" s="624">
        <v>125</v>
      </c>
      <c r="B137" s="625" t="e">
        <f>VLOOKUP(D137,'[1]DS CN MOI UP'!$B$11:$C$447,2,0)</f>
        <v>#N/A</v>
      </c>
      <c r="C137" s="626" t="s">
        <v>654</v>
      </c>
      <c r="D137" s="627" t="s">
        <v>731</v>
      </c>
      <c r="E137" s="630" t="s">
        <v>15</v>
      </c>
      <c r="F137" s="61"/>
      <c r="G137" s="655"/>
      <c r="H137" s="635">
        <v>1159179.5249999999</v>
      </c>
      <c r="I137" s="635"/>
      <c r="J137" s="635">
        <f t="shared" si="4"/>
        <v>1159179.5249999999</v>
      </c>
      <c r="K137" s="635"/>
      <c r="L137" s="655"/>
      <c r="M137" s="655">
        <f t="shared" si="3"/>
        <v>1159179.5249999999</v>
      </c>
      <c r="N137" s="627"/>
      <c r="O137" s="636"/>
    </row>
    <row r="138" spans="1:15" s="242" customFormat="1" ht="14.25" customHeight="1">
      <c r="A138" s="624">
        <v>126</v>
      </c>
      <c r="B138" s="625" t="str">
        <f>VLOOKUP(D138,'[1]DS CN MOI UP'!$B$11:$C$447,2,0)</f>
        <v>03277</v>
      </c>
      <c r="C138" s="626" t="s">
        <v>654</v>
      </c>
      <c r="D138" s="627" t="s">
        <v>437</v>
      </c>
      <c r="E138" s="630" t="s">
        <v>15</v>
      </c>
      <c r="F138" s="61"/>
      <c r="G138" s="655"/>
      <c r="H138" s="635">
        <v>1159179.5249999999</v>
      </c>
      <c r="I138" s="635"/>
      <c r="J138" s="635">
        <f t="shared" si="4"/>
        <v>1159179.5249999999</v>
      </c>
      <c r="K138" s="635"/>
      <c r="L138" s="655"/>
      <c r="M138" s="655">
        <f t="shared" si="3"/>
        <v>1159179.5249999999</v>
      </c>
      <c r="N138" s="627"/>
      <c r="O138" s="636"/>
    </row>
    <row r="139" spans="1:15" s="242" customFormat="1" ht="14.25" customHeight="1">
      <c r="A139" s="624">
        <v>127</v>
      </c>
      <c r="B139" s="625" t="e">
        <f>VLOOKUP(D139,'[1]DS CN MOI UP'!$B$11:$C$447,2,0)</f>
        <v>#N/A</v>
      </c>
      <c r="C139" s="626" t="s">
        <v>654</v>
      </c>
      <c r="D139" s="627" t="s">
        <v>732</v>
      </c>
      <c r="E139" s="630" t="s">
        <v>15</v>
      </c>
      <c r="F139" s="61"/>
      <c r="G139" s="655"/>
      <c r="H139" s="635">
        <v>1159179.5249999999</v>
      </c>
      <c r="I139" s="635"/>
      <c r="J139" s="635">
        <f t="shared" si="4"/>
        <v>1159179.5249999999</v>
      </c>
      <c r="K139" s="635"/>
      <c r="L139" s="655"/>
      <c r="M139" s="655">
        <f t="shared" si="3"/>
        <v>1159179.5249999999</v>
      </c>
      <c r="N139" s="627"/>
      <c r="O139" s="636"/>
    </row>
    <row r="140" spans="1:15" s="242" customFormat="1" ht="14.25" customHeight="1">
      <c r="A140" s="624">
        <v>128</v>
      </c>
      <c r="B140" s="625"/>
      <c r="C140" s="626" t="s">
        <v>648</v>
      </c>
      <c r="D140" s="627" t="s">
        <v>733</v>
      </c>
      <c r="E140" s="630" t="s">
        <v>15</v>
      </c>
      <c r="F140" s="61"/>
      <c r="G140" s="655"/>
      <c r="H140" s="635">
        <v>1159179.5249999999</v>
      </c>
      <c r="I140" s="635"/>
      <c r="J140" s="635">
        <f t="shared" si="4"/>
        <v>1159179.5249999999</v>
      </c>
      <c r="K140" s="635"/>
      <c r="L140" s="655"/>
      <c r="M140" s="655">
        <f t="shared" si="3"/>
        <v>1159179.5249999999</v>
      </c>
      <c r="N140" s="627"/>
      <c r="O140" s="636"/>
    </row>
    <row r="141" spans="1:15" s="242" customFormat="1" ht="14.25" customHeight="1">
      <c r="A141" s="624">
        <v>129</v>
      </c>
      <c r="B141" s="625" t="e">
        <f>VLOOKUP(D141,'[1]DS CN MOI UP'!$B$11:$C$447,2,0)</f>
        <v>#N/A</v>
      </c>
      <c r="C141" s="626" t="s">
        <v>650</v>
      </c>
      <c r="D141" s="627" t="s">
        <v>734</v>
      </c>
      <c r="E141" s="630" t="s">
        <v>15</v>
      </c>
      <c r="F141" s="61"/>
      <c r="G141" s="655"/>
      <c r="H141" s="635">
        <v>1159179.5249999999</v>
      </c>
      <c r="I141" s="635"/>
      <c r="J141" s="635">
        <f t="shared" si="4"/>
        <v>1159179.5249999999</v>
      </c>
      <c r="K141" s="635"/>
      <c r="L141" s="655"/>
      <c r="M141" s="655">
        <f t="shared" si="3"/>
        <v>1159179.5249999999</v>
      </c>
      <c r="N141" s="627"/>
      <c r="O141" s="636"/>
    </row>
    <row r="142" spans="1:15" s="242" customFormat="1" ht="14.25" customHeight="1">
      <c r="A142" s="624">
        <v>130</v>
      </c>
      <c r="B142" s="625" t="e">
        <f>VLOOKUP(D142,'[1]DS CN MOI UP'!$B$11:$C$447,2,0)</f>
        <v>#N/A</v>
      </c>
      <c r="C142" s="626" t="s">
        <v>651</v>
      </c>
      <c r="D142" s="627" t="s">
        <v>735</v>
      </c>
      <c r="E142" s="630" t="s">
        <v>15</v>
      </c>
      <c r="F142" s="61"/>
      <c r="G142" s="655"/>
      <c r="H142" s="635">
        <v>1138979.9609999999</v>
      </c>
      <c r="I142" s="635"/>
      <c r="J142" s="635">
        <f t="shared" si="4"/>
        <v>1138979.9609999999</v>
      </c>
      <c r="K142" s="635"/>
      <c r="L142" s="655"/>
      <c r="M142" s="655">
        <f t="shared" ref="M142:M186" si="5">J142-L142</f>
        <v>1138979.9609999999</v>
      </c>
      <c r="N142" s="627"/>
      <c r="O142" s="636"/>
    </row>
    <row r="143" spans="1:15" s="242" customFormat="1" ht="14.25" customHeight="1">
      <c r="A143" s="624">
        <v>131</v>
      </c>
      <c r="B143" s="625" t="e">
        <f>VLOOKUP(D143,'[1]DS CN MOI UP'!$B$11:$C$447,2,0)</f>
        <v>#N/A</v>
      </c>
      <c r="C143" s="626" t="s">
        <v>651</v>
      </c>
      <c r="D143" s="627" t="s">
        <v>736</v>
      </c>
      <c r="E143" s="630" t="s">
        <v>15</v>
      </c>
      <c r="F143" s="61"/>
      <c r="G143" s="655"/>
      <c r="H143" s="635">
        <v>1108746.1980000001</v>
      </c>
      <c r="I143" s="635"/>
      <c r="J143" s="635">
        <f t="shared" si="4"/>
        <v>1108746.1980000001</v>
      </c>
      <c r="K143" s="635"/>
      <c r="L143" s="655"/>
      <c r="M143" s="655">
        <f t="shared" si="5"/>
        <v>1108746.1980000001</v>
      </c>
      <c r="N143" s="627"/>
      <c r="O143" s="636"/>
    </row>
    <row r="144" spans="1:15" s="242" customFormat="1" ht="14.25" customHeight="1">
      <c r="A144" s="624">
        <v>132</v>
      </c>
      <c r="B144" s="625" t="e">
        <f>VLOOKUP(D144,'[1]DS CN MOI UP'!$B$11:$C$447,2,0)</f>
        <v>#N/A</v>
      </c>
      <c r="C144" s="626" t="s">
        <v>651</v>
      </c>
      <c r="D144" s="627" t="s">
        <v>737</v>
      </c>
      <c r="E144" s="630" t="s">
        <v>15</v>
      </c>
      <c r="F144" s="61"/>
      <c r="G144" s="655"/>
      <c r="H144" s="635">
        <v>1108746.1980000001</v>
      </c>
      <c r="I144" s="635"/>
      <c r="J144" s="635">
        <f t="shared" si="4"/>
        <v>1108746.1980000001</v>
      </c>
      <c r="K144" s="635"/>
      <c r="L144" s="655"/>
      <c r="M144" s="655">
        <f t="shared" si="5"/>
        <v>1108746.1980000001</v>
      </c>
      <c r="N144" s="627"/>
      <c r="O144" s="636"/>
    </row>
    <row r="145" spans="1:15" s="242" customFormat="1" ht="14.25" customHeight="1">
      <c r="A145" s="624">
        <v>133</v>
      </c>
      <c r="B145" s="625" t="e">
        <f>VLOOKUP(D145,'[1]DS CN MOI UP'!$B$11:$C$447,2,0)</f>
        <v>#N/A</v>
      </c>
      <c r="C145" s="626" t="s">
        <v>651</v>
      </c>
      <c r="D145" s="627" t="s">
        <v>728</v>
      </c>
      <c r="E145" s="630" t="s">
        <v>15</v>
      </c>
      <c r="F145" s="61"/>
      <c r="G145" s="655"/>
      <c r="H145" s="635">
        <v>1108746.1980000001</v>
      </c>
      <c r="I145" s="635"/>
      <c r="J145" s="635">
        <f t="shared" si="4"/>
        <v>1108746.1980000001</v>
      </c>
      <c r="K145" s="635"/>
      <c r="L145" s="655"/>
      <c r="M145" s="655">
        <f t="shared" si="5"/>
        <v>1108746.1980000001</v>
      </c>
      <c r="N145" s="627"/>
      <c r="O145" s="636"/>
    </row>
    <row r="146" spans="1:15" s="242" customFormat="1" ht="14.25" customHeight="1">
      <c r="A146" s="624">
        <v>134</v>
      </c>
      <c r="B146" s="625" t="e">
        <f>VLOOKUP(D146,'[1]DS CN MOI UP'!$B$11:$C$447,2,0)</f>
        <v>#N/A</v>
      </c>
      <c r="C146" s="626" t="s">
        <v>651</v>
      </c>
      <c r="D146" s="627" t="s">
        <v>738</v>
      </c>
      <c r="E146" s="630" t="s">
        <v>15</v>
      </c>
      <c r="F146" s="61"/>
      <c r="G146" s="655"/>
      <c r="H146" s="635">
        <v>1270080.378</v>
      </c>
      <c r="I146" s="635"/>
      <c r="J146" s="635">
        <f t="shared" si="4"/>
        <v>1270080.378</v>
      </c>
      <c r="K146" s="635"/>
      <c r="L146" s="655"/>
      <c r="M146" s="655">
        <f t="shared" si="5"/>
        <v>1270080.378</v>
      </c>
      <c r="N146" s="627"/>
      <c r="O146" s="636"/>
    </row>
    <row r="147" spans="1:15" s="242" customFormat="1" ht="14.25" customHeight="1">
      <c r="A147" s="624">
        <v>135</v>
      </c>
      <c r="B147" s="625" t="e">
        <f>VLOOKUP(D147,'[1]DS CN MOI UP'!$B$11:$C$447,2,0)</f>
        <v>#N/A</v>
      </c>
      <c r="C147" s="626" t="s">
        <v>651</v>
      </c>
      <c r="D147" s="627" t="s">
        <v>739</v>
      </c>
      <c r="E147" s="630" t="s">
        <v>15</v>
      </c>
      <c r="F147" s="61"/>
      <c r="G147" s="655"/>
      <c r="H147" s="635">
        <v>1088677.8</v>
      </c>
      <c r="I147" s="635"/>
      <c r="J147" s="635">
        <f t="shared" si="4"/>
        <v>1088677.8</v>
      </c>
      <c r="K147" s="635"/>
      <c r="L147" s="655"/>
      <c r="M147" s="655">
        <f t="shared" si="5"/>
        <v>1088677.8</v>
      </c>
      <c r="N147" s="627"/>
      <c r="O147" s="636"/>
    </row>
    <row r="148" spans="1:15" s="242" customFormat="1" ht="14.25" customHeight="1">
      <c r="A148" s="624">
        <v>136</v>
      </c>
      <c r="B148" s="625" t="e">
        <f>VLOOKUP(D148,'[1]DS CN MOI UP'!$B$11:$C$447,2,0)</f>
        <v>#N/A</v>
      </c>
      <c r="C148" s="626" t="s">
        <v>651</v>
      </c>
      <c r="D148" s="627" t="s">
        <v>740</v>
      </c>
      <c r="E148" s="630" t="s">
        <v>15</v>
      </c>
      <c r="F148" s="61"/>
      <c r="G148" s="655"/>
      <c r="H148" s="655">
        <v>1148746.1980000001</v>
      </c>
      <c r="I148" s="635"/>
      <c r="J148" s="635">
        <f t="shared" si="4"/>
        <v>1148746.1980000001</v>
      </c>
      <c r="K148" s="635"/>
      <c r="L148" s="655"/>
      <c r="M148" s="655">
        <f t="shared" si="5"/>
        <v>1148746.1980000001</v>
      </c>
      <c r="N148" s="627"/>
      <c r="O148" s="636"/>
    </row>
    <row r="149" spans="1:15" s="242" customFormat="1" ht="14.25" customHeight="1">
      <c r="A149" s="624">
        <v>137</v>
      </c>
      <c r="B149" s="625" t="e">
        <f>VLOOKUP(D149,'[1]DS CN MOI UP'!$B$11:$C$447,2,0)</f>
        <v>#N/A</v>
      </c>
      <c r="C149" s="626" t="s">
        <v>651</v>
      </c>
      <c r="D149" s="627" t="s">
        <v>741</v>
      </c>
      <c r="E149" s="630" t="s">
        <v>15</v>
      </c>
      <c r="F149" s="61"/>
      <c r="G149" s="655"/>
      <c r="H149" s="655">
        <v>1270080.378</v>
      </c>
      <c r="I149" s="635"/>
      <c r="J149" s="635">
        <f t="shared" si="4"/>
        <v>1270080.378</v>
      </c>
      <c r="K149" s="635"/>
      <c r="L149" s="655"/>
      <c r="M149" s="655">
        <f t="shared" si="5"/>
        <v>1270080.378</v>
      </c>
      <c r="N149" s="627"/>
      <c r="O149" s="636"/>
    </row>
    <row r="150" spans="1:15" s="242" customFormat="1" ht="14.25" customHeight="1">
      <c r="A150" s="624">
        <v>138</v>
      </c>
      <c r="B150" s="625" t="e">
        <f>VLOOKUP(D150,'[1]DS CN MOI UP'!$B$11:$C$447,2,0)</f>
        <v>#N/A</v>
      </c>
      <c r="C150" s="626" t="s">
        <v>651</v>
      </c>
      <c r="D150" s="627" t="s">
        <v>742</v>
      </c>
      <c r="E150" s="630" t="s">
        <v>15</v>
      </c>
      <c r="F150" s="61"/>
      <c r="G150" s="655"/>
      <c r="H150" s="655">
        <v>1128677.8</v>
      </c>
      <c r="I150" s="635"/>
      <c r="J150" s="635">
        <f t="shared" si="4"/>
        <v>1128677.8</v>
      </c>
      <c r="K150" s="635"/>
      <c r="L150" s="655"/>
      <c r="M150" s="655">
        <f t="shared" si="5"/>
        <v>1128677.8</v>
      </c>
      <c r="N150" s="627"/>
      <c r="O150" s="636"/>
    </row>
    <row r="151" spans="1:15" s="242" customFormat="1" ht="14.25" customHeight="1">
      <c r="A151" s="624">
        <v>139</v>
      </c>
      <c r="B151" s="625" t="e">
        <f>VLOOKUP(D151,'[1]DS CN MOI UP'!$B$11:$C$447,2,0)</f>
        <v>#N/A</v>
      </c>
      <c r="C151" s="626" t="s">
        <v>651</v>
      </c>
      <c r="D151" s="627" t="s">
        <v>743</v>
      </c>
      <c r="E151" s="630" t="s">
        <v>15</v>
      </c>
      <c r="F151" s="61"/>
      <c r="G151" s="655"/>
      <c r="H151" s="655">
        <v>1189145.3259999999</v>
      </c>
      <c r="I151" s="635"/>
      <c r="J151" s="635">
        <f t="shared" si="4"/>
        <v>1189145.3259999999</v>
      </c>
      <c r="K151" s="635"/>
      <c r="L151" s="655"/>
      <c r="M151" s="655">
        <f t="shared" si="5"/>
        <v>1189145.3259999999</v>
      </c>
      <c r="N151" s="627"/>
      <c r="O151" s="636"/>
    </row>
    <row r="152" spans="1:15" s="242" customFormat="1" ht="14.25" customHeight="1">
      <c r="A152" s="624">
        <v>140</v>
      </c>
      <c r="B152" s="625" t="e">
        <f>VLOOKUP(D152,'[1]DS CN MOI UP'!$B$11:$C$447,2,0)</f>
        <v>#N/A</v>
      </c>
      <c r="C152" s="626" t="s">
        <v>651</v>
      </c>
      <c r="D152" s="627" t="s">
        <v>744</v>
      </c>
      <c r="E152" s="630" t="s">
        <v>15</v>
      </c>
      <c r="F152" s="61"/>
      <c r="G152" s="655"/>
      <c r="H152" s="655">
        <v>1249612.852</v>
      </c>
      <c r="I152" s="635"/>
      <c r="J152" s="635">
        <f t="shared" si="4"/>
        <v>1249612.852</v>
      </c>
      <c r="K152" s="635"/>
      <c r="L152" s="655"/>
      <c r="M152" s="655">
        <f t="shared" si="5"/>
        <v>1249612.852</v>
      </c>
      <c r="N152" s="627"/>
      <c r="O152" s="636"/>
    </row>
    <row r="153" spans="1:15" s="242" customFormat="1" ht="14.25" customHeight="1">
      <c r="A153" s="624">
        <v>141</v>
      </c>
      <c r="B153" s="625" t="e">
        <f>VLOOKUP(D153,'[1]DS CN MOI UP'!$B$11:$C$447,2,0)</f>
        <v>#N/A</v>
      </c>
      <c r="C153" s="626" t="s">
        <v>651</v>
      </c>
      <c r="D153" s="627" t="s">
        <v>745</v>
      </c>
      <c r="E153" s="630" t="s">
        <v>15</v>
      </c>
      <c r="F153" s="61"/>
      <c r="G153" s="655"/>
      <c r="H153" s="655">
        <v>1159179.5249999999</v>
      </c>
      <c r="I153" s="635"/>
      <c r="J153" s="635">
        <f t="shared" si="4"/>
        <v>1159179.5249999999</v>
      </c>
      <c r="K153" s="635"/>
      <c r="L153" s="655"/>
      <c r="M153" s="655">
        <f t="shared" si="5"/>
        <v>1159179.5249999999</v>
      </c>
      <c r="N153" s="627"/>
      <c r="O153" s="636"/>
    </row>
    <row r="154" spans="1:15" s="242" customFormat="1" ht="14.25" customHeight="1">
      <c r="A154" s="624">
        <v>142</v>
      </c>
      <c r="B154" s="625" t="e">
        <f>VLOOKUP(D154,'[1]DS CN MOI UP'!$B$11:$C$447,2,0)</f>
        <v>#N/A</v>
      </c>
      <c r="C154" s="626" t="s">
        <v>654</v>
      </c>
      <c r="D154" s="627" t="s">
        <v>746</v>
      </c>
      <c r="E154" s="630" t="s">
        <v>15</v>
      </c>
      <c r="F154" s="61"/>
      <c r="G154" s="655">
        <v>50000</v>
      </c>
      <c r="H154" s="635">
        <v>1159179.5249999999</v>
      </c>
      <c r="I154" s="635"/>
      <c r="J154" s="635">
        <f t="shared" si="4"/>
        <v>1209179.5249999999</v>
      </c>
      <c r="K154" s="635"/>
      <c r="L154" s="655"/>
      <c r="M154" s="655">
        <f t="shared" si="5"/>
        <v>1209179.5249999999</v>
      </c>
      <c r="N154" s="627"/>
      <c r="O154" s="636"/>
    </row>
    <row r="155" spans="1:15" s="242" customFormat="1" ht="14.25" customHeight="1">
      <c r="A155" s="624">
        <v>143</v>
      </c>
      <c r="B155" s="625" t="e">
        <f>VLOOKUP(D155,'[1]DS CN MOI UP'!$B$11:$C$447,2,0)</f>
        <v>#N/A</v>
      </c>
      <c r="C155" s="626" t="s">
        <v>654</v>
      </c>
      <c r="D155" s="627" t="s">
        <v>747</v>
      </c>
      <c r="E155" s="630" t="s">
        <v>15</v>
      </c>
      <c r="F155" s="61"/>
      <c r="G155" s="655">
        <f>50*25000</f>
        <v>1250000</v>
      </c>
      <c r="H155" s="635"/>
      <c r="I155" s="635"/>
      <c r="J155" s="635">
        <f t="shared" si="4"/>
        <v>1250000</v>
      </c>
      <c r="K155" s="635"/>
      <c r="L155" s="655"/>
      <c r="M155" s="655">
        <f t="shared" si="5"/>
        <v>1250000</v>
      </c>
      <c r="N155" s="627"/>
      <c r="O155" s="636"/>
    </row>
    <row r="156" spans="1:15" s="242" customFormat="1" ht="14.25" customHeight="1">
      <c r="A156" s="624">
        <v>144</v>
      </c>
      <c r="B156" s="625" t="e">
        <f>VLOOKUP(D156,'[1]DS CN MOI UP'!$B$11:$C$447,2,0)</f>
        <v>#N/A</v>
      </c>
      <c r="C156" s="626" t="s">
        <v>654</v>
      </c>
      <c r="D156" s="627" t="s">
        <v>748</v>
      </c>
      <c r="E156" s="630" t="s">
        <v>15</v>
      </c>
      <c r="F156" s="61"/>
      <c r="G156" s="655">
        <f t="shared" ref="G156:H169" si="6">50*25000</f>
        <v>1250000</v>
      </c>
      <c r="H156" s="635"/>
      <c r="I156" s="635"/>
      <c r="J156" s="635">
        <f t="shared" si="4"/>
        <v>1250000</v>
      </c>
      <c r="K156" s="635"/>
      <c r="L156" s="655"/>
      <c r="M156" s="655">
        <f t="shared" si="5"/>
        <v>1250000</v>
      </c>
      <c r="N156" s="627"/>
      <c r="O156" s="636"/>
    </row>
    <row r="157" spans="1:15" s="242" customFormat="1" ht="14.25" customHeight="1">
      <c r="A157" s="624">
        <v>145</v>
      </c>
      <c r="B157" s="625" t="e">
        <f>VLOOKUP(D157,'[1]DS CN MOI UP'!$B$11:$C$447,2,0)</f>
        <v>#N/A</v>
      </c>
      <c r="C157" s="626" t="s">
        <v>654</v>
      </c>
      <c r="D157" s="627" t="s">
        <v>749</v>
      </c>
      <c r="E157" s="630" t="s">
        <v>15</v>
      </c>
      <c r="F157" s="61"/>
      <c r="G157" s="655">
        <f t="shared" si="6"/>
        <v>1250000</v>
      </c>
      <c r="H157" s="635"/>
      <c r="I157" s="635"/>
      <c r="J157" s="635">
        <f t="shared" si="4"/>
        <v>1250000</v>
      </c>
      <c r="K157" s="635"/>
      <c r="L157" s="655"/>
      <c r="M157" s="655">
        <f t="shared" si="5"/>
        <v>1250000</v>
      </c>
      <c r="N157" s="627"/>
      <c r="O157" s="636"/>
    </row>
    <row r="158" spans="1:15" s="242" customFormat="1" ht="14.25" customHeight="1">
      <c r="A158" s="624">
        <v>146</v>
      </c>
      <c r="B158" s="625" t="e">
        <f>VLOOKUP(D158,'[1]DS CN MOI UP'!$B$11:$C$447,2,0)</f>
        <v>#N/A</v>
      </c>
      <c r="C158" s="626" t="s">
        <v>654</v>
      </c>
      <c r="D158" s="627" t="s">
        <v>750</v>
      </c>
      <c r="E158" s="630" t="s">
        <v>15</v>
      </c>
      <c r="F158" s="61"/>
      <c r="G158" s="655">
        <f t="shared" si="6"/>
        <v>1250000</v>
      </c>
      <c r="H158" s="635"/>
      <c r="I158" s="635"/>
      <c r="J158" s="635">
        <f t="shared" si="4"/>
        <v>1250000</v>
      </c>
      <c r="K158" s="635"/>
      <c r="L158" s="655"/>
      <c r="M158" s="655">
        <f t="shared" si="5"/>
        <v>1250000</v>
      </c>
      <c r="N158" s="627"/>
      <c r="O158" s="636"/>
    </row>
    <row r="159" spans="1:15" s="242" customFormat="1" ht="14.25" customHeight="1">
      <c r="A159" s="624">
        <v>147</v>
      </c>
      <c r="B159" s="625" t="e">
        <f>VLOOKUP(D159,'[1]DS CN MOI UP'!$B$11:$C$447,2,0)</f>
        <v>#N/A</v>
      </c>
      <c r="C159" s="626" t="s">
        <v>654</v>
      </c>
      <c r="D159" s="627" t="s">
        <v>751</v>
      </c>
      <c r="E159" s="630" t="s">
        <v>15</v>
      </c>
      <c r="F159" s="61"/>
      <c r="G159" s="655">
        <f t="shared" si="6"/>
        <v>1250000</v>
      </c>
      <c r="H159" s="635"/>
      <c r="I159" s="635"/>
      <c r="J159" s="635">
        <f t="shared" si="4"/>
        <v>1250000</v>
      </c>
      <c r="K159" s="635"/>
      <c r="L159" s="655"/>
      <c r="M159" s="655">
        <f t="shared" si="5"/>
        <v>1250000</v>
      </c>
      <c r="N159" s="627"/>
      <c r="O159" s="636"/>
    </row>
    <row r="160" spans="1:15" s="242" customFormat="1" ht="14.25" customHeight="1">
      <c r="A160" s="624">
        <v>148</v>
      </c>
      <c r="B160" s="625" t="e">
        <f>VLOOKUP(D160,'[1]DS CN MOI UP'!$B$11:$C$447,2,0)</f>
        <v>#N/A</v>
      </c>
      <c r="C160" s="626" t="s">
        <v>654</v>
      </c>
      <c r="D160" s="627" t="s">
        <v>752</v>
      </c>
      <c r="E160" s="630" t="s">
        <v>15</v>
      </c>
      <c r="F160" s="61"/>
      <c r="G160" s="655">
        <f t="shared" si="6"/>
        <v>1250000</v>
      </c>
      <c r="H160" s="635"/>
      <c r="I160" s="635"/>
      <c r="J160" s="635">
        <f t="shared" si="4"/>
        <v>1250000</v>
      </c>
      <c r="K160" s="635"/>
      <c r="L160" s="655"/>
      <c r="M160" s="655">
        <f t="shared" si="5"/>
        <v>1250000</v>
      </c>
      <c r="N160" s="627"/>
      <c r="O160" s="636"/>
    </row>
    <row r="161" spans="1:15" s="242" customFormat="1" ht="14.25" customHeight="1">
      <c r="A161" s="624">
        <v>149</v>
      </c>
      <c r="B161" s="625" t="e">
        <f>VLOOKUP(D161,'[1]DS CN MOI UP'!$B$11:$C$447,2,0)</f>
        <v>#N/A</v>
      </c>
      <c r="C161" s="626" t="s">
        <v>654</v>
      </c>
      <c r="D161" s="627" t="s">
        <v>753</v>
      </c>
      <c r="E161" s="630" t="s">
        <v>15</v>
      </c>
      <c r="F161" s="61"/>
      <c r="G161" s="655">
        <f t="shared" si="6"/>
        <v>1250000</v>
      </c>
      <c r="H161" s="635"/>
      <c r="I161" s="635"/>
      <c r="J161" s="635">
        <f t="shared" si="4"/>
        <v>1250000</v>
      </c>
      <c r="K161" s="635"/>
      <c r="L161" s="655"/>
      <c r="M161" s="655">
        <f t="shared" si="5"/>
        <v>1250000</v>
      </c>
      <c r="N161" s="627"/>
      <c r="O161" s="636"/>
    </row>
    <row r="162" spans="1:15" s="242" customFormat="1" ht="14.25" customHeight="1">
      <c r="A162" s="624">
        <v>150</v>
      </c>
      <c r="B162" s="625" t="e">
        <f>VLOOKUP(D162,'[1]DS CN MOI UP'!$B$11:$C$447,2,0)</f>
        <v>#N/A</v>
      </c>
      <c r="C162" s="626" t="s">
        <v>654</v>
      </c>
      <c r="D162" s="627" t="s">
        <v>754</v>
      </c>
      <c r="E162" s="630" t="s">
        <v>15</v>
      </c>
      <c r="F162" s="61"/>
      <c r="G162" s="655">
        <f t="shared" si="6"/>
        <v>1250000</v>
      </c>
      <c r="H162" s="635"/>
      <c r="I162" s="635"/>
      <c r="J162" s="635">
        <f t="shared" si="4"/>
        <v>1250000</v>
      </c>
      <c r="K162" s="635"/>
      <c r="L162" s="655"/>
      <c r="M162" s="655">
        <f t="shared" si="5"/>
        <v>1250000</v>
      </c>
      <c r="N162" s="627"/>
      <c r="O162" s="636"/>
    </row>
    <row r="163" spans="1:15" s="242" customFormat="1" ht="14.25" customHeight="1">
      <c r="A163" s="624">
        <v>151</v>
      </c>
      <c r="B163" s="625"/>
      <c r="C163" s="626"/>
      <c r="D163" s="627" t="s">
        <v>755</v>
      </c>
      <c r="E163" s="630" t="s">
        <v>15</v>
      </c>
      <c r="F163" s="61"/>
      <c r="G163" s="655"/>
      <c r="H163" s="635"/>
      <c r="I163" s="635">
        <v>612577.64199997496</v>
      </c>
      <c r="J163" s="635">
        <f t="shared" ref="J163:J192" si="7">SUM(G163:I163)</f>
        <v>612577.64199997496</v>
      </c>
      <c r="K163" s="635"/>
      <c r="L163" s="655"/>
      <c r="M163" s="655">
        <f t="shared" si="5"/>
        <v>612577.64199997496</v>
      </c>
      <c r="N163" s="627"/>
      <c r="O163" s="636"/>
    </row>
    <row r="164" spans="1:15" s="242" customFormat="1" ht="14.25" customHeight="1">
      <c r="A164" s="624">
        <v>152</v>
      </c>
      <c r="B164" s="625"/>
      <c r="C164" s="626"/>
      <c r="D164" s="627" t="s">
        <v>756</v>
      </c>
      <c r="E164" s="630" t="s">
        <v>15</v>
      </c>
      <c r="F164" s="61"/>
      <c r="G164" s="655"/>
      <c r="H164" s="635"/>
      <c r="I164" s="655">
        <v>793845.76000003505</v>
      </c>
      <c r="J164" s="635">
        <f t="shared" si="7"/>
        <v>793845.76000003505</v>
      </c>
      <c r="K164" s="635"/>
      <c r="L164" s="655"/>
      <c r="M164" s="655">
        <f t="shared" si="5"/>
        <v>793845.76000003505</v>
      </c>
      <c r="N164" s="627"/>
      <c r="O164" s="636"/>
    </row>
    <row r="165" spans="1:15" s="242" customFormat="1" ht="14.25" customHeight="1">
      <c r="A165" s="624">
        <v>153</v>
      </c>
      <c r="B165" s="625"/>
      <c r="C165" s="626"/>
      <c r="D165" s="627" t="s">
        <v>757</v>
      </c>
      <c r="E165" s="630" t="s">
        <v>15</v>
      </c>
      <c r="F165" s="61"/>
      <c r="G165" s="655"/>
      <c r="H165" s="635">
        <v>1270080.378</v>
      </c>
      <c r="I165" s="635"/>
      <c r="J165" s="635">
        <f t="shared" si="7"/>
        <v>1270080.378</v>
      </c>
      <c r="K165" s="635"/>
      <c r="L165" s="655"/>
      <c r="M165" s="655">
        <f t="shared" si="5"/>
        <v>1270080.378</v>
      </c>
      <c r="N165" s="627"/>
      <c r="O165" s="636"/>
    </row>
    <row r="166" spans="1:15" s="242" customFormat="1" ht="14.25" customHeight="1">
      <c r="A166" s="624">
        <v>154</v>
      </c>
      <c r="B166" s="625"/>
      <c r="C166" s="626"/>
      <c r="D166" s="627" t="s">
        <v>758</v>
      </c>
      <c r="E166" s="630" t="s">
        <v>15</v>
      </c>
      <c r="F166" s="61"/>
      <c r="G166" s="655"/>
      <c r="H166" s="635">
        <v>1128677.8</v>
      </c>
      <c r="I166" s="635"/>
      <c r="J166" s="635">
        <f t="shared" si="7"/>
        <v>1128677.8</v>
      </c>
      <c r="K166" s="635"/>
      <c r="L166" s="655"/>
      <c r="M166" s="655">
        <f t="shared" si="5"/>
        <v>1128677.8</v>
      </c>
      <c r="N166" s="627"/>
      <c r="O166" s="636"/>
    </row>
    <row r="167" spans="1:15" s="242" customFormat="1" ht="14.25" customHeight="1">
      <c r="A167" s="624">
        <v>155</v>
      </c>
      <c r="B167" s="625"/>
      <c r="C167" s="626"/>
      <c r="D167" s="627" t="s">
        <v>759</v>
      </c>
      <c r="E167" s="630" t="s">
        <v>15</v>
      </c>
      <c r="F167" s="61"/>
      <c r="G167" s="655"/>
      <c r="H167" s="635">
        <v>1189145.3259999999</v>
      </c>
      <c r="I167" s="635"/>
      <c r="J167" s="635">
        <f t="shared" si="7"/>
        <v>1189145.3259999999</v>
      </c>
      <c r="K167" s="635"/>
      <c r="L167" s="655"/>
      <c r="M167" s="655">
        <f t="shared" si="5"/>
        <v>1189145.3259999999</v>
      </c>
      <c r="N167" s="627"/>
      <c r="O167" s="636"/>
    </row>
    <row r="168" spans="1:15" s="242" customFormat="1" ht="14.25" customHeight="1">
      <c r="A168" s="624">
        <v>156</v>
      </c>
      <c r="B168" s="625"/>
      <c r="C168" s="626"/>
      <c r="D168" s="627" t="s">
        <v>760</v>
      </c>
      <c r="E168" s="630" t="s">
        <v>15</v>
      </c>
      <c r="F168" s="61"/>
      <c r="G168" s="655"/>
      <c r="H168" s="635">
        <v>1128677.8</v>
      </c>
      <c r="I168" s="635"/>
      <c r="J168" s="635">
        <f t="shared" si="7"/>
        <v>1128677.8</v>
      </c>
      <c r="K168" s="635"/>
      <c r="L168" s="655"/>
      <c r="M168" s="655">
        <f t="shared" si="5"/>
        <v>1128677.8</v>
      </c>
      <c r="N168" s="627"/>
      <c r="O168" s="636"/>
    </row>
    <row r="169" spans="1:15" s="242" customFormat="1" ht="14.25" customHeight="1">
      <c r="A169" s="624">
        <v>157</v>
      </c>
      <c r="B169" s="625"/>
      <c r="C169" s="626"/>
      <c r="D169" s="627" t="s">
        <v>761</v>
      </c>
      <c r="E169" s="630" t="s">
        <v>15</v>
      </c>
      <c r="F169" s="61"/>
      <c r="G169" s="655"/>
      <c r="H169" s="655">
        <f t="shared" si="6"/>
        <v>1250000</v>
      </c>
      <c r="I169" s="635"/>
      <c r="J169" s="635">
        <f t="shared" si="7"/>
        <v>1250000</v>
      </c>
      <c r="K169" s="635"/>
      <c r="L169" s="655"/>
      <c r="M169" s="655">
        <f t="shared" si="5"/>
        <v>1250000</v>
      </c>
      <c r="N169" s="627"/>
      <c r="O169" s="636"/>
    </row>
    <row r="170" spans="1:15" s="242" customFormat="1" ht="14.25" customHeight="1">
      <c r="A170" s="624">
        <v>158</v>
      </c>
      <c r="B170" s="625"/>
      <c r="C170" s="626"/>
      <c r="D170" s="627" t="s">
        <v>762</v>
      </c>
      <c r="E170" s="630" t="s">
        <v>15</v>
      </c>
      <c r="F170" s="61"/>
      <c r="G170" s="655"/>
      <c r="H170" s="635">
        <v>1148746.1980000001</v>
      </c>
      <c r="I170" s="635"/>
      <c r="J170" s="635">
        <f t="shared" si="7"/>
        <v>1148746.1980000001</v>
      </c>
      <c r="K170" s="635"/>
      <c r="L170" s="655"/>
      <c r="M170" s="655">
        <f t="shared" si="5"/>
        <v>1148746.1980000001</v>
      </c>
      <c r="N170" s="627"/>
      <c r="O170" s="636"/>
    </row>
    <row r="171" spans="1:15" s="242" customFormat="1" ht="14.25" customHeight="1">
      <c r="A171" s="624">
        <v>159</v>
      </c>
      <c r="B171" s="625"/>
      <c r="C171" s="626"/>
      <c r="D171" s="627" t="s">
        <v>763</v>
      </c>
      <c r="E171" s="630" t="s">
        <v>15</v>
      </c>
      <c r="F171" s="61"/>
      <c r="G171" s="655"/>
      <c r="H171" s="635">
        <v>1270080.378</v>
      </c>
      <c r="I171" s="635"/>
      <c r="J171" s="635">
        <f t="shared" si="7"/>
        <v>1270080.378</v>
      </c>
      <c r="K171" s="635"/>
      <c r="L171" s="655"/>
      <c r="M171" s="655">
        <f t="shared" si="5"/>
        <v>1270080.378</v>
      </c>
      <c r="N171" s="627"/>
      <c r="O171" s="636"/>
    </row>
    <row r="172" spans="1:15" s="242" customFormat="1" ht="14.25" customHeight="1">
      <c r="A172" s="624">
        <v>160</v>
      </c>
      <c r="B172" s="625"/>
      <c r="C172" s="626"/>
      <c r="D172" s="627" t="s">
        <v>764</v>
      </c>
      <c r="E172" s="630" t="s">
        <v>15</v>
      </c>
      <c r="F172" s="61"/>
      <c r="G172" s="655"/>
      <c r="H172" s="635">
        <v>1128677.8</v>
      </c>
      <c r="I172" s="635"/>
      <c r="J172" s="635">
        <f t="shared" si="7"/>
        <v>1128677.8</v>
      </c>
      <c r="K172" s="635"/>
      <c r="L172" s="655"/>
      <c r="M172" s="655">
        <f t="shared" si="5"/>
        <v>1128677.8</v>
      </c>
      <c r="N172" s="627"/>
      <c r="O172" s="636"/>
    </row>
    <row r="173" spans="1:15" s="242" customFormat="1" ht="14.25" customHeight="1">
      <c r="A173" s="624">
        <v>161</v>
      </c>
      <c r="B173" s="625"/>
      <c r="C173" s="626"/>
      <c r="D173" s="627" t="s">
        <v>765</v>
      </c>
      <c r="E173" s="630" t="s">
        <v>15</v>
      </c>
      <c r="F173" s="61"/>
      <c r="G173" s="655"/>
      <c r="H173" s="635">
        <v>1189145.3259999999</v>
      </c>
      <c r="I173" s="635"/>
      <c r="J173" s="635">
        <f t="shared" si="7"/>
        <v>1189145.3259999999</v>
      </c>
      <c r="K173" s="635"/>
      <c r="L173" s="655"/>
      <c r="M173" s="655">
        <f t="shared" si="5"/>
        <v>1189145.3259999999</v>
      </c>
      <c r="N173" s="627"/>
      <c r="O173" s="636"/>
    </row>
    <row r="174" spans="1:15" s="242" customFormat="1" ht="14.25" customHeight="1">
      <c r="A174" s="624">
        <v>162</v>
      </c>
      <c r="B174" s="625"/>
      <c r="C174" s="626"/>
      <c r="D174" s="627" t="s">
        <v>766</v>
      </c>
      <c r="E174" s="630" t="s">
        <v>15</v>
      </c>
      <c r="F174" s="61"/>
      <c r="G174" s="655"/>
      <c r="H174" s="635">
        <v>1128677.8</v>
      </c>
      <c r="I174" s="635"/>
      <c r="J174" s="635">
        <f t="shared" si="7"/>
        <v>1128677.8</v>
      </c>
      <c r="K174" s="635"/>
      <c r="L174" s="655"/>
      <c r="M174" s="655">
        <f t="shared" si="5"/>
        <v>1128677.8</v>
      </c>
      <c r="N174" s="627"/>
      <c r="O174" s="636"/>
    </row>
    <row r="175" spans="1:15" s="242" customFormat="1" ht="14.25" customHeight="1">
      <c r="A175" s="624">
        <v>163</v>
      </c>
      <c r="B175" s="625"/>
      <c r="C175" s="626"/>
      <c r="D175" s="627" t="s">
        <v>767</v>
      </c>
      <c r="E175" s="630" t="s">
        <v>15</v>
      </c>
      <c r="F175" s="61"/>
      <c r="G175" s="655"/>
      <c r="H175" s="635">
        <v>1128677.8</v>
      </c>
      <c r="I175" s="635"/>
      <c r="J175" s="635">
        <f t="shared" si="7"/>
        <v>1128677.8</v>
      </c>
      <c r="K175" s="635"/>
      <c r="L175" s="655"/>
      <c r="M175" s="655">
        <f t="shared" si="5"/>
        <v>1128677.8</v>
      </c>
      <c r="N175" s="627"/>
      <c r="O175" s="636"/>
    </row>
    <row r="176" spans="1:15" s="242" customFormat="1" ht="14.25" customHeight="1">
      <c r="A176" s="624">
        <v>164</v>
      </c>
      <c r="B176" s="625"/>
      <c r="C176" s="626"/>
      <c r="D176" s="627" t="s">
        <v>768</v>
      </c>
      <c r="E176" s="630" t="s">
        <v>15</v>
      </c>
      <c r="F176" s="61"/>
      <c r="G176" s="655"/>
      <c r="H176" s="635">
        <v>1270080.378</v>
      </c>
      <c r="I176" s="635"/>
      <c r="J176" s="635">
        <f t="shared" si="7"/>
        <v>1270080.378</v>
      </c>
      <c r="K176" s="635"/>
      <c r="L176" s="655"/>
      <c r="M176" s="655">
        <f t="shared" si="5"/>
        <v>1270080.378</v>
      </c>
      <c r="N176" s="627"/>
      <c r="O176" s="636"/>
    </row>
    <row r="177" spans="1:16" s="242" customFormat="1" ht="14.25" customHeight="1">
      <c r="A177" s="624">
        <v>165</v>
      </c>
      <c r="B177" s="625"/>
      <c r="C177" s="626"/>
      <c r="D177" s="627" t="s">
        <v>769</v>
      </c>
      <c r="E177" s="630" t="s">
        <v>15</v>
      </c>
      <c r="F177" s="61"/>
      <c r="G177" s="655"/>
      <c r="H177" s="635">
        <v>1128677.8</v>
      </c>
      <c r="I177" s="635"/>
      <c r="J177" s="635">
        <f t="shared" si="7"/>
        <v>1128677.8</v>
      </c>
      <c r="K177" s="635"/>
      <c r="L177" s="655"/>
      <c r="M177" s="655">
        <f t="shared" si="5"/>
        <v>1128677.8</v>
      </c>
      <c r="N177" s="627"/>
      <c r="O177" s="636"/>
    </row>
    <row r="178" spans="1:16" s="242" customFormat="1" ht="14.25" customHeight="1">
      <c r="A178" s="624">
        <v>166</v>
      </c>
      <c r="B178" s="625"/>
      <c r="C178" s="626"/>
      <c r="D178" s="627" t="s">
        <v>770</v>
      </c>
      <c r="E178" s="630" t="s">
        <v>15</v>
      </c>
      <c r="F178" s="61"/>
      <c r="G178" s="655"/>
      <c r="H178" s="635">
        <v>1189145.3259999999</v>
      </c>
      <c r="I178" s="635"/>
      <c r="J178" s="635">
        <f t="shared" si="7"/>
        <v>1189145.3259999999</v>
      </c>
      <c r="K178" s="635"/>
      <c r="L178" s="655"/>
      <c r="M178" s="655">
        <f t="shared" si="5"/>
        <v>1189145.3259999999</v>
      </c>
      <c r="N178" s="627"/>
      <c r="O178" s="636"/>
    </row>
    <row r="179" spans="1:16" s="242" customFormat="1" ht="14.25" customHeight="1">
      <c r="A179" s="624">
        <v>167</v>
      </c>
      <c r="B179" s="625"/>
      <c r="C179" s="626"/>
      <c r="D179" s="627" t="s">
        <v>771</v>
      </c>
      <c r="E179" s="630" t="s">
        <v>15</v>
      </c>
      <c r="F179" s="61"/>
      <c r="G179" s="655"/>
      <c r="H179" s="635">
        <v>1108746.1980000001</v>
      </c>
      <c r="I179" s="635"/>
      <c r="J179" s="635">
        <f t="shared" si="7"/>
        <v>1108746.1980000001</v>
      </c>
      <c r="K179" s="635"/>
      <c r="L179" s="655"/>
      <c r="M179" s="655">
        <f t="shared" si="5"/>
        <v>1108746.1980000001</v>
      </c>
      <c r="N179" s="627"/>
      <c r="O179" s="636"/>
    </row>
    <row r="180" spans="1:16" s="242" customFormat="1" ht="14.25" customHeight="1">
      <c r="A180" s="624">
        <v>168</v>
      </c>
      <c r="B180" s="625"/>
      <c r="C180" s="626"/>
      <c r="D180" s="627" t="s">
        <v>772</v>
      </c>
      <c r="E180" s="630" t="s">
        <v>15</v>
      </c>
      <c r="F180" s="61"/>
      <c r="G180" s="655"/>
      <c r="H180" s="635">
        <v>1270080.378</v>
      </c>
      <c r="I180" s="635"/>
      <c r="J180" s="635">
        <f t="shared" si="7"/>
        <v>1270080.378</v>
      </c>
      <c r="K180" s="635"/>
      <c r="L180" s="655"/>
      <c r="M180" s="655">
        <f t="shared" si="5"/>
        <v>1270080.378</v>
      </c>
      <c r="N180" s="627"/>
      <c r="O180" s="636"/>
    </row>
    <row r="181" spans="1:16" s="242" customFormat="1" ht="14.25" customHeight="1">
      <c r="A181" s="624">
        <v>169</v>
      </c>
      <c r="B181" s="625"/>
      <c r="C181" s="626"/>
      <c r="D181" s="627" t="s">
        <v>773</v>
      </c>
      <c r="E181" s="630" t="s">
        <v>15</v>
      </c>
      <c r="F181" s="61"/>
      <c r="G181" s="655"/>
      <c r="H181" s="635">
        <v>1088677.8</v>
      </c>
      <c r="I181" s="635"/>
      <c r="J181" s="635">
        <f t="shared" si="7"/>
        <v>1088677.8</v>
      </c>
      <c r="K181" s="635"/>
      <c r="L181" s="655"/>
      <c r="M181" s="655">
        <f t="shared" si="5"/>
        <v>1088677.8</v>
      </c>
      <c r="N181" s="627"/>
      <c r="O181" s="636"/>
    </row>
    <row r="182" spans="1:16" s="242" customFormat="1" ht="14.25" customHeight="1">
      <c r="A182" s="624">
        <v>170</v>
      </c>
      <c r="B182" s="625"/>
      <c r="C182" s="626"/>
      <c r="D182" s="627" t="s">
        <v>774</v>
      </c>
      <c r="E182" s="630" t="s">
        <v>15</v>
      </c>
      <c r="F182" s="61"/>
      <c r="G182" s="655"/>
      <c r="H182" s="635">
        <v>1149145.3259999999</v>
      </c>
      <c r="I182" s="635"/>
      <c r="J182" s="635">
        <f t="shared" si="7"/>
        <v>1149145.3259999999</v>
      </c>
      <c r="K182" s="635"/>
      <c r="L182" s="655"/>
      <c r="M182" s="655">
        <f t="shared" si="5"/>
        <v>1149145.3259999999</v>
      </c>
      <c r="N182" s="627"/>
      <c r="O182" s="636"/>
    </row>
    <row r="183" spans="1:16" s="242" customFormat="1" ht="14.25" customHeight="1">
      <c r="A183" s="624">
        <v>171</v>
      </c>
      <c r="B183" s="625"/>
      <c r="C183" s="626"/>
      <c r="D183" s="627" t="s">
        <v>775</v>
      </c>
      <c r="E183" s="630" t="s">
        <v>15</v>
      </c>
      <c r="F183" s="61"/>
      <c r="G183" s="655"/>
      <c r="H183" s="635">
        <v>1209612.852</v>
      </c>
      <c r="I183" s="635"/>
      <c r="J183" s="635">
        <f t="shared" si="7"/>
        <v>1209612.852</v>
      </c>
      <c r="K183" s="635"/>
      <c r="L183" s="655"/>
      <c r="M183" s="655">
        <f t="shared" si="5"/>
        <v>1209612.852</v>
      </c>
      <c r="N183" s="627"/>
      <c r="O183" s="636"/>
    </row>
    <row r="184" spans="1:16" s="242" customFormat="1" ht="14.25" customHeight="1">
      <c r="A184" s="624">
        <v>172</v>
      </c>
      <c r="B184" s="625"/>
      <c r="C184" s="626"/>
      <c r="D184" s="627" t="s">
        <v>776</v>
      </c>
      <c r="E184" s="630" t="s">
        <v>15</v>
      </c>
      <c r="F184" s="61"/>
      <c r="G184" s="655"/>
      <c r="H184" s="635">
        <v>1169213.7239999999</v>
      </c>
      <c r="I184" s="635"/>
      <c r="J184" s="635">
        <f t="shared" si="7"/>
        <v>1169213.7239999999</v>
      </c>
      <c r="K184" s="635"/>
      <c r="L184" s="655"/>
      <c r="M184" s="655">
        <f t="shared" si="5"/>
        <v>1169213.7239999999</v>
      </c>
      <c r="N184" s="627"/>
      <c r="O184" s="636"/>
    </row>
    <row r="185" spans="1:16" s="242" customFormat="1" ht="14.25" customHeight="1">
      <c r="A185" s="624">
        <v>173</v>
      </c>
      <c r="B185" s="625"/>
      <c r="C185" s="626"/>
      <c r="D185" s="627" t="s">
        <v>777</v>
      </c>
      <c r="E185" s="630" t="s">
        <v>15</v>
      </c>
      <c r="F185" s="61"/>
      <c r="G185" s="655"/>
      <c r="H185" s="635">
        <v>1270080.378</v>
      </c>
      <c r="I185" s="635"/>
      <c r="J185" s="635">
        <f t="shared" si="7"/>
        <v>1270080.378</v>
      </c>
      <c r="K185" s="635"/>
      <c r="L185" s="655"/>
      <c r="M185" s="655">
        <f t="shared" si="5"/>
        <v>1270080.378</v>
      </c>
      <c r="N185" s="627"/>
      <c r="O185" s="636"/>
    </row>
    <row r="186" spans="1:16" s="242" customFormat="1" ht="14.25" customHeight="1">
      <c r="A186" s="624">
        <v>174</v>
      </c>
      <c r="B186" s="625"/>
      <c r="C186" s="626"/>
      <c r="D186" s="627" t="s">
        <v>778</v>
      </c>
      <c r="E186" s="630" t="s">
        <v>15</v>
      </c>
      <c r="F186" s="61"/>
      <c r="G186" s="655">
        <v>200000</v>
      </c>
      <c r="H186" s="635">
        <f>-O186</f>
        <v>432176.21855245502</v>
      </c>
      <c r="I186" s="635">
        <v>618297.51399998495</v>
      </c>
      <c r="J186" s="635">
        <f t="shared" si="7"/>
        <v>1250473.7325524399</v>
      </c>
      <c r="K186" s="635"/>
      <c r="L186" s="655"/>
      <c r="M186" s="655">
        <f t="shared" si="5"/>
        <v>1250473.7325524399</v>
      </c>
      <c r="N186" s="627"/>
      <c r="O186" s="636">
        <v>-432176.21855245502</v>
      </c>
      <c r="P186" s="242">
        <v>490448.68400001503</v>
      </c>
    </row>
    <row r="187" spans="1:16" s="242" customFormat="1" ht="14.25" customHeight="1">
      <c r="A187" s="624">
        <v>175</v>
      </c>
      <c r="B187" s="625"/>
      <c r="C187" s="626"/>
      <c r="D187" s="627" t="s">
        <v>415</v>
      </c>
      <c r="E187" s="630" t="s">
        <v>15</v>
      </c>
      <c r="F187" s="61"/>
      <c r="G187" s="655">
        <v>100000</v>
      </c>
      <c r="H187" s="635"/>
      <c r="I187" s="635">
        <v>1169213.7239999999</v>
      </c>
      <c r="J187" s="635">
        <f t="shared" si="7"/>
        <v>1269213.7239999999</v>
      </c>
      <c r="K187" s="635"/>
      <c r="L187" s="655"/>
      <c r="M187" s="655">
        <f t="shared" ref="M187:M192" si="8">J187-L187</f>
        <v>1269213.7239999999</v>
      </c>
      <c r="N187" s="627"/>
      <c r="O187" s="636"/>
    </row>
    <row r="188" spans="1:16" s="242" customFormat="1" ht="14.25" customHeight="1">
      <c r="A188" s="624">
        <v>176</v>
      </c>
      <c r="B188" s="625"/>
      <c r="C188" s="626"/>
      <c r="D188" s="627" t="s">
        <v>779</v>
      </c>
      <c r="E188" s="630" t="s">
        <v>15</v>
      </c>
      <c r="F188" s="61"/>
      <c r="G188" s="655">
        <v>71000</v>
      </c>
      <c r="H188" s="635"/>
      <c r="I188" s="635">
        <v>1169213.7239999999</v>
      </c>
      <c r="J188" s="635">
        <f t="shared" si="7"/>
        <v>1240213.7239999999</v>
      </c>
      <c r="K188" s="635"/>
      <c r="L188" s="655"/>
      <c r="M188" s="655">
        <f t="shared" si="8"/>
        <v>1240213.7239999999</v>
      </c>
      <c r="N188" s="627"/>
      <c r="O188" s="636"/>
    </row>
    <row r="189" spans="1:16" s="242" customFormat="1" ht="14.25" customHeight="1">
      <c r="A189" s="624">
        <v>177</v>
      </c>
      <c r="B189" s="625"/>
      <c r="C189" s="626"/>
      <c r="D189" s="627" t="s">
        <v>780</v>
      </c>
      <c r="E189" s="630" t="s">
        <v>15</v>
      </c>
      <c r="F189" s="61"/>
      <c r="G189" s="655"/>
      <c r="H189" s="635"/>
      <c r="I189" s="635">
        <v>1108746.1980000001</v>
      </c>
      <c r="J189" s="635">
        <f t="shared" si="7"/>
        <v>1108746.1980000001</v>
      </c>
      <c r="K189" s="635"/>
      <c r="L189" s="655"/>
      <c r="M189" s="655">
        <f t="shared" si="8"/>
        <v>1108746.1980000001</v>
      </c>
      <c r="N189" s="627"/>
      <c r="O189" s="636"/>
    </row>
    <row r="190" spans="1:16" s="242" customFormat="1" ht="14.25" customHeight="1">
      <c r="A190" s="624">
        <v>178</v>
      </c>
      <c r="B190" s="625"/>
      <c r="C190" s="626"/>
      <c r="D190" s="627" t="s">
        <v>781</v>
      </c>
      <c r="E190" s="630" t="s">
        <v>15</v>
      </c>
      <c r="F190" s="61"/>
      <c r="G190" s="655"/>
      <c r="H190" s="635"/>
      <c r="I190" s="635">
        <v>1169213.7239999999</v>
      </c>
      <c r="J190" s="635">
        <f t="shared" si="7"/>
        <v>1169213.7239999999</v>
      </c>
      <c r="K190" s="635"/>
      <c r="L190" s="655"/>
      <c r="M190" s="655">
        <f t="shared" si="8"/>
        <v>1169213.7239999999</v>
      </c>
      <c r="N190" s="627"/>
      <c r="O190" s="636"/>
    </row>
    <row r="191" spans="1:16" s="242" customFormat="1" ht="14.25" customHeight="1">
      <c r="A191" s="624">
        <v>179</v>
      </c>
      <c r="B191" s="625"/>
      <c r="C191" s="626"/>
      <c r="D191" s="627" t="s">
        <v>782</v>
      </c>
      <c r="E191" s="630" t="s">
        <v>15</v>
      </c>
      <c r="F191" s="61"/>
      <c r="G191" s="655"/>
      <c r="H191" s="635"/>
      <c r="I191" s="635">
        <v>1169213.7239999999</v>
      </c>
      <c r="J191" s="635">
        <f t="shared" si="7"/>
        <v>1169213.7239999999</v>
      </c>
      <c r="K191" s="635"/>
      <c r="L191" s="655"/>
      <c r="M191" s="655">
        <f t="shared" si="8"/>
        <v>1169213.7239999999</v>
      </c>
      <c r="N191" s="627"/>
      <c r="O191" s="636"/>
    </row>
    <row r="192" spans="1:16" s="242" customFormat="1" ht="14.25" customHeight="1">
      <c r="A192" s="624">
        <v>180</v>
      </c>
      <c r="B192" s="625"/>
      <c r="C192" s="626"/>
      <c r="D192" s="627" t="s">
        <v>783</v>
      </c>
      <c r="E192" s="630" t="s">
        <v>15</v>
      </c>
      <c r="F192" s="61"/>
      <c r="G192" s="655"/>
      <c r="H192" s="635"/>
      <c r="I192" s="635">
        <v>1108746.1980000001</v>
      </c>
      <c r="J192" s="635">
        <f t="shared" si="7"/>
        <v>1108746.1980000001</v>
      </c>
      <c r="K192" s="635"/>
      <c r="L192" s="655"/>
      <c r="M192" s="655">
        <f t="shared" si="8"/>
        <v>1108746.1980000001</v>
      </c>
      <c r="N192" s="627"/>
      <c r="O192" s="636"/>
    </row>
    <row r="193" spans="1:18" s="243" customFormat="1" ht="14.25" customHeight="1">
      <c r="A193" s="628" t="s">
        <v>427</v>
      </c>
      <c r="B193" s="625" t="e">
        <f>VLOOKUP(A193,'[1]DS CN MOI UP'!$B$11:$C$447,2,0)</f>
        <v>#N/A</v>
      </c>
      <c r="C193" s="628"/>
      <c r="E193" s="628"/>
      <c r="F193" s="628"/>
      <c r="G193" s="629">
        <f t="shared" ref="G193:M193" si="9">SUM(G13:G192)</f>
        <v>13861000</v>
      </c>
      <c r="H193" s="629">
        <f t="shared" si="9"/>
        <v>128784660.50685188</v>
      </c>
      <c r="I193" s="629">
        <f t="shared" si="9"/>
        <v>55401912</v>
      </c>
      <c r="J193" s="629">
        <f t="shared" si="9"/>
        <v>198047572.50685212</v>
      </c>
      <c r="K193" s="629">
        <f t="shared" si="9"/>
        <v>0</v>
      </c>
      <c r="L193" s="629">
        <f t="shared" si="9"/>
        <v>0</v>
      </c>
      <c r="M193" s="629">
        <f t="shared" si="9"/>
        <v>198047572.50685212</v>
      </c>
      <c r="N193" s="637"/>
      <c r="O193" s="598" t="e">
        <f>#REF!</f>
        <v>#REF!</v>
      </c>
      <c r="P193" s="598" t="e">
        <f>#REF!</f>
        <v>#REF!</v>
      </c>
      <c r="Q193" s="598" t="e">
        <f>#REF!</f>
        <v>#REF!</v>
      </c>
      <c r="R193" s="598" t="e">
        <f>#REF!</f>
        <v>#REF!</v>
      </c>
    </row>
    <row r="194" spans="1:18" s="242" customFormat="1" ht="14.25" customHeight="1">
      <c r="A194" s="624">
        <v>1</v>
      </c>
      <c r="B194" s="625" t="e">
        <f>VLOOKUP(D194,'[1]DS CN MOI UP'!$B$11:$C$447,2,0)</f>
        <v>#N/A</v>
      </c>
      <c r="C194" s="626" t="s">
        <v>784</v>
      </c>
      <c r="D194" s="61" t="s">
        <v>755</v>
      </c>
      <c r="E194" s="630" t="s">
        <v>15</v>
      </c>
      <c r="F194" s="630"/>
      <c r="G194" s="655"/>
      <c r="H194" s="655">
        <v>554373.09900000005</v>
      </c>
      <c r="I194" s="655">
        <v>554373.09900000005</v>
      </c>
      <c r="J194" s="635">
        <f t="shared" ref="J194:J409" si="10">SUM(G194:I194)</f>
        <v>1108746.1980000001</v>
      </c>
      <c r="K194" s="635"/>
      <c r="L194" s="635"/>
      <c r="M194" s="655">
        <f t="shared" ref="M194:M356" si="11">J194-L194</f>
        <v>1108746.1980000001</v>
      </c>
      <c r="N194" s="61"/>
      <c r="O194" s="636" t="e">
        <f>+G193-O193</f>
        <v>#REF!</v>
      </c>
      <c r="P194" s="636" t="e">
        <f>+H193-P193</f>
        <v>#REF!</v>
      </c>
      <c r="Q194" s="636" t="e">
        <f>+I193-Q193</f>
        <v>#REF!</v>
      </c>
    </row>
    <row r="195" spans="1:18" s="242" customFormat="1" ht="14.25" customHeight="1">
      <c r="A195" s="624">
        <v>2</v>
      </c>
      <c r="B195" s="625"/>
      <c r="C195" s="626" t="s">
        <v>648</v>
      </c>
      <c r="D195" s="627" t="s">
        <v>785</v>
      </c>
      <c r="E195" s="61" t="s">
        <v>15</v>
      </c>
      <c r="F195" s="61"/>
      <c r="G195" s="655"/>
      <c r="H195" s="655">
        <v>554373.09900000005</v>
      </c>
      <c r="I195" s="655">
        <v>554373.09900000005</v>
      </c>
      <c r="J195" s="635">
        <f>SUM(G195:I195)</f>
        <v>1108746.1980000001</v>
      </c>
      <c r="K195" s="635"/>
      <c r="L195" s="655"/>
      <c r="M195" s="655">
        <f t="shared" si="11"/>
        <v>1108746.1980000001</v>
      </c>
      <c r="N195" s="627"/>
      <c r="O195" s="636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4">
        <v>3</v>
      </c>
      <c r="B196" s="625" t="e">
        <f>VLOOKUP(D196,'[1]DS CN MOI UP'!$B$11:$C$447,2,0)</f>
        <v>#N/A</v>
      </c>
      <c r="C196" s="626" t="s">
        <v>650</v>
      </c>
      <c r="D196" s="627" t="s">
        <v>786</v>
      </c>
      <c r="E196" s="61" t="s">
        <v>15</v>
      </c>
      <c r="F196" s="61"/>
      <c r="G196" s="655"/>
      <c r="H196" s="655">
        <v>635040.18900000001</v>
      </c>
      <c r="I196" s="655">
        <v>635040.18900000001</v>
      </c>
      <c r="J196" s="635">
        <f t="shared" si="10"/>
        <v>1270080.378</v>
      </c>
      <c r="K196" s="635"/>
      <c r="L196" s="655"/>
      <c r="M196" s="655">
        <f t="shared" si="11"/>
        <v>1270080.378</v>
      </c>
      <c r="N196" s="627"/>
      <c r="O196" s="636"/>
    </row>
    <row r="197" spans="1:18" s="242" customFormat="1" ht="14.25" customHeight="1">
      <c r="A197" s="624">
        <v>4</v>
      </c>
      <c r="B197" s="625" t="e">
        <f>VLOOKUP(D197,'[1]DS CN MOI UP'!$B$11:$C$447,2,0)</f>
        <v>#N/A</v>
      </c>
      <c r="C197" s="626" t="s">
        <v>651</v>
      </c>
      <c r="D197" s="627" t="s">
        <v>787</v>
      </c>
      <c r="E197" s="61" t="s">
        <v>15</v>
      </c>
      <c r="F197" s="61"/>
      <c r="G197" s="655"/>
      <c r="H197" s="655">
        <v>544338.9</v>
      </c>
      <c r="I197" s="655">
        <v>544338.9</v>
      </c>
      <c r="J197" s="635">
        <f t="shared" si="10"/>
        <v>1088677.8</v>
      </c>
      <c r="K197" s="635"/>
      <c r="L197" s="655"/>
      <c r="M197" s="655">
        <f t="shared" si="11"/>
        <v>1088677.8</v>
      </c>
      <c r="N197" s="627"/>
      <c r="O197" s="636"/>
      <c r="P197" s="636"/>
    </row>
    <row r="198" spans="1:18" s="242" customFormat="1" ht="14.25" customHeight="1">
      <c r="A198" s="624">
        <v>5</v>
      </c>
      <c r="B198" s="625" t="e">
        <f>VLOOKUP(D198,'[1]DS CN MOI UP'!$B$11:$C$447,2,0)</f>
        <v>#N/A</v>
      </c>
      <c r="C198" s="626" t="s">
        <v>651</v>
      </c>
      <c r="D198" s="627" t="s">
        <v>788</v>
      </c>
      <c r="E198" s="61" t="s">
        <v>15</v>
      </c>
      <c r="F198" s="61"/>
      <c r="G198" s="655"/>
      <c r="H198" s="655">
        <v>574572.66299999994</v>
      </c>
      <c r="I198" s="655">
        <v>574572.66299999994</v>
      </c>
      <c r="J198" s="635">
        <f t="shared" si="10"/>
        <v>1149145.3259999999</v>
      </c>
      <c r="K198" s="635"/>
      <c r="L198" s="655"/>
      <c r="M198" s="655">
        <f t="shared" si="11"/>
        <v>1149145.3259999999</v>
      </c>
      <c r="N198" s="627"/>
      <c r="O198" s="636"/>
    </row>
    <row r="199" spans="1:18" s="242" customFormat="1" ht="14.25" customHeight="1">
      <c r="A199" s="624">
        <v>6</v>
      </c>
      <c r="B199" s="625" t="e">
        <f>VLOOKUP(D199,'[1]DS CN MOI UP'!$B$11:$C$447,2,0)</f>
        <v>#N/A</v>
      </c>
      <c r="C199" s="626" t="s">
        <v>651</v>
      </c>
      <c r="D199" s="627" t="s">
        <v>789</v>
      </c>
      <c r="E199" s="61" t="s">
        <v>15</v>
      </c>
      <c r="F199" s="61"/>
      <c r="G199" s="655"/>
      <c r="H199" s="655">
        <v>604806.42599999998</v>
      </c>
      <c r="I199" s="655">
        <v>604806.42599999998</v>
      </c>
      <c r="J199" s="635">
        <f t="shared" si="10"/>
        <v>1209612.852</v>
      </c>
      <c r="K199" s="635"/>
      <c r="L199" s="655"/>
      <c r="M199" s="655">
        <f t="shared" si="11"/>
        <v>1209612.852</v>
      </c>
      <c r="N199" s="627"/>
      <c r="O199" s="636"/>
    </row>
    <row r="200" spans="1:18" s="242" customFormat="1" ht="14.25" customHeight="1">
      <c r="A200" s="624">
        <v>7</v>
      </c>
      <c r="B200" s="625" t="e">
        <f>VLOOKUP(D200,'[1]DS CN MOI UP'!$B$11:$C$447,2,0)</f>
        <v>#N/A</v>
      </c>
      <c r="C200" s="626" t="s">
        <v>651</v>
      </c>
      <c r="D200" s="627" t="s">
        <v>790</v>
      </c>
      <c r="E200" s="61" t="s">
        <v>15</v>
      </c>
      <c r="F200" s="61"/>
      <c r="G200" s="655"/>
      <c r="H200" s="655">
        <v>584606.86199999996</v>
      </c>
      <c r="I200" s="655">
        <v>584606.86199999996</v>
      </c>
      <c r="J200" s="635">
        <f t="shared" si="10"/>
        <v>1169213.7239999999</v>
      </c>
      <c r="K200" s="635"/>
      <c r="L200" s="655"/>
      <c r="M200" s="655">
        <f t="shared" si="11"/>
        <v>1169213.7239999999</v>
      </c>
      <c r="N200" s="627"/>
      <c r="O200" s="636"/>
    </row>
    <row r="201" spans="1:18" s="242" customFormat="1" ht="14.25" customHeight="1">
      <c r="A201" s="624">
        <v>8</v>
      </c>
      <c r="B201" s="625" t="e">
        <f>VLOOKUP(D201,'[1]DS CN MOI UP'!$B$11:$C$447,2,0)</f>
        <v>#N/A</v>
      </c>
      <c r="C201" s="626" t="s">
        <v>651</v>
      </c>
      <c r="D201" s="627" t="s">
        <v>791</v>
      </c>
      <c r="E201" s="61" t="s">
        <v>15</v>
      </c>
      <c r="F201" s="61"/>
      <c r="G201" s="655"/>
      <c r="H201" s="655">
        <v>635040.18900000001</v>
      </c>
      <c r="I201" s="655">
        <v>635040.18900000001</v>
      </c>
      <c r="J201" s="635">
        <f t="shared" si="10"/>
        <v>1270080.378</v>
      </c>
      <c r="K201" s="635"/>
      <c r="L201" s="655"/>
      <c r="M201" s="655">
        <f t="shared" si="11"/>
        <v>1270080.378</v>
      </c>
      <c r="N201" s="627"/>
      <c r="O201" s="636"/>
    </row>
    <row r="202" spans="1:18" s="242" customFormat="1" ht="14.25" customHeight="1">
      <c r="A202" s="624">
        <v>9</v>
      </c>
      <c r="B202" s="625" t="e">
        <f>VLOOKUP(D202,'[1]DS CN MOI UP'!$B$11:$C$447,2,0)</f>
        <v>#N/A</v>
      </c>
      <c r="C202" s="626" t="s">
        <v>651</v>
      </c>
      <c r="D202" s="627" t="s">
        <v>792</v>
      </c>
      <c r="E202" s="61" t="s">
        <v>15</v>
      </c>
      <c r="F202" s="61"/>
      <c r="G202" s="655"/>
      <c r="H202" s="655">
        <v>524139.33600000001</v>
      </c>
      <c r="I202" s="655">
        <v>524139.33600000001</v>
      </c>
      <c r="J202" s="635">
        <f t="shared" si="10"/>
        <v>1048278.672</v>
      </c>
      <c r="K202" s="635"/>
      <c r="L202" s="655"/>
      <c r="M202" s="655">
        <f t="shared" si="11"/>
        <v>1048278.672</v>
      </c>
      <c r="N202" s="627"/>
      <c r="O202" s="636"/>
    </row>
    <row r="203" spans="1:18" s="242" customFormat="1" ht="14.25" customHeight="1">
      <c r="A203" s="624">
        <v>10</v>
      </c>
      <c r="B203" s="625" t="e">
        <f>VLOOKUP(D203,'[1]DS CN MOI UP'!$B$11:$C$447,2,0)</f>
        <v>#N/A</v>
      </c>
      <c r="C203" s="626" t="s">
        <v>651</v>
      </c>
      <c r="D203" s="627" t="s">
        <v>793</v>
      </c>
      <c r="E203" s="61" t="s">
        <v>15</v>
      </c>
      <c r="F203" s="61"/>
      <c r="G203" s="655"/>
      <c r="H203" s="655">
        <v>554373.09900000005</v>
      </c>
      <c r="I203" s="655">
        <v>554373.09900000005</v>
      </c>
      <c r="J203" s="635">
        <f t="shared" si="10"/>
        <v>1108746.1980000001</v>
      </c>
      <c r="K203" s="635"/>
      <c r="L203" s="655"/>
      <c r="M203" s="655">
        <f t="shared" si="11"/>
        <v>1108746.1980000001</v>
      </c>
      <c r="N203" s="627"/>
      <c r="O203" s="636"/>
    </row>
    <row r="204" spans="1:18" s="242" customFormat="1" ht="14.25" customHeight="1">
      <c r="A204" s="624">
        <v>11</v>
      </c>
      <c r="B204" s="625" t="e">
        <f>VLOOKUP(D204,'[1]DS CN MOI UP'!$B$11:$C$447,2,0)</f>
        <v>#N/A</v>
      </c>
      <c r="C204" s="626" t="s">
        <v>651</v>
      </c>
      <c r="D204" s="627" t="s">
        <v>794</v>
      </c>
      <c r="E204" s="61" t="s">
        <v>15</v>
      </c>
      <c r="F204" s="61"/>
      <c r="G204" s="655"/>
      <c r="H204" s="655">
        <v>554373.09900000005</v>
      </c>
      <c r="I204" s="655">
        <v>554373.09900000005</v>
      </c>
      <c r="J204" s="635">
        <f t="shared" si="10"/>
        <v>1108746.1980000001</v>
      </c>
      <c r="K204" s="635"/>
      <c r="L204" s="655"/>
      <c r="M204" s="655">
        <f t="shared" si="11"/>
        <v>1108746.1980000001</v>
      </c>
      <c r="N204" s="627"/>
      <c r="O204" s="636"/>
    </row>
    <row r="205" spans="1:18" s="242" customFormat="1" ht="14.25" customHeight="1">
      <c r="A205" s="624">
        <v>12</v>
      </c>
      <c r="B205" s="625" t="e">
        <f>VLOOKUP(D205,'[1]DS CN MOI UP'!$B$11:$C$447,2,0)</f>
        <v>#N/A</v>
      </c>
      <c r="C205" s="626" t="s">
        <v>651</v>
      </c>
      <c r="D205" s="627" t="s">
        <v>795</v>
      </c>
      <c r="E205" s="61" t="s">
        <v>15</v>
      </c>
      <c r="F205" s="61"/>
      <c r="G205" s="655"/>
      <c r="H205" s="655">
        <v>635040.18900000001</v>
      </c>
      <c r="I205" s="655">
        <v>635040.18900000001</v>
      </c>
      <c r="J205" s="635">
        <f t="shared" si="10"/>
        <v>1270080.378</v>
      </c>
      <c r="K205" s="635"/>
      <c r="L205" s="655"/>
      <c r="M205" s="655">
        <f t="shared" si="11"/>
        <v>1270080.378</v>
      </c>
      <c r="N205" s="627"/>
      <c r="O205" s="636"/>
    </row>
    <row r="206" spans="1:18" s="242" customFormat="1" ht="14.25" customHeight="1">
      <c r="A206" s="624">
        <v>13</v>
      </c>
      <c r="B206" s="625" t="e">
        <f>VLOOKUP(D206,'[1]DS CN MOI UP'!$B$11:$C$447,2,0)</f>
        <v>#N/A</v>
      </c>
      <c r="C206" s="626" t="s">
        <v>651</v>
      </c>
      <c r="D206" s="627" t="s">
        <v>796</v>
      </c>
      <c r="E206" s="61" t="s">
        <v>15</v>
      </c>
      <c r="F206" s="61"/>
      <c r="G206" s="655"/>
      <c r="H206" s="655">
        <v>544338.9</v>
      </c>
      <c r="I206" s="655">
        <v>544338.9</v>
      </c>
      <c r="J206" s="635">
        <f t="shared" si="10"/>
        <v>1088677.8</v>
      </c>
      <c r="K206" s="635"/>
      <c r="L206" s="655"/>
      <c r="M206" s="655">
        <f t="shared" si="11"/>
        <v>1088677.8</v>
      </c>
      <c r="N206" s="627"/>
      <c r="O206" s="636"/>
    </row>
    <row r="207" spans="1:18" s="242" customFormat="1" ht="14.25" customHeight="1">
      <c r="A207" s="624">
        <v>14</v>
      </c>
      <c r="B207" s="625" t="e">
        <f>VLOOKUP(D207,'[1]DS CN MOI UP'!$B$11:$C$447,2,0)</f>
        <v>#N/A</v>
      </c>
      <c r="C207" s="626" t="s">
        <v>651</v>
      </c>
      <c r="D207" s="627" t="s">
        <v>797</v>
      </c>
      <c r="E207" s="61" t="s">
        <v>15</v>
      </c>
      <c r="F207" s="61"/>
      <c r="G207" s="655"/>
      <c r="H207" s="655">
        <v>574572.66299999994</v>
      </c>
      <c r="I207" s="655">
        <v>574572.66299999994</v>
      </c>
      <c r="J207" s="635">
        <f t="shared" si="10"/>
        <v>1149145.3259999999</v>
      </c>
      <c r="K207" s="635"/>
      <c r="L207" s="655"/>
      <c r="M207" s="655">
        <f t="shared" si="11"/>
        <v>1149145.3259999999</v>
      </c>
      <c r="N207" s="627"/>
      <c r="O207" s="636"/>
    </row>
    <row r="208" spans="1:18" s="242" customFormat="1" ht="14.25" customHeight="1">
      <c r="A208" s="624">
        <v>15</v>
      </c>
      <c r="B208" s="625" t="e">
        <f>VLOOKUP(D208,'[1]DS CN MOI UP'!$B$11:$C$447,2,0)</f>
        <v>#N/A</v>
      </c>
      <c r="C208" s="626" t="s">
        <v>651</v>
      </c>
      <c r="D208" s="627" t="s">
        <v>798</v>
      </c>
      <c r="E208" s="61" t="s">
        <v>15</v>
      </c>
      <c r="F208" s="61"/>
      <c r="G208" s="655"/>
      <c r="H208" s="655">
        <v>604806.42599999998</v>
      </c>
      <c r="I208" s="655">
        <v>604806.42599999998</v>
      </c>
      <c r="J208" s="635">
        <f t="shared" si="10"/>
        <v>1209612.852</v>
      </c>
      <c r="K208" s="635"/>
      <c r="L208" s="655"/>
      <c r="M208" s="655">
        <f t="shared" si="11"/>
        <v>1209612.852</v>
      </c>
      <c r="N208" s="627"/>
      <c r="O208" s="636"/>
    </row>
    <row r="209" spans="1:15" s="242" customFormat="1" ht="14.25" customHeight="1">
      <c r="A209" s="624">
        <v>16</v>
      </c>
      <c r="B209" s="625" t="e">
        <f>VLOOKUP(D209,'[1]DS CN MOI UP'!$B$11:$C$447,2,0)</f>
        <v>#N/A</v>
      </c>
      <c r="C209" s="626" t="s">
        <v>654</v>
      </c>
      <c r="D209" s="627" t="s">
        <v>799</v>
      </c>
      <c r="E209" s="61" t="s">
        <v>15</v>
      </c>
      <c r="F209" s="61"/>
      <c r="G209" s="655"/>
      <c r="H209" s="655">
        <v>584606.86199999996</v>
      </c>
      <c r="I209" s="655">
        <v>584606.86199999996</v>
      </c>
      <c r="J209" s="635">
        <f t="shared" si="10"/>
        <v>1169213.7239999999</v>
      </c>
      <c r="K209" s="635"/>
      <c r="L209" s="655"/>
      <c r="M209" s="655">
        <f t="shared" si="11"/>
        <v>1169213.7239999999</v>
      </c>
      <c r="N209" s="627"/>
      <c r="O209" s="636"/>
    </row>
    <row r="210" spans="1:15" s="242" customFormat="1" ht="14.25" customHeight="1">
      <c r="A210" s="624">
        <v>17</v>
      </c>
      <c r="B210" s="625" t="e">
        <f>VLOOKUP(D210,'[1]DS CN MOI UP'!$B$11:$C$447,2,0)</f>
        <v>#N/A</v>
      </c>
      <c r="C210" s="626" t="s">
        <v>654</v>
      </c>
      <c r="D210" s="627" t="s">
        <v>800</v>
      </c>
      <c r="E210" s="61" t="s">
        <v>15</v>
      </c>
      <c r="F210" s="61"/>
      <c r="G210" s="655"/>
      <c r="H210" s="655">
        <v>635040.18900000001</v>
      </c>
      <c r="I210" s="655">
        <v>635040.18900000001</v>
      </c>
      <c r="J210" s="635">
        <f t="shared" si="10"/>
        <v>1270080.378</v>
      </c>
      <c r="K210" s="635"/>
      <c r="L210" s="655"/>
      <c r="M210" s="655">
        <f t="shared" si="11"/>
        <v>1270080.378</v>
      </c>
      <c r="N210" s="627"/>
      <c r="O210" s="636"/>
    </row>
    <row r="211" spans="1:15" s="242" customFormat="1" ht="14.25" customHeight="1">
      <c r="A211" s="624">
        <v>18</v>
      </c>
      <c r="B211" s="625" t="e">
        <f>VLOOKUP(D211,'[1]DS CN MOI UP'!$B$11:$C$447,2,0)</f>
        <v>#N/A</v>
      </c>
      <c r="C211" s="626" t="s">
        <v>654</v>
      </c>
      <c r="D211" s="627" t="s">
        <v>801</v>
      </c>
      <c r="E211" s="61" t="s">
        <v>15</v>
      </c>
      <c r="F211" s="61"/>
      <c r="G211" s="655"/>
      <c r="H211" s="655">
        <v>524139.33600000001</v>
      </c>
      <c r="I211" s="655">
        <v>524139.33600000001</v>
      </c>
      <c r="J211" s="635">
        <f t="shared" si="10"/>
        <v>1048278.672</v>
      </c>
      <c r="K211" s="635"/>
      <c r="L211" s="655"/>
      <c r="M211" s="655">
        <f t="shared" si="11"/>
        <v>1048278.672</v>
      </c>
      <c r="N211" s="627"/>
      <c r="O211" s="636"/>
    </row>
    <row r="212" spans="1:15" s="242" customFormat="1" ht="14.25" customHeight="1">
      <c r="A212" s="624">
        <v>19</v>
      </c>
      <c r="B212" s="625" t="e">
        <f>VLOOKUP(D212,'[1]DS CN MOI UP'!$B$11:$C$447,2,0)</f>
        <v>#N/A</v>
      </c>
      <c r="C212" s="626" t="s">
        <v>654</v>
      </c>
      <c r="D212" s="627" t="s">
        <v>802</v>
      </c>
      <c r="E212" s="61" t="s">
        <v>15</v>
      </c>
      <c r="F212" s="61"/>
      <c r="G212" s="655"/>
      <c r="H212" s="655">
        <v>554373.09900000005</v>
      </c>
      <c r="I212" s="655">
        <v>554373.09900000005</v>
      </c>
      <c r="J212" s="635">
        <f t="shared" si="10"/>
        <v>1108746.1980000001</v>
      </c>
      <c r="K212" s="635"/>
      <c r="L212" s="655"/>
      <c r="M212" s="655">
        <f t="shared" si="11"/>
        <v>1108746.1980000001</v>
      </c>
      <c r="N212" s="627"/>
      <c r="O212" s="636"/>
    </row>
    <row r="213" spans="1:15" s="242" customFormat="1" ht="14.25" customHeight="1">
      <c r="A213" s="624">
        <v>20</v>
      </c>
      <c r="B213" s="625" t="e">
        <f>VLOOKUP(D213,'[1]DS CN MOI UP'!$B$11:$C$447,2,0)</f>
        <v>#N/A</v>
      </c>
      <c r="C213" s="626" t="s">
        <v>654</v>
      </c>
      <c r="D213" s="627" t="s">
        <v>803</v>
      </c>
      <c r="E213" s="61" t="s">
        <v>15</v>
      </c>
      <c r="F213" s="61"/>
      <c r="G213" s="655"/>
      <c r="H213" s="655">
        <v>554373.09900000005</v>
      </c>
      <c r="I213" s="655">
        <v>554373.09900000005</v>
      </c>
      <c r="J213" s="635">
        <f t="shared" si="10"/>
        <v>1108746.1980000001</v>
      </c>
      <c r="K213" s="635"/>
      <c r="L213" s="655"/>
      <c r="M213" s="655">
        <f t="shared" si="11"/>
        <v>1108746.1980000001</v>
      </c>
      <c r="N213" s="627"/>
      <c r="O213" s="636"/>
    </row>
    <row r="214" spans="1:15" s="242" customFormat="1" ht="14.25" customHeight="1">
      <c r="A214" s="624">
        <v>21</v>
      </c>
      <c r="B214" s="625" t="e">
        <f>VLOOKUP(D214,'[1]DS CN MOI UP'!$B$11:$C$447,2,0)</f>
        <v>#N/A</v>
      </c>
      <c r="C214" s="626" t="s">
        <v>654</v>
      </c>
      <c r="D214" s="627" t="s">
        <v>804</v>
      </c>
      <c r="E214" s="61" t="s">
        <v>15</v>
      </c>
      <c r="F214" s="61"/>
      <c r="G214" s="655"/>
      <c r="H214" s="655">
        <v>554373.09900000005</v>
      </c>
      <c r="I214" s="655">
        <v>554373.09900000005</v>
      </c>
      <c r="J214" s="635">
        <f t="shared" si="10"/>
        <v>1108746.1980000001</v>
      </c>
      <c r="K214" s="635"/>
      <c r="L214" s="655"/>
      <c r="M214" s="655">
        <f t="shared" si="11"/>
        <v>1108746.1980000001</v>
      </c>
      <c r="N214" s="627"/>
      <c r="O214" s="636"/>
    </row>
    <row r="215" spans="1:15" s="242" customFormat="1" ht="14.25" customHeight="1">
      <c r="A215" s="624">
        <v>22</v>
      </c>
      <c r="B215" s="625" t="e">
        <f>VLOOKUP(D215,'[1]DS CN MOI UP'!$B$11:$C$447,2,0)</f>
        <v>#N/A</v>
      </c>
      <c r="C215" s="626" t="s">
        <v>654</v>
      </c>
      <c r="D215" s="627" t="s">
        <v>805</v>
      </c>
      <c r="E215" s="61" t="s">
        <v>15</v>
      </c>
      <c r="F215" s="61"/>
      <c r="G215" s="655"/>
      <c r="H215" s="655">
        <v>635040.18900000001</v>
      </c>
      <c r="I215" s="655">
        <v>635040.18900000001</v>
      </c>
      <c r="J215" s="635">
        <f t="shared" si="10"/>
        <v>1270080.378</v>
      </c>
      <c r="K215" s="635"/>
      <c r="L215" s="655"/>
      <c r="M215" s="655">
        <f t="shared" si="11"/>
        <v>1270080.378</v>
      </c>
      <c r="N215" s="627"/>
      <c r="O215" s="636"/>
    </row>
    <row r="216" spans="1:15" s="242" customFormat="1" ht="14.25" customHeight="1">
      <c r="A216" s="624">
        <v>23</v>
      </c>
      <c r="B216" s="625" t="e">
        <f>VLOOKUP(D216,'[1]DS CN MOI UP'!$B$11:$C$447,2,0)</f>
        <v>#N/A</v>
      </c>
      <c r="C216" s="626" t="s">
        <v>654</v>
      </c>
      <c r="D216" s="627" t="s">
        <v>806</v>
      </c>
      <c r="E216" s="61" t="s">
        <v>15</v>
      </c>
      <c r="F216" s="61"/>
      <c r="G216" s="655"/>
      <c r="H216" s="655">
        <v>544338.9</v>
      </c>
      <c r="I216" s="655">
        <v>544338.9</v>
      </c>
      <c r="J216" s="635">
        <f t="shared" si="10"/>
        <v>1088677.8</v>
      </c>
      <c r="K216" s="635"/>
      <c r="L216" s="655"/>
      <c r="M216" s="655">
        <f t="shared" si="11"/>
        <v>1088677.8</v>
      </c>
      <c r="N216" s="627"/>
      <c r="O216" s="636"/>
    </row>
    <row r="217" spans="1:15" s="242" customFormat="1" ht="14.25" customHeight="1">
      <c r="A217" s="624">
        <v>24</v>
      </c>
      <c r="B217" s="625" t="e">
        <f>VLOOKUP(D217,'[1]DS CN MOI UP'!$B$11:$C$447,2,0)</f>
        <v>#N/A</v>
      </c>
      <c r="C217" s="626" t="s">
        <v>654</v>
      </c>
      <c r="D217" s="627" t="s">
        <v>807</v>
      </c>
      <c r="E217" s="61" t="s">
        <v>15</v>
      </c>
      <c r="F217" s="61"/>
      <c r="G217" s="655"/>
      <c r="H217" s="655">
        <v>574572.66299999994</v>
      </c>
      <c r="I217" s="655">
        <v>574572.66299999994</v>
      </c>
      <c r="J217" s="635">
        <f t="shared" si="10"/>
        <v>1149145.3259999999</v>
      </c>
      <c r="K217" s="635"/>
      <c r="L217" s="655"/>
      <c r="M217" s="655">
        <f t="shared" si="11"/>
        <v>1149145.3259999999</v>
      </c>
      <c r="N217" s="627"/>
      <c r="O217" s="636"/>
    </row>
    <row r="218" spans="1:15" s="242" customFormat="1" ht="14.25" customHeight="1">
      <c r="A218" s="624">
        <v>25</v>
      </c>
      <c r="B218" s="625" t="e">
        <f>VLOOKUP(D218,'[1]DS CN MOI UP'!$B$11:$C$447,2,0)</f>
        <v>#N/A</v>
      </c>
      <c r="C218" s="626" t="s">
        <v>654</v>
      </c>
      <c r="D218" s="627" t="s">
        <v>808</v>
      </c>
      <c r="E218" s="61" t="s">
        <v>15</v>
      </c>
      <c r="F218" s="61"/>
      <c r="G218" s="655"/>
      <c r="H218" s="655">
        <v>604806.42599999998</v>
      </c>
      <c r="I218" s="655">
        <v>604806.42599999998</v>
      </c>
      <c r="J218" s="635">
        <f t="shared" si="10"/>
        <v>1209612.852</v>
      </c>
      <c r="K218" s="635"/>
      <c r="L218" s="655"/>
      <c r="M218" s="655">
        <f t="shared" si="11"/>
        <v>1209612.852</v>
      </c>
      <c r="N218" s="627"/>
      <c r="O218" s="636"/>
    </row>
    <row r="219" spans="1:15" s="242" customFormat="1" ht="14.25" customHeight="1">
      <c r="A219" s="624">
        <v>26</v>
      </c>
      <c r="B219" s="625" t="e">
        <f>VLOOKUP(D219,'[1]DS CN MOI UP'!$B$11:$C$447,2,0)</f>
        <v>#N/A</v>
      </c>
      <c r="C219" s="626" t="s">
        <v>654</v>
      </c>
      <c r="D219" s="627" t="s">
        <v>809</v>
      </c>
      <c r="E219" s="61" t="s">
        <v>15</v>
      </c>
      <c r="F219" s="61"/>
      <c r="G219" s="655"/>
      <c r="H219" s="655">
        <v>584606.86199999996</v>
      </c>
      <c r="I219" s="655">
        <v>584606.86199999996</v>
      </c>
      <c r="J219" s="635">
        <f t="shared" si="10"/>
        <v>1169213.7239999999</v>
      </c>
      <c r="K219" s="635"/>
      <c r="L219" s="655"/>
      <c r="M219" s="655">
        <f t="shared" si="11"/>
        <v>1169213.7239999999</v>
      </c>
      <c r="N219" s="627"/>
      <c r="O219" s="636"/>
    </row>
    <row r="220" spans="1:15" s="242" customFormat="1" ht="14.25" customHeight="1">
      <c r="A220" s="624">
        <v>27</v>
      </c>
      <c r="B220" s="625" t="e">
        <f>VLOOKUP(D220,'[1]DS CN MOI UP'!$B$11:$C$447,2,0)</f>
        <v>#N/A</v>
      </c>
      <c r="C220" s="626" t="s">
        <v>654</v>
      </c>
      <c r="D220" s="627" t="s">
        <v>810</v>
      </c>
      <c r="E220" s="61" t="s">
        <v>15</v>
      </c>
      <c r="F220" s="61"/>
      <c r="G220" s="655"/>
      <c r="H220" s="655">
        <v>635040.18900000001</v>
      </c>
      <c r="I220" s="655">
        <v>635040.18900000001</v>
      </c>
      <c r="J220" s="635">
        <f t="shared" si="10"/>
        <v>1270080.378</v>
      </c>
      <c r="K220" s="635"/>
      <c r="L220" s="655"/>
      <c r="M220" s="655">
        <f t="shared" si="11"/>
        <v>1270080.378</v>
      </c>
      <c r="N220" s="627"/>
      <c r="O220" s="636"/>
    </row>
    <row r="221" spans="1:15" s="242" customFormat="1" ht="14.25" customHeight="1">
      <c r="A221" s="624">
        <v>28</v>
      </c>
      <c r="B221" s="625" t="e">
        <f>VLOOKUP(D221,'[1]DS CN MOI UP'!$B$11:$C$447,2,0)</f>
        <v>#N/A</v>
      </c>
      <c r="C221" s="626" t="s">
        <v>654</v>
      </c>
      <c r="D221" s="627" t="s">
        <v>811</v>
      </c>
      <c r="E221" s="61" t="s">
        <v>15</v>
      </c>
      <c r="F221" s="61"/>
      <c r="G221" s="655"/>
      <c r="H221" s="655">
        <v>524139.33600000001</v>
      </c>
      <c r="I221" s="655">
        <v>524139.33600000001</v>
      </c>
      <c r="J221" s="635">
        <f t="shared" si="10"/>
        <v>1048278.672</v>
      </c>
      <c r="K221" s="635"/>
      <c r="L221" s="655"/>
      <c r="M221" s="655">
        <f t="shared" si="11"/>
        <v>1048278.672</v>
      </c>
      <c r="N221" s="627"/>
      <c r="O221" s="636"/>
    </row>
    <row r="222" spans="1:15" s="242" customFormat="1" ht="14.25" customHeight="1">
      <c r="A222" s="624">
        <v>29</v>
      </c>
      <c r="B222" s="625" t="e">
        <f>VLOOKUP(D222,'[1]DS CN MOI UP'!$B$11:$C$447,2,0)</f>
        <v>#N/A</v>
      </c>
      <c r="C222" s="626" t="s">
        <v>654</v>
      </c>
      <c r="D222" s="627" t="s">
        <v>812</v>
      </c>
      <c r="E222" s="61" t="s">
        <v>15</v>
      </c>
      <c r="F222" s="61"/>
      <c r="G222" s="655"/>
      <c r="H222" s="655">
        <v>554373.09900000005</v>
      </c>
      <c r="I222" s="655">
        <v>554373.09900000005</v>
      </c>
      <c r="J222" s="635">
        <f t="shared" si="10"/>
        <v>1108746.1980000001</v>
      </c>
      <c r="K222" s="635"/>
      <c r="L222" s="655"/>
      <c r="M222" s="655">
        <f t="shared" si="11"/>
        <v>1108746.1980000001</v>
      </c>
      <c r="N222" s="627"/>
      <c r="O222" s="636"/>
    </row>
    <row r="223" spans="1:15" s="242" customFormat="1" ht="14.25" customHeight="1">
      <c r="A223" s="624">
        <v>30</v>
      </c>
      <c r="B223" s="625" t="e">
        <f>VLOOKUP(D223,'[1]DS CN MOI UP'!$B$11:$C$447,2,0)</f>
        <v>#N/A</v>
      </c>
      <c r="C223" s="626" t="s">
        <v>654</v>
      </c>
      <c r="D223" s="627" t="s">
        <v>813</v>
      </c>
      <c r="E223" s="61" t="s">
        <v>15</v>
      </c>
      <c r="F223" s="61"/>
      <c r="G223" s="655"/>
      <c r="H223" s="655">
        <v>554373.09900000005</v>
      </c>
      <c r="I223" s="655">
        <v>554373.09900000005</v>
      </c>
      <c r="J223" s="635">
        <f t="shared" si="10"/>
        <v>1108746.1980000001</v>
      </c>
      <c r="K223" s="635"/>
      <c r="L223" s="655"/>
      <c r="M223" s="655">
        <f t="shared" si="11"/>
        <v>1108746.1980000001</v>
      </c>
      <c r="N223" s="627"/>
      <c r="O223" s="636"/>
    </row>
    <row r="224" spans="1:15" s="242" customFormat="1" ht="14.25" customHeight="1">
      <c r="A224" s="624">
        <v>31</v>
      </c>
      <c r="B224" s="625" t="e">
        <f>VLOOKUP(D224,'[1]DS CN MOI UP'!$B$11:$C$447,2,0)</f>
        <v>#N/A</v>
      </c>
      <c r="C224" s="626" t="s">
        <v>654</v>
      </c>
      <c r="D224" s="627" t="s">
        <v>814</v>
      </c>
      <c r="E224" s="61" t="s">
        <v>15</v>
      </c>
      <c r="F224" s="61"/>
      <c r="G224" s="655"/>
      <c r="H224" s="635">
        <v>614840.625</v>
      </c>
      <c r="I224" s="655">
        <v>554373.09900000005</v>
      </c>
      <c r="J224" s="635">
        <f t="shared" si="10"/>
        <v>1169213.7239999999</v>
      </c>
      <c r="K224" s="635"/>
      <c r="L224" s="655"/>
      <c r="M224" s="655">
        <f t="shared" si="11"/>
        <v>1169213.7239999999</v>
      </c>
      <c r="N224" s="627"/>
      <c r="O224" s="636"/>
    </row>
    <row r="225" spans="1:15" s="242" customFormat="1" ht="14.25" customHeight="1">
      <c r="A225" s="624">
        <v>32</v>
      </c>
      <c r="B225" s="625" t="e">
        <f>VLOOKUP(D225,'[1]DS CN MOI UP'!$B$11:$C$447,2,0)</f>
        <v>#N/A</v>
      </c>
      <c r="C225" s="626" t="s">
        <v>654</v>
      </c>
      <c r="D225" s="627" t="s">
        <v>815</v>
      </c>
      <c r="E225" s="61" t="s">
        <v>15</v>
      </c>
      <c r="F225" s="61"/>
      <c r="G225" s="655"/>
      <c r="H225" s="635">
        <v>554373.09900000005</v>
      </c>
      <c r="I225" s="655">
        <v>554373.09900000005</v>
      </c>
      <c r="J225" s="635">
        <f t="shared" si="10"/>
        <v>1108746.1980000001</v>
      </c>
      <c r="K225" s="635"/>
      <c r="L225" s="655"/>
      <c r="M225" s="655">
        <f t="shared" si="11"/>
        <v>1108746.1980000001</v>
      </c>
      <c r="N225" s="627"/>
      <c r="O225" s="636"/>
    </row>
    <row r="226" spans="1:15" s="242" customFormat="1" ht="14.25" customHeight="1">
      <c r="A226" s="624">
        <v>33</v>
      </c>
      <c r="B226" s="625" t="e">
        <f>VLOOKUP(D226,'[1]DS CN MOI UP'!$B$11:$C$447,2,0)</f>
        <v>#N/A</v>
      </c>
      <c r="C226" s="626" t="s">
        <v>654</v>
      </c>
      <c r="D226" s="627" t="s">
        <v>816</v>
      </c>
      <c r="E226" s="61" t="s">
        <v>15</v>
      </c>
      <c r="F226" s="61"/>
      <c r="G226" s="655"/>
      <c r="H226" s="635">
        <v>554373.09900000005</v>
      </c>
      <c r="I226" s="655">
        <v>554373.09900000005</v>
      </c>
      <c r="J226" s="635">
        <f t="shared" si="10"/>
        <v>1108746.1980000001</v>
      </c>
      <c r="K226" s="635"/>
      <c r="L226" s="655"/>
      <c r="M226" s="655">
        <f t="shared" si="11"/>
        <v>1108746.1980000001</v>
      </c>
      <c r="N226" s="627"/>
      <c r="O226" s="636"/>
    </row>
    <row r="227" spans="1:15" s="242" customFormat="1" ht="14.25" customHeight="1">
      <c r="A227" s="624">
        <v>34</v>
      </c>
      <c r="B227" s="625" t="str">
        <f>VLOOKUP(D227,'[1]DS CN MOI UP'!$B$11:$C$447,2,0)</f>
        <v>03279</v>
      </c>
      <c r="C227" s="626" t="s">
        <v>654</v>
      </c>
      <c r="D227" s="627" t="s">
        <v>440</v>
      </c>
      <c r="E227" s="61" t="s">
        <v>15</v>
      </c>
      <c r="F227" s="61"/>
      <c r="G227" s="655"/>
      <c r="H227" s="635">
        <v>554373.09900000005</v>
      </c>
      <c r="I227" s="655">
        <v>554373.09900000005</v>
      </c>
      <c r="J227" s="635">
        <f t="shared" si="10"/>
        <v>1108746.1980000001</v>
      </c>
      <c r="K227" s="635"/>
      <c r="L227" s="655"/>
      <c r="M227" s="655">
        <f t="shared" si="11"/>
        <v>1108746.1980000001</v>
      </c>
      <c r="N227" s="627"/>
      <c r="O227" s="636"/>
    </row>
    <row r="228" spans="1:15" s="242" customFormat="1" ht="14.25" customHeight="1">
      <c r="A228" s="624">
        <v>35</v>
      </c>
      <c r="B228" s="625" t="e">
        <f>VLOOKUP(D228,'[1]DS CN MOI UP'!$B$11:$C$447,2,0)</f>
        <v>#N/A</v>
      </c>
      <c r="C228" s="626" t="s">
        <v>654</v>
      </c>
      <c r="D228" s="627" t="s">
        <v>817</v>
      </c>
      <c r="E228" s="61" t="s">
        <v>15</v>
      </c>
      <c r="F228" s="61"/>
      <c r="G228" s="655"/>
      <c r="H228" s="635">
        <v>635040.18900000001</v>
      </c>
      <c r="I228" s="655">
        <v>554373.09900000005</v>
      </c>
      <c r="J228" s="635">
        <f t="shared" si="10"/>
        <v>1189413.2880000002</v>
      </c>
      <c r="K228" s="635"/>
      <c r="L228" s="655"/>
      <c r="M228" s="655">
        <f t="shared" si="11"/>
        <v>1189413.2880000002</v>
      </c>
      <c r="N228" s="627"/>
      <c r="O228" s="636"/>
    </row>
    <row r="229" spans="1:15" s="242" customFormat="1" ht="14.25" customHeight="1">
      <c r="A229" s="624">
        <v>36</v>
      </c>
      <c r="B229" s="625" t="e">
        <f>VLOOKUP(D229,'[1]DS CN MOI UP'!$B$11:$C$447,2,0)</f>
        <v>#N/A</v>
      </c>
      <c r="C229" s="626" t="s">
        <v>654</v>
      </c>
      <c r="D229" s="627" t="s">
        <v>790</v>
      </c>
      <c r="E229" s="61" t="s">
        <v>15</v>
      </c>
      <c r="F229" s="61"/>
      <c r="G229" s="655"/>
      <c r="H229" s="635">
        <v>544338.9</v>
      </c>
      <c r="I229" s="655">
        <v>554373.09900000005</v>
      </c>
      <c r="J229" s="635">
        <f t="shared" si="10"/>
        <v>1098711.9990000001</v>
      </c>
      <c r="K229" s="635"/>
      <c r="L229" s="655"/>
      <c r="M229" s="655">
        <f t="shared" si="11"/>
        <v>1098711.9990000001</v>
      </c>
      <c r="N229" s="627"/>
      <c r="O229" s="636"/>
    </row>
    <row r="230" spans="1:15" s="242" customFormat="1" ht="14.25" customHeight="1">
      <c r="A230" s="624">
        <v>37</v>
      </c>
      <c r="B230" s="625" t="e">
        <f>VLOOKUP(D230,'[1]DS CN MOI UP'!$B$11:$C$447,2,0)</f>
        <v>#N/A</v>
      </c>
      <c r="C230" s="626" t="s">
        <v>654</v>
      </c>
      <c r="D230" s="627" t="s">
        <v>818</v>
      </c>
      <c r="E230" s="61" t="s">
        <v>15</v>
      </c>
      <c r="F230" s="61"/>
      <c r="G230" s="655"/>
      <c r="H230" s="635">
        <v>574572.66299999994</v>
      </c>
      <c r="I230" s="655">
        <v>554373.09900000005</v>
      </c>
      <c r="J230" s="635">
        <f t="shared" si="10"/>
        <v>1128945.7620000001</v>
      </c>
      <c r="K230" s="635"/>
      <c r="L230" s="655"/>
      <c r="M230" s="655">
        <f t="shared" si="11"/>
        <v>1128945.7620000001</v>
      </c>
      <c r="N230" s="627"/>
      <c r="O230" s="636"/>
    </row>
    <row r="231" spans="1:15" s="242" customFormat="1" ht="14.25" customHeight="1">
      <c r="A231" s="624">
        <v>38</v>
      </c>
      <c r="B231" s="625" t="e">
        <f>VLOOKUP(D231,'[1]DS CN MOI UP'!$B$11:$C$447,2,0)</f>
        <v>#N/A</v>
      </c>
      <c r="C231" s="626" t="s">
        <v>654</v>
      </c>
      <c r="D231" s="627" t="s">
        <v>819</v>
      </c>
      <c r="E231" s="61" t="s">
        <v>15</v>
      </c>
      <c r="F231" s="61"/>
      <c r="G231" s="655"/>
      <c r="H231" s="635">
        <v>604806.42599999998</v>
      </c>
      <c r="I231" s="655">
        <v>554373.09900000005</v>
      </c>
      <c r="J231" s="635">
        <f t="shared" si="10"/>
        <v>1159179.5249999999</v>
      </c>
      <c r="K231" s="635"/>
      <c r="L231" s="655"/>
      <c r="M231" s="655">
        <f t="shared" si="11"/>
        <v>1159179.5249999999</v>
      </c>
      <c r="N231" s="627"/>
      <c r="O231" s="636"/>
    </row>
    <row r="232" spans="1:15" s="242" customFormat="1" ht="14.25" customHeight="1">
      <c r="A232" s="624">
        <v>39</v>
      </c>
      <c r="B232" s="625" t="e">
        <f>VLOOKUP(D232,'[1]DS CN MOI UP'!$B$11:$C$447,2,0)</f>
        <v>#N/A</v>
      </c>
      <c r="C232" s="626" t="s">
        <v>654</v>
      </c>
      <c r="D232" s="627" t="s">
        <v>820</v>
      </c>
      <c r="E232" s="61" t="s">
        <v>15</v>
      </c>
      <c r="F232" s="61"/>
      <c r="G232" s="655"/>
      <c r="H232" s="635">
        <v>584606.86199999996</v>
      </c>
      <c r="I232" s="655">
        <v>554373.09900000005</v>
      </c>
      <c r="J232" s="635">
        <f t="shared" si="10"/>
        <v>1138979.9610000001</v>
      </c>
      <c r="K232" s="635"/>
      <c r="L232" s="655"/>
      <c r="M232" s="655">
        <f t="shared" si="11"/>
        <v>1138979.9610000001</v>
      </c>
      <c r="N232" s="627"/>
      <c r="O232" s="636"/>
    </row>
    <row r="233" spans="1:15" s="242" customFormat="1" ht="14.25" customHeight="1">
      <c r="A233" s="624">
        <v>40</v>
      </c>
      <c r="B233" s="625" t="e">
        <f>VLOOKUP(D233,'[1]DS CN MOI UP'!$B$11:$C$447,2,0)</f>
        <v>#N/A</v>
      </c>
      <c r="C233" s="626" t="s">
        <v>654</v>
      </c>
      <c r="D233" s="627" t="s">
        <v>821</v>
      </c>
      <c r="E233" s="61" t="s">
        <v>15</v>
      </c>
      <c r="F233" s="61"/>
      <c r="G233" s="655"/>
      <c r="H233" s="635">
        <v>635040.18900000001</v>
      </c>
      <c r="I233" s="655">
        <v>554373.09900000005</v>
      </c>
      <c r="J233" s="635">
        <f t="shared" si="10"/>
        <v>1189413.2880000002</v>
      </c>
      <c r="K233" s="635"/>
      <c r="L233" s="655"/>
      <c r="M233" s="655">
        <f t="shared" si="11"/>
        <v>1189413.2880000002</v>
      </c>
      <c r="N233" s="627"/>
      <c r="O233" s="636"/>
    </row>
    <row r="234" spans="1:15" s="242" customFormat="1" ht="14.25" customHeight="1">
      <c r="A234" s="624">
        <v>41</v>
      </c>
      <c r="B234" s="625" t="e">
        <f>VLOOKUP(D234,'[1]DS CN MOI UP'!$B$11:$C$447,2,0)</f>
        <v>#N/A</v>
      </c>
      <c r="C234" s="626" t="s">
        <v>654</v>
      </c>
      <c r="D234" s="627" t="s">
        <v>822</v>
      </c>
      <c r="E234" s="61" t="s">
        <v>15</v>
      </c>
      <c r="F234" s="61"/>
      <c r="G234" s="655"/>
      <c r="H234" s="635">
        <v>524139.33600000001</v>
      </c>
      <c r="I234" s="635">
        <v>524139.33600000001</v>
      </c>
      <c r="J234" s="635">
        <f t="shared" si="10"/>
        <v>1048278.672</v>
      </c>
      <c r="K234" s="635"/>
      <c r="L234" s="655"/>
      <c r="M234" s="655">
        <f t="shared" si="11"/>
        <v>1048278.672</v>
      </c>
      <c r="N234" s="627"/>
      <c r="O234" s="636"/>
    </row>
    <row r="235" spans="1:15" s="242" customFormat="1" ht="14.25" customHeight="1">
      <c r="A235" s="624">
        <v>42</v>
      </c>
      <c r="B235" s="625" t="e">
        <f>VLOOKUP(D235,'[1]DS CN MOI UP'!$B$11:$C$447,2,0)</f>
        <v>#N/A</v>
      </c>
      <c r="C235" s="626" t="s">
        <v>654</v>
      </c>
      <c r="D235" s="627" t="s">
        <v>823</v>
      </c>
      <c r="E235" s="61" t="s">
        <v>15</v>
      </c>
      <c r="F235" s="61"/>
      <c r="G235" s="655"/>
      <c r="H235" s="635">
        <v>635040.18900000001</v>
      </c>
      <c r="I235" s="635">
        <v>524139.33600000001</v>
      </c>
      <c r="J235" s="635">
        <f t="shared" si="10"/>
        <v>1159179.5249999999</v>
      </c>
      <c r="K235" s="635"/>
      <c r="L235" s="655"/>
      <c r="M235" s="655">
        <f t="shared" si="11"/>
        <v>1159179.5249999999</v>
      </c>
      <c r="N235" s="627"/>
      <c r="O235" s="636"/>
    </row>
    <row r="236" spans="1:15" s="242" customFormat="1" ht="14.25" customHeight="1">
      <c r="A236" s="624">
        <v>43</v>
      </c>
      <c r="B236" s="625" t="e">
        <f>VLOOKUP(D236,'[1]DS CN MOI UP'!$B$11:$C$447,2,0)</f>
        <v>#N/A</v>
      </c>
      <c r="C236" s="626" t="s">
        <v>654</v>
      </c>
      <c r="D236" s="627" t="s">
        <v>824</v>
      </c>
      <c r="E236" s="61" t="s">
        <v>15</v>
      </c>
      <c r="F236" s="61"/>
      <c r="G236" s="655"/>
      <c r="H236" s="635">
        <v>635040.18900000001</v>
      </c>
      <c r="I236" s="635">
        <v>524139.33600000001</v>
      </c>
      <c r="J236" s="635">
        <f t="shared" si="10"/>
        <v>1159179.5249999999</v>
      </c>
      <c r="K236" s="635"/>
      <c r="L236" s="655"/>
      <c r="M236" s="655">
        <f t="shared" si="11"/>
        <v>1159179.5249999999</v>
      </c>
      <c r="N236" s="627"/>
      <c r="O236" s="636"/>
    </row>
    <row r="237" spans="1:15" s="242" customFormat="1" ht="14.25" customHeight="1">
      <c r="A237" s="624">
        <v>44</v>
      </c>
      <c r="B237" s="625"/>
      <c r="C237" s="626" t="s">
        <v>648</v>
      </c>
      <c r="D237" s="627" t="s">
        <v>825</v>
      </c>
      <c r="E237" s="61" t="s">
        <v>15</v>
      </c>
      <c r="F237" s="61"/>
      <c r="G237" s="655"/>
      <c r="H237" s="635">
        <v>554373.09900000005</v>
      </c>
      <c r="I237" s="635">
        <v>524139.33600000001</v>
      </c>
      <c r="J237" s="635">
        <f t="shared" si="10"/>
        <v>1078512.4350000001</v>
      </c>
      <c r="K237" s="635"/>
      <c r="L237" s="655"/>
      <c r="M237" s="655">
        <f t="shared" si="11"/>
        <v>1078512.4350000001</v>
      </c>
      <c r="N237" s="627"/>
      <c r="O237" s="636"/>
    </row>
    <row r="238" spans="1:15" s="242" customFormat="1" ht="14.25" customHeight="1">
      <c r="A238" s="624">
        <v>45</v>
      </c>
      <c r="B238" s="625" t="e">
        <f>VLOOKUP(D238,'[1]DS CN MOI UP'!$B$11:$C$447,2,0)</f>
        <v>#N/A</v>
      </c>
      <c r="C238" s="626" t="s">
        <v>650</v>
      </c>
      <c r="D238" s="627" t="s">
        <v>826</v>
      </c>
      <c r="E238" s="61" t="s">
        <v>15</v>
      </c>
      <c r="F238" s="61"/>
      <c r="G238" s="655"/>
      <c r="H238" s="635">
        <v>635040.18900000001</v>
      </c>
      <c r="I238" s="635">
        <v>524139.33600000001</v>
      </c>
      <c r="J238" s="635">
        <f t="shared" si="10"/>
        <v>1159179.5249999999</v>
      </c>
      <c r="K238" s="635"/>
      <c r="L238" s="655"/>
      <c r="M238" s="655">
        <f t="shared" si="11"/>
        <v>1159179.5249999999</v>
      </c>
      <c r="N238" s="627"/>
      <c r="O238" s="636"/>
    </row>
    <row r="239" spans="1:15" s="242" customFormat="1" ht="14.25" customHeight="1">
      <c r="A239" s="624">
        <v>46</v>
      </c>
      <c r="B239" s="625" t="e">
        <f>VLOOKUP(D239,'[1]DS CN MOI UP'!$B$11:$C$447,2,0)</f>
        <v>#N/A</v>
      </c>
      <c r="C239" s="626" t="s">
        <v>651</v>
      </c>
      <c r="D239" s="627" t="s">
        <v>827</v>
      </c>
      <c r="E239" s="61" t="s">
        <v>15</v>
      </c>
      <c r="F239" s="61"/>
      <c r="G239" s="655"/>
      <c r="H239" s="635">
        <v>635040.18900000001</v>
      </c>
      <c r="I239" s="635">
        <v>524139.33600000001</v>
      </c>
      <c r="J239" s="635">
        <f t="shared" si="10"/>
        <v>1159179.5249999999</v>
      </c>
      <c r="K239" s="635"/>
      <c r="L239" s="655"/>
      <c r="M239" s="655">
        <f t="shared" si="11"/>
        <v>1159179.5249999999</v>
      </c>
      <c r="N239" s="627"/>
      <c r="O239" s="636"/>
    </row>
    <row r="240" spans="1:15" s="242" customFormat="1" ht="14.25" customHeight="1">
      <c r="A240" s="624">
        <v>47</v>
      </c>
      <c r="B240" s="625" t="e">
        <f>VLOOKUP(D240,'[1]DS CN MOI UP'!$B$11:$C$447,2,0)</f>
        <v>#N/A</v>
      </c>
      <c r="C240" s="626" t="s">
        <v>651</v>
      </c>
      <c r="D240" s="627" t="s">
        <v>828</v>
      </c>
      <c r="E240" s="61" t="s">
        <v>15</v>
      </c>
      <c r="F240" s="61"/>
      <c r="G240" s="655"/>
      <c r="H240" s="635">
        <v>635040.18900000001</v>
      </c>
      <c r="I240" s="635">
        <v>524139.33600000001</v>
      </c>
      <c r="J240" s="635">
        <f t="shared" si="10"/>
        <v>1159179.5249999999</v>
      </c>
      <c r="K240" s="635"/>
      <c r="L240" s="655"/>
      <c r="M240" s="655">
        <f t="shared" si="11"/>
        <v>1159179.5249999999</v>
      </c>
      <c r="N240" s="627"/>
      <c r="O240" s="636"/>
    </row>
    <row r="241" spans="1:15" s="242" customFormat="1" ht="14.25" customHeight="1">
      <c r="A241" s="624">
        <v>48</v>
      </c>
      <c r="B241" s="625" t="e">
        <f>VLOOKUP(D241,'[1]DS CN MOI UP'!$B$11:$C$447,2,0)</f>
        <v>#N/A</v>
      </c>
      <c r="C241" s="626" t="s">
        <v>651</v>
      </c>
      <c r="D241" s="627" t="s">
        <v>829</v>
      </c>
      <c r="E241" s="61" t="s">
        <v>15</v>
      </c>
      <c r="F241" s="61"/>
      <c r="G241" s="655"/>
      <c r="H241" s="635">
        <v>614840.625</v>
      </c>
      <c r="I241" s="635">
        <v>614840.625</v>
      </c>
      <c r="J241" s="635">
        <f t="shared" si="10"/>
        <v>1229681.25</v>
      </c>
      <c r="K241" s="635"/>
      <c r="L241" s="655"/>
      <c r="M241" s="655">
        <f t="shared" si="11"/>
        <v>1229681.25</v>
      </c>
      <c r="N241" s="627"/>
      <c r="O241" s="636"/>
    </row>
    <row r="242" spans="1:15" s="242" customFormat="1" ht="14.25" customHeight="1">
      <c r="A242" s="624">
        <v>49</v>
      </c>
      <c r="B242" s="625" t="e">
        <f>VLOOKUP(D242,'[1]DS CN MOI UP'!$B$11:$C$447,2,0)</f>
        <v>#N/A</v>
      </c>
      <c r="C242" s="626" t="s">
        <v>651</v>
      </c>
      <c r="D242" s="627" t="s">
        <v>830</v>
      </c>
      <c r="E242" s="61" t="s">
        <v>15</v>
      </c>
      <c r="F242" s="61"/>
      <c r="G242" s="655"/>
      <c r="H242" s="635">
        <v>554373.09900000005</v>
      </c>
      <c r="I242" s="635">
        <v>554373.09900000005</v>
      </c>
      <c r="J242" s="635">
        <f t="shared" si="10"/>
        <v>1108746.1980000001</v>
      </c>
      <c r="K242" s="635"/>
      <c r="L242" s="655"/>
      <c r="M242" s="655">
        <f t="shared" si="11"/>
        <v>1108746.1980000001</v>
      </c>
      <c r="N242" s="627"/>
      <c r="O242" s="636"/>
    </row>
    <row r="243" spans="1:15" s="242" customFormat="1" ht="14.25" customHeight="1">
      <c r="A243" s="624">
        <v>50</v>
      </c>
      <c r="B243" s="625" t="e">
        <f>VLOOKUP(D243,'[1]DS CN MOI UP'!$B$11:$C$447,2,0)</f>
        <v>#N/A</v>
      </c>
      <c r="C243" s="626" t="s">
        <v>651</v>
      </c>
      <c r="D243" s="627" t="s">
        <v>831</v>
      </c>
      <c r="E243" s="61" t="s">
        <v>15</v>
      </c>
      <c r="F243" s="61"/>
      <c r="G243" s="655"/>
      <c r="H243" s="635">
        <v>554373.09900000005</v>
      </c>
      <c r="I243" s="635">
        <v>554373.09900000005</v>
      </c>
      <c r="J243" s="635">
        <f t="shared" si="10"/>
        <v>1108746.1980000001</v>
      </c>
      <c r="K243" s="635"/>
      <c r="L243" s="655"/>
      <c r="M243" s="655">
        <f t="shared" si="11"/>
        <v>1108746.1980000001</v>
      </c>
      <c r="N243" s="627"/>
      <c r="O243" s="636"/>
    </row>
    <row r="244" spans="1:15" s="242" customFormat="1" ht="14.25" customHeight="1">
      <c r="A244" s="624">
        <v>51</v>
      </c>
      <c r="B244" s="625" t="e">
        <f>VLOOKUP(D244,'[1]DS CN MOI UP'!$B$11:$C$447,2,0)</f>
        <v>#N/A</v>
      </c>
      <c r="C244" s="626" t="s">
        <v>651</v>
      </c>
      <c r="D244" s="627" t="s">
        <v>832</v>
      </c>
      <c r="E244" s="61" t="s">
        <v>15</v>
      </c>
      <c r="F244" s="61"/>
      <c r="G244" s="655"/>
      <c r="H244" s="635">
        <v>554373.09900000005</v>
      </c>
      <c r="I244" s="635">
        <v>554373.09900000005</v>
      </c>
      <c r="J244" s="635">
        <f t="shared" si="10"/>
        <v>1108746.1980000001</v>
      </c>
      <c r="K244" s="635"/>
      <c r="L244" s="655"/>
      <c r="M244" s="655">
        <f t="shared" si="11"/>
        <v>1108746.1980000001</v>
      </c>
      <c r="N244" s="627"/>
      <c r="O244" s="636"/>
    </row>
    <row r="245" spans="1:15" s="242" customFormat="1" ht="14.25" customHeight="1">
      <c r="A245" s="624">
        <v>52</v>
      </c>
      <c r="B245" s="625" t="e">
        <f>VLOOKUP(D245,'[1]DS CN MOI UP'!$B$11:$C$447,2,0)</f>
        <v>#N/A</v>
      </c>
      <c r="C245" s="626" t="s">
        <v>651</v>
      </c>
      <c r="D245" s="627" t="s">
        <v>833</v>
      </c>
      <c r="E245" s="61" t="s">
        <v>15</v>
      </c>
      <c r="F245" s="61"/>
      <c r="G245" s="655"/>
      <c r="H245" s="635">
        <v>635040.18900000001</v>
      </c>
      <c r="I245" s="635">
        <v>635040.18900000001</v>
      </c>
      <c r="J245" s="635">
        <f t="shared" si="10"/>
        <v>1270080.378</v>
      </c>
      <c r="K245" s="635"/>
      <c r="L245" s="655"/>
      <c r="M245" s="655">
        <f t="shared" si="11"/>
        <v>1270080.378</v>
      </c>
      <c r="N245" s="627"/>
      <c r="O245" s="636"/>
    </row>
    <row r="246" spans="1:15" s="242" customFormat="1" ht="14.25" customHeight="1">
      <c r="A246" s="624">
        <v>53</v>
      </c>
      <c r="B246" s="625" t="e">
        <f>VLOOKUP(D246,'[1]DS CN MOI UP'!$B$11:$C$447,2,0)</f>
        <v>#N/A</v>
      </c>
      <c r="C246" s="626" t="s">
        <v>651</v>
      </c>
      <c r="D246" s="627" t="s">
        <v>834</v>
      </c>
      <c r="E246" s="61" t="s">
        <v>15</v>
      </c>
      <c r="F246" s="61"/>
      <c r="G246" s="655"/>
      <c r="H246" s="635">
        <v>544338.9</v>
      </c>
      <c r="I246" s="635">
        <v>544338.9</v>
      </c>
      <c r="J246" s="635">
        <f t="shared" si="10"/>
        <v>1088677.8</v>
      </c>
      <c r="K246" s="635"/>
      <c r="L246" s="655"/>
      <c r="M246" s="655">
        <f t="shared" si="11"/>
        <v>1088677.8</v>
      </c>
      <c r="N246" s="627"/>
      <c r="O246" s="636"/>
    </row>
    <row r="247" spans="1:15" s="242" customFormat="1" ht="14.25" customHeight="1">
      <c r="A247" s="624">
        <v>54</v>
      </c>
      <c r="B247" s="625" t="e">
        <f>VLOOKUP(D247,'[1]DS CN MOI UP'!$B$11:$C$447,2,0)</f>
        <v>#N/A</v>
      </c>
      <c r="C247" s="626" t="s">
        <v>651</v>
      </c>
      <c r="D247" s="627" t="s">
        <v>835</v>
      </c>
      <c r="E247" s="61" t="s">
        <v>15</v>
      </c>
      <c r="F247" s="61"/>
      <c r="G247" s="655"/>
      <c r="H247" s="635">
        <v>574572.66299999994</v>
      </c>
      <c r="I247" s="635">
        <v>574572.66299999994</v>
      </c>
      <c r="J247" s="635">
        <f t="shared" si="10"/>
        <v>1149145.3259999999</v>
      </c>
      <c r="K247" s="635"/>
      <c r="L247" s="655"/>
      <c r="M247" s="655">
        <f t="shared" si="11"/>
        <v>1149145.3259999999</v>
      </c>
      <c r="N247" s="627"/>
      <c r="O247" s="636"/>
    </row>
    <row r="248" spans="1:15" s="242" customFormat="1" ht="14.25" customHeight="1">
      <c r="A248" s="624">
        <v>55</v>
      </c>
      <c r="B248" s="625" t="e">
        <f>VLOOKUP(D248,'[1]DS CN MOI UP'!$B$11:$C$447,2,0)</f>
        <v>#N/A</v>
      </c>
      <c r="C248" s="626" t="s">
        <v>651</v>
      </c>
      <c r="D248" s="627" t="s">
        <v>836</v>
      </c>
      <c r="E248" s="61" t="s">
        <v>15</v>
      </c>
      <c r="F248" s="61"/>
      <c r="G248" s="655"/>
      <c r="H248" s="635">
        <v>604806.42599999998</v>
      </c>
      <c r="I248" s="635">
        <v>604806.42599999998</v>
      </c>
      <c r="J248" s="635">
        <f t="shared" si="10"/>
        <v>1209612.852</v>
      </c>
      <c r="K248" s="635"/>
      <c r="L248" s="655"/>
      <c r="M248" s="655">
        <f t="shared" si="11"/>
        <v>1209612.852</v>
      </c>
      <c r="N248" s="627"/>
      <c r="O248" s="636"/>
    </row>
    <row r="249" spans="1:15" s="242" customFormat="1" ht="14.25" customHeight="1">
      <c r="A249" s="624">
        <v>56</v>
      </c>
      <c r="B249" s="625" t="e">
        <f>VLOOKUP(D249,'[1]DS CN MOI UP'!$B$11:$C$447,2,0)</f>
        <v>#N/A</v>
      </c>
      <c r="C249" s="626" t="s">
        <v>651</v>
      </c>
      <c r="D249" s="627" t="s">
        <v>837</v>
      </c>
      <c r="E249" s="61" t="s">
        <v>15</v>
      </c>
      <c r="F249" s="61"/>
      <c r="G249" s="655"/>
      <c r="H249" s="635">
        <v>584606.86199999996</v>
      </c>
      <c r="I249" s="635">
        <v>584606.86199999996</v>
      </c>
      <c r="J249" s="635">
        <f t="shared" si="10"/>
        <v>1169213.7239999999</v>
      </c>
      <c r="K249" s="635"/>
      <c r="L249" s="655"/>
      <c r="M249" s="655">
        <f t="shared" si="11"/>
        <v>1169213.7239999999</v>
      </c>
      <c r="N249" s="627"/>
      <c r="O249" s="636"/>
    </row>
    <row r="250" spans="1:15" s="242" customFormat="1" ht="14.25" customHeight="1">
      <c r="A250" s="624">
        <v>57</v>
      </c>
      <c r="B250" s="625" t="e">
        <f>VLOOKUP(D250,'[1]DS CN MOI UP'!$B$11:$C$447,2,0)</f>
        <v>#N/A</v>
      </c>
      <c r="C250" s="626" t="s">
        <v>651</v>
      </c>
      <c r="D250" s="627" t="s">
        <v>838</v>
      </c>
      <c r="E250" s="61" t="s">
        <v>15</v>
      </c>
      <c r="F250" s="61"/>
      <c r="G250" s="655"/>
      <c r="H250" s="635">
        <v>635040.18900000001</v>
      </c>
      <c r="I250" s="635">
        <v>635040.18900000001</v>
      </c>
      <c r="J250" s="635">
        <f t="shared" si="10"/>
        <v>1270080.378</v>
      </c>
      <c r="K250" s="635"/>
      <c r="L250" s="655"/>
      <c r="M250" s="655">
        <f t="shared" si="11"/>
        <v>1270080.378</v>
      </c>
      <c r="N250" s="627"/>
      <c r="O250" s="636"/>
    </row>
    <row r="251" spans="1:15" s="242" customFormat="1" ht="14.25" customHeight="1">
      <c r="A251" s="624">
        <v>58</v>
      </c>
      <c r="B251" s="625" t="e">
        <f>VLOOKUP(D251,'[1]DS CN MOI UP'!$B$11:$C$447,2,0)</f>
        <v>#N/A</v>
      </c>
      <c r="C251" s="626" t="s">
        <v>654</v>
      </c>
      <c r="D251" s="627" t="s">
        <v>839</v>
      </c>
      <c r="E251" s="61" t="s">
        <v>15</v>
      </c>
      <c r="F251" s="61"/>
      <c r="G251" s="655"/>
      <c r="H251" s="635">
        <v>524139.33600000001</v>
      </c>
      <c r="I251" s="635">
        <v>524139.33600000001</v>
      </c>
      <c r="J251" s="635">
        <f t="shared" si="10"/>
        <v>1048278.672</v>
      </c>
      <c r="K251" s="635"/>
      <c r="L251" s="655"/>
      <c r="M251" s="655">
        <f t="shared" si="11"/>
        <v>1048278.672</v>
      </c>
      <c r="N251" s="627"/>
      <c r="O251" s="636"/>
    </row>
    <row r="252" spans="1:15" s="242" customFormat="1" ht="14.25" customHeight="1">
      <c r="A252" s="624">
        <v>59</v>
      </c>
      <c r="B252" s="625" t="e">
        <f>VLOOKUP(D252,'[1]DS CN MOI UP'!$B$11:$C$447,2,0)</f>
        <v>#N/A</v>
      </c>
      <c r="C252" s="626" t="s">
        <v>654</v>
      </c>
      <c r="D252" s="627" t="s">
        <v>759</v>
      </c>
      <c r="E252" s="61" t="s">
        <v>15</v>
      </c>
      <c r="F252" s="61"/>
      <c r="G252" s="655"/>
      <c r="H252" s="635">
        <v>554373.09900000005</v>
      </c>
      <c r="I252" s="635">
        <v>554373.09900000005</v>
      </c>
      <c r="J252" s="635">
        <f t="shared" si="10"/>
        <v>1108746.1980000001</v>
      </c>
      <c r="K252" s="635"/>
      <c r="L252" s="655"/>
      <c r="M252" s="655">
        <f t="shared" si="11"/>
        <v>1108746.1980000001</v>
      </c>
      <c r="N252" s="627"/>
      <c r="O252" s="636"/>
    </row>
    <row r="253" spans="1:15" s="242" customFormat="1" ht="14.25" customHeight="1">
      <c r="A253" s="624">
        <v>60</v>
      </c>
      <c r="B253" s="625" t="e">
        <f>VLOOKUP(D253,'[1]DS CN MOI UP'!$B$11:$C$447,2,0)</f>
        <v>#N/A</v>
      </c>
      <c r="C253" s="626" t="s">
        <v>654</v>
      </c>
      <c r="D253" s="627" t="s">
        <v>840</v>
      </c>
      <c r="E253" s="61" t="s">
        <v>15</v>
      </c>
      <c r="F253" s="61"/>
      <c r="G253" s="655"/>
      <c r="H253" s="635">
        <v>554373.09900000005</v>
      </c>
      <c r="I253" s="635">
        <v>554373.09900000005</v>
      </c>
      <c r="J253" s="635">
        <f t="shared" si="10"/>
        <v>1108746.1980000001</v>
      </c>
      <c r="K253" s="635"/>
      <c r="L253" s="655"/>
      <c r="M253" s="655">
        <f t="shared" si="11"/>
        <v>1108746.1980000001</v>
      </c>
      <c r="N253" s="627"/>
      <c r="O253" s="636"/>
    </row>
    <row r="254" spans="1:15" s="242" customFormat="1" ht="14.25" customHeight="1">
      <c r="A254" s="624">
        <v>61</v>
      </c>
      <c r="B254" s="625" t="e">
        <f>VLOOKUP(D254,'[1]DS CN MOI UP'!$B$11:$C$447,2,0)</f>
        <v>#N/A</v>
      </c>
      <c r="C254" s="626" t="s">
        <v>654</v>
      </c>
      <c r="D254" s="627" t="s">
        <v>841</v>
      </c>
      <c r="E254" s="61" t="s">
        <v>15</v>
      </c>
      <c r="F254" s="61"/>
      <c r="G254" s="655"/>
      <c r="H254" s="635">
        <v>614840.625</v>
      </c>
      <c r="I254" s="635">
        <v>554373.09900000005</v>
      </c>
      <c r="J254" s="635">
        <f t="shared" si="10"/>
        <v>1169213.7239999999</v>
      </c>
      <c r="K254" s="635"/>
      <c r="L254" s="655"/>
      <c r="M254" s="655">
        <f t="shared" si="11"/>
        <v>1169213.7239999999</v>
      </c>
      <c r="N254" s="627"/>
      <c r="O254" s="636"/>
    </row>
    <row r="255" spans="1:15" s="242" customFormat="1" ht="14.25" customHeight="1">
      <c r="A255" s="624">
        <v>62</v>
      </c>
      <c r="B255" s="625" t="e">
        <f>VLOOKUP(D255,'[1]DS CN MOI UP'!$B$11:$C$447,2,0)</f>
        <v>#N/A</v>
      </c>
      <c r="C255" s="626" t="s">
        <v>654</v>
      </c>
      <c r="D255" s="627" t="s">
        <v>842</v>
      </c>
      <c r="E255" s="61" t="s">
        <v>15</v>
      </c>
      <c r="F255" s="61"/>
      <c r="G255" s="655"/>
      <c r="H255" s="635">
        <v>614840.625</v>
      </c>
      <c r="I255" s="635">
        <v>554373.09900000005</v>
      </c>
      <c r="J255" s="635">
        <f t="shared" si="10"/>
        <v>1169213.7239999999</v>
      </c>
      <c r="K255" s="635"/>
      <c r="L255" s="655"/>
      <c r="M255" s="655">
        <f t="shared" si="11"/>
        <v>1169213.7239999999</v>
      </c>
      <c r="N255" s="627"/>
      <c r="O255" s="636"/>
    </row>
    <row r="256" spans="1:15" s="242" customFormat="1" ht="14.25" customHeight="1">
      <c r="A256" s="624">
        <v>63</v>
      </c>
      <c r="B256" s="625" t="e">
        <f>VLOOKUP(D256,'[1]DS CN MOI UP'!$B$11:$C$447,2,0)</f>
        <v>#N/A</v>
      </c>
      <c r="C256" s="626" t="s">
        <v>654</v>
      </c>
      <c r="D256" s="627" t="s">
        <v>843</v>
      </c>
      <c r="E256" s="61" t="s">
        <v>15</v>
      </c>
      <c r="F256" s="61"/>
      <c r="G256" s="655"/>
      <c r="H256" s="635">
        <v>614840.625</v>
      </c>
      <c r="I256" s="635">
        <v>554373.09900000005</v>
      </c>
      <c r="J256" s="635">
        <f t="shared" si="10"/>
        <v>1169213.7239999999</v>
      </c>
      <c r="K256" s="635"/>
      <c r="L256" s="655"/>
      <c r="M256" s="655">
        <f t="shared" si="11"/>
        <v>1169213.7239999999</v>
      </c>
      <c r="N256" s="627"/>
      <c r="O256" s="636"/>
    </row>
    <row r="257" spans="1:15" s="242" customFormat="1" ht="14.25" customHeight="1">
      <c r="A257" s="624">
        <v>64</v>
      </c>
      <c r="B257" s="625" t="e">
        <f>VLOOKUP(D257,'[1]DS CN MOI UP'!$B$11:$C$447,2,0)</f>
        <v>#N/A</v>
      </c>
      <c r="C257" s="626" t="s">
        <v>654</v>
      </c>
      <c r="D257" s="627" t="s">
        <v>844</v>
      </c>
      <c r="E257" s="61" t="s">
        <v>15</v>
      </c>
      <c r="F257" s="61"/>
      <c r="G257" s="655"/>
      <c r="H257" s="635">
        <v>614840.625</v>
      </c>
      <c r="I257" s="635">
        <v>554373.09900000005</v>
      </c>
      <c r="J257" s="635">
        <f t="shared" si="10"/>
        <v>1169213.7239999999</v>
      </c>
      <c r="K257" s="635"/>
      <c r="L257" s="655"/>
      <c r="M257" s="655">
        <f t="shared" si="11"/>
        <v>1169213.7239999999</v>
      </c>
      <c r="N257" s="627"/>
      <c r="O257" s="636"/>
    </row>
    <row r="258" spans="1:15" s="242" customFormat="1" ht="14.25" customHeight="1">
      <c r="A258" s="624">
        <v>65</v>
      </c>
      <c r="B258" s="625" t="e">
        <f>VLOOKUP(D258,'[1]DS CN MOI UP'!$B$11:$C$447,2,0)</f>
        <v>#N/A</v>
      </c>
      <c r="C258" s="626" t="s">
        <v>654</v>
      </c>
      <c r="D258" s="627" t="s">
        <v>845</v>
      </c>
      <c r="E258" s="61" t="s">
        <v>15</v>
      </c>
      <c r="F258" s="61"/>
      <c r="G258" s="655"/>
      <c r="H258" s="635">
        <v>614840.625</v>
      </c>
      <c r="I258" s="635">
        <v>554373.09900000005</v>
      </c>
      <c r="J258" s="635">
        <f t="shared" si="10"/>
        <v>1169213.7239999999</v>
      </c>
      <c r="K258" s="635"/>
      <c r="L258" s="655"/>
      <c r="M258" s="655">
        <f t="shared" si="11"/>
        <v>1169213.7239999999</v>
      </c>
      <c r="N258" s="627"/>
      <c r="O258" s="636"/>
    </row>
    <row r="259" spans="1:15" s="242" customFormat="1" ht="14.25" customHeight="1">
      <c r="A259" s="624">
        <v>66</v>
      </c>
      <c r="B259" s="625" t="e">
        <f>VLOOKUP(D259,'[1]DS CN MOI UP'!$B$11:$C$447,2,0)</f>
        <v>#N/A</v>
      </c>
      <c r="C259" s="626" t="s">
        <v>654</v>
      </c>
      <c r="D259" s="627" t="s">
        <v>846</v>
      </c>
      <c r="E259" s="61" t="s">
        <v>15</v>
      </c>
      <c r="F259" s="61"/>
      <c r="G259" s="655"/>
      <c r="H259" s="635">
        <v>544338.9</v>
      </c>
      <c r="I259" s="635">
        <v>554373.09900000005</v>
      </c>
      <c r="J259" s="635">
        <f t="shared" si="10"/>
        <v>1098711.9990000001</v>
      </c>
      <c r="K259" s="635"/>
      <c r="L259" s="655"/>
      <c r="M259" s="655">
        <f t="shared" si="11"/>
        <v>1098711.9990000001</v>
      </c>
      <c r="N259" s="627"/>
      <c r="O259" s="636"/>
    </row>
    <row r="260" spans="1:15" s="242" customFormat="1" ht="14.25" customHeight="1">
      <c r="A260" s="624">
        <v>67</v>
      </c>
      <c r="B260" s="625" t="e">
        <f>VLOOKUP(D260,'[1]DS CN MOI UP'!$B$11:$C$447,2,0)</f>
        <v>#N/A</v>
      </c>
      <c r="C260" s="626" t="s">
        <v>654</v>
      </c>
      <c r="D260" s="627" t="s">
        <v>847</v>
      </c>
      <c r="E260" s="61" t="s">
        <v>15</v>
      </c>
      <c r="F260" s="61"/>
      <c r="G260" s="655"/>
      <c r="H260" s="635">
        <v>574572.66299999994</v>
      </c>
      <c r="I260" s="635">
        <v>554373.09900000005</v>
      </c>
      <c r="J260" s="635">
        <f t="shared" si="10"/>
        <v>1128945.7620000001</v>
      </c>
      <c r="K260" s="635"/>
      <c r="L260" s="655"/>
      <c r="M260" s="655">
        <f t="shared" si="11"/>
        <v>1128945.7620000001</v>
      </c>
      <c r="N260" s="627"/>
      <c r="O260" s="636"/>
    </row>
    <row r="261" spans="1:15" s="242" customFormat="1" ht="14.25" customHeight="1">
      <c r="A261" s="624">
        <v>68</v>
      </c>
      <c r="B261" s="625" t="e">
        <f>VLOOKUP(D261,'[1]DS CN MOI UP'!$B$11:$C$447,2,0)</f>
        <v>#N/A</v>
      </c>
      <c r="C261" s="626" t="s">
        <v>654</v>
      </c>
      <c r="D261" s="627" t="s">
        <v>848</v>
      </c>
      <c r="E261" s="61" t="s">
        <v>15</v>
      </c>
      <c r="F261" s="61"/>
      <c r="G261" s="655"/>
      <c r="H261" s="635">
        <v>604806.42599999998</v>
      </c>
      <c r="I261" s="635">
        <v>554373.09900000005</v>
      </c>
      <c r="J261" s="635">
        <f t="shared" si="10"/>
        <v>1159179.5249999999</v>
      </c>
      <c r="K261" s="635"/>
      <c r="L261" s="655"/>
      <c r="M261" s="655">
        <f t="shared" si="11"/>
        <v>1159179.5249999999</v>
      </c>
      <c r="N261" s="627"/>
      <c r="O261" s="636"/>
    </row>
    <row r="262" spans="1:15" s="242" customFormat="1" ht="14.25" customHeight="1">
      <c r="A262" s="624">
        <v>69</v>
      </c>
      <c r="B262" s="625" t="e">
        <f>VLOOKUP(D262,'[1]DS CN MOI UP'!$B$11:$C$447,2,0)</f>
        <v>#N/A</v>
      </c>
      <c r="C262" s="626" t="s">
        <v>654</v>
      </c>
      <c r="D262" s="627" t="s">
        <v>849</v>
      </c>
      <c r="E262" s="61" t="s">
        <v>15</v>
      </c>
      <c r="F262" s="61"/>
      <c r="G262" s="655"/>
      <c r="H262" s="635">
        <v>584606.86199999996</v>
      </c>
      <c r="I262" s="635">
        <v>554373.09900000005</v>
      </c>
      <c r="J262" s="635">
        <f t="shared" si="10"/>
        <v>1138979.9610000001</v>
      </c>
      <c r="K262" s="635"/>
      <c r="L262" s="655"/>
      <c r="M262" s="655">
        <f t="shared" si="11"/>
        <v>1138979.9610000001</v>
      </c>
      <c r="N262" s="627"/>
      <c r="O262" s="636"/>
    </row>
    <row r="263" spans="1:15" s="242" customFormat="1" ht="14.25" customHeight="1">
      <c r="A263" s="624">
        <v>70</v>
      </c>
      <c r="B263" s="625" t="e">
        <f>VLOOKUP(D263,'[1]DS CN MOI UP'!$B$11:$C$447,2,0)</f>
        <v>#N/A</v>
      </c>
      <c r="C263" s="626" t="s">
        <v>654</v>
      </c>
      <c r="D263" s="627" t="s">
        <v>850</v>
      </c>
      <c r="E263" s="61" t="s">
        <v>15</v>
      </c>
      <c r="F263" s="61"/>
      <c r="G263" s="655"/>
      <c r="H263" s="635">
        <v>635040.18900000001</v>
      </c>
      <c r="I263" s="635">
        <v>554373.09900000005</v>
      </c>
      <c r="J263" s="635">
        <f t="shared" si="10"/>
        <v>1189413.2880000002</v>
      </c>
      <c r="K263" s="635"/>
      <c r="L263" s="655"/>
      <c r="M263" s="655">
        <f t="shared" si="11"/>
        <v>1189413.2880000002</v>
      </c>
      <c r="N263" s="627"/>
      <c r="O263" s="636"/>
    </row>
    <row r="264" spans="1:15" s="242" customFormat="1" ht="14.25" customHeight="1">
      <c r="A264" s="624">
        <v>71</v>
      </c>
      <c r="B264" s="625" t="e">
        <f>VLOOKUP(D264,'[1]DS CN MOI UP'!$B$11:$C$447,2,0)</f>
        <v>#N/A</v>
      </c>
      <c r="C264" s="626" t="s">
        <v>654</v>
      </c>
      <c r="D264" s="627" t="s">
        <v>851</v>
      </c>
      <c r="E264" s="61" t="s">
        <v>15</v>
      </c>
      <c r="F264" s="61"/>
      <c r="G264" s="655"/>
      <c r="H264" s="635">
        <v>524139.33600000001</v>
      </c>
      <c r="I264" s="635">
        <v>524139.33600000001</v>
      </c>
      <c r="J264" s="635">
        <f t="shared" si="10"/>
        <v>1048278.672</v>
      </c>
      <c r="K264" s="635"/>
      <c r="L264" s="655"/>
      <c r="M264" s="655">
        <f t="shared" si="11"/>
        <v>1048278.672</v>
      </c>
      <c r="N264" s="627"/>
      <c r="O264" s="636"/>
    </row>
    <row r="265" spans="1:15" s="242" customFormat="1" ht="14.25" customHeight="1">
      <c r="A265" s="624">
        <v>72</v>
      </c>
      <c r="B265" s="625" t="e">
        <f>VLOOKUP(D265,'[1]DS CN MOI UP'!$B$11:$C$447,2,0)</f>
        <v>#N/A</v>
      </c>
      <c r="C265" s="626" t="s">
        <v>654</v>
      </c>
      <c r="D265" s="627" t="s">
        <v>852</v>
      </c>
      <c r="E265" s="61" t="s">
        <v>15</v>
      </c>
      <c r="F265" s="61"/>
      <c r="G265" s="655"/>
      <c r="H265" s="635">
        <v>635040.18900000001</v>
      </c>
      <c r="I265" s="635">
        <v>524139.33600000001</v>
      </c>
      <c r="J265" s="635">
        <f t="shared" si="10"/>
        <v>1159179.5249999999</v>
      </c>
      <c r="K265" s="635"/>
      <c r="L265" s="655"/>
      <c r="M265" s="655">
        <f t="shared" si="11"/>
        <v>1159179.5249999999</v>
      </c>
      <c r="N265" s="627"/>
      <c r="O265" s="636"/>
    </row>
    <row r="266" spans="1:15" s="242" customFormat="1" ht="14.25" customHeight="1">
      <c r="A266" s="624">
        <v>73</v>
      </c>
      <c r="B266" s="625" t="e">
        <f>VLOOKUP(D266,'[1]DS CN MOI UP'!$B$11:$C$447,2,0)</f>
        <v>#N/A</v>
      </c>
      <c r="C266" s="626" t="s">
        <v>654</v>
      </c>
      <c r="D266" s="627" t="s">
        <v>853</v>
      </c>
      <c r="E266" s="61" t="s">
        <v>15</v>
      </c>
      <c r="F266" s="61"/>
      <c r="G266" s="655"/>
      <c r="H266" s="635">
        <v>635040.18900000001</v>
      </c>
      <c r="I266" s="635">
        <v>524139.33600000001</v>
      </c>
      <c r="J266" s="635">
        <f t="shared" si="10"/>
        <v>1159179.5249999999</v>
      </c>
      <c r="K266" s="635"/>
      <c r="L266" s="655"/>
      <c r="M266" s="655">
        <f t="shared" si="11"/>
        <v>1159179.5249999999</v>
      </c>
      <c r="N266" s="627"/>
      <c r="O266" s="636"/>
    </row>
    <row r="267" spans="1:15" s="242" customFormat="1" ht="14.25" customHeight="1">
      <c r="A267" s="624">
        <v>74</v>
      </c>
      <c r="B267" s="625" t="e">
        <f>VLOOKUP(D267,'[1]DS CN MOI UP'!$B$11:$C$447,2,0)</f>
        <v>#N/A</v>
      </c>
      <c r="C267" s="626" t="s">
        <v>654</v>
      </c>
      <c r="D267" s="627" t="s">
        <v>854</v>
      </c>
      <c r="E267" s="61" t="s">
        <v>15</v>
      </c>
      <c r="F267" s="61"/>
      <c r="G267" s="655"/>
      <c r="H267" s="635">
        <v>635040.18900000001</v>
      </c>
      <c r="I267" s="635">
        <v>524139.33600000001</v>
      </c>
      <c r="J267" s="635">
        <f t="shared" si="10"/>
        <v>1159179.5249999999</v>
      </c>
      <c r="K267" s="635"/>
      <c r="L267" s="655"/>
      <c r="M267" s="655">
        <f t="shared" si="11"/>
        <v>1159179.5249999999</v>
      </c>
      <c r="N267" s="627"/>
      <c r="O267" s="636"/>
    </row>
    <row r="268" spans="1:15" s="242" customFormat="1" ht="14.25" customHeight="1">
      <c r="A268" s="624">
        <v>75</v>
      </c>
      <c r="B268" s="625" t="str">
        <f>VLOOKUP(D268,'[1]DS CN MOI UP'!$B$11:$C$447,2,0)</f>
        <v>02481</v>
      </c>
      <c r="C268" s="626" t="s">
        <v>654</v>
      </c>
      <c r="D268" s="627" t="s">
        <v>86</v>
      </c>
      <c r="E268" s="61" t="s">
        <v>15</v>
      </c>
      <c r="F268" s="61"/>
      <c r="G268" s="655"/>
      <c r="H268" s="635">
        <v>635040.18900000001</v>
      </c>
      <c r="I268" s="635">
        <v>524139.33600000001</v>
      </c>
      <c r="J268" s="635">
        <f t="shared" si="10"/>
        <v>1159179.5249999999</v>
      </c>
      <c r="K268" s="635"/>
      <c r="L268" s="655"/>
      <c r="M268" s="655">
        <f t="shared" si="11"/>
        <v>1159179.5249999999</v>
      </c>
      <c r="N268" s="627"/>
      <c r="O268" s="636"/>
    </row>
    <row r="269" spans="1:15" s="242" customFormat="1" ht="14.25" customHeight="1">
      <c r="A269" s="624">
        <v>76</v>
      </c>
      <c r="B269" s="625" t="e">
        <f>VLOOKUP(D269,'[1]DS CN MOI UP'!$B$11:$C$447,2,0)</f>
        <v>#N/A</v>
      </c>
      <c r="C269" s="626" t="s">
        <v>654</v>
      </c>
      <c r="D269" s="627" t="s">
        <v>855</v>
      </c>
      <c r="E269" s="61" t="s">
        <v>15</v>
      </c>
      <c r="F269" s="61"/>
      <c r="G269" s="655"/>
      <c r="H269" s="635">
        <v>635040.18900000001</v>
      </c>
      <c r="I269" s="635">
        <v>524139.33600000001</v>
      </c>
      <c r="J269" s="635">
        <f t="shared" si="10"/>
        <v>1159179.5249999999</v>
      </c>
      <c r="K269" s="635"/>
      <c r="L269" s="655"/>
      <c r="M269" s="655">
        <f t="shared" si="11"/>
        <v>1159179.5249999999</v>
      </c>
      <c r="N269" s="627"/>
      <c r="O269" s="636"/>
    </row>
    <row r="270" spans="1:15" s="242" customFormat="1" ht="14.25" customHeight="1">
      <c r="A270" s="624">
        <v>77</v>
      </c>
      <c r="B270" s="625" t="e">
        <f>VLOOKUP(D270,'[1]DS CN MOI UP'!$B$11:$C$447,2,0)</f>
        <v>#N/A</v>
      </c>
      <c r="C270" s="626" t="s">
        <v>654</v>
      </c>
      <c r="D270" s="627" t="s">
        <v>856</v>
      </c>
      <c r="E270" s="61" t="s">
        <v>15</v>
      </c>
      <c r="F270" s="61"/>
      <c r="G270" s="655"/>
      <c r="H270" s="635">
        <v>635040.18900000001</v>
      </c>
      <c r="I270" s="635">
        <v>524139.33600000001</v>
      </c>
      <c r="J270" s="635">
        <f t="shared" si="10"/>
        <v>1159179.5249999999</v>
      </c>
      <c r="K270" s="635"/>
      <c r="L270" s="655"/>
      <c r="M270" s="655">
        <f t="shared" si="11"/>
        <v>1159179.5249999999</v>
      </c>
      <c r="N270" s="627"/>
      <c r="O270" s="636"/>
    </row>
    <row r="271" spans="1:15" s="242" customFormat="1" ht="14.25" customHeight="1">
      <c r="A271" s="624">
        <v>78</v>
      </c>
      <c r="B271" s="625" t="e">
        <f>VLOOKUP(D271,'[1]DS CN MOI UP'!$B$11:$C$447,2,0)</f>
        <v>#N/A</v>
      </c>
      <c r="C271" s="626" t="s">
        <v>654</v>
      </c>
      <c r="D271" s="627" t="s">
        <v>857</v>
      </c>
      <c r="E271" s="61" t="s">
        <v>15</v>
      </c>
      <c r="F271" s="61"/>
      <c r="G271" s="655"/>
      <c r="H271" s="635">
        <v>635040.18900000001</v>
      </c>
      <c r="I271" s="635">
        <v>148846.32500000999</v>
      </c>
      <c r="J271" s="635">
        <f t="shared" si="10"/>
        <v>783886.51400000998</v>
      </c>
      <c r="K271" s="635"/>
      <c r="L271" s="655"/>
      <c r="M271" s="655">
        <f t="shared" si="11"/>
        <v>783886.51400000998</v>
      </c>
      <c r="N271" s="627"/>
      <c r="O271" s="636"/>
    </row>
    <row r="272" spans="1:15" s="242" customFormat="1" ht="14.25" customHeight="1">
      <c r="A272" s="624">
        <v>79</v>
      </c>
      <c r="B272" s="625" t="e">
        <f>VLOOKUP(D272,'[1]DS CN MOI UP'!$B$11:$C$447,2,0)</f>
        <v>#N/A</v>
      </c>
      <c r="C272" s="626" t="s">
        <v>654</v>
      </c>
      <c r="D272" s="627" t="s">
        <v>858</v>
      </c>
      <c r="E272" s="61" t="s">
        <v>15</v>
      </c>
      <c r="F272" s="61"/>
      <c r="G272" s="655"/>
      <c r="H272" s="635">
        <v>554373.09900000005</v>
      </c>
      <c r="I272" s="635">
        <v>554373.09900000005</v>
      </c>
      <c r="J272" s="635">
        <f t="shared" si="10"/>
        <v>1108746.1980000001</v>
      </c>
      <c r="K272" s="635"/>
      <c r="L272" s="655"/>
      <c r="M272" s="655">
        <f t="shared" si="11"/>
        <v>1108746.1980000001</v>
      </c>
      <c r="N272" s="627"/>
      <c r="O272" s="636"/>
    </row>
    <row r="273" spans="1:15" s="242" customFormat="1" ht="14.25" customHeight="1">
      <c r="A273" s="624">
        <v>80</v>
      </c>
      <c r="B273" s="625" t="e">
        <f>VLOOKUP(D273,'[1]DS CN MOI UP'!$B$11:$C$447,2,0)</f>
        <v>#N/A</v>
      </c>
      <c r="C273" s="626" t="s">
        <v>654</v>
      </c>
      <c r="D273" s="627" t="s">
        <v>859</v>
      </c>
      <c r="E273" s="61" t="s">
        <v>15</v>
      </c>
      <c r="F273" s="61"/>
      <c r="G273" s="655"/>
      <c r="H273" s="635">
        <v>554373.09900000005</v>
      </c>
      <c r="I273" s="635">
        <v>554373.09900000005</v>
      </c>
      <c r="J273" s="635">
        <f t="shared" si="10"/>
        <v>1108746.1980000001</v>
      </c>
      <c r="K273" s="635"/>
      <c r="L273" s="655"/>
      <c r="M273" s="655">
        <f t="shared" si="11"/>
        <v>1108746.1980000001</v>
      </c>
      <c r="N273" s="627"/>
      <c r="O273" s="636"/>
    </row>
    <row r="274" spans="1:15" s="242" customFormat="1" ht="14.25" customHeight="1">
      <c r="A274" s="624">
        <v>81</v>
      </c>
      <c r="B274" s="625" t="e">
        <f>VLOOKUP(D274,'[1]DS CN MOI UP'!$B$11:$C$447,2,0)</f>
        <v>#N/A</v>
      </c>
      <c r="C274" s="626" t="s">
        <v>654</v>
      </c>
      <c r="D274" s="627" t="s">
        <v>860</v>
      </c>
      <c r="E274" s="61" t="s">
        <v>15</v>
      </c>
      <c r="F274" s="61"/>
      <c r="G274" s="655"/>
      <c r="H274" s="635">
        <v>554373.09900000005</v>
      </c>
      <c r="I274" s="635">
        <v>554373.09900000005</v>
      </c>
      <c r="J274" s="635">
        <f t="shared" si="10"/>
        <v>1108746.1980000001</v>
      </c>
      <c r="K274" s="635"/>
      <c r="L274" s="655"/>
      <c r="M274" s="655">
        <f t="shared" si="11"/>
        <v>1108746.1980000001</v>
      </c>
      <c r="N274" s="627"/>
      <c r="O274" s="636"/>
    </row>
    <row r="275" spans="1:15" s="242" customFormat="1" ht="14.25" customHeight="1">
      <c r="A275" s="624">
        <v>82</v>
      </c>
      <c r="B275" s="625" t="e">
        <f>VLOOKUP(D275,'[1]DS CN MOI UP'!$B$11:$C$447,2,0)</f>
        <v>#N/A</v>
      </c>
      <c r="C275" s="626" t="s">
        <v>654</v>
      </c>
      <c r="D275" s="627" t="s">
        <v>861</v>
      </c>
      <c r="E275" s="61" t="s">
        <v>15</v>
      </c>
      <c r="F275" s="61"/>
      <c r="G275" s="655"/>
      <c r="H275" s="635">
        <v>635040.18900000001</v>
      </c>
      <c r="I275" s="635">
        <v>635040.18900000001</v>
      </c>
      <c r="J275" s="635">
        <f t="shared" si="10"/>
        <v>1270080.378</v>
      </c>
      <c r="K275" s="635"/>
      <c r="L275" s="655"/>
      <c r="M275" s="655">
        <f t="shared" si="11"/>
        <v>1270080.378</v>
      </c>
      <c r="N275" s="627"/>
      <c r="O275" s="636"/>
    </row>
    <row r="276" spans="1:15" s="242" customFormat="1" ht="14.25" customHeight="1">
      <c r="A276" s="624">
        <v>83</v>
      </c>
      <c r="B276" s="625" t="e">
        <f>VLOOKUP(D276,'[1]DS CN MOI UP'!$B$11:$C$447,2,0)</f>
        <v>#N/A</v>
      </c>
      <c r="C276" s="626" t="s">
        <v>654</v>
      </c>
      <c r="D276" s="627" t="s">
        <v>862</v>
      </c>
      <c r="E276" s="61" t="s">
        <v>15</v>
      </c>
      <c r="F276" s="61"/>
      <c r="G276" s="655"/>
      <c r="H276" s="635">
        <v>544338.9</v>
      </c>
      <c r="I276" s="635">
        <v>544338.9</v>
      </c>
      <c r="J276" s="635">
        <f t="shared" si="10"/>
        <v>1088677.8</v>
      </c>
      <c r="K276" s="635"/>
      <c r="L276" s="655"/>
      <c r="M276" s="655">
        <f t="shared" si="11"/>
        <v>1088677.8</v>
      </c>
      <c r="N276" s="627"/>
      <c r="O276" s="636"/>
    </row>
    <row r="277" spans="1:15" s="242" customFormat="1" ht="14.25" customHeight="1">
      <c r="A277" s="624">
        <v>84</v>
      </c>
      <c r="B277" s="625" t="e">
        <f>VLOOKUP(D277,'[1]DS CN MOI UP'!$B$11:$C$447,2,0)</f>
        <v>#N/A</v>
      </c>
      <c r="C277" s="626" t="s">
        <v>654</v>
      </c>
      <c r="D277" s="627" t="s">
        <v>863</v>
      </c>
      <c r="E277" s="61" t="s">
        <v>15</v>
      </c>
      <c r="F277" s="61"/>
      <c r="G277" s="655"/>
      <c r="H277" s="635">
        <v>574572.66299999994</v>
      </c>
      <c r="I277" s="635">
        <v>574572.66299999994</v>
      </c>
      <c r="J277" s="635">
        <f t="shared" si="10"/>
        <v>1149145.3259999999</v>
      </c>
      <c r="K277" s="635"/>
      <c r="L277" s="655"/>
      <c r="M277" s="655">
        <f t="shared" si="11"/>
        <v>1149145.3259999999</v>
      </c>
      <c r="N277" s="627"/>
      <c r="O277" s="636"/>
    </row>
    <row r="278" spans="1:15" s="242" customFormat="1" ht="14.25" customHeight="1">
      <c r="A278" s="624">
        <v>85</v>
      </c>
      <c r="B278" s="625" t="e">
        <f>VLOOKUP(D278,'[1]DS CN MOI UP'!$B$11:$C$447,2,0)</f>
        <v>#N/A</v>
      </c>
      <c r="C278" s="626" t="s">
        <v>654</v>
      </c>
      <c r="D278" s="627" t="s">
        <v>864</v>
      </c>
      <c r="E278" s="61" t="s">
        <v>15</v>
      </c>
      <c r="F278" s="61"/>
      <c r="G278" s="655"/>
      <c r="H278" s="635">
        <v>604806.42599999998</v>
      </c>
      <c r="I278" s="635">
        <v>604806.42599999998</v>
      </c>
      <c r="J278" s="635">
        <f t="shared" si="10"/>
        <v>1209612.852</v>
      </c>
      <c r="K278" s="635"/>
      <c r="L278" s="655"/>
      <c r="M278" s="655">
        <f t="shared" si="11"/>
        <v>1209612.852</v>
      </c>
      <c r="N278" s="627"/>
      <c r="O278" s="636"/>
    </row>
    <row r="279" spans="1:15" s="242" customFormat="1" ht="14.25" customHeight="1">
      <c r="A279" s="624">
        <v>86</v>
      </c>
      <c r="B279" s="625"/>
      <c r="C279" s="626" t="s">
        <v>648</v>
      </c>
      <c r="D279" s="627" t="s">
        <v>865</v>
      </c>
      <c r="E279" s="61" t="s">
        <v>15</v>
      </c>
      <c r="F279" s="61"/>
      <c r="G279" s="655"/>
      <c r="H279" s="655">
        <v>554373.09900000005</v>
      </c>
      <c r="I279" s="635">
        <v>604806.42599999998</v>
      </c>
      <c r="J279" s="635">
        <f t="shared" si="10"/>
        <v>1159179.5249999999</v>
      </c>
      <c r="K279" s="635"/>
      <c r="L279" s="655"/>
      <c r="M279" s="655">
        <f t="shared" si="11"/>
        <v>1159179.5249999999</v>
      </c>
      <c r="N279" s="627"/>
      <c r="O279" s="636"/>
    </row>
    <row r="280" spans="1:15" s="242" customFormat="1" ht="14.25" customHeight="1">
      <c r="A280" s="624">
        <v>87</v>
      </c>
      <c r="B280" s="625" t="e">
        <f>VLOOKUP(D280,'[1]DS CN MOI UP'!$B$11:$C$447,2,0)</f>
        <v>#N/A</v>
      </c>
      <c r="C280" s="626" t="s">
        <v>650</v>
      </c>
      <c r="D280" s="627" t="s">
        <v>866</v>
      </c>
      <c r="E280" s="61" t="s">
        <v>15</v>
      </c>
      <c r="F280" s="61"/>
      <c r="G280" s="655"/>
      <c r="H280" s="655">
        <v>554373.09900000005</v>
      </c>
      <c r="I280" s="635">
        <v>604806.42599999998</v>
      </c>
      <c r="J280" s="635">
        <f t="shared" si="10"/>
        <v>1159179.5249999999</v>
      </c>
      <c r="K280" s="635"/>
      <c r="L280" s="655"/>
      <c r="M280" s="655">
        <f t="shared" si="11"/>
        <v>1159179.5249999999</v>
      </c>
      <c r="N280" s="627"/>
      <c r="O280" s="636"/>
    </row>
    <row r="281" spans="1:15" s="242" customFormat="1" ht="14.25" customHeight="1">
      <c r="A281" s="624">
        <v>88</v>
      </c>
      <c r="B281" s="625" t="e">
        <f>VLOOKUP(D281,'[1]DS CN MOI UP'!$B$11:$C$447,2,0)</f>
        <v>#N/A</v>
      </c>
      <c r="C281" s="626" t="s">
        <v>651</v>
      </c>
      <c r="D281" s="627" t="s">
        <v>867</v>
      </c>
      <c r="E281" s="61" t="s">
        <v>15</v>
      </c>
      <c r="F281" s="61"/>
      <c r="G281" s="655"/>
      <c r="H281" s="655">
        <v>554373.09900000005</v>
      </c>
      <c r="I281" s="635">
        <v>674716.90120000497</v>
      </c>
      <c r="J281" s="635">
        <f t="shared" si="10"/>
        <v>1229090.000200005</v>
      </c>
      <c r="K281" s="635"/>
      <c r="L281" s="655"/>
      <c r="M281" s="655">
        <f t="shared" si="11"/>
        <v>1229090.000200005</v>
      </c>
      <c r="N281" s="627"/>
      <c r="O281" s="636">
        <v>69910.475200004905</v>
      </c>
    </row>
    <row r="282" spans="1:15" s="242" customFormat="1" ht="14.25" customHeight="1">
      <c r="A282" s="624">
        <v>89</v>
      </c>
      <c r="B282" s="625" t="e">
        <f>VLOOKUP(D282,'[1]DS CN MOI UP'!$B$11:$C$447,2,0)</f>
        <v>#N/A</v>
      </c>
      <c r="C282" s="626" t="s">
        <v>651</v>
      </c>
      <c r="D282" s="627" t="s">
        <v>868</v>
      </c>
      <c r="E282" s="61" t="s">
        <v>15</v>
      </c>
      <c r="F282" s="61"/>
      <c r="G282" s="655"/>
      <c r="H282" s="655">
        <v>635040.18900000001</v>
      </c>
      <c r="I282" s="635">
        <v>604806.42599999998</v>
      </c>
      <c r="J282" s="635">
        <f t="shared" si="10"/>
        <v>1239846.615</v>
      </c>
      <c r="K282" s="635"/>
      <c r="L282" s="655"/>
      <c r="M282" s="655">
        <f t="shared" si="11"/>
        <v>1239846.615</v>
      </c>
      <c r="N282" s="627"/>
      <c r="O282" s="636"/>
    </row>
    <row r="283" spans="1:15" s="242" customFormat="1" ht="14.25" customHeight="1">
      <c r="A283" s="624">
        <v>90</v>
      </c>
      <c r="B283" s="625" t="e">
        <f>VLOOKUP(D283,'[1]DS CN MOI UP'!$B$11:$C$447,2,0)</f>
        <v>#N/A</v>
      </c>
      <c r="C283" s="626" t="s">
        <v>651</v>
      </c>
      <c r="D283" s="627" t="s">
        <v>869</v>
      </c>
      <c r="E283" s="61" t="s">
        <v>15</v>
      </c>
      <c r="F283" s="61"/>
      <c r="G283" s="655"/>
      <c r="H283" s="655">
        <v>554373.09900000005</v>
      </c>
      <c r="I283" s="655">
        <v>554373.09900000005</v>
      </c>
      <c r="J283" s="635">
        <f t="shared" si="10"/>
        <v>1108746.1980000001</v>
      </c>
      <c r="K283" s="635"/>
      <c r="L283" s="655"/>
      <c r="M283" s="655">
        <f t="shared" si="11"/>
        <v>1108746.1980000001</v>
      </c>
      <c r="N283" s="627"/>
      <c r="O283" s="636"/>
    </row>
    <row r="284" spans="1:15" s="242" customFormat="1" ht="14.25" customHeight="1">
      <c r="A284" s="624">
        <v>91</v>
      </c>
      <c r="B284" s="625" t="e">
        <f>VLOOKUP(D284,'[1]DS CN MOI UP'!$B$11:$C$447,2,0)</f>
        <v>#N/A</v>
      </c>
      <c r="C284" s="626" t="s">
        <v>651</v>
      </c>
      <c r="D284" s="627" t="s">
        <v>870</v>
      </c>
      <c r="E284" s="61" t="s">
        <v>15</v>
      </c>
      <c r="F284" s="61"/>
      <c r="G284" s="655"/>
      <c r="H284" s="655">
        <v>554373.09900000005</v>
      </c>
      <c r="I284" s="655">
        <v>554373.09900000005</v>
      </c>
      <c r="J284" s="635">
        <f t="shared" si="10"/>
        <v>1108746.1980000001</v>
      </c>
      <c r="K284" s="635"/>
      <c r="L284" s="655"/>
      <c r="M284" s="655">
        <f t="shared" si="11"/>
        <v>1108746.1980000001</v>
      </c>
      <c r="N284" s="627"/>
      <c r="O284" s="636"/>
    </row>
    <row r="285" spans="1:15" s="242" customFormat="1" ht="14.25" customHeight="1">
      <c r="A285" s="624">
        <v>92</v>
      </c>
      <c r="B285" s="625" t="e">
        <f>VLOOKUP(D285,'[1]DS CN MOI UP'!$B$11:$C$447,2,0)</f>
        <v>#N/A</v>
      </c>
      <c r="C285" s="626" t="s">
        <v>651</v>
      </c>
      <c r="D285" s="627" t="s">
        <v>871</v>
      </c>
      <c r="E285" s="61" t="s">
        <v>15</v>
      </c>
      <c r="F285" s="61"/>
      <c r="G285" s="655"/>
      <c r="H285" s="655">
        <v>635040.18900000001</v>
      </c>
      <c r="I285" s="655">
        <v>635040.18900000001</v>
      </c>
      <c r="J285" s="635">
        <f t="shared" si="10"/>
        <v>1270080.378</v>
      </c>
      <c r="K285" s="635"/>
      <c r="L285" s="655"/>
      <c r="M285" s="655">
        <f t="shared" si="11"/>
        <v>1270080.378</v>
      </c>
      <c r="N285" s="627"/>
      <c r="O285" s="636"/>
    </row>
    <row r="286" spans="1:15" s="242" customFormat="1" ht="14.25" customHeight="1">
      <c r="A286" s="624">
        <v>93</v>
      </c>
      <c r="B286" s="625" t="e">
        <f>VLOOKUP(D286,'[1]DS CN MOI UP'!$B$11:$C$447,2,0)</f>
        <v>#N/A</v>
      </c>
      <c r="C286" s="626" t="s">
        <v>651</v>
      </c>
      <c r="D286" s="627" t="s">
        <v>872</v>
      </c>
      <c r="E286" s="61" t="s">
        <v>15</v>
      </c>
      <c r="F286" s="61"/>
      <c r="G286" s="655"/>
      <c r="H286" s="655">
        <v>544338.9</v>
      </c>
      <c r="I286" s="655">
        <v>544338.9</v>
      </c>
      <c r="J286" s="635">
        <f t="shared" si="10"/>
        <v>1088677.8</v>
      </c>
      <c r="K286" s="635"/>
      <c r="L286" s="655"/>
      <c r="M286" s="655">
        <f t="shared" si="11"/>
        <v>1088677.8</v>
      </c>
      <c r="N286" s="627"/>
      <c r="O286" s="636"/>
    </row>
    <row r="287" spans="1:15" s="242" customFormat="1" ht="14.25" customHeight="1">
      <c r="A287" s="624">
        <v>94</v>
      </c>
      <c r="B287" s="625" t="e">
        <f>VLOOKUP(D287,'[1]DS CN MOI UP'!$B$11:$C$447,2,0)</f>
        <v>#N/A</v>
      </c>
      <c r="C287" s="626" t="s">
        <v>651</v>
      </c>
      <c r="D287" s="627" t="s">
        <v>873</v>
      </c>
      <c r="E287" s="61" t="s">
        <v>15</v>
      </c>
      <c r="F287" s="61"/>
      <c r="G287" s="655"/>
      <c r="H287" s="655">
        <v>574572.66299999994</v>
      </c>
      <c r="I287" s="655">
        <v>574572.66299999994</v>
      </c>
      <c r="J287" s="635">
        <f t="shared" si="10"/>
        <v>1149145.3259999999</v>
      </c>
      <c r="K287" s="635"/>
      <c r="L287" s="655"/>
      <c r="M287" s="655">
        <f t="shared" si="11"/>
        <v>1149145.3259999999</v>
      </c>
      <c r="N287" s="627"/>
      <c r="O287" s="636"/>
    </row>
    <row r="288" spans="1:15" s="242" customFormat="1" ht="14.25" customHeight="1">
      <c r="A288" s="624">
        <v>95</v>
      </c>
      <c r="B288" s="625" t="e">
        <f>VLOOKUP(D288,'[1]DS CN MOI UP'!$B$11:$C$447,2,0)</f>
        <v>#N/A</v>
      </c>
      <c r="C288" s="626" t="s">
        <v>651</v>
      </c>
      <c r="D288" s="627" t="s">
        <v>874</v>
      </c>
      <c r="E288" s="61" t="s">
        <v>15</v>
      </c>
      <c r="F288" s="61"/>
      <c r="G288" s="655"/>
      <c r="H288" s="655">
        <v>604806.42599999998</v>
      </c>
      <c r="I288" s="655">
        <v>604806.42599999998</v>
      </c>
      <c r="J288" s="635">
        <f t="shared" si="10"/>
        <v>1209612.852</v>
      </c>
      <c r="K288" s="635"/>
      <c r="L288" s="655"/>
      <c r="M288" s="655">
        <f t="shared" si="11"/>
        <v>1209612.852</v>
      </c>
      <c r="N288" s="627"/>
      <c r="O288" s="636"/>
    </row>
    <row r="289" spans="1:15" s="242" customFormat="1" ht="14.25" customHeight="1">
      <c r="A289" s="624">
        <v>96</v>
      </c>
      <c r="B289" s="625" t="e">
        <f>VLOOKUP(D289,'[1]DS CN MOI UP'!$B$11:$C$447,2,0)</f>
        <v>#N/A</v>
      </c>
      <c r="C289" s="626" t="s">
        <v>651</v>
      </c>
      <c r="D289" s="627" t="s">
        <v>875</v>
      </c>
      <c r="E289" s="61" t="s">
        <v>15</v>
      </c>
      <c r="F289" s="61"/>
      <c r="G289" s="655"/>
      <c r="H289" s="655">
        <v>584606.86199999996</v>
      </c>
      <c r="I289" s="655">
        <v>584606.86199999996</v>
      </c>
      <c r="J289" s="635">
        <f t="shared" si="10"/>
        <v>1169213.7239999999</v>
      </c>
      <c r="K289" s="635"/>
      <c r="L289" s="655"/>
      <c r="M289" s="655">
        <f t="shared" si="11"/>
        <v>1169213.7239999999</v>
      </c>
      <c r="N289" s="627"/>
      <c r="O289" s="636"/>
    </row>
    <row r="290" spans="1:15" s="242" customFormat="1" ht="14.25" customHeight="1">
      <c r="A290" s="624">
        <v>97</v>
      </c>
      <c r="B290" s="625" t="e">
        <f>VLOOKUP(D290,'[1]DS CN MOI UP'!$B$11:$C$447,2,0)</f>
        <v>#N/A</v>
      </c>
      <c r="C290" s="626" t="s">
        <v>651</v>
      </c>
      <c r="D290" s="627" t="s">
        <v>876</v>
      </c>
      <c r="E290" s="61" t="s">
        <v>15</v>
      </c>
      <c r="F290" s="61"/>
      <c r="G290" s="655"/>
      <c r="H290" s="655">
        <v>635040.18900000001</v>
      </c>
      <c r="I290" s="655">
        <v>635040.18900000001</v>
      </c>
      <c r="J290" s="635">
        <f t="shared" si="10"/>
        <v>1270080.378</v>
      </c>
      <c r="K290" s="635"/>
      <c r="L290" s="655"/>
      <c r="M290" s="655">
        <f t="shared" si="11"/>
        <v>1270080.378</v>
      </c>
      <c r="N290" s="627"/>
      <c r="O290" s="636"/>
    </row>
    <row r="291" spans="1:15" s="242" customFormat="1" ht="14.25" customHeight="1">
      <c r="A291" s="624">
        <v>98</v>
      </c>
      <c r="B291" s="625" t="e">
        <f>VLOOKUP(D291,'[1]DS CN MOI UP'!$B$11:$C$447,2,0)</f>
        <v>#N/A</v>
      </c>
      <c r="C291" s="626" t="s">
        <v>651</v>
      </c>
      <c r="D291" s="627" t="s">
        <v>567</v>
      </c>
      <c r="E291" s="61" t="s">
        <v>15</v>
      </c>
      <c r="F291" s="61"/>
      <c r="G291" s="655"/>
      <c r="H291" s="655">
        <v>524139.33600000001</v>
      </c>
      <c r="I291" s="655">
        <v>524139.33600000001</v>
      </c>
      <c r="J291" s="635">
        <f t="shared" si="10"/>
        <v>1048278.672</v>
      </c>
      <c r="K291" s="635"/>
      <c r="L291" s="655"/>
      <c r="M291" s="655">
        <f t="shared" si="11"/>
        <v>1048278.672</v>
      </c>
      <c r="N291" s="627"/>
      <c r="O291" s="636"/>
    </row>
    <row r="292" spans="1:15" s="242" customFormat="1" ht="14.25" customHeight="1">
      <c r="A292" s="624">
        <v>99</v>
      </c>
      <c r="B292" s="625" t="e">
        <f>VLOOKUP(D292,'[1]DS CN MOI UP'!$B$11:$C$447,2,0)</f>
        <v>#N/A</v>
      </c>
      <c r="C292" s="626" t="s">
        <v>651</v>
      </c>
      <c r="D292" s="627" t="s">
        <v>877</v>
      </c>
      <c r="E292" s="61" t="s">
        <v>15</v>
      </c>
      <c r="F292" s="61"/>
      <c r="G292" s="655"/>
      <c r="H292" s="655">
        <v>554373.09900000005</v>
      </c>
      <c r="I292" s="655">
        <v>578208.38579999702</v>
      </c>
      <c r="J292" s="635">
        <f t="shared" si="10"/>
        <v>1132581.4847999969</v>
      </c>
      <c r="K292" s="635"/>
      <c r="L292" s="655"/>
      <c r="M292" s="655">
        <f t="shared" si="11"/>
        <v>1132581.4847999969</v>
      </c>
      <c r="N292" s="627"/>
      <c r="O292" s="636"/>
    </row>
    <row r="293" spans="1:15" s="242" customFormat="1" ht="14.25" customHeight="1">
      <c r="A293" s="624">
        <v>100</v>
      </c>
      <c r="B293" s="625" t="e">
        <f>VLOOKUP(D293,'[1]DS CN MOI UP'!$B$11:$C$447,2,0)</f>
        <v>#N/A</v>
      </c>
      <c r="C293" s="626" t="s">
        <v>654</v>
      </c>
      <c r="D293" s="627" t="s">
        <v>878</v>
      </c>
      <c r="E293" s="61" t="s">
        <v>15</v>
      </c>
      <c r="F293" s="61"/>
      <c r="G293" s="655"/>
      <c r="H293" s="655">
        <v>1108746.1980000001</v>
      </c>
      <c r="I293" s="655"/>
      <c r="J293" s="635">
        <f t="shared" si="10"/>
        <v>1108746.1980000001</v>
      </c>
      <c r="K293" s="635"/>
      <c r="L293" s="655"/>
      <c r="M293" s="655">
        <f t="shared" si="11"/>
        <v>1108746.1980000001</v>
      </c>
      <c r="N293" s="627"/>
      <c r="O293" s="636"/>
    </row>
    <row r="294" spans="1:15" s="242" customFormat="1" ht="14.25" customHeight="1">
      <c r="A294" s="624">
        <v>101</v>
      </c>
      <c r="B294" s="625" t="e">
        <f>VLOOKUP(D294,'[1]DS CN MOI UP'!$B$11:$C$447,2,0)</f>
        <v>#N/A</v>
      </c>
      <c r="C294" s="626" t="s">
        <v>654</v>
      </c>
      <c r="D294" s="627" t="s">
        <v>879</v>
      </c>
      <c r="E294" s="61" t="s">
        <v>15</v>
      </c>
      <c r="F294" s="61"/>
      <c r="G294" s="655"/>
      <c r="H294" s="655">
        <v>1270080.378</v>
      </c>
      <c r="I294" s="655"/>
      <c r="J294" s="635">
        <f t="shared" si="10"/>
        <v>1270080.378</v>
      </c>
      <c r="K294" s="635"/>
      <c r="L294" s="655"/>
      <c r="M294" s="655">
        <f t="shared" si="11"/>
        <v>1270080.378</v>
      </c>
      <c r="N294" s="627"/>
      <c r="O294" s="636"/>
    </row>
    <row r="295" spans="1:15" s="242" customFormat="1" ht="14.25" customHeight="1">
      <c r="A295" s="624">
        <v>102</v>
      </c>
      <c r="B295" s="625" t="e">
        <f>VLOOKUP(D295,'[1]DS CN MOI UP'!$B$11:$C$447,2,0)</f>
        <v>#N/A</v>
      </c>
      <c r="C295" s="626" t="s">
        <v>654</v>
      </c>
      <c r="D295" s="627" t="s">
        <v>880</v>
      </c>
      <c r="E295" s="61" t="s">
        <v>15</v>
      </c>
      <c r="F295" s="61"/>
      <c r="G295" s="655"/>
      <c r="H295" s="655">
        <v>1088677.8</v>
      </c>
      <c r="I295" s="655"/>
      <c r="J295" s="635">
        <f t="shared" si="10"/>
        <v>1088677.8</v>
      </c>
      <c r="K295" s="635"/>
      <c r="L295" s="655"/>
      <c r="M295" s="655">
        <f t="shared" si="11"/>
        <v>1088677.8</v>
      </c>
      <c r="N295" s="627"/>
      <c r="O295" s="636"/>
    </row>
    <row r="296" spans="1:15" s="242" customFormat="1" ht="14.25" customHeight="1">
      <c r="A296" s="624">
        <v>103</v>
      </c>
      <c r="B296" s="625" t="e">
        <f>VLOOKUP(D296,'[1]DS CN MOI UP'!$B$11:$C$447,2,0)</f>
        <v>#N/A</v>
      </c>
      <c r="C296" s="626" t="s">
        <v>654</v>
      </c>
      <c r="D296" s="627" t="s">
        <v>881</v>
      </c>
      <c r="E296" s="61" t="s">
        <v>15</v>
      </c>
      <c r="F296" s="61"/>
      <c r="G296" s="655"/>
      <c r="H296" s="655">
        <v>1149145.3259999999</v>
      </c>
      <c r="I296" s="655"/>
      <c r="J296" s="635">
        <f t="shared" si="10"/>
        <v>1149145.3259999999</v>
      </c>
      <c r="K296" s="635"/>
      <c r="L296" s="655"/>
      <c r="M296" s="655">
        <f t="shared" si="11"/>
        <v>1149145.3259999999</v>
      </c>
      <c r="N296" s="627"/>
      <c r="O296" s="636"/>
    </row>
    <row r="297" spans="1:15" s="242" customFormat="1" ht="14.25" customHeight="1">
      <c r="A297" s="624">
        <v>104</v>
      </c>
      <c r="B297" s="625" t="e">
        <f>VLOOKUP(D297,'[1]DS CN MOI UP'!$B$11:$C$447,2,0)</f>
        <v>#N/A</v>
      </c>
      <c r="C297" s="626" t="s">
        <v>654</v>
      </c>
      <c r="D297" s="627" t="s">
        <v>882</v>
      </c>
      <c r="E297" s="61" t="s">
        <v>15</v>
      </c>
      <c r="F297" s="61"/>
      <c r="G297" s="655"/>
      <c r="H297" s="655">
        <v>1209612.852</v>
      </c>
      <c r="I297" s="655"/>
      <c r="J297" s="635">
        <f t="shared" si="10"/>
        <v>1209612.852</v>
      </c>
      <c r="K297" s="635"/>
      <c r="L297" s="655"/>
      <c r="M297" s="655">
        <f t="shared" si="11"/>
        <v>1209612.852</v>
      </c>
      <c r="N297" s="627"/>
      <c r="O297" s="636"/>
    </row>
    <row r="298" spans="1:15" s="242" customFormat="1" ht="14.25" customHeight="1">
      <c r="A298" s="624">
        <v>105</v>
      </c>
      <c r="B298" s="625" t="e">
        <f>VLOOKUP(D298,'[1]DS CN MOI UP'!$B$11:$C$447,2,0)</f>
        <v>#N/A</v>
      </c>
      <c r="C298" s="626" t="s">
        <v>654</v>
      </c>
      <c r="D298" s="627" t="s">
        <v>883</v>
      </c>
      <c r="E298" s="61" t="s">
        <v>15</v>
      </c>
      <c r="F298" s="61"/>
      <c r="G298" s="655"/>
      <c r="H298" s="655">
        <v>1169213.7239999999</v>
      </c>
      <c r="I298" s="655"/>
      <c r="J298" s="635">
        <f t="shared" si="10"/>
        <v>1169213.7239999999</v>
      </c>
      <c r="K298" s="635"/>
      <c r="L298" s="655"/>
      <c r="M298" s="655">
        <f t="shared" si="11"/>
        <v>1169213.7239999999</v>
      </c>
      <c r="N298" s="627"/>
      <c r="O298" s="636"/>
    </row>
    <row r="299" spans="1:15" s="242" customFormat="1" ht="14.25" customHeight="1">
      <c r="A299" s="624">
        <v>106</v>
      </c>
      <c r="B299" s="625" t="e">
        <f>VLOOKUP(D299,'[1]DS CN MOI UP'!$B$11:$C$447,2,0)</f>
        <v>#N/A</v>
      </c>
      <c r="C299" s="626" t="s">
        <v>654</v>
      </c>
      <c r="D299" s="627" t="s">
        <v>884</v>
      </c>
      <c r="E299" s="61" t="s">
        <v>15</v>
      </c>
      <c r="F299" s="61"/>
      <c r="G299" s="655"/>
      <c r="H299" s="655">
        <v>1270080.378</v>
      </c>
      <c r="I299" s="655"/>
      <c r="J299" s="635">
        <f t="shared" si="10"/>
        <v>1270080.378</v>
      </c>
      <c r="K299" s="635"/>
      <c r="L299" s="655"/>
      <c r="M299" s="655">
        <f t="shared" si="11"/>
        <v>1270080.378</v>
      </c>
      <c r="N299" s="627"/>
      <c r="O299" s="636"/>
    </row>
    <row r="300" spans="1:15" s="242" customFormat="1" ht="14.25" customHeight="1">
      <c r="A300" s="624">
        <v>107</v>
      </c>
      <c r="B300" s="625" t="e">
        <f>VLOOKUP(D300,'[1]DS CN MOI UP'!$B$11:$C$447,2,0)</f>
        <v>#N/A</v>
      </c>
      <c r="C300" s="626" t="s">
        <v>654</v>
      </c>
      <c r="D300" s="627" t="s">
        <v>885</v>
      </c>
      <c r="E300" s="61" t="s">
        <v>15</v>
      </c>
      <c r="F300" s="61"/>
      <c r="G300" s="655"/>
      <c r="H300" s="655">
        <v>1048278.672</v>
      </c>
      <c r="I300" s="655"/>
      <c r="J300" s="635">
        <f t="shared" si="10"/>
        <v>1048278.672</v>
      </c>
      <c r="K300" s="635"/>
      <c r="L300" s="655"/>
      <c r="M300" s="655">
        <f t="shared" si="11"/>
        <v>1048278.672</v>
      </c>
      <c r="N300" s="627"/>
      <c r="O300" s="636">
        <v>71635.225599981801</v>
      </c>
    </row>
    <row r="301" spans="1:15" s="242" customFormat="1" ht="14.25" customHeight="1">
      <c r="A301" s="624">
        <v>108</v>
      </c>
      <c r="B301" s="625" t="e">
        <f>VLOOKUP(D301,'[1]DS CN MOI UP'!$B$11:$C$447,2,0)</f>
        <v>#N/A</v>
      </c>
      <c r="C301" s="626" t="s">
        <v>654</v>
      </c>
      <c r="D301" s="627" t="s">
        <v>886</v>
      </c>
      <c r="E301" s="61" t="s">
        <v>15</v>
      </c>
      <c r="F301" s="61"/>
      <c r="G301" s="655"/>
      <c r="H301" s="655">
        <v>1159179.5249999999</v>
      </c>
      <c r="I301" s="655"/>
      <c r="J301" s="635">
        <f t="shared" si="10"/>
        <v>1159179.5249999999</v>
      </c>
      <c r="K301" s="635"/>
      <c r="L301" s="655"/>
      <c r="M301" s="655">
        <f t="shared" si="11"/>
        <v>1159179.5249999999</v>
      </c>
      <c r="N301" s="627"/>
      <c r="O301" s="636"/>
    </row>
    <row r="302" spans="1:15" s="242" customFormat="1" ht="14.25" customHeight="1">
      <c r="A302" s="624">
        <v>109</v>
      </c>
      <c r="B302" s="625" t="e">
        <f>VLOOKUP(D302,'[1]DS CN MOI UP'!$B$11:$C$447,2,0)</f>
        <v>#N/A</v>
      </c>
      <c r="C302" s="626" t="s">
        <v>654</v>
      </c>
      <c r="D302" s="627" t="s">
        <v>887</v>
      </c>
      <c r="E302" s="61" t="s">
        <v>15</v>
      </c>
      <c r="F302" s="61"/>
      <c r="G302" s="655"/>
      <c r="H302" s="655">
        <v>1148746.1980000001</v>
      </c>
      <c r="I302" s="655"/>
      <c r="J302" s="635">
        <f>SUM(G302:I302)</f>
        <v>1148746.1980000001</v>
      </c>
      <c r="K302" s="635"/>
      <c r="L302" s="655"/>
      <c r="M302" s="655">
        <f t="shared" si="11"/>
        <v>1148746.1980000001</v>
      </c>
      <c r="N302" s="627"/>
      <c r="O302" s="636"/>
    </row>
    <row r="303" spans="1:15" s="242" customFormat="1" ht="14.25" customHeight="1">
      <c r="A303" s="624">
        <v>110</v>
      </c>
      <c r="B303" s="625" t="e">
        <f>VLOOKUP(D303,'[1]DS CN MOI UP'!$B$11:$C$447,2,0)</f>
        <v>#N/A</v>
      </c>
      <c r="C303" s="626" t="s">
        <v>654</v>
      </c>
      <c r="D303" s="627" t="s">
        <v>888</v>
      </c>
      <c r="E303" s="61" t="s">
        <v>15</v>
      </c>
      <c r="F303" s="61"/>
      <c r="G303" s="655"/>
      <c r="H303" s="655">
        <v>1270080.378</v>
      </c>
      <c r="I303" s="655"/>
      <c r="J303" s="635">
        <f t="shared" si="10"/>
        <v>1270080.378</v>
      </c>
      <c r="K303" s="635"/>
      <c r="L303" s="655"/>
      <c r="M303" s="655">
        <f t="shared" si="11"/>
        <v>1270080.378</v>
      </c>
      <c r="N303" s="627"/>
      <c r="O303" s="636"/>
    </row>
    <row r="304" spans="1:15" s="242" customFormat="1" ht="14.25" customHeight="1">
      <c r="A304" s="624">
        <v>111</v>
      </c>
      <c r="B304" s="625" t="e">
        <f>VLOOKUP(D304,'[1]DS CN MOI UP'!$B$11:$C$447,2,0)</f>
        <v>#N/A</v>
      </c>
      <c r="C304" s="626" t="s">
        <v>654</v>
      </c>
      <c r="D304" s="627" t="s">
        <v>889</v>
      </c>
      <c r="E304" s="61" t="s">
        <v>15</v>
      </c>
      <c r="F304" s="61"/>
      <c r="G304" s="655"/>
      <c r="H304" s="655">
        <v>1128677.8</v>
      </c>
      <c r="I304" s="655"/>
      <c r="J304" s="635">
        <f t="shared" si="10"/>
        <v>1128677.8</v>
      </c>
      <c r="K304" s="635"/>
      <c r="L304" s="655"/>
      <c r="M304" s="655">
        <f t="shared" si="11"/>
        <v>1128677.8</v>
      </c>
      <c r="N304" s="627"/>
      <c r="O304" s="636"/>
    </row>
    <row r="305" spans="1:15" s="242" customFormat="1" ht="14.25" customHeight="1">
      <c r="A305" s="624">
        <v>112</v>
      </c>
      <c r="B305" s="625" t="e">
        <f>VLOOKUP(D305,'[1]DS CN MOI UP'!$B$11:$C$447,2,0)</f>
        <v>#N/A</v>
      </c>
      <c r="C305" s="626" t="s">
        <v>654</v>
      </c>
      <c r="D305" s="627" t="s">
        <v>890</v>
      </c>
      <c r="E305" s="61" t="s">
        <v>15</v>
      </c>
      <c r="F305" s="61"/>
      <c r="G305" s="655"/>
      <c r="H305" s="655">
        <v>1189145.3259999999</v>
      </c>
      <c r="I305" s="655"/>
      <c r="J305" s="635">
        <f t="shared" si="10"/>
        <v>1189145.3259999999</v>
      </c>
      <c r="K305" s="635"/>
      <c r="L305" s="655"/>
      <c r="M305" s="655">
        <f t="shared" si="11"/>
        <v>1189145.3259999999</v>
      </c>
      <c r="N305" s="627"/>
      <c r="O305" s="636"/>
    </row>
    <row r="306" spans="1:15" s="242" customFormat="1" ht="14.25" customHeight="1">
      <c r="A306" s="624">
        <v>113</v>
      </c>
      <c r="B306" s="625" t="e">
        <f>VLOOKUP(D306,'[1]DS CN MOI UP'!$B$11:$C$447,2,0)</f>
        <v>#N/A</v>
      </c>
      <c r="C306" s="626" t="s">
        <v>654</v>
      </c>
      <c r="D306" s="627" t="s">
        <v>891</v>
      </c>
      <c r="E306" s="61" t="s">
        <v>15</v>
      </c>
      <c r="F306" s="61"/>
      <c r="G306" s="655"/>
      <c r="H306" s="655">
        <v>1249612.852</v>
      </c>
      <c r="I306" s="655"/>
      <c r="J306" s="635">
        <f t="shared" si="10"/>
        <v>1249612.852</v>
      </c>
      <c r="K306" s="635"/>
      <c r="L306" s="655"/>
      <c r="M306" s="655">
        <f t="shared" si="11"/>
        <v>1249612.852</v>
      </c>
      <c r="N306" s="627"/>
      <c r="O306" s="636"/>
    </row>
    <row r="307" spans="1:15" s="242" customFormat="1" ht="14.25" customHeight="1">
      <c r="A307" s="624">
        <v>114</v>
      </c>
      <c r="B307" s="625" t="e">
        <f>VLOOKUP(D307,'[1]DS CN MOI UP'!$B$11:$C$447,2,0)</f>
        <v>#N/A</v>
      </c>
      <c r="C307" s="626" t="s">
        <v>654</v>
      </c>
      <c r="D307" s="627" t="s">
        <v>892</v>
      </c>
      <c r="E307" s="61" t="s">
        <v>15</v>
      </c>
      <c r="F307" s="61"/>
      <c r="G307" s="655"/>
      <c r="H307" s="655">
        <v>1159179.5249999999</v>
      </c>
      <c r="I307" s="655"/>
      <c r="J307" s="635">
        <f t="shared" si="10"/>
        <v>1159179.5249999999</v>
      </c>
      <c r="K307" s="635"/>
      <c r="L307" s="655"/>
      <c r="M307" s="655">
        <f t="shared" si="11"/>
        <v>1159179.5249999999</v>
      </c>
      <c r="N307" s="627"/>
      <c r="O307" s="636"/>
    </row>
    <row r="308" spans="1:15" s="242" customFormat="1" ht="14.25" customHeight="1">
      <c r="A308" s="624">
        <v>115</v>
      </c>
      <c r="B308" s="625" t="e">
        <f>VLOOKUP(D308,'[1]DS CN MOI UP'!$B$11:$C$447,2,0)</f>
        <v>#N/A</v>
      </c>
      <c r="C308" s="626" t="s">
        <v>654</v>
      </c>
      <c r="D308" s="627" t="s">
        <v>893</v>
      </c>
      <c r="E308" s="61" t="s">
        <v>15</v>
      </c>
      <c r="F308" s="61"/>
      <c r="G308" s="655"/>
      <c r="H308" s="635">
        <v>1159179.5249999999</v>
      </c>
      <c r="I308" s="655"/>
      <c r="J308" s="635">
        <f t="shared" si="10"/>
        <v>1159179.5249999999</v>
      </c>
      <c r="K308" s="635"/>
      <c r="L308" s="655"/>
      <c r="M308" s="655">
        <f t="shared" si="11"/>
        <v>1159179.5249999999</v>
      </c>
      <c r="N308" s="627"/>
      <c r="O308" s="636"/>
    </row>
    <row r="309" spans="1:15" s="242" customFormat="1" ht="14.25" customHeight="1">
      <c r="A309" s="624">
        <v>116</v>
      </c>
      <c r="B309" s="625" t="e">
        <f>VLOOKUP(D309,'[1]DS CN MOI UP'!$B$11:$C$447,2,0)</f>
        <v>#N/A</v>
      </c>
      <c r="C309" s="626" t="s">
        <v>654</v>
      </c>
      <c r="D309" s="627" t="s">
        <v>894</v>
      </c>
      <c r="E309" s="61" t="s">
        <v>15</v>
      </c>
      <c r="F309" s="61"/>
      <c r="G309" s="655"/>
      <c r="H309" s="635">
        <v>1159179.5249999999</v>
      </c>
      <c r="I309" s="655"/>
      <c r="J309" s="635">
        <f t="shared" si="10"/>
        <v>1159179.5249999999</v>
      </c>
      <c r="K309" s="635"/>
      <c r="L309" s="655"/>
      <c r="M309" s="655">
        <f t="shared" si="11"/>
        <v>1159179.5249999999</v>
      </c>
      <c r="N309" s="627"/>
      <c r="O309" s="636"/>
    </row>
    <row r="310" spans="1:15" s="242" customFormat="1" ht="14.25" customHeight="1">
      <c r="A310" s="624">
        <v>117</v>
      </c>
      <c r="B310" s="625" t="str">
        <f>VLOOKUP(D310,'[1]DS CN MOI UP'!$B$11:$C$447,2,0)</f>
        <v>02665</v>
      </c>
      <c r="C310" s="626" t="s">
        <v>654</v>
      </c>
      <c r="D310" s="627" t="s">
        <v>482</v>
      </c>
      <c r="E310" s="61" t="s">
        <v>15</v>
      </c>
      <c r="F310" s="61"/>
      <c r="G310" s="655"/>
      <c r="H310" s="635">
        <v>1239846.615</v>
      </c>
      <c r="I310" s="655"/>
      <c r="J310" s="635">
        <f t="shared" si="10"/>
        <v>1239846.615</v>
      </c>
      <c r="K310" s="635"/>
      <c r="L310" s="655"/>
      <c r="M310" s="655">
        <f t="shared" si="11"/>
        <v>1239846.615</v>
      </c>
      <c r="N310" s="627"/>
      <c r="O310" s="636"/>
    </row>
    <row r="311" spans="1:15" s="242" customFormat="1" ht="14.25" customHeight="1">
      <c r="A311" s="624">
        <v>118</v>
      </c>
      <c r="B311" s="625" t="e">
        <f>VLOOKUP(D311,'[1]DS CN MOI UP'!$B$11:$C$447,2,0)</f>
        <v>#N/A</v>
      </c>
      <c r="C311" s="626" t="s">
        <v>654</v>
      </c>
      <c r="D311" s="627" t="s">
        <v>895</v>
      </c>
      <c r="E311" s="61" t="s">
        <v>15</v>
      </c>
      <c r="F311" s="61"/>
      <c r="G311" s="655"/>
      <c r="H311" s="635">
        <v>1149145.3259999999</v>
      </c>
      <c r="I311" s="655"/>
      <c r="J311" s="635">
        <f t="shared" si="10"/>
        <v>1149145.3259999999</v>
      </c>
      <c r="K311" s="635"/>
      <c r="L311" s="655"/>
      <c r="M311" s="655">
        <f t="shared" si="11"/>
        <v>1149145.3259999999</v>
      </c>
      <c r="N311" s="627"/>
      <c r="O311" s="636"/>
    </row>
    <row r="312" spans="1:15" s="242" customFormat="1" ht="14.25" customHeight="1">
      <c r="A312" s="624">
        <v>119</v>
      </c>
      <c r="B312" s="625" t="str">
        <f>VLOOKUP(D312,'[1]DS CN MOI UP'!$B$11:$C$447,2,0)</f>
        <v>02667</v>
      </c>
      <c r="C312" s="626" t="s">
        <v>654</v>
      </c>
      <c r="D312" s="627" t="s">
        <v>446</v>
      </c>
      <c r="E312" s="61" t="s">
        <v>15</v>
      </c>
      <c r="F312" s="61"/>
      <c r="G312" s="655"/>
      <c r="H312" s="635">
        <v>1179379.0889999999</v>
      </c>
      <c r="I312" s="655"/>
      <c r="J312" s="635">
        <f t="shared" si="10"/>
        <v>1179379.0889999999</v>
      </c>
      <c r="K312" s="635"/>
      <c r="L312" s="655"/>
      <c r="M312" s="655">
        <f t="shared" si="11"/>
        <v>1179379.0889999999</v>
      </c>
      <c r="N312" s="627"/>
      <c r="O312" s="636"/>
    </row>
    <row r="313" spans="1:15" s="242" customFormat="1" ht="14.25" customHeight="1">
      <c r="A313" s="624">
        <v>120</v>
      </c>
      <c r="B313" s="625" t="str">
        <f>VLOOKUP(D313,'[1]DS CN MOI UP'!$B$11:$C$447,2,0)</f>
        <v>02517</v>
      </c>
      <c r="C313" s="626" t="s">
        <v>654</v>
      </c>
      <c r="D313" s="627" t="s">
        <v>161</v>
      </c>
      <c r="E313" s="61" t="s">
        <v>15</v>
      </c>
      <c r="F313" s="61"/>
      <c r="G313" s="655"/>
      <c r="H313" s="635">
        <v>1209612.852</v>
      </c>
      <c r="I313" s="655"/>
      <c r="J313" s="635">
        <f t="shared" si="10"/>
        <v>1209612.852</v>
      </c>
      <c r="K313" s="635"/>
      <c r="L313" s="655"/>
      <c r="M313" s="655">
        <f t="shared" si="11"/>
        <v>1209612.852</v>
      </c>
      <c r="N313" s="627"/>
      <c r="O313" s="636"/>
    </row>
    <row r="314" spans="1:15" s="242" customFormat="1" ht="14.25" customHeight="1">
      <c r="A314" s="624">
        <v>121</v>
      </c>
      <c r="B314" s="625" t="str">
        <f>VLOOKUP(D314,'[1]DS CN MOI UP'!$B$11:$C$447,2,0)</f>
        <v>02666</v>
      </c>
      <c r="C314" s="626" t="s">
        <v>654</v>
      </c>
      <c r="D314" s="627" t="s">
        <v>435</v>
      </c>
      <c r="E314" s="61" t="s">
        <v>15</v>
      </c>
      <c r="F314" s="61"/>
      <c r="G314" s="655"/>
      <c r="H314" s="635">
        <v>1189413.2879999999</v>
      </c>
      <c r="I314" s="655"/>
      <c r="J314" s="635">
        <f t="shared" si="10"/>
        <v>1189413.2879999999</v>
      </c>
      <c r="K314" s="635"/>
      <c r="L314" s="655"/>
      <c r="M314" s="655">
        <f t="shared" si="11"/>
        <v>1189413.2879999999</v>
      </c>
      <c r="N314" s="627"/>
      <c r="O314" s="636"/>
    </row>
    <row r="315" spans="1:15" s="242" customFormat="1" ht="14.25" customHeight="1">
      <c r="A315" s="624">
        <v>122</v>
      </c>
      <c r="B315" s="625" t="e">
        <f>VLOOKUP(D315,'[1]DS CN MOI UP'!$B$11:$C$447,2,0)</f>
        <v>#N/A</v>
      </c>
      <c r="C315" s="626" t="s">
        <v>654</v>
      </c>
      <c r="D315" s="627" t="s">
        <v>896</v>
      </c>
      <c r="E315" s="61" t="s">
        <v>15</v>
      </c>
      <c r="F315" s="61"/>
      <c r="G315" s="655"/>
      <c r="H315" s="635">
        <v>1239846.615</v>
      </c>
      <c r="I315" s="655"/>
      <c r="J315" s="635">
        <f t="shared" si="10"/>
        <v>1239846.615</v>
      </c>
      <c r="K315" s="635"/>
      <c r="L315" s="655"/>
      <c r="M315" s="655">
        <f t="shared" si="11"/>
        <v>1239846.615</v>
      </c>
      <c r="N315" s="627"/>
      <c r="O315" s="636"/>
    </row>
    <row r="316" spans="1:15" s="242" customFormat="1" ht="14.25" customHeight="1">
      <c r="A316" s="624">
        <v>123</v>
      </c>
      <c r="B316" s="625" t="e">
        <f>VLOOKUP(D316,'[1]DS CN MOI UP'!$B$11:$C$447,2,0)</f>
        <v>#N/A</v>
      </c>
      <c r="C316" s="626" t="s">
        <v>654</v>
      </c>
      <c r="D316" s="627" t="s">
        <v>897</v>
      </c>
      <c r="E316" s="61" t="s">
        <v>15</v>
      </c>
      <c r="F316" s="61"/>
      <c r="G316" s="655"/>
      <c r="H316" s="635">
        <v>1048278.672</v>
      </c>
      <c r="I316" s="655"/>
      <c r="J316" s="635">
        <f t="shared" si="10"/>
        <v>1048278.672</v>
      </c>
      <c r="K316" s="635"/>
      <c r="L316" s="655"/>
      <c r="M316" s="655">
        <f t="shared" si="11"/>
        <v>1048278.672</v>
      </c>
      <c r="N316" s="627"/>
      <c r="O316" s="636"/>
    </row>
    <row r="317" spans="1:15" s="242" customFormat="1" ht="14.25" customHeight="1">
      <c r="A317" s="624">
        <v>124</v>
      </c>
      <c r="B317" s="625" t="str">
        <f>VLOOKUP(D317,'[1]DS CN MOI UP'!$B$11:$C$447,2,0)</f>
        <v>02671</v>
      </c>
      <c r="C317" s="626" t="s">
        <v>654</v>
      </c>
      <c r="D317" s="627" t="s">
        <v>453</v>
      </c>
      <c r="E317" s="61" t="s">
        <v>15</v>
      </c>
      <c r="F317" s="61"/>
      <c r="G317" s="655"/>
      <c r="H317" s="635">
        <v>1159179.5249999999</v>
      </c>
      <c r="I317" s="655"/>
      <c r="J317" s="635">
        <f t="shared" si="10"/>
        <v>1159179.5249999999</v>
      </c>
      <c r="K317" s="635"/>
      <c r="L317" s="655"/>
      <c r="M317" s="655">
        <f t="shared" si="11"/>
        <v>1159179.5249999999</v>
      </c>
      <c r="N317" s="627"/>
      <c r="O317" s="636"/>
    </row>
    <row r="318" spans="1:15" s="242" customFormat="1" ht="14.25" customHeight="1">
      <c r="A318" s="624">
        <v>125</v>
      </c>
      <c r="B318" s="625" t="e">
        <f>VLOOKUP(D318,'[1]DS CN MOI UP'!$B$11:$C$447,2,0)</f>
        <v>#N/A</v>
      </c>
      <c r="C318" s="626" t="s">
        <v>654</v>
      </c>
      <c r="D318" s="627" t="s">
        <v>898</v>
      </c>
      <c r="E318" s="61" t="s">
        <v>15</v>
      </c>
      <c r="F318" s="61"/>
      <c r="G318" s="655"/>
      <c r="H318" s="635">
        <v>1159179.5249999999</v>
      </c>
      <c r="I318" s="635"/>
      <c r="J318" s="635">
        <f t="shared" si="10"/>
        <v>1159179.5249999999</v>
      </c>
      <c r="K318" s="635"/>
      <c r="L318" s="655"/>
      <c r="M318" s="655">
        <f t="shared" si="11"/>
        <v>1159179.5249999999</v>
      </c>
      <c r="N318" s="627"/>
      <c r="O318" s="636"/>
    </row>
    <row r="319" spans="1:15" s="242" customFormat="1" ht="14.25" customHeight="1">
      <c r="A319" s="624">
        <v>126</v>
      </c>
      <c r="B319" s="625" t="e">
        <f>VLOOKUP(D319,'[1]DS CN MOI UP'!$B$11:$C$447,2,0)</f>
        <v>#N/A</v>
      </c>
      <c r="C319" s="626" t="s">
        <v>654</v>
      </c>
      <c r="D319" s="627" t="s">
        <v>899</v>
      </c>
      <c r="E319" s="61" t="s">
        <v>15</v>
      </c>
      <c r="F319" s="61"/>
      <c r="G319" s="655"/>
      <c r="H319" s="635">
        <v>1159179.5249999999</v>
      </c>
      <c r="I319" s="635"/>
      <c r="J319" s="635">
        <f t="shared" si="10"/>
        <v>1159179.5249999999</v>
      </c>
      <c r="K319" s="635"/>
      <c r="L319" s="655"/>
      <c r="M319" s="655">
        <f t="shared" si="11"/>
        <v>1159179.5249999999</v>
      </c>
      <c r="N319" s="627"/>
      <c r="O319" s="636"/>
    </row>
    <row r="320" spans="1:15" s="242" customFormat="1" ht="14.25" customHeight="1">
      <c r="A320" s="624">
        <v>127</v>
      </c>
      <c r="B320" s="625" t="e">
        <f>VLOOKUP(D320,'[1]DS CN MOI UP'!$B$11:$C$447,2,0)</f>
        <v>#N/A</v>
      </c>
      <c r="C320" s="626" t="s">
        <v>654</v>
      </c>
      <c r="D320" s="627" t="s">
        <v>900</v>
      </c>
      <c r="E320" s="61" t="s">
        <v>15</v>
      </c>
      <c r="F320" s="61"/>
      <c r="G320" s="655"/>
      <c r="H320" s="635">
        <v>1159179.5249999999</v>
      </c>
      <c r="I320" s="635"/>
      <c r="J320" s="635">
        <f t="shared" si="10"/>
        <v>1159179.5249999999</v>
      </c>
      <c r="K320" s="635"/>
      <c r="L320" s="655"/>
      <c r="M320" s="655">
        <f t="shared" si="11"/>
        <v>1159179.5249999999</v>
      </c>
      <c r="N320" s="627"/>
      <c r="O320" s="636"/>
    </row>
    <row r="321" spans="1:15" s="242" customFormat="1" ht="14.25" customHeight="1">
      <c r="A321" s="624">
        <v>128</v>
      </c>
      <c r="B321" s="625"/>
      <c r="C321" s="626" t="s">
        <v>648</v>
      </c>
      <c r="D321" s="627" t="s">
        <v>480</v>
      </c>
      <c r="E321" s="61" t="s">
        <v>15</v>
      </c>
      <c r="F321" s="61"/>
      <c r="G321" s="655"/>
      <c r="H321" s="635">
        <v>1159179.5249999999</v>
      </c>
      <c r="I321" s="635"/>
      <c r="J321" s="635">
        <f t="shared" si="10"/>
        <v>1159179.5249999999</v>
      </c>
      <c r="K321" s="635"/>
      <c r="L321" s="655"/>
      <c r="M321" s="655">
        <f t="shared" si="11"/>
        <v>1159179.5249999999</v>
      </c>
      <c r="N321" s="627"/>
      <c r="O321" s="636"/>
    </row>
    <row r="322" spans="1:15" s="242" customFormat="1" ht="14.25" customHeight="1">
      <c r="A322" s="624">
        <v>129</v>
      </c>
      <c r="B322" s="625" t="e">
        <f>VLOOKUP(D322,'[1]DS CN MOI UP'!$B$11:$C$447,2,0)</f>
        <v>#N/A</v>
      </c>
      <c r="C322" s="626" t="s">
        <v>650</v>
      </c>
      <c r="D322" s="627" t="s">
        <v>901</v>
      </c>
      <c r="E322" s="61" t="s">
        <v>15</v>
      </c>
      <c r="F322" s="61"/>
      <c r="G322" s="655"/>
      <c r="H322" s="635">
        <v>1159179.5249999999</v>
      </c>
      <c r="I322" s="635"/>
      <c r="J322" s="635">
        <f t="shared" si="10"/>
        <v>1159179.5249999999</v>
      </c>
      <c r="K322" s="635"/>
      <c r="L322" s="655"/>
      <c r="M322" s="655">
        <f t="shared" si="11"/>
        <v>1159179.5249999999</v>
      </c>
      <c r="N322" s="627"/>
      <c r="O322" s="636"/>
    </row>
    <row r="323" spans="1:15" s="242" customFormat="1" ht="14.25" customHeight="1">
      <c r="A323" s="624">
        <v>130</v>
      </c>
      <c r="B323" s="625" t="str">
        <f>VLOOKUP(D323,'[1]DS CN MOI UP'!$B$11:$C$447,2,0)</f>
        <v>03304</v>
      </c>
      <c r="C323" s="626" t="s">
        <v>651</v>
      </c>
      <c r="D323" s="627" t="s">
        <v>467</v>
      </c>
      <c r="E323" s="61" t="s">
        <v>15</v>
      </c>
      <c r="F323" s="61"/>
      <c r="G323" s="655"/>
      <c r="H323" s="635">
        <v>1138979.9609999999</v>
      </c>
      <c r="I323" s="635"/>
      <c r="J323" s="635">
        <f t="shared" si="10"/>
        <v>1138979.9609999999</v>
      </c>
      <c r="K323" s="635"/>
      <c r="L323" s="655"/>
      <c r="M323" s="655">
        <f t="shared" si="11"/>
        <v>1138979.9609999999</v>
      </c>
      <c r="N323" s="627"/>
      <c r="O323" s="636"/>
    </row>
    <row r="324" spans="1:15" s="242" customFormat="1" ht="14.25" customHeight="1">
      <c r="A324" s="624">
        <v>131</v>
      </c>
      <c r="B324" s="625" t="e">
        <f>VLOOKUP(D324,'[1]DS CN MOI UP'!$B$11:$C$447,2,0)</f>
        <v>#N/A</v>
      </c>
      <c r="C324" s="626" t="s">
        <v>651</v>
      </c>
      <c r="D324" s="627" t="s">
        <v>902</v>
      </c>
      <c r="E324" s="61" t="s">
        <v>15</v>
      </c>
      <c r="F324" s="61"/>
      <c r="G324" s="655"/>
      <c r="H324" s="635">
        <v>1108746.1980000001</v>
      </c>
      <c r="I324" s="635"/>
      <c r="J324" s="635">
        <f t="shared" si="10"/>
        <v>1108746.1980000001</v>
      </c>
      <c r="K324" s="635"/>
      <c r="L324" s="655"/>
      <c r="M324" s="655">
        <f t="shared" si="11"/>
        <v>1108746.1980000001</v>
      </c>
      <c r="N324" s="627"/>
      <c r="O324" s="636"/>
    </row>
    <row r="325" spans="1:15" s="242" customFormat="1" ht="14.25" customHeight="1">
      <c r="A325" s="624">
        <v>132</v>
      </c>
      <c r="B325" s="625" t="e">
        <f>VLOOKUP(D325,'[1]DS CN MOI UP'!$B$11:$C$447,2,0)</f>
        <v>#N/A</v>
      </c>
      <c r="C325" s="626" t="s">
        <v>651</v>
      </c>
      <c r="D325" s="627" t="s">
        <v>540</v>
      </c>
      <c r="E325" s="61" t="s">
        <v>15</v>
      </c>
      <c r="F325" s="61"/>
      <c r="G325" s="655"/>
      <c r="H325" s="635">
        <v>1108746.1980000001</v>
      </c>
      <c r="I325" s="635"/>
      <c r="J325" s="635">
        <f t="shared" si="10"/>
        <v>1108746.1980000001</v>
      </c>
      <c r="K325" s="635"/>
      <c r="L325" s="655"/>
      <c r="M325" s="655">
        <f t="shared" si="11"/>
        <v>1108746.1980000001</v>
      </c>
      <c r="N325" s="627"/>
      <c r="O325" s="636"/>
    </row>
    <row r="326" spans="1:15" s="242" customFormat="1" ht="14.25" customHeight="1">
      <c r="A326" s="624">
        <v>133</v>
      </c>
      <c r="B326" s="625" t="e">
        <f>VLOOKUP(D326,'[1]DS CN MOI UP'!$B$11:$C$447,2,0)</f>
        <v>#N/A</v>
      </c>
      <c r="C326" s="626" t="s">
        <v>651</v>
      </c>
      <c r="D326" s="627" t="s">
        <v>903</v>
      </c>
      <c r="E326" s="61" t="s">
        <v>15</v>
      </c>
      <c r="F326" s="61"/>
      <c r="G326" s="655"/>
      <c r="H326" s="635">
        <v>1108746.1980000001</v>
      </c>
      <c r="I326" s="635"/>
      <c r="J326" s="635">
        <f t="shared" si="10"/>
        <v>1108746.1980000001</v>
      </c>
      <c r="K326" s="635"/>
      <c r="L326" s="655"/>
      <c r="M326" s="655">
        <f t="shared" si="11"/>
        <v>1108746.1980000001</v>
      </c>
      <c r="N326" s="627"/>
      <c r="O326" s="636"/>
    </row>
    <row r="327" spans="1:15" s="242" customFormat="1" ht="14.25" customHeight="1">
      <c r="A327" s="624">
        <v>134</v>
      </c>
      <c r="B327" s="625" t="e">
        <f>VLOOKUP(D327,'[1]DS CN MOI UP'!$B$11:$C$447,2,0)</f>
        <v>#N/A</v>
      </c>
      <c r="C327" s="626" t="s">
        <v>651</v>
      </c>
      <c r="D327" s="627" t="s">
        <v>904</v>
      </c>
      <c r="E327" s="61" t="s">
        <v>15</v>
      </c>
      <c r="F327" s="61"/>
      <c r="G327" s="655"/>
      <c r="H327" s="635">
        <v>1270080.378</v>
      </c>
      <c r="I327" s="635"/>
      <c r="J327" s="635">
        <f t="shared" si="10"/>
        <v>1270080.378</v>
      </c>
      <c r="K327" s="635"/>
      <c r="L327" s="655"/>
      <c r="M327" s="655">
        <f t="shared" si="11"/>
        <v>1270080.378</v>
      </c>
      <c r="N327" s="627"/>
      <c r="O327" s="636"/>
    </row>
    <row r="328" spans="1:15" s="242" customFormat="1" ht="14.25" customHeight="1">
      <c r="A328" s="624">
        <v>135</v>
      </c>
      <c r="B328" s="625" t="e">
        <f>VLOOKUP(D328,'[1]DS CN MOI UP'!$B$11:$C$447,2,0)</f>
        <v>#N/A</v>
      </c>
      <c r="C328" s="626" t="s">
        <v>651</v>
      </c>
      <c r="D328" s="627" t="s">
        <v>905</v>
      </c>
      <c r="E328" s="61" t="s">
        <v>15</v>
      </c>
      <c r="F328" s="61"/>
      <c r="G328" s="655"/>
      <c r="H328" s="635">
        <v>1088677.8</v>
      </c>
      <c r="I328" s="635"/>
      <c r="J328" s="635">
        <f t="shared" si="10"/>
        <v>1088677.8</v>
      </c>
      <c r="K328" s="635"/>
      <c r="L328" s="655"/>
      <c r="M328" s="655">
        <f t="shared" si="11"/>
        <v>1088677.8</v>
      </c>
      <c r="N328" s="627"/>
      <c r="O328" s="636"/>
    </row>
    <row r="329" spans="1:15" s="242" customFormat="1" ht="14.25" customHeight="1">
      <c r="A329" s="624">
        <v>136</v>
      </c>
      <c r="B329" s="625" t="str">
        <f>VLOOKUP(D329,'[1]DS CN MOI UP'!$B$11:$C$447,2,0)</f>
        <v>02669</v>
      </c>
      <c r="C329" s="626" t="s">
        <v>651</v>
      </c>
      <c r="D329" s="627" t="s">
        <v>450</v>
      </c>
      <c r="E329" s="61" t="s">
        <v>15</v>
      </c>
      <c r="F329" s="61"/>
      <c r="G329" s="655"/>
      <c r="H329" s="655">
        <v>1148746.1980000001</v>
      </c>
      <c r="I329" s="635"/>
      <c r="J329" s="635">
        <f t="shared" si="10"/>
        <v>1148746.1980000001</v>
      </c>
      <c r="K329" s="635"/>
      <c r="L329" s="655"/>
      <c r="M329" s="655">
        <f t="shared" si="11"/>
        <v>1148746.1980000001</v>
      </c>
      <c r="N329" s="627"/>
      <c r="O329" s="636"/>
    </row>
    <row r="330" spans="1:15" s="242" customFormat="1" ht="14.25" customHeight="1">
      <c r="A330" s="624">
        <v>137</v>
      </c>
      <c r="B330" s="625" t="e">
        <f>VLOOKUP(D330,'[1]DS CN MOI UP'!$B$11:$C$447,2,0)</f>
        <v>#N/A</v>
      </c>
      <c r="C330" s="626" t="s">
        <v>651</v>
      </c>
      <c r="D330" s="627" t="s">
        <v>906</v>
      </c>
      <c r="E330" s="61" t="s">
        <v>15</v>
      </c>
      <c r="F330" s="61"/>
      <c r="G330" s="655"/>
      <c r="H330" s="655">
        <v>1270080.378</v>
      </c>
      <c r="I330" s="635"/>
      <c r="J330" s="635">
        <f t="shared" si="10"/>
        <v>1270080.378</v>
      </c>
      <c r="K330" s="635"/>
      <c r="L330" s="655"/>
      <c r="M330" s="655">
        <f t="shared" si="11"/>
        <v>1270080.378</v>
      </c>
      <c r="N330" s="627"/>
      <c r="O330" s="636"/>
    </row>
    <row r="331" spans="1:15" s="242" customFormat="1" ht="14.25" customHeight="1">
      <c r="A331" s="624">
        <v>138</v>
      </c>
      <c r="B331" s="625" t="e">
        <f>VLOOKUP(D331,'[1]DS CN MOI UP'!$B$11:$C$447,2,0)</f>
        <v>#N/A</v>
      </c>
      <c r="C331" s="626" t="s">
        <v>651</v>
      </c>
      <c r="D331" s="627" t="s">
        <v>907</v>
      </c>
      <c r="E331" s="61" t="s">
        <v>15</v>
      </c>
      <c r="F331" s="61"/>
      <c r="G331" s="655"/>
      <c r="H331" s="655">
        <v>1128677.8</v>
      </c>
      <c r="I331" s="635"/>
      <c r="J331" s="635">
        <f t="shared" si="10"/>
        <v>1128677.8</v>
      </c>
      <c r="K331" s="635"/>
      <c r="L331" s="655"/>
      <c r="M331" s="655">
        <f t="shared" si="11"/>
        <v>1128677.8</v>
      </c>
      <c r="N331" s="627"/>
      <c r="O331" s="636"/>
    </row>
    <row r="332" spans="1:15" s="242" customFormat="1" ht="14.25" customHeight="1">
      <c r="A332" s="624">
        <v>139</v>
      </c>
      <c r="B332" s="625" t="e">
        <f>VLOOKUP(D332,'[1]DS CN MOI UP'!$B$11:$C$447,2,0)</f>
        <v>#N/A</v>
      </c>
      <c r="C332" s="626" t="s">
        <v>651</v>
      </c>
      <c r="D332" s="627" t="s">
        <v>506</v>
      </c>
      <c r="E332" s="61" t="s">
        <v>15</v>
      </c>
      <c r="F332" s="61"/>
      <c r="G332" s="655"/>
      <c r="H332" s="655">
        <v>1189145.3259999999</v>
      </c>
      <c r="I332" s="635"/>
      <c r="J332" s="635">
        <f t="shared" si="10"/>
        <v>1189145.3259999999</v>
      </c>
      <c r="K332" s="635"/>
      <c r="L332" s="655"/>
      <c r="M332" s="655">
        <f t="shared" si="11"/>
        <v>1189145.3259999999</v>
      </c>
      <c r="N332" s="627"/>
      <c r="O332" s="636"/>
    </row>
    <row r="333" spans="1:15" s="242" customFormat="1" ht="14.25" customHeight="1">
      <c r="A333" s="624">
        <v>140</v>
      </c>
      <c r="B333" s="625" t="str">
        <f>VLOOKUP(D333,'[1]DS CN MOI UP'!$B$11:$C$447,2,0)</f>
        <v>03291</v>
      </c>
      <c r="C333" s="626" t="s">
        <v>651</v>
      </c>
      <c r="D333" s="627" t="s">
        <v>454</v>
      </c>
      <c r="E333" s="61" t="s">
        <v>15</v>
      </c>
      <c r="F333" s="61"/>
      <c r="G333" s="655"/>
      <c r="H333" s="655">
        <v>1249612.852</v>
      </c>
      <c r="I333" s="635"/>
      <c r="J333" s="635">
        <f t="shared" si="10"/>
        <v>1249612.852</v>
      </c>
      <c r="K333" s="635"/>
      <c r="L333" s="655"/>
      <c r="M333" s="655">
        <f t="shared" si="11"/>
        <v>1249612.852</v>
      </c>
      <c r="N333" s="627"/>
      <c r="O333" s="636"/>
    </row>
    <row r="334" spans="1:15" s="242" customFormat="1" ht="14.25" customHeight="1">
      <c r="A334" s="624">
        <v>141</v>
      </c>
      <c r="B334" s="625" t="e">
        <f>VLOOKUP(D334,'[1]DS CN MOI UP'!$B$11:$C$447,2,0)</f>
        <v>#N/A</v>
      </c>
      <c r="C334" s="626" t="s">
        <v>651</v>
      </c>
      <c r="D334" s="627" t="s">
        <v>908</v>
      </c>
      <c r="E334" s="61" t="s">
        <v>15</v>
      </c>
      <c r="F334" s="61"/>
      <c r="G334" s="655"/>
      <c r="H334" s="655">
        <v>1159179.5249999999</v>
      </c>
      <c r="I334" s="635"/>
      <c r="J334" s="635">
        <f t="shared" si="10"/>
        <v>1159179.5249999999</v>
      </c>
      <c r="K334" s="635"/>
      <c r="L334" s="655"/>
      <c r="M334" s="655">
        <f t="shared" si="11"/>
        <v>1159179.5249999999</v>
      </c>
      <c r="N334" s="627"/>
      <c r="O334" s="636"/>
    </row>
    <row r="335" spans="1:15" s="242" customFormat="1" ht="14.25" customHeight="1">
      <c r="A335" s="624">
        <v>142</v>
      </c>
      <c r="B335" s="625" t="str">
        <f>VLOOKUP(D335,'[1]DS CN MOI UP'!$B$11:$C$447,2,0)</f>
        <v>03314</v>
      </c>
      <c r="C335" s="626" t="s">
        <v>654</v>
      </c>
      <c r="D335" s="627" t="s">
        <v>909</v>
      </c>
      <c r="E335" s="61" t="s">
        <v>15</v>
      </c>
      <c r="F335" s="61"/>
      <c r="G335" s="655"/>
      <c r="H335" s="635">
        <v>1159179.5249999999</v>
      </c>
      <c r="I335" s="635"/>
      <c r="J335" s="635">
        <f t="shared" si="10"/>
        <v>1159179.5249999999</v>
      </c>
      <c r="K335" s="635"/>
      <c r="L335" s="655"/>
      <c r="M335" s="655">
        <f t="shared" si="11"/>
        <v>1159179.5249999999</v>
      </c>
      <c r="N335" s="627"/>
      <c r="O335" s="636"/>
    </row>
    <row r="336" spans="1:15" s="242" customFormat="1" ht="14.25" customHeight="1">
      <c r="A336" s="624">
        <v>143</v>
      </c>
      <c r="B336" s="625" t="e">
        <f>VLOOKUP(D336,'[1]DS CN MOI UP'!$B$11:$C$447,2,0)</f>
        <v>#N/A</v>
      </c>
      <c r="C336" s="626" t="s">
        <v>654</v>
      </c>
      <c r="D336" s="627" t="s">
        <v>910</v>
      </c>
      <c r="E336" s="61" t="s">
        <v>15</v>
      </c>
      <c r="F336" s="61"/>
      <c r="G336" s="655"/>
      <c r="H336" s="635">
        <v>1159179.5249999999</v>
      </c>
      <c r="I336" s="635"/>
      <c r="J336" s="635">
        <f t="shared" si="10"/>
        <v>1159179.5249999999</v>
      </c>
      <c r="K336" s="635"/>
      <c r="L336" s="655"/>
      <c r="M336" s="655">
        <f t="shared" si="11"/>
        <v>1159179.5249999999</v>
      </c>
      <c r="N336" s="627"/>
      <c r="O336" s="636"/>
    </row>
    <row r="337" spans="1:17" s="242" customFormat="1" ht="14.25" customHeight="1">
      <c r="A337" s="624">
        <v>144</v>
      </c>
      <c r="B337" s="625" t="str">
        <f>VLOOKUP(D337,'[1]DS CN MOI UP'!$B$11:$C$447,2,0)</f>
        <v>02673</v>
      </c>
      <c r="C337" s="626" t="s">
        <v>651</v>
      </c>
      <c r="D337" s="627" t="s">
        <v>438</v>
      </c>
      <c r="E337" s="61" t="s">
        <v>15</v>
      </c>
      <c r="F337" s="61"/>
      <c r="G337" s="655"/>
      <c r="H337" s="635">
        <v>1239846.615</v>
      </c>
      <c r="I337" s="635"/>
      <c r="J337" s="635">
        <f t="shared" si="10"/>
        <v>1239846.615</v>
      </c>
      <c r="K337" s="635"/>
      <c r="L337" s="655"/>
      <c r="M337" s="655">
        <f t="shared" si="11"/>
        <v>1239846.615</v>
      </c>
      <c r="N337" s="627"/>
      <c r="O337" s="636"/>
    </row>
    <row r="338" spans="1:17" s="242" customFormat="1" ht="14.25" customHeight="1">
      <c r="A338" s="624">
        <v>145</v>
      </c>
      <c r="B338" s="625" t="e">
        <f>VLOOKUP(D338,'[1]DS CN MOI UP'!$B$11:$C$447,2,0)</f>
        <v>#N/A</v>
      </c>
      <c r="C338" s="626" t="s">
        <v>651</v>
      </c>
      <c r="D338" s="627" t="s">
        <v>911</v>
      </c>
      <c r="E338" s="61" t="s">
        <v>15</v>
      </c>
      <c r="F338" s="61"/>
      <c r="G338" s="655"/>
      <c r="H338" s="635">
        <v>1149145.3259999999</v>
      </c>
      <c r="I338" s="635"/>
      <c r="J338" s="635">
        <f t="shared" si="10"/>
        <v>1149145.3259999999</v>
      </c>
      <c r="K338" s="635"/>
      <c r="L338" s="655"/>
      <c r="M338" s="655">
        <f t="shared" si="11"/>
        <v>1149145.3259999999</v>
      </c>
      <c r="N338" s="627"/>
      <c r="O338" s="636"/>
    </row>
    <row r="339" spans="1:17" s="242" customFormat="1" ht="14.25" customHeight="1">
      <c r="A339" s="624">
        <v>146</v>
      </c>
      <c r="B339" s="625" t="str">
        <f>VLOOKUP(D339,'[1]DS CN MOI UP'!$B$11:$C$447,2,0)</f>
        <v>03287</v>
      </c>
      <c r="C339" s="626" t="s">
        <v>651</v>
      </c>
      <c r="D339" s="627" t="s">
        <v>447</v>
      </c>
      <c r="E339" s="61" t="s">
        <v>15</v>
      </c>
      <c r="F339" s="61"/>
      <c r="G339" s="655"/>
      <c r="H339" s="635">
        <v>1108746.1980000001</v>
      </c>
      <c r="I339" s="635"/>
      <c r="J339" s="635">
        <f t="shared" si="10"/>
        <v>1108746.1980000001</v>
      </c>
      <c r="K339" s="635"/>
      <c r="L339" s="655"/>
      <c r="M339" s="655">
        <f t="shared" si="11"/>
        <v>1108746.1980000001</v>
      </c>
      <c r="N339" s="627"/>
      <c r="O339" s="636"/>
    </row>
    <row r="340" spans="1:17" s="242" customFormat="1" ht="14.25" customHeight="1">
      <c r="A340" s="624">
        <v>147</v>
      </c>
      <c r="B340" s="625" t="str">
        <f>VLOOKUP(D340,'[1]DS CN MOI UP'!$B$11:$C$447,2,0)</f>
        <v>03849</v>
      </c>
      <c r="C340" s="626" t="s">
        <v>912</v>
      </c>
      <c r="D340" s="61" t="s">
        <v>348</v>
      </c>
      <c r="E340" s="630" t="s">
        <v>15</v>
      </c>
      <c r="F340" s="630"/>
      <c r="G340" s="655"/>
      <c r="H340" s="635">
        <v>1108746.1980000001</v>
      </c>
      <c r="I340" s="635"/>
      <c r="J340" s="635">
        <f t="shared" si="10"/>
        <v>1108746.1980000001</v>
      </c>
      <c r="K340" s="635"/>
      <c r="L340" s="635"/>
      <c r="M340" s="655">
        <f t="shared" si="11"/>
        <v>1108746.1980000001</v>
      </c>
      <c r="N340" s="61"/>
      <c r="O340" s="636"/>
      <c r="P340" s="1130">
        <v>-49659.449199914903</v>
      </c>
      <c r="Q340" s="1130">
        <v>326680.24640008801</v>
      </c>
    </row>
    <row r="341" spans="1:17" s="242" customFormat="1" ht="14.25" customHeight="1">
      <c r="A341" s="624">
        <v>148</v>
      </c>
      <c r="B341" s="625" t="str">
        <f>VLOOKUP(D341,'[1]DS CN MOI UP'!$B$11:$C$447,2,0)</f>
        <v>03301</v>
      </c>
      <c r="C341" s="626" t="s">
        <v>912</v>
      </c>
      <c r="D341" s="61" t="s">
        <v>464</v>
      </c>
      <c r="E341" s="630" t="s">
        <v>15</v>
      </c>
      <c r="F341" s="630"/>
      <c r="G341" s="655"/>
      <c r="H341" s="635">
        <v>1270080.378</v>
      </c>
      <c r="I341" s="635"/>
      <c r="J341" s="635">
        <f t="shared" si="10"/>
        <v>1270080.378</v>
      </c>
      <c r="K341" s="635"/>
      <c r="L341" s="635"/>
      <c r="M341" s="655">
        <f t="shared" si="11"/>
        <v>1270080.378</v>
      </c>
      <c r="N341" s="61"/>
      <c r="O341" s="636"/>
      <c r="Q341" s="636" t="e">
        <f>-Q194</f>
        <v>#REF!</v>
      </c>
    </row>
    <row r="342" spans="1:17" s="242" customFormat="1" ht="14.25" customHeight="1">
      <c r="A342" s="624">
        <v>149</v>
      </c>
      <c r="B342" s="625" t="str">
        <f>VLOOKUP(D342,'[1]DS CN MOI UP'!$B$11:$C$447,2,0)</f>
        <v>03298</v>
      </c>
      <c r="C342" s="626" t="s">
        <v>912</v>
      </c>
      <c r="D342" s="61" t="s">
        <v>461</v>
      </c>
      <c r="E342" s="630" t="s">
        <v>15</v>
      </c>
      <c r="F342" s="630"/>
      <c r="G342" s="655"/>
      <c r="H342" s="635">
        <v>1088677.8</v>
      </c>
      <c r="I342" s="635"/>
      <c r="J342" s="635">
        <f t="shared" si="10"/>
        <v>1088677.8</v>
      </c>
      <c r="K342" s="635"/>
      <c r="L342" s="635"/>
      <c r="M342" s="655">
        <f t="shared" si="11"/>
        <v>1088677.8</v>
      </c>
      <c r="N342" s="61"/>
      <c r="O342" s="636"/>
    </row>
    <row r="343" spans="1:17" s="242" customFormat="1" ht="14.25" customHeight="1">
      <c r="A343" s="624">
        <v>150</v>
      </c>
      <c r="B343" s="625" t="e">
        <f>VLOOKUP(D343,'[1]DS CN MOI UP'!$B$11:$C$447,2,0)</f>
        <v>#N/A</v>
      </c>
      <c r="C343" s="626" t="s">
        <v>912</v>
      </c>
      <c r="D343" s="61" t="s">
        <v>913</v>
      </c>
      <c r="E343" s="630" t="s">
        <v>15</v>
      </c>
      <c r="F343" s="630"/>
      <c r="G343" s="655"/>
      <c r="H343" s="655">
        <v>1148746.1980000001</v>
      </c>
      <c r="I343" s="655"/>
      <c r="J343" s="635">
        <f t="shared" si="10"/>
        <v>1148746.1980000001</v>
      </c>
      <c r="K343" s="635"/>
      <c r="L343" s="635"/>
      <c r="M343" s="655">
        <f t="shared" si="11"/>
        <v>1148746.1980000001</v>
      </c>
      <c r="N343" s="61"/>
      <c r="O343" s="636"/>
    </row>
    <row r="344" spans="1:17" s="242" customFormat="1" ht="14.25" customHeight="1">
      <c r="A344" s="624">
        <v>151</v>
      </c>
      <c r="B344" s="625" t="e">
        <f>VLOOKUP(D344,'[1]DS CN MOI UP'!$B$11:$C$447,2,0)</f>
        <v>#N/A</v>
      </c>
      <c r="C344" s="626" t="s">
        <v>912</v>
      </c>
      <c r="D344" s="61" t="s">
        <v>914</v>
      </c>
      <c r="E344" s="630" t="s">
        <v>15</v>
      </c>
      <c r="F344" s="630"/>
      <c r="G344" s="655"/>
      <c r="H344" s="655">
        <v>1270080.378</v>
      </c>
      <c r="I344" s="655"/>
      <c r="J344" s="635">
        <f t="shared" si="10"/>
        <v>1270080.378</v>
      </c>
      <c r="K344" s="635"/>
      <c r="L344" s="635"/>
      <c r="M344" s="655">
        <f t="shared" si="11"/>
        <v>1270080.378</v>
      </c>
      <c r="N344" s="61"/>
      <c r="O344" s="636"/>
    </row>
    <row r="345" spans="1:17" s="242" customFormat="1" ht="14.25" customHeight="1">
      <c r="A345" s="624">
        <v>152</v>
      </c>
      <c r="B345" s="625" t="e">
        <f>VLOOKUP(D345,'[1]DS CN MOI UP'!$B$11:$C$447,2,0)</f>
        <v>#N/A</v>
      </c>
      <c r="C345" s="626" t="s">
        <v>912</v>
      </c>
      <c r="D345" s="61" t="s">
        <v>915</v>
      </c>
      <c r="E345" s="630" t="s">
        <v>15</v>
      </c>
      <c r="F345" s="630"/>
      <c r="G345" s="655"/>
      <c r="H345" s="655">
        <v>1128677.8</v>
      </c>
      <c r="I345" s="655"/>
      <c r="J345" s="635">
        <f t="shared" si="10"/>
        <v>1128677.8</v>
      </c>
      <c r="K345" s="635"/>
      <c r="L345" s="635"/>
      <c r="M345" s="655">
        <f t="shared" si="11"/>
        <v>1128677.8</v>
      </c>
      <c r="N345" s="61"/>
      <c r="O345" s="636"/>
    </row>
    <row r="346" spans="1:17" s="242" customFormat="1" ht="14.25" customHeight="1">
      <c r="A346" s="624">
        <v>153</v>
      </c>
      <c r="B346" s="625" t="e">
        <f>VLOOKUP(D346,'[1]DS CN MOI UP'!$B$11:$C$447,2,0)</f>
        <v>#N/A</v>
      </c>
      <c r="C346" s="626" t="s">
        <v>912</v>
      </c>
      <c r="D346" s="61" t="s">
        <v>916</v>
      </c>
      <c r="E346" s="630" t="s">
        <v>15</v>
      </c>
      <c r="F346" s="630"/>
      <c r="G346" s="655"/>
      <c r="H346" s="655">
        <v>1189145.3259999999</v>
      </c>
      <c r="I346" s="655"/>
      <c r="J346" s="635">
        <f t="shared" si="10"/>
        <v>1189145.3259999999</v>
      </c>
      <c r="K346" s="635"/>
      <c r="L346" s="635"/>
      <c r="M346" s="655">
        <f t="shared" si="11"/>
        <v>1189145.3259999999</v>
      </c>
      <c r="N346" s="61"/>
      <c r="O346" s="636"/>
    </row>
    <row r="347" spans="1:17" s="242" customFormat="1" ht="14.25" customHeight="1">
      <c r="A347" s="624">
        <v>154</v>
      </c>
      <c r="B347" s="625" t="e">
        <f>VLOOKUP(D347,'[1]DS CN MOI UP'!$B$11:$C$447,2,0)</f>
        <v>#N/A</v>
      </c>
      <c r="C347" s="626" t="s">
        <v>912</v>
      </c>
      <c r="D347" s="61" t="s">
        <v>917</v>
      </c>
      <c r="E347" s="630" t="s">
        <v>15</v>
      </c>
      <c r="F347" s="630"/>
      <c r="G347" s="655"/>
      <c r="H347" s="655">
        <v>1249612.852</v>
      </c>
      <c r="I347" s="655"/>
      <c r="J347" s="635">
        <f t="shared" si="10"/>
        <v>1249612.852</v>
      </c>
      <c r="K347" s="635"/>
      <c r="L347" s="635"/>
      <c r="M347" s="655">
        <f t="shared" si="11"/>
        <v>1249612.852</v>
      </c>
      <c r="N347" s="61"/>
      <c r="O347" s="636"/>
    </row>
    <row r="348" spans="1:17" s="242" customFormat="1" ht="14.25" customHeight="1">
      <c r="A348" s="624">
        <v>155</v>
      </c>
      <c r="B348" s="625" t="e">
        <f>VLOOKUP(D348,'[1]DS CN MOI UP'!$B$11:$C$447,2,0)</f>
        <v>#N/A</v>
      </c>
      <c r="C348" s="626" t="s">
        <v>918</v>
      </c>
      <c r="D348" s="61" t="s">
        <v>919</v>
      </c>
      <c r="E348" s="630" t="s">
        <v>15</v>
      </c>
      <c r="F348" s="630"/>
      <c r="G348" s="655"/>
      <c r="H348" s="655">
        <v>1159179.5249999999</v>
      </c>
      <c r="I348" s="655"/>
      <c r="J348" s="635">
        <f t="shared" si="10"/>
        <v>1159179.5249999999</v>
      </c>
      <c r="K348" s="635"/>
      <c r="L348" s="635"/>
      <c r="M348" s="655">
        <f t="shared" si="11"/>
        <v>1159179.5249999999</v>
      </c>
      <c r="N348" s="61"/>
      <c r="O348" s="636"/>
    </row>
    <row r="349" spans="1:17" s="242" customFormat="1" ht="14.25" customHeight="1">
      <c r="A349" s="624">
        <v>156</v>
      </c>
      <c r="B349" s="625" t="e">
        <f>VLOOKUP(D349,'[1]DS CN MOI UP'!$B$11:$C$447,2,0)</f>
        <v>#N/A</v>
      </c>
      <c r="C349" s="626" t="s">
        <v>918</v>
      </c>
      <c r="D349" s="61" t="s">
        <v>920</v>
      </c>
      <c r="E349" s="630" t="s">
        <v>15</v>
      </c>
      <c r="F349" s="630"/>
      <c r="G349" s="655"/>
      <c r="H349" s="635">
        <v>1159179.5249999999</v>
      </c>
      <c r="I349" s="655"/>
      <c r="J349" s="635">
        <f t="shared" si="10"/>
        <v>1159179.5249999999</v>
      </c>
      <c r="K349" s="635"/>
      <c r="L349" s="635"/>
      <c r="M349" s="655">
        <f t="shared" si="11"/>
        <v>1159179.5249999999</v>
      </c>
      <c r="N349" s="61"/>
      <c r="O349" s="636"/>
    </row>
    <row r="350" spans="1:17" s="242" customFormat="1" ht="14.25" customHeight="1">
      <c r="A350" s="624">
        <v>157</v>
      </c>
      <c r="B350" s="625" t="e">
        <f>VLOOKUP(D350,'[1]DS CN MOI UP'!$B$11:$C$447,2,0)</f>
        <v>#N/A</v>
      </c>
      <c r="C350" s="626" t="s">
        <v>918</v>
      </c>
      <c r="D350" s="61" t="s">
        <v>921</v>
      </c>
      <c r="E350" s="630" t="s">
        <v>15</v>
      </c>
      <c r="F350" s="630"/>
      <c r="G350" s="655"/>
      <c r="H350" s="635">
        <v>1159179.5249999999</v>
      </c>
      <c r="I350" s="655"/>
      <c r="J350" s="635">
        <f t="shared" si="10"/>
        <v>1159179.5249999999</v>
      </c>
      <c r="K350" s="635"/>
      <c r="L350" s="635"/>
      <c r="M350" s="655">
        <f t="shared" si="11"/>
        <v>1159179.5249999999</v>
      </c>
      <c r="N350" s="61"/>
      <c r="O350" s="636"/>
    </row>
    <row r="351" spans="1:17" s="242" customFormat="1" ht="14.25" customHeight="1">
      <c r="A351" s="624">
        <v>158</v>
      </c>
      <c r="B351" s="625" t="e">
        <f>VLOOKUP(D351,'[1]DS CN MOI UP'!$B$11:$C$447,2,0)</f>
        <v>#N/A</v>
      </c>
      <c r="C351" s="626" t="s">
        <v>912</v>
      </c>
      <c r="D351" s="61" t="s">
        <v>922</v>
      </c>
      <c r="E351" s="630" t="s">
        <v>15</v>
      </c>
      <c r="F351" s="630"/>
      <c r="G351" s="655"/>
      <c r="H351" s="655">
        <v>1128677.8</v>
      </c>
      <c r="I351" s="655"/>
      <c r="J351" s="635">
        <f t="shared" si="10"/>
        <v>1128677.8</v>
      </c>
      <c r="K351" s="635"/>
      <c r="L351" s="635"/>
      <c r="M351" s="655">
        <f t="shared" si="11"/>
        <v>1128677.8</v>
      </c>
      <c r="N351" s="61"/>
      <c r="O351" s="636"/>
    </row>
    <row r="352" spans="1:17" s="242" customFormat="1" ht="14.25" customHeight="1">
      <c r="A352" s="624">
        <v>159</v>
      </c>
      <c r="B352" s="625" t="e">
        <f>VLOOKUP(D352,'[1]DS CN MOI UP'!$B$11:$C$447,2,0)</f>
        <v>#N/A</v>
      </c>
      <c r="C352" s="626" t="s">
        <v>912</v>
      </c>
      <c r="D352" s="61" t="s">
        <v>923</v>
      </c>
      <c r="E352" s="630" t="s">
        <v>15</v>
      </c>
      <c r="F352" s="630"/>
      <c r="G352" s="655"/>
      <c r="H352" s="655">
        <v>1189145.3259999999</v>
      </c>
      <c r="I352" s="655"/>
      <c r="J352" s="635">
        <f t="shared" si="10"/>
        <v>1189145.3259999999</v>
      </c>
      <c r="K352" s="635"/>
      <c r="L352" s="635"/>
      <c r="M352" s="655">
        <f t="shared" si="11"/>
        <v>1189145.3259999999</v>
      </c>
      <c r="N352" s="61"/>
      <c r="O352" s="636"/>
    </row>
    <row r="353" spans="1:15" s="242" customFormat="1" ht="14.25" customHeight="1">
      <c r="A353" s="624">
        <v>160</v>
      </c>
      <c r="B353" s="625" t="e">
        <f>VLOOKUP(D353,'[1]DS CN MOI UP'!$B$11:$C$447,2,0)</f>
        <v>#N/A</v>
      </c>
      <c r="C353" s="626" t="s">
        <v>912</v>
      </c>
      <c r="D353" s="61" t="s">
        <v>924</v>
      </c>
      <c r="E353" s="630" t="s">
        <v>15</v>
      </c>
      <c r="F353" s="630"/>
      <c r="G353" s="655"/>
      <c r="H353" s="655">
        <v>1249612.852</v>
      </c>
      <c r="I353" s="655"/>
      <c r="J353" s="635">
        <f t="shared" si="10"/>
        <v>1249612.852</v>
      </c>
      <c r="K353" s="635"/>
      <c r="L353" s="635"/>
      <c r="M353" s="655">
        <f t="shared" si="11"/>
        <v>1249612.852</v>
      </c>
      <c r="N353" s="61"/>
      <c r="O353" s="636"/>
    </row>
    <row r="354" spans="1:15" s="242" customFormat="1" ht="14.25" customHeight="1">
      <c r="A354" s="624">
        <v>161</v>
      </c>
      <c r="B354" s="625" t="e">
        <f>VLOOKUP(D354,'[1]DS CN MOI UP'!$B$11:$C$447,2,0)</f>
        <v>#N/A</v>
      </c>
      <c r="C354" s="626" t="s">
        <v>918</v>
      </c>
      <c r="D354" s="61" t="s">
        <v>925</v>
      </c>
      <c r="E354" s="630" t="s">
        <v>15</v>
      </c>
      <c r="F354" s="630"/>
      <c r="G354" s="655"/>
      <c r="H354" s="655">
        <v>1159179.5249999999</v>
      </c>
      <c r="I354" s="655"/>
      <c r="J354" s="635">
        <f t="shared" si="10"/>
        <v>1159179.5249999999</v>
      </c>
      <c r="K354" s="635"/>
      <c r="L354" s="635"/>
      <c r="M354" s="655">
        <f t="shared" si="11"/>
        <v>1159179.5249999999</v>
      </c>
      <c r="N354" s="61"/>
      <c r="O354" s="636"/>
    </row>
    <row r="355" spans="1:15" s="242" customFormat="1" ht="14.25" customHeight="1">
      <c r="A355" s="624">
        <v>162</v>
      </c>
      <c r="B355" s="625" t="e">
        <f>VLOOKUP(D355,'[1]DS CN MOI UP'!$B$11:$C$447,2,0)</f>
        <v>#N/A</v>
      </c>
      <c r="C355" s="626" t="s">
        <v>918</v>
      </c>
      <c r="D355" s="61" t="s">
        <v>926</v>
      </c>
      <c r="E355" s="630" t="s">
        <v>15</v>
      </c>
      <c r="F355" s="630"/>
      <c r="G355" s="655"/>
      <c r="H355" s="635">
        <v>1159179.5249999999</v>
      </c>
      <c r="I355" s="655"/>
      <c r="J355" s="635">
        <f t="shared" si="10"/>
        <v>1159179.5249999999</v>
      </c>
      <c r="K355" s="635"/>
      <c r="L355" s="635"/>
      <c r="M355" s="655">
        <f t="shared" si="11"/>
        <v>1159179.5249999999</v>
      </c>
      <c r="N355" s="61"/>
      <c r="O355" s="636"/>
    </row>
    <row r="356" spans="1:15" s="242" customFormat="1" ht="14.25" customHeight="1">
      <c r="A356" s="624">
        <v>163</v>
      </c>
      <c r="B356" s="625" t="e">
        <f>VLOOKUP(D356,'[1]DS CN MOI UP'!$B$11:$C$447,2,0)</f>
        <v>#N/A</v>
      </c>
      <c r="C356" s="626" t="s">
        <v>918</v>
      </c>
      <c r="D356" s="61" t="s">
        <v>863</v>
      </c>
      <c r="E356" s="630" t="s">
        <v>15</v>
      </c>
      <c r="F356" s="630"/>
      <c r="G356" s="655"/>
      <c r="H356" s="635">
        <v>1159179.5249999999</v>
      </c>
      <c r="I356" s="655"/>
      <c r="J356" s="635">
        <f t="shared" si="10"/>
        <v>1159179.5249999999</v>
      </c>
      <c r="K356" s="635"/>
      <c r="L356" s="635"/>
      <c r="M356" s="655">
        <f t="shared" si="11"/>
        <v>1159179.5249999999</v>
      </c>
      <c r="N356" s="61"/>
      <c r="O356" s="636"/>
    </row>
    <row r="357" spans="1:15" s="242" customFormat="1" ht="14.25" customHeight="1">
      <c r="A357" s="624">
        <v>164</v>
      </c>
      <c r="B357" s="625" t="e">
        <f>VLOOKUP(D357,'[1]DS CN MOI UP'!$B$11:$C$447,2,0)</f>
        <v>#N/A</v>
      </c>
      <c r="C357" s="626" t="s">
        <v>654</v>
      </c>
      <c r="D357" s="627" t="s">
        <v>927</v>
      </c>
      <c r="E357" s="630" t="s">
        <v>15</v>
      </c>
      <c r="F357" s="61"/>
      <c r="G357" s="655"/>
      <c r="H357" s="635">
        <v>1048278.672</v>
      </c>
      <c r="I357" s="635"/>
      <c r="J357" s="635">
        <f t="shared" si="10"/>
        <v>1048278.672</v>
      </c>
      <c r="K357" s="635"/>
      <c r="L357" s="655"/>
      <c r="M357" s="655">
        <f t="shared" ref="M357:M430" si="12">J357-L357</f>
        <v>1048278.672</v>
      </c>
      <c r="N357" s="627"/>
      <c r="O357" s="636"/>
    </row>
    <row r="358" spans="1:15" s="242" customFormat="1" ht="14.25" customHeight="1">
      <c r="A358" s="624">
        <v>165</v>
      </c>
      <c r="B358" s="625" t="e">
        <f>VLOOKUP(D358,'[1]DS CN MOI UP'!$B$11:$C$447,2,0)</f>
        <v>#N/A</v>
      </c>
      <c r="C358" s="626" t="s">
        <v>654</v>
      </c>
      <c r="D358" s="627" t="s">
        <v>928</v>
      </c>
      <c r="E358" s="630" t="s">
        <v>15</v>
      </c>
      <c r="F358" s="61"/>
      <c r="G358" s="655"/>
      <c r="H358" s="635">
        <v>1159179.5249999999</v>
      </c>
      <c r="I358" s="635"/>
      <c r="J358" s="635">
        <f t="shared" si="10"/>
        <v>1159179.5249999999</v>
      </c>
      <c r="K358" s="635"/>
      <c r="L358" s="655"/>
      <c r="M358" s="655">
        <f t="shared" si="12"/>
        <v>1159179.5249999999</v>
      </c>
      <c r="N358" s="627"/>
      <c r="O358" s="636"/>
    </row>
    <row r="359" spans="1:15" s="242" customFormat="1" ht="14.25" customHeight="1">
      <c r="A359" s="624">
        <v>166</v>
      </c>
      <c r="B359" s="625" t="e">
        <f>VLOOKUP(D359,'[1]DS CN MOI UP'!$B$11:$C$447,2,0)</f>
        <v>#N/A</v>
      </c>
      <c r="C359" s="626" t="s">
        <v>654</v>
      </c>
      <c r="D359" s="627" t="s">
        <v>929</v>
      </c>
      <c r="E359" s="630" t="s">
        <v>15</v>
      </c>
      <c r="F359" s="61"/>
      <c r="G359" s="655"/>
      <c r="H359" s="635">
        <v>1159179.5249999999</v>
      </c>
      <c r="I359" s="635"/>
      <c r="J359" s="635">
        <f t="shared" si="10"/>
        <v>1159179.5249999999</v>
      </c>
      <c r="K359" s="635"/>
      <c r="L359" s="655"/>
      <c r="M359" s="655">
        <f t="shared" si="12"/>
        <v>1159179.5249999999</v>
      </c>
      <c r="N359" s="627"/>
      <c r="O359" s="636"/>
    </row>
    <row r="360" spans="1:15" s="242" customFormat="1" ht="14.25" customHeight="1">
      <c r="A360" s="624">
        <v>167</v>
      </c>
      <c r="B360" s="625" t="e">
        <f>VLOOKUP(D360,'[1]DS CN MOI UP'!$B$11:$C$447,2,0)</f>
        <v>#N/A</v>
      </c>
      <c r="C360" s="626" t="s">
        <v>654</v>
      </c>
      <c r="D360" s="627" t="s">
        <v>930</v>
      </c>
      <c r="E360" s="630" t="s">
        <v>15</v>
      </c>
      <c r="F360" s="61"/>
      <c r="G360" s="655"/>
      <c r="H360" s="635">
        <v>1159179.5249999999</v>
      </c>
      <c r="I360" s="635"/>
      <c r="J360" s="635">
        <f t="shared" si="10"/>
        <v>1159179.5249999999</v>
      </c>
      <c r="K360" s="635"/>
      <c r="L360" s="655"/>
      <c r="M360" s="655">
        <f t="shared" si="12"/>
        <v>1159179.5249999999</v>
      </c>
      <c r="N360" s="627"/>
      <c r="O360" s="636"/>
    </row>
    <row r="361" spans="1:15" s="242" customFormat="1" ht="14.25" customHeight="1">
      <c r="A361" s="624">
        <v>168</v>
      </c>
      <c r="B361" s="625" t="e">
        <f>VLOOKUP(D361,'[1]DS CN MOI UP'!$B$11:$C$447,2,0)</f>
        <v>#N/A</v>
      </c>
      <c r="C361" s="626" t="s">
        <v>654</v>
      </c>
      <c r="D361" s="627" t="s">
        <v>931</v>
      </c>
      <c r="E361" s="630" t="s">
        <v>15</v>
      </c>
      <c r="F361" s="61"/>
      <c r="G361" s="655"/>
      <c r="H361" s="635">
        <v>1159179.5249999999</v>
      </c>
      <c r="I361" s="635"/>
      <c r="J361" s="635">
        <f t="shared" si="10"/>
        <v>1159179.5249999999</v>
      </c>
      <c r="K361" s="635"/>
      <c r="L361" s="655"/>
      <c r="M361" s="655">
        <f t="shared" si="12"/>
        <v>1159179.5249999999</v>
      </c>
      <c r="N361" s="627"/>
      <c r="O361" s="636"/>
    </row>
    <row r="362" spans="1:15" s="242" customFormat="1" ht="14.25" customHeight="1">
      <c r="A362" s="624">
        <v>169</v>
      </c>
      <c r="B362" s="625" t="e">
        <f>VLOOKUP(D362,'[1]DS CN MOI UP'!$B$11:$C$447,2,0)</f>
        <v>#N/A</v>
      </c>
      <c r="C362" s="626" t="s">
        <v>654</v>
      </c>
      <c r="D362" s="627" t="s">
        <v>932</v>
      </c>
      <c r="E362" s="630" t="s">
        <v>15</v>
      </c>
      <c r="F362" s="61"/>
      <c r="G362" s="655"/>
      <c r="H362" s="635">
        <v>1159179.5249999999</v>
      </c>
      <c r="I362" s="635"/>
      <c r="J362" s="635">
        <f t="shared" si="10"/>
        <v>1159179.5249999999</v>
      </c>
      <c r="K362" s="635"/>
      <c r="L362" s="655"/>
      <c r="M362" s="655">
        <f t="shared" si="12"/>
        <v>1159179.5249999999</v>
      </c>
      <c r="N362" s="627"/>
      <c r="O362" s="636"/>
    </row>
    <row r="363" spans="1:15" s="242" customFormat="1" ht="14.25" customHeight="1">
      <c r="A363" s="624">
        <v>170</v>
      </c>
      <c r="B363" s="625" t="e">
        <f>VLOOKUP(D363,'[1]DS CN MOI UP'!$B$11:$C$447,2,0)</f>
        <v>#N/A</v>
      </c>
      <c r="C363" s="626" t="s">
        <v>654</v>
      </c>
      <c r="D363" s="627" t="s">
        <v>933</v>
      </c>
      <c r="E363" s="630" t="s">
        <v>15</v>
      </c>
      <c r="F363" s="61"/>
      <c r="G363" s="655"/>
      <c r="H363" s="635">
        <v>1159179.5249999999</v>
      </c>
      <c r="I363" s="635"/>
      <c r="J363" s="635">
        <f t="shared" si="10"/>
        <v>1159179.5249999999</v>
      </c>
      <c r="K363" s="635"/>
      <c r="L363" s="655"/>
      <c r="M363" s="655">
        <f t="shared" si="12"/>
        <v>1159179.5249999999</v>
      </c>
      <c r="N363" s="627"/>
      <c r="O363" s="636"/>
    </row>
    <row r="364" spans="1:15" s="242" customFormat="1" ht="14.25" customHeight="1">
      <c r="A364" s="624">
        <v>171</v>
      </c>
      <c r="B364" s="625" t="e">
        <f>VLOOKUP(D364,'[1]DS CN MOI UP'!$B$11:$C$447,2,0)</f>
        <v>#N/A</v>
      </c>
      <c r="C364" s="626" t="s">
        <v>654</v>
      </c>
      <c r="D364" s="627" t="s">
        <v>934</v>
      </c>
      <c r="E364" s="630" t="s">
        <v>15</v>
      </c>
      <c r="F364" s="61"/>
      <c r="G364" s="655"/>
      <c r="H364" s="635">
        <v>1249880.814</v>
      </c>
      <c r="I364" s="635"/>
      <c r="J364" s="635">
        <f t="shared" si="10"/>
        <v>1249880.814</v>
      </c>
      <c r="K364" s="635"/>
      <c r="L364" s="655"/>
      <c r="M364" s="655">
        <f t="shared" si="12"/>
        <v>1249880.814</v>
      </c>
      <c r="N364" s="627"/>
      <c r="O364" s="636"/>
    </row>
    <row r="365" spans="1:15" s="242" customFormat="1" ht="14.25" customHeight="1">
      <c r="A365" s="624">
        <v>172</v>
      </c>
      <c r="B365" s="625" t="e">
        <f>VLOOKUP(D365,'[1]DS CN MOI UP'!$B$11:$C$447,2,0)</f>
        <v>#N/A</v>
      </c>
      <c r="C365" s="626" t="s">
        <v>654</v>
      </c>
      <c r="D365" s="627" t="s">
        <v>935</v>
      </c>
      <c r="E365" s="630" t="s">
        <v>15</v>
      </c>
      <c r="F365" s="61"/>
      <c r="G365" s="655"/>
      <c r="H365" s="635">
        <v>1108746.1980000001</v>
      </c>
      <c r="I365" s="635"/>
      <c r="J365" s="635">
        <f t="shared" si="10"/>
        <v>1108746.1980000001</v>
      </c>
      <c r="K365" s="635"/>
      <c r="L365" s="655"/>
      <c r="M365" s="655">
        <f t="shared" si="12"/>
        <v>1108746.1980000001</v>
      </c>
      <c r="N365" s="627"/>
      <c r="O365" s="636"/>
    </row>
    <row r="366" spans="1:15" s="242" customFormat="1" ht="14.25" customHeight="1">
      <c r="A366" s="624">
        <v>173</v>
      </c>
      <c r="B366" s="625" t="e">
        <f>VLOOKUP(D366,'[1]DS CN MOI UP'!$B$11:$C$447,2,0)</f>
        <v>#N/A</v>
      </c>
      <c r="C366" s="626" t="s">
        <v>654</v>
      </c>
      <c r="D366" s="627" t="s">
        <v>936</v>
      </c>
      <c r="E366" s="630" t="s">
        <v>15</v>
      </c>
      <c r="F366" s="61"/>
      <c r="G366" s="655"/>
      <c r="H366" s="635">
        <v>1108746.1980000001</v>
      </c>
      <c r="I366" s="635"/>
      <c r="J366" s="635">
        <f t="shared" si="10"/>
        <v>1108746.1980000001</v>
      </c>
      <c r="K366" s="635"/>
      <c r="L366" s="655"/>
      <c r="M366" s="655">
        <f t="shared" si="12"/>
        <v>1108746.1980000001</v>
      </c>
      <c r="N366" s="627"/>
      <c r="O366" s="636"/>
    </row>
    <row r="367" spans="1:15" s="242" customFormat="1" ht="14.25" customHeight="1">
      <c r="A367" s="624">
        <v>174</v>
      </c>
      <c r="B367" s="625" t="e">
        <f>VLOOKUP(D367,'[1]DS CN MOI UP'!$B$11:$C$447,2,0)</f>
        <v>#N/A</v>
      </c>
      <c r="C367" s="626" t="s">
        <v>654</v>
      </c>
      <c r="D367" s="627" t="s">
        <v>937</v>
      </c>
      <c r="E367" s="630" t="s">
        <v>15</v>
      </c>
      <c r="F367" s="61"/>
      <c r="G367" s="655"/>
      <c r="H367" s="635">
        <v>1108746.1980000001</v>
      </c>
      <c r="I367" s="635"/>
      <c r="J367" s="635">
        <f t="shared" si="10"/>
        <v>1108746.1980000001</v>
      </c>
      <c r="K367" s="635"/>
      <c r="L367" s="655"/>
      <c r="M367" s="655">
        <f t="shared" si="12"/>
        <v>1108746.1980000001</v>
      </c>
      <c r="N367" s="627"/>
      <c r="O367" s="636"/>
    </row>
    <row r="368" spans="1:15" s="242" customFormat="1" ht="14.25" customHeight="1">
      <c r="A368" s="624">
        <v>175</v>
      </c>
      <c r="B368" s="625" t="e">
        <f>VLOOKUP(D368,'[1]DS CN MOI UP'!$B$11:$C$447,2,0)</f>
        <v>#N/A</v>
      </c>
      <c r="C368" s="626" t="s">
        <v>654</v>
      </c>
      <c r="D368" s="627" t="s">
        <v>938</v>
      </c>
      <c r="E368" s="630" t="s">
        <v>15</v>
      </c>
      <c r="F368" s="61"/>
      <c r="G368" s="655"/>
      <c r="H368" s="635">
        <v>1270080.378</v>
      </c>
      <c r="I368" s="635"/>
      <c r="J368" s="635">
        <f t="shared" si="10"/>
        <v>1270080.378</v>
      </c>
      <c r="K368" s="635"/>
      <c r="L368" s="655"/>
      <c r="M368" s="655">
        <f t="shared" si="12"/>
        <v>1270080.378</v>
      </c>
      <c r="N368" s="627"/>
      <c r="O368" s="636"/>
    </row>
    <row r="369" spans="1:15" s="242" customFormat="1" ht="14.25" customHeight="1">
      <c r="A369" s="624">
        <v>176</v>
      </c>
      <c r="B369" s="625" t="e">
        <f>VLOOKUP(D369,'[1]DS CN MOI UP'!$B$11:$C$447,2,0)</f>
        <v>#N/A</v>
      </c>
      <c r="C369" s="626" t="s">
        <v>654</v>
      </c>
      <c r="D369" s="627" t="s">
        <v>939</v>
      </c>
      <c r="E369" s="630" t="s">
        <v>15</v>
      </c>
      <c r="F369" s="61"/>
      <c r="G369" s="655"/>
      <c r="H369" s="635">
        <v>1088677.8</v>
      </c>
      <c r="I369" s="635"/>
      <c r="J369" s="635">
        <f t="shared" si="10"/>
        <v>1088677.8</v>
      </c>
      <c r="K369" s="635"/>
      <c r="L369" s="655"/>
      <c r="M369" s="655">
        <f t="shared" si="12"/>
        <v>1088677.8</v>
      </c>
      <c r="N369" s="627"/>
      <c r="O369" s="636"/>
    </row>
    <row r="370" spans="1:15" s="242" customFormat="1" ht="14.25" customHeight="1">
      <c r="A370" s="624">
        <v>177</v>
      </c>
      <c r="B370" s="625" t="e">
        <f>VLOOKUP(D370,'[1]DS CN MOI UP'!$B$11:$C$447,2,0)</f>
        <v>#N/A</v>
      </c>
      <c r="C370" s="626" t="s">
        <v>654</v>
      </c>
      <c r="D370" s="627" t="s">
        <v>940</v>
      </c>
      <c r="E370" s="630" t="s">
        <v>15</v>
      </c>
      <c r="F370" s="61"/>
      <c r="G370" s="655"/>
      <c r="H370" s="635">
        <v>1149145.3259999999</v>
      </c>
      <c r="I370" s="635"/>
      <c r="J370" s="635">
        <f t="shared" si="10"/>
        <v>1149145.3259999999</v>
      </c>
      <c r="K370" s="635"/>
      <c r="L370" s="655"/>
      <c r="M370" s="655">
        <f t="shared" si="12"/>
        <v>1149145.3259999999</v>
      </c>
      <c r="N370" s="627"/>
      <c r="O370" s="636"/>
    </row>
    <row r="371" spans="1:15" s="242" customFormat="1" ht="14.25" customHeight="1">
      <c r="A371" s="624">
        <v>178</v>
      </c>
      <c r="B371" s="625" t="e">
        <f>VLOOKUP(D371,'[1]DS CN MOI UP'!$B$11:$C$447,2,0)</f>
        <v>#N/A</v>
      </c>
      <c r="C371" s="626" t="s">
        <v>654</v>
      </c>
      <c r="D371" s="627" t="s">
        <v>941</v>
      </c>
      <c r="E371" s="630" t="s">
        <v>15</v>
      </c>
      <c r="F371" s="61"/>
      <c r="G371" s="655"/>
      <c r="H371" s="635">
        <v>1209612.852</v>
      </c>
      <c r="I371" s="635"/>
      <c r="J371" s="635">
        <f t="shared" si="10"/>
        <v>1209612.852</v>
      </c>
      <c r="K371" s="635"/>
      <c r="L371" s="655"/>
      <c r="M371" s="655">
        <f t="shared" si="12"/>
        <v>1209612.852</v>
      </c>
      <c r="N371" s="627"/>
      <c r="O371" s="636"/>
    </row>
    <row r="372" spans="1:15" s="242" customFormat="1" ht="14.25" customHeight="1">
      <c r="A372" s="624">
        <v>179</v>
      </c>
      <c r="B372" s="625"/>
      <c r="C372" s="626" t="s">
        <v>648</v>
      </c>
      <c r="D372" s="627" t="s">
        <v>942</v>
      </c>
      <c r="E372" s="630" t="s">
        <v>15</v>
      </c>
      <c r="F372" s="61"/>
      <c r="G372" s="655"/>
      <c r="H372" s="655">
        <v>1078512.4350000001</v>
      </c>
      <c r="I372" s="635"/>
      <c r="J372" s="635">
        <f t="shared" si="10"/>
        <v>1078512.4350000001</v>
      </c>
      <c r="K372" s="635"/>
      <c r="L372" s="655"/>
      <c r="M372" s="655">
        <f t="shared" si="12"/>
        <v>1078512.4350000001</v>
      </c>
      <c r="N372" s="627"/>
      <c r="O372" s="636"/>
    </row>
    <row r="373" spans="1:15" s="242" customFormat="1" ht="14.25" customHeight="1">
      <c r="A373" s="624">
        <v>180</v>
      </c>
      <c r="B373" s="625" t="e">
        <f>VLOOKUP(D373,'[1]DS CN MOI UP'!$B$11:$C$447,2,0)</f>
        <v>#N/A</v>
      </c>
      <c r="C373" s="626" t="s">
        <v>650</v>
      </c>
      <c r="D373" s="627" t="s">
        <v>943</v>
      </c>
      <c r="E373" s="630" t="s">
        <v>15</v>
      </c>
      <c r="F373" s="61"/>
      <c r="G373" s="655"/>
      <c r="H373" s="655">
        <v>1169213.7239999999</v>
      </c>
      <c r="I373" s="635"/>
      <c r="J373" s="635">
        <f t="shared" si="10"/>
        <v>1169213.7239999999</v>
      </c>
      <c r="K373" s="635"/>
      <c r="L373" s="655"/>
      <c r="M373" s="655">
        <f t="shared" si="12"/>
        <v>1169213.7239999999</v>
      </c>
      <c r="N373" s="627"/>
      <c r="O373" s="636"/>
    </row>
    <row r="374" spans="1:15" s="242" customFormat="1" ht="14.25" customHeight="1">
      <c r="A374" s="624">
        <v>181</v>
      </c>
      <c r="B374" s="625" t="e">
        <f>VLOOKUP(D374,'[1]DS CN MOI UP'!$B$11:$C$447,2,0)</f>
        <v>#N/A</v>
      </c>
      <c r="C374" s="626" t="s">
        <v>651</v>
      </c>
      <c r="D374" s="627" t="s">
        <v>944</v>
      </c>
      <c r="E374" s="630" t="s">
        <v>15</v>
      </c>
      <c r="F374" s="61"/>
      <c r="G374" s="655"/>
      <c r="H374" s="655">
        <v>1108746.1980000001</v>
      </c>
      <c r="I374" s="635"/>
      <c r="J374" s="635">
        <f t="shared" si="10"/>
        <v>1108746.1980000001</v>
      </c>
      <c r="K374" s="635"/>
      <c r="L374" s="655"/>
      <c r="M374" s="655">
        <f t="shared" si="12"/>
        <v>1108746.1980000001</v>
      </c>
      <c r="N374" s="627"/>
      <c r="O374" s="636">
        <v>69910.475200004905</v>
      </c>
    </row>
    <row r="375" spans="1:15" s="242" customFormat="1" ht="14.25" customHeight="1">
      <c r="A375" s="624">
        <v>182</v>
      </c>
      <c r="B375" s="625" t="e">
        <f>VLOOKUP(D375,'[1]DS CN MOI UP'!$B$11:$C$447,2,0)</f>
        <v>#N/A</v>
      </c>
      <c r="C375" s="626" t="s">
        <v>651</v>
      </c>
      <c r="D375" s="627" t="s">
        <v>945</v>
      </c>
      <c r="E375" s="630" t="s">
        <v>15</v>
      </c>
      <c r="F375" s="61"/>
      <c r="G375" s="655"/>
      <c r="H375" s="655">
        <v>1249880.814</v>
      </c>
      <c r="I375" s="635"/>
      <c r="J375" s="635">
        <f t="shared" si="10"/>
        <v>1249880.814</v>
      </c>
      <c r="K375" s="635"/>
      <c r="L375" s="655"/>
      <c r="M375" s="655">
        <f t="shared" si="12"/>
        <v>1249880.814</v>
      </c>
      <c r="N375" s="627"/>
      <c r="O375" s="636"/>
    </row>
    <row r="376" spans="1:15" s="242" customFormat="1" ht="14.25" customHeight="1">
      <c r="A376" s="624">
        <v>183</v>
      </c>
      <c r="B376" s="625" t="e">
        <f>VLOOKUP(D376,'[1]DS CN MOI UP'!$B$11:$C$447,2,0)</f>
        <v>#N/A</v>
      </c>
      <c r="C376" s="626" t="s">
        <v>918</v>
      </c>
      <c r="D376" s="61" t="s">
        <v>946</v>
      </c>
      <c r="E376" s="630" t="s">
        <v>15</v>
      </c>
      <c r="F376" s="630"/>
      <c r="G376" s="655"/>
      <c r="H376" s="635">
        <v>1250078.7010463499</v>
      </c>
      <c r="I376" s="635"/>
      <c r="J376" s="635">
        <f t="shared" si="10"/>
        <v>1250078.7010463499</v>
      </c>
      <c r="K376" s="635"/>
      <c r="L376" s="635"/>
      <c r="M376" s="655">
        <f t="shared" si="12"/>
        <v>1250078.7010463499</v>
      </c>
      <c r="N376" s="61"/>
      <c r="O376" s="636"/>
    </row>
    <row r="377" spans="1:15" s="242" customFormat="1" ht="14.25" customHeight="1">
      <c r="A377" s="624">
        <v>184</v>
      </c>
      <c r="B377" s="625" t="e">
        <f>VLOOKUP(D377,'[1]DS CN MOI UP'!$B$11:$C$447,2,0)</f>
        <v>#N/A</v>
      </c>
      <c r="C377" s="626" t="s">
        <v>918</v>
      </c>
      <c r="D377" s="61" t="s">
        <v>947</v>
      </c>
      <c r="E377" s="630" t="s">
        <v>15</v>
      </c>
      <c r="F377" s="630"/>
      <c r="G377" s="655"/>
      <c r="H377" s="655">
        <v>1199179.5249999999</v>
      </c>
      <c r="I377" s="655"/>
      <c r="J377" s="635">
        <f t="shared" si="10"/>
        <v>1199179.5249999999</v>
      </c>
      <c r="K377" s="635"/>
      <c r="L377" s="635"/>
      <c r="M377" s="655">
        <f t="shared" si="12"/>
        <v>1199179.5249999999</v>
      </c>
      <c r="N377" s="61"/>
      <c r="O377" s="636"/>
    </row>
    <row r="378" spans="1:15" s="242" customFormat="1" ht="14.25" customHeight="1">
      <c r="A378" s="624">
        <v>185</v>
      </c>
      <c r="B378" s="625" t="e">
        <f>VLOOKUP(D378,'[1]DS CN MOI UP'!$B$11:$C$447,2,0)</f>
        <v>#N/A</v>
      </c>
      <c r="C378" s="626" t="s">
        <v>918</v>
      </c>
      <c r="D378" s="61" t="s">
        <v>948</v>
      </c>
      <c r="E378" s="630" t="s">
        <v>15</v>
      </c>
      <c r="F378" s="630"/>
      <c r="G378" s="655"/>
      <c r="H378" s="655">
        <v>1269681.25</v>
      </c>
      <c r="I378" s="655"/>
      <c r="J378" s="635">
        <f t="shared" si="10"/>
        <v>1269681.25</v>
      </c>
      <c r="K378" s="635"/>
      <c r="L378" s="635"/>
      <c r="M378" s="655">
        <f t="shared" si="12"/>
        <v>1269681.25</v>
      </c>
      <c r="N378" s="61"/>
      <c r="O378" s="636"/>
    </row>
    <row r="379" spans="1:15" s="242" customFormat="1" ht="14.25" customHeight="1">
      <c r="A379" s="624">
        <v>186</v>
      </c>
      <c r="B379" s="625" t="e">
        <f>VLOOKUP(D379,'[1]DS CN MOI UP'!$B$11:$C$447,2,0)</f>
        <v>#N/A</v>
      </c>
      <c r="C379" s="626" t="s">
        <v>918</v>
      </c>
      <c r="D379" s="61" t="s">
        <v>714</v>
      </c>
      <c r="E379" s="630" t="s">
        <v>15</v>
      </c>
      <c r="F379" s="630"/>
      <c r="G379" s="655"/>
      <c r="H379" s="655">
        <v>1148746.1980000001</v>
      </c>
      <c r="I379" s="655"/>
      <c r="J379" s="635">
        <f t="shared" si="10"/>
        <v>1148746.1980000001</v>
      </c>
      <c r="K379" s="635"/>
      <c r="L379" s="635"/>
      <c r="M379" s="655">
        <f t="shared" si="12"/>
        <v>1148746.1980000001</v>
      </c>
      <c r="N379" s="61"/>
      <c r="O379" s="636"/>
    </row>
    <row r="380" spans="1:15" s="242" customFormat="1" ht="14.25" customHeight="1">
      <c r="A380" s="624">
        <v>187</v>
      </c>
      <c r="B380" s="625" t="e">
        <f>VLOOKUP(D380,'[1]DS CN MOI UP'!$B$11:$C$447,2,0)</f>
        <v>#N/A</v>
      </c>
      <c r="C380" s="626" t="s">
        <v>918</v>
      </c>
      <c r="D380" s="61" t="s">
        <v>949</v>
      </c>
      <c r="E380" s="630" t="s">
        <v>15</v>
      </c>
      <c r="F380" s="630"/>
      <c r="G380" s="655"/>
      <c r="H380" s="655">
        <v>1148746.1980000001</v>
      </c>
      <c r="I380" s="655"/>
      <c r="J380" s="635">
        <f t="shared" si="10"/>
        <v>1148746.1980000001</v>
      </c>
      <c r="K380" s="635"/>
      <c r="L380" s="635"/>
      <c r="M380" s="655">
        <f t="shared" si="12"/>
        <v>1148746.1980000001</v>
      </c>
      <c r="N380" s="61"/>
      <c r="O380" s="636"/>
    </row>
    <row r="381" spans="1:15" s="242" customFormat="1" ht="14.25" customHeight="1">
      <c r="A381" s="624">
        <v>188</v>
      </c>
      <c r="B381" s="625" t="e">
        <f>VLOOKUP(D381,'[1]DS CN MOI UP'!$B$11:$C$447,2,0)</f>
        <v>#N/A</v>
      </c>
      <c r="C381" s="626" t="s">
        <v>918</v>
      </c>
      <c r="D381" s="61" t="s">
        <v>950</v>
      </c>
      <c r="E381" s="630" t="s">
        <v>15</v>
      </c>
      <c r="F381" s="630"/>
      <c r="G381" s="655"/>
      <c r="H381" s="655">
        <v>1148746.1980000001</v>
      </c>
      <c r="I381" s="655"/>
      <c r="J381" s="635">
        <f t="shared" si="10"/>
        <v>1148746.1980000001</v>
      </c>
      <c r="K381" s="635"/>
      <c r="L381" s="635"/>
      <c r="M381" s="655">
        <f t="shared" si="12"/>
        <v>1148746.1980000001</v>
      </c>
      <c r="N381" s="61"/>
      <c r="O381" s="636"/>
    </row>
    <row r="382" spans="1:15" s="242" customFormat="1" ht="14.25" customHeight="1">
      <c r="A382" s="624">
        <v>189</v>
      </c>
      <c r="B382" s="625" t="e">
        <f>VLOOKUP(D382,'[1]DS CN MOI UP'!$B$11:$C$447,2,0)</f>
        <v>#N/A</v>
      </c>
      <c r="C382" s="626" t="s">
        <v>918</v>
      </c>
      <c r="D382" s="61" t="s">
        <v>951</v>
      </c>
      <c r="E382" s="630" t="s">
        <v>15</v>
      </c>
      <c r="F382" s="630"/>
      <c r="G382" s="655"/>
      <c r="H382" s="655">
        <v>1270080.378</v>
      </c>
      <c r="I382" s="655"/>
      <c r="J382" s="635">
        <f t="shared" si="10"/>
        <v>1270080.378</v>
      </c>
      <c r="K382" s="635"/>
      <c r="L382" s="635"/>
      <c r="M382" s="655">
        <f t="shared" si="12"/>
        <v>1270080.378</v>
      </c>
      <c r="N382" s="61"/>
      <c r="O382" s="636"/>
    </row>
    <row r="383" spans="1:15" s="242" customFormat="1" ht="14.25" customHeight="1">
      <c r="A383" s="624">
        <v>190</v>
      </c>
      <c r="B383" s="625" t="str">
        <f>VLOOKUP(D383,'[1]DS CN MOI UP'!$B$11:$C$447,2,0)</f>
        <v>02572</v>
      </c>
      <c r="C383" s="626" t="s">
        <v>918</v>
      </c>
      <c r="D383" s="61" t="s">
        <v>271</v>
      </c>
      <c r="E383" s="630" t="s">
        <v>15</v>
      </c>
      <c r="F383" s="630"/>
      <c r="G383" s="655"/>
      <c r="H383" s="655">
        <v>1128677.8</v>
      </c>
      <c r="I383" s="655"/>
      <c r="J383" s="635">
        <f t="shared" si="10"/>
        <v>1128677.8</v>
      </c>
      <c r="K383" s="635"/>
      <c r="L383" s="635"/>
      <c r="M383" s="655">
        <f t="shared" si="12"/>
        <v>1128677.8</v>
      </c>
      <c r="N383" s="61"/>
      <c r="O383" s="636"/>
    </row>
    <row r="384" spans="1:15" s="242" customFormat="1" ht="14.25" customHeight="1">
      <c r="A384" s="624">
        <v>191</v>
      </c>
      <c r="B384" s="625" t="e">
        <f>VLOOKUP(D384,'[1]DS CN MOI UP'!$B$11:$C$447,2,0)</f>
        <v>#N/A</v>
      </c>
      <c r="C384" s="626" t="s">
        <v>918</v>
      </c>
      <c r="D384" s="61" t="s">
        <v>952</v>
      </c>
      <c r="E384" s="630" t="s">
        <v>15</v>
      </c>
      <c r="F384" s="630"/>
      <c r="G384" s="655"/>
      <c r="H384" s="655">
        <v>1189145.3259999999</v>
      </c>
      <c r="I384" s="655"/>
      <c r="J384" s="635">
        <f t="shared" si="10"/>
        <v>1189145.3259999999</v>
      </c>
      <c r="K384" s="635"/>
      <c r="L384" s="635"/>
      <c r="M384" s="655">
        <f t="shared" si="12"/>
        <v>1189145.3259999999</v>
      </c>
      <c r="N384" s="61"/>
      <c r="O384" s="636"/>
    </row>
    <row r="385" spans="1:15" s="242" customFormat="1" ht="14.25" customHeight="1">
      <c r="A385" s="624">
        <v>192</v>
      </c>
      <c r="B385" s="625" t="e">
        <f>VLOOKUP(D385,'[1]DS CN MOI UP'!$B$11:$C$447,2,0)</f>
        <v>#N/A</v>
      </c>
      <c r="C385" s="626" t="s">
        <v>918</v>
      </c>
      <c r="D385" s="61" t="s">
        <v>953</v>
      </c>
      <c r="E385" s="630" t="s">
        <v>15</v>
      </c>
      <c r="F385" s="630"/>
      <c r="G385" s="655"/>
      <c r="H385" s="655">
        <v>1249612.852</v>
      </c>
      <c r="I385" s="655"/>
      <c r="J385" s="635">
        <f t="shared" si="10"/>
        <v>1249612.852</v>
      </c>
      <c r="K385" s="635"/>
      <c r="L385" s="635"/>
      <c r="M385" s="655">
        <f t="shared" si="12"/>
        <v>1249612.852</v>
      </c>
      <c r="N385" s="61"/>
      <c r="O385" s="636"/>
    </row>
    <row r="386" spans="1:15" s="242" customFormat="1" ht="14.25" customHeight="1">
      <c r="A386" s="624">
        <v>193</v>
      </c>
      <c r="B386" s="625" t="e">
        <f>VLOOKUP(D386,'[1]DS CN MOI UP'!$B$11:$C$447,2,0)</f>
        <v>#N/A</v>
      </c>
      <c r="C386" s="626" t="s">
        <v>918</v>
      </c>
      <c r="D386" s="61" t="s">
        <v>954</v>
      </c>
      <c r="E386" s="630" t="s">
        <v>15</v>
      </c>
      <c r="F386" s="630"/>
      <c r="G386" s="655"/>
      <c r="H386" s="655">
        <v>1199179.5249999999</v>
      </c>
      <c r="I386" s="655"/>
      <c r="J386" s="635">
        <f t="shared" si="10"/>
        <v>1199179.5249999999</v>
      </c>
      <c r="K386" s="635"/>
      <c r="L386" s="635"/>
      <c r="M386" s="655">
        <f t="shared" si="12"/>
        <v>1199179.5249999999</v>
      </c>
      <c r="N386" s="61"/>
      <c r="O386" s="636"/>
    </row>
    <row r="387" spans="1:15" s="242" customFormat="1" ht="14.25" customHeight="1">
      <c r="A387" s="624">
        <v>194</v>
      </c>
      <c r="B387" s="625" t="e">
        <f>VLOOKUP(D387,'[1]DS CN MOI UP'!$B$11:$C$447,2,0)</f>
        <v>#N/A</v>
      </c>
      <c r="C387" s="626" t="s">
        <v>918</v>
      </c>
      <c r="D387" s="61" t="s">
        <v>955</v>
      </c>
      <c r="E387" s="630" t="s">
        <v>15</v>
      </c>
      <c r="F387" s="630"/>
      <c r="G387" s="655"/>
      <c r="H387" s="655">
        <v>1269681.25</v>
      </c>
      <c r="I387" s="655"/>
      <c r="J387" s="635">
        <f t="shared" si="10"/>
        <v>1269681.25</v>
      </c>
      <c r="K387" s="635"/>
      <c r="L387" s="635"/>
      <c r="M387" s="655">
        <f t="shared" si="12"/>
        <v>1269681.25</v>
      </c>
      <c r="N387" s="61"/>
      <c r="O387" s="636"/>
    </row>
    <row r="388" spans="1:15" s="242" customFormat="1" ht="14.25" customHeight="1">
      <c r="A388" s="624">
        <v>195</v>
      </c>
      <c r="B388" s="625" t="e">
        <f>VLOOKUP(D388,'[1]DS CN MOI UP'!$B$11:$C$447,2,0)</f>
        <v>#N/A</v>
      </c>
      <c r="C388" s="626" t="s">
        <v>918</v>
      </c>
      <c r="D388" s="61" t="s">
        <v>956</v>
      </c>
      <c r="E388" s="630" t="s">
        <v>15</v>
      </c>
      <c r="F388" s="630"/>
      <c r="G388" s="655"/>
      <c r="H388" s="655">
        <v>1148746.1980000001</v>
      </c>
      <c r="I388" s="655"/>
      <c r="J388" s="635">
        <f t="shared" si="10"/>
        <v>1148746.1980000001</v>
      </c>
      <c r="K388" s="635"/>
      <c r="L388" s="635"/>
      <c r="M388" s="655">
        <f t="shared" si="12"/>
        <v>1148746.1980000001</v>
      </c>
      <c r="N388" s="61"/>
      <c r="O388" s="636"/>
    </row>
    <row r="389" spans="1:15" s="242" customFormat="1" ht="14.25" customHeight="1">
      <c r="A389" s="624">
        <v>196</v>
      </c>
      <c r="B389" s="625" t="e">
        <f>VLOOKUP(D389,'[1]DS CN MOI UP'!$B$11:$C$447,2,0)</f>
        <v>#N/A</v>
      </c>
      <c r="C389" s="626" t="s">
        <v>918</v>
      </c>
      <c r="D389" s="61" t="s">
        <v>957</v>
      </c>
      <c r="E389" s="630" t="s">
        <v>15</v>
      </c>
      <c r="F389" s="630"/>
      <c r="G389" s="655"/>
      <c r="H389" s="655">
        <v>1148746.1980000001</v>
      </c>
      <c r="I389" s="655"/>
      <c r="J389" s="635">
        <f t="shared" si="10"/>
        <v>1148746.1980000001</v>
      </c>
      <c r="K389" s="635"/>
      <c r="L389" s="635"/>
      <c r="M389" s="655">
        <f t="shared" si="12"/>
        <v>1148746.1980000001</v>
      </c>
      <c r="N389" s="61"/>
      <c r="O389" s="636"/>
    </row>
    <row r="390" spans="1:15" s="242" customFormat="1" ht="14.25" customHeight="1">
      <c r="A390" s="624">
        <v>197</v>
      </c>
      <c r="B390" s="625" t="e">
        <f>VLOOKUP(D390,'[1]DS CN MOI UP'!$B$11:$C$447,2,0)</f>
        <v>#N/A</v>
      </c>
      <c r="C390" s="626" t="s">
        <v>918</v>
      </c>
      <c r="D390" s="61" t="s">
        <v>958</v>
      </c>
      <c r="E390" s="630" t="s">
        <v>15</v>
      </c>
      <c r="F390" s="630"/>
      <c r="G390" s="655"/>
      <c r="H390" s="655">
        <v>1148746.1980000001</v>
      </c>
      <c r="I390" s="655"/>
      <c r="J390" s="635">
        <f t="shared" si="10"/>
        <v>1148746.1980000001</v>
      </c>
      <c r="K390" s="635"/>
      <c r="L390" s="635"/>
      <c r="M390" s="655">
        <f t="shared" si="12"/>
        <v>1148746.1980000001</v>
      </c>
      <c r="N390" s="61"/>
      <c r="O390" s="636"/>
    </row>
    <row r="391" spans="1:15" s="242" customFormat="1" ht="14.25" customHeight="1">
      <c r="A391" s="624">
        <v>198</v>
      </c>
      <c r="B391" s="625" t="e">
        <f>VLOOKUP(D391,'[1]DS CN MOI UP'!$B$11:$C$447,2,0)</f>
        <v>#N/A</v>
      </c>
      <c r="C391" s="626" t="s">
        <v>918</v>
      </c>
      <c r="D391" s="61" t="s">
        <v>959</v>
      </c>
      <c r="E391" s="630" t="s">
        <v>15</v>
      </c>
      <c r="F391" s="630"/>
      <c r="G391" s="655"/>
      <c r="H391" s="655">
        <v>1269681.25</v>
      </c>
      <c r="I391" s="655"/>
      <c r="J391" s="635">
        <f t="shared" si="10"/>
        <v>1269681.25</v>
      </c>
      <c r="K391" s="635"/>
      <c r="L391" s="635"/>
      <c r="M391" s="655">
        <f t="shared" si="12"/>
        <v>1269681.25</v>
      </c>
      <c r="N391" s="61"/>
      <c r="O391" s="636"/>
    </row>
    <row r="392" spans="1:15" s="242" customFormat="1" ht="14.25" customHeight="1">
      <c r="A392" s="624">
        <v>199</v>
      </c>
      <c r="B392" s="625" t="e">
        <f>VLOOKUP(D392,'[1]DS CN MOI UP'!$B$11:$C$447,2,0)</f>
        <v>#N/A</v>
      </c>
      <c r="C392" s="626" t="s">
        <v>918</v>
      </c>
      <c r="D392" s="61" t="s">
        <v>960</v>
      </c>
      <c r="E392" s="630" t="s">
        <v>15</v>
      </c>
      <c r="F392" s="630"/>
      <c r="G392" s="655">
        <v>1128677.8</v>
      </c>
      <c r="H392" s="635"/>
      <c r="I392" s="655"/>
      <c r="J392" s="635">
        <f t="shared" si="10"/>
        <v>1128677.8</v>
      </c>
      <c r="K392" s="635"/>
      <c r="L392" s="635"/>
      <c r="M392" s="655">
        <f t="shared" si="12"/>
        <v>1128677.8</v>
      </c>
      <c r="N392" s="61"/>
      <c r="O392" s="636"/>
    </row>
    <row r="393" spans="1:15" s="242" customFormat="1" ht="14.25" customHeight="1">
      <c r="A393" s="624">
        <v>200</v>
      </c>
      <c r="B393" s="625" t="e">
        <f>VLOOKUP(D393,'[1]DS CN MOI UP'!$B$11:$C$447,2,0)</f>
        <v>#N/A</v>
      </c>
      <c r="C393" s="626" t="s">
        <v>918</v>
      </c>
      <c r="D393" s="61" t="s">
        <v>961</v>
      </c>
      <c r="E393" s="630" t="s">
        <v>15</v>
      </c>
      <c r="F393" s="630"/>
      <c r="G393" s="655">
        <v>1189145.3259999999</v>
      </c>
      <c r="H393" s="635"/>
      <c r="I393" s="655"/>
      <c r="J393" s="635">
        <f t="shared" si="10"/>
        <v>1189145.3259999999</v>
      </c>
      <c r="K393" s="635"/>
      <c r="L393" s="635"/>
      <c r="M393" s="655">
        <f t="shared" si="12"/>
        <v>1189145.3259999999</v>
      </c>
      <c r="N393" s="61"/>
      <c r="O393" s="636"/>
    </row>
    <row r="394" spans="1:15" s="242" customFormat="1" ht="14.25" customHeight="1">
      <c r="A394" s="624">
        <v>201</v>
      </c>
      <c r="B394" s="625" t="e">
        <f>VLOOKUP(D394,'[1]DS CN MOI UP'!$B$11:$C$447,2,0)</f>
        <v>#N/A</v>
      </c>
      <c r="C394" s="626" t="s">
        <v>918</v>
      </c>
      <c r="D394" s="61" t="s">
        <v>962</v>
      </c>
      <c r="E394" s="630" t="s">
        <v>15</v>
      </c>
      <c r="F394" s="630"/>
      <c r="G394" s="655">
        <v>1249612.852</v>
      </c>
      <c r="H394" s="635"/>
      <c r="I394" s="655"/>
      <c r="J394" s="635">
        <f t="shared" si="10"/>
        <v>1249612.852</v>
      </c>
      <c r="K394" s="635"/>
      <c r="L394" s="635"/>
      <c r="M394" s="655">
        <f t="shared" si="12"/>
        <v>1249612.852</v>
      </c>
      <c r="N394" s="61"/>
      <c r="O394" s="636"/>
    </row>
    <row r="395" spans="1:15" s="242" customFormat="1" ht="14.25" customHeight="1">
      <c r="A395" s="624">
        <v>202</v>
      </c>
      <c r="B395" s="625" t="e">
        <f>VLOOKUP(D395,'[1]DS CN MOI UP'!$B$11:$C$447,2,0)</f>
        <v>#N/A</v>
      </c>
      <c r="C395" s="626" t="s">
        <v>918</v>
      </c>
      <c r="D395" s="61" t="s">
        <v>963</v>
      </c>
      <c r="E395" s="630" t="s">
        <v>15</v>
      </c>
      <c r="F395" s="630"/>
      <c r="G395" s="655">
        <v>1199179.5249999999</v>
      </c>
      <c r="H395" s="635"/>
      <c r="I395" s="655"/>
      <c r="J395" s="635">
        <f t="shared" si="10"/>
        <v>1199179.5249999999</v>
      </c>
      <c r="K395" s="635"/>
      <c r="L395" s="635"/>
      <c r="M395" s="655">
        <f t="shared" si="12"/>
        <v>1199179.5249999999</v>
      </c>
      <c r="N395" s="61"/>
      <c r="O395" s="636"/>
    </row>
    <row r="396" spans="1:15" s="242" customFormat="1" ht="14.25" customHeight="1">
      <c r="A396" s="624">
        <v>203</v>
      </c>
      <c r="B396" s="625" t="e">
        <f>VLOOKUP(D396,'[1]DS CN MOI UP'!$B$11:$C$447,2,0)</f>
        <v>#N/A</v>
      </c>
      <c r="C396" s="626" t="s">
        <v>918</v>
      </c>
      <c r="D396" s="61" t="s">
        <v>964</v>
      </c>
      <c r="E396" s="630" t="s">
        <v>15</v>
      </c>
      <c r="F396" s="630"/>
      <c r="G396" s="655">
        <v>1269681.25</v>
      </c>
      <c r="H396" s="635"/>
      <c r="I396" s="655"/>
      <c r="J396" s="635">
        <f t="shared" si="10"/>
        <v>1269681.25</v>
      </c>
      <c r="K396" s="635"/>
      <c r="L396" s="635"/>
      <c r="M396" s="655">
        <f t="shared" si="12"/>
        <v>1269681.25</v>
      </c>
      <c r="N396" s="61"/>
      <c r="O396" s="636"/>
    </row>
    <row r="397" spans="1:15" s="242" customFormat="1" ht="14.25" customHeight="1">
      <c r="A397" s="624">
        <v>204</v>
      </c>
      <c r="B397" s="625" t="e">
        <f>VLOOKUP(D397,'[1]DS CN MOI UP'!$B$11:$C$447,2,0)</f>
        <v>#N/A</v>
      </c>
      <c r="C397" s="626" t="s">
        <v>918</v>
      </c>
      <c r="D397" s="61" t="s">
        <v>965</v>
      </c>
      <c r="E397" s="630" t="s">
        <v>15</v>
      </c>
      <c r="F397" s="630"/>
      <c r="G397" s="655">
        <v>1148746.1980000001</v>
      </c>
      <c r="H397" s="635"/>
      <c r="I397" s="655"/>
      <c r="J397" s="635">
        <f t="shared" si="10"/>
        <v>1148746.1980000001</v>
      </c>
      <c r="K397" s="635"/>
      <c r="L397" s="635"/>
      <c r="M397" s="655">
        <f t="shared" si="12"/>
        <v>1148746.1980000001</v>
      </c>
      <c r="N397" s="61"/>
      <c r="O397" s="636"/>
    </row>
    <row r="398" spans="1:15" s="242" customFormat="1" ht="14.25" customHeight="1">
      <c r="A398" s="624">
        <v>205</v>
      </c>
      <c r="B398" s="625" t="e">
        <f>VLOOKUP(D398,'[1]DS CN MOI UP'!$B$11:$C$447,2,0)</f>
        <v>#N/A</v>
      </c>
      <c r="C398" s="626" t="s">
        <v>918</v>
      </c>
      <c r="D398" s="61" t="s">
        <v>966</v>
      </c>
      <c r="E398" s="630" t="s">
        <v>15</v>
      </c>
      <c r="F398" s="630"/>
      <c r="G398" s="655">
        <v>1148746.1980000001</v>
      </c>
      <c r="H398" s="635"/>
      <c r="I398" s="655"/>
      <c r="J398" s="635">
        <f t="shared" si="10"/>
        <v>1148746.1980000001</v>
      </c>
      <c r="K398" s="635"/>
      <c r="L398" s="635"/>
      <c r="M398" s="655">
        <f t="shared" si="12"/>
        <v>1148746.1980000001</v>
      </c>
      <c r="N398" s="61"/>
      <c r="O398" s="636"/>
    </row>
    <row r="399" spans="1:15" s="242" customFormat="1" ht="14.25" customHeight="1">
      <c r="A399" s="624">
        <v>206</v>
      </c>
      <c r="B399" s="625" t="str">
        <f>VLOOKUP(D399,'[1]DS CN MOI UP'!$B$11:$C$447,2,0)</f>
        <v>02465</v>
      </c>
      <c r="C399" s="626" t="s">
        <v>918</v>
      </c>
      <c r="D399" s="61" t="s">
        <v>19</v>
      </c>
      <c r="E399" s="630" t="s">
        <v>15</v>
      </c>
      <c r="F399" s="630"/>
      <c r="G399" s="655">
        <v>1148746.1980000001</v>
      </c>
      <c r="H399" s="635"/>
      <c r="I399" s="655"/>
      <c r="J399" s="635">
        <f t="shared" si="10"/>
        <v>1148746.1980000001</v>
      </c>
      <c r="K399" s="635"/>
      <c r="L399" s="635"/>
      <c r="M399" s="655">
        <f t="shared" si="12"/>
        <v>1148746.1980000001</v>
      </c>
      <c r="N399" s="61"/>
      <c r="O399" s="636"/>
    </row>
    <row r="400" spans="1:15" s="242" customFormat="1" ht="14.25" customHeight="1">
      <c r="A400" s="624">
        <v>207</v>
      </c>
      <c r="B400" s="625" t="e">
        <f>VLOOKUP(D400,'[1]DS CN MOI UP'!$B$11:$C$447,2,0)</f>
        <v>#N/A</v>
      </c>
      <c r="C400" s="626" t="s">
        <v>918</v>
      </c>
      <c r="D400" s="61" t="s">
        <v>967</v>
      </c>
      <c r="E400" s="630" t="s">
        <v>15</v>
      </c>
      <c r="F400" s="630"/>
      <c r="G400" s="655">
        <v>1270080.378</v>
      </c>
      <c r="H400" s="635"/>
      <c r="I400" s="655"/>
      <c r="J400" s="635">
        <f t="shared" si="10"/>
        <v>1270080.378</v>
      </c>
      <c r="K400" s="635"/>
      <c r="L400" s="635"/>
      <c r="M400" s="655">
        <f t="shared" si="12"/>
        <v>1270080.378</v>
      </c>
      <c r="N400" s="61"/>
      <c r="O400" s="636"/>
    </row>
    <row r="401" spans="1:15" s="242" customFormat="1" ht="14.25" customHeight="1">
      <c r="A401" s="624">
        <v>208</v>
      </c>
      <c r="B401" s="625" t="e">
        <f>VLOOKUP(D401,'[1]DS CN MOI UP'!$B$11:$C$447,2,0)</f>
        <v>#N/A</v>
      </c>
      <c r="C401" s="626" t="s">
        <v>918</v>
      </c>
      <c r="D401" s="61" t="s">
        <v>968</v>
      </c>
      <c r="E401" s="630" t="s">
        <v>15</v>
      </c>
      <c r="F401" s="630"/>
      <c r="G401" s="655">
        <v>1128677.8</v>
      </c>
      <c r="H401" s="635"/>
      <c r="I401" s="655"/>
      <c r="J401" s="635">
        <f t="shared" si="10"/>
        <v>1128677.8</v>
      </c>
      <c r="K401" s="635"/>
      <c r="L401" s="635"/>
      <c r="M401" s="655">
        <f t="shared" si="12"/>
        <v>1128677.8</v>
      </c>
      <c r="N401" s="61"/>
      <c r="O401" s="636"/>
    </row>
    <row r="402" spans="1:15" s="242" customFormat="1" ht="14.25" customHeight="1">
      <c r="A402" s="624">
        <v>209</v>
      </c>
      <c r="B402" s="625" t="e">
        <f>VLOOKUP(D402,'[1]DS CN MOI UP'!$B$11:$C$447,2,0)</f>
        <v>#N/A</v>
      </c>
      <c r="C402" s="626" t="s">
        <v>918</v>
      </c>
      <c r="D402" s="61" t="s">
        <v>969</v>
      </c>
      <c r="E402" s="630" t="s">
        <v>15</v>
      </c>
      <c r="F402" s="630"/>
      <c r="G402" s="655">
        <v>1189145.3259999999</v>
      </c>
      <c r="H402" s="635"/>
      <c r="I402" s="655"/>
      <c r="J402" s="635">
        <f t="shared" si="10"/>
        <v>1189145.3259999999</v>
      </c>
      <c r="K402" s="635"/>
      <c r="L402" s="635"/>
      <c r="M402" s="655">
        <f t="shared" si="12"/>
        <v>1189145.3259999999</v>
      </c>
      <c r="N402" s="61"/>
      <c r="O402" s="636"/>
    </row>
    <row r="403" spans="1:15" s="242" customFormat="1" ht="14.25" customHeight="1">
      <c r="A403" s="624">
        <v>210</v>
      </c>
      <c r="B403" s="625" t="e">
        <f>VLOOKUP(D403,'[1]DS CN MOI UP'!$B$11:$C$447,2,0)</f>
        <v>#N/A</v>
      </c>
      <c r="C403" s="626" t="s">
        <v>918</v>
      </c>
      <c r="D403" s="61" t="s">
        <v>735</v>
      </c>
      <c r="E403" s="630" t="s">
        <v>15</v>
      </c>
      <c r="F403" s="630"/>
      <c r="G403" s="655">
        <v>1249612.852</v>
      </c>
      <c r="H403" s="635"/>
      <c r="I403" s="655"/>
      <c r="J403" s="635">
        <f t="shared" si="10"/>
        <v>1249612.852</v>
      </c>
      <c r="K403" s="635"/>
      <c r="L403" s="635"/>
      <c r="M403" s="655">
        <f t="shared" si="12"/>
        <v>1249612.852</v>
      </c>
      <c r="N403" s="61"/>
      <c r="O403" s="636"/>
    </row>
    <row r="404" spans="1:15" s="242" customFormat="1" ht="14.25" customHeight="1">
      <c r="A404" s="624">
        <v>211</v>
      </c>
      <c r="B404" s="625" t="e">
        <f>VLOOKUP(D404,'[1]DS CN MOI UP'!$B$11:$C$447,2,0)</f>
        <v>#N/A</v>
      </c>
      <c r="C404" s="626" t="s">
        <v>918</v>
      </c>
      <c r="D404" s="61" t="s">
        <v>970</v>
      </c>
      <c r="E404" s="630" t="s">
        <v>15</v>
      </c>
      <c r="F404" s="630"/>
      <c r="G404" s="655">
        <v>1199179.5249999999</v>
      </c>
      <c r="H404" s="635"/>
      <c r="I404" s="655"/>
      <c r="J404" s="635">
        <f t="shared" si="10"/>
        <v>1199179.5249999999</v>
      </c>
      <c r="K404" s="635"/>
      <c r="L404" s="635"/>
      <c r="M404" s="655">
        <f t="shared" si="12"/>
        <v>1199179.5249999999</v>
      </c>
      <c r="N404" s="61"/>
      <c r="O404" s="636"/>
    </row>
    <row r="405" spans="1:15" s="242" customFormat="1" ht="14.25" customHeight="1">
      <c r="A405" s="624">
        <v>212</v>
      </c>
      <c r="B405" s="625" t="e">
        <f>VLOOKUP(D405,'[1]DS CN MOI UP'!$B$11:$C$447,2,0)</f>
        <v>#N/A</v>
      </c>
      <c r="C405" s="626" t="s">
        <v>918</v>
      </c>
      <c r="D405" s="61" t="s">
        <v>971</v>
      </c>
      <c r="E405" s="630" t="s">
        <v>15</v>
      </c>
      <c r="F405" s="630"/>
      <c r="G405" s="655">
        <v>1140022.574</v>
      </c>
      <c r="H405" s="635"/>
      <c r="I405" s="655"/>
      <c r="J405" s="635">
        <f t="shared" si="10"/>
        <v>1140022.574</v>
      </c>
      <c r="K405" s="635"/>
      <c r="L405" s="635"/>
      <c r="M405" s="655">
        <f t="shared" si="12"/>
        <v>1140022.574</v>
      </c>
      <c r="N405" s="61"/>
      <c r="O405" s="636"/>
    </row>
    <row r="406" spans="1:15" s="242" customFormat="1" ht="14.25" customHeight="1">
      <c r="A406" s="624">
        <v>213</v>
      </c>
      <c r="B406" s="625" t="e">
        <f>VLOOKUP(D406,'[1]DS CN MOI UP'!$B$11:$C$447,2,0)</f>
        <v>#N/A</v>
      </c>
      <c r="C406" s="626" t="s">
        <v>918</v>
      </c>
      <c r="D406" s="61" t="s">
        <v>972</v>
      </c>
      <c r="E406" s="630" t="s">
        <v>15</v>
      </c>
      <c r="F406" s="630"/>
      <c r="G406" s="655">
        <v>1148746.1980000001</v>
      </c>
      <c r="H406" s="635"/>
      <c r="I406" s="655"/>
      <c r="J406" s="635">
        <f t="shared" si="10"/>
        <v>1148746.1980000001</v>
      </c>
      <c r="K406" s="635"/>
      <c r="L406" s="635"/>
      <c r="M406" s="655">
        <f t="shared" si="12"/>
        <v>1148746.1980000001</v>
      </c>
      <c r="N406" s="61"/>
      <c r="O406" s="636"/>
    </row>
    <row r="407" spans="1:15" s="242" customFormat="1" ht="14.25" customHeight="1">
      <c r="A407" s="624">
        <v>214</v>
      </c>
      <c r="B407" s="625" t="e">
        <f>VLOOKUP(D407,'[1]DS CN MOI UP'!$B$11:$C$447,2,0)</f>
        <v>#N/A</v>
      </c>
      <c r="C407" s="626" t="s">
        <v>918</v>
      </c>
      <c r="D407" s="61" t="s">
        <v>973</v>
      </c>
      <c r="E407" s="630" t="s">
        <v>15</v>
      </c>
      <c r="F407" s="630"/>
      <c r="G407" s="655"/>
      <c r="H407" s="655"/>
      <c r="I407" s="655">
        <v>1199179.5249999999</v>
      </c>
      <c r="J407" s="635">
        <f t="shared" si="10"/>
        <v>1199179.5249999999</v>
      </c>
      <c r="K407" s="635"/>
      <c r="L407" s="635"/>
      <c r="M407" s="655">
        <f t="shared" si="12"/>
        <v>1199179.5249999999</v>
      </c>
      <c r="N407" s="61"/>
      <c r="O407" s="636"/>
    </row>
    <row r="408" spans="1:15" s="242" customFormat="1" ht="14.25" customHeight="1">
      <c r="A408" s="624">
        <v>215</v>
      </c>
      <c r="B408" s="625" t="e">
        <f>VLOOKUP(D408,'[1]DS CN MOI UP'!$B$11:$C$447,2,0)</f>
        <v>#N/A</v>
      </c>
      <c r="C408" s="626" t="s">
        <v>918</v>
      </c>
      <c r="D408" s="61" t="s">
        <v>974</v>
      </c>
      <c r="E408" s="630" t="s">
        <v>15</v>
      </c>
      <c r="F408" s="630"/>
      <c r="G408" s="655"/>
      <c r="H408" s="655"/>
      <c r="I408" s="655">
        <v>1269681.25</v>
      </c>
      <c r="J408" s="635">
        <f t="shared" si="10"/>
        <v>1269681.25</v>
      </c>
      <c r="K408" s="635"/>
      <c r="L408" s="635"/>
      <c r="M408" s="655">
        <f t="shared" si="12"/>
        <v>1269681.25</v>
      </c>
      <c r="N408" s="61"/>
      <c r="O408" s="636"/>
    </row>
    <row r="409" spans="1:15" s="242" customFormat="1" ht="14.25" customHeight="1">
      <c r="A409" s="624">
        <v>216</v>
      </c>
      <c r="B409" s="625" t="str">
        <f>VLOOKUP(D409,'[1]DS CN MOI UP'!$B$11:$C$447,2,0)</f>
        <v>03289</v>
      </c>
      <c r="C409" s="626" t="s">
        <v>918</v>
      </c>
      <c r="D409" s="61" t="s">
        <v>451</v>
      </c>
      <c r="E409" s="630" t="s">
        <v>15</v>
      </c>
      <c r="F409" s="630"/>
      <c r="G409" s="655"/>
      <c r="H409" s="655"/>
      <c r="I409" s="655">
        <v>1148746.1980000001</v>
      </c>
      <c r="J409" s="635">
        <f t="shared" si="10"/>
        <v>1148746.1980000001</v>
      </c>
      <c r="K409" s="635"/>
      <c r="L409" s="635"/>
      <c r="M409" s="655">
        <f t="shared" si="12"/>
        <v>1148746.1980000001</v>
      </c>
      <c r="N409" s="61"/>
      <c r="O409" s="636"/>
    </row>
    <row r="410" spans="1:15" s="242" customFormat="1" ht="14.25" customHeight="1">
      <c r="A410" s="624">
        <v>217</v>
      </c>
      <c r="B410" s="625" t="e">
        <f>VLOOKUP(D410,'[1]DS CN MOI UP'!$B$11:$C$447,2,0)</f>
        <v>#N/A</v>
      </c>
      <c r="C410" s="626" t="s">
        <v>918</v>
      </c>
      <c r="D410" s="61" t="s">
        <v>877</v>
      </c>
      <c r="E410" s="630" t="s">
        <v>15</v>
      </c>
      <c r="F410" s="630"/>
      <c r="G410" s="655"/>
      <c r="H410" s="655"/>
      <c r="I410" s="655">
        <v>1148746.1980000001</v>
      </c>
      <c r="J410" s="635">
        <f t="shared" ref="J410:J430" si="13">SUM(G410:I410)</f>
        <v>1148746.1980000001</v>
      </c>
      <c r="K410" s="635"/>
      <c r="L410" s="635"/>
      <c r="M410" s="655">
        <f t="shared" si="12"/>
        <v>1148746.1980000001</v>
      </c>
      <c r="N410" s="61"/>
      <c r="O410" s="636"/>
    </row>
    <row r="411" spans="1:15" s="242" customFormat="1" ht="14.25" customHeight="1">
      <c r="A411" s="624">
        <v>218</v>
      </c>
      <c r="B411" s="625" t="e">
        <f>VLOOKUP(D411,'[1]DS CN MOI UP'!$B$11:$C$447,2,0)</f>
        <v>#N/A</v>
      </c>
      <c r="C411" s="626" t="s">
        <v>918</v>
      </c>
      <c r="D411" s="61" t="s">
        <v>975</v>
      </c>
      <c r="E411" s="630" t="s">
        <v>15</v>
      </c>
      <c r="F411" s="630"/>
      <c r="G411" s="655"/>
      <c r="H411" s="655"/>
      <c r="I411" s="655">
        <v>1148746.1980000001</v>
      </c>
      <c r="J411" s="635">
        <f t="shared" si="13"/>
        <v>1148746.1980000001</v>
      </c>
      <c r="K411" s="635"/>
      <c r="L411" s="635"/>
      <c r="M411" s="655">
        <f t="shared" si="12"/>
        <v>1148746.1980000001</v>
      </c>
      <c r="N411" s="61"/>
      <c r="O411" s="636"/>
    </row>
    <row r="412" spans="1:15" s="242" customFormat="1" ht="14.25" customHeight="1">
      <c r="A412" s="624">
        <v>219</v>
      </c>
      <c r="B412" s="625" t="e">
        <f>VLOOKUP(D412,'[1]DS CN MOI UP'!$B$11:$C$447,2,0)</f>
        <v>#N/A</v>
      </c>
      <c r="C412" s="626" t="s">
        <v>918</v>
      </c>
      <c r="D412" s="61" t="s">
        <v>976</v>
      </c>
      <c r="E412" s="630" t="s">
        <v>15</v>
      </c>
      <c r="F412" s="630"/>
      <c r="G412" s="655"/>
      <c r="H412" s="655"/>
      <c r="I412" s="655">
        <v>1270080.378</v>
      </c>
      <c r="J412" s="635">
        <f t="shared" si="13"/>
        <v>1270080.378</v>
      </c>
      <c r="K412" s="635"/>
      <c r="L412" s="635"/>
      <c r="M412" s="655">
        <f t="shared" si="12"/>
        <v>1270080.378</v>
      </c>
      <c r="N412" s="61"/>
      <c r="O412" s="636"/>
    </row>
    <row r="413" spans="1:15" s="242" customFormat="1" ht="14.25" customHeight="1">
      <c r="A413" s="624">
        <v>220</v>
      </c>
      <c r="B413" s="625" t="e">
        <f>VLOOKUP(D413,'[1]DS CN MOI UP'!$B$11:$C$447,2,0)</f>
        <v>#N/A</v>
      </c>
      <c r="C413" s="626" t="s">
        <v>918</v>
      </c>
      <c r="D413" s="61" t="s">
        <v>977</v>
      </c>
      <c r="E413" s="630" t="s">
        <v>15</v>
      </c>
      <c r="F413" s="630"/>
      <c r="G413" s="655"/>
      <c r="H413" s="655"/>
      <c r="I413" s="655">
        <v>1128677.8</v>
      </c>
      <c r="J413" s="635">
        <f t="shared" si="13"/>
        <v>1128677.8</v>
      </c>
      <c r="K413" s="635"/>
      <c r="L413" s="635"/>
      <c r="M413" s="655">
        <f t="shared" si="12"/>
        <v>1128677.8</v>
      </c>
      <c r="N413" s="61"/>
      <c r="O413" s="636"/>
    </row>
    <row r="414" spans="1:15" s="242" customFormat="1" ht="14.25" customHeight="1">
      <c r="A414" s="624">
        <v>221</v>
      </c>
      <c r="B414" s="625" t="e">
        <f>VLOOKUP(D414,'[1]DS CN MOI UP'!$B$11:$C$447,2,0)</f>
        <v>#N/A</v>
      </c>
      <c r="C414" s="626" t="s">
        <v>918</v>
      </c>
      <c r="D414" s="61" t="s">
        <v>978</v>
      </c>
      <c r="E414" s="630" t="s">
        <v>15</v>
      </c>
      <c r="F414" s="630"/>
      <c r="G414" s="655"/>
      <c r="H414" s="655"/>
      <c r="I414" s="655">
        <v>1189145.3259999999</v>
      </c>
      <c r="J414" s="635">
        <f t="shared" si="13"/>
        <v>1189145.3259999999</v>
      </c>
      <c r="K414" s="635"/>
      <c r="L414" s="635"/>
      <c r="M414" s="655">
        <f t="shared" si="12"/>
        <v>1189145.3259999999</v>
      </c>
      <c r="N414" s="61"/>
      <c r="O414" s="636"/>
    </row>
    <row r="415" spans="1:15" s="242" customFormat="1" ht="14.25" customHeight="1">
      <c r="A415" s="624">
        <v>222</v>
      </c>
      <c r="B415" s="625" t="str">
        <f>VLOOKUP(D415,'[1]DS CN MOI UP'!$B$11:$C$447,2,0)</f>
        <v>03282</v>
      </c>
      <c r="C415" s="626" t="s">
        <v>918</v>
      </c>
      <c r="D415" s="61" t="s">
        <v>443</v>
      </c>
      <c r="E415" s="630" t="s">
        <v>15</v>
      </c>
      <c r="F415" s="630"/>
      <c r="G415" s="655"/>
      <c r="H415" s="655"/>
      <c r="I415" s="655">
        <v>1249612.852</v>
      </c>
      <c r="J415" s="635">
        <f t="shared" si="13"/>
        <v>1249612.852</v>
      </c>
      <c r="K415" s="635"/>
      <c r="L415" s="635"/>
      <c r="M415" s="655">
        <f t="shared" si="12"/>
        <v>1249612.852</v>
      </c>
      <c r="N415" s="61"/>
      <c r="O415" s="636"/>
    </row>
    <row r="416" spans="1:15" s="242" customFormat="1" ht="14.25" customHeight="1">
      <c r="A416" s="624">
        <v>223</v>
      </c>
      <c r="B416" s="625" t="e">
        <f>VLOOKUP(D416,'[1]DS CN MOI UP'!$B$11:$C$447,2,0)</f>
        <v>#N/A</v>
      </c>
      <c r="C416" s="626" t="s">
        <v>918</v>
      </c>
      <c r="D416" s="61" t="s">
        <v>979</v>
      </c>
      <c r="E416" s="630" t="s">
        <v>15</v>
      </c>
      <c r="F416" s="630"/>
      <c r="G416" s="655"/>
      <c r="H416" s="655"/>
      <c r="I416" s="655">
        <v>1199179.5249999999</v>
      </c>
      <c r="J416" s="635">
        <f t="shared" si="13"/>
        <v>1199179.5249999999</v>
      </c>
      <c r="K416" s="635"/>
      <c r="L416" s="635"/>
      <c r="M416" s="655">
        <f t="shared" si="12"/>
        <v>1199179.5249999999</v>
      </c>
      <c r="N416" s="61"/>
      <c r="O416" s="636"/>
    </row>
    <row r="417" spans="1:15" s="242" customFormat="1" ht="14.25" customHeight="1">
      <c r="A417" s="624">
        <v>224</v>
      </c>
      <c r="B417" s="625" t="e">
        <f>VLOOKUP(D417,'[1]DS CN MOI UP'!$B$11:$C$447,2,0)</f>
        <v>#N/A</v>
      </c>
      <c r="C417" s="626" t="s">
        <v>918</v>
      </c>
      <c r="D417" s="61" t="s">
        <v>980</v>
      </c>
      <c r="E417" s="630" t="s">
        <v>15</v>
      </c>
      <c r="F417" s="630"/>
      <c r="G417" s="655"/>
      <c r="H417" s="655"/>
      <c r="I417" s="655">
        <v>1269681.25</v>
      </c>
      <c r="J417" s="635">
        <f t="shared" si="13"/>
        <v>1269681.25</v>
      </c>
      <c r="K417" s="635"/>
      <c r="L417" s="635"/>
      <c r="M417" s="655">
        <f t="shared" si="12"/>
        <v>1269681.25</v>
      </c>
      <c r="N417" s="61"/>
      <c r="O417" s="636"/>
    </row>
    <row r="418" spans="1:15" s="242" customFormat="1" ht="14.25" customHeight="1">
      <c r="A418" s="624">
        <v>225</v>
      </c>
      <c r="B418" s="625" t="e">
        <f>VLOOKUP(D418,'[1]DS CN MOI UP'!$B$11:$C$447,2,0)</f>
        <v>#N/A</v>
      </c>
      <c r="C418" s="626" t="s">
        <v>918</v>
      </c>
      <c r="D418" s="61" t="s">
        <v>981</v>
      </c>
      <c r="E418" s="630" t="s">
        <v>15</v>
      </c>
      <c r="F418" s="630"/>
      <c r="G418" s="655"/>
      <c r="H418" s="655"/>
      <c r="I418" s="655">
        <v>1148746.1980000001</v>
      </c>
      <c r="J418" s="635">
        <f t="shared" si="13"/>
        <v>1148746.1980000001</v>
      </c>
      <c r="K418" s="635"/>
      <c r="L418" s="635"/>
      <c r="M418" s="655">
        <f t="shared" si="12"/>
        <v>1148746.1980000001</v>
      </c>
      <c r="N418" s="61"/>
      <c r="O418" s="636"/>
    </row>
    <row r="419" spans="1:15" s="242" customFormat="1" ht="14.25" customHeight="1">
      <c r="A419" s="624">
        <v>226</v>
      </c>
      <c r="B419" s="625" t="e">
        <f>VLOOKUP(D419,'[1]DS CN MOI UP'!$B$11:$C$447,2,0)</f>
        <v>#N/A</v>
      </c>
      <c r="C419" s="626" t="s">
        <v>918</v>
      </c>
      <c r="D419" s="61" t="s">
        <v>982</v>
      </c>
      <c r="E419" s="630" t="s">
        <v>15</v>
      </c>
      <c r="F419" s="630"/>
      <c r="G419" s="655"/>
      <c r="H419" s="655"/>
      <c r="I419" s="655">
        <v>1148746.1980000001</v>
      </c>
      <c r="J419" s="635">
        <f t="shared" si="13"/>
        <v>1148746.1980000001</v>
      </c>
      <c r="K419" s="635"/>
      <c r="L419" s="635"/>
      <c r="M419" s="655">
        <f t="shared" si="12"/>
        <v>1148746.1980000001</v>
      </c>
      <c r="N419" s="61"/>
      <c r="O419" s="636"/>
    </row>
    <row r="420" spans="1:15" s="242" customFormat="1" ht="14.25" customHeight="1">
      <c r="A420" s="624">
        <v>227</v>
      </c>
      <c r="B420" s="625" t="e">
        <f>VLOOKUP(D420,'[1]DS CN MOI UP'!$B$11:$C$447,2,0)</f>
        <v>#N/A</v>
      </c>
      <c r="C420" s="626" t="s">
        <v>918</v>
      </c>
      <c r="D420" s="61" t="s">
        <v>983</v>
      </c>
      <c r="E420" s="630" t="s">
        <v>15</v>
      </c>
      <c r="F420" s="630"/>
      <c r="G420" s="655"/>
      <c r="H420" s="655"/>
      <c r="I420" s="655">
        <v>1148746.1980000001</v>
      </c>
      <c r="J420" s="635">
        <f t="shared" si="13"/>
        <v>1148746.1980000001</v>
      </c>
      <c r="K420" s="635"/>
      <c r="L420" s="635"/>
      <c r="M420" s="655">
        <f t="shared" si="12"/>
        <v>1148746.1980000001</v>
      </c>
      <c r="N420" s="61"/>
      <c r="O420" s="636"/>
    </row>
    <row r="421" spans="1:15" s="242" customFormat="1" ht="14.25" customHeight="1">
      <c r="A421" s="624">
        <v>228</v>
      </c>
      <c r="B421" s="625" t="e">
        <f>VLOOKUP(D421,'[1]DS CN MOI UP'!$B$11:$C$447,2,0)</f>
        <v>#N/A</v>
      </c>
      <c r="C421" s="626" t="s">
        <v>918</v>
      </c>
      <c r="D421" s="61" t="s">
        <v>984</v>
      </c>
      <c r="E421" s="630" t="s">
        <v>15</v>
      </c>
      <c r="F421" s="630"/>
      <c r="G421" s="655"/>
      <c r="H421" s="655"/>
      <c r="I421" s="655">
        <v>1182767.6969999899</v>
      </c>
      <c r="J421" s="635">
        <f t="shared" si="13"/>
        <v>1182767.6969999899</v>
      </c>
      <c r="K421" s="635"/>
      <c r="L421" s="635"/>
      <c r="M421" s="655">
        <f t="shared" si="12"/>
        <v>1182767.6969999899</v>
      </c>
      <c r="N421" s="61"/>
      <c r="O421" s="636">
        <v>87312.681000009194</v>
      </c>
    </row>
    <row r="422" spans="1:15" s="242" customFormat="1" ht="14.25" customHeight="1">
      <c r="A422" s="624">
        <v>229</v>
      </c>
      <c r="B422" s="625" t="e">
        <f>VLOOKUP(D422,'[1]DS CN MOI UP'!$B$11:$C$447,2,0)</f>
        <v>#N/A</v>
      </c>
      <c r="C422" s="626" t="s">
        <v>918</v>
      </c>
      <c r="D422" s="61" t="s">
        <v>985</v>
      </c>
      <c r="E422" s="630" t="s">
        <v>15</v>
      </c>
      <c r="F422" s="630"/>
      <c r="G422" s="655"/>
      <c r="H422" s="655"/>
      <c r="I422" s="655">
        <v>1128677.8</v>
      </c>
      <c r="J422" s="635">
        <f t="shared" si="13"/>
        <v>1128677.8</v>
      </c>
      <c r="K422" s="635"/>
      <c r="L422" s="635"/>
      <c r="M422" s="655">
        <f t="shared" si="12"/>
        <v>1128677.8</v>
      </c>
      <c r="N422" s="61"/>
      <c r="O422" s="636"/>
    </row>
    <row r="423" spans="1:15" s="242" customFormat="1" ht="14.25" customHeight="1">
      <c r="A423" s="624">
        <v>230</v>
      </c>
      <c r="B423" s="625" t="e">
        <f>VLOOKUP(D423,'[1]DS CN MOI UP'!$B$11:$C$447,2,0)</f>
        <v>#N/A</v>
      </c>
      <c r="C423" s="626" t="s">
        <v>918</v>
      </c>
      <c r="D423" s="61" t="s">
        <v>986</v>
      </c>
      <c r="E423" s="630" t="s">
        <v>15</v>
      </c>
      <c r="F423" s="630"/>
      <c r="G423" s="655"/>
      <c r="H423" s="655"/>
      <c r="I423" s="655">
        <v>1189145.3259999999</v>
      </c>
      <c r="J423" s="635">
        <f t="shared" si="13"/>
        <v>1189145.3259999999</v>
      </c>
      <c r="K423" s="635"/>
      <c r="L423" s="635"/>
      <c r="M423" s="655">
        <f t="shared" si="12"/>
        <v>1189145.3259999999</v>
      </c>
      <c r="N423" s="61"/>
      <c r="O423" s="636"/>
    </row>
    <row r="424" spans="1:15" s="242" customFormat="1" ht="14.25" customHeight="1">
      <c r="A424" s="624">
        <v>231</v>
      </c>
      <c r="B424" s="625" t="e">
        <f>VLOOKUP(D424,'[1]DS CN MOI UP'!$B$11:$C$447,2,0)</f>
        <v>#N/A</v>
      </c>
      <c r="C424" s="626" t="s">
        <v>918</v>
      </c>
      <c r="D424" s="61" t="s">
        <v>987</v>
      </c>
      <c r="E424" s="630" t="s">
        <v>15</v>
      </c>
      <c r="F424" s="630"/>
      <c r="G424" s="655"/>
      <c r="H424" s="655">
        <v>1249612.852</v>
      </c>
      <c r="I424" s="655"/>
      <c r="J424" s="635">
        <f t="shared" si="13"/>
        <v>1249612.852</v>
      </c>
      <c r="K424" s="635"/>
      <c r="L424" s="635"/>
      <c r="M424" s="655">
        <f t="shared" si="12"/>
        <v>1249612.852</v>
      </c>
      <c r="N424" s="61"/>
      <c r="O424" s="636"/>
    </row>
    <row r="425" spans="1:15" s="242" customFormat="1" ht="14.25" customHeight="1">
      <c r="A425" s="624">
        <v>232</v>
      </c>
      <c r="B425" s="625" t="e">
        <f>VLOOKUP(D425,'[1]DS CN MOI UP'!$B$11:$C$447,2,0)</f>
        <v>#N/A</v>
      </c>
      <c r="C425" s="626" t="s">
        <v>918</v>
      </c>
      <c r="D425" s="61" t="s">
        <v>988</v>
      </c>
      <c r="E425" s="630" t="s">
        <v>15</v>
      </c>
      <c r="F425" s="630"/>
      <c r="G425" s="655"/>
      <c r="H425" s="655">
        <v>1270080.378</v>
      </c>
      <c r="I425" s="655"/>
      <c r="J425" s="635">
        <f t="shared" si="13"/>
        <v>1270080.378</v>
      </c>
      <c r="K425" s="635"/>
      <c r="L425" s="635"/>
      <c r="M425" s="655">
        <f t="shared" si="12"/>
        <v>1270080.378</v>
      </c>
      <c r="N425" s="61"/>
      <c r="O425" s="636"/>
    </row>
    <row r="426" spans="1:15" s="242" customFormat="1" ht="14.25" customHeight="1">
      <c r="A426" s="624">
        <v>233</v>
      </c>
      <c r="B426" s="625" t="e">
        <f>VLOOKUP(D426,'[1]DS CN MOI UP'!$B$11:$C$447,2,0)</f>
        <v>#N/A</v>
      </c>
      <c r="C426" s="626" t="s">
        <v>918</v>
      </c>
      <c r="D426" s="61" t="s">
        <v>989</v>
      </c>
      <c r="E426" s="630" t="s">
        <v>15</v>
      </c>
      <c r="F426" s="630"/>
      <c r="G426" s="655"/>
      <c r="H426" s="655">
        <v>1128677.8</v>
      </c>
      <c r="I426" s="655"/>
      <c r="J426" s="635">
        <f t="shared" si="13"/>
        <v>1128677.8</v>
      </c>
      <c r="K426" s="635"/>
      <c r="L426" s="635"/>
      <c r="M426" s="655">
        <f t="shared" si="12"/>
        <v>1128677.8</v>
      </c>
      <c r="N426" s="61"/>
      <c r="O426" s="636"/>
    </row>
    <row r="427" spans="1:15" s="242" customFormat="1" ht="14.25" customHeight="1">
      <c r="A427" s="624">
        <v>234</v>
      </c>
      <c r="B427" s="625" t="e">
        <f>VLOOKUP(D427,'[1]DS CN MOI UP'!$B$11:$C$447,2,0)</f>
        <v>#N/A</v>
      </c>
      <c r="C427" s="626" t="s">
        <v>918</v>
      </c>
      <c r="D427" s="61" t="s">
        <v>990</v>
      </c>
      <c r="E427" s="630" t="s">
        <v>15</v>
      </c>
      <c r="F427" s="630"/>
      <c r="G427" s="655"/>
      <c r="H427" s="655">
        <v>1189145.3259999999</v>
      </c>
      <c r="I427" s="655"/>
      <c r="J427" s="635">
        <f t="shared" si="13"/>
        <v>1189145.3259999999</v>
      </c>
      <c r="K427" s="635"/>
      <c r="L427" s="635"/>
      <c r="M427" s="655">
        <f t="shared" si="12"/>
        <v>1189145.3259999999</v>
      </c>
      <c r="N427" s="61"/>
      <c r="O427" s="636"/>
    </row>
    <row r="428" spans="1:15" s="242" customFormat="1" ht="14.25" customHeight="1">
      <c r="A428" s="624">
        <v>235</v>
      </c>
      <c r="B428" s="625" t="e">
        <f>VLOOKUP(D428,'[1]DS CN MOI UP'!$B$11:$C$447,2,0)</f>
        <v>#N/A</v>
      </c>
      <c r="C428" s="626" t="s">
        <v>918</v>
      </c>
      <c r="D428" s="61" t="s">
        <v>991</v>
      </c>
      <c r="E428" s="630" t="s">
        <v>15</v>
      </c>
      <c r="F428" s="630"/>
      <c r="G428" s="655"/>
      <c r="H428" s="655">
        <v>1249612.852</v>
      </c>
      <c r="I428" s="655"/>
      <c r="J428" s="635">
        <f t="shared" si="13"/>
        <v>1249612.852</v>
      </c>
      <c r="K428" s="635"/>
      <c r="L428" s="635"/>
      <c r="M428" s="655">
        <f t="shared" si="12"/>
        <v>1249612.852</v>
      </c>
      <c r="N428" s="61"/>
      <c r="O428" s="636"/>
    </row>
    <row r="429" spans="1:15" s="242" customFormat="1" ht="14.25" customHeight="1">
      <c r="A429" s="624">
        <v>236</v>
      </c>
      <c r="B429" s="625" t="e">
        <f>VLOOKUP(D429,'[1]DS CN MOI UP'!$B$11:$C$447,2,0)</f>
        <v>#N/A</v>
      </c>
      <c r="C429" s="626" t="s">
        <v>918</v>
      </c>
      <c r="D429" s="61" t="s">
        <v>992</v>
      </c>
      <c r="E429" s="630" t="s">
        <v>15</v>
      </c>
      <c r="F429" s="630"/>
      <c r="G429" s="655"/>
      <c r="H429" s="655">
        <v>1205129.2677231401</v>
      </c>
      <c r="I429" s="655"/>
      <c r="J429" s="635">
        <f t="shared" si="13"/>
        <v>1205129.2677231401</v>
      </c>
      <c r="K429" s="635"/>
      <c r="L429" s="635"/>
      <c r="M429" s="655">
        <f t="shared" si="12"/>
        <v>1205129.2677231401</v>
      </c>
      <c r="N429" s="61"/>
      <c r="O429" s="636"/>
    </row>
    <row r="430" spans="1:15" s="242" customFormat="1" ht="14.25" customHeight="1">
      <c r="A430" s="624">
        <v>237</v>
      </c>
      <c r="B430" s="625" t="e">
        <f>VLOOKUP(D430,'[1]DS CN MOI UP'!$B$11:$C$447,2,0)</f>
        <v>#N/A</v>
      </c>
      <c r="C430" s="626" t="s">
        <v>918</v>
      </c>
      <c r="D430" s="61" t="s">
        <v>993</v>
      </c>
      <c r="E430" s="630" t="s">
        <v>15</v>
      </c>
      <c r="F430" s="630"/>
      <c r="G430" s="655"/>
      <c r="H430" s="655">
        <v>1269681.25</v>
      </c>
      <c r="I430" s="655"/>
      <c r="J430" s="635">
        <f t="shared" si="13"/>
        <v>1269681.25</v>
      </c>
      <c r="K430" s="635"/>
      <c r="L430" s="635"/>
      <c r="M430" s="655">
        <f t="shared" si="12"/>
        <v>1269681.25</v>
      </c>
      <c r="N430" s="61"/>
      <c r="O430" s="636"/>
    </row>
    <row r="431" spans="1:15" s="242" customFormat="1" ht="14.25" customHeight="1">
      <c r="A431" s="624">
        <v>238</v>
      </c>
      <c r="B431" s="625" t="e">
        <f>VLOOKUP(D431,'[1]DS CN MOI UP'!$B$11:$C$447,2,0)</f>
        <v>#N/A</v>
      </c>
      <c r="C431" s="626" t="s">
        <v>918</v>
      </c>
      <c r="D431" s="61" t="s">
        <v>994</v>
      </c>
      <c r="E431" s="630" t="s">
        <v>15</v>
      </c>
      <c r="F431" s="630"/>
      <c r="G431" s="655"/>
      <c r="H431" s="655">
        <v>1148746.1980000001</v>
      </c>
      <c r="I431" s="655"/>
      <c r="J431" s="635">
        <f t="shared" ref="J431:J464" si="14">SUM(G431:I431)</f>
        <v>1148746.1980000001</v>
      </c>
      <c r="K431" s="635"/>
      <c r="L431" s="635"/>
      <c r="M431" s="655">
        <f t="shared" ref="M431:M464" si="15">J431-L431</f>
        <v>1148746.1980000001</v>
      </c>
      <c r="N431" s="61"/>
      <c r="O431" s="636"/>
    </row>
    <row r="432" spans="1:15" s="242" customFormat="1" ht="14.25" customHeight="1">
      <c r="A432" s="624">
        <v>239</v>
      </c>
      <c r="B432" s="625"/>
      <c r="C432" s="626"/>
      <c r="D432" s="61" t="s">
        <v>995</v>
      </c>
      <c r="E432" s="630" t="s">
        <v>15</v>
      </c>
      <c r="F432" s="630"/>
      <c r="G432" s="655">
        <v>580000</v>
      </c>
      <c r="H432" s="655">
        <v>554373.09900000005</v>
      </c>
      <c r="I432" s="655"/>
      <c r="J432" s="635">
        <f t="shared" si="14"/>
        <v>1134373.0989999999</v>
      </c>
      <c r="K432" s="635"/>
      <c r="L432" s="635"/>
      <c r="M432" s="655">
        <f t="shared" si="15"/>
        <v>1134373.0989999999</v>
      </c>
      <c r="N432" s="61"/>
      <c r="O432" s="636"/>
    </row>
    <row r="433" spans="1:15" s="242" customFormat="1" ht="14.25" customHeight="1">
      <c r="A433" s="624">
        <v>240</v>
      </c>
      <c r="B433" s="625"/>
      <c r="C433" s="626"/>
      <c r="D433" s="61" t="s">
        <v>996</v>
      </c>
      <c r="E433" s="630" t="s">
        <v>15</v>
      </c>
      <c r="F433" s="630"/>
      <c r="G433" s="655">
        <v>580000</v>
      </c>
      <c r="H433" s="655">
        <v>635040.18900000001</v>
      </c>
      <c r="I433" s="655"/>
      <c r="J433" s="635">
        <f t="shared" si="14"/>
        <v>1215040.189</v>
      </c>
      <c r="K433" s="635"/>
      <c r="L433" s="635"/>
      <c r="M433" s="655">
        <f t="shared" si="15"/>
        <v>1215040.189</v>
      </c>
      <c r="N433" s="61"/>
      <c r="O433" s="636"/>
    </row>
    <row r="434" spans="1:15" s="242" customFormat="1" ht="14.25" customHeight="1">
      <c r="A434" s="624">
        <v>241</v>
      </c>
      <c r="B434" s="625"/>
      <c r="C434" s="626"/>
      <c r="D434" s="61" t="s">
        <v>997</v>
      </c>
      <c r="E434" s="630" t="s">
        <v>15</v>
      </c>
      <c r="F434" s="630"/>
      <c r="G434" s="655">
        <v>580000</v>
      </c>
      <c r="H434" s="655">
        <v>544338.9</v>
      </c>
      <c r="I434" s="655"/>
      <c r="J434" s="635">
        <f t="shared" si="14"/>
        <v>1124338.8999999999</v>
      </c>
      <c r="K434" s="635"/>
      <c r="L434" s="635"/>
      <c r="M434" s="655">
        <f t="shared" si="15"/>
        <v>1124338.8999999999</v>
      </c>
      <c r="N434" s="61"/>
      <c r="O434" s="636"/>
    </row>
    <row r="435" spans="1:15" s="242" customFormat="1" ht="14.25" customHeight="1">
      <c r="A435" s="624">
        <v>242</v>
      </c>
      <c r="B435" s="625"/>
      <c r="C435" s="626"/>
      <c r="D435" s="61" t="s">
        <v>998</v>
      </c>
      <c r="E435" s="630" t="s">
        <v>15</v>
      </c>
      <c r="F435" s="630"/>
      <c r="G435" s="655">
        <v>580000</v>
      </c>
      <c r="H435" s="655">
        <v>574572.66299999994</v>
      </c>
      <c r="I435" s="655"/>
      <c r="J435" s="635">
        <f t="shared" si="14"/>
        <v>1154572.6629999999</v>
      </c>
      <c r="K435" s="635"/>
      <c r="L435" s="635"/>
      <c r="M435" s="655">
        <f t="shared" si="15"/>
        <v>1154572.6629999999</v>
      </c>
      <c r="N435" s="61"/>
      <c r="O435" s="636"/>
    </row>
    <row r="436" spans="1:15" s="242" customFormat="1" ht="14.25" customHeight="1">
      <c r="A436" s="624">
        <v>243</v>
      </c>
      <c r="B436" s="625"/>
      <c r="C436" s="626"/>
      <c r="D436" s="61" t="s">
        <v>877</v>
      </c>
      <c r="E436" s="630" t="s">
        <v>15</v>
      </c>
      <c r="F436" s="630"/>
      <c r="G436" s="655">
        <v>580000</v>
      </c>
      <c r="H436" s="655">
        <v>604806.42599999998</v>
      </c>
      <c r="I436" s="655"/>
      <c r="J436" s="635">
        <f t="shared" si="14"/>
        <v>1184806.426</v>
      </c>
      <c r="K436" s="635"/>
      <c r="L436" s="635"/>
      <c r="M436" s="655">
        <f t="shared" si="15"/>
        <v>1184806.426</v>
      </c>
      <c r="N436" s="61"/>
      <c r="O436" s="636"/>
    </row>
    <row r="437" spans="1:15" s="242" customFormat="1" ht="14.25" customHeight="1">
      <c r="A437" s="624">
        <v>244</v>
      </c>
      <c r="B437" s="625"/>
      <c r="C437" s="626"/>
      <c r="D437" s="61" t="s">
        <v>999</v>
      </c>
      <c r="E437" s="630" t="s">
        <v>15</v>
      </c>
      <c r="F437" s="630"/>
      <c r="G437" s="655">
        <v>580000</v>
      </c>
      <c r="H437" s="655">
        <v>584606.86199999996</v>
      </c>
      <c r="I437" s="655"/>
      <c r="J437" s="635">
        <f t="shared" si="14"/>
        <v>1164606.862</v>
      </c>
      <c r="K437" s="635"/>
      <c r="L437" s="635"/>
      <c r="M437" s="655">
        <f t="shared" si="15"/>
        <v>1164606.862</v>
      </c>
      <c r="N437" s="61"/>
      <c r="O437" s="636"/>
    </row>
    <row r="438" spans="1:15" s="242" customFormat="1" ht="14.25" customHeight="1">
      <c r="A438" s="624">
        <v>245</v>
      </c>
      <c r="B438" s="625"/>
      <c r="C438" s="626"/>
      <c r="D438" s="61" t="s">
        <v>1000</v>
      </c>
      <c r="E438" s="630" t="s">
        <v>15</v>
      </c>
      <c r="F438" s="630"/>
      <c r="G438" s="655">
        <v>580000</v>
      </c>
      <c r="H438" s="655">
        <v>635040.18900000001</v>
      </c>
      <c r="I438" s="655"/>
      <c r="J438" s="635">
        <f t="shared" si="14"/>
        <v>1215040.189</v>
      </c>
      <c r="K438" s="635"/>
      <c r="L438" s="635"/>
      <c r="M438" s="655">
        <f t="shared" si="15"/>
        <v>1215040.189</v>
      </c>
      <c r="N438" s="61"/>
      <c r="O438" s="636"/>
    </row>
    <row r="439" spans="1:15" s="242" customFormat="1" ht="14.25" customHeight="1">
      <c r="A439" s="624">
        <v>246</v>
      </c>
      <c r="B439" s="625"/>
      <c r="C439" s="626"/>
      <c r="D439" s="61" t="s">
        <v>1001</v>
      </c>
      <c r="E439" s="630" t="s">
        <v>15</v>
      </c>
      <c r="F439" s="630"/>
      <c r="G439" s="655">
        <v>580000</v>
      </c>
      <c r="H439" s="655">
        <v>524139.33600000001</v>
      </c>
      <c r="I439" s="655"/>
      <c r="J439" s="635">
        <f t="shared" si="14"/>
        <v>1104139.3360000001</v>
      </c>
      <c r="K439" s="635"/>
      <c r="L439" s="635"/>
      <c r="M439" s="655">
        <f t="shared" si="15"/>
        <v>1104139.3360000001</v>
      </c>
      <c r="N439" s="61"/>
      <c r="O439" s="636"/>
    </row>
    <row r="440" spans="1:15" s="242" customFormat="1" ht="14.25" customHeight="1">
      <c r="A440" s="624">
        <v>247</v>
      </c>
      <c r="B440" s="625"/>
      <c r="C440" s="626"/>
      <c r="D440" s="61" t="s">
        <v>1002</v>
      </c>
      <c r="E440" s="630" t="s">
        <v>15</v>
      </c>
      <c r="F440" s="630"/>
      <c r="G440" s="655">
        <v>580000</v>
      </c>
      <c r="H440" s="655">
        <v>635040.18900000001</v>
      </c>
      <c r="I440" s="655"/>
      <c r="J440" s="635">
        <f t="shared" si="14"/>
        <v>1215040.189</v>
      </c>
      <c r="K440" s="635"/>
      <c r="L440" s="635"/>
      <c r="M440" s="655">
        <f t="shared" si="15"/>
        <v>1215040.189</v>
      </c>
      <c r="N440" s="61"/>
      <c r="O440" s="636"/>
    </row>
    <row r="441" spans="1:15" s="242" customFormat="1" ht="14.25" customHeight="1">
      <c r="A441" s="624">
        <v>248</v>
      </c>
      <c r="B441" s="625"/>
      <c r="C441" s="626"/>
      <c r="D441" s="61" t="s">
        <v>1003</v>
      </c>
      <c r="E441" s="630" t="s">
        <v>15</v>
      </c>
      <c r="F441" s="630"/>
      <c r="G441" s="655">
        <v>580000</v>
      </c>
      <c r="H441" s="655">
        <v>635040.18900000001</v>
      </c>
      <c r="I441" s="655"/>
      <c r="J441" s="635">
        <f t="shared" si="14"/>
        <v>1215040.189</v>
      </c>
      <c r="K441" s="635"/>
      <c r="L441" s="635"/>
      <c r="M441" s="655">
        <f t="shared" si="15"/>
        <v>1215040.189</v>
      </c>
      <c r="N441" s="61"/>
      <c r="O441" s="636"/>
    </row>
    <row r="442" spans="1:15" s="242" customFormat="1" ht="14.25" customHeight="1">
      <c r="A442" s="624">
        <v>249</v>
      </c>
      <c r="B442" s="625"/>
      <c r="C442" s="626"/>
      <c r="D442" s="61" t="s">
        <v>1004</v>
      </c>
      <c r="E442" s="630" t="s">
        <v>15</v>
      </c>
      <c r="F442" s="630"/>
      <c r="G442" s="655">
        <v>580000</v>
      </c>
      <c r="H442" s="655">
        <v>554373.09900000005</v>
      </c>
      <c r="I442" s="655"/>
      <c r="J442" s="635">
        <f t="shared" si="14"/>
        <v>1134373.0989999999</v>
      </c>
      <c r="K442" s="635"/>
      <c r="L442" s="635"/>
      <c r="M442" s="655">
        <f t="shared" si="15"/>
        <v>1134373.0989999999</v>
      </c>
      <c r="N442" s="61"/>
      <c r="O442" s="636"/>
    </row>
    <row r="443" spans="1:15" s="242" customFormat="1" ht="14.25" customHeight="1">
      <c r="A443" s="624">
        <v>250</v>
      </c>
      <c r="B443" s="625"/>
      <c r="C443" s="626"/>
      <c r="D443" s="61" t="s">
        <v>1005</v>
      </c>
      <c r="E443" s="630" t="s">
        <v>15</v>
      </c>
      <c r="F443" s="630"/>
      <c r="G443" s="655">
        <v>580000</v>
      </c>
      <c r="H443" s="655">
        <v>554373.09900000005</v>
      </c>
      <c r="I443" s="655"/>
      <c r="J443" s="635">
        <f t="shared" si="14"/>
        <v>1134373.0989999999</v>
      </c>
      <c r="K443" s="635"/>
      <c r="L443" s="635"/>
      <c r="M443" s="655">
        <f t="shared" si="15"/>
        <v>1134373.0989999999</v>
      </c>
      <c r="N443" s="61"/>
      <c r="O443" s="636"/>
    </row>
    <row r="444" spans="1:15" s="242" customFormat="1" ht="14.25" customHeight="1">
      <c r="A444" s="624">
        <v>251</v>
      </c>
      <c r="B444" s="625"/>
      <c r="C444" s="626"/>
      <c r="D444" s="61" t="s">
        <v>1006</v>
      </c>
      <c r="E444" s="630" t="s">
        <v>15</v>
      </c>
      <c r="F444" s="630"/>
      <c r="G444" s="655">
        <v>580000</v>
      </c>
      <c r="H444" s="655">
        <v>635040.18900000001</v>
      </c>
      <c r="I444" s="655"/>
      <c r="J444" s="635">
        <f t="shared" ref="J444:J455" si="16">SUM(G444:I444)</f>
        <v>1215040.189</v>
      </c>
      <c r="K444" s="635"/>
      <c r="L444" s="635"/>
      <c r="M444" s="655">
        <f t="shared" ref="M444:M455" si="17">J444-L444</f>
        <v>1215040.189</v>
      </c>
      <c r="N444" s="61"/>
      <c r="O444" s="636"/>
    </row>
    <row r="445" spans="1:15" s="242" customFormat="1" ht="14.25" customHeight="1">
      <c r="A445" s="624">
        <v>252</v>
      </c>
      <c r="B445" s="625"/>
      <c r="C445" s="626"/>
      <c r="D445" s="61" t="s">
        <v>1007</v>
      </c>
      <c r="E445" s="630" t="s">
        <v>15</v>
      </c>
      <c r="F445" s="630"/>
      <c r="G445" s="655">
        <v>580000</v>
      </c>
      <c r="H445" s="655">
        <v>544338.9</v>
      </c>
      <c r="I445" s="655"/>
      <c r="J445" s="635">
        <f t="shared" si="16"/>
        <v>1124338.8999999999</v>
      </c>
      <c r="K445" s="635"/>
      <c r="L445" s="635"/>
      <c r="M445" s="655">
        <f t="shared" si="17"/>
        <v>1124338.8999999999</v>
      </c>
      <c r="N445" s="61"/>
      <c r="O445" s="636"/>
    </row>
    <row r="446" spans="1:15" s="242" customFormat="1" ht="14.25" customHeight="1">
      <c r="A446" s="624">
        <v>253</v>
      </c>
      <c r="B446" s="625"/>
      <c r="C446" s="626"/>
      <c r="D446" s="61" t="s">
        <v>1008</v>
      </c>
      <c r="E446" s="630" t="s">
        <v>15</v>
      </c>
      <c r="F446" s="630"/>
      <c r="G446" s="655">
        <v>580000</v>
      </c>
      <c r="H446" s="655">
        <v>574572.66299999994</v>
      </c>
      <c r="I446" s="655"/>
      <c r="J446" s="635">
        <f t="shared" si="16"/>
        <v>1154572.6629999999</v>
      </c>
      <c r="K446" s="635"/>
      <c r="L446" s="635"/>
      <c r="M446" s="655">
        <f t="shared" si="17"/>
        <v>1154572.6629999999</v>
      </c>
      <c r="N446" s="61"/>
      <c r="O446" s="636"/>
    </row>
    <row r="447" spans="1:15" s="242" customFormat="1" ht="14.25" customHeight="1">
      <c r="A447" s="624">
        <v>254</v>
      </c>
      <c r="B447" s="625"/>
      <c r="C447" s="626"/>
      <c r="D447" s="61" t="s">
        <v>108</v>
      </c>
      <c r="E447" s="630" t="s">
        <v>15</v>
      </c>
      <c r="F447" s="630"/>
      <c r="G447" s="655">
        <v>580000</v>
      </c>
      <c r="H447" s="655">
        <v>604806.42599999998</v>
      </c>
      <c r="I447" s="655"/>
      <c r="J447" s="635">
        <f t="shared" si="16"/>
        <v>1184806.426</v>
      </c>
      <c r="K447" s="635"/>
      <c r="L447" s="635"/>
      <c r="M447" s="655">
        <f t="shared" si="17"/>
        <v>1184806.426</v>
      </c>
      <c r="N447" s="61"/>
      <c r="O447" s="636"/>
    </row>
    <row r="448" spans="1:15" s="242" customFormat="1" ht="14.25" customHeight="1">
      <c r="A448" s="624">
        <v>255</v>
      </c>
      <c r="B448" s="625"/>
      <c r="C448" s="626"/>
      <c r="D448" s="61" t="s">
        <v>1009</v>
      </c>
      <c r="E448" s="630" t="s">
        <v>15</v>
      </c>
      <c r="F448" s="630"/>
      <c r="G448" s="655">
        <v>580000</v>
      </c>
      <c r="H448" s="655">
        <v>584606.86199999996</v>
      </c>
      <c r="I448" s="655"/>
      <c r="J448" s="635">
        <f t="shared" si="16"/>
        <v>1164606.862</v>
      </c>
      <c r="K448" s="635"/>
      <c r="L448" s="635"/>
      <c r="M448" s="655">
        <f t="shared" si="17"/>
        <v>1164606.862</v>
      </c>
      <c r="N448" s="61"/>
      <c r="O448" s="636"/>
    </row>
    <row r="449" spans="1:15" s="242" customFormat="1" ht="14.25" customHeight="1">
      <c r="A449" s="624">
        <v>256</v>
      </c>
      <c r="B449" s="625"/>
      <c r="C449" s="626"/>
      <c r="D449" s="61" t="s">
        <v>1010</v>
      </c>
      <c r="E449" s="630" t="s">
        <v>15</v>
      </c>
      <c r="F449" s="630"/>
      <c r="G449" s="655">
        <v>580000</v>
      </c>
      <c r="H449" s="655">
        <v>635040.18900000001</v>
      </c>
      <c r="I449" s="655"/>
      <c r="J449" s="635">
        <f t="shared" si="16"/>
        <v>1215040.189</v>
      </c>
      <c r="K449" s="635"/>
      <c r="L449" s="635"/>
      <c r="M449" s="655">
        <f t="shared" si="17"/>
        <v>1215040.189</v>
      </c>
      <c r="N449" s="61"/>
      <c r="O449" s="636"/>
    </row>
    <row r="450" spans="1:15" s="242" customFormat="1" ht="14.25" customHeight="1">
      <c r="A450" s="624">
        <v>257</v>
      </c>
      <c r="B450" s="625"/>
      <c r="C450" s="626"/>
      <c r="D450" s="61" t="s">
        <v>1011</v>
      </c>
      <c r="E450" s="630" t="s">
        <v>15</v>
      </c>
      <c r="F450" s="630"/>
      <c r="G450" s="655">
        <v>580000</v>
      </c>
      <c r="H450" s="655">
        <v>524139.33600000001</v>
      </c>
      <c r="I450" s="655"/>
      <c r="J450" s="635">
        <f t="shared" si="16"/>
        <v>1104139.3360000001</v>
      </c>
      <c r="K450" s="635"/>
      <c r="L450" s="635"/>
      <c r="M450" s="655">
        <f t="shared" si="17"/>
        <v>1104139.3360000001</v>
      </c>
      <c r="N450" s="61"/>
      <c r="O450" s="636"/>
    </row>
    <row r="451" spans="1:15" s="242" customFormat="1" ht="14.25" customHeight="1">
      <c r="A451" s="624">
        <v>258</v>
      </c>
      <c r="B451" s="625"/>
      <c r="C451" s="626"/>
      <c r="D451" s="61" t="s">
        <v>1012</v>
      </c>
      <c r="E451" s="630" t="s">
        <v>15</v>
      </c>
      <c r="F451" s="630"/>
      <c r="G451" s="655">
        <v>580000</v>
      </c>
      <c r="H451" s="655">
        <v>635040.18900000001</v>
      </c>
      <c r="I451" s="655"/>
      <c r="J451" s="635">
        <f t="shared" si="16"/>
        <v>1215040.189</v>
      </c>
      <c r="K451" s="635"/>
      <c r="L451" s="635"/>
      <c r="M451" s="655">
        <f t="shared" si="17"/>
        <v>1215040.189</v>
      </c>
      <c r="N451" s="61"/>
      <c r="O451" s="636"/>
    </row>
    <row r="452" spans="1:15" s="242" customFormat="1" ht="14.25" customHeight="1">
      <c r="A452" s="624">
        <v>259</v>
      </c>
      <c r="B452" s="625"/>
      <c r="C452" s="626"/>
      <c r="D452" s="61" t="s">
        <v>1013</v>
      </c>
      <c r="E452" s="630" t="s">
        <v>15</v>
      </c>
      <c r="F452" s="630"/>
      <c r="G452" s="655">
        <v>580000</v>
      </c>
      <c r="H452" s="655">
        <v>635040.18900000001</v>
      </c>
      <c r="I452" s="655"/>
      <c r="J452" s="635">
        <f t="shared" si="16"/>
        <v>1215040.189</v>
      </c>
      <c r="K452" s="635"/>
      <c r="L452" s="635"/>
      <c r="M452" s="655">
        <f t="shared" si="17"/>
        <v>1215040.189</v>
      </c>
      <c r="N452" s="61"/>
      <c r="O452" s="636"/>
    </row>
    <row r="453" spans="1:15" s="242" customFormat="1" ht="14.25" customHeight="1">
      <c r="A453" s="624">
        <v>260</v>
      </c>
      <c r="B453" s="625"/>
      <c r="C453" s="626"/>
      <c r="D453" s="61" t="s">
        <v>1014</v>
      </c>
      <c r="E453" s="630" t="s">
        <v>15</v>
      </c>
      <c r="F453" s="630"/>
      <c r="G453" s="655">
        <v>580000</v>
      </c>
      <c r="H453" s="655">
        <v>554373.09900000005</v>
      </c>
      <c r="I453" s="655"/>
      <c r="J453" s="635">
        <f t="shared" si="16"/>
        <v>1134373.0989999999</v>
      </c>
      <c r="K453" s="635"/>
      <c r="L453" s="635"/>
      <c r="M453" s="655">
        <f t="shared" si="17"/>
        <v>1134373.0989999999</v>
      </c>
      <c r="N453" s="61"/>
      <c r="O453" s="636"/>
    </row>
    <row r="454" spans="1:15" s="242" customFormat="1" ht="14.25" customHeight="1">
      <c r="A454" s="624">
        <v>261</v>
      </c>
      <c r="B454" s="625"/>
      <c r="C454" s="626"/>
      <c r="D454" s="61" t="s">
        <v>1015</v>
      </c>
      <c r="E454" s="630" t="s">
        <v>15</v>
      </c>
      <c r="F454" s="630"/>
      <c r="G454" s="655">
        <v>580000</v>
      </c>
      <c r="H454" s="655">
        <v>554373.09900000005</v>
      </c>
      <c r="I454" s="655"/>
      <c r="J454" s="635">
        <f t="shared" si="16"/>
        <v>1134373.0989999999</v>
      </c>
      <c r="K454" s="635"/>
      <c r="L454" s="635"/>
      <c r="M454" s="655">
        <f t="shared" si="17"/>
        <v>1134373.0989999999</v>
      </c>
      <c r="N454" s="61"/>
      <c r="O454" s="636"/>
    </row>
    <row r="455" spans="1:15" s="242" customFormat="1" ht="14.25" customHeight="1">
      <c r="A455" s="624">
        <v>262</v>
      </c>
      <c r="B455" s="625"/>
      <c r="C455" s="626"/>
      <c r="D455" s="61" t="s">
        <v>1016</v>
      </c>
      <c r="E455" s="630" t="s">
        <v>15</v>
      </c>
      <c r="F455" s="630"/>
      <c r="G455" s="655">
        <v>580000</v>
      </c>
      <c r="H455" s="655">
        <v>635040.18900000001</v>
      </c>
      <c r="I455" s="655"/>
      <c r="J455" s="635">
        <f t="shared" si="16"/>
        <v>1215040.189</v>
      </c>
      <c r="K455" s="635"/>
      <c r="L455" s="635"/>
      <c r="M455" s="655">
        <f t="shared" si="17"/>
        <v>1215040.189</v>
      </c>
      <c r="N455" s="61"/>
      <c r="O455" s="636"/>
    </row>
    <row r="456" spans="1:15" s="242" customFormat="1" ht="14.25" customHeight="1">
      <c r="A456" s="624">
        <v>263</v>
      </c>
      <c r="B456" s="625"/>
      <c r="C456" s="626"/>
      <c r="D456" s="61" t="s">
        <v>1017</v>
      </c>
      <c r="E456" s="630" t="s">
        <v>15</v>
      </c>
      <c r="F456" s="630"/>
      <c r="G456" s="655">
        <v>580000</v>
      </c>
      <c r="H456" s="655">
        <v>544338.9</v>
      </c>
      <c r="I456" s="655"/>
      <c r="J456" s="635">
        <f t="shared" si="14"/>
        <v>1124338.8999999999</v>
      </c>
      <c r="K456" s="635"/>
      <c r="L456" s="635"/>
      <c r="M456" s="655">
        <f t="shared" si="15"/>
        <v>1124338.8999999999</v>
      </c>
      <c r="N456" s="61"/>
      <c r="O456" s="636"/>
    </row>
    <row r="457" spans="1:15" s="242" customFormat="1" ht="14.25" customHeight="1">
      <c r="A457" s="624">
        <v>264</v>
      </c>
      <c r="B457" s="625"/>
      <c r="C457" s="626"/>
      <c r="D457" s="61" t="s">
        <v>1018</v>
      </c>
      <c r="E457" s="630" t="s">
        <v>15</v>
      </c>
      <c r="F457" s="630"/>
      <c r="G457" s="655">
        <v>580000</v>
      </c>
      <c r="H457" s="655">
        <v>574572.66299999994</v>
      </c>
      <c r="I457" s="655"/>
      <c r="J457" s="635">
        <f t="shared" si="14"/>
        <v>1154572.6629999999</v>
      </c>
      <c r="K457" s="635"/>
      <c r="L457" s="635"/>
      <c r="M457" s="655">
        <f t="shared" si="15"/>
        <v>1154572.6629999999</v>
      </c>
      <c r="N457" s="61"/>
      <c r="O457" s="636"/>
    </row>
    <row r="458" spans="1:15" s="242" customFormat="1" ht="14.25" customHeight="1">
      <c r="A458" s="624">
        <v>265</v>
      </c>
      <c r="B458" s="625"/>
      <c r="C458" s="626"/>
      <c r="D458" s="61" t="s">
        <v>1019</v>
      </c>
      <c r="E458" s="630" t="s">
        <v>15</v>
      </c>
      <c r="F458" s="630"/>
      <c r="G458" s="655">
        <v>580000</v>
      </c>
      <c r="H458" s="655">
        <v>604806.42599999998</v>
      </c>
      <c r="I458" s="655"/>
      <c r="J458" s="635">
        <f t="shared" si="14"/>
        <v>1184806.426</v>
      </c>
      <c r="K458" s="635"/>
      <c r="L458" s="635"/>
      <c r="M458" s="655">
        <f t="shared" si="15"/>
        <v>1184806.426</v>
      </c>
      <c r="N458" s="61"/>
      <c r="O458" s="636"/>
    </row>
    <row r="459" spans="1:15" s="242" customFormat="1" ht="14.25" customHeight="1">
      <c r="A459" s="624">
        <v>266</v>
      </c>
      <c r="B459" s="625"/>
      <c r="C459" s="626"/>
      <c r="D459" s="61" t="s">
        <v>1020</v>
      </c>
      <c r="E459" s="630" t="s">
        <v>15</v>
      </c>
      <c r="F459" s="630"/>
      <c r="G459" s="655">
        <v>580000</v>
      </c>
      <c r="H459" s="655">
        <v>584606.86199999996</v>
      </c>
      <c r="I459" s="655"/>
      <c r="J459" s="635">
        <f t="shared" si="14"/>
        <v>1164606.862</v>
      </c>
      <c r="K459" s="635"/>
      <c r="L459" s="635"/>
      <c r="M459" s="655">
        <f t="shared" si="15"/>
        <v>1164606.862</v>
      </c>
      <c r="N459" s="61"/>
      <c r="O459" s="636"/>
    </row>
    <row r="460" spans="1:15" s="242" customFormat="1" ht="14.25" customHeight="1">
      <c r="A460" s="624">
        <v>267</v>
      </c>
      <c r="B460" s="625"/>
      <c r="C460" s="626"/>
      <c r="D460" s="61" t="s">
        <v>1021</v>
      </c>
      <c r="E460" s="630" t="s">
        <v>15</v>
      </c>
      <c r="F460" s="630"/>
      <c r="G460" s="655">
        <v>580000</v>
      </c>
      <c r="H460" s="655">
        <v>635040.18900000001</v>
      </c>
      <c r="I460" s="655"/>
      <c r="J460" s="635">
        <f t="shared" si="14"/>
        <v>1215040.189</v>
      </c>
      <c r="K460" s="635"/>
      <c r="L460" s="635"/>
      <c r="M460" s="655">
        <f t="shared" si="15"/>
        <v>1215040.189</v>
      </c>
      <c r="N460" s="61"/>
      <c r="O460" s="636"/>
    </row>
    <row r="461" spans="1:15" s="242" customFormat="1" ht="14.25" customHeight="1">
      <c r="A461" s="624">
        <v>268</v>
      </c>
      <c r="B461" s="625"/>
      <c r="C461" s="626"/>
      <c r="D461" s="61" t="s">
        <v>1022</v>
      </c>
      <c r="E461" s="630" t="s">
        <v>15</v>
      </c>
      <c r="F461" s="630"/>
      <c r="G461" s="655">
        <v>580000</v>
      </c>
      <c r="H461" s="655">
        <v>524139.33600000001</v>
      </c>
      <c r="I461" s="655"/>
      <c r="J461" s="635">
        <f t="shared" si="14"/>
        <v>1104139.3360000001</v>
      </c>
      <c r="K461" s="635"/>
      <c r="L461" s="635"/>
      <c r="M461" s="655">
        <f t="shared" si="15"/>
        <v>1104139.3360000001</v>
      </c>
      <c r="N461" s="61"/>
      <c r="O461" s="636"/>
    </row>
    <row r="462" spans="1:15" s="242" customFormat="1" ht="14.25" customHeight="1">
      <c r="A462" s="624">
        <v>269</v>
      </c>
      <c r="B462" s="625"/>
      <c r="C462" s="626"/>
      <c r="D462" s="61" t="s">
        <v>1023</v>
      </c>
      <c r="E462" s="630" t="s">
        <v>15</v>
      </c>
      <c r="F462" s="630"/>
      <c r="G462" s="655">
        <v>580000</v>
      </c>
      <c r="H462" s="655">
        <v>635040.18900000001</v>
      </c>
      <c r="I462" s="655"/>
      <c r="J462" s="635">
        <f t="shared" si="14"/>
        <v>1215040.189</v>
      </c>
      <c r="K462" s="635"/>
      <c r="L462" s="635"/>
      <c r="M462" s="655">
        <f t="shared" si="15"/>
        <v>1215040.189</v>
      </c>
      <c r="N462" s="61"/>
      <c r="O462" s="636"/>
    </row>
    <row r="463" spans="1:15" s="242" customFormat="1" ht="14.25" customHeight="1">
      <c r="A463" s="624">
        <v>270</v>
      </c>
      <c r="B463" s="625"/>
      <c r="C463" s="626"/>
      <c r="D463" s="61" t="s">
        <v>585</v>
      </c>
      <c r="E463" s="630" t="s">
        <v>15</v>
      </c>
      <c r="F463" s="630"/>
      <c r="G463" s="655">
        <v>580000</v>
      </c>
      <c r="H463" s="655">
        <v>635040.18900000001</v>
      </c>
      <c r="I463" s="655"/>
      <c r="J463" s="635">
        <f t="shared" si="14"/>
        <v>1215040.189</v>
      </c>
      <c r="K463" s="635"/>
      <c r="L463" s="635"/>
      <c r="M463" s="655">
        <f t="shared" si="15"/>
        <v>1215040.189</v>
      </c>
      <c r="N463" s="61"/>
      <c r="O463" s="636"/>
    </row>
    <row r="464" spans="1:15" s="242" customFormat="1" ht="14.25" customHeight="1">
      <c r="A464" s="624">
        <v>271</v>
      </c>
      <c r="B464" s="625"/>
      <c r="C464" s="626"/>
      <c r="D464" s="61" t="s">
        <v>1024</v>
      </c>
      <c r="E464" s="630" t="s">
        <v>15</v>
      </c>
      <c r="F464" s="630"/>
      <c r="G464" s="655">
        <v>580000</v>
      </c>
      <c r="H464" s="655">
        <v>554373.09900000005</v>
      </c>
      <c r="I464" s="655"/>
      <c r="J464" s="635">
        <f t="shared" si="14"/>
        <v>1134373.0989999999</v>
      </c>
      <c r="K464" s="635"/>
      <c r="L464" s="635"/>
      <c r="M464" s="655">
        <f t="shared" si="15"/>
        <v>1134373.0989999999</v>
      </c>
      <c r="N464" s="61"/>
      <c r="O464" s="636"/>
    </row>
    <row r="465" spans="1:15" s="242" customFormat="1" ht="14.25" customHeight="1">
      <c r="A465" s="624">
        <v>272</v>
      </c>
      <c r="B465" s="625"/>
      <c r="C465" s="626"/>
      <c r="D465" s="61" t="s">
        <v>1025</v>
      </c>
      <c r="E465" s="630" t="s">
        <v>15</v>
      </c>
      <c r="F465" s="630"/>
      <c r="G465" s="655">
        <v>580000</v>
      </c>
      <c r="H465" s="655">
        <v>584606.86199999996</v>
      </c>
      <c r="I465" s="655"/>
      <c r="J465" s="635">
        <f t="shared" ref="J465:J511" si="18">SUM(G465:I465)</f>
        <v>1164606.862</v>
      </c>
      <c r="K465" s="635"/>
      <c r="L465" s="635"/>
      <c r="M465" s="655">
        <f t="shared" ref="M465:M511" si="19">J465-L465</f>
        <v>1164606.862</v>
      </c>
      <c r="N465" s="61"/>
      <c r="O465" s="636"/>
    </row>
    <row r="466" spans="1:15" s="242" customFormat="1" ht="14.25" customHeight="1">
      <c r="A466" s="624">
        <v>273</v>
      </c>
      <c r="B466" s="625"/>
      <c r="C466" s="626"/>
      <c r="D466" s="61" t="s">
        <v>1026</v>
      </c>
      <c r="E466" s="630" t="s">
        <v>15</v>
      </c>
      <c r="F466" s="630"/>
      <c r="G466" s="655">
        <v>580000</v>
      </c>
      <c r="H466" s="655">
        <v>635040.18900000001</v>
      </c>
      <c r="I466" s="655"/>
      <c r="J466" s="635">
        <f t="shared" si="18"/>
        <v>1215040.189</v>
      </c>
      <c r="K466" s="635"/>
      <c r="L466" s="635"/>
      <c r="M466" s="655">
        <f t="shared" si="19"/>
        <v>1215040.189</v>
      </c>
      <c r="N466" s="61"/>
      <c r="O466" s="636"/>
    </row>
    <row r="467" spans="1:15" s="242" customFormat="1" ht="14.25" customHeight="1">
      <c r="A467" s="624">
        <v>274</v>
      </c>
      <c r="B467" s="625"/>
      <c r="C467" s="626"/>
      <c r="D467" s="61" t="s">
        <v>1027</v>
      </c>
      <c r="E467" s="630" t="s">
        <v>15</v>
      </c>
      <c r="F467" s="630"/>
      <c r="G467" s="655">
        <v>580000</v>
      </c>
      <c r="H467" s="655">
        <v>524139.33600000001</v>
      </c>
      <c r="I467" s="655"/>
      <c r="J467" s="635">
        <f t="shared" si="18"/>
        <v>1104139.3360000001</v>
      </c>
      <c r="K467" s="635"/>
      <c r="L467" s="635"/>
      <c r="M467" s="655">
        <f t="shared" si="19"/>
        <v>1104139.3360000001</v>
      </c>
      <c r="N467" s="61"/>
      <c r="O467" s="636"/>
    </row>
    <row r="468" spans="1:15" s="242" customFormat="1" ht="14.25" customHeight="1">
      <c r="A468" s="624">
        <v>275</v>
      </c>
      <c r="B468" s="625"/>
      <c r="C468" s="626"/>
      <c r="D468" s="61" t="s">
        <v>1028</v>
      </c>
      <c r="E468" s="630" t="s">
        <v>15</v>
      </c>
      <c r="F468" s="630"/>
      <c r="G468" s="655">
        <v>580000</v>
      </c>
      <c r="H468" s="655">
        <v>635040.18900000001</v>
      </c>
      <c r="I468" s="655"/>
      <c r="J468" s="635">
        <f t="shared" si="18"/>
        <v>1215040.189</v>
      </c>
      <c r="K468" s="635"/>
      <c r="L468" s="635"/>
      <c r="M468" s="655">
        <f t="shared" si="19"/>
        <v>1215040.189</v>
      </c>
      <c r="N468" s="61"/>
      <c r="O468" s="636"/>
    </row>
    <row r="469" spans="1:15" s="242" customFormat="1" ht="14.25" customHeight="1">
      <c r="A469" s="624">
        <v>276</v>
      </c>
      <c r="B469" s="625"/>
      <c r="C469" s="626"/>
      <c r="D469" s="61" t="s">
        <v>1029</v>
      </c>
      <c r="E469" s="630" t="s">
        <v>15</v>
      </c>
      <c r="F469" s="630"/>
      <c r="G469" s="655">
        <v>580000</v>
      </c>
      <c r="H469" s="655">
        <v>635040.18900000001</v>
      </c>
      <c r="I469" s="655"/>
      <c r="J469" s="635">
        <f t="shared" si="18"/>
        <v>1215040.189</v>
      </c>
      <c r="K469" s="635"/>
      <c r="L469" s="635"/>
      <c r="M469" s="655">
        <f t="shared" si="19"/>
        <v>1215040.189</v>
      </c>
      <c r="N469" s="61"/>
      <c r="O469" s="636"/>
    </row>
    <row r="470" spans="1:15" s="242" customFormat="1" ht="14.25" customHeight="1">
      <c r="A470" s="624">
        <v>277</v>
      </c>
      <c r="B470" s="625"/>
      <c r="C470" s="626"/>
      <c r="D470" s="61" t="s">
        <v>1030</v>
      </c>
      <c r="E470" s="630" t="s">
        <v>15</v>
      </c>
      <c r="F470" s="630"/>
      <c r="G470" s="655">
        <v>580000</v>
      </c>
      <c r="H470" s="655">
        <v>554373.09900000005</v>
      </c>
      <c r="I470" s="655"/>
      <c r="J470" s="635">
        <f t="shared" si="18"/>
        <v>1134373.0989999999</v>
      </c>
      <c r="K470" s="635"/>
      <c r="L470" s="635"/>
      <c r="M470" s="655">
        <f t="shared" si="19"/>
        <v>1134373.0989999999</v>
      </c>
      <c r="N470" s="61"/>
      <c r="O470" s="636"/>
    </row>
    <row r="471" spans="1:15" s="242" customFormat="1" ht="14.25" customHeight="1">
      <c r="A471" s="624">
        <v>278</v>
      </c>
      <c r="B471" s="625"/>
      <c r="C471" s="626"/>
      <c r="D471" s="61" t="s">
        <v>559</v>
      </c>
      <c r="E471" s="630" t="s">
        <v>15</v>
      </c>
      <c r="F471" s="630"/>
      <c r="G471" s="655">
        <v>580000</v>
      </c>
      <c r="H471" s="655">
        <v>554373.09900000005</v>
      </c>
      <c r="I471" s="655"/>
      <c r="J471" s="635">
        <f t="shared" si="18"/>
        <v>1134373.0989999999</v>
      </c>
      <c r="K471" s="635"/>
      <c r="L471" s="635"/>
      <c r="M471" s="655">
        <f t="shared" si="19"/>
        <v>1134373.0989999999</v>
      </c>
      <c r="N471" s="61"/>
      <c r="O471" s="636"/>
    </row>
    <row r="472" spans="1:15" s="242" customFormat="1" ht="14.25" customHeight="1">
      <c r="A472" s="624">
        <v>279</v>
      </c>
      <c r="B472" s="625"/>
      <c r="C472" s="626"/>
      <c r="D472" s="61" t="s">
        <v>1031</v>
      </c>
      <c r="E472" s="630" t="s">
        <v>15</v>
      </c>
      <c r="F472" s="630"/>
      <c r="G472" s="655">
        <v>580000</v>
      </c>
      <c r="H472" s="655">
        <v>635040.18900000001</v>
      </c>
      <c r="I472" s="655"/>
      <c r="J472" s="635">
        <f t="shared" si="18"/>
        <v>1215040.189</v>
      </c>
      <c r="K472" s="635"/>
      <c r="L472" s="635"/>
      <c r="M472" s="655">
        <f t="shared" si="19"/>
        <v>1215040.189</v>
      </c>
      <c r="N472" s="61"/>
      <c r="O472" s="636"/>
    </row>
    <row r="473" spans="1:15" s="242" customFormat="1" ht="14.25" customHeight="1">
      <c r="A473" s="624">
        <v>280</v>
      </c>
      <c r="B473" s="625"/>
      <c r="C473" s="626"/>
      <c r="D473" s="61" t="s">
        <v>657</v>
      </c>
      <c r="E473" s="630" t="s">
        <v>15</v>
      </c>
      <c r="F473" s="630"/>
      <c r="G473" s="655">
        <v>580000</v>
      </c>
      <c r="H473" s="655">
        <v>544338.9</v>
      </c>
      <c r="I473" s="655"/>
      <c r="J473" s="635">
        <f t="shared" si="18"/>
        <v>1124338.8999999999</v>
      </c>
      <c r="K473" s="635"/>
      <c r="L473" s="635"/>
      <c r="M473" s="655">
        <f t="shared" si="19"/>
        <v>1124338.8999999999</v>
      </c>
      <c r="N473" s="61"/>
      <c r="O473" s="636"/>
    </row>
    <row r="474" spans="1:15" s="242" customFormat="1" ht="14.25" customHeight="1">
      <c r="A474" s="624">
        <v>281</v>
      </c>
      <c r="B474" s="625"/>
      <c r="C474" s="626"/>
      <c r="D474" s="61" t="s">
        <v>1032</v>
      </c>
      <c r="E474" s="630" t="s">
        <v>15</v>
      </c>
      <c r="F474" s="630"/>
      <c r="G474" s="655">
        <v>580000</v>
      </c>
      <c r="H474" s="655">
        <v>574572.66299999994</v>
      </c>
      <c r="I474" s="655"/>
      <c r="J474" s="635">
        <f t="shared" si="18"/>
        <v>1154572.6629999999</v>
      </c>
      <c r="K474" s="635"/>
      <c r="L474" s="635"/>
      <c r="M474" s="655">
        <f t="shared" si="19"/>
        <v>1154572.6629999999</v>
      </c>
      <c r="N474" s="61"/>
      <c r="O474" s="636"/>
    </row>
    <row r="475" spans="1:15" s="242" customFormat="1" ht="14.25" customHeight="1">
      <c r="A475" s="624">
        <v>282</v>
      </c>
      <c r="B475" s="625"/>
      <c r="C475" s="626"/>
      <c r="D475" s="61" t="s">
        <v>1033</v>
      </c>
      <c r="E475" s="630" t="s">
        <v>15</v>
      </c>
      <c r="F475" s="630"/>
      <c r="G475" s="655">
        <v>580000</v>
      </c>
      <c r="H475" s="655">
        <v>604806.42599999998</v>
      </c>
      <c r="I475" s="655"/>
      <c r="J475" s="635">
        <f t="shared" si="18"/>
        <v>1184806.426</v>
      </c>
      <c r="K475" s="635"/>
      <c r="L475" s="635"/>
      <c r="M475" s="655">
        <f t="shared" si="19"/>
        <v>1184806.426</v>
      </c>
      <c r="N475" s="61"/>
      <c r="O475" s="636"/>
    </row>
    <row r="476" spans="1:15" s="242" customFormat="1" ht="14.25" customHeight="1">
      <c r="A476" s="624">
        <v>283</v>
      </c>
      <c r="B476" s="625"/>
      <c r="C476" s="626"/>
      <c r="D476" s="61" t="s">
        <v>1034</v>
      </c>
      <c r="E476" s="630" t="s">
        <v>15</v>
      </c>
      <c r="F476" s="630"/>
      <c r="G476" s="655">
        <v>580000</v>
      </c>
      <c r="H476" s="655">
        <v>584606.86199999996</v>
      </c>
      <c r="I476" s="655"/>
      <c r="J476" s="635">
        <f t="shared" si="18"/>
        <v>1164606.862</v>
      </c>
      <c r="K476" s="635"/>
      <c r="L476" s="635"/>
      <c r="M476" s="655">
        <f t="shared" si="19"/>
        <v>1164606.862</v>
      </c>
      <c r="N476" s="61"/>
      <c r="O476" s="636"/>
    </row>
    <row r="477" spans="1:15" s="242" customFormat="1" ht="14.25" customHeight="1">
      <c r="A477" s="624">
        <v>284</v>
      </c>
      <c r="B477" s="625"/>
      <c r="C477" s="626"/>
      <c r="D477" s="61" t="s">
        <v>1035</v>
      </c>
      <c r="E477" s="630" t="s">
        <v>15</v>
      </c>
      <c r="F477" s="630"/>
      <c r="G477" s="655">
        <v>580000</v>
      </c>
      <c r="H477" s="655">
        <v>635040.18900000001</v>
      </c>
      <c r="I477" s="655"/>
      <c r="J477" s="635">
        <f t="shared" si="18"/>
        <v>1215040.189</v>
      </c>
      <c r="K477" s="635"/>
      <c r="L477" s="635"/>
      <c r="M477" s="655">
        <f t="shared" si="19"/>
        <v>1215040.189</v>
      </c>
      <c r="N477" s="61"/>
      <c r="O477" s="636"/>
    </row>
    <row r="478" spans="1:15" s="242" customFormat="1" ht="14.25" customHeight="1">
      <c r="A478" s="624">
        <v>285</v>
      </c>
      <c r="B478" s="625"/>
      <c r="C478" s="626"/>
      <c r="D478" s="61" t="s">
        <v>1036</v>
      </c>
      <c r="E478" s="630" t="s">
        <v>15</v>
      </c>
      <c r="F478" s="630"/>
      <c r="G478" s="655">
        <v>580000</v>
      </c>
      <c r="H478" s="655">
        <v>524139.33600000001</v>
      </c>
      <c r="I478" s="655"/>
      <c r="J478" s="635">
        <f t="shared" si="18"/>
        <v>1104139.3360000001</v>
      </c>
      <c r="K478" s="635"/>
      <c r="L478" s="635"/>
      <c r="M478" s="655">
        <f t="shared" si="19"/>
        <v>1104139.3360000001</v>
      </c>
      <c r="N478" s="61"/>
      <c r="O478" s="636"/>
    </row>
    <row r="479" spans="1:15" s="242" customFormat="1" ht="14.25" customHeight="1">
      <c r="A479" s="624">
        <v>286</v>
      </c>
      <c r="B479" s="625"/>
      <c r="C479" s="626"/>
      <c r="D479" s="61" t="s">
        <v>1037</v>
      </c>
      <c r="E479" s="630" t="s">
        <v>15</v>
      </c>
      <c r="F479" s="630"/>
      <c r="G479" s="655">
        <v>580000</v>
      </c>
      <c r="H479" s="655">
        <v>635040.18900000001</v>
      </c>
      <c r="I479" s="655"/>
      <c r="J479" s="635">
        <f t="shared" si="18"/>
        <v>1215040.189</v>
      </c>
      <c r="K479" s="635"/>
      <c r="L479" s="635"/>
      <c r="M479" s="655">
        <f t="shared" si="19"/>
        <v>1215040.189</v>
      </c>
      <c r="N479" s="61"/>
      <c r="O479" s="636"/>
    </row>
    <row r="480" spans="1:15" s="242" customFormat="1" ht="14.25" customHeight="1">
      <c r="A480" s="624">
        <v>287</v>
      </c>
      <c r="B480" s="625"/>
      <c r="C480" s="626"/>
      <c r="D480" s="61" t="s">
        <v>1038</v>
      </c>
      <c r="E480" s="630" t="s">
        <v>15</v>
      </c>
      <c r="F480" s="630"/>
      <c r="G480" s="655">
        <v>580000</v>
      </c>
      <c r="H480" s="655">
        <v>635040.18900000001</v>
      </c>
      <c r="I480" s="655"/>
      <c r="J480" s="635">
        <f t="shared" si="18"/>
        <v>1215040.189</v>
      </c>
      <c r="K480" s="635"/>
      <c r="L480" s="635"/>
      <c r="M480" s="655">
        <f t="shared" si="19"/>
        <v>1215040.189</v>
      </c>
      <c r="N480" s="61"/>
      <c r="O480" s="636"/>
    </row>
    <row r="481" spans="1:15" s="242" customFormat="1" ht="14.25" customHeight="1">
      <c r="A481" s="624">
        <v>288</v>
      </c>
      <c r="B481" s="625"/>
      <c r="C481" s="626"/>
      <c r="D481" s="61" t="s">
        <v>1039</v>
      </c>
      <c r="E481" s="630" t="s">
        <v>15</v>
      </c>
      <c r="F481" s="630"/>
      <c r="G481" s="655">
        <v>580000</v>
      </c>
      <c r="H481" s="655">
        <v>554373.09900000005</v>
      </c>
      <c r="I481" s="655"/>
      <c r="J481" s="635">
        <f t="shared" si="18"/>
        <v>1134373.0989999999</v>
      </c>
      <c r="K481" s="635"/>
      <c r="L481" s="635"/>
      <c r="M481" s="655">
        <f t="shared" si="19"/>
        <v>1134373.0989999999</v>
      </c>
      <c r="N481" s="61"/>
      <c r="O481" s="636"/>
    </row>
    <row r="482" spans="1:15" s="242" customFormat="1" ht="14.25" customHeight="1">
      <c r="A482" s="624">
        <v>289</v>
      </c>
      <c r="B482" s="625"/>
      <c r="C482" s="626"/>
      <c r="D482" s="61" t="s">
        <v>1040</v>
      </c>
      <c r="E482" s="630" t="s">
        <v>15</v>
      </c>
      <c r="F482" s="630"/>
      <c r="G482" s="655">
        <v>580000</v>
      </c>
      <c r="H482" s="655">
        <v>584606.86199999996</v>
      </c>
      <c r="I482" s="655"/>
      <c r="J482" s="635">
        <f t="shared" si="18"/>
        <v>1164606.862</v>
      </c>
      <c r="K482" s="635"/>
      <c r="L482" s="635"/>
      <c r="M482" s="655">
        <f t="shared" si="19"/>
        <v>1164606.862</v>
      </c>
      <c r="N482" s="61"/>
      <c r="O482" s="636"/>
    </row>
    <row r="483" spans="1:15" s="242" customFormat="1" ht="14.25" customHeight="1">
      <c r="A483" s="624">
        <v>290</v>
      </c>
      <c r="B483" s="625"/>
      <c r="C483" s="626"/>
      <c r="D483" s="61" t="s">
        <v>1041</v>
      </c>
      <c r="E483" s="630" t="s">
        <v>15</v>
      </c>
      <c r="F483" s="630"/>
      <c r="G483" s="655">
        <v>580000</v>
      </c>
      <c r="H483" s="655">
        <v>635040.18900000001</v>
      </c>
      <c r="I483" s="655"/>
      <c r="J483" s="635">
        <f t="shared" si="18"/>
        <v>1215040.189</v>
      </c>
      <c r="K483" s="635"/>
      <c r="L483" s="635"/>
      <c r="M483" s="655">
        <f t="shared" si="19"/>
        <v>1215040.189</v>
      </c>
      <c r="N483" s="61"/>
      <c r="O483" s="636"/>
    </row>
    <row r="484" spans="1:15" s="242" customFormat="1" ht="14.25" customHeight="1">
      <c r="A484" s="624">
        <v>291</v>
      </c>
      <c r="B484" s="625"/>
      <c r="C484" s="626"/>
      <c r="D484" s="61" t="s">
        <v>1042</v>
      </c>
      <c r="E484" s="630" t="s">
        <v>15</v>
      </c>
      <c r="F484" s="630"/>
      <c r="G484" s="655">
        <v>580000</v>
      </c>
      <c r="H484" s="655">
        <v>524139.33600000001</v>
      </c>
      <c r="I484" s="655"/>
      <c r="J484" s="635">
        <f t="shared" si="18"/>
        <v>1104139.3360000001</v>
      </c>
      <c r="K484" s="635"/>
      <c r="L484" s="635"/>
      <c r="M484" s="655">
        <f t="shared" si="19"/>
        <v>1104139.3360000001</v>
      </c>
      <c r="N484" s="61"/>
      <c r="O484" s="636"/>
    </row>
    <row r="485" spans="1:15" s="242" customFormat="1" ht="14.25" customHeight="1">
      <c r="A485" s="624">
        <v>292</v>
      </c>
      <c r="B485" s="625"/>
      <c r="C485" s="626"/>
      <c r="D485" s="61" t="s">
        <v>1043</v>
      </c>
      <c r="E485" s="630" t="s">
        <v>15</v>
      </c>
      <c r="F485" s="630"/>
      <c r="G485" s="655">
        <v>580000</v>
      </c>
      <c r="H485" s="655">
        <v>635040.18900000001</v>
      </c>
      <c r="I485" s="655"/>
      <c r="J485" s="635">
        <f t="shared" si="18"/>
        <v>1215040.189</v>
      </c>
      <c r="K485" s="635"/>
      <c r="L485" s="635"/>
      <c r="M485" s="655">
        <f t="shared" si="19"/>
        <v>1215040.189</v>
      </c>
      <c r="N485" s="61"/>
      <c r="O485" s="636"/>
    </row>
    <row r="486" spans="1:15" s="242" customFormat="1" ht="14.25" customHeight="1">
      <c r="A486" s="624">
        <v>293</v>
      </c>
      <c r="B486" s="625"/>
      <c r="C486" s="626"/>
      <c r="D486" s="61" t="s">
        <v>1044</v>
      </c>
      <c r="E486" s="630" t="s">
        <v>15</v>
      </c>
      <c r="F486" s="630"/>
      <c r="G486" s="655">
        <v>580000</v>
      </c>
      <c r="H486" s="655">
        <v>635040.18900000001</v>
      </c>
      <c r="I486" s="655"/>
      <c r="J486" s="635">
        <f t="shared" ref="J486:J498" si="20">SUM(G486:I486)</f>
        <v>1215040.189</v>
      </c>
      <c r="K486" s="635"/>
      <c r="L486" s="635"/>
      <c r="M486" s="655">
        <f t="shared" ref="M486:M498" si="21">J486-L486</f>
        <v>1215040.189</v>
      </c>
      <c r="N486" s="61"/>
      <c r="O486" s="636"/>
    </row>
    <row r="487" spans="1:15" s="242" customFormat="1" ht="14.25" customHeight="1">
      <c r="A487" s="624">
        <v>294</v>
      </c>
      <c r="B487" s="625"/>
      <c r="C487" s="626"/>
      <c r="D487" s="61" t="s">
        <v>1045</v>
      </c>
      <c r="E487" s="630" t="s">
        <v>15</v>
      </c>
      <c r="F487" s="630"/>
      <c r="G487" s="655">
        <v>580000</v>
      </c>
      <c r="H487" s="655">
        <v>554373.09900000005</v>
      </c>
      <c r="I487" s="655"/>
      <c r="J487" s="635">
        <f t="shared" si="20"/>
        <v>1134373.0989999999</v>
      </c>
      <c r="K487" s="635"/>
      <c r="L487" s="635"/>
      <c r="M487" s="655">
        <f t="shared" si="21"/>
        <v>1134373.0989999999</v>
      </c>
      <c r="N487" s="61"/>
      <c r="O487" s="636"/>
    </row>
    <row r="488" spans="1:15" s="242" customFormat="1" ht="14.25" customHeight="1">
      <c r="A488" s="624">
        <v>295</v>
      </c>
      <c r="B488" s="625"/>
      <c r="C488" s="626"/>
      <c r="D488" s="61" t="s">
        <v>1046</v>
      </c>
      <c r="E488" s="630" t="s">
        <v>15</v>
      </c>
      <c r="F488" s="630"/>
      <c r="G488" s="655">
        <v>580000</v>
      </c>
      <c r="H488" s="655">
        <v>554373.09900000005</v>
      </c>
      <c r="I488" s="655"/>
      <c r="J488" s="635">
        <f t="shared" si="20"/>
        <v>1134373.0989999999</v>
      </c>
      <c r="K488" s="635"/>
      <c r="L488" s="635"/>
      <c r="M488" s="655">
        <f t="shared" si="21"/>
        <v>1134373.0989999999</v>
      </c>
      <c r="N488" s="61"/>
      <c r="O488" s="636"/>
    </row>
    <row r="489" spans="1:15" s="242" customFormat="1" ht="14.25" customHeight="1">
      <c r="A489" s="624">
        <v>296</v>
      </c>
      <c r="B489" s="625"/>
      <c r="C489" s="626"/>
      <c r="D489" s="61" t="s">
        <v>1047</v>
      </c>
      <c r="E489" s="630" t="s">
        <v>15</v>
      </c>
      <c r="F489" s="630"/>
      <c r="G489" s="655">
        <v>580000</v>
      </c>
      <c r="H489" s="655">
        <v>635040.18900000001</v>
      </c>
      <c r="I489" s="655"/>
      <c r="J489" s="635">
        <f t="shared" si="20"/>
        <v>1215040.189</v>
      </c>
      <c r="K489" s="635"/>
      <c r="L489" s="635"/>
      <c r="M489" s="655">
        <f t="shared" si="21"/>
        <v>1215040.189</v>
      </c>
      <c r="N489" s="61"/>
      <c r="O489" s="636"/>
    </row>
    <row r="490" spans="1:15" s="242" customFormat="1" ht="14.25" customHeight="1">
      <c r="A490" s="624">
        <v>297</v>
      </c>
      <c r="B490" s="625"/>
      <c r="C490" s="626"/>
      <c r="D490" s="61" t="s">
        <v>1048</v>
      </c>
      <c r="E490" s="630" t="s">
        <v>15</v>
      </c>
      <c r="F490" s="630"/>
      <c r="G490" s="655">
        <v>580000</v>
      </c>
      <c r="H490" s="655">
        <v>544338.9</v>
      </c>
      <c r="I490" s="655"/>
      <c r="J490" s="635">
        <f t="shared" si="20"/>
        <v>1124338.8999999999</v>
      </c>
      <c r="K490" s="635"/>
      <c r="L490" s="635"/>
      <c r="M490" s="655">
        <f t="shared" si="21"/>
        <v>1124338.8999999999</v>
      </c>
      <c r="N490" s="61"/>
      <c r="O490" s="636"/>
    </row>
    <row r="491" spans="1:15" s="242" customFormat="1" ht="14.25" customHeight="1">
      <c r="A491" s="624">
        <v>298</v>
      </c>
      <c r="B491" s="625"/>
      <c r="C491" s="626"/>
      <c r="D491" s="61" t="s">
        <v>1049</v>
      </c>
      <c r="E491" s="630" t="s">
        <v>15</v>
      </c>
      <c r="F491" s="630"/>
      <c r="G491" s="655">
        <v>580000</v>
      </c>
      <c r="H491" s="655">
        <v>574572.66299999994</v>
      </c>
      <c r="I491" s="655"/>
      <c r="J491" s="635">
        <f t="shared" si="20"/>
        <v>1154572.6629999999</v>
      </c>
      <c r="K491" s="635"/>
      <c r="L491" s="635"/>
      <c r="M491" s="655">
        <f t="shared" si="21"/>
        <v>1154572.6629999999</v>
      </c>
      <c r="N491" s="61"/>
      <c r="O491" s="636"/>
    </row>
    <row r="492" spans="1:15" s="242" customFormat="1" ht="14.25" customHeight="1">
      <c r="A492" s="624">
        <v>299</v>
      </c>
      <c r="B492" s="625"/>
      <c r="C492" s="626"/>
      <c r="D492" s="61" t="s">
        <v>1050</v>
      </c>
      <c r="E492" s="630" t="s">
        <v>15</v>
      </c>
      <c r="F492" s="630"/>
      <c r="G492" s="655">
        <v>580000</v>
      </c>
      <c r="H492" s="655">
        <v>604806.42599999998</v>
      </c>
      <c r="I492" s="655"/>
      <c r="J492" s="635">
        <f t="shared" si="20"/>
        <v>1184806.426</v>
      </c>
      <c r="K492" s="635"/>
      <c r="L492" s="635"/>
      <c r="M492" s="655">
        <f t="shared" si="21"/>
        <v>1184806.426</v>
      </c>
      <c r="N492" s="61"/>
      <c r="O492" s="636"/>
    </row>
    <row r="493" spans="1:15" s="242" customFormat="1" ht="14.25" customHeight="1">
      <c r="A493" s="624">
        <v>300</v>
      </c>
      <c r="B493" s="625"/>
      <c r="C493" s="626"/>
      <c r="D493" s="61" t="s">
        <v>657</v>
      </c>
      <c r="E493" s="630" t="s">
        <v>15</v>
      </c>
      <c r="F493" s="630"/>
      <c r="G493" s="655">
        <v>580000</v>
      </c>
      <c r="H493" s="655">
        <v>584606.86199999996</v>
      </c>
      <c r="I493" s="655"/>
      <c r="J493" s="635">
        <f t="shared" si="20"/>
        <v>1164606.862</v>
      </c>
      <c r="K493" s="635"/>
      <c r="L493" s="635"/>
      <c r="M493" s="655">
        <f t="shared" si="21"/>
        <v>1164606.862</v>
      </c>
      <c r="N493" s="61"/>
      <c r="O493" s="636"/>
    </row>
    <row r="494" spans="1:15" s="242" customFormat="1" ht="14.25" customHeight="1">
      <c r="A494" s="624">
        <v>301</v>
      </c>
      <c r="B494" s="625"/>
      <c r="C494" s="626"/>
      <c r="D494" s="61" t="s">
        <v>1032</v>
      </c>
      <c r="E494" s="630" t="s">
        <v>15</v>
      </c>
      <c r="F494" s="630"/>
      <c r="G494" s="655">
        <v>580000</v>
      </c>
      <c r="H494" s="655">
        <v>635040.18900000001</v>
      </c>
      <c r="I494" s="655"/>
      <c r="J494" s="635">
        <f t="shared" si="20"/>
        <v>1215040.189</v>
      </c>
      <c r="K494" s="635"/>
      <c r="L494" s="635"/>
      <c r="M494" s="655">
        <f t="shared" si="21"/>
        <v>1215040.189</v>
      </c>
      <c r="N494" s="61"/>
      <c r="O494" s="636"/>
    </row>
    <row r="495" spans="1:15" s="242" customFormat="1" ht="14.25" customHeight="1">
      <c r="A495" s="624">
        <v>302</v>
      </c>
      <c r="B495" s="625"/>
      <c r="C495" s="626"/>
      <c r="D495" s="61" t="s">
        <v>1033</v>
      </c>
      <c r="E495" s="630" t="s">
        <v>15</v>
      </c>
      <c r="F495" s="630"/>
      <c r="G495" s="655">
        <v>580000</v>
      </c>
      <c r="H495" s="655">
        <v>524139.33600000001</v>
      </c>
      <c r="I495" s="655"/>
      <c r="J495" s="635">
        <f t="shared" si="20"/>
        <v>1104139.3360000001</v>
      </c>
      <c r="K495" s="635"/>
      <c r="L495" s="635"/>
      <c r="M495" s="655">
        <f t="shared" si="21"/>
        <v>1104139.3360000001</v>
      </c>
      <c r="N495" s="61"/>
      <c r="O495" s="636"/>
    </row>
    <row r="496" spans="1:15" s="242" customFormat="1" ht="14.25" customHeight="1">
      <c r="A496" s="624">
        <v>303</v>
      </c>
      <c r="B496" s="625"/>
      <c r="C496" s="626"/>
      <c r="D496" s="61" t="s">
        <v>1034</v>
      </c>
      <c r="E496" s="630" t="s">
        <v>15</v>
      </c>
      <c r="F496" s="630"/>
      <c r="G496" s="655">
        <v>580000</v>
      </c>
      <c r="H496" s="655">
        <v>635040.18900000001</v>
      </c>
      <c r="I496" s="655"/>
      <c r="J496" s="635">
        <f t="shared" si="20"/>
        <v>1215040.189</v>
      </c>
      <c r="K496" s="635"/>
      <c r="L496" s="635"/>
      <c r="M496" s="655">
        <f t="shared" si="21"/>
        <v>1215040.189</v>
      </c>
      <c r="N496" s="61"/>
      <c r="O496" s="636"/>
    </row>
    <row r="497" spans="1:15" s="242" customFormat="1" ht="14.25" customHeight="1">
      <c r="A497" s="624">
        <v>304</v>
      </c>
      <c r="B497" s="625"/>
      <c r="C497" s="626"/>
      <c r="D497" s="61" t="s">
        <v>1035</v>
      </c>
      <c r="E497" s="630" t="s">
        <v>15</v>
      </c>
      <c r="F497" s="630"/>
      <c r="G497" s="655">
        <v>580000</v>
      </c>
      <c r="H497" s="655">
        <v>635040.18900000001</v>
      </c>
      <c r="I497" s="655"/>
      <c r="J497" s="635">
        <f t="shared" si="20"/>
        <v>1215040.189</v>
      </c>
      <c r="K497" s="635"/>
      <c r="L497" s="635"/>
      <c r="M497" s="655">
        <f t="shared" si="21"/>
        <v>1215040.189</v>
      </c>
      <c r="N497" s="61"/>
      <c r="O497" s="636"/>
    </row>
    <row r="498" spans="1:15" s="242" customFormat="1" ht="14.25" customHeight="1">
      <c r="A498" s="624">
        <v>305</v>
      </c>
      <c r="B498" s="625"/>
      <c r="C498" s="626"/>
      <c r="D498" s="61" t="s">
        <v>1036</v>
      </c>
      <c r="E498" s="630" t="s">
        <v>15</v>
      </c>
      <c r="F498" s="630"/>
      <c r="G498" s="655">
        <v>580000</v>
      </c>
      <c r="H498" s="655">
        <v>554373.09900000005</v>
      </c>
      <c r="I498" s="655"/>
      <c r="J498" s="635">
        <f t="shared" si="20"/>
        <v>1134373.0989999999</v>
      </c>
      <c r="K498" s="635"/>
      <c r="L498" s="635"/>
      <c r="M498" s="655">
        <f t="shared" si="21"/>
        <v>1134373.0989999999</v>
      </c>
      <c r="N498" s="61"/>
      <c r="O498" s="636"/>
    </row>
    <row r="499" spans="1:15" s="242" customFormat="1" ht="14.25" customHeight="1">
      <c r="A499" s="624">
        <v>306</v>
      </c>
      <c r="B499" s="625"/>
      <c r="C499" s="626"/>
      <c r="D499" s="61" t="s">
        <v>1037</v>
      </c>
      <c r="E499" s="630" t="s">
        <v>15</v>
      </c>
      <c r="F499" s="630"/>
      <c r="G499" s="655">
        <v>580000</v>
      </c>
      <c r="H499" s="655">
        <v>584606.86199999996</v>
      </c>
      <c r="I499" s="655"/>
      <c r="J499" s="635">
        <f t="shared" si="18"/>
        <v>1164606.862</v>
      </c>
      <c r="K499" s="635"/>
      <c r="L499" s="635"/>
      <c r="M499" s="655">
        <f t="shared" si="19"/>
        <v>1164606.862</v>
      </c>
      <c r="N499" s="61"/>
      <c r="O499" s="636"/>
    </row>
    <row r="500" spans="1:15" s="242" customFormat="1" ht="14.25" customHeight="1">
      <c r="A500" s="624">
        <v>307</v>
      </c>
      <c r="B500" s="625"/>
      <c r="C500" s="626"/>
      <c r="D500" s="61" t="s">
        <v>1038</v>
      </c>
      <c r="E500" s="630" t="s">
        <v>15</v>
      </c>
      <c r="F500" s="630"/>
      <c r="G500" s="655">
        <v>580000</v>
      </c>
      <c r="H500" s="655">
        <v>635040.18900000001</v>
      </c>
      <c r="I500" s="655"/>
      <c r="J500" s="635">
        <f t="shared" si="18"/>
        <v>1215040.189</v>
      </c>
      <c r="K500" s="635"/>
      <c r="L500" s="635"/>
      <c r="M500" s="655">
        <f t="shared" si="19"/>
        <v>1215040.189</v>
      </c>
      <c r="N500" s="61"/>
      <c r="O500" s="636"/>
    </row>
    <row r="501" spans="1:15" s="242" customFormat="1" ht="14.25" customHeight="1">
      <c r="A501" s="624">
        <v>308</v>
      </c>
      <c r="B501" s="625"/>
      <c r="C501" s="626"/>
      <c r="D501" s="61" t="s">
        <v>1039</v>
      </c>
      <c r="E501" s="630" t="s">
        <v>15</v>
      </c>
      <c r="F501" s="630"/>
      <c r="G501" s="655">
        <v>580000</v>
      </c>
      <c r="H501" s="655">
        <v>524139.33600000001</v>
      </c>
      <c r="I501" s="655"/>
      <c r="J501" s="635">
        <f t="shared" si="18"/>
        <v>1104139.3360000001</v>
      </c>
      <c r="K501" s="635"/>
      <c r="L501" s="635"/>
      <c r="M501" s="655">
        <f t="shared" si="19"/>
        <v>1104139.3360000001</v>
      </c>
      <c r="N501" s="61"/>
      <c r="O501" s="636"/>
    </row>
    <row r="502" spans="1:15" s="242" customFormat="1" ht="14.25" customHeight="1">
      <c r="A502" s="624">
        <v>309</v>
      </c>
      <c r="B502" s="625"/>
      <c r="C502" s="626"/>
      <c r="D502" s="61" t="s">
        <v>1040</v>
      </c>
      <c r="E502" s="630" t="s">
        <v>15</v>
      </c>
      <c r="F502" s="630"/>
      <c r="G502" s="655">
        <v>580000</v>
      </c>
      <c r="H502" s="655">
        <v>635040.18900000001</v>
      </c>
      <c r="I502" s="655"/>
      <c r="J502" s="635">
        <f t="shared" si="18"/>
        <v>1215040.189</v>
      </c>
      <c r="K502" s="635"/>
      <c r="L502" s="635"/>
      <c r="M502" s="655">
        <f t="shared" si="19"/>
        <v>1215040.189</v>
      </c>
      <c r="N502" s="61"/>
      <c r="O502" s="636"/>
    </row>
    <row r="503" spans="1:15" s="242" customFormat="1" ht="14.25" customHeight="1">
      <c r="A503" s="624">
        <v>310</v>
      </c>
      <c r="B503" s="625"/>
      <c r="C503" s="626"/>
      <c r="D503" s="61" t="s">
        <v>1051</v>
      </c>
      <c r="E503" s="630" t="s">
        <v>15</v>
      </c>
      <c r="F503" s="630"/>
      <c r="G503" s="655">
        <v>580000</v>
      </c>
      <c r="H503" s="655">
        <v>635040.18900000001</v>
      </c>
      <c r="I503" s="655"/>
      <c r="J503" s="635">
        <f t="shared" si="18"/>
        <v>1215040.189</v>
      </c>
      <c r="K503" s="635"/>
      <c r="L503" s="635"/>
      <c r="M503" s="655">
        <f t="shared" si="19"/>
        <v>1215040.189</v>
      </c>
      <c r="N503" s="61"/>
      <c r="O503" s="636"/>
    </row>
    <row r="504" spans="1:15" s="242" customFormat="1" ht="14.25" customHeight="1">
      <c r="A504" s="624">
        <v>311</v>
      </c>
      <c r="B504" s="625"/>
      <c r="C504" s="626"/>
      <c r="D504" s="61" t="s">
        <v>1052</v>
      </c>
      <c r="E504" s="630" t="s">
        <v>15</v>
      </c>
      <c r="F504" s="630"/>
      <c r="G504" s="655">
        <v>580000</v>
      </c>
      <c r="H504" s="655">
        <v>554373.09900000005</v>
      </c>
      <c r="I504" s="655"/>
      <c r="J504" s="635">
        <f t="shared" si="18"/>
        <v>1134373.0989999999</v>
      </c>
      <c r="K504" s="635"/>
      <c r="L504" s="635"/>
      <c r="M504" s="655">
        <f t="shared" si="19"/>
        <v>1134373.0989999999</v>
      </c>
      <c r="N504" s="61"/>
      <c r="O504" s="636"/>
    </row>
    <row r="505" spans="1:15" s="242" customFormat="1" ht="14.25" customHeight="1">
      <c r="A505" s="624">
        <v>312</v>
      </c>
      <c r="B505" s="625"/>
      <c r="C505" s="626"/>
      <c r="D505" s="61" t="s">
        <v>863</v>
      </c>
      <c r="E505" s="630" t="s">
        <v>15</v>
      </c>
      <c r="F505" s="630"/>
      <c r="G505" s="655">
        <v>580000</v>
      </c>
      <c r="H505" s="655">
        <v>554373.09900000005</v>
      </c>
      <c r="I505" s="655"/>
      <c r="J505" s="635">
        <f t="shared" si="18"/>
        <v>1134373.0989999999</v>
      </c>
      <c r="K505" s="635"/>
      <c r="L505" s="635"/>
      <c r="M505" s="655">
        <f t="shared" si="19"/>
        <v>1134373.0989999999</v>
      </c>
      <c r="N505" s="61"/>
      <c r="O505" s="636"/>
    </row>
    <row r="506" spans="1:15" s="242" customFormat="1" ht="14.25" customHeight="1">
      <c r="A506" s="624">
        <v>313</v>
      </c>
      <c r="B506" s="625"/>
      <c r="C506" s="626"/>
      <c r="D506" s="61" t="s">
        <v>1053</v>
      </c>
      <c r="E506" s="630" t="s">
        <v>15</v>
      </c>
      <c r="F506" s="630"/>
      <c r="G506" s="655">
        <v>580000</v>
      </c>
      <c r="H506" s="655">
        <v>635040.18900000001</v>
      </c>
      <c r="I506" s="655"/>
      <c r="J506" s="635">
        <f t="shared" si="18"/>
        <v>1215040.189</v>
      </c>
      <c r="K506" s="635"/>
      <c r="L506" s="635"/>
      <c r="M506" s="655">
        <f t="shared" si="19"/>
        <v>1215040.189</v>
      </c>
      <c r="N506" s="61"/>
      <c r="O506" s="636"/>
    </row>
    <row r="507" spans="1:15" s="242" customFormat="1" ht="14.25" customHeight="1">
      <c r="A507" s="624">
        <v>314</v>
      </c>
      <c r="B507" s="625"/>
      <c r="C507" s="626"/>
      <c r="D507" s="61" t="s">
        <v>1050</v>
      </c>
      <c r="E507" s="630" t="s">
        <v>15</v>
      </c>
      <c r="F507" s="630"/>
      <c r="G507" s="655">
        <v>580000</v>
      </c>
      <c r="H507" s="655">
        <v>544338.9</v>
      </c>
      <c r="I507" s="655"/>
      <c r="J507" s="635">
        <f t="shared" si="18"/>
        <v>1124338.8999999999</v>
      </c>
      <c r="K507" s="635"/>
      <c r="L507" s="635"/>
      <c r="M507" s="655">
        <f t="shared" si="19"/>
        <v>1124338.8999999999</v>
      </c>
      <c r="N507" s="61"/>
      <c r="O507" s="636"/>
    </row>
    <row r="508" spans="1:15" s="242" customFormat="1" ht="14.25" customHeight="1">
      <c r="A508" s="624">
        <v>315</v>
      </c>
      <c r="B508" s="625"/>
      <c r="C508" s="626"/>
      <c r="D508" s="61" t="s">
        <v>1054</v>
      </c>
      <c r="E508" s="630" t="s">
        <v>15</v>
      </c>
      <c r="F508" s="630"/>
      <c r="G508" s="655">
        <v>580000</v>
      </c>
      <c r="H508" s="655">
        <v>574572.66299999994</v>
      </c>
      <c r="I508" s="655"/>
      <c r="J508" s="635">
        <f t="shared" si="18"/>
        <v>1154572.6629999999</v>
      </c>
      <c r="K508" s="635"/>
      <c r="L508" s="635"/>
      <c r="M508" s="655">
        <f t="shared" si="19"/>
        <v>1154572.6629999999</v>
      </c>
      <c r="N508" s="61"/>
      <c r="O508" s="636"/>
    </row>
    <row r="509" spans="1:15" s="242" customFormat="1" ht="14.25" customHeight="1">
      <c r="A509" s="624">
        <v>316</v>
      </c>
      <c r="B509" s="625"/>
      <c r="C509" s="626"/>
      <c r="D509" s="61" t="s">
        <v>1055</v>
      </c>
      <c r="E509" s="630" t="s">
        <v>15</v>
      </c>
      <c r="F509" s="630"/>
      <c r="G509" s="655">
        <v>580000</v>
      </c>
      <c r="H509" s="655">
        <v>604806.42599999998</v>
      </c>
      <c r="I509" s="655"/>
      <c r="J509" s="635">
        <f t="shared" si="18"/>
        <v>1184806.426</v>
      </c>
      <c r="K509" s="635"/>
      <c r="L509" s="635"/>
      <c r="M509" s="655">
        <f t="shared" si="19"/>
        <v>1184806.426</v>
      </c>
      <c r="N509" s="61"/>
      <c r="O509" s="636"/>
    </row>
    <row r="510" spans="1:15" s="242" customFormat="1" ht="14.25" customHeight="1">
      <c r="A510" s="624">
        <v>317</v>
      </c>
      <c r="B510" s="625"/>
      <c r="C510" s="626"/>
      <c r="D510" s="61" t="s">
        <v>1056</v>
      </c>
      <c r="E510" s="630" t="s">
        <v>15</v>
      </c>
      <c r="F510" s="630"/>
      <c r="G510" s="655">
        <v>580000</v>
      </c>
      <c r="H510" s="655">
        <f>584606.862-O523</f>
        <v>667697.07911209401</v>
      </c>
      <c r="I510" s="655"/>
      <c r="J510" s="635">
        <f t="shared" si="18"/>
        <v>1247697.0791120939</v>
      </c>
      <c r="K510" s="635"/>
      <c r="L510" s="635"/>
      <c r="M510" s="655">
        <f t="shared" si="19"/>
        <v>1247697.0791120939</v>
      </c>
      <c r="N510" s="61"/>
      <c r="O510" s="636"/>
    </row>
    <row r="511" spans="1:15" s="242" customFormat="1" ht="14.25" customHeight="1">
      <c r="A511" s="624">
        <v>318</v>
      </c>
      <c r="B511" s="625"/>
      <c r="C511" s="626"/>
      <c r="D511" s="61" t="s">
        <v>1057</v>
      </c>
      <c r="E511" s="630" t="s">
        <v>15</v>
      </c>
      <c r="F511" s="630"/>
      <c r="G511" s="655">
        <v>580000</v>
      </c>
      <c r="H511" s="655">
        <v>635040.18900000001</v>
      </c>
      <c r="I511" s="655"/>
      <c r="J511" s="635">
        <f t="shared" si="18"/>
        <v>1215040.189</v>
      </c>
      <c r="K511" s="635"/>
      <c r="L511" s="635"/>
      <c r="M511" s="655">
        <f t="shared" si="19"/>
        <v>1215040.189</v>
      </c>
      <c r="N511" s="61"/>
      <c r="O511" s="636"/>
    </row>
    <row r="512" spans="1:15" s="242" customFormat="1" ht="14.25" customHeight="1">
      <c r="A512" s="624">
        <v>319</v>
      </c>
      <c r="B512" s="625"/>
      <c r="C512" s="626"/>
      <c r="D512" s="61" t="s">
        <v>1058</v>
      </c>
      <c r="E512" s="630" t="s">
        <v>15</v>
      </c>
      <c r="F512" s="630"/>
      <c r="G512" s="655">
        <v>580000</v>
      </c>
      <c r="H512" s="655">
        <v>524139.33600000001</v>
      </c>
      <c r="I512" s="655"/>
      <c r="J512" s="635">
        <f t="shared" ref="J512:J523" si="22">SUM(G512:I512)</f>
        <v>1104139.3360000001</v>
      </c>
      <c r="K512" s="635"/>
      <c r="L512" s="635"/>
      <c r="M512" s="655">
        <f t="shared" ref="M512:M523" si="23">J512-L512</f>
        <v>1104139.3360000001</v>
      </c>
      <c r="N512" s="61"/>
      <c r="O512" s="636"/>
    </row>
    <row r="513" spans="1:18" s="242" customFormat="1" ht="14.25" customHeight="1">
      <c r="A513" s="624">
        <v>320</v>
      </c>
      <c r="B513" s="625"/>
      <c r="C513" s="626"/>
      <c r="D513" s="61" t="s">
        <v>1059</v>
      </c>
      <c r="E513" s="630" t="s">
        <v>15</v>
      </c>
      <c r="F513" s="630"/>
      <c r="G513" s="655">
        <v>580000</v>
      </c>
      <c r="H513" s="655">
        <v>635040.18900000001</v>
      </c>
      <c r="I513" s="655"/>
      <c r="J513" s="635">
        <f t="shared" si="22"/>
        <v>1215040.189</v>
      </c>
      <c r="K513" s="635"/>
      <c r="L513" s="635"/>
      <c r="M513" s="655">
        <f t="shared" si="23"/>
        <v>1215040.189</v>
      </c>
      <c r="N513" s="61"/>
      <c r="O513" s="636"/>
    </row>
    <row r="514" spans="1:18" s="242" customFormat="1" ht="14.25" customHeight="1">
      <c r="A514" s="624">
        <v>321</v>
      </c>
      <c r="B514" s="625"/>
      <c r="C514" s="626"/>
      <c r="D514" s="61" t="s">
        <v>1060</v>
      </c>
      <c r="E514" s="630" t="s">
        <v>15</v>
      </c>
      <c r="F514" s="630"/>
      <c r="G514" s="655">
        <v>580000</v>
      </c>
      <c r="H514" s="655">
        <v>635040.18900000001</v>
      </c>
      <c r="I514" s="655"/>
      <c r="J514" s="635">
        <f t="shared" si="22"/>
        <v>1215040.189</v>
      </c>
      <c r="K514" s="635"/>
      <c r="L514" s="635"/>
      <c r="M514" s="655">
        <f t="shared" si="23"/>
        <v>1215040.189</v>
      </c>
      <c r="N514" s="61"/>
      <c r="O514" s="636"/>
    </row>
    <row r="515" spans="1:18" s="242" customFormat="1" ht="14.25" customHeight="1">
      <c r="A515" s="624">
        <v>322</v>
      </c>
      <c r="B515" s="625"/>
      <c r="C515" s="626"/>
      <c r="D515" s="61" t="s">
        <v>1061</v>
      </c>
      <c r="E515" s="630" t="s">
        <v>15</v>
      </c>
      <c r="F515" s="630"/>
      <c r="G515" s="655">
        <v>580000</v>
      </c>
      <c r="H515" s="655">
        <v>554373.09900000005</v>
      </c>
      <c r="I515" s="655"/>
      <c r="J515" s="635">
        <f t="shared" si="22"/>
        <v>1134373.0989999999</v>
      </c>
      <c r="K515" s="635"/>
      <c r="L515" s="635"/>
      <c r="M515" s="655">
        <f t="shared" si="23"/>
        <v>1134373.0989999999</v>
      </c>
      <c r="N515" s="61"/>
      <c r="O515" s="636"/>
    </row>
    <row r="516" spans="1:18" s="242" customFormat="1" ht="14.25" customHeight="1">
      <c r="A516" s="624">
        <v>323</v>
      </c>
      <c r="B516" s="625"/>
      <c r="C516" s="626"/>
      <c r="D516" s="61" t="s">
        <v>1062</v>
      </c>
      <c r="E516" s="630" t="s">
        <v>15</v>
      </c>
      <c r="F516" s="630"/>
      <c r="G516" s="655">
        <v>580000</v>
      </c>
      <c r="H516" s="655">
        <v>684606.86199999996</v>
      </c>
      <c r="I516" s="655"/>
      <c r="J516" s="635">
        <f t="shared" si="22"/>
        <v>1264606.862</v>
      </c>
      <c r="K516" s="635"/>
      <c r="L516" s="635"/>
      <c r="M516" s="655">
        <f t="shared" si="23"/>
        <v>1264606.862</v>
      </c>
      <c r="N516" s="61"/>
      <c r="O516" s="636"/>
    </row>
    <row r="517" spans="1:18" s="242" customFormat="1" ht="14.25" customHeight="1">
      <c r="A517" s="624">
        <v>324</v>
      </c>
      <c r="B517" s="625"/>
      <c r="C517" s="626"/>
      <c r="D517" s="61" t="s">
        <v>540</v>
      </c>
      <c r="E517" s="630" t="s">
        <v>15</v>
      </c>
      <c r="F517" s="630"/>
      <c r="G517" s="655">
        <v>580000</v>
      </c>
      <c r="H517" s="655">
        <v>635040.18900000001</v>
      </c>
      <c r="I517" s="655"/>
      <c r="J517" s="635">
        <f t="shared" si="22"/>
        <v>1215040.189</v>
      </c>
      <c r="K517" s="635"/>
      <c r="L517" s="635"/>
      <c r="M517" s="655">
        <f t="shared" si="23"/>
        <v>1215040.189</v>
      </c>
      <c r="N517" s="61"/>
      <c r="O517" s="636"/>
    </row>
    <row r="518" spans="1:18" s="242" customFormat="1" ht="14.25" customHeight="1">
      <c r="A518" s="624">
        <v>325</v>
      </c>
      <c r="B518" s="625"/>
      <c r="C518" s="626"/>
      <c r="D518" s="61" t="s">
        <v>1063</v>
      </c>
      <c r="E518" s="630" t="s">
        <v>15</v>
      </c>
      <c r="F518" s="630"/>
      <c r="G518" s="655">
        <v>580000</v>
      </c>
      <c r="H518" s="655">
        <v>624139.33600000001</v>
      </c>
      <c r="I518" s="655"/>
      <c r="J518" s="635">
        <f t="shared" si="22"/>
        <v>1204139.3360000001</v>
      </c>
      <c r="K518" s="635"/>
      <c r="L518" s="635"/>
      <c r="M518" s="655">
        <f t="shared" si="23"/>
        <v>1204139.3360000001</v>
      </c>
      <c r="N518" s="61"/>
      <c r="O518" s="636"/>
    </row>
    <row r="519" spans="1:18" s="242" customFormat="1" ht="14.25" customHeight="1">
      <c r="A519" s="624">
        <v>326</v>
      </c>
      <c r="B519" s="625"/>
      <c r="C519" s="626"/>
      <c r="D519" s="61" t="s">
        <v>1064</v>
      </c>
      <c r="E519" s="630" t="s">
        <v>15</v>
      </c>
      <c r="F519" s="630"/>
      <c r="G519" s="655">
        <v>580000</v>
      </c>
      <c r="H519" s="655">
        <v>635040.18900000001</v>
      </c>
      <c r="I519" s="655"/>
      <c r="J519" s="635">
        <f t="shared" si="22"/>
        <v>1215040.189</v>
      </c>
      <c r="K519" s="635"/>
      <c r="L519" s="635"/>
      <c r="M519" s="655">
        <f t="shared" si="23"/>
        <v>1215040.189</v>
      </c>
      <c r="N519" s="61"/>
      <c r="O519" s="636"/>
    </row>
    <row r="520" spans="1:18" s="242" customFormat="1" ht="14.25" customHeight="1">
      <c r="A520" s="624">
        <v>327</v>
      </c>
      <c r="B520" s="625"/>
      <c r="C520" s="626"/>
      <c r="D520" s="61" t="s">
        <v>1040</v>
      </c>
      <c r="E520" s="630" t="s">
        <v>15</v>
      </c>
      <c r="F520" s="630"/>
      <c r="G520" s="655">
        <v>580000</v>
      </c>
      <c r="H520" s="655">
        <v>635040.18900000001</v>
      </c>
      <c r="I520" s="655"/>
      <c r="J520" s="635">
        <f t="shared" si="22"/>
        <v>1215040.189</v>
      </c>
      <c r="K520" s="635"/>
      <c r="L520" s="635"/>
      <c r="M520" s="655">
        <f t="shared" si="23"/>
        <v>1215040.189</v>
      </c>
      <c r="N520" s="61"/>
      <c r="O520" s="636"/>
    </row>
    <row r="521" spans="1:18" s="242" customFormat="1" ht="14.25" customHeight="1">
      <c r="A521" s="624">
        <v>328</v>
      </c>
      <c r="B521" s="625"/>
      <c r="C521" s="626"/>
      <c r="D521" s="61" t="s">
        <v>1065</v>
      </c>
      <c r="E521" s="630" t="s">
        <v>15</v>
      </c>
      <c r="F521" s="630"/>
      <c r="G521" s="655">
        <f>81000+580000</f>
        <v>661000</v>
      </c>
      <c r="H521" s="655">
        <v>554373.09900000005</v>
      </c>
      <c r="I521" s="655"/>
      <c r="J521" s="635">
        <f t="shared" si="22"/>
        <v>1215373.0989999999</v>
      </c>
      <c r="K521" s="635"/>
      <c r="L521" s="635"/>
      <c r="M521" s="655">
        <f t="shared" si="23"/>
        <v>1215373.0989999999</v>
      </c>
      <c r="N521" s="61"/>
      <c r="O521" s="636"/>
    </row>
    <row r="522" spans="1:18" s="242" customFormat="1" ht="14.25" customHeight="1">
      <c r="A522" s="624">
        <v>329</v>
      </c>
      <c r="B522" s="625"/>
      <c r="C522" s="626"/>
      <c r="D522" s="61" t="s">
        <v>1066</v>
      </c>
      <c r="E522" s="630" t="s">
        <v>15</v>
      </c>
      <c r="F522" s="630"/>
      <c r="G522" s="655"/>
      <c r="H522" s="655">
        <v>1264606.862</v>
      </c>
      <c r="I522" s="655"/>
      <c r="J522" s="635">
        <f t="shared" si="22"/>
        <v>1264606.862</v>
      </c>
      <c r="K522" s="635"/>
      <c r="L522" s="635"/>
      <c r="M522" s="655">
        <f t="shared" si="23"/>
        <v>1264606.862</v>
      </c>
      <c r="N522" s="61"/>
      <c r="O522" s="636"/>
    </row>
    <row r="523" spans="1:18" s="242" customFormat="1" ht="14.25" customHeight="1">
      <c r="A523" s="624">
        <v>330</v>
      </c>
      <c r="B523" s="625"/>
      <c r="C523" s="626"/>
      <c r="D523" s="61" t="s">
        <v>1067</v>
      </c>
      <c r="E523" s="630" t="s">
        <v>15</v>
      </c>
      <c r="F523" s="630"/>
      <c r="G523" s="655"/>
      <c r="H523" s="655">
        <v>1215040.189</v>
      </c>
      <c r="I523" s="655"/>
      <c r="J523" s="635">
        <f t="shared" si="22"/>
        <v>1215040.189</v>
      </c>
      <c r="K523" s="635"/>
      <c r="L523" s="635"/>
      <c r="M523" s="655">
        <f t="shared" si="23"/>
        <v>1215040.189</v>
      </c>
      <c r="N523" s="61"/>
      <c r="O523" s="636">
        <v>-83090.217112094004</v>
      </c>
      <c r="P523" s="242">
        <v>87312.681000009194</v>
      </c>
    </row>
    <row r="524" spans="1:18" s="242" customFormat="1" ht="14.25" customHeight="1">
      <c r="A524" s="628" t="s">
        <v>520</v>
      </c>
      <c r="B524" s="625" t="e">
        <f>VLOOKUP(A524,'[1]DS CN MOI UP'!$B$11:$C$447,2,0)</f>
        <v>#N/A</v>
      </c>
      <c r="C524" s="628"/>
      <c r="E524" s="628"/>
      <c r="F524" s="628"/>
      <c r="G524" s="651">
        <f t="shared" ref="G524:M524" si="24">SUM(G194:G523)</f>
        <v>70089000</v>
      </c>
      <c r="H524" s="651">
        <f t="shared" si="24"/>
        <v>239603651.39288226</v>
      </c>
      <c r="I524" s="651">
        <f t="shared" si="24"/>
        <v>75829320</v>
      </c>
      <c r="J524" s="651">
        <f t="shared" si="24"/>
        <v>385521971.39288235</v>
      </c>
      <c r="K524" s="651">
        <f t="shared" si="24"/>
        <v>0</v>
      </c>
      <c r="L524" s="651">
        <f t="shared" si="24"/>
        <v>0</v>
      </c>
      <c r="M524" s="651">
        <f t="shared" si="24"/>
        <v>385521971.39288235</v>
      </c>
      <c r="N524" s="61"/>
      <c r="O524" s="636" t="e">
        <f>#REF!</f>
        <v>#REF!</v>
      </c>
      <c r="P524" s="636" t="e">
        <f>#REF!</f>
        <v>#REF!</v>
      </c>
      <c r="Q524" s="636" t="e">
        <f>#REF!</f>
        <v>#REF!</v>
      </c>
      <c r="R524" s="636" t="e">
        <f>#REF!</f>
        <v>#REF!</v>
      </c>
    </row>
    <row r="525" spans="1:18" s="242" customFormat="1" ht="14.25" customHeight="1">
      <c r="A525" s="638">
        <v>1</v>
      </c>
      <c r="B525" s="625" t="str">
        <f>VLOOKUP(D525,'[1]DS CN MOI UP'!$B$11:$C$447,2,0)</f>
        <v>02483</v>
      </c>
      <c r="C525" s="626" t="s">
        <v>1068</v>
      </c>
      <c r="D525" s="630" t="s">
        <v>53</v>
      </c>
      <c r="E525" s="630" t="s">
        <v>15</v>
      </c>
      <c r="F525" s="630"/>
      <c r="G525" s="655">
        <v>60000</v>
      </c>
      <c r="H525" s="655">
        <v>554373.09900000005</v>
      </c>
      <c r="I525" s="655">
        <v>524139.33600000001</v>
      </c>
      <c r="J525" s="635">
        <f t="shared" ref="J525:J779" si="25">SUM(G525:I525)</f>
        <v>1138512.4350000001</v>
      </c>
      <c r="K525" s="635"/>
      <c r="L525" s="635"/>
      <c r="M525" s="655">
        <f t="shared" ref="M525:M670" si="26">J525-L525</f>
        <v>1138512.4350000001</v>
      </c>
      <c r="N525" s="61"/>
      <c r="O525" s="636" t="e">
        <f>+G524-O524</f>
        <v>#REF!</v>
      </c>
      <c r="P525" s="636" t="e">
        <f>+H524-P524</f>
        <v>#REF!</v>
      </c>
      <c r="Q525" s="636" t="e">
        <f>+I524-Q524</f>
        <v>#REF!</v>
      </c>
    </row>
    <row r="526" spans="1:18" s="242" customFormat="1" ht="14.25" customHeight="1">
      <c r="A526" s="624">
        <v>2</v>
      </c>
      <c r="B526" s="625"/>
      <c r="C526" s="626" t="s">
        <v>648</v>
      </c>
      <c r="D526" s="627" t="s">
        <v>490</v>
      </c>
      <c r="E526" s="61" t="s">
        <v>15</v>
      </c>
      <c r="F526" s="61"/>
      <c r="G526" s="655">
        <v>40000</v>
      </c>
      <c r="H526" s="655">
        <v>554373.09900000005</v>
      </c>
      <c r="I526" s="655">
        <v>524139.33600000001</v>
      </c>
      <c r="J526" s="635">
        <f t="shared" si="25"/>
        <v>1118512.4350000001</v>
      </c>
      <c r="K526" s="635"/>
      <c r="L526" s="655"/>
      <c r="M526" s="655">
        <f t="shared" si="26"/>
        <v>1118512.4350000001</v>
      </c>
      <c r="N526" s="627"/>
      <c r="O526" s="636"/>
    </row>
    <row r="527" spans="1:18" s="242" customFormat="1" ht="14.25" customHeight="1">
      <c r="A527" s="638">
        <v>3</v>
      </c>
      <c r="B527" s="625" t="str">
        <f>VLOOKUP(D527,'[1]DS CN MOI UP'!$B$11:$C$447,2,0)</f>
        <v>02485</v>
      </c>
      <c r="C527" s="626" t="s">
        <v>650</v>
      </c>
      <c r="D527" s="627" t="s">
        <v>31</v>
      </c>
      <c r="E527" s="61" t="s">
        <v>15</v>
      </c>
      <c r="F527" s="61"/>
      <c r="G527" s="655">
        <v>40000</v>
      </c>
      <c r="H527" s="655">
        <v>554373.09900000005</v>
      </c>
      <c r="I527" s="655">
        <v>524139.33600000001</v>
      </c>
      <c r="J527" s="635">
        <f t="shared" si="25"/>
        <v>1118512.4350000001</v>
      </c>
      <c r="K527" s="635"/>
      <c r="L527" s="655"/>
      <c r="M527" s="655">
        <f t="shared" si="26"/>
        <v>1118512.4350000001</v>
      </c>
      <c r="N527" s="627"/>
      <c r="O527" s="636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8">
        <v>4</v>
      </c>
      <c r="B528" s="625" t="str">
        <f>VLOOKUP(D528,'[1]DS CN MOI UP'!$B$11:$C$447,2,0)</f>
        <v>02486</v>
      </c>
      <c r="C528" s="626" t="s">
        <v>651</v>
      </c>
      <c r="D528" s="627" t="s">
        <v>65</v>
      </c>
      <c r="E528" s="61" t="s">
        <v>15</v>
      </c>
      <c r="F528" s="61"/>
      <c r="G528" s="655">
        <v>40000</v>
      </c>
      <c r="H528" s="655">
        <v>554373.09900000005</v>
      </c>
      <c r="I528" s="655">
        <v>524139.33600000001</v>
      </c>
      <c r="J528" s="635">
        <f t="shared" si="25"/>
        <v>1118512.4350000001</v>
      </c>
      <c r="K528" s="635"/>
      <c r="L528" s="655"/>
      <c r="M528" s="655">
        <f t="shared" si="26"/>
        <v>1118512.4350000001</v>
      </c>
      <c r="N528" s="627"/>
      <c r="O528" s="636"/>
    </row>
    <row r="529" spans="1:15" s="242" customFormat="1" ht="14.25" customHeight="1">
      <c r="A529" s="624">
        <v>5</v>
      </c>
      <c r="B529" s="625" t="str">
        <f>VLOOKUP(D529,'[1]DS CN MOI UP'!$B$11:$C$447,2,0)</f>
        <v>02487</v>
      </c>
      <c r="C529" s="626" t="s">
        <v>651</v>
      </c>
      <c r="D529" s="627" t="s">
        <v>32</v>
      </c>
      <c r="E529" s="61" t="s">
        <v>15</v>
      </c>
      <c r="F529" s="61"/>
      <c r="G529" s="655">
        <v>40000</v>
      </c>
      <c r="H529" s="655">
        <v>635040.18900000001</v>
      </c>
      <c r="I529" s="655">
        <v>524139.33600000001</v>
      </c>
      <c r="J529" s="635">
        <f t="shared" si="25"/>
        <v>1199179.5249999999</v>
      </c>
      <c r="K529" s="635"/>
      <c r="L529" s="655"/>
      <c r="M529" s="655">
        <f t="shared" si="26"/>
        <v>1199179.5249999999</v>
      </c>
      <c r="N529" s="627"/>
      <c r="O529" s="636"/>
    </row>
    <row r="530" spans="1:15" s="242" customFormat="1" ht="14.25" customHeight="1">
      <c r="A530" s="638">
        <v>6</v>
      </c>
      <c r="B530" s="625" t="str">
        <f>VLOOKUP(D530,'[1]DS CN MOI UP'!$B$11:$C$447,2,0)</f>
        <v>02488</v>
      </c>
      <c r="C530" s="626" t="s">
        <v>651</v>
      </c>
      <c r="D530" s="627" t="s">
        <v>35</v>
      </c>
      <c r="E530" s="61" t="s">
        <v>15</v>
      </c>
      <c r="F530" s="61"/>
      <c r="G530" s="655">
        <v>40000</v>
      </c>
      <c r="H530" s="655">
        <v>544338.9</v>
      </c>
      <c r="I530" s="655">
        <v>524139.33600000001</v>
      </c>
      <c r="J530" s="635">
        <f t="shared" si="25"/>
        <v>1108478.236</v>
      </c>
      <c r="K530" s="635"/>
      <c r="L530" s="655"/>
      <c r="M530" s="655">
        <f t="shared" si="26"/>
        <v>1108478.236</v>
      </c>
      <c r="N530" s="627"/>
      <c r="O530" s="636"/>
    </row>
    <row r="531" spans="1:15" s="242" customFormat="1" ht="14.25" customHeight="1">
      <c r="A531" s="638">
        <v>7</v>
      </c>
      <c r="B531" s="625" t="e">
        <f>VLOOKUP(D531,'[1]DS CN MOI UP'!$B$11:$C$447,2,0)</f>
        <v>#N/A</v>
      </c>
      <c r="C531" s="626" t="s">
        <v>651</v>
      </c>
      <c r="D531" s="627" t="s">
        <v>1069</v>
      </c>
      <c r="E531" s="61" t="s">
        <v>15</v>
      </c>
      <c r="F531" s="61"/>
      <c r="G531" s="655">
        <v>40000</v>
      </c>
      <c r="H531" s="655">
        <v>574572.66299999994</v>
      </c>
      <c r="I531" s="655">
        <v>524139.33600000001</v>
      </c>
      <c r="J531" s="635">
        <f t="shared" si="25"/>
        <v>1138711.9989999998</v>
      </c>
      <c r="K531" s="635"/>
      <c r="L531" s="655"/>
      <c r="M531" s="655">
        <f t="shared" si="26"/>
        <v>1138711.9989999998</v>
      </c>
      <c r="N531" s="627"/>
      <c r="O531" s="636"/>
    </row>
    <row r="532" spans="1:15" s="242" customFormat="1" ht="14.25" customHeight="1">
      <c r="A532" s="624">
        <v>8</v>
      </c>
      <c r="B532" s="625" t="e">
        <f>VLOOKUP(D532,'[1]DS CN MOI UP'!$B$11:$C$447,2,0)</f>
        <v>#N/A</v>
      </c>
      <c r="C532" s="626" t="s">
        <v>651</v>
      </c>
      <c r="D532" s="627" t="s">
        <v>1070</v>
      </c>
      <c r="E532" s="61" t="s">
        <v>15</v>
      </c>
      <c r="F532" s="61"/>
      <c r="G532" s="655">
        <v>40000</v>
      </c>
      <c r="H532" s="655">
        <v>604806.42599999998</v>
      </c>
      <c r="I532" s="655">
        <v>524139.33600000001</v>
      </c>
      <c r="J532" s="635">
        <f t="shared" si="25"/>
        <v>1168945.7620000001</v>
      </c>
      <c r="K532" s="635"/>
      <c r="L532" s="655"/>
      <c r="M532" s="655">
        <f t="shared" si="26"/>
        <v>1168945.7620000001</v>
      </c>
      <c r="N532" s="627"/>
      <c r="O532" s="636"/>
    </row>
    <row r="533" spans="1:15" s="242" customFormat="1" ht="14.25" customHeight="1">
      <c r="A533" s="638">
        <v>9</v>
      </c>
      <c r="B533" s="625" t="str">
        <f>VLOOKUP(D533,'[1]DS CN MOI UP'!$B$11:$C$447,2,0)</f>
        <v>02491</v>
      </c>
      <c r="C533" s="626" t="s">
        <v>651</v>
      </c>
      <c r="D533" s="627" t="s">
        <v>62</v>
      </c>
      <c r="E533" s="61" t="s">
        <v>15</v>
      </c>
      <c r="F533" s="61"/>
      <c r="G533" s="655">
        <v>40000</v>
      </c>
      <c r="H533" s="655">
        <v>584606.86199999996</v>
      </c>
      <c r="I533" s="655">
        <v>524139.33600000001</v>
      </c>
      <c r="J533" s="635">
        <f t="shared" si="25"/>
        <v>1148746.1979999999</v>
      </c>
      <c r="K533" s="635"/>
      <c r="L533" s="655"/>
      <c r="M533" s="655">
        <f t="shared" si="26"/>
        <v>1148746.1979999999</v>
      </c>
      <c r="N533" s="627"/>
      <c r="O533" s="636"/>
    </row>
    <row r="534" spans="1:15" s="242" customFormat="1" ht="14.25" customHeight="1">
      <c r="A534" s="638">
        <v>10</v>
      </c>
      <c r="B534" s="625" t="e">
        <f>VLOOKUP(D534,'[1]DS CN MOI UP'!$B$11:$C$447,2,0)</f>
        <v>#N/A</v>
      </c>
      <c r="C534" s="626" t="s">
        <v>651</v>
      </c>
      <c r="D534" s="627" t="s">
        <v>1071</v>
      </c>
      <c r="E534" s="61" t="s">
        <v>15</v>
      </c>
      <c r="F534" s="61"/>
      <c r="G534" s="655">
        <v>40000</v>
      </c>
      <c r="H534" s="655">
        <v>635040.18900000001</v>
      </c>
      <c r="I534" s="655">
        <v>524139.33600000001</v>
      </c>
      <c r="J534" s="635">
        <f t="shared" si="25"/>
        <v>1199179.5249999999</v>
      </c>
      <c r="K534" s="635"/>
      <c r="L534" s="655"/>
      <c r="M534" s="655">
        <f t="shared" si="26"/>
        <v>1199179.5249999999</v>
      </c>
      <c r="N534" s="627"/>
      <c r="O534" s="636"/>
    </row>
    <row r="535" spans="1:15" s="242" customFormat="1" ht="14.25" customHeight="1">
      <c r="A535" s="624">
        <v>11</v>
      </c>
      <c r="B535" s="625" t="str">
        <f>VLOOKUP(D535,'[1]DS CN MOI UP'!$B$11:$C$447,2,0)</f>
        <v>02493</v>
      </c>
      <c r="C535" s="626" t="s">
        <v>651</v>
      </c>
      <c r="D535" s="627" t="s">
        <v>26</v>
      </c>
      <c r="E535" s="61" t="s">
        <v>15</v>
      </c>
      <c r="F535" s="61"/>
      <c r="G535" s="655">
        <v>40000</v>
      </c>
      <c r="H535" s="655">
        <v>524139.33600000001</v>
      </c>
      <c r="I535" s="655">
        <v>524139.33600000001</v>
      </c>
      <c r="J535" s="635">
        <f t="shared" si="25"/>
        <v>1088278.672</v>
      </c>
      <c r="K535" s="635"/>
      <c r="L535" s="655"/>
      <c r="M535" s="655">
        <f t="shared" si="26"/>
        <v>1088278.672</v>
      </c>
      <c r="N535" s="627"/>
      <c r="O535" s="636"/>
    </row>
    <row r="536" spans="1:15" s="242" customFormat="1" ht="14.25" customHeight="1">
      <c r="A536" s="638">
        <v>12</v>
      </c>
      <c r="B536" s="625" t="e">
        <f>VLOOKUP(D536,'[1]DS CN MOI UP'!$B$11:$C$447,2,0)</f>
        <v>#N/A</v>
      </c>
      <c r="C536" s="626" t="s">
        <v>651</v>
      </c>
      <c r="D536" s="627" t="s">
        <v>1072</v>
      </c>
      <c r="E536" s="61" t="s">
        <v>15</v>
      </c>
      <c r="F536" s="61"/>
      <c r="G536" s="655">
        <v>40000</v>
      </c>
      <c r="H536" s="655">
        <v>635040.18900000001</v>
      </c>
      <c r="I536" s="655">
        <v>524139.33600000001</v>
      </c>
      <c r="J536" s="635">
        <f t="shared" si="25"/>
        <v>1199179.5249999999</v>
      </c>
      <c r="K536" s="635"/>
      <c r="L536" s="655"/>
      <c r="M536" s="655">
        <f t="shared" si="26"/>
        <v>1199179.5249999999</v>
      </c>
      <c r="N536" s="627"/>
      <c r="O536" s="636"/>
    </row>
    <row r="537" spans="1:15" s="242" customFormat="1" ht="14.25" customHeight="1">
      <c r="A537" s="638">
        <v>13</v>
      </c>
      <c r="B537" s="625" t="str">
        <f>VLOOKUP(D537,'[1]DS CN MOI UP'!$B$11:$C$447,2,0)</f>
        <v>02496</v>
      </c>
      <c r="C537" s="626" t="s">
        <v>651</v>
      </c>
      <c r="D537" s="627" t="s">
        <v>98</v>
      </c>
      <c r="E537" s="61" t="s">
        <v>15</v>
      </c>
      <c r="F537" s="61"/>
      <c r="G537" s="655">
        <v>40000</v>
      </c>
      <c r="H537" s="655">
        <v>635040.18900000001</v>
      </c>
      <c r="I537" s="655">
        <v>524139.33600000001</v>
      </c>
      <c r="J537" s="635">
        <f t="shared" si="25"/>
        <v>1199179.5249999999</v>
      </c>
      <c r="K537" s="635"/>
      <c r="L537" s="655"/>
      <c r="M537" s="655">
        <f t="shared" si="26"/>
        <v>1199179.5249999999</v>
      </c>
      <c r="N537" s="627"/>
      <c r="O537" s="636"/>
    </row>
    <row r="538" spans="1:15" s="242" customFormat="1" ht="14.25" customHeight="1">
      <c r="A538" s="624">
        <v>14</v>
      </c>
      <c r="B538" s="625" t="str">
        <f>VLOOKUP(D538,'[1]DS CN MOI UP'!$B$11:$C$447,2,0)</f>
        <v>02497</v>
      </c>
      <c r="C538" s="626" t="s">
        <v>651</v>
      </c>
      <c r="D538" s="627" t="s">
        <v>102</v>
      </c>
      <c r="E538" s="61" t="s">
        <v>15</v>
      </c>
      <c r="F538" s="61"/>
      <c r="G538" s="655">
        <v>40000</v>
      </c>
      <c r="H538" s="655">
        <v>554373.09900000005</v>
      </c>
      <c r="I538" s="655">
        <v>524139.33600000001</v>
      </c>
      <c r="J538" s="635">
        <f t="shared" si="25"/>
        <v>1118512.4350000001</v>
      </c>
      <c r="K538" s="635"/>
      <c r="L538" s="655"/>
      <c r="M538" s="655">
        <f t="shared" si="26"/>
        <v>1118512.4350000001</v>
      </c>
      <c r="N538" s="627"/>
      <c r="O538" s="636"/>
    </row>
    <row r="539" spans="1:15" s="242" customFormat="1" ht="14.25" customHeight="1">
      <c r="A539" s="638">
        <v>15</v>
      </c>
      <c r="B539" s="625" t="str">
        <f>VLOOKUP(D539,'[1]DS CN MOI UP'!$B$11:$C$447,2,0)</f>
        <v>02498</v>
      </c>
      <c r="C539" s="626" t="s">
        <v>651</v>
      </c>
      <c r="D539" s="627" t="s">
        <v>68</v>
      </c>
      <c r="E539" s="61" t="s">
        <v>15</v>
      </c>
      <c r="F539" s="61"/>
      <c r="G539" s="655">
        <v>40000</v>
      </c>
      <c r="H539" s="655">
        <v>433438.04700000002</v>
      </c>
      <c r="I539" s="655">
        <v>184104.59760000001</v>
      </c>
      <c r="J539" s="635">
        <f t="shared" si="25"/>
        <v>657542.6446</v>
      </c>
      <c r="K539" s="635"/>
      <c r="L539" s="655"/>
      <c r="M539" s="655">
        <f t="shared" si="26"/>
        <v>657542.6446</v>
      </c>
      <c r="N539" s="627"/>
      <c r="O539" s="636"/>
    </row>
    <row r="540" spans="1:15" s="242" customFormat="1" ht="14.25" customHeight="1">
      <c r="A540" s="638">
        <v>16</v>
      </c>
      <c r="B540" s="625" t="str">
        <f>VLOOKUP(D540,'[1]DS CN MOI UP'!$B$11:$C$447,2,0)</f>
        <v>02499</v>
      </c>
      <c r="C540" s="626" t="s">
        <v>654</v>
      </c>
      <c r="D540" s="627" t="s">
        <v>80</v>
      </c>
      <c r="E540" s="61" t="s">
        <v>15</v>
      </c>
      <c r="F540" s="61"/>
      <c r="G540" s="655">
        <v>40000</v>
      </c>
      <c r="H540" s="655">
        <v>383004.72</v>
      </c>
      <c r="I540" s="655">
        <v>251034.90599999999</v>
      </c>
      <c r="J540" s="635">
        <f t="shared" si="25"/>
        <v>674039.62599999993</v>
      </c>
      <c r="K540" s="635"/>
      <c r="L540" s="655"/>
      <c r="M540" s="655">
        <f t="shared" si="26"/>
        <v>674039.62599999993</v>
      </c>
      <c r="N540" s="627"/>
      <c r="O540" s="636"/>
    </row>
    <row r="541" spans="1:15" s="242" customFormat="1" ht="14.25" customHeight="1">
      <c r="A541" s="624">
        <v>17</v>
      </c>
      <c r="B541" s="625" t="str">
        <f>VLOOKUP(D541,'[1]DS CN MOI UP'!$B$11:$C$447,2,0)</f>
        <v>02500</v>
      </c>
      <c r="C541" s="626" t="s">
        <v>654</v>
      </c>
      <c r="D541" s="627" t="s">
        <v>59</v>
      </c>
      <c r="E541" s="61" t="s">
        <v>15</v>
      </c>
      <c r="F541" s="61"/>
      <c r="G541" s="655">
        <v>40000</v>
      </c>
      <c r="H541" s="655">
        <v>312502.995</v>
      </c>
      <c r="I541" s="655">
        <v>312502.995</v>
      </c>
      <c r="J541" s="635">
        <f t="shared" si="25"/>
        <v>665005.99</v>
      </c>
      <c r="K541" s="635"/>
      <c r="L541" s="655"/>
      <c r="M541" s="655">
        <f t="shared" si="26"/>
        <v>665005.99</v>
      </c>
      <c r="N541" s="627"/>
      <c r="O541" s="636"/>
    </row>
    <row r="542" spans="1:15" s="242" customFormat="1" ht="14.25" customHeight="1">
      <c r="A542" s="638">
        <v>18</v>
      </c>
      <c r="B542" s="625" t="str">
        <f>VLOOKUP(D542,'[1]DS CN MOI UP'!$B$11:$C$447,2,0)</f>
        <v>02501</v>
      </c>
      <c r="C542" s="626" t="s">
        <v>654</v>
      </c>
      <c r="D542" s="627" t="s">
        <v>92</v>
      </c>
      <c r="E542" s="61" t="s">
        <v>15</v>
      </c>
      <c r="F542" s="61"/>
      <c r="G542" s="655">
        <v>40000</v>
      </c>
      <c r="H542" s="655">
        <v>614840.625</v>
      </c>
      <c r="I542" s="655">
        <v>614840.625</v>
      </c>
      <c r="J542" s="635">
        <f t="shared" si="25"/>
        <v>1269681.25</v>
      </c>
      <c r="K542" s="635"/>
      <c r="L542" s="655"/>
      <c r="M542" s="655">
        <f t="shared" si="26"/>
        <v>1269681.25</v>
      </c>
      <c r="N542" s="627"/>
      <c r="O542" s="636"/>
    </row>
    <row r="543" spans="1:15" s="242" customFormat="1" ht="14.25" customHeight="1">
      <c r="A543" s="638">
        <v>19</v>
      </c>
      <c r="B543" s="625" t="e">
        <f>VLOOKUP(D543,'[1]DS CN MOI UP'!$B$11:$C$447,2,0)</f>
        <v>#N/A</v>
      </c>
      <c r="C543" s="626" t="s">
        <v>654</v>
      </c>
      <c r="D543" s="627" t="s">
        <v>1073</v>
      </c>
      <c r="E543" s="61" t="s">
        <v>15</v>
      </c>
      <c r="F543" s="61"/>
      <c r="G543" s="655">
        <v>40000</v>
      </c>
      <c r="H543" s="655">
        <v>554373.09900000005</v>
      </c>
      <c r="I543" s="655">
        <v>554373.09900000005</v>
      </c>
      <c r="J543" s="635">
        <f t="shared" si="25"/>
        <v>1148746.1980000001</v>
      </c>
      <c r="K543" s="635"/>
      <c r="L543" s="655"/>
      <c r="M543" s="655">
        <f t="shared" si="26"/>
        <v>1148746.1980000001</v>
      </c>
      <c r="N543" s="627"/>
      <c r="O543" s="636"/>
    </row>
    <row r="544" spans="1:15" s="242" customFormat="1" ht="14.25" customHeight="1">
      <c r="A544" s="624">
        <v>20</v>
      </c>
      <c r="B544" s="625" t="str">
        <f>VLOOKUP(D544,'[1]DS CN MOI UP'!$B$11:$C$447,2,0)</f>
        <v>02503</v>
      </c>
      <c r="C544" s="626" t="s">
        <v>654</v>
      </c>
      <c r="D544" s="627" t="s">
        <v>93</v>
      </c>
      <c r="E544" s="61" t="s">
        <v>15</v>
      </c>
      <c r="F544" s="61"/>
      <c r="G544" s="655">
        <v>40000</v>
      </c>
      <c r="H544" s="655">
        <v>554373.09900000005</v>
      </c>
      <c r="I544" s="655">
        <v>554373.09900000005</v>
      </c>
      <c r="J544" s="635">
        <f t="shared" si="25"/>
        <v>1148746.1980000001</v>
      </c>
      <c r="K544" s="635"/>
      <c r="L544" s="655"/>
      <c r="M544" s="655">
        <f t="shared" si="26"/>
        <v>1148746.1980000001</v>
      </c>
      <c r="N544" s="627"/>
      <c r="O544" s="636"/>
    </row>
    <row r="545" spans="1:15" s="242" customFormat="1" ht="14.25" customHeight="1">
      <c r="A545" s="638">
        <v>21</v>
      </c>
      <c r="B545" s="625" t="str">
        <f>VLOOKUP(D545,'[1]DS CN MOI UP'!$B$11:$C$447,2,0)</f>
        <v>02504</v>
      </c>
      <c r="C545" s="626" t="s">
        <v>654</v>
      </c>
      <c r="D545" s="627" t="s">
        <v>77</v>
      </c>
      <c r="E545" s="61" t="s">
        <v>15</v>
      </c>
      <c r="F545" s="61"/>
      <c r="G545" s="655">
        <v>40000</v>
      </c>
      <c r="H545" s="655">
        <v>554373.09900000005</v>
      </c>
      <c r="I545" s="655">
        <v>554373.09900000005</v>
      </c>
      <c r="J545" s="635">
        <f t="shared" si="25"/>
        <v>1148746.1980000001</v>
      </c>
      <c r="K545" s="635"/>
      <c r="L545" s="655"/>
      <c r="M545" s="655">
        <f t="shared" si="26"/>
        <v>1148746.1980000001</v>
      </c>
      <c r="N545" s="627"/>
      <c r="O545" s="636"/>
    </row>
    <row r="546" spans="1:15" s="242" customFormat="1" ht="14.25" customHeight="1">
      <c r="A546" s="638">
        <v>22</v>
      </c>
      <c r="B546" s="625" t="str">
        <f>VLOOKUP(D546,'[1]DS CN MOI UP'!$B$11:$C$447,2,0)</f>
        <v>02506</v>
      </c>
      <c r="C546" s="626" t="s">
        <v>654</v>
      </c>
      <c r="D546" s="627" t="s">
        <v>49</v>
      </c>
      <c r="E546" s="61" t="s">
        <v>15</v>
      </c>
      <c r="F546" s="61"/>
      <c r="G546" s="655"/>
      <c r="H546" s="655">
        <v>635040.18900000001</v>
      </c>
      <c r="I546" s="655">
        <v>635040.18900000001</v>
      </c>
      <c r="J546" s="635">
        <f t="shared" si="25"/>
        <v>1270080.378</v>
      </c>
      <c r="K546" s="635"/>
      <c r="L546" s="655"/>
      <c r="M546" s="655">
        <f t="shared" si="26"/>
        <v>1270080.378</v>
      </c>
      <c r="N546" s="627"/>
      <c r="O546" s="636"/>
    </row>
    <row r="547" spans="1:15" s="242" customFormat="1" ht="14.25" customHeight="1">
      <c r="A547" s="624">
        <v>23</v>
      </c>
      <c r="B547" s="625" t="str">
        <f>VLOOKUP(D547,'[1]DS CN MOI UP'!$B$11:$C$447,2,0)</f>
        <v>02507</v>
      </c>
      <c r="C547" s="626" t="s">
        <v>654</v>
      </c>
      <c r="D547" s="627" t="s">
        <v>50</v>
      </c>
      <c r="E547" s="61" t="s">
        <v>15</v>
      </c>
      <c r="F547" s="61"/>
      <c r="G547" s="655">
        <v>40000</v>
      </c>
      <c r="H547" s="655">
        <v>544338.9</v>
      </c>
      <c r="I547" s="655">
        <v>544338.9</v>
      </c>
      <c r="J547" s="635">
        <f t="shared" si="25"/>
        <v>1128677.8</v>
      </c>
      <c r="K547" s="635"/>
      <c r="L547" s="655"/>
      <c r="M547" s="655">
        <f t="shared" si="26"/>
        <v>1128677.8</v>
      </c>
      <c r="N547" s="627"/>
      <c r="O547" s="636"/>
    </row>
    <row r="548" spans="1:15" s="242" customFormat="1" ht="14.25" customHeight="1">
      <c r="A548" s="638">
        <v>24</v>
      </c>
      <c r="B548" s="625" t="str">
        <f>VLOOKUP(D548,'[1]DS CN MOI UP'!$B$11:$C$447,2,0)</f>
        <v>02508</v>
      </c>
      <c r="C548" s="626" t="s">
        <v>654</v>
      </c>
      <c r="D548" s="627" t="s">
        <v>23</v>
      </c>
      <c r="E548" s="61" t="s">
        <v>15</v>
      </c>
      <c r="F548" s="61"/>
      <c r="G548" s="655">
        <v>40000</v>
      </c>
      <c r="H548" s="655">
        <v>574572.66299999994</v>
      </c>
      <c r="I548" s="655">
        <v>574572.66299999994</v>
      </c>
      <c r="J548" s="635">
        <f t="shared" si="25"/>
        <v>1189145.3259999999</v>
      </c>
      <c r="K548" s="635"/>
      <c r="L548" s="655"/>
      <c r="M548" s="655">
        <f t="shared" si="26"/>
        <v>1189145.3259999999</v>
      </c>
      <c r="N548" s="627"/>
      <c r="O548" s="636"/>
    </row>
    <row r="549" spans="1:15" s="242" customFormat="1" ht="14.25" customHeight="1">
      <c r="A549" s="638">
        <v>25</v>
      </c>
      <c r="B549" s="625" t="e">
        <f>VLOOKUP(D549,'[1]DS CN MOI UP'!$B$11:$C$447,2,0)</f>
        <v>#N/A</v>
      </c>
      <c r="C549" s="626" t="s">
        <v>654</v>
      </c>
      <c r="D549" s="627" t="s">
        <v>1074</v>
      </c>
      <c r="E549" s="61" t="s">
        <v>15</v>
      </c>
      <c r="F549" s="61"/>
      <c r="G549" s="655">
        <v>40000</v>
      </c>
      <c r="H549" s="655">
        <v>604806.42599999998</v>
      </c>
      <c r="I549" s="655">
        <v>604806.42599999998</v>
      </c>
      <c r="J549" s="635">
        <f t="shared" si="25"/>
        <v>1249612.852</v>
      </c>
      <c r="K549" s="635"/>
      <c r="L549" s="655"/>
      <c r="M549" s="655">
        <f t="shared" si="26"/>
        <v>1249612.852</v>
      </c>
      <c r="N549" s="627"/>
      <c r="O549" s="636"/>
    </row>
    <row r="550" spans="1:15" s="242" customFormat="1" ht="14.25" customHeight="1">
      <c r="A550" s="624">
        <v>26</v>
      </c>
      <c r="B550" s="625" t="str">
        <f>VLOOKUP(D550,'[1]DS CN MOI UP'!$B$11:$C$447,2,0)</f>
        <v>02510</v>
      </c>
      <c r="C550" s="626" t="s">
        <v>654</v>
      </c>
      <c r="D550" s="627" t="s">
        <v>43</v>
      </c>
      <c r="E550" s="61" t="s">
        <v>15</v>
      </c>
      <c r="F550" s="61"/>
      <c r="G550" s="655">
        <v>40000</v>
      </c>
      <c r="H550" s="655">
        <v>584606.86199999996</v>
      </c>
      <c r="I550" s="655">
        <v>584606.86199999996</v>
      </c>
      <c r="J550" s="635">
        <f t="shared" si="25"/>
        <v>1209213.7239999999</v>
      </c>
      <c r="K550" s="635"/>
      <c r="L550" s="655"/>
      <c r="M550" s="655">
        <f t="shared" si="26"/>
        <v>1209213.7239999999</v>
      </c>
      <c r="N550" s="627"/>
      <c r="O550" s="636"/>
    </row>
    <row r="551" spans="1:15" s="242" customFormat="1" ht="14.25" customHeight="1">
      <c r="A551" s="638">
        <v>27</v>
      </c>
      <c r="B551" s="625" t="str">
        <f>VLOOKUP(D551,'[1]DS CN MOI UP'!$B$11:$C$447,2,0)</f>
        <v>02511</v>
      </c>
      <c r="C551" s="626" t="s">
        <v>654</v>
      </c>
      <c r="D551" s="627" t="s">
        <v>488</v>
      </c>
      <c r="E551" s="61" t="s">
        <v>15</v>
      </c>
      <c r="F551" s="61"/>
      <c r="G551" s="655"/>
      <c r="H551" s="655">
        <v>635040.18900000001</v>
      </c>
      <c r="I551" s="655">
        <v>635040.18900000001</v>
      </c>
      <c r="J551" s="635">
        <f t="shared" si="25"/>
        <v>1270080.378</v>
      </c>
      <c r="K551" s="635"/>
      <c r="L551" s="655"/>
      <c r="M551" s="655">
        <f t="shared" si="26"/>
        <v>1270080.378</v>
      </c>
      <c r="N551" s="627"/>
      <c r="O551" s="636"/>
    </row>
    <row r="552" spans="1:15" s="242" customFormat="1" ht="14.25" customHeight="1">
      <c r="A552" s="638">
        <v>28</v>
      </c>
      <c r="B552" s="625" t="str">
        <f>VLOOKUP(D552,'[1]DS CN MOI UP'!$B$11:$C$447,2,0)</f>
        <v>02512</v>
      </c>
      <c r="C552" s="626" t="s">
        <v>654</v>
      </c>
      <c r="D552" s="627" t="s">
        <v>54</v>
      </c>
      <c r="E552" s="61" t="s">
        <v>15</v>
      </c>
      <c r="F552" s="61"/>
      <c r="G552" s="655">
        <v>40000</v>
      </c>
      <c r="H552" s="655">
        <v>524139.33600000001</v>
      </c>
      <c r="I552" s="655">
        <v>524139.33600000001</v>
      </c>
      <c r="J552" s="635">
        <f t="shared" si="25"/>
        <v>1088278.672</v>
      </c>
      <c r="K552" s="635"/>
      <c r="L552" s="655"/>
      <c r="M552" s="655">
        <f t="shared" si="26"/>
        <v>1088278.672</v>
      </c>
      <c r="N552" s="627"/>
      <c r="O552" s="636"/>
    </row>
    <row r="553" spans="1:15" s="242" customFormat="1" ht="14.25" customHeight="1">
      <c r="A553" s="624">
        <v>29</v>
      </c>
      <c r="B553" s="625" t="str">
        <f>VLOOKUP(D553,'[1]DS CN MOI UP'!$B$11:$C$447,2,0)</f>
        <v>02513</v>
      </c>
      <c r="C553" s="626" t="s">
        <v>654</v>
      </c>
      <c r="D553" s="627" t="s">
        <v>42</v>
      </c>
      <c r="E553" s="61" t="s">
        <v>15</v>
      </c>
      <c r="F553" s="61"/>
      <c r="G553" s="655">
        <v>40000</v>
      </c>
      <c r="H553" s="655">
        <v>554373.09900000005</v>
      </c>
      <c r="I553" s="655">
        <v>554373.09900000005</v>
      </c>
      <c r="J553" s="635">
        <f t="shared" si="25"/>
        <v>1148746.1980000001</v>
      </c>
      <c r="K553" s="635"/>
      <c r="L553" s="655"/>
      <c r="M553" s="655">
        <f t="shared" si="26"/>
        <v>1148746.1980000001</v>
      </c>
      <c r="N553" s="627"/>
      <c r="O553" s="636"/>
    </row>
    <row r="554" spans="1:15" s="242" customFormat="1" ht="14.25" customHeight="1">
      <c r="A554" s="638">
        <v>30</v>
      </c>
      <c r="B554" s="625" t="str">
        <f>VLOOKUP(D554,'[1]DS CN MOI UP'!$B$11:$C$447,2,0)</f>
        <v>02514</v>
      </c>
      <c r="C554" s="626" t="s">
        <v>654</v>
      </c>
      <c r="D554" s="627" t="s">
        <v>100</v>
      </c>
      <c r="E554" s="61" t="s">
        <v>15</v>
      </c>
      <c r="F554" s="61"/>
      <c r="G554" s="655">
        <v>40000</v>
      </c>
      <c r="H554" s="655">
        <v>554373.09900000005</v>
      </c>
      <c r="I554" s="655">
        <v>265581.23460003</v>
      </c>
      <c r="J554" s="635">
        <f t="shared" si="25"/>
        <v>859954.33360003005</v>
      </c>
      <c r="K554" s="635"/>
      <c r="L554" s="655"/>
      <c r="M554" s="655">
        <f t="shared" si="26"/>
        <v>859954.33360003005</v>
      </c>
      <c r="N554" s="627"/>
      <c r="O554" s="636"/>
    </row>
    <row r="555" spans="1:15" s="242" customFormat="1" ht="14.25" customHeight="1">
      <c r="A555" s="638">
        <v>31</v>
      </c>
      <c r="B555" s="625" t="str">
        <f>VLOOKUP(D555,'[1]DS CN MOI UP'!$B$11:$C$447,2,0)</f>
        <v>02515</v>
      </c>
      <c r="C555" s="626" t="s">
        <v>654</v>
      </c>
      <c r="D555" s="627" t="s">
        <v>67</v>
      </c>
      <c r="E555" s="61" t="s">
        <v>15</v>
      </c>
      <c r="F555" s="61"/>
      <c r="G555" s="655">
        <v>40000</v>
      </c>
      <c r="H555" s="635">
        <v>614840.625</v>
      </c>
      <c r="I555" s="635">
        <v>118678.99679999999</v>
      </c>
      <c r="J555" s="635">
        <f t="shared" si="25"/>
        <v>773519.62179999996</v>
      </c>
      <c r="K555" s="635"/>
      <c r="L555" s="655"/>
      <c r="M555" s="655">
        <f t="shared" si="26"/>
        <v>773519.62179999996</v>
      </c>
      <c r="N555" s="627"/>
      <c r="O555" s="636"/>
    </row>
    <row r="556" spans="1:15" s="242" customFormat="1" ht="14.25" customHeight="1">
      <c r="A556" s="624">
        <v>32</v>
      </c>
      <c r="B556" s="625" t="e">
        <f>VLOOKUP(D556,'[1]DS CN MOI UP'!$B$11:$C$447,2,0)</f>
        <v>#N/A</v>
      </c>
      <c r="C556" s="626" t="s">
        <v>654</v>
      </c>
      <c r="D556" s="627" t="s">
        <v>1075</v>
      </c>
      <c r="E556" s="61" t="s">
        <v>15</v>
      </c>
      <c r="F556" s="61"/>
      <c r="G556" s="655">
        <v>40000</v>
      </c>
      <c r="H556" s="635">
        <v>554373.09900000005</v>
      </c>
      <c r="I556" s="635">
        <v>107985.26639999999</v>
      </c>
      <c r="J556" s="635">
        <f t="shared" si="25"/>
        <v>702358.36540000001</v>
      </c>
      <c r="K556" s="635"/>
      <c r="L556" s="655"/>
      <c r="M556" s="655">
        <f t="shared" si="26"/>
        <v>702358.36540000001</v>
      </c>
      <c r="N556" s="627"/>
      <c r="O556" s="636"/>
    </row>
    <row r="557" spans="1:15" s="242" customFormat="1" ht="14.25" customHeight="1">
      <c r="A557" s="638">
        <v>33</v>
      </c>
      <c r="B557" s="625" t="str">
        <f>VLOOKUP(D557,'[1]DS CN MOI UP'!$B$11:$C$447,2,0)</f>
        <v>02686</v>
      </c>
      <c r="C557" s="626" t="s">
        <v>654</v>
      </c>
      <c r="D557" s="627" t="s">
        <v>78</v>
      </c>
      <c r="E557" s="61" t="s">
        <v>15</v>
      </c>
      <c r="F557" s="61"/>
      <c r="G557" s="655">
        <v>40000</v>
      </c>
      <c r="H557" s="635">
        <v>554373.09900000005</v>
      </c>
      <c r="I557" s="635">
        <v>106506.792</v>
      </c>
      <c r="J557" s="635">
        <f t="shared" si="25"/>
        <v>700879.89100000006</v>
      </c>
      <c r="K557" s="635"/>
      <c r="L557" s="655"/>
      <c r="M557" s="655">
        <f t="shared" si="26"/>
        <v>700879.89100000006</v>
      </c>
      <c r="N557" s="627"/>
      <c r="O557" s="636"/>
    </row>
    <row r="558" spans="1:15" s="242" customFormat="1" ht="14.25" customHeight="1">
      <c r="A558" s="638">
        <v>34</v>
      </c>
      <c r="B558" s="625" t="str">
        <f>VLOOKUP(D558,'[1]DS CN MOI UP'!$B$11:$C$447,2,0)</f>
        <v>02685</v>
      </c>
      <c r="C558" s="626" t="s">
        <v>654</v>
      </c>
      <c r="D558" s="627" t="s">
        <v>69</v>
      </c>
      <c r="E558" s="61" t="s">
        <v>15</v>
      </c>
      <c r="F558" s="61"/>
      <c r="G558" s="655">
        <v>40000</v>
      </c>
      <c r="H558" s="635">
        <v>554373.09900000005</v>
      </c>
      <c r="I558" s="635">
        <v>75304.754400000005</v>
      </c>
      <c r="J558" s="635">
        <f t="shared" si="25"/>
        <v>669677.85340000002</v>
      </c>
      <c r="K558" s="635"/>
      <c r="L558" s="655"/>
      <c r="M558" s="655">
        <f t="shared" si="26"/>
        <v>669677.85340000002</v>
      </c>
      <c r="N558" s="627"/>
      <c r="O558" s="636"/>
    </row>
    <row r="559" spans="1:15" s="242" customFormat="1" ht="14.25" customHeight="1">
      <c r="A559" s="624">
        <v>35</v>
      </c>
      <c r="B559" s="625" t="str">
        <f>VLOOKUP(D559,'[1]DS CN MOI UP'!$B$11:$C$447,2,0)</f>
        <v>03330</v>
      </c>
      <c r="C559" s="626" t="s">
        <v>654</v>
      </c>
      <c r="D559" s="627" t="s">
        <v>46</v>
      </c>
      <c r="E559" s="61" t="s">
        <v>15</v>
      </c>
      <c r="F559" s="61"/>
      <c r="G559" s="655">
        <v>40000</v>
      </c>
      <c r="H559" s="635">
        <v>635040.18900000001</v>
      </c>
      <c r="I559" s="635">
        <v>150609.50880000001</v>
      </c>
      <c r="J559" s="635">
        <f t="shared" si="25"/>
        <v>825649.69779999997</v>
      </c>
      <c r="K559" s="635"/>
      <c r="L559" s="655"/>
      <c r="M559" s="655">
        <f t="shared" si="26"/>
        <v>825649.69779999997</v>
      </c>
      <c r="N559" s="627"/>
      <c r="O559" s="636"/>
    </row>
    <row r="560" spans="1:15" s="242" customFormat="1" ht="14.25" customHeight="1">
      <c r="A560" s="638">
        <v>36</v>
      </c>
      <c r="B560" s="625" t="str">
        <f>VLOOKUP(D560,'[1]DS CN MOI UP'!$B$11:$C$447,2,0)</f>
        <v>02679</v>
      </c>
      <c r="C560" s="626" t="s">
        <v>654</v>
      </c>
      <c r="D560" s="627" t="s">
        <v>36</v>
      </c>
      <c r="E560" s="61" t="s">
        <v>15</v>
      </c>
      <c r="F560" s="61"/>
      <c r="G560" s="655">
        <v>40000</v>
      </c>
      <c r="H560" s="635">
        <v>544338.9</v>
      </c>
      <c r="I560" s="635">
        <v>146532.6</v>
      </c>
      <c r="J560" s="635">
        <f t="shared" si="25"/>
        <v>730871.5</v>
      </c>
      <c r="K560" s="635"/>
      <c r="L560" s="655"/>
      <c r="M560" s="655">
        <f t="shared" si="26"/>
        <v>730871.5</v>
      </c>
      <c r="N560" s="627"/>
      <c r="O560" s="636"/>
    </row>
    <row r="561" spans="1:15" s="242" customFormat="1" ht="14.25" customHeight="1">
      <c r="A561" s="638">
        <v>37</v>
      </c>
      <c r="B561" s="625" t="e">
        <f>VLOOKUP(D561,'[1]DS CN MOI UP'!$B$11:$C$447,2,0)</f>
        <v>#N/A</v>
      </c>
      <c r="C561" s="626" t="s">
        <v>654</v>
      </c>
      <c r="D561" s="627" t="s">
        <v>1076</v>
      </c>
      <c r="E561" s="61" t="s">
        <v>15</v>
      </c>
      <c r="F561" s="61"/>
      <c r="G561" s="655">
        <v>40000</v>
      </c>
      <c r="H561" s="635">
        <v>574572.66299999994</v>
      </c>
      <c r="I561" s="635">
        <v>107519.124</v>
      </c>
      <c r="J561" s="635">
        <f t="shared" si="25"/>
        <v>722091.78699999989</v>
      </c>
      <c r="K561" s="635"/>
      <c r="L561" s="655"/>
      <c r="M561" s="655">
        <f t="shared" si="26"/>
        <v>722091.78699999989</v>
      </c>
      <c r="N561" s="627"/>
      <c r="O561" s="636"/>
    </row>
    <row r="562" spans="1:15" s="242" customFormat="1" ht="14.25" customHeight="1">
      <c r="A562" s="624">
        <v>38</v>
      </c>
      <c r="B562" s="625" t="str">
        <f>VLOOKUP(D562,'[1]DS CN MOI UP'!$B$11:$C$447,2,0)</f>
        <v>02681</v>
      </c>
      <c r="C562" s="626" t="s">
        <v>654</v>
      </c>
      <c r="D562" s="627" t="s">
        <v>76</v>
      </c>
      <c r="E562" s="61" t="s">
        <v>15</v>
      </c>
      <c r="F562" s="61"/>
      <c r="G562" s="655">
        <v>40000</v>
      </c>
      <c r="H562" s="635">
        <v>604806.42599999998</v>
      </c>
      <c r="I562" s="635">
        <v>109019.124</v>
      </c>
      <c r="J562" s="635">
        <f t="shared" si="25"/>
        <v>753825.54999999993</v>
      </c>
      <c r="K562" s="635"/>
      <c r="L562" s="655"/>
      <c r="M562" s="655">
        <f t="shared" si="26"/>
        <v>753825.54999999993</v>
      </c>
      <c r="N562" s="627"/>
      <c r="O562" s="636"/>
    </row>
    <row r="563" spans="1:15" s="242" customFormat="1" ht="14.25" customHeight="1">
      <c r="A563" s="638">
        <v>39</v>
      </c>
      <c r="B563" s="625" t="str">
        <f>VLOOKUP(D563,'[1]DS CN MOI UP'!$B$11:$C$447,2,0)</f>
        <v>02682</v>
      </c>
      <c r="C563" s="626" t="s">
        <v>654</v>
      </c>
      <c r="D563" s="627" t="s">
        <v>82</v>
      </c>
      <c r="E563" s="61" t="s">
        <v>15</v>
      </c>
      <c r="F563" s="61"/>
      <c r="G563" s="655">
        <v>40000</v>
      </c>
      <c r="H563" s="635">
        <v>584606.86199999996</v>
      </c>
      <c r="I563" s="635">
        <v>229728.84</v>
      </c>
      <c r="J563" s="635">
        <f t="shared" si="25"/>
        <v>854335.70199999993</v>
      </c>
      <c r="K563" s="635"/>
      <c r="L563" s="655"/>
      <c r="M563" s="655">
        <f t="shared" si="26"/>
        <v>854335.70199999993</v>
      </c>
      <c r="N563" s="627"/>
      <c r="O563" s="636"/>
    </row>
    <row r="564" spans="1:15" s="242" customFormat="1" ht="14.25" customHeight="1">
      <c r="A564" s="638">
        <v>40</v>
      </c>
      <c r="B564" s="625" t="str">
        <f>VLOOKUP(D564,'[1]DS CN MOI UP'!$B$11:$C$447,2,0)</f>
        <v>02683</v>
      </c>
      <c r="C564" s="626" t="s">
        <v>654</v>
      </c>
      <c r="D564" s="627" t="s">
        <v>75</v>
      </c>
      <c r="E564" s="61" t="s">
        <v>15</v>
      </c>
      <c r="F564" s="61"/>
      <c r="G564" s="655">
        <v>40000</v>
      </c>
      <c r="H564" s="635">
        <v>635040.18900000001</v>
      </c>
      <c r="I564" s="635">
        <v>193212.22560000001</v>
      </c>
      <c r="J564" s="635">
        <f t="shared" si="25"/>
        <v>868252.41460000002</v>
      </c>
      <c r="K564" s="635"/>
      <c r="L564" s="655"/>
      <c r="M564" s="655">
        <f t="shared" si="26"/>
        <v>868252.41460000002</v>
      </c>
      <c r="N564" s="627"/>
      <c r="O564" s="636"/>
    </row>
    <row r="565" spans="1:15" s="242" customFormat="1" ht="14.25" customHeight="1">
      <c r="A565" s="624">
        <v>41</v>
      </c>
      <c r="B565" s="625" t="str">
        <f>VLOOKUP(D565,'[1]DS CN MOI UP'!$B$11:$C$447,2,0)</f>
        <v>02684</v>
      </c>
      <c r="C565" s="626" t="s">
        <v>654</v>
      </c>
      <c r="D565" s="627" t="s">
        <v>34</v>
      </c>
      <c r="E565" s="61" t="s">
        <v>15</v>
      </c>
      <c r="F565" s="61"/>
      <c r="G565" s="655">
        <v>40000</v>
      </c>
      <c r="H565" s="635">
        <v>524139.33600000001</v>
      </c>
      <c r="I565" s="635">
        <v>524139.33600000001</v>
      </c>
      <c r="J565" s="635">
        <f t="shared" si="25"/>
        <v>1088278.672</v>
      </c>
      <c r="K565" s="635"/>
      <c r="L565" s="655"/>
      <c r="M565" s="655">
        <f t="shared" si="26"/>
        <v>1088278.672</v>
      </c>
      <c r="N565" s="627"/>
      <c r="O565" s="636"/>
    </row>
    <row r="566" spans="1:15" s="242" customFormat="1" ht="14.25" customHeight="1">
      <c r="A566" s="638">
        <v>42</v>
      </c>
      <c r="B566" s="625" t="e">
        <f>VLOOKUP(D566,'[1]DS CN MOI UP'!$B$11:$C$447,2,0)</f>
        <v>#N/A</v>
      </c>
      <c r="C566" s="626" t="s">
        <v>654</v>
      </c>
      <c r="D566" s="627" t="s">
        <v>545</v>
      </c>
      <c r="E566" s="61" t="s">
        <v>15</v>
      </c>
      <c r="F566" s="61"/>
      <c r="G566" s="655">
        <v>40000</v>
      </c>
      <c r="H566" s="635">
        <v>635040.18900000001</v>
      </c>
      <c r="I566" s="635">
        <v>524139.33600000001</v>
      </c>
      <c r="J566" s="635">
        <f t="shared" si="25"/>
        <v>1199179.5249999999</v>
      </c>
      <c r="K566" s="635"/>
      <c r="L566" s="655"/>
      <c r="M566" s="655">
        <f t="shared" si="26"/>
        <v>1199179.5249999999</v>
      </c>
      <c r="N566" s="627"/>
      <c r="O566" s="636"/>
    </row>
    <row r="567" spans="1:15" s="242" customFormat="1" ht="14.25" customHeight="1">
      <c r="A567" s="638">
        <v>43</v>
      </c>
      <c r="B567" s="625" t="str">
        <f>VLOOKUP(D567,'[1]DS CN MOI UP'!$B$11:$C$447,2,0)</f>
        <v>03329</v>
      </c>
      <c r="C567" s="626" t="s">
        <v>654</v>
      </c>
      <c r="D567" s="627" t="s">
        <v>45</v>
      </c>
      <c r="E567" s="61" t="s">
        <v>15</v>
      </c>
      <c r="F567" s="61"/>
      <c r="G567" s="655">
        <v>40000</v>
      </c>
      <c r="H567" s="635">
        <v>635040.18900000001</v>
      </c>
      <c r="I567" s="635">
        <v>524139.33600000001</v>
      </c>
      <c r="J567" s="635">
        <f t="shared" si="25"/>
        <v>1199179.5249999999</v>
      </c>
      <c r="K567" s="635"/>
      <c r="L567" s="655"/>
      <c r="M567" s="655">
        <f t="shared" si="26"/>
        <v>1199179.5249999999</v>
      </c>
      <c r="N567" s="627"/>
      <c r="O567" s="636"/>
    </row>
    <row r="568" spans="1:15" s="242" customFormat="1" ht="14.25" customHeight="1">
      <c r="A568" s="624">
        <v>44</v>
      </c>
      <c r="B568" s="625"/>
      <c r="C568" s="626" t="s">
        <v>648</v>
      </c>
      <c r="D568" s="627" t="s">
        <v>56</v>
      </c>
      <c r="E568" s="61" t="s">
        <v>15</v>
      </c>
      <c r="F568" s="61"/>
      <c r="G568" s="655">
        <v>40000</v>
      </c>
      <c r="H568" s="635">
        <v>554373.09900000005</v>
      </c>
      <c r="I568" s="635">
        <v>524139.33600000001</v>
      </c>
      <c r="J568" s="635">
        <f t="shared" si="25"/>
        <v>1118512.4350000001</v>
      </c>
      <c r="K568" s="635"/>
      <c r="L568" s="655"/>
      <c r="M568" s="655">
        <f t="shared" si="26"/>
        <v>1118512.4350000001</v>
      </c>
      <c r="N568" s="627"/>
      <c r="O568" s="636"/>
    </row>
    <row r="569" spans="1:15" s="242" customFormat="1" ht="14.25" customHeight="1">
      <c r="A569" s="638">
        <v>45</v>
      </c>
      <c r="B569" s="625" t="str">
        <f>VLOOKUP(D569,'[1]DS CN MOI UP'!$B$11:$C$447,2,0)</f>
        <v>03320</v>
      </c>
      <c r="C569" s="626" t="s">
        <v>650</v>
      </c>
      <c r="D569" s="627" t="s">
        <v>16</v>
      </c>
      <c r="E569" s="61" t="s">
        <v>15</v>
      </c>
      <c r="F569" s="61"/>
      <c r="G569" s="655">
        <v>40000</v>
      </c>
      <c r="H569" s="635">
        <v>635040.18900000001</v>
      </c>
      <c r="I569" s="635">
        <v>524139.33600000001</v>
      </c>
      <c r="J569" s="635">
        <f t="shared" si="25"/>
        <v>1199179.5249999999</v>
      </c>
      <c r="K569" s="635"/>
      <c r="L569" s="655"/>
      <c r="M569" s="655">
        <f t="shared" si="26"/>
        <v>1199179.5249999999</v>
      </c>
      <c r="N569" s="627"/>
      <c r="O569" s="636"/>
    </row>
    <row r="570" spans="1:15" s="242" customFormat="1" ht="14.25" customHeight="1">
      <c r="A570" s="638">
        <v>46</v>
      </c>
      <c r="B570" s="625" t="e">
        <f>VLOOKUP(D570,'[1]DS CN MOI UP'!$B$11:$C$447,2,0)</f>
        <v>#N/A</v>
      </c>
      <c r="C570" s="626" t="s">
        <v>651</v>
      </c>
      <c r="D570" s="627" t="s">
        <v>559</v>
      </c>
      <c r="E570" s="61" t="s">
        <v>15</v>
      </c>
      <c r="F570" s="61"/>
      <c r="G570" s="655">
        <v>40000</v>
      </c>
      <c r="H570" s="635">
        <v>635040.18900000001</v>
      </c>
      <c r="I570" s="635">
        <v>524139.33600000001</v>
      </c>
      <c r="J570" s="635">
        <f t="shared" si="25"/>
        <v>1199179.5249999999</v>
      </c>
      <c r="K570" s="635"/>
      <c r="L570" s="655"/>
      <c r="M570" s="655">
        <f t="shared" si="26"/>
        <v>1199179.5249999999</v>
      </c>
      <c r="N570" s="627"/>
      <c r="O570" s="636"/>
    </row>
    <row r="571" spans="1:15" s="242" customFormat="1" ht="14.25" customHeight="1">
      <c r="A571" s="624">
        <v>47</v>
      </c>
      <c r="B571" s="625" t="e">
        <f>VLOOKUP(D571,'[1]DS CN MOI UP'!$B$11:$C$447,2,0)</f>
        <v>#N/A</v>
      </c>
      <c r="C571" s="626" t="s">
        <v>651</v>
      </c>
      <c r="D571" s="627" t="s">
        <v>1077</v>
      </c>
      <c r="E571" s="61" t="s">
        <v>15</v>
      </c>
      <c r="F571" s="61"/>
      <c r="G571" s="655">
        <v>40000</v>
      </c>
      <c r="H571" s="635">
        <v>635040.18900000001</v>
      </c>
      <c r="I571" s="635">
        <v>524139.33600000001</v>
      </c>
      <c r="J571" s="635">
        <f t="shared" si="25"/>
        <v>1199179.5249999999</v>
      </c>
      <c r="K571" s="635"/>
      <c r="L571" s="655"/>
      <c r="M571" s="655">
        <f t="shared" si="26"/>
        <v>1199179.5249999999</v>
      </c>
      <c r="N571" s="627"/>
      <c r="O571" s="636"/>
    </row>
    <row r="572" spans="1:15" s="242" customFormat="1" ht="14.25" customHeight="1">
      <c r="A572" s="638">
        <v>48</v>
      </c>
      <c r="B572" s="625" t="str">
        <f>VLOOKUP(D572,'[1]DS CN MOI UP'!$B$11:$C$447,2,0)</f>
        <v>03341</v>
      </c>
      <c r="C572" s="626" t="s">
        <v>651</v>
      </c>
      <c r="D572" s="627" t="s">
        <v>487</v>
      </c>
      <c r="E572" s="61" t="s">
        <v>15</v>
      </c>
      <c r="F572" s="61"/>
      <c r="G572" s="655">
        <v>40000</v>
      </c>
      <c r="H572" s="635">
        <v>614840.625</v>
      </c>
      <c r="I572" s="635">
        <v>614840.625</v>
      </c>
      <c r="J572" s="635">
        <f t="shared" si="25"/>
        <v>1269681.25</v>
      </c>
      <c r="K572" s="635"/>
      <c r="L572" s="655"/>
      <c r="M572" s="655">
        <f t="shared" si="26"/>
        <v>1269681.25</v>
      </c>
      <c r="N572" s="627"/>
      <c r="O572" s="636"/>
    </row>
    <row r="573" spans="1:15" s="242" customFormat="1" ht="14.25" customHeight="1">
      <c r="A573" s="638">
        <v>49</v>
      </c>
      <c r="B573" s="625" t="e">
        <f>VLOOKUP(D573,'[1]DS CN MOI UP'!$B$11:$C$447,2,0)</f>
        <v>#N/A</v>
      </c>
      <c r="C573" s="626" t="s">
        <v>651</v>
      </c>
      <c r="D573" s="627" t="s">
        <v>85</v>
      </c>
      <c r="E573" s="61" t="s">
        <v>15</v>
      </c>
      <c r="F573" s="61"/>
      <c r="G573" s="655">
        <v>40000</v>
      </c>
      <c r="H573" s="635">
        <v>554373.09900000005</v>
      </c>
      <c r="I573" s="635">
        <v>554373.09900000005</v>
      </c>
      <c r="J573" s="635">
        <f t="shared" si="25"/>
        <v>1148746.1980000001</v>
      </c>
      <c r="K573" s="635"/>
      <c r="L573" s="655"/>
      <c r="M573" s="655">
        <f t="shared" si="26"/>
        <v>1148746.1980000001</v>
      </c>
      <c r="N573" s="627"/>
      <c r="O573" s="636"/>
    </row>
    <row r="574" spans="1:15" s="242" customFormat="1" ht="14.25" customHeight="1">
      <c r="A574" s="624">
        <v>50</v>
      </c>
      <c r="B574" s="625" t="str">
        <f>VLOOKUP(D574,'[1]DS CN MOI UP'!$B$11:$C$447,2,0)</f>
        <v>03319</v>
      </c>
      <c r="C574" s="626" t="s">
        <v>651</v>
      </c>
      <c r="D574" s="627" t="s">
        <v>14</v>
      </c>
      <c r="E574" s="61" t="s">
        <v>15</v>
      </c>
      <c r="F574" s="61"/>
      <c r="G574" s="655">
        <v>40000</v>
      </c>
      <c r="H574" s="635">
        <v>554373.09900000005</v>
      </c>
      <c r="I574" s="635">
        <v>554373.09900000005</v>
      </c>
      <c r="J574" s="635">
        <f t="shared" si="25"/>
        <v>1148746.1980000001</v>
      </c>
      <c r="K574" s="635"/>
      <c r="L574" s="655"/>
      <c r="M574" s="655">
        <f t="shared" si="26"/>
        <v>1148746.1980000001</v>
      </c>
      <c r="N574" s="627"/>
      <c r="O574" s="636"/>
    </row>
    <row r="575" spans="1:15" s="242" customFormat="1" ht="14.25" customHeight="1">
      <c r="A575" s="638">
        <v>51</v>
      </c>
      <c r="B575" s="625" t="str">
        <f>VLOOKUP(D575,'[1]DS CN MOI UP'!$B$11:$C$447,2,0)</f>
        <v>02510</v>
      </c>
      <c r="C575" s="626" t="s">
        <v>651</v>
      </c>
      <c r="D575" s="627" t="s">
        <v>41</v>
      </c>
      <c r="E575" s="61" t="s">
        <v>15</v>
      </c>
      <c r="F575" s="61"/>
      <c r="G575" s="655">
        <v>40000</v>
      </c>
      <c r="H575" s="635">
        <v>554373.09900000005</v>
      </c>
      <c r="I575" s="635">
        <v>554373.09900000005</v>
      </c>
      <c r="J575" s="635">
        <f t="shared" si="25"/>
        <v>1148746.1980000001</v>
      </c>
      <c r="K575" s="635"/>
      <c r="L575" s="655"/>
      <c r="M575" s="655">
        <f t="shared" si="26"/>
        <v>1148746.1980000001</v>
      </c>
      <c r="N575" s="627"/>
      <c r="O575" s="636"/>
    </row>
    <row r="576" spans="1:15" s="242" customFormat="1" ht="14.25" customHeight="1">
      <c r="A576" s="638">
        <v>52</v>
      </c>
      <c r="B576" s="625" t="str">
        <f>VLOOKUP(D576,'[1]DS CN MOI UP'!$B$11:$C$447,2,0)</f>
        <v>03328</v>
      </c>
      <c r="C576" s="626" t="s">
        <v>651</v>
      </c>
      <c r="D576" s="627" t="s">
        <v>37</v>
      </c>
      <c r="E576" s="61" t="s">
        <v>15</v>
      </c>
      <c r="F576" s="61"/>
      <c r="G576" s="655"/>
      <c r="H576" s="635">
        <v>635040.18900000001</v>
      </c>
      <c r="I576" s="635">
        <v>635040.18900000001</v>
      </c>
      <c r="J576" s="635">
        <f t="shared" si="25"/>
        <v>1270080.378</v>
      </c>
      <c r="K576" s="635"/>
      <c r="L576" s="655"/>
      <c r="M576" s="655">
        <f t="shared" si="26"/>
        <v>1270080.378</v>
      </c>
      <c r="N576" s="627"/>
      <c r="O576" s="636"/>
    </row>
    <row r="577" spans="1:15" s="242" customFormat="1" ht="14.25" customHeight="1">
      <c r="A577" s="624">
        <v>53</v>
      </c>
      <c r="B577" s="625" t="e">
        <f>VLOOKUP(D577,'[1]DS CN MOI UP'!$B$11:$C$447,2,0)</f>
        <v>#N/A</v>
      </c>
      <c r="C577" s="626" t="s">
        <v>651</v>
      </c>
      <c r="D577" s="627" t="s">
        <v>1078</v>
      </c>
      <c r="E577" s="61" t="s">
        <v>15</v>
      </c>
      <c r="F577" s="61"/>
      <c r="G577" s="655">
        <v>40000</v>
      </c>
      <c r="H577" s="635">
        <v>544338.9</v>
      </c>
      <c r="I577" s="635">
        <v>544338.9</v>
      </c>
      <c r="J577" s="635">
        <f t="shared" si="25"/>
        <v>1128677.8</v>
      </c>
      <c r="K577" s="635"/>
      <c r="L577" s="655"/>
      <c r="M577" s="655">
        <f t="shared" si="26"/>
        <v>1128677.8</v>
      </c>
      <c r="N577" s="627"/>
      <c r="O577" s="636"/>
    </row>
    <row r="578" spans="1:15" s="242" customFormat="1" ht="14.25" customHeight="1">
      <c r="A578" s="638">
        <v>54</v>
      </c>
      <c r="B578" s="625" t="e">
        <f>VLOOKUP(D578,'[1]DS CN MOI UP'!$B$11:$C$447,2,0)</f>
        <v>#N/A</v>
      </c>
      <c r="C578" s="626" t="s">
        <v>651</v>
      </c>
      <c r="D578" s="627" t="s">
        <v>1079</v>
      </c>
      <c r="E578" s="61" t="s">
        <v>15</v>
      </c>
      <c r="F578" s="61"/>
      <c r="G578" s="655">
        <v>40000</v>
      </c>
      <c r="H578" s="635">
        <v>574572.66299999994</v>
      </c>
      <c r="I578" s="635">
        <v>574572.66299999994</v>
      </c>
      <c r="J578" s="635">
        <f t="shared" si="25"/>
        <v>1189145.3259999999</v>
      </c>
      <c r="K578" s="635"/>
      <c r="L578" s="655"/>
      <c r="M578" s="655">
        <f t="shared" si="26"/>
        <v>1189145.3259999999</v>
      </c>
      <c r="N578" s="627"/>
      <c r="O578" s="636"/>
    </row>
    <row r="579" spans="1:15" s="242" customFormat="1" ht="14.25" customHeight="1">
      <c r="A579" s="638">
        <v>55</v>
      </c>
      <c r="B579" s="625" t="e">
        <f>VLOOKUP(D579,'[1]DS CN MOI UP'!$B$11:$C$447,2,0)</f>
        <v>#N/A</v>
      </c>
      <c r="C579" s="626" t="s">
        <v>651</v>
      </c>
      <c r="D579" s="627" t="s">
        <v>1080</v>
      </c>
      <c r="E579" s="61" t="s">
        <v>15</v>
      </c>
      <c r="F579" s="61"/>
      <c r="G579" s="655">
        <v>40000</v>
      </c>
      <c r="H579" s="635">
        <v>604806.42599999998</v>
      </c>
      <c r="I579" s="635">
        <v>604806.42599999998</v>
      </c>
      <c r="J579" s="635">
        <f t="shared" si="25"/>
        <v>1249612.852</v>
      </c>
      <c r="K579" s="635"/>
      <c r="L579" s="655"/>
      <c r="M579" s="655">
        <f t="shared" si="26"/>
        <v>1249612.852</v>
      </c>
      <c r="N579" s="627"/>
      <c r="O579" s="636"/>
    </row>
    <row r="580" spans="1:15" s="242" customFormat="1" ht="14.25" customHeight="1">
      <c r="A580" s="624">
        <v>56</v>
      </c>
      <c r="B580" s="625" t="e">
        <f>VLOOKUP(D580,'[1]DS CN MOI UP'!$B$11:$C$447,2,0)</f>
        <v>#N/A</v>
      </c>
      <c r="C580" s="626" t="s">
        <v>651</v>
      </c>
      <c r="D580" s="627" t="s">
        <v>51</v>
      </c>
      <c r="E580" s="61" t="s">
        <v>15</v>
      </c>
      <c r="F580" s="61"/>
      <c r="G580" s="655">
        <v>40000</v>
      </c>
      <c r="H580" s="635">
        <v>584606.86199999996</v>
      </c>
      <c r="I580" s="635">
        <v>584606.86199999996</v>
      </c>
      <c r="J580" s="635">
        <f t="shared" si="25"/>
        <v>1209213.7239999999</v>
      </c>
      <c r="K580" s="635"/>
      <c r="L580" s="655"/>
      <c r="M580" s="655">
        <f t="shared" si="26"/>
        <v>1209213.7239999999</v>
      </c>
      <c r="N580" s="627"/>
      <c r="O580" s="636"/>
    </row>
    <row r="581" spans="1:15" s="242" customFormat="1" ht="14.25" customHeight="1">
      <c r="A581" s="638">
        <v>57</v>
      </c>
      <c r="B581" s="625" t="str">
        <f>VLOOKUP(D581,'[1]DS CN MOI UP'!$B$11:$C$447,2,0)</f>
        <v>03326</v>
      </c>
      <c r="C581" s="626" t="s">
        <v>651</v>
      </c>
      <c r="D581" s="627" t="s">
        <v>29</v>
      </c>
      <c r="E581" s="61" t="s">
        <v>15</v>
      </c>
      <c r="F581" s="61"/>
      <c r="G581" s="655"/>
      <c r="H581" s="635">
        <v>635040.18900000001</v>
      </c>
      <c r="I581" s="635">
        <v>635040.18900000001</v>
      </c>
      <c r="J581" s="635">
        <f t="shared" si="25"/>
        <v>1270080.378</v>
      </c>
      <c r="K581" s="635"/>
      <c r="L581" s="655"/>
      <c r="M581" s="655">
        <f t="shared" si="26"/>
        <v>1270080.378</v>
      </c>
      <c r="N581" s="627"/>
      <c r="O581" s="636"/>
    </row>
    <row r="582" spans="1:15" s="242" customFormat="1" ht="14.25" customHeight="1">
      <c r="A582" s="638">
        <v>58</v>
      </c>
      <c r="B582" s="625" t="e">
        <f>VLOOKUP(D582,'[1]DS CN MOI UP'!$B$11:$C$447,2,0)</f>
        <v>#N/A</v>
      </c>
      <c r="C582" s="626" t="s">
        <v>654</v>
      </c>
      <c r="D582" s="627" t="s">
        <v>1081</v>
      </c>
      <c r="E582" s="61" t="s">
        <v>15</v>
      </c>
      <c r="F582" s="61"/>
      <c r="G582" s="655">
        <v>40000</v>
      </c>
      <c r="H582" s="635">
        <v>524139.33600000001</v>
      </c>
      <c r="I582" s="635">
        <v>524139.33600000001</v>
      </c>
      <c r="J582" s="635">
        <f t="shared" si="25"/>
        <v>1088278.672</v>
      </c>
      <c r="K582" s="635"/>
      <c r="L582" s="655"/>
      <c r="M582" s="655">
        <f t="shared" si="26"/>
        <v>1088278.672</v>
      </c>
      <c r="N582" s="627"/>
      <c r="O582" s="636"/>
    </row>
    <row r="583" spans="1:15" s="242" customFormat="1" ht="14.25" customHeight="1">
      <c r="A583" s="624">
        <v>59</v>
      </c>
      <c r="B583" s="625" t="str">
        <f>VLOOKUP(D583,'[1]DS CN MOI UP'!$B$11:$C$447,2,0)</f>
        <v>03324</v>
      </c>
      <c r="C583" s="626" t="s">
        <v>654</v>
      </c>
      <c r="D583" s="627" t="s">
        <v>27</v>
      </c>
      <c r="E583" s="61" t="s">
        <v>15</v>
      </c>
      <c r="F583" s="61"/>
      <c r="G583" s="655">
        <v>40000</v>
      </c>
      <c r="H583" s="635">
        <v>554373.09900000005</v>
      </c>
      <c r="I583" s="635">
        <v>554373.09900000005</v>
      </c>
      <c r="J583" s="635">
        <f t="shared" si="25"/>
        <v>1148746.1980000001</v>
      </c>
      <c r="K583" s="635"/>
      <c r="L583" s="655"/>
      <c r="M583" s="655">
        <f t="shared" si="26"/>
        <v>1148746.1980000001</v>
      </c>
      <c r="N583" s="627"/>
      <c r="O583" s="636"/>
    </row>
    <row r="584" spans="1:15" s="242" customFormat="1" ht="14.25" customHeight="1">
      <c r="A584" s="638">
        <v>60</v>
      </c>
      <c r="B584" s="625" t="str">
        <f>VLOOKUP(D584,'[1]DS CN MOI UP'!$B$11:$C$447,2,0)</f>
        <v>03325</v>
      </c>
      <c r="C584" s="626" t="s">
        <v>654</v>
      </c>
      <c r="D584" s="627" t="s">
        <v>28</v>
      </c>
      <c r="E584" s="61" t="s">
        <v>15</v>
      </c>
      <c r="F584" s="61"/>
      <c r="G584" s="655">
        <v>40000</v>
      </c>
      <c r="H584" s="635">
        <v>554373.09900000005</v>
      </c>
      <c r="I584" s="635">
        <v>554373.09900000005</v>
      </c>
      <c r="J584" s="635">
        <f t="shared" si="25"/>
        <v>1148746.1980000001</v>
      </c>
      <c r="K584" s="635"/>
      <c r="L584" s="655"/>
      <c r="M584" s="655">
        <f t="shared" si="26"/>
        <v>1148746.1980000001</v>
      </c>
      <c r="N584" s="627"/>
      <c r="O584" s="636"/>
    </row>
    <row r="585" spans="1:15" s="242" customFormat="1" ht="14.25" customHeight="1">
      <c r="A585" s="638">
        <v>61</v>
      </c>
      <c r="B585" s="625" t="str">
        <f>VLOOKUP(D585,'[1]DS CN MOI UP'!$B$11:$C$447,2,0)</f>
        <v>03334</v>
      </c>
      <c r="C585" s="626" t="s">
        <v>654</v>
      </c>
      <c r="D585" s="627" t="s">
        <v>64</v>
      </c>
      <c r="E585" s="61" t="s">
        <v>15</v>
      </c>
      <c r="F585" s="61"/>
      <c r="G585" s="655">
        <v>40000</v>
      </c>
      <c r="H585" s="635">
        <v>614840.625</v>
      </c>
      <c r="I585" s="635">
        <v>554373.09900000005</v>
      </c>
      <c r="J585" s="635">
        <f t="shared" si="25"/>
        <v>1209213.7239999999</v>
      </c>
      <c r="K585" s="635"/>
      <c r="L585" s="655"/>
      <c r="M585" s="655">
        <f t="shared" si="26"/>
        <v>1209213.7239999999</v>
      </c>
      <c r="N585" s="627"/>
      <c r="O585" s="636"/>
    </row>
    <row r="586" spans="1:15" s="242" customFormat="1" ht="14.25" customHeight="1">
      <c r="A586" s="624">
        <v>62</v>
      </c>
      <c r="B586" s="625" t="str">
        <f>VLOOKUP(D586,'[1]DS CN MOI UP'!$B$11:$C$447,2,0)</f>
        <v>03426</v>
      </c>
      <c r="C586" s="626" t="s">
        <v>654</v>
      </c>
      <c r="D586" s="627" t="s">
        <v>386</v>
      </c>
      <c r="E586" s="61" t="s">
        <v>15</v>
      </c>
      <c r="F586" s="61"/>
      <c r="G586" s="655">
        <v>40000</v>
      </c>
      <c r="H586" s="635">
        <v>614840.625</v>
      </c>
      <c r="I586" s="635">
        <v>554373.09900000005</v>
      </c>
      <c r="J586" s="635">
        <f t="shared" si="25"/>
        <v>1209213.7239999999</v>
      </c>
      <c r="K586" s="635"/>
      <c r="L586" s="655"/>
      <c r="M586" s="655">
        <f t="shared" si="26"/>
        <v>1209213.7239999999</v>
      </c>
      <c r="N586" s="627"/>
      <c r="O586" s="636"/>
    </row>
    <row r="587" spans="1:15" s="242" customFormat="1" ht="14.25" customHeight="1">
      <c r="A587" s="638">
        <v>63</v>
      </c>
      <c r="B587" s="625" t="str">
        <f>VLOOKUP(D587,'[1]DS CN MOI UP'!$B$11:$C$447,2,0)</f>
        <v>02485</v>
      </c>
      <c r="C587" s="626" t="s">
        <v>654</v>
      </c>
      <c r="D587" s="627" t="s">
        <v>31</v>
      </c>
      <c r="E587" s="61" t="s">
        <v>15</v>
      </c>
      <c r="F587" s="61"/>
      <c r="G587" s="655">
        <v>40000</v>
      </c>
      <c r="H587" s="635">
        <v>614840.625</v>
      </c>
      <c r="I587" s="635">
        <v>554373.09900000005</v>
      </c>
      <c r="J587" s="635">
        <f t="shared" si="25"/>
        <v>1209213.7239999999</v>
      </c>
      <c r="K587" s="635"/>
      <c r="L587" s="655"/>
      <c r="M587" s="655">
        <f t="shared" si="26"/>
        <v>1209213.7239999999</v>
      </c>
      <c r="N587" s="627"/>
      <c r="O587" s="636"/>
    </row>
    <row r="588" spans="1:15" s="242" customFormat="1" ht="14.25" customHeight="1">
      <c r="A588" s="638">
        <v>64</v>
      </c>
      <c r="B588" s="625" t="e">
        <f>VLOOKUP(D588,'[1]DS CN MOI UP'!$B$11:$C$447,2,0)</f>
        <v>#N/A</v>
      </c>
      <c r="C588" s="626" t="s">
        <v>654</v>
      </c>
      <c r="D588" s="627" t="s">
        <v>1082</v>
      </c>
      <c r="E588" s="61" t="s">
        <v>15</v>
      </c>
      <c r="F588" s="61"/>
      <c r="G588" s="655">
        <v>40000</v>
      </c>
      <c r="H588" s="635">
        <v>614840.625</v>
      </c>
      <c r="I588" s="635">
        <v>554373.09900000005</v>
      </c>
      <c r="J588" s="635">
        <f t="shared" si="25"/>
        <v>1209213.7239999999</v>
      </c>
      <c r="K588" s="635"/>
      <c r="L588" s="655"/>
      <c r="M588" s="655">
        <f t="shared" si="26"/>
        <v>1209213.7239999999</v>
      </c>
      <c r="N588" s="627"/>
      <c r="O588" s="636"/>
    </row>
    <row r="589" spans="1:15" s="242" customFormat="1" ht="14.25" customHeight="1">
      <c r="A589" s="624">
        <v>65</v>
      </c>
      <c r="B589" s="625" t="str">
        <f>VLOOKUP(D589,'[1]DS CN MOI UP'!$B$11:$C$447,2,0)</f>
        <v>02451</v>
      </c>
      <c r="C589" s="626" t="s">
        <v>654</v>
      </c>
      <c r="D589" s="627" t="s">
        <v>60</v>
      </c>
      <c r="E589" s="61" t="s">
        <v>15</v>
      </c>
      <c r="F589" s="61"/>
      <c r="G589" s="655">
        <v>40000</v>
      </c>
      <c r="H589" s="635">
        <v>614840.625</v>
      </c>
      <c r="I589" s="635">
        <v>554373.09900000005</v>
      </c>
      <c r="J589" s="635">
        <f t="shared" si="25"/>
        <v>1209213.7239999999</v>
      </c>
      <c r="K589" s="635"/>
      <c r="L589" s="655"/>
      <c r="M589" s="655">
        <f t="shared" si="26"/>
        <v>1209213.7239999999</v>
      </c>
      <c r="N589" s="627"/>
      <c r="O589" s="636"/>
    </row>
    <row r="590" spans="1:15" s="242" customFormat="1" ht="14.25" customHeight="1">
      <c r="A590" s="638">
        <v>66</v>
      </c>
      <c r="B590" s="625" t="e">
        <f>VLOOKUP(D590,'[1]DS CN MOI UP'!$B$11:$C$447,2,0)</f>
        <v>#N/A</v>
      </c>
      <c r="C590" s="626" t="s">
        <v>654</v>
      </c>
      <c r="D590" s="627" t="s">
        <v>1083</v>
      </c>
      <c r="E590" s="61" t="s">
        <v>15</v>
      </c>
      <c r="F590" s="61"/>
      <c r="G590" s="655">
        <v>40000</v>
      </c>
      <c r="H590" s="635">
        <v>544338.9</v>
      </c>
      <c r="I590" s="635">
        <v>554373.09900000005</v>
      </c>
      <c r="J590" s="635">
        <f t="shared" si="25"/>
        <v>1138711.9990000001</v>
      </c>
      <c r="K590" s="635"/>
      <c r="L590" s="655"/>
      <c r="M590" s="655">
        <f t="shared" si="26"/>
        <v>1138711.9990000001</v>
      </c>
      <c r="N590" s="627"/>
      <c r="O590" s="636"/>
    </row>
    <row r="591" spans="1:15" s="242" customFormat="1" ht="14.25" customHeight="1">
      <c r="A591" s="638">
        <v>67</v>
      </c>
      <c r="B591" s="625" t="str">
        <f>VLOOKUP(D591,'[1]DS CN MOI UP'!$B$11:$C$447,2,0)</f>
        <v>02452</v>
      </c>
      <c r="C591" s="626" t="s">
        <v>654</v>
      </c>
      <c r="D591" s="627" t="s">
        <v>22</v>
      </c>
      <c r="E591" s="61" t="s">
        <v>15</v>
      </c>
      <c r="F591" s="61"/>
      <c r="G591" s="655">
        <v>40000</v>
      </c>
      <c r="H591" s="635">
        <v>574572.66299999994</v>
      </c>
      <c r="I591" s="635">
        <v>554373.09900000005</v>
      </c>
      <c r="J591" s="635">
        <f t="shared" si="25"/>
        <v>1168945.7620000001</v>
      </c>
      <c r="K591" s="635"/>
      <c r="L591" s="655"/>
      <c r="M591" s="655">
        <f t="shared" si="26"/>
        <v>1168945.7620000001</v>
      </c>
      <c r="N591" s="627"/>
      <c r="O591" s="636"/>
    </row>
    <row r="592" spans="1:15" s="242" customFormat="1" ht="14.25" customHeight="1">
      <c r="A592" s="624">
        <v>68</v>
      </c>
      <c r="B592" s="625" t="e">
        <f>VLOOKUP(D592,'[1]DS CN MOI UP'!$B$11:$C$447,2,0)</f>
        <v>#N/A</v>
      </c>
      <c r="C592" s="626" t="s">
        <v>654</v>
      </c>
      <c r="D592" s="627" t="s">
        <v>1084</v>
      </c>
      <c r="E592" s="61" t="s">
        <v>15</v>
      </c>
      <c r="F592" s="61"/>
      <c r="G592" s="655">
        <v>40000</v>
      </c>
      <c r="H592" s="635">
        <v>604806.42599999998</v>
      </c>
      <c r="I592" s="635">
        <v>554373.09900000005</v>
      </c>
      <c r="J592" s="635">
        <f t="shared" si="25"/>
        <v>1199179.5249999999</v>
      </c>
      <c r="K592" s="635"/>
      <c r="L592" s="655"/>
      <c r="M592" s="655">
        <f t="shared" si="26"/>
        <v>1199179.5249999999</v>
      </c>
      <c r="N592" s="627"/>
      <c r="O592" s="636"/>
    </row>
    <row r="593" spans="1:15" s="242" customFormat="1" ht="14.25" customHeight="1">
      <c r="A593" s="638">
        <v>69</v>
      </c>
      <c r="B593" s="625" t="e">
        <f>VLOOKUP(D593,'[1]DS CN MOI UP'!$B$11:$C$447,2,0)</f>
        <v>#N/A</v>
      </c>
      <c r="C593" s="626" t="s">
        <v>654</v>
      </c>
      <c r="D593" s="627" t="s">
        <v>555</v>
      </c>
      <c r="E593" s="61" t="s">
        <v>15</v>
      </c>
      <c r="F593" s="61"/>
      <c r="G593" s="655">
        <v>40000</v>
      </c>
      <c r="H593" s="635">
        <v>584606.86199999996</v>
      </c>
      <c r="I593" s="635">
        <v>554373.09900000005</v>
      </c>
      <c r="J593" s="635">
        <f t="shared" si="25"/>
        <v>1178979.9610000001</v>
      </c>
      <c r="K593" s="635"/>
      <c r="L593" s="655"/>
      <c r="M593" s="655">
        <f t="shared" si="26"/>
        <v>1178979.9610000001</v>
      </c>
      <c r="N593" s="627"/>
      <c r="O593" s="636"/>
    </row>
    <row r="594" spans="1:15" s="242" customFormat="1" ht="14.25" customHeight="1">
      <c r="A594" s="638">
        <v>70</v>
      </c>
      <c r="B594" s="625" t="e">
        <f>VLOOKUP(D594,'[1]DS CN MOI UP'!$B$11:$C$447,2,0)</f>
        <v>#N/A</v>
      </c>
      <c r="C594" s="626" t="s">
        <v>654</v>
      </c>
      <c r="D594" s="627" t="s">
        <v>1085</v>
      </c>
      <c r="E594" s="61" t="s">
        <v>15</v>
      </c>
      <c r="F594" s="61"/>
      <c r="G594" s="655">
        <v>40000</v>
      </c>
      <c r="H594" s="635">
        <v>635040.18900000001</v>
      </c>
      <c r="I594" s="635">
        <v>554373.09900000005</v>
      </c>
      <c r="J594" s="635">
        <f t="shared" si="25"/>
        <v>1229413.2880000002</v>
      </c>
      <c r="K594" s="635"/>
      <c r="L594" s="655"/>
      <c r="M594" s="655">
        <f t="shared" si="26"/>
        <v>1229413.2880000002</v>
      </c>
      <c r="N594" s="627"/>
      <c r="O594" s="636"/>
    </row>
    <row r="595" spans="1:15" s="242" customFormat="1" ht="14.25" customHeight="1">
      <c r="A595" s="624">
        <v>71</v>
      </c>
      <c r="B595" s="625" t="str">
        <f>VLOOKUP(D595,'[1]DS CN MOI UP'!$B$11:$C$447,2,0)</f>
        <v>02454</v>
      </c>
      <c r="C595" s="626" t="s">
        <v>654</v>
      </c>
      <c r="D595" s="627" t="s">
        <v>71</v>
      </c>
      <c r="E595" s="61" t="s">
        <v>15</v>
      </c>
      <c r="F595" s="61"/>
      <c r="G595" s="655">
        <v>40000</v>
      </c>
      <c r="H595" s="635">
        <v>524139.33600000001</v>
      </c>
      <c r="I595" s="635">
        <v>524139.33600000001</v>
      </c>
      <c r="J595" s="635">
        <f t="shared" si="25"/>
        <v>1088278.672</v>
      </c>
      <c r="K595" s="635"/>
      <c r="L595" s="655"/>
      <c r="M595" s="655">
        <f t="shared" si="26"/>
        <v>1088278.672</v>
      </c>
      <c r="N595" s="627"/>
      <c r="O595" s="636"/>
    </row>
    <row r="596" spans="1:15" s="242" customFormat="1" ht="14.25" customHeight="1">
      <c r="A596" s="638">
        <v>72</v>
      </c>
      <c r="B596" s="625" t="e">
        <f>VLOOKUP(D596,'[1]DS CN MOI UP'!$B$11:$C$447,2,0)</f>
        <v>#N/A</v>
      </c>
      <c r="C596" s="626" t="s">
        <v>654</v>
      </c>
      <c r="D596" s="627" t="s">
        <v>1086</v>
      </c>
      <c r="E596" s="61" t="s">
        <v>15</v>
      </c>
      <c r="F596" s="61"/>
      <c r="G596" s="655">
        <v>40000</v>
      </c>
      <c r="H596" s="635">
        <v>635040.18900000001</v>
      </c>
      <c r="I596" s="635">
        <v>524139.33600000001</v>
      </c>
      <c r="J596" s="635">
        <f t="shared" si="25"/>
        <v>1199179.5249999999</v>
      </c>
      <c r="K596" s="635"/>
      <c r="L596" s="655"/>
      <c r="M596" s="655">
        <f t="shared" si="26"/>
        <v>1199179.5249999999</v>
      </c>
      <c r="N596" s="627"/>
      <c r="O596" s="636"/>
    </row>
    <row r="597" spans="1:15" s="242" customFormat="1" ht="14.25" customHeight="1">
      <c r="A597" s="638">
        <v>73</v>
      </c>
      <c r="B597" s="625" t="str">
        <f>VLOOKUP(D597,'[1]DS CN MOI UP'!$B$11:$C$447,2,0)</f>
        <v>02455</v>
      </c>
      <c r="C597" s="626" t="s">
        <v>654</v>
      </c>
      <c r="D597" s="627" t="s">
        <v>47</v>
      </c>
      <c r="E597" s="61" t="s">
        <v>15</v>
      </c>
      <c r="F597" s="61"/>
      <c r="G597" s="655">
        <v>40000</v>
      </c>
      <c r="H597" s="635">
        <v>635040.18900000001</v>
      </c>
      <c r="I597" s="635">
        <v>524139.33600000001</v>
      </c>
      <c r="J597" s="635">
        <f t="shared" si="25"/>
        <v>1199179.5249999999</v>
      </c>
      <c r="K597" s="635"/>
      <c r="L597" s="655"/>
      <c r="M597" s="655">
        <f t="shared" si="26"/>
        <v>1199179.5249999999</v>
      </c>
      <c r="N597" s="627"/>
      <c r="O597" s="636"/>
    </row>
    <row r="598" spans="1:15" s="242" customFormat="1" ht="14.25" customHeight="1">
      <c r="A598" s="624">
        <v>74</v>
      </c>
      <c r="B598" s="625" t="e">
        <f>VLOOKUP(D598,'[1]DS CN MOI UP'!$B$11:$C$447,2,0)</f>
        <v>#N/A</v>
      </c>
      <c r="C598" s="626" t="s">
        <v>654</v>
      </c>
      <c r="D598" s="627" t="s">
        <v>1087</v>
      </c>
      <c r="E598" s="61" t="s">
        <v>15</v>
      </c>
      <c r="F598" s="61"/>
      <c r="G598" s="655">
        <v>40000</v>
      </c>
      <c r="H598" s="635">
        <v>635040.18900000001</v>
      </c>
      <c r="I598" s="635">
        <v>524139.33600000001</v>
      </c>
      <c r="J598" s="635">
        <f t="shared" si="25"/>
        <v>1199179.5249999999</v>
      </c>
      <c r="K598" s="635"/>
      <c r="L598" s="655"/>
      <c r="M598" s="655">
        <f t="shared" si="26"/>
        <v>1199179.5249999999</v>
      </c>
      <c r="N598" s="627"/>
      <c r="O598" s="636"/>
    </row>
    <row r="599" spans="1:15" s="242" customFormat="1" ht="14.25" customHeight="1">
      <c r="A599" s="638">
        <v>75</v>
      </c>
      <c r="B599" s="625" t="str">
        <f>VLOOKUP(D599,'[1]DS CN MOI UP'!$B$11:$C$447,2,0)</f>
        <v>02456</v>
      </c>
      <c r="C599" s="626" t="s">
        <v>654</v>
      </c>
      <c r="D599" s="627" t="s">
        <v>89</v>
      </c>
      <c r="E599" s="61" t="s">
        <v>15</v>
      </c>
      <c r="F599" s="61"/>
      <c r="G599" s="655">
        <v>40000</v>
      </c>
      <c r="H599" s="635">
        <v>635040.18900000001</v>
      </c>
      <c r="I599" s="635">
        <v>524139.33600000001</v>
      </c>
      <c r="J599" s="635">
        <f t="shared" si="25"/>
        <v>1199179.5249999999</v>
      </c>
      <c r="K599" s="635"/>
      <c r="L599" s="655"/>
      <c r="M599" s="655">
        <f t="shared" si="26"/>
        <v>1199179.5249999999</v>
      </c>
      <c r="N599" s="627"/>
      <c r="O599" s="636"/>
    </row>
    <row r="600" spans="1:15" s="242" customFormat="1" ht="14.25" customHeight="1">
      <c r="A600" s="638">
        <v>76</v>
      </c>
      <c r="B600" s="625" t="e">
        <f>VLOOKUP(D600,'[1]DS CN MOI UP'!$B$11:$C$447,2,0)</f>
        <v>#N/A</v>
      </c>
      <c r="C600" s="626" t="s">
        <v>654</v>
      </c>
      <c r="D600" s="627" t="s">
        <v>1088</v>
      </c>
      <c r="E600" s="61" t="s">
        <v>15</v>
      </c>
      <c r="F600" s="61"/>
      <c r="G600" s="655">
        <v>40000</v>
      </c>
      <c r="H600" s="635">
        <v>635040.18900000001</v>
      </c>
      <c r="I600" s="635">
        <v>524139.33600000001</v>
      </c>
      <c r="J600" s="635">
        <f t="shared" si="25"/>
        <v>1199179.5249999999</v>
      </c>
      <c r="K600" s="635"/>
      <c r="L600" s="655"/>
      <c r="M600" s="655">
        <f t="shared" si="26"/>
        <v>1199179.5249999999</v>
      </c>
      <c r="N600" s="627"/>
      <c r="O600" s="636"/>
    </row>
    <row r="601" spans="1:15" s="242" customFormat="1" ht="14.25" customHeight="1">
      <c r="A601" s="624">
        <v>77</v>
      </c>
      <c r="B601" s="625" t="str">
        <f>VLOOKUP(D601,'[1]DS CN MOI UP'!$B$11:$C$447,2,0)</f>
        <v>02457</v>
      </c>
      <c r="C601" s="626" t="s">
        <v>654</v>
      </c>
      <c r="D601" s="627" t="s">
        <v>63</v>
      </c>
      <c r="E601" s="61" t="s">
        <v>15</v>
      </c>
      <c r="F601" s="61"/>
      <c r="G601" s="655">
        <v>40000</v>
      </c>
      <c r="H601" s="635">
        <v>635040.18900000001</v>
      </c>
      <c r="I601" s="635">
        <v>524139.33600000001</v>
      </c>
      <c r="J601" s="635">
        <f t="shared" si="25"/>
        <v>1199179.5249999999</v>
      </c>
      <c r="K601" s="635"/>
      <c r="L601" s="655"/>
      <c r="M601" s="655">
        <f t="shared" si="26"/>
        <v>1199179.5249999999</v>
      </c>
      <c r="N601" s="627"/>
      <c r="O601" s="636"/>
    </row>
    <row r="602" spans="1:15" s="242" customFormat="1" ht="14.25" customHeight="1">
      <c r="A602" s="638">
        <v>78</v>
      </c>
      <c r="B602" s="625" t="e">
        <f>VLOOKUP(D602,'[1]DS CN MOI UP'!$B$11:$C$447,2,0)</f>
        <v>#N/A</v>
      </c>
      <c r="C602" s="626" t="s">
        <v>654</v>
      </c>
      <c r="D602" s="627" t="s">
        <v>1089</v>
      </c>
      <c r="E602" s="61" t="s">
        <v>15</v>
      </c>
      <c r="F602" s="61"/>
      <c r="G602" s="655">
        <v>40000</v>
      </c>
      <c r="H602" s="635">
        <v>635040.18900000001</v>
      </c>
      <c r="I602" s="635">
        <v>614840.625</v>
      </c>
      <c r="J602" s="635">
        <f t="shared" si="25"/>
        <v>1289880.814</v>
      </c>
      <c r="K602" s="635"/>
      <c r="L602" s="655"/>
      <c r="M602" s="655">
        <f t="shared" si="26"/>
        <v>1289880.814</v>
      </c>
      <c r="N602" s="627"/>
      <c r="O602" s="636"/>
    </row>
    <row r="603" spans="1:15" s="242" customFormat="1" ht="14.25" customHeight="1">
      <c r="A603" s="638">
        <v>79</v>
      </c>
      <c r="B603" s="625" t="e">
        <f>VLOOKUP(D603,'[1]DS CN MOI UP'!$B$11:$C$447,2,0)</f>
        <v>#N/A</v>
      </c>
      <c r="C603" s="626" t="s">
        <v>654</v>
      </c>
      <c r="D603" s="627" t="s">
        <v>929</v>
      </c>
      <c r="E603" s="61" t="s">
        <v>15</v>
      </c>
      <c r="F603" s="61"/>
      <c r="G603" s="655">
        <v>40000</v>
      </c>
      <c r="H603" s="635">
        <v>554373.09900000005</v>
      </c>
      <c r="I603" s="635">
        <v>554373.09900000005</v>
      </c>
      <c r="J603" s="635">
        <f t="shared" si="25"/>
        <v>1148746.1980000001</v>
      </c>
      <c r="K603" s="635"/>
      <c r="L603" s="655"/>
      <c r="M603" s="655">
        <f t="shared" si="26"/>
        <v>1148746.1980000001</v>
      </c>
      <c r="N603" s="627"/>
      <c r="O603" s="636"/>
    </row>
    <row r="604" spans="1:15" s="242" customFormat="1" ht="14.25" customHeight="1">
      <c r="A604" s="624">
        <v>80</v>
      </c>
      <c r="B604" s="625" t="str">
        <f>VLOOKUP(D604,'[1]DS CN MOI UP'!$B$11:$C$447,2,0)</f>
        <v>02458</v>
      </c>
      <c r="C604" s="626" t="s">
        <v>654</v>
      </c>
      <c r="D604" s="627" t="s">
        <v>492</v>
      </c>
      <c r="E604" s="61" t="s">
        <v>15</v>
      </c>
      <c r="F604" s="61"/>
      <c r="G604" s="655">
        <v>40000</v>
      </c>
      <c r="H604" s="635">
        <v>554373.09900000005</v>
      </c>
      <c r="I604" s="635">
        <v>554373.09900000005</v>
      </c>
      <c r="J604" s="635">
        <f t="shared" si="25"/>
        <v>1148746.1980000001</v>
      </c>
      <c r="K604" s="635"/>
      <c r="L604" s="655"/>
      <c r="M604" s="655">
        <f t="shared" si="26"/>
        <v>1148746.1980000001</v>
      </c>
      <c r="N604" s="627"/>
      <c r="O604" s="636"/>
    </row>
    <row r="605" spans="1:15" s="242" customFormat="1" ht="14.25" customHeight="1">
      <c r="A605" s="638">
        <v>81</v>
      </c>
      <c r="B605" s="625" t="e">
        <f>VLOOKUP(D605,'[1]DS CN MOI UP'!$B$11:$C$447,2,0)</f>
        <v>#N/A</v>
      </c>
      <c r="C605" s="626" t="s">
        <v>654</v>
      </c>
      <c r="D605" s="627" t="s">
        <v>1090</v>
      </c>
      <c r="E605" s="61" t="s">
        <v>15</v>
      </c>
      <c r="F605" s="61"/>
      <c r="G605" s="655">
        <v>40000</v>
      </c>
      <c r="H605" s="635">
        <v>554373.09900000005</v>
      </c>
      <c r="I605" s="635">
        <v>554373.09900000005</v>
      </c>
      <c r="J605" s="635">
        <f t="shared" si="25"/>
        <v>1148746.1980000001</v>
      </c>
      <c r="K605" s="635"/>
      <c r="L605" s="655"/>
      <c r="M605" s="655">
        <f t="shared" si="26"/>
        <v>1148746.1980000001</v>
      </c>
      <c r="N605" s="627"/>
      <c r="O605" s="636"/>
    </row>
    <row r="606" spans="1:15" s="242" customFormat="1" ht="14.25" customHeight="1">
      <c r="A606" s="638">
        <v>82</v>
      </c>
      <c r="B606" s="625" t="str">
        <f>VLOOKUP(D606,'[1]DS CN MOI UP'!$B$11:$C$447,2,0)</f>
        <v>02459</v>
      </c>
      <c r="C606" s="626" t="s">
        <v>654</v>
      </c>
      <c r="D606" s="627" t="s">
        <v>48</v>
      </c>
      <c r="E606" s="61" t="s">
        <v>15</v>
      </c>
      <c r="F606" s="61"/>
      <c r="G606" s="655"/>
      <c r="H606" s="635">
        <v>635040.18900000001</v>
      </c>
      <c r="I606" s="635">
        <v>635040.18900000001</v>
      </c>
      <c r="J606" s="635">
        <f t="shared" si="25"/>
        <v>1270080.378</v>
      </c>
      <c r="K606" s="635"/>
      <c r="L606" s="655"/>
      <c r="M606" s="655">
        <f t="shared" si="26"/>
        <v>1270080.378</v>
      </c>
      <c r="N606" s="627"/>
      <c r="O606" s="636"/>
    </row>
    <row r="607" spans="1:15" s="242" customFormat="1" ht="14.25" customHeight="1">
      <c r="A607" s="624">
        <v>83</v>
      </c>
      <c r="B607" s="625" t="e">
        <f>VLOOKUP(D607,'[1]DS CN MOI UP'!$B$11:$C$447,2,0)</f>
        <v>#N/A</v>
      </c>
      <c r="C607" s="626" t="s">
        <v>654</v>
      </c>
      <c r="D607" s="627" t="s">
        <v>1091</v>
      </c>
      <c r="E607" s="61" t="s">
        <v>15</v>
      </c>
      <c r="F607" s="61"/>
      <c r="G607" s="655">
        <v>40000</v>
      </c>
      <c r="H607" s="635">
        <v>544338.9</v>
      </c>
      <c r="I607" s="635">
        <v>544338.9</v>
      </c>
      <c r="J607" s="635">
        <f t="shared" si="25"/>
        <v>1128677.8</v>
      </c>
      <c r="K607" s="635"/>
      <c r="L607" s="655"/>
      <c r="M607" s="655">
        <f t="shared" si="26"/>
        <v>1128677.8</v>
      </c>
      <c r="N607" s="627"/>
      <c r="O607" s="636"/>
    </row>
    <row r="608" spans="1:15" s="242" customFormat="1" ht="14.25" customHeight="1">
      <c r="A608" s="638">
        <v>84</v>
      </c>
      <c r="B608" s="625" t="str">
        <f>VLOOKUP(D608,'[1]DS CN MOI UP'!$B$11:$C$447,2,0)</f>
        <v>02460</v>
      </c>
      <c r="C608" s="626" t="s">
        <v>654</v>
      </c>
      <c r="D608" s="627" t="s">
        <v>74</v>
      </c>
      <c r="E608" s="61" t="s">
        <v>15</v>
      </c>
      <c r="F608" s="61"/>
      <c r="G608" s="655">
        <v>40000</v>
      </c>
      <c r="H608" s="635">
        <v>574572.66299999994</v>
      </c>
      <c r="I608" s="635">
        <v>574572.66299999994</v>
      </c>
      <c r="J608" s="635">
        <f t="shared" si="25"/>
        <v>1189145.3259999999</v>
      </c>
      <c r="K608" s="635"/>
      <c r="L608" s="655"/>
      <c r="M608" s="655">
        <f t="shared" si="26"/>
        <v>1189145.3259999999</v>
      </c>
      <c r="N608" s="627"/>
      <c r="O608" s="636"/>
    </row>
    <row r="609" spans="1:15" s="242" customFormat="1" ht="14.25" customHeight="1">
      <c r="A609" s="638">
        <v>85</v>
      </c>
      <c r="B609" s="625" t="e">
        <f>VLOOKUP(D609,'[1]DS CN MOI UP'!$B$11:$C$447,2,0)</f>
        <v>#N/A</v>
      </c>
      <c r="C609" s="626" t="s">
        <v>654</v>
      </c>
      <c r="D609" s="627" t="s">
        <v>1092</v>
      </c>
      <c r="E609" s="61" t="s">
        <v>15</v>
      </c>
      <c r="F609" s="61"/>
      <c r="G609" s="655">
        <v>40000</v>
      </c>
      <c r="H609" s="635">
        <v>604806.42599999998</v>
      </c>
      <c r="I609" s="635">
        <v>604806.42599999998</v>
      </c>
      <c r="J609" s="635">
        <f t="shared" si="25"/>
        <v>1249612.852</v>
      </c>
      <c r="K609" s="635"/>
      <c r="L609" s="655"/>
      <c r="M609" s="655">
        <f t="shared" si="26"/>
        <v>1249612.852</v>
      </c>
      <c r="N609" s="627"/>
      <c r="O609" s="636"/>
    </row>
    <row r="610" spans="1:15" s="242" customFormat="1" ht="14.25" customHeight="1">
      <c r="A610" s="624">
        <v>86</v>
      </c>
      <c r="B610" s="625"/>
      <c r="C610" s="626" t="s">
        <v>648</v>
      </c>
      <c r="D610" s="627" t="s">
        <v>90</v>
      </c>
      <c r="E610" s="61" t="s">
        <v>15</v>
      </c>
      <c r="F610" s="61"/>
      <c r="G610" s="655"/>
      <c r="H610" s="655">
        <v>554373.09900000005</v>
      </c>
      <c r="I610" s="635">
        <v>604806.42599999998</v>
      </c>
      <c r="J610" s="635">
        <f t="shared" si="25"/>
        <v>1159179.5249999999</v>
      </c>
      <c r="K610" s="635"/>
      <c r="L610" s="655"/>
      <c r="M610" s="655">
        <f t="shared" si="26"/>
        <v>1159179.5249999999</v>
      </c>
      <c r="N610" s="627"/>
      <c r="O610" s="636"/>
    </row>
    <row r="611" spans="1:15" s="242" customFormat="1" ht="14.25" customHeight="1">
      <c r="A611" s="638">
        <v>87</v>
      </c>
      <c r="B611" s="625" t="e">
        <f>VLOOKUP(D611,'[1]DS CN MOI UP'!$B$11:$C$447,2,0)</f>
        <v>#N/A</v>
      </c>
      <c r="C611" s="626" t="s">
        <v>650</v>
      </c>
      <c r="D611" s="627" t="s">
        <v>1093</v>
      </c>
      <c r="E611" s="61" t="s">
        <v>15</v>
      </c>
      <c r="F611" s="61"/>
      <c r="G611" s="655"/>
      <c r="H611" s="655">
        <v>554373.09900000005</v>
      </c>
      <c r="I611" s="635">
        <v>604806.42599999998</v>
      </c>
      <c r="J611" s="635">
        <f t="shared" si="25"/>
        <v>1159179.5249999999</v>
      </c>
      <c r="K611" s="635"/>
      <c r="L611" s="655"/>
      <c r="M611" s="655">
        <f t="shared" si="26"/>
        <v>1159179.5249999999</v>
      </c>
      <c r="N611" s="627"/>
      <c r="O611" s="636"/>
    </row>
    <row r="612" spans="1:15" s="242" customFormat="1" ht="14.25" customHeight="1">
      <c r="A612" s="638">
        <v>88</v>
      </c>
      <c r="B612" s="625" t="str">
        <f>VLOOKUP(D612,'[1]DS CN MOI UP'!$B$11:$C$447,2,0)</f>
        <v>02462</v>
      </c>
      <c r="C612" s="626" t="s">
        <v>651</v>
      </c>
      <c r="D612" s="627" t="s">
        <v>61</v>
      </c>
      <c r="E612" s="61" t="s">
        <v>15</v>
      </c>
      <c r="F612" s="61"/>
      <c r="G612" s="655"/>
      <c r="H612" s="655">
        <v>554373.09900000005</v>
      </c>
      <c r="I612" s="635">
        <v>604806.42599999998</v>
      </c>
      <c r="J612" s="635">
        <f t="shared" si="25"/>
        <v>1159179.5249999999</v>
      </c>
      <c r="K612" s="635"/>
      <c r="L612" s="655"/>
      <c r="M612" s="655">
        <f t="shared" si="26"/>
        <v>1159179.5249999999</v>
      </c>
      <c r="N612" s="627"/>
      <c r="O612" s="636"/>
    </row>
    <row r="613" spans="1:15" s="242" customFormat="1" ht="14.25" customHeight="1">
      <c r="A613" s="624">
        <v>89</v>
      </c>
      <c r="B613" s="625" t="e">
        <f>VLOOKUP(D613,'[1]DS CN MOI UP'!$B$11:$C$447,2,0)</f>
        <v>#N/A</v>
      </c>
      <c r="C613" s="626" t="s">
        <v>651</v>
      </c>
      <c r="D613" s="627" t="s">
        <v>1094</v>
      </c>
      <c r="E613" s="61" t="s">
        <v>15</v>
      </c>
      <c r="F613" s="61"/>
      <c r="G613" s="655"/>
      <c r="H613" s="655">
        <v>635040.18900000001</v>
      </c>
      <c r="I613" s="635">
        <v>604806.42599999998</v>
      </c>
      <c r="J613" s="635">
        <f t="shared" si="25"/>
        <v>1239846.615</v>
      </c>
      <c r="K613" s="635"/>
      <c r="L613" s="655"/>
      <c r="M613" s="655">
        <f t="shared" si="26"/>
        <v>1239846.615</v>
      </c>
      <c r="N613" s="627"/>
      <c r="O613" s="636"/>
    </row>
    <row r="614" spans="1:15" s="242" customFormat="1" ht="14.25" customHeight="1">
      <c r="A614" s="638">
        <v>90</v>
      </c>
      <c r="B614" s="625" t="str">
        <f>VLOOKUP(D614,'[1]DS CN MOI UP'!$B$11:$C$447,2,0)</f>
        <v>02463</v>
      </c>
      <c r="C614" s="626" t="s">
        <v>651</v>
      </c>
      <c r="D614" s="627" t="s">
        <v>87</v>
      </c>
      <c r="E614" s="61" t="s">
        <v>15</v>
      </c>
      <c r="F614" s="61"/>
      <c r="G614" s="655"/>
      <c r="H614" s="655">
        <v>544338.9</v>
      </c>
      <c r="I614" s="635">
        <v>604806.42599999998</v>
      </c>
      <c r="J614" s="635">
        <f t="shared" si="25"/>
        <v>1149145.3259999999</v>
      </c>
      <c r="K614" s="635"/>
      <c r="L614" s="655"/>
      <c r="M614" s="655">
        <f t="shared" si="26"/>
        <v>1149145.3259999999</v>
      </c>
      <c r="N614" s="627"/>
      <c r="O614" s="636"/>
    </row>
    <row r="615" spans="1:15" s="242" customFormat="1" ht="14.25" customHeight="1">
      <c r="A615" s="638">
        <v>91</v>
      </c>
      <c r="B615" s="625" t="e">
        <f>VLOOKUP(D615,'[1]DS CN MOI UP'!$B$11:$C$447,2,0)</f>
        <v>#N/A</v>
      </c>
      <c r="C615" s="626" t="s">
        <v>651</v>
      </c>
      <c r="D615" s="627" t="s">
        <v>1095</v>
      </c>
      <c r="E615" s="61" t="s">
        <v>15</v>
      </c>
      <c r="F615" s="61"/>
      <c r="G615" s="655"/>
      <c r="H615" s="655">
        <v>574572.66299999994</v>
      </c>
      <c r="I615" s="635">
        <v>604806.42599999998</v>
      </c>
      <c r="J615" s="635">
        <f t="shared" si="25"/>
        <v>1179379.0889999999</v>
      </c>
      <c r="K615" s="635"/>
      <c r="L615" s="655"/>
      <c r="M615" s="655">
        <f t="shared" si="26"/>
        <v>1179379.0889999999</v>
      </c>
      <c r="N615" s="627"/>
      <c r="O615" s="636"/>
    </row>
    <row r="616" spans="1:15" s="242" customFormat="1" ht="14.25" customHeight="1">
      <c r="A616" s="624">
        <v>92</v>
      </c>
      <c r="B616" s="625" t="e">
        <f>VLOOKUP(D616,'[1]DS CN MOI UP'!$B$11:$C$447,2,0)</f>
        <v>#N/A</v>
      </c>
      <c r="C616" s="626" t="s">
        <v>651</v>
      </c>
      <c r="D616" s="627" t="s">
        <v>1096</v>
      </c>
      <c r="E616" s="61" t="s">
        <v>15</v>
      </c>
      <c r="F616" s="61"/>
      <c r="G616" s="655"/>
      <c r="H616" s="655">
        <v>604806.42599999998</v>
      </c>
      <c r="I616" s="635">
        <v>604806.42599999998</v>
      </c>
      <c r="J616" s="635">
        <f t="shared" si="25"/>
        <v>1209612.852</v>
      </c>
      <c r="K616" s="635"/>
      <c r="L616" s="655"/>
      <c r="M616" s="655">
        <f t="shared" si="26"/>
        <v>1209612.852</v>
      </c>
      <c r="N616" s="627"/>
      <c r="O616" s="636"/>
    </row>
    <row r="617" spans="1:15" s="242" customFormat="1" ht="14.25" customHeight="1">
      <c r="A617" s="638">
        <v>93</v>
      </c>
      <c r="B617" s="625" t="str">
        <f>VLOOKUP(D617,'[1]DS CN MOI UP'!$B$11:$C$447,2,0)</f>
        <v>02464</v>
      </c>
      <c r="C617" s="626" t="s">
        <v>651</v>
      </c>
      <c r="D617" s="627" t="s">
        <v>88</v>
      </c>
      <c r="E617" s="61" t="s">
        <v>15</v>
      </c>
      <c r="F617" s="61"/>
      <c r="G617" s="655"/>
      <c r="H617" s="655">
        <v>584606.86199999996</v>
      </c>
      <c r="I617" s="635">
        <v>604806.42599999998</v>
      </c>
      <c r="J617" s="635">
        <f t="shared" si="25"/>
        <v>1189413.2879999999</v>
      </c>
      <c r="K617" s="635"/>
      <c r="L617" s="655"/>
      <c r="M617" s="655">
        <f t="shared" si="26"/>
        <v>1189413.2879999999</v>
      </c>
      <c r="N617" s="627"/>
      <c r="O617" s="636"/>
    </row>
    <row r="618" spans="1:15" s="242" customFormat="1" ht="14.25" customHeight="1">
      <c r="A618" s="638">
        <v>94</v>
      </c>
      <c r="B618" s="625" t="e">
        <f>VLOOKUP(D618,'[1]DS CN MOI UP'!$B$11:$C$447,2,0)</f>
        <v>#N/A</v>
      </c>
      <c r="C618" s="626" t="s">
        <v>651</v>
      </c>
      <c r="D618" s="627" t="s">
        <v>1097</v>
      </c>
      <c r="E618" s="61" t="s">
        <v>15</v>
      </c>
      <c r="F618" s="61"/>
      <c r="G618" s="655"/>
      <c r="H618" s="655">
        <v>635040.18900000001</v>
      </c>
      <c r="I618" s="635">
        <v>604806.42599999998</v>
      </c>
      <c r="J618" s="635">
        <f t="shared" si="25"/>
        <v>1239846.615</v>
      </c>
      <c r="K618" s="635"/>
      <c r="L618" s="655"/>
      <c r="M618" s="655">
        <f t="shared" si="26"/>
        <v>1239846.615</v>
      </c>
      <c r="N618" s="627"/>
      <c r="O618" s="636"/>
    </row>
    <row r="619" spans="1:15" s="242" customFormat="1" ht="14.25" customHeight="1">
      <c r="A619" s="624">
        <v>95</v>
      </c>
      <c r="B619" s="625" t="str">
        <f>VLOOKUP(D619,'[1]DS CN MOI UP'!$B$11:$C$447,2,0)</f>
        <v>02583</v>
      </c>
      <c r="C619" s="626" t="s">
        <v>651</v>
      </c>
      <c r="D619" s="627" t="s">
        <v>581</v>
      </c>
      <c r="E619" s="61" t="s">
        <v>15</v>
      </c>
      <c r="F619" s="61"/>
      <c r="G619" s="655"/>
      <c r="H619" s="655">
        <v>524139.33600000001</v>
      </c>
      <c r="I619" s="655">
        <v>524139.33600000001</v>
      </c>
      <c r="J619" s="635">
        <f t="shared" si="25"/>
        <v>1048278.672</v>
      </c>
      <c r="K619" s="635"/>
      <c r="L619" s="655"/>
      <c r="M619" s="655">
        <f t="shared" si="26"/>
        <v>1048278.672</v>
      </c>
      <c r="N619" s="627"/>
      <c r="O619" s="636"/>
    </row>
    <row r="620" spans="1:15" s="242" customFormat="1" ht="14.25" customHeight="1">
      <c r="A620" s="638">
        <v>96</v>
      </c>
      <c r="B620" s="625" t="str">
        <f>VLOOKUP(D620,'[1]DS CN MOI UP'!$B$11:$C$447,2,0)</f>
        <v>02465</v>
      </c>
      <c r="C620" s="626" t="s">
        <v>651</v>
      </c>
      <c r="D620" s="627" t="s">
        <v>19</v>
      </c>
      <c r="E620" s="61" t="s">
        <v>15</v>
      </c>
      <c r="F620" s="61"/>
      <c r="G620" s="655"/>
      <c r="H620" s="655">
        <v>635040.18900000001</v>
      </c>
      <c r="I620" s="655">
        <v>524139.33600000001</v>
      </c>
      <c r="J620" s="635">
        <f t="shared" si="25"/>
        <v>1159179.5249999999</v>
      </c>
      <c r="K620" s="635"/>
      <c r="L620" s="655"/>
      <c r="M620" s="655">
        <f t="shared" si="26"/>
        <v>1159179.5249999999</v>
      </c>
      <c r="N620" s="627"/>
      <c r="O620" s="636"/>
    </row>
    <row r="621" spans="1:15" s="242" customFormat="1" ht="14.25" customHeight="1">
      <c r="A621" s="638">
        <v>97</v>
      </c>
      <c r="B621" s="625" t="e">
        <f>VLOOKUP(D621,'[1]DS CN MOI UP'!$B$11:$C$447,2,0)</f>
        <v>#N/A</v>
      </c>
      <c r="C621" s="626" t="s">
        <v>651</v>
      </c>
      <c r="D621" s="627" t="s">
        <v>1098</v>
      </c>
      <c r="E621" s="61" t="s">
        <v>15</v>
      </c>
      <c r="F621" s="61"/>
      <c r="G621" s="655"/>
      <c r="H621" s="655">
        <v>635040.18900000001</v>
      </c>
      <c r="I621" s="655">
        <v>524139.33600000001</v>
      </c>
      <c r="J621" s="635">
        <f t="shared" si="25"/>
        <v>1159179.5249999999</v>
      </c>
      <c r="K621" s="635"/>
      <c r="L621" s="655"/>
      <c r="M621" s="655">
        <f t="shared" si="26"/>
        <v>1159179.5249999999</v>
      </c>
      <c r="N621" s="627"/>
      <c r="O621" s="636"/>
    </row>
    <row r="622" spans="1:15" s="242" customFormat="1" ht="14.25" customHeight="1">
      <c r="A622" s="624">
        <v>98</v>
      </c>
      <c r="B622" s="625" t="str">
        <f>VLOOKUP(D622,'[1]DS CN MOI UP'!$B$11:$C$447,2,0)</f>
        <v>02466</v>
      </c>
      <c r="C622" s="626" t="s">
        <v>651</v>
      </c>
      <c r="D622" s="627" t="s">
        <v>25</v>
      </c>
      <c r="E622" s="61" t="s">
        <v>15</v>
      </c>
      <c r="F622" s="61"/>
      <c r="G622" s="655"/>
      <c r="H622" s="655">
        <v>635040.18900000001</v>
      </c>
      <c r="I622" s="655">
        <v>524139.33600000001</v>
      </c>
      <c r="J622" s="635">
        <f t="shared" si="25"/>
        <v>1159179.5249999999</v>
      </c>
      <c r="K622" s="635"/>
      <c r="L622" s="655"/>
      <c r="M622" s="655">
        <f t="shared" si="26"/>
        <v>1159179.5249999999</v>
      </c>
      <c r="N622" s="627"/>
      <c r="O622" s="636"/>
    </row>
    <row r="623" spans="1:15" s="242" customFormat="1" ht="14.25" customHeight="1">
      <c r="A623" s="638">
        <v>99</v>
      </c>
      <c r="B623" s="625" t="e">
        <f>VLOOKUP(D623,'[1]DS CN MOI UP'!$B$11:$C$447,2,0)</f>
        <v>#N/A</v>
      </c>
      <c r="C623" s="626" t="s">
        <v>651</v>
      </c>
      <c r="D623" s="627" t="s">
        <v>1099</v>
      </c>
      <c r="E623" s="61" t="s">
        <v>15</v>
      </c>
      <c r="F623" s="61"/>
      <c r="G623" s="655"/>
      <c r="H623" s="655">
        <v>635040.18900000001</v>
      </c>
      <c r="I623" s="655">
        <v>524139.33600000001</v>
      </c>
      <c r="J623" s="635">
        <f t="shared" si="25"/>
        <v>1159179.5249999999</v>
      </c>
      <c r="K623" s="635"/>
      <c r="L623" s="655"/>
      <c r="M623" s="655">
        <f t="shared" si="26"/>
        <v>1159179.5249999999</v>
      </c>
      <c r="N623" s="627"/>
      <c r="O623" s="636"/>
    </row>
    <row r="624" spans="1:15" s="242" customFormat="1" ht="14.25" customHeight="1">
      <c r="A624" s="638">
        <v>100</v>
      </c>
      <c r="B624" s="625" t="str">
        <f>VLOOKUP(D624,'[1]DS CN MOI UP'!$B$11:$C$447,2,0)</f>
        <v>02467</v>
      </c>
      <c r="C624" s="626" t="s">
        <v>654</v>
      </c>
      <c r="D624" s="627" t="s">
        <v>52</v>
      </c>
      <c r="E624" s="61" t="s">
        <v>15</v>
      </c>
      <c r="F624" s="61"/>
      <c r="G624" s="655"/>
      <c r="H624" s="655">
        <v>635040.18900000001</v>
      </c>
      <c r="I624" s="655">
        <v>524139.33600000001</v>
      </c>
      <c r="J624" s="635">
        <f t="shared" si="25"/>
        <v>1159179.5249999999</v>
      </c>
      <c r="K624" s="635"/>
      <c r="L624" s="655"/>
      <c r="M624" s="655">
        <f t="shared" si="26"/>
        <v>1159179.5249999999</v>
      </c>
      <c r="N624" s="627"/>
      <c r="O624" s="636"/>
    </row>
    <row r="625" spans="1:15" s="242" customFormat="1" ht="14.25" customHeight="1">
      <c r="A625" s="624">
        <v>101</v>
      </c>
      <c r="B625" s="625" t="e">
        <f>VLOOKUP(D625,'[1]DS CN MOI UP'!$B$11:$C$447,2,0)</f>
        <v>#N/A</v>
      </c>
      <c r="C625" s="626" t="s">
        <v>654</v>
      </c>
      <c r="D625" s="627" t="s">
        <v>1100</v>
      </c>
      <c r="E625" s="61" t="s">
        <v>15</v>
      </c>
      <c r="F625" s="61"/>
      <c r="G625" s="655"/>
      <c r="H625" s="655">
        <v>635040.18900000001</v>
      </c>
      <c r="I625" s="655">
        <v>524139.33600000001</v>
      </c>
      <c r="J625" s="635">
        <f t="shared" si="25"/>
        <v>1159179.5249999999</v>
      </c>
      <c r="K625" s="635"/>
      <c r="L625" s="655"/>
      <c r="M625" s="655">
        <f t="shared" si="26"/>
        <v>1159179.5249999999</v>
      </c>
      <c r="N625" s="627"/>
      <c r="O625" s="636"/>
    </row>
    <row r="626" spans="1:15" s="242" customFormat="1" ht="14.25" customHeight="1">
      <c r="A626" s="638">
        <v>102</v>
      </c>
      <c r="B626" s="625" t="str">
        <f>VLOOKUP(D626,'[1]DS CN MOI UP'!$B$11:$C$447,2,0)</f>
        <v>02468</v>
      </c>
      <c r="C626" s="626" t="s">
        <v>654</v>
      </c>
      <c r="D626" s="627" t="s">
        <v>94</v>
      </c>
      <c r="E626" s="61" t="s">
        <v>15</v>
      </c>
      <c r="F626" s="61"/>
      <c r="G626" s="655"/>
      <c r="H626" s="655">
        <v>614840.625</v>
      </c>
      <c r="I626" s="655">
        <v>524139.33600000001</v>
      </c>
      <c r="J626" s="635">
        <f t="shared" si="25"/>
        <v>1138979.9610000001</v>
      </c>
      <c r="K626" s="635"/>
      <c r="L626" s="655"/>
      <c r="M626" s="655">
        <f t="shared" si="26"/>
        <v>1138979.9610000001</v>
      </c>
      <c r="N626" s="627"/>
      <c r="O626" s="636"/>
    </row>
    <row r="627" spans="1:15" s="242" customFormat="1" ht="14.25" customHeight="1">
      <c r="A627" s="638">
        <v>103</v>
      </c>
      <c r="B627" s="625" t="e">
        <f>VLOOKUP(D627,'[1]DS CN MOI UP'!$B$11:$C$447,2,0)</f>
        <v>#N/A</v>
      </c>
      <c r="C627" s="626" t="s">
        <v>654</v>
      </c>
      <c r="D627" s="627" t="s">
        <v>1101</v>
      </c>
      <c r="E627" s="61" t="s">
        <v>15</v>
      </c>
      <c r="F627" s="61"/>
      <c r="G627" s="655"/>
      <c r="H627" s="655">
        <v>554373.09900000005</v>
      </c>
      <c r="I627" s="655">
        <v>554373.09900000005</v>
      </c>
      <c r="J627" s="635">
        <f t="shared" si="25"/>
        <v>1108746.1980000001</v>
      </c>
      <c r="K627" s="635"/>
      <c r="L627" s="655"/>
      <c r="M627" s="655">
        <f t="shared" si="26"/>
        <v>1108746.1980000001</v>
      </c>
      <c r="N627" s="627"/>
      <c r="O627" s="636"/>
    </row>
    <row r="628" spans="1:15" s="242" customFormat="1" ht="14.25" customHeight="1">
      <c r="A628" s="624">
        <v>104</v>
      </c>
      <c r="B628" s="625" t="e">
        <f>VLOOKUP(D628,'[1]DS CN MOI UP'!$B$11:$C$447,2,0)</f>
        <v>#N/A</v>
      </c>
      <c r="C628" s="626" t="s">
        <v>654</v>
      </c>
      <c r="D628" s="627" t="s">
        <v>1102</v>
      </c>
      <c r="E628" s="61" t="s">
        <v>15</v>
      </c>
      <c r="F628" s="61"/>
      <c r="G628" s="655"/>
      <c r="H628" s="655">
        <v>554373.09900000005</v>
      </c>
      <c r="I628" s="655">
        <v>554373.09900000005</v>
      </c>
      <c r="J628" s="635">
        <f t="shared" si="25"/>
        <v>1108746.1980000001</v>
      </c>
      <c r="K628" s="635"/>
      <c r="L628" s="655"/>
      <c r="M628" s="655">
        <f t="shared" si="26"/>
        <v>1108746.1980000001</v>
      </c>
      <c r="N628" s="627"/>
      <c r="O628" s="636"/>
    </row>
    <row r="629" spans="1:15" s="242" customFormat="1" ht="14.25" customHeight="1">
      <c r="A629" s="638">
        <v>105</v>
      </c>
      <c r="B629" s="625" t="str">
        <f>VLOOKUP(D629,'[1]DS CN MOI UP'!$B$11:$C$447,2,0)</f>
        <v>02469</v>
      </c>
      <c r="C629" s="626" t="s">
        <v>654</v>
      </c>
      <c r="D629" s="627" t="s">
        <v>38</v>
      </c>
      <c r="E629" s="61" t="s">
        <v>15</v>
      </c>
      <c r="F629" s="61"/>
      <c r="G629" s="655"/>
      <c r="H629" s="655">
        <v>554373.09900000005</v>
      </c>
      <c r="I629" s="655">
        <v>554373.09900000005</v>
      </c>
      <c r="J629" s="635">
        <f t="shared" si="25"/>
        <v>1108746.1980000001</v>
      </c>
      <c r="K629" s="635"/>
      <c r="L629" s="655"/>
      <c r="M629" s="655">
        <f t="shared" si="26"/>
        <v>1108746.1980000001</v>
      </c>
      <c r="N629" s="627"/>
      <c r="O629" s="636"/>
    </row>
    <row r="630" spans="1:15" s="242" customFormat="1" ht="14.25" customHeight="1">
      <c r="A630" s="638">
        <v>106</v>
      </c>
      <c r="B630" s="625" t="e">
        <f>VLOOKUP(D630,'[1]DS CN MOI UP'!$B$11:$C$447,2,0)</f>
        <v>#N/A</v>
      </c>
      <c r="C630" s="626" t="s">
        <v>654</v>
      </c>
      <c r="D630" s="627" t="s">
        <v>1103</v>
      </c>
      <c r="E630" s="61" t="s">
        <v>15</v>
      </c>
      <c r="F630" s="61"/>
      <c r="G630" s="655"/>
      <c r="H630" s="655">
        <v>635040.18900000001</v>
      </c>
      <c r="I630" s="655">
        <v>635040.18900000001</v>
      </c>
      <c r="J630" s="635">
        <f t="shared" si="25"/>
        <v>1270080.378</v>
      </c>
      <c r="K630" s="635"/>
      <c r="L630" s="655"/>
      <c r="M630" s="655">
        <f t="shared" si="26"/>
        <v>1270080.378</v>
      </c>
      <c r="N630" s="627"/>
      <c r="O630" s="636"/>
    </row>
    <row r="631" spans="1:15" s="242" customFormat="1" ht="14.25" customHeight="1">
      <c r="A631" s="624">
        <v>107</v>
      </c>
      <c r="B631" s="625" t="str">
        <f>VLOOKUP(D631,'[1]DS CN MOI UP'!$B$11:$C$447,2,0)</f>
        <v>02470</v>
      </c>
      <c r="C631" s="626" t="s">
        <v>654</v>
      </c>
      <c r="D631" s="627" t="s">
        <v>44</v>
      </c>
      <c r="E631" s="61" t="s">
        <v>15</v>
      </c>
      <c r="F631" s="61"/>
      <c r="G631" s="655"/>
      <c r="H631" s="655">
        <v>544338.9</v>
      </c>
      <c r="I631" s="655">
        <v>380998.77679995401</v>
      </c>
      <c r="J631" s="635">
        <f t="shared" si="25"/>
        <v>925337.67679995403</v>
      </c>
      <c r="K631" s="635"/>
      <c r="L631" s="655"/>
      <c r="M631" s="655">
        <f t="shared" si="26"/>
        <v>925337.67679995403</v>
      </c>
      <c r="N631" s="627"/>
      <c r="O631" s="636"/>
    </row>
    <row r="632" spans="1:15" s="242" customFormat="1" ht="14.25" customHeight="1">
      <c r="A632" s="638">
        <v>108</v>
      </c>
      <c r="B632" s="625" t="e">
        <f>VLOOKUP(D632,'[1]DS CN MOI UP'!$B$11:$C$447,2,0)</f>
        <v>#N/A</v>
      </c>
      <c r="C632" s="626" t="s">
        <v>654</v>
      </c>
      <c r="D632" s="627" t="s">
        <v>1104</v>
      </c>
      <c r="E632" s="61" t="s">
        <v>15</v>
      </c>
      <c r="F632" s="61"/>
      <c r="G632" s="655"/>
      <c r="H632" s="655">
        <v>574572.66299999994</v>
      </c>
      <c r="I632" s="655"/>
      <c r="J632" s="635">
        <f t="shared" si="25"/>
        <v>574572.66299999994</v>
      </c>
      <c r="K632" s="635"/>
      <c r="L632" s="655"/>
      <c r="M632" s="655">
        <f t="shared" si="26"/>
        <v>574572.66299999994</v>
      </c>
      <c r="N632" s="627"/>
      <c r="O632" s="636"/>
    </row>
    <row r="633" spans="1:15" s="242" customFormat="1" ht="14.25" customHeight="1">
      <c r="A633" s="638">
        <v>109</v>
      </c>
      <c r="B633" s="625" t="str">
        <f>VLOOKUP(D633,'[1]DS CN MOI UP'!$B$11:$C$447,2,0)</f>
        <v>02471</v>
      </c>
      <c r="C633" s="626" t="s">
        <v>654</v>
      </c>
      <c r="D633" s="627" t="s">
        <v>18</v>
      </c>
      <c r="E633" s="61" t="s">
        <v>15</v>
      </c>
      <c r="F633" s="61"/>
      <c r="G633" s="655"/>
      <c r="H633" s="655">
        <v>1148746.1980000001</v>
      </c>
      <c r="I633" s="655"/>
      <c r="J633" s="635">
        <f t="shared" si="25"/>
        <v>1148746.1980000001</v>
      </c>
      <c r="K633" s="635"/>
      <c r="L633" s="655"/>
      <c r="M633" s="655">
        <f t="shared" si="26"/>
        <v>1148746.1980000001</v>
      </c>
      <c r="N633" s="627"/>
      <c r="O633" s="636"/>
    </row>
    <row r="634" spans="1:15" s="242" customFormat="1" ht="14.25" customHeight="1">
      <c r="A634" s="624">
        <v>110</v>
      </c>
      <c r="B634" s="625" t="e">
        <f>VLOOKUP(D634,'[1]DS CN MOI UP'!$B$11:$C$447,2,0)</f>
        <v>#N/A</v>
      </c>
      <c r="C634" s="626" t="s">
        <v>654</v>
      </c>
      <c r="D634" s="627" t="s">
        <v>1105</v>
      </c>
      <c r="E634" s="61" t="s">
        <v>15</v>
      </c>
      <c r="F634" s="61"/>
      <c r="G634" s="655"/>
      <c r="H634" s="655">
        <v>1270080.378</v>
      </c>
      <c r="I634" s="655"/>
      <c r="J634" s="635">
        <f t="shared" si="25"/>
        <v>1270080.378</v>
      </c>
      <c r="K634" s="635"/>
      <c r="L634" s="655"/>
      <c r="M634" s="655">
        <f t="shared" si="26"/>
        <v>1270080.378</v>
      </c>
      <c r="N634" s="627"/>
      <c r="O634" s="636"/>
    </row>
    <row r="635" spans="1:15" s="242" customFormat="1" ht="14.25" customHeight="1">
      <c r="A635" s="638">
        <v>111</v>
      </c>
      <c r="B635" s="625" t="str">
        <f>VLOOKUP(D635,'[1]DS CN MOI UP'!$B$11:$C$447,2,0)</f>
        <v>02472</v>
      </c>
      <c r="C635" s="626" t="s">
        <v>654</v>
      </c>
      <c r="D635" s="627" t="s">
        <v>501</v>
      </c>
      <c r="E635" s="61" t="s">
        <v>15</v>
      </c>
      <c r="F635" s="61"/>
      <c r="G635" s="655"/>
      <c r="H635" s="655">
        <v>1128677.8</v>
      </c>
      <c r="I635" s="655"/>
      <c r="J635" s="635">
        <f t="shared" si="25"/>
        <v>1128677.8</v>
      </c>
      <c r="K635" s="635"/>
      <c r="L635" s="655"/>
      <c r="M635" s="655">
        <f t="shared" si="26"/>
        <v>1128677.8</v>
      </c>
      <c r="N635" s="627"/>
      <c r="O635" s="636"/>
    </row>
    <row r="636" spans="1:15" s="242" customFormat="1" ht="14.25" customHeight="1">
      <c r="A636" s="638">
        <v>112</v>
      </c>
      <c r="B636" s="625" t="e">
        <f>VLOOKUP(D636,'[1]DS CN MOI UP'!$B$11:$C$447,2,0)</f>
        <v>#N/A</v>
      </c>
      <c r="C636" s="626" t="s">
        <v>654</v>
      </c>
      <c r="D636" s="627" t="s">
        <v>1106</v>
      </c>
      <c r="E636" s="61" t="s">
        <v>15</v>
      </c>
      <c r="F636" s="61"/>
      <c r="G636" s="655"/>
      <c r="H636" s="655">
        <v>1189145.3259999999</v>
      </c>
      <c r="I636" s="655"/>
      <c r="J636" s="635">
        <f t="shared" si="25"/>
        <v>1189145.3259999999</v>
      </c>
      <c r="K636" s="635"/>
      <c r="L636" s="655"/>
      <c r="M636" s="655">
        <f t="shared" si="26"/>
        <v>1189145.3259999999</v>
      </c>
      <c r="N636" s="627"/>
      <c r="O636" s="636"/>
    </row>
    <row r="637" spans="1:15" s="242" customFormat="1" ht="14.25" customHeight="1">
      <c r="A637" s="624">
        <v>113</v>
      </c>
      <c r="B637" s="625" t="e">
        <f>VLOOKUP(D637,'[1]DS CN MOI UP'!$B$11:$C$447,2,0)</f>
        <v>#N/A</v>
      </c>
      <c r="C637" s="626" t="s">
        <v>654</v>
      </c>
      <c r="D637" s="627" t="s">
        <v>1107</v>
      </c>
      <c r="E637" s="61" t="s">
        <v>15</v>
      </c>
      <c r="F637" s="61"/>
      <c r="G637" s="655"/>
      <c r="H637" s="655">
        <v>1249612.852</v>
      </c>
      <c r="I637" s="655"/>
      <c r="J637" s="635">
        <f t="shared" si="25"/>
        <v>1249612.852</v>
      </c>
      <c r="K637" s="635"/>
      <c r="L637" s="655"/>
      <c r="M637" s="655">
        <f t="shared" si="26"/>
        <v>1249612.852</v>
      </c>
      <c r="N637" s="627"/>
      <c r="O637" s="636"/>
    </row>
    <row r="638" spans="1:15" s="242" customFormat="1" ht="14.25" customHeight="1">
      <c r="A638" s="638">
        <v>114</v>
      </c>
      <c r="B638" s="625" t="str">
        <f>VLOOKUP(D638,'[1]DS CN MOI UP'!$B$11:$C$447,2,0)</f>
        <v>02473</v>
      </c>
      <c r="C638" s="626" t="s">
        <v>654</v>
      </c>
      <c r="D638" s="627" t="s">
        <v>40</v>
      </c>
      <c r="E638" s="61" t="s">
        <v>15</v>
      </c>
      <c r="F638" s="61"/>
      <c r="G638" s="655"/>
      <c r="H638" s="655">
        <v>1159179.5249999999</v>
      </c>
      <c r="I638" s="655"/>
      <c r="J638" s="635">
        <f t="shared" si="25"/>
        <v>1159179.5249999999</v>
      </c>
      <c r="K638" s="635"/>
      <c r="L638" s="655"/>
      <c r="M638" s="655">
        <f t="shared" si="26"/>
        <v>1159179.5249999999</v>
      </c>
      <c r="N638" s="627"/>
      <c r="O638" s="636"/>
    </row>
    <row r="639" spans="1:15" s="242" customFormat="1" ht="14.25" customHeight="1">
      <c r="A639" s="638">
        <v>115</v>
      </c>
      <c r="B639" s="625" t="e">
        <f>VLOOKUP(D639,'[1]DS CN MOI UP'!$B$11:$C$447,2,0)</f>
        <v>#N/A</v>
      </c>
      <c r="C639" s="626" t="s">
        <v>654</v>
      </c>
      <c r="D639" s="627" t="s">
        <v>1108</v>
      </c>
      <c r="E639" s="61" t="s">
        <v>15</v>
      </c>
      <c r="F639" s="61"/>
      <c r="G639" s="655"/>
      <c r="H639" s="635">
        <v>1159179.5249999999</v>
      </c>
      <c r="I639" s="655"/>
      <c r="J639" s="635">
        <f t="shared" si="25"/>
        <v>1159179.5249999999</v>
      </c>
      <c r="K639" s="635"/>
      <c r="L639" s="655"/>
      <c r="M639" s="655">
        <f t="shared" si="26"/>
        <v>1159179.5249999999</v>
      </c>
      <c r="N639" s="627"/>
      <c r="O639" s="636"/>
    </row>
    <row r="640" spans="1:15" s="242" customFormat="1" ht="14.25" customHeight="1">
      <c r="A640" s="624">
        <v>116</v>
      </c>
      <c r="B640" s="625" t="e">
        <f>VLOOKUP(D640,'[1]DS CN MOI UP'!$B$11:$C$447,2,0)</f>
        <v>#N/A</v>
      </c>
      <c r="C640" s="626" t="s">
        <v>654</v>
      </c>
      <c r="D640" s="627" t="s">
        <v>1109</v>
      </c>
      <c r="E640" s="61" t="s">
        <v>15</v>
      </c>
      <c r="F640" s="61"/>
      <c r="G640" s="655"/>
      <c r="H640" s="635">
        <v>1159179.5249999999</v>
      </c>
      <c r="I640" s="655"/>
      <c r="J640" s="635">
        <f t="shared" si="25"/>
        <v>1159179.5249999999</v>
      </c>
      <c r="K640" s="635"/>
      <c r="L640" s="655"/>
      <c r="M640" s="655">
        <f t="shared" si="26"/>
        <v>1159179.5249999999</v>
      </c>
      <c r="N640" s="627"/>
      <c r="O640" s="636"/>
    </row>
    <row r="641" spans="1:15" s="242" customFormat="1" ht="14.25" customHeight="1">
      <c r="A641" s="638">
        <v>117</v>
      </c>
      <c r="B641" s="625" t="str">
        <f>VLOOKUP(D641,'[1]DS CN MOI UP'!$B$11:$C$447,2,0)</f>
        <v>02474</v>
      </c>
      <c r="C641" s="626" t="s">
        <v>654</v>
      </c>
      <c r="D641" s="627" t="s">
        <v>57</v>
      </c>
      <c r="E641" s="61" t="s">
        <v>15</v>
      </c>
      <c r="F641" s="61"/>
      <c r="G641" s="655"/>
      <c r="H641" s="635">
        <v>1239846.615</v>
      </c>
      <c r="I641" s="655"/>
      <c r="J641" s="635">
        <f t="shared" si="25"/>
        <v>1239846.615</v>
      </c>
      <c r="K641" s="635"/>
      <c r="L641" s="655"/>
      <c r="M641" s="655">
        <f t="shared" si="26"/>
        <v>1239846.615</v>
      </c>
      <c r="N641" s="627"/>
      <c r="O641" s="636"/>
    </row>
    <row r="642" spans="1:15" s="242" customFormat="1" ht="14.25" customHeight="1">
      <c r="A642" s="638">
        <v>118</v>
      </c>
      <c r="B642" s="625" t="e">
        <f>VLOOKUP(D642,'[1]DS CN MOI UP'!$B$11:$C$447,2,0)</f>
        <v>#N/A</v>
      </c>
      <c r="C642" s="626" t="s">
        <v>654</v>
      </c>
      <c r="D642" s="627" t="s">
        <v>1110</v>
      </c>
      <c r="E642" s="61" t="s">
        <v>15</v>
      </c>
      <c r="F642" s="61"/>
      <c r="G642" s="655"/>
      <c r="H642" s="635">
        <v>1149145.3259999999</v>
      </c>
      <c r="I642" s="655"/>
      <c r="J642" s="635">
        <f t="shared" si="25"/>
        <v>1149145.3259999999</v>
      </c>
      <c r="K642" s="635"/>
      <c r="L642" s="655"/>
      <c r="M642" s="655">
        <f t="shared" si="26"/>
        <v>1149145.3259999999</v>
      </c>
      <c r="N642" s="627"/>
      <c r="O642" s="636"/>
    </row>
    <row r="643" spans="1:15" s="242" customFormat="1" ht="14.25" customHeight="1">
      <c r="A643" s="624">
        <v>119</v>
      </c>
      <c r="B643" s="625" t="str">
        <f>VLOOKUP(D643,'[1]DS CN MOI UP'!$B$11:$C$447,2,0)</f>
        <v>02475</v>
      </c>
      <c r="C643" s="626" t="s">
        <v>654</v>
      </c>
      <c r="D643" s="627" t="s">
        <v>39</v>
      </c>
      <c r="E643" s="61" t="s">
        <v>15</v>
      </c>
      <c r="F643" s="61"/>
      <c r="G643" s="655"/>
      <c r="H643" s="635">
        <v>1179379.0889999999</v>
      </c>
      <c r="I643" s="655"/>
      <c r="J643" s="635">
        <f t="shared" si="25"/>
        <v>1179379.0889999999</v>
      </c>
      <c r="K643" s="635"/>
      <c r="L643" s="655"/>
      <c r="M643" s="655">
        <f t="shared" si="26"/>
        <v>1179379.0889999999</v>
      </c>
      <c r="N643" s="627"/>
      <c r="O643" s="636"/>
    </row>
    <row r="644" spans="1:15" s="242" customFormat="1" ht="14.25" customHeight="1">
      <c r="A644" s="638">
        <v>120</v>
      </c>
      <c r="B644" s="625" t="e">
        <f>VLOOKUP(D644,'[1]DS CN MOI UP'!$B$11:$C$447,2,0)</f>
        <v>#N/A</v>
      </c>
      <c r="C644" s="626" t="s">
        <v>654</v>
      </c>
      <c r="D644" s="627" t="s">
        <v>1111</v>
      </c>
      <c r="E644" s="61" t="s">
        <v>15</v>
      </c>
      <c r="F644" s="61"/>
      <c r="G644" s="655"/>
      <c r="H644" s="635">
        <v>1209612.852</v>
      </c>
      <c r="I644" s="655"/>
      <c r="J644" s="635">
        <f t="shared" si="25"/>
        <v>1209612.852</v>
      </c>
      <c r="K644" s="635"/>
      <c r="L644" s="655"/>
      <c r="M644" s="655">
        <f t="shared" si="26"/>
        <v>1209612.852</v>
      </c>
      <c r="N644" s="627"/>
      <c r="O644" s="636"/>
    </row>
    <row r="645" spans="1:15" s="242" customFormat="1" ht="14.25" customHeight="1">
      <c r="A645" s="638">
        <v>121</v>
      </c>
      <c r="B645" s="625" t="str">
        <f>VLOOKUP(D645,'[1]DS CN MOI UP'!$B$11:$C$447,2,0)</f>
        <v>02476</v>
      </c>
      <c r="C645" s="626" t="s">
        <v>654</v>
      </c>
      <c r="D645" s="627" t="s">
        <v>97</v>
      </c>
      <c r="E645" s="61" t="s">
        <v>15</v>
      </c>
      <c r="F645" s="61"/>
      <c r="G645" s="655"/>
      <c r="H645" s="635">
        <v>1189413.2879999999</v>
      </c>
      <c r="I645" s="655"/>
      <c r="J645" s="635">
        <f t="shared" si="25"/>
        <v>1189413.2879999999</v>
      </c>
      <c r="K645" s="635"/>
      <c r="L645" s="655"/>
      <c r="M645" s="655">
        <f t="shared" si="26"/>
        <v>1189413.2879999999</v>
      </c>
      <c r="N645" s="627"/>
      <c r="O645" s="636"/>
    </row>
    <row r="646" spans="1:15" s="242" customFormat="1" ht="14.25" customHeight="1">
      <c r="A646" s="624">
        <v>122</v>
      </c>
      <c r="B646" s="625" t="e">
        <f>VLOOKUP(D646,'[1]DS CN MOI UP'!$B$11:$C$447,2,0)</f>
        <v>#N/A</v>
      </c>
      <c r="C646" s="626" t="s">
        <v>654</v>
      </c>
      <c r="D646" s="627" t="s">
        <v>1112</v>
      </c>
      <c r="E646" s="61" t="s">
        <v>15</v>
      </c>
      <c r="F646" s="61"/>
      <c r="G646" s="655"/>
      <c r="H646" s="635">
        <v>1239846.615</v>
      </c>
      <c r="I646" s="655"/>
      <c r="J646" s="635">
        <f t="shared" si="25"/>
        <v>1239846.615</v>
      </c>
      <c r="K646" s="635"/>
      <c r="L646" s="655"/>
      <c r="M646" s="655">
        <f t="shared" si="26"/>
        <v>1239846.615</v>
      </c>
      <c r="N646" s="627"/>
      <c r="O646" s="636"/>
    </row>
    <row r="647" spans="1:15" s="242" customFormat="1" ht="14.25" customHeight="1">
      <c r="A647" s="638">
        <v>123</v>
      </c>
      <c r="B647" s="625" t="e">
        <f>VLOOKUP(D647,'[1]DS CN MOI UP'!$B$11:$C$447,2,0)</f>
        <v>#N/A</v>
      </c>
      <c r="C647" s="626" t="s">
        <v>654</v>
      </c>
      <c r="D647" s="627" t="s">
        <v>1113</v>
      </c>
      <c r="E647" s="61" t="s">
        <v>15</v>
      </c>
      <c r="F647" s="61"/>
      <c r="G647" s="655"/>
      <c r="H647" s="635">
        <v>1048278.672</v>
      </c>
      <c r="I647" s="655"/>
      <c r="J647" s="635">
        <f t="shared" si="25"/>
        <v>1048278.672</v>
      </c>
      <c r="K647" s="635"/>
      <c r="L647" s="655"/>
      <c r="M647" s="655">
        <f t="shared" si="26"/>
        <v>1048278.672</v>
      </c>
      <c r="N647" s="627"/>
      <c r="O647" s="636"/>
    </row>
    <row r="648" spans="1:15" s="242" customFormat="1" ht="14.25" customHeight="1">
      <c r="A648" s="638">
        <v>124</v>
      </c>
      <c r="B648" s="625" t="str">
        <f>VLOOKUP(D648,'[1]DS CN MOI UP'!$B$11:$C$447,2,0)</f>
        <v>02477</v>
      </c>
      <c r="C648" s="626" t="s">
        <v>654</v>
      </c>
      <c r="D648" s="627" t="s">
        <v>119</v>
      </c>
      <c r="E648" s="61" t="s">
        <v>15</v>
      </c>
      <c r="F648" s="61"/>
      <c r="G648" s="655"/>
      <c r="H648" s="635">
        <v>1159179.5249999999</v>
      </c>
      <c r="I648" s="655"/>
      <c r="J648" s="635">
        <f t="shared" si="25"/>
        <v>1159179.5249999999</v>
      </c>
      <c r="K648" s="635"/>
      <c r="L648" s="655"/>
      <c r="M648" s="655">
        <f t="shared" si="26"/>
        <v>1159179.5249999999</v>
      </c>
      <c r="N648" s="627"/>
      <c r="O648" s="636"/>
    </row>
    <row r="649" spans="1:15" s="242" customFormat="1" ht="14.25" customHeight="1">
      <c r="A649" s="624">
        <v>125</v>
      </c>
      <c r="B649" s="625" t="e">
        <f>VLOOKUP(D649,'[1]DS CN MOI UP'!$B$11:$C$447,2,0)</f>
        <v>#N/A</v>
      </c>
      <c r="C649" s="626" t="s">
        <v>654</v>
      </c>
      <c r="D649" s="627" t="s">
        <v>1114</v>
      </c>
      <c r="E649" s="61" t="s">
        <v>15</v>
      </c>
      <c r="F649" s="61"/>
      <c r="G649" s="655"/>
      <c r="H649" s="635">
        <v>1159179.5249999999</v>
      </c>
      <c r="I649" s="635"/>
      <c r="J649" s="635">
        <f t="shared" si="25"/>
        <v>1159179.5249999999</v>
      </c>
      <c r="K649" s="635"/>
      <c r="L649" s="655"/>
      <c r="M649" s="655">
        <f t="shared" si="26"/>
        <v>1159179.5249999999</v>
      </c>
      <c r="N649" s="627"/>
      <c r="O649" s="636"/>
    </row>
    <row r="650" spans="1:15" s="242" customFormat="1" ht="14.25" customHeight="1">
      <c r="A650" s="638">
        <v>126</v>
      </c>
      <c r="B650" s="625" t="e">
        <f>VLOOKUP(D650,'[1]DS CN MOI UP'!$B$11:$C$447,2,0)</f>
        <v>#N/A</v>
      </c>
      <c r="C650" s="626" t="s">
        <v>654</v>
      </c>
      <c r="D650" s="627" t="s">
        <v>1115</v>
      </c>
      <c r="E650" s="61" t="s">
        <v>15</v>
      </c>
      <c r="F650" s="61"/>
      <c r="G650" s="655"/>
      <c r="H650" s="635">
        <v>1159179.5249999999</v>
      </c>
      <c r="I650" s="635"/>
      <c r="J650" s="635">
        <f t="shared" si="25"/>
        <v>1159179.5249999999</v>
      </c>
      <c r="K650" s="635"/>
      <c r="L650" s="655"/>
      <c r="M650" s="655">
        <f t="shared" si="26"/>
        <v>1159179.5249999999</v>
      </c>
      <c r="N650" s="627"/>
      <c r="O650" s="636"/>
    </row>
    <row r="651" spans="1:15" s="242" customFormat="1" ht="14.25" customHeight="1">
      <c r="A651" s="638">
        <v>127</v>
      </c>
      <c r="B651" s="625" t="str">
        <f>VLOOKUP(D651,'[1]DS CN MOI UP'!$B$11:$C$447,2,0)</f>
        <v>02478</v>
      </c>
      <c r="C651" s="626" t="s">
        <v>654</v>
      </c>
      <c r="D651" s="627" t="s">
        <v>79</v>
      </c>
      <c r="E651" s="61" t="s">
        <v>15</v>
      </c>
      <c r="F651" s="61"/>
      <c r="G651" s="655"/>
      <c r="H651" s="635">
        <v>1159179.5249999999</v>
      </c>
      <c r="I651" s="635"/>
      <c r="J651" s="635">
        <f t="shared" si="25"/>
        <v>1159179.5249999999</v>
      </c>
      <c r="K651" s="635"/>
      <c r="L651" s="655"/>
      <c r="M651" s="655">
        <f t="shared" si="26"/>
        <v>1159179.5249999999</v>
      </c>
      <c r="N651" s="627"/>
      <c r="O651" s="636"/>
    </row>
    <row r="652" spans="1:15" s="242" customFormat="1" ht="14.25" customHeight="1">
      <c r="A652" s="624">
        <v>128</v>
      </c>
      <c r="B652" s="625"/>
      <c r="C652" s="626" t="s">
        <v>648</v>
      </c>
      <c r="D652" s="627" t="s">
        <v>1116</v>
      </c>
      <c r="E652" s="61" t="s">
        <v>15</v>
      </c>
      <c r="F652" s="61"/>
      <c r="G652" s="655"/>
      <c r="H652" s="635">
        <v>1159179.5249999999</v>
      </c>
      <c r="I652" s="635"/>
      <c r="J652" s="635">
        <f t="shared" si="25"/>
        <v>1159179.5249999999</v>
      </c>
      <c r="K652" s="635"/>
      <c r="L652" s="655"/>
      <c r="M652" s="655">
        <f t="shared" si="26"/>
        <v>1159179.5249999999</v>
      </c>
      <c r="N652" s="627"/>
      <c r="O652" s="636"/>
    </row>
    <row r="653" spans="1:15" s="242" customFormat="1" ht="14.25" customHeight="1">
      <c r="A653" s="638">
        <v>129</v>
      </c>
      <c r="B653" s="625" t="str">
        <f>VLOOKUP(D653,'[1]DS CN MOI UP'!$B$11:$C$447,2,0)</f>
        <v>02479</v>
      </c>
      <c r="C653" s="626" t="s">
        <v>650</v>
      </c>
      <c r="D653" s="627" t="s">
        <v>66</v>
      </c>
      <c r="E653" s="61" t="s">
        <v>15</v>
      </c>
      <c r="F653" s="61"/>
      <c r="G653" s="655"/>
      <c r="H653" s="635">
        <v>1159179.5249999999</v>
      </c>
      <c r="I653" s="635"/>
      <c r="J653" s="635">
        <f t="shared" si="25"/>
        <v>1159179.5249999999</v>
      </c>
      <c r="K653" s="635"/>
      <c r="L653" s="655"/>
      <c r="M653" s="655">
        <f t="shared" si="26"/>
        <v>1159179.5249999999</v>
      </c>
      <c r="N653" s="627"/>
      <c r="O653" s="636"/>
    </row>
    <row r="654" spans="1:15" s="242" customFormat="1" ht="14.25" customHeight="1">
      <c r="A654" s="638">
        <v>130</v>
      </c>
      <c r="B654" s="625" t="e">
        <f>VLOOKUP(D654,'[1]DS CN MOI UP'!$B$11:$C$447,2,0)</f>
        <v>#N/A</v>
      </c>
      <c r="C654" s="626" t="s">
        <v>651</v>
      </c>
      <c r="D654" s="627" t="s">
        <v>1117</v>
      </c>
      <c r="E654" s="61" t="s">
        <v>15</v>
      </c>
      <c r="F654" s="61"/>
      <c r="G654" s="655"/>
      <c r="H654" s="635">
        <v>1138979.9609999999</v>
      </c>
      <c r="I654" s="635"/>
      <c r="J654" s="635">
        <f t="shared" si="25"/>
        <v>1138979.9609999999</v>
      </c>
      <c r="K654" s="635"/>
      <c r="L654" s="655"/>
      <c r="M654" s="655">
        <f t="shared" si="26"/>
        <v>1138979.9609999999</v>
      </c>
      <c r="N654" s="627"/>
      <c r="O654" s="636"/>
    </row>
    <row r="655" spans="1:15" s="242" customFormat="1" ht="14.25" customHeight="1">
      <c r="A655" s="624">
        <v>131</v>
      </c>
      <c r="B655" s="625" t="str">
        <f>VLOOKUP(D655,'[1]DS CN MOI UP'!$B$11:$C$447,2,0)</f>
        <v>02480</v>
      </c>
      <c r="C655" s="626" t="s">
        <v>651</v>
      </c>
      <c r="D655" s="627" t="s">
        <v>493</v>
      </c>
      <c r="E655" s="61" t="s">
        <v>15</v>
      </c>
      <c r="F655" s="61"/>
      <c r="G655" s="655"/>
      <c r="H655" s="635">
        <v>1108746.1980000001</v>
      </c>
      <c r="I655" s="635"/>
      <c r="J655" s="635">
        <f t="shared" si="25"/>
        <v>1108746.1980000001</v>
      </c>
      <c r="K655" s="635"/>
      <c r="L655" s="655"/>
      <c r="M655" s="655">
        <f t="shared" si="26"/>
        <v>1108746.1980000001</v>
      </c>
      <c r="N655" s="627"/>
      <c r="O655" s="636"/>
    </row>
    <row r="656" spans="1:15" s="242" customFormat="1" ht="14.25" customHeight="1">
      <c r="A656" s="638">
        <v>132</v>
      </c>
      <c r="B656" s="625" t="e">
        <f>VLOOKUP(D656,'[1]DS CN MOI UP'!$B$11:$C$447,2,0)</f>
        <v>#N/A</v>
      </c>
      <c r="C656" s="626" t="s">
        <v>651</v>
      </c>
      <c r="D656" s="627" t="s">
        <v>1118</v>
      </c>
      <c r="E656" s="61" t="s">
        <v>15</v>
      </c>
      <c r="F656" s="61"/>
      <c r="G656" s="655"/>
      <c r="H656" s="635">
        <v>1108746.1980000001</v>
      </c>
      <c r="I656" s="635"/>
      <c r="J656" s="635">
        <f t="shared" si="25"/>
        <v>1108746.1980000001</v>
      </c>
      <c r="K656" s="635"/>
      <c r="L656" s="655"/>
      <c r="M656" s="655">
        <f t="shared" si="26"/>
        <v>1108746.1980000001</v>
      </c>
      <c r="N656" s="627"/>
      <c r="O656" s="636"/>
    </row>
    <row r="657" spans="1:17" s="242" customFormat="1" ht="14.25" customHeight="1">
      <c r="A657" s="638">
        <v>133</v>
      </c>
      <c r="B657" s="625" t="str">
        <f>VLOOKUP(D657,'[1]DS CN MOI UP'!$B$11:$C$447,2,0)</f>
        <v>02481</v>
      </c>
      <c r="C657" s="626" t="s">
        <v>651</v>
      </c>
      <c r="D657" s="627" t="s">
        <v>86</v>
      </c>
      <c r="E657" s="61" t="s">
        <v>15</v>
      </c>
      <c r="F657" s="61"/>
      <c r="G657" s="655"/>
      <c r="H657" s="635">
        <v>1108746.1980000001</v>
      </c>
      <c r="I657" s="635"/>
      <c r="J657" s="635">
        <f t="shared" si="25"/>
        <v>1108746.1980000001</v>
      </c>
      <c r="K657" s="635"/>
      <c r="L657" s="655"/>
      <c r="M657" s="655">
        <f t="shared" si="26"/>
        <v>1108746.1980000001</v>
      </c>
      <c r="N657" s="627"/>
      <c r="O657" s="636"/>
    </row>
    <row r="658" spans="1:17" s="242" customFormat="1" ht="14.25" customHeight="1">
      <c r="A658" s="624">
        <v>134</v>
      </c>
      <c r="B658" s="625" t="e">
        <f>VLOOKUP(D658,'[1]DS CN MOI UP'!$B$11:$C$447,2,0)</f>
        <v>#N/A</v>
      </c>
      <c r="C658" s="626" t="s">
        <v>651</v>
      </c>
      <c r="D658" s="627" t="s">
        <v>1119</v>
      </c>
      <c r="E658" s="61" t="s">
        <v>15</v>
      </c>
      <c r="F658" s="61"/>
      <c r="G658" s="655"/>
      <c r="H658" s="635">
        <v>1270080.378</v>
      </c>
      <c r="I658" s="635"/>
      <c r="J658" s="635">
        <f t="shared" si="25"/>
        <v>1270080.378</v>
      </c>
      <c r="K658" s="635"/>
      <c r="L658" s="655"/>
      <c r="M658" s="655">
        <f t="shared" si="26"/>
        <v>1270080.378</v>
      </c>
      <c r="N658" s="627"/>
      <c r="O658" s="636"/>
    </row>
    <row r="659" spans="1:17" s="242" customFormat="1" ht="14.25" customHeight="1">
      <c r="A659" s="638">
        <v>135</v>
      </c>
      <c r="B659" s="625" t="str">
        <f>VLOOKUP(D659,'[1]DS CN MOI UP'!$B$11:$C$447,2,0)</f>
        <v>02482</v>
      </c>
      <c r="C659" s="626" t="s">
        <v>651</v>
      </c>
      <c r="D659" s="627" t="s">
        <v>83</v>
      </c>
      <c r="E659" s="61" t="s">
        <v>15</v>
      </c>
      <c r="F659" s="61"/>
      <c r="G659" s="655"/>
      <c r="H659" s="635">
        <v>1088677.8</v>
      </c>
      <c r="I659" s="635"/>
      <c r="J659" s="635">
        <f t="shared" si="25"/>
        <v>1088677.8</v>
      </c>
      <c r="K659" s="635"/>
      <c r="L659" s="655"/>
      <c r="M659" s="655">
        <f t="shared" si="26"/>
        <v>1088677.8</v>
      </c>
      <c r="N659" s="627"/>
      <c r="O659" s="636"/>
    </row>
    <row r="660" spans="1:17" s="242" customFormat="1" ht="14.25" customHeight="1">
      <c r="A660" s="638">
        <v>136</v>
      </c>
      <c r="B660" s="625" t="e">
        <f>VLOOKUP(D660,'[1]DS CN MOI UP'!$B$11:$C$447,2,0)</f>
        <v>#N/A</v>
      </c>
      <c r="C660" s="626" t="s">
        <v>651</v>
      </c>
      <c r="D660" s="627" t="s">
        <v>1120</v>
      </c>
      <c r="E660" s="61" t="s">
        <v>15</v>
      </c>
      <c r="F660" s="61"/>
      <c r="G660" s="655">
        <v>60000</v>
      </c>
      <c r="H660" s="655">
        <v>1148746.1980000001</v>
      </c>
      <c r="I660" s="635"/>
      <c r="J660" s="635">
        <f t="shared" si="25"/>
        <v>1208746.1980000001</v>
      </c>
      <c r="K660" s="635"/>
      <c r="L660" s="655"/>
      <c r="M660" s="655">
        <f t="shared" si="26"/>
        <v>1208746.1980000001</v>
      </c>
      <c r="N660" s="627"/>
      <c r="O660" s="636"/>
    </row>
    <row r="661" spans="1:17" s="242" customFormat="1" ht="14.25" customHeight="1">
      <c r="A661" s="624">
        <v>137</v>
      </c>
      <c r="B661" s="625" t="str">
        <f>VLOOKUP(D661,'[1]DS CN MOI UP'!$B$11:$C$447,2,0)</f>
        <v>02483</v>
      </c>
      <c r="C661" s="626" t="s">
        <v>651</v>
      </c>
      <c r="D661" s="627" t="s">
        <v>53</v>
      </c>
      <c r="E661" s="61" t="s">
        <v>15</v>
      </c>
      <c r="F661" s="61"/>
      <c r="G661" s="655"/>
      <c r="H661" s="655">
        <v>1270080.378</v>
      </c>
      <c r="I661" s="635"/>
      <c r="J661" s="635">
        <f t="shared" si="25"/>
        <v>1270080.378</v>
      </c>
      <c r="K661" s="635"/>
      <c r="L661" s="655"/>
      <c r="M661" s="655">
        <f t="shared" si="26"/>
        <v>1270080.378</v>
      </c>
      <c r="N661" s="627"/>
      <c r="O661" s="636"/>
    </row>
    <row r="662" spans="1:17" s="242" customFormat="1" ht="14.25" customHeight="1">
      <c r="A662" s="638">
        <v>138</v>
      </c>
      <c r="B662" s="625" t="e">
        <f>VLOOKUP(D662,'[1]DS CN MOI UP'!$B$11:$C$447,2,0)</f>
        <v>#N/A</v>
      </c>
      <c r="C662" s="626" t="s">
        <v>651</v>
      </c>
      <c r="D662" s="627" t="s">
        <v>1121</v>
      </c>
      <c r="E662" s="61" t="s">
        <v>15</v>
      </c>
      <c r="F662" s="61"/>
      <c r="G662" s="655">
        <v>60000</v>
      </c>
      <c r="H662" s="655">
        <v>1128677.8</v>
      </c>
      <c r="I662" s="635"/>
      <c r="J662" s="635">
        <f t="shared" si="25"/>
        <v>1188677.8</v>
      </c>
      <c r="K662" s="635"/>
      <c r="L662" s="655"/>
      <c r="M662" s="655">
        <f t="shared" si="26"/>
        <v>1188677.8</v>
      </c>
      <c r="N662" s="627"/>
      <c r="O662" s="636"/>
    </row>
    <row r="663" spans="1:17" s="242" customFormat="1" ht="14.25" customHeight="1">
      <c r="A663" s="638">
        <v>139</v>
      </c>
      <c r="B663" s="625" t="str">
        <f>VLOOKUP(D663,'[1]DS CN MOI UP'!$B$11:$C$447,2,0)</f>
        <v>02484</v>
      </c>
      <c r="C663" s="626" t="s">
        <v>651</v>
      </c>
      <c r="D663" s="627" t="s">
        <v>490</v>
      </c>
      <c r="E663" s="61" t="s">
        <v>15</v>
      </c>
      <c r="F663" s="61"/>
      <c r="G663" s="655">
        <v>60000</v>
      </c>
      <c r="H663" s="655">
        <v>1189145.3259999999</v>
      </c>
      <c r="I663" s="635"/>
      <c r="J663" s="635">
        <f t="shared" si="25"/>
        <v>1249145.3259999999</v>
      </c>
      <c r="K663" s="635"/>
      <c r="L663" s="655"/>
      <c r="M663" s="655">
        <f t="shared" si="26"/>
        <v>1249145.3259999999</v>
      </c>
      <c r="N663" s="627"/>
      <c r="O663" s="636"/>
    </row>
    <row r="664" spans="1:17" s="242" customFormat="1" ht="14.25" customHeight="1">
      <c r="A664" s="624">
        <v>140</v>
      </c>
      <c r="B664" s="625" t="e">
        <f>VLOOKUP(D664,'[1]DS CN MOI UP'!$B$11:$C$447,2,0)</f>
        <v>#N/A</v>
      </c>
      <c r="C664" s="626" t="s">
        <v>651</v>
      </c>
      <c r="D664" s="627" t="s">
        <v>1122</v>
      </c>
      <c r="E664" s="61" t="s">
        <v>15</v>
      </c>
      <c r="F664" s="61"/>
      <c r="G664" s="655"/>
      <c r="H664" s="655">
        <v>1249612.852</v>
      </c>
      <c r="I664" s="635"/>
      <c r="J664" s="635">
        <f t="shared" si="25"/>
        <v>1249612.852</v>
      </c>
      <c r="K664" s="635"/>
      <c r="L664" s="655"/>
      <c r="M664" s="655">
        <f t="shared" si="26"/>
        <v>1249612.852</v>
      </c>
      <c r="N664" s="627"/>
      <c r="O664" s="636"/>
    </row>
    <row r="665" spans="1:17" s="242" customFormat="1" ht="14.25" customHeight="1">
      <c r="A665" s="638">
        <v>141</v>
      </c>
      <c r="B665" s="625" t="str">
        <f>VLOOKUP(D665,'[1]DS CN MOI UP'!$B$11:$C$447,2,0)</f>
        <v>02485</v>
      </c>
      <c r="C665" s="626" t="s">
        <v>651</v>
      </c>
      <c r="D665" s="627" t="s">
        <v>31</v>
      </c>
      <c r="E665" s="61" t="s">
        <v>15</v>
      </c>
      <c r="F665" s="61"/>
      <c r="G665" s="655">
        <v>60000</v>
      </c>
      <c r="H665" s="655">
        <v>1159179.5249999999</v>
      </c>
      <c r="I665" s="635"/>
      <c r="J665" s="635">
        <f t="shared" si="25"/>
        <v>1219179.5249999999</v>
      </c>
      <c r="K665" s="635"/>
      <c r="L665" s="655"/>
      <c r="M665" s="655">
        <f t="shared" si="26"/>
        <v>1219179.5249999999</v>
      </c>
      <c r="N665" s="627"/>
      <c r="O665" s="636"/>
    </row>
    <row r="666" spans="1:17" s="242" customFormat="1" ht="14.25" customHeight="1">
      <c r="A666" s="638">
        <v>142</v>
      </c>
      <c r="B666" s="625" t="e">
        <f>VLOOKUP(D666,'[1]DS CN MOI UP'!$B$11:$C$447,2,0)</f>
        <v>#N/A</v>
      </c>
      <c r="C666" s="626" t="s">
        <v>654</v>
      </c>
      <c r="D666" s="627" t="s">
        <v>1123</v>
      </c>
      <c r="E666" s="61" t="s">
        <v>15</v>
      </c>
      <c r="F666" s="61"/>
      <c r="G666" s="655">
        <v>60000</v>
      </c>
      <c r="H666" s="635">
        <v>1159179.5249999999</v>
      </c>
      <c r="I666" s="635"/>
      <c r="J666" s="635">
        <f t="shared" si="25"/>
        <v>1219179.5249999999</v>
      </c>
      <c r="K666" s="635"/>
      <c r="L666" s="655"/>
      <c r="M666" s="655">
        <f t="shared" si="26"/>
        <v>1219179.5249999999</v>
      </c>
      <c r="N666" s="627"/>
      <c r="O666" s="636"/>
    </row>
    <row r="667" spans="1:17" s="242" customFormat="1" ht="14.25" customHeight="1">
      <c r="A667" s="624">
        <v>143</v>
      </c>
      <c r="B667" s="625" t="str">
        <f>VLOOKUP(D667,'[1]DS CN MOI UP'!$B$11:$C$447,2,0)</f>
        <v>02486</v>
      </c>
      <c r="C667" s="626" t="s">
        <v>654</v>
      </c>
      <c r="D667" s="627" t="s">
        <v>65</v>
      </c>
      <c r="E667" s="61" t="s">
        <v>15</v>
      </c>
      <c r="F667" s="61"/>
      <c r="G667" s="655">
        <v>60000</v>
      </c>
      <c r="H667" s="635">
        <v>1159179.5249999999</v>
      </c>
      <c r="I667" s="635"/>
      <c r="J667" s="635">
        <f t="shared" si="25"/>
        <v>1219179.5249999999</v>
      </c>
      <c r="K667" s="635"/>
      <c r="L667" s="655"/>
      <c r="M667" s="655">
        <f t="shared" si="26"/>
        <v>1219179.5249999999</v>
      </c>
      <c r="N667" s="627"/>
      <c r="O667" s="636"/>
    </row>
    <row r="668" spans="1:17" s="242" customFormat="1" ht="14.25" customHeight="1">
      <c r="A668" s="638">
        <v>144</v>
      </c>
      <c r="B668" s="625" t="e">
        <f>VLOOKUP(D668,'[1]DS CN MOI UP'!$B$11:$C$447,2,0)</f>
        <v>#N/A</v>
      </c>
      <c r="C668" s="626" t="s">
        <v>651</v>
      </c>
      <c r="D668" s="627" t="s">
        <v>1124</v>
      </c>
      <c r="E668" s="61" t="s">
        <v>15</v>
      </c>
      <c r="F668" s="61"/>
      <c r="G668" s="655">
        <v>60000</v>
      </c>
      <c r="H668" s="635">
        <v>1239846.615</v>
      </c>
      <c r="I668" s="635"/>
      <c r="J668" s="635">
        <f t="shared" si="25"/>
        <v>1299846.615</v>
      </c>
      <c r="K668" s="635"/>
      <c r="L668" s="655"/>
      <c r="M668" s="655">
        <f t="shared" si="26"/>
        <v>1299846.615</v>
      </c>
      <c r="N668" s="627"/>
      <c r="O668" s="636"/>
    </row>
    <row r="669" spans="1:17" s="242" customFormat="1" ht="14.25" customHeight="1">
      <c r="A669" s="638">
        <v>145</v>
      </c>
      <c r="B669" s="625" t="str">
        <f>VLOOKUP(D669,'[1]DS CN MOI UP'!$B$11:$C$447,2,0)</f>
        <v>02487</v>
      </c>
      <c r="C669" s="626" t="s">
        <v>651</v>
      </c>
      <c r="D669" s="627" t="s">
        <v>32</v>
      </c>
      <c r="E669" s="61" t="s">
        <v>15</v>
      </c>
      <c r="F669" s="61"/>
      <c r="G669" s="655">
        <v>60000</v>
      </c>
      <c r="H669" s="635">
        <v>1149145.3259999999</v>
      </c>
      <c r="I669" s="635"/>
      <c r="J669" s="635">
        <f t="shared" si="25"/>
        <v>1209145.3259999999</v>
      </c>
      <c r="K669" s="635"/>
      <c r="L669" s="655"/>
      <c r="M669" s="655">
        <f t="shared" si="26"/>
        <v>1209145.3259999999</v>
      </c>
      <c r="N669" s="627"/>
      <c r="O669" s="636"/>
    </row>
    <row r="670" spans="1:17" s="242" customFormat="1" ht="14.25" customHeight="1">
      <c r="A670" s="624">
        <v>146</v>
      </c>
      <c r="B670" s="625" t="e">
        <f>VLOOKUP(D670,'[1]DS CN MOI UP'!$B$11:$C$447,2,0)</f>
        <v>#N/A</v>
      </c>
      <c r="C670" s="626" t="s">
        <v>651</v>
      </c>
      <c r="D670" s="627" t="s">
        <v>1125</v>
      </c>
      <c r="E670" s="61" t="s">
        <v>15</v>
      </c>
      <c r="F670" s="61"/>
      <c r="G670" s="655">
        <v>60000</v>
      </c>
      <c r="H670" s="635">
        <v>1229038.53819991</v>
      </c>
      <c r="I670" s="635"/>
      <c r="J670" s="635">
        <f t="shared" si="25"/>
        <v>1289038.53819991</v>
      </c>
      <c r="K670" s="635"/>
      <c r="L670" s="655"/>
      <c r="M670" s="655">
        <f t="shared" si="26"/>
        <v>1289038.53819991</v>
      </c>
      <c r="N670" s="627"/>
      <c r="O670" s="636"/>
    </row>
    <row r="671" spans="1:17" s="242" customFormat="1" ht="14.25" customHeight="1">
      <c r="A671" s="638">
        <v>147</v>
      </c>
      <c r="B671" s="625" t="str">
        <f>VLOOKUP(D671,'[1]DS CN MOI UP'!$B$11:$C$447,2,0)</f>
        <v>02488</v>
      </c>
      <c r="C671" s="626" t="s">
        <v>1068</v>
      </c>
      <c r="D671" s="630" t="s">
        <v>35</v>
      </c>
      <c r="E671" s="630" t="s">
        <v>15</v>
      </c>
      <c r="F671" s="630"/>
      <c r="G671" s="655">
        <v>60000</v>
      </c>
      <c r="H671" s="655">
        <v>554373.09900000005</v>
      </c>
      <c r="I671" s="655">
        <v>524139.33600000001</v>
      </c>
      <c r="J671" s="635">
        <f t="shared" si="25"/>
        <v>1138512.4350000001</v>
      </c>
      <c r="K671" s="635"/>
      <c r="L671" s="635"/>
      <c r="M671" s="655">
        <f t="shared" ref="M671:M803" si="27">J671-L671</f>
        <v>1138512.4350000001</v>
      </c>
      <c r="N671" s="61"/>
      <c r="O671" s="636">
        <f>+G670-O670</f>
        <v>60000</v>
      </c>
      <c r="P671" s="636">
        <f>+H670-P670</f>
        <v>1229038.53819991</v>
      </c>
      <c r="Q671" s="636">
        <f>+I670-Q670</f>
        <v>0</v>
      </c>
    </row>
    <row r="672" spans="1:17" s="242" customFormat="1" ht="14.25" customHeight="1">
      <c r="A672" s="638">
        <v>148</v>
      </c>
      <c r="B672" s="625"/>
      <c r="C672" s="626" t="s">
        <v>648</v>
      </c>
      <c r="D672" s="627" t="s">
        <v>1126</v>
      </c>
      <c r="E672" s="61" t="s">
        <v>15</v>
      </c>
      <c r="F672" s="61"/>
      <c r="G672" s="655">
        <v>40000</v>
      </c>
      <c r="H672" s="655">
        <v>554373.09900000005</v>
      </c>
      <c r="I672" s="655">
        <v>524139.33600000001</v>
      </c>
      <c r="J672" s="635">
        <f t="shared" si="25"/>
        <v>1118512.4350000001</v>
      </c>
      <c r="K672" s="635"/>
      <c r="L672" s="655"/>
      <c r="M672" s="655">
        <f t="shared" si="27"/>
        <v>1118512.4350000001</v>
      </c>
      <c r="N672" s="627"/>
      <c r="O672" s="636"/>
    </row>
    <row r="673" spans="1:15" s="242" customFormat="1" ht="14.25" customHeight="1">
      <c r="A673" s="624">
        <v>149</v>
      </c>
      <c r="B673" s="625" t="str">
        <f>VLOOKUP(D673,'[1]DS CN MOI UP'!$B$11:$C$447,2,0)</f>
        <v>02583</v>
      </c>
      <c r="C673" s="626" t="s">
        <v>650</v>
      </c>
      <c r="D673" s="627" t="s">
        <v>581</v>
      </c>
      <c r="E673" s="61" t="s">
        <v>15</v>
      </c>
      <c r="F673" s="61"/>
      <c r="G673" s="655">
        <v>40000</v>
      </c>
      <c r="H673" s="655">
        <v>554373.09900000005</v>
      </c>
      <c r="I673" s="655">
        <v>524139.33600000001</v>
      </c>
      <c r="J673" s="635">
        <f t="shared" si="25"/>
        <v>1118512.4350000001</v>
      </c>
      <c r="K673" s="635"/>
      <c r="L673" s="655"/>
      <c r="M673" s="655">
        <f t="shared" si="27"/>
        <v>1118512.4350000001</v>
      </c>
      <c r="N673" s="627"/>
      <c r="O673" s="636"/>
    </row>
    <row r="674" spans="1:15" s="242" customFormat="1" ht="14.25" customHeight="1">
      <c r="A674" s="638">
        <v>150</v>
      </c>
      <c r="B674" s="625" t="str">
        <f>VLOOKUP(D674,'[1]DS CN MOI UP'!$B$11:$C$447,2,0)</f>
        <v>03336</v>
      </c>
      <c r="C674" s="626" t="s">
        <v>651</v>
      </c>
      <c r="D674" s="627" t="s">
        <v>81</v>
      </c>
      <c r="E674" s="61" t="s">
        <v>15</v>
      </c>
      <c r="F674" s="61"/>
      <c r="G674" s="655">
        <v>40000</v>
      </c>
      <c r="H674" s="655">
        <v>554373.09900000005</v>
      </c>
      <c r="I674" s="655">
        <v>524139.33600000001</v>
      </c>
      <c r="J674" s="635">
        <f t="shared" si="25"/>
        <v>1118512.4350000001</v>
      </c>
      <c r="K674" s="635"/>
      <c r="L674" s="655"/>
      <c r="M674" s="655">
        <f t="shared" si="27"/>
        <v>1118512.4350000001</v>
      </c>
      <c r="N674" s="627"/>
      <c r="O674" s="636"/>
    </row>
    <row r="675" spans="1:15" s="242" customFormat="1" ht="14.25" customHeight="1">
      <c r="A675" s="638">
        <v>151</v>
      </c>
      <c r="B675" s="625" t="e">
        <f>VLOOKUP(D675,'[1]DS CN MOI UP'!$B$11:$C$447,2,0)</f>
        <v>#N/A</v>
      </c>
      <c r="C675" s="626" t="s">
        <v>651</v>
      </c>
      <c r="D675" s="627" t="s">
        <v>1127</v>
      </c>
      <c r="E675" s="61" t="s">
        <v>15</v>
      </c>
      <c r="F675" s="61"/>
      <c r="G675" s="655">
        <v>40000</v>
      </c>
      <c r="H675" s="655">
        <v>635040.18900000001</v>
      </c>
      <c r="I675" s="655">
        <v>524139.33600000001</v>
      </c>
      <c r="J675" s="635">
        <f t="shared" si="25"/>
        <v>1199179.5249999999</v>
      </c>
      <c r="K675" s="635"/>
      <c r="L675" s="655"/>
      <c r="M675" s="655">
        <f t="shared" si="27"/>
        <v>1199179.5249999999</v>
      </c>
      <c r="N675" s="627"/>
      <c r="O675" s="636"/>
    </row>
    <row r="676" spans="1:15" s="242" customFormat="1" ht="14.25" customHeight="1">
      <c r="A676" s="624">
        <v>152</v>
      </c>
      <c r="B676" s="625" t="str">
        <f>VLOOKUP(D676,'[1]DS CN MOI UP'!$B$11:$C$447,2,0)</f>
        <v>02680</v>
      </c>
      <c r="C676" s="626" t="s">
        <v>651</v>
      </c>
      <c r="D676" s="627" t="s">
        <v>91</v>
      </c>
      <c r="E676" s="61" t="s">
        <v>15</v>
      </c>
      <c r="F676" s="61"/>
      <c r="G676" s="655">
        <v>40000</v>
      </c>
      <c r="H676" s="655">
        <v>544338.9</v>
      </c>
      <c r="I676" s="655">
        <v>524139.33600000001</v>
      </c>
      <c r="J676" s="635">
        <f t="shared" si="25"/>
        <v>1108478.236</v>
      </c>
      <c r="K676" s="635"/>
      <c r="L676" s="655"/>
      <c r="M676" s="655">
        <f t="shared" si="27"/>
        <v>1108478.236</v>
      </c>
      <c r="N676" s="627"/>
      <c r="O676" s="636"/>
    </row>
    <row r="677" spans="1:15" s="242" customFormat="1" ht="14.25" customHeight="1">
      <c r="A677" s="638">
        <v>153</v>
      </c>
      <c r="B677" s="625" t="e">
        <f>VLOOKUP(D677,'[1]DS CN MOI UP'!$B$11:$C$447,2,0)</f>
        <v>#N/A</v>
      </c>
      <c r="C677" s="626" t="s">
        <v>651</v>
      </c>
      <c r="D677" s="627" t="s">
        <v>1070</v>
      </c>
      <c r="E677" s="61" t="s">
        <v>15</v>
      </c>
      <c r="F677" s="61"/>
      <c r="G677" s="655">
        <v>40000</v>
      </c>
      <c r="H677" s="655">
        <v>574572.66299999994</v>
      </c>
      <c r="I677" s="655">
        <v>524139.33600000001</v>
      </c>
      <c r="J677" s="635">
        <f t="shared" si="25"/>
        <v>1138711.9989999998</v>
      </c>
      <c r="K677" s="635"/>
      <c r="L677" s="655"/>
      <c r="M677" s="655">
        <f t="shared" si="27"/>
        <v>1138711.9989999998</v>
      </c>
      <c r="N677" s="627"/>
      <c r="O677" s="636"/>
    </row>
    <row r="678" spans="1:15" s="242" customFormat="1" ht="14.25" customHeight="1">
      <c r="A678" s="638">
        <v>154</v>
      </c>
      <c r="B678" s="625" t="e">
        <f>VLOOKUP(D678,'[1]DS CN MOI UP'!$B$11:$C$447,2,0)</f>
        <v>#N/A</v>
      </c>
      <c r="C678" s="626" t="s">
        <v>651</v>
      </c>
      <c r="D678" s="627" t="s">
        <v>1128</v>
      </c>
      <c r="E678" s="61" t="s">
        <v>15</v>
      </c>
      <c r="F678" s="61"/>
      <c r="G678" s="655">
        <v>40000</v>
      </c>
      <c r="H678" s="655">
        <v>604806.42599999998</v>
      </c>
      <c r="I678" s="655">
        <v>524139.33600000001</v>
      </c>
      <c r="J678" s="635">
        <f t="shared" si="25"/>
        <v>1168945.7620000001</v>
      </c>
      <c r="K678" s="635"/>
      <c r="L678" s="655"/>
      <c r="M678" s="655">
        <f t="shared" si="27"/>
        <v>1168945.7620000001</v>
      </c>
      <c r="N678" s="627"/>
      <c r="O678" s="636"/>
    </row>
    <row r="679" spans="1:15" s="242" customFormat="1" ht="14.25" customHeight="1">
      <c r="A679" s="624">
        <v>155</v>
      </c>
      <c r="B679" s="625" t="str">
        <f>VLOOKUP(D679,'[1]DS CN MOI UP'!$B$11:$C$447,2,0)</f>
        <v>02491</v>
      </c>
      <c r="C679" s="626" t="s">
        <v>651</v>
      </c>
      <c r="D679" s="627" t="s">
        <v>62</v>
      </c>
      <c r="E679" s="61" t="s">
        <v>15</v>
      </c>
      <c r="F679" s="61"/>
      <c r="G679" s="655">
        <v>40000</v>
      </c>
      <c r="H679" s="655">
        <v>584606.86199999996</v>
      </c>
      <c r="I679" s="655">
        <v>524139.33600000001</v>
      </c>
      <c r="J679" s="635">
        <f t="shared" si="25"/>
        <v>1148746.1979999999</v>
      </c>
      <c r="K679" s="635"/>
      <c r="L679" s="655"/>
      <c r="M679" s="655">
        <f t="shared" si="27"/>
        <v>1148746.1979999999</v>
      </c>
      <c r="N679" s="627"/>
      <c r="O679" s="636"/>
    </row>
    <row r="680" spans="1:15" s="242" customFormat="1" ht="14.25" customHeight="1">
      <c r="A680" s="638">
        <v>156</v>
      </c>
      <c r="B680" s="625" t="e">
        <f>VLOOKUP(D680,'[1]DS CN MOI UP'!$B$11:$C$447,2,0)</f>
        <v>#N/A</v>
      </c>
      <c r="C680" s="626" t="s">
        <v>651</v>
      </c>
      <c r="D680" s="627" t="s">
        <v>1129</v>
      </c>
      <c r="E680" s="61" t="s">
        <v>15</v>
      </c>
      <c r="F680" s="61"/>
      <c r="G680" s="655">
        <v>40000</v>
      </c>
      <c r="H680" s="655">
        <v>635040.18900000001</v>
      </c>
      <c r="I680" s="655">
        <v>524139.33600000001</v>
      </c>
      <c r="J680" s="635">
        <f t="shared" si="25"/>
        <v>1199179.5249999999</v>
      </c>
      <c r="K680" s="635"/>
      <c r="L680" s="655"/>
      <c r="M680" s="655">
        <f t="shared" si="27"/>
        <v>1199179.5249999999</v>
      </c>
      <c r="N680" s="627"/>
      <c r="O680" s="636"/>
    </row>
    <row r="681" spans="1:15" s="242" customFormat="1" ht="14.25" customHeight="1">
      <c r="A681" s="638">
        <v>157</v>
      </c>
      <c r="B681" s="625" t="e">
        <f>VLOOKUP(D681,'[1]DS CN MOI UP'!$B$11:$C$447,2,0)</f>
        <v>#N/A</v>
      </c>
      <c r="C681" s="626" t="s">
        <v>651</v>
      </c>
      <c r="D681" s="627" t="s">
        <v>1071</v>
      </c>
      <c r="E681" s="61" t="s">
        <v>15</v>
      </c>
      <c r="F681" s="61"/>
      <c r="G681" s="655">
        <v>40000</v>
      </c>
      <c r="H681" s="655">
        <v>524139.33600000001</v>
      </c>
      <c r="I681" s="655">
        <v>524139.33600000001</v>
      </c>
      <c r="J681" s="635">
        <f t="shared" si="25"/>
        <v>1088278.672</v>
      </c>
      <c r="K681" s="635"/>
      <c r="L681" s="655"/>
      <c r="M681" s="655">
        <f t="shared" si="27"/>
        <v>1088278.672</v>
      </c>
      <c r="N681" s="627"/>
      <c r="O681" s="636"/>
    </row>
    <row r="682" spans="1:15" s="242" customFormat="1" ht="14.25" customHeight="1">
      <c r="A682" s="624">
        <v>158</v>
      </c>
      <c r="B682" s="625" t="e">
        <f>VLOOKUP(D682,'[1]DS CN MOI UP'!$B$11:$C$447,2,0)</f>
        <v>#N/A</v>
      </c>
      <c r="C682" s="626" t="s">
        <v>651</v>
      </c>
      <c r="D682" s="627" t="s">
        <v>1130</v>
      </c>
      <c r="E682" s="61" t="s">
        <v>15</v>
      </c>
      <c r="F682" s="61"/>
      <c r="G682" s="655">
        <v>40000</v>
      </c>
      <c r="H682" s="655">
        <v>635040.18900000001</v>
      </c>
      <c r="I682" s="655">
        <v>524139.33600000001</v>
      </c>
      <c r="J682" s="635">
        <f t="shared" si="25"/>
        <v>1199179.5249999999</v>
      </c>
      <c r="K682" s="635"/>
      <c r="L682" s="655"/>
      <c r="M682" s="655">
        <f t="shared" si="27"/>
        <v>1199179.5249999999</v>
      </c>
      <c r="N682" s="627"/>
      <c r="O682" s="636"/>
    </row>
    <row r="683" spans="1:15" s="242" customFormat="1" ht="14.25" customHeight="1">
      <c r="A683" s="638">
        <v>159</v>
      </c>
      <c r="B683" s="625" t="str">
        <f>VLOOKUP(D683,'[1]DS CN MOI UP'!$B$11:$C$447,2,0)</f>
        <v>02493</v>
      </c>
      <c r="C683" s="626" t="s">
        <v>651</v>
      </c>
      <c r="D683" s="627" t="s">
        <v>26</v>
      </c>
      <c r="E683" s="61" t="s">
        <v>15</v>
      </c>
      <c r="F683" s="61"/>
      <c r="G683" s="655">
        <v>40000</v>
      </c>
      <c r="H683" s="655">
        <v>635040.18900000001</v>
      </c>
      <c r="I683" s="655">
        <v>524139.33600000001</v>
      </c>
      <c r="J683" s="635">
        <f t="shared" si="25"/>
        <v>1199179.5249999999</v>
      </c>
      <c r="K683" s="635"/>
      <c r="L683" s="655"/>
      <c r="M683" s="655">
        <f t="shared" si="27"/>
        <v>1199179.5249999999</v>
      </c>
      <c r="N683" s="627"/>
      <c r="O683" s="636"/>
    </row>
    <row r="684" spans="1:15" s="242" customFormat="1" ht="14.25" customHeight="1">
      <c r="A684" s="638">
        <v>160</v>
      </c>
      <c r="B684" s="625" t="e">
        <f>VLOOKUP(D684,'[1]DS CN MOI UP'!$B$11:$C$447,2,0)</f>
        <v>#N/A</v>
      </c>
      <c r="C684" s="626" t="s">
        <v>651</v>
      </c>
      <c r="D684" s="627" t="s">
        <v>1085</v>
      </c>
      <c r="E684" s="61" t="s">
        <v>15</v>
      </c>
      <c r="F684" s="61"/>
      <c r="G684" s="655">
        <v>40000</v>
      </c>
      <c r="H684" s="655">
        <v>554373.09900000005</v>
      </c>
      <c r="I684" s="655">
        <v>524139.33600000001</v>
      </c>
      <c r="J684" s="635">
        <f t="shared" si="25"/>
        <v>1118512.4350000001</v>
      </c>
      <c r="K684" s="635"/>
      <c r="L684" s="655"/>
      <c r="M684" s="655">
        <f t="shared" si="27"/>
        <v>1118512.4350000001</v>
      </c>
      <c r="N684" s="627"/>
      <c r="O684" s="636"/>
    </row>
    <row r="685" spans="1:15" s="242" customFormat="1" ht="14.25" customHeight="1">
      <c r="A685" s="624">
        <v>161</v>
      </c>
      <c r="B685" s="625" t="e">
        <f>VLOOKUP(D685,'[1]DS CN MOI UP'!$B$11:$C$447,2,0)</f>
        <v>#N/A</v>
      </c>
      <c r="C685" s="626" t="s">
        <v>651</v>
      </c>
      <c r="D685" s="627" t="s">
        <v>1131</v>
      </c>
      <c r="E685" s="61" t="s">
        <v>15</v>
      </c>
      <c r="F685" s="61"/>
      <c r="G685" s="655">
        <v>40000</v>
      </c>
      <c r="H685" s="655">
        <v>433438.04700000002</v>
      </c>
      <c r="I685" s="655">
        <v>184104.59760000001</v>
      </c>
      <c r="J685" s="635">
        <f t="shared" si="25"/>
        <v>657542.6446</v>
      </c>
      <c r="K685" s="635"/>
      <c r="L685" s="655"/>
      <c r="M685" s="655">
        <f t="shared" si="27"/>
        <v>657542.6446</v>
      </c>
      <c r="N685" s="627"/>
      <c r="O685" s="636"/>
    </row>
    <row r="686" spans="1:15" s="242" customFormat="1" ht="14.25" customHeight="1">
      <c r="A686" s="638">
        <v>162</v>
      </c>
      <c r="B686" s="625" t="e">
        <f>VLOOKUP(D686,'[1]DS CN MOI UP'!$B$11:$C$447,2,0)</f>
        <v>#N/A</v>
      </c>
      <c r="C686" s="626" t="s">
        <v>654</v>
      </c>
      <c r="D686" s="627" t="s">
        <v>1072</v>
      </c>
      <c r="E686" s="61" t="s">
        <v>15</v>
      </c>
      <c r="F686" s="61"/>
      <c r="G686" s="655">
        <v>40000</v>
      </c>
      <c r="H686" s="655">
        <v>383004.72</v>
      </c>
      <c r="I686" s="655">
        <v>251034.90599999999</v>
      </c>
      <c r="J686" s="635">
        <f t="shared" si="25"/>
        <v>674039.62599999993</v>
      </c>
      <c r="K686" s="635"/>
      <c r="L686" s="655"/>
      <c r="M686" s="655">
        <f t="shared" si="27"/>
        <v>674039.62599999993</v>
      </c>
      <c r="N686" s="627"/>
      <c r="O686" s="636"/>
    </row>
    <row r="687" spans="1:15" s="242" customFormat="1" ht="14.25" customHeight="1">
      <c r="A687" s="638">
        <v>163</v>
      </c>
      <c r="B687" s="625" t="e">
        <f>VLOOKUP(D687,'[1]DS CN MOI UP'!$B$11:$C$447,2,0)</f>
        <v>#N/A</v>
      </c>
      <c r="C687" s="626" t="s">
        <v>654</v>
      </c>
      <c r="D687" s="627" t="s">
        <v>1132</v>
      </c>
      <c r="E687" s="61" t="s">
        <v>15</v>
      </c>
      <c r="F687" s="61"/>
      <c r="G687" s="655">
        <v>40000</v>
      </c>
      <c r="H687" s="655">
        <v>312502.995</v>
      </c>
      <c r="I687" s="655">
        <v>312502.995</v>
      </c>
      <c r="J687" s="635">
        <f t="shared" si="25"/>
        <v>665005.99</v>
      </c>
      <c r="K687" s="635"/>
      <c r="L687" s="655"/>
      <c r="M687" s="655">
        <f t="shared" si="27"/>
        <v>665005.99</v>
      </c>
      <c r="N687" s="627"/>
      <c r="O687" s="636"/>
    </row>
    <row r="688" spans="1:15" s="242" customFormat="1" ht="14.25" customHeight="1">
      <c r="A688" s="624">
        <v>164</v>
      </c>
      <c r="B688" s="625" t="str">
        <f>VLOOKUP(D688,'[1]DS CN MOI UP'!$B$11:$C$447,2,0)</f>
        <v>02495</v>
      </c>
      <c r="C688" s="626" t="s">
        <v>654</v>
      </c>
      <c r="D688" s="627" t="s">
        <v>120</v>
      </c>
      <c r="E688" s="61" t="s">
        <v>15</v>
      </c>
      <c r="F688" s="61"/>
      <c r="G688" s="655">
        <v>40000</v>
      </c>
      <c r="H688" s="655">
        <v>614840.625</v>
      </c>
      <c r="I688" s="655">
        <v>614840.625</v>
      </c>
      <c r="J688" s="635">
        <f t="shared" si="25"/>
        <v>1269681.25</v>
      </c>
      <c r="K688" s="635"/>
      <c r="L688" s="655"/>
      <c r="M688" s="655">
        <f t="shared" si="27"/>
        <v>1269681.25</v>
      </c>
      <c r="N688" s="627"/>
      <c r="O688" s="636"/>
    </row>
    <row r="689" spans="1:15" s="242" customFormat="1" ht="14.25" customHeight="1">
      <c r="A689" s="638">
        <v>165</v>
      </c>
      <c r="B689" s="625" t="e">
        <f>VLOOKUP(D689,'[1]DS CN MOI UP'!$B$11:$C$447,2,0)</f>
        <v>#N/A</v>
      </c>
      <c r="C689" s="626" t="s">
        <v>654</v>
      </c>
      <c r="D689" s="627" t="s">
        <v>1133</v>
      </c>
      <c r="E689" s="61" t="s">
        <v>15</v>
      </c>
      <c r="F689" s="61"/>
      <c r="G689" s="655">
        <v>40000</v>
      </c>
      <c r="H689" s="655">
        <v>554373.09900000005</v>
      </c>
      <c r="I689" s="655">
        <v>554373.09900000005</v>
      </c>
      <c r="J689" s="635">
        <f t="shared" si="25"/>
        <v>1148746.1980000001</v>
      </c>
      <c r="K689" s="635"/>
      <c r="L689" s="655"/>
      <c r="M689" s="655">
        <f t="shared" si="27"/>
        <v>1148746.1980000001</v>
      </c>
      <c r="N689" s="627"/>
      <c r="O689" s="636"/>
    </row>
    <row r="690" spans="1:15" s="242" customFormat="1" ht="14.25" customHeight="1">
      <c r="A690" s="638">
        <v>166</v>
      </c>
      <c r="B690" s="625" t="e">
        <f>VLOOKUP(D690,'[1]DS CN MOI UP'!$B$11:$C$447,2,0)</f>
        <v>#N/A</v>
      </c>
      <c r="C690" s="626" t="s">
        <v>654</v>
      </c>
      <c r="D690" s="627" t="s">
        <v>1134</v>
      </c>
      <c r="E690" s="61" t="s">
        <v>15</v>
      </c>
      <c r="F690" s="61"/>
      <c r="G690" s="655">
        <v>40000</v>
      </c>
      <c r="H690" s="655">
        <v>554373.09900000005</v>
      </c>
      <c r="I690" s="655">
        <v>554373.09900000005</v>
      </c>
      <c r="J690" s="635">
        <f t="shared" si="25"/>
        <v>1148746.1980000001</v>
      </c>
      <c r="K690" s="635"/>
      <c r="L690" s="655"/>
      <c r="M690" s="655">
        <f t="shared" si="27"/>
        <v>1148746.1980000001</v>
      </c>
      <c r="N690" s="627"/>
      <c r="O690" s="636"/>
    </row>
    <row r="691" spans="1:15" s="242" customFormat="1" ht="14.25" customHeight="1">
      <c r="A691" s="624">
        <v>167</v>
      </c>
      <c r="B691" s="625" t="str">
        <f>VLOOKUP(D691,'[1]DS CN MOI UP'!$B$11:$C$447,2,0)</f>
        <v>02496</v>
      </c>
      <c r="C691" s="626" t="s">
        <v>654</v>
      </c>
      <c r="D691" s="627" t="s">
        <v>98</v>
      </c>
      <c r="E691" s="61" t="s">
        <v>15</v>
      </c>
      <c r="F691" s="61"/>
      <c r="G691" s="655">
        <v>40000</v>
      </c>
      <c r="H691" s="655">
        <v>554373.09900000005</v>
      </c>
      <c r="I691" s="655">
        <v>554373.09900000005</v>
      </c>
      <c r="J691" s="635">
        <f t="shared" si="25"/>
        <v>1148746.1980000001</v>
      </c>
      <c r="K691" s="635"/>
      <c r="L691" s="655"/>
      <c r="M691" s="655">
        <f t="shared" si="27"/>
        <v>1148746.1980000001</v>
      </c>
      <c r="N691" s="627"/>
      <c r="O691" s="636"/>
    </row>
    <row r="692" spans="1:15" s="242" customFormat="1" ht="14.25" customHeight="1">
      <c r="A692" s="638">
        <v>168</v>
      </c>
      <c r="B692" s="625" t="e">
        <f>VLOOKUP(D692,'[1]DS CN MOI UP'!$B$11:$C$447,2,0)</f>
        <v>#N/A</v>
      </c>
      <c r="C692" s="626" t="s">
        <v>654</v>
      </c>
      <c r="D692" s="627" t="s">
        <v>1135</v>
      </c>
      <c r="E692" s="61" t="s">
        <v>15</v>
      </c>
      <c r="F692" s="61"/>
      <c r="G692" s="655"/>
      <c r="H692" s="655">
        <v>635040.18900000001</v>
      </c>
      <c r="I692" s="655">
        <v>635040.18900000001</v>
      </c>
      <c r="J692" s="635">
        <f t="shared" si="25"/>
        <v>1270080.378</v>
      </c>
      <c r="K692" s="635"/>
      <c r="L692" s="655"/>
      <c r="M692" s="655">
        <f t="shared" si="27"/>
        <v>1270080.378</v>
      </c>
      <c r="N692" s="627"/>
      <c r="O692" s="636"/>
    </row>
    <row r="693" spans="1:15" s="242" customFormat="1" ht="14.25" customHeight="1">
      <c r="A693" s="638">
        <v>169</v>
      </c>
      <c r="B693" s="625" t="str">
        <f>VLOOKUP(D693,'[1]DS CN MOI UP'!$B$11:$C$447,2,0)</f>
        <v>02497</v>
      </c>
      <c r="C693" s="626" t="s">
        <v>654</v>
      </c>
      <c r="D693" s="627" t="s">
        <v>102</v>
      </c>
      <c r="E693" s="61" t="s">
        <v>15</v>
      </c>
      <c r="F693" s="61"/>
      <c r="G693" s="655">
        <v>40000</v>
      </c>
      <c r="H693" s="655">
        <v>544338.9</v>
      </c>
      <c r="I693" s="655">
        <v>544338.9</v>
      </c>
      <c r="J693" s="635">
        <f t="shared" si="25"/>
        <v>1128677.8</v>
      </c>
      <c r="K693" s="635"/>
      <c r="L693" s="655"/>
      <c r="M693" s="655">
        <f t="shared" si="27"/>
        <v>1128677.8</v>
      </c>
      <c r="N693" s="627"/>
      <c r="O693" s="636"/>
    </row>
    <row r="694" spans="1:15" s="242" customFormat="1" ht="14.25" customHeight="1">
      <c r="A694" s="624">
        <v>170</v>
      </c>
      <c r="B694" s="625" t="e">
        <f>VLOOKUP(D694,'[1]DS CN MOI UP'!$B$11:$C$447,2,0)</f>
        <v>#N/A</v>
      </c>
      <c r="C694" s="626" t="s">
        <v>654</v>
      </c>
      <c r="D694" s="627" t="s">
        <v>1136</v>
      </c>
      <c r="E694" s="61" t="s">
        <v>15</v>
      </c>
      <c r="F694" s="61"/>
      <c r="G694" s="655">
        <v>40000</v>
      </c>
      <c r="H694" s="655">
        <v>574572.66299999994</v>
      </c>
      <c r="I694" s="655">
        <v>574572.66299999994</v>
      </c>
      <c r="J694" s="635">
        <f t="shared" si="25"/>
        <v>1189145.3259999999</v>
      </c>
      <c r="K694" s="635"/>
      <c r="L694" s="655"/>
      <c r="M694" s="655">
        <f t="shared" si="27"/>
        <v>1189145.3259999999</v>
      </c>
      <c r="N694" s="627"/>
      <c r="O694" s="636"/>
    </row>
    <row r="695" spans="1:15" s="242" customFormat="1" ht="14.25" customHeight="1">
      <c r="A695" s="638">
        <v>171</v>
      </c>
      <c r="B695" s="625" t="e">
        <f>VLOOKUP(D695,'[1]DS CN MOI UP'!$B$11:$C$447,2,0)</f>
        <v>#N/A</v>
      </c>
      <c r="C695" s="626" t="s">
        <v>654</v>
      </c>
      <c r="D695" s="627" t="s">
        <v>1137</v>
      </c>
      <c r="E695" s="61" t="s">
        <v>15</v>
      </c>
      <c r="F695" s="61"/>
      <c r="G695" s="655">
        <v>40000</v>
      </c>
      <c r="H695" s="655">
        <v>604806.42599999998</v>
      </c>
      <c r="I695" s="655">
        <v>604806.42599999998</v>
      </c>
      <c r="J695" s="635">
        <f t="shared" si="25"/>
        <v>1249612.852</v>
      </c>
      <c r="K695" s="635"/>
      <c r="L695" s="655"/>
      <c r="M695" s="655">
        <f t="shared" si="27"/>
        <v>1249612.852</v>
      </c>
      <c r="N695" s="627"/>
      <c r="O695" s="636"/>
    </row>
    <row r="696" spans="1:15" s="242" customFormat="1" ht="14.25" customHeight="1">
      <c r="A696" s="638">
        <v>172</v>
      </c>
      <c r="B696" s="625" t="str">
        <f>VLOOKUP(D696,'[1]DS CN MOI UP'!$B$11:$C$447,2,0)</f>
        <v>02498</v>
      </c>
      <c r="C696" s="626" t="s">
        <v>654</v>
      </c>
      <c r="D696" s="627" t="s">
        <v>68</v>
      </c>
      <c r="E696" s="61" t="s">
        <v>15</v>
      </c>
      <c r="F696" s="61"/>
      <c r="G696" s="655">
        <v>40000</v>
      </c>
      <c r="H696" s="655">
        <v>584606.86199999996</v>
      </c>
      <c r="I696" s="655">
        <v>584606.86199999996</v>
      </c>
      <c r="J696" s="635">
        <f t="shared" si="25"/>
        <v>1209213.7239999999</v>
      </c>
      <c r="K696" s="635"/>
      <c r="L696" s="655"/>
      <c r="M696" s="655">
        <f t="shared" si="27"/>
        <v>1209213.7239999999</v>
      </c>
      <c r="N696" s="627"/>
      <c r="O696" s="636"/>
    </row>
    <row r="697" spans="1:15" s="242" customFormat="1" ht="14.25" customHeight="1">
      <c r="A697" s="624">
        <v>173</v>
      </c>
      <c r="B697" s="625" t="e">
        <f>VLOOKUP(D697,'[1]DS CN MOI UP'!$B$11:$C$447,2,0)</f>
        <v>#N/A</v>
      </c>
      <c r="C697" s="626" t="s">
        <v>654</v>
      </c>
      <c r="D697" s="627" t="s">
        <v>1138</v>
      </c>
      <c r="E697" s="61" t="s">
        <v>15</v>
      </c>
      <c r="F697" s="61"/>
      <c r="G697" s="655"/>
      <c r="H697" s="655">
        <v>635040.18900000001</v>
      </c>
      <c r="I697" s="655">
        <v>635040.18900000001</v>
      </c>
      <c r="J697" s="635">
        <f t="shared" si="25"/>
        <v>1270080.378</v>
      </c>
      <c r="K697" s="635"/>
      <c r="L697" s="655"/>
      <c r="M697" s="655">
        <f t="shared" si="27"/>
        <v>1270080.378</v>
      </c>
      <c r="N697" s="627"/>
      <c r="O697" s="636"/>
    </row>
    <row r="698" spans="1:15" s="242" customFormat="1" ht="14.25" customHeight="1">
      <c r="A698" s="638">
        <v>174</v>
      </c>
      <c r="B698" s="625" t="str">
        <f>VLOOKUP(D698,'[1]DS CN MOI UP'!$B$11:$C$447,2,0)</f>
        <v>02499</v>
      </c>
      <c r="C698" s="626" t="s">
        <v>654</v>
      </c>
      <c r="D698" s="627" t="s">
        <v>80</v>
      </c>
      <c r="E698" s="61" t="s">
        <v>15</v>
      </c>
      <c r="F698" s="61"/>
      <c r="G698" s="655">
        <v>40000</v>
      </c>
      <c r="H698" s="655">
        <v>524139.33600000001</v>
      </c>
      <c r="I698" s="655">
        <v>524139.33600000001</v>
      </c>
      <c r="J698" s="635">
        <f t="shared" si="25"/>
        <v>1088278.672</v>
      </c>
      <c r="K698" s="635"/>
      <c r="L698" s="655"/>
      <c r="M698" s="655">
        <f t="shared" si="27"/>
        <v>1088278.672</v>
      </c>
      <c r="N698" s="627"/>
      <c r="O698" s="636"/>
    </row>
    <row r="699" spans="1:15" s="242" customFormat="1" ht="14.25" customHeight="1">
      <c r="A699" s="638">
        <v>175</v>
      </c>
      <c r="B699" s="625" t="e">
        <f>VLOOKUP(D699,'[1]DS CN MOI UP'!$B$11:$C$447,2,0)</f>
        <v>#N/A</v>
      </c>
      <c r="C699" s="626" t="s">
        <v>654</v>
      </c>
      <c r="D699" s="627" t="s">
        <v>1139</v>
      </c>
      <c r="E699" s="61" t="s">
        <v>15</v>
      </c>
      <c r="F699" s="61"/>
      <c r="G699" s="655">
        <v>40000</v>
      </c>
      <c r="H699" s="655">
        <v>554373.09900000005</v>
      </c>
      <c r="I699" s="655">
        <v>554373.09900000005</v>
      </c>
      <c r="J699" s="635">
        <f t="shared" si="25"/>
        <v>1148746.1980000001</v>
      </c>
      <c r="K699" s="635"/>
      <c r="L699" s="655"/>
      <c r="M699" s="655">
        <f t="shared" si="27"/>
        <v>1148746.1980000001</v>
      </c>
      <c r="N699" s="627"/>
      <c r="O699" s="636"/>
    </row>
    <row r="700" spans="1:15" s="242" customFormat="1" ht="14.25" customHeight="1">
      <c r="A700" s="624">
        <v>176</v>
      </c>
      <c r="B700" s="625" t="str">
        <f>VLOOKUP(D700,'[1]DS CN MOI UP'!$B$11:$C$447,2,0)</f>
        <v>02500</v>
      </c>
      <c r="C700" s="626" t="s">
        <v>654</v>
      </c>
      <c r="D700" s="627" t="s">
        <v>59</v>
      </c>
      <c r="E700" s="61" t="s">
        <v>15</v>
      </c>
      <c r="F700" s="61"/>
      <c r="G700" s="655">
        <v>40000</v>
      </c>
      <c r="H700" s="655">
        <v>554373.09900000005</v>
      </c>
      <c r="I700" s="655">
        <v>265581.23460003</v>
      </c>
      <c r="J700" s="635">
        <f t="shared" si="25"/>
        <v>859954.33360003005</v>
      </c>
      <c r="K700" s="635"/>
      <c r="L700" s="655"/>
      <c r="M700" s="655">
        <f t="shared" si="27"/>
        <v>859954.33360003005</v>
      </c>
      <c r="N700" s="627"/>
      <c r="O700" s="636"/>
    </row>
    <row r="701" spans="1:15" s="242" customFormat="1" ht="14.25" customHeight="1">
      <c r="A701" s="638">
        <v>177</v>
      </c>
      <c r="B701" s="625" t="str">
        <f>VLOOKUP(D701,'[1]DS CN MOI UP'!$B$11:$C$447,2,0)</f>
        <v>03387</v>
      </c>
      <c r="C701" s="626" t="s">
        <v>654</v>
      </c>
      <c r="D701" s="627" t="s">
        <v>235</v>
      </c>
      <c r="E701" s="61" t="s">
        <v>15</v>
      </c>
      <c r="F701" s="61"/>
      <c r="G701" s="655">
        <v>40000</v>
      </c>
      <c r="H701" s="635">
        <v>614840.625</v>
      </c>
      <c r="I701" s="635">
        <v>118678.99679999999</v>
      </c>
      <c r="J701" s="635">
        <f t="shared" si="25"/>
        <v>773519.62179999996</v>
      </c>
      <c r="K701" s="635"/>
      <c r="L701" s="655"/>
      <c r="M701" s="655">
        <f t="shared" si="27"/>
        <v>773519.62179999996</v>
      </c>
      <c r="N701" s="627"/>
      <c r="O701" s="636"/>
    </row>
    <row r="702" spans="1:15" s="242" customFormat="1" ht="14.25" customHeight="1">
      <c r="A702" s="638">
        <v>178</v>
      </c>
      <c r="B702" s="625" t="e">
        <f>VLOOKUP(D702,'[1]DS CN MOI UP'!$B$11:$C$447,2,0)</f>
        <v>#N/A</v>
      </c>
      <c r="C702" s="626" t="s">
        <v>654</v>
      </c>
      <c r="D702" s="627" t="s">
        <v>1140</v>
      </c>
      <c r="E702" s="61" t="s">
        <v>15</v>
      </c>
      <c r="F702" s="61"/>
      <c r="G702" s="655">
        <v>40000</v>
      </c>
      <c r="H702" s="635">
        <v>554373.09900000005</v>
      </c>
      <c r="I702" s="635">
        <v>107985.26639999999</v>
      </c>
      <c r="J702" s="635">
        <f t="shared" si="25"/>
        <v>702358.36540000001</v>
      </c>
      <c r="K702" s="635"/>
      <c r="L702" s="655"/>
      <c r="M702" s="655">
        <f t="shared" si="27"/>
        <v>702358.36540000001</v>
      </c>
      <c r="N702" s="627"/>
      <c r="O702" s="636"/>
    </row>
    <row r="703" spans="1:15" s="242" customFormat="1" ht="14.25" customHeight="1">
      <c r="A703" s="624">
        <v>179</v>
      </c>
      <c r="B703" s="625" t="e">
        <f>VLOOKUP(D703,'[1]DS CN MOI UP'!$B$11:$C$447,2,0)</f>
        <v>#N/A</v>
      </c>
      <c r="C703" s="626" t="s">
        <v>654</v>
      </c>
      <c r="D703" s="627" t="s">
        <v>1141</v>
      </c>
      <c r="E703" s="61" t="s">
        <v>15</v>
      </c>
      <c r="F703" s="61"/>
      <c r="G703" s="655">
        <v>40000</v>
      </c>
      <c r="H703" s="635">
        <v>554373.09900000005</v>
      </c>
      <c r="I703" s="635">
        <v>106506.792</v>
      </c>
      <c r="J703" s="635">
        <f t="shared" si="25"/>
        <v>700879.89100000006</v>
      </c>
      <c r="K703" s="635"/>
      <c r="L703" s="655"/>
      <c r="M703" s="655">
        <f t="shared" si="27"/>
        <v>700879.89100000006</v>
      </c>
      <c r="N703" s="627"/>
      <c r="O703" s="636"/>
    </row>
    <row r="704" spans="1:15" s="242" customFormat="1" ht="14.25" customHeight="1">
      <c r="A704" s="638">
        <v>180</v>
      </c>
      <c r="B704" s="625" t="e">
        <f>VLOOKUP(D704,'[1]DS CN MOI UP'!$B$11:$C$447,2,0)</f>
        <v>#N/A</v>
      </c>
      <c r="C704" s="626" t="s">
        <v>654</v>
      </c>
      <c r="D704" s="627" t="s">
        <v>1073</v>
      </c>
      <c r="E704" s="61" t="s">
        <v>15</v>
      </c>
      <c r="F704" s="61"/>
      <c r="G704" s="655">
        <v>40000</v>
      </c>
      <c r="H704" s="635">
        <v>554373.09900000005</v>
      </c>
      <c r="I704" s="635">
        <v>75304.754400000005</v>
      </c>
      <c r="J704" s="635">
        <f t="shared" si="25"/>
        <v>669677.85340000002</v>
      </c>
      <c r="K704" s="635"/>
      <c r="L704" s="655"/>
      <c r="M704" s="655">
        <f t="shared" si="27"/>
        <v>669677.85340000002</v>
      </c>
      <c r="N704" s="627"/>
      <c r="O704" s="636"/>
    </row>
    <row r="705" spans="1:15" s="242" customFormat="1" ht="14.25" customHeight="1">
      <c r="A705" s="638">
        <v>181</v>
      </c>
      <c r="B705" s="625" t="e">
        <f>VLOOKUP(D705,'[1]DS CN MOI UP'!$B$11:$C$447,2,0)</f>
        <v>#N/A</v>
      </c>
      <c r="C705" s="626" t="s">
        <v>654</v>
      </c>
      <c r="D705" s="627" t="s">
        <v>1142</v>
      </c>
      <c r="E705" s="61" t="s">
        <v>15</v>
      </c>
      <c r="F705" s="61"/>
      <c r="G705" s="655">
        <v>40000</v>
      </c>
      <c r="H705" s="635">
        <v>635040.18900000001</v>
      </c>
      <c r="I705" s="635">
        <v>150609.50880000001</v>
      </c>
      <c r="J705" s="635">
        <f t="shared" si="25"/>
        <v>825649.69779999997</v>
      </c>
      <c r="K705" s="635"/>
      <c r="L705" s="655"/>
      <c r="M705" s="655">
        <f t="shared" si="27"/>
        <v>825649.69779999997</v>
      </c>
      <c r="N705" s="627"/>
      <c r="O705" s="636"/>
    </row>
    <row r="706" spans="1:15" s="242" customFormat="1" ht="14.25" customHeight="1">
      <c r="A706" s="624">
        <v>182</v>
      </c>
      <c r="B706" s="625" t="str">
        <f>VLOOKUP(D706,'[1]DS CN MOI UP'!$B$11:$C$447,2,0)</f>
        <v>02503</v>
      </c>
      <c r="C706" s="626" t="s">
        <v>654</v>
      </c>
      <c r="D706" s="627" t="s">
        <v>93</v>
      </c>
      <c r="E706" s="61" t="s">
        <v>15</v>
      </c>
      <c r="F706" s="61"/>
      <c r="G706" s="655">
        <v>40000</v>
      </c>
      <c r="H706" s="635">
        <v>544338.9</v>
      </c>
      <c r="I706" s="635">
        <v>146532.6</v>
      </c>
      <c r="J706" s="635">
        <f t="shared" si="25"/>
        <v>730871.5</v>
      </c>
      <c r="K706" s="635"/>
      <c r="L706" s="655"/>
      <c r="M706" s="655">
        <f t="shared" si="27"/>
        <v>730871.5</v>
      </c>
      <c r="N706" s="627"/>
      <c r="O706" s="636"/>
    </row>
    <row r="707" spans="1:15" s="242" customFormat="1" ht="14.25" customHeight="1">
      <c r="A707" s="638">
        <v>183</v>
      </c>
      <c r="B707" s="625" t="e">
        <f>VLOOKUP(D707,'[1]DS CN MOI UP'!$B$11:$C$447,2,0)</f>
        <v>#N/A</v>
      </c>
      <c r="C707" s="626" t="s">
        <v>654</v>
      </c>
      <c r="D707" s="627" t="s">
        <v>1143</v>
      </c>
      <c r="E707" s="61" t="s">
        <v>15</v>
      </c>
      <c r="F707" s="61"/>
      <c r="G707" s="655">
        <v>40000</v>
      </c>
      <c r="H707" s="635">
        <v>574572.66299999994</v>
      </c>
      <c r="I707" s="635">
        <v>107519.124</v>
      </c>
      <c r="J707" s="635">
        <f t="shared" si="25"/>
        <v>722091.78699999989</v>
      </c>
      <c r="K707" s="635"/>
      <c r="L707" s="655"/>
      <c r="M707" s="655">
        <f t="shared" si="27"/>
        <v>722091.78699999989</v>
      </c>
      <c r="N707" s="627"/>
      <c r="O707" s="636"/>
    </row>
    <row r="708" spans="1:15" s="242" customFormat="1" ht="14.25" customHeight="1">
      <c r="A708" s="638">
        <v>184</v>
      </c>
      <c r="B708" s="625" t="str">
        <f>VLOOKUP(D708,'[1]DS CN MOI UP'!$B$11:$C$447,2,0)</f>
        <v>02504</v>
      </c>
      <c r="C708" s="626" t="s">
        <v>654</v>
      </c>
      <c r="D708" s="627" t="s">
        <v>77</v>
      </c>
      <c r="E708" s="61" t="s">
        <v>15</v>
      </c>
      <c r="F708" s="61"/>
      <c r="G708" s="655">
        <v>40000</v>
      </c>
      <c r="H708" s="635">
        <v>604806.42599999998</v>
      </c>
      <c r="I708" s="635">
        <v>109019.124</v>
      </c>
      <c r="J708" s="635">
        <f t="shared" si="25"/>
        <v>753825.54999999993</v>
      </c>
      <c r="K708" s="635"/>
      <c r="L708" s="655"/>
      <c r="M708" s="655">
        <f t="shared" si="27"/>
        <v>753825.54999999993</v>
      </c>
      <c r="N708" s="627"/>
      <c r="O708" s="636"/>
    </row>
    <row r="709" spans="1:15" s="242" customFormat="1" ht="14.25" customHeight="1">
      <c r="A709" s="624">
        <v>185</v>
      </c>
      <c r="B709" s="625" t="e">
        <f>VLOOKUP(D709,'[1]DS CN MOI UP'!$B$11:$C$447,2,0)</f>
        <v>#N/A</v>
      </c>
      <c r="C709" s="626" t="s">
        <v>654</v>
      </c>
      <c r="D709" s="627" t="s">
        <v>1144</v>
      </c>
      <c r="E709" s="61" t="s">
        <v>15</v>
      </c>
      <c r="F709" s="61"/>
      <c r="G709" s="655">
        <v>40000</v>
      </c>
      <c r="H709" s="635">
        <v>584606.86199999996</v>
      </c>
      <c r="I709" s="635">
        <v>229728.84</v>
      </c>
      <c r="J709" s="635">
        <f t="shared" si="25"/>
        <v>854335.70199999993</v>
      </c>
      <c r="K709" s="635"/>
      <c r="L709" s="655"/>
      <c r="M709" s="655">
        <f t="shared" si="27"/>
        <v>854335.70199999993</v>
      </c>
      <c r="N709" s="627"/>
      <c r="O709" s="636"/>
    </row>
    <row r="710" spans="1:15" s="242" customFormat="1" ht="14.25" customHeight="1">
      <c r="A710" s="638">
        <v>186</v>
      </c>
      <c r="B710" s="625" t="str">
        <f>VLOOKUP(D710,'[1]DS CN MOI UP'!$B$11:$C$447,2,0)</f>
        <v>02505</v>
      </c>
      <c r="C710" s="626" t="s">
        <v>654</v>
      </c>
      <c r="D710" s="627" t="s">
        <v>117</v>
      </c>
      <c r="E710" s="61" t="s">
        <v>15</v>
      </c>
      <c r="F710" s="61"/>
      <c r="G710" s="655">
        <v>40000</v>
      </c>
      <c r="H710" s="635">
        <v>635040.18900000001</v>
      </c>
      <c r="I710" s="635">
        <v>193212.22560000001</v>
      </c>
      <c r="J710" s="635">
        <f t="shared" si="25"/>
        <v>868252.41460000002</v>
      </c>
      <c r="K710" s="635"/>
      <c r="L710" s="655"/>
      <c r="M710" s="655">
        <f t="shared" si="27"/>
        <v>868252.41460000002</v>
      </c>
      <c r="N710" s="627"/>
      <c r="O710" s="636"/>
    </row>
    <row r="711" spans="1:15" s="242" customFormat="1" ht="14.25" customHeight="1">
      <c r="A711" s="638">
        <v>187</v>
      </c>
      <c r="B711" s="625" t="e">
        <f>VLOOKUP(D711,'[1]DS CN MOI UP'!$B$11:$C$447,2,0)</f>
        <v>#N/A</v>
      </c>
      <c r="C711" s="626" t="s">
        <v>654</v>
      </c>
      <c r="D711" s="627" t="s">
        <v>1145</v>
      </c>
      <c r="E711" s="61" t="s">
        <v>15</v>
      </c>
      <c r="F711" s="61"/>
      <c r="G711" s="655">
        <v>40000</v>
      </c>
      <c r="H711" s="635">
        <v>524139.33600000001</v>
      </c>
      <c r="I711" s="635">
        <v>524139.33600000001</v>
      </c>
      <c r="J711" s="635">
        <f t="shared" si="25"/>
        <v>1088278.672</v>
      </c>
      <c r="K711" s="635"/>
      <c r="L711" s="655"/>
      <c r="M711" s="655">
        <f t="shared" si="27"/>
        <v>1088278.672</v>
      </c>
      <c r="N711" s="627"/>
      <c r="O711" s="636"/>
    </row>
    <row r="712" spans="1:15" s="242" customFormat="1" ht="14.25" customHeight="1">
      <c r="A712" s="624">
        <v>188</v>
      </c>
      <c r="B712" s="625" t="str">
        <f>VLOOKUP(D712,'[1]DS CN MOI UP'!$B$11:$C$447,2,0)</f>
        <v>02506</v>
      </c>
      <c r="C712" s="626" t="s">
        <v>654</v>
      </c>
      <c r="D712" s="627" t="s">
        <v>49</v>
      </c>
      <c r="E712" s="61" t="s">
        <v>15</v>
      </c>
      <c r="F712" s="61"/>
      <c r="G712" s="655">
        <v>40000</v>
      </c>
      <c r="H712" s="635">
        <v>635040.18900000001</v>
      </c>
      <c r="I712" s="635">
        <v>524139.33600000001</v>
      </c>
      <c r="J712" s="635">
        <f t="shared" si="25"/>
        <v>1199179.5249999999</v>
      </c>
      <c r="K712" s="635"/>
      <c r="L712" s="655"/>
      <c r="M712" s="655">
        <f t="shared" si="27"/>
        <v>1199179.5249999999</v>
      </c>
      <c r="N712" s="627"/>
      <c r="O712" s="636"/>
    </row>
    <row r="713" spans="1:15" s="242" customFormat="1" ht="14.25" customHeight="1">
      <c r="A713" s="638">
        <v>189</v>
      </c>
      <c r="B713" s="625" t="e">
        <f>VLOOKUP(D713,'[1]DS CN MOI UP'!$B$11:$C$447,2,0)</f>
        <v>#N/A</v>
      </c>
      <c r="C713" s="626" t="s">
        <v>654</v>
      </c>
      <c r="D713" s="627" t="s">
        <v>1146</v>
      </c>
      <c r="E713" s="61" t="s">
        <v>15</v>
      </c>
      <c r="F713" s="61"/>
      <c r="G713" s="655">
        <v>40000</v>
      </c>
      <c r="H713" s="635">
        <v>635040.18900000001</v>
      </c>
      <c r="I713" s="635">
        <v>524139.33600000001</v>
      </c>
      <c r="J713" s="635">
        <f t="shared" si="25"/>
        <v>1199179.5249999999</v>
      </c>
      <c r="K713" s="635"/>
      <c r="L713" s="655"/>
      <c r="M713" s="655">
        <f t="shared" si="27"/>
        <v>1199179.5249999999</v>
      </c>
      <c r="N713" s="627"/>
      <c r="O713" s="636"/>
    </row>
    <row r="714" spans="1:15" s="242" customFormat="1" ht="14.25" customHeight="1">
      <c r="A714" s="638">
        <v>190</v>
      </c>
      <c r="B714" s="625"/>
      <c r="C714" s="626" t="s">
        <v>648</v>
      </c>
      <c r="D714" s="627" t="s">
        <v>1147</v>
      </c>
      <c r="E714" s="61" t="s">
        <v>15</v>
      </c>
      <c r="F714" s="61"/>
      <c r="G714" s="655">
        <v>40000</v>
      </c>
      <c r="H714" s="635">
        <v>554373.09900000005</v>
      </c>
      <c r="I714" s="635">
        <v>524139.33600000001</v>
      </c>
      <c r="J714" s="635">
        <f t="shared" si="25"/>
        <v>1118512.4350000001</v>
      </c>
      <c r="K714" s="635"/>
      <c r="L714" s="655"/>
      <c r="M714" s="655">
        <f t="shared" si="27"/>
        <v>1118512.4350000001</v>
      </c>
      <c r="N714" s="627"/>
      <c r="O714" s="636"/>
    </row>
    <row r="715" spans="1:15" s="242" customFormat="1" ht="14.25" customHeight="1">
      <c r="A715" s="624">
        <v>191</v>
      </c>
      <c r="B715" s="625" t="str">
        <f>VLOOKUP(D715,'[1]DS CN MOI UP'!$B$11:$C$447,2,0)</f>
        <v>02507</v>
      </c>
      <c r="C715" s="626" t="s">
        <v>650</v>
      </c>
      <c r="D715" s="627" t="s">
        <v>50</v>
      </c>
      <c r="E715" s="61" t="s">
        <v>15</v>
      </c>
      <c r="F715" s="61"/>
      <c r="G715" s="655">
        <v>40000</v>
      </c>
      <c r="H715" s="635">
        <v>635040.18900000001</v>
      </c>
      <c r="I715" s="635">
        <v>524139.33600000001</v>
      </c>
      <c r="J715" s="635">
        <f t="shared" si="25"/>
        <v>1199179.5249999999</v>
      </c>
      <c r="K715" s="635"/>
      <c r="L715" s="655"/>
      <c r="M715" s="655">
        <f t="shared" si="27"/>
        <v>1199179.5249999999</v>
      </c>
      <c r="N715" s="627"/>
      <c r="O715" s="636"/>
    </row>
    <row r="716" spans="1:15" s="242" customFormat="1" ht="14.25" customHeight="1">
      <c r="A716" s="638">
        <v>192</v>
      </c>
      <c r="B716" s="625" t="e">
        <f>VLOOKUP(D716,'[1]DS CN MOI UP'!$B$11:$C$447,2,0)</f>
        <v>#N/A</v>
      </c>
      <c r="C716" s="626" t="s">
        <v>651</v>
      </c>
      <c r="D716" s="627" t="s">
        <v>1148</v>
      </c>
      <c r="E716" s="61" t="s">
        <v>15</v>
      </c>
      <c r="F716" s="61"/>
      <c r="G716" s="655">
        <v>40000</v>
      </c>
      <c r="H716" s="635">
        <v>635040.18900000001</v>
      </c>
      <c r="I716" s="635">
        <v>524139.33600000001</v>
      </c>
      <c r="J716" s="635">
        <f t="shared" si="25"/>
        <v>1199179.5249999999</v>
      </c>
      <c r="K716" s="635"/>
      <c r="L716" s="655"/>
      <c r="M716" s="655">
        <f t="shared" si="27"/>
        <v>1199179.5249999999</v>
      </c>
      <c r="N716" s="627"/>
      <c r="O716" s="636"/>
    </row>
    <row r="717" spans="1:15" s="242" customFormat="1" ht="14.25" customHeight="1">
      <c r="A717" s="638">
        <v>193</v>
      </c>
      <c r="B717" s="625" t="e">
        <f>VLOOKUP(D717,'[1]DS CN MOI UP'!$B$11:$C$447,2,0)</f>
        <v>#N/A</v>
      </c>
      <c r="C717" s="626" t="s">
        <v>651</v>
      </c>
      <c r="D717" s="627" t="s">
        <v>1149</v>
      </c>
      <c r="E717" s="61" t="s">
        <v>15</v>
      </c>
      <c r="F717" s="61"/>
      <c r="G717" s="655">
        <v>40000</v>
      </c>
      <c r="H717" s="635">
        <v>635040.18900000001</v>
      </c>
      <c r="I717" s="635">
        <v>524139.33600000001</v>
      </c>
      <c r="J717" s="635">
        <f t="shared" si="25"/>
        <v>1199179.5249999999</v>
      </c>
      <c r="K717" s="635"/>
      <c r="L717" s="655"/>
      <c r="M717" s="655">
        <f t="shared" si="27"/>
        <v>1199179.5249999999</v>
      </c>
      <c r="N717" s="627"/>
      <c r="O717" s="636"/>
    </row>
    <row r="718" spans="1:15" s="242" customFormat="1" ht="14.25" customHeight="1">
      <c r="A718" s="624">
        <v>194</v>
      </c>
      <c r="B718" s="625" t="str">
        <f>VLOOKUP(D718,'[1]DS CN MOI UP'!$B$11:$C$447,2,0)</f>
        <v>02508</v>
      </c>
      <c r="C718" s="626" t="s">
        <v>651</v>
      </c>
      <c r="D718" s="627" t="s">
        <v>23</v>
      </c>
      <c r="E718" s="61" t="s">
        <v>15</v>
      </c>
      <c r="F718" s="61"/>
      <c r="G718" s="655">
        <v>40000</v>
      </c>
      <c r="H718" s="635">
        <v>614840.625</v>
      </c>
      <c r="I718" s="635">
        <v>614840.625</v>
      </c>
      <c r="J718" s="635">
        <f t="shared" si="25"/>
        <v>1269681.25</v>
      </c>
      <c r="K718" s="635"/>
      <c r="L718" s="655"/>
      <c r="M718" s="655">
        <f t="shared" si="27"/>
        <v>1269681.25</v>
      </c>
      <c r="N718" s="627"/>
      <c r="O718" s="636"/>
    </row>
    <row r="719" spans="1:15" s="242" customFormat="1" ht="14.25" customHeight="1">
      <c r="A719" s="638">
        <v>195</v>
      </c>
      <c r="B719" s="625" t="e">
        <f>VLOOKUP(D719,'[1]DS CN MOI UP'!$B$11:$C$447,2,0)</f>
        <v>#N/A</v>
      </c>
      <c r="C719" s="626" t="s">
        <v>651</v>
      </c>
      <c r="D719" s="627" t="s">
        <v>1150</v>
      </c>
      <c r="E719" s="61" t="s">
        <v>15</v>
      </c>
      <c r="F719" s="61"/>
      <c r="G719" s="655">
        <v>40000</v>
      </c>
      <c r="H719" s="635">
        <v>554373.09900000005</v>
      </c>
      <c r="I719" s="635">
        <v>554373.09900000005</v>
      </c>
      <c r="J719" s="635">
        <f t="shared" si="25"/>
        <v>1148746.1980000001</v>
      </c>
      <c r="K719" s="635"/>
      <c r="L719" s="655"/>
      <c r="M719" s="655">
        <f t="shared" si="27"/>
        <v>1148746.1980000001</v>
      </c>
      <c r="N719" s="627"/>
      <c r="O719" s="636"/>
    </row>
    <row r="720" spans="1:15" s="242" customFormat="1" ht="14.25" customHeight="1">
      <c r="A720" s="638">
        <v>196</v>
      </c>
      <c r="B720" s="625" t="e">
        <f>VLOOKUP(D720,'[1]DS CN MOI UP'!$B$11:$C$447,2,0)</f>
        <v>#N/A</v>
      </c>
      <c r="C720" s="626" t="s">
        <v>651</v>
      </c>
      <c r="D720" s="627" t="s">
        <v>1151</v>
      </c>
      <c r="E720" s="61" t="s">
        <v>15</v>
      </c>
      <c r="F720" s="61"/>
      <c r="G720" s="655">
        <v>40000</v>
      </c>
      <c r="H720" s="635">
        <v>554373.09900000005</v>
      </c>
      <c r="I720" s="635">
        <v>554373.09900000005</v>
      </c>
      <c r="J720" s="635">
        <f t="shared" si="25"/>
        <v>1148746.1980000001</v>
      </c>
      <c r="K720" s="635"/>
      <c r="L720" s="655"/>
      <c r="M720" s="655">
        <f t="shared" si="27"/>
        <v>1148746.1980000001</v>
      </c>
      <c r="N720" s="627"/>
      <c r="O720" s="636"/>
    </row>
    <row r="721" spans="1:15" s="242" customFormat="1" ht="14.25" customHeight="1">
      <c r="A721" s="624">
        <v>197</v>
      </c>
      <c r="B721" s="625" t="str">
        <f>VLOOKUP(D721,'[1]DS CN MOI UP'!$B$11:$C$447,2,0)</f>
        <v>02510</v>
      </c>
      <c r="C721" s="626" t="s">
        <v>651</v>
      </c>
      <c r="D721" s="627" t="s">
        <v>43</v>
      </c>
      <c r="E721" s="61" t="s">
        <v>15</v>
      </c>
      <c r="F721" s="61"/>
      <c r="G721" s="655">
        <v>40000</v>
      </c>
      <c r="H721" s="635">
        <v>554373.09900000005</v>
      </c>
      <c r="I721" s="635">
        <v>554373.09900000005</v>
      </c>
      <c r="J721" s="635">
        <f t="shared" si="25"/>
        <v>1148746.1980000001</v>
      </c>
      <c r="K721" s="635"/>
      <c r="L721" s="655"/>
      <c r="M721" s="655">
        <f t="shared" si="27"/>
        <v>1148746.1980000001</v>
      </c>
      <c r="N721" s="627"/>
      <c r="O721" s="636"/>
    </row>
    <row r="722" spans="1:15" s="242" customFormat="1" ht="14.25" customHeight="1">
      <c r="A722" s="638">
        <v>198</v>
      </c>
      <c r="B722" s="625" t="e">
        <f>VLOOKUP(D722,'[1]DS CN MOI UP'!$B$11:$C$447,2,0)</f>
        <v>#N/A</v>
      </c>
      <c r="C722" s="626" t="s">
        <v>651</v>
      </c>
      <c r="D722" s="627" t="s">
        <v>1152</v>
      </c>
      <c r="E722" s="61" t="s">
        <v>15</v>
      </c>
      <c r="F722" s="61"/>
      <c r="G722" s="655"/>
      <c r="H722" s="635">
        <v>635040.18900000001</v>
      </c>
      <c r="I722" s="635">
        <v>635040.18900000001</v>
      </c>
      <c r="J722" s="635">
        <f t="shared" si="25"/>
        <v>1270080.378</v>
      </c>
      <c r="K722" s="635"/>
      <c r="L722" s="655"/>
      <c r="M722" s="655">
        <f t="shared" si="27"/>
        <v>1270080.378</v>
      </c>
      <c r="N722" s="627"/>
      <c r="O722" s="636"/>
    </row>
    <row r="723" spans="1:15" s="242" customFormat="1" ht="14.25" customHeight="1">
      <c r="A723" s="638">
        <v>199</v>
      </c>
      <c r="B723" s="625" t="str">
        <f>VLOOKUP(D723,'[1]DS CN MOI UP'!$B$11:$C$447,2,0)</f>
        <v>02511</v>
      </c>
      <c r="C723" s="626" t="s">
        <v>651</v>
      </c>
      <c r="D723" s="627" t="s">
        <v>488</v>
      </c>
      <c r="E723" s="61" t="s">
        <v>15</v>
      </c>
      <c r="F723" s="61"/>
      <c r="G723" s="655">
        <v>40000</v>
      </c>
      <c r="H723" s="635">
        <v>544338.9</v>
      </c>
      <c r="I723" s="635">
        <v>544338.9</v>
      </c>
      <c r="J723" s="635">
        <f t="shared" si="25"/>
        <v>1128677.8</v>
      </c>
      <c r="K723" s="635"/>
      <c r="L723" s="655"/>
      <c r="M723" s="655">
        <f t="shared" si="27"/>
        <v>1128677.8</v>
      </c>
      <c r="N723" s="627"/>
      <c r="O723" s="636"/>
    </row>
    <row r="724" spans="1:15" s="242" customFormat="1" ht="14.25" customHeight="1">
      <c r="A724" s="624">
        <v>200</v>
      </c>
      <c r="B724" s="625" t="e">
        <f>VLOOKUP(D724,'[1]DS CN MOI UP'!$B$11:$C$447,2,0)</f>
        <v>#N/A</v>
      </c>
      <c r="C724" s="626" t="s">
        <v>651</v>
      </c>
      <c r="D724" s="627" t="s">
        <v>1153</v>
      </c>
      <c r="E724" s="61" t="s">
        <v>15</v>
      </c>
      <c r="F724" s="61"/>
      <c r="G724" s="655">
        <v>40000</v>
      </c>
      <c r="H724" s="635">
        <v>574572.66299999994</v>
      </c>
      <c r="I724" s="635">
        <v>574572.66299999994</v>
      </c>
      <c r="J724" s="635">
        <f t="shared" si="25"/>
        <v>1189145.3259999999</v>
      </c>
      <c r="K724" s="635"/>
      <c r="L724" s="655"/>
      <c r="M724" s="655">
        <f t="shared" si="27"/>
        <v>1189145.3259999999</v>
      </c>
      <c r="N724" s="627"/>
      <c r="O724" s="636"/>
    </row>
    <row r="725" spans="1:15" s="242" customFormat="1" ht="14.25" customHeight="1">
      <c r="A725" s="638">
        <v>201</v>
      </c>
      <c r="B725" s="625" t="e">
        <f>VLOOKUP(D725,'[1]DS CN MOI UP'!$B$11:$C$447,2,0)</f>
        <v>#N/A</v>
      </c>
      <c r="C725" s="626" t="s">
        <v>651</v>
      </c>
      <c r="D725" s="627" t="s">
        <v>1154</v>
      </c>
      <c r="E725" s="61" t="s">
        <v>15</v>
      </c>
      <c r="F725" s="61"/>
      <c r="G725" s="655">
        <v>40000</v>
      </c>
      <c r="H725" s="635">
        <v>604806.42599999998</v>
      </c>
      <c r="I725" s="635">
        <v>604806.42599999998</v>
      </c>
      <c r="J725" s="635">
        <f t="shared" si="25"/>
        <v>1249612.852</v>
      </c>
      <c r="K725" s="635"/>
      <c r="L725" s="655"/>
      <c r="M725" s="655">
        <f t="shared" si="27"/>
        <v>1249612.852</v>
      </c>
      <c r="N725" s="627"/>
      <c r="O725" s="636"/>
    </row>
    <row r="726" spans="1:15" s="242" customFormat="1" ht="14.25" customHeight="1">
      <c r="A726" s="638">
        <v>202</v>
      </c>
      <c r="B726" s="625" t="str">
        <f>VLOOKUP(D726,'[1]DS CN MOI UP'!$B$11:$C$447,2,0)</f>
        <v>02512</v>
      </c>
      <c r="C726" s="626" t="s">
        <v>651</v>
      </c>
      <c r="D726" s="627" t="s">
        <v>54</v>
      </c>
      <c r="E726" s="61" t="s">
        <v>15</v>
      </c>
      <c r="F726" s="61"/>
      <c r="G726" s="655">
        <v>40000</v>
      </c>
      <c r="H726" s="635">
        <v>584606.86199999996</v>
      </c>
      <c r="I726" s="635">
        <v>584606.86199999996</v>
      </c>
      <c r="J726" s="635">
        <f t="shared" si="25"/>
        <v>1209213.7239999999</v>
      </c>
      <c r="K726" s="635"/>
      <c r="L726" s="655"/>
      <c r="M726" s="655">
        <f t="shared" si="27"/>
        <v>1209213.7239999999</v>
      </c>
      <c r="N726" s="627"/>
      <c r="O726" s="636"/>
    </row>
    <row r="727" spans="1:15" s="242" customFormat="1" ht="14.25" customHeight="1">
      <c r="A727" s="624">
        <v>203</v>
      </c>
      <c r="B727" s="625" t="e">
        <f>VLOOKUP(D727,'[1]DS CN MOI UP'!$B$11:$C$447,2,0)</f>
        <v>#N/A</v>
      </c>
      <c r="C727" s="626" t="s">
        <v>651</v>
      </c>
      <c r="D727" s="627" t="s">
        <v>1155</v>
      </c>
      <c r="E727" s="61" t="s">
        <v>15</v>
      </c>
      <c r="F727" s="61"/>
      <c r="G727" s="655"/>
      <c r="H727" s="635">
        <v>635040.18900000001</v>
      </c>
      <c r="I727" s="635">
        <v>635040.18900000001</v>
      </c>
      <c r="J727" s="635">
        <f t="shared" si="25"/>
        <v>1270080.378</v>
      </c>
      <c r="K727" s="635"/>
      <c r="L727" s="655"/>
      <c r="M727" s="655">
        <f t="shared" si="27"/>
        <v>1270080.378</v>
      </c>
      <c r="N727" s="627"/>
      <c r="O727" s="636"/>
    </row>
    <row r="728" spans="1:15" s="242" customFormat="1" ht="14.25" customHeight="1">
      <c r="A728" s="638">
        <v>204</v>
      </c>
      <c r="B728" s="625" t="e">
        <f>VLOOKUP(D728,'[1]DS CN MOI UP'!$B$11:$C$447,2,0)</f>
        <v>#N/A</v>
      </c>
      <c r="C728" s="626" t="s">
        <v>654</v>
      </c>
      <c r="D728" s="627" t="s">
        <v>540</v>
      </c>
      <c r="E728" s="61" t="s">
        <v>15</v>
      </c>
      <c r="F728" s="61"/>
      <c r="G728" s="655">
        <v>40000</v>
      </c>
      <c r="H728" s="635">
        <v>524139.33600000001</v>
      </c>
      <c r="I728" s="635">
        <v>524139.33600000001</v>
      </c>
      <c r="J728" s="635">
        <f t="shared" si="25"/>
        <v>1088278.672</v>
      </c>
      <c r="K728" s="635"/>
      <c r="L728" s="655"/>
      <c r="M728" s="655">
        <f t="shared" si="27"/>
        <v>1088278.672</v>
      </c>
      <c r="N728" s="627"/>
      <c r="O728" s="636"/>
    </row>
    <row r="729" spans="1:15" s="242" customFormat="1" ht="14.25" customHeight="1">
      <c r="A729" s="638">
        <v>205</v>
      </c>
      <c r="B729" s="625" t="e">
        <f>VLOOKUP(D729,'[1]DS CN MOI UP'!$B$11:$C$447,2,0)</f>
        <v>#N/A</v>
      </c>
      <c r="C729" s="626" t="s">
        <v>654</v>
      </c>
      <c r="D729" s="627" t="s">
        <v>1156</v>
      </c>
      <c r="E729" s="61" t="s">
        <v>15</v>
      </c>
      <c r="F729" s="61"/>
      <c r="G729" s="655">
        <v>40000</v>
      </c>
      <c r="H729" s="635">
        <v>554373.09900000005</v>
      </c>
      <c r="I729" s="635">
        <v>554373.09900000005</v>
      </c>
      <c r="J729" s="635">
        <f t="shared" si="25"/>
        <v>1148746.1980000001</v>
      </c>
      <c r="K729" s="635"/>
      <c r="L729" s="655"/>
      <c r="M729" s="655">
        <f t="shared" si="27"/>
        <v>1148746.1980000001</v>
      </c>
      <c r="N729" s="627"/>
      <c r="O729" s="636"/>
    </row>
    <row r="730" spans="1:15" s="242" customFormat="1" ht="14.25" customHeight="1">
      <c r="A730" s="624">
        <v>206</v>
      </c>
      <c r="B730" s="625" t="e">
        <f>VLOOKUP(D730,'[1]DS CN MOI UP'!$B$11:$C$447,2,0)</f>
        <v>#N/A</v>
      </c>
      <c r="C730" s="626" t="s">
        <v>654</v>
      </c>
      <c r="D730" s="627" t="s">
        <v>1157</v>
      </c>
      <c r="E730" s="61" t="s">
        <v>15</v>
      </c>
      <c r="F730" s="61"/>
      <c r="G730" s="655">
        <v>40000</v>
      </c>
      <c r="H730" s="635">
        <v>554373.09900000005</v>
      </c>
      <c r="I730" s="635">
        <v>554373.09900000005</v>
      </c>
      <c r="J730" s="635">
        <f t="shared" si="25"/>
        <v>1148746.1980000001</v>
      </c>
      <c r="K730" s="635"/>
      <c r="L730" s="655"/>
      <c r="M730" s="655">
        <f t="shared" si="27"/>
        <v>1148746.1980000001</v>
      </c>
      <c r="N730" s="627"/>
      <c r="O730" s="636"/>
    </row>
    <row r="731" spans="1:15" s="242" customFormat="1" ht="14.25" customHeight="1">
      <c r="A731" s="638">
        <v>207</v>
      </c>
      <c r="B731" s="625" t="str">
        <f>VLOOKUP(D731,'[1]DS CN MOI UP'!$B$11:$C$447,2,0)</f>
        <v>02514</v>
      </c>
      <c r="C731" s="626" t="s">
        <v>654</v>
      </c>
      <c r="D731" s="627" t="s">
        <v>100</v>
      </c>
      <c r="E731" s="61" t="s">
        <v>15</v>
      </c>
      <c r="F731" s="61"/>
      <c r="G731" s="655">
        <v>40000</v>
      </c>
      <c r="H731" s="635">
        <v>614840.625</v>
      </c>
      <c r="I731" s="635">
        <v>554373.09900000005</v>
      </c>
      <c r="J731" s="635">
        <f t="shared" si="25"/>
        <v>1209213.7239999999</v>
      </c>
      <c r="K731" s="635"/>
      <c r="L731" s="655"/>
      <c r="M731" s="655">
        <f t="shared" si="27"/>
        <v>1209213.7239999999</v>
      </c>
      <c r="N731" s="627"/>
      <c r="O731" s="636"/>
    </row>
    <row r="732" spans="1:15" s="242" customFormat="1" ht="14.25" customHeight="1">
      <c r="A732" s="638">
        <v>208</v>
      </c>
      <c r="B732" s="625" t="e">
        <f>VLOOKUP(D732,'[1]DS CN MOI UP'!$B$11:$C$447,2,0)</f>
        <v>#N/A</v>
      </c>
      <c r="C732" s="626" t="s">
        <v>654</v>
      </c>
      <c r="D732" s="627" t="s">
        <v>1158</v>
      </c>
      <c r="E732" s="61" t="s">
        <v>15</v>
      </c>
      <c r="F732" s="61"/>
      <c r="G732" s="655">
        <v>40000</v>
      </c>
      <c r="H732" s="635">
        <v>614840.625</v>
      </c>
      <c r="I732" s="635">
        <v>554373.09900000005</v>
      </c>
      <c r="J732" s="635">
        <f t="shared" si="25"/>
        <v>1209213.7239999999</v>
      </c>
      <c r="K732" s="635"/>
      <c r="L732" s="655"/>
      <c r="M732" s="655">
        <f t="shared" si="27"/>
        <v>1209213.7239999999</v>
      </c>
      <c r="N732" s="627"/>
      <c r="O732" s="636"/>
    </row>
    <row r="733" spans="1:15" s="242" customFormat="1" ht="14.25" customHeight="1">
      <c r="A733" s="624">
        <v>209</v>
      </c>
      <c r="B733" s="625" t="e">
        <f>VLOOKUP(D733,'[1]DS CN MOI UP'!$B$11:$C$447,2,0)</f>
        <v>#N/A</v>
      </c>
      <c r="C733" s="626" t="s">
        <v>654</v>
      </c>
      <c r="D733" s="627" t="s">
        <v>1159</v>
      </c>
      <c r="E733" s="61" t="s">
        <v>15</v>
      </c>
      <c r="F733" s="61"/>
      <c r="G733" s="655">
        <v>40000</v>
      </c>
      <c r="H733" s="635">
        <v>614840.625</v>
      </c>
      <c r="I733" s="635">
        <v>554373.09900000005</v>
      </c>
      <c r="J733" s="635">
        <f t="shared" si="25"/>
        <v>1209213.7239999999</v>
      </c>
      <c r="K733" s="635"/>
      <c r="L733" s="655"/>
      <c r="M733" s="655">
        <f t="shared" si="27"/>
        <v>1209213.7239999999</v>
      </c>
      <c r="N733" s="627"/>
      <c r="O733" s="636"/>
    </row>
    <row r="734" spans="1:15" s="242" customFormat="1" ht="14.25" customHeight="1">
      <c r="A734" s="638">
        <v>210</v>
      </c>
      <c r="B734" s="625" t="e">
        <f>VLOOKUP(D734,'[1]DS CN MOI UP'!$B$11:$C$447,2,0)</f>
        <v>#N/A</v>
      </c>
      <c r="C734" s="626" t="s">
        <v>654</v>
      </c>
      <c r="D734" s="627" t="s">
        <v>728</v>
      </c>
      <c r="E734" s="61" t="s">
        <v>15</v>
      </c>
      <c r="F734" s="61"/>
      <c r="G734" s="655">
        <v>40000</v>
      </c>
      <c r="H734" s="635">
        <v>614840.625</v>
      </c>
      <c r="I734" s="635">
        <v>554373.09900000005</v>
      </c>
      <c r="J734" s="635">
        <f t="shared" si="25"/>
        <v>1209213.7239999999</v>
      </c>
      <c r="K734" s="635"/>
      <c r="L734" s="655"/>
      <c r="M734" s="655">
        <f t="shared" si="27"/>
        <v>1209213.7239999999</v>
      </c>
      <c r="N734" s="627"/>
      <c r="O734" s="636"/>
    </row>
    <row r="735" spans="1:15" s="242" customFormat="1" ht="14.25" customHeight="1">
      <c r="A735" s="638">
        <v>211</v>
      </c>
      <c r="B735" s="625" t="str">
        <f>VLOOKUP(D735,'[1]DS CN MOI UP'!$B$11:$C$447,2,0)</f>
        <v>02444</v>
      </c>
      <c r="C735" s="626" t="s">
        <v>654</v>
      </c>
      <c r="D735" s="627" t="s">
        <v>105</v>
      </c>
      <c r="E735" s="61" t="s">
        <v>15</v>
      </c>
      <c r="F735" s="61"/>
      <c r="G735" s="655">
        <v>40000</v>
      </c>
      <c r="H735" s="635">
        <v>614840.625</v>
      </c>
      <c r="I735" s="635">
        <v>554373.09900000005</v>
      </c>
      <c r="J735" s="635">
        <f t="shared" si="25"/>
        <v>1209213.7239999999</v>
      </c>
      <c r="K735" s="635"/>
      <c r="L735" s="655"/>
      <c r="M735" s="655">
        <f t="shared" si="27"/>
        <v>1209213.7239999999</v>
      </c>
      <c r="N735" s="627"/>
      <c r="O735" s="636"/>
    </row>
    <row r="736" spans="1:15" s="242" customFormat="1" ht="14.25" customHeight="1">
      <c r="A736" s="624">
        <v>212</v>
      </c>
      <c r="B736" s="625" t="str">
        <f>VLOOKUP(D736,'[1]DS CN MOI UP'!$B$11:$C$447,2,0)</f>
        <v>02445</v>
      </c>
      <c r="C736" s="626" t="s">
        <v>654</v>
      </c>
      <c r="D736" s="627" t="s">
        <v>109</v>
      </c>
      <c r="E736" s="61" t="s">
        <v>15</v>
      </c>
      <c r="F736" s="61"/>
      <c r="G736" s="655">
        <v>40000</v>
      </c>
      <c r="H736" s="635">
        <v>544338.9</v>
      </c>
      <c r="I736" s="635">
        <v>554373.09900000005</v>
      </c>
      <c r="J736" s="635">
        <f t="shared" si="25"/>
        <v>1138711.9990000001</v>
      </c>
      <c r="K736" s="635"/>
      <c r="L736" s="655"/>
      <c r="M736" s="655">
        <f t="shared" si="27"/>
        <v>1138711.9990000001</v>
      </c>
      <c r="N736" s="627"/>
      <c r="O736" s="636"/>
    </row>
    <row r="737" spans="1:15" s="242" customFormat="1" ht="14.25" customHeight="1">
      <c r="A737" s="638">
        <v>213</v>
      </c>
      <c r="B737" s="625" t="str">
        <f>VLOOKUP(D737,'[1]DS CN MOI UP'!$B$11:$C$447,2,0)</f>
        <v>02446</v>
      </c>
      <c r="C737" s="626" t="s">
        <v>654</v>
      </c>
      <c r="D737" s="627" t="s">
        <v>110</v>
      </c>
      <c r="E737" s="61" t="s">
        <v>15</v>
      </c>
      <c r="F737" s="61"/>
      <c r="G737" s="655">
        <v>40000</v>
      </c>
      <c r="H737" s="635">
        <v>574572.66299999994</v>
      </c>
      <c r="I737" s="635">
        <v>554373.09900000005</v>
      </c>
      <c r="J737" s="635">
        <f t="shared" si="25"/>
        <v>1168945.7620000001</v>
      </c>
      <c r="K737" s="635"/>
      <c r="L737" s="655"/>
      <c r="M737" s="655">
        <f t="shared" si="27"/>
        <v>1168945.7620000001</v>
      </c>
      <c r="N737" s="627"/>
      <c r="O737" s="636"/>
    </row>
    <row r="738" spans="1:15" s="242" customFormat="1" ht="14.25" customHeight="1">
      <c r="A738" s="638">
        <v>214</v>
      </c>
      <c r="B738" s="625" t="e">
        <f>VLOOKUP(D738,'[1]DS CN MOI UP'!$B$11:$C$447,2,0)</f>
        <v>#N/A</v>
      </c>
      <c r="C738" s="626" t="s">
        <v>654</v>
      </c>
      <c r="D738" s="627" t="s">
        <v>689</v>
      </c>
      <c r="E738" s="61" t="s">
        <v>15</v>
      </c>
      <c r="F738" s="61"/>
      <c r="G738" s="655">
        <v>40000</v>
      </c>
      <c r="H738" s="635">
        <v>604806.42599999998</v>
      </c>
      <c r="I738" s="635">
        <v>554373.09900000005</v>
      </c>
      <c r="J738" s="635">
        <f t="shared" si="25"/>
        <v>1199179.5249999999</v>
      </c>
      <c r="K738" s="635"/>
      <c r="L738" s="655"/>
      <c r="M738" s="655">
        <f t="shared" si="27"/>
        <v>1199179.5249999999</v>
      </c>
      <c r="N738" s="627"/>
      <c r="O738" s="636"/>
    </row>
    <row r="739" spans="1:15" s="242" customFormat="1" ht="14.25" customHeight="1">
      <c r="A739" s="624">
        <v>215</v>
      </c>
      <c r="B739" s="625" t="e">
        <f>VLOOKUP(D739,'[1]DS CN MOI UP'!$B$11:$C$447,2,0)</f>
        <v>#N/A</v>
      </c>
      <c r="C739" s="626" t="s">
        <v>654</v>
      </c>
      <c r="D739" s="627" t="s">
        <v>1160</v>
      </c>
      <c r="E739" s="61" t="s">
        <v>15</v>
      </c>
      <c r="F739" s="61"/>
      <c r="G739" s="655">
        <v>40000</v>
      </c>
      <c r="H739" s="635">
        <v>584606.86199999996</v>
      </c>
      <c r="I739" s="635">
        <v>554373.09900000005</v>
      </c>
      <c r="J739" s="635">
        <f t="shared" si="25"/>
        <v>1178979.9610000001</v>
      </c>
      <c r="K739" s="635"/>
      <c r="L739" s="655"/>
      <c r="M739" s="655">
        <f t="shared" si="27"/>
        <v>1178979.9610000001</v>
      </c>
      <c r="N739" s="627"/>
      <c r="O739" s="636"/>
    </row>
    <row r="740" spans="1:15" s="242" customFormat="1" ht="14.25" customHeight="1">
      <c r="A740" s="638">
        <v>216</v>
      </c>
      <c r="B740" s="625" t="e">
        <f>VLOOKUP(D740,'[1]DS CN MOI UP'!$B$11:$C$447,2,0)</f>
        <v>#N/A</v>
      </c>
      <c r="C740" s="626" t="s">
        <v>654</v>
      </c>
      <c r="D740" s="627" t="s">
        <v>1161</v>
      </c>
      <c r="E740" s="61" t="s">
        <v>15</v>
      </c>
      <c r="F740" s="61"/>
      <c r="G740" s="655">
        <v>40000</v>
      </c>
      <c r="H740" s="635">
        <v>635040.18900000001</v>
      </c>
      <c r="I740" s="635">
        <v>188707.71779984201</v>
      </c>
      <c r="J740" s="635">
        <f t="shared" si="25"/>
        <v>863747.90679984202</v>
      </c>
      <c r="K740" s="635"/>
      <c r="L740" s="655"/>
      <c r="M740" s="655">
        <f t="shared" si="27"/>
        <v>863747.90679984202</v>
      </c>
      <c r="N740" s="627"/>
      <c r="O740" s="636"/>
    </row>
    <row r="741" spans="1:15" s="242" customFormat="1" ht="14.25" customHeight="1">
      <c r="A741" s="638">
        <v>217</v>
      </c>
      <c r="B741" s="625" t="str">
        <f>VLOOKUP(D741,'[1]DS CN MOI UP'!$B$11:$C$447,2,0)</f>
        <v>03850</v>
      </c>
      <c r="C741" s="626" t="s">
        <v>654</v>
      </c>
      <c r="D741" s="627" t="s">
        <v>449</v>
      </c>
      <c r="E741" s="61" t="s">
        <v>15</v>
      </c>
      <c r="F741" s="61"/>
      <c r="G741" s="655">
        <v>600000</v>
      </c>
      <c r="H741" s="635">
        <v>524139.33600000001</v>
      </c>
      <c r="I741" s="635"/>
      <c r="J741" s="635">
        <f t="shared" si="25"/>
        <v>1124139.3360000001</v>
      </c>
      <c r="K741" s="635"/>
      <c r="L741" s="655"/>
      <c r="M741" s="655">
        <f t="shared" si="27"/>
        <v>1124139.3360000001</v>
      </c>
      <c r="N741" s="627"/>
      <c r="O741" s="636"/>
    </row>
    <row r="742" spans="1:15" s="242" customFormat="1" ht="14.25" customHeight="1">
      <c r="A742" s="624">
        <v>218</v>
      </c>
      <c r="B742" s="625" t="e">
        <f>VLOOKUP(D742,'[1]DS CN MOI UP'!$B$11:$C$447,2,0)</f>
        <v>#N/A</v>
      </c>
      <c r="C742" s="626" t="s">
        <v>654</v>
      </c>
      <c r="D742" s="627" t="s">
        <v>1162</v>
      </c>
      <c r="E742" s="61" t="s">
        <v>15</v>
      </c>
      <c r="F742" s="61"/>
      <c r="G742" s="655">
        <v>600000</v>
      </c>
      <c r="H742" s="635">
        <v>635040.18900000001</v>
      </c>
      <c r="I742" s="635"/>
      <c r="J742" s="635">
        <f t="shared" si="25"/>
        <v>1235040.189</v>
      </c>
      <c r="K742" s="635"/>
      <c r="L742" s="655"/>
      <c r="M742" s="655">
        <f t="shared" si="27"/>
        <v>1235040.189</v>
      </c>
      <c r="N742" s="627"/>
      <c r="O742" s="636"/>
    </row>
    <row r="743" spans="1:15" s="242" customFormat="1" ht="14.25" customHeight="1">
      <c r="A743" s="638">
        <v>219</v>
      </c>
      <c r="B743" s="625" t="e">
        <f>VLOOKUP(D743,'[1]DS CN MOI UP'!$B$11:$C$447,2,0)</f>
        <v>#N/A</v>
      </c>
      <c r="C743" s="626" t="s">
        <v>654</v>
      </c>
      <c r="D743" s="627" t="s">
        <v>1163</v>
      </c>
      <c r="E743" s="61" t="s">
        <v>15</v>
      </c>
      <c r="F743" s="61"/>
      <c r="G743" s="655">
        <v>600000</v>
      </c>
      <c r="H743" s="635">
        <v>635040.18900000001</v>
      </c>
      <c r="I743" s="635"/>
      <c r="J743" s="635">
        <f t="shared" si="25"/>
        <v>1235040.189</v>
      </c>
      <c r="K743" s="635"/>
      <c r="L743" s="655"/>
      <c r="M743" s="655">
        <f t="shared" si="27"/>
        <v>1235040.189</v>
      </c>
      <c r="N743" s="627"/>
      <c r="O743" s="636"/>
    </row>
    <row r="744" spans="1:15" s="242" customFormat="1" ht="14.25" customHeight="1">
      <c r="A744" s="638">
        <v>220</v>
      </c>
      <c r="B744" s="625" t="e">
        <f>VLOOKUP(D744,'[1]DS CN MOI UP'!$B$11:$C$447,2,0)</f>
        <v>#N/A</v>
      </c>
      <c r="C744" s="626" t="s">
        <v>654</v>
      </c>
      <c r="D744" s="627" t="s">
        <v>916</v>
      </c>
      <c r="E744" s="61" t="s">
        <v>15</v>
      </c>
      <c r="F744" s="61"/>
      <c r="G744" s="655">
        <v>600000</v>
      </c>
      <c r="H744" s="635">
        <v>635040.18900000001</v>
      </c>
      <c r="I744" s="635"/>
      <c r="J744" s="635">
        <f t="shared" si="25"/>
        <v>1235040.189</v>
      </c>
      <c r="K744" s="635"/>
      <c r="L744" s="655"/>
      <c r="M744" s="655">
        <f t="shared" si="27"/>
        <v>1235040.189</v>
      </c>
      <c r="N744" s="627"/>
      <c r="O744" s="636"/>
    </row>
    <row r="745" spans="1:15" s="242" customFormat="1" ht="14.25" customHeight="1">
      <c r="A745" s="624">
        <v>221</v>
      </c>
      <c r="B745" s="625" t="e">
        <f>VLOOKUP(D745,'[1]DS CN MOI UP'!$B$11:$C$447,2,0)</f>
        <v>#N/A</v>
      </c>
      <c r="C745" s="626" t="s">
        <v>654</v>
      </c>
      <c r="D745" s="627" t="s">
        <v>1164</v>
      </c>
      <c r="E745" s="61" t="s">
        <v>15</v>
      </c>
      <c r="F745" s="61"/>
      <c r="G745" s="655">
        <v>600000</v>
      </c>
      <c r="H745" s="635">
        <v>635040.18900000001</v>
      </c>
      <c r="I745" s="635"/>
      <c r="J745" s="635">
        <f t="shared" si="25"/>
        <v>1235040.189</v>
      </c>
      <c r="K745" s="635"/>
      <c r="L745" s="655"/>
      <c r="M745" s="655">
        <f t="shared" si="27"/>
        <v>1235040.189</v>
      </c>
      <c r="N745" s="627"/>
      <c r="O745" s="636"/>
    </row>
    <row r="746" spans="1:15" s="242" customFormat="1" ht="14.25" customHeight="1">
      <c r="A746" s="638">
        <v>222</v>
      </c>
      <c r="B746" s="625" t="e">
        <f>VLOOKUP(D746,'[1]DS CN MOI UP'!$B$11:$C$447,2,0)</f>
        <v>#N/A</v>
      </c>
      <c r="C746" s="626" t="s">
        <v>654</v>
      </c>
      <c r="D746" s="627" t="s">
        <v>1165</v>
      </c>
      <c r="E746" s="61" t="s">
        <v>15</v>
      </c>
      <c r="F746" s="61"/>
      <c r="G746" s="655">
        <v>600000</v>
      </c>
      <c r="H746" s="635">
        <v>635040.18900000001</v>
      </c>
      <c r="I746" s="635"/>
      <c r="J746" s="635">
        <f t="shared" si="25"/>
        <v>1235040.189</v>
      </c>
      <c r="K746" s="635"/>
      <c r="L746" s="655"/>
      <c r="M746" s="655">
        <f t="shared" si="27"/>
        <v>1235040.189</v>
      </c>
      <c r="N746" s="627"/>
      <c r="O746" s="636"/>
    </row>
    <row r="747" spans="1:15" s="242" customFormat="1" ht="14.25" customHeight="1">
      <c r="A747" s="638">
        <v>223</v>
      </c>
      <c r="B747" s="625" t="e">
        <f>VLOOKUP(D747,'[1]DS CN MOI UP'!$B$11:$C$447,2,0)</f>
        <v>#N/A</v>
      </c>
      <c r="C747" s="626" t="s">
        <v>654</v>
      </c>
      <c r="D747" s="627" t="s">
        <v>701</v>
      </c>
      <c r="E747" s="61" t="s">
        <v>15</v>
      </c>
      <c r="F747" s="61"/>
      <c r="G747" s="655">
        <v>600000</v>
      </c>
      <c r="H747" s="635">
        <v>635040.18900000001</v>
      </c>
      <c r="I747" s="635"/>
      <c r="J747" s="635">
        <f t="shared" si="25"/>
        <v>1235040.189</v>
      </c>
      <c r="K747" s="635"/>
      <c r="L747" s="655"/>
      <c r="M747" s="655">
        <f t="shared" si="27"/>
        <v>1235040.189</v>
      </c>
      <c r="N747" s="627"/>
      <c r="O747" s="636"/>
    </row>
    <row r="748" spans="1:15" s="242" customFormat="1" ht="14.25" customHeight="1">
      <c r="A748" s="624">
        <v>224</v>
      </c>
      <c r="B748" s="625" t="e">
        <f>VLOOKUP(D748,'[1]DS CN MOI UP'!$B$11:$C$447,2,0)</f>
        <v>#N/A</v>
      </c>
      <c r="C748" s="626" t="s">
        <v>654</v>
      </c>
      <c r="D748" s="627" t="s">
        <v>1166</v>
      </c>
      <c r="E748" s="61" t="s">
        <v>15</v>
      </c>
      <c r="F748" s="61"/>
      <c r="G748" s="655">
        <v>600000</v>
      </c>
      <c r="H748" s="635">
        <v>635040.18900000001</v>
      </c>
      <c r="I748" s="635"/>
      <c r="J748" s="635">
        <f t="shared" si="25"/>
        <v>1235040.189</v>
      </c>
      <c r="K748" s="635"/>
      <c r="L748" s="655"/>
      <c r="M748" s="655">
        <f t="shared" si="27"/>
        <v>1235040.189</v>
      </c>
      <c r="N748" s="627"/>
      <c r="O748" s="636"/>
    </row>
    <row r="749" spans="1:15" s="242" customFormat="1" ht="14.25" customHeight="1">
      <c r="A749" s="638">
        <v>225</v>
      </c>
      <c r="B749" s="625" t="str">
        <f>VLOOKUP(D749,'[1]DS CN MOI UP'!$B$11:$C$447,2,0)</f>
        <v>02532</v>
      </c>
      <c r="C749" s="626" t="s">
        <v>654</v>
      </c>
      <c r="D749" s="627" t="s">
        <v>158</v>
      </c>
      <c r="E749" s="61" t="s">
        <v>15</v>
      </c>
      <c r="F749" s="61"/>
      <c r="G749" s="655">
        <v>600000</v>
      </c>
      <c r="H749" s="635">
        <v>554373.09900000005</v>
      </c>
      <c r="I749" s="635"/>
      <c r="J749" s="635">
        <f t="shared" si="25"/>
        <v>1154373.0989999999</v>
      </c>
      <c r="K749" s="635"/>
      <c r="L749" s="655"/>
      <c r="M749" s="655">
        <f t="shared" si="27"/>
        <v>1154373.0989999999</v>
      </c>
      <c r="N749" s="627"/>
      <c r="O749" s="636"/>
    </row>
    <row r="750" spans="1:15" s="242" customFormat="1" ht="14.25" customHeight="1">
      <c r="A750" s="638">
        <v>226</v>
      </c>
      <c r="B750" s="625" t="e">
        <f>VLOOKUP(D750,'[1]DS CN MOI UP'!$B$11:$C$447,2,0)</f>
        <v>#N/A</v>
      </c>
      <c r="C750" s="626" t="s">
        <v>654</v>
      </c>
      <c r="D750" s="627" t="s">
        <v>1167</v>
      </c>
      <c r="E750" s="61" t="s">
        <v>15</v>
      </c>
      <c r="F750" s="61"/>
      <c r="G750" s="655">
        <v>600000</v>
      </c>
      <c r="H750" s="635">
        <v>554373.09900000005</v>
      </c>
      <c r="I750" s="635"/>
      <c r="J750" s="635">
        <f t="shared" si="25"/>
        <v>1154373.0989999999</v>
      </c>
      <c r="K750" s="635"/>
      <c r="L750" s="655"/>
      <c r="M750" s="655">
        <f t="shared" si="27"/>
        <v>1154373.0989999999</v>
      </c>
      <c r="N750" s="627"/>
      <c r="O750" s="636"/>
    </row>
    <row r="751" spans="1:15" s="242" customFormat="1" ht="14.25" customHeight="1">
      <c r="A751" s="624">
        <v>227</v>
      </c>
      <c r="B751" s="625" t="e">
        <f>VLOOKUP(D751,'[1]DS CN MOI UP'!$B$11:$C$447,2,0)</f>
        <v>#N/A</v>
      </c>
      <c r="C751" s="626" t="s">
        <v>654</v>
      </c>
      <c r="D751" s="627" t="s">
        <v>1168</v>
      </c>
      <c r="E751" s="61" t="s">
        <v>15</v>
      </c>
      <c r="F751" s="61"/>
      <c r="G751" s="655">
        <v>600000</v>
      </c>
      <c r="H751" s="635">
        <v>554373.09900000005</v>
      </c>
      <c r="I751" s="635"/>
      <c r="J751" s="635">
        <f t="shared" si="25"/>
        <v>1154373.0989999999</v>
      </c>
      <c r="K751" s="635"/>
      <c r="L751" s="655"/>
      <c r="M751" s="655">
        <f t="shared" si="27"/>
        <v>1154373.0989999999</v>
      </c>
      <c r="N751" s="627"/>
      <c r="O751" s="636"/>
    </row>
    <row r="752" spans="1:15" s="242" customFormat="1" ht="14.25" customHeight="1">
      <c r="A752" s="638">
        <v>228</v>
      </c>
      <c r="B752" s="625" t="str">
        <f>VLOOKUP(D752,'[1]DS CN MOI UP'!$B$11:$C$447,2,0)</f>
        <v>02533</v>
      </c>
      <c r="C752" s="626" t="s">
        <v>654</v>
      </c>
      <c r="D752" s="627" t="s">
        <v>198</v>
      </c>
      <c r="E752" s="61" t="s">
        <v>15</v>
      </c>
      <c r="F752" s="61"/>
      <c r="G752" s="655">
        <v>600000</v>
      </c>
      <c r="H752" s="635">
        <v>635040.18900000001</v>
      </c>
      <c r="I752" s="635"/>
      <c r="J752" s="635">
        <f t="shared" si="25"/>
        <v>1235040.189</v>
      </c>
      <c r="K752" s="635"/>
      <c r="L752" s="655"/>
      <c r="M752" s="655">
        <f t="shared" si="27"/>
        <v>1235040.189</v>
      </c>
      <c r="N752" s="627"/>
      <c r="O752" s="636"/>
    </row>
    <row r="753" spans="1:15" s="242" customFormat="1" ht="14.25" customHeight="1">
      <c r="A753" s="638">
        <v>229</v>
      </c>
      <c r="B753" s="625" t="e">
        <f>VLOOKUP(D753,'[1]DS CN MOI UP'!$B$11:$C$447,2,0)</f>
        <v>#N/A</v>
      </c>
      <c r="C753" s="626" t="s">
        <v>654</v>
      </c>
      <c r="D753" s="627" t="s">
        <v>1169</v>
      </c>
      <c r="E753" s="61" t="s">
        <v>15</v>
      </c>
      <c r="F753" s="61"/>
      <c r="G753" s="655">
        <v>600000</v>
      </c>
      <c r="H753" s="635">
        <v>544338.9</v>
      </c>
      <c r="I753" s="635"/>
      <c r="J753" s="635">
        <f t="shared" si="25"/>
        <v>1144338.8999999999</v>
      </c>
      <c r="K753" s="635"/>
      <c r="L753" s="655"/>
      <c r="M753" s="655">
        <f t="shared" si="27"/>
        <v>1144338.8999999999</v>
      </c>
      <c r="N753" s="627"/>
      <c r="O753" s="636"/>
    </row>
    <row r="754" spans="1:15" s="242" customFormat="1" ht="14.25" customHeight="1">
      <c r="A754" s="624">
        <v>230</v>
      </c>
      <c r="B754" s="625" t="e">
        <f>VLOOKUP(D754,'[1]DS CN MOI UP'!$B$11:$C$447,2,0)</f>
        <v>#N/A</v>
      </c>
      <c r="C754" s="626" t="s">
        <v>654</v>
      </c>
      <c r="D754" s="627" t="s">
        <v>567</v>
      </c>
      <c r="E754" s="61" t="s">
        <v>15</v>
      </c>
      <c r="F754" s="61"/>
      <c r="G754" s="655">
        <v>600000</v>
      </c>
      <c r="H754" s="635">
        <v>574572.66299999994</v>
      </c>
      <c r="I754" s="635"/>
      <c r="J754" s="635">
        <f t="shared" si="25"/>
        <v>1174572.6629999999</v>
      </c>
      <c r="K754" s="635"/>
      <c r="L754" s="655"/>
      <c r="M754" s="655">
        <f t="shared" si="27"/>
        <v>1174572.6629999999</v>
      </c>
      <c r="N754" s="627"/>
      <c r="O754" s="636"/>
    </row>
    <row r="755" spans="1:15" s="242" customFormat="1" ht="14.25" customHeight="1">
      <c r="A755" s="638">
        <v>231</v>
      </c>
      <c r="B755" s="625" t="e">
        <f>VLOOKUP(D755,'[1]DS CN MOI UP'!$B$11:$C$447,2,0)</f>
        <v>#N/A</v>
      </c>
      <c r="C755" s="626" t="s">
        <v>654</v>
      </c>
      <c r="D755" s="627" t="s">
        <v>1170</v>
      </c>
      <c r="E755" s="61" t="s">
        <v>15</v>
      </c>
      <c r="F755" s="61"/>
      <c r="G755" s="655">
        <v>600000</v>
      </c>
      <c r="H755" s="635">
        <v>604806.42599999998</v>
      </c>
      <c r="I755" s="635"/>
      <c r="J755" s="635">
        <f t="shared" si="25"/>
        <v>1204806.426</v>
      </c>
      <c r="K755" s="635"/>
      <c r="L755" s="655"/>
      <c r="M755" s="655">
        <f t="shared" si="27"/>
        <v>1204806.426</v>
      </c>
      <c r="N755" s="627"/>
      <c r="O755" s="636"/>
    </row>
    <row r="756" spans="1:15" s="242" customFormat="1" ht="14.25" customHeight="1">
      <c r="A756" s="638">
        <v>232</v>
      </c>
      <c r="B756" s="625"/>
      <c r="C756" s="626" t="s">
        <v>648</v>
      </c>
      <c r="D756" s="627" t="s">
        <v>165</v>
      </c>
      <c r="E756" s="61" t="s">
        <v>15</v>
      </c>
      <c r="F756" s="61"/>
      <c r="G756" s="655">
        <v>600000</v>
      </c>
      <c r="H756" s="655">
        <v>554373.09900000005</v>
      </c>
      <c r="I756" s="635"/>
      <c r="J756" s="635">
        <f t="shared" si="25"/>
        <v>1154373.0989999999</v>
      </c>
      <c r="K756" s="635"/>
      <c r="L756" s="655"/>
      <c r="M756" s="655">
        <f t="shared" si="27"/>
        <v>1154373.0989999999</v>
      </c>
      <c r="N756" s="627"/>
      <c r="O756" s="636"/>
    </row>
    <row r="757" spans="1:15" s="242" customFormat="1" ht="14.25" customHeight="1">
      <c r="A757" s="624">
        <v>233</v>
      </c>
      <c r="B757" s="625" t="e">
        <f>VLOOKUP(D757,'[1]DS CN MOI UP'!$B$11:$C$447,2,0)</f>
        <v>#N/A</v>
      </c>
      <c r="C757" s="626" t="s">
        <v>650</v>
      </c>
      <c r="D757" s="627" t="s">
        <v>1171</v>
      </c>
      <c r="E757" s="61" t="s">
        <v>15</v>
      </c>
      <c r="F757" s="61"/>
      <c r="G757" s="655">
        <v>600000</v>
      </c>
      <c r="H757" s="655">
        <v>554373.09900000005</v>
      </c>
      <c r="I757" s="635"/>
      <c r="J757" s="635">
        <f t="shared" si="25"/>
        <v>1154373.0989999999</v>
      </c>
      <c r="K757" s="635"/>
      <c r="L757" s="655"/>
      <c r="M757" s="655">
        <f t="shared" si="27"/>
        <v>1154373.0989999999</v>
      </c>
      <c r="N757" s="627"/>
      <c r="O757" s="636"/>
    </row>
    <row r="758" spans="1:15" s="242" customFormat="1" ht="14.25" customHeight="1">
      <c r="A758" s="638">
        <v>234</v>
      </c>
      <c r="B758" s="625" t="str">
        <f>VLOOKUP(D758,'[1]DS CN MOI UP'!$B$11:$C$447,2,0)</f>
        <v>02536</v>
      </c>
      <c r="C758" s="626" t="s">
        <v>651</v>
      </c>
      <c r="D758" s="627" t="s">
        <v>155</v>
      </c>
      <c r="E758" s="61" t="s">
        <v>15</v>
      </c>
      <c r="F758" s="61"/>
      <c r="G758" s="655">
        <v>600000</v>
      </c>
      <c r="H758" s="655">
        <v>554373.09900000005</v>
      </c>
      <c r="I758" s="635"/>
      <c r="J758" s="635">
        <f t="shared" si="25"/>
        <v>1154373.0989999999</v>
      </c>
      <c r="K758" s="635"/>
      <c r="L758" s="655"/>
      <c r="M758" s="655">
        <f t="shared" si="27"/>
        <v>1154373.0989999999</v>
      </c>
      <c r="N758" s="627"/>
      <c r="O758" s="636"/>
    </row>
    <row r="759" spans="1:15" s="242" customFormat="1" ht="14.25" customHeight="1">
      <c r="A759" s="638">
        <v>235</v>
      </c>
      <c r="B759" s="625" t="e">
        <f>VLOOKUP(D759,'[1]DS CN MOI UP'!$B$11:$C$447,2,0)</f>
        <v>#N/A</v>
      </c>
      <c r="C759" s="626" t="s">
        <v>651</v>
      </c>
      <c r="D759" s="627" t="s">
        <v>1172</v>
      </c>
      <c r="E759" s="61" t="s">
        <v>15</v>
      </c>
      <c r="F759" s="61"/>
      <c r="G759" s="655">
        <v>600000</v>
      </c>
      <c r="H759" s="655">
        <v>635040.18900000001</v>
      </c>
      <c r="I759" s="635"/>
      <c r="J759" s="635">
        <f t="shared" si="25"/>
        <v>1235040.189</v>
      </c>
      <c r="K759" s="635"/>
      <c r="L759" s="655"/>
      <c r="M759" s="655">
        <f t="shared" si="27"/>
        <v>1235040.189</v>
      </c>
      <c r="N759" s="627"/>
      <c r="O759" s="636"/>
    </row>
    <row r="760" spans="1:15" s="242" customFormat="1" ht="14.25" customHeight="1">
      <c r="A760" s="624">
        <v>236</v>
      </c>
      <c r="B760" s="625" t="e">
        <f>VLOOKUP(D760,'[1]DS CN MOI UP'!$B$11:$C$447,2,0)</f>
        <v>#N/A</v>
      </c>
      <c r="C760" s="626" t="s">
        <v>651</v>
      </c>
      <c r="D760" s="627" t="s">
        <v>1173</v>
      </c>
      <c r="E760" s="61" t="s">
        <v>15</v>
      </c>
      <c r="F760" s="61"/>
      <c r="G760" s="655">
        <v>600000</v>
      </c>
      <c r="H760" s="655">
        <v>544338.9</v>
      </c>
      <c r="I760" s="635"/>
      <c r="J760" s="635">
        <f t="shared" si="25"/>
        <v>1144338.8999999999</v>
      </c>
      <c r="K760" s="635"/>
      <c r="L760" s="655"/>
      <c r="M760" s="655">
        <f t="shared" si="27"/>
        <v>1144338.8999999999</v>
      </c>
      <c r="N760" s="627"/>
      <c r="O760" s="636"/>
    </row>
    <row r="761" spans="1:15" s="242" customFormat="1" ht="14.25" customHeight="1">
      <c r="A761" s="638">
        <v>237</v>
      </c>
      <c r="B761" s="625" t="str">
        <f>VLOOKUP(D761,'[1]DS CN MOI UP'!$B$11:$C$447,2,0)</f>
        <v>03346</v>
      </c>
      <c r="C761" s="626" t="s">
        <v>651</v>
      </c>
      <c r="D761" s="627" t="s">
        <v>500</v>
      </c>
      <c r="E761" s="61" t="s">
        <v>15</v>
      </c>
      <c r="F761" s="61"/>
      <c r="G761" s="655">
        <v>600000</v>
      </c>
      <c r="H761" s="635">
        <v>524139.33600000001</v>
      </c>
      <c r="I761" s="635"/>
      <c r="J761" s="635">
        <f t="shared" si="25"/>
        <v>1124139.3360000001</v>
      </c>
      <c r="K761" s="635"/>
      <c r="L761" s="655"/>
      <c r="M761" s="655">
        <f t="shared" si="27"/>
        <v>1124139.3360000001</v>
      </c>
      <c r="N761" s="627"/>
      <c r="O761" s="636"/>
    </row>
    <row r="762" spans="1:15" s="242" customFormat="1" ht="14.25" customHeight="1">
      <c r="A762" s="638">
        <v>238</v>
      </c>
      <c r="B762" s="625" t="str">
        <f>VLOOKUP(D762,'[1]DS CN MOI UP'!$B$11:$C$447,2,0)</f>
        <v>02472</v>
      </c>
      <c r="C762" s="626" t="s">
        <v>651</v>
      </c>
      <c r="D762" s="627" t="s">
        <v>501</v>
      </c>
      <c r="E762" s="61" t="s">
        <v>15</v>
      </c>
      <c r="F762" s="61"/>
      <c r="G762" s="655">
        <v>600000</v>
      </c>
      <c r="H762" s="635">
        <v>635040.18900000001</v>
      </c>
      <c r="I762" s="635"/>
      <c r="J762" s="635">
        <f t="shared" si="25"/>
        <v>1235040.189</v>
      </c>
      <c r="K762" s="635"/>
      <c r="L762" s="655"/>
      <c r="M762" s="655">
        <f t="shared" si="27"/>
        <v>1235040.189</v>
      </c>
      <c r="N762" s="627"/>
      <c r="O762" s="636"/>
    </row>
    <row r="763" spans="1:15" s="242" customFormat="1" ht="14.25" customHeight="1">
      <c r="A763" s="624">
        <v>239</v>
      </c>
      <c r="B763" s="625" t="str">
        <f>VLOOKUP(D763,'[1]DS CN MOI UP'!$B$11:$C$447,2,0)</f>
        <v>02477</v>
      </c>
      <c r="C763" s="626" t="s">
        <v>651</v>
      </c>
      <c r="D763" s="627" t="s">
        <v>119</v>
      </c>
      <c r="E763" s="61" t="s">
        <v>15</v>
      </c>
      <c r="F763" s="61"/>
      <c r="G763" s="655">
        <v>600000</v>
      </c>
      <c r="H763" s="635">
        <v>635040.18900000001</v>
      </c>
      <c r="I763" s="635"/>
      <c r="J763" s="635">
        <f t="shared" si="25"/>
        <v>1235040.189</v>
      </c>
      <c r="K763" s="635"/>
      <c r="L763" s="655"/>
      <c r="M763" s="655">
        <f t="shared" si="27"/>
        <v>1235040.189</v>
      </c>
      <c r="N763" s="627"/>
      <c r="O763" s="636"/>
    </row>
    <row r="764" spans="1:15" s="242" customFormat="1" ht="14.25" customHeight="1">
      <c r="A764" s="638">
        <v>240</v>
      </c>
      <c r="B764" s="625" t="str">
        <f>VLOOKUP(D764,'[1]DS CN MOI UP'!$B$11:$C$447,2,0)</f>
        <v>02495</v>
      </c>
      <c r="C764" s="626" t="s">
        <v>651</v>
      </c>
      <c r="D764" s="627" t="s">
        <v>120</v>
      </c>
      <c r="E764" s="61" t="s">
        <v>15</v>
      </c>
      <c r="F764" s="61"/>
      <c r="G764" s="655">
        <v>600000</v>
      </c>
      <c r="H764" s="635">
        <v>635040.18900000001</v>
      </c>
      <c r="I764" s="635"/>
      <c r="J764" s="635">
        <f t="shared" si="25"/>
        <v>1235040.189</v>
      </c>
      <c r="K764" s="635"/>
      <c r="L764" s="655"/>
      <c r="M764" s="655">
        <f t="shared" si="27"/>
        <v>1235040.189</v>
      </c>
      <c r="N764" s="627"/>
      <c r="O764" s="636"/>
    </row>
    <row r="765" spans="1:15" s="242" customFormat="1" ht="14.25" customHeight="1">
      <c r="A765" s="638">
        <v>241</v>
      </c>
      <c r="B765" s="625" t="str">
        <f>VLOOKUP(D765,'[1]DS CN MOI UP'!$B$11:$C$447,2,0)</f>
        <v>02505</v>
      </c>
      <c r="C765" s="626" t="s">
        <v>651</v>
      </c>
      <c r="D765" s="627" t="s">
        <v>117</v>
      </c>
      <c r="E765" s="61" t="s">
        <v>15</v>
      </c>
      <c r="F765" s="61"/>
      <c r="G765" s="655">
        <v>600000</v>
      </c>
      <c r="H765" s="635">
        <v>635040.18900000001</v>
      </c>
      <c r="I765" s="655"/>
      <c r="J765" s="635">
        <f t="shared" si="25"/>
        <v>1235040.189</v>
      </c>
      <c r="K765" s="635"/>
      <c r="L765" s="655"/>
      <c r="M765" s="655">
        <f t="shared" si="27"/>
        <v>1235040.189</v>
      </c>
      <c r="N765" s="627"/>
      <c r="O765" s="636"/>
    </row>
    <row r="766" spans="1:15" s="242" customFormat="1" ht="14.25" customHeight="1">
      <c r="A766" s="624">
        <v>242</v>
      </c>
      <c r="B766" s="625" t="str">
        <f>VLOOKUP(D766,'[1]DS CN MOI UP'!$B$11:$C$447,2,0)</f>
        <v>02516</v>
      </c>
      <c r="C766" s="626" t="s">
        <v>651</v>
      </c>
      <c r="D766" s="627" t="s">
        <v>122</v>
      </c>
      <c r="E766" s="61" t="s">
        <v>15</v>
      </c>
      <c r="F766" s="61"/>
      <c r="G766" s="655">
        <v>600000</v>
      </c>
      <c r="H766" s="635">
        <v>635040.18900000001</v>
      </c>
      <c r="I766" s="655"/>
      <c r="J766" s="635">
        <f t="shared" si="25"/>
        <v>1235040.189</v>
      </c>
      <c r="K766" s="635"/>
      <c r="L766" s="655"/>
      <c r="M766" s="655">
        <f t="shared" si="27"/>
        <v>1235040.189</v>
      </c>
      <c r="N766" s="627"/>
      <c r="O766" s="636"/>
    </row>
    <row r="767" spans="1:15" s="242" customFormat="1" ht="14.25" customHeight="1">
      <c r="A767" s="638">
        <v>243</v>
      </c>
      <c r="B767" s="625" t="str">
        <f>VLOOKUP(D767,'[1]DS CN MOI UP'!$B$11:$C$447,2,0)</f>
        <v>03347</v>
      </c>
      <c r="C767" s="626" t="s">
        <v>651</v>
      </c>
      <c r="D767" s="627" t="s">
        <v>121</v>
      </c>
      <c r="E767" s="61" t="s">
        <v>15</v>
      </c>
      <c r="F767" s="61"/>
      <c r="G767" s="655">
        <v>600000</v>
      </c>
      <c r="H767" s="635">
        <v>635040.18900000001</v>
      </c>
      <c r="I767" s="655"/>
      <c r="J767" s="635">
        <f t="shared" si="25"/>
        <v>1235040.189</v>
      </c>
      <c r="K767" s="635"/>
      <c r="L767" s="655"/>
      <c r="M767" s="655">
        <f t="shared" si="27"/>
        <v>1235040.189</v>
      </c>
      <c r="N767" s="627"/>
      <c r="O767" s="636"/>
    </row>
    <row r="768" spans="1:15" s="242" customFormat="1" ht="14.25" customHeight="1">
      <c r="A768" s="638">
        <v>244</v>
      </c>
      <c r="B768" s="625" t="str">
        <f>VLOOKUP(D768,'[1]DS CN MOI UP'!$B$11:$C$447,2,0)</f>
        <v>02539</v>
      </c>
      <c r="C768" s="626" t="s">
        <v>651</v>
      </c>
      <c r="D768" s="627" t="s">
        <v>195</v>
      </c>
      <c r="E768" s="61" t="s">
        <v>15</v>
      </c>
      <c r="F768" s="61"/>
      <c r="G768" s="655">
        <v>600000</v>
      </c>
      <c r="H768" s="635">
        <v>635040.18900000001</v>
      </c>
      <c r="I768" s="655"/>
      <c r="J768" s="635">
        <f t="shared" si="25"/>
        <v>1235040.189</v>
      </c>
      <c r="K768" s="635"/>
      <c r="L768" s="655"/>
      <c r="M768" s="655">
        <f t="shared" si="27"/>
        <v>1235040.189</v>
      </c>
      <c r="N768" s="627"/>
      <c r="O768" s="636"/>
    </row>
    <row r="769" spans="1:15" s="242" customFormat="1" ht="14.25" customHeight="1">
      <c r="A769" s="624">
        <v>245</v>
      </c>
      <c r="B769" s="625" t="e">
        <f>VLOOKUP(D769,'[1]DS CN MOI UP'!$B$11:$C$447,2,0)</f>
        <v>#N/A</v>
      </c>
      <c r="C769" s="626" t="s">
        <v>651</v>
      </c>
      <c r="D769" s="627" t="s">
        <v>1174</v>
      </c>
      <c r="E769" s="61" t="s">
        <v>15</v>
      </c>
      <c r="F769" s="61"/>
      <c r="G769" s="655">
        <v>600000</v>
      </c>
      <c r="H769" s="635">
        <v>554373.09900000005</v>
      </c>
      <c r="I769" s="655"/>
      <c r="J769" s="635">
        <f t="shared" si="25"/>
        <v>1154373.0989999999</v>
      </c>
      <c r="K769" s="635"/>
      <c r="L769" s="655"/>
      <c r="M769" s="655">
        <f t="shared" si="27"/>
        <v>1154373.0989999999</v>
      </c>
      <c r="N769" s="627"/>
      <c r="O769" s="636"/>
    </row>
    <row r="770" spans="1:15" s="242" customFormat="1" ht="14.25" customHeight="1">
      <c r="A770" s="638">
        <v>246</v>
      </c>
      <c r="B770" s="625" t="e">
        <f>VLOOKUP(D770,'[1]DS CN MOI UP'!$B$11:$C$447,2,0)</f>
        <v>#N/A</v>
      </c>
      <c r="C770" s="626" t="s">
        <v>654</v>
      </c>
      <c r="D770" s="627" t="s">
        <v>1175</v>
      </c>
      <c r="E770" s="61" t="s">
        <v>15</v>
      </c>
      <c r="F770" s="61"/>
      <c r="G770" s="655">
        <v>600000</v>
      </c>
      <c r="H770" s="635">
        <v>554373.09900000005</v>
      </c>
      <c r="I770" s="655"/>
      <c r="J770" s="635">
        <f t="shared" si="25"/>
        <v>1154373.0989999999</v>
      </c>
      <c r="K770" s="635"/>
      <c r="L770" s="655"/>
      <c r="M770" s="655">
        <f t="shared" si="27"/>
        <v>1154373.0989999999</v>
      </c>
      <c r="N770" s="627"/>
      <c r="O770" s="636"/>
    </row>
    <row r="771" spans="1:15" s="242" customFormat="1" ht="14.25" customHeight="1">
      <c r="A771" s="638">
        <v>247</v>
      </c>
      <c r="B771" s="625" t="e">
        <f>VLOOKUP(D771,'[1]DS CN MOI UP'!$B$11:$C$447,2,0)</f>
        <v>#N/A</v>
      </c>
      <c r="C771" s="626" t="s">
        <v>654</v>
      </c>
      <c r="D771" s="627" t="s">
        <v>1176</v>
      </c>
      <c r="E771" s="61" t="s">
        <v>15</v>
      </c>
      <c r="F771" s="61"/>
      <c r="G771" s="655">
        <v>600000</v>
      </c>
      <c r="H771" s="635">
        <v>554373.09900000005</v>
      </c>
      <c r="I771" s="655"/>
      <c r="J771" s="635">
        <f t="shared" si="25"/>
        <v>1154373.0989999999</v>
      </c>
      <c r="K771" s="635"/>
      <c r="L771" s="655"/>
      <c r="M771" s="655">
        <f t="shared" si="27"/>
        <v>1154373.0989999999</v>
      </c>
      <c r="N771" s="627"/>
      <c r="O771" s="636"/>
    </row>
    <row r="772" spans="1:15" s="242" customFormat="1" ht="14.25" customHeight="1">
      <c r="A772" s="624">
        <v>248</v>
      </c>
      <c r="B772" s="625" t="str">
        <f>VLOOKUP(D772,'[1]DS CN MOI UP'!$B$11:$C$447,2,0)</f>
        <v>02541</v>
      </c>
      <c r="C772" s="626" t="s">
        <v>654</v>
      </c>
      <c r="D772" s="627" t="s">
        <v>185</v>
      </c>
      <c r="E772" s="61" t="s">
        <v>15</v>
      </c>
      <c r="F772" s="61"/>
      <c r="G772" s="655">
        <v>600000</v>
      </c>
      <c r="H772" s="635">
        <v>635040.18900000001</v>
      </c>
      <c r="I772" s="655"/>
      <c r="J772" s="635">
        <f t="shared" si="25"/>
        <v>1235040.189</v>
      </c>
      <c r="K772" s="635"/>
      <c r="L772" s="655"/>
      <c r="M772" s="655">
        <f t="shared" si="27"/>
        <v>1235040.189</v>
      </c>
      <c r="N772" s="627"/>
      <c r="O772" s="636"/>
    </row>
    <row r="773" spans="1:15" s="242" customFormat="1" ht="14.25" customHeight="1">
      <c r="A773" s="638">
        <v>249</v>
      </c>
      <c r="B773" s="625" t="e">
        <f>VLOOKUP(D773,'[1]DS CN MOI UP'!$B$11:$C$447,2,0)</f>
        <v>#N/A</v>
      </c>
      <c r="C773" s="626" t="s">
        <v>654</v>
      </c>
      <c r="D773" s="627" t="s">
        <v>1177</v>
      </c>
      <c r="E773" s="61" t="s">
        <v>15</v>
      </c>
      <c r="F773" s="61"/>
      <c r="G773" s="655">
        <v>600000</v>
      </c>
      <c r="H773" s="635">
        <v>544338.9</v>
      </c>
      <c r="I773" s="655"/>
      <c r="J773" s="635">
        <f t="shared" si="25"/>
        <v>1144338.8999999999</v>
      </c>
      <c r="K773" s="635"/>
      <c r="L773" s="655"/>
      <c r="M773" s="655">
        <f t="shared" si="27"/>
        <v>1144338.8999999999</v>
      </c>
      <c r="N773" s="627"/>
      <c r="O773" s="636"/>
    </row>
    <row r="774" spans="1:15" s="242" customFormat="1" ht="14.25" customHeight="1">
      <c r="A774" s="638">
        <v>250</v>
      </c>
      <c r="B774" s="625" t="e">
        <f>VLOOKUP(D774,'[1]DS CN MOI UP'!$B$11:$C$447,2,0)</f>
        <v>#N/A</v>
      </c>
      <c r="C774" s="626" t="s">
        <v>654</v>
      </c>
      <c r="D774" s="627" t="s">
        <v>1178</v>
      </c>
      <c r="E774" s="61" t="s">
        <v>15</v>
      </c>
      <c r="F774" s="61"/>
      <c r="G774" s="655">
        <v>600000</v>
      </c>
      <c r="H774" s="635">
        <v>574572.66299999994</v>
      </c>
      <c r="I774" s="655"/>
      <c r="J774" s="635">
        <f t="shared" si="25"/>
        <v>1174572.6629999999</v>
      </c>
      <c r="K774" s="635"/>
      <c r="L774" s="655"/>
      <c r="M774" s="655">
        <f t="shared" si="27"/>
        <v>1174572.6629999999</v>
      </c>
      <c r="N774" s="627"/>
      <c r="O774" s="636"/>
    </row>
    <row r="775" spans="1:15" s="242" customFormat="1" ht="14.25" customHeight="1">
      <c r="A775" s="624">
        <v>251</v>
      </c>
      <c r="B775" s="625" t="str">
        <f>VLOOKUP(D775,'[1]DS CN MOI UP'!$B$11:$C$447,2,0)</f>
        <v>02542</v>
      </c>
      <c r="C775" s="626" t="s">
        <v>654</v>
      </c>
      <c r="D775" s="627" t="s">
        <v>504</v>
      </c>
      <c r="E775" s="61" t="s">
        <v>15</v>
      </c>
      <c r="F775" s="61"/>
      <c r="G775" s="655">
        <v>600000</v>
      </c>
      <c r="H775" s="635">
        <v>604806.42599999998</v>
      </c>
      <c r="I775" s="655"/>
      <c r="J775" s="635">
        <f t="shared" si="25"/>
        <v>1204806.426</v>
      </c>
      <c r="K775" s="635"/>
      <c r="L775" s="655"/>
      <c r="M775" s="655">
        <f t="shared" si="27"/>
        <v>1204806.426</v>
      </c>
      <c r="N775" s="627"/>
      <c r="O775" s="636"/>
    </row>
    <row r="776" spans="1:15" s="242" customFormat="1" ht="14.25" customHeight="1">
      <c r="A776" s="638">
        <v>252</v>
      </c>
      <c r="B776" s="625" t="str">
        <f>VLOOKUP(D776,'[1]DS CN MOI UP'!$B$11:$C$447,2,0)</f>
        <v>02541</v>
      </c>
      <c r="C776" s="626" t="s">
        <v>654</v>
      </c>
      <c r="D776" s="627" t="s">
        <v>185</v>
      </c>
      <c r="E776" s="61" t="s">
        <v>15</v>
      </c>
      <c r="F776" s="61"/>
      <c r="G776" s="655">
        <v>600000</v>
      </c>
      <c r="H776" s="655">
        <v>554373.09900000005</v>
      </c>
      <c r="I776" s="655"/>
      <c r="J776" s="635">
        <f t="shared" si="25"/>
        <v>1154373.0989999999</v>
      </c>
      <c r="K776" s="635"/>
      <c r="L776" s="655"/>
      <c r="M776" s="655">
        <f t="shared" si="27"/>
        <v>1154373.0989999999</v>
      </c>
      <c r="N776" s="627"/>
      <c r="O776" s="636"/>
    </row>
    <row r="777" spans="1:15" s="242" customFormat="1" ht="14.25" customHeight="1">
      <c r="A777" s="638">
        <v>253</v>
      </c>
      <c r="B777" s="625" t="e">
        <f>VLOOKUP(D777,'[1]DS CN MOI UP'!$B$11:$C$447,2,0)</f>
        <v>#N/A</v>
      </c>
      <c r="C777" s="626" t="s">
        <v>654</v>
      </c>
      <c r="D777" s="627" t="s">
        <v>972</v>
      </c>
      <c r="E777" s="61" t="s">
        <v>15</v>
      </c>
      <c r="F777" s="61"/>
      <c r="G777" s="655">
        <v>600000</v>
      </c>
      <c r="H777" s="655">
        <v>554373.09900000005</v>
      </c>
      <c r="I777" s="655"/>
      <c r="J777" s="635">
        <f t="shared" si="25"/>
        <v>1154373.0989999999</v>
      </c>
      <c r="K777" s="635"/>
      <c r="L777" s="655"/>
      <c r="M777" s="655">
        <f t="shared" si="27"/>
        <v>1154373.0989999999</v>
      </c>
      <c r="N777" s="627"/>
      <c r="O777" s="636"/>
    </row>
    <row r="778" spans="1:15" s="242" customFormat="1" ht="14.25" customHeight="1">
      <c r="A778" s="624">
        <v>254</v>
      </c>
      <c r="B778" s="625" t="str">
        <f>VLOOKUP(D778,'[1]DS CN MOI UP'!$B$11:$C$447,2,0)</f>
        <v>02543</v>
      </c>
      <c r="C778" s="626" t="s">
        <v>654</v>
      </c>
      <c r="D778" s="627" t="s">
        <v>189</v>
      </c>
      <c r="E778" s="61" t="s">
        <v>15</v>
      </c>
      <c r="F778" s="61"/>
      <c r="G778" s="655">
        <v>600000</v>
      </c>
      <c r="H778" s="655">
        <v>554373.09900000005</v>
      </c>
      <c r="I778" s="655"/>
      <c r="J778" s="635">
        <f t="shared" si="25"/>
        <v>1154373.0989999999</v>
      </c>
      <c r="K778" s="635"/>
      <c r="L778" s="655"/>
      <c r="M778" s="655">
        <f t="shared" si="27"/>
        <v>1154373.0989999999</v>
      </c>
      <c r="N778" s="627"/>
      <c r="O778" s="636"/>
    </row>
    <row r="779" spans="1:15" s="242" customFormat="1" ht="14.25" customHeight="1">
      <c r="A779" s="638">
        <v>255</v>
      </c>
      <c r="B779" s="625" t="str">
        <f>VLOOKUP(D779,'[1]DS CN MOI UP'!$B$11:$C$447,2,0)</f>
        <v>02510</v>
      </c>
      <c r="C779" s="626" t="s">
        <v>654</v>
      </c>
      <c r="D779" s="627" t="s">
        <v>41</v>
      </c>
      <c r="E779" s="61" t="s">
        <v>15</v>
      </c>
      <c r="F779" s="61"/>
      <c r="G779" s="655">
        <v>600000</v>
      </c>
      <c r="H779" s="655">
        <v>635040.18900000001</v>
      </c>
      <c r="I779" s="655"/>
      <c r="J779" s="635">
        <f t="shared" si="25"/>
        <v>1235040.189</v>
      </c>
      <c r="K779" s="635"/>
      <c r="L779" s="655"/>
      <c r="M779" s="655">
        <f t="shared" si="27"/>
        <v>1235040.189</v>
      </c>
      <c r="N779" s="627"/>
      <c r="O779" s="636"/>
    </row>
    <row r="780" spans="1:15" s="242" customFormat="1" ht="14.25" customHeight="1">
      <c r="A780" s="638">
        <v>256</v>
      </c>
      <c r="B780" s="625" t="e">
        <f>VLOOKUP(D780,'[1]DS CN MOI UP'!$B$11:$C$447,2,0)</f>
        <v>#N/A</v>
      </c>
      <c r="C780" s="626" t="s">
        <v>654</v>
      </c>
      <c r="D780" s="627" t="s">
        <v>1077</v>
      </c>
      <c r="E780" s="61" t="s">
        <v>15</v>
      </c>
      <c r="F780" s="61"/>
      <c r="G780" s="655">
        <v>600000</v>
      </c>
      <c r="H780" s="655">
        <v>544338.9</v>
      </c>
      <c r="I780" s="655"/>
      <c r="J780" s="635">
        <f t="shared" ref="J780:J882" si="28">SUM(G780:I780)</f>
        <v>1144338.8999999999</v>
      </c>
      <c r="K780" s="635"/>
      <c r="L780" s="655"/>
      <c r="M780" s="655">
        <f t="shared" si="27"/>
        <v>1144338.8999999999</v>
      </c>
      <c r="N780" s="627"/>
      <c r="O780" s="636"/>
    </row>
    <row r="781" spans="1:15" s="242" customFormat="1" ht="14.25" customHeight="1">
      <c r="A781" s="624">
        <v>257</v>
      </c>
      <c r="B781" s="625" t="e">
        <f>VLOOKUP(D781,'[1]DS CN MOI UP'!$B$11:$C$447,2,0)</f>
        <v>#N/A</v>
      </c>
      <c r="C781" s="626" t="s">
        <v>654</v>
      </c>
      <c r="D781" s="627" t="s">
        <v>1179</v>
      </c>
      <c r="E781" s="61" t="s">
        <v>15</v>
      </c>
      <c r="F781" s="61"/>
      <c r="G781" s="655">
        <v>600000</v>
      </c>
      <c r="H781" s="635">
        <v>524139.33600000001</v>
      </c>
      <c r="I781" s="655"/>
      <c r="J781" s="635">
        <f t="shared" si="28"/>
        <v>1124139.3360000001</v>
      </c>
      <c r="K781" s="635"/>
      <c r="L781" s="655"/>
      <c r="M781" s="655">
        <f t="shared" si="27"/>
        <v>1124139.3360000001</v>
      </c>
      <c r="N781" s="627"/>
      <c r="O781" s="636"/>
    </row>
    <row r="782" spans="1:15" s="242" customFormat="1" ht="14.25" customHeight="1">
      <c r="A782" s="638">
        <v>258</v>
      </c>
      <c r="B782" s="625" t="str">
        <f>VLOOKUP(D782,'[1]DS CN MOI UP'!$B$11:$C$447,2,0)</f>
        <v>02545</v>
      </c>
      <c r="C782" s="626" t="s">
        <v>654</v>
      </c>
      <c r="D782" s="627" t="s">
        <v>126</v>
      </c>
      <c r="E782" s="61" t="s">
        <v>15</v>
      </c>
      <c r="F782" s="61"/>
      <c r="G782" s="655">
        <v>600000</v>
      </c>
      <c r="H782" s="635">
        <v>635040.18900000001</v>
      </c>
      <c r="I782" s="655"/>
      <c r="J782" s="635">
        <f t="shared" si="28"/>
        <v>1235040.189</v>
      </c>
      <c r="K782" s="635"/>
      <c r="L782" s="655"/>
      <c r="M782" s="655">
        <f t="shared" si="27"/>
        <v>1235040.189</v>
      </c>
      <c r="N782" s="627"/>
      <c r="O782" s="636"/>
    </row>
    <row r="783" spans="1:15" s="242" customFormat="1" ht="14.25" customHeight="1">
      <c r="A783" s="638">
        <v>259</v>
      </c>
      <c r="B783" s="625" t="e">
        <f>VLOOKUP(D783,'[1]DS CN MOI UP'!$B$11:$C$447,2,0)</f>
        <v>#N/A</v>
      </c>
      <c r="C783" s="626" t="s">
        <v>654</v>
      </c>
      <c r="D783" s="627" t="s">
        <v>1180</v>
      </c>
      <c r="E783" s="61" t="s">
        <v>15</v>
      </c>
      <c r="F783" s="61"/>
      <c r="G783" s="655">
        <v>600000</v>
      </c>
      <c r="H783" s="635">
        <v>635040.18900000001</v>
      </c>
      <c r="I783" s="655"/>
      <c r="J783" s="635">
        <f t="shared" si="28"/>
        <v>1235040.189</v>
      </c>
      <c r="K783" s="635"/>
      <c r="L783" s="655"/>
      <c r="M783" s="655">
        <f t="shared" si="27"/>
        <v>1235040.189</v>
      </c>
      <c r="N783" s="627"/>
      <c r="O783" s="636"/>
    </row>
    <row r="784" spans="1:15" s="242" customFormat="1" ht="14.25" customHeight="1">
      <c r="A784" s="624">
        <v>260</v>
      </c>
      <c r="B784" s="625" t="str">
        <f>VLOOKUP(D784,'[1]DS CN MOI UP'!$B$11:$C$447,2,0)</f>
        <v>03402</v>
      </c>
      <c r="C784" s="626" t="s">
        <v>654</v>
      </c>
      <c r="D784" s="627" t="s">
        <v>312</v>
      </c>
      <c r="E784" s="61" t="s">
        <v>15</v>
      </c>
      <c r="F784" s="61"/>
      <c r="G784" s="655">
        <v>600000</v>
      </c>
      <c r="H784" s="635">
        <v>635040.18900000001</v>
      </c>
      <c r="I784" s="655"/>
      <c r="J784" s="635">
        <f t="shared" si="28"/>
        <v>1235040.189</v>
      </c>
      <c r="K784" s="635"/>
      <c r="L784" s="655"/>
      <c r="M784" s="655">
        <f t="shared" si="27"/>
        <v>1235040.189</v>
      </c>
      <c r="N784" s="627"/>
      <c r="O784" s="636"/>
    </row>
    <row r="785" spans="1:15" s="242" customFormat="1" ht="14.25" customHeight="1">
      <c r="A785" s="638">
        <v>261</v>
      </c>
      <c r="B785" s="625" t="e">
        <f>VLOOKUP(D785,'[1]DS CN MOI UP'!$B$11:$C$447,2,0)</f>
        <v>#N/A</v>
      </c>
      <c r="C785" s="626" t="s">
        <v>654</v>
      </c>
      <c r="D785" s="627" t="s">
        <v>1181</v>
      </c>
      <c r="E785" s="61" t="s">
        <v>15</v>
      </c>
      <c r="F785" s="61"/>
      <c r="G785" s="655">
        <v>600000</v>
      </c>
      <c r="H785" s="635">
        <v>635040.18900000001</v>
      </c>
      <c r="I785" s="655"/>
      <c r="J785" s="635">
        <f t="shared" si="28"/>
        <v>1235040.189</v>
      </c>
      <c r="K785" s="635"/>
      <c r="L785" s="655"/>
      <c r="M785" s="655">
        <f t="shared" si="27"/>
        <v>1235040.189</v>
      </c>
      <c r="N785" s="627"/>
      <c r="O785" s="636"/>
    </row>
    <row r="786" spans="1:15" s="242" customFormat="1" ht="14.25" customHeight="1">
      <c r="A786" s="638">
        <v>262</v>
      </c>
      <c r="B786" s="625" t="str">
        <f>VLOOKUP(D786,'[1]DS CN MOI UP'!$B$11:$C$447,2,0)</f>
        <v>02547</v>
      </c>
      <c r="C786" s="626" t="s">
        <v>654</v>
      </c>
      <c r="D786" s="627" t="s">
        <v>199</v>
      </c>
      <c r="E786" s="61" t="s">
        <v>15</v>
      </c>
      <c r="F786" s="61"/>
      <c r="G786" s="655">
        <v>600000</v>
      </c>
      <c r="H786" s="635">
        <v>635040.18900000001</v>
      </c>
      <c r="I786" s="655"/>
      <c r="J786" s="635">
        <f t="shared" si="28"/>
        <v>1235040.189</v>
      </c>
      <c r="K786" s="635"/>
      <c r="L786" s="655"/>
      <c r="M786" s="655">
        <f t="shared" si="27"/>
        <v>1235040.189</v>
      </c>
      <c r="N786" s="627"/>
      <c r="O786" s="636"/>
    </row>
    <row r="787" spans="1:15" s="242" customFormat="1" ht="14.25" customHeight="1">
      <c r="A787" s="624">
        <v>263</v>
      </c>
      <c r="B787" s="625" t="e">
        <f>VLOOKUP(D787,'[1]DS CN MOI UP'!$B$11:$C$447,2,0)</f>
        <v>#N/A</v>
      </c>
      <c r="C787" s="626" t="s">
        <v>654</v>
      </c>
      <c r="D787" s="627" t="s">
        <v>1182</v>
      </c>
      <c r="E787" s="61" t="s">
        <v>15</v>
      </c>
      <c r="F787" s="61"/>
      <c r="G787" s="655">
        <v>600000</v>
      </c>
      <c r="H787" s="635">
        <v>635040.18900000001</v>
      </c>
      <c r="I787" s="655"/>
      <c r="J787" s="635">
        <f t="shared" si="28"/>
        <v>1235040.189</v>
      </c>
      <c r="K787" s="635"/>
      <c r="L787" s="655"/>
      <c r="M787" s="655">
        <f t="shared" si="27"/>
        <v>1235040.189</v>
      </c>
      <c r="N787" s="627"/>
      <c r="O787" s="636"/>
    </row>
    <row r="788" spans="1:15" s="242" customFormat="1" ht="14.25" customHeight="1">
      <c r="A788" s="638">
        <v>264</v>
      </c>
      <c r="B788" s="625" t="e">
        <f>VLOOKUP(D788,'[1]DS CN MOI UP'!$B$11:$C$447,2,0)</f>
        <v>#N/A</v>
      </c>
      <c r="C788" s="626" t="s">
        <v>654</v>
      </c>
      <c r="D788" s="627" t="s">
        <v>1183</v>
      </c>
      <c r="E788" s="61" t="s">
        <v>15</v>
      </c>
      <c r="F788" s="61"/>
      <c r="G788" s="655">
        <v>600000</v>
      </c>
      <c r="H788" s="635">
        <v>635040.18900000001</v>
      </c>
      <c r="I788" s="655"/>
      <c r="J788" s="635">
        <f t="shared" si="28"/>
        <v>1235040.189</v>
      </c>
      <c r="K788" s="635"/>
      <c r="L788" s="655"/>
      <c r="M788" s="655">
        <f t="shared" si="27"/>
        <v>1235040.189</v>
      </c>
      <c r="N788" s="627"/>
      <c r="O788" s="636"/>
    </row>
    <row r="789" spans="1:15" s="242" customFormat="1" ht="14.25" customHeight="1">
      <c r="A789" s="638">
        <v>265</v>
      </c>
      <c r="B789" s="625" t="e">
        <f>VLOOKUP(D789,'[1]DS CN MOI UP'!$B$11:$C$447,2,0)</f>
        <v>#N/A</v>
      </c>
      <c r="C789" s="626" t="s">
        <v>654</v>
      </c>
      <c r="D789" s="627" t="s">
        <v>1184</v>
      </c>
      <c r="E789" s="61" t="s">
        <v>15</v>
      </c>
      <c r="F789" s="61"/>
      <c r="G789" s="655">
        <v>600000</v>
      </c>
      <c r="H789" s="635">
        <v>554373.09900000005</v>
      </c>
      <c r="I789" s="655"/>
      <c r="J789" s="635">
        <f t="shared" si="28"/>
        <v>1154373.0989999999</v>
      </c>
      <c r="K789" s="635"/>
      <c r="L789" s="655"/>
      <c r="M789" s="655">
        <f t="shared" si="27"/>
        <v>1154373.0989999999</v>
      </c>
      <c r="N789" s="627"/>
      <c r="O789" s="636"/>
    </row>
    <row r="790" spans="1:15" s="242" customFormat="1" ht="14.25" customHeight="1">
      <c r="A790" s="624">
        <v>266</v>
      </c>
      <c r="B790" s="625" t="e">
        <f>VLOOKUP(D790,'[1]DS CN MOI UP'!$B$11:$C$447,2,0)</f>
        <v>#N/A</v>
      </c>
      <c r="C790" s="626" t="s">
        <v>654</v>
      </c>
      <c r="D790" s="627" t="s">
        <v>1185</v>
      </c>
      <c r="E790" s="61" t="s">
        <v>15</v>
      </c>
      <c r="F790" s="61"/>
      <c r="G790" s="655">
        <v>600000</v>
      </c>
      <c r="H790" s="635">
        <v>554373.09900000005</v>
      </c>
      <c r="I790" s="655"/>
      <c r="J790" s="635">
        <f t="shared" si="28"/>
        <v>1154373.0989999999</v>
      </c>
      <c r="K790" s="635"/>
      <c r="L790" s="655"/>
      <c r="M790" s="655">
        <f t="shared" si="27"/>
        <v>1154373.0989999999</v>
      </c>
      <c r="N790" s="627"/>
      <c r="O790" s="636"/>
    </row>
    <row r="791" spans="1:15" s="242" customFormat="1" ht="14.25" customHeight="1">
      <c r="A791" s="638">
        <v>267</v>
      </c>
      <c r="B791" s="625" t="str">
        <f>VLOOKUP(D791,'[1]DS CN MOI UP'!$B$11:$C$447,2,0)</f>
        <v>02517</v>
      </c>
      <c r="C791" s="626" t="s">
        <v>654</v>
      </c>
      <c r="D791" s="627" t="s">
        <v>161</v>
      </c>
      <c r="E791" s="61" t="s">
        <v>15</v>
      </c>
      <c r="F791" s="61"/>
      <c r="G791" s="655">
        <v>600000</v>
      </c>
      <c r="H791" s="635">
        <v>554373.09900000005</v>
      </c>
      <c r="I791" s="655"/>
      <c r="J791" s="635">
        <f t="shared" si="28"/>
        <v>1154373.0989999999</v>
      </c>
      <c r="K791" s="635"/>
      <c r="L791" s="655"/>
      <c r="M791" s="655">
        <f t="shared" si="27"/>
        <v>1154373.0989999999</v>
      </c>
      <c r="N791" s="627"/>
      <c r="O791" s="636"/>
    </row>
    <row r="792" spans="1:15" s="242" customFormat="1" ht="14.25" customHeight="1">
      <c r="A792" s="638">
        <v>268</v>
      </c>
      <c r="B792" s="625" t="e">
        <f>VLOOKUP(D792,'[1]DS CN MOI UP'!$B$11:$C$447,2,0)</f>
        <v>#N/A</v>
      </c>
      <c r="C792" s="626" t="s">
        <v>654</v>
      </c>
      <c r="D792" s="627" t="s">
        <v>1186</v>
      </c>
      <c r="E792" s="61" t="s">
        <v>15</v>
      </c>
      <c r="F792" s="61"/>
      <c r="G792" s="655">
        <v>600000</v>
      </c>
      <c r="H792" s="635">
        <v>635040.18900000001</v>
      </c>
      <c r="I792" s="655"/>
      <c r="J792" s="635">
        <f t="shared" si="28"/>
        <v>1235040.189</v>
      </c>
      <c r="K792" s="635"/>
      <c r="L792" s="655"/>
      <c r="M792" s="655">
        <f t="shared" si="27"/>
        <v>1235040.189</v>
      </c>
      <c r="N792" s="627"/>
      <c r="O792" s="636"/>
    </row>
    <row r="793" spans="1:15" s="242" customFormat="1" ht="14.25" customHeight="1">
      <c r="A793" s="624">
        <v>269</v>
      </c>
      <c r="B793" s="625" t="str">
        <f>VLOOKUP(D793,'[1]DS CN MOI UP'!$B$11:$C$447,2,0)</f>
        <v>02518</v>
      </c>
      <c r="C793" s="626" t="s">
        <v>654</v>
      </c>
      <c r="D793" s="627" t="s">
        <v>135</v>
      </c>
      <c r="E793" s="61" t="s">
        <v>15</v>
      </c>
      <c r="F793" s="61"/>
      <c r="G793" s="655">
        <v>600000</v>
      </c>
      <c r="H793" s="635">
        <v>544338.9</v>
      </c>
      <c r="I793" s="655"/>
      <c r="J793" s="635">
        <f t="shared" si="28"/>
        <v>1144338.8999999999</v>
      </c>
      <c r="K793" s="635"/>
      <c r="L793" s="655"/>
      <c r="M793" s="655">
        <f t="shared" si="27"/>
        <v>1144338.8999999999</v>
      </c>
      <c r="N793" s="627"/>
      <c r="O793" s="636"/>
    </row>
    <row r="794" spans="1:15" s="242" customFormat="1" ht="14.25" customHeight="1">
      <c r="A794" s="638">
        <v>270</v>
      </c>
      <c r="B794" s="625" t="e">
        <f>VLOOKUP(D794,'[1]DS CN MOI UP'!$B$11:$C$447,2,0)</f>
        <v>#N/A</v>
      </c>
      <c r="C794" s="626" t="s">
        <v>654</v>
      </c>
      <c r="D794" s="627" t="s">
        <v>1187</v>
      </c>
      <c r="E794" s="61" t="s">
        <v>15</v>
      </c>
      <c r="F794" s="61"/>
      <c r="G794" s="655">
        <v>600000</v>
      </c>
      <c r="H794" s="635">
        <v>574572.66299999994</v>
      </c>
      <c r="I794" s="655"/>
      <c r="J794" s="635">
        <f t="shared" si="28"/>
        <v>1174572.6629999999</v>
      </c>
      <c r="K794" s="635"/>
      <c r="L794" s="655"/>
      <c r="M794" s="655">
        <f t="shared" si="27"/>
        <v>1174572.6629999999</v>
      </c>
      <c r="N794" s="627"/>
      <c r="O794" s="636"/>
    </row>
    <row r="795" spans="1:15" s="242" customFormat="1" ht="14.25" customHeight="1">
      <c r="A795" s="638">
        <v>271</v>
      </c>
      <c r="B795" s="625" t="str">
        <f>VLOOKUP(D795,'[1]DS CN MOI UP'!$B$11:$C$447,2,0)</f>
        <v>02519</v>
      </c>
      <c r="C795" s="626" t="s">
        <v>654</v>
      </c>
      <c r="D795" s="627" t="s">
        <v>173</v>
      </c>
      <c r="E795" s="61" t="s">
        <v>15</v>
      </c>
      <c r="F795" s="61"/>
      <c r="G795" s="655">
        <v>600000</v>
      </c>
      <c r="H795" s="635">
        <v>604806.42599999998</v>
      </c>
      <c r="I795" s="635"/>
      <c r="J795" s="635">
        <f t="shared" si="28"/>
        <v>1204806.426</v>
      </c>
      <c r="K795" s="635"/>
      <c r="L795" s="655"/>
      <c r="M795" s="655">
        <f t="shared" si="27"/>
        <v>1204806.426</v>
      </c>
      <c r="N795" s="627"/>
      <c r="O795" s="636"/>
    </row>
    <row r="796" spans="1:15" s="242" customFormat="1" ht="14.25" customHeight="1">
      <c r="A796" s="624">
        <v>272</v>
      </c>
      <c r="B796" s="625" t="e">
        <f>VLOOKUP(D796,'[1]DS CN MOI UP'!$B$11:$C$447,2,0)</f>
        <v>#N/A</v>
      </c>
      <c r="C796" s="626" t="s">
        <v>654</v>
      </c>
      <c r="D796" s="627" t="s">
        <v>1188</v>
      </c>
      <c r="E796" s="61" t="s">
        <v>15</v>
      </c>
      <c r="F796" s="61"/>
      <c r="G796" s="655">
        <v>600000</v>
      </c>
      <c r="H796" s="655">
        <v>554373.09900000005</v>
      </c>
      <c r="I796" s="635"/>
      <c r="J796" s="635">
        <f t="shared" si="28"/>
        <v>1154373.0989999999</v>
      </c>
      <c r="K796" s="635"/>
      <c r="L796" s="655"/>
      <c r="M796" s="655">
        <f t="shared" si="27"/>
        <v>1154373.0989999999</v>
      </c>
      <c r="N796" s="627"/>
      <c r="O796" s="636"/>
    </row>
    <row r="797" spans="1:15" s="242" customFormat="1" ht="14.25" customHeight="1">
      <c r="A797" s="638">
        <v>273</v>
      </c>
      <c r="B797" s="625" t="e">
        <f>VLOOKUP(D797,'[1]DS CN MOI UP'!$B$11:$C$447,2,0)</f>
        <v>#N/A</v>
      </c>
      <c r="C797" s="626" t="s">
        <v>654</v>
      </c>
      <c r="D797" s="627" t="s">
        <v>1189</v>
      </c>
      <c r="E797" s="61" t="s">
        <v>15</v>
      </c>
      <c r="F797" s="61"/>
      <c r="G797" s="655">
        <v>600000</v>
      </c>
      <c r="H797" s="655">
        <v>554373.09900000005</v>
      </c>
      <c r="I797" s="635"/>
      <c r="J797" s="635">
        <f t="shared" si="28"/>
        <v>1154373.0989999999</v>
      </c>
      <c r="K797" s="635"/>
      <c r="L797" s="655"/>
      <c r="M797" s="655">
        <f t="shared" si="27"/>
        <v>1154373.0989999999</v>
      </c>
      <c r="N797" s="627"/>
      <c r="O797" s="636"/>
    </row>
    <row r="798" spans="1:15" s="242" customFormat="1" ht="14.25" customHeight="1">
      <c r="A798" s="638">
        <v>274</v>
      </c>
      <c r="B798" s="625"/>
      <c r="C798" s="626" t="s">
        <v>648</v>
      </c>
      <c r="D798" s="627" t="s">
        <v>188</v>
      </c>
      <c r="E798" s="61" t="s">
        <v>15</v>
      </c>
      <c r="F798" s="61"/>
      <c r="G798" s="655">
        <v>168500</v>
      </c>
      <c r="H798" s="655">
        <v>1108746.1980000001</v>
      </c>
      <c r="I798" s="635"/>
      <c r="J798" s="635">
        <f t="shared" si="28"/>
        <v>1277246.1980000001</v>
      </c>
      <c r="K798" s="635"/>
      <c r="L798" s="655"/>
      <c r="M798" s="655">
        <f t="shared" si="27"/>
        <v>1277246.1980000001</v>
      </c>
      <c r="N798" s="627"/>
      <c r="O798" s="636"/>
    </row>
    <row r="799" spans="1:15" s="242" customFormat="1" ht="14.25" customHeight="1">
      <c r="A799" s="624">
        <v>275</v>
      </c>
      <c r="B799" s="625" t="e">
        <f>VLOOKUP(D799,'[1]DS CN MOI UP'!$B$11:$C$447,2,0)</f>
        <v>#N/A</v>
      </c>
      <c r="C799" s="626" t="s">
        <v>650</v>
      </c>
      <c r="D799" s="627" t="s">
        <v>1190</v>
      </c>
      <c r="E799" s="61" t="s">
        <v>15</v>
      </c>
      <c r="F799" s="61"/>
      <c r="G799" s="655"/>
      <c r="H799" s="655">
        <v>1159179.5249999999</v>
      </c>
      <c r="I799" s="635"/>
      <c r="J799" s="635">
        <f t="shared" si="28"/>
        <v>1159179.5249999999</v>
      </c>
      <c r="K799" s="635"/>
      <c r="L799" s="655"/>
      <c r="M799" s="655">
        <f t="shared" si="27"/>
        <v>1159179.5249999999</v>
      </c>
      <c r="N799" s="627"/>
      <c r="O799" s="636"/>
    </row>
    <row r="800" spans="1:15" s="242" customFormat="1" ht="14.25" customHeight="1">
      <c r="A800" s="638">
        <v>276</v>
      </c>
      <c r="B800" s="625" t="e">
        <f>VLOOKUP(D800,'[1]DS CN MOI UP'!$B$11:$C$447,2,0)</f>
        <v>#N/A</v>
      </c>
      <c r="C800" s="626" t="s">
        <v>651</v>
      </c>
      <c r="D800" s="627" t="s">
        <v>1191</v>
      </c>
      <c r="E800" s="61" t="s">
        <v>15</v>
      </c>
      <c r="F800" s="61"/>
      <c r="G800" s="655"/>
      <c r="H800" s="635">
        <v>1270080.378</v>
      </c>
      <c r="I800" s="635"/>
      <c r="J800" s="635">
        <f t="shared" si="28"/>
        <v>1270080.378</v>
      </c>
      <c r="K800" s="635"/>
      <c r="L800" s="655"/>
      <c r="M800" s="655">
        <f t="shared" si="27"/>
        <v>1270080.378</v>
      </c>
      <c r="N800" s="627"/>
      <c r="O800" s="636"/>
    </row>
    <row r="801" spans="1:15" s="242" customFormat="1" ht="14.25" customHeight="1">
      <c r="A801" s="638">
        <v>277</v>
      </c>
      <c r="B801" s="625" t="str">
        <f>VLOOKUP(D801,'[1]DS CN MOI UP'!$B$11:$C$447,2,0)</f>
        <v>02521</v>
      </c>
      <c r="C801" s="626" t="s">
        <v>651</v>
      </c>
      <c r="D801" s="627" t="s">
        <v>137</v>
      </c>
      <c r="E801" s="61" t="s">
        <v>15</v>
      </c>
      <c r="F801" s="61"/>
      <c r="G801" s="655"/>
      <c r="H801" s="635">
        <v>1159179.5249999999</v>
      </c>
      <c r="I801" s="635"/>
      <c r="J801" s="635">
        <f t="shared" si="28"/>
        <v>1159179.5249999999</v>
      </c>
      <c r="K801" s="635"/>
      <c r="L801" s="655"/>
      <c r="M801" s="655">
        <f t="shared" si="27"/>
        <v>1159179.5249999999</v>
      </c>
      <c r="N801" s="627"/>
      <c r="O801" s="636"/>
    </row>
    <row r="802" spans="1:15" s="242" customFormat="1" ht="14.25" customHeight="1">
      <c r="A802" s="624">
        <v>278</v>
      </c>
      <c r="B802" s="625" t="e">
        <f>VLOOKUP(D802,'[1]DS CN MOI UP'!$B$11:$C$447,2,0)</f>
        <v>#N/A</v>
      </c>
      <c r="C802" s="626" t="s">
        <v>651</v>
      </c>
      <c r="D802" s="627" t="s">
        <v>1192</v>
      </c>
      <c r="E802" s="61" t="s">
        <v>15</v>
      </c>
      <c r="F802" s="61"/>
      <c r="G802" s="655"/>
      <c r="H802" s="635">
        <v>1270080.378</v>
      </c>
      <c r="I802" s="635"/>
      <c r="J802" s="635">
        <f t="shared" si="28"/>
        <v>1270080.378</v>
      </c>
      <c r="K802" s="635"/>
      <c r="L802" s="655"/>
      <c r="M802" s="655">
        <f t="shared" si="27"/>
        <v>1270080.378</v>
      </c>
      <c r="N802" s="627"/>
      <c r="O802" s="636"/>
    </row>
    <row r="803" spans="1:15" s="242" customFormat="1" ht="14.25" customHeight="1">
      <c r="A803" s="638">
        <v>279</v>
      </c>
      <c r="B803" s="625" t="str">
        <f>VLOOKUP(D803,'[1]DS CN MOI UP'!$B$11:$C$447,2,0)</f>
        <v>02522</v>
      </c>
      <c r="C803" s="626" t="s">
        <v>651</v>
      </c>
      <c r="D803" s="627" t="s">
        <v>162</v>
      </c>
      <c r="E803" s="61" t="s">
        <v>15</v>
      </c>
      <c r="F803" s="61"/>
      <c r="G803" s="655"/>
      <c r="H803" s="635">
        <v>1159179.5249999999</v>
      </c>
      <c r="I803" s="635"/>
      <c r="J803" s="635">
        <f t="shared" si="28"/>
        <v>1159179.5249999999</v>
      </c>
      <c r="K803" s="635"/>
      <c r="L803" s="655"/>
      <c r="M803" s="655">
        <f t="shared" si="27"/>
        <v>1159179.5249999999</v>
      </c>
      <c r="N803" s="627"/>
      <c r="O803" s="636"/>
    </row>
    <row r="804" spans="1:15" s="242" customFormat="1" ht="14.25" customHeight="1">
      <c r="A804" s="638">
        <v>280</v>
      </c>
      <c r="B804" s="625" t="str">
        <f>VLOOKUP(D804,'[1]DS CN MOI UP'!$B$11:$C$447,2,0)</f>
        <v>02666</v>
      </c>
      <c r="C804" s="626" t="s">
        <v>651</v>
      </c>
      <c r="D804" s="627" t="s">
        <v>435</v>
      </c>
      <c r="E804" s="61" t="s">
        <v>15</v>
      </c>
      <c r="F804" s="61"/>
      <c r="G804" s="655"/>
      <c r="H804" s="655">
        <v>1138979.9609999999</v>
      </c>
      <c r="I804" s="635"/>
      <c r="J804" s="635">
        <f t="shared" si="28"/>
        <v>1138979.9609999999</v>
      </c>
      <c r="K804" s="635"/>
      <c r="L804" s="655"/>
      <c r="M804" s="655">
        <f t="shared" ref="M804:M867" si="29">J804-L804</f>
        <v>1138979.9609999999</v>
      </c>
      <c r="N804" s="627"/>
      <c r="O804" s="636"/>
    </row>
    <row r="805" spans="1:15" s="242" customFormat="1" ht="14.25" customHeight="1">
      <c r="A805" s="624">
        <v>281</v>
      </c>
      <c r="B805" s="625" t="str">
        <f>VLOOKUP(D805,'[1]DS CN MOI UP'!$B$11:$C$447,2,0)</f>
        <v>02523</v>
      </c>
      <c r="C805" s="626" t="s">
        <v>651</v>
      </c>
      <c r="D805" s="627" t="s">
        <v>169</v>
      </c>
      <c r="E805" s="61" t="s">
        <v>15</v>
      </c>
      <c r="F805" s="61"/>
      <c r="G805" s="655"/>
      <c r="H805" s="635">
        <v>1270080.378</v>
      </c>
      <c r="I805" s="635"/>
      <c r="J805" s="635">
        <f t="shared" si="28"/>
        <v>1270080.378</v>
      </c>
      <c r="K805" s="635"/>
      <c r="L805" s="655"/>
      <c r="M805" s="655">
        <f t="shared" si="29"/>
        <v>1270080.378</v>
      </c>
      <c r="N805" s="627"/>
      <c r="O805" s="636"/>
    </row>
    <row r="806" spans="1:15" s="242" customFormat="1" ht="14.25" customHeight="1">
      <c r="A806" s="638">
        <v>282</v>
      </c>
      <c r="B806" s="625" t="e">
        <f>VLOOKUP(D806,'[1]DS CN MOI UP'!$B$11:$C$447,2,0)</f>
        <v>#N/A</v>
      </c>
      <c r="C806" s="626" t="s">
        <v>651</v>
      </c>
      <c r="D806" s="627" t="s">
        <v>1193</v>
      </c>
      <c r="E806" s="61" t="s">
        <v>15</v>
      </c>
      <c r="F806" s="61"/>
      <c r="G806" s="655"/>
      <c r="H806" s="635">
        <v>1270080.378</v>
      </c>
      <c r="I806" s="635"/>
      <c r="J806" s="635">
        <f t="shared" si="28"/>
        <v>1270080.378</v>
      </c>
      <c r="K806" s="635"/>
      <c r="L806" s="655"/>
      <c r="M806" s="655">
        <f t="shared" si="29"/>
        <v>1270080.378</v>
      </c>
      <c r="N806" s="627"/>
      <c r="O806" s="636"/>
    </row>
    <row r="807" spans="1:15" s="242" customFormat="1" ht="14.25" customHeight="1">
      <c r="A807" s="638">
        <v>283</v>
      </c>
      <c r="B807" s="625" t="str">
        <f>VLOOKUP(D807,'[1]DS CN MOI UP'!$B$11:$C$447,2,0)</f>
        <v>02524</v>
      </c>
      <c r="C807" s="626" t="s">
        <v>651</v>
      </c>
      <c r="D807" s="627" t="s">
        <v>139</v>
      </c>
      <c r="E807" s="61" t="s">
        <v>15</v>
      </c>
      <c r="F807" s="61"/>
      <c r="G807" s="655"/>
      <c r="H807" s="635">
        <v>1108746.1980000001</v>
      </c>
      <c r="I807" s="635"/>
      <c r="J807" s="635">
        <f t="shared" si="28"/>
        <v>1108746.1980000001</v>
      </c>
      <c r="K807" s="635"/>
      <c r="L807" s="655"/>
      <c r="M807" s="655">
        <f t="shared" si="29"/>
        <v>1108746.1980000001</v>
      </c>
      <c r="N807" s="627"/>
      <c r="O807" s="636"/>
    </row>
    <row r="808" spans="1:15" s="242" customFormat="1" ht="14.25" customHeight="1">
      <c r="A808" s="624">
        <v>284</v>
      </c>
      <c r="B808" s="625" t="e">
        <f>VLOOKUP(D808,'[1]DS CN MOI UP'!$B$11:$C$447,2,0)</f>
        <v>#N/A</v>
      </c>
      <c r="C808" s="626" t="s">
        <v>651</v>
      </c>
      <c r="D808" s="627" t="s">
        <v>1194</v>
      </c>
      <c r="E808" s="61" t="s">
        <v>15</v>
      </c>
      <c r="F808" s="61"/>
      <c r="G808" s="655"/>
      <c r="H808" s="635">
        <v>1270080.378</v>
      </c>
      <c r="I808" s="635"/>
      <c r="J808" s="635">
        <f t="shared" si="28"/>
        <v>1270080.378</v>
      </c>
      <c r="K808" s="635"/>
      <c r="L808" s="655"/>
      <c r="M808" s="655">
        <f t="shared" si="29"/>
        <v>1270080.378</v>
      </c>
      <c r="N808" s="627"/>
      <c r="O808" s="636"/>
    </row>
    <row r="809" spans="1:15" s="242" customFormat="1" ht="14.25" customHeight="1">
      <c r="A809" s="638">
        <v>285</v>
      </c>
      <c r="B809" s="625" t="str">
        <f>VLOOKUP(D809,'[1]DS CN MOI UP'!$B$11:$C$447,2,0)</f>
        <v>02525</v>
      </c>
      <c r="C809" s="626" t="s">
        <v>651</v>
      </c>
      <c r="D809" s="627" t="s">
        <v>180</v>
      </c>
      <c r="E809" s="61" t="s">
        <v>15</v>
      </c>
      <c r="F809" s="61"/>
      <c r="G809" s="655"/>
      <c r="H809" s="635">
        <v>1259007.19934334</v>
      </c>
      <c r="I809" s="635"/>
      <c r="J809" s="635">
        <f t="shared" si="28"/>
        <v>1259007.19934334</v>
      </c>
      <c r="K809" s="635"/>
      <c r="L809" s="655"/>
      <c r="M809" s="655">
        <f t="shared" si="29"/>
        <v>1259007.19934334</v>
      </c>
      <c r="N809" s="627"/>
      <c r="O809" s="636"/>
    </row>
    <row r="810" spans="1:15" s="242" customFormat="1" ht="14.25" customHeight="1">
      <c r="A810" s="638">
        <v>286</v>
      </c>
      <c r="B810" s="625" t="e">
        <f>VLOOKUP(D810,'[1]DS CN MOI UP'!$B$11:$C$447,2,0)</f>
        <v>#N/A</v>
      </c>
      <c r="C810" s="626" t="s">
        <v>651</v>
      </c>
      <c r="D810" s="627" t="s">
        <v>1195</v>
      </c>
      <c r="E810" s="61" t="s">
        <v>15</v>
      </c>
      <c r="F810" s="61"/>
      <c r="G810" s="655"/>
      <c r="H810" s="635">
        <v>1148746.1980000001</v>
      </c>
      <c r="I810" s="635"/>
      <c r="J810" s="635">
        <f t="shared" si="28"/>
        <v>1148746.1980000001</v>
      </c>
      <c r="K810" s="635"/>
      <c r="L810" s="655"/>
      <c r="M810" s="655">
        <f t="shared" si="29"/>
        <v>1148746.1980000001</v>
      </c>
      <c r="N810" s="627"/>
      <c r="O810" s="636"/>
    </row>
    <row r="811" spans="1:15" s="242" customFormat="1" ht="14.25" customHeight="1">
      <c r="A811" s="624">
        <v>287</v>
      </c>
      <c r="B811" s="625" t="str">
        <f>VLOOKUP(D811,'[1]DS CN MOI UP'!$B$11:$C$447,2,0)</f>
        <v>02526</v>
      </c>
      <c r="C811" s="626" t="s">
        <v>651</v>
      </c>
      <c r="D811" s="627" t="s">
        <v>129</v>
      </c>
      <c r="E811" s="61" t="s">
        <v>15</v>
      </c>
      <c r="F811" s="61"/>
      <c r="G811" s="655"/>
      <c r="H811" s="635">
        <v>1270080.378</v>
      </c>
      <c r="I811" s="635"/>
      <c r="J811" s="635">
        <f t="shared" si="28"/>
        <v>1270080.378</v>
      </c>
      <c r="K811" s="635"/>
      <c r="L811" s="655"/>
      <c r="M811" s="655">
        <f t="shared" si="29"/>
        <v>1270080.378</v>
      </c>
      <c r="N811" s="627"/>
      <c r="O811" s="636"/>
    </row>
    <row r="812" spans="1:15" s="242" customFormat="1" ht="14.25" customHeight="1">
      <c r="A812" s="638">
        <v>288</v>
      </c>
      <c r="B812" s="625" t="e">
        <f>VLOOKUP(D812,'[1]DS CN MOI UP'!$B$11:$C$447,2,0)</f>
        <v>#N/A</v>
      </c>
      <c r="C812" s="626" t="s">
        <v>651</v>
      </c>
      <c r="D812" s="627" t="s">
        <v>1196</v>
      </c>
      <c r="E812" s="61" t="s">
        <v>15</v>
      </c>
      <c r="F812" s="61"/>
      <c r="G812" s="655"/>
      <c r="H812" s="635">
        <v>1128677.8</v>
      </c>
      <c r="I812" s="635"/>
      <c r="J812" s="635">
        <f t="shared" si="28"/>
        <v>1128677.8</v>
      </c>
      <c r="K812" s="635"/>
      <c r="L812" s="655"/>
      <c r="M812" s="655">
        <f t="shared" si="29"/>
        <v>1128677.8</v>
      </c>
      <c r="N812" s="627"/>
      <c r="O812" s="636"/>
    </row>
    <row r="813" spans="1:15" s="242" customFormat="1" ht="14.25" customHeight="1">
      <c r="A813" s="638">
        <v>289</v>
      </c>
      <c r="B813" s="625" t="str">
        <f>VLOOKUP(D813,'[1]DS CN MOI UP'!$B$11:$C$447,2,0)</f>
        <v>02527</v>
      </c>
      <c r="C813" s="626" t="s">
        <v>651</v>
      </c>
      <c r="D813" s="627" t="s">
        <v>156</v>
      </c>
      <c r="E813" s="61" t="s">
        <v>15</v>
      </c>
      <c r="F813" s="61"/>
      <c r="G813" s="655"/>
      <c r="H813" s="635">
        <v>1189145.3259999999</v>
      </c>
      <c r="I813" s="635"/>
      <c r="J813" s="635">
        <f t="shared" si="28"/>
        <v>1189145.3259999999</v>
      </c>
      <c r="K813" s="635"/>
      <c r="L813" s="655"/>
      <c r="M813" s="655">
        <f t="shared" si="29"/>
        <v>1189145.3259999999</v>
      </c>
      <c r="N813" s="627"/>
      <c r="O813" s="636"/>
    </row>
    <row r="814" spans="1:15" s="242" customFormat="1" ht="14.25" customHeight="1">
      <c r="A814" s="624">
        <v>290</v>
      </c>
      <c r="B814" s="625" t="e">
        <f>VLOOKUP(D814,'[1]DS CN MOI UP'!$B$11:$C$447,2,0)</f>
        <v>#N/A</v>
      </c>
      <c r="C814" s="626" t="s">
        <v>651</v>
      </c>
      <c r="D814" s="627" t="s">
        <v>1197</v>
      </c>
      <c r="E814" s="61" t="s">
        <v>15</v>
      </c>
      <c r="F814" s="61"/>
      <c r="G814" s="655"/>
      <c r="H814" s="635">
        <v>1249612.852</v>
      </c>
      <c r="I814" s="635"/>
      <c r="J814" s="635">
        <f t="shared" si="28"/>
        <v>1249612.852</v>
      </c>
      <c r="K814" s="635"/>
      <c r="L814" s="655"/>
      <c r="M814" s="655">
        <f t="shared" si="29"/>
        <v>1249612.852</v>
      </c>
      <c r="N814" s="627"/>
      <c r="O814" s="636"/>
    </row>
    <row r="815" spans="1:15" s="242" customFormat="1" ht="14.25" customHeight="1">
      <c r="A815" s="638">
        <v>291</v>
      </c>
      <c r="B815" s="625" t="str">
        <f>VLOOKUP(D815,'[1]DS CN MOI UP'!$B$11:$C$447,2,0)</f>
        <v>02528</v>
      </c>
      <c r="C815" s="626" t="s">
        <v>651</v>
      </c>
      <c r="D815" s="627" t="s">
        <v>159</v>
      </c>
      <c r="E815" s="61" t="s">
        <v>15</v>
      </c>
      <c r="F815" s="61"/>
      <c r="G815" s="655"/>
      <c r="H815" s="635">
        <v>1159179.5249999999</v>
      </c>
      <c r="I815" s="635"/>
      <c r="J815" s="635">
        <f t="shared" si="28"/>
        <v>1159179.5249999999</v>
      </c>
      <c r="K815" s="635"/>
      <c r="L815" s="655"/>
      <c r="M815" s="655">
        <f t="shared" si="29"/>
        <v>1159179.5249999999</v>
      </c>
      <c r="N815" s="627"/>
      <c r="O815" s="636"/>
    </row>
    <row r="816" spans="1:15" s="242" customFormat="1" ht="14.25" customHeight="1">
      <c r="A816" s="638">
        <v>292</v>
      </c>
      <c r="B816" s="625" t="e">
        <f>VLOOKUP(D816,'[1]DS CN MOI UP'!$B$11:$C$447,2,0)</f>
        <v>#N/A</v>
      </c>
      <c r="C816" s="626" t="s">
        <v>651</v>
      </c>
      <c r="D816" s="627" t="s">
        <v>1198</v>
      </c>
      <c r="E816" s="61" t="s">
        <v>15</v>
      </c>
      <c r="F816" s="61"/>
      <c r="G816" s="655"/>
      <c r="H816" s="635">
        <v>1148746.1980000001</v>
      </c>
      <c r="I816" s="635"/>
      <c r="J816" s="635">
        <f t="shared" si="28"/>
        <v>1148746.1980000001</v>
      </c>
      <c r="K816" s="635"/>
      <c r="L816" s="655"/>
      <c r="M816" s="655">
        <f t="shared" si="29"/>
        <v>1148746.1980000001</v>
      </c>
      <c r="N816" s="627"/>
      <c r="O816" s="636"/>
    </row>
    <row r="817" spans="1:15" s="242" customFormat="1" ht="14.25" customHeight="1">
      <c r="A817" s="624">
        <v>293</v>
      </c>
      <c r="B817" s="625" t="str">
        <f>VLOOKUP(D817,'[1]DS CN MOI UP'!$B$11:$C$447,2,0)</f>
        <v>03850</v>
      </c>
      <c r="C817" s="626" t="s">
        <v>651</v>
      </c>
      <c r="D817" s="627" t="s">
        <v>449</v>
      </c>
      <c r="E817" s="61" t="s">
        <v>15</v>
      </c>
      <c r="F817" s="61"/>
      <c r="G817" s="655"/>
      <c r="H817" s="635">
        <v>1270080.378</v>
      </c>
      <c r="I817" s="635"/>
      <c r="J817" s="635">
        <f t="shared" si="28"/>
        <v>1270080.378</v>
      </c>
      <c r="K817" s="635"/>
      <c r="L817" s="655"/>
      <c r="M817" s="655">
        <f t="shared" si="29"/>
        <v>1270080.378</v>
      </c>
      <c r="N817" s="627"/>
      <c r="O817" s="636">
        <v>170329.399343342</v>
      </c>
    </row>
    <row r="818" spans="1:15" s="242" customFormat="1" ht="14.25" customHeight="1">
      <c r="A818" s="638">
        <v>294</v>
      </c>
      <c r="B818" s="625" t="e">
        <f>VLOOKUP(D818,'[1]DS CN MOI UP'!$B$11:$C$447,2,0)</f>
        <v>#N/A</v>
      </c>
      <c r="C818" s="626" t="s">
        <v>651</v>
      </c>
      <c r="D818" s="627" t="s">
        <v>1162</v>
      </c>
      <c r="E818" s="61" t="s">
        <v>15</v>
      </c>
      <c r="F818" s="61"/>
      <c r="G818" s="655"/>
      <c r="H818" s="635">
        <v>1128677.8</v>
      </c>
      <c r="I818" s="635"/>
      <c r="J818" s="635">
        <f t="shared" si="28"/>
        <v>1128677.8</v>
      </c>
      <c r="K818" s="635"/>
      <c r="L818" s="655"/>
      <c r="M818" s="655">
        <f t="shared" si="29"/>
        <v>1128677.8</v>
      </c>
      <c r="N818" s="627"/>
      <c r="O818" s="636"/>
    </row>
    <row r="819" spans="1:15" s="242" customFormat="1" ht="14.25" customHeight="1">
      <c r="A819" s="638">
        <v>295</v>
      </c>
      <c r="B819" s="625" t="e">
        <f>VLOOKUP(D819,'[1]DS CN MOI UP'!$B$11:$C$447,2,0)</f>
        <v>#N/A</v>
      </c>
      <c r="C819" s="626" t="s">
        <v>651</v>
      </c>
      <c r="D819" s="627" t="s">
        <v>1163</v>
      </c>
      <c r="E819" s="61" t="s">
        <v>15</v>
      </c>
      <c r="F819" s="61"/>
      <c r="G819" s="655"/>
      <c r="H819" s="635">
        <v>1189145.3259999999</v>
      </c>
      <c r="I819" s="635"/>
      <c r="J819" s="635">
        <f t="shared" si="28"/>
        <v>1189145.3259999999</v>
      </c>
      <c r="K819" s="635"/>
      <c r="L819" s="655"/>
      <c r="M819" s="655">
        <f t="shared" si="29"/>
        <v>1189145.3259999999</v>
      </c>
      <c r="N819" s="627"/>
      <c r="O819" s="636"/>
    </row>
    <row r="820" spans="1:15" s="242" customFormat="1" ht="14.25" customHeight="1">
      <c r="A820" s="624">
        <v>296</v>
      </c>
      <c r="B820" s="625" t="e">
        <f>VLOOKUP(D820,'[1]DS CN MOI UP'!$B$11:$C$447,2,0)</f>
        <v>#N/A</v>
      </c>
      <c r="C820" s="626" t="s">
        <v>651</v>
      </c>
      <c r="D820" s="627" t="s">
        <v>916</v>
      </c>
      <c r="E820" s="61" t="s">
        <v>15</v>
      </c>
      <c r="F820" s="61"/>
      <c r="G820" s="655"/>
      <c r="H820" s="635">
        <v>1249612.852</v>
      </c>
      <c r="I820" s="635"/>
      <c r="J820" s="635">
        <f t="shared" si="28"/>
        <v>1249612.852</v>
      </c>
      <c r="K820" s="635"/>
      <c r="L820" s="655"/>
      <c r="M820" s="655">
        <f t="shared" si="29"/>
        <v>1249612.852</v>
      </c>
      <c r="N820" s="627"/>
      <c r="O820" s="636"/>
    </row>
    <row r="821" spans="1:15" s="242" customFormat="1" ht="14.25" customHeight="1">
      <c r="A821" s="638">
        <v>297</v>
      </c>
      <c r="B821" s="625" t="e">
        <f>VLOOKUP(D821,'[1]DS CN MOI UP'!$B$11:$C$447,2,0)</f>
        <v>#N/A</v>
      </c>
      <c r="C821" s="626" t="s">
        <v>651</v>
      </c>
      <c r="D821" s="627" t="s">
        <v>1164</v>
      </c>
      <c r="E821" s="61" t="s">
        <v>15</v>
      </c>
      <c r="F821" s="61"/>
      <c r="G821" s="655"/>
      <c r="H821" s="635">
        <v>1159179.5249999999</v>
      </c>
      <c r="I821" s="635"/>
      <c r="J821" s="635">
        <f t="shared" si="28"/>
        <v>1159179.5249999999</v>
      </c>
      <c r="K821" s="635"/>
      <c r="L821" s="655"/>
      <c r="M821" s="655">
        <f t="shared" si="29"/>
        <v>1159179.5249999999</v>
      </c>
      <c r="N821" s="627"/>
      <c r="O821" s="636"/>
    </row>
    <row r="822" spans="1:15" s="242" customFormat="1" ht="14.25" customHeight="1">
      <c r="A822" s="638">
        <v>298</v>
      </c>
      <c r="B822" s="625" t="e">
        <f>VLOOKUP(D822,'[1]DS CN MOI UP'!$B$11:$C$447,2,0)</f>
        <v>#N/A</v>
      </c>
      <c r="C822" s="626" t="s">
        <v>651</v>
      </c>
      <c r="D822" s="627" t="s">
        <v>1165</v>
      </c>
      <c r="E822" s="61" t="s">
        <v>15</v>
      </c>
      <c r="F822" s="61"/>
      <c r="G822" s="655"/>
      <c r="H822" s="635">
        <v>1249612.852</v>
      </c>
      <c r="I822" s="635"/>
      <c r="J822" s="635">
        <f t="shared" si="28"/>
        <v>1249612.852</v>
      </c>
      <c r="K822" s="635"/>
      <c r="L822" s="655"/>
      <c r="M822" s="655">
        <f t="shared" si="29"/>
        <v>1249612.852</v>
      </c>
      <c r="N822" s="627"/>
      <c r="O822" s="636"/>
    </row>
    <row r="823" spans="1:15" s="242" customFormat="1" ht="14.25" customHeight="1">
      <c r="A823" s="624">
        <v>299</v>
      </c>
      <c r="B823" s="625"/>
      <c r="C823" s="626"/>
      <c r="D823" s="627" t="s">
        <v>701</v>
      </c>
      <c r="E823" s="61" t="s">
        <v>15</v>
      </c>
      <c r="F823" s="61"/>
      <c r="G823" s="655"/>
      <c r="H823" s="635">
        <v>635040.18900000001</v>
      </c>
      <c r="I823" s="635">
        <v>635040.18900000001</v>
      </c>
      <c r="J823" s="635">
        <f t="shared" si="28"/>
        <v>1270080.378</v>
      </c>
      <c r="K823" s="635"/>
      <c r="L823" s="655"/>
      <c r="M823" s="655">
        <f t="shared" si="29"/>
        <v>1270080.378</v>
      </c>
      <c r="N823" s="627"/>
      <c r="O823" s="636"/>
    </row>
    <row r="824" spans="1:15" s="242" customFormat="1" ht="14.25" customHeight="1">
      <c r="A824" s="638">
        <v>300</v>
      </c>
      <c r="B824" s="625"/>
      <c r="C824" s="626"/>
      <c r="D824" s="627" t="s">
        <v>158</v>
      </c>
      <c r="E824" s="61" t="s">
        <v>15</v>
      </c>
      <c r="F824" s="61"/>
      <c r="G824" s="655"/>
      <c r="H824" s="635">
        <v>544338.9</v>
      </c>
      <c r="I824" s="635">
        <v>544338.9</v>
      </c>
      <c r="J824" s="635">
        <f t="shared" si="28"/>
        <v>1088677.8</v>
      </c>
      <c r="K824" s="635"/>
      <c r="L824" s="655"/>
      <c r="M824" s="655">
        <f t="shared" si="29"/>
        <v>1088677.8</v>
      </c>
      <c r="N824" s="627"/>
      <c r="O824" s="636"/>
    </row>
    <row r="825" spans="1:15" s="242" customFormat="1" ht="14.25" customHeight="1">
      <c r="A825" s="638">
        <v>301</v>
      </c>
      <c r="B825" s="625"/>
      <c r="C825" s="626"/>
      <c r="D825" s="627" t="s">
        <v>1167</v>
      </c>
      <c r="E825" s="61" t="s">
        <v>15</v>
      </c>
      <c r="F825" s="61"/>
      <c r="G825" s="655"/>
      <c r="H825" s="635">
        <v>574572.66299999994</v>
      </c>
      <c r="I825" s="635">
        <v>574572.66299999994</v>
      </c>
      <c r="J825" s="635">
        <f t="shared" si="28"/>
        <v>1149145.3259999999</v>
      </c>
      <c r="K825" s="635"/>
      <c r="L825" s="655"/>
      <c r="M825" s="655">
        <f t="shared" si="29"/>
        <v>1149145.3259999999</v>
      </c>
      <c r="N825" s="627"/>
      <c r="O825" s="636"/>
    </row>
    <row r="826" spans="1:15" s="242" customFormat="1" ht="14.25" customHeight="1">
      <c r="A826" s="624">
        <v>302</v>
      </c>
      <c r="B826" s="625"/>
      <c r="C826" s="626"/>
      <c r="D826" s="627" t="s">
        <v>1168</v>
      </c>
      <c r="E826" s="61" t="s">
        <v>15</v>
      </c>
      <c r="F826" s="61"/>
      <c r="G826" s="655"/>
      <c r="H826" s="635">
        <v>604806.42599999998</v>
      </c>
      <c r="I826" s="635">
        <v>604806.42599999998</v>
      </c>
      <c r="J826" s="635">
        <f t="shared" si="28"/>
        <v>1209612.852</v>
      </c>
      <c r="K826" s="635"/>
      <c r="L826" s="655"/>
      <c r="M826" s="655">
        <f t="shared" si="29"/>
        <v>1209612.852</v>
      </c>
      <c r="N826" s="627"/>
      <c r="O826" s="636"/>
    </row>
    <row r="827" spans="1:15" s="242" customFormat="1" ht="14.25" customHeight="1">
      <c r="A827" s="638">
        <v>303</v>
      </c>
      <c r="B827" s="625"/>
      <c r="C827" s="626"/>
      <c r="D827" s="627" t="s">
        <v>198</v>
      </c>
      <c r="E827" s="61" t="s">
        <v>15</v>
      </c>
      <c r="F827" s="61"/>
      <c r="G827" s="655"/>
      <c r="H827" s="635">
        <v>584606.86199999996</v>
      </c>
      <c r="I827" s="635">
        <v>584606.86199999996</v>
      </c>
      <c r="J827" s="635">
        <f t="shared" si="28"/>
        <v>1169213.7239999999</v>
      </c>
      <c r="K827" s="635"/>
      <c r="L827" s="655"/>
      <c r="M827" s="655">
        <f t="shared" si="29"/>
        <v>1169213.7239999999</v>
      </c>
      <c r="N827" s="627"/>
      <c r="O827" s="636"/>
    </row>
    <row r="828" spans="1:15" s="242" customFormat="1" ht="14.25" customHeight="1">
      <c r="A828" s="638">
        <v>304</v>
      </c>
      <c r="B828" s="625"/>
      <c r="C828" s="626"/>
      <c r="D828" s="627" t="s">
        <v>1169</v>
      </c>
      <c r="E828" s="61" t="s">
        <v>15</v>
      </c>
      <c r="F828" s="61"/>
      <c r="G828" s="655"/>
      <c r="H828" s="635">
        <v>635040.18900000001</v>
      </c>
      <c r="I828" s="635">
        <v>635040.18900000001</v>
      </c>
      <c r="J828" s="635">
        <f t="shared" si="28"/>
        <v>1270080.378</v>
      </c>
      <c r="K828" s="635"/>
      <c r="L828" s="655"/>
      <c r="M828" s="655">
        <f t="shared" si="29"/>
        <v>1270080.378</v>
      </c>
      <c r="N828" s="627"/>
      <c r="O828" s="636"/>
    </row>
    <row r="829" spans="1:15" s="242" customFormat="1" ht="14.25" customHeight="1">
      <c r="A829" s="624">
        <v>305</v>
      </c>
      <c r="B829" s="625"/>
      <c r="C829" s="626"/>
      <c r="D829" s="627" t="s">
        <v>1199</v>
      </c>
      <c r="E829" s="61" t="s">
        <v>15</v>
      </c>
      <c r="F829" s="61"/>
      <c r="G829" s="655"/>
      <c r="H829" s="635">
        <v>524139.33600000001</v>
      </c>
      <c r="I829" s="635">
        <v>524139.33600000001</v>
      </c>
      <c r="J829" s="635">
        <f t="shared" si="28"/>
        <v>1048278.672</v>
      </c>
      <c r="K829" s="635"/>
      <c r="L829" s="655"/>
      <c r="M829" s="655">
        <f t="shared" si="29"/>
        <v>1048278.672</v>
      </c>
      <c r="N829" s="627"/>
      <c r="O829" s="636"/>
    </row>
    <row r="830" spans="1:15" s="242" customFormat="1" ht="14.25" customHeight="1">
      <c r="A830" s="638">
        <v>306</v>
      </c>
      <c r="B830" s="625"/>
      <c r="C830" s="626"/>
      <c r="D830" s="627" t="s">
        <v>567</v>
      </c>
      <c r="E830" s="61" t="s">
        <v>15</v>
      </c>
      <c r="F830" s="61"/>
      <c r="G830" s="655"/>
      <c r="H830" s="635">
        <v>554373.09900000005</v>
      </c>
      <c r="I830" s="635">
        <v>554373.09900000005</v>
      </c>
      <c r="J830" s="635">
        <f t="shared" si="28"/>
        <v>1108746.1980000001</v>
      </c>
      <c r="K830" s="635"/>
      <c r="L830" s="655"/>
      <c r="M830" s="655">
        <f t="shared" si="29"/>
        <v>1108746.1980000001</v>
      </c>
      <c r="N830" s="627"/>
      <c r="O830" s="636"/>
    </row>
    <row r="831" spans="1:15" s="242" customFormat="1" ht="14.25" customHeight="1">
      <c r="A831" s="638">
        <v>307</v>
      </c>
      <c r="B831" s="625"/>
      <c r="C831" s="626"/>
      <c r="D831" s="627" t="s">
        <v>1170</v>
      </c>
      <c r="E831" s="61" t="s">
        <v>15</v>
      </c>
      <c r="F831" s="61"/>
      <c r="G831" s="655"/>
      <c r="H831" s="635">
        <v>554373.09900000005</v>
      </c>
      <c r="I831" s="635">
        <v>332203.92600005202</v>
      </c>
      <c r="J831" s="635">
        <f t="shared" si="28"/>
        <v>886577.02500005206</v>
      </c>
      <c r="K831" s="635"/>
      <c r="L831" s="655"/>
      <c r="M831" s="655">
        <f t="shared" si="29"/>
        <v>886577.02500005206</v>
      </c>
      <c r="N831" s="627"/>
      <c r="O831" s="636"/>
    </row>
    <row r="832" spans="1:15" s="242" customFormat="1" ht="14.25" customHeight="1">
      <c r="A832" s="624">
        <v>308</v>
      </c>
      <c r="B832" s="625"/>
      <c r="C832" s="626"/>
      <c r="D832" s="627" t="s">
        <v>165</v>
      </c>
      <c r="E832" s="61" t="s">
        <v>15</v>
      </c>
      <c r="F832" s="61"/>
      <c r="G832" s="655"/>
      <c r="H832" s="635">
        <v>614840.625</v>
      </c>
      <c r="I832" s="635">
        <v>554373.09900000005</v>
      </c>
      <c r="J832" s="635">
        <f t="shared" si="28"/>
        <v>1169213.7239999999</v>
      </c>
      <c r="K832" s="635"/>
      <c r="L832" s="655"/>
      <c r="M832" s="655">
        <f t="shared" si="29"/>
        <v>1169213.7239999999</v>
      </c>
      <c r="N832" s="627"/>
      <c r="O832" s="636"/>
    </row>
    <row r="833" spans="1:15" s="242" customFormat="1" ht="14.25" customHeight="1">
      <c r="A833" s="638">
        <v>309</v>
      </c>
      <c r="B833" s="625"/>
      <c r="C833" s="626"/>
      <c r="D833" s="627" t="s">
        <v>1171</v>
      </c>
      <c r="E833" s="61" t="s">
        <v>15</v>
      </c>
      <c r="F833" s="61"/>
      <c r="G833" s="655"/>
      <c r="H833" s="635">
        <v>614840.625</v>
      </c>
      <c r="I833" s="635">
        <v>554373.09900000005</v>
      </c>
      <c r="J833" s="635">
        <f t="shared" si="28"/>
        <v>1169213.7239999999</v>
      </c>
      <c r="K833" s="635"/>
      <c r="L833" s="655"/>
      <c r="M833" s="655">
        <f t="shared" si="29"/>
        <v>1169213.7239999999</v>
      </c>
      <c r="N833" s="627"/>
      <c r="O833" s="636"/>
    </row>
    <row r="834" spans="1:15" s="242" customFormat="1" ht="14.25" customHeight="1">
      <c r="A834" s="638">
        <v>310</v>
      </c>
      <c r="B834" s="625"/>
      <c r="C834" s="626"/>
      <c r="D834" s="627" t="s">
        <v>155</v>
      </c>
      <c r="E834" s="61" t="s">
        <v>15</v>
      </c>
      <c r="F834" s="61"/>
      <c r="G834" s="635">
        <v>635040.18900000001</v>
      </c>
      <c r="H834" s="635">
        <v>635040.18900000001</v>
      </c>
      <c r="I834" s="635"/>
      <c r="J834" s="635">
        <f t="shared" si="28"/>
        <v>1270080.378</v>
      </c>
      <c r="K834" s="635"/>
      <c r="L834" s="655"/>
      <c r="M834" s="655">
        <f t="shared" si="29"/>
        <v>1270080.378</v>
      </c>
      <c r="N834" s="627"/>
      <c r="O834" s="636"/>
    </row>
    <row r="835" spans="1:15" s="242" customFormat="1" ht="14.25" customHeight="1">
      <c r="A835" s="624">
        <v>311</v>
      </c>
      <c r="B835" s="625"/>
      <c r="C835" s="626"/>
      <c r="D835" s="627" t="s">
        <v>1172</v>
      </c>
      <c r="E835" s="61" t="s">
        <v>15</v>
      </c>
      <c r="F835" s="61"/>
      <c r="G835" s="635">
        <v>544338.9</v>
      </c>
      <c r="H835" s="635">
        <v>544338.9</v>
      </c>
      <c r="I835" s="635"/>
      <c r="J835" s="635">
        <f t="shared" si="28"/>
        <v>1088677.8</v>
      </c>
      <c r="K835" s="635"/>
      <c r="L835" s="655"/>
      <c r="M835" s="655">
        <f t="shared" si="29"/>
        <v>1088677.8</v>
      </c>
      <c r="N835" s="627"/>
      <c r="O835" s="636"/>
    </row>
    <row r="836" spans="1:15" s="242" customFormat="1" ht="14.25" customHeight="1">
      <c r="A836" s="638">
        <v>312</v>
      </c>
      <c r="B836" s="625"/>
      <c r="C836" s="626"/>
      <c r="D836" s="627" t="s">
        <v>1173</v>
      </c>
      <c r="E836" s="61" t="s">
        <v>15</v>
      </c>
      <c r="F836" s="61"/>
      <c r="G836" s="635">
        <v>574572.66299999994</v>
      </c>
      <c r="H836" s="635">
        <v>574572.66299999994</v>
      </c>
      <c r="I836" s="635"/>
      <c r="J836" s="635">
        <f t="shared" si="28"/>
        <v>1149145.3259999999</v>
      </c>
      <c r="K836" s="635"/>
      <c r="L836" s="655"/>
      <c r="M836" s="655">
        <f t="shared" si="29"/>
        <v>1149145.3259999999</v>
      </c>
      <c r="N836" s="627"/>
      <c r="O836" s="636"/>
    </row>
    <row r="837" spans="1:15" s="242" customFormat="1" ht="14.25" customHeight="1">
      <c r="A837" s="638">
        <v>313</v>
      </c>
      <c r="B837" s="625"/>
      <c r="C837" s="626"/>
      <c r="D837" s="627" t="s">
        <v>1200</v>
      </c>
      <c r="E837" s="61" t="s">
        <v>15</v>
      </c>
      <c r="F837" s="61"/>
      <c r="G837" s="635">
        <v>604806.42599999998</v>
      </c>
      <c r="H837" s="635">
        <v>604806.42599999998</v>
      </c>
      <c r="I837" s="635"/>
      <c r="J837" s="635">
        <f t="shared" si="28"/>
        <v>1209612.852</v>
      </c>
      <c r="K837" s="635"/>
      <c r="L837" s="655"/>
      <c r="M837" s="655">
        <f t="shared" si="29"/>
        <v>1209612.852</v>
      </c>
      <c r="N837" s="627"/>
      <c r="O837" s="636"/>
    </row>
    <row r="838" spans="1:15" s="242" customFormat="1" ht="14.25" customHeight="1">
      <c r="A838" s="624">
        <v>314</v>
      </c>
      <c r="B838" s="625"/>
      <c r="C838" s="626"/>
      <c r="D838" s="627" t="s">
        <v>150</v>
      </c>
      <c r="E838" s="61" t="s">
        <v>15</v>
      </c>
      <c r="F838" s="61"/>
      <c r="G838" s="635">
        <v>584606.86199999996</v>
      </c>
      <c r="H838" s="635">
        <v>584606.86199999996</v>
      </c>
      <c r="I838" s="635"/>
      <c r="J838" s="635">
        <f t="shared" si="28"/>
        <v>1169213.7239999999</v>
      </c>
      <c r="K838" s="635"/>
      <c r="L838" s="655"/>
      <c r="M838" s="655">
        <f t="shared" si="29"/>
        <v>1169213.7239999999</v>
      </c>
      <c r="N838" s="627"/>
      <c r="O838" s="636"/>
    </row>
    <row r="839" spans="1:15" s="242" customFormat="1" ht="14.25" customHeight="1">
      <c r="A839" s="638">
        <v>315</v>
      </c>
      <c r="B839" s="625"/>
      <c r="C839" s="626"/>
      <c r="D839" s="627" t="s">
        <v>1201</v>
      </c>
      <c r="E839" s="61" t="s">
        <v>15</v>
      </c>
      <c r="F839" s="61"/>
      <c r="G839" s="635">
        <v>635040.18900000001</v>
      </c>
      <c r="H839" s="635">
        <v>635040.18900000001</v>
      </c>
      <c r="I839" s="635"/>
      <c r="J839" s="635">
        <f t="shared" si="28"/>
        <v>1270080.378</v>
      </c>
      <c r="K839" s="635"/>
      <c r="L839" s="655"/>
      <c r="M839" s="655">
        <f t="shared" si="29"/>
        <v>1270080.378</v>
      </c>
      <c r="N839" s="627"/>
      <c r="O839" s="636"/>
    </row>
    <row r="840" spans="1:15" s="242" customFormat="1" ht="14.25" customHeight="1">
      <c r="A840" s="638">
        <v>316</v>
      </c>
      <c r="B840" s="625"/>
      <c r="C840" s="626"/>
      <c r="D840" s="627" t="s">
        <v>195</v>
      </c>
      <c r="E840" s="61" t="s">
        <v>15</v>
      </c>
      <c r="F840" s="61"/>
      <c r="G840" s="635">
        <v>524139.33600000001</v>
      </c>
      <c r="H840" s="635">
        <v>524139.33600000001</v>
      </c>
      <c r="I840" s="635"/>
      <c r="J840" s="635">
        <f t="shared" si="28"/>
        <v>1048278.672</v>
      </c>
      <c r="K840" s="635"/>
      <c r="L840" s="655"/>
      <c r="M840" s="655">
        <f t="shared" si="29"/>
        <v>1048278.672</v>
      </c>
      <c r="N840" s="627"/>
      <c r="O840" s="636"/>
    </row>
    <row r="841" spans="1:15" s="242" customFormat="1" ht="14.25" customHeight="1">
      <c r="A841" s="624">
        <v>317</v>
      </c>
      <c r="B841" s="625"/>
      <c r="C841" s="626"/>
      <c r="D841" s="627" t="s">
        <v>1174</v>
      </c>
      <c r="E841" s="61" t="s">
        <v>15</v>
      </c>
      <c r="F841" s="61"/>
      <c r="G841" s="635">
        <v>554373.09900000005</v>
      </c>
      <c r="H841" s="635">
        <v>554373.09900000005</v>
      </c>
      <c r="I841" s="635"/>
      <c r="J841" s="635">
        <f t="shared" si="28"/>
        <v>1108746.1980000001</v>
      </c>
      <c r="K841" s="635"/>
      <c r="L841" s="655"/>
      <c r="M841" s="655">
        <f t="shared" si="29"/>
        <v>1108746.1980000001</v>
      </c>
      <c r="N841" s="627"/>
      <c r="O841" s="636"/>
    </row>
    <row r="842" spans="1:15" s="242" customFormat="1" ht="14.25" customHeight="1">
      <c r="A842" s="638">
        <v>318</v>
      </c>
      <c r="B842" s="625"/>
      <c r="C842" s="626"/>
      <c r="D842" s="627" t="s">
        <v>1175</v>
      </c>
      <c r="E842" s="61" t="s">
        <v>15</v>
      </c>
      <c r="F842" s="61"/>
      <c r="G842" s="635">
        <v>554373.09900000005</v>
      </c>
      <c r="H842" s="635">
        <v>554373.09900000005</v>
      </c>
      <c r="I842" s="635"/>
      <c r="J842" s="635">
        <f t="shared" si="28"/>
        <v>1108746.1980000001</v>
      </c>
      <c r="K842" s="635"/>
      <c r="L842" s="655"/>
      <c r="M842" s="655">
        <f t="shared" si="29"/>
        <v>1108746.1980000001</v>
      </c>
      <c r="N842" s="627"/>
      <c r="O842" s="636"/>
    </row>
    <row r="843" spans="1:15" s="242" customFormat="1" ht="14.25" customHeight="1">
      <c r="A843" s="638">
        <v>319</v>
      </c>
      <c r="B843" s="625"/>
      <c r="C843" s="626"/>
      <c r="D843" s="627" t="s">
        <v>1176</v>
      </c>
      <c r="E843" s="61" t="s">
        <v>15</v>
      </c>
      <c r="F843" s="61"/>
      <c r="G843" s="635">
        <v>614840.625</v>
      </c>
      <c r="H843" s="635">
        <v>554373.09900000005</v>
      </c>
      <c r="I843" s="635"/>
      <c r="J843" s="635">
        <f t="shared" si="28"/>
        <v>1169213.7239999999</v>
      </c>
      <c r="K843" s="635"/>
      <c r="L843" s="655"/>
      <c r="M843" s="655">
        <f t="shared" si="29"/>
        <v>1169213.7239999999</v>
      </c>
      <c r="N843" s="627"/>
      <c r="O843" s="636"/>
    </row>
    <row r="844" spans="1:15" s="242" customFormat="1" ht="14.25" customHeight="1">
      <c r="A844" s="624">
        <v>320</v>
      </c>
      <c r="B844" s="625"/>
      <c r="C844" s="626"/>
      <c r="D844" s="627" t="s">
        <v>1202</v>
      </c>
      <c r="E844" s="61" t="s">
        <v>15</v>
      </c>
      <c r="F844" s="61"/>
      <c r="G844" s="635">
        <v>614840.625</v>
      </c>
      <c r="H844" s="635">
        <v>554373.09900000005</v>
      </c>
      <c r="I844" s="635"/>
      <c r="J844" s="635">
        <f t="shared" si="28"/>
        <v>1169213.7239999999</v>
      </c>
      <c r="K844" s="635"/>
      <c r="L844" s="655"/>
      <c r="M844" s="655">
        <f t="shared" si="29"/>
        <v>1169213.7239999999</v>
      </c>
      <c r="N844" s="627"/>
      <c r="O844" s="636"/>
    </row>
    <row r="845" spans="1:15" s="242" customFormat="1" ht="14.25" customHeight="1">
      <c r="A845" s="638">
        <v>321</v>
      </c>
      <c r="B845" s="625"/>
      <c r="C845" s="626"/>
      <c r="D845" s="627" t="s">
        <v>185</v>
      </c>
      <c r="E845" s="61" t="s">
        <v>15</v>
      </c>
      <c r="F845" s="61"/>
      <c r="G845" s="635">
        <v>635040.18900000001</v>
      </c>
      <c r="H845" s="635">
        <v>635040.18900000001</v>
      </c>
      <c r="I845" s="635"/>
      <c r="J845" s="635">
        <f t="shared" si="28"/>
        <v>1270080.378</v>
      </c>
      <c r="K845" s="635"/>
      <c r="L845" s="655"/>
      <c r="M845" s="655">
        <f t="shared" si="29"/>
        <v>1270080.378</v>
      </c>
      <c r="N845" s="627"/>
      <c r="O845" s="636"/>
    </row>
    <row r="846" spans="1:15" s="242" customFormat="1" ht="14.25" customHeight="1">
      <c r="A846" s="638">
        <v>322</v>
      </c>
      <c r="B846" s="625"/>
      <c r="C846" s="626"/>
      <c r="D846" s="627" t="s">
        <v>1177</v>
      </c>
      <c r="E846" s="61" t="s">
        <v>15</v>
      </c>
      <c r="F846" s="61"/>
      <c r="G846" s="635">
        <v>544338.9</v>
      </c>
      <c r="H846" s="635">
        <v>544338.9</v>
      </c>
      <c r="I846" s="635"/>
      <c r="J846" s="635">
        <f t="shared" si="28"/>
        <v>1088677.8</v>
      </c>
      <c r="K846" s="635"/>
      <c r="L846" s="655"/>
      <c r="M846" s="655">
        <f t="shared" si="29"/>
        <v>1088677.8</v>
      </c>
      <c r="N846" s="627"/>
      <c r="O846" s="636"/>
    </row>
    <row r="847" spans="1:15" s="242" customFormat="1" ht="14.25" customHeight="1">
      <c r="A847" s="624">
        <v>323</v>
      </c>
      <c r="B847" s="625"/>
      <c r="C847" s="626"/>
      <c r="D847" s="627" t="s">
        <v>1178</v>
      </c>
      <c r="E847" s="61" t="s">
        <v>15</v>
      </c>
      <c r="F847" s="61"/>
      <c r="G847" s="635">
        <v>574572.66299999994</v>
      </c>
      <c r="H847" s="635">
        <v>574572.66299999994</v>
      </c>
      <c r="I847" s="635"/>
      <c r="J847" s="635">
        <f t="shared" si="28"/>
        <v>1149145.3259999999</v>
      </c>
      <c r="K847" s="635"/>
      <c r="L847" s="655"/>
      <c r="M847" s="655">
        <f t="shared" si="29"/>
        <v>1149145.3259999999</v>
      </c>
      <c r="N847" s="627"/>
      <c r="O847" s="636"/>
    </row>
    <row r="848" spans="1:15" s="242" customFormat="1" ht="14.25" customHeight="1">
      <c r="A848" s="638">
        <v>324</v>
      </c>
      <c r="B848" s="625"/>
      <c r="C848" s="626"/>
      <c r="D848" s="627" t="s">
        <v>504</v>
      </c>
      <c r="E848" s="61" t="s">
        <v>15</v>
      </c>
      <c r="F848" s="61"/>
      <c r="G848" s="635">
        <v>604806.42599999998</v>
      </c>
      <c r="H848" s="635">
        <v>604806.42599999998</v>
      </c>
      <c r="I848" s="635"/>
      <c r="J848" s="635">
        <f t="shared" si="28"/>
        <v>1209612.852</v>
      </c>
      <c r="K848" s="635"/>
      <c r="L848" s="655"/>
      <c r="M848" s="655">
        <f t="shared" si="29"/>
        <v>1209612.852</v>
      </c>
      <c r="N848" s="627"/>
      <c r="O848" s="636"/>
    </row>
    <row r="849" spans="1:15" s="242" customFormat="1" ht="14.25" customHeight="1">
      <c r="A849" s="638">
        <v>325</v>
      </c>
      <c r="B849" s="625"/>
      <c r="C849" s="626"/>
      <c r="D849" s="627" t="s">
        <v>185</v>
      </c>
      <c r="E849" s="61" t="s">
        <v>15</v>
      </c>
      <c r="F849" s="61"/>
      <c r="G849" s="635">
        <v>584606.86199999996</v>
      </c>
      <c r="H849" s="635">
        <v>584606.86199999996</v>
      </c>
      <c r="I849" s="635"/>
      <c r="J849" s="635">
        <f t="shared" si="28"/>
        <v>1169213.7239999999</v>
      </c>
      <c r="K849" s="635"/>
      <c r="L849" s="655"/>
      <c r="M849" s="655">
        <f t="shared" si="29"/>
        <v>1169213.7239999999</v>
      </c>
      <c r="N849" s="627"/>
      <c r="O849" s="636"/>
    </row>
    <row r="850" spans="1:15" s="242" customFormat="1" ht="14.25" customHeight="1">
      <c r="A850" s="624">
        <v>326</v>
      </c>
      <c r="B850" s="625"/>
      <c r="C850" s="626"/>
      <c r="D850" s="627" t="s">
        <v>972</v>
      </c>
      <c r="E850" s="61" t="s">
        <v>15</v>
      </c>
      <c r="F850" s="61"/>
      <c r="G850" s="635">
        <v>635040.18900000001</v>
      </c>
      <c r="H850" s="635">
        <v>635040.18900000001</v>
      </c>
      <c r="I850" s="635"/>
      <c r="J850" s="635">
        <f t="shared" si="28"/>
        <v>1270080.378</v>
      </c>
      <c r="K850" s="635"/>
      <c r="L850" s="655"/>
      <c r="M850" s="655">
        <f t="shared" si="29"/>
        <v>1270080.378</v>
      </c>
      <c r="N850" s="627"/>
      <c r="O850" s="636"/>
    </row>
    <row r="851" spans="1:15" s="242" customFormat="1" ht="14.25" customHeight="1">
      <c r="A851" s="638">
        <v>327</v>
      </c>
      <c r="B851" s="625"/>
      <c r="C851" s="626"/>
      <c r="D851" s="627" t="s">
        <v>189</v>
      </c>
      <c r="E851" s="61" t="s">
        <v>15</v>
      </c>
      <c r="F851" s="61"/>
      <c r="G851" s="635">
        <v>524139.33600000001</v>
      </c>
      <c r="H851" s="635">
        <v>524139.33600000001</v>
      </c>
      <c r="I851" s="635"/>
      <c r="J851" s="635">
        <f t="shared" si="28"/>
        <v>1048278.672</v>
      </c>
      <c r="K851" s="635"/>
      <c r="L851" s="655"/>
      <c r="M851" s="655">
        <f t="shared" si="29"/>
        <v>1048278.672</v>
      </c>
      <c r="N851" s="627"/>
      <c r="O851" s="636"/>
    </row>
    <row r="852" spans="1:15" s="242" customFormat="1" ht="14.25" customHeight="1">
      <c r="A852" s="638">
        <v>328</v>
      </c>
      <c r="B852" s="625"/>
      <c r="C852" s="626"/>
      <c r="D852" s="627" t="s">
        <v>41</v>
      </c>
      <c r="E852" s="61" t="s">
        <v>15</v>
      </c>
      <c r="F852" s="61"/>
      <c r="G852" s="635">
        <v>554373.09900000005</v>
      </c>
      <c r="H852" s="635">
        <v>554373.09900000005</v>
      </c>
      <c r="I852" s="635"/>
      <c r="J852" s="635">
        <f t="shared" si="28"/>
        <v>1108746.1980000001</v>
      </c>
      <c r="K852" s="635"/>
      <c r="L852" s="655"/>
      <c r="M852" s="655">
        <f t="shared" si="29"/>
        <v>1108746.1980000001</v>
      </c>
      <c r="N852" s="627"/>
      <c r="O852" s="636"/>
    </row>
    <row r="853" spans="1:15" s="242" customFormat="1" ht="14.25" customHeight="1">
      <c r="A853" s="624">
        <v>329</v>
      </c>
      <c r="B853" s="625"/>
      <c r="C853" s="626"/>
      <c r="D853" s="627" t="s">
        <v>1077</v>
      </c>
      <c r="E853" s="61" t="s">
        <v>15</v>
      </c>
      <c r="F853" s="61"/>
      <c r="G853" s="635">
        <v>554373.09900000005</v>
      </c>
      <c r="H853" s="635">
        <v>554373.09900000005</v>
      </c>
      <c r="I853" s="635"/>
      <c r="J853" s="635">
        <f t="shared" si="28"/>
        <v>1108746.1980000001</v>
      </c>
      <c r="K853" s="635"/>
      <c r="L853" s="655"/>
      <c r="M853" s="655">
        <f t="shared" si="29"/>
        <v>1108746.1980000001</v>
      </c>
      <c r="N853" s="627"/>
      <c r="O853" s="636"/>
    </row>
    <row r="854" spans="1:15" s="242" customFormat="1" ht="14.25" customHeight="1">
      <c r="A854" s="638">
        <v>330</v>
      </c>
      <c r="B854" s="625"/>
      <c r="C854" s="626"/>
      <c r="D854" s="627" t="s">
        <v>1179</v>
      </c>
      <c r="E854" s="61" t="s">
        <v>15</v>
      </c>
      <c r="F854" s="61"/>
      <c r="G854" s="635">
        <v>614840.625</v>
      </c>
      <c r="H854" s="635">
        <v>554373.09900000005</v>
      </c>
      <c r="I854" s="635"/>
      <c r="J854" s="635">
        <f t="shared" si="28"/>
        <v>1169213.7239999999</v>
      </c>
      <c r="K854" s="635"/>
      <c r="L854" s="655"/>
      <c r="M854" s="655">
        <f t="shared" si="29"/>
        <v>1169213.7239999999</v>
      </c>
      <c r="N854" s="627"/>
      <c r="O854" s="636"/>
    </row>
    <row r="855" spans="1:15" s="242" customFormat="1" ht="14.25" customHeight="1">
      <c r="A855" s="638">
        <v>331</v>
      </c>
      <c r="B855" s="625"/>
      <c r="C855" s="626"/>
      <c r="D855" s="627" t="s">
        <v>126</v>
      </c>
      <c r="E855" s="61" t="s">
        <v>15</v>
      </c>
      <c r="F855" s="61"/>
      <c r="G855" s="635">
        <v>614840.625</v>
      </c>
      <c r="H855" s="635">
        <v>554373.09900000005</v>
      </c>
      <c r="I855" s="635"/>
      <c r="J855" s="635">
        <f t="shared" si="28"/>
        <v>1169213.7239999999</v>
      </c>
      <c r="K855" s="635"/>
      <c r="L855" s="655"/>
      <c r="M855" s="655">
        <f t="shared" si="29"/>
        <v>1169213.7239999999</v>
      </c>
      <c r="N855" s="627"/>
      <c r="O855" s="636"/>
    </row>
    <row r="856" spans="1:15" s="242" customFormat="1" ht="14.25" customHeight="1">
      <c r="A856" s="624">
        <v>332</v>
      </c>
      <c r="B856" s="625"/>
      <c r="C856" s="626"/>
      <c r="D856" s="627" t="s">
        <v>1180</v>
      </c>
      <c r="E856" s="61" t="s">
        <v>15</v>
      </c>
      <c r="F856" s="61"/>
      <c r="G856" s="635">
        <v>635040.18900000001</v>
      </c>
      <c r="H856" s="635">
        <v>635040.18900000001</v>
      </c>
      <c r="I856" s="635"/>
      <c r="J856" s="635">
        <f t="shared" si="28"/>
        <v>1270080.378</v>
      </c>
      <c r="K856" s="635"/>
      <c r="L856" s="655"/>
      <c r="M856" s="655">
        <f t="shared" si="29"/>
        <v>1270080.378</v>
      </c>
      <c r="N856" s="627"/>
      <c r="O856" s="636"/>
    </row>
    <row r="857" spans="1:15" s="242" customFormat="1" ht="14.25" customHeight="1">
      <c r="A857" s="638">
        <v>333</v>
      </c>
      <c r="B857" s="625"/>
      <c r="C857" s="626"/>
      <c r="D857" s="627" t="s">
        <v>1203</v>
      </c>
      <c r="E857" s="61" t="s">
        <v>15</v>
      </c>
      <c r="F857" s="61"/>
      <c r="G857" s="635">
        <v>544338.9</v>
      </c>
      <c r="H857" s="635">
        <v>544338.9</v>
      </c>
      <c r="I857" s="635"/>
      <c r="J857" s="635">
        <f t="shared" si="28"/>
        <v>1088677.8</v>
      </c>
      <c r="K857" s="635"/>
      <c r="L857" s="655"/>
      <c r="M857" s="655">
        <f t="shared" si="29"/>
        <v>1088677.8</v>
      </c>
      <c r="N857" s="627"/>
      <c r="O857" s="636"/>
    </row>
    <row r="858" spans="1:15" s="242" customFormat="1" ht="14.25" customHeight="1">
      <c r="A858" s="638">
        <v>334</v>
      </c>
      <c r="B858" s="625"/>
      <c r="C858" s="626"/>
      <c r="D858" s="627" t="s">
        <v>312</v>
      </c>
      <c r="E858" s="61" t="s">
        <v>15</v>
      </c>
      <c r="F858" s="61"/>
      <c r="G858" s="635">
        <v>574572.66299999994</v>
      </c>
      <c r="H858" s="635">
        <v>574572.66299999994</v>
      </c>
      <c r="I858" s="635"/>
      <c r="J858" s="635">
        <f t="shared" si="28"/>
        <v>1149145.3259999999</v>
      </c>
      <c r="K858" s="635"/>
      <c r="L858" s="655"/>
      <c r="M858" s="655">
        <f t="shared" si="29"/>
        <v>1149145.3259999999</v>
      </c>
      <c r="N858" s="627"/>
      <c r="O858" s="636"/>
    </row>
    <row r="859" spans="1:15" s="242" customFormat="1" ht="14.25" customHeight="1">
      <c r="A859" s="624">
        <v>335</v>
      </c>
      <c r="B859" s="625"/>
      <c r="C859" s="626"/>
      <c r="D859" s="627" t="s">
        <v>1181</v>
      </c>
      <c r="E859" s="61" t="s">
        <v>15</v>
      </c>
      <c r="F859" s="61"/>
      <c r="G859" s="635">
        <v>604806.42599999998</v>
      </c>
      <c r="H859" s="635">
        <v>604806.42599999998</v>
      </c>
      <c r="I859" s="635"/>
      <c r="J859" s="635">
        <f t="shared" si="28"/>
        <v>1209612.852</v>
      </c>
      <c r="K859" s="635"/>
      <c r="L859" s="655"/>
      <c r="M859" s="655">
        <f t="shared" si="29"/>
        <v>1209612.852</v>
      </c>
      <c r="N859" s="627"/>
      <c r="O859" s="636"/>
    </row>
    <row r="860" spans="1:15" s="242" customFormat="1" ht="14.25" customHeight="1">
      <c r="A860" s="638">
        <v>336</v>
      </c>
      <c r="B860" s="625"/>
      <c r="C860" s="626"/>
      <c r="D860" s="627" t="s">
        <v>72</v>
      </c>
      <c r="E860" s="61" t="s">
        <v>15</v>
      </c>
      <c r="F860" s="61"/>
      <c r="G860" s="635">
        <v>584606.86199999996</v>
      </c>
      <c r="H860" s="635">
        <v>584606.86199999996</v>
      </c>
      <c r="I860" s="635"/>
      <c r="J860" s="635">
        <f t="shared" si="28"/>
        <v>1169213.7239999999</v>
      </c>
      <c r="K860" s="635"/>
      <c r="L860" s="655"/>
      <c r="M860" s="655">
        <f t="shared" si="29"/>
        <v>1169213.7239999999</v>
      </c>
      <c r="N860" s="627"/>
      <c r="O860" s="636"/>
    </row>
    <row r="861" spans="1:15" s="242" customFormat="1" ht="14.25" customHeight="1">
      <c r="A861" s="638">
        <v>337</v>
      </c>
      <c r="B861" s="625"/>
      <c r="C861" s="626"/>
      <c r="D861" s="627" t="s">
        <v>199</v>
      </c>
      <c r="E861" s="61" t="s">
        <v>15</v>
      </c>
      <c r="F861" s="61"/>
      <c r="G861" s="635">
        <v>635040.18900000001</v>
      </c>
      <c r="H861" s="635">
        <v>635040.18900000001</v>
      </c>
      <c r="I861" s="635"/>
      <c r="J861" s="635">
        <f t="shared" si="28"/>
        <v>1270080.378</v>
      </c>
      <c r="K861" s="635"/>
      <c r="L861" s="655"/>
      <c r="M861" s="655">
        <f t="shared" si="29"/>
        <v>1270080.378</v>
      </c>
      <c r="N861" s="627"/>
      <c r="O861" s="636"/>
    </row>
    <row r="862" spans="1:15" s="242" customFormat="1" ht="14.25" customHeight="1">
      <c r="A862" s="624">
        <v>338</v>
      </c>
      <c r="B862" s="625"/>
      <c r="C862" s="626"/>
      <c r="D862" s="627" t="s">
        <v>1182</v>
      </c>
      <c r="E862" s="61" t="s">
        <v>15</v>
      </c>
      <c r="F862" s="61"/>
      <c r="G862" s="635">
        <v>524139.33600000001</v>
      </c>
      <c r="H862" s="635">
        <v>524139.33600000001</v>
      </c>
      <c r="I862" s="635"/>
      <c r="J862" s="635">
        <f t="shared" si="28"/>
        <v>1048278.672</v>
      </c>
      <c r="K862" s="635"/>
      <c r="L862" s="655"/>
      <c r="M862" s="655">
        <f t="shared" si="29"/>
        <v>1048278.672</v>
      </c>
      <c r="N862" s="627"/>
      <c r="O862" s="636"/>
    </row>
    <row r="863" spans="1:15" s="242" customFormat="1" ht="14.25" customHeight="1">
      <c r="A863" s="638">
        <v>339</v>
      </c>
      <c r="B863" s="625"/>
      <c r="C863" s="626"/>
      <c r="D863" s="627" t="s">
        <v>1183</v>
      </c>
      <c r="E863" s="61" t="s">
        <v>15</v>
      </c>
      <c r="F863" s="61"/>
      <c r="G863" s="635">
        <v>554373.09900000005</v>
      </c>
      <c r="H863" s="635">
        <v>554373.09900000005</v>
      </c>
      <c r="I863" s="635"/>
      <c r="J863" s="635">
        <f t="shared" si="28"/>
        <v>1108746.1980000001</v>
      </c>
      <c r="K863" s="635"/>
      <c r="L863" s="655"/>
      <c r="M863" s="655">
        <f t="shared" si="29"/>
        <v>1108746.1980000001</v>
      </c>
      <c r="N863" s="627"/>
      <c r="O863" s="636"/>
    </row>
    <row r="864" spans="1:15" s="242" customFormat="1" ht="14.25" customHeight="1">
      <c r="A864" s="638">
        <v>340</v>
      </c>
      <c r="B864" s="625"/>
      <c r="C864" s="626"/>
      <c r="D864" s="627" t="s">
        <v>1184</v>
      </c>
      <c r="E864" s="61" t="s">
        <v>15</v>
      </c>
      <c r="F864" s="61"/>
      <c r="G864" s="635">
        <v>554373.09900000005</v>
      </c>
      <c r="H864" s="635">
        <v>554373.09900000005</v>
      </c>
      <c r="I864" s="635"/>
      <c r="J864" s="635">
        <f t="shared" si="28"/>
        <v>1108746.1980000001</v>
      </c>
      <c r="K864" s="635"/>
      <c r="L864" s="655"/>
      <c r="M864" s="655">
        <f t="shared" si="29"/>
        <v>1108746.1980000001</v>
      </c>
      <c r="N864" s="627"/>
      <c r="O864" s="636"/>
    </row>
    <row r="865" spans="1:15" s="242" customFormat="1" ht="14.25" customHeight="1">
      <c r="A865" s="624">
        <v>341</v>
      </c>
      <c r="B865" s="625"/>
      <c r="C865" s="626"/>
      <c r="D865" s="627" t="s">
        <v>1185</v>
      </c>
      <c r="E865" s="61" t="s">
        <v>15</v>
      </c>
      <c r="F865" s="61"/>
      <c r="G865" s="635">
        <v>614840.625</v>
      </c>
      <c r="H865" s="635">
        <v>554373.09900000005</v>
      </c>
      <c r="I865" s="635"/>
      <c r="J865" s="635">
        <f t="shared" si="28"/>
        <v>1169213.7239999999</v>
      </c>
      <c r="K865" s="635"/>
      <c r="L865" s="655"/>
      <c r="M865" s="655">
        <f t="shared" si="29"/>
        <v>1169213.7239999999</v>
      </c>
      <c r="N865" s="627"/>
      <c r="O865" s="636"/>
    </row>
    <row r="866" spans="1:15" s="242" customFormat="1" ht="14.25" customHeight="1">
      <c r="A866" s="638">
        <v>342</v>
      </c>
      <c r="B866" s="625"/>
      <c r="C866" s="626"/>
      <c r="D866" s="627" t="s">
        <v>1204</v>
      </c>
      <c r="E866" s="61" t="s">
        <v>15</v>
      </c>
      <c r="F866" s="61"/>
      <c r="G866" s="635">
        <v>614840.625</v>
      </c>
      <c r="H866" s="635">
        <v>554373.09900000005</v>
      </c>
      <c r="I866" s="635"/>
      <c r="J866" s="635">
        <f t="shared" si="28"/>
        <v>1169213.7239999999</v>
      </c>
      <c r="K866" s="635"/>
      <c r="L866" s="655"/>
      <c r="M866" s="655">
        <f t="shared" si="29"/>
        <v>1169213.7239999999</v>
      </c>
      <c r="N866" s="627"/>
      <c r="O866" s="636"/>
    </row>
    <row r="867" spans="1:15" s="242" customFormat="1" ht="14.25" customHeight="1">
      <c r="A867" s="638">
        <v>343</v>
      </c>
      <c r="B867" s="625"/>
      <c r="C867" s="626"/>
      <c r="D867" s="627" t="s">
        <v>200</v>
      </c>
      <c r="E867" s="61" t="s">
        <v>15</v>
      </c>
      <c r="F867" s="61"/>
      <c r="G867" s="635">
        <v>635040.18900000001</v>
      </c>
      <c r="H867" s="635">
        <v>635040.18900000001</v>
      </c>
      <c r="I867" s="635"/>
      <c r="J867" s="635">
        <f t="shared" si="28"/>
        <v>1270080.378</v>
      </c>
      <c r="K867" s="635"/>
      <c r="L867" s="655"/>
      <c r="M867" s="655">
        <f t="shared" si="29"/>
        <v>1270080.378</v>
      </c>
      <c r="N867" s="627"/>
      <c r="O867" s="636"/>
    </row>
    <row r="868" spans="1:15" s="242" customFormat="1" ht="14.25" customHeight="1">
      <c r="A868" s="624">
        <v>344</v>
      </c>
      <c r="B868" s="625"/>
      <c r="C868" s="626"/>
      <c r="D868" s="627" t="s">
        <v>1205</v>
      </c>
      <c r="E868" s="61" t="s">
        <v>15</v>
      </c>
      <c r="F868" s="61"/>
      <c r="G868" s="635">
        <v>544338.9</v>
      </c>
      <c r="H868" s="635">
        <v>544338.9</v>
      </c>
      <c r="I868" s="635"/>
      <c r="J868" s="635">
        <f t="shared" si="28"/>
        <v>1088677.8</v>
      </c>
      <c r="K868" s="635"/>
      <c r="L868" s="655"/>
      <c r="M868" s="655">
        <f t="shared" ref="M868:M930" si="30">J868-L868</f>
        <v>1088677.8</v>
      </c>
      <c r="N868" s="627"/>
      <c r="O868" s="636"/>
    </row>
    <row r="869" spans="1:15" s="242" customFormat="1" ht="14.25" customHeight="1">
      <c r="A869" s="638">
        <v>345</v>
      </c>
      <c r="B869" s="625"/>
      <c r="C869" s="626"/>
      <c r="D869" s="627" t="s">
        <v>570</v>
      </c>
      <c r="E869" s="61" t="s">
        <v>15</v>
      </c>
      <c r="F869" s="61"/>
      <c r="G869" s="635">
        <v>574572.66299999994</v>
      </c>
      <c r="H869" s="635">
        <v>574572.66299999994</v>
      </c>
      <c r="I869" s="635"/>
      <c r="J869" s="635">
        <f t="shared" si="28"/>
        <v>1149145.3259999999</v>
      </c>
      <c r="K869" s="635"/>
      <c r="L869" s="655"/>
      <c r="M869" s="655">
        <f t="shared" si="30"/>
        <v>1149145.3259999999</v>
      </c>
      <c r="N869" s="627"/>
      <c r="O869" s="636"/>
    </row>
    <row r="870" spans="1:15" s="242" customFormat="1" ht="14.25" customHeight="1">
      <c r="A870" s="638">
        <v>346</v>
      </c>
      <c r="B870" s="625"/>
      <c r="C870" s="626"/>
      <c r="D870" s="627" t="s">
        <v>1206</v>
      </c>
      <c r="E870" s="61" t="s">
        <v>15</v>
      </c>
      <c r="F870" s="61"/>
      <c r="G870" s="635">
        <v>604806.42599999998</v>
      </c>
      <c r="H870" s="635">
        <v>604806.42599999998</v>
      </c>
      <c r="I870" s="635"/>
      <c r="J870" s="635">
        <f t="shared" si="28"/>
        <v>1209612.852</v>
      </c>
      <c r="K870" s="635"/>
      <c r="L870" s="655"/>
      <c r="M870" s="655">
        <f t="shared" si="30"/>
        <v>1209612.852</v>
      </c>
      <c r="N870" s="627"/>
      <c r="O870" s="636"/>
    </row>
    <row r="871" spans="1:15" s="242" customFormat="1" ht="14.25" customHeight="1">
      <c r="A871" s="624">
        <v>347</v>
      </c>
      <c r="B871" s="625"/>
      <c r="C871" s="626"/>
      <c r="D871" s="627" t="s">
        <v>1207</v>
      </c>
      <c r="E871" s="61" t="s">
        <v>15</v>
      </c>
      <c r="F871" s="61"/>
      <c r="G871" s="635">
        <v>584606.86199999996</v>
      </c>
      <c r="H871" s="635">
        <v>584606.86199999996</v>
      </c>
      <c r="I871" s="635"/>
      <c r="J871" s="635">
        <f t="shared" si="28"/>
        <v>1169213.7239999999</v>
      </c>
      <c r="K871" s="635"/>
      <c r="L871" s="655"/>
      <c r="M871" s="655">
        <f t="shared" si="30"/>
        <v>1169213.7239999999</v>
      </c>
      <c r="N871" s="627"/>
      <c r="O871" s="636"/>
    </row>
    <row r="872" spans="1:15" s="242" customFormat="1" ht="14.25" customHeight="1">
      <c r="A872" s="638">
        <v>348</v>
      </c>
      <c r="B872" s="625"/>
      <c r="C872" s="626"/>
      <c r="D872" s="627" t="s">
        <v>1208</v>
      </c>
      <c r="E872" s="61" t="s">
        <v>15</v>
      </c>
      <c r="F872" s="61"/>
      <c r="G872" s="635">
        <v>635040.18900000001</v>
      </c>
      <c r="H872" s="635">
        <v>635040.18900000001</v>
      </c>
      <c r="I872" s="635"/>
      <c r="J872" s="635">
        <f t="shared" si="28"/>
        <v>1270080.378</v>
      </c>
      <c r="K872" s="635"/>
      <c r="L872" s="655"/>
      <c r="M872" s="655">
        <f t="shared" si="30"/>
        <v>1270080.378</v>
      </c>
      <c r="N872" s="627"/>
      <c r="O872" s="636"/>
    </row>
    <row r="873" spans="1:15" s="242" customFormat="1" ht="14.25" customHeight="1">
      <c r="A873" s="638">
        <v>349</v>
      </c>
      <c r="B873" s="625"/>
      <c r="C873" s="626"/>
      <c r="D873" s="627" t="s">
        <v>1209</v>
      </c>
      <c r="E873" s="61" t="s">
        <v>15</v>
      </c>
      <c r="F873" s="61"/>
      <c r="G873" s="635">
        <v>524139.33600000001</v>
      </c>
      <c r="H873" s="635">
        <v>524139.33600000001</v>
      </c>
      <c r="I873" s="635"/>
      <c r="J873" s="635">
        <f t="shared" si="28"/>
        <v>1048278.672</v>
      </c>
      <c r="K873" s="635"/>
      <c r="L873" s="655"/>
      <c r="M873" s="655">
        <f t="shared" si="30"/>
        <v>1048278.672</v>
      </c>
      <c r="N873" s="627"/>
      <c r="O873" s="636"/>
    </row>
    <row r="874" spans="1:15" s="242" customFormat="1" ht="14.25" customHeight="1">
      <c r="A874" s="624">
        <v>350</v>
      </c>
      <c r="B874" s="625"/>
      <c r="C874" s="626"/>
      <c r="D874" s="627" t="s">
        <v>1210</v>
      </c>
      <c r="E874" s="61" t="s">
        <v>15</v>
      </c>
      <c r="F874" s="61"/>
      <c r="G874" s="635">
        <v>554373.09900000005</v>
      </c>
      <c r="H874" s="635">
        <v>554373.09900000005</v>
      </c>
      <c r="I874" s="635"/>
      <c r="J874" s="635">
        <f t="shared" si="28"/>
        <v>1108746.1980000001</v>
      </c>
      <c r="K874" s="635"/>
      <c r="L874" s="655"/>
      <c r="M874" s="655">
        <f t="shared" si="30"/>
        <v>1108746.1980000001</v>
      </c>
      <c r="N874" s="627"/>
      <c r="O874" s="636"/>
    </row>
    <row r="875" spans="1:15" s="242" customFormat="1" ht="14.25" customHeight="1">
      <c r="A875" s="638">
        <v>351</v>
      </c>
      <c r="B875" s="625"/>
      <c r="C875" s="626"/>
      <c r="D875" s="627" t="s">
        <v>1211</v>
      </c>
      <c r="E875" s="61" t="s">
        <v>15</v>
      </c>
      <c r="F875" s="61"/>
      <c r="G875" s="635">
        <v>554373.09900000005</v>
      </c>
      <c r="H875" s="635">
        <v>554373.09900000005</v>
      </c>
      <c r="I875" s="635"/>
      <c r="J875" s="635">
        <f t="shared" si="28"/>
        <v>1108746.1980000001</v>
      </c>
      <c r="K875" s="635"/>
      <c r="L875" s="655"/>
      <c r="M875" s="655">
        <f t="shared" si="30"/>
        <v>1108746.1980000001</v>
      </c>
      <c r="N875" s="627"/>
      <c r="O875" s="636"/>
    </row>
    <row r="876" spans="1:15" s="242" customFormat="1" ht="14.25" customHeight="1">
      <c r="A876" s="638">
        <v>352</v>
      </c>
      <c r="B876" s="625"/>
      <c r="C876" s="626"/>
      <c r="D876" s="627" t="s">
        <v>1212</v>
      </c>
      <c r="E876" s="61" t="s">
        <v>15</v>
      </c>
      <c r="F876" s="61"/>
      <c r="G876" s="635">
        <v>614840.625</v>
      </c>
      <c r="H876" s="635">
        <v>554373.09900000005</v>
      </c>
      <c r="I876" s="635"/>
      <c r="J876" s="635">
        <f t="shared" si="28"/>
        <v>1169213.7239999999</v>
      </c>
      <c r="K876" s="635"/>
      <c r="L876" s="655"/>
      <c r="M876" s="655">
        <f t="shared" si="30"/>
        <v>1169213.7239999999</v>
      </c>
      <c r="N876" s="627"/>
      <c r="O876" s="636"/>
    </row>
    <row r="877" spans="1:15" s="242" customFormat="1" ht="14.25" customHeight="1">
      <c r="A877" s="624">
        <v>353</v>
      </c>
      <c r="B877" s="625"/>
      <c r="C877" s="626"/>
      <c r="D877" s="627" t="s">
        <v>148</v>
      </c>
      <c r="E877" s="61" t="s">
        <v>15</v>
      </c>
      <c r="F877" s="61"/>
      <c r="G877" s="635">
        <v>614840.625</v>
      </c>
      <c r="H877" s="635">
        <v>554373.09900000005</v>
      </c>
      <c r="I877" s="635"/>
      <c r="J877" s="635">
        <f t="shared" si="28"/>
        <v>1169213.7239999999</v>
      </c>
      <c r="K877" s="635"/>
      <c r="L877" s="655"/>
      <c r="M877" s="655">
        <f t="shared" si="30"/>
        <v>1169213.7239999999</v>
      </c>
      <c r="N877" s="627"/>
      <c r="O877" s="636"/>
    </row>
    <row r="878" spans="1:15" s="242" customFormat="1" ht="14.25" customHeight="1">
      <c r="A878" s="638">
        <v>354</v>
      </c>
      <c r="B878" s="625"/>
      <c r="C878" s="626"/>
      <c r="D878" s="627" t="s">
        <v>1213</v>
      </c>
      <c r="E878" s="61" t="s">
        <v>15</v>
      </c>
      <c r="F878" s="61"/>
      <c r="G878" s="635">
        <v>635040.18900000001</v>
      </c>
      <c r="H878" s="635">
        <v>635040.18900000001</v>
      </c>
      <c r="I878" s="635"/>
      <c r="J878" s="635">
        <f t="shared" si="28"/>
        <v>1270080.378</v>
      </c>
      <c r="K878" s="635"/>
      <c r="L878" s="655"/>
      <c r="M878" s="655">
        <f t="shared" si="30"/>
        <v>1270080.378</v>
      </c>
      <c r="N878" s="627"/>
      <c r="O878" s="636"/>
    </row>
    <row r="879" spans="1:15" s="242" customFormat="1" ht="14.25" customHeight="1">
      <c r="A879" s="638">
        <v>355</v>
      </c>
      <c r="B879" s="625"/>
      <c r="C879" s="626"/>
      <c r="D879" s="627" t="s">
        <v>1214</v>
      </c>
      <c r="E879" s="61" t="s">
        <v>15</v>
      </c>
      <c r="F879" s="61"/>
      <c r="G879" s="635">
        <v>544338.9</v>
      </c>
      <c r="H879" s="635">
        <v>544338.9</v>
      </c>
      <c r="I879" s="635"/>
      <c r="J879" s="635">
        <f t="shared" si="28"/>
        <v>1088677.8</v>
      </c>
      <c r="K879" s="635"/>
      <c r="L879" s="655"/>
      <c r="M879" s="655">
        <f t="shared" si="30"/>
        <v>1088677.8</v>
      </c>
      <c r="N879" s="627"/>
      <c r="O879" s="636"/>
    </row>
    <row r="880" spans="1:15" s="242" customFormat="1" ht="14.25" customHeight="1">
      <c r="A880" s="624">
        <v>356</v>
      </c>
      <c r="B880" s="625"/>
      <c r="C880" s="626"/>
      <c r="D880" s="627" t="s">
        <v>1215</v>
      </c>
      <c r="E880" s="61" t="s">
        <v>15</v>
      </c>
      <c r="F880" s="61"/>
      <c r="G880" s="635">
        <v>574572.66299999994</v>
      </c>
      <c r="H880" s="635">
        <v>574572.66299999994</v>
      </c>
      <c r="I880" s="635"/>
      <c r="J880" s="635">
        <f t="shared" si="28"/>
        <v>1149145.3259999999</v>
      </c>
      <c r="K880" s="635"/>
      <c r="L880" s="655"/>
      <c r="M880" s="655">
        <f t="shared" si="30"/>
        <v>1149145.3259999999</v>
      </c>
      <c r="N880" s="627"/>
      <c r="O880" s="636"/>
    </row>
    <row r="881" spans="1:15" s="242" customFormat="1" ht="14.25" customHeight="1">
      <c r="A881" s="638">
        <v>357</v>
      </c>
      <c r="B881" s="625"/>
      <c r="C881" s="626"/>
      <c r="D881" s="627" t="s">
        <v>545</v>
      </c>
      <c r="E881" s="61" t="s">
        <v>15</v>
      </c>
      <c r="F881" s="61"/>
      <c r="G881" s="635">
        <v>604806.42599999998</v>
      </c>
      <c r="H881" s="635">
        <v>604806.42599999998</v>
      </c>
      <c r="I881" s="635"/>
      <c r="J881" s="635">
        <f t="shared" si="28"/>
        <v>1209612.852</v>
      </c>
      <c r="K881" s="635"/>
      <c r="L881" s="655"/>
      <c r="M881" s="655">
        <f t="shared" si="30"/>
        <v>1209612.852</v>
      </c>
      <c r="N881" s="627"/>
      <c r="O881" s="636"/>
    </row>
    <row r="882" spans="1:15" s="242" customFormat="1" ht="14.25" customHeight="1">
      <c r="A882" s="638">
        <v>358</v>
      </c>
      <c r="B882" s="625"/>
      <c r="C882" s="626"/>
      <c r="D882" s="627" t="s">
        <v>1216</v>
      </c>
      <c r="E882" s="61" t="s">
        <v>15</v>
      </c>
      <c r="F882" s="61"/>
      <c r="G882" s="635">
        <v>584606.86199999996</v>
      </c>
      <c r="H882" s="635">
        <v>584606.86199999996</v>
      </c>
      <c r="I882" s="635"/>
      <c r="J882" s="635">
        <f t="shared" si="28"/>
        <v>1169213.7239999999</v>
      </c>
      <c r="K882" s="635"/>
      <c r="L882" s="655"/>
      <c r="M882" s="655">
        <f t="shared" si="30"/>
        <v>1169213.7239999999</v>
      </c>
      <c r="N882" s="627"/>
      <c r="O882" s="636"/>
    </row>
    <row r="883" spans="1:15" s="242" customFormat="1" ht="14.25" customHeight="1">
      <c r="A883" s="624">
        <v>359</v>
      </c>
      <c r="B883" s="625"/>
      <c r="C883" s="626"/>
      <c r="D883" s="627" t="s">
        <v>141</v>
      </c>
      <c r="E883" s="61" t="s">
        <v>15</v>
      </c>
      <c r="F883" s="61"/>
      <c r="G883" s="635">
        <v>635040.18900000001</v>
      </c>
      <c r="H883" s="635">
        <v>635040.18900000001</v>
      </c>
      <c r="I883" s="635"/>
      <c r="J883" s="635">
        <f t="shared" ref="J883:J945" si="31">SUM(G883:I883)</f>
        <v>1270080.378</v>
      </c>
      <c r="K883" s="635"/>
      <c r="L883" s="655"/>
      <c r="M883" s="655">
        <f t="shared" si="30"/>
        <v>1270080.378</v>
      </c>
      <c r="N883" s="627"/>
      <c r="O883" s="636"/>
    </row>
    <row r="884" spans="1:15" s="242" customFormat="1" ht="14.25" customHeight="1">
      <c r="A884" s="638">
        <v>360</v>
      </c>
      <c r="B884" s="625"/>
      <c r="C884" s="626"/>
      <c r="D884" s="627" t="s">
        <v>546</v>
      </c>
      <c r="E884" s="61" t="s">
        <v>15</v>
      </c>
      <c r="F884" s="61"/>
      <c r="G884" s="635">
        <v>524139.33600000001</v>
      </c>
      <c r="H884" s="635">
        <v>524139.33600000001</v>
      </c>
      <c r="I884" s="635"/>
      <c r="J884" s="635">
        <f t="shared" si="31"/>
        <v>1048278.672</v>
      </c>
      <c r="K884" s="635"/>
      <c r="L884" s="655"/>
      <c r="M884" s="655">
        <f t="shared" si="30"/>
        <v>1048278.672</v>
      </c>
      <c r="N884" s="627"/>
      <c r="O884" s="636"/>
    </row>
    <row r="885" spans="1:15" s="242" customFormat="1" ht="14.25" customHeight="1">
      <c r="A885" s="638">
        <v>361</v>
      </c>
      <c r="B885" s="625"/>
      <c r="C885" s="626"/>
      <c r="D885" s="627" t="s">
        <v>179</v>
      </c>
      <c r="E885" s="61" t="s">
        <v>15</v>
      </c>
      <c r="F885" s="61"/>
      <c r="G885" s="635">
        <v>554373.09900000005</v>
      </c>
      <c r="H885" s="635">
        <v>554373.09900000005</v>
      </c>
      <c r="I885" s="635"/>
      <c r="J885" s="635">
        <f t="shared" si="31"/>
        <v>1108746.1980000001</v>
      </c>
      <c r="K885" s="635"/>
      <c r="L885" s="655"/>
      <c r="M885" s="655">
        <f t="shared" si="30"/>
        <v>1108746.1980000001</v>
      </c>
      <c r="N885" s="627"/>
      <c r="O885" s="636"/>
    </row>
    <row r="886" spans="1:15" s="242" customFormat="1" ht="14.25" customHeight="1">
      <c r="A886" s="624">
        <v>362</v>
      </c>
      <c r="B886" s="625"/>
      <c r="C886" s="626"/>
      <c r="D886" s="627" t="s">
        <v>1217</v>
      </c>
      <c r="E886" s="61" t="s">
        <v>15</v>
      </c>
      <c r="F886" s="61"/>
      <c r="G886" s="635">
        <v>554373.09900000005</v>
      </c>
      <c r="H886" s="635">
        <v>554373.09900000005</v>
      </c>
      <c r="I886" s="635"/>
      <c r="J886" s="635">
        <f t="shared" si="31"/>
        <v>1108746.1980000001</v>
      </c>
      <c r="K886" s="635"/>
      <c r="L886" s="655"/>
      <c r="M886" s="655">
        <f t="shared" si="30"/>
        <v>1108746.1980000001</v>
      </c>
      <c r="N886" s="627"/>
      <c r="O886" s="636"/>
    </row>
    <row r="887" spans="1:15" s="242" customFormat="1" ht="14.25" customHeight="1">
      <c r="A887" s="638">
        <v>363</v>
      </c>
      <c r="B887" s="625"/>
      <c r="C887" s="626"/>
      <c r="D887" s="627" t="s">
        <v>1218</v>
      </c>
      <c r="E887" s="61" t="s">
        <v>15</v>
      </c>
      <c r="F887" s="61"/>
      <c r="G887" s="635">
        <v>614840.625</v>
      </c>
      <c r="H887" s="635">
        <v>554373.09900000005</v>
      </c>
      <c r="I887" s="635"/>
      <c r="J887" s="635">
        <f t="shared" si="31"/>
        <v>1169213.7239999999</v>
      </c>
      <c r="K887" s="635"/>
      <c r="L887" s="655"/>
      <c r="M887" s="655">
        <f t="shared" si="30"/>
        <v>1169213.7239999999</v>
      </c>
      <c r="N887" s="627"/>
      <c r="O887" s="636"/>
    </row>
    <row r="888" spans="1:15" s="242" customFormat="1" ht="14.25" customHeight="1">
      <c r="A888" s="638">
        <v>364</v>
      </c>
      <c r="B888" s="625"/>
      <c r="C888" s="626"/>
      <c r="D888" s="627" t="s">
        <v>1219</v>
      </c>
      <c r="E888" s="61" t="s">
        <v>15</v>
      </c>
      <c r="F888" s="61"/>
      <c r="G888" s="635">
        <v>614840.625</v>
      </c>
      <c r="H888" s="635">
        <v>554373.09900000005</v>
      </c>
      <c r="I888" s="635"/>
      <c r="J888" s="635">
        <f t="shared" si="31"/>
        <v>1169213.7239999999</v>
      </c>
      <c r="K888" s="635"/>
      <c r="L888" s="655"/>
      <c r="M888" s="655">
        <f t="shared" si="30"/>
        <v>1169213.7239999999</v>
      </c>
      <c r="N888" s="627"/>
      <c r="O888" s="636"/>
    </row>
    <row r="889" spans="1:15" s="242" customFormat="1" ht="14.25" customHeight="1">
      <c r="A889" s="624">
        <v>365</v>
      </c>
      <c r="B889" s="625"/>
      <c r="C889" s="626"/>
      <c r="D889" s="627" t="s">
        <v>1220</v>
      </c>
      <c r="E889" s="61" t="s">
        <v>15</v>
      </c>
      <c r="F889" s="61"/>
      <c r="G889" s="635">
        <v>635040.18900000001</v>
      </c>
      <c r="H889" s="635">
        <v>635040.18900000001</v>
      </c>
      <c r="I889" s="635"/>
      <c r="J889" s="635">
        <f t="shared" si="31"/>
        <v>1270080.378</v>
      </c>
      <c r="K889" s="635"/>
      <c r="L889" s="655"/>
      <c r="M889" s="655">
        <f t="shared" si="30"/>
        <v>1270080.378</v>
      </c>
      <c r="N889" s="627"/>
      <c r="O889" s="636"/>
    </row>
    <row r="890" spans="1:15" s="242" customFormat="1" ht="14.25" customHeight="1">
      <c r="A890" s="638">
        <v>366</v>
      </c>
      <c r="B890" s="625"/>
      <c r="C890" s="626"/>
      <c r="D890" s="627" t="s">
        <v>205</v>
      </c>
      <c r="E890" s="61" t="s">
        <v>15</v>
      </c>
      <c r="F890" s="61"/>
      <c r="G890" s="635">
        <v>544338.9</v>
      </c>
      <c r="H890" s="635">
        <v>544338.9</v>
      </c>
      <c r="I890" s="635"/>
      <c r="J890" s="635">
        <f t="shared" si="31"/>
        <v>1088677.8</v>
      </c>
      <c r="K890" s="635"/>
      <c r="L890" s="655"/>
      <c r="M890" s="655">
        <f t="shared" si="30"/>
        <v>1088677.8</v>
      </c>
      <c r="N890" s="627"/>
      <c r="O890" s="636"/>
    </row>
    <row r="891" spans="1:15" s="242" customFormat="1" ht="14.25" customHeight="1">
      <c r="A891" s="638">
        <v>367</v>
      </c>
      <c r="B891" s="625"/>
      <c r="C891" s="626"/>
      <c r="D891" s="627" t="s">
        <v>1221</v>
      </c>
      <c r="E891" s="61" t="s">
        <v>15</v>
      </c>
      <c r="F891" s="61"/>
      <c r="G891" s="635">
        <v>574572.66299999994</v>
      </c>
      <c r="H891" s="635">
        <v>574572.66299999994</v>
      </c>
      <c r="I891" s="635"/>
      <c r="J891" s="635">
        <f t="shared" si="31"/>
        <v>1149145.3259999999</v>
      </c>
      <c r="K891" s="635"/>
      <c r="L891" s="655"/>
      <c r="M891" s="655">
        <f t="shared" si="30"/>
        <v>1149145.3259999999</v>
      </c>
      <c r="N891" s="627"/>
      <c r="O891" s="636"/>
    </row>
    <row r="892" spans="1:15" s="242" customFormat="1" ht="14.25" customHeight="1">
      <c r="A892" s="624">
        <v>368</v>
      </c>
      <c r="B892" s="625"/>
      <c r="C892" s="626"/>
      <c r="D892" s="627" t="s">
        <v>108</v>
      </c>
      <c r="E892" s="61" t="s">
        <v>15</v>
      </c>
      <c r="F892" s="61"/>
      <c r="G892" s="635">
        <v>604806.42599999998</v>
      </c>
      <c r="H892" s="635">
        <v>604806.42599999998</v>
      </c>
      <c r="I892" s="635"/>
      <c r="J892" s="635">
        <f t="shared" si="31"/>
        <v>1209612.852</v>
      </c>
      <c r="K892" s="635"/>
      <c r="L892" s="655"/>
      <c r="M892" s="655">
        <f t="shared" si="30"/>
        <v>1209612.852</v>
      </c>
      <c r="N892" s="627"/>
      <c r="O892" s="636"/>
    </row>
    <row r="893" spans="1:15" s="242" customFormat="1" ht="14.25" customHeight="1">
      <c r="A893" s="638">
        <v>369</v>
      </c>
      <c r="B893" s="625"/>
      <c r="C893" s="626"/>
      <c r="D893" s="627" t="s">
        <v>1222</v>
      </c>
      <c r="E893" s="61" t="s">
        <v>15</v>
      </c>
      <c r="F893" s="61"/>
      <c r="G893" s="635">
        <v>584606.86199999996</v>
      </c>
      <c r="H893" s="635">
        <v>584606.86199999996</v>
      </c>
      <c r="I893" s="635"/>
      <c r="J893" s="635">
        <f t="shared" si="31"/>
        <v>1169213.7239999999</v>
      </c>
      <c r="K893" s="635"/>
      <c r="L893" s="655"/>
      <c r="M893" s="655">
        <f t="shared" si="30"/>
        <v>1169213.7239999999</v>
      </c>
      <c r="N893" s="627"/>
      <c r="O893" s="636"/>
    </row>
    <row r="894" spans="1:15" s="242" customFormat="1" ht="14.25" customHeight="1">
      <c r="A894" s="638">
        <v>370</v>
      </c>
      <c r="B894" s="625"/>
      <c r="C894" s="626"/>
      <c r="D894" s="627" t="s">
        <v>1223</v>
      </c>
      <c r="E894" s="61" t="s">
        <v>15</v>
      </c>
      <c r="F894" s="61"/>
      <c r="G894" s="635">
        <v>635040.18900000001</v>
      </c>
      <c r="H894" s="635">
        <v>635040.18900000001</v>
      </c>
      <c r="I894" s="635"/>
      <c r="J894" s="635">
        <f t="shared" si="31"/>
        <v>1270080.378</v>
      </c>
      <c r="K894" s="635"/>
      <c r="L894" s="655"/>
      <c r="M894" s="655">
        <f t="shared" si="30"/>
        <v>1270080.378</v>
      </c>
      <c r="N894" s="627"/>
      <c r="O894" s="636"/>
    </row>
    <row r="895" spans="1:15" s="242" customFormat="1" ht="14.25" customHeight="1">
      <c r="A895" s="624">
        <v>371</v>
      </c>
      <c r="B895" s="625"/>
      <c r="C895" s="626"/>
      <c r="D895" s="627" t="s">
        <v>1224</v>
      </c>
      <c r="E895" s="61" t="s">
        <v>15</v>
      </c>
      <c r="F895" s="61"/>
      <c r="G895" s="635">
        <v>524139.33600000001</v>
      </c>
      <c r="H895" s="635">
        <v>524139.33600000001</v>
      </c>
      <c r="I895" s="635"/>
      <c r="J895" s="635">
        <f t="shared" si="31"/>
        <v>1048278.672</v>
      </c>
      <c r="K895" s="635"/>
      <c r="L895" s="655"/>
      <c r="M895" s="655">
        <f t="shared" si="30"/>
        <v>1048278.672</v>
      </c>
      <c r="N895" s="627"/>
      <c r="O895" s="636"/>
    </row>
    <row r="896" spans="1:15" s="242" customFormat="1" ht="14.25" customHeight="1">
      <c r="A896" s="638">
        <v>372</v>
      </c>
      <c r="B896" s="625"/>
      <c r="C896" s="626"/>
      <c r="D896" s="627" t="s">
        <v>565</v>
      </c>
      <c r="E896" s="61" t="s">
        <v>15</v>
      </c>
      <c r="F896" s="61"/>
      <c r="G896" s="635">
        <v>104595.369999945</v>
      </c>
      <c r="H896" s="635">
        <v>554373.09900000005</v>
      </c>
      <c r="I896" s="635"/>
      <c r="J896" s="635">
        <f t="shared" si="31"/>
        <v>658968.46899994509</v>
      </c>
      <c r="K896" s="635"/>
      <c r="L896" s="655"/>
      <c r="M896" s="655">
        <f t="shared" si="30"/>
        <v>658968.46899994509</v>
      </c>
      <c r="N896" s="627"/>
      <c r="O896" s="636"/>
    </row>
    <row r="897" spans="1:15" s="242" customFormat="1" ht="14.25" customHeight="1">
      <c r="A897" s="638">
        <v>373</v>
      </c>
      <c r="B897" s="625"/>
      <c r="C897" s="626"/>
      <c r="D897" s="627" t="s">
        <v>1225</v>
      </c>
      <c r="E897" s="61" t="s">
        <v>15</v>
      </c>
      <c r="F897" s="61"/>
      <c r="G897" s="635"/>
      <c r="H897" s="635">
        <v>554373.09900000005</v>
      </c>
      <c r="I897" s="635"/>
      <c r="J897" s="635">
        <f t="shared" si="31"/>
        <v>554373.09900000005</v>
      </c>
      <c r="K897" s="635"/>
      <c r="L897" s="655"/>
      <c r="M897" s="655">
        <f t="shared" si="30"/>
        <v>554373.09900000005</v>
      </c>
      <c r="N897" s="627"/>
      <c r="O897" s="636"/>
    </row>
    <row r="898" spans="1:15" s="242" customFormat="1" ht="14.25" customHeight="1">
      <c r="A898" s="624">
        <v>374</v>
      </c>
      <c r="B898" s="625"/>
      <c r="C898" s="626"/>
      <c r="D898" s="627" t="s">
        <v>166</v>
      </c>
      <c r="E898" s="61" t="s">
        <v>15</v>
      </c>
      <c r="F898" s="61"/>
      <c r="G898" s="635"/>
      <c r="H898" s="635">
        <v>554373.09900000005</v>
      </c>
      <c r="I898" s="635"/>
      <c r="J898" s="635">
        <f t="shared" si="31"/>
        <v>554373.09900000005</v>
      </c>
      <c r="K898" s="635"/>
      <c r="L898" s="655"/>
      <c r="M898" s="655">
        <f t="shared" si="30"/>
        <v>554373.09900000005</v>
      </c>
      <c r="N898" s="627"/>
      <c r="O898" s="636"/>
    </row>
    <row r="899" spans="1:15" s="242" customFormat="1" ht="14.25" customHeight="1">
      <c r="A899" s="638">
        <v>375</v>
      </c>
      <c r="B899" s="625"/>
      <c r="C899" s="626"/>
      <c r="D899" s="627" t="s">
        <v>1226</v>
      </c>
      <c r="E899" s="61" t="s">
        <v>15</v>
      </c>
      <c r="F899" s="61"/>
      <c r="G899" s="635"/>
      <c r="H899" s="635">
        <v>554373.09900000005</v>
      </c>
      <c r="I899" s="635"/>
      <c r="J899" s="635">
        <f t="shared" si="31"/>
        <v>554373.09900000005</v>
      </c>
      <c r="K899" s="635"/>
      <c r="L899" s="655"/>
      <c r="M899" s="655">
        <f t="shared" si="30"/>
        <v>554373.09900000005</v>
      </c>
      <c r="N899" s="627"/>
      <c r="O899" s="636"/>
    </row>
    <row r="900" spans="1:15" s="242" customFormat="1" ht="14.25" customHeight="1">
      <c r="A900" s="638">
        <v>376</v>
      </c>
      <c r="B900" s="625"/>
      <c r="C900" s="626"/>
      <c r="D900" s="627" t="s">
        <v>133</v>
      </c>
      <c r="E900" s="61" t="s">
        <v>15</v>
      </c>
      <c r="F900" s="61"/>
      <c r="G900" s="635"/>
      <c r="H900" s="635">
        <v>635040.18900000001</v>
      </c>
      <c r="I900" s="635"/>
      <c r="J900" s="635">
        <f t="shared" si="31"/>
        <v>635040.18900000001</v>
      </c>
      <c r="K900" s="635"/>
      <c r="L900" s="655"/>
      <c r="M900" s="655">
        <f t="shared" si="30"/>
        <v>635040.18900000001</v>
      </c>
      <c r="N900" s="627"/>
      <c r="O900" s="636"/>
    </row>
    <row r="901" spans="1:15" s="242" customFormat="1" ht="14.25" customHeight="1">
      <c r="A901" s="624">
        <v>377</v>
      </c>
      <c r="B901" s="625"/>
      <c r="C901" s="626"/>
      <c r="D901" s="627" t="s">
        <v>142</v>
      </c>
      <c r="E901" s="61" t="s">
        <v>15</v>
      </c>
      <c r="F901" s="61"/>
      <c r="G901" s="635"/>
      <c r="H901" s="655">
        <v>1108746.1980000001</v>
      </c>
      <c r="I901" s="635"/>
      <c r="J901" s="635">
        <f t="shared" si="31"/>
        <v>1108746.1980000001</v>
      </c>
      <c r="K901" s="635"/>
      <c r="L901" s="655"/>
      <c r="M901" s="655">
        <f t="shared" si="30"/>
        <v>1108746.1980000001</v>
      </c>
      <c r="N901" s="627"/>
      <c r="O901" s="636"/>
    </row>
    <row r="902" spans="1:15" s="242" customFormat="1" ht="14.25" customHeight="1">
      <c r="A902" s="638">
        <v>378</v>
      </c>
      <c r="B902" s="625"/>
      <c r="C902" s="626"/>
      <c r="D902" s="627" t="s">
        <v>546</v>
      </c>
      <c r="E902" s="61" t="s">
        <v>15</v>
      </c>
      <c r="F902" s="61"/>
      <c r="G902" s="635"/>
      <c r="H902" s="655">
        <v>1108746.1980000001</v>
      </c>
      <c r="I902" s="635"/>
      <c r="J902" s="635">
        <f t="shared" si="31"/>
        <v>1108746.1980000001</v>
      </c>
      <c r="K902" s="635"/>
      <c r="L902" s="655"/>
      <c r="M902" s="655">
        <f t="shared" si="30"/>
        <v>1108746.1980000001</v>
      </c>
      <c r="N902" s="627"/>
      <c r="O902" s="636"/>
    </row>
    <row r="903" spans="1:15" s="242" customFormat="1" ht="14.25" customHeight="1">
      <c r="A903" s="638">
        <v>379</v>
      </c>
      <c r="B903" s="625"/>
      <c r="C903" s="626"/>
      <c r="D903" s="627" t="s">
        <v>1227</v>
      </c>
      <c r="E903" s="61" t="s">
        <v>15</v>
      </c>
      <c r="F903" s="61"/>
      <c r="G903" s="635"/>
      <c r="H903" s="655">
        <v>1159179.5249999999</v>
      </c>
      <c r="I903" s="635"/>
      <c r="J903" s="635">
        <f t="shared" si="31"/>
        <v>1159179.5249999999</v>
      </c>
      <c r="K903" s="635"/>
      <c r="L903" s="655"/>
      <c r="M903" s="655">
        <f t="shared" si="30"/>
        <v>1159179.5249999999</v>
      </c>
      <c r="N903" s="627"/>
      <c r="O903" s="636"/>
    </row>
    <row r="904" spans="1:15" s="242" customFormat="1" ht="14.25" customHeight="1">
      <c r="A904" s="624">
        <v>380</v>
      </c>
      <c r="B904" s="625"/>
      <c r="C904" s="626"/>
      <c r="D904" s="627" t="s">
        <v>1228</v>
      </c>
      <c r="E904" s="61" t="s">
        <v>15</v>
      </c>
      <c r="F904" s="61"/>
      <c r="G904" s="635"/>
      <c r="H904" s="635">
        <v>1270080.378</v>
      </c>
      <c r="I904" s="635"/>
      <c r="J904" s="635">
        <f t="shared" si="31"/>
        <v>1270080.378</v>
      </c>
      <c r="K904" s="635"/>
      <c r="L904" s="655"/>
      <c r="M904" s="655">
        <f t="shared" si="30"/>
        <v>1270080.378</v>
      </c>
      <c r="N904" s="627"/>
      <c r="O904" s="636"/>
    </row>
    <row r="905" spans="1:15" s="242" customFormat="1" ht="14.25" customHeight="1">
      <c r="A905" s="638">
        <v>381</v>
      </c>
      <c r="B905" s="625"/>
      <c r="C905" s="626"/>
      <c r="D905" s="627" t="s">
        <v>577</v>
      </c>
      <c r="E905" s="61" t="s">
        <v>15</v>
      </c>
      <c r="F905" s="61"/>
      <c r="G905" s="635"/>
      <c r="H905" s="635">
        <v>1159179.5249999999</v>
      </c>
      <c r="I905" s="635"/>
      <c r="J905" s="635">
        <f t="shared" si="31"/>
        <v>1159179.5249999999</v>
      </c>
      <c r="K905" s="635"/>
      <c r="L905" s="655"/>
      <c r="M905" s="655">
        <f t="shared" si="30"/>
        <v>1159179.5249999999</v>
      </c>
      <c r="N905" s="627"/>
      <c r="O905" s="636"/>
    </row>
    <row r="906" spans="1:15" s="242" customFormat="1" ht="14.25" customHeight="1">
      <c r="A906" s="638">
        <v>382</v>
      </c>
      <c r="B906" s="625"/>
      <c r="C906" s="626"/>
      <c r="D906" s="627" t="s">
        <v>1229</v>
      </c>
      <c r="E906" s="61" t="s">
        <v>15</v>
      </c>
      <c r="F906" s="61"/>
      <c r="G906" s="635"/>
      <c r="H906" s="635">
        <v>1270080.378</v>
      </c>
      <c r="I906" s="635"/>
      <c r="J906" s="635">
        <f t="shared" si="31"/>
        <v>1270080.378</v>
      </c>
      <c r="K906" s="635"/>
      <c r="L906" s="655"/>
      <c r="M906" s="655">
        <f t="shared" si="30"/>
        <v>1270080.378</v>
      </c>
      <c r="N906" s="627"/>
      <c r="O906" s="636"/>
    </row>
    <row r="907" spans="1:15" s="242" customFormat="1" ht="14.25" customHeight="1">
      <c r="A907" s="624">
        <v>383</v>
      </c>
      <c r="B907" s="625"/>
      <c r="C907" s="626"/>
      <c r="D907" s="627" t="s">
        <v>1230</v>
      </c>
      <c r="E907" s="61" t="s">
        <v>15</v>
      </c>
      <c r="F907" s="61"/>
      <c r="G907" s="635"/>
      <c r="H907" s="635">
        <v>1159179.5249999999</v>
      </c>
      <c r="I907" s="635"/>
      <c r="J907" s="635">
        <f t="shared" si="31"/>
        <v>1159179.5249999999</v>
      </c>
      <c r="K907" s="635"/>
      <c r="L907" s="655"/>
      <c r="M907" s="655">
        <f t="shared" si="30"/>
        <v>1159179.5249999999</v>
      </c>
      <c r="N907" s="627"/>
      <c r="O907" s="636"/>
    </row>
    <row r="908" spans="1:15" s="242" customFormat="1" ht="14.25" customHeight="1">
      <c r="A908" s="638">
        <v>384</v>
      </c>
      <c r="B908" s="625"/>
      <c r="C908" s="626"/>
      <c r="D908" s="627" t="s">
        <v>132</v>
      </c>
      <c r="E908" s="61" t="s">
        <v>15</v>
      </c>
      <c r="F908" s="61"/>
      <c r="G908" s="635"/>
      <c r="H908" s="655">
        <v>1138979.9609999999</v>
      </c>
      <c r="I908" s="635"/>
      <c r="J908" s="635">
        <f t="shared" si="31"/>
        <v>1138979.9609999999</v>
      </c>
      <c r="K908" s="635"/>
      <c r="L908" s="655"/>
      <c r="M908" s="655">
        <f t="shared" si="30"/>
        <v>1138979.9609999999</v>
      </c>
      <c r="N908" s="627"/>
      <c r="O908" s="636"/>
    </row>
    <row r="909" spans="1:15" s="242" customFormat="1" ht="14.25" customHeight="1">
      <c r="A909" s="638">
        <v>385</v>
      </c>
      <c r="B909" s="625"/>
      <c r="C909" s="626"/>
      <c r="D909" s="627" t="s">
        <v>1231</v>
      </c>
      <c r="E909" s="61" t="s">
        <v>15</v>
      </c>
      <c r="F909" s="61"/>
      <c r="G909" s="635"/>
      <c r="H909" s="635">
        <v>1270080.378</v>
      </c>
      <c r="I909" s="635"/>
      <c r="J909" s="635">
        <f t="shared" si="31"/>
        <v>1270080.378</v>
      </c>
      <c r="K909" s="635"/>
      <c r="L909" s="655"/>
      <c r="M909" s="655">
        <f t="shared" si="30"/>
        <v>1270080.378</v>
      </c>
      <c r="N909" s="627"/>
      <c r="O909" s="636"/>
    </row>
    <row r="910" spans="1:15" s="242" customFormat="1" ht="14.25" customHeight="1">
      <c r="A910" s="624">
        <v>386</v>
      </c>
      <c r="B910" s="625"/>
      <c r="C910" s="626"/>
      <c r="D910" s="627" t="s">
        <v>1232</v>
      </c>
      <c r="E910" s="61" t="s">
        <v>15</v>
      </c>
      <c r="F910" s="61"/>
      <c r="G910" s="635"/>
      <c r="H910" s="635">
        <v>1270080.378</v>
      </c>
      <c r="I910" s="635"/>
      <c r="J910" s="635">
        <f t="shared" si="31"/>
        <v>1270080.378</v>
      </c>
      <c r="K910" s="635"/>
      <c r="L910" s="655"/>
      <c r="M910" s="655">
        <f t="shared" si="30"/>
        <v>1270080.378</v>
      </c>
      <c r="N910" s="627"/>
      <c r="O910" s="636"/>
    </row>
    <row r="911" spans="1:15" s="242" customFormat="1" ht="14.25" customHeight="1">
      <c r="A911" s="638">
        <v>387</v>
      </c>
      <c r="B911" s="625"/>
      <c r="C911" s="626"/>
      <c r="D911" s="627" t="s">
        <v>80</v>
      </c>
      <c r="E911" s="630" t="s">
        <v>15</v>
      </c>
      <c r="F911" s="61"/>
      <c r="G911" s="635"/>
      <c r="H911" s="635">
        <v>1108746.1980000001</v>
      </c>
      <c r="I911" s="635"/>
      <c r="J911" s="635">
        <f t="shared" si="31"/>
        <v>1108746.1980000001</v>
      </c>
      <c r="K911" s="635"/>
      <c r="L911" s="655"/>
      <c r="M911" s="655">
        <f t="shared" si="30"/>
        <v>1108746.1980000001</v>
      </c>
      <c r="N911" s="627"/>
      <c r="O911" s="636"/>
    </row>
    <row r="912" spans="1:15" s="242" customFormat="1" ht="14.25" customHeight="1">
      <c r="A912" s="638">
        <v>388</v>
      </c>
      <c r="B912" s="625"/>
      <c r="C912" s="626"/>
      <c r="D912" s="627" t="s">
        <v>1233</v>
      </c>
      <c r="E912" s="630" t="s">
        <v>15</v>
      </c>
      <c r="F912" s="61"/>
      <c r="G912" s="635"/>
      <c r="H912" s="635">
        <v>1270080.378</v>
      </c>
      <c r="I912" s="635"/>
      <c r="J912" s="635">
        <f t="shared" si="31"/>
        <v>1270080.378</v>
      </c>
      <c r="K912" s="635"/>
      <c r="L912" s="655"/>
      <c r="M912" s="655">
        <f t="shared" si="30"/>
        <v>1270080.378</v>
      </c>
      <c r="N912" s="627"/>
      <c r="O912" s="636"/>
    </row>
    <row r="913" spans="1:15" s="242" customFormat="1" ht="14.25" customHeight="1">
      <c r="A913" s="624">
        <v>389</v>
      </c>
      <c r="B913" s="625"/>
      <c r="C913" s="626"/>
      <c r="D913" s="627" t="s">
        <v>1234</v>
      </c>
      <c r="E913" s="630" t="s">
        <v>15</v>
      </c>
      <c r="F913" s="61"/>
      <c r="G913" s="635"/>
      <c r="H913" s="635">
        <v>1259007.19934334</v>
      </c>
      <c r="I913" s="635"/>
      <c r="J913" s="635">
        <f t="shared" si="31"/>
        <v>1259007.19934334</v>
      </c>
      <c r="K913" s="635"/>
      <c r="L913" s="655"/>
      <c r="M913" s="655">
        <f t="shared" si="30"/>
        <v>1259007.19934334</v>
      </c>
      <c r="N913" s="627"/>
      <c r="O913" s="636"/>
    </row>
    <row r="914" spans="1:15" s="242" customFormat="1" ht="14.25" customHeight="1">
      <c r="A914" s="638">
        <v>390</v>
      </c>
      <c r="B914" s="625"/>
      <c r="C914" s="626"/>
      <c r="D914" s="627" t="s">
        <v>386</v>
      </c>
      <c r="E914" s="630" t="s">
        <v>15</v>
      </c>
      <c r="F914" s="61"/>
      <c r="G914" s="635"/>
      <c r="H914" s="635">
        <v>1148746.1980000001</v>
      </c>
      <c r="I914" s="635"/>
      <c r="J914" s="635">
        <f t="shared" si="31"/>
        <v>1148746.1980000001</v>
      </c>
      <c r="K914" s="635"/>
      <c r="L914" s="655"/>
      <c r="M914" s="655">
        <f t="shared" si="30"/>
        <v>1148746.1980000001</v>
      </c>
      <c r="N914" s="627"/>
      <c r="O914" s="636"/>
    </row>
    <row r="915" spans="1:15" s="242" customFormat="1" ht="14.25" customHeight="1">
      <c r="A915" s="638">
        <v>391</v>
      </c>
      <c r="B915" s="625"/>
      <c r="C915" s="626"/>
      <c r="D915" s="627" t="s">
        <v>1235</v>
      </c>
      <c r="E915" s="630" t="s">
        <v>15</v>
      </c>
      <c r="F915" s="61"/>
      <c r="G915" s="635"/>
      <c r="H915" s="635">
        <v>1270080.378</v>
      </c>
      <c r="I915" s="635"/>
      <c r="J915" s="635">
        <f t="shared" si="31"/>
        <v>1270080.378</v>
      </c>
      <c r="K915" s="635"/>
      <c r="L915" s="655"/>
      <c r="M915" s="655">
        <f t="shared" si="30"/>
        <v>1270080.378</v>
      </c>
      <c r="N915" s="627"/>
      <c r="O915" s="636"/>
    </row>
    <row r="916" spans="1:15" s="242" customFormat="1" ht="14.25" customHeight="1">
      <c r="A916" s="624">
        <v>392</v>
      </c>
      <c r="B916" s="625"/>
      <c r="C916" s="626"/>
      <c r="D916" s="627" t="s">
        <v>1236</v>
      </c>
      <c r="E916" s="630" t="s">
        <v>15</v>
      </c>
      <c r="F916" s="61"/>
      <c r="G916" s="635"/>
      <c r="H916" s="635">
        <v>1128677.8</v>
      </c>
      <c r="I916" s="635"/>
      <c r="J916" s="635">
        <f t="shared" si="31"/>
        <v>1128677.8</v>
      </c>
      <c r="K916" s="635"/>
      <c r="L916" s="655"/>
      <c r="M916" s="655">
        <f t="shared" si="30"/>
        <v>1128677.8</v>
      </c>
      <c r="N916" s="627"/>
      <c r="O916" s="636"/>
    </row>
    <row r="917" spans="1:15" s="242" customFormat="1" ht="14.25" customHeight="1">
      <c r="A917" s="638">
        <v>393</v>
      </c>
      <c r="B917" s="625"/>
      <c r="C917" s="626"/>
      <c r="D917" s="627" t="s">
        <v>1237</v>
      </c>
      <c r="E917" s="630" t="s">
        <v>15</v>
      </c>
      <c r="F917" s="61"/>
      <c r="G917" s="635"/>
      <c r="H917" s="635">
        <v>1189145.3259999999</v>
      </c>
      <c r="I917" s="635"/>
      <c r="J917" s="635">
        <f t="shared" si="31"/>
        <v>1189145.3259999999</v>
      </c>
      <c r="K917" s="635"/>
      <c r="L917" s="655"/>
      <c r="M917" s="655">
        <f t="shared" si="30"/>
        <v>1189145.3259999999</v>
      </c>
      <c r="N917" s="627"/>
      <c r="O917" s="636"/>
    </row>
    <row r="918" spans="1:15" s="242" customFormat="1" ht="14.25" customHeight="1">
      <c r="A918" s="638">
        <v>394</v>
      </c>
      <c r="B918" s="625"/>
      <c r="C918" s="626"/>
      <c r="D918" s="627" t="s">
        <v>730</v>
      </c>
      <c r="E918" s="630" t="s">
        <v>15</v>
      </c>
      <c r="F918" s="61"/>
      <c r="G918" s="635"/>
      <c r="H918" s="655">
        <v>1108746.1980000001</v>
      </c>
      <c r="I918" s="635"/>
      <c r="J918" s="635">
        <f t="shared" si="31"/>
        <v>1108746.1980000001</v>
      </c>
      <c r="K918" s="635"/>
      <c r="L918" s="655"/>
      <c r="M918" s="655">
        <f t="shared" si="30"/>
        <v>1108746.1980000001</v>
      </c>
      <c r="N918" s="627"/>
      <c r="O918" s="636"/>
    </row>
    <row r="919" spans="1:15" s="242" customFormat="1" ht="14.25" customHeight="1">
      <c r="A919" s="624">
        <v>395</v>
      </c>
      <c r="B919" s="625"/>
      <c r="C919" s="626"/>
      <c r="D919" s="627" t="s">
        <v>1238</v>
      </c>
      <c r="E919" s="630" t="s">
        <v>15</v>
      </c>
      <c r="F919" s="61"/>
      <c r="G919" s="635"/>
      <c r="H919" s="655">
        <v>1159179.5249999999</v>
      </c>
      <c r="I919" s="635"/>
      <c r="J919" s="635">
        <f t="shared" si="31"/>
        <v>1159179.5249999999</v>
      </c>
      <c r="K919" s="635"/>
      <c r="L919" s="655"/>
      <c r="M919" s="655">
        <f t="shared" si="30"/>
        <v>1159179.5249999999</v>
      </c>
      <c r="N919" s="627"/>
      <c r="O919" s="636"/>
    </row>
    <row r="920" spans="1:15" s="242" customFormat="1" ht="14.25" customHeight="1">
      <c r="A920" s="638">
        <v>396</v>
      </c>
      <c r="B920" s="625"/>
      <c r="C920" s="626"/>
      <c r="D920" s="627" t="s">
        <v>191</v>
      </c>
      <c r="E920" s="630" t="s">
        <v>15</v>
      </c>
      <c r="F920" s="61"/>
      <c r="G920" s="635"/>
      <c r="H920" s="635">
        <v>1270080.378</v>
      </c>
      <c r="I920" s="635"/>
      <c r="J920" s="635">
        <f t="shared" si="31"/>
        <v>1270080.378</v>
      </c>
      <c r="K920" s="635"/>
      <c r="L920" s="655"/>
      <c r="M920" s="655">
        <f t="shared" si="30"/>
        <v>1270080.378</v>
      </c>
      <c r="N920" s="627"/>
      <c r="O920" s="636"/>
    </row>
    <row r="921" spans="1:15" s="242" customFormat="1" ht="14.25" customHeight="1">
      <c r="A921" s="638">
        <v>397</v>
      </c>
      <c r="B921" s="625"/>
      <c r="C921" s="626"/>
      <c r="D921" s="627" t="s">
        <v>1239</v>
      </c>
      <c r="E921" s="630" t="s">
        <v>15</v>
      </c>
      <c r="F921" s="61"/>
      <c r="G921" s="635"/>
      <c r="H921" s="635">
        <v>1159179.5249999999</v>
      </c>
      <c r="I921" s="635"/>
      <c r="J921" s="635">
        <f t="shared" si="31"/>
        <v>1159179.5249999999</v>
      </c>
      <c r="K921" s="635"/>
      <c r="L921" s="655"/>
      <c r="M921" s="655">
        <f t="shared" si="30"/>
        <v>1159179.5249999999</v>
      </c>
      <c r="N921" s="627"/>
      <c r="O921" s="636"/>
    </row>
    <row r="922" spans="1:15" s="242" customFormat="1" ht="14.25" customHeight="1">
      <c r="A922" s="624">
        <v>398</v>
      </c>
      <c r="B922" s="625"/>
      <c r="C922" s="626"/>
      <c r="D922" s="627" t="s">
        <v>1240</v>
      </c>
      <c r="E922" s="630" t="s">
        <v>15</v>
      </c>
      <c r="F922" s="61"/>
      <c r="G922" s="635"/>
      <c r="H922" s="635">
        <v>1270080.378</v>
      </c>
      <c r="I922" s="635"/>
      <c r="J922" s="635">
        <f t="shared" si="31"/>
        <v>1270080.378</v>
      </c>
      <c r="K922" s="635"/>
      <c r="L922" s="655"/>
      <c r="M922" s="655">
        <f t="shared" si="30"/>
        <v>1270080.378</v>
      </c>
      <c r="N922" s="627"/>
      <c r="O922" s="636"/>
    </row>
    <row r="923" spans="1:15" s="242" customFormat="1" ht="14.25" customHeight="1">
      <c r="A923" s="638">
        <v>399</v>
      </c>
      <c r="B923" s="625"/>
      <c r="C923" s="626"/>
      <c r="D923" s="627" t="s">
        <v>1241</v>
      </c>
      <c r="E923" s="630" t="s">
        <v>15</v>
      </c>
      <c r="F923" s="61"/>
      <c r="G923" s="635"/>
      <c r="H923" s="635">
        <v>1159179.5249999999</v>
      </c>
      <c r="I923" s="635"/>
      <c r="J923" s="635">
        <f t="shared" si="31"/>
        <v>1159179.5249999999</v>
      </c>
      <c r="K923" s="635"/>
      <c r="L923" s="655"/>
      <c r="M923" s="655">
        <f t="shared" si="30"/>
        <v>1159179.5249999999</v>
      </c>
      <c r="N923" s="627"/>
      <c r="O923" s="636"/>
    </row>
    <row r="924" spans="1:15" s="242" customFormat="1" ht="14.25" customHeight="1">
      <c r="A924" s="638">
        <v>400</v>
      </c>
      <c r="B924" s="625"/>
      <c r="C924" s="626"/>
      <c r="D924" s="627" t="s">
        <v>1242</v>
      </c>
      <c r="E924" s="630" t="s">
        <v>15</v>
      </c>
      <c r="F924" s="61"/>
      <c r="G924" s="635"/>
      <c r="H924" s="655">
        <v>1138979.9609999999</v>
      </c>
      <c r="I924" s="635"/>
      <c r="J924" s="635">
        <f t="shared" si="31"/>
        <v>1138979.9609999999</v>
      </c>
      <c r="K924" s="635"/>
      <c r="L924" s="655"/>
      <c r="M924" s="655">
        <f t="shared" si="30"/>
        <v>1138979.9609999999</v>
      </c>
      <c r="N924" s="627"/>
      <c r="O924" s="636"/>
    </row>
    <row r="925" spans="1:15" s="242" customFormat="1" ht="14.25" customHeight="1">
      <c r="A925" s="624">
        <v>401</v>
      </c>
      <c r="B925" s="625"/>
      <c r="C925" s="626"/>
      <c r="D925" s="627" t="s">
        <v>1243</v>
      </c>
      <c r="E925" s="630" t="s">
        <v>15</v>
      </c>
      <c r="F925" s="61"/>
      <c r="G925" s="635"/>
      <c r="H925" s="635">
        <v>1270080.378</v>
      </c>
      <c r="I925" s="635"/>
      <c r="J925" s="635">
        <f t="shared" si="31"/>
        <v>1270080.378</v>
      </c>
      <c r="K925" s="635"/>
      <c r="L925" s="655"/>
      <c r="M925" s="655">
        <f t="shared" si="30"/>
        <v>1270080.378</v>
      </c>
      <c r="N925" s="627"/>
      <c r="O925" s="636"/>
    </row>
    <row r="926" spans="1:15" s="242" customFormat="1" ht="14.25" customHeight="1">
      <c r="A926" s="638">
        <v>402</v>
      </c>
      <c r="B926" s="625"/>
      <c r="C926" s="626"/>
      <c r="D926" s="627" t="s">
        <v>1244</v>
      </c>
      <c r="E926" s="630" t="s">
        <v>15</v>
      </c>
      <c r="F926" s="61"/>
      <c r="G926" s="635"/>
      <c r="H926" s="635">
        <v>1270080.378</v>
      </c>
      <c r="I926" s="635"/>
      <c r="J926" s="635">
        <f t="shared" si="31"/>
        <v>1270080.378</v>
      </c>
      <c r="K926" s="635"/>
      <c r="L926" s="655"/>
      <c r="M926" s="655">
        <f t="shared" si="30"/>
        <v>1270080.378</v>
      </c>
      <c r="N926" s="627"/>
      <c r="O926" s="636"/>
    </row>
    <row r="927" spans="1:15" s="242" customFormat="1" ht="14.25" customHeight="1">
      <c r="A927" s="638">
        <v>403</v>
      </c>
      <c r="B927" s="625"/>
      <c r="C927" s="626"/>
      <c r="D927" s="627" t="s">
        <v>1245</v>
      </c>
      <c r="E927" s="630" t="s">
        <v>15</v>
      </c>
      <c r="F927" s="61"/>
      <c r="G927" s="635"/>
      <c r="H927" s="635">
        <v>1108746.1980000001</v>
      </c>
      <c r="I927" s="635"/>
      <c r="J927" s="635">
        <f t="shared" si="31"/>
        <v>1108746.1980000001</v>
      </c>
      <c r="K927" s="635"/>
      <c r="L927" s="655"/>
      <c r="M927" s="655">
        <f t="shared" si="30"/>
        <v>1108746.1980000001</v>
      </c>
      <c r="N927" s="627"/>
      <c r="O927" s="636"/>
    </row>
    <row r="928" spans="1:15" s="242" customFormat="1" ht="14.25" customHeight="1">
      <c r="A928" s="624">
        <v>404</v>
      </c>
      <c r="B928" s="625"/>
      <c r="C928" s="626"/>
      <c r="D928" s="627" t="s">
        <v>1246</v>
      </c>
      <c r="E928" s="630" t="s">
        <v>15</v>
      </c>
      <c r="F928" s="61"/>
      <c r="G928" s="635"/>
      <c r="H928" s="635">
        <v>1270080.378</v>
      </c>
      <c r="I928" s="635"/>
      <c r="J928" s="635">
        <f t="shared" si="31"/>
        <v>1270080.378</v>
      </c>
      <c r="K928" s="635"/>
      <c r="L928" s="655"/>
      <c r="M928" s="655">
        <f t="shared" si="30"/>
        <v>1270080.378</v>
      </c>
      <c r="N928" s="627"/>
      <c r="O928" s="636"/>
    </row>
    <row r="929" spans="1:15" s="242" customFormat="1" ht="14.25" customHeight="1">
      <c r="A929" s="638">
        <v>405</v>
      </c>
      <c r="B929" s="625"/>
      <c r="C929" s="626"/>
      <c r="D929" s="627" t="s">
        <v>1247</v>
      </c>
      <c r="E929" s="630" t="s">
        <v>15</v>
      </c>
      <c r="F929" s="61"/>
      <c r="G929" s="635"/>
      <c r="H929" s="635">
        <v>1270080.378</v>
      </c>
      <c r="I929" s="635"/>
      <c r="J929" s="635">
        <f t="shared" si="31"/>
        <v>1270080.378</v>
      </c>
      <c r="K929" s="635"/>
      <c r="L929" s="655"/>
      <c r="M929" s="655">
        <f t="shared" si="30"/>
        <v>1270080.378</v>
      </c>
      <c r="N929" s="627"/>
      <c r="O929" s="636"/>
    </row>
    <row r="930" spans="1:15" s="242" customFormat="1" ht="14.25" customHeight="1">
      <c r="A930" s="638">
        <v>406</v>
      </c>
      <c r="B930" s="625"/>
      <c r="C930" s="626"/>
      <c r="D930" s="627" t="s">
        <v>1248</v>
      </c>
      <c r="E930" s="630" t="s">
        <v>15</v>
      </c>
      <c r="F930" s="61"/>
      <c r="G930" s="635"/>
      <c r="H930" s="635">
        <v>1270080.378</v>
      </c>
      <c r="I930" s="635"/>
      <c r="J930" s="635">
        <f t="shared" si="31"/>
        <v>1270080.378</v>
      </c>
      <c r="K930" s="635"/>
      <c r="L930" s="655"/>
      <c r="M930" s="655">
        <f t="shared" si="30"/>
        <v>1270080.378</v>
      </c>
      <c r="N930" s="627"/>
      <c r="O930" s="636"/>
    </row>
    <row r="931" spans="1:15" s="242" customFormat="1" ht="14.25" customHeight="1">
      <c r="A931" s="624">
        <v>407</v>
      </c>
      <c r="B931" s="625"/>
      <c r="C931" s="626"/>
      <c r="D931" s="627" t="s">
        <v>1160</v>
      </c>
      <c r="E931" s="630" t="s">
        <v>15</v>
      </c>
      <c r="F931" s="61"/>
      <c r="G931" s="635"/>
      <c r="H931" s="635">
        <v>1128677.8</v>
      </c>
      <c r="I931" s="635"/>
      <c r="J931" s="635">
        <f t="shared" si="31"/>
        <v>1128677.8</v>
      </c>
      <c r="K931" s="635"/>
      <c r="L931" s="655"/>
      <c r="M931" s="655">
        <f t="shared" ref="M931:M968" si="32">J931-L931</f>
        <v>1128677.8</v>
      </c>
      <c r="N931" s="627"/>
      <c r="O931" s="636"/>
    </row>
    <row r="932" spans="1:15" s="242" customFormat="1" ht="14.25" customHeight="1">
      <c r="A932" s="638">
        <v>408</v>
      </c>
      <c r="B932" s="625"/>
      <c r="C932" s="626"/>
      <c r="D932" s="627" t="s">
        <v>1222</v>
      </c>
      <c r="E932" s="630" t="s">
        <v>15</v>
      </c>
      <c r="F932" s="61"/>
      <c r="G932" s="635"/>
      <c r="H932" s="635">
        <v>1189145.3259999999</v>
      </c>
      <c r="I932" s="635"/>
      <c r="J932" s="635">
        <f t="shared" si="31"/>
        <v>1189145.3259999999</v>
      </c>
      <c r="K932" s="635"/>
      <c r="L932" s="655"/>
      <c r="M932" s="655">
        <f t="shared" si="32"/>
        <v>1189145.3259999999</v>
      </c>
      <c r="N932" s="627"/>
      <c r="O932" s="636"/>
    </row>
    <row r="933" spans="1:15" s="242" customFormat="1" ht="14.25" customHeight="1">
      <c r="A933" s="638">
        <v>409</v>
      </c>
      <c r="B933" s="625"/>
      <c r="C933" s="626"/>
      <c r="D933" s="627" t="s">
        <v>1223</v>
      </c>
      <c r="E933" s="630" t="s">
        <v>15</v>
      </c>
      <c r="F933" s="61"/>
      <c r="G933" s="635"/>
      <c r="H933" s="635">
        <v>1270080.378</v>
      </c>
      <c r="I933" s="635"/>
      <c r="J933" s="635">
        <f t="shared" si="31"/>
        <v>1270080.378</v>
      </c>
      <c r="K933" s="635"/>
      <c r="L933" s="655"/>
      <c r="M933" s="655">
        <f t="shared" si="32"/>
        <v>1270080.378</v>
      </c>
      <c r="N933" s="627"/>
      <c r="O933" s="636"/>
    </row>
    <row r="934" spans="1:15" s="242" customFormat="1" ht="14.25" customHeight="1">
      <c r="A934" s="624">
        <v>410</v>
      </c>
      <c r="B934" s="625"/>
      <c r="C934" s="626"/>
      <c r="D934" s="627" t="s">
        <v>1249</v>
      </c>
      <c r="E934" s="630" t="s">
        <v>15</v>
      </c>
      <c r="F934" s="61"/>
      <c r="G934" s="635"/>
      <c r="H934" s="635">
        <v>1128677.8</v>
      </c>
      <c r="I934" s="635"/>
      <c r="J934" s="635">
        <f t="shared" si="31"/>
        <v>1128677.8</v>
      </c>
      <c r="K934" s="635"/>
      <c r="L934" s="655"/>
      <c r="M934" s="655">
        <f t="shared" si="32"/>
        <v>1128677.8</v>
      </c>
      <c r="N934" s="627"/>
      <c r="O934" s="636"/>
    </row>
    <row r="935" spans="1:15" s="242" customFormat="1" ht="14.25" customHeight="1">
      <c r="A935" s="638">
        <v>411</v>
      </c>
      <c r="B935" s="625"/>
      <c r="C935" s="626"/>
      <c r="D935" s="627" t="s">
        <v>468</v>
      </c>
      <c r="E935" s="630" t="s">
        <v>15</v>
      </c>
      <c r="F935" s="61"/>
      <c r="G935" s="635"/>
      <c r="H935" s="635">
        <v>1189145.3259999999</v>
      </c>
      <c r="I935" s="635"/>
      <c r="J935" s="635">
        <f t="shared" si="31"/>
        <v>1189145.3259999999</v>
      </c>
      <c r="K935" s="635"/>
      <c r="L935" s="655"/>
      <c r="M935" s="655">
        <f t="shared" si="32"/>
        <v>1189145.3259999999</v>
      </c>
      <c r="N935" s="627"/>
      <c r="O935" s="636"/>
    </row>
    <row r="936" spans="1:15" s="242" customFormat="1" ht="14.25" customHeight="1">
      <c r="A936" s="638">
        <v>412</v>
      </c>
      <c r="B936" s="625"/>
      <c r="C936" s="626"/>
      <c r="D936" s="627" t="s">
        <v>1250</v>
      </c>
      <c r="E936" s="630" t="s">
        <v>15</v>
      </c>
      <c r="F936" s="61"/>
      <c r="G936" s="635"/>
      <c r="H936" s="635">
        <v>1189145.3259999999</v>
      </c>
      <c r="I936" s="635"/>
      <c r="J936" s="635">
        <f t="shared" si="31"/>
        <v>1189145.3259999999</v>
      </c>
      <c r="K936" s="635"/>
      <c r="L936" s="655"/>
      <c r="M936" s="655">
        <f t="shared" si="32"/>
        <v>1189145.3259999999</v>
      </c>
      <c r="N936" s="627"/>
      <c r="O936" s="636"/>
    </row>
    <row r="937" spans="1:15" s="242" customFormat="1" ht="14.25" customHeight="1">
      <c r="A937" s="624">
        <v>413</v>
      </c>
      <c r="B937" s="625"/>
      <c r="C937" s="626"/>
      <c r="D937" s="627" t="s">
        <v>1251</v>
      </c>
      <c r="E937" s="630" t="s">
        <v>15</v>
      </c>
      <c r="F937" s="61"/>
      <c r="G937" s="635"/>
      <c r="H937" s="655">
        <v>1108746.1980000001</v>
      </c>
      <c r="I937" s="655"/>
      <c r="J937" s="635">
        <f t="shared" si="31"/>
        <v>1108746.1980000001</v>
      </c>
      <c r="K937" s="635"/>
      <c r="L937" s="655"/>
      <c r="M937" s="655">
        <f t="shared" si="32"/>
        <v>1108746.1980000001</v>
      </c>
      <c r="N937" s="627"/>
      <c r="O937" s="636"/>
    </row>
    <row r="938" spans="1:15" s="242" customFormat="1" ht="14.25" customHeight="1">
      <c r="A938" s="638">
        <v>414</v>
      </c>
      <c r="B938" s="625"/>
      <c r="C938" s="626"/>
      <c r="D938" s="627" t="s">
        <v>1252</v>
      </c>
      <c r="E938" s="630" t="s">
        <v>15</v>
      </c>
      <c r="F938" s="61"/>
      <c r="G938" s="635"/>
      <c r="H938" s="655">
        <v>1159179.5249999999</v>
      </c>
      <c r="I938" s="655"/>
      <c r="J938" s="635">
        <f t="shared" si="31"/>
        <v>1159179.5249999999</v>
      </c>
      <c r="K938" s="635"/>
      <c r="L938" s="655"/>
      <c r="M938" s="655">
        <f t="shared" si="32"/>
        <v>1159179.5249999999</v>
      </c>
      <c r="N938" s="627"/>
      <c r="O938" s="636"/>
    </row>
    <row r="939" spans="1:15" s="242" customFormat="1" ht="14.25" customHeight="1">
      <c r="A939" s="638">
        <v>415</v>
      </c>
      <c r="B939" s="625"/>
      <c r="C939" s="626"/>
      <c r="D939" s="627" t="s">
        <v>907</v>
      </c>
      <c r="E939" s="630" t="s">
        <v>15</v>
      </c>
      <c r="F939" s="61"/>
      <c r="G939" s="635"/>
      <c r="H939" s="635">
        <v>1270080.378</v>
      </c>
      <c r="I939" s="635"/>
      <c r="J939" s="635">
        <f t="shared" si="31"/>
        <v>1270080.378</v>
      </c>
      <c r="K939" s="635"/>
      <c r="L939" s="655"/>
      <c r="M939" s="655">
        <f t="shared" si="32"/>
        <v>1270080.378</v>
      </c>
      <c r="N939" s="627"/>
      <c r="O939" s="636"/>
    </row>
    <row r="940" spans="1:15" s="242" customFormat="1" ht="14.25" customHeight="1">
      <c r="A940" s="624">
        <v>416</v>
      </c>
      <c r="B940" s="625"/>
      <c r="C940" s="626"/>
      <c r="D940" s="627" t="s">
        <v>1253</v>
      </c>
      <c r="E940" s="630" t="s">
        <v>15</v>
      </c>
      <c r="F940" s="61"/>
      <c r="G940" s="635"/>
      <c r="H940" s="635">
        <v>1159179.5249999999</v>
      </c>
      <c r="I940" s="635"/>
      <c r="J940" s="635">
        <f t="shared" si="31"/>
        <v>1159179.5249999999</v>
      </c>
      <c r="K940" s="635"/>
      <c r="L940" s="655"/>
      <c r="M940" s="655">
        <f t="shared" si="32"/>
        <v>1159179.5249999999</v>
      </c>
      <c r="N940" s="627"/>
      <c r="O940" s="636"/>
    </row>
    <row r="941" spans="1:15" s="242" customFormat="1" ht="14.25" customHeight="1">
      <c r="A941" s="638">
        <v>417</v>
      </c>
      <c r="B941" s="625"/>
      <c r="C941" s="626"/>
      <c r="D941" s="627" t="s">
        <v>1254</v>
      </c>
      <c r="E941" s="630" t="s">
        <v>15</v>
      </c>
      <c r="F941" s="61"/>
      <c r="G941" s="635"/>
      <c r="H941" s="635">
        <v>1270080.378</v>
      </c>
      <c r="I941" s="635"/>
      <c r="J941" s="635">
        <f t="shared" si="31"/>
        <v>1270080.378</v>
      </c>
      <c r="K941" s="635"/>
      <c r="L941" s="655"/>
      <c r="M941" s="655">
        <f t="shared" si="32"/>
        <v>1270080.378</v>
      </c>
      <c r="N941" s="627"/>
      <c r="O941" s="636"/>
    </row>
    <row r="942" spans="1:15" s="242" customFormat="1" ht="14.25" customHeight="1">
      <c r="A942" s="638">
        <v>418</v>
      </c>
      <c r="B942" s="625"/>
      <c r="C942" s="626"/>
      <c r="D942" s="627" t="s">
        <v>1255</v>
      </c>
      <c r="E942" s="630" t="s">
        <v>15</v>
      </c>
      <c r="F942" s="61"/>
      <c r="G942" s="635"/>
      <c r="H942" s="635">
        <v>1159179.5249999999</v>
      </c>
      <c r="I942" s="635"/>
      <c r="J942" s="635">
        <f t="shared" si="31"/>
        <v>1159179.5249999999</v>
      </c>
      <c r="K942" s="635"/>
      <c r="L942" s="655"/>
      <c r="M942" s="655">
        <f t="shared" si="32"/>
        <v>1159179.5249999999</v>
      </c>
      <c r="N942" s="627"/>
      <c r="O942" s="636"/>
    </row>
    <row r="943" spans="1:15" s="242" customFormat="1" ht="14.25" customHeight="1">
      <c r="A943" s="624">
        <v>419</v>
      </c>
      <c r="B943" s="625"/>
      <c r="C943" s="626"/>
      <c r="D943" s="627" t="s">
        <v>1256</v>
      </c>
      <c r="E943" s="630" t="s">
        <v>15</v>
      </c>
      <c r="F943" s="61"/>
      <c r="G943" s="635"/>
      <c r="H943" s="655">
        <v>1138979.9609999999</v>
      </c>
      <c r="I943" s="655"/>
      <c r="J943" s="635">
        <f t="shared" si="31"/>
        <v>1138979.9609999999</v>
      </c>
      <c r="K943" s="635"/>
      <c r="L943" s="655"/>
      <c r="M943" s="655">
        <f t="shared" si="32"/>
        <v>1138979.9609999999</v>
      </c>
      <c r="N943" s="627"/>
      <c r="O943" s="636"/>
    </row>
    <row r="944" spans="1:15" s="242" customFormat="1" ht="14.25" customHeight="1">
      <c r="A944" s="638">
        <v>420</v>
      </c>
      <c r="B944" s="625"/>
      <c r="C944" s="626"/>
      <c r="D944" s="627" t="s">
        <v>1257</v>
      </c>
      <c r="E944" s="630" t="s">
        <v>15</v>
      </c>
      <c r="F944" s="61"/>
      <c r="G944" s="635"/>
      <c r="H944" s="635">
        <v>1270080.378</v>
      </c>
      <c r="I944" s="635"/>
      <c r="J944" s="635">
        <f t="shared" si="31"/>
        <v>1270080.378</v>
      </c>
      <c r="K944" s="635"/>
      <c r="L944" s="655"/>
      <c r="M944" s="655">
        <f t="shared" si="32"/>
        <v>1270080.378</v>
      </c>
      <c r="N944" s="627"/>
      <c r="O944" s="636"/>
    </row>
    <row r="945" spans="1:15" s="242" customFormat="1" ht="14.25" customHeight="1">
      <c r="A945" s="638">
        <v>421</v>
      </c>
      <c r="B945" s="625"/>
      <c r="C945" s="626"/>
      <c r="D945" s="627" t="s">
        <v>1258</v>
      </c>
      <c r="E945" s="630" t="s">
        <v>15</v>
      </c>
      <c r="F945" s="61"/>
      <c r="G945" s="635"/>
      <c r="H945" s="635">
        <v>1270080.378</v>
      </c>
      <c r="I945" s="635"/>
      <c r="J945" s="635">
        <f t="shared" si="31"/>
        <v>1270080.378</v>
      </c>
      <c r="K945" s="635"/>
      <c r="L945" s="655"/>
      <c r="M945" s="655">
        <f t="shared" si="32"/>
        <v>1270080.378</v>
      </c>
      <c r="N945" s="627"/>
      <c r="O945" s="636"/>
    </row>
    <row r="946" spans="1:15" s="242" customFormat="1" ht="14.25" customHeight="1">
      <c r="A946" s="624">
        <v>422</v>
      </c>
      <c r="B946" s="625"/>
      <c r="C946" s="626"/>
      <c r="D946" s="627" t="s">
        <v>1259</v>
      </c>
      <c r="E946" s="630" t="s">
        <v>15</v>
      </c>
      <c r="F946" s="61"/>
      <c r="G946" s="635"/>
      <c r="H946" s="635">
        <v>1108746.1980000001</v>
      </c>
      <c r="I946" s="635"/>
      <c r="J946" s="635">
        <f t="shared" ref="J946:J968" si="33">SUM(G946:I946)</f>
        <v>1108746.1980000001</v>
      </c>
      <c r="K946" s="635"/>
      <c r="L946" s="655"/>
      <c r="M946" s="655">
        <f t="shared" si="32"/>
        <v>1108746.1980000001</v>
      </c>
      <c r="N946" s="627"/>
      <c r="O946" s="636"/>
    </row>
    <row r="947" spans="1:15" s="242" customFormat="1" ht="14.25" customHeight="1">
      <c r="A947" s="638">
        <v>423</v>
      </c>
      <c r="B947" s="625"/>
      <c r="C947" s="626"/>
      <c r="D947" s="627" t="s">
        <v>1260</v>
      </c>
      <c r="E947" s="630" t="s">
        <v>15</v>
      </c>
      <c r="F947" s="61"/>
      <c r="G947" s="635"/>
      <c r="H947" s="635">
        <v>1270080.378</v>
      </c>
      <c r="I947" s="635"/>
      <c r="J947" s="635">
        <f t="shared" si="33"/>
        <v>1270080.378</v>
      </c>
      <c r="K947" s="635"/>
      <c r="L947" s="655"/>
      <c r="M947" s="655">
        <f t="shared" si="32"/>
        <v>1270080.378</v>
      </c>
      <c r="N947" s="627"/>
      <c r="O947" s="636"/>
    </row>
    <row r="948" spans="1:15" s="242" customFormat="1" ht="14.25" customHeight="1">
      <c r="A948" s="638">
        <v>424</v>
      </c>
      <c r="B948" s="625"/>
      <c r="C948" s="626"/>
      <c r="D948" s="627" t="s">
        <v>1261</v>
      </c>
      <c r="E948" s="630" t="s">
        <v>15</v>
      </c>
      <c r="F948" s="61"/>
      <c r="G948" s="635"/>
      <c r="H948" s="635">
        <v>1259007.19934334</v>
      </c>
      <c r="I948" s="635"/>
      <c r="J948" s="635">
        <f t="shared" si="33"/>
        <v>1259007.19934334</v>
      </c>
      <c r="K948" s="635"/>
      <c r="L948" s="655"/>
      <c r="M948" s="655">
        <f t="shared" si="32"/>
        <v>1259007.19934334</v>
      </c>
      <c r="N948" s="627"/>
      <c r="O948" s="636"/>
    </row>
    <row r="949" spans="1:15" s="242" customFormat="1" ht="14.25" customHeight="1">
      <c r="A949" s="624">
        <v>425</v>
      </c>
      <c r="B949" s="625"/>
      <c r="C949" s="626"/>
      <c r="D949" s="627" t="s">
        <v>903</v>
      </c>
      <c r="E949" s="630" t="s">
        <v>15</v>
      </c>
      <c r="F949" s="61"/>
      <c r="G949" s="635"/>
      <c r="H949" s="635">
        <v>1148746.1980000001</v>
      </c>
      <c r="I949" s="635"/>
      <c r="J949" s="635">
        <f t="shared" si="33"/>
        <v>1148746.1980000001</v>
      </c>
      <c r="K949" s="635"/>
      <c r="L949" s="655"/>
      <c r="M949" s="655">
        <f t="shared" si="32"/>
        <v>1148746.1980000001</v>
      </c>
      <c r="N949" s="627"/>
      <c r="O949" s="636"/>
    </row>
    <row r="950" spans="1:15" s="242" customFormat="1" ht="14.25" customHeight="1">
      <c r="A950" s="638">
        <v>426</v>
      </c>
      <c r="B950" s="625"/>
      <c r="C950" s="626"/>
      <c r="D950" s="627" t="s">
        <v>1262</v>
      </c>
      <c r="E950" s="630" t="s">
        <v>15</v>
      </c>
      <c r="F950" s="61"/>
      <c r="G950" s="635"/>
      <c r="H950" s="635">
        <v>1270080.378</v>
      </c>
      <c r="I950" s="635"/>
      <c r="J950" s="635">
        <f t="shared" si="33"/>
        <v>1270080.378</v>
      </c>
      <c r="K950" s="635"/>
      <c r="L950" s="655"/>
      <c r="M950" s="655">
        <f t="shared" si="32"/>
        <v>1270080.378</v>
      </c>
      <c r="N950" s="627"/>
      <c r="O950" s="636"/>
    </row>
    <row r="951" spans="1:15" s="242" customFormat="1" ht="14.25" customHeight="1">
      <c r="A951" s="638">
        <v>427</v>
      </c>
      <c r="B951" s="625"/>
      <c r="C951" s="626"/>
      <c r="D951" s="627" t="s">
        <v>433</v>
      </c>
      <c r="E951" s="630" t="s">
        <v>15</v>
      </c>
      <c r="F951" s="61"/>
      <c r="G951" s="635"/>
      <c r="H951" s="635">
        <v>1128677.8</v>
      </c>
      <c r="I951" s="635"/>
      <c r="J951" s="635">
        <f t="shared" si="33"/>
        <v>1128677.8</v>
      </c>
      <c r="K951" s="635"/>
      <c r="L951" s="655"/>
      <c r="M951" s="655">
        <f t="shared" si="32"/>
        <v>1128677.8</v>
      </c>
      <c r="N951" s="627"/>
      <c r="O951" s="636"/>
    </row>
    <row r="952" spans="1:15" s="242" customFormat="1" ht="14.25" customHeight="1">
      <c r="A952" s="624">
        <v>428</v>
      </c>
      <c r="B952" s="625"/>
      <c r="C952" s="626"/>
      <c r="D952" s="627" t="s">
        <v>1263</v>
      </c>
      <c r="E952" s="630" t="s">
        <v>15</v>
      </c>
      <c r="F952" s="61"/>
      <c r="G952" s="635"/>
      <c r="H952" s="635">
        <v>1189145.3259999999</v>
      </c>
      <c r="I952" s="635"/>
      <c r="J952" s="635">
        <f t="shared" si="33"/>
        <v>1189145.3259999999</v>
      </c>
      <c r="K952" s="635"/>
      <c r="L952" s="655"/>
      <c r="M952" s="655">
        <f t="shared" si="32"/>
        <v>1189145.3259999999</v>
      </c>
      <c r="N952" s="627"/>
      <c r="O952" s="636"/>
    </row>
    <row r="953" spans="1:15" s="242" customFormat="1" ht="14.25" customHeight="1">
      <c r="A953" s="638">
        <v>429</v>
      </c>
      <c r="B953" s="625"/>
      <c r="C953" s="626"/>
      <c r="D953" s="627" t="s">
        <v>1264</v>
      </c>
      <c r="E953" s="630" t="s">
        <v>15</v>
      </c>
      <c r="F953" s="61"/>
      <c r="G953" s="635"/>
      <c r="H953" s="635">
        <v>1249612.852</v>
      </c>
      <c r="I953" s="635"/>
      <c r="J953" s="635">
        <f t="shared" si="33"/>
        <v>1249612.852</v>
      </c>
      <c r="K953" s="635"/>
      <c r="L953" s="655"/>
      <c r="M953" s="655">
        <f t="shared" si="32"/>
        <v>1249612.852</v>
      </c>
      <c r="N953" s="627"/>
      <c r="O953" s="636"/>
    </row>
    <row r="954" spans="1:15" s="242" customFormat="1" ht="14.25" customHeight="1">
      <c r="A954" s="638">
        <v>430</v>
      </c>
      <c r="B954" s="625"/>
      <c r="C954" s="626"/>
      <c r="D954" s="627" t="s">
        <v>1265</v>
      </c>
      <c r="E954" s="630" t="s">
        <v>15</v>
      </c>
      <c r="F954" s="61"/>
      <c r="G954" s="635"/>
      <c r="H954" s="635">
        <v>1159179.5249999999</v>
      </c>
      <c r="I954" s="635"/>
      <c r="J954" s="635">
        <f t="shared" si="33"/>
        <v>1159179.5249999999</v>
      </c>
      <c r="K954" s="635"/>
      <c r="L954" s="655"/>
      <c r="M954" s="655">
        <f t="shared" si="32"/>
        <v>1159179.5249999999</v>
      </c>
      <c r="N954" s="627"/>
      <c r="O954" s="636"/>
    </row>
    <row r="955" spans="1:15" s="242" customFormat="1" ht="14.25" customHeight="1">
      <c r="A955" s="624">
        <v>431</v>
      </c>
      <c r="B955" s="625"/>
      <c r="C955" s="626"/>
      <c r="D955" s="627" t="s">
        <v>1266</v>
      </c>
      <c r="E955" s="630" t="s">
        <v>15</v>
      </c>
      <c r="F955" s="61"/>
      <c r="G955" s="635"/>
      <c r="H955" s="655">
        <v>1108746.1980000001</v>
      </c>
      <c r="I955" s="655"/>
      <c r="J955" s="635">
        <f t="shared" si="33"/>
        <v>1108746.1980000001</v>
      </c>
      <c r="K955" s="635"/>
      <c r="L955" s="655"/>
      <c r="M955" s="655">
        <f t="shared" si="32"/>
        <v>1108746.1980000001</v>
      </c>
      <c r="N955" s="627"/>
      <c r="O955" s="636"/>
    </row>
    <row r="956" spans="1:15" s="242" customFormat="1" ht="14.25" customHeight="1">
      <c r="A956" s="638">
        <v>432</v>
      </c>
      <c r="B956" s="625"/>
      <c r="C956" s="626"/>
      <c r="D956" s="627" t="s">
        <v>1267</v>
      </c>
      <c r="E956" s="630" t="s">
        <v>15</v>
      </c>
      <c r="F956" s="61"/>
      <c r="G956" s="635"/>
      <c r="H956" s="655">
        <v>1159179.5249999999</v>
      </c>
      <c r="I956" s="655"/>
      <c r="J956" s="635">
        <f t="shared" si="33"/>
        <v>1159179.5249999999</v>
      </c>
      <c r="K956" s="635"/>
      <c r="L956" s="655"/>
      <c r="M956" s="655">
        <f t="shared" si="32"/>
        <v>1159179.5249999999</v>
      </c>
      <c r="N956" s="627"/>
      <c r="O956" s="636"/>
    </row>
    <row r="957" spans="1:15" s="242" customFormat="1" ht="14.25" customHeight="1">
      <c r="A957" s="638">
        <v>433</v>
      </c>
      <c r="B957" s="625"/>
      <c r="C957" s="626"/>
      <c r="D957" s="627" t="s">
        <v>901</v>
      </c>
      <c r="E957" s="630" t="s">
        <v>15</v>
      </c>
      <c r="F957" s="61"/>
      <c r="G957" s="635"/>
      <c r="H957" s="635">
        <v>1270080.378</v>
      </c>
      <c r="I957" s="635"/>
      <c r="J957" s="635">
        <f t="shared" si="33"/>
        <v>1270080.378</v>
      </c>
      <c r="K957" s="635"/>
      <c r="L957" s="655"/>
      <c r="M957" s="655">
        <f t="shared" si="32"/>
        <v>1270080.378</v>
      </c>
      <c r="N957" s="627"/>
      <c r="O957" s="636"/>
    </row>
    <row r="958" spans="1:15" s="242" customFormat="1" ht="14.25" customHeight="1">
      <c r="A958" s="624">
        <v>434</v>
      </c>
      <c r="B958" s="625"/>
      <c r="C958" s="626"/>
      <c r="D958" s="627" t="s">
        <v>445</v>
      </c>
      <c r="E958" s="630" t="s">
        <v>15</v>
      </c>
      <c r="F958" s="61"/>
      <c r="G958" s="635"/>
      <c r="H958" s="635">
        <v>1159179.5249999999</v>
      </c>
      <c r="I958" s="635"/>
      <c r="J958" s="635">
        <f t="shared" si="33"/>
        <v>1159179.5249999999</v>
      </c>
      <c r="K958" s="635"/>
      <c r="L958" s="655"/>
      <c r="M958" s="655">
        <f t="shared" si="32"/>
        <v>1159179.5249999999</v>
      </c>
      <c r="N958" s="627"/>
      <c r="O958" s="636"/>
    </row>
    <row r="959" spans="1:15" s="242" customFormat="1" ht="14.25" customHeight="1">
      <c r="A959" s="638">
        <v>435</v>
      </c>
      <c r="B959" s="625"/>
      <c r="C959" s="626"/>
      <c r="D959" s="627" t="s">
        <v>1268</v>
      </c>
      <c r="E959" s="630" t="s">
        <v>15</v>
      </c>
      <c r="F959" s="61"/>
      <c r="G959" s="635"/>
      <c r="H959" s="635">
        <v>1270080.378</v>
      </c>
      <c r="I959" s="635"/>
      <c r="J959" s="635">
        <f t="shared" si="33"/>
        <v>1270080.378</v>
      </c>
      <c r="K959" s="635"/>
      <c r="L959" s="655"/>
      <c r="M959" s="655">
        <f t="shared" si="32"/>
        <v>1270080.378</v>
      </c>
      <c r="N959" s="627"/>
      <c r="O959" s="636"/>
    </row>
    <row r="960" spans="1:15" s="242" customFormat="1" ht="14.25" customHeight="1">
      <c r="A960" s="638">
        <v>436</v>
      </c>
      <c r="B960" s="625"/>
      <c r="C960" s="626"/>
      <c r="D960" s="627" t="s">
        <v>544</v>
      </c>
      <c r="E960" s="630" t="s">
        <v>15</v>
      </c>
      <c r="F960" s="61"/>
      <c r="G960" s="635"/>
      <c r="H960" s="635">
        <v>1159179.5249999999</v>
      </c>
      <c r="I960" s="635"/>
      <c r="J960" s="635">
        <f t="shared" si="33"/>
        <v>1159179.5249999999</v>
      </c>
      <c r="K960" s="635"/>
      <c r="L960" s="655"/>
      <c r="M960" s="655">
        <f t="shared" si="32"/>
        <v>1159179.5249999999</v>
      </c>
      <c r="N960" s="627"/>
      <c r="O960" s="636"/>
    </row>
    <row r="961" spans="1:15" s="242" customFormat="1" ht="14.25" customHeight="1">
      <c r="A961" s="624">
        <v>437</v>
      </c>
      <c r="B961" s="625"/>
      <c r="C961" s="626"/>
      <c r="D961" s="627" t="s">
        <v>1269</v>
      </c>
      <c r="E961" s="630" t="s">
        <v>15</v>
      </c>
      <c r="F961" s="61"/>
      <c r="G961" s="635"/>
      <c r="H961" s="635">
        <v>1270080.378</v>
      </c>
      <c r="I961" s="635"/>
      <c r="J961" s="635">
        <f t="shared" si="33"/>
        <v>1270080.378</v>
      </c>
      <c r="K961" s="635"/>
      <c r="L961" s="655"/>
      <c r="M961" s="655">
        <f t="shared" si="32"/>
        <v>1270080.378</v>
      </c>
      <c r="N961" s="627"/>
      <c r="O961" s="636"/>
    </row>
    <row r="962" spans="1:15" s="242" customFormat="1" ht="14.25" customHeight="1">
      <c r="A962" s="638">
        <v>438</v>
      </c>
      <c r="B962" s="625"/>
      <c r="C962" s="626"/>
      <c r="D962" s="627" t="s">
        <v>444</v>
      </c>
      <c r="E962" s="630" t="s">
        <v>15</v>
      </c>
      <c r="F962" s="61"/>
      <c r="G962" s="635"/>
      <c r="H962" s="635">
        <v>1270080.378</v>
      </c>
      <c r="I962" s="635"/>
      <c r="J962" s="635">
        <f t="shared" si="33"/>
        <v>1270080.378</v>
      </c>
      <c r="K962" s="635"/>
      <c r="L962" s="655"/>
      <c r="M962" s="655">
        <f t="shared" si="32"/>
        <v>1270080.378</v>
      </c>
      <c r="N962" s="627"/>
      <c r="O962" s="636"/>
    </row>
    <row r="963" spans="1:15" s="242" customFormat="1" ht="14.25" customHeight="1">
      <c r="A963" s="638">
        <v>439</v>
      </c>
      <c r="B963" s="625"/>
      <c r="C963" s="626"/>
      <c r="D963" s="627" t="s">
        <v>600</v>
      </c>
      <c r="E963" s="630" t="s">
        <v>15</v>
      </c>
      <c r="F963" s="61"/>
      <c r="G963" s="635"/>
      <c r="H963" s="655">
        <v>1138979.9609999999</v>
      </c>
      <c r="I963" s="655"/>
      <c r="J963" s="635">
        <f t="shared" si="33"/>
        <v>1138979.9609999999</v>
      </c>
      <c r="K963" s="635"/>
      <c r="L963" s="655"/>
      <c r="M963" s="655">
        <f t="shared" si="32"/>
        <v>1138979.9609999999</v>
      </c>
      <c r="N963" s="627"/>
      <c r="O963" s="636"/>
    </row>
    <row r="964" spans="1:15" s="242" customFormat="1" ht="14.25" customHeight="1">
      <c r="A964" s="624">
        <v>440</v>
      </c>
      <c r="B964" s="625"/>
      <c r="C964" s="626"/>
      <c r="D964" s="627" t="s">
        <v>1024</v>
      </c>
      <c r="E964" s="630" t="s">
        <v>15</v>
      </c>
      <c r="F964" s="61"/>
      <c r="G964" s="635"/>
      <c r="H964" s="635">
        <v>1270080.378</v>
      </c>
      <c r="I964" s="635"/>
      <c r="J964" s="635">
        <f t="shared" si="33"/>
        <v>1270080.378</v>
      </c>
      <c r="K964" s="635"/>
      <c r="L964" s="655"/>
      <c r="M964" s="655">
        <f t="shared" si="32"/>
        <v>1270080.378</v>
      </c>
      <c r="N964" s="627"/>
      <c r="O964" s="636"/>
    </row>
    <row r="965" spans="1:15" s="242" customFormat="1" ht="14.25" customHeight="1">
      <c r="A965" s="638">
        <v>441</v>
      </c>
      <c r="B965" s="625"/>
      <c r="C965" s="626"/>
      <c r="D965" s="627" t="s">
        <v>1270</v>
      </c>
      <c r="E965" s="630" t="s">
        <v>15</v>
      </c>
      <c r="F965" s="61"/>
      <c r="G965" s="635"/>
      <c r="H965" s="635">
        <v>1270080.378</v>
      </c>
      <c r="I965" s="635"/>
      <c r="J965" s="635">
        <f t="shared" si="33"/>
        <v>1270080.378</v>
      </c>
      <c r="K965" s="635"/>
      <c r="L965" s="655"/>
      <c r="M965" s="655">
        <f t="shared" si="32"/>
        <v>1270080.378</v>
      </c>
      <c r="N965" s="627"/>
      <c r="O965" s="636"/>
    </row>
    <row r="966" spans="1:15" s="242" customFormat="1" ht="14.25" customHeight="1">
      <c r="A966" s="638">
        <v>442</v>
      </c>
      <c r="B966" s="625"/>
      <c r="C966" s="626"/>
      <c r="D966" s="627" t="s">
        <v>1271</v>
      </c>
      <c r="E966" s="630" t="s">
        <v>15</v>
      </c>
      <c r="F966" s="61"/>
      <c r="G966" s="635"/>
      <c r="H966" s="635">
        <v>1270080.378</v>
      </c>
      <c r="I966" s="635"/>
      <c r="J966" s="635">
        <f t="shared" si="33"/>
        <v>1270080.378</v>
      </c>
      <c r="K966" s="635"/>
      <c r="L966" s="655"/>
      <c r="M966" s="655">
        <f t="shared" si="32"/>
        <v>1270080.378</v>
      </c>
      <c r="N966" s="627"/>
      <c r="O966" s="636"/>
    </row>
    <row r="967" spans="1:15" s="242" customFormat="1" ht="14.25" customHeight="1">
      <c r="A967" s="624">
        <v>443</v>
      </c>
      <c r="B967" s="625"/>
      <c r="C967" s="626"/>
      <c r="D967" s="627" t="s">
        <v>1272</v>
      </c>
      <c r="E967" s="630" t="s">
        <v>15</v>
      </c>
      <c r="F967" s="61"/>
      <c r="G967" s="635"/>
      <c r="H967" s="635">
        <v>1270080.378</v>
      </c>
      <c r="I967" s="635"/>
      <c r="J967" s="635">
        <f t="shared" si="33"/>
        <v>1270080.378</v>
      </c>
      <c r="K967" s="635"/>
      <c r="L967" s="655"/>
      <c r="M967" s="655">
        <f t="shared" si="32"/>
        <v>1270080.378</v>
      </c>
      <c r="N967" s="627"/>
      <c r="O967" s="636"/>
    </row>
    <row r="968" spans="1:15" s="242" customFormat="1" ht="14.25" customHeight="1">
      <c r="A968" s="638">
        <v>444</v>
      </c>
      <c r="B968" s="625"/>
      <c r="C968" s="626"/>
      <c r="D968" s="627" t="s">
        <v>1273</v>
      </c>
      <c r="E968" s="630" t="s">
        <v>15</v>
      </c>
      <c r="F968" s="61"/>
      <c r="G968" s="635"/>
      <c r="H968" s="635">
        <v>1128677.8</v>
      </c>
      <c r="I968" s="635"/>
      <c r="J968" s="635">
        <f t="shared" si="33"/>
        <v>1128677.8</v>
      </c>
      <c r="K968" s="635"/>
      <c r="L968" s="655"/>
      <c r="M968" s="655">
        <f t="shared" si="32"/>
        <v>1128677.8</v>
      </c>
      <c r="N968" s="627"/>
      <c r="O968" s="636"/>
    </row>
    <row r="969" spans="1:15" s="242" customFormat="1" ht="14.25" customHeight="1">
      <c r="A969" s="638">
        <v>445</v>
      </c>
      <c r="B969" s="625"/>
      <c r="C969" s="626"/>
      <c r="D969" s="627" t="s">
        <v>1274</v>
      </c>
      <c r="E969" s="630" t="s">
        <v>15</v>
      </c>
      <c r="F969" s="61"/>
      <c r="G969" s="635"/>
      <c r="H969" s="635">
        <v>1189145.3259999999</v>
      </c>
      <c r="I969" s="635"/>
      <c r="J969" s="635">
        <f t="shared" ref="J969:J1005" si="34">SUM(G969:I969)</f>
        <v>1189145.3259999999</v>
      </c>
      <c r="K969" s="635"/>
      <c r="L969" s="655"/>
      <c r="M969" s="655">
        <f t="shared" ref="M969:M1005" si="35">J969-L969</f>
        <v>1189145.3259999999</v>
      </c>
      <c r="N969" s="627"/>
      <c r="O969" s="636"/>
    </row>
    <row r="970" spans="1:15" s="242" customFormat="1" ht="14.25" customHeight="1">
      <c r="A970" s="624">
        <v>446</v>
      </c>
      <c r="B970" s="625"/>
      <c r="C970" s="626"/>
      <c r="D970" s="627" t="s">
        <v>1275</v>
      </c>
      <c r="E970" s="630" t="s">
        <v>15</v>
      </c>
      <c r="F970" s="61"/>
      <c r="G970" s="635"/>
      <c r="H970" s="635">
        <v>1270080.378</v>
      </c>
      <c r="I970" s="635"/>
      <c r="J970" s="635">
        <f t="shared" ref="J970:J987" si="36">SUM(G970:I970)</f>
        <v>1270080.378</v>
      </c>
      <c r="K970" s="635"/>
      <c r="L970" s="655"/>
      <c r="M970" s="655">
        <f t="shared" ref="M970:M987" si="37">J970-L970</f>
        <v>1270080.378</v>
      </c>
      <c r="N970" s="627"/>
      <c r="O970" s="636"/>
    </row>
    <row r="971" spans="1:15" s="242" customFormat="1" ht="14.25" customHeight="1">
      <c r="A971" s="638">
        <v>447</v>
      </c>
      <c r="B971" s="625"/>
      <c r="C971" s="626"/>
      <c r="D971" s="627" t="s">
        <v>1276</v>
      </c>
      <c r="E971" s="630" t="s">
        <v>15</v>
      </c>
      <c r="F971" s="61"/>
      <c r="G971" s="635"/>
      <c r="H971" s="635">
        <v>1128677.8</v>
      </c>
      <c r="I971" s="635"/>
      <c r="J971" s="635">
        <f t="shared" si="36"/>
        <v>1128677.8</v>
      </c>
      <c r="K971" s="635"/>
      <c r="L971" s="655"/>
      <c r="M971" s="655">
        <f t="shared" si="37"/>
        <v>1128677.8</v>
      </c>
      <c r="N971" s="627"/>
      <c r="O971" s="636"/>
    </row>
    <row r="972" spans="1:15" s="242" customFormat="1" ht="14.25" customHeight="1">
      <c r="A972" s="638">
        <v>448</v>
      </c>
      <c r="B972" s="625"/>
      <c r="C972" s="626"/>
      <c r="D972" s="627" t="s">
        <v>475</v>
      </c>
      <c r="E972" s="630" t="s">
        <v>15</v>
      </c>
      <c r="F972" s="61"/>
      <c r="G972" s="635"/>
      <c r="H972" s="635">
        <v>1189145.3259999999</v>
      </c>
      <c r="I972" s="635"/>
      <c r="J972" s="635">
        <f t="shared" si="36"/>
        <v>1189145.3259999999</v>
      </c>
      <c r="K972" s="635"/>
      <c r="L972" s="655"/>
      <c r="M972" s="655">
        <f t="shared" si="37"/>
        <v>1189145.3259999999</v>
      </c>
      <c r="N972" s="627"/>
      <c r="O972" s="636"/>
    </row>
    <row r="973" spans="1:15" s="242" customFormat="1" ht="14.25" customHeight="1">
      <c r="A973" s="624">
        <v>449</v>
      </c>
      <c r="B973" s="625"/>
      <c r="C973" s="626"/>
      <c r="D973" s="627" t="s">
        <v>1277</v>
      </c>
      <c r="E973" s="630" t="s">
        <v>15</v>
      </c>
      <c r="F973" s="61"/>
      <c r="G973" s="635"/>
      <c r="H973" s="635">
        <v>1189145.3259999999</v>
      </c>
      <c r="I973" s="635"/>
      <c r="J973" s="635">
        <f t="shared" si="36"/>
        <v>1189145.3259999999</v>
      </c>
      <c r="K973" s="635"/>
      <c r="L973" s="655"/>
      <c r="M973" s="655">
        <f t="shared" si="37"/>
        <v>1189145.3259999999</v>
      </c>
      <c r="N973" s="627"/>
      <c r="O973" s="636"/>
    </row>
    <row r="974" spans="1:15" s="242" customFormat="1" ht="14.25" customHeight="1">
      <c r="A974" s="638">
        <v>450</v>
      </c>
      <c r="B974" s="625"/>
      <c r="C974" s="626"/>
      <c r="D974" s="627" t="s">
        <v>1278</v>
      </c>
      <c r="E974" s="630" t="s">
        <v>15</v>
      </c>
      <c r="F974" s="61"/>
      <c r="G974" s="635"/>
      <c r="H974" s="655">
        <v>1108746.1980000001</v>
      </c>
      <c r="I974" s="635"/>
      <c r="J974" s="635">
        <f t="shared" si="36"/>
        <v>1108746.1980000001</v>
      </c>
      <c r="K974" s="635"/>
      <c r="L974" s="655"/>
      <c r="M974" s="655">
        <f t="shared" si="37"/>
        <v>1108746.1980000001</v>
      </c>
      <c r="N974" s="627"/>
      <c r="O974" s="636"/>
    </row>
    <row r="975" spans="1:15" s="242" customFormat="1" ht="14.25" customHeight="1">
      <c r="A975" s="638">
        <v>451</v>
      </c>
      <c r="B975" s="625"/>
      <c r="C975" s="626"/>
      <c r="D975" s="627" t="s">
        <v>600</v>
      </c>
      <c r="E975" s="630" t="s">
        <v>15</v>
      </c>
      <c r="F975" s="61"/>
      <c r="G975" s="635"/>
      <c r="H975" s="655">
        <v>1159179.5249999999</v>
      </c>
      <c r="I975" s="635"/>
      <c r="J975" s="635">
        <f t="shared" si="36"/>
        <v>1159179.5249999999</v>
      </c>
      <c r="K975" s="635"/>
      <c r="L975" s="655"/>
      <c r="M975" s="655">
        <f t="shared" si="37"/>
        <v>1159179.5249999999</v>
      </c>
      <c r="N975" s="627"/>
      <c r="O975" s="636"/>
    </row>
    <row r="976" spans="1:15" s="242" customFormat="1" ht="14.25" customHeight="1">
      <c r="A976" s="624">
        <v>452</v>
      </c>
      <c r="B976" s="625"/>
      <c r="C976" s="626"/>
      <c r="D976" s="627" t="s">
        <v>312</v>
      </c>
      <c r="E976" s="630" t="s">
        <v>15</v>
      </c>
      <c r="F976" s="61"/>
      <c r="G976" s="635"/>
      <c r="H976" s="635">
        <v>1270080.378</v>
      </c>
      <c r="I976" s="635"/>
      <c r="J976" s="635">
        <f t="shared" si="36"/>
        <v>1270080.378</v>
      </c>
      <c r="K976" s="635"/>
      <c r="L976" s="655"/>
      <c r="M976" s="655">
        <f t="shared" si="37"/>
        <v>1270080.378</v>
      </c>
      <c r="N976" s="627"/>
      <c r="O976" s="636"/>
    </row>
    <row r="977" spans="1:15" s="242" customFormat="1" ht="14.25" customHeight="1">
      <c r="A977" s="638">
        <v>453</v>
      </c>
      <c r="B977" s="625"/>
      <c r="C977" s="626"/>
      <c r="D977" s="627" t="s">
        <v>526</v>
      </c>
      <c r="E977" s="630" t="s">
        <v>15</v>
      </c>
      <c r="F977" s="61"/>
      <c r="G977" s="635"/>
      <c r="H977" s="635">
        <v>1159179.5249999999</v>
      </c>
      <c r="I977" s="635"/>
      <c r="J977" s="635">
        <f t="shared" si="36"/>
        <v>1159179.5249999999</v>
      </c>
      <c r="K977" s="635"/>
      <c r="L977" s="655"/>
      <c r="M977" s="655">
        <f t="shared" si="37"/>
        <v>1159179.5249999999</v>
      </c>
      <c r="N977" s="627"/>
      <c r="O977" s="636"/>
    </row>
    <row r="978" spans="1:15" s="242" customFormat="1" ht="14.25" customHeight="1">
      <c r="A978" s="638">
        <v>454</v>
      </c>
      <c r="B978" s="625"/>
      <c r="C978" s="626"/>
      <c r="D978" s="627" t="s">
        <v>1279</v>
      </c>
      <c r="E978" s="630" t="s">
        <v>15</v>
      </c>
      <c r="F978" s="61"/>
      <c r="G978" s="635"/>
      <c r="H978" s="635">
        <v>1270080.378</v>
      </c>
      <c r="I978" s="635"/>
      <c r="J978" s="635">
        <f t="shared" si="36"/>
        <v>1270080.378</v>
      </c>
      <c r="K978" s="635"/>
      <c r="L978" s="655"/>
      <c r="M978" s="655">
        <f t="shared" si="37"/>
        <v>1270080.378</v>
      </c>
      <c r="N978" s="627"/>
      <c r="O978" s="636"/>
    </row>
    <row r="979" spans="1:15" s="242" customFormat="1" ht="14.25" customHeight="1">
      <c r="A979" s="624">
        <v>455</v>
      </c>
      <c r="B979" s="625"/>
      <c r="C979" s="626"/>
      <c r="D979" s="627" t="s">
        <v>547</v>
      </c>
      <c r="E979" s="630" t="s">
        <v>15</v>
      </c>
      <c r="F979" s="61"/>
      <c r="G979" s="635"/>
      <c r="H979" s="635">
        <v>1159179.5249999999</v>
      </c>
      <c r="I979" s="635"/>
      <c r="J979" s="635">
        <f t="shared" si="36"/>
        <v>1159179.5249999999</v>
      </c>
      <c r="K979" s="635"/>
      <c r="L979" s="655"/>
      <c r="M979" s="655">
        <f t="shared" si="37"/>
        <v>1159179.5249999999</v>
      </c>
      <c r="N979" s="627"/>
      <c r="O979" s="636"/>
    </row>
    <row r="980" spans="1:15" s="242" customFormat="1" ht="14.25" customHeight="1">
      <c r="A980" s="638">
        <v>456</v>
      </c>
      <c r="B980" s="625"/>
      <c r="C980" s="626"/>
      <c r="D980" s="627" t="s">
        <v>1280</v>
      </c>
      <c r="E980" s="630" t="s">
        <v>15</v>
      </c>
      <c r="F980" s="61"/>
      <c r="G980" s="635"/>
      <c r="H980" s="655">
        <v>1138979.9609999999</v>
      </c>
      <c r="I980" s="635"/>
      <c r="J980" s="635">
        <f t="shared" si="36"/>
        <v>1138979.9609999999</v>
      </c>
      <c r="K980" s="635"/>
      <c r="L980" s="655"/>
      <c r="M980" s="655">
        <f t="shared" si="37"/>
        <v>1138979.9609999999</v>
      </c>
      <c r="N980" s="627"/>
      <c r="O980" s="636"/>
    </row>
    <row r="981" spans="1:15" s="242" customFormat="1" ht="14.25" customHeight="1">
      <c r="A981" s="638">
        <v>457</v>
      </c>
      <c r="B981" s="625"/>
      <c r="C981" s="626"/>
      <c r="D981" s="627" t="s">
        <v>1281</v>
      </c>
      <c r="E981" s="630" t="s">
        <v>15</v>
      </c>
      <c r="F981" s="61"/>
      <c r="G981" s="635"/>
      <c r="H981" s="635">
        <v>1270080.378</v>
      </c>
      <c r="I981" s="635"/>
      <c r="J981" s="635">
        <f t="shared" si="36"/>
        <v>1270080.378</v>
      </c>
      <c r="K981" s="635"/>
      <c r="L981" s="655"/>
      <c r="M981" s="655">
        <f t="shared" si="37"/>
        <v>1270080.378</v>
      </c>
      <c r="N981" s="627"/>
      <c r="O981" s="636"/>
    </row>
    <row r="982" spans="1:15" s="242" customFormat="1" ht="14.25" customHeight="1">
      <c r="A982" s="624">
        <v>458</v>
      </c>
      <c r="B982" s="625"/>
      <c r="C982" s="626"/>
      <c r="D982" s="627" t="s">
        <v>1282</v>
      </c>
      <c r="E982" s="630" t="s">
        <v>15</v>
      </c>
      <c r="F982" s="61"/>
      <c r="G982" s="635"/>
      <c r="H982" s="635">
        <v>1270080.378</v>
      </c>
      <c r="I982" s="635"/>
      <c r="J982" s="635">
        <f t="shared" si="36"/>
        <v>1270080.378</v>
      </c>
      <c r="K982" s="635"/>
      <c r="L982" s="655"/>
      <c r="M982" s="655">
        <f t="shared" si="37"/>
        <v>1270080.378</v>
      </c>
      <c r="N982" s="627"/>
      <c r="O982" s="636"/>
    </row>
    <row r="983" spans="1:15" s="242" customFormat="1" ht="14.25" customHeight="1">
      <c r="A983" s="638">
        <v>459</v>
      </c>
      <c r="B983" s="625"/>
      <c r="C983" s="626"/>
      <c r="D983" s="627" t="s">
        <v>1283</v>
      </c>
      <c r="E983" s="630" t="s">
        <v>15</v>
      </c>
      <c r="F983" s="61"/>
      <c r="G983" s="635"/>
      <c r="H983" s="635">
        <v>1108746.1980000001</v>
      </c>
      <c r="I983" s="635"/>
      <c r="J983" s="635">
        <f t="shared" si="36"/>
        <v>1108746.1980000001</v>
      </c>
      <c r="K983" s="635"/>
      <c r="L983" s="655"/>
      <c r="M983" s="655">
        <f t="shared" si="37"/>
        <v>1108746.1980000001</v>
      </c>
      <c r="N983" s="627"/>
      <c r="O983" s="636"/>
    </row>
    <row r="984" spans="1:15" s="242" customFormat="1" ht="14.25" customHeight="1">
      <c r="A984" s="638">
        <v>460</v>
      </c>
      <c r="B984" s="625"/>
      <c r="C984" s="626"/>
      <c r="D984" s="627" t="s">
        <v>1284</v>
      </c>
      <c r="E984" s="630" t="s">
        <v>15</v>
      </c>
      <c r="F984" s="61"/>
      <c r="G984" s="635"/>
      <c r="H984" s="635">
        <v>1270080.378</v>
      </c>
      <c r="I984" s="635"/>
      <c r="J984" s="635">
        <f t="shared" si="36"/>
        <v>1270080.378</v>
      </c>
      <c r="K984" s="635"/>
      <c r="L984" s="655"/>
      <c r="M984" s="655">
        <f t="shared" si="37"/>
        <v>1270080.378</v>
      </c>
      <c r="N984" s="627"/>
      <c r="O984" s="636"/>
    </row>
    <row r="985" spans="1:15" s="242" customFormat="1" ht="14.25" customHeight="1">
      <c r="A985" s="624">
        <v>461</v>
      </c>
      <c r="B985" s="625"/>
      <c r="C985" s="626"/>
      <c r="D985" s="627" t="s">
        <v>551</v>
      </c>
      <c r="E985" s="630" t="s">
        <v>15</v>
      </c>
      <c r="F985" s="61"/>
      <c r="G985" s="635"/>
      <c r="H985" s="635">
        <v>1259007.19934334</v>
      </c>
      <c r="I985" s="635"/>
      <c r="J985" s="635">
        <f t="shared" si="36"/>
        <v>1259007.19934334</v>
      </c>
      <c r="K985" s="635"/>
      <c r="L985" s="655"/>
      <c r="M985" s="655">
        <f t="shared" si="37"/>
        <v>1259007.19934334</v>
      </c>
      <c r="N985" s="627"/>
      <c r="O985" s="636"/>
    </row>
    <row r="986" spans="1:15" s="242" customFormat="1" ht="14.25" customHeight="1">
      <c r="A986" s="638">
        <v>462</v>
      </c>
      <c r="B986" s="625"/>
      <c r="C986" s="626"/>
      <c r="D986" s="627" t="s">
        <v>1285</v>
      </c>
      <c r="E986" s="630" t="s">
        <v>15</v>
      </c>
      <c r="F986" s="61"/>
      <c r="G986" s="635"/>
      <c r="H986" s="635">
        <v>1148746.1980000001</v>
      </c>
      <c r="I986" s="635"/>
      <c r="J986" s="635">
        <f t="shared" si="36"/>
        <v>1148746.1980000001</v>
      </c>
      <c r="K986" s="635"/>
      <c r="L986" s="655"/>
      <c r="M986" s="655">
        <f t="shared" si="37"/>
        <v>1148746.1980000001</v>
      </c>
      <c r="N986" s="627"/>
      <c r="O986" s="636"/>
    </row>
    <row r="987" spans="1:15" s="242" customFormat="1" ht="14.25" customHeight="1">
      <c r="A987" s="638">
        <v>463</v>
      </c>
      <c r="B987" s="625"/>
      <c r="C987" s="626"/>
      <c r="D987" s="627" t="s">
        <v>1286</v>
      </c>
      <c r="E987" s="630" t="s">
        <v>15</v>
      </c>
      <c r="F987" s="61"/>
      <c r="G987" s="635"/>
      <c r="H987" s="635">
        <v>1270080.378</v>
      </c>
      <c r="I987" s="635"/>
      <c r="J987" s="635">
        <f t="shared" si="36"/>
        <v>1270080.378</v>
      </c>
      <c r="K987" s="635"/>
      <c r="L987" s="655"/>
      <c r="M987" s="655">
        <f t="shared" si="37"/>
        <v>1270080.378</v>
      </c>
      <c r="N987" s="627"/>
      <c r="O987" s="636"/>
    </row>
    <row r="988" spans="1:15" s="242" customFormat="1" ht="14.25" customHeight="1">
      <c r="A988" s="624">
        <v>464</v>
      </c>
      <c r="B988" s="625"/>
      <c r="C988" s="626"/>
      <c r="D988" s="627" t="s">
        <v>1287</v>
      </c>
      <c r="E988" s="630" t="s">
        <v>15</v>
      </c>
      <c r="F988" s="61"/>
      <c r="G988" s="635"/>
      <c r="H988" s="635">
        <v>1128677.8</v>
      </c>
      <c r="I988" s="635"/>
      <c r="J988" s="635">
        <f t="shared" si="34"/>
        <v>1128677.8</v>
      </c>
      <c r="K988" s="635"/>
      <c r="L988" s="655"/>
      <c r="M988" s="655">
        <f t="shared" si="35"/>
        <v>1128677.8</v>
      </c>
      <c r="N988" s="627"/>
      <c r="O988" s="636"/>
    </row>
    <row r="989" spans="1:15" s="242" customFormat="1" ht="14.25" customHeight="1">
      <c r="A989" s="638">
        <v>465</v>
      </c>
      <c r="B989" s="625"/>
      <c r="C989" s="626"/>
      <c r="D989" s="627" t="s">
        <v>1288</v>
      </c>
      <c r="E989" s="630" t="s">
        <v>15</v>
      </c>
      <c r="F989" s="61"/>
      <c r="G989" s="635"/>
      <c r="H989" s="635">
        <v>1189145.3259999999</v>
      </c>
      <c r="I989" s="635"/>
      <c r="J989" s="635">
        <f t="shared" si="34"/>
        <v>1189145.3259999999</v>
      </c>
      <c r="K989" s="635"/>
      <c r="L989" s="655"/>
      <c r="M989" s="655">
        <f t="shared" si="35"/>
        <v>1189145.3259999999</v>
      </c>
      <c r="N989" s="627"/>
      <c r="O989" s="636"/>
    </row>
    <row r="990" spans="1:15" s="242" customFormat="1" ht="14.25" customHeight="1">
      <c r="A990" s="638">
        <v>466</v>
      </c>
      <c r="B990" s="625"/>
      <c r="C990" s="626"/>
      <c r="D990" s="627" t="s">
        <v>215</v>
      </c>
      <c r="E990" s="630" t="s">
        <v>15</v>
      </c>
      <c r="F990" s="61"/>
      <c r="G990" s="635"/>
      <c r="H990" s="635">
        <v>1249612.852</v>
      </c>
      <c r="I990" s="635"/>
      <c r="J990" s="635">
        <f t="shared" si="34"/>
        <v>1249612.852</v>
      </c>
      <c r="K990" s="635"/>
      <c r="L990" s="655"/>
      <c r="M990" s="655">
        <f t="shared" si="35"/>
        <v>1249612.852</v>
      </c>
      <c r="N990" s="627"/>
      <c r="O990" s="636"/>
    </row>
    <row r="991" spans="1:15" s="242" customFormat="1" ht="14.25" customHeight="1">
      <c r="A991" s="624">
        <v>467</v>
      </c>
      <c r="B991" s="625"/>
      <c r="C991" s="626"/>
      <c r="D991" s="627" t="s">
        <v>540</v>
      </c>
      <c r="E991" s="630" t="s">
        <v>15</v>
      </c>
      <c r="F991" s="61"/>
      <c r="G991" s="635"/>
      <c r="H991" s="635">
        <v>1159179.5249999999</v>
      </c>
      <c r="I991" s="635"/>
      <c r="J991" s="635">
        <f t="shared" si="34"/>
        <v>1159179.5249999999</v>
      </c>
      <c r="K991" s="635"/>
      <c r="L991" s="655"/>
      <c r="M991" s="655">
        <f t="shared" si="35"/>
        <v>1159179.5249999999</v>
      </c>
      <c r="N991" s="627"/>
      <c r="O991" s="636"/>
    </row>
    <row r="992" spans="1:15" s="242" customFormat="1" ht="14.25" customHeight="1">
      <c r="A992" s="638">
        <v>468</v>
      </c>
      <c r="B992" s="625"/>
      <c r="C992" s="626"/>
      <c r="D992" s="627" t="s">
        <v>1289</v>
      </c>
      <c r="E992" s="630" t="s">
        <v>15</v>
      </c>
      <c r="F992" s="61"/>
      <c r="G992" s="635"/>
      <c r="H992" s="655">
        <v>1108746.1980000001</v>
      </c>
      <c r="I992" s="635"/>
      <c r="J992" s="635">
        <f t="shared" si="34"/>
        <v>1108746.1980000001</v>
      </c>
      <c r="K992" s="635"/>
      <c r="L992" s="655"/>
      <c r="M992" s="655">
        <f t="shared" si="35"/>
        <v>1108746.1980000001</v>
      </c>
      <c r="N992" s="627"/>
      <c r="O992" s="636"/>
    </row>
    <row r="993" spans="1:15" s="242" customFormat="1" ht="14.25" customHeight="1">
      <c r="A993" s="638">
        <v>469</v>
      </c>
      <c r="B993" s="625"/>
      <c r="C993" s="626"/>
      <c r="D993" s="627" t="s">
        <v>1290</v>
      </c>
      <c r="E993" s="630" t="s">
        <v>15</v>
      </c>
      <c r="F993" s="61"/>
      <c r="G993" s="635"/>
      <c r="H993" s="655">
        <v>1159179.5249999999</v>
      </c>
      <c r="I993" s="635"/>
      <c r="J993" s="635">
        <f t="shared" si="34"/>
        <v>1159179.5249999999</v>
      </c>
      <c r="K993" s="635"/>
      <c r="L993" s="655"/>
      <c r="M993" s="655">
        <f t="shared" si="35"/>
        <v>1159179.5249999999</v>
      </c>
      <c r="N993" s="627"/>
      <c r="O993" s="636"/>
    </row>
    <row r="994" spans="1:15" s="242" customFormat="1" ht="14.25" customHeight="1">
      <c r="A994" s="624">
        <v>470</v>
      </c>
      <c r="B994" s="625"/>
      <c r="C994" s="626"/>
      <c r="D994" s="627" t="s">
        <v>221</v>
      </c>
      <c r="E994" s="630" t="s">
        <v>15</v>
      </c>
      <c r="F994" s="61"/>
      <c r="G994" s="635"/>
      <c r="H994" s="635">
        <v>1270080.378</v>
      </c>
      <c r="I994" s="635"/>
      <c r="J994" s="635">
        <f t="shared" si="34"/>
        <v>1270080.378</v>
      </c>
      <c r="K994" s="635"/>
      <c r="L994" s="655"/>
      <c r="M994" s="655">
        <f t="shared" si="35"/>
        <v>1270080.378</v>
      </c>
      <c r="N994" s="627"/>
      <c r="O994" s="636"/>
    </row>
    <row r="995" spans="1:15" s="242" customFormat="1" ht="14.25" customHeight="1">
      <c r="A995" s="638">
        <v>471</v>
      </c>
      <c r="B995" s="625"/>
      <c r="C995" s="626"/>
      <c r="D995" s="627" t="s">
        <v>1291</v>
      </c>
      <c r="E995" s="630" t="s">
        <v>15</v>
      </c>
      <c r="F995" s="61"/>
      <c r="G995" s="635"/>
      <c r="H995" s="635">
        <v>1159179.5249999999</v>
      </c>
      <c r="I995" s="635"/>
      <c r="J995" s="635">
        <f t="shared" si="34"/>
        <v>1159179.5249999999</v>
      </c>
      <c r="K995" s="635"/>
      <c r="L995" s="655"/>
      <c r="M995" s="655">
        <f t="shared" si="35"/>
        <v>1159179.5249999999</v>
      </c>
      <c r="N995" s="627"/>
      <c r="O995" s="636"/>
    </row>
    <row r="996" spans="1:15" s="242" customFormat="1" ht="14.25" customHeight="1">
      <c r="A996" s="638">
        <v>472</v>
      </c>
      <c r="B996" s="625"/>
      <c r="C996" s="626"/>
      <c r="D996" s="627" t="s">
        <v>1292</v>
      </c>
      <c r="E996" s="630" t="s">
        <v>15</v>
      </c>
      <c r="F996" s="61"/>
      <c r="G996" s="635"/>
      <c r="H996" s="635">
        <v>1270080.378</v>
      </c>
      <c r="I996" s="635"/>
      <c r="J996" s="635">
        <f t="shared" si="34"/>
        <v>1270080.378</v>
      </c>
      <c r="K996" s="635"/>
      <c r="L996" s="655"/>
      <c r="M996" s="655">
        <f t="shared" si="35"/>
        <v>1270080.378</v>
      </c>
      <c r="N996" s="627"/>
      <c r="O996" s="636"/>
    </row>
    <row r="997" spans="1:15" s="242" customFormat="1" ht="14.25" customHeight="1">
      <c r="A997" s="624">
        <v>473</v>
      </c>
      <c r="B997" s="625"/>
      <c r="C997" s="626"/>
      <c r="D997" s="627" t="s">
        <v>1293</v>
      </c>
      <c r="E997" s="630" t="s">
        <v>15</v>
      </c>
      <c r="F997" s="61"/>
      <c r="G997" s="635"/>
      <c r="H997" s="635">
        <v>1159179.5249999999</v>
      </c>
      <c r="I997" s="635"/>
      <c r="J997" s="635">
        <f t="shared" si="34"/>
        <v>1159179.5249999999</v>
      </c>
      <c r="K997" s="635"/>
      <c r="L997" s="655"/>
      <c r="M997" s="655">
        <f t="shared" si="35"/>
        <v>1159179.5249999999</v>
      </c>
      <c r="N997" s="627"/>
      <c r="O997" s="636"/>
    </row>
    <row r="998" spans="1:15" s="242" customFormat="1" ht="14.25" customHeight="1">
      <c r="A998" s="638">
        <v>474</v>
      </c>
      <c r="B998" s="625"/>
      <c r="C998" s="626"/>
      <c r="D998" s="627" t="s">
        <v>1294</v>
      </c>
      <c r="E998" s="630" t="s">
        <v>15</v>
      </c>
      <c r="F998" s="61"/>
      <c r="G998" s="635"/>
      <c r="H998" s="635">
        <v>1270080.378</v>
      </c>
      <c r="I998" s="635"/>
      <c r="J998" s="635">
        <f t="shared" si="34"/>
        <v>1270080.378</v>
      </c>
      <c r="K998" s="635"/>
      <c r="L998" s="655"/>
      <c r="M998" s="655">
        <f t="shared" si="35"/>
        <v>1270080.378</v>
      </c>
      <c r="N998" s="627"/>
      <c r="O998" s="636"/>
    </row>
    <row r="999" spans="1:15" s="242" customFormat="1" ht="14.25" customHeight="1">
      <c r="A999" s="638">
        <v>475</v>
      </c>
      <c r="B999" s="625"/>
      <c r="C999" s="626"/>
      <c r="D999" s="627" t="s">
        <v>1295</v>
      </c>
      <c r="E999" s="630" t="s">
        <v>15</v>
      </c>
      <c r="F999" s="61"/>
      <c r="G999" s="635"/>
      <c r="H999" s="635">
        <v>1270080.378</v>
      </c>
      <c r="I999" s="635"/>
      <c r="J999" s="635">
        <f t="shared" si="34"/>
        <v>1270080.378</v>
      </c>
      <c r="K999" s="635"/>
      <c r="L999" s="655"/>
      <c r="M999" s="655">
        <f t="shared" si="35"/>
        <v>1270080.378</v>
      </c>
      <c r="N999" s="627"/>
      <c r="O999" s="636"/>
    </row>
    <row r="1000" spans="1:15" s="242" customFormat="1" ht="14.25" customHeight="1">
      <c r="A1000" s="624">
        <v>476</v>
      </c>
      <c r="B1000" s="625"/>
      <c r="C1000" s="626"/>
      <c r="D1000" s="627" t="s">
        <v>1296</v>
      </c>
      <c r="E1000" s="630" t="s">
        <v>15</v>
      </c>
      <c r="F1000" s="61"/>
      <c r="G1000" s="635"/>
      <c r="H1000" s="655">
        <v>1138979.9609999999</v>
      </c>
      <c r="I1000" s="635"/>
      <c r="J1000" s="635">
        <f t="shared" si="34"/>
        <v>1138979.9609999999</v>
      </c>
      <c r="K1000" s="635"/>
      <c r="L1000" s="655"/>
      <c r="M1000" s="655">
        <f t="shared" si="35"/>
        <v>1138979.9609999999</v>
      </c>
      <c r="N1000" s="627"/>
      <c r="O1000" s="636"/>
    </row>
    <row r="1001" spans="1:15" s="242" customFormat="1" ht="14.25" customHeight="1">
      <c r="A1001" s="638">
        <v>477</v>
      </c>
      <c r="B1001" s="625"/>
      <c r="C1001" s="626"/>
      <c r="D1001" s="627" t="s">
        <v>222</v>
      </c>
      <c r="E1001" s="630" t="s">
        <v>15</v>
      </c>
      <c r="F1001" s="61"/>
      <c r="G1001" s="635"/>
      <c r="H1001" s="635">
        <v>1270080.378</v>
      </c>
      <c r="I1001" s="635"/>
      <c r="J1001" s="635">
        <f t="shared" si="34"/>
        <v>1270080.378</v>
      </c>
      <c r="K1001" s="635"/>
      <c r="L1001" s="655"/>
      <c r="M1001" s="655">
        <f t="shared" si="35"/>
        <v>1270080.378</v>
      </c>
      <c r="N1001" s="627"/>
      <c r="O1001" s="636"/>
    </row>
    <row r="1002" spans="1:15" s="242" customFormat="1" ht="14.25" customHeight="1">
      <c r="A1002" s="638">
        <v>478</v>
      </c>
      <c r="B1002" s="625"/>
      <c r="C1002" s="626"/>
      <c r="D1002" s="627" t="s">
        <v>1070</v>
      </c>
      <c r="E1002" s="630" t="s">
        <v>15</v>
      </c>
      <c r="F1002" s="61"/>
      <c r="G1002" s="635"/>
      <c r="H1002" s="635">
        <v>1270080.378</v>
      </c>
      <c r="I1002" s="635"/>
      <c r="J1002" s="635">
        <f t="shared" si="34"/>
        <v>1270080.378</v>
      </c>
      <c r="K1002" s="635"/>
      <c r="L1002" s="655"/>
      <c r="M1002" s="655">
        <f t="shared" si="35"/>
        <v>1270080.378</v>
      </c>
      <c r="N1002" s="627"/>
      <c r="O1002" s="636"/>
    </row>
    <row r="1003" spans="1:15" s="242" customFormat="1" ht="14.25" customHeight="1">
      <c r="A1003" s="624">
        <v>479</v>
      </c>
      <c r="B1003" s="625"/>
      <c r="C1003" s="626"/>
      <c r="D1003" s="627" t="s">
        <v>256</v>
      </c>
      <c r="E1003" s="630" t="s">
        <v>15</v>
      </c>
      <c r="F1003" s="61"/>
      <c r="G1003" s="635"/>
      <c r="H1003" s="635">
        <v>1128677.8</v>
      </c>
      <c r="I1003" s="635"/>
      <c r="J1003" s="635">
        <f t="shared" si="34"/>
        <v>1128677.8</v>
      </c>
      <c r="K1003" s="635"/>
      <c r="L1003" s="655"/>
      <c r="M1003" s="655">
        <f t="shared" si="35"/>
        <v>1128677.8</v>
      </c>
      <c r="N1003" s="627"/>
      <c r="O1003" s="636"/>
    </row>
    <row r="1004" spans="1:15" s="242" customFormat="1" ht="14.25" customHeight="1">
      <c r="A1004" s="638">
        <v>480</v>
      </c>
      <c r="B1004" s="625"/>
      <c r="C1004" s="626"/>
      <c r="D1004" s="627" t="s">
        <v>1297</v>
      </c>
      <c r="E1004" s="630" t="s">
        <v>15</v>
      </c>
      <c r="F1004" s="61"/>
      <c r="G1004" s="635"/>
      <c r="H1004" s="635">
        <v>1189145.3259999999</v>
      </c>
      <c r="I1004" s="635"/>
      <c r="J1004" s="635">
        <f t="shared" si="34"/>
        <v>1189145.3259999999</v>
      </c>
      <c r="K1004" s="635"/>
      <c r="L1004" s="655"/>
      <c r="M1004" s="655">
        <f t="shared" si="35"/>
        <v>1189145.3259999999</v>
      </c>
      <c r="N1004" s="627"/>
      <c r="O1004" s="636"/>
    </row>
    <row r="1005" spans="1:15" s="242" customFormat="1" ht="14.25" customHeight="1">
      <c r="A1005" s="638">
        <v>481</v>
      </c>
      <c r="B1005" s="625"/>
      <c r="C1005" s="626"/>
      <c r="D1005" s="627" t="s">
        <v>1298</v>
      </c>
      <c r="E1005" s="630" t="s">
        <v>15</v>
      </c>
      <c r="F1005" s="61"/>
      <c r="G1005" s="635"/>
      <c r="H1005" s="635">
        <v>1270080.378</v>
      </c>
      <c r="I1005" s="635"/>
      <c r="J1005" s="635">
        <f t="shared" si="34"/>
        <v>1270080.378</v>
      </c>
      <c r="K1005" s="635"/>
      <c r="L1005" s="655"/>
      <c r="M1005" s="655">
        <f t="shared" si="35"/>
        <v>1270080.378</v>
      </c>
      <c r="N1005" s="627"/>
      <c r="O1005" s="636"/>
    </row>
    <row r="1006" spans="1:15" s="242" customFormat="1" ht="14.25" customHeight="1">
      <c r="A1006" s="624">
        <v>482</v>
      </c>
      <c r="B1006" s="625"/>
      <c r="C1006" s="626"/>
      <c r="D1006" s="627" t="s">
        <v>252</v>
      </c>
      <c r="E1006" s="630" t="s">
        <v>15</v>
      </c>
      <c r="F1006" s="61"/>
      <c r="G1006" s="635"/>
      <c r="H1006" s="635">
        <v>1128677.8</v>
      </c>
      <c r="I1006" s="635"/>
      <c r="J1006" s="635">
        <f t="shared" ref="J1006:J1016" si="38">SUM(G1006:I1006)</f>
        <v>1128677.8</v>
      </c>
      <c r="K1006" s="635"/>
      <c r="L1006" s="655"/>
      <c r="M1006" s="655">
        <f t="shared" ref="M1006:M1016" si="39">J1006-L1006</f>
        <v>1128677.8</v>
      </c>
      <c r="N1006" s="627"/>
      <c r="O1006" s="636"/>
    </row>
    <row r="1007" spans="1:15" s="242" customFormat="1" ht="14.25" customHeight="1">
      <c r="A1007" s="638">
        <v>483</v>
      </c>
      <c r="B1007" s="625"/>
      <c r="C1007" s="626"/>
      <c r="D1007" s="627" t="s">
        <v>1299</v>
      </c>
      <c r="E1007" s="630" t="s">
        <v>15</v>
      </c>
      <c r="F1007" s="61"/>
      <c r="G1007" s="635"/>
      <c r="H1007" s="635">
        <v>1189145.3259999999</v>
      </c>
      <c r="I1007" s="635"/>
      <c r="J1007" s="635">
        <f t="shared" si="38"/>
        <v>1189145.3259999999</v>
      </c>
      <c r="K1007" s="635"/>
      <c r="L1007" s="655"/>
      <c r="M1007" s="655">
        <f t="shared" si="39"/>
        <v>1189145.3259999999</v>
      </c>
      <c r="N1007" s="627"/>
      <c r="O1007" s="636"/>
    </row>
    <row r="1008" spans="1:15" s="242" customFormat="1" ht="14.25" customHeight="1">
      <c r="A1008" s="638">
        <v>484</v>
      </c>
      <c r="B1008" s="625"/>
      <c r="C1008" s="626"/>
      <c r="D1008" s="627" t="s">
        <v>1300</v>
      </c>
      <c r="E1008" s="630" t="s">
        <v>15</v>
      </c>
      <c r="F1008" s="61"/>
      <c r="G1008" s="635"/>
      <c r="H1008" s="635">
        <v>1189145.3259999999</v>
      </c>
      <c r="I1008" s="635"/>
      <c r="J1008" s="635">
        <f t="shared" si="38"/>
        <v>1189145.3259999999</v>
      </c>
      <c r="K1008" s="635"/>
      <c r="L1008" s="655"/>
      <c r="M1008" s="655">
        <f t="shared" si="39"/>
        <v>1189145.3259999999</v>
      </c>
      <c r="N1008" s="627"/>
      <c r="O1008" s="636"/>
    </row>
    <row r="1009" spans="1:15" s="242" customFormat="1" ht="14.25" customHeight="1">
      <c r="A1009" s="624">
        <v>485</v>
      </c>
      <c r="B1009" s="625"/>
      <c r="C1009" s="626"/>
      <c r="D1009" s="627" t="s">
        <v>888</v>
      </c>
      <c r="E1009" s="630" t="s">
        <v>15</v>
      </c>
      <c r="F1009" s="61"/>
      <c r="G1009" s="635"/>
      <c r="H1009" s="655">
        <v>1108746.1980000001</v>
      </c>
      <c r="I1009" s="635"/>
      <c r="J1009" s="635">
        <f t="shared" si="38"/>
        <v>1108746.1980000001</v>
      </c>
      <c r="K1009" s="635"/>
      <c r="L1009" s="655"/>
      <c r="M1009" s="655">
        <f t="shared" si="39"/>
        <v>1108746.1980000001</v>
      </c>
      <c r="N1009" s="627"/>
      <c r="O1009" s="636"/>
    </row>
    <row r="1010" spans="1:15" s="242" customFormat="1" ht="14.25" customHeight="1">
      <c r="A1010" s="638">
        <v>486</v>
      </c>
      <c r="B1010" s="625"/>
      <c r="C1010" s="626"/>
      <c r="D1010" s="627" t="s">
        <v>1301</v>
      </c>
      <c r="E1010" s="630" t="s">
        <v>15</v>
      </c>
      <c r="F1010" s="61"/>
      <c r="G1010" s="635"/>
      <c r="H1010" s="655">
        <v>1159179.5249999999</v>
      </c>
      <c r="I1010" s="635"/>
      <c r="J1010" s="635">
        <f t="shared" si="38"/>
        <v>1159179.5249999999</v>
      </c>
      <c r="K1010" s="635"/>
      <c r="L1010" s="655"/>
      <c r="M1010" s="655">
        <f t="shared" si="39"/>
        <v>1159179.5249999999</v>
      </c>
      <c r="N1010" s="627"/>
      <c r="O1010" s="636"/>
    </row>
    <row r="1011" spans="1:15" s="242" customFormat="1" ht="14.25" customHeight="1">
      <c r="A1011" s="638">
        <v>487</v>
      </c>
      <c r="B1011" s="625"/>
      <c r="C1011" s="626"/>
      <c r="D1011" s="627" t="s">
        <v>257</v>
      </c>
      <c r="E1011" s="630" t="s">
        <v>15</v>
      </c>
      <c r="F1011" s="61"/>
      <c r="G1011" s="635"/>
      <c r="H1011" s="635">
        <v>1270080.378</v>
      </c>
      <c r="I1011" s="635"/>
      <c r="J1011" s="635">
        <f t="shared" si="38"/>
        <v>1270080.378</v>
      </c>
      <c r="K1011" s="635"/>
      <c r="L1011" s="655"/>
      <c r="M1011" s="655">
        <f t="shared" si="39"/>
        <v>1270080.378</v>
      </c>
      <c r="N1011" s="627"/>
      <c r="O1011" s="636"/>
    </row>
    <row r="1012" spans="1:15" s="242" customFormat="1" ht="14.25" customHeight="1">
      <c r="A1012" s="624">
        <v>488</v>
      </c>
      <c r="B1012" s="625"/>
      <c r="C1012" s="626"/>
      <c r="D1012" s="627" t="s">
        <v>1302</v>
      </c>
      <c r="E1012" s="630" t="s">
        <v>15</v>
      </c>
      <c r="F1012" s="61"/>
      <c r="G1012" s="635"/>
      <c r="H1012" s="635">
        <v>1159179.5249999999</v>
      </c>
      <c r="I1012" s="635"/>
      <c r="J1012" s="635">
        <f t="shared" si="38"/>
        <v>1159179.5249999999</v>
      </c>
      <c r="K1012" s="635"/>
      <c r="L1012" s="655"/>
      <c r="M1012" s="655">
        <f t="shared" si="39"/>
        <v>1159179.5249999999</v>
      </c>
      <c r="N1012" s="627"/>
      <c r="O1012" s="636"/>
    </row>
    <row r="1013" spans="1:15" s="242" customFormat="1" ht="14.25" customHeight="1">
      <c r="A1013" s="638">
        <v>489</v>
      </c>
      <c r="B1013" s="625"/>
      <c r="C1013" s="626"/>
      <c r="D1013" s="627" t="s">
        <v>1303</v>
      </c>
      <c r="E1013" s="630" t="s">
        <v>15</v>
      </c>
      <c r="F1013" s="61"/>
      <c r="G1013" s="635"/>
      <c r="H1013" s="635">
        <v>1270080.378</v>
      </c>
      <c r="I1013" s="635"/>
      <c r="J1013" s="635">
        <f t="shared" si="38"/>
        <v>1270080.378</v>
      </c>
      <c r="K1013" s="635"/>
      <c r="L1013" s="655"/>
      <c r="M1013" s="655">
        <f t="shared" si="39"/>
        <v>1270080.378</v>
      </c>
      <c r="N1013" s="627"/>
      <c r="O1013" s="636"/>
    </row>
    <row r="1014" spans="1:15" s="242" customFormat="1" ht="14.25" customHeight="1">
      <c r="A1014" s="638">
        <v>490</v>
      </c>
      <c r="B1014" s="625"/>
      <c r="C1014" s="626"/>
      <c r="D1014" s="627" t="s">
        <v>1304</v>
      </c>
      <c r="E1014" s="630" t="s">
        <v>15</v>
      </c>
      <c r="F1014" s="61"/>
      <c r="G1014" s="635"/>
      <c r="H1014" s="635">
        <v>1159179.5249999999</v>
      </c>
      <c r="I1014" s="635"/>
      <c r="J1014" s="635">
        <f t="shared" si="38"/>
        <v>1159179.5249999999</v>
      </c>
      <c r="K1014" s="635"/>
      <c r="L1014" s="655"/>
      <c r="M1014" s="655">
        <f t="shared" si="39"/>
        <v>1159179.5249999999</v>
      </c>
      <c r="N1014" s="627"/>
      <c r="O1014" s="636"/>
    </row>
    <row r="1015" spans="1:15" s="242" customFormat="1" ht="14.25" customHeight="1">
      <c r="A1015" s="624">
        <v>491</v>
      </c>
      <c r="B1015" s="625"/>
      <c r="C1015" s="626"/>
      <c r="D1015" s="627" t="s">
        <v>1305</v>
      </c>
      <c r="E1015" s="630" t="s">
        <v>15</v>
      </c>
      <c r="F1015" s="61"/>
      <c r="G1015" s="635"/>
      <c r="H1015" s="655">
        <v>1138979.9609999999</v>
      </c>
      <c r="I1015" s="635"/>
      <c r="J1015" s="635">
        <f t="shared" si="38"/>
        <v>1138979.9609999999</v>
      </c>
      <c r="K1015" s="635"/>
      <c r="L1015" s="655"/>
      <c r="M1015" s="655">
        <f t="shared" si="39"/>
        <v>1138979.9609999999</v>
      </c>
      <c r="N1015" s="627"/>
      <c r="O1015" s="636"/>
    </row>
    <row r="1016" spans="1:15" s="242" customFormat="1" ht="14.25" customHeight="1">
      <c r="A1016" s="638">
        <v>492</v>
      </c>
      <c r="B1016" s="625"/>
      <c r="C1016" s="626"/>
      <c r="D1016" s="627" t="s">
        <v>1306</v>
      </c>
      <c r="E1016" s="630" t="s">
        <v>15</v>
      </c>
      <c r="F1016" s="61"/>
      <c r="G1016" s="635"/>
      <c r="H1016" s="635">
        <v>1270080.378</v>
      </c>
      <c r="I1016" s="635"/>
      <c r="J1016" s="635">
        <f t="shared" si="38"/>
        <v>1270080.378</v>
      </c>
      <c r="K1016" s="635"/>
      <c r="L1016" s="655"/>
      <c r="M1016" s="655">
        <f t="shared" si="39"/>
        <v>1270080.378</v>
      </c>
      <c r="N1016" s="627"/>
      <c r="O1016" s="636"/>
    </row>
    <row r="1017" spans="1:15" s="242" customFormat="1" ht="14.25" customHeight="1">
      <c r="A1017" s="638">
        <v>493</v>
      </c>
      <c r="B1017" s="625"/>
      <c r="C1017" s="626"/>
      <c r="D1017" s="627" t="s">
        <v>1307</v>
      </c>
      <c r="E1017" s="630" t="s">
        <v>15</v>
      </c>
      <c r="F1017" s="61"/>
      <c r="G1017" s="635">
        <v>1270080.378</v>
      </c>
      <c r="H1017" s="635"/>
      <c r="I1017" s="635"/>
      <c r="J1017" s="635">
        <f t="shared" ref="J1017:J1096" si="40">SUM(G1017:I1017)</f>
        <v>1270080.378</v>
      </c>
      <c r="K1017" s="635"/>
      <c r="L1017" s="655"/>
      <c r="M1017" s="655">
        <f t="shared" ref="M1017:M1096" si="41">J1017-L1017</f>
        <v>1270080.378</v>
      </c>
      <c r="N1017" s="627"/>
      <c r="O1017" s="636"/>
    </row>
    <row r="1018" spans="1:15" s="242" customFormat="1" ht="14.25" customHeight="1">
      <c r="A1018" s="624">
        <v>494</v>
      </c>
      <c r="B1018" s="625"/>
      <c r="C1018" s="626"/>
      <c r="D1018" s="627" t="s">
        <v>259</v>
      </c>
      <c r="E1018" s="630" t="s">
        <v>15</v>
      </c>
      <c r="F1018" s="61"/>
      <c r="G1018" s="635">
        <v>1128677.8</v>
      </c>
      <c r="H1018" s="635"/>
      <c r="I1018" s="635"/>
      <c r="J1018" s="635">
        <f t="shared" si="40"/>
        <v>1128677.8</v>
      </c>
      <c r="K1018" s="635"/>
      <c r="L1018" s="655"/>
      <c r="M1018" s="655">
        <f t="shared" si="41"/>
        <v>1128677.8</v>
      </c>
      <c r="N1018" s="627"/>
      <c r="O1018" s="636"/>
    </row>
    <row r="1019" spans="1:15" s="242" customFormat="1" ht="14.25" customHeight="1">
      <c r="A1019" s="638">
        <v>495</v>
      </c>
      <c r="B1019" s="625"/>
      <c r="C1019" s="626"/>
      <c r="D1019" s="627" t="s">
        <v>527</v>
      </c>
      <c r="E1019" s="630" t="s">
        <v>15</v>
      </c>
      <c r="F1019" s="61"/>
      <c r="G1019" s="635">
        <v>1189145.3259999999</v>
      </c>
      <c r="H1019" s="635"/>
      <c r="I1019" s="635"/>
      <c r="J1019" s="635">
        <f t="shared" si="40"/>
        <v>1189145.3259999999</v>
      </c>
      <c r="K1019" s="635"/>
      <c r="L1019" s="655"/>
      <c r="M1019" s="655">
        <f t="shared" si="41"/>
        <v>1189145.3259999999</v>
      </c>
      <c r="N1019" s="627"/>
      <c r="O1019" s="636"/>
    </row>
    <row r="1020" spans="1:15" s="242" customFormat="1" ht="14.25" customHeight="1">
      <c r="A1020" s="638">
        <v>496</v>
      </c>
      <c r="B1020" s="625"/>
      <c r="C1020" s="626"/>
      <c r="D1020" s="627" t="s">
        <v>1308</v>
      </c>
      <c r="E1020" s="630" t="s">
        <v>15</v>
      </c>
      <c r="F1020" s="61"/>
      <c r="G1020" s="635">
        <v>1189145.3259999999</v>
      </c>
      <c r="H1020" s="635"/>
      <c r="I1020" s="635"/>
      <c r="J1020" s="635">
        <f t="shared" si="40"/>
        <v>1189145.3259999999</v>
      </c>
      <c r="K1020" s="635"/>
      <c r="L1020" s="655"/>
      <c r="M1020" s="655">
        <f t="shared" si="41"/>
        <v>1189145.3259999999</v>
      </c>
      <c r="N1020" s="627"/>
      <c r="O1020" s="636"/>
    </row>
    <row r="1021" spans="1:15" s="242" customFormat="1" ht="14.25" customHeight="1">
      <c r="A1021" s="624">
        <v>497</v>
      </c>
      <c r="B1021" s="625"/>
      <c r="C1021" s="626"/>
      <c r="D1021" s="627" t="s">
        <v>240</v>
      </c>
      <c r="E1021" s="630" t="s">
        <v>15</v>
      </c>
      <c r="F1021" s="61"/>
      <c r="G1021" s="655">
        <v>1108746.1980000001</v>
      </c>
      <c r="H1021" s="635"/>
      <c r="I1021" s="635"/>
      <c r="J1021" s="635">
        <f t="shared" si="40"/>
        <v>1108746.1980000001</v>
      </c>
      <c r="K1021" s="635"/>
      <c r="L1021" s="655"/>
      <c r="M1021" s="655">
        <f t="shared" si="41"/>
        <v>1108746.1980000001</v>
      </c>
      <c r="N1021" s="627"/>
      <c r="O1021" s="636"/>
    </row>
    <row r="1022" spans="1:15" s="242" customFormat="1" ht="14.25" customHeight="1">
      <c r="A1022" s="638">
        <v>498</v>
      </c>
      <c r="B1022" s="625"/>
      <c r="C1022" s="626"/>
      <c r="D1022" s="627" t="s">
        <v>1309</v>
      </c>
      <c r="E1022" s="630" t="s">
        <v>15</v>
      </c>
      <c r="F1022" s="61"/>
      <c r="G1022" s="655">
        <v>1159179.5249999999</v>
      </c>
      <c r="H1022" s="635"/>
      <c r="I1022" s="635"/>
      <c r="J1022" s="635">
        <f t="shared" si="40"/>
        <v>1159179.5249999999</v>
      </c>
      <c r="K1022" s="635"/>
      <c r="L1022" s="655"/>
      <c r="M1022" s="655">
        <f t="shared" si="41"/>
        <v>1159179.5249999999</v>
      </c>
      <c r="N1022" s="627"/>
      <c r="O1022" s="636"/>
    </row>
    <row r="1023" spans="1:15" s="242" customFormat="1" ht="14.25" customHeight="1">
      <c r="A1023" s="638">
        <v>499</v>
      </c>
      <c r="B1023" s="625"/>
      <c r="C1023" s="626"/>
      <c r="D1023" s="627" t="s">
        <v>708</v>
      </c>
      <c r="E1023" s="630" t="s">
        <v>15</v>
      </c>
      <c r="F1023" s="61"/>
      <c r="G1023" s="635">
        <v>1270080.378</v>
      </c>
      <c r="H1023" s="635"/>
      <c r="I1023" s="635"/>
      <c r="J1023" s="635">
        <f t="shared" si="40"/>
        <v>1270080.378</v>
      </c>
      <c r="K1023" s="635"/>
      <c r="L1023" s="655"/>
      <c r="M1023" s="655">
        <f t="shared" si="41"/>
        <v>1270080.378</v>
      </c>
      <c r="N1023" s="627"/>
      <c r="O1023" s="636"/>
    </row>
    <row r="1024" spans="1:15" s="242" customFormat="1" ht="14.25" customHeight="1">
      <c r="A1024" s="624">
        <v>500</v>
      </c>
      <c r="B1024" s="625"/>
      <c r="C1024" s="626"/>
      <c r="D1024" s="627" t="s">
        <v>262</v>
      </c>
      <c r="E1024" s="630" t="s">
        <v>15</v>
      </c>
      <c r="F1024" s="61"/>
      <c r="G1024" s="635">
        <v>1159179.5249999999</v>
      </c>
      <c r="H1024" s="635"/>
      <c r="I1024" s="635"/>
      <c r="J1024" s="635">
        <f t="shared" si="40"/>
        <v>1159179.5249999999</v>
      </c>
      <c r="K1024" s="635"/>
      <c r="L1024" s="655"/>
      <c r="M1024" s="655">
        <f t="shared" si="41"/>
        <v>1159179.5249999999</v>
      </c>
      <c r="N1024" s="627"/>
      <c r="O1024" s="636"/>
    </row>
    <row r="1025" spans="1:15" s="242" customFormat="1" ht="14.25" customHeight="1">
      <c r="A1025" s="638">
        <v>501</v>
      </c>
      <c r="B1025" s="625"/>
      <c r="C1025" s="626"/>
      <c r="D1025" s="627" t="s">
        <v>1310</v>
      </c>
      <c r="E1025" s="630" t="s">
        <v>15</v>
      </c>
      <c r="F1025" s="61"/>
      <c r="G1025" s="635">
        <v>1270080.378</v>
      </c>
      <c r="H1025" s="635"/>
      <c r="I1025" s="635"/>
      <c r="J1025" s="635">
        <f t="shared" si="40"/>
        <v>1270080.378</v>
      </c>
      <c r="K1025" s="635"/>
      <c r="L1025" s="655"/>
      <c r="M1025" s="655">
        <f t="shared" si="41"/>
        <v>1270080.378</v>
      </c>
      <c r="N1025" s="627"/>
      <c r="O1025" s="636"/>
    </row>
    <row r="1026" spans="1:15" s="242" customFormat="1" ht="14.25" customHeight="1">
      <c r="A1026" s="638">
        <v>502</v>
      </c>
      <c r="B1026" s="625"/>
      <c r="C1026" s="626"/>
      <c r="D1026" s="627" t="s">
        <v>312</v>
      </c>
      <c r="E1026" s="630" t="s">
        <v>15</v>
      </c>
      <c r="F1026" s="61"/>
      <c r="G1026" s="635">
        <v>1159179.5249999999</v>
      </c>
      <c r="H1026" s="635"/>
      <c r="I1026" s="635"/>
      <c r="J1026" s="635">
        <f t="shared" si="40"/>
        <v>1159179.5249999999</v>
      </c>
      <c r="K1026" s="635"/>
      <c r="L1026" s="655"/>
      <c r="M1026" s="655">
        <f t="shared" si="41"/>
        <v>1159179.5249999999</v>
      </c>
      <c r="N1026" s="627"/>
      <c r="O1026" s="636"/>
    </row>
    <row r="1027" spans="1:15" s="242" customFormat="1" ht="14.25" customHeight="1">
      <c r="A1027" s="624">
        <v>503</v>
      </c>
      <c r="B1027" s="625"/>
      <c r="C1027" s="626"/>
      <c r="D1027" s="627" t="s">
        <v>594</v>
      </c>
      <c r="E1027" s="630" t="s">
        <v>15</v>
      </c>
      <c r="F1027" s="61"/>
      <c r="G1027" s="655">
        <v>1138979.9609999999</v>
      </c>
      <c r="H1027" s="635"/>
      <c r="I1027" s="635"/>
      <c r="J1027" s="635">
        <f t="shared" si="40"/>
        <v>1138979.9609999999</v>
      </c>
      <c r="K1027" s="635"/>
      <c r="L1027" s="655"/>
      <c r="M1027" s="655">
        <f t="shared" si="41"/>
        <v>1138979.9609999999</v>
      </c>
      <c r="N1027" s="627"/>
      <c r="O1027" s="636"/>
    </row>
    <row r="1028" spans="1:15" s="242" customFormat="1" ht="14.25" customHeight="1">
      <c r="A1028" s="638">
        <v>504</v>
      </c>
      <c r="B1028" s="625"/>
      <c r="C1028" s="626"/>
      <c r="D1028" s="627" t="s">
        <v>1311</v>
      </c>
      <c r="E1028" s="630" t="s">
        <v>15</v>
      </c>
      <c r="F1028" s="61"/>
      <c r="G1028" s="635">
        <v>1270080.378</v>
      </c>
      <c r="H1028" s="635"/>
      <c r="I1028" s="635"/>
      <c r="J1028" s="635">
        <f t="shared" si="40"/>
        <v>1270080.378</v>
      </c>
      <c r="K1028" s="635"/>
      <c r="L1028" s="655"/>
      <c r="M1028" s="655">
        <f t="shared" si="41"/>
        <v>1270080.378</v>
      </c>
      <c r="N1028" s="627"/>
      <c r="O1028" s="636"/>
    </row>
    <row r="1029" spans="1:15" s="242" customFormat="1" ht="14.25" customHeight="1">
      <c r="A1029" s="638">
        <v>505</v>
      </c>
      <c r="B1029" s="625"/>
      <c r="C1029" s="626"/>
      <c r="D1029" s="627" t="s">
        <v>1312</v>
      </c>
      <c r="E1029" s="630" t="s">
        <v>15</v>
      </c>
      <c r="F1029" s="61"/>
      <c r="G1029" s="635">
        <v>1270080.378</v>
      </c>
      <c r="H1029" s="635"/>
      <c r="I1029" s="635"/>
      <c r="J1029" s="635">
        <f t="shared" si="40"/>
        <v>1270080.378</v>
      </c>
      <c r="K1029" s="635"/>
      <c r="L1029" s="655"/>
      <c r="M1029" s="655">
        <f t="shared" si="41"/>
        <v>1270080.378</v>
      </c>
      <c r="N1029" s="627"/>
      <c r="O1029" s="636"/>
    </row>
    <row r="1030" spans="1:15" s="242" customFormat="1" ht="14.25" customHeight="1">
      <c r="A1030" s="624">
        <v>506</v>
      </c>
      <c r="B1030" s="625"/>
      <c r="C1030" s="626"/>
      <c r="D1030" s="627" t="s">
        <v>250</v>
      </c>
      <c r="E1030" s="630" t="s">
        <v>15</v>
      </c>
      <c r="F1030" s="61"/>
      <c r="G1030" s="635">
        <v>1108746.1980000001</v>
      </c>
      <c r="H1030" s="635"/>
      <c r="I1030" s="635"/>
      <c r="J1030" s="635">
        <f t="shared" si="40"/>
        <v>1108746.1980000001</v>
      </c>
      <c r="K1030" s="635"/>
      <c r="L1030" s="655"/>
      <c r="M1030" s="655">
        <f t="shared" si="41"/>
        <v>1108746.1980000001</v>
      </c>
      <c r="N1030" s="627"/>
      <c r="O1030" s="636"/>
    </row>
    <row r="1031" spans="1:15" s="242" customFormat="1" ht="14.25" customHeight="1">
      <c r="A1031" s="638">
        <v>507</v>
      </c>
      <c r="B1031" s="625"/>
      <c r="C1031" s="626"/>
      <c r="D1031" s="627" t="s">
        <v>1313</v>
      </c>
      <c r="E1031" s="630" t="s">
        <v>15</v>
      </c>
      <c r="F1031" s="61"/>
      <c r="G1031" s="635">
        <v>1270080.378</v>
      </c>
      <c r="H1031" s="635"/>
      <c r="I1031" s="635"/>
      <c r="J1031" s="635">
        <f t="shared" si="40"/>
        <v>1270080.378</v>
      </c>
      <c r="K1031" s="635"/>
      <c r="L1031" s="655"/>
      <c r="M1031" s="655">
        <f t="shared" si="41"/>
        <v>1270080.378</v>
      </c>
      <c r="N1031" s="627"/>
      <c r="O1031" s="636"/>
    </row>
    <row r="1032" spans="1:15" s="242" customFormat="1" ht="14.25" customHeight="1">
      <c r="A1032" s="638">
        <v>508</v>
      </c>
      <c r="B1032" s="625"/>
      <c r="C1032" s="626"/>
      <c r="D1032" s="627" t="s">
        <v>99</v>
      </c>
      <c r="E1032" s="630" t="s">
        <v>15</v>
      </c>
      <c r="F1032" s="61"/>
      <c r="G1032" s="635">
        <v>1259007.19934334</v>
      </c>
      <c r="H1032" s="635"/>
      <c r="I1032" s="635"/>
      <c r="J1032" s="635">
        <f t="shared" si="40"/>
        <v>1259007.19934334</v>
      </c>
      <c r="K1032" s="635"/>
      <c r="L1032" s="655"/>
      <c r="M1032" s="655">
        <f t="shared" si="41"/>
        <v>1259007.19934334</v>
      </c>
      <c r="N1032" s="627"/>
      <c r="O1032" s="636"/>
    </row>
    <row r="1033" spans="1:15" s="242" customFormat="1" ht="14.25" customHeight="1">
      <c r="A1033" s="624">
        <v>509</v>
      </c>
      <c r="B1033" s="625"/>
      <c r="C1033" s="626"/>
      <c r="D1033" s="627" t="s">
        <v>246</v>
      </c>
      <c r="E1033" s="630" t="s">
        <v>15</v>
      </c>
      <c r="F1033" s="61"/>
      <c r="G1033" s="635">
        <v>1148746.1980000001</v>
      </c>
      <c r="H1033" s="635"/>
      <c r="I1033" s="635"/>
      <c r="J1033" s="635">
        <f t="shared" si="40"/>
        <v>1148746.1980000001</v>
      </c>
      <c r="K1033" s="635"/>
      <c r="L1033" s="655"/>
      <c r="M1033" s="655">
        <f t="shared" si="41"/>
        <v>1148746.1980000001</v>
      </c>
      <c r="N1033" s="627"/>
      <c r="O1033" s="636"/>
    </row>
    <row r="1034" spans="1:15" s="242" customFormat="1" ht="14.25" customHeight="1">
      <c r="A1034" s="638">
        <v>510</v>
      </c>
      <c r="B1034" s="625"/>
      <c r="C1034" s="626"/>
      <c r="D1034" s="627" t="s">
        <v>1314</v>
      </c>
      <c r="E1034" s="630" t="s">
        <v>15</v>
      </c>
      <c r="F1034" s="61"/>
      <c r="G1034" s="635">
        <v>1270080.378</v>
      </c>
      <c r="H1034" s="635"/>
      <c r="I1034" s="635"/>
      <c r="J1034" s="635">
        <f t="shared" si="40"/>
        <v>1270080.378</v>
      </c>
      <c r="K1034" s="635"/>
      <c r="L1034" s="655"/>
      <c r="M1034" s="655">
        <f t="shared" si="41"/>
        <v>1270080.378</v>
      </c>
      <c r="N1034" s="627"/>
      <c r="O1034" s="636"/>
    </row>
    <row r="1035" spans="1:15" s="242" customFormat="1" ht="14.25" customHeight="1">
      <c r="A1035" s="638">
        <v>511</v>
      </c>
      <c r="B1035" s="625"/>
      <c r="C1035" s="626"/>
      <c r="D1035" s="627" t="s">
        <v>207</v>
      </c>
      <c r="E1035" s="630" t="s">
        <v>15</v>
      </c>
      <c r="F1035" s="61"/>
      <c r="G1035" s="635">
        <v>1128677.8</v>
      </c>
      <c r="H1035" s="635"/>
      <c r="I1035" s="635"/>
      <c r="J1035" s="635">
        <f t="shared" si="40"/>
        <v>1128677.8</v>
      </c>
      <c r="K1035" s="635"/>
      <c r="L1035" s="655"/>
      <c r="M1035" s="655">
        <f t="shared" si="41"/>
        <v>1128677.8</v>
      </c>
      <c r="N1035" s="627"/>
      <c r="O1035" s="636"/>
    </row>
    <row r="1036" spans="1:15" s="242" customFormat="1" ht="14.25" customHeight="1">
      <c r="A1036" s="624">
        <v>512</v>
      </c>
      <c r="B1036" s="625"/>
      <c r="C1036" s="626"/>
      <c r="D1036" s="627" t="s">
        <v>1315</v>
      </c>
      <c r="E1036" s="630" t="s">
        <v>15</v>
      </c>
      <c r="F1036" s="61"/>
      <c r="G1036" s="635">
        <v>1189145.3259999999</v>
      </c>
      <c r="H1036" s="635"/>
      <c r="I1036" s="635"/>
      <c r="J1036" s="635">
        <f t="shared" si="40"/>
        <v>1189145.3259999999</v>
      </c>
      <c r="K1036" s="635"/>
      <c r="L1036" s="655"/>
      <c r="M1036" s="655">
        <f t="shared" si="41"/>
        <v>1189145.3259999999</v>
      </c>
      <c r="N1036" s="627"/>
      <c r="O1036" s="636"/>
    </row>
    <row r="1037" spans="1:15" s="242" customFormat="1" ht="14.25" customHeight="1">
      <c r="A1037" s="638">
        <v>513</v>
      </c>
      <c r="B1037" s="625"/>
      <c r="C1037" s="626"/>
      <c r="D1037" s="627" t="s">
        <v>1316</v>
      </c>
      <c r="E1037" s="630" t="s">
        <v>15</v>
      </c>
      <c r="F1037" s="61"/>
      <c r="G1037" s="635">
        <v>1249612.852</v>
      </c>
      <c r="H1037" s="635"/>
      <c r="I1037" s="635"/>
      <c r="J1037" s="635">
        <f t="shared" si="40"/>
        <v>1249612.852</v>
      </c>
      <c r="K1037" s="635"/>
      <c r="L1037" s="655"/>
      <c r="M1037" s="655">
        <f t="shared" si="41"/>
        <v>1249612.852</v>
      </c>
      <c r="N1037" s="627"/>
      <c r="O1037" s="636"/>
    </row>
    <row r="1038" spans="1:15" s="242" customFormat="1" ht="14.25" customHeight="1">
      <c r="A1038" s="638">
        <v>514</v>
      </c>
      <c r="B1038" s="625"/>
      <c r="C1038" s="626"/>
      <c r="D1038" s="627" t="s">
        <v>269</v>
      </c>
      <c r="E1038" s="630" t="s">
        <v>15</v>
      </c>
      <c r="F1038" s="61"/>
      <c r="G1038" s="635">
        <v>1159179.5249999999</v>
      </c>
      <c r="H1038" s="635"/>
      <c r="I1038" s="635"/>
      <c r="J1038" s="635">
        <f t="shared" si="40"/>
        <v>1159179.5249999999</v>
      </c>
      <c r="K1038" s="635"/>
      <c r="L1038" s="655"/>
      <c r="M1038" s="655">
        <f t="shared" si="41"/>
        <v>1159179.5249999999</v>
      </c>
      <c r="N1038" s="627"/>
      <c r="O1038" s="636"/>
    </row>
    <row r="1039" spans="1:15" s="242" customFormat="1" ht="14.25" customHeight="1">
      <c r="A1039" s="624">
        <v>515</v>
      </c>
      <c r="B1039" s="625"/>
      <c r="C1039" s="626"/>
      <c r="D1039" s="627" t="s">
        <v>1317</v>
      </c>
      <c r="E1039" s="630" t="s">
        <v>15</v>
      </c>
      <c r="F1039" s="61"/>
      <c r="G1039" s="655">
        <v>1108746.1980000001</v>
      </c>
      <c r="H1039" s="635"/>
      <c r="I1039" s="635"/>
      <c r="J1039" s="635">
        <f t="shared" si="40"/>
        <v>1108746.1980000001</v>
      </c>
      <c r="K1039" s="635"/>
      <c r="L1039" s="655"/>
      <c r="M1039" s="655">
        <f t="shared" si="41"/>
        <v>1108746.1980000001</v>
      </c>
      <c r="N1039" s="627"/>
      <c r="O1039" s="636"/>
    </row>
    <row r="1040" spans="1:15" s="242" customFormat="1" ht="14.25" customHeight="1">
      <c r="A1040" s="638">
        <v>516</v>
      </c>
      <c r="B1040" s="625"/>
      <c r="C1040" s="626"/>
      <c r="D1040" s="627" t="s">
        <v>1318</v>
      </c>
      <c r="E1040" s="630" t="s">
        <v>15</v>
      </c>
      <c r="F1040" s="61"/>
      <c r="G1040" s="655">
        <v>1159179.5249999999</v>
      </c>
      <c r="H1040" s="635"/>
      <c r="I1040" s="635"/>
      <c r="J1040" s="635">
        <f t="shared" si="40"/>
        <v>1159179.5249999999</v>
      </c>
      <c r="K1040" s="635"/>
      <c r="L1040" s="655"/>
      <c r="M1040" s="655">
        <f t="shared" si="41"/>
        <v>1159179.5249999999</v>
      </c>
      <c r="N1040" s="627"/>
      <c r="O1040" s="636"/>
    </row>
    <row r="1041" spans="1:15" s="242" customFormat="1" ht="14.25" customHeight="1">
      <c r="A1041" s="638">
        <v>517</v>
      </c>
      <c r="B1041" s="625"/>
      <c r="C1041" s="626"/>
      <c r="D1041" s="627" t="s">
        <v>208</v>
      </c>
      <c r="E1041" s="630" t="s">
        <v>15</v>
      </c>
      <c r="F1041" s="61"/>
      <c r="G1041" s="635">
        <v>1270080.378</v>
      </c>
      <c r="H1041" s="635"/>
      <c r="I1041" s="635"/>
      <c r="J1041" s="635">
        <f t="shared" si="40"/>
        <v>1270080.378</v>
      </c>
      <c r="K1041" s="635"/>
      <c r="L1041" s="655"/>
      <c r="M1041" s="655">
        <f t="shared" si="41"/>
        <v>1270080.378</v>
      </c>
      <c r="N1041" s="627"/>
      <c r="O1041" s="636"/>
    </row>
    <row r="1042" spans="1:15" s="242" customFormat="1" ht="14.25" customHeight="1">
      <c r="A1042" s="624">
        <v>518</v>
      </c>
      <c r="B1042" s="625"/>
      <c r="C1042" s="626"/>
      <c r="D1042" s="627" t="s">
        <v>1319</v>
      </c>
      <c r="E1042" s="630" t="s">
        <v>15</v>
      </c>
      <c r="F1042" s="61"/>
      <c r="G1042" s="635">
        <v>1159179.5249999999</v>
      </c>
      <c r="H1042" s="635"/>
      <c r="I1042" s="635"/>
      <c r="J1042" s="635">
        <f t="shared" si="40"/>
        <v>1159179.5249999999</v>
      </c>
      <c r="K1042" s="635"/>
      <c r="L1042" s="655"/>
      <c r="M1042" s="655">
        <f t="shared" si="41"/>
        <v>1159179.5249999999</v>
      </c>
      <c r="N1042" s="627"/>
      <c r="O1042" s="636"/>
    </row>
    <row r="1043" spans="1:15" s="242" customFormat="1" ht="14.25" customHeight="1">
      <c r="A1043" s="638">
        <v>519</v>
      </c>
      <c r="B1043" s="625"/>
      <c r="C1043" s="626"/>
      <c r="D1043" s="627" t="s">
        <v>1320</v>
      </c>
      <c r="E1043" s="630" t="s">
        <v>15</v>
      </c>
      <c r="F1043" s="61"/>
      <c r="G1043" s="635">
        <v>1270080.378</v>
      </c>
      <c r="H1043" s="635"/>
      <c r="I1043" s="635"/>
      <c r="J1043" s="635">
        <f t="shared" si="40"/>
        <v>1270080.378</v>
      </c>
      <c r="K1043" s="635"/>
      <c r="L1043" s="655"/>
      <c r="M1043" s="655">
        <f t="shared" si="41"/>
        <v>1270080.378</v>
      </c>
      <c r="N1043" s="627"/>
      <c r="O1043" s="636"/>
    </row>
    <row r="1044" spans="1:15" s="242" customFormat="1" ht="14.25" customHeight="1">
      <c r="A1044" s="638">
        <v>520</v>
      </c>
      <c r="B1044" s="625"/>
      <c r="C1044" s="626"/>
      <c r="D1044" s="627" t="s">
        <v>261</v>
      </c>
      <c r="E1044" s="630" t="s">
        <v>15</v>
      </c>
      <c r="F1044" s="61"/>
      <c r="G1044" s="635">
        <v>1159179.5249999999</v>
      </c>
      <c r="H1044" s="635"/>
      <c r="I1044" s="635"/>
      <c r="J1044" s="635">
        <f t="shared" si="40"/>
        <v>1159179.5249999999</v>
      </c>
      <c r="K1044" s="635"/>
      <c r="L1044" s="655"/>
      <c r="M1044" s="655">
        <f t="shared" si="41"/>
        <v>1159179.5249999999</v>
      </c>
      <c r="N1044" s="627"/>
      <c r="O1044" s="636"/>
    </row>
    <row r="1045" spans="1:15" s="242" customFormat="1" ht="14.25" customHeight="1">
      <c r="A1045" s="624">
        <v>521</v>
      </c>
      <c r="B1045" s="625"/>
      <c r="C1045" s="626"/>
      <c r="D1045" s="627" t="s">
        <v>1321</v>
      </c>
      <c r="E1045" s="630" t="s">
        <v>15</v>
      </c>
      <c r="F1045" s="61"/>
      <c r="G1045" s="635">
        <v>1270080.378</v>
      </c>
      <c r="H1045" s="635"/>
      <c r="I1045" s="635"/>
      <c r="J1045" s="635">
        <f t="shared" si="40"/>
        <v>1270080.378</v>
      </c>
      <c r="K1045" s="635"/>
      <c r="L1045" s="655"/>
      <c r="M1045" s="655">
        <f t="shared" si="41"/>
        <v>1270080.378</v>
      </c>
      <c r="N1045" s="627"/>
      <c r="O1045" s="636"/>
    </row>
    <row r="1046" spans="1:15" s="242" customFormat="1" ht="14.25" customHeight="1">
      <c r="A1046" s="638">
        <v>522</v>
      </c>
      <c r="B1046" s="625"/>
      <c r="C1046" s="626"/>
      <c r="D1046" s="627" t="s">
        <v>1322</v>
      </c>
      <c r="E1046" s="630" t="s">
        <v>15</v>
      </c>
      <c r="F1046" s="61"/>
      <c r="G1046" s="635">
        <v>1270080.378</v>
      </c>
      <c r="H1046" s="635"/>
      <c r="I1046" s="635"/>
      <c r="J1046" s="635">
        <f t="shared" si="40"/>
        <v>1270080.378</v>
      </c>
      <c r="K1046" s="635"/>
      <c r="L1046" s="655"/>
      <c r="M1046" s="655">
        <f t="shared" si="41"/>
        <v>1270080.378</v>
      </c>
      <c r="N1046" s="627"/>
      <c r="O1046" s="636"/>
    </row>
    <row r="1047" spans="1:15" s="242" customFormat="1" ht="14.25" customHeight="1">
      <c r="A1047" s="638">
        <v>523</v>
      </c>
      <c r="B1047" s="625"/>
      <c r="C1047" s="626"/>
      <c r="D1047" s="627" t="s">
        <v>251</v>
      </c>
      <c r="E1047" s="630" t="s">
        <v>15</v>
      </c>
      <c r="F1047" s="61"/>
      <c r="G1047" s="655">
        <v>1138979.9609999999</v>
      </c>
      <c r="H1047" s="635"/>
      <c r="I1047" s="635"/>
      <c r="J1047" s="635">
        <f t="shared" si="40"/>
        <v>1138979.9609999999</v>
      </c>
      <c r="K1047" s="635"/>
      <c r="L1047" s="655"/>
      <c r="M1047" s="655">
        <f t="shared" si="41"/>
        <v>1138979.9609999999</v>
      </c>
      <c r="N1047" s="627"/>
      <c r="O1047" s="636"/>
    </row>
    <row r="1048" spans="1:15" s="242" customFormat="1" ht="14.25" customHeight="1">
      <c r="A1048" s="624">
        <v>524</v>
      </c>
      <c r="B1048" s="625"/>
      <c r="C1048" s="626"/>
      <c r="D1048" s="627" t="s">
        <v>1323</v>
      </c>
      <c r="E1048" s="630" t="s">
        <v>15</v>
      </c>
      <c r="F1048" s="61"/>
      <c r="G1048" s="635">
        <v>1270080.378</v>
      </c>
      <c r="H1048" s="635"/>
      <c r="I1048" s="635"/>
      <c r="J1048" s="635">
        <f t="shared" si="40"/>
        <v>1270080.378</v>
      </c>
      <c r="K1048" s="635"/>
      <c r="L1048" s="655"/>
      <c r="M1048" s="655">
        <f t="shared" si="41"/>
        <v>1270080.378</v>
      </c>
      <c r="N1048" s="627"/>
      <c r="O1048" s="636"/>
    </row>
    <row r="1049" spans="1:15" s="242" customFormat="1" ht="14.25" customHeight="1">
      <c r="A1049" s="638">
        <v>525</v>
      </c>
      <c r="B1049" s="625"/>
      <c r="C1049" s="626"/>
      <c r="D1049" s="627" t="s">
        <v>1324</v>
      </c>
      <c r="E1049" s="630" t="s">
        <v>15</v>
      </c>
      <c r="F1049" s="61"/>
      <c r="G1049" s="635">
        <v>1270080.378</v>
      </c>
      <c r="H1049" s="635"/>
      <c r="I1049" s="635"/>
      <c r="J1049" s="635">
        <f t="shared" si="40"/>
        <v>1270080.378</v>
      </c>
      <c r="K1049" s="635"/>
      <c r="L1049" s="655"/>
      <c r="M1049" s="655">
        <f t="shared" si="41"/>
        <v>1270080.378</v>
      </c>
      <c r="N1049" s="627"/>
      <c r="O1049" s="636"/>
    </row>
    <row r="1050" spans="1:15" s="242" customFormat="1" ht="14.25" customHeight="1">
      <c r="A1050" s="638">
        <v>526</v>
      </c>
      <c r="B1050" s="625"/>
      <c r="C1050" s="626"/>
      <c r="D1050" s="627" t="s">
        <v>224</v>
      </c>
      <c r="E1050" s="630" t="s">
        <v>15</v>
      </c>
      <c r="F1050" s="61"/>
      <c r="G1050" s="635">
        <v>1128677.8</v>
      </c>
      <c r="H1050" s="635"/>
      <c r="I1050" s="635"/>
      <c r="J1050" s="635">
        <f t="shared" si="40"/>
        <v>1128677.8</v>
      </c>
      <c r="K1050" s="635"/>
      <c r="L1050" s="655"/>
      <c r="M1050" s="655">
        <f t="shared" si="41"/>
        <v>1128677.8</v>
      </c>
      <c r="N1050" s="627"/>
      <c r="O1050" s="636"/>
    </row>
    <row r="1051" spans="1:15" s="242" customFormat="1" ht="14.25" customHeight="1">
      <c r="A1051" s="624">
        <v>527</v>
      </c>
      <c r="B1051" s="625"/>
      <c r="C1051" s="626"/>
      <c r="D1051" s="627" t="s">
        <v>1325</v>
      </c>
      <c r="E1051" s="630" t="s">
        <v>15</v>
      </c>
      <c r="F1051" s="61"/>
      <c r="G1051" s="635">
        <v>1189145.3259999999</v>
      </c>
      <c r="H1051" s="635"/>
      <c r="I1051" s="635"/>
      <c r="J1051" s="635">
        <f t="shared" si="40"/>
        <v>1189145.3259999999</v>
      </c>
      <c r="K1051" s="635"/>
      <c r="L1051" s="655"/>
      <c r="M1051" s="655">
        <f t="shared" si="41"/>
        <v>1189145.3259999999</v>
      </c>
      <c r="N1051" s="627"/>
      <c r="O1051" s="636"/>
    </row>
    <row r="1052" spans="1:15" s="242" customFormat="1" ht="14.25" customHeight="1">
      <c r="A1052" s="638">
        <v>528</v>
      </c>
      <c r="B1052" s="625"/>
      <c r="C1052" s="626"/>
      <c r="D1052" s="627" t="s">
        <v>218</v>
      </c>
      <c r="E1052" s="630" t="s">
        <v>15</v>
      </c>
      <c r="F1052" s="61"/>
      <c r="G1052" s="635">
        <v>1270080.378</v>
      </c>
      <c r="H1052" s="635"/>
      <c r="I1052" s="635"/>
      <c r="J1052" s="635">
        <f t="shared" si="40"/>
        <v>1270080.378</v>
      </c>
      <c r="K1052" s="635"/>
      <c r="L1052" s="655"/>
      <c r="M1052" s="655">
        <f t="shared" si="41"/>
        <v>1270080.378</v>
      </c>
      <c r="N1052" s="627"/>
      <c r="O1052" s="636"/>
    </row>
    <row r="1053" spans="1:15" s="242" customFormat="1" ht="14.25" customHeight="1">
      <c r="A1053" s="638">
        <v>529</v>
      </c>
      <c r="B1053" s="625"/>
      <c r="C1053" s="626"/>
      <c r="D1053" s="627" t="s">
        <v>1326</v>
      </c>
      <c r="E1053" s="630" t="s">
        <v>15</v>
      </c>
      <c r="F1053" s="61"/>
      <c r="G1053" s="635">
        <v>1128677.8</v>
      </c>
      <c r="H1053" s="635"/>
      <c r="I1053" s="635"/>
      <c r="J1053" s="635">
        <f t="shared" si="40"/>
        <v>1128677.8</v>
      </c>
      <c r="K1053" s="635"/>
      <c r="L1053" s="655"/>
      <c r="M1053" s="655">
        <f t="shared" si="41"/>
        <v>1128677.8</v>
      </c>
      <c r="N1053" s="627"/>
      <c r="O1053" s="636"/>
    </row>
    <row r="1054" spans="1:15" s="242" customFormat="1" ht="14.25" customHeight="1">
      <c r="A1054" s="624">
        <v>530</v>
      </c>
      <c r="B1054" s="625"/>
      <c r="C1054" s="626"/>
      <c r="D1054" s="627" t="s">
        <v>209</v>
      </c>
      <c r="E1054" s="630" t="s">
        <v>15</v>
      </c>
      <c r="F1054" s="61"/>
      <c r="G1054" s="635">
        <v>1189145.3259999999</v>
      </c>
      <c r="H1054" s="635"/>
      <c r="I1054" s="635"/>
      <c r="J1054" s="635">
        <f t="shared" si="40"/>
        <v>1189145.3259999999</v>
      </c>
      <c r="K1054" s="635"/>
      <c r="L1054" s="655"/>
      <c r="M1054" s="655">
        <f t="shared" si="41"/>
        <v>1189145.3259999999</v>
      </c>
      <c r="N1054" s="627"/>
      <c r="O1054" s="636"/>
    </row>
    <row r="1055" spans="1:15" s="242" customFormat="1" ht="14.25" customHeight="1">
      <c r="A1055" s="638">
        <v>531</v>
      </c>
      <c r="B1055" s="625"/>
      <c r="C1055" s="626"/>
      <c r="D1055" s="627" t="s">
        <v>1327</v>
      </c>
      <c r="E1055" s="630" t="s">
        <v>15</v>
      </c>
      <c r="F1055" s="61"/>
      <c r="G1055" s="635">
        <v>1189145.3259999999</v>
      </c>
      <c r="H1055" s="635"/>
      <c r="I1055" s="635"/>
      <c r="J1055" s="635">
        <f t="shared" si="40"/>
        <v>1189145.3259999999</v>
      </c>
      <c r="K1055" s="635"/>
      <c r="L1055" s="655"/>
      <c r="M1055" s="655">
        <f t="shared" si="41"/>
        <v>1189145.3259999999</v>
      </c>
      <c r="N1055" s="627"/>
      <c r="O1055" s="636"/>
    </row>
    <row r="1056" spans="1:15" s="242" customFormat="1" ht="14.25" customHeight="1">
      <c r="A1056" s="638">
        <v>532</v>
      </c>
      <c r="B1056" s="625"/>
      <c r="C1056" s="626"/>
      <c r="D1056" s="627" t="s">
        <v>1328</v>
      </c>
      <c r="E1056" s="630" t="s">
        <v>15</v>
      </c>
      <c r="F1056" s="61"/>
      <c r="G1056" s="635"/>
      <c r="H1056" s="635"/>
      <c r="I1056" s="635">
        <v>1128677.8</v>
      </c>
      <c r="J1056" s="635">
        <f t="shared" ref="J1056:J1083" si="42">SUM(G1056:I1056)</f>
        <v>1128677.8</v>
      </c>
      <c r="K1056" s="635"/>
      <c r="L1056" s="655"/>
      <c r="M1056" s="655">
        <f t="shared" ref="M1056:M1083" si="43">J1056-L1056</f>
        <v>1128677.8</v>
      </c>
      <c r="N1056" s="627"/>
      <c r="O1056" s="636"/>
    </row>
    <row r="1057" spans="1:15" s="242" customFormat="1" ht="14.25" customHeight="1">
      <c r="A1057" s="624">
        <v>533</v>
      </c>
      <c r="B1057" s="625"/>
      <c r="C1057" s="626"/>
      <c r="D1057" s="627" t="s">
        <v>1329</v>
      </c>
      <c r="E1057" s="630" t="s">
        <v>15</v>
      </c>
      <c r="F1057" s="61"/>
      <c r="G1057" s="635"/>
      <c r="H1057" s="635"/>
      <c r="I1057" s="635">
        <v>1189145.3259999999</v>
      </c>
      <c r="J1057" s="635">
        <f t="shared" si="42"/>
        <v>1189145.3259999999</v>
      </c>
      <c r="K1057" s="635"/>
      <c r="L1057" s="655"/>
      <c r="M1057" s="655">
        <f t="shared" si="43"/>
        <v>1189145.3259999999</v>
      </c>
      <c r="N1057" s="627"/>
      <c r="O1057" s="636"/>
    </row>
    <row r="1058" spans="1:15" s="242" customFormat="1" ht="14.25" customHeight="1">
      <c r="A1058" s="638">
        <v>534</v>
      </c>
      <c r="B1058" s="625"/>
      <c r="C1058" s="626"/>
      <c r="D1058" s="627" t="s">
        <v>408</v>
      </c>
      <c r="E1058" s="630" t="s">
        <v>15</v>
      </c>
      <c r="F1058" s="61"/>
      <c r="G1058" s="635"/>
      <c r="H1058" s="635"/>
      <c r="I1058" s="635">
        <v>1249612.852</v>
      </c>
      <c r="J1058" s="635">
        <f t="shared" si="42"/>
        <v>1249612.852</v>
      </c>
      <c r="K1058" s="635"/>
      <c r="L1058" s="655"/>
      <c r="M1058" s="655">
        <f t="shared" si="43"/>
        <v>1249612.852</v>
      </c>
      <c r="N1058" s="627"/>
      <c r="O1058" s="636"/>
    </row>
    <row r="1059" spans="1:15" s="242" customFormat="1" ht="14.25" customHeight="1">
      <c r="A1059" s="638">
        <v>535</v>
      </c>
      <c r="B1059" s="625"/>
      <c r="C1059" s="626"/>
      <c r="D1059" s="627" t="s">
        <v>1330</v>
      </c>
      <c r="E1059" s="630" t="s">
        <v>15</v>
      </c>
      <c r="F1059" s="61"/>
      <c r="G1059" s="635"/>
      <c r="H1059" s="635"/>
      <c r="I1059" s="635">
        <v>1159179.5249999999</v>
      </c>
      <c r="J1059" s="635">
        <f t="shared" si="42"/>
        <v>1159179.5249999999</v>
      </c>
      <c r="K1059" s="635"/>
      <c r="L1059" s="655"/>
      <c r="M1059" s="655">
        <f t="shared" si="43"/>
        <v>1159179.5249999999</v>
      </c>
      <c r="N1059" s="627"/>
      <c r="O1059" s="636"/>
    </row>
    <row r="1060" spans="1:15" s="242" customFormat="1" ht="14.25" customHeight="1">
      <c r="A1060" s="624">
        <v>536</v>
      </c>
      <c r="B1060" s="625"/>
      <c r="C1060" s="626"/>
      <c r="D1060" s="627" t="s">
        <v>214</v>
      </c>
      <c r="E1060" s="630" t="s">
        <v>15</v>
      </c>
      <c r="F1060" s="61"/>
      <c r="G1060" s="655"/>
      <c r="H1060" s="635"/>
      <c r="I1060" s="635">
        <v>1108746.1980000001</v>
      </c>
      <c r="J1060" s="635">
        <f t="shared" si="42"/>
        <v>1108746.1980000001</v>
      </c>
      <c r="K1060" s="635"/>
      <c r="L1060" s="655"/>
      <c r="M1060" s="655">
        <f t="shared" si="43"/>
        <v>1108746.1980000001</v>
      </c>
      <c r="N1060" s="627"/>
      <c r="O1060" s="636"/>
    </row>
    <row r="1061" spans="1:15" s="242" customFormat="1" ht="14.25" customHeight="1">
      <c r="A1061" s="638">
        <v>537</v>
      </c>
      <c r="B1061" s="625"/>
      <c r="C1061" s="626"/>
      <c r="D1061" s="627" t="s">
        <v>1331</v>
      </c>
      <c r="E1061" s="630" t="s">
        <v>15</v>
      </c>
      <c r="F1061" s="61"/>
      <c r="G1061" s="655"/>
      <c r="H1061" s="635"/>
      <c r="I1061" s="635">
        <v>1159179.5249999999</v>
      </c>
      <c r="J1061" s="635">
        <f t="shared" si="42"/>
        <v>1159179.5249999999</v>
      </c>
      <c r="K1061" s="635"/>
      <c r="L1061" s="655"/>
      <c r="M1061" s="655">
        <f t="shared" si="43"/>
        <v>1159179.5249999999</v>
      </c>
      <c r="N1061" s="627"/>
      <c r="O1061" s="636"/>
    </row>
    <row r="1062" spans="1:15" s="242" customFormat="1" ht="14.25" customHeight="1">
      <c r="A1062" s="638">
        <v>538</v>
      </c>
      <c r="B1062" s="625"/>
      <c r="C1062" s="626"/>
      <c r="D1062" s="627" t="s">
        <v>1332</v>
      </c>
      <c r="E1062" s="630" t="s">
        <v>15</v>
      </c>
      <c r="F1062" s="61"/>
      <c r="G1062" s="635"/>
      <c r="H1062" s="635"/>
      <c r="I1062" s="635">
        <v>1270080.378</v>
      </c>
      <c r="J1062" s="635">
        <f t="shared" si="42"/>
        <v>1270080.378</v>
      </c>
      <c r="K1062" s="635"/>
      <c r="L1062" s="655"/>
      <c r="M1062" s="655">
        <f t="shared" si="43"/>
        <v>1270080.378</v>
      </c>
      <c r="N1062" s="627"/>
      <c r="O1062" s="636"/>
    </row>
    <row r="1063" spans="1:15" s="242" customFormat="1" ht="14.25" customHeight="1">
      <c r="A1063" s="624">
        <v>539</v>
      </c>
      <c r="B1063" s="625"/>
      <c r="C1063" s="626"/>
      <c r="D1063" s="627" t="s">
        <v>559</v>
      </c>
      <c r="E1063" s="630" t="s">
        <v>15</v>
      </c>
      <c r="F1063" s="61"/>
      <c r="G1063" s="635"/>
      <c r="H1063" s="635"/>
      <c r="I1063" s="635">
        <v>1159179.5249999999</v>
      </c>
      <c r="J1063" s="635">
        <f t="shared" si="42"/>
        <v>1159179.5249999999</v>
      </c>
      <c r="K1063" s="635"/>
      <c r="L1063" s="655"/>
      <c r="M1063" s="655">
        <f t="shared" si="43"/>
        <v>1159179.5249999999</v>
      </c>
      <c r="N1063" s="627"/>
      <c r="O1063" s="636"/>
    </row>
    <row r="1064" spans="1:15" s="242" customFormat="1" ht="14.25" customHeight="1">
      <c r="A1064" s="638">
        <v>540</v>
      </c>
      <c r="B1064" s="625"/>
      <c r="C1064" s="626"/>
      <c r="D1064" s="627" t="s">
        <v>1333</v>
      </c>
      <c r="E1064" s="630" t="s">
        <v>15</v>
      </c>
      <c r="F1064" s="61"/>
      <c r="G1064" s="635"/>
      <c r="H1064" s="635"/>
      <c r="I1064" s="635">
        <v>1270080.378</v>
      </c>
      <c r="J1064" s="635">
        <f t="shared" si="42"/>
        <v>1270080.378</v>
      </c>
      <c r="K1064" s="635"/>
      <c r="L1064" s="655"/>
      <c r="M1064" s="655">
        <f t="shared" si="43"/>
        <v>1270080.378</v>
      </c>
      <c r="N1064" s="627"/>
      <c r="O1064" s="636"/>
    </row>
    <row r="1065" spans="1:15" s="242" customFormat="1" ht="14.25" customHeight="1">
      <c r="A1065" s="638">
        <v>541</v>
      </c>
      <c r="B1065" s="625"/>
      <c r="C1065" s="626"/>
      <c r="D1065" s="627" t="s">
        <v>212</v>
      </c>
      <c r="E1065" s="630" t="s">
        <v>15</v>
      </c>
      <c r="F1065" s="61"/>
      <c r="G1065" s="635"/>
      <c r="H1065" s="635"/>
      <c r="I1065" s="635">
        <v>1159179.5249999999</v>
      </c>
      <c r="J1065" s="635">
        <f t="shared" si="42"/>
        <v>1159179.5249999999</v>
      </c>
      <c r="K1065" s="635"/>
      <c r="L1065" s="655"/>
      <c r="M1065" s="655">
        <f t="shared" si="43"/>
        <v>1159179.5249999999</v>
      </c>
      <c r="N1065" s="627"/>
      <c r="O1065" s="636"/>
    </row>
    <row r="1066" spans="1:15" s="242" customFormat="1" ht="14.25" customHeight="1">
      <c r="A1066" s="624">
        <v>542</v>
      </c>
      <c r="B1066" s="625"/>
      <c r="C1066" s="626"/>
      <c r="D1066" s="627" t="s">
        <v>1334</v>
      </c>
      <c r="E1066" s="630" t="s">
        <v>15</v>
      </c>
      <c r="F1066" s="61"/>
      <c r="G1066" s="635"/>
      <c r="H1066" s="635"/>
      <c r="I1066" s="635">
        <v>1270080.378</v>
      </c>
      <c r="J1066" s="635">
        <f t="shared" si="42"/>
        <v>1270080.378</v>
      </c>
      <c r="K1066" s="635"/>
      <c r="L1066" s="655"/>
      <c r="M1066" s="655">
        <f t="shared" si="43"/>
        <v>1270080.378</v>
      </c>
      <c r="N1066" s="627"/>
      <c r="O1066" s="636"/>
    </row>
    <row r="1067" spans="1:15" s="242" customFormat="1" ht="14.25" customHeight="1">
      <c r="A1067" s="638">
        <v>543</v>
      </c>
      <c r="B1067" s="625"/>
      <c r="C1067" s="626"/>
      <c r="D1067" s="627" t="s">
        <v>1335</v>
      </c>
      <c r="E1067" s="630" t="s">
        <v>15</v>
      </c>
      <c r="F1067" s="61"/>
      <c r="G1067" s="635"/>
      <c r="H1067" s="635"/>
      <c r="I1067" s="635">
        <v>1270080.378</v>
      </c>
      <c r="J1067" s="635">
        <f t="shared" si="42"/>
        <v>1270080.378</v>
      </c>
      <c r="K1067" s="635"/>
      <c r="L1067" s="655"/>
      <c r="M1067" s="655">
        <f t="shared" si="43"/>
        <v>1270080.378</v>
      </c>
      <c r="N1067" s="627"/>
      <c r="O1067" s="636"/>
    </row>
    <row r="1068" spans="1:15" s="242" customFormat="1" ht="14.25" customHeight="1">
      <c r="A1068" s="638">
        <v>544</v>
      </c>
      <c r="B1068" s="625"/>
      <c r="C1068" s="626"/>
      <c r="D1068" s="627" t="s">
        <v>255</v>
      </c>
      <c r="E1068" s="630" t="s">
        <v>15</v>
      </c>
      <c r="F1068" s="61"/>
      <c r="G1068" s="655"/>
      <c r="H1068" s="635"/>
      <c r="I1068" s="635">
        <v>1138979.9609999999</v>
      </c>
      <c r="J1068" s="635">
        <f t="shared" si="42"/>
        <v>1138979.9609999999</v>
      </c>
      <c r="K1068" s="635"/>
      <c r="L1068" s="655"/>
      <c r="M1068" s="655">
        <f t="shared" si="43"/>
        <v>1138979.9609999999</v>
      </c>
      <c r="N1068" s="627"/>
      <c r="O1068" s="636"/>
    </row>
    <row r="1069" spans="1:15" s="242" customFormat="1" ht="14.25" customHeight="1">
      <c r="A1069" s="624">
        <v>545</v>
      </c>
      <c r="B1069" s="625"/>
      <c r="C1069" s="626"/>
      <c r="D1069" s="627" t="s">
        <v>1336</v>
      </c>
      <c r="E1069" s="630" t="s">
        <v>15</v>
      </c>
      <c r="F1069" s="61"/>
      <c r="G1069" s="635"/>
      <c r="H1069" s="635"/>
      <c r="I1069" s="635">
        <v>1259007.19934334</v>
      </c>
      <c r="J1069" s="635">
        <f t="shared" si="42"/>
        <v>1259007.19934334</v>
      </c>
      <c r="K1069" s="635"/>
      <c r="L1069" s="655"/>
      <c r="M1069" s="655">
        <f t="shared" si="43"/>
        <v>1259007.19934334</v>
      </c>
      <c r="N1069" s="627"/>
      <c r="O1069" s="636"/>
    </row>
    <row r="1070" spans="1:15" s="242" customFormat="1" ht="14.25" customHeight="1">
      <c r="A1070" s="638">
        <v>546</v>
      </c>
      <c r="B1070" s="625"/>
      <c r="C1070" s="626"/>
      <c r="D1070" s="627" t="s">
        <v>1337</v>
      </c>
      <c r="E1070" s="630" t="s">
        <v>15</v>
      </c>
      <c r="F1070" s="61"/>
      <c r="G1070" s="635"/>
      <c r="H1070" s="635"/>
      <c r="I1070" s="635">
        <v>1148746.1980000001</v>
      </c>
      <c r="J1070" s="635">
        <f t="shared" si="42"/>
        <v>1148746.1980000001</v>
      </c>
      <c r="K1070" s="635"/>
      <c r="L1070" s="655"/>
      <c r="M1070" s="655">
        <f t="shared" si="43"/>
        <v>1148746.1980000001</v>
      </c>
      <c r="N1070" s="627"/>
      <c r="O1070" s="636"/>
    </row>
    <row r="1071" spans="1:15" s="242" customFormat="1" ht="14.25" customHeight="1">
      <c r="A1071" s="638">
        <v>547</v>
      </c>
      <c r="B1071" s="625"/>
      <c r="C1071" s="626"/>
      <c r="D1071" s="627" t="s">
        <v>233</v>
      </c>
      <c r="E1071" s="630" t="s">
        <v>15</v>
      </c>
      <c r="F1071" s="61"/>
      <c r="G1071" s="635"/>
      <c r="H1071" s="635"/>
      <c r="I1071" s="635">
        <v>1270080.378</v>
      </c>
      <c r="J1071" s="635">
        <f t="shared" si="42"/>
        <v>1270080.378</v>
      </c>
      <c r="K1071" s="635"/>
      <c r="L1071" s="655"/>
      <c r="M1071" s="655">
        <f t="shared" si="43"/>
        <v>1270080.378</v>
      </c>
      <c r="N1071" s="627"/>
      <c r="O1071" s="636"/>
    </row>
    <row r="1072" spans="1:15" s="242" customFormat="1" ht="14.25" customHeight="1">
      <c r="A1072" s="624">
        <v>548</v>
      </c>
      <c r="B1072" s="625"/>
      <c r="C1072" s="626"/>
      <c r="D1072" s="627" t="s">
        <v>1338</v>
      </c>
      <c r="E1072" s="630" t="s">
        <v>15</v>
      </c>
      <c r="F1072" s="61"/>
      <c r="G1072" s="635"/>
      <c r="H1072" s="635"/>
      <c r="I1072" s="635">
        <v>1128677.8</v>
      </c>
      <c r="J1072" s="635">
        <f t="shared" si="42"/>
        <v>1128677.8</v>
      </c>
      <c r="K1072" s="635"/>
      <c r="L1072" s="655"/>
      <c r="M1072" s="655">
        <f t="shared" si="43"/>
        <v>1128677.8</v>
      </c>
      <c r="N1072" s="627"/>
      <c r="O1072" s="636"/>
    </row>
    <row r="1073" spans="1:15" s="242" customFormat="1" ht="14.25" customHeight="1">
      <c r="A1073" s="638">
        <v>549</v>
      </c>
      <c r="B1073" s="625"/>
      <c r="C1073" s="626"/>
      <c r="D1073" s="627" t="s">
        <v>16</v>
      </c>
      <c r="E1073" s="630" t="s">
        <v>15</v>
      </c>
      <c r="F1073" s="61"/>
      <c r="G1073" s="635"/>
      <c r="H1073" s="635"/>
      <c r="I1073" s="635">
        <v>1189145.3259999999</v>
      </c>
      <c r="J1073" s="635">
        <f t="shared" si="42"/>
        <v>1189145.3259999999</v>
      </c>
      <c r="K1073" s="635"/>
      <c r="L1073" s="655"/>
      <c r="M1073" s="655">
        <f t="shared" si="43"/>
        <v>1189145.3259999999</v>
      </c>
      <c r="N1073" s="627"/>
      <c r="O1073" s="636"/>
    </row>
    <row r="1074" spans="1:15" s="242" customFormat="1" ht="14.25" customHeight="1">
      <c r="A1074" s="638">
        <v>550</v>
      </c>
      <c r="B1074" s="625"/>
      <c r="C1074" s="626"/>
      <c r="D1074" s="627" t="s">
        <v>1339</v>
      </c>
      <c r="E1074" s="630" t="s">
        <v>15</v>
      </c>
      <c r="F1074" s="61"/>
      <c r="G1074" s="635"/>
      <c r="H1074" s="635"/>
      <c r="I1074" s="635">
        <v>1249612.852</v>
      </c>
      <c r="J1074" s="635">
        <f t="shared" si="42"/>
        <v>1249612.852</v>
      </c>
      <c r="K1074" s="635"/>
      <c r="L1074" s="655"/>
      <c r="M1074" s="655">
        <f t="shared" si="43"/>
        <v>1249612.852</v>
      </c>
      <c r="N1074" s="627"/>
      <c r="O1074" s="636"/>
    </row>
    <row r="1075" spans="1:15" s="242" customFormat="1" ht="14.25" customHeight="1">
      <c r="A1075" s="624">
        <v>551</v>
      </c>
      <c r="B1075" s="625"/>
      <c r="C1075" s="626"/>
      <c r="D1075" s="627" t="s">
        <v>1340</v>
      </c>
      <c r="E1075" s="630" t="s">
        <v>15</v>
      </c>
      <c r="F1075" s="61"/>
      <c r="G1075" s="635"/>
      <c r="H1075" s="635"/>
      <c r="I1075" s="635">
        <v>1159179.5249999999</v>
      </c>
      <c r="J1075" s="635">
        <f t="shared" si="42"/>
        <v>1159179.5249999999</v>
      </c>
      <c r="K1075" s="635"/>
      <c r="L1075" s="655"/>
      <c r="M1075" s="655">
        <f t="shared" si="43"/>
        <v>1159179.5249999999</v>
      </c>
      <c r="N1075" s="627"/>
      <c r="O1075" s="636"/>
    </row>
    <row r="1076" spans="1:15" s="242" customFormat="1" ht="14.25" customHeight="1">
      <c r="A1076" s="638">
        <v>552</v>
      </c>
      <c r="B1076" s="625"/>
      <c r="C1076" s="626"/>
      <c r="D1076" s="627" t="s">
        <v>206</v>
      </c>
      <c r="E1076" s="630" t="s">
        <v>15</v>
      </c>
      <c r="F1076" s="61"/>
      <c r="G1076" s="655"/>
      <c r="H1076" s="635"/>
      <c r="I1076" s="635">
        <v>1108746.1980000001</v>
      </c>
      <c r="J1076" s="635">
        <f t="shared" si="42"/>
        <v>1108746.1980000001</v>
      </c>
      <c r="K1076" s="635"/>
      <c r="L1076" s="655"/>
      <c r="M1076" s="655">
        <f t="shared" si="43"/>
        <v>1108746.1980000001</v>
      </c>
      <c r="N1076" s="627"/>
      <c r="O1076" s="636"/>
    </row>
    <row r="1077" spans="1:15" s="242" customFormat="1" ht="14.25" customHeight="1">
      <c r="A1077" s="638">
        <v>553</v>
      </c>
      <c r="B1077" s="625"/>
      <c r="C1077" s="626"/>
      <c r="D1077" s="627" t="s">
        <v>1341</v>
      </c>
      <c r="E1077" s="630" t="s">
        <v>15</v>
      </c>
      <c r="F1077" s="61"/>
      <c r="G1077" s="655"/>
      <c r="H1077" s="635"/>
      <c r="I1077" s="635">
        <v>1159179.5249999999</v>
      </c>
      <c r="J1077" s="635">
        <f t="shared" si="42"/>
        <v>1159179.5249999999</v>
      </c>
      <c r="K1077" s="635"/>
      <c r="L1077" s="655"/>
      <c r="M1077" s="655">
        <f t="shared" si="43"/>
        <v>1159179.5249999999</v>
      </c>
      <c r="N1077" s="627"/>
      <c r="O1077" s="636"/>
    </row>
    <row r="1078" spans="1:15" s="242" customFormat="1" ht="14.25" customHeight="1">
      <c r="A1078" s="624">
        <v>554</v>
      </c>
      <c r="B1078" s="625"/>
      <c r="C1078" s="626"/>
      <c r="D1078" s="627" t="s">
        <v>1342</v>
      </c>
      <c r="E1078" s="630" t="s">
        <v>15</v>
      </c>
      <c r="F1078" s="61"/>
      <c r="G1078" s="635"/>
      <c r="H1078" s="635"/>
      <c r="I1078" s="635">
        <v>1270080.378</v>
      </c>
      <c r="J1078" s="635">
        <f t="shared" si="42"/>
        <v>1270080.378</v>
      </c>
      <c r="K1078" s="635"/>
      <c r="L1078" s="655"/>
      <c r="M1078" s="655">
        <f t="shared" si="43"/>
        <v>1270080.378</v>
      </c>
      <c r="N1078" s="627"/>
      <c r="O1078" s="636"/>
    </row>
    <row r="1079" spans="1:15" s="242" customFormat="1" ht="14.25" customHeight="1">
      <c r="A1079" s="638">
        <v>555</v>
      </c>
      <c r="B1079" s="625"/>
      <c r="C1079" s="626"/>
      <c r="D1079" s="627" t="s">
        <v>1343</v>
      </c>
      <c r="E1079" s="630" t="s">
        <v>15</v>
      </c>
      <c r="F1079" s="61"/>
      <c r="G1079" s="635"/>
      <c r="H1079" s="635"/>
      <c r="I1079" s="635">
        <v>1159179.5249999999</v>
      </c>
      <c r="J1079" s="635">
        <f t="shared" si="42"/>
        <v>1159179.5249999999</v>
      </c>
      <c r="K1079" s="635"/>
      <c r="L1079" s="655"/>
      <c r="M1079" s="655">
        <f t="shared" si="43"/>
        <v>1159179.5249999999</v>
      </c>
      <c r="N1079" s="627"/>
      <c r="O1079" s="636"/>
    </row>
    <row r="1080" spans="1:15" s="242" customFormat="1" ht="14.25" customHeight="1">
      <c r="A1080" s="638">
        <v>556</v>
      </c>
      <c r="B1080" s="625"/>
      <c r="C1080" s="626"/>
      <c r="D1080" s="627" t="s">
        <v>1292</v>
      </c>
      <c r="E1080" s="630" t="s">
        <v>15</v>
      </c>
      <c r="F1080" s="61"/>
      <c r="G1080" s="635"/>
      <c r="H1080" s="635"/>
      <c r="I1080" s="635">
        <v>1270080.378</v>
      </c>
      <c r="J1080" s="635">
        <f t="shared" si="42"/>
        <v>1270080.378</v>
      </c>
      <c r="K1080" s="635"/>
      <c r="L1080" s="655"/>
      <c r="M1080" s="655">
        <f t="shared" si="43"/>
        <v>1270080.378</v>
      </c>
      <c r="N1080" s="627"/>
      <c r="O1080" s="636"/>
    </row>
    <row r="1081" spans="1:15" s="242" customFormat="1" ht="14.25" customHeight="1">
      <c r="A1081" s="624">
        <v>557</v>
      </c>
      <c r="B1081" s="625"/>
      <c r="C1081" s="626"/>
      <c r="D1081" s="627" t="s">
        <v>449</v>
      </c>
      <c r="E1081" s="630" t="s">
        <v>15</v>
      </c>
      <c r="F1081" s="61"/>
      <c r="G1081" s="635"/>
      <c r="H1081" s="635"/>
      <c r="I1081" s="635">
        <v>1159179.5249999999</v>
      </c>
      <c r="J1081" s="635">
        <f t="shared" si="42"/>
        <v>1159179.5249999999</v>
      </c>
      <c r="K1081" s="635"/>
      <c r="L1081" s="655"/>
      <c r="M1081" s="655">
        <f t="shared" si="43"/>
        <v>1159179.5249999999</v>
      </c>
      <c r="N1081" s="627"/>
      <c r="O1081" s="636"/>
    </row>
    <row r="1082" spans="1:15" s="242" customFormat="1" ht="14.25" customHeight="1">
      <c r="A1082" s="638">
        <v>558</v>
      </c>
      <c r="B1082" s="625"/>
      <c r="C1082" s="626"/>
      <c r="D1082" s="627" t="s">
        <v>283</v>
      </c>
      <c r="E1082" s="630" t="s">
        <v>15</v>
      </c>
      <c r="F1082" s="61"/>
      <c r="G1082" s="635"/>
      <c r="H1082" s="635"/>
      <c r="I1082" s="635">
        <v>1270080.378</v>
      </c>
      <c r="J1082" s="635">
        <f t="shared" si="42"/>
        <v>1270080.378</v>
      </c>
      <c r="K1082" s="635"/>
      <c r="L1082" s="655"/>
      <c r="M1082" s="655">
        <f t="shared" si="43"/>
        <v>1270080.378</v>
      </c>
      <c r="N1082" s="627"/>
      <c r="O1082" s="636"/>
    </row>
    <row r="1083" spans="1:15" s="242" customFormat="1" ht="14.25" customHeight="1">
      <c r="A1083" s="638">
        <v>559</v>
      </c>
      <c r="B1083" s="625"/>
      <c r="C1083" s="626"/>
      <c r="D1083" s="627" t="s">
        <v>1324</v>
      </c>
      <c r="E1083" s="630" t="s">
        <v>15</v>
      </c>
      <c r="F1083" s="61"/>
      <c r="G1083" s="635"/>
      <c r="H1083" s="635"/>
      <c r="I1083" s="635">
        <v>1270080.378</v>
      </c>
      <c r="J1083" s="635">
        <f t="shared" si="42"/>
        <v>1270080.378</v>
      </c>
      <c r="K1083" s="635"/>
      <c r="L1083" s="655"/>
      <c r="M1083" s="655">
        <f t="shared" si="43"/>
        <v>1270080.378</v>
      </c>
      <c r="N1083" s="627"/>
      <c r="O1083" s="636"/>
    </row>
    <row r="1084" spans="1:15" s="242" customFormat="1" ht="14.25" customHeight="1">
      <c r="A1084" s="624">
        <v>560</v>
      </c>
      <c r="B1084" s="625"/>
      <c r="C1084" s="626"/>
      <c r="D1084" s="627" t="s">
        <v>1344</v>
      </c>
      <c r="E1084" s="630" t="s">
        <v>15</v>
      </c>
      <c r="F1084" s="61"/>
      <c r="G1084" s="655"/>
      <c r="H1084" s="635"/>
      <c r="I1084" s="635">
        <v>1138979.9609999999</v>
      </c>
      <c r="J1084" s="635">
        <f t="shared" si="40"/>
        <v>1138979.9609999999</v>
      </c>
      <c r="K1084" s="635"/>
      <c r="L1084" s="655"/>
      <c r="M1084" s="655">
        <f t="shared" si="41"/>
        <v>1138979.9609999999</v>
      </c>
      <c r="N1084" s="627"/>
      <c r="O1084" s="636"/>
    </row>
    <row r="1085" spans="1:15" s="242" customFormat="1" ht="14.25" customHeight="1">
      <c r="A1085" s="638">
        <v>561</v>
      </c>
      <c r="B1085" s="625"/>
      <c r="C1085" s="626"/>
      <c r="D1085" s="627" t="s">
        <v>1345</v>
      </c>
      <c r="E1085" s="630" t="s">
        <v>15</v>
      </c>
      <c r="F1085" s="61"/>
      <c r="G1085" s="655"/>
      <c r="H1085" s="635"/>
      <c r="I1085" s="635">
        <v>1108746.1980000001</v>
      </c>
      <c r="J1085" s="635">
        <f t="shared" si="40"/>
        <v>1108746.1980000001</v>
      </c>
      <c r="K1085" s="635"/>
      <c r="L1085" s="655"/>
      <c r="M1085" s="655">
        <f t="shared" si="41"/>
        <v>1108746.1980000001</v>
      </c>
      <c r="N1085" s="627"/>
      <c r="O1085" s="636"/>
    </row>
    <row r="1086" spans="1:15" s="242" customFormat="1" ht="14.25" customHeight="1">
      <c r="A1086" s="638">
        <v>562</v>
      </c>
      <c r="B1086" s="625"/>
      <c r="C1086" s="626"/>
      <c r="D1086" s="627" t="s">
        <v>281</v>
      </c>
      <c r="E1086" s="630" t="s">
        <v>15</v>
      </c>
      <c r="F1086" s="61"/>
      <c r="G1086" s="655"/>
      <c r="H1086" s="635"/>
      <c r="I1086" s="635">
        <v>1159179.5249999999</v>
      </c>
      <c r="J1086" s="635">
        <f t="shared" si="40"/>
        <v>1159179.5249999999</v>
      </c>
      <c r="K1086" s="635"/>
      <c r="L1086" s="655"/>
      <c r="M1086" s="655">
        <f t="shared" si="41"/>
        <v>1159179.5249999999</v>
      </c>
      <c r="N1086" s="627"/>
      <c r="O1086" s="636"/>
    </row>
    <row r="1087" spans="1:15" s="242" customFormat="1" ht="14.25" customHeight="1">
      <c r="A1087" s="624">
        <v>563</v>
      </c>
      <c r="B1087" s="625"/>
      <c r="C1087" s="626"/>
      <c r="D1087" s="627" t="s">
        <v>1317</v>
      </c>
      <c r="E1087" s="630" t="s">
        <v>15</v>
      </c>
      <c r="F1087" s="61"/>
      <c r="G1087" s="635"/>
      <c r="H1087" s="635"/>
      <c r="I1087" s="635">
        <v>1270080.378</v>
      </c>
      <c r="J1087" s="635">
        <f t="shared" si="40"/>
        <v>1270080.378</v>
      </c>
      <c r="K1087" s="635"/>
      <c r="L1087" s="655"/>
      <c r="M1087" s="655">
        <f t="shared" si="41"/>
        <v>1270080.378</v>
      </c>
      <c r="N1087" s="627"/>
      <c r="O1087" s="636"/>
    </row>
    <row r="1088" spans="1:15" s="242" customFormat="1" ht="14.25" customHeight="1">
      <c r="A1088" s="638">
        <v>564</v>
      </c>
      <c r="B1088" s="625"/>
      <c r="C1088" s="626"/>
      <c r="D1088" s="627" t="s">
        <v>108</v>
      </c>
      <c r="E1088" s="630" t="s">
        <v>15</v>
      </c>
      <c r="F1088" s="61"/>
      <c r="G1088" s="635"/>
      <c r="H1088" s="635"/>
      <c r="I1088" s="635">
        <v>1159179.5249999999</v>
      </c>
      <c r="J1088" s="635">
        <f t="shared" si="40"/>
        <v>1159179.5249999999</v>
      </c>
      <c r="K1088" s="635"/>
      <c r="L1088" s="655"/>
      <c r="M1088" s="655">
        <f t="shared" si="41"/>
        <v>1159179.5249999999</v>
      </c>
      <c r="N1088" s="627"/>
      <c r="O1088" s="636"/>
    </row>
    <row r="1089" spans="1:18" s="242" customFormat="1" ht="14.25" customHeight="1">
      <c r="A1089" s="638">
        <v>565</v>
      </c>
      <c r="B1089" s="625"/>
      <c r="C1089" s="626"/>
      <c r="D1089" s="627" t="s">
        <v>1346</v>
      </c>
      <c r="E1089" s="630" t="s">
        <v>15</v>
      </c>
      <c r="F1089" s="61"/>
      <c r="G1089" s="635"/>
      <c r="H1089" s="635"/>
      <c r="I1089" s="635">
        <v>1270080.378</v>
      </c>
      <c r="J1089" s="635">
        <f t="shared" si="40"/>
        <v>1270080.378</v>
      </c>
      <c r="K1089" s="635"/>
      <c r="L1089" s="655"/>
      <c r="M1089" s="655">
        <f t="shared" si="41"/>
        <v>1270080.378</v>
      </c>
      <c r="N1089" s="627"/>
      <c r="O1089" s="636"/>
    </row>
    <row r="1090" spans="1:18" s="242" customFormat="1" ht="14.25" customHeight="1">
      <c r="A1090" s="624">
        <v>566</v>
      </c>
      <c r="B1090" s="625"/>
      <c r="C1090" s="626"/>
      <c r="D1090" s="627" t="s">
        <v>1347</v>
      </c>
      <c r="E1090" s="630" t="s">
        <v>15</v>
      </c>
      <c r="F1090" s="61"/>
      <c r="G1090" s="635"/>
      <c r="H1090" s="635"/>
      <c r="I1090" s="635">
        <v>1159179.5249999999</v>
      </c>
      <c r="J1090" s="635">
        <f t="shared" si="40"/>
        <v>1159179.5249999999</v>
      </c>
      <c r="K1090" s="635"/>
      <c r="L1090" s="655"/>
      <c r="M1090" s="655">
        <f t="shared" si="41"/>
        <v>1159179.5249999999</v>
      </c>
      <c r="N1090" s="627"/>
      <c r="O1090" s="636"/>
    </row>
    <row r="1091" spans="1:18" s="242" customFormat="1" ht="14.25" customHeight="1">
      <c r="A1091" s="638">
        <v>567</v>
      </c>
      <c r="B1091" s="625"/>
      <c r="C1091" s="626"/>
      <c r="D1091" s="627" t="s">
        <v>1214</v>
      </c>
      <c r="E1091" s="630" t="s">
        <v>15</v>
      </c>
      <c r="F1091" s="61"/>
      <c r="G1091" s="635"/>
      <c r="H1091" s="635"/>
      <c r="I1091" s="635">
        <v>1270080.378</v>
      </c>
      <c r="J1091" s="635">
        <f t="shared" si="40"/>
        <v>1270080.378</v>
      </c>
      <c r="K1091" s="635"/>
      <c r="L1091" s="655"/>
      <c r="M1091" s="655">
        <f t="shared" si="41"/>
        <v>1270080.378</v>
      </c>
      <c r="N1091" s="627"/>
      <c r="O1091" s="636"/>
    </row>
    <row r="1092" spans="1:18" s="242" customFormat="1" ht="14.25" customHeight="1">
      <c r="A1092" s="638">
        <v>568</v>
      </c>
      <c r="B1092" s="625"/>
      <c r="C1092" s="626"/>
      <c r="D1092" s="627" t="s">
        <v>280</v>
      </c>
      <c r="E1092" s="630" t="s">
        <v>15</v>
      </c>
      <c r="F1092" s="61"/>
      <c r="G1092" s="635"/>
      <c r="H1092" s="635"/>
      <c r="I1092" s="635">
        <v>1270080.378</v>
      </c>
      <c r="J1092" s="635">
        <f t="shared" si="40"/>
        <v>1270080.378</v>
      </c>
      <c r="K1092" s="635"/>
      <c r="L1092" s="655"/>
      <c r="M1092" s="655">
        <f t="shared" si="41"/>
        <v>1270080.378</v>
      </c>
      <c r="N1092" s="627"/>
      <c r="O1092" s="636"/>
    </row>
    <row r="1093" spans="1:18" s="242" customFormat="1" ht="14.25" customHeight="1">
      <c r="A1093" s="624">
        <v>569</v>
      </c>
      <c r="B1093" s="625"/>
      <c r="C1093" s="626"/>
      <c r="D1093" s="627" t="s">
        <v>1348</v>
      </c>
      <c r="E1093" s="630" t="s">
        <v>15</v>
      </c>
      <c r="F1093" s="61"/>
      <c r="G1093" s="655"/>
      <c r="H1093" s="635"/>
      <c r="I1093" s="635">
        <v>943379.95596975496</v>
      </c>
      <c r="J1093" s="635">
        <f t="shared" si="40"/>
        <v>943379.95596975496</v>
      </c>
      <c r="K1093" s="635"/>
      <c r="L1093" s="655"/>
      <c r="M1093" s="655">
        <f t="shared" si="41"/>
        <v>943379.95596975496</v>
      </c>
      <c r="N1093" s="627"/>
      <c r="O1093" s="636"/>
    </row>
    <row r="1094" spans="1:18" s="242" customFormat="1" ht="14.25" customHeight="1">
      <c r="A1094" s="638">
        <v>570</v>
      </c>
      <c r="B1094" s="625"/>
      <c r="C1094" s="626"/>
      <c r="D1094" s="627" t="s">
        <v>1349</v>
      </c>
      <c r="E1094" s="630" t="s">
        <v>15</v>
      </c>
      <c r="F1094" s="61"/>
      <c r="G1094" s="635"/>
      <c r="H1094" s="635"/>
      <c r="I1094" s="635">
        <v>1259179.5249999999</v>
      </c>
      <c r="J1094" s="635">
        <f t="shared" si="40"/>
        <v>1259179.5249999999</v>
      </c>
      <c r="K1094" s="635"/>
      <c r="L1094" s="655"/>
      <c r="M1094" s="655">
        <f t="shared" si="41"/>
        <v>1259179.5249999999</v>
      </c>
      <c r="N1094" s="627"/>
      <c r="O1094" s="636"/>
    </row>
    <row r="1095" spans="1:18" s="242" customFormat="1" ht="14.25" customHeight="1">
      <c r="A1095" s="638">
        <v>571</v>
      </c>
      <c r="B1095" s="625"/>
      <c r="C1095" s="626"/>
      <c r="D1095" s="627" t="s">
        <v>386</v>
      </c>
      <c r="E1095" s="630" t="s">
        <v>15</v>
      </c>
      <c r="F1095" s="61"/>
      <c r="G1095" s="635"/>
      <c r="H1095" s="635"/>
      <c r="I1095" s="635">
        <v>1153241.7526867699</v>
      </c>
      <c r="J1095" s="635">
        <f t="shared" si="40"/>
        <v>1153241.7526867699</v>
      </c>
      <c r="K1095" s="635"/>
      <c r="L1095" s="655"/>
      <c r="M1095" s="655">
        <f t="shared" si="41"/>
        <v>1153241.7526867699</v>
      </c>
      <c r="N1095" s="627"/>
      <c r="O1095" s="636"/>
    </row>
    <row r="1096" spans="1:18" s="242" customFormat="1" ht="14.25" customHeight="1">
      <c r="A1096" s="624">
        <v>572</v>
      </c>
      <c r="B1096" s="625"/>
      <c r="C1096" s="626"/>
      <c r="D1096" s="627" t="s">
        <v>862</v>
      </c>
      <c r="E1096" s="630" t="s">
        <v>15</v>
      </c>
      <c r="F1096" s="61"/>
      <c r="G1096" s="635">
        <v>779970.11165653204</v>
      </c>
      <c r="H1096" s="635">
        <v>75068.066716313406</v>
      </c>
      <c r="I1096" s="635"/>
      <c r="J1096" s="635">
        <f t="shared" si="40"/>
        <v>855038.1783728454</v>
      </c>
      <c r="K1096" s="635"/>
      <c r="L1096" s="655"/>
      <c r="M1096" s="655">
        <f t="shared" si="41"/>
        <v>855038.1783728454</v>
      </c>
      <c r="N1096" s="627"/>
      <c r="O1096" s="636"/>
    </row>
    <row r="1097" spans="1:18" s="242" customFormat="1" ht="14.25" customHeight="1">
      <c r="A1097" s="628" t="s">
        <v>521</v>
      </c>
      <c r="B1097" s="625" t="e">
        <f>VLOOKUP(A1097,'[1]DS CN MOI UP'!$B$11:$C$447,2,0)</f>
        <v>#N/A</v>
      </c>
      <c r="C1097" s="628"/>
      <c r="E1097" s="628"/>
      <c r="F1097" s="628"/>
      <c r="G1097" s="651">
        <f t="shared" ref="G1097:M1097" si="44">SUM(G525:G1096)</f>
        <v>124787000</v>
      </c>
      <c r="H1097" s="651">
        <f t="shared" si="44"/>
        <v>396004239.04729092</v>
      </c>
      <c r="I1097" s="651">
        <f t="shared" si="44"/>
        <v>140784284</v>
      </c>
      <c r="J1097" s="651">
        <f t="shared" si="44"/>
        <v>661575523.04728878</v>
      </c>
      <c r="K1097" s="651">
        <f t="shared" si="44"/>
        <v>0</v>
      </c>
      <c r="L1097" s="651">
        <f t="shared" si="44"/>
        <v>0</v>
      </c>
      <c r="M1097" s="651">
        <f t="shared" si="44"/>
        <v>661575523.04728878</v>
      </c>
      <c r="N1097" s="656"/>
      <c r="O1097" s="636" t="e">
        <f>#REF!</f>
        <v>#REF!</v>
      </c>
      <c r="P1097" s="636" t="e">
        <f>#REF!</f>
        <v>#REF!</v>
      </c>
      <c r="Q1097" s="636" t="e">
        <f>#REF!</f>
        <v>#REF!</v>
      </c>
    </row>
    <row r="1098" spans="1:18" s="242" customFormat="1" ht="14.25" customHeight="1">
      <c r="A1098" s="638">
        <v>1</v>
      </c>
      <c r="B1098" s="625" t="e">
        <f>VLOOKUP(D1098,'[1]DS CN MOI UP'!$B$11:$C$447,2,0)</f>
        <v>#N/A</v>
      </c>
      <c r="C1098" s="626" t="s">
        <v>1350</v>
      </c>
      <c r="D1098" s="61" t="s">
        <v>1351</v>
      </c>
      <c r="E1098" s="630" t="s">
        <v>15</v>
      </c>
      <c r="F1098" s="630"/>
      <c r="G1098" s="655"/>
      <c r="H1098" s="655">
        <v>635040.18900000001</v>
      </c>
      <c r="I1098" s="655">
        <v>524139.33600000001</v>
      </c>
      <c r="J1098" s="635">
        <f t="shared" ref="J1098:J1368" si="45">SUM(G1098:I1098)</f>
        <v>1159179.5249999999</v>
      </c>
      <c r="K1098" s="635"/>
      <c r="L1098" s="635"/>
      <c r="M1098" s="655">
        <f t="shared" ref="M1098:M1140" si="46">J1098-L1098</f>
        <v>1159179.5249999999</v>
      </c>
      <c r="N1098" s="61"/>
      <c r="O1098" s="636" t="e">
        <f>+O1097-G1097</f>
        <v>#REF!</v>
      </c>
      <c r="P1098" s="636" t="e">
        <f>+P1097-H1097</f>
        <v>#REF!</v>
      </c>
      <c r="Q1098" s="636" t="e">
        <f>+Q1097-I1097</f>
        <v>#REF!</v>
      </c>
    </row>
    <row r="1099" spans="1:18" s="242" customFormat="1" ht="14.25" customHeight="1">
      <c r="A1099" s="638">
        <v>2</v>
      </c>
      <c r="B1099" s="625" t="e">
        <f>VLOOKUP(D1099,'[1]DS CN MOI UP'!$B$11:$C$447,2,0)</f>
        <v>#N/A</v>
      </c>
      <c r="C1099" s="626" t="s">
        <v>1350</v>
      </c>
      <c r="D1099" s="61" t="s">
        <v>1352</v>
      </c>
      <c r="E1099" s="630" t="s">
        <v>15</v>
      </c>
      <c r="F1099" s="630"/>
      <c r="G1099" s="655"/>
      <c r="H1099" s="655">
        <v>635040.18900000001</v>
      </c>
      <c r="I1099" s="655">
        <v>524139.33600000001</v>
      </c>
      <c r="J1099" s="635">
        <f t="shared" si="45"/>
        <v>1159179.5249999999</v>
      </c>
      <c r="K1099" s="635"/>
      <c r="L1099" s="635"/>
      <c r="M1099" s="655">
        <f t="shared" si="46"/>
        <v>1159179.5249999999</v>
      </c>
      <c r="N1099" s="61"/>
    </row>
    <row r="1100" spans="1:18" s="242" customFormat="1" ht="14.25" customHeight="1">
      <c r="A1100" s="638">
        <v>3</v>
      </c>
      <c r="B1100" s="625" t="e">
        <f>VLOOKUP(D1100,'[1]DS CN MOI UP'!$B$11:$C$447,2,0)</f>
        <v>#N/A</v>
      </c>
      <c r="C1100" s="626" t="s">
        <v>1350</v>
      </c>
      <c r="D1100" s="61" t="s">
        <v>1353</v>
      </c>
      <c r="E1100" s="630" t="s">
        <v>15</v>
      </c>
      <c r="F1100" s="630"/>
      <c r="G1100" s="655"/>
      <c r="H1100" s="655">
        <v>554373.09900000005</v>
      </c>
      <c r="I1100" s="655">
        <v>524139.33600000001</v>
      </c>
      <c r="J1100" s="635">
        <f t="shared" si="45"/>
        <v>1078512.4350000001</v>
      </c>
      <c r="K1100" s="635"/>
      <c r="L1100" s="635"/>
      <c r="M1100" s="655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8">
        <v>4</v>
      </c>
      <c r="B1101" s="625" t="str">
        <f>VLOOKUP(D1101,'[1]DS CN MOI UP'!$B$11:$C$447,2,0)</f>
        <v>02494</v>
      </c>
      <c r="C1101" s="626" t="s">
        <v>1350</v>
      </c>
      <c r="D1101" s="61" t="s">
        <v>96</v>
      </c>
      <c r="E1101" s="630" t="s">
        <v>15</v>
      </c>
      <c r="F1101" s="630"/>
      <c r="G1101" s="655"/>
      <c r="H1101" s="655">
        <v>789516.939600004</v>
      </c>
      <c r="I1101" s="655">
        <v>184104.59760000001</v>
      </c>
      <c r="J1101" s="635">
        <f t="shared" si="45"/>
        <v>973621.53720000398</v>
      </c>
      <c r="K1101" s="635"/>
      <c r="L1101" s="635"/>
      <c r="M1101" s="655">
        <f t="shared" si="46"/>
        <v>973621.53720000398</v>
      </c>
      <c r="N1101" s="61"/>
    </row>
    <row r="1102" spans="1:18" s="242" customFormat="1" ht="14.25" customHeight="1">
      <c r="A1102" s="638">
        <v>5</v>
      </c>
      <c r="B1102" s="625" t="str">
        <f>VLOOKUP(D1102,'[1]DS CN MOI UP'!$B$11:$C$447,2,0)</f>
        <v>02594</v>
      </c>
      <c r="C1102" s="626" t="s">
        <v>1350</v>
      </c>
      <c r="D1102" s="61" t="s">
        <v>207</v>
      </c>
      <c r="E1102" s="630" t="s">
        <v>15</v>
      </c>
      <c r="F1102" s="630"/>
      <c r="G1102" s="655"/>
      <c r="H1102" s="655">
        <v>383004.72</v>
      </c>
      <c r="I1102" s="655">
        <v>251034.90599999999</v>
      </c>
      <c r="J1102" s="635">
        <f t="shared" si="45"/>
        <v>634039.62599999993</v>
      </c>
      <c r="K1102" s="635"/>
      <c r="L1102" s="635"/>
      <c r="M1102" s="655">
        <f t="shared" si="46"/>
        <v>634039.62599999993</v>
      </c>
      <c r="N1102" s="61"/>
    </row>
    <row r="1103" spans="1:18" s="242" customFormat="1" ht="14.25" customHeight="1">
      <c r="A1103" s="638">
        <v>6</v>
      </c>
      <c r="B1103" s="625" t="e">
        <f>VLOOKUP(D1103,'[1]DS CN MOI UP'!$B$11:$C$447,2,0)</f>
        <v>#N/A</v>
      </c>
      <c r="C1103" s="626" t="s">
        <v>1350</v>
      </c>
      <c r="D1103" s="61" t="s">
        <v>1354</v>
      </c>
      <c r="E1103" s="630" t="s">
        <v>15</v>
      </c>
      <c r="F1103" s="630"/>
      <c r="G1103" s="655">
        <v>462587.53425463499</v>
      </c>
      <c r="H1103" s="655">
        <v>312502.995</v>
      </c>
      <c r="I1103" s="655">
        <v>312502.995</v>
      </c>
      <c r="J1103" s="635">
        <f t="shared" si="45"/>
        <v>1087593.524254635</v>
      </c>
      <c r="K1103" s="635"/>
      <c r="L1103" s="635"/>
      <c r="M1103" s="655">
        <f t="shared" si="46"/>
        <v>1087593.524254635</v>
      </c>
      <c r="N1103" s="61"/>
    </row>
    <row r="1104" spans="1:18" s="242" customFormat="1" ht="14.25" customHeight="1">
      <c r="A1104" s="638">
        <v>7</v>
      </c>
      <c r="B1104" s="625" t="e">
        <f>VLOOKUP(D1104,'[1]DS CN MOI UP'!$B$11:$C$447,2,0)</f>
        <v>#N/A</v>
      </c>
      <c r="C1104" s="626" t="s">
        <v>1350</v>
      </c>
      <c r="D1104" s="61" t="s">
        <v>1355</v>
      </c>
      <c r="E1104" s="630" t="s">
        <v>15</v>
      </c>
      <c r="F1104" s="630"/>
      <c r="G1104" s="655"/>
      <c r="H1104" s="655">
        <v>614840.625</v>
      </c>
      <c r="I1104" s="655">
        <v>614840.625</v>
      </c>
      <c r="J1104" s="635">
        <f t="shared" si="45"/>
        <v>1229681.25</v>
      </c>
      <c r="K1104" s="635"/>
      <c r="L1104" s="635"/>
      <c r="M1104" s="655">
        <f t="shared" si="46"/>
        <v>1229681.25</v>
      </c>
      <c r="N1104" s="61"/>
    </row>
    <row r="1105" spans="1:17" s="242" customFormat="1" ht="14.25" customHeight="1">
      <c r="A1105" s="638">
        <v>8</v>
      </c>
      <c r="B1105" s="625" t="str">
        <f>VLOOKUP(D1105,'[1]DS CN MOI UP'!$B$11:$C$447,2,0)</f>
        <v>02641</v>
      </c>
      <c r="C1105" s="626" t="s">
        <v>1350</v>
      </c>
      <c r="D1105" s="61" t="s">
        <v>291</v>
      </c>
      <c r="E1105" s="630" t="s">
        <v>15</v>
      </c>
      <c r="F1105" s="630"/>
      <c r="G1105" s="655"/>
      <c r="H1105" s="655">
        <v>554373.09900000005</v>
      </c>
      <c r="I1105" s="655">
        <v>554373.09900000005</v>
      </c>
      <c r="J1105" s="635">
        <f t="shared" si="45"/>
        <v>1108746.1980000001</v>
      </c>
      <c r="K1105" s="635"/>
      <c r="L1105" s="635"/>
      <c r="M1105" s="655">
        <f t="shared" si="46"/>
        <v>1108746.1980000001</v>
      </c>
      <c r="N1105" s="61"/>
    </row>
    <row r="1106" spans="1:17" s="242" customFormat="1" ht="14.25" customHeight="1">
      <c r="A1106" s="638">
        <v>9</v>
      </c>
      <c r="B1106" s="625" t="e">
        <f>VLOOKUP(D1106,'[1]DS CN MOI UP'!$B$11:$C$447,2,0)</f>
        <v>#N/A</v>
      </c>
      <c r="C1106" s="626" t="s">
        <v>1350</v>
      </c>
      <c r="D1106" s="61" t="s">
        <v>686</v>
      </c>
      <c r="E1106" s="630" t="s">
        <v>15</v>
      </c>
      <c r="F1106" s="630"/>
      <c r="G1106" s="655"/>
      <c r="H1106" s="655">
        <v>554373.09900000005</v>
      </c>
      <c r="I1106" s="655">
        <v>554373.09900000005</v>
      </c>
      <c r="J1106" s="635">
        <f t="shared" si="45"/>
        <v>1108746.1980000001</v>
      </c>
      <c r="K1106" s="635"/>
      <c r="L1106" s="635"/>
      <c r="M1106" s="655">
        <f t="shared" si="46"/>
        <v>1108746.1980000001</v>
      </c>
      <c r="N1106" s="61"/>
    </row>
    <row r="1107" spans="1:17" s="242" customFormat="1" ht="14.25" customHeight="1">
      <c r="A1107" s="638">
        <v>10</v>
      </c>
      <c r="B1107" s="625" t="e">
        <f>VLOOKUP(D1107,'[1]DS CN MOI UP'!$B$11:$C$447,2,0)</f>
        <v>#N/A</v>
      </c>
      <c r="C1107" s="626" t="s">
        <v>1350</v>
      </c>
      <c r="D1107" s="61" t="s">
        <v>687</v>
      </c>
      <c r="E1107" s="630" t="s">
        <v>15</v>
      </c>
      <c r="F1107" s="630"/>
      <c r="G1107" s="655"/>
      <c r="H1107" s="655">
        <v>554373.09900000005</v>
      </c>
      <c r="I1107" s="655">
        <v>554373.09900000005</v>
      </c>
      <c r="J1107" s="635">
        <f t="shared" si="45"/>
        <v>1108746.1980000001</v>
      </c>
      <c r="K1107" s="635"/>
      <c r="L1107" s="635"/>
      <c r="M1107" s="655">
        <f t="shared" si="46"/>
        <v>1108746.1980000001</v>
      </c>
      <c r="N1107" s="61"/>
    </row>
    <row r="1108" spans="1:17" s="242" customFormat="1" ht="14.25" customHeight="1">
      <c r="A1108" s="638">
        <v>11</v>
      </c>
      <c r="B1108" s="625" t="e">
        <f>VLOOKUP(D1108,'[1]DS CN MOI UP'!$B$11:$C$447,2,0)</f>
        <v>#N/A</v>
      </c>
      <c r="C1108" s="626" t="s">
        <v>1350</v>
      </c>
      <c r="D1108" s="61" t="s">
        <v>649</v>
      </c>
      <c r="E1108" s="630" t="s">
        <v>15</v>
      </c>
      <c r="F1108" s="630"/>
      <c r="G1108" s="655"/>
      <c r="H1108" s="655">
        <v>635040.18900000001</v>
      </c>
      <c r="I1108" s="655">
        <v>524139.33600000001</v>
      </c>
      <c r="J1108" s="635">
        <f t="shared" si="45"/>
        <v>1159179.5249999999</v>
      </c>
      <c r="K1108" s="635"/>
      <c r="L1108" s="635"/>
      <c r="M1108" s="655">
        <f t="shared" si="46"/>
        <v>1159179.5249999999</v>
      </c>
      <c r="N1108" s="61"/>
    </row>
    <row r="1109" spans="1:17" s="242" customFormat="1" ht="14.25" customHeight="1">
      <c r="A1109" s="638">
        <v>12</v>
      </c>
      <c r="B1109" s="625" t="e">
        <f>VLOOKUP(D1109,'[1]DS CN MOI UP'!$B$11:$C$447,2,0)</f>
        <v>#N/A</v>
      </c>
      <c r="C1109" s="626" t="s">
        <v>1350</v>
      </c>
      <c r="D1109" s="61" t="s">
        <v>688</v>
      </c>
      <c r="E1109" s="630" t="s">
        <v>15</v>
      </c>
      <c r="F1109" s="630"/>
      <c r="G1109" s="655"/>
      <c r="H1109" s="655">
        <v>635040.18900000001</v>
      </c>
      <c r="I1109" s="655">
        <v>524139.33600000001</v>
      </c>
      <c r="J1109" s="635">
        <f t="shared" si="45"/>
        <v>1159179.5249999999</v>
      </c>
      <c r="K1109" s="635"/>
      <c r="L1109" s="635"/>
      <c r="M1109" s="655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8">
        <v>13</v>
      </c>
      <c r="B1110" s="625" t="str">
        <f>VLOOKUP(D1110,'[1]DS CN MOI UP'!$B$11:$C$447,2,0)</f>
        <v>02431</v>
      </c>
      <c r="C1110" s="626" t="s">
        <v>1350</v>
      </c>
      <c r="D1110" s="61" t="s">
        <v>409</v>
      </c>
      <c r="E1110" s="630" t="s">
        <v>15</v>
      </c>
      <c r="F1110" s="630"/>
      <c r="G1110" s="655"/>
      <c r="H1110" s="655">
        <v>554373.09900000005</v>
      </c>
      <c r="I1110" s="655">
        <v>524139.33600000001</v>
      </c>
      <c r="J1110" s="635">
        <f t="shared" si="45"/>
        <v>1078512.4350000001</v>
      </c>
      <c r="K1110" s="635"/>
      <c r="L1110" s="635"/>
      <c r="M1110" s="655">
        <f t="shared" si="46"/>
        <v>1078512.4350000001</v>
      </c>
      <c r="N1110" s="61"/>
    </row>
    <row r="1111" spans="1:17" s="242" customFormat="1" ht="14.25" customHeight="1">
      <c r="A1111" s="638">
        <v>14</v>
      </c>
      <c r="B1111" s="625" t="e">
        <f>VLOOKUP(D1111,'[1]DS CN MOI UP'!$B$11:$C$447,2,0)</f>
        <v>#N/A</v>
      </c>
      <c r="C1111" s="626" t="s">
        <v>1350</v>
      </c>
      <c r="D1111" s="61" t="s">
        <v>689</v>
      </c>
      <c r="E1111" s="630" t="s">
        <v>15</v>
      </c>
      <c r="F1111" s="630"/>
      <c r="G1111" s="655">
        <v>500000</v>
      </c>
      <c r="H1111" s="655">
        <v>433438.04700000002</v>
      </c>
      <c r="I1111" s="655">
        <v>184104.59760000001</v>
      </c>
      <c r="J1111" s="635">
        <f t="shared" si="45"/>
        <v>1117542.6446</v>
      </c>
      <c r="K1111" s="635"/>
      <c r="L1111" s="635"/>
      <c r="M1111" s="655">
        <f t="shared" si="46"/>
        <v>1117542.6446</v>
      </c>
      <c r="N1111" s="61"/>
    </row>
    <row r="1112" spans="1:17" s="242" customFormat="1" ht="14.25" customHeight="1">
      <c r="A1112" s="638">
        <v>15</v>
      </c>
      <c r="B1112" s="625" t="e">
        <f>VLOOKUP(D1112,'[1]DS CN MOI UP'!$B$11:$C$447,2,0)</f>
        <v>#N/A</v>
      </c>
      <c r="C1112" s="626" t="s">
        <v>1350</v>
      </c>
      <c r="D1112" s="61" t="s">
        <v>1356</v>
      </c>
      <c r="E1112" s="630" t="s">
        <v>15</v>
      </c>
      <c r="F1112" s="630"/>
      <c r="G1112" s="655">
        <v>160000</v>
      </c>
      <c r="H1112" s="655">
        <v>383004.72</v>
      </c>
      <c r="I1112" s="655">
        <v>251034.90599999999</v>
      </c>
      <c r="J1112" s="635">
        <f t="shared" si="45"/>
        <v>794039.62599999993</v>
      </c>
      <c r="K1112" s="635"/>
      <c r="L1112" s="635"/>
      <c r="M1112" s="655">
        <f t="shared" si="46"/>
        <v>794039.62599999993</v>
      </c>
      <c r="N1112" s="61"/>
    </row>
    <row r="1113" spans="1:17" s="242" customFormat="1" ht="14.25" customHeight="1">
      <c r="A1113" s="638">
        <v>16</v>
      </c>
      <c r="B1113" s="625" t="str">
        <f>VLOOKUP(D1113,'[1]DS CN MOI UP'!$B$11:$C$447,2,0)</f>
        <v>02438</v>
      </c>
      <c r="C1113" s="626" t="s">
        <v>1350</v>
      </c>
      <c r="D1113" s="61" t="s">
        <v>419</v>
      </c>
      <c r="E1113" s="630" t="s">
        <v>15</v>
      </c>
      <c r="F1113" s="630"/>
      <c r="G1113" s="655"/>
      <c r="H1113" s="655">
        <v>312502.995</v>
      </c>
      <c r="I1113" s="655">
        <v>312502.995</v>
      </c>
      <c r="J1113" s="635">
        <f t="shared" si="45"/>
        <v>625005.99</v>
      </c>
      <c r="K1113" s="635"/>
      <c r="L1113" s="635"/>
      <c r="M1113" s="655">
        <f t="shared" si="46"/>
        <v>625005.99</v>
      </c>
      <c r="N1113" s="61"/>
    </row>
    <row r="1114" spans="1:17" s="242" customFormat="1" ht="14.25" customHeight="1">
      <c r="A1114" s="638">
        <v>17</v>
      </c>
      <c r="B1114" s="625" t="e">
        <f>VLOOKUP(D1114,'[1]DS CN MOI UP'!$B$11:$C$447,2,0)</f>
        <v>#N/A</v>
      </c>
      <c r="C1114" s="626" t="s">
        <v>1350</v>
      </c>
      <c r="D1114" s="61" t="s">
        <v>676</v>
      </c>
      <c r="E1114" s="630" t="s">
        <v>15</v>
      </c>
      <c r="F1114" s="630"/>
      <c r="G1114" s="655"/>
      <c r="H1114" s="655">
        <v>614840.625</v>
      </c>
      <c r="I1114" s="655">
        <v>614840.625</v>
      </c>
      <c r="J1114" s="635">
        <f t="shared" si="45"/>
        <v>1229681.25</v>
      </c>
      <c r="K1114" s="635"/>
      <c r="L1114" s="635"/>
      <c r="M1114" s="655">
        <f t="shared" si="46"/>
        <v>1229681.25</v>
      </c>
      <c r="N1114" s="61"/>
    </row>
    <row r="1115" spans="1:17" s="242" customFormat="1" ht="14.25" customHeight="1">
      <c r="A1115" s="638">
        <v>18</v>
      </c>
      <c r="B1115" s="625" t="e">
        <f>VLOOKUP(D1115,'[1]DS CN MOI UP'!$B$11:$C$447,2,0)</f>
        <v>#N/A</v>
      </c>
      <c r="C1115" s="626" t="s">
        <v>1350</v>
      </c>
      <c r="D1115" s="61" t="s">
        <v>690</v>
      </c>
      <c r="E1115" s="630" t="s">
        <v>15</v>
      </c>
      <c r="F1115" s="630"/>
      <c r="G1115" s="655"/>
      <c r="H1115" s="655">
        <v>554373.09900000005</v>
      </c>
      <c r="I1115" s="655">
        <v>554373.09900000005</v>
      </c>
      <c r="J1115" s="635">
        <f t="shared" si="45"/>
        <v>1108746.1980000001</v>
      </c>
      <c r="K1115" s="635"/>
      <c r="L1115" s="635"/>
      <c r="M1115" s="655">
        <f t="shared" si="46"/>
        <v>1108746.1980000001</v>
      </c>
      <c r="N1115" s="61"/>
    </row>
    <row r="1116" spans="1:17" s="242" customFormat="1" ht="14.25" customHeight="1">
      <c r="A1116" s="638">
        <v>19</v>
      </c>
      <c r="B1116" s="625" t="e">
        <f>VLOOKUP(D1116,'[1]DS CN MOI UP'!$B$11:$C$447,2,0)</f>
        <v>#N/A</v>
      </c>
      <c r="C1116" s="626" t="s">
        <v>1350</v>
      </c>
      <c r="D1116" s="61" t="s">
        <v>691</v>
      </c>
      <c r="E1116" s="630" t="s">
        <v>15</v>
      </c>
      <c r="F1116" s="630"/>
      <c r="G1116" s="655"/>
      <c r="H1116" s="655">
        <v>554373.09900000005</v>
      </c>
      <c r="I1116" s="655">
        <v>554373.09900000005</v>
      </c>
      <c r="J1116" s="635">
        <f t="shared" si="45"/>
        <v>1108746.1980000001</v>
      </c>
      <c r="K1116" s="635"/>
      <c r="L1116" s="635"/>
      <c r="M1116" s="655">
        <f t="shared" si="46"/>
        <v>1108746.1980000001</v>
      </c>
      <c r="N1116" s="61"/>
    </row>
    <row r="1117" spans="1:17" s="242" customFormat="1" ht="14.25" customHeight="1">
      <c r="A1117" s="638">
        <v>20</v>
      </c>
      <c r="B1117" s="625" t="e">
        <f>VLOOKUP(D1117,'[1]DS CN MOI UP'!$B$11:$C$447,2,0)</f>
        <v>#N/A</v>
      </c>
      <c r="C1117" s="626" t="s">
        <v>1350</v>
      </c>
      <c r="D1117" s="61" t="s">
        <v>1357</v>
      </c>
      <c r="E1117" s="630" t="s">
        <v>15</v>
      </c>
      <c r="F1117" s="630"/>
      <c r="G1117" s="655"/>
      <c r="H1117" s="655">
        <v>554373.09900000005</v>
      </c>
      <c r="I1117" s="655">
        <v>227087.081799999</v>
      </c>
      <c r="J1117" s="635">
        <f t="shared" si="45"/>
        <v>781460.18079999904</v>
      </c>
      <c r="K1117" s="635"/>
      <c r="L1117" s="635"/>
      <c r="M1117" s="655">
        <f t="shared" si="46"/>
        <v>781460.18079999904</v>
      </c>
      <c r="N1117" s="61"/>
    </row>
    <row r="1118" spans="1:17" s="242" customFormat="1" ht="14.25" customHeight="1">
      <c r="A1118" s="638">
        <v>21</v>
      </c>
      <c r="B1118" s="625" t="e">
        <f>VLOOKUP(D1118,'[1]DS CN MOI UP'!$B$11:$C$447,2,0)</f>
        <v>#N/A</v>
      </c>
      <c r="C1118" s="626" t="s">
        <v>1350</v>
      </c>
      <c r="D1118" s="61" t="s">
        <v>693</v>
      </c>
      <c r="E1118" s="630" t="s">
        <v>15</v>
      </c>
      <c r="F1118" s="630"/>
      <c r="G1118" s="655"/>
      <c r="H1118" s="655">
        <v>1189145.3259999999</v>
      </c>
      <c r="I1118" s="655"/>
      <c r="J1118" s="635">
        <f t="shared" si="45"/>
        <v>1189145.3259999999</v>
      </c>
      <c r="K1118" s="635"/>
      <c r="L1118" s="635"/>
      <c r="M1118" s="655">
        <f t="shared" si="46"/>
        <v>1189145.3259999999</v>
      </c>
      <c r="N1118" s="61"/>
    </row>
    <row r="1119" spans="1:17" s="242" customFormat="1" ht="14.25" customHeight="1">
      <c r="A1119" s="638">
        <v>22</v>
      </c>
      <c r="B1119" s="625" t="e">
        <f>VLOOKUP(D1119,'[1]DS CN MOI UP'!$B$11:$C$447,2,0)</f>
        <v>#N/A</v>
      </c>
      <c r="C1119" s="626" t="s">
        <v>1350</v>
      </c>
      <c r="D1119" s="61" t="s">
        <v>681</v>
      </c>
      <c r="E1119" s="630" t="s">
        <v>15</v>
      </c>
      <c r="F1119" s="630"/>
      <c r="G1119" s="655"/>
      <c r="H1119" s="655">
        <v>1249612.852</v>
      </c>
      <c r="I1119" s="655"/>
      <c r="J1119" s="635">
        <f t="shared" si="45"/>
        <v>1249612.852</v>
      </c>
      <c r="K1119" s="635"/>
      <c r="L1119" s="635"/>
      <c r="M1119" s="655">
        <f t="shared" si="46"/>
        <v>1249612.852</v>
      </c>
      <c r="N1119" s="61"/>
    </row>
    <row r="1120" spans="1:17" s="242" customFormat="1" ht="14.25" customHeight="1">
      <c r="A1120" s="638">
        <v>23</v>
      </c>
      <c r="B1120" s="625" t="e">
        <f>VLOOKUP(D1120,'[1]DS CN MOI UP'!$B$11:$C$447,2,0)</f>
        <v>#N/A</v>
      </c>
      <c r="C1120" s="626" t="s">
        <v>1350</v>
      </c>
      <c r="D1120" s="61" t="s">
        <v>694</v>
      </c>
      <c r="E1120" s="630" t="s">
        <v>15</v>
      </c>
      <c r="F1120" s="630"/>
      <c r="G1120" s="655"/>
      <c r="H1120" s="655">
        <v>1249612.852</v>
      </c>
      <c r="I1120" s="655"/>
      <c r="J1120" s="635">
        <f t="shared" si="45"/>
        <v>1249612.852</v>
      </c>
      <c r="K1120" s="635"/>
      <c r="L1120" s="635"/>
      <c r="M1120" s="655">
        <f t="shared" si="46"/>
        <v>1249612.852</v>
      </c>
      <c r="N1120" s="61"/>
    </row>
    <row r="1121" spans="1:14" s="242" customFormat="1" ht="14.25" customHeight="1">
      <c r="A1121" s="638">
        <v>24</v>
      </c>
      <c r="B1121" s="625" t="e">
        <f>VLOOKUP(D1121,'[1]DS CN MOI UP'!$B$11:$C$447,2,0)</f>
        <v>#N/A</v>
      </c>
      <c r="C1121" s="626" t="s">
        <v>1350</v>
      </c>
      <c r="D1121" s="61" t="s">
        <v>695</v>
      </c>
      <c r="E1121" s="630" t="s">
        <v>15</v>
      </c>
      <c r="F1121" s="630"/>
      <c r="G1121" s="655"/>
      <c r="H1121" s="655">
        <v>1249612.852</v>
      </c>
      <c r="I1121" s="655"/>
      <c r="J1121" s="635">
        <f t="shared" si="45"/>
        <v>1249612.852</v>
      </c>
      <c r="K1121" s="635"/>
      <c r="L1121" s="635"/>
      <c r="M1121" s="655">
        <f t="shared" si="46"/>
        <v>1249612.852</v>
      </c>
      <c r="N1121" s="61"/>
    </row>
    <row r="1122" spans="1:14" s="242" customFormat="1" ht="14.25" customHeight="1">
      <c r="A1122" s="638">
        <v>25</v>
      </c>
      <c r="B1122" s="625" t="e">
        <f>VLOOKUP(D1122,'[1]DS CN MOI UP'!$B$11:$C$447,2,0)</f>
        <v>#N/A</v>
      </c>
      <c r="C1122" s="626" t="s">
        <v>1350</v>
      </c>
      <c r="D1122" s="61" t="s">
        <v>1358</v>
      </c>
      <c r="E1122" s="630" t="s">
        <v>15</v>
      </c>
      <c r="F1122" s="630"/>
      <c r="G1122" s="655"/>
      <c r="H1122" s="655">
        <v>1249612.852</v>
      </c>
      <c r="I1122" s="655"/>
      <c r="J1122" s="635">
        <f t="shared" si="45"/>
        <v>1249612.852</v>
      </c>
      <c r="K1122" s="635"/>
      <c r="L1122" s="635"/>
      <c r="M1122" s="655">
        <f t="shared" si="46"/>
        <v>1249612.852</v>
      </c>
      <c r="N1122" s="61"/>
    </row>
    <row r="1123" spans="1:14" s="242" customFormat="1" ht="14.25" customHeight="1">
      <c r="A1123" s="638">
        <v>26</v>
      </c>
      <c r="B1123" s="625" t="e">
        <f>VLOOKUP(D1123,'[1]DS CN MOI UP'!$B$11:$C$447,2,0)</f>
        <v>#N/A</v>
      </c>
      <c r="C1123" s="626" t="s">
        <v>1350</v>
      </c>
      <c r="D1123" s="61" t="s">
        <v>696</v>
      </c>
      <c r="E1123" s="630" t="s">
        <v>15</v>
      </c>
      <c r="F1123" s="630"/>
      <c r="G1123" s="655"/>
      <c r="H1123" s="655">
        <v>1249612.852</v>
      </c>
      <c r="I1123" s="655"/>
      <c r="J1123" s="635">
        <f t="shared" si="45"/>
        <v>1249612.852</v>
      </c>
      <c r="K1123" s="635"/>
      <c r="L1123" s="635"/>
      <c r="M1123" s="655">
        <f t="shared" si="46"/>
        <v>1249612.852</v>
      </c>
      <c r="N1123" s="61"/>
    </row>
    <row r="1124" spans="1:14" s="242" customFormat="1" ht="14.25" customHeight="1">
      <c r="A1124" s="638">
        <v>27</v>
      </c>
      <c r="B1124" s="625" t="e">
        <f>VLOOKUP(D1124,'[1]DS CN MOI UP'!$B$11:$C$447,2,0)</f>
        <v>#N/A</v>
      </c>
      <c r="C1124" s="626" t="s">
        <v>1350</v>
      </c>
      <c r="D1124" s="61" t="s">
        <v>698</v>
      </c>
      <c r="E1124" s="630" t="s">
        <v>15</v>
      </c>
      <c r="F1124" s="630"/>
      <c r="G1124" s="655"/>
      <c r="H1124" s="655">
        <v>1249612.852</v>
      </c>
      <c r="I1124" s="655"/>
      <c r="J1124" s="635">
        <f t="shared" si="45"/>
        <v>1249612.852</v>
      </c>
      <c r="K1124" s="635"/>
      <c r="L1124" s="635"/>
      <c r="M1124" s="655">
        <f t="shared" si="46"/>
        <v>1249612.852</v>
      </c>
      <c r="N1124" s="61"/>
    </row>
    <row r="1125" spans="1:14" s="242" customFormat="1" ht="14.25" customHeight="1">
      <c r="A1125" s="638">
        <v>28</v>
      </c>
      <c r="B1125" s="625" t="e">
        <f>VLOOKUP(D1125,'[1]DS CN MOI UP'!$B$11:$C$447,2,0)</f>
        <v>#N/A</v>
      </c>
      <c r="C1125" s="626" t="s">
        <v>1350</v>
      </c>
      <c r="D1125" s="61" t="s">
        <v>699</v>
      </c>
      <c r="E1125" s="630" t="s">
        <v>15</v>
      </c>
      <c r="F1125" s="630"/>
      <c r="G1125" s="655"/>
      <c r="H1125" s="655">
        <v>1249612.852</v>
      </c>
      <c r="I1125" s="655"/>
      <c r="J1125" s="635">
        <f t="shared" si="45"/>
        <v>1249612.852</v>
      </c>
      <c r="K1125" s="635"/>
      <c r="L1125" s="635"/>
      <c r="M1125" s="655">
        <f t="shared" si="46"/>
        <v>1249612.852</v>
      </c>
      <c r="N1125" s="61"/>
    </row>
    <row r="1126" spans="1:14" s="242" customFormat="1" ht="14.25" customHeight="1">
      <c r="A1126" s="638">
        <v>29</v>
      </c>
      <c r="B1126" s="625" t="e">
        <f>VLOOKUP(D1126,'[1]DS CN MOI UP'!$B$11:$C$447,2,0)</f>
        <v>#N/A</v>
      </c>
      <c r="C1126" s="626" t="s">
        <v>1350</v>
      </c>
      <c r="D1126" s="61" t="s">
        <v>1359</v>
      </c>
      <c r="E1126" s="630" t="s">
        <v>15</v>
      </c>
      <c r="F1126" s="630"/>
      <c r="G1126" s="655"/>
      <c r="H1126" s="655">
        <v>589497.66819929006</v>
      </c>
      <c r="I1126" s="655">
        <v>518915.47499999998</v>
      </c>
      <c r="J1126" s="635">
        <f t="shared" si="45"/>
        <v>1108413.1431992901</v>
      </c>
      <c r="K1126" s="635"/>
      <c r="L1126" s="635"/>
      <c r="M1126" s="655">
        <f t="shared" si="46"/>
        <v>1108413.1431992901</v>
      </c>
      <c r="N1126" s="61"/>
    </row>
    <row r="1127" spans="1:14" s="242" customFormat="1" ht="14.25" customHeight="1">
      <c r="A1127" s="638">
        <v>30</v>
      </c>
      <c r="B1127" s="625" t="e">
        <f>VLOOKUP(D1127,'[1]DS CN MOI UP'!$B$11:$C$447,2,0)</f>
        <v>#N/A</v>
      </c>
      <c r="C1127" s="626" t="s">
        <v>1350</v>
      </c>
      <c r="D1127" s="61" t="s">
        <v>700</v>
      </c>
      <c r="E1127" s="630" t="s">
        <v>15</v>
      </c>
      <c r="F1127" s="630"/>
      <c r="G1127" s="655"/>
      <c r="H1127" s="655">
        <v>1249612.852</v>
      </c>
      <c r="I1127" s="655"/>
      <c r="J1127" s="635">
        <f t="shared" si="45"/>
        <v>1249612.852</v>
      </c>
      <c r="K1127" s="635"/>
      <c r="L1127" s="635"/>
      <c r="M1127" s="655">
        <f t="shared" si="46"/>
        <v>1249612.852</v>
      </c>
      <c r="N1127" s="61"/>
    </row>
    <row r="1128" spans="1:14" s="242" customFormat="1" ht="14.25" customHeight="1">
      <c r="A1128" s="638">
        <v>31</v>
      </c>
      <c r="B1128" s="625" t="e">
        <f>VLOOKUP(D1128,'[1]DS CN MOI UP'!$B$11:$C$447,2,0)</f>
        <v>#N/A</v>
      </c>
      <c r="C1128" s="626" t="s">
        <v>1350</v>
      </c>
      <c r="D1128" s="61" t="s">
        <v>701</v>
      </c>
      <c r="E1128" s="630" t="s">
        <v>15</v>
      </c>
      <c r="F1128" s="630"/>
      <c r="G1128" s="655"/>
      <c r="H1128" s="655">
        <v>1249612.852</v>
      </c>
      <c r="I1128" s="655"/>
      <c r="J1128" s="635">
        <f t="shared" si="45"/>
        <v>1249612.852</v>
      </c>
      <c r="K1128" s="635"/>
      <c r="L1128" s="635"/>
      <c r="M1128" s="655">
        <f t="shared" si="46"/>
        <v>1249612.852</v>
      </c>
      <c r="N1128" s="61"/>
    </row>
    <row r="1129" spans="1:14" s="242" customFormat="1" ht="14.25" customHeight="1">
      <c r="A1129" s="638">
        <v>32</v>
      </c>
      <c r="B1129" s="625" t="e">
        <f>VLOOKUP(D1129,'[1]DS CN MOI UP'!$B$11:$C$447,2,0)</f>
        <v>#N/A</v>
      </c>
      <c r="C1129" s="626" t="s">
        <v>1350</v>
      </c>
      <c r="D1129" s="61" t="s">
        <v>702</v>
      </c>
      <c r="E1129" s="630" t="s">
        <v>15</v>
      </c>
      <c r="F1129" s="630"/>
      <c r="G1129" s="655"/>
      <c r="H1129" s="655">
        <v>1249612.852</v>
      </c>
      <c r="I1129" s="655"/>
      <c r="J1129" s="635">
        <f t="shared" si="45"/>
        <v>1249612.852</v>
      </c>
      <c r="K1129" s="635"/>
      <c r="L1129" s="635"/>
      <c r="M1129" s="655">
        <f t="shared" si="46"/>
        <v>1249612.852</v>
      </c>
      <c r="N1129" s="61"/>
    </row>
    <row r="1130" spans="1:14" s="242" customFormat="1" ht="14.25" customHeight="1">
      <c r="A1130" s="638">
        <v>33</v>
      </c>
      <c r="B1130" s="625" t="str">
        <f>VLOOKUP(D1130,'[1]DS CN MOI UP'!$B$11:$C$447,2,0)</f>
        <v>02622</v>
      </c>
      <c r="C1130" s="626" t="s">
        <v>1350</v>
      </c>
      <c r="D1130" s="61" t="s">
        <v>314</v>
      </c>
      <c r="E1130" s="630" t="s">
        <v>15</v>
      </c>
      <c r="F1130" s="630"/>
      <c r="G1130" s="655"/>
      <c r="H1130" s="655">
        <v>1249612.852</v>
      </c>
      <c r="I1130" s="655"/>
      <c r="J1130" s="635">
        <f t="shared" si="45"/>
        <v>1249612.852</v>
      </c>
      <c r="K1130" s="635"/>
      <c r="L1130" s="635"/>
      <c r="M1130" s="655">
        <f t="shared" si="46"/>
        <v>1249612.852</v>
      </c>
      <c r="N1130" s="61"/>
    </row>
    <row r="1131" spans="1:14" s="242" customFormat="1" ht="14.25" customHeight="1">
      <c r="A1131" s="638">
        <v>34</v>
      </c>
      <c r="B1131" s="625" t="e">
        <f>VLOOKUP(D1131,'[1]DS CN MOI UP'!$B$11:$C$447,2,0)</f>
        <v>#N/A</v>
      </c>
      <c r="C1131" s="626" t="s">
        <v>1350</v>
      </c>
      <c r="D1131" s="61" t="s">
        <v>703</v>
      </c>
      <c r="E1131" s="630" t="s">
        <v>15</v>
      </c>
      <c r="F1131" s="630"/>
      <c r="G1131" s="655"/>
      <c r="H1131" s="655">
        <v>498591.54184917902</v>
      </c>
      <c r="I1131" s="655">
        <v>740006.69399999804</v>
      </c>
      <c r="J1131" s="635">
        <f t="shared" si="45"/>
        <v>1238598.235849177</v>
      </c>
      <c r="K1131" s="635"/>
      <c r="L1131" s="635"/>
      <c r="M1131" s="655">
        <f t="shared" si="46"/>
        <v>1238598.235849177</v>
      </c>
      <c r="N1131" s="61"/>
    </row>
    <row r="1132" spans="1:14" s="242" customFormat="1" ht="14.25" customHeight="1">
      <c r="A1132" s="638">
        <v>35</v>
      </c>
      <c r="B1132" s="625" t="e">
        <f>VLOOKUP(D1132,'[1]DS CN MOI UP'!$B$11:$C$447,2,0)</f>
        <v>#N/A</v>
      </c>
      <c r="C1132" s="626" t="s">
        <v>1350</v>
      </c>
      <c r="D1132" s="61" t="s">
        <v>704</v>
      </c>
      <c r="E1132" s="630" t="s">
        <v>15</v>
      </c>
      <c r="F1132" s="630"/>
      <c r="G1132" s="655"/>
      <c r="H1132" s="655"/>
      <c r="I1132" s="655">
        <v>1256564.8</v>
      </c>
      <c r="J1132" s="635">
        <f t="shared" ref="J1132:J1140" si="47">SUM(G1132:I1132)</f>
        <v>1256564.8</v>
      </c>
      <c r="K1132" s="635"/>
      <c r="L1132" s="635"/>
      <c r="M1132" s="655">
        <f t="shared" ref="M1132:M1139" si="48">J1132-L1132</f>
        <v>1256564.8</v>
      </c>
      <c r="N1132" s="61"/>
    </row>
    <row r="1133" spans="1:14" s="242" customFormat="1" ht="14.25" customHeight="1">
      <c r="A1133" s="638">
        <v>36</v>
      </c>
      <c r="B1133" s="625" t="e">
        <f>VLOOKUP(D1133,'[1]DS CN MOI UP'!$B$11:$C$447,2,0)</f>
        <v>#N/A</v>
      </c>
      <c r="C1133" s="626" t="s">
        <v>1350</v>
      </c>
      <c r="D1133" s="61" t="s">
        <v>705</v>
      </c>
      <c r="E1133" s="630" t="s">
        <v>15</v>
      </c>
      <c r="F1133" s="630"/>
      <c r="G1133" s="655"/>
      <c r="H1133" s="655">
        <v>1270080.378</v>
      </c>
      <c r="I1133" s="655"/>
      <c r="J1133" s="635">
        <f t="shared" si="47"/>
        <v>1270080.378</v>
      </c>
      <c r="K1133" s="635"/>
      <c r="L1133" s="635"/>
      <c r="M1133" s="655">
        <f t="shared" si="48"/>
        <v>1270080.378</v>
      </c>
      <c r="N1133" s="61"/>
    </row>
    <row r="1134" spans="1:14" s="242" customFormat="1" ht="14.25" customHeight="1">
      <c r="A1134" s="638">
        <v>37</v>
      </c>
      <c r="B1134" s="625" t="e">
        <f>VLOOKUP(D1134,'[1]DS CN MOI UP'!$B$11:$C$447,2,0)</f>
        <v>#N/A</v>
      </c>
      <c r="C1134" s="626" t="s">
        <v>1350</v>
      </c>
      <c r="D1134" s="61" t="s">
        <v>706</v>
      </c>
      <c r="E1134" s="630" t="s">
        <v>15</v>
      </c>
      <c r="F1134" s="630"/>
      <c r="G1134" s="655"/>
      <c r="H1134" s="655">
        <v>1138979.9609999999</v>
      </c>
      <c r="I1134" s="655"/>
      <c r="J1134" s="635">
        <f t="shared" si="47"/>
        <v>1138979.9609999999</v>
      </c>
      <c r="K1134" s="635"/>
      <c r="L1134" s="635"/>
      <c r="M1134" s="655">
        <f t="shared" si="48"/>
        <v>1138979.9609999999</v>
      </c>
      <c r="N1134" s="61"/>
    </row>
    <row r="1135" spans="1:14" s="242" customFormat="1" ht="14.25" customHeight="1">
      <c r="A1135" s="638">
        <v>38</v>
      </c>
      <c r="B1135" s="625" t="e">
        <f>VLOOKUP(D1135,'[1]DS CN MOI UP'!$B$11:$C$447,2,0)</f>
        <v>#N/A</v>
      </c>
      <c r="C1135" s="626" t="s">
        <v>1350</v>
      </c>
      <c r="D1135" s="61" t="s">
        <v>707</v>
      </c>
      <c r="E1135" s="630" t="s">
        <v>15</v>
      </c>
      <c r="F1135" s="630"/>
      <c r="G1135" s="655"/>
      <c r="H1135" s="655">
        <v>1108746.1980000001</v>
      </c>
      <c r="I1135" s="655"/>
      <c r="J1135" s="635">
        <f t="shared" si="47"/>
        <v>1108746.1980000001</v>
      </c>
      <c r="K1135" s="635"/>
      <c r="L1135" s="635"/>
      <c r="M1135" s="655">
        <f t="shared" si="48"/>
        <v>1108746.1980000001</v>
      </c>
      <c r="N1135" s="61"/>
    </row>
    <row r="1136" spans="1:14" s="242" customFormat="1" ht="14.25" customHeight="1">
      <c r="A1136" s="638">
        <v>39</v>
      </c>
      <c r="B1136" s="625" t="e">
        <f>VLOOKUP(D1136,'[1]DS CN MOI UP'!$B$11:$C$447,2,0)</f>
        <v>#N/A</v>
      </c>
      <c r="C1136" s="626" t="s">
        <v>1350</v>
      </c>
      <c r="D1136" s="61" t="s">
        <v>709</v>
      </c>
      <c r="E1136" s="630" t="s">
        <v>15</v>
      </c>
      <c r="F1136" s="630"/>
      <c r="G1136" s="655"/>
      <c r="H1136" s="655"/>
      <c r="I1136" s="655">
        <v>1159179.5249999999</v>
      </c>
      <c r="J1136" s="635">
        <f t="shared" si="47"/>
        <v>1159179.5249999999</v>
      </c>
      <c r="K1136" s="635"/>
      <c r="L1136" s="635"/>
      <c r="M1136" s="655">
        <f t="shared" si="48"/>
        <v>1159179.5249999999</v>
      </c>
      <c r="N1136" s="61"/>
    </row>
    <row r="1137" spans="1:18" s="242" customFormat="1" ht="14.25" customHeight="1">
      <c r="A1137" s="638">
        <v>40</v>
      </c>
      <c r="B1137" s="625" t="e">
        <f>VLOOKUP(D1137,'[1]DS CN MOI UP'!$B$11:$C$447,2,0)</f>
        <v>#N/A</v>
      </c>
      <c r="C1137" s="626" t="s">
        <v>1350</v>
      </c>
      <c r="D1137" s="61" t="s">
        <v>710</v>
      </c>
      <c r="E1137" s="630" t="s">
        <v>15</v>
      </c>
      <c r="F1137" s="630"/>
      <c r="G1137" s="655"/>
      <c r="H1137" s="655"/>
      <c r="I1137" s="655">
        <v>1270080.378</v>
      </c>
      <c r="J1137" s="635">
        <f t="shared" si="47"/>
        <v>1270080.378</v>
      </c>
      <c r="K1137" s="635"/>
      <c r="L1137" s="635"/>
      <c r="M1137" s="655">
        <f t="shared" si="48"/>
        <v>1270080.378</v>
      </c>
      <c r="N1137" s="61"/>
    </row>
    <row r="1138" spans="1:18" s="242" customFormat="1" ht="14.25" customHeight="1">
      <c r="A1138" s="638">
        <v>41</v>
      </c>
      <c r="B1138" s="625" t="e">
        <f>VLOOKUP(D1138,'[1]DS CN MOI UP'!$B$11:$C$447,2,0)</f>
        <v>#N/A</v>
      </c>
      <c r="C1138" s="626" t="s">
        <v>1350</v>
      </c>
      <c r="D1138" s="61" t="s">
        <v>708</v>
      </c>
      <c r="E1138" s="630" t="s">
        <v>15</v>
      </c>
      <c r="F1138" s="630"/>
      <c r="G1138" s="655"/>
      <c r="H1138" s="655"/>
      <c r="I1138" s="655">
        <v>1270080.378</v>
      </c>
      <c r="J1138" s="635">
        <f t="shared" si="47"/>
        <v>1270080.378</v>
      </c>
      <c r="K1138" s="635"/>
      <c r="L1138" s="635"/>
      <c r="M1138" s="655">
        <f t="shared" si="48"/>
        <v>1270080.378</v>
      </c>
      <c r="N1138" s="61"/>
    </row>
    <row r="1139" spans="1:18" s="242" customFormat="1" ht="14.25" customHeight="1">
      <c r="A1139" s="638">
        <v>42</v>
      </c>
      <c r="B1139" s="625" t="str">
        <f>VLOOKUP(D1139,'[1]DS CN MOI UP'!$B$11:$C$447,2,0)</f>
        <v>02691</v>
      </c>
      <c r="C1139" s="626" t="s">
        <v>1350</v>
      </c>
      <c r="D1139" s="61" t="s">
        <v>182</v>
      </c>
      <c r="E1139" s="630" t="s">
        <v>15</v>
      </c>
      <c r="F1139" s="630"/>
      <c r="G1139" s="655">
        <v>417412.46574536501</v>
      </c>
      <c r="H1139" s="655"/>
      <c r="I1139" s="655">
        <v>689000</v>
      </c>
      <c r="J1139" s="635">
        <f t="shared" si="47"/>
        <v>1106412.465745365</v>
      </c>
      <c r="K1139" s="635"/>
      <c r="L1139" s="635"/>
      <c r="M1139" s="655">
        <f t="shared" si="48"/>
        <v>1106412.465745365</v>
      </c>
      <c r="N1139" s="61"/>
    </row>
    <row r="1140" spans="1:18" s="242" customFormat="1" ht="14.25" customHeight="1">
      <c r="A1140" s="638">
        <v>43</v>
      </c>
      <c r="B1140" s="625" t="str">
        <f>VLOOKUP(D1140,'[1]DS CN MOI UP'!$B$11:$C$447,2,0)</f>
        <v>03850</v>
      </c>
      <c r="C1140" s="626" t="s">
        <v>1350</v>
      </c>
      <c r="D1140" s="61" t="s">
        <v>449</v>
      </c>
      <c r="E1140" s="630" t="s">
        <v>15</v>
      </c>
      <c r="F1140" s="630"/>
      <c r="G1140" s="655"/>
      <c r="H1140" s="655">
        <v>1185365.55905238</v>
      </c>
      <c r="I1140" s="655">
        <v>18875.910000000102</v>
      </c>
      <c r="J1140" s="635">
        <f t="shared" si="47"/>
        <v>1204241.4690523802</v>
      </c>
      <c r="K1140" s="635"/>
      <c r="L1140" s="635"/>
      <c r="M1140" s="655">
        <f t="shared" si="46"/>
        <v>1204241.4690523802</v>
      </c>
      <c r="N1140" s="61"/>
    </row>
    <row r="1141" spans="1:18" s="242" customFormat="1" ht="14.25" customHeight="1">
      <c r="A1141" s="628" t="s">
        <v>1360</v>
      </c>
      <c r="B1141" s="625" t="e">
        <f>VLOOKUP(A1141,'[1]DS CN MOI UP'!$B$11:$C$447,2,0)</f>
        <v>#N/A</v>
      </c>
      <c r="C1141" s="628"/>
      <c r="E1141" s="628"/>
      <c r="F1141" s="628"/>
      <c r="G1141" s="651">
        <f t="shared" ref="G1141:M1141" si="49">SUM(G1098:G1140)</f>
        <v>1540000</v>
      </c>
      <c r="H1141" s="651">
        <f t="shared" si="49"/>
        <v>31544945.218700837</v>
      </c>
      <c r="I1141" s="651">
        <f t="shared" si="49"/>
        <v>15791458</v>
      </c>
      <c r="J1141" s="651">
        <f t="shared" si="49"/>
        <v>48876403.218700841</v>
      </c>
      <c r="K1141" s="651">
        <f t="shared" si="49"/>
        <v>0</v>
      </c>
      <c r="L1141" s="651">
        <f t="shared" si="49"/>
        <v>0</v>
      </c>
      <c r="M1141" s="651">
        <f t="shared" si="49"/>
        <v>48876403.218700841</v>
      </c>
      <c r="N1141" s="656"/>
      <c r="O1141" s="636" t="e">
        <f>#REF!</f>
        <v>#REF!</v>
      </c>
      <c r="P1141" s="636" t="e">
        <f>#REF!</f>
        <v>#REF!</v>
      </c>
      <c r="Q1141" s="636" t="e">
        <f>#REF!</f>
        <v>#REF!</v>
      </c>
    </row>
    <row r="1142" spans="1:18" s="242" customFormat="1" ht="14.25" customHeight="1">
      <c r="A1142" s="638">
        <v>1</v>
      </c>
      <c r="B1142" s="625" t="e">
        <f>VLOOKUP(D1142,'[1]DS CN MOI UP'!$B$11:$C$447,2,0)</f>
        <v>#N/A</v>
      </c>
      <c r="C1142" s="626" t="s">
        <v>1350</v>
      </c>
      <c r="D1142" s="61" t="s">
        <v>1361</v>
      </c>
      <c r="E1142" s="630" t="s">
        <v>15</v>
      </c>
      <c r="F1142" s="630"/>
      <c r="G1142" s="655"/>
      <c r="H1142" s="655">
        <v>635040.18900000001</v>
      </c>
      <c r="I1142" s="655">
        <v>524139.33600000001</v>
      </c>
      <c r="J1142" s="635">
        <f t="shared" si="45"/>
        <v>1159179.5249999999</v>
      </c>
      <c r="K1142" s="635"/>
      <c r="L1142" s="635"/>
      <c r="M1142" s="655">
        <f t="shared" ref="M1142:M1170" si="50">J1142-L1142</f>
        <v>1159179.5249999999</v>
      </c>
      <c r="N1142" s="61"/>
      <c r="O1142" s="636" t="e">
        <f>+O1141-G1141</f>
        <v>#REF!</v>
      </c>
      <c r="P1142" s="636" t="e">
        <f>+P1141-H1141</f>
        <v>#REF!</v>
      </c>
      <c r="Q1142" s="636" t="e">
        <f>+Q1141-I1141</f>
        <v>#REF!</v>
      </c>
    </row>
    <row r="1143" spans="1:18" s="242" customFormat="1" ht="14.25" customHeight="1">
      <c r="A1143" s="638">
        <v>2</v>
      </c>
      <c r="B1143" s="625" t="e">
        <f>VLOOKUP(D1143,'[1]DS CN MOI UP'!$B$11:$C$447,2,0)</f>
        <v>#N/A</v>
      </c>
      <c r="C1143" s="626" t="s">
        <v>1350</v>
      </c>
      <c r="D1143" s="61" t="s">
        <v>714</v>
      </c>
      <c r="E1143" s="630" t="s">
        <v>15</v>
      </c>
      <c r="F1143" s="630"/>
      <c r="G1143" s="655"/>
      <c r="H1143" s="655">
        <v>635040.18900000001</v>
      </c>
      <c r="I1143" s="655">
        <v>524139.33600000001</v>
      </c>
      <c r="J1143" s="635">
        <f t="shared" si="45"/>
        <v>1159179.5249999999</v>
      </c>
      <c r="K1143" s="635"/>
      <c r="L1143" s="635"/>
      <c r="M1143" s="655">
        <f t="shared" si="50"/>
        <v>1159179.5249999999</v>
      </c>
      <c r="N1143" s="61"/>
    </row>
    <row r="1144" spans="1:18" s="242" customFormat="1" ht="14.25" customHeight="1">
      <c r="A1144" s="638">
        <v>3</v>
      </c>
      <c r="B1144" s="625" t="e">
        <f>VLOOKUP(D1144,'[1]DS CN MOI UP'!$B$11:$C$447,2,0)</f>
        <v>#N/A</v>
      </c>
      <c r="C1144" s="626" t="s">
        <v>1350</v>
      </c>
      <c r="D1144" s="61" t="s">
        <v>715</v>
      </c>
      <c r="E1144" s="630" t="s">
        <v>15</v>
      </c>
      <c r="F1144" s="630"/>
      <c r="G1144" s="655"/>
      <c r="H1144" s="655">
        <v>554373.09900000005</v>
      </c>
      <c r="I1144" s="655">
        <v>524139.33600000001</v>
      </c>
      <c r="J1144" s="635">
        <f t="shared" si="45"/>
        <v>1078512.4350000001</v>
      </c>
      <c r="K1144" s="635"/>
      <c r="L1144" s="635"/>
      <c r="M1144" s="655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8">
        <v>4</v>
      </c>
      <c r="B1145" s="625" t="e">
        <f>VLOOKUP(D1145,'[1]DS CN MOI UP'!$B$11:$C$447,2,0)</f>
        <v>#N/A</v>
      </c>
      <c r="C1145" s="626" t="s">
        <v>1350</v>
      </c>
      <c r="D1145" s="61" t="s">
        <v>716</v>
      </c>
      <c r="E1145" s="630" t="s">
        <v>15</v>
      </c>
      <c r="F1145" s="630"/>
      <c r="G1145" s="655"/>
      <c r="H1145" s="655">
        <v>789516.939600004</v>
      </c>
      <c r="I1145" s="655">
        <v>184104.59760000001</v>
      </c>
      <c r="J1145" s="635">
        <f t="shared" si="45"/>
        <v>973621.53720000398</v>
      </c>
      <c r="K1145" s="635"/>
      <c r="L1145" s="635"/>
      <c r="M1145" s="655">
        <f t="shared" si="50"/>
        <v>973621.53720000398</v>
      </c>
      <c r="N1145" s="61"/>
      <c r="O1145" s="636" t="e">
        <f>+O1141-O1144</f>
        <v>#REF!</v>
      </c>
      <c r="P1145" s="636" t="e">
        <f t="shared" ref="P1145:R1145" si="51">+P1141-P1144</f>
        <v>#REF!</v>
      </c>
      <c r="Q1145" s="636" t="e">
        <f t="shared" si="51"/>
        <v>#REF!</v>
      </c>
      <c r="R1145" s="636">
        <f t="shared" si="51"/>
        <v>-48400413.459393799</v>
      </c>
    </row>
    <row r="1146" spans="1:18" s="242" customFormat="1" ht="14.25" customHeight="1">
      <c r="A1146" s="638">
        <v>5</v>
      </c>
      <c r="B1146" s="625" t="e">
        <f>VLOOKUP(D1146,'[1]DS CN MOI UP'!$B$11:$C$447,2,0)</f>
        <v>#N/A</v>
      </c>
      <c r="C1146" s="626" t="s">
        <v>1350</v>
      </c>
      <c r="D1146" s="61" t="s">
        <v>717</v>
      </c>
      <c r="E1146" s="630" t="s">
        <v>15</v>
      </c>
      <c r="F1146" s="630"/>
      <c r="G1146" s="655">
        <v>420000</v>
      </c>
      <c r="H1146" s="655">
        <v>383004.72</v>
      </c>
      <c r="I1146" s="655">
        <v>251034.90599999999</v>
      </c>
      <c r="J1146" s="635">
        <f t="shared" si="45"/>
        <v>1054039.6259999999</v>
      </c>
      <c r="K1146" s="635"/>
      <c r="L1146" s="635"/>
      <c r="M1146" s="655">
        <f t="shared" si="50"/>
        <v>1054039.6259999999</v>
      </c>
      <c r="N1146" s="61"/>
    </row>
    <row r="1147" spans="1:18" s="242" customFormat="1" ht="14.25" customHeight="1">
      <c r="A1147" s="638">
        <v>6</v>
      </c>
      <c r="B1147" s="625" t="e">
        <f>VLOOKUP(D1147,'[1]DS CN MOI UP'!$B$11:$C$447,2,0)</f>
        <v>#N/A</v>
      </c>
      <c r="C1147" s="626" t="s">
        <v>1350</v>
      </c>
      <c r="D1147" s="61" t="s">
        <v>718</v>
      </c>
      <c r="E1147" s="630" t="s">
        <v>15</v>
      </c>
      <c r="F1147" s="630"/>
      <c r="G1147" s="655">
        <v>560000</v>
      </c>
      <c r="H1147" s="655">
        <v>312502.995</v>
      </c>
      <c r="I1147" s="655">
        <v>312502.995</v>
      </c>
      <c r="J1147" s="635">
        <f t="shared" si="45"/>
        <v>1185005.99</v>
      </c>
      <c r="K1147" s="635"/>
      <c r="L1147" s="635"/>
      <c r="M1147" s="655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8">
        <v>7</v>
      </c>
      <c r="B1148" s="625" t="str">
        <f>VLOOKUP(D1148,'[1]DS CN MOI UP'!$B$11:$C$447,2,0)</f>
        <v>02433</v>
      </c>
      <c r="C1148" s="626" t="s">
        <v>1350</v>
      </c>
      <c r="D1148" s="61" t="s">
        <v>391</v>
      </c>
      <c r="E1148" s="630" t="s">
        <v>15</v>
      </c>
      <c r="F1148" s="630"/>
      <c r="G1148" s="655"/>
      <c r="H1148" s="655">
        <v>614840.625</v>
      </c>
      <c r="I1148" s="655">
        <v>614840.625</v>
      </c>
      <c r="J1148" s="635">
        <f t="shared" si="45"/>
        <v>1229681.25</v>
      </c>
      <c r="K1148" s="635"/>
      <c r="L1148" s="635"/>
      <c r="M1148" s="655">
        <f t="shared" si="50"/>
        <v>1229681.25</v>
      </c>
      <c r="N1148" s="61"/>
    </row>
    <row r="1149" spans="1:18" s="242" customFormat="1" ht="14.25" customHeight="1">
      <c r="A1149" s="638">
        <v>8</v>
      </c>
      <c r="B1149" s="625" t="e">
        <f>VLOOKUP(D1149,'[1]DS CN MOI UP'!$B$11:$C$447,2,0)</f>
        <v>#N/A</v>
      </c>
      <c r="C1149" s="626" t="s">
        <v>1350</v>
      </c>
      <c r="D1149" s="61" t="s">
        <v>720</v>
      </c>
      <c r="E1149" s="630" t="s">
        <v>15</v>
      </c>
      <c r="F1149" s="630"/>
      <c r="G1149" s="655"/>
      <c r="H1149" s="655">
        <v>554373.09900000005</v>
      </c>
      <c r="I1149" s="655">
        <v>554373.09900000005</v>
      </c>
      <c r="J1149" s="635">
        <f t="shared" si="45"/>
        <v>1108746.1980000001</v>
      </c>
      <c r="K1149" s="635"/>
      <c r="L1149" s="635"/>
      <c r="M1149" s="655">
        <f t="shared" si="50"/>
        <v>1108746.1980000001</v>
      </c>
      <c r="N1149" s="61"/>
    </row>
    <row r="1150" spans="1:18" s="242" customFormat="1" ht="14.25" customHeight="1">
      <c r="A1150" s="638">
        <v>9</v>
      </c>
      <c r="B1150" s="625" t="e">
        <f>VLOOKUP(D1150,'[1]DS CN MOI UP'!$B$11:$C$447,2,0)</f>
        <v>#N/A</v>
      </c>
      <c r="C1150" s="626" t="s">
        <v>1350</v>
      </c>
      <c r="D1150" s="61" t="s">
        <v>721</v>
      </c>
      <c r="E1150" s="630" t="s">
        <v>15</v>
      </c>
      <c r="F1150" s="630"/>
      <c r="G1150" s="655"/>
      <c r="H1150" s="655">
        <v>554373.09900000005</v>
      </c>
      <c r="I1150" s="655">
        <v>554373.09900000005</v>
      </c>
      <c r="J1150" s="635">
        <f t="shared" si="45"/>
        <v>1108746.1980000001</v>
      </c>
      <c r="K1150" s="635"/>
      <c r="L1150" s="635"/>
      <c r="M1150" s="655">
        <f t="shared" si="50"/>
        <v>1108746.1980000001</v>
      </c>
      <c r="N1150" s="61"/>
    </row>
    <row r="1151" spans="1:18" s="242" customFormat="1" ht="14.25" customHeight="1">
      <c r="A1151" s="638">
        <v>10</v>
      </c>
      <c r="B1151" s="625" t="e">
        <f>VLOOKUP(D1151,'[1]DS CN MOI UP'!$B$11:$C$447,2,0)</f>
        <v>#N/A</v>
      </c>
      <c r="C1151" s="626" t="s">
        <v>1350</v>
      </c>
      <c r="D1151" s="61" t="s">
        <v>722</v>
      </c>
      <c r="E1151" s="630" t="s">
        <v>15</v>
      </c>
      <c r="F1151" s="630"/>
      <c r="G1151" s="655"/>
      <c r="H1151" s="655">
        <v>554373.09900000005</v>
      </c>
      <c r="I1151" s="655">
        <v>554373.09900000005</v>
      </c>
      <c r="J1151" s="635">
        <f t="shared" si="45"/>
        <v>1108746.1980000001</v>
      </c>
      <c r="K1151" s="635"/>
      <c r="L1151" s="635"/>
      <c r="M1151" s="655">
        <f t="shared" si="50"/>
        <v>1108746.1980000001</v>
      </c>
      <c r="N1151" s="61"/>
    </row>
    <row r="1152" spans="1:18" s="242" customFormat="1" ht="14.25" customHeight="1">
      <c r="A1152" s="638">
        <v>11</v>
      </c>
      <c r="B1152" s="625" t="str">
        <f>VLOOKUP(D1152,'[1]DS CN MOI UP'!$B$11:$C$447,2,0)</f>
        <v>03428</v>
      </c>
      <c r="C1152" s="626" t="s">
        <v>1350</v>
      </c>
      <c r="D1152" s="61" t="s">
        <v>388</v>
      </c>
      <c r="E1152" s="630" t="s">
        <v>15</v>
      </c>
      <c r="F1152" s="630"/>
      <c r="G1152" s="655"/>
      <c r="H1152" s="655">
        <v>635040.18900000001</v>
      </c>
      <c r="I1152" s="655">
        <v>524139.33600000001</v>
      </c>
      <c r="J1152" s="635">
        <f t="shared" si="45"/>
        <v>1159179.5249999999</v>
      </c>
      <c r="K1152" s="635"/>
      <c r="L1152" s="635"/>
      <c r="M1152" s="655">
        <f t="shared" si="50"/>
        <v>1159179.5249999999</v>
      </c>
      <c r="N1152" s="61"/>
    </row>
    <row r="1153" spans="1:14" s="242" customFormat="1" ht="14.25" customHeight="1">
      <c r="A1153" s="638">
        <v>12</v>
      </c>
      <c r="B1153" s="625" t="e">
        <f>VLOOKUP(D1153,'[1]DS CN MOI UP'!$B$11:$C$447,2,0)</f>
        <v>#N/A</v>
      </c>
      <c r="C1153" s="626" t="s">
        <v>1350</v>
      </c>
      <c r="D1153" s="61" t="s">
        <v>724</v>
      </c>
      <c r="E1153" s="630" t="s">
        <v>15</v>
      </c>
      <c r="F1153" s="630"/>
      <c r="G1153" s="655"/>
      <c r="H1153" s="655">
        <v>635040.18900000001</v>
      </c>
      <c r="I1153" s="655">
        <v>524139.33600000001</v>
      </c>
      <c r="J1153" s="635">
        <f t="shared" si="45"/>
        <v>1159179.5249999999</v>
      </c>
      <c r="K1153" s="635"/>
      <c r="L1153" s="635"/>
      <c r="M1153" s="655">
        <f t="shared" si="50"/>
        <v>1159179.5249999999</v>
      </c>
      <c r="N1153" s="61"/>
    </row>
    <row r="1154" spans="1:14" s="242" customFormat="1" ht="14.25" customHeight="1">
      <c r="A1154" s="638">
        <v>13</v>
      </c>
      <c r="B1154" s="625" t="e">
        <f>VLOOKUP(D1154,'[1]DS CN MOI UP'!$B$11:$C$447,2,0)</f>
        <v>#N/A</v>
      </c>
      <c r="C1154" s="626" t="s">
        <v>1350</v>
      </c>
      <c r="D1154" s="61" t="s">
        <v>1362</v>
      </c>
      <c r="E1154" s="630" t="s">
        <v>15</v>
      </c>
      <c r="F1154" s="630"/>
      <c r="G1154" s="655"/>
      <c r="H1154" s="655">
        <v>554373.09900000005</v>
      </c>
      <c r="I1154" s="655">
        <v>524139.33600000001</v>
      </c>
      <c r="J1154" s="635">
        <f t="shared" si="45"/>
        <v>1078512.4350000001</v>
      </c>
      <c r="K1154" s="635"/>
      <c r="L1154" s="635"/>
      <c r="M1154" s="655">
        <f t="shared" si="50"/>
        <v>1078512.4350000001</v>
      </c>
      <c r="N1154" s="61"/>
    </row>
    <row r="1155" spans="1:14" s="242" customFormat="1" ht="14.25" customHeight="1">
      <c r="A1155" s="638">
        <v>14</v>
      </c>
      <c r="B1155" s="625" t="e">
        <f>VLOOKUP(D1155,'[1]DS CN MOI UP'!$B$11:$C$447,2,0)</f>
        <v>#N/A</v>
      </c>
      <c r="C1155" s="626" t="s">
        <v>1350</v>
      </c>
      <c r="D1155" s="61" t="s">
        <v>725</v>
      </c>
      <c r="E1155" s="630" t="s">
        <v>15</v>
      </c>
      <c r="F1155" s="630"/>
      <c r="G1155" s="655"/>
      <c r="H1155" s="655">
        <v>989516.939600004</v>
      </c>
      <c r="I1155" s="655">
        <v>184104.59760000001</v>
      </c>
      <c r="J1155" s="635">
        <f t="shared" si="45"/>
        <v>1173621.5372000041</v>
      </c>
      <c r="K1155" s="635"/>
      <c r="L1155" s="635"/>
      <c r="M1155" s="655">
        <f t="shared" si="50"/>
        <v>1173621.5372000041</v>
      </c>
      <c r="N1155" s="61"/>
    </row>
    <row r="1156" spans="1:14" s="242" customFormat="1" ht="14.25" customHeight="1">
      <c r="A1156" s="638">
        <v>15</v>
      </c>
      <c r="B1156" s="625" t="e">
        <f>VLOOKUP(D1156,'[1]DS CN MOI UP'!$B$11:$C$447,2,0)</f>
        <v>#N/A</v>
      </c>
      <c r="C1156" s="626" t="s">
        <v>1350</v>
      </c>
      <c r="D1156" s="61" t="s">
        <v>726</v>
      </c>
      <c r="E1156" s="630" t="s">
        <v>15</v>
      </c>
      <c r="F1156" s="630"/>
      <c r="G1156" s="655"/>
      <c r="H1156" s="655">
        <v>983004.72</v>
      </c>
      <c r="I1156" s="655">
        <v>53101.445999999101</v>
      </c>
      <c r="J1156" s="635">
        <f t="shared" si="45"/>
        <v>1036106.165999999</v>
      </c>
      <c r="K1156" s="635"/>
      <c r="L1156" s="635"/>
      <c r="M1156" s="655">
        <f t="shared" si="50"/>
        <v>1036106.165999999</v>
      </c>
      <c r="N1156" s="61"/>
    </row>
    <row r="1157" spans="1:14" s="242" customFormat="1" ht="14.25" customHeight="1">
      <c r="A1157" s="638">
        <v>16</v>
      </c>
      <c r="B1157" s="625" t="e">
        <f>VLOOKUP(D1157,'[1]DS CN MOI UP'!$B$11:$C$447,2,0)</f>
        <v>#N/A</v>
      </c>
      <c r="C1157" s="626" t="s">
        <v>1350</v>
      </c>
      <c r="D1157" s="61" t="s">
        <v>727</v>
      </c>
      <c r="E1157" s="630" t="s">
        <v>15</v>
      </c>
      <c r="F1157" s="630"/>
      <c r="G1157" s="655"/>
      <c r="H1157" s="655">
        <v>635040.18900000001</v>
      </c>
      <c r="I1157" s="655">
        <v>524139.33600000001</v>
      </c>
      <c r="J1157" s="635">
        <f t="shared" si="45"/>
        <v>1159179.5249999999</v>
      </c>
      <c r="K1157" s="635"/>
      <c r="L1157" s="635"/>
      <c r="M1157" s="655">
        <f t="shared" si="50"/>
        <v>1159179.5249999999</v>
      </c>
      <c r="N1157" s="61"/>
    </row>
    <row r="1158" spans="1:14" s="242" customFormat="1" ht="14.25" customHeight="1">
      <c r="A1158" s="638">
        <v>17</v>
      </c>
      <c r="B1158" s="625" t="e">
        <f>VLOOKUP(D1158,'[1]DS CN MOI UP'!$B$11:$C$447,2,0)</f>
        <v>#N/A</v>
      </c>
      <c r="C1158" s="626" t="s">
        <v>1350</v>
      </c>
      <c r="D1158" s="61" t="s">
        <v>728</v>
      </c>
      <c r="E1158" s="630" t="s">
        <v>15</v>
      </c>
      <c r="F1158" s="630"/>
      <c r="G1158" s="655"/>
      <c r="H1158" s="655">
        <v>635040.18900000001</v>
      </c>
      <c r="I1158" s="655">
        <v>119794.66379999999</v>
      </c>
      <c r="J1158" s="635">
        <f t="shared" si="45"/>
        <v>754834.85279999999</v>
      </c>
      <c r="K1158" s="635"/>
      <c r="L1158" s="635"/>
      <c r="M1158" s="655">
        <f t="shared" si="50"/>
        <v>754834.85279999999</v>
      </c>
      <c r="N1158" s="61"/>
    </row>
    <row r="1159" spans="1:14" s="242" customFormat="1" ht="14.25" customHeight="1">
      <c r="A1159" s="638">
        <v>18</v>
      </c>
      <c r="B1159" s="625" t="e">
        <f>VLOOKUP(D1159,'[1]DS CN MOI UP'!$B$11:$C$447,2,0)</f>
        <v>#N/A</v>
      </c>
      <c r="C1159" s="626" t="s">
        <v>1350</v>
      </c>
      <c r="D1159" s="61" t="s">
        <v>729</v>
      </c>
      <c r="E1159" s="630" t="s">
        <v>15</v>
      </c>
      <c r="F1159" s="630"/>
      <c r="G1159" s="655"/>
      <c r="H1159" s="655">
        <v>1189145.3259999999</v>
      </c>
      <c r="I1159" s="655"/>
      <c r="J1159" s="635">
        <f t="shared" si="45"/>
        <v>1189145.3259999999</v>
      </c>
      <c r="K1159" s="635"/>
      <c r="L1159" s="635"/>
      <c r="M1159" s="655">
        <f t="shared" si="50"/>
        <v>1189145.3259999999</v>
      </c>
      <c r="N1159" s="61"/>
    </row>
    <row r="1160" spans="1:14" s="242" customFormat="1" ht="14.25" customHeight="1">
      <c r="A1160" s="638">
        <v>19</v>
      </c>
      <c r="B1160" s="625" t="e">
        <f>VLOOKUP(D1160,'[1]DS CN MOI UP'!$B$11:$C$447,2,0)</f>
        <v>#N/A</v>
      </c>
      <c r="C1160" s="626" t="s">
        <v>1350</v>
      </c>
      <c r="D1160" s="61" t="s">
        <v>730</v>
      </c>
      <c r="E1160" s="630" t="s">
        <v>15</v>
      </c>
      <c r="F1160" s="630"/>
      <c r="G1160" s="655"/>
      <c r="H1160" s="655">
        <v>1249612.852</v>
      </c>
      <c r="I1160" s="655"/>
      <c r="J1160" s="635">
        <f t="shared" si="45"/>
        <v>1249612.852</v>
      </c>
      <c r="K1160" s="635"/>
      <c r="L1160" s="635"/>
      <c r="M1160" s="655">
        <f t="shared" si="50"/>
        <v>1249612.852</v>
      </c>
      <c r="N1160" s="61"/>
    </row>
    <row r="1161" spans="1:14" s="242" customFormat="1" ht="14.25" customHeight="1">
      <c r="A1161" s="638">
        <v>20</v>
      </c>
      <c r="B1161" s="625" t="e">
        <f>VLOOKUP(D1161,'[1]DS CN MOI UP'!$B$11:$C$447,2,0)</f>
        <v>#N/A</v>
      </c>
      <c r="C1161" s="626" t="s">
        <v>1350</v>
      </c>
      <c r="D1161" s="61" t="s">
        <v>731</v>
      </c>
      <c r="E1161" s="630" t="s">
        <v>15</v>
      </c>
      <c r="F1161" s="630"/>
      <c r="G1161" s="655"/>
      <c r="H1161" s="655">
        <v>1159179.5249999999</v>
      </c>
      <c r="I1161" s="655"/>
      <c r="J1161" s="635">
        <f t="shared" si="45"/>
        <v>1159179.5249999999</v>
      </c>
      <c r="K1161" s="635"/>
      <c r="L1161" s="635"/>
      <c r="M1161" s="655">
        <f t="shared" si="50"/>
        <v>1159179.5249999999</v>
      </c>
      <c r="N1161" s="61"/>
    </row>
    <row r="1162" spans="1:14" s="242" customFormat="1" ht="14.25" customHeight="1">
      <c r="A1162" s="638">
        <v>21</v>
      </c>
      <c r="B1162" s="625" t="str">
        <f>VLOOKUP(D1162,'[1]DS CN MOI UP'!$B$11:$C$447,2,0)</f>
        <v>03277</v>
      </c>
      <c r="C1162" s="626" t="s">
        <v>1350</v>
      </c>
      <c r="D1162" s="61" t="s">
        <v>437</v>
      </c>
      <c r="E1162" s="630" t="s">
        <v>15</v>
      </c>
      <c r="F1162" s="630"/>
      <c r="G1162" s="655"/>
      <c r="H1162" s="655">
        <v>1189145.3259999999</v>
      </c>
      <c r="I1162" s="655"/>
      <c r="J1162" s="635">
        <f t="shared" si="45"/>
        <v>1189145.3259999999</v>
      </c>
      <c r="K1162" s="635"/>
      <c r="L1162" s="635"/>
      <c r="M1162" s="655">
        <f t="shared" si="50"/>
        <v>1189145.3259999999</v>
      </c>
      <c r="N1162" s="61"/>
    </row>
    <row r="1163" spans="1:14" s="242" customFormat="1" ht="14.25" customHeight="1">
      <c r="A1163" s="638">
        <v>22</v>
      </c>
      <c r="B1163" s="625"/>
      <c r="C1163" s="626"/>
      <c r="D1163" s="61" t="s">
        <v>1363</v>
      </c>
      <c r="E1163" s="630" t="s">
        <v>15</v>
      </c>
      <c r="F1163" s="630"/>
      <c r="G1163" s="655"/>
      <c r="H1163" s="655">
        <v>1249612.852</v>
      </c>
      <c r="I1163" s="655"/>
      <c r="J1163" s="635">
        <f t="shared" si="45"/>
        <v>1249612.852</v>
      </c>
      <c r="K1163" s="635"/>
      <c r="L1163" s="635"/>
      <c r="M1163" s="655">
        <f t="shared" si="50"/>
        <v>1249612.852</v>
      </c>
      <c r="N1163" s="61"/>
    </row>
    <row r="1164" spans="1:14" s="242" customFormat="1" ht="14.25" customHeight="1">
      <c r="A1164" s="638">
        <v>23</v>
      </c>
      <c r="B1164" s="625"/>
      <c r="C1164" s="626"/>
      <c r="D1164" s="61" t="s">
        <v>732</v>
      </c>
      <c r="E1164" s="630" t="s">
        <v>15</v>
      </c>
      <c r="F1164" s="630"/>
      <c r="G1164" s="655"/>
      <c r="H1164" s="655">
        <v>1159179.5249999999</v>
      </c>
      <c r="I1164" s="655"/>
      <c r="J1164" s="635">
        <f t="shared" si="45"/>
        <v>1159179.5249999999</v>
      </c>
      <c r="K1164" s="635"/>
      <c r="L1164" s="635"/>
      <c r="M1164" s="655">
        <f t="shared" si="50"/>
        <v>1159179.5249999999</v>
      </c>
      <c r="N1164" s="61"/>
    </row>
    <row r="1165" spans="1:14" s="242" customFormat="1" ht="14.25" customHeight="1">
      <c r="A1165" s="638">
        <v>24</v>
      </c>
      <c r="B1165" s="625"/>
      <c r="C1165" s="626"/>
      <c r="D1165" s="61" t="s">
        <v>733</v>
      </c>
      <c r="E1165" s="630" t="s">
        <v>15</v>
      </c>
      <c r="F1165" s="630"/>
      <c r="G1165" s="655"/>
      <c r="H1165" s="655">
        <v>1189145.3259999999</v>
      </c>
      <c r="I1165" s="655"/>
      <c r="J1165" s="635">
        <f t="shared" si="45"/>
        <v>1189145.3259999999</v>
      </c>
      <c r="K1165" s="635"/>
      <c r="L1165" s="635"/>
      <c r="M1165" s="655">
        <f t="shared" si="50"/>
        <v>1189145.3259999999</v>
      </c>
      <c r="N1165" s="61"/>
    </row>
    <row r="1166" spans="1:14" s="242" customFormat="1" ht="14.25" customHeight="1">
      <c r="A1166" s="638">
        <v>25</v>
      </c>
      <c r="B1166" s="625"/>
      <c r="C1166" s="626"/>
      <c r="D1166" s="61" t="s">
        <v>734</v>
      </c>
      <c r="E1166" s="630" t="s">
        <v>15</v>
      </c>
      <c r="F1166" s="630"/>
      <c r="G1166" s="655"/>
      <c r="H1166" s="655">
        <v>1249612.852</v>
      </c>
      <c r="I1166" s="655"/>
      <c r="J1166" s="635">
        <f t="shared" si="45"/>
        <v>1249612.852</v>
      </c>
      <c r="K1166" s="635"/>
      <c r="L1166" s="635"/>
      <c r="M1166" s="655">
        <f t="shared" si="50"/>
        <v>1249612.852</v>
      </c>
      <c r="N1166" s="61"/>
    </row>
    <row r="1167" spans="1:14" s="242" customFormat="1" ht="14.25" customHeight="1">
      <c r="A1167" s="638">
        <v>26</v>
      </c>
      <c r="B1167" s="625"/>
      <c r="C1167" s="626"/>
      <c r="D1167" s="61" t="s">
        <v>735</v>
      </c>
      <c r="E1167" s="630" t="s">
        <v>15</v>
      </c>
      <c r="F1167" s="630"/>
      <c r="G1167" s="655"/>
      <c r="H1167" s="655">
        <v>1159179.5249999999</v>
      </c>
      <c r="I1167" s="655"/>
      <c r="J1167" s="635">
        <f t="shared" si="45"/>
        <v>1159179.5249999999</v>
      </c>
      <c r="K1167" s="635"/>
      <c r="L1167" s="635"/>
      <c r="M1167" s="655">
        <f t="shared" si="50"/>
        <v>1159179.5249999999</v>
      </c>
      <c r="N1167" s="61"/>
    </row>
    <row r="1168" spans="1:14" s="242" customFormat="1" ht="14.25" customHeight="1">
      <c r="A1168" s="638">
        <v>27</v>
      </c>
      <c r="B1168" s="625"/>
      <c r="C1168" s="626"/>
      <c r="D1168" s="61" t="s">
        <v>1064</v>
      </c>
      <c r="E1168" s="630" t="s">
        <v>15</v>
      </c>
      <c r="F1168" s="630"/>
      <c r="G1168" s="655"/>
      <c r="H1168" s="655"/>
      <c r="I1168" s="655">
        <v>1142091.0330000001</v>
      </c>
      <c r="J1168" s="635">
        <f t="shared" si="45"/>
        <v>1142091.0330000001</v>
      </c>
      <c r="K1168" s="635"/>
      <c r="L1168" s="635"/>
      <c r="M1168" s="655">
        <f t="shared" si="50"/>
        <v>1142091.0330000001</v>
      </c>
      <c r="N1168" s="61"/>
    </row>
    <row r="1169" spans="1:17" s="242" customFormat="1" ht="14.25" customHeight="1">
      <c r="A1169" s="638">
        <v>28</v>
      </c>
      <c r="B1169" s="625"/>
      <c r="C1169" s="626"/>
      <c r="D1169" s="61" t="s">
        <v>1040</v>
      </c>
      <c r="E1169" s="630" t="s">
        <v>15</v>
      </c>
      <c r="F1169" s="630"/>
      <c r="G1169" s="655"/>
      <c r="H1169" s="655">
        <v>1249612.852</v>
      </c>
      <c r="I1169" s="655"/>
      <c r="J1169" s="635">
        <f t="shared" si="45"/>
        <v>1249612.852</v>
      </c>
      <c r="K1169" s="635"/>
      <c r="L1169" s="635"/>
      <c r="M1169" s="655">
        <f t="shared" si="50"/>
        <v>1249612.852</v>
      </c>
      <c r="N1169" s="61"/>
    </row>
    <row r="1170" spans="1:17" s="242" customFormat="1" ht="14.25" customHeight="1">
      <c r="A1170" s="638">
        <v>29</v>
      </c>
      <c r="B1170" s="625"/>
      <c r="C1170" s="626"/>
      <c r="D1170" s="61" t="s">
        <v>1065</v>
      </c>
      <c r="E1170" s="630" t="s">
        <v>15</v>
      </c>
      <c r="F1170" s="630"/>
      <c r="G1170" s="655"/>
      <c r="H1170" s="655"/>
      <c r="I1170" s="655">
        <v>1249612.852</v>
      </c>
      <c r="J1170" s="635">
        <f t="shared" si="45"/>
        <v>1249612.852</v>
      </c>
      <c r="K1170" s="635"/>
      <c r="L1170" s="635"/>
      <c r="M1170" s="655">
        <f t="shared" si="50"/>
        <v>1249612.852</v>
      </c>
      <c r="N1170" s="61"/>
    </row>
    <row r="1171" spans="1:17" s="242" customFormat="1" ht="13.9" customHeight="1">
      <c r="A1171" s="638">
        <v>30</v>
      </c>
      <c r="B1171" s="625"/>
      <c r="C1171" s="626"/>
      <c r="D1171" s="61" t="s">
        <v>1066</v>
      </c>
      <c r="E1171" s="630" t="s">
        <v>15</v>
      </c>
      <c r="F1171" s="630"/>
      <c r="G1171" s="655"/>
      <c r="H1171" s="655">
        <v>902298.958846953</v>
      </c>
      <c r="I1171" s="655">
        <v>101482.11</v>
      </c>
      <c r="J1171" s="635">
        <f t="shared" ref="J1171:J1182" si="52">SUM(G1171:I1171)</f>
        <v>1003781.068846953</v>
      </c>
      <c r="K1171" s="635"/>
      <c r="L1171" s="635"/>
      <c r="M1171" s="655">
        <f t="shared" ref="M1171:M1182" si="53">J1171-L1171</f>
        <v>1003781.068846953</v>
      </c>
      <c r="N1171" s="61"/>
    </row>
    <row r="1172" spans="1:17" s="242" customFormat="1" ht="13.9" customHeight="1">
      <c r="A1172" s="638">
        <v>31</v>
      </c>
      <c r="B1172" s="625"/>
      <c r="C1172" s="626"/>
      <c r="D1172" s="61" t="s">
        <v>1067</v>
      </c>
      <c r="E1172" s="630" t="s">
        <v>15</v>
      </c>
      <c r="F1172" s="630"/>
      <c r="G1172" s="655"/>
      <c r="H1172" s="655">
        <v>88816.841157879593</v>
      </c>
      <c r="I1172" s="655">
        <v>1159179.5249999999</v>
      </c>
      <c r="J1172" s="635">
        <f t="shared" si="52"/>
        <v>1247996.3661578796</v>
      </c>
      <c r="K1172" s="635"/>
      <c r="L1172" s="635"/>
      <c r="M1172" s="655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8">
        <v>32</v>
      </c>
      <c r="B1173" s="625"/>
      <c r="C1173" s="626"/>
      <c r="D1173" s="61" t="s">
        <v>1364</v>
      </c>
      <c r="E1173" s="630" t="s">
        <v>15</v>
      </c>
      <c r="F1173" s="630"/>
      <c r="G1173" s="655"/>
      <c r="H1173" s="655">
        <v>1159179.5249999999</v>
      </c>
      <c r="I1173" s="655"/>
      <c r="J1173" s="635">
        <f t="shared" si="52"/>
        <v>1159179.5249999999</v>
      </c>
      <c r="K1173" s="635"/>
      <c r="L1173" s="635"/>
      <c r="M1173" s="655">
        <f t="shared" si="53"/>
        <v>1159179.5249999999</v>
      </c>
      <c r="N1173" s="61"/>
    </row>
    <row r="1174" spans="1:17" s="242" customFormat="1" ht="13.9" customHeight="1">
      <c r="A1174" s="638">
        <v>33</v>
      </c>
      <c r="B1174" s="625"/>
      <c r="C1174" s="626"/>
      <c r="D1174" s="61" t="s">
        <v>1065</v>
      </c>
      <c r="E1174" s="630" t="s">
        <v>15</v>
      </c>
      <c r="F1174" s="630"/>
      <c r="G1174" s="655"/>
      <c r="H1174" s="655">
        <v>1189145.3259999999</v>
      </c>
      <c r="I1174" s="655"/>
      <c r="J1174" s="635">
        <f t="shared" si="52"/>
        <v>1189145.3259999999</v>
      </c>
      <c r="K1174" s="635"/>
      <c r="L1174" s="635"/>
      <c r="M1174" s="655">
        <f t="shared" si="53"/>
        <v>1189145.3259999999</v>
      </c>
      <c r="N1174" s="61"/>
    </row>
    <row r="1175" spans="1:17" s="242" customFormat="1" ht="13.9" customHeight="1">
      <c r="A1175" s="638">
        <v>34</v>
      </c>
      <c r="B1175" s="625"/>
      <c r="C1175" s="626"/>
      <c r="D1175" s="61" t="s">
        <v>1365</v>
      </c>
      <c r="E1175" s="630" t="s">
        <v>15</v>
      </c>
      <c r="F1175" s="630"/>
      <c r="G1175" s="655"/>
      <c r="H1175" s="655">
        <v>1249612.852</v>
      </c>
      <c r="I1175" s="655"/>
      <c r="J1175" s="635">
        <f t="shared" si="52"/>
        <v>1249612.852</v>
      </c>
      <c r="K1175" s="635"/>
      <c r="L1175" s="635"/>
      <c r="M1175" s="655">
        <f t="shared" si="53"/>
        <v>1249612.852</v>
      </c>
      <c r="N1175" s="61"/>
    </row>
    <row r="1176" spans="1:17" s="242" customFormat="1" ht="13.9" customHeight="1">
      <c r="A1176" s="638">
        <v>35</v>
      </c>
      <c r="B1176" s="625"/>
      <c r="C1176" s="626"/>
      <c r="D1176" s="61" t="s">
        <v>1366</v>
      </c>
      <c r="E1176" s="630" t="s">
        <v>15</v>
      </c>
      <c r="F1176" s="630"/>
      <c r="G1176" s="655"/>
      <c r="H1176" s="655">
        <v>1159179.5249999999</v>
      </c>
      <c r="I1176" s="655"/>
      <c r="J1176" s="635">
        <f t="shared" si="52"/>
        <v>1159179.5249999999</v>
      </c>
      <c r="K1176" s="635"/>
      <c r="L1176" s="635"/>
      <c r="M1176" s="655">
        <f t="shared" si="53"/>
        <v>1159179.5249999999</v>
      </c>
      <c r="N1176" s="61"/>
    </row>
    <row r="1177" spans="1:17" s="242" customFormat="1" ht="13.9" customHeight="1">
      <c r="A1177" s="638">
        <v>36</v>
      </c>
      <c r="B1177" s="625"/>
      <c r="C1177" s="626"/>
      <c r="D1177" s="61" t="s">
        <v>1367</v>
      </c>
      <c r="E1177" s="630" t="s">
        <v>15</v>
      </c>
      <c r="F1177" s="630"/>
      <c r="G1177" s="655"/>
      <c r="H1177" s="655">
        <v>1189145.3259999999</v>
      </c>
      <c r="I1177" s="655"/>
      <c r="J1177" s="635">
        <f t="shared" si="52"/>
        <v>1189145.3259999999</v>
      </c>
      <c r="K1177" s="635"/>
      <c r="L1177" s="635"/>
      <c r="M1177" s="655">
        <f t="shared" si="53"/>
        <v>1189145.3259999999</v>
      </c>
      <c r="N1177" s="61"/>
    </row>
    <row r="1178" spans="1:17" s="242" customFormat="1" ht="13.9" customHeight="1">
      <c r="A1178" s="638">
        <v>37</v>
      </c>
      <c r="B1178" s="625"/>
      <c r="C1178" s="626"/>
      <c r="D1178" s="61" t="s">
        <v>1132</v>
      </c>
      <c r="E1178" s="630" t="s">
        <v>15</v>
      </c>
      <c r="F1178" s="630"/>
      <c r="G1178" s="655"/>
      <c r="H1178" s="655">
        <v>1159179.5249999999</v>
      </c>
      <c r="I1178" s="655"/>
      <c r="J1178" s="635">
        <f t="shared" si="52"/>
        <v>1159179.5249999999</v>
      </c>
      <c r="K1178" s="635"/>
      <c r="L1178" s="635"/>
      <c r="M1178" s="655">
        <f t="shared" si="53"/>
        <v>1159179.5249999999</v>
      </c>
      <c r="N1178" s="61"/>
    </row>
    <row r="1179" spans="1:17" s="242" customFormat="1" ht="13.9" customHeight="1">
      <c r="A1179" s="638">
        <v>38</v>
      </c>
      <c r="B1179" s="625"/>
      <c r="C1179" s="626"/>
      <c r="D1179" s="61" t="s">
        <v>1368</v>
      </c>
      <c r="E1179" s="630" t="s">
        <v>15</v>
      </c>
      <c r="F1179" s="630"/>
      <c r="G1179" s="655"/>
      <c r="H1179" s="655">
        <v>1189145.3259999999</v>
      </c>
      <c r="I1179" s="655"/>
      <c r="J1179" s="635">
        <f t="shared" si="52"/>
        <v>1189145.3259999999</v>
      </c>
      <c r="K1179" s="635"/>
      <c r="L1179" s="635"/>
      <c r="M1179" s="655">
        <f t="shared" si="53"/>
        <v>1189145.3259999999</v>
      </c>
      <c r="N1179" s="61"/>
    </row>
    <row r="1180" spans="1:17" s="242" customFormat="1" ht="13.9" customHeight="1">
      <c r="A1180" s="638">
        <v>39</v>
      </c>
      <c r="B1180" s="625"/>
      <c r="C1180" s="626"/>
      <c r="D1180" s="61" t="s">
        <v>1369</v>
      </c>
      <c r="E1180" s="630" t="s">
        <v>15</v>
      </c>
      <c r="F1180" s="630"/>
      <c r="G1180" s="655"/>
      <c r="H1180" s="655">
        <v>1249612.852</v>
      </c>
      <c r="I1180" s="655"/>
      <c r="J1180" s="635">
        <f t="shared" si="52"/>
        <v>1249612.852</v>
      </c>
      <c r="K1180" s="635"/>
      <c r="L1180" s="635"/>
      <c r="M1180" s="655">
        <f t="shared" si="53"/>
        <v>1249612.852</v>
      </c>
      <c r="N1180" s="61"/>
    </row>
    <row r="1181" spans="1:17" s="242" customFormat="1" ht="13.9" customHeight="1">
      <c r="A1181" s="638">
        <v>40</v>
      </c>
      <c r="B1181" s="625"/>
      <c r="C1181" s="626"/>
      <c r="D1181" s="61" t="s">
        <v>1370</v>
      </c>
      <c r="E1181" s="630" t="s">
        <v>15</v>
      </c>
      <c r="F1181" s="630"/>
      <c r="G1181" s="655"/>
      <c r="H1181" s="655">
        <v>1159179.5249999999</v>
      </c>
      <c r="I1181" s="655"/>
      <c r="J1181" s="635">
        <f t="shared" si="52"/>
        <v>1159179.5249999999</v>
      </c>
      <c r="K1181" s="635"/>
      <c r="L1181" s="635"/>
      <c r="M1181" s="655">
        <f t="shared" si="53"/>
        <v>1159179.5249999999</v>
      </c>
      <c r="N1181" s="61"/>
    </row>
    <row r="1182" spans="1:17" s="242" customFormat="1" ht="13.9" customHeight="1">
      <c r="A1182" s="638">
        <v>41</v>
      </c>
      <c r="B1182" s="625"/>
      <c r="C1182" s="626"/>
      <c r="D1182" s="61" t="s">
        <v>1369</v>
      </c>
      <c r="E1182" s="630" t="s">
        <v>15</v>
      </c>
      <c r="F1182" s="630"/>
      <c r="G1182" s="655"/>
      <c r="H1182" s="655">
        <v>1048486.62478551</v>
      </c>
      <c r="I1182" s="655"/>
      <c r="J1182" s="635">
        <f t="shared" si="52"/>
        <v>1048486.62478551</v>
      </c>
      <c r="K1182" s="635"/>
      <c r="L1182" s="635"/>
      <c r="M1182" s="655">
        <f t="shared" si="53"/>
        <v>1048486.62478551</v>
      </c>
      <c r="N1182" s="61"/>
    </row>
    <row r="1183" spans="1:17" s="242" customFormat="1" ht="14.25" customHeight="1">
      <c r="A1183" s="628" t="s">
        <v>1371</v>
      </c>
      <c r="B1183" s="625" t="e">
        <f>VLOOKUP(A1183,'[1]DS CN MOI UP'!$B$11:$C$447,2,0)</f>
        <v>#N/A</v>
      </c>
      <c r="C1183" s="628"/>
      <c r="E1183" s="628"/>
      <c r="F1183" s="628"/>
      <c r="G1183" s="651">
        <f t="shared" ref="G1183:M1183" si="54">SUM(G1142:G1182)</f>
        <v>980000</v>
      </c>
      <c r="H1183" s="651">
        <f t="shared" si="54"/>
        <v>35440901.735990345</v>
      </c>
      <c r="I1183" s="651">
        <f t="shared" si="54"/>
        <v>10703944</v>
      </c>
      <c r="J1183" s="651">
        <f t="shared" si="54"/>
        <v>47124845.735990345</v>
      </c>
      <c r="K1183" s="651">
        <f t="shared" si="54"/>
        <v>0</v>
      </c>
      <c r="L1183" s="651">
        <f t="shared" si="54"/>
        <v>0</v>
      </c>
      <c r="M1183" s="651">
        <f t="shared" si="54"/>
        <v>47124845.735990345</v>
      </c>
      <c r="N1183" s="656"/>
      <c r="O1183" s="636" t="e">
        <f>#REF!</f>
        <v>#REF!</v>
      </c>
      <c r="P1183" s="636" t="e">
        <f>#REF!</f>
        <v>#REF!</v>
      </c>
      <c r="Q1183" s="636" t="e">
        <f>#REF!</f>
        <v>#REF!</v>
      </c>
    </row>
    <row r="1184" spans="1:17" s="242" customFormat="1" ht="14.25" customHeight="1">
      <c r="A1184" s="624">
        <v>1</v>
      </c>
      <c r="B1184" s="625" t="e">
        <f>VLOOKUP(D1184,'[1]DS CN MOI UP'!$B$11:$C$447,2,0)</f>
        <v>#N/A</v>
      </c>
      <c r="C1184" s="626" t="s">
        <v>1372</v>
      </c>
      <c r="D1184" s="630" t="s">
        <v>1373</v>
      </c>
      <c r="E1184" s="630" t="s">
        <v>15</v>
      </c>
      <c r="F1184" s="630"/>
      <c r="G1184" s="655">
        <v>60000</v>
      </c>
      <c r="H1184" s="655">
        <v>554373.09900000005</v>
      </c>
      <c r="I1184" s="655">
        <v>524139.33600000001</v>
      </c>
      <c r="J1184" s="635">
        <f t="shared" si="45"/>
        <v>1138512.4350000001</v>
      </c>
      <c r="K1184" s="635"/>
      <c r="L1184" s="635"/>
      <c r="M1184" s="655">
        <f t="shared" ref="M1184:M1438" si="55">J1184-L1184</f>
        <v>1138512.4350000001</v>
      </c>
      <c r="N1184" s="61"/>
      <c r="O1184" s="636" t="e">
        <f>+O1183-G1183</f>
        <v>#REF!</v>
      </c>
      <c r="P1184" s="636" t="e">
        <f>+P1183-H1183</f>
        <v>#REF!</v>
      </c>
      <c r="Q1184" s="636" t="e">
        <f>+Q1183-I1183</f>
        <v>#REF!</v>
      </c>
    </row>
    <row r="1185" spans="1:14" s="242" customFormat="1" ht="14.25" customHeight="1">
      <c r="A1185" s="624">
        <v>2</v>
      </c>
      <c r="B1185" s="625" t="e">
        <f>VLOOKUP(D1185,'[1]DS CN MOI UP'!$B$11:$C$447,2,0)</f>
        <v>#N/A</v>
      </c>
      <c r="C1185" s="626" t="s">
        <v>1374</v>
      </c>
      <c r="D1185" s="630" t="s">
        <v>1375</v>
      </c>
      <c r="E1185" s="630" t="s">
        <v>15</v>
      </c>
      <c r="F1185" s="630"/>
      <c r="G1185" s="655">
        <v>40000</v>
      </c>
      <c r="H1185" s="655">
        <v>554373.09900000005</v>
      </c>
      <c r="I1185" s="655">
        <v>524139.33600000001</v>
      </c>
      <c r="J1185" s="635">
        <f t="shared" si="45"/>
        <v>1118512.4350000001</v>
      </c>
      <c r="K1185" s="635"/>
      <c r="L1185" s="635"/>
      <c r="M1185" s="655">
        <f t="shared" si="55"/>
        <v>1118512.4350000001</v>
      </c>
      <c r="N1185" s="61"/>
    </row>
    <row r="1186" spans="1:14" s="242" customFormat="1" ht="14.25" customHeight="1">
      <c r="A1186" s="624">
        <v>3</v>
      </c>
      <c r="B1186" s="625" t="e">
        <f>VLOOKUP(D1186,'[1]DS CN MOI UP'!$B$11:$C$447,2,0)</f>
        <v>#N/A</v>
      </c>
      <c r="C1186" s="626" t="s">
        <v>1376</v>
      </c>
      <c r="D1186" s="630" t="s">
        <v>1377</v>
      </c>
      <c r="E1186" s="630" t="s">
        <v>15</v>
      </c>
      <c r="F1186" s="630"/>
      <c r="G1186" s="655">
        <v>40000</v>
      </c>
      <c r="H1186" s="655">
        <v>554373.09900000005</v>
      </c>
      <c r="I1186" s="655">
        <v>524139.33600000001</v>
      </c>
      <c r="J1186" s="635">
        <f t="shared" si="45"/>
        <v>1118512.4350000001</v>
      </c>
      <c r="K1186" s="635"/>
      <c r="L1186" s="635"/>
      <c r="M1186" s="655">
        <f t="shared" si="55"/>
        <v>1118512.4350000001</v>
      </c>
      <c r="N1186" s="61"/>
    </row>
    <row r="1187" spans="1:14" s="242" customFormat="1" ht="14.25" customHeight="1">
      <c r="A1187" s="624">
        <v>4</v>
      </c>
      <c r="B1187" s="625" t="str">
        <f>VLOOKUP(D1187,'[1]DS CN MOI UP'!$B$11:$C$447,2,0)</f>
        <v>02616</v>
      </c>
      <c r="C1187" s="626" t="s">
        <v>1378</v>
      </c>
      <c r="D1187" s="630" t="s">
        <v>308</v>
      </c>
      <c r="E1187" s="630" t="s">
        <v>15</v>
      </c>
      <c r="F1187" s="630"/>
      <c r="G1187" s="655">
        <v>40000</v>
      </c>
      <c r="H1187" s="655">
        <v>554373.09900000005</v>
      </c>
      <c r="I1187" s="655">
        <v>524139.33600000001</v>
      </c>
      <c r="J1187" s="635">
        <f t="shared" si="45"/>
        <v>1118512.4350000001</v>
      </c>
      <c r="K1187" s="635"/>
      <c r="L1187" s="635"/>
      <c r="M1187" s="655">
        <f t="shared" si="55"/>
        <v>1118512.4350000001</v>
      </c>
      <c r="N1187" s="61"/>
    </row>
    <row r="1188" spans="1:14" s="242" customFormat="1" ht="14.25" customHeight="1">
      <c r="A1188" s="624">
        <v>5</v>
      </c>
      <c r="B1188" s="625" t="e">
        <f>VLOOKUP(D1188,'[1]DS CN MOI UP'!$B$11:$C$447,2,0)</f>
        <v>#N/A</v>
      </c>
      <c r="C1188" s="626" t="s">
        <v>1379</v>
      </c>
      <c r="D1188" s="630" t="s">
        <v>1380</v>
      </c>
      <c r="E1188" s="630" t="s">
        <v>15</v>
      </c>
      <c r="F1188" s="630"/>
      <c r="G1188" s="655">
        <v>40000</v>
      </c>
      <c r="H1188" s="655">
        <v>635040.18900000001</v>
      </c>
      <c r="I1188" s="655">
        <v>524139.33600000001</v>
      </c>
      <c r="J1188" s="635">
        <f t="shared" si="45"/>
        <v>1199179.5249999999</v>
      </c>
      <c r="K1188" s="635"/>
      <c r="L1188" s="635"/>
      <c r="M1188" s="655">
        <f t="shared" si="55"/>
        <v>1199179.5249999999</v>
      </c>
      <c r="N1188" s="61"/>
    </row>
    <row r="1189" spans="1:14" s="242" customFormat="1" ht="14.25" customHeight="1">
      <c r="A1189" s="624">
        <v>6</v>
      </c>
      <c r="B1189" s="625" t="e">
        <f>VLOOKUP(D1189,'[1]DS CN MOI UP'!$B$11:$C$447,2,0)</f>
        <v>#N/A</v>
      </c>
      <c r="C1189" s="626" t="s">
        <v>1381</v>
      </c>
      <c r="D1189" s="630" t="s">
        <v>286</v>
      </c>
      <c r="E1189" s="630" t="s">
        <v>15</v>
      </c>
      <c r="F1189" s="630"/>
      <c r="G1189" s="655">
        <v>40000</v>
      </c>
      <c r="H1189" s="655">
        <v>544338.9</v>
      </c>
      <c r="I1189" s="655">
        <v>524139.33600000001</v>
      </c>
      <c r="J1189" s="635">
        <f t="shared" si="45"/>
        <v>1108478.236</v>
      </c>
      <c r="K1189" s="635"/>
      <c r="L1189" s="635"/>
      <c r="M1189" s="655">
        <f t="shared" si="55"/>
        <v>1108478.236</v>
      </c>
      <c r="N1189" s="61"/>
    </row>
    <row r="1190" spans="1:14" s="242" customFormat="1" ht="14.25" customHeight="1">
      <c r="A1190" s="624">
        <v>7</v>
      </c>
      <c r="B1190" s="625" t="str">
        <f>VLOOKUP(D1190,'[1]DS CN MOI UP'!$B$11:$C$447,2,0)</f>
        <v>03419</v>
      </c>
      <c r="C1190" s="626" t="s">
        <v>1382</v>
      </c>
      <c r="D1190" s="630" t="s">
        <v>342</v>
      </c>
      <c r="E1190" s="630" t="s">
        <v>15</v>
      </c>
      <c r="F1190" s="630"/>
      <c r="G1190" s="655">
        <v>40000</v>
      </c>
      <c r="H1190" s="655">
        <v>574572.66299999994</v>
      </c>
      <c r="I1190" s="655">
        <v>524139.33600000001</v>
      </c>
      <c r="J1190" s="635">
        <f t="shared" si="45"/>
        <v>1138711.9989999998</v>
      </c>
      <c r="K1190" s="635"/>
      <c r="L1190" s="635"/>
      <c r="M1190" s="655">
        <f t="shared" si="55"/>
        <v>1138711.9989999998</v>
      </c>
      <c r="N1190" s="61"/>
    </row>
    <row r="1191" spans="1:14" s="242" customFormat="1" ht="14.25" customHeight="1">
      <c r="A1191" s="624">
        <v>8</v>
      </c>
      <c r="B1191" s="625" t="e">
        <f>VLOOKUP(D1191,'[1]DS CN MOI UP'!$B$11:$C$447,2,0)</f>
        <v>#N/A</v>
      </c>
      <c r="C1191" s="626" t="s">
        <v>1383</v>
      </c>
      <c r="D1191" s="630" t="s">
        <v>1180</v>
      </c>
      <c r="E1191" s="630" t="s">
        <v>15</v>
      </c>
      <c r="F1191" s="630"/>
      <c r="G1191" s="655">
        <v>40000</v>
      </c>
      <c r="H1191" s="655">
        <v>604806.42599999998</v>
      </c>
      <c r="I1191" s="655">
        <v>524139.33600000001</v>
      </c>
      <c r="J1191" s="635">
        <f t="shared" si="45"/>
        <v>1168945.7620000001</v>
      </c>
      <c r="K1191" s="635"/>
      <c r="L1191" s="635"/>
      <c r="M1191" s="655">
        <f t="shared" si="55"/>
        <v>1168945.7620000001</v>
      </c>
      <c r="N1191" s="61"/>
    </row>
    <row r="1192" spans="1:14" s="242" customFormat="1" ht="14.25" customHeight="1">
      <c r="A1192" s="624">
        <v>9</v>
      </c>
      <c r="B1192" s="625" t="e">
        <f>VLOOKUP(D1192,'[1]DS CN MOI UP'!$B$11:$C$447,2,0)</f>
        <v>#N/A</v>
      </c>
      <c r="C1192" s="626" t="s">
        <v>1384</v>
      </c>
      <c r="D1192" s="630" t="s">
        <v>1345</v>
      </c>
      <c r="E1192" s="630" t="s">
        <v>15</v>
      </c>
      <c r="F1192" s="630"/>
      <c r="G1192" s="655">
        <v>40000</v>
      </c>
      <c r="H1192" s="655">
        <v>584606.86199999996</v>
      </c>
      <c r="I1192" s="655">
        <v>524139.33600000001</v>
      </c>
      <c r="J1192" s="635">
        <f t="shared" si="45"/>
        <v>1148746.1979999999</v>
      </c>
      <c r="K1192" s="635"/>
      <c r="L1192" s="635"/>
      <c r="M1192" s="655">
        <f t="shared" si="55"/>
        <v>1148746.1979999999</v>
      </c>
      <c r="N1192" s="61"/>
    </row>
    <row r="1193" spans="1:14" s="242" customFormat="1" ht="14.25" customHeight="1">
      <c r="A1193" s="624">
        <v>10</v>
      </c>
      <c r="B1193" s="625" t="e">
        <f>VLOOKUP(D1193,'[1]DS CN MOI UP'!$B$11:$C$447,2,0)</f>
        <v>#N/A</v>
      </c>
      <c r="C1193" s="626" t="s">
        <v>1385</v>
      </c>
      <c r="D1193" s="630" t="s">
        <v>1386</v>
      </c>
      <c r="E1193" s="630" t="s">
        <v>15</v>
      </c>
      <c r="F1193" s="630"/>
      <c r="G1193" s="655">
        <v>40000</v>
      </c>
      <c r="H1193" s="655">
        <v>635040.18900000001</v>
      </c>
      <c r="I1193" s="655">
        <v>524139.33600000001</v>
      </c>
      <c r="J1193" s="635">
        <f t="shared" si="45"/>
        <v>1199179.5249999999</v>
      </c>
      <c r="K1193" s="635"/>
      <c r="L1193" s="635"/>
      <c r="M1193" s="655">
        <f t="shared" si="55"/>
        <v>1199179.5249999999</v>
      </c>
      <c r="N1193" s="61"/>
    </row>
    <row r="1194" spans="1:14" s="242" customFormat="1" ht="14.25" customHeight="1">
      <c r="A1194" s="624">
        <v>11</v>
      </c>
      <c r="B1194" s="625" t="e">
        <f>VLOOKUP(D1194,'[1]DS CN MOI UP'!$B$11:$C$447,2,0)</f>
        <v>#N/A</v>
      </c>
      <c r="C1194" s="626" t="s">
        <v>1387</v>
      </c>
      <c r="D1194" s="630" t="s">
        <v>685</v>
      </c>
      <c r="E1194" s="630" t="s">
        <v>15</v>
      </c>
      <c r="F1194" s="630"/>
      <c r="G1194" s="655">
        <v>40000</v>
      </c>
      <c r="H1194" s="655">
        <v>524139.33600000001</v>
      </c>
      <c r="I1194" s="655">
        <v>524139.33600000001</v>
      </c>
      <c r="J1194" s="635">
        <f t="shared" si="45"/>
        <v>1088278.672</v>
      </c>
      <c r="K1194" s="635"/>
      <c r="L1194" s="635"/>
      <c r="M1194" s="655">
        <f t="shared" si="55"/>
        <v>1088278.672</v>
      </c>
      <c r="N1194" s="61"/>
    </row>
    <row r="1195" spans="1:14" s="242" customFormat="1" ht="14.25" customHeight="1">
      <c r="A1195" s="624">
        <v>12</v>
      </c>
      <c r="B1195" s="625" t="e">
        <f>VLOOKUP(D1195,'[1]DS CN MOI UP'!$B$11:$C$447,2,0)</f>
        <v>#N/A</v>
      </c>
      <c r="C1195" s="626" t="s">
        <v>1388</v>
      </c>
      <c r="D1195" s="630" t="s">
        <v>1389</v>
      </c>
      <c r="E1195" s="630" t="s">
        <v>15</v>
      </c>
      <c r="F1195" s="630"/>
      <c r="G1195" s="655">
        <v>40000</v>
      </c>
      <c r="H1195" s="655">
        <v>635040.18900000001</v>
      </c>
      <c r="I1195" s="655">
        <v>524139.33600000001</v>
      </c>
      <c r="J1195" s="635">
        <f t="shared" si="45"/>
        <v>1199179.5249999999</v>
      </c>
      <c r="K1195" s="635"/>
      <c r="L1195" s="635"/>
      <c r="M1195" s="655">
        <f t="shared" si="55"/>
        <v>1199179.5249999999</v>
      </c>
      <c r="N1195" s="61"/>
    </row>
    <row r="1196" spans="1:14" s="242" customFormat="1" ht="14.25" customHeight="1">
      <c r="A1196" s="624">
        <v>13</v>
      </c>
      <c r="B1196" s="625" t="e">
        <f>VLOOKUP(D1196,'[1]DS CN MOI UP'!$B$11:$C$447,2,0)</f>
        <v>#N/A</v>
      </c>
      <c r="C1196" s="626" t="s">
        <v>1390</v>
      </c>
      <c r="D1196" s="630" t="s">
        <v>1070</v>
      </c>
      <c r="E1196" s="630" t="s">
        <v>15</v>
      </c>
      <c r="F1196" s="630"/>
      <c r="G1196" s="655">
        <v>40000</v>
      </c>
      <c r="H1196" s="655">
        <v>635040.18900000001</v>
      </c>
      <c r="I1196" s="655">
        <v>524139.33600000001</v>
      </c>
      <c r="J1196" s="635">
        <f t="shared" si="45"/>
        <v>1199179.5249999999</v>
      </c>
      <c r="K1196" s="635"/>
      <c r="L1196" s="635"/>
      <c r="M1196" s="655">
        <f t="shared" si="55"/>
        <v>1199179.5249999999</v>
      </c>
      <c r="N1196" s="61"/>
    </row>
    <row r="1197" spans="1:14" s="242" customFormat="1" ht="14.25" customHeight="1">
      <c r="A1197" s="624">
        <v>14</v>
      </c>
      <c r="B1197" s="625" t="str">
        <f>VLOOKUP(D1197,'[1]DS CN MOI UP'!$B$11:$C$447,2,0)</f>
        <v>02621</v>
      </c>
      <c r="C1197" s="626" t="s">
        <v>1391</v>
      </c>
      <c r="D1197" s="630" t="s">
        <v>313</v>
      </c>
      <c r="E1197" s="630" t="s">
        <v>15</v>
      </c>
      <c r="F1197" s="630"/>
      <c r="G1197" s="655">
        <v>40000</v>
      </c>
      <c r="H1197" s="655">
        <v>554373.09900000005</v>
      </c>
      <c r="I1197" s="655">
        <v>524139.33600000001</v>
      </c>
      <c r="J1197" s="635">
        <f t="shared" si="45"/>
        <v>1118512.4350000001</v>
      </c>
      <c r="K1197" s="635"/>
      <c r="L1197" s="635"/>
      <c r="M1197" s="655">
        <f t="shared" si="55"/>
        <v>1118512.4350000001</v>
      </c>
      <c r="N1197" s="61"/>
    </row>
    <row r="1198" spans="1:14" s="242" customFormat="1" ht="14.25" customHeight="1">
      <c r="A1198" s="624">
        <v>15</v>
      </c>
      <c r="B1198" s="625" t="e">
        <f>VLOOKUP(D1198,'[1]DS CN MOI UP'!$B$11:$C$447,2,0)</f>
        <v>#N/A</v>
      </c>
      <c r="C1198" s="626" t="s">
        <v>1392</v>
      </c>
      <c r="D1198" s="630" t="s">
        <v>1393</v>
      </c>
      <c r="E1198" s="630" t="s">
        <v>15</v>
      </c>
      <c r="F1198" s="630"/>
      <c r="G1198" s="655">
        <v>60000</v>
      </c>
      <c r="H1198" s="655">
        <v>554373.09900000005</v>
      </c>
      <c r="I1198" s="655">
        <v>524139.33600000001</v>
      </c>
      <c r="J1198" s="635">
        <f t="shared" si="45"/>
        <v>1138512.4350000001</v>
      </c>
      <c r="K1198" s="635"/>
      <c r="L1198" s="635"/>
      <c r="M1198" s="655">
        <f t="shared" si="55"/>
        <v>1138512.4350000001</v>
      </c>
      <c r="N1198" s="61"/>
    </row>
    <row r="1199" spans="1:14" s="242" customFormat="1" ht="14.25" customHeight="1">
      <c r="A1199" s="624">
        <v>16</v>
      </c>
      <c r="B1199" s="625" t="e">
        <f>VLOOKUP(D1199,'[1]DS CN MOI UP'!$B$11:$C$447,2,0)</f>
        <v>#N/A</v>
      </c>
      <c r="C1199" s="626" t="s">
        <v>1394</v>
      </c>
      <c r="D1199" s="630" t="s">
        <v>1395</v>
      </c>
      <c r="E1199" s="630" t="s">
        <v>15</v>
      </c>
      <c r="F1199" s="630"/>
      <c r="G1199" s="655">
        <v>40000</v>
      </c>
      <c r="H1199" s="655">
        <v>554373.09900000005</v>
      </c>
      <c r="I1199" s="655">
        <v>524139.33600000001</v>
      </c>
      <c r="J1199" s="635">
        <f t="shared" si="45"/>
        <v>1118512.4350000001</v>
      </c>
      <c r="K1199" s="635"/>
      <c r="L1199" s="635"/>
      <c r="M1199" s="655">
        <f t="shared" si="55"/>
        <v>1118512.4350000001</v>
      </c>
      <c r="N1199" s="61"/>
    </row>
    <row r="1200" spans="1:14" s="242" customFormat="1" ht="14.25" customHeight="1">
      <c r="A1200" s="624">
        <v>17</v>
      </c>
      <c r="B1200" s="625" t="e">
        <f>VLOOKUP(D1200,'[1]DS CN MOI UP'!$B$11:$C$447,2,0)</f>
        <v>#N/A</v>
      </c>
      <c r="C1200" s="626" t="s">
        <v>1396</v>
      </c>
      <c r="D1200" s="630" t="s">
        <v>1397</v>
      </c>
      <c r="E1200" s="630" t="s">
        <v>15</v>
      </c>
      <c r="F1200" s="630"/>
      <c r="G1200" s="655">
        <v>40000</v>
      </c>
      <c r="H1200" s="655">
        <v>554373.09900000005</v>
      </c>
      <c r="I1200" s="655">
        <v>524139.33600000001</v>
      </c>
      <c r="J1200" s="635">
        <f t="shared" si="45"/>
        <v>1118512.4350000001</v>
      </c>
      <c r="K1200" s="635"/>
      <c r="L1200" s="635"/>
      <c r="M1200" s="655">
        <f t="shared" si="55"/>
        <v>1118512.4350000001</v>
      </c>
      <c r="N1200" s="61"/>
    </row>
    <row r="1201" spans="1:14" s="242" customFormat="1" ht="14.25" customHeight="1">
      <c r="A1201" s="624">
        <v>18</v>
      </c>
      <c r="B1201" s="625" t="e">
        <f>VLOOKUP(D1201,'[1]DS CN MOI UP'!$B$11:$C$447,2,0)</f>
        <v>#N/A</v>
      </c>
      <c r="C1201" s="626" t="s">
        <v>1398</v>
      </c>
      <c r="D1201" s="630" t="s">
        <v>1399</v>
      </c>
      <c r="E1201" s="630" t="s">
        <v>15</v>
      </c>
      <c r="F1201" s="630"/>
      <c r="G1201" s="655">
        <v>40000</v>
      </c>
      <c r="H1201" s="655">
        <v>554373.09900000005</v>
      </c>
      <c r="I1201" s="655">
        <v>524139.33600000001</v>
      </c>
      <c r="J1201" s="635">
        <f t="shared" si="45"/>
        <v>1118512.4350000001</v>
      </c>
      <c r="K1201" s="635"/>
      <c r="L1201" s="635"/>
      <c r="M1201" s="655">
        <f t="shared" si="55"/>
        <v>1118512.4350000001</v>
      </c>
      <c r="N1201" s="61"/>
    </row>
    <row r="1202" spans="1:14" s="242" customFormat="1" ht="14.25" customHeight="1">
      <c r="A1202" s="624">
        <v>19</v>
      </c>
      <c r="B1202" s="625" t="str">
        <f>VLOOKUP(D1202,'[1]DS CN MOI UP'!$B$11:$C$447,2,0)</f>
        <v>03850</v>
      </c>
      <c r="C1202" s="626" t="s">
        <v>1383</v>
      </c>
      <c r="D1202" s="630" t="s">
        <v>449</v>
      </c>
      <c r="E1202" s="630" t="s">
        <v>15</v>
      </c>
      <c r="F1202" s="630"/>
      <c r="G1202" s="655">
        <v>40000</v>
      </c>
      <c r="H1202" s="655">
        <v>635040.18900000001</v>
      </c>
      <c r="I1202" s="655">
        <v>524139.33600000001</v>
      </c>
      <c r="J1202" s="635">
        <f t="shared" si="45"/>
        <v>1199179.5249999999</v>
      </c>
      <c r="K1202" s="635"/>
      <c r="L1202" s="635"/>
      <c r="M1202" s="655">
        <f t="shared" si="55"/>
        <v>1199179.5249999999</v>
      </c>
      <c r="N1202" s="61"/>
    </row>
    <row r="1203" spans="1:14" s="242" customFormat="1" ht="14.25" customHeight="1">
      <c r="A1203" s="624">
        <v>20</v>
      </c>
      <c r="B1203" s="625" t="e">
        <f>VLOOKUP(D1203,'[1]DS CN MOI UP'!$B$11:$C$447,2,0)</f>
        <v>#N/A</v>
      </c>
      <c r="C1203" s="626" t="s">
        <v>1384</v>
      </c>
      <c r="D1203" s="630" t="s">
        <v>1400</v>
      </c>
      <c r="E1203" s="630" t="s">
        <v>15</v>
      </c>
      <c r="F1203" s="630"/>
      <c r="G1203" s="655">
        <v>40000</v>
      </c>
      <c r="H1203" s="655">
        <v>544338.9</v>
      </c>
      <c r="I1203" s="655">
        <v>524139.33600000001</v>
      </c>
      <c r="J1203" s="635">
        <f t="shared" si="45"/>
        <v>1108478.236</v>
      </c>
      <c r="K1203" s="635"/>
      <c r="L1203" s="635"/>
      <c r="M1203" s="655">
        <f t="shared" si="55"/>
        <v>1108478.236</v>
      </c>
      <c r="N1203" s="61"/>
    </row>
    <row r="1204" spans="1:14" s="242" customFormat="1" ht="14.25" customHeight="1">
      <c r="A1204" s="624">
        <v>21</v>
      </c>
      <c r="B1204" s="625" t="e">
        <f>VLOOKUP(D1204,'[1]DS CN MOI UP'!$B$11:$C$447,2,0)</f>
        <v>#N/A</v>
      </c>
      <c r="C1204" s="626" t="s">
        <v>1385</v>
      </c>
      <c r="D1204" s="630" t="s">
        <v>1401</v>
      </c>
      <c r="E1204" s="630" t="s">
        <v>15</v>
      </c>
      <c r="F1204" s="630"/>
      <c r="G1204" s="655">
        <v>40000</v>
      </c>
      <c r="H1204" s="655">
        <v>574572.66299999994</v>
      </c>
      <c r="I1204" s="655">
        <v>524139.33600000001</v>
      </c>
      <c r="J1204" s="635">
        <f t="shared" si="45"/>
        <v>1138711.9989999998</v>
      </c>
      <c r="K1204" s="635"/>
      <c r="L1204" s="635"/>
      <c r="M1204" s="655">
        <f t="shared" si="55"/>
        <v>1138711.9989999998</v>
      </c>
      <c r="N1204" s="61"/>
    </row>
    <row r="1205" spans="1:14" s="242" customFormat="1" ht="14.25" customHeight="1">
      <c r="A1205" s="624">
        <v>22</v>
      </c>
      <c r="B1205" s="625" t="str">
        <f>VLOOKUP(D1205,'[1]DS CN MOI UP'!$B$11:$C$447,2,0)</f>
        <v>02624</v>
      </c>
      <c r="C1205" s="626" t="s">
        <v>1387</v>
      </c>
      <c r="D1205" s="630" t="s">
        <v>317</v>
      </c>
      <c r="E1205" s="630" t="s">
        <v>15</v>
      </c>
      <c r="F1205" s="630"/>
      <c r="G1205" s="655">
        <v>40000</v>
      </c>
      <c r="H1205" s="655">
        <v>604806.42599999998</v>
      </c>
      <c r="I1205" s="655">
        <v>524139.33600000001</v>
      </c>
      <c r="J1205" s="635">
        <f t="shared" si="45"/>
        <v>1168945.7620000001</v>
      </c>
      <c r="K1205" s="635"/>
      <c r="L1205" s="635"/>
      <c r="M1205" s="655">
        <f t="shared" si="55"/>
        <v>1168945.7620000001</v>
      </c>
      <c r="N1205" s="61"/>
    </row>
    <row r="1206" spans="1:14" s="242" customFormat="1" ht="14.25" customHeight="1">
      <c r="A1206" s="624">
        <v>23</v>
      </c>
      <c r="B1206" s="625" t="str">
        <f>VLOOKUP(D1206,'[1]DS CN MOI UP'!$B$11:$C$447,2,0)</f>
        <v>02500</v>
      </c>
      <c r="C1206" s="626" t="s">
        <v>1388</v>
      </c>
      <c r="D1206" s="630" t="s">
        <v>59</v>
      </c>
      <c r="E1206" s="630" t="s">
        <v>15</v>
      </c>
      <c r="F1206" s="630"/>
      <c r="G1206" s="655">
        <v>40000</v>
      </c>
      <c r="H1206" s="655">
        <v>584606.86199999996</v>
      </c>
      <c r="I1206" s="655">
        <v>524139.33600000001</v>
      </c>
      <c r="J1206" s="635">
        <f t="shared" si="45"/>
        <v>1148746.1979999999</v>
      </c>
      <c r="K1206" s="635"/>
      <c r="L1206" s="635"/>
      <c r="M1206" s="655">
        <f t="shared" si="55"/>
        <v>1148746.1979999999</v>
      </c>
      <c r="N1206" s="61"/>
    </row>
    <row r="1207" spans="1:14" s="242" customFormat="1" ht="14.25" customHeight="1">
      <c r="A1207" s="624">
        <v>24</v>
      </c>
      <c r="B1207" s="625" t="str">
        <f>VLOOKUP(D1207,'[1]DS CN MOI UP'!$B$11:$C$447,2,0)</f>
        <v>02572</v>
      </c>
      <c r="C1207" s="626" t="s">
        <v>1390</v>
      </c>
      <c r="D1207" s="630" t="s">
        <v>271</v>
      </c>
      <c r="E1207" s="630" t="s">
        <v>15</v>
      </c>
      <c r="F1207" s="630"/>
      <c r="G1207" s="655">
        <v>40000</v>
      </c>
      <c r="H1207" s="655">
        <v>635040.18900000001</v>
      </c>
      <c r="I1207" s="655">
        <v>524139.33600000001</v>
      </c>
      <c r="J1207" s="635">
        <f t="shared" si="45"/>
        <v>1199179.5249999999</v>
      </c>
      <c r="K1207" s="635"/>
      <c r="L1207" s="635"/>
      <c r="M1207" s="655">
        <f t="shared" si="55"/>
        <v>1199179.5249999999</v>
      </c>
      <c r="N1207" s="61"/>
    </row>
    <row r="1208" spans="1:14" s="242" customFormat="1" ht="14.25" customHeight="1">
      <c r="A1208" s="624">
        <v>25</v>
      </c>
      <c r="B1208" s="625" t="str">
        <f>VLOOKUP(D1208,'[1]DS CN MOI UP'!$B$11:$C$447,2,0)</f>
        <v>03416</v>
      </c>
      <c r="C1208" s="626" t="s">
        <v>1391</v>
      </c>
      <c r="D1208" s="630" t="s">
        <v>1402</v>
      </c>
      <c r="E1208" s="630" t="s">
        <v>15</v>
      </c>
      <c r="F1208" s="630"/>
      <c r="G1208" s="655">
        <v>40000</v>
      </c>
      <c r="H1208" s="655">
        <v>524139.33600000001</v>
      </c>
      <c r="I1208" s="655">
        <v>524139.33600000001</v>
      </c>
      <c r="J1208" s="635">
        <f t="shared" si="45"/>
        <v>1088278.672</v>
      </c>
      <c r="K1208" s="635"/>
      <c r="L1208" s="635"/>
      <c r="M1208" s="655">
        <f t="shared" si="55"/>
        <v>1088278.672</v>
      </c>
      <c r="N1208" s="61"/>
    </row>
    <row r="1209" spans="1:14" s="242" customFormat="1" ht="14.25" customHeight="1">
      <c r="A1209" s="624">
        <v>26</v>
      </c>
      <c r="B1209" s="625" t="str">
        <f>VLOOKUP(D1209,'[1]DS CN MOI UP'!$B$11:$C$447,2,0)</f>
        <v>02626</v>
      </c>
      <c r="C1209" s="626" t="s">
        <v>1392</v>
      </c>
      <c r="D1209" s="630" t="s">
        <v>319</v>
      </c>
      <c r="E1209" s="630" t="s">
        <v>15</v>
      </c>
      <c r="F1209" s="630"/>
      <c r="G1209" s="655">
        <v>40000</v>
      </c>
      <c r="H1209" s="655">
        <v>635040.18900000001</v>
      </c>
      <c r="I1209" s="655">
        <v>524139.33600000001</v>
      </c>
      <c r="J1209" s="635">
        <f t="shared" si="45"/>
        <v>1199179.5249999999</v>
      </c>
      <c r="K1209" s="635"/>
      <c r="L1209" s="635"/>
      <c r="M1209" s="655">
        <f t="shared" si="55"/>
        <v>1199179.5249999999</v>
      </c>
      <c r="N1209" s="61"/>
    </row>
    <row r="1210" spans="1:14" s="242" customFormat="1" ht="14.25" customHeight="1">
      <c r="A1210" s="624">
        <v>27</v>
      </c>
      <c r="B1210" s="625" t="e">
        <f>VLOOKUP(D1210,'[1]DS CN MOI UP'!$B$11:$C$447,2,0)</f>
        <v>#N/A</v>
      </c>
      <c r="C1210" s="626" t="s">
        <v>1394</v>
      </c>
      <c r="D1210" s="630" t="s">
        <v>1389</v>
      </c>
      <c r="E1210" s="630" t="s">
        <v>15</v>
      </c>
      <c r="F1210" s="630"/>
      <c r="G1210" s="655">
        <v>40000</v>
      </c>
      <c r="H1210" s="655">
        <v>635040.18900000001</v>
      </c>
      <c r="I1210" s="655">
        <v>524139.33600000001</v>
      </c>
      <c r="J1210" s="635">
        <f t="shared" si="45"/>
        <v>1199179.5249999999</v>
      </c>
      <c r="K1210" s="635"/>
      <c r="L1210" s="635"/>
      <c r="M1210" s="655">
        <f t="shared" si="55"/>
        <v>1199179.5249999999</v>
      </c>
      <c r="N1210" s="61"/>
    </row>
    <row r="1211" spans="1:14" s="242" customFormat="1" ht="14.25" customHeight="1">
      <c r="A1211" s="624">
        <v>28</v>
      </c>
      <c r="B1211" s="625" t="e">
        <f>VLOOKUP(D1211,'[1]DS CN MOI UP'!$B$11:$C$447,2,0)</f>
        <v>#N/A</v>
      </c>
      <c r="C1211" s="626" t="s">
        <v>1396</v>
      </c>
      <c r="D1211" s="630" t="s">
        <v>1403</v>
      </c>
      <c r="E1211" s="630" t="s">
        <v>15</v>
      </c>
      <c r="F1211" s="630"/>
      <c r="G1211" s="655">
        <v>40000</v>
      </c>
      <c r="H1211" s="655">
        <v>554373.09900000005</v>
      </c>
      <c r="I1211" s="655">
        <v>524139.33600000001</v>
      </c>
      <c r="J1211" s="635">
        <f t="shared" si="45"/>
        <v>1118512.4350000001</v>
      </c>
      <c r="K1211" s="635"/>
      <c r="L1211" s="635"/>
      <c r="M1211" s="655">
        <f t="shared" si="55"/>
        <v>1118512.4350000001</v>
      </c>
      <c r="N1211" s="61"/>
    </row>
    <row r="1212" spans="1:14" s="242" customFormat="1" ht="14.25" customHeight="1">
      <c r="A1212" s="624">
        <v>29</v>
      </c>
      <c r="B1212" s="625" t="e">
        <f>VLOOKUP(D1212,'[1]DS CN MOI UP'!$B$11:$C$447,2,0)</f>
        <v>#N/A</v>
      </c>
      <c r="C1212" s="626" t="s">
        <v>1398</v>
      </c>
      <c r="D1212" s="630" t="s">
        <v>1404</v>
      </c>
      <c r="E1212" s="630" t="s">
        <v>15</v>
      </c>
      <c r="F1212" s="630"/>
      <c r="G1212" s="655">
        <v>60000</v>
      </c>
      <c r="H1212" s="655">
        <v>554373.09900000005</v>
      </c>
      <c r="I1212" s="655">
        <v>524139.33600000001</v>
      </c>
      <c r="J1212" s="635">
        <f t="shared" si="45"/>
        <v>1138512.4350000001</v>
      </c>
      <c r="K1212" s="635"/>
      <c r="L1212" s="635"/>
      <c r="M1212" s="655">
        <f t="shared" si="55"/>
        <v>1138512.4350000001</v>
      </c>
      <c r="N1212" s="61"/>
    </row>
    <row r="1213" spans="1:14" s="242" customFormat="1" ht="14.25" customHeight="1">
      <c r="A1213" s="624">
        <v>30</v>
      </c>
      <c r="B1213" s="625" t="str">
        <f>VLOOKUP(D1213,'[1]DS CN MOI UP'!$B$11:$C$447,2,0)</f>
        <v>02628</v>
      </c>
      <c r="C1213" s="626" t="s">
        <v>1405</v>
      </c>
      <c r="D1213" s="630" t="s">
        <v>321</v>
      </c>
      <c r="E1213" s="630" t="s">
        <v>15</v>
      </c>
      <c r="F1213" s="630"/>
      <c r="G1213" s="655">
        <v>40000</v>
      </c>
      <c r="H1213" s="655">
        <v>554373.09900000005</v>
      </c>
      <c r="I1213" s="655">
        <v>524139.33600000001</v>
      </c>
      <c r="J1213" s="635">
        <f t="shared" si="45"/>
        <v>1118512.4350000001</v>
      </c>
      <c r="K1213" s="635"/>
      <c r="L1213" s="635"/>
      <c r="M1213" s="655">
        <f t="shared" si="55"/>
        <v>1118512.4350000001</v>
      </c>
      <c r="N1213" s="61"/>
    </row>
    <row r="1214" spans="1:14" s="242" customFormat="1" ht="14.25" customHeight="1">
      <c r="A1214" s="624">
        <v>31</v>
      </c>
      <c r="B1214" s="625" t="e">
        <f>VLOOKUP(D1214,'[1]DS CN MOI UP'!$B$11:$C$447,2,0)</f>
        <v>#N/A</v>
      </c>
      <c r="C1214" s="626" t="s">
        <v>1406</v>
      </c>
      <c r="D1214" s="630" t="s">
        <v>1407</v>
      </c>
      <c r="E1214" s="630" t="s">
        <v>15</v>
      </c>
      <c r="F1214" s="630"/>
      <c r="G1214" s="655">
        <v>40000</v>
      </c>
      <c r="H1214" s="655">
        <v>554373.09900000005</v>
      </c>
      <c r="I1214" s="655">
        <v>524139.33600000001</v>
      </c>
      <c r="J1214" s="635">
        <f t="shared" si="45"/>
        <v>1118512.4350000001</v>
      </c>
      <c r="K1214" s="635"/>
      <c r="L1214" s="635"/>
      <c r="M1214" s="655">
        <f t="shared" si="55"/>
        <v>1118512.4350000001</v>
      </c>
      <c r="N1214" s="61"/>
    </row>
    <row r="1215" spans="1:14" s="242" customFormat="1" ht="14.25" customHeight="1">
      <c r="A1215" s="624">
        <v>32</v>
      </c>
      <c r="B1215" s="625" t="e">
        <f>VLOOKUP(D1215,'[1]DS CN MOI UP'!$B$11:$C$447,2,0)</f>
        <v>#N/A</v>
      </c>
      <c r="C1215" s="626" t="s">
        <v>1408</v>
      </c>
      <c r="D1215" s="630" t="s">
        <v>1409</v>
      </c>
      <c r="E1215" s="630" t="s">
        <v>15</v>
      </c>
      <c r="F1215" s="630"/>
      <c r="G1215" s="655">
        <v>40000</v>
      </c>
      <c r="H1215" s="655">
        <v>554373.09900000005</v>
      </c>
      <c r="I1215" s="655">
        <v>524139.33600000001</v>
      </c>
      <c r="J1215" s="635">
        <f t="shared" si="45"/>
        <v>1118512.4350000001</v>
      </c>
      <c r="K1215" s="635"/>
      <c r="L1215" s="635"/>
      <c r="M1215" s="655">
        <f t="shared" si="55"/>
        <v>1118512.4350000001</v>
      </c>
      <c r="N1215" s="61"/>
    </row>
    <row r="1216" spans="1:14" s="242" customFormat="1" ht="14.25" customHeight="1">
      <c r="A1216" s="624">
        <v>33</v>
      </c>
      <c r="B1216" s="625" t="e">
        <f>VLOOKUP(D1216,'[1]DS CN MOI UP'!$B$11:$C$447,2,0)</f>
        <v>#N/A</v>
      </c>
      <c r="C1216" s="626" t="s">
        <v>1410</v>
      </c>
      <c r="D1216" s="630" t="s">
        <v>1411</v>
      </c>
      <c r="E1216" s="630" t="s">
        <v>15</v>
      </c>
      <c r="F1216" s="630"/>
      <c r="G1216" s="655">
        <v>40000</v>
      </c>
      <c r="H1216" s="655">
        <v>635040.18900000001</v>
      </c>
      <c r="I1216" s="655">
        <v>524139.33600000001</v>
      </c>
      <c r="J1216" s="635">
        <f t="shared" si="45"/>
        <v>1199179.5249999999</v>
      </c>
      <c r="K1216" s="635"/>
      <c r="L1216" s="635"/>
      <c r="M1216" s="655">
        <f t="shared" si="55"/>
        <v>1199179.5249999999</v>
      </c>
      <c r="N1216" s="61"/>
    </row>
    <row r="1217" spans="1:14" s="242" customFormat="1" ht="14.25" customHeight="1">
      <c r="A1217" s="624">
        <v>34</v>
      </c>
      <c r="B1217" s="625" t="str">
        <f>VLOOKUP(D1217,'[1]DS CN MOI UP'!$B$11:$C$447,2,0)</f>
        <v>02629</v>
      </c>
      <c r="C1217" s="626" t="s">
        <v>1412</v>
      </c>
      <c r="D1217" s="630" t="s">
        <v>323</v>
      </c>
      <c r="E1217" s="630" t="s">
        <v>15</v>
      </c>
      <c r="F1217" s="630"/>
      <c r="G1217" s="655">
        <v>40000</v>
      </c>
      <c r="H1217" s="655">
        <v>544338.9</v>
      </c>
      <c r="I1217" s="655">
        <v>524139.33600000001</v>
      </c>
      <c r="J1217" s="635">
        <f t="shared" si="45"/>
        <v>1108478.236</v>
      </c>
      <c r="K1217" s="635"/>
      <c r="L1217" s="635"/>
      <c r="M1217" s="655">
        <f t="shared" si="55"/>
        <v>1108478.236</v>
      </c>
      <c r="N1217" s="61"/>
    </row>
    <row r="1218" spans="1:14" s="242" customFormat="1" ht="14.25" customHeight="1">
      <c r="A1218" s="624">
        <v>35</v>
      </c>
      <c r="B1218" s="625" t="e">
        <f>VLOOKUP(D1218,'[1]DS CN MOI UP'!$B$11:$C$447,2,0)</f>
        <v>#N/A</v>
      </c>
      <c r="C1218" s="626" t="s">
        <v>1413</v>
      </c>
      <c r="D1218" s="630" t="s">
        <v>1296</v>
      </c>
      <c r="E1218" s="630" t="s">
        <v>15</v>
      </c>
      <c r="F1218" s="630"/>
      <c r="G1218" s="655">
        <v>40000</v>
      </c>
      <c r="H1218" s="655">
        <v>574572.66299999994</v>
      </c>
      <c r="I1218" s="655">
        <v>524139.33600000001</v>
      </c>
      <c r="J1218" s="635">
        <f t="shared" si="45"/>
        <v>1138711.9989999998</v>
      </c>
      <c r="K1218" s="635"/>
      <c r="L1218" s="635"/>
      <c r="M1218" s="655">
        <f t="shared" si="55"/>
        <v>1138711.9989999998</v>
      </c>
      <c r="N1218" s="61"/>
    </row>
    <row r="1219" spans="1:14" s="242" customFormat="1" ht="14.25" customHeight="1">
      <c r="A1219" s="624">
        <v>36</v>
      </c>
      <c r="B1219" s="625" t="str">
        <f>VLOOKUP(D1219,'[1]DS CN MOI UP'!$B$11:$C$447,2,0)</f>
        <v>02630</v>
      </c>
      <c r="C1219" s="626" t="s">
        <v>1414</v>
      </c>
      <c r="D1219" s="630" t="s">
        <v>324</v>
      </c>
      <c r="E1219" s="630" t="s">
        <v>15</v>
      </c>
      <c r="F1219" s="630"/>
      <c r="G1219" s="655">
        <v>40000</v>
      </c>
      <c r="H1219" s="655">
        <v>604806.42599999998</v>
      </c>
      <c r="I1219" s="655">
        <v>524139.33600000001</v>
      </c>
      <c r="J1219" s="635">
        <f t="shared" si="45"/>
        <v>1168945.7620000001</v>
      </c>
      <c r="K1219" s="635"/>
      <c r="L1219" s="635"/>
      <c r="M1219" s="655">
        <f t="shared" si="55"/>
        <v>1168945.7620000001</v>
      </c>
      <c r="N1219" s="61"/>
    </row>
    <row r="1220" spans="1:14" s="242" customFormat="1" ht="14.25" customHeight="1">
      <c r="A1220" s="624">
        <v>37</v>
      </c>
      <c r="B1220" s="625" t="e">
        <f>VLOOKUP(D1220,'[1]DS CN MOI UP'!$B$11:$C$447,2,0)</f>
        <v>#N/A</v>
      </c>
      <c r="C1220" s="626" t="s">
        <v>1415</v>
      </c>
      <c r="D1220" s="630" t="s">
        <v>1416</v>
      </c>
      <c r="E1220" s="630" t="s">
        <v>15</v>
      </c>
      <c r="F1220" s="630"/>
      <c r="G1220" s="655">
        <v>40000</v>
      </c>
      <c r="H1220" s="655">
        <v>584606.86199999996</v>
      </c>
      <c r="I1220" s="655">
        <v>524139.33600000001</v>
      </c>
      <c r="J1220" s="635">
        <f t="shared" si="45"/>
        <v>1148746.1979999999</v>
      </c>
      <c r="K1220" s="635"/>
      <c r="L1220" s="635"/>
      <c r="M1220" s="655">
        <f t="shared" si="55"/>
        <v>1148746.1979999999</v>
      </c>
      <c r="N1220" s="61"/>
    </row>
    <row r="1221" spans="1:14" s="242" customFormat="1" ht="14.25" customHeight="1">
      <c r="A1221" s="624">
        <v>38</v>
      </c>
      <c r="B1221" s="625" t="str">
        <f>VLOOKUP(D1221,'[1]DS CN MOI UP'!$B$11:$C$447,2,0)</f>
        <v>02631</v>
      </c>
      <c r="C1221" s="626" t="s">
        <v>1417</v>
      </c>
      <c r="D1221" s="630" t="s">
        <v>325</v>
      </c>
      <c r="E1221" s="630" t="s">
        <v>15</v>
      </c>
      <c r="F1221" s="630"/>
      <c r="G1221" s="655">
        <v>40000</v>
      </c>
      <c r="H1221" s="655">
        <v>635040.18900000001</v>
      </c>
      <c r="I1221" s="655">
        <v>524139.33600000001</v>
      </c>
      <c r="J1221" s="635">
        <f t="shared" si="45"/>
        <v>1199179.5249999999</v>
      </c>
      <c r="K1221" s="635"/>
      <c r="L1221" s="635"/>
      <c r="M1221" s="655">
        <f t="shared" si="55"/>
        <v>1199179.5249999999</v>
      </c>
      <c r="N1221" s="61"/>
    </row>
    <row r="1222" spans="1:14" s="242" customFormat="1" ht="14.25" customHeight="1">
      <c r="A1222" s="624">
        <v>39</v>
      </c>
      <c r="B1222" s="625" t="e">
        <f>VLOOKUP(D1222,'[1]DS CN MOI UP'!$B$11:$C$447,2,0)</f>
        <v>#N/A</v>
      </c>
      <c r="C1222" s="626" t="s">
        <v>1418</v>
      </c>
      <c r="D1222" s="630" t="s">
        <v>1419</v>
      </c>
      <c r="E1222" s="630" t="s">
        <v>15</v>
      </c>
      <c r="F1222" s="630"/>
      <c r="G1222" s="655">
        <v>40000</v>
      </c>
      <c r="H1222" s="655">
        <v>524139.33600000001</v>
      </c>
      <c r="I1222" s="655">
        <v>524139.33600000001</v>
      </c>
      <c r="J1222" s="635">
        <f t="shared" si="45"/>
        <v>1088278.672</v>
      </c>
      <c r="K1222" s="635"/>
      <c r="L1222" s="635"/>
      <c r="M1222" s="655">
        <f t="shared" si="55"/>
        <v>1088278.672</v>
      </c>
      <c r="N1222" s="61"/>
    </row>
    <row r="1223" spans="1:14" s="242" customFormat="1" ht="14.25" customHeight="1">
      <c r="A1223" s="624">
        <v>40</v>
      </c>
      <c r="B1223" s="625" t="e">
        <f>VLOOKUP(D1223,'[1]DS CN MOI UP'!$B$11:$C$447,2,0)</f>
        <v>#N/A</v>
      </c>
      <c r="C1223" s="626" t="s">
        <v>1420</v>
      </c>
      <c r="D1223" s="630" t="s">
        <v>1421</v>
      </c>
      <c r="E1223" s="630" t="s">
        <v>15</v>
      </c>
      <c r="F1223" s="630"/>
      <c r="G1223" s="655">
        <v>40000</v>
      </c>
      <c r="H1223" s="655">
        <v>635040.18900000001</v>
      </c>
      <c r="I1223" s="655">
        <v>524139.33600000001</v>
      </c>
      <c r="J1223" s="635">
        <f t="shared" si="45"/>
        <v>1199179.5249999999</v>
      </c>
      <c r="K1223" s="635"/>
      <c r="L1223" s="635"/>
      <c r="M1223" s="655">
        <f t="shared" si="55"/>
        <v>1199179.5249999999</v>
      </c>
      <c r="N1223" s="61"/>
    </row>
    <row r="1224" spans="1:14" s="242" customFormat="1" ht="14.25" customHeight="1">
      <c r="A1224" s="624">
        <v>41</v>
      </c>
      <c r="B1224" s="625" t="e">
        <f>VLOOKUP(D1224,'[1]DS CN MOI UP'!$B$11:$C$447,2,0)</f>
        <v>#N/A</v>
      </c>
      <c r="C1224" s="626" t="s">
        <v>1422</v>
      </c>
      <c r="D1224" s="630" t="s">
        <v>1423</v>
      </c>
      <c r="E1224" s="630" t="s">
        <v>15</v>
      </c>
      <c r="F1224" s="630"/>
      <c r="G1224" s="655">
        <v>40000</v>
      </c>
      <c r="H1224" s="655">
        <v>635040.18900000001</v>
      </c>
      <c r="I1224" s="655">
        <v>524139.33600000001</v>
      </c>
      <c r="J1224" s="635">
        <f t="shared" si="45"/>
        <v>1199179.5249999999</v>
      </c>
      <c r="K1224" s="635"/>
      <c r="L1224" s="635"/>
      <c r="M1224" s="655">
        <f t="shared" si="55"/>
        <v>1199179.5249999999</v>
      </c>
      <c r="N1224" s="61"/>
    </row>
    <row r="1225" spans="1:14" s="242" customFormat="1" ht="14.25" customHeight="1">
      <c r="A1225" s="624">
        <v>42</v>
      </c>
      <c r="B1225" s="625" t="e">
        <f>VLOOKUP(D1225,'[1]DS CN MOI UP'!$B$11:$C$447,2,0)</f>
        <v>#N/A</v>
      </c>
      <c r="C1225" s="626" t="s">
        <v>1424</v>
      </c>
      <c r="D1225" s="630" t="s">
        <v>1425</v>
      </c>
      <c r="E1225" s="630" t="s">
        <v>15</v>
      </c>
      <c r="F1225" s="630"/>
      <c r="G1225" s="655">
        <v>40000</v>
      </c>
      <c r="H1225" s="655">
        <v>554373.09900000005</v>
      </c>
      <c r="I1225" s="655">
        <v>524139.33600000001</v>
      </c>
      <c r="J1225" s="635">
        <f t="shared" si="45"/>
        <v>1118512.4350000001</v>
      </c>
      <c r="K1225" s="635"/>
      <c r="L1225" s="635"/>
      <c r="M1225" s="655">
        <f t="shared" si="55"/>
        <v>1118512.4350000001</v>
      </c>
      <c r="N1225" s="61"/>
    </row>
    <row r="1226" spans="1:14" s="242" customFormat="1" ht="14.25" customHeight="1">
      <c r="A1226" s="624">
        <v>43</v>
      </c>
      <c r="B1226" s="625" t="e">
        <f>VLOOKUP(D1226,'[1]DS CN MOI UP'!$B$11:$C$447,2,0)</f>
        <v>#N/A</v>
      </c>
      <c r="C1226" s="626" t="s">
        <v>1426</v>
      </c>
      <c r="D1226" s="630" t="s">
        <v>1427</v>
      </c>
      <c r="E1226" s="630" t="s">
        <v>15</v>
      </c>
      <c r="F1226" s="630"/>
      <c r="G1226" s="655">
        <v>60000</v>
      </c>
      <c r="H1226" s="655">
        <v>554373.09900000005</v>
      </c>
      <c r="I1226" s="655">
        <v>524139.33600000001</v>
      </c>
      <c r="J1226" s="635">
        <f t="shared" si="45"/>
        <v>1138512.4350000001</v>
      </c>
      <c r="K1226" s="635"/>
      <c r="L1226" s="635"/>
      <c r="M1226" s="655">
        <f t="shared" si="55"/>
        <v>1138512.4350000001</v>
      </c>
      <c r="N1226" s="61"/>
    </row>
    <row r="1227" spans="1:14" s="242" customFormat="1" ht="14.25" customHeight="1">
      <c r="A1227" s="624">
        <v>44</v>
      </c>
      <c r="B1227" s="625" t="e">
        <f>VLOOKUP(D1227,'[1]DS CN MOI UP'!$B$11:$C$447,2,0)</f>
        <v>#N/A</v>
      </c>
      <c r="C1227" s="626" t="s">
        <v>1428</v>
      </c>
      <c r="D1227" s="630" t="s">
        <v>1429</v>
      </c>
      <c r="E1227" s="630" t="s">
        <v>15</v>
      </c>
      <c r="F1227" s="630"/>
      <c r="G1227" s="655">
        <v>40000</v>
      </c>
      <c r="H1227" s="655">
        <v>554373.09900000005</v>
      </c>
      <c r="I1227" s="655">
        <v>524139.33600000001</v>
      </c>
      <c r="J1227" s="635">
        <f t="shared" si="45"/>
        <v>1118512.4350000001</v>
      </c>
      <c r="K1227" s="635"/>
      <c r="L1227" s="635"/>
      <c r="M1227" s="655">
        <f t="shared" si="55"/>
        <v>1118512.4350000001</v>
      </c>
      <c r="N1227" s="61"/>
    </row>
    <row r="1228" spans="1:14" s="242" customFormat="1" ht="14.25" customHeight="1">
      <c r="A1228" s="624">
        <v>45</v>
      </c>
      <c r="B1228" s="625" t="e">
        <f>VLOOKUP(D1228,'[1]DS CN MOI UP'!$B$11:$C$447,2,0)</f>
        <v>#N/A</v>
      </c>
      <c r="C1228" s="626" t="s">
        <v>1430</v>
      </c>
      <c r="D1228" s="630" t="s">
        <v>1431</v>
      </c>
      <c r="E1228" s="630" t="s">
        <v>15</v>
      </c>
      <c r="F1228" s="630"/>
      <c r="G1228" s="655">
        <v>40000</v>
      </c>
      <c r="H1228" s="655">
        <v>554373.09900000005</v>
      </c>
      <c r="I1228" s="655">
        <v>524139.33600000001</v>
      </c>
      <c r="J1228" s="635">
        <f t="shared" si="45"/>
        <v>1118512.4350000001</v>
      </c>
      <c r="K1228" s="635"/>
      <c r="L1228" s="635"/>
      <c r="M1228" s="655">
        <f t="shared" si="55"/>
        <v>1118512.4350000001</v>
      </c>
      <c r="N1228" s="61"/>
    </row>
    <row r="1229" spans="1:14" s="242" customFormat="1" ht="14.25" customHeight="1">
      <c r="A1229" s="624">
        <v>46</v>
      </c>
      <c r="B1229" s="625" t="e">
        <f>VLOOKUP(D1229,'[1]DS CN MOI UP'!$B$11:$C$447,2,0)</f>
        <v>#N/A</v>
      </c>
      <c r="C1229" s="626" t="s">
        <v>1432</v>
      </c>
      <c r="D1229" s="630" t="s">
        <v>1386</v>
      </c>
      <c r="E1229" s="630" t="s">
        <v>15</v>
      </c>
      <c r="F1229" s="630"/>
      <c r="G1229" s="655">
        <v>40000</v>
      </c>
      <c r="H1229" s="655">
        <v>554373.09900000005</v>
      </c>
      <c r="I1229" s="655">
        <v>524139.33600000001</v>
      </c>
      <c r="J1229" s="635">
        <f t="shared" si="45"/>
        <v>1118512.4350000001</v>
      </c>
      <c r="K1229" s="635"/>
      <c r="L1229" s="635"/>
      <c r="M1229" s="655">
        <f t="shared" si="55"/>
        <v>1118512.4350000001</v>
      </c>
      <c r="N1229" s="61"/>
    </row>
    <row r="1230" spans="1:14" s="242" customFormat="1" ht="14.25" customHeight="1">
      <c r="A1230" s="624">
        <v>47</v>
      </c>
      <c r="B1230" s="625" t="e">
        <f>VLOOKUP(D1230,'[1]DS CN MOI UP'!$B$11:$C$447,2,0)</f>
        <v>#N/A</v>
      </c>
      <c r="C1230" s="626" t="s">
        <v>1433</v>
      </c>
      <c r="D1230" s="630" t="s">
        <v>1298</v>
      </c>
      <c r="E1230" s="630" t="s">
        <v>15</v>
      </c>
      <c r="F1230" s="630"/>
      <c r="G1230" s="655">
        <v>40000</v>
      </c>
      <c r="H1230" s="655">
        <v>635040.18900000001</v>
      </c>
      <c r="I1230" s="655">
        <v>524139.33600000001</v>
      </c>
      <c r="J1230" s="635">
        <f t="shared" si="45"/>
        <v>1199179.5249999999</v>
      </c>
      <c r="K1230" s="635"/>
      <c r="L1230" s="635"/>
      <c r="M1230" s="655">
        <f t="shared" si="55"/>
        <v>1199179.5249999999</v>
      </c>
      <c r="N1230" s="61"/>
    </row>
    <row r="1231" spans="1:14" s="242" customFormat="1" ht="14.25" customHeight="1">
      <c r="A1231" s="624">
        <v>48</v>
      </c>
      <c r="B1231" s="625" t="e">
        <f>VLOOKUP(D1231,'[1]DS CN MOI UP'!$B$11:$C$447,2,0)</f>
        <v>#N/A</v>
      </c>
      <c r="C1231" s="626" t="s">
        <v>1434</v>
      </c>
      <c r="D1231" s="630" t="s">
        <v>1435</v>
      </c>
      <c r="E1231" s="630" t="s">
        <v>15</v>
      </c>
      <c r="F1231" s="630"/>
      <c r="G1231" s="655">
        <v>40000</v>
      </c>
      <c r="H1231" s="655">
        <v>544338.9</v>
      </c>
      <c r="I1231" s="655">
        <v>524139.33600000001</v>
      </c>
      <c r="J1231" s="635">
        <f t="shared" si="45"/>
        <v>1108478.236</v>
      </c>
      <c r="K1231" s="635"/>
      <c r="L1231" s="635"/>
      <c r="M1231" s="655">
        <f t="shared" si="55"/>
        <v>1108478.236</v>
      </c>
      <c r="N1231" s="61"/>
    </row>
    <row r="1232" spans="1:14" s="242" customFormat="1" ht="14.25" customHeight="1">
      <c r="A1232" s="624">
        <v>49</v>
      </c>
      <c r="B1232" s="625" t="e">
        <f>VLOOKUP(D1232,'[1]DS CN MOI UP'!$B$11:$C$447,2,0)</f>
        <v>#N/A</v>
      </c>
      <c r="C1232" s="626" t="s">
        <v>1436</v>
      </c>
      <c r="D1232" s="630" t="s">
        <v>728</v>
      </c>
      <c r="E1232" s="630" t="s">
        <v>15</v>
      </c>
      <c r="F1232" s="630"/>
      <c r="G1232" s="655">
        <v>40000</v>
      </c>
      <c r="H1232" s="655">
        <v>574572.66299999994</v>
      </c>
      <c r="I1232" s="655">
        <v>524139.33600000001</v>
      </c>
      <c r="J1232" s="635">
        <f t="shared" si="45"/>
        <v>1138711.9989999998</v>
      </c>
      <c r="K1232" s="635"/>
      <c r="L1232" s="635"/>
      <c r="M1232" s="655">
        <f t="shared" si="55"/>
        <v>1138711.9989999998</v>
      </c>
      <c r="N1232" s="61"/>
    </row>
    <row r="1233" spans="1:15" s="242" customFormat="1" ht="14.25" customHeight="1">
      <c r="A1233" s="624">
        <v>50</v>
      </c>
      <c r="B1233" s="625" t="str">
        <f>VLOOKUP(D1233,'[1]DS CN MOI UP'!$B$11:$C$447,2,0)</f>
        <v>02637</v>
      </c>
      <c r="C1233" s="626" t="s">
        <v>1437</v>
      </c>
      <c r="D1233" s="630" t="s">
        <v>287</v>
      </c>
      <c r="E1233" s="630" t="s">
        <v>15</v>
      </c>
      <c r="F1233" s="630"/>
      <c r="G1233" s="655">
        <v>40000</v>
      </c>
      <c r="H1233" s="655">
        <v>604806.42599999998</v>
      </c>
      <c r="I1233" s="655">
        <v>524139.33600000001</v>
      </c>
      <c r="J1233" s="635">
        <f t="shared" si="45"/>
        <v>1168945.7620000001</v>
      </c>
      <c r="K1233" s="635"/>
      <c r="L1233" s="635"/>
      <c r="M1233" s="655">
        <f t="shared" si="55"/>
        <v>1168945.7620000001</v>
      </c>
      <c r="N1233" s="61"/>
    </row>
    <row r="1234" spans="1:15" s="242" customFormat="1" ht="14.25" customHeight="1">
      <c r="A1234" s="624">
        <v>51</v>
      </c>
      <c r="B1234" s="625" t="str">
        <f>VLOOKUP(D1234,'[1]DS CN MOI UP'!$B$11:$C$447,2,0)</f>
        <v>03403</v>
      </c>
      <c r="C1234" s="626" t="s">
        <v>1438</v>
      </c>
      <c r="D1234" s="630" t="s">
        <v>1439</v>
      </c>
      <c r="E1234" s="630" t="s">
        <v>15</v>
      </c>
      <c r="F1234" s="630"/>
      <c r="G1234" s="655">
        <v>40000</v>
      </c>
      <c r="H1234" s="655">
        <v>584606.86199999996</v>
      </c>
      <c r="I1234" s="655">
        <v>524139.33600000001</v>
      </c>
      <c r="J1234" s="635">
        <f t="shared" si="45"/>
        <v>1148746.1979999999</v>
      </c>
      <c r="K1234" s="635"/>
      <c r="L1234" s="635"/>
      <c r="M1234" s="655">
        <f t="shared" si="55"/>
        <v>1148746.1979999999</v>
      </c>
      <c r="N1234" s="61"/>
    </row>
    <row r="1235" spans="1:15" s="242" customFormat="1" ht="14.25" customHeight="1">
      <c r="A1235" s="624">
        <v>52</v>
      </c>
      <c r="B1235" s="625" t="e">
        <f>VLOOKUP(D1235,'[1]DS CN MOI UP'!$B$11:$C$447,2,0)</f>
        <v>#N/A</v>
      </c>
      <c r="C1235" s="626" t="s">
        <v>1440</v>
      </c>
      <c r="D1235" s="630" t="s">
        <v>1441</v>
      </c>
      <c r="E1235" s="630" t="s">
        <v>15</v>
      </c>
      <c r="F1235" s="630"/>
      <c r="G1235" s="655">
        <v>40000</v>
      </c>
      <c r="H1235" s="655">
        <v>635040.18900000001</v>
      </c>
      <c r="I1235" s="655">
        <v>524139.33600000001</v>
      </c>
      <c r="J1235" s="635">
        <f t="shared" si="45"/>
        <v>1199179.5249999999</v>
      </c>
      <c r="K1235" s="635"/>
      <c r="L1235" s="635"/>
      <c r="M1235" s="655">
        <f t="shared" si="55"/>
        <v>1199179.5249999999</v>
      </c>
      <c r="N1235" s="61"/>
    </row>
    <row r="1236" spans="1:15" s="242" customFormat="1" ht="14.25" customHeight="1">
      <c r="A1236" s="624">
        <v>53</v>
      </c>
      <c r="B1236" s="625" t="e">
        <f>VLOOKUP(D1236,'[1]DS CN MOI UP'!$B$11:$C$447,2,0)</f>
        <v>#N/A</v>
      </c>
      <c r="C1236" s="626" t="s">
        <v>1442</v>
      </c>
      <c r="D1236" s="630" t="s">
        <v>1443</v>
      </c>
      <c r="E1236" s="630" t="s">
        <v>15</v>
      </c>
      <c r="F1236" s="630"/>
      <c r="G1236" s="655">
        <v>40000</v>
      </c>
      <c r="H1236" s="655">
        <v>524139.33600000001</v>
      </c>
      <c r="I1236" s="655">
        <v>524139.33600000001</v>
      </c>
      <c r="J1236" s="635">
        <f t="shared" si="45"/>
        <v>1088278.672</v>
      </c>
      <c r="K1236" s="635"/>
      <c r="L1236" s="635"/>
      <c r="M1236" s="655">
        <f t="shared" si="55"/>
        <v>1088278.672</v>
      </c>
      <c r="N1236" s="61"/>
    </row>
    <row r="1237" spans="1:15" s="242" customFormat="1" ht="14.25" customHeight="1">
      <c r="A1237" s="624">
        <v>54</v>
      </c>
      <c r="B1237" s="625" t="str">
        <f>VLOOKUP(D1237,'[1]DS CN MOI UP'!$B$11:$C$447,2,0)</f>
        <v>02639</v>
      </c>
      <c r="C1237" s="626" t="s">
        <v>1444</v>
      </c>
      <c r="D1237" s="630" t="s">
        <v>289</v>
      </c>
      <c r="E1237" s="630" t="s">
        <v>15</v>
      </c>
      <c r="F1237" s="630"/>
      <c r="G1237" s="655">
        <v>40000</v>
      </c>
      <c r="H1237" s="655">
        <v>635040.18900000001</v>
      </c>
      <c r="I1237" s="655">
        <v>524139.33600000001</v>
      </c>
      <c r="J1237" s="635">
        <f t="shared" si="45"/>
        <v>1199179.5249999999</v>
      </c>
      <c r="K1237" s="635"/>
      <c r="L1237" s="635"/>
      <c r="M1237" s="655">
        <f t="shared" si="55"/>
        <v>1199179.5249999999</v>
      </c>
      <c r="N1237" s="61"/>
    </row>
    <row r="1238" spans="1:15" s="242" customFormat="1" ht="14.25" customHeight="1">
      <c r="A1238" s="624">
        <v>55</v>
      </c>
      <c r="B1238" s="625" t="e">
        <f>VLOOKUP(D1238,'[1]DS CN MOI UP'!$B$11:$C$447,2,0)</f>
        <v>#N/A</v>
      </c>
      <c r="C1238" s="639" t="s">
        <v>1445</v>
      </c>
      <c r="D1238" s="630" t="s">
        <v>1446</v>
      </c>
      <c r="E1238" s="630" t="s">
        <v>15</v>
      </c>
      <c r="F1238" s="630"/>
      <c r="G1238" s="655">
        <v>40000</v>
      </c>
      <c r="H1238" s="655">
        <v>635040.18900000001</v>
      </c>
      <c r="I1238" s="655">
        <v>524139.33600000001</v>
      </c>
      <c r="J1238" s="635">
        <f t="shared" si="45"/>
        <v>1199179.5249999999</v>
      </c>
      <c r="K1238" s="635"/>
      <c r="L1238" s="635"/>
      <c r="M1238" s="655">
        <f t="shared" si="55"/>
        <v>1199179.5249999999</v>
      </c>
      <c r="N1238" s="61"/>
    </row>
    <row r="1239" spans="1:15" s="242" customFormat="1" ht="14.25" customHeight="1">
      <c r="A1239" s="624">
        <v>56</v>
      </c>
      <c r="B1239" s="625" t="str">
        <f>VLOOKUP(D1239,'[1]DS CN MOI UP'!$B$11:$C$447,2,0)</f>
        <v>02640</v>
      </c>
      <c r="C1239" s="639" t="s">
        <v>1447</v>
      </c>
      <c r="D1239" s="630" t="s">
        <v>517</v>
      </c>
      <c r="E1239" s="630" t="s">
        <v>15</v>
      </c>
      <c r="F1239" s="630"/>
      <c r="G1239" s="655">
        <v>40000</v>
      </c>
      <c r="H1239" s="655">
        <v>554373.09900000005</v>
      </c>
      <c r="I1239" s="655">
        <v>524139.33600000001</v>
      </c>
      <c r="J1239" s="635">
        <f t="shared" si="45"/>
        <v>1118512.4350000001</v>
      </c>
      <c r="K1239" s="635"/>
      <c r="L1239" s="635"/>
      <c r="M1239" s="655">
        <f t="shared" si="55"/>
        <v>1118512.4350000001</v>
      </c>
      <c r="N1239" s="61"/>
    </row>
    <row r="1240" spans="1:15" s="242" customFormat="1" ht="14.25" customHeight="1">
      <c r="A1240" s="624">
        <v>57</v>
      </c>
      <c r="B1240" s="625" t="e">
        <f>VLOOKUP(D1240,'[1]DS CN MOI UP'!$B$11:$C$447,2,0)</f>
        <v>#N/A</v>
      </c>
      <c r="C1240" s="639" t="s">
        <v>1448</v>
      </c>
      <c r="D1240" s="630" t="s">
        <v>1449</v>
      </c>
      <c r="E1240" s="630" t="s">
        <v>15</v>
      </c>
      <c r="F1240" s="630"/>
      <c r="G1240" s="655">
        <v>60000</v>
      </c>
      <c r="H1240" s="655">
        <v>554373.09900000005</v>
      </c>
      <c r="I1240" s="655">
        <v>524139.33600000001</v>
      </c>
      <c r="J1240" s="635">
        <f t="shared" si="45"/>
        <v>1138512.4350000001</v>
      </c>
      <c r="K1240" s="635"/>
      <c r="L1240" s="635"/>
      <c r="M1240" s="655">
        <f t="shared" si="55"/>
        <v>1138512.4350000001</v>
      </c>
      <c r="N1240" s="61"/>
    </row>
    <row r="1241" spans="1:15" s="242" customFormat="1" ht="14.25" customHeight="1">
      <c r="A1241" s="624">
        <v>58</v>
      </c>
      <c r="B1241" s="625" t="str">
        <f>VLOOKUP(D1241,'[1]DS CN MOI UP'!$B$11:$C$447,2,0)</f>
        <v>02641</v>
      </c>
      <c r="C1241" s="639" t="s">
        <v>1450</v>
      </c>
      <c r="D1241" s="630" t="s">
        <v>291</v>
      </c>
      <c r="E1241" s="630" t="s">
        <v>15</v>
      </c>
      <c r="F1241" s="630"/>
      <c r="G1241" s="655">
        <v>40000</v>
      </c>
      <c r="H1241" s="655">
        <v>554373.09900000005</v>
      </c>
      <c r="I1241" s="655">
        <v>524139.33600000001</v>
      </c>
      <c r="J1241" s="635">
        <f t="shared" si="45"/>
        <v>1118512.4350000001</v>
      </c>
      <c r="K1241" s="635"/>
      <c r="L1241" s="635"/>
      <c r="M1241" s="655">
        <f t="shared" si="55"/>
        <v>1118512.4350000001</v>
      </c>
      <c r="N1241" s="61"/>
    </row>
    <row r="1242" spans="1:15" s="242" customFormat="1" ht="14.25" customHeight="1">
      <c r="A1242" s="624">
        <v>59</v>
      </c>
      <c r="B1242" s="625" t="e">
        <f>VLOOKUP(D1242,'[1]DS CN MOI UP'!$B$11:$C$447,2,0)</f>
        <v>#N/A</v>
      </c>
      <c r="C1242" s="639" t="s">
        <v>1451</v>
      </c>
      <c r="D1242" s="630" t="s">
        <v>1452</v>
      </c>
      <c r="E1242" s="630" t="s">
        <v>15</v>
      </c>
      <c r="F1242" s="630"/>
      <c r="G1242" s="655">
        <v>40000</v>
      </c>
      <c r="H1242" s="655">
        <v>554373.09900000005</v>
      </c>
      <c r="I1242" s="655">
        <v>524139.33600000001</v>
      </c>
      <c r="J1242" s="635">
        <f t="shared" si="45"/>
        <v>1118512.4350000001</v>
      </c>
      <c r="K1242" s="635"/>
      <c r="L1242" s="635"/>
      <c r="M1242" s="655">
        <f t="shared" si="55"/>
        <v>1118512.4350000001</v>
      </c>
      <c r="N1242" s="61"/>
    </row>
    <row r="1243" spans="1:15" s="242" customFormat="1" ht="14.25" customHeight="1">
      <c r="A1243" s="624">
        <v>60</v>
      </c>
      <c r="B1243" s="625" t="e">
        <f>VLOOKUP(D1243,'[1]DS CN MOI UP'!$B$11:$C$447,2,0)</f>
        <v>#N/A</v>
      </c>
      <c r="C1243" s="639" t="s">
        <v>1453</v>
      </c>
      <c r="D1243" s="640" t="s">
        <v>1454</v>
      </c>
      <c r="E1243" s="630" t="s">
        <v>15</v>
      </c>
      <c r="F1243" s="630"/>
      <c r="G1243" s="655">
        <v>40000</v>
      </c>
      <c r="H1243" s="655">
        <v>554373.09900000005</v>
      </c>
      <c r="I1243" s="655">
        <v>524139.33600000001</v>
      </c>
      <c r="J1243" s="635">
        <f t="shared" si="45"/>
        <v>1118512.4350000001</v>
      </c>
      <c r="K1243" s="635"/>
      <c r="L1243" s="635"/>
      <c r="M1243" s="655">
        <f t="shared" si="55"/>
        <v>1118512.4350000001</v>
      </c>
      <c r="N1243" s="61"/>
    </row>
    <row r="1244" spans="1:15" s="242" customFormat="1" ht="14.25" customHeight="1">
      <c r="A1244" s="624">
        <v>61</v>
      </c>
      <c r="B1244" s="625" t="str">
        <f>VLOOKUP(D1244,'[1]DS CN MOI UP'!$B$11:$C$447,2,0)</f>
        <v>02525</v>
      </c>
      <c r="C1244" s="639" t="s">
        <v>1455</v>
      </c>
      <c r="D1244" s="641" t="s">
        <v>180</v>
      </c>
      <c r="E1244" s="630" t="s">
        <v>15</v>
      </c>
      <c r="F1244" s="630"/>
      <c r="G1244" s="655">
        <v>40000</v>
      </c>
      <c r="H1244" s="655">
        <v>635040.18900000001</v>
      </c>
      <c r="I1244" s="655">
        <v>524139.33600000001</v>
      </c>
      <c r="J1244" s="635">
        <f t="shared" si="45"/>
        <v>1199179.5249999999</v>
      </c>
      <c r="K1244" s="635"/>
      <c r="L1244" s="635"/>
      <c r="M1244" s="655">
        <f t="shared" si="55"/>
        <v>1199179.5249999999</v>
      </c>
      <c r="N1244" s="61"/>
      <c r="O1244" s="636"/>
    </row>
    <row r="1245" spans="1:15" s="242" customFormat="1" ht="14.25" customHeight="1">
      <c r="A1245" s="624">
        <v>62</v>
      </c>
      <c r="B1245" s="625" t="str">
        <f>VLOOKUP(D1245,'[1]DS CN MOI UP'!$B$11:$C$447,2,0)</f>
        <v>02643</v>
      </c>
      <c r="C1245" s="639" t="s">
        <v>1456</v>
      </c>
      <c r="D1245" s="641" t="s">
        <v>293</v>
      </c>
      <c r="E1245" s="630" t="s">
        <v>15</v>
      </c>
      <c r="F1245" s="630"/>
      <c r="G1245" s="655">
        <v>40000</v>
      </c>
      <c r="H1245" s="655">
        <v>544338.9</v>
      </c>
      <c r="I1245" s="655">
        <v>524139.33600000001</v>
      </c>
      <c r="J1245" s="635">
        <f t="shared" si="45"/>
        <v>1108478.236</v>
      </c>
      <c r="K1245" s="635"/>
      <c r="L1245" s="635"/>
      <c r="M1245" s="655">
        <f t="shared" si="55"/>
        <v>1108478.236</v>
      </c>
      <c r="N1245" s="61"/>
    </row>
    <row r="1246" spans="1:15" s="242" customFormat="1" ht="14.25" customHeight="1">
      <c r="A1246" s="624">
        <v>63</v>
      </c>
      <c r="B1246" s="625" t="e">
        <f>VLOOKUP(D1246,'[1]DS CN MOI UP'!$B$11:$C$447,2,0)</f>
        <v>#N/A</v>
      </c>
      <c r="C1246" s="639" t="s">
        <v>1456</v>
      </c>
      <c r="D1246" s="641" t="s">
        <v>1107</v>
      </c>
      <c r="E1246" s="630" t="s">
        <v>15</v>
      </c>
      <c r="F1246" s="630"/>
      <c r="G1246" s="655">
        <v>40000</v>
      </c>
      <c r="H1246" s="655">
        <v>574572.66299999994</v>
      </c>
      <c r="I1246" s="655">
        <v>524139.33600000001</v>
      </c>
      <c r="J1246" s="635">
        <f t="shared" si="45"/>
        <v>1138711.9989999998</v>
      </c>
      <c r="K1246" s="635"/>
      <c r="L1246" s="635"/>
      <c r="M1246" s="655">
        <f t="shared" si="55"/>
        <v>1138711.9989999998</v>
      </c>
      <c r="N1246" s="61"/>
    </row>
    <row r="1247" spans="1:15" s="242" customFormat="1" ht="14.25" customHeight="1">
      <c r="A1247" s="624">
        <v>64</v>
      </c>
      <c r="B1247" s="625" t="str">
        <f>VLOOKUP(D1247,'[1]DS CN MOI UP'!$B$11:$C$447,2,0)</f>
        <v>02473</v>
      </c>
      <c r="C1247" s="639" t="s">
        <v>1456</v>
      </c>
      <c r="D1247" s="641" t="s">
        <v>40</v>
      </c>
      <c r="E1247" s="630" t="s">
        <v>15</v>
      </c>
      <c r="F1247" s="630"/>
      <c r="G1247" s="655">
        <v>40000</v>
      </c>
      <c r="H1247" s="655">
        <v>604806.42599999998</v>
      </c>
      <c r="I1247" s="655">
        <v>524139.33600000001</v>
      </c>
      <c r="J1247" s="635">
        <f t="shared" si="45"/>
        <v>1168945.7620000001</v>
      </c>
      <c r="K1247" s="635"/>
      <c r="L1247" s="635"/>
      <c r="M1247" s="655">
        <f t="shared" si="55"/>
        <v>1168945.7620000001</v>
      </c>
      <c r="N1247" s="61"/>
    </row>
    <row r="1248" spans="1:15" s="242" customFormat="1" ht="14.25" customHeight="1">
      <c r="A1248" s="624">
        <v>65</v>
      </c>
      <c r="B1248" s="625" t="e">
        <f>VLOOKUP(D1248,'[1]DS CN MOI UP'!$B$11:$C$447,2,0)</f>
        <v>#N/A</v>
      </c>
      <c r="C1248" s="639" t="s">
        <v>1456</v>
      </c>
      <c r="D1248" s="641" t="s">
        <v>1108</v>
      </c>
      <c r="E1248" s="630" t="s">
        <v>15</v>
      </c>
      <c r="F1248" s="630"/>
      <c r="G1248" s="655">
        <v>40000</v>
      </c>
      <c r="H1248" s="655">
        <v>584606.86199999996</v>
      </c>
      <c r="I1248" s="655">
        <v>524139.33600000001</v>
      </c>
      <c r="J1248" s="635">
        <f t="shared" si="45"/>
        <v>1148746.1979999999</v>
      </c>
      <c r="K1248" s="635"/>
      <c r="L1248" s="635"/>
      <c r="M1248" s="655">
        <f t="shared" si="55"/>
        <v>1148746.1979999999</v>
      </c>
      <c r="N1248" s="61"/>
    </row>
    <row r="1249" spans="1:14" s="242" customFormat="1" ht="14.25" customHeight="1">
      <c r="A1249" s="624">
        <v>66</v>
      </c>
      <c r="B1249" s="625" t="e">
        <f>VLOOKUP(D1249,'[1]DS CN MOI UP'!$B$11:$C$447,2,0)</f>
        <v>#N/A</v>
      </c>
      <c r="C1249" s="639" t="s">
        <v>1456</v>
      </c>
      <c r="D1249" s="641" t="s">
        <v>1109</v>
      </c>
      <c r="E1249" s="630" t="s">
        <v>15</v>
      </c>
      <c r="F1249" s="630"/>
      <c r="G1249" s="655">
        <v>40000</v>
      </c>
      <c r="H1249" s="655">
        <v>635040.18900000001</v>
      </c>
      <c r="I1249" s="655">
        <v>524139.33600000001</v>
      </c>
      <c r="J1249" s="635">
        <f t="shared" si="45"/>
        <v>1199179.5249999999</v>
      </c>
      <c r="K1249" s="635"/>
      <c r="L1249" s="635"/>
      <c r="M1249" s="655">
        <f t="shared" si="55"/>
        <v>1199179.5249999999</v>
      </c>
      <c r="N1249" s="61"/>
    </row>
    <row r="1250" spans="1:14" s="242" customFormat="1" ht="14.25" customHeight="1">
      <c r="A1250" s="624">
        <v>67</v>
      </c>
      <c r="B1250" s="625" t="str">
        <f>VLOOKUP(D1250,'[1]DS CN MOI UP'!$B$11:$C$447,2,0)</f>
        <v>02474</v>
      </c>
      <c r="C1250" s="639" t="s">
        <v>1456</v>
      </c>
      <c r="D1250" s="641" t="s">
        <v>57</v>
      </c>
      <c r="E1250" s="630" t="s">
        <v>15</v>
      </c>
      <c r="F1250" s="630"/>
      <c r="G1250" s="655">
        <v>40000</v>
      </c>
      <c r="H1250" s="655">
        <v>524139.33600000001</v>
      </c>
      <c r="I1250" s="655">
        <v>524139.33600000001</v>
      </c>
      <c r="J1250" s="635">
        <f t="shared" si="45"/>
        <v>1088278.672</v>
      </c>
      <c r="K1250" s="635"/>
      <c r="L1250" s="635"/>
      <c r="M1250" s="655">
        <f t="shared" si="55"/>
        <v>1088278.672</v>
      </c>
      <c r="N1250" s="61"/>
    </row>
    <row r="1251" spans="1:14" s="242" customFormat="1" ht="14.25" customHeight="1">
      <c r="A1251" s="624">
        <v>68</v>
      </c>
      <c r="B1251" s="625" t="e">
        <f>VLOOKUP(D1251,'[1]DS CN MOI UP'!$B$11:$C$447,2,0)</f>
        <v>#N/A</v>
      </c>
      <c r="C1251" s="639" t="s">
        <v>1456</v>
      </c>
      <c r="D1251" s="641" t="s">
        <v>1110</v>
      </c>
      <c r="E1251" s="630" t="s">
        <v>15</v>
      </c>
      <c r="F1251" s="630"/>
      <c r="G1251" s="655">
        <v>40000</v>
      </c>
      <c r="H1251" s="655">
        <v>635040.18900000001</v>
      </c>
      <c r="I1251" s="655">
        <v>524139.33600000001</v>
      </c>
      <c r="J1251" s="635">
        <f t="shared" si="45"/>
        <v>1199179.5249999999</v>
      </c>
      <c r="K1251" s="635"/>
      <c r="L1251" s="635"/>
      <c r="M1251" s="655">
        <f t="shared" si="55"/>
        <v>1199179.5249999999</v>
      </c>
      <c r="N1251" s="61"/>
    </row>
    <row r="1252" spans="1:14" s="242" customFormat="1" ht="14.25" customHeight="1">
      <c r="A1252" s="624">
        <v>69</v>
      </c>
      <c r="B1252" s="625" t="e">
        <f>VLOOKUP(D1252,'[1]DS CN MOI UP'!$B$11:$C$447,2,0)</f>
        <v>#N/A</v>
      </c>
      <c r="C1252" s="639" t="s">
        <v>1456</v>
      </c>
      <c r="D1252" s="641" t="s">
        <v>1113</v>
      </c>
      <c r="E1252" s="630" t="s">
        <v>15</v>
      </c>
      <c r="F1252" s="630"/>
      <c r="G1252" s="655">
        <v>40000</v>
      </c>
      <c r="H1252" s="655">
        <v>635040.18900000001</v>
      </c>
      <c r="I1252" s="655">
        <v>524139.33600000001</v>
      </c>
      <c r="J1252" s="635">
        <f t="shared" si="45"/>
        <v>1199179.5249999999</v>
      </c>
      <c r="K1252" s="635"/>
      <c r="L1252" s="635"/>
      <c r="M1252" s="655">
        <f t="shared" si="55"/>
        <v>1199179.5249999999</v>
      </c>
      <c r="N1252" s="61"/>
    </row>
    <row r="1253" spans="1:14" s="242" customFormat="1" ht="14.25" customHeight="1">
      <c r="A1253" s="624">
        <v>70</v>
      </c>
      <c r="B1253" s="625" t="str">
        <f>VLOOKUP(D1253,'[1]DS CN MOI UP'!$B$11:$C$447,2,0)</f>
        <v>02475</v>
      </c>
      <c r="C1253" s="639" t="s">
        <v>1456</v>
      </c>
      <c r="D1253" s="641" t="s">
        <v>39</v>
      </c>
      <c r="E1253" s="630" t="s">
        <v>15</v>
      </c>
      <c r="F1253" s="630"/>
      <c r="G1253" s="655">
        <v>40000</v>
      </c>
      <c r="H1253" s="655">
        <v>554373.09900000005</v>
      </c>
      <c r="I1253" s="655">
        <v>524139.33600000001</v>
      </c>
      <c r="J1253" s="635">
        <f t="shared" si="45"/>
        <v>1118512.4350000001</v>
      </c>
      <c r="K1253" s="635"/>
      <c r="L1253" s="635"/>
      <c r="M1253" s="655">
        <f t="shared" si="55"/>
        <v>1118512.4350000001</v>
      </c>
      <c r="N1253" s="61"/>
    </row>
    <row r="1254" spans="1:14" s="242" customFormat="1" ht="14.25" customHeight="1">
      <c r="A1254" s="624">
        <v>71</v>
      </c>
      <c r="B1254" s="625" t="e">
        <f>VLOOKUP(D1254,'[1]DS CN MOI UP'!$B$11:$C$447,2,0)</f>
        <v>#N/A</v>
      </c>
      <c r="C1254" s="639" t="s">
        <v>1456</v>
      </c>
      <c r="D1254" s="641" t="s">
        <v>1111</v>
      </c>
      <c r="E1254" s="630" t="s">
        <v>15</v>
      </c>
      <c r="F1254" s="630"/>
      <c r="G1254" s="655">
        <v>60000</v>
      </c>
      <c r="H1254" s="655">
        <v>554373.09900000005</v>
      </c>
      <c r="I1254" s="655">
        <v>524139.33600000001</v>
      </c>
      <c r="J1254" s="635">
        <f t="shared" si="45"/>
        <v>1138512.4350000001</v>
      </c>
      <c r="K1254" s="635"/>
      <c r="L1254" s="635"/>
      <c r="M1254" s="655">
        <f t="shared" si="55"/>
        <v>1138512.4350000001</v>
      </c>
      <c r="N1254" s="61"/>
    </row>
    <row r="1255" spans="1:14" s="242" customFormat="1" ht="14.25" customHeight="1">
      <c r="A1255" s="624">
        <v>72</v>
      </c>
      <c r="B1255" s="625" t="e">
        <f>VLOOKUP(D1255,'[1]DS CN MOI UP'!$B$11:$C$447,2,0)</f>
        <v>#N/A</v>
      </c>
      <c r="C1255" s="639" t="s">
        <v>1456</v>
      </c>
      <c r="D1255" s="641" t="s">
        <v>1457</v>
      </c>
      <c r="E1255" s="630" t="s">
        <v>15</v>
      </c>
      <c r="F1255" s="630"/>
      <c r="G1255" s="655">
        <v>40000</v>
      </c>
      <c r="H1255" s="655">
        <v>554373.09900000005</v>
      </c>
      <c r="I1255" s="655">
        <v>524139.33600000001</v>
      </c>
      <c r="J1255" s="635">
        <f t="shared" si="45"/>
        <v>1118512.4350000001</v>
      </c>
      <c r="K1255" s="635"/>
      <c r="L1255" s="635"/>
      <c r="M1255" s="655">
        <f t="shared" si="55"/>
        <v>1118512.4350000001</v>
      </c>
      <c r="N1255" s="61"/>
    </row>
    <row r="1256" spans="1:14" s="242" customFormat="1" ht="14.25" customHeight="1">
      <c r="A1256" s="624">
        <v>73</v>
      </c>
      <c r="B1256" s="625" t="str">
        <f>VLOOKUP(D1256,'[1]DS CN MOI UP'!$B$11:$C$447,2,0)</f>
        <v>02476</v>
      </c>
      <c r="C1256" s="639" t="s">
        <v>1456</v>
      </c>
      <c r="D1256" s="641" t="s">
        <v>97</v>
      </c>
      <c r="E1256" s="630" t="s">
        <v>15</v>
      </c>
      <c r="F1256" s="630"/>
      <c r="G1256" s="655">
        <v>40000</v>
      </c>
      <c r="H1256" s="655">
        <v>554373.09900000005</v>
      </c>
      <c r="I1256" s="655">
        <v>524139.33600000001</v>
      </c>
      <c r="J1256" s="635">
        <f t="shared" si="45"/>
        <v>1118512.4350000001</v>
      </c>
      <c r="K1256" s="635"/>
      <c r="L1256" s="635"/>
      <c r="M1256" s="655">
        <f t="shared" si="55"/>
        <v>1118512.4350000001</v>
      </c>
      <c r="N1256" s="61"/>
    </row>
    <row r="1257" spans="1:14" s="242" customFormat="1" ht="14.25" customHeight="1">
      <c r="A1257" s="624">
        <v>74</v>
      </c>
      <c r="B1257" s="625" t="e">
        <f>VLOOKUP(D1257,'[1]DS CN MOI UP'!$B$11:$C$447,2,0)</f>
        <v>#N/A</v>
      </c>
      <c r="C1257" s="639" t="s">
        <v>1456</v>
      </c>
      <c r="D1257" s="641" t="s">
        <v>1112</v>
      </c>
      <c r="E1257" s="630" t="s">
        <v>15</v>
      </c>
      <c r="F1257" s="630"/>
      <c r="G1257" s="655">
        <v>40000</v>
      </c>
      <c r="H1257" s="655">
        <v>554373.09900000005</v>
      </c>
      <c r="I1257" s="655">
        <v>524139.33600000001</v>
      </c>
      <c r="J1257" s="635">
        <f t="shared" si="45"/>
        <v>1118512.4350000001</v>
      </c>
      <c r="K1257" s="635"/>
      <c r="L1257" s="635"/>
      <c r="M1257" s="655">
        <f t="shared" si="55"/>
        <v>1118512.4350000001</v>
      </c>
      <c r="N1257" s="61"/>
    </row>
    <row r="1258" spans="1:14" s="242" customFormat="1" ht="14.25" customHeight="1">
      <c r="A1258" s="624">
        <v>75</v>
      </c>
      <c r="B1258" s="625" t="e">
        <f>VLOOKUP(D1258,'[1]DS CN MOI UP'!$B$11:$C$447,2,0)</f>
        <v>#N/A</v>
      </c>
      <c r="C1258" s="639" t="s">
        <v>1456</v>
      </c>
      <c r="D1258" s="641" t="s">
        <v>1113</v>
      </c>
      <c r="E1258" s="630" t="s">
        <v>15</v>
      </c>
      <c r="F1258" s="630"/>
      <c r="G1258" s="655">
        <v>40000</v>
      </c>
      <c r="H1258" s="655">
        <v>635040.18900000001</v>
      </c>
      <c r="I1258" s="655">
        <v>524139.33600000001</v>
      </c>
      <c r="J1258" s="635">
        <f t="shared" si="45"/>
        <v>1199179.5249999999</v>
      </c>
      <c r="K1258" s="635"/>
      <c r="L1258" s="635"/>
      <c r="M1258" s="655">
        <f t="shared" si="55"/>
        <v>1199179.5249999999</v>
      </c>
      <c r="N1258" s="61"/>
    </row>
    <row r="1259" spans="1:14" s="242" customFormat="1" ht="14.25" customHeight="1">
      <c r="A1259" s="624">
        <v>76</v>
      </c>
      <c r="B1259" s="625" t="str">
        <f>VLOOKUP(D1259,'[1]DS CN MOI UP'!$B$11:$C$447,2,0)</f>
        <v>02477</v>
      </c>
      <c r="C1259" s="639" t="s">
        <v>1456</v>
      </c>
      <c r="D1259" s="641" t="s">
        <v>119</v>
      </c>
      <c r="E1259" s="630" t="s">
        <v>15</v>
      </c>
      <c r="F1259" s="630"/>
      <c r="G1259" s="655">
        <v>40000</v>
      </c>
      <c r="H1259" s="655">
        <v>544338.9</v>
      </c>
      <c r="I1259" s="655">
        <v>524139.33600000001</v>
      </c>
      <c r="J1259" s="635">
        <f t="shared" si="45"/>
        <v>1108478.236</v>
      </c>
      <c r="K1259" s="635"/>
      <c r="L1259" s="635"/>
      <c r="M1259" s="655">
        <f t="shared" si="55"/>
        <v>1108478.236</v>
      </c>
      <c r="N1259" s="61"/>
    </row>
    <row r="1260" spans="1:14" s="242" customFormat="1" ht="14.25" customHeight="1">
      <c r="A1260" s="624">
        <v>77</v>
      </c>
      <c r="B1260" s="625" t="e">
        <f>VLOOKUP(D1260,'[1]DS CN MOI UP'!$B$11:$C$447,2,0)</f>
        <v>#N/A</v>
      </c>
      <c r="C1260" s="639" t="s">
        <v>1456</v>
      </c>
      <c r="D1260" s="641" t="s">
        <v>1114</v>
      </c>
      <c r="E1260" s="630" t="s">
        <v>15</v>
      </c>
      <c r="F1260" s="630"/>
      <c r="G1260" s="655">
        <v>40000</v>
      </c>
      <c r="H1260" s="655">
        <v>574572.66299999994</v>
      </c>
      <c r="I1260" s="655">
        <v>524139.33600000001</v>
      </c>
      <c r="J1260" s="635">
        <f t="shared" si="45"/>
        <v>1138711.9989999998</v>
      </c>
      <c r="K1260" s="635"/>
      <c r="L1260" s="635"/>
      <c r="M1260" s="655">
        <f t="shared" si="55"/>
        <v>1138711.9989999998</v>
      </c>
      <c r="N1260" s="61"/>
    </row>
    <row r="1261" spans="1:14" s="242" customFormat="1" ht="14.25" customHeight="1">
      <c r="A1261" s="624">
        <v>78</v>
      </c>
      <c r="B1261" s="625" t="e">
        <f>VLOOKUP(D1261,'[1]DS CN MOI UP'!$B$11:$C$447,2,0)</f>
        <v>#N/A</v>
      </c>
      <c r="C1261" s="639" t="s">
        <v>1456</v>
      </c>
      <c r="D1261" s="641" t="s">
        <v>1115</v>
      </c>
      <c r="E1261" s="630" t="s">
        <v>15</v>
      </c>
      <c r="F1261" s="630"/>
      <c r="G1261" s="655">
        <v>40000</v>
      </c>
      <c r="H1261" s="655">
        <v>604806.42599999998</v>
      </c>
      <c r="I1261" s="655">
        <v>524139.33600000001</v>
      </c>
      <c r="J1261" s="635">
        <f t="shared" si="45"/>
        <v>1168945.7620000001</v>
      </c>
      <c r="K1261" s="635"/>
      <c r="L1261" s="635"/>
      <c r="M1261" s="655">
        <f t="shared" si="55"/>
        <v>1168945.7620000001</v>
      </c>
      <c r="N1261" s="61"/>
    </row>
    <row r="1262" spans="1:14" s="242" customFormat="1" ht="14.25" customHeight="1">
      <c r="A1262" s="624">
        <v>79</v>
      </c>
      <c r="B1262" s="625" t="str">
        <f>VLOOKUP(D1262,'[1]DS CN MOI UP'!$B$11:$C$447,2,0)</f>
        <v>02478</v>
      </c>
      <c r="C1262" s="639" t="s">
        <v>1456</v>
      </c>
      <c r="D1262" s="641" t="s">
        <v>79</v>
      </c>
      <c r="E1262" s="630" t="s">
        <v>15</v>
      </c>
      <c r="F1262" s="630"/>
      <c r="G1262" s="655">
        <v>40000</v>
      </c>
      <c r="H1262" s="655">
        <v>584606.86199999996</v>
      </c>
      <c r="I1262" s="655">
        <v>524139.33600000001</v>
      </c>
      <c r="J1262" s="635">
        <f t="shared" si="45"/>
        <v>1148746.1979999999</v>
      </c>
      <c r="K1262" s="635"/>
      <c r="L1262" s="635"/>
      <c r="M1262" s="655">
        <f t="shared" si="55"/>
        <v>1148746.1979999999</v>
      </c>
      <c r="N1262" s="61"/>
    </row>
    <row r="1263" spans="1:14" s="242" customFormat="1" ht="14.25" customHeight="1">
      <c r="A1263" s="624">
        <v>80</v>
      </c>
      <c r="B1263" s="625" t="e">
        <f>VLOOKUP(D1263,'[1]DS CN MOI UP'!$B$11:$C$447,2,0)</f>
        <v>#N/A</v>
      </c>
      <c r="C1263" s="639" t="s">
        <v>1456</v>
      </c>
      <c r="D1263" s="641" t="s">
        <v>1116</v>
      </c>
      <c r="E1263" s="630" t="s">
        <v>15</v>
      </c>
      <c r="F1263" s="630"/>
      <c r="G1263" s="655">
        <v>40000</v>
      </c>
      <c r="H1263" s="655">
        <v>635040.18900000001</v>
      </c>
      <c r="I1263" s="655">
        <v>524139.33600000001</v>
      </c>
      <c r="J1263" s="635">
        <f t="shared" si="45"/>
        <v>1199179.5249999999</v>
      </c>
      <c r="K1263" s="635"/>
      <c r="L1263" s="635"/>
      <c r="M1263" s="655">
        <f t="shared" si="55"/>
        <v>1199179.5249999999</v>
      </c>
      <c r="N1263" s="61"/>
    </row>
    <row r="1264" spans="1:14" s="242" customFormat="1" ht="14.25" customHeight="1">
      <c r="A1264" s="624">
        <v>81</v>
      </c>
      <c r="B1264" s="625" t="str">
        <f>VLOOKUP(D1264,'[1]DS CN MOI UP'!$B$11:$C$447,2,0)</f>
        <v>02479</v>
      </c>
      <c r="C1264" s="639" t="s">
        <v>1456</v>
      </c>
      <c r="D1264" s="641" t="s">
        <v>66</v>
      </c>
      <c r="E1264" s="630" t="s">
        <v>15</v>
      </c>
      <c r="F1264" s="630"/>
      <c r="G1264" s="655">
        <v>40000</v>
      </c>
      <c r="H1264" s="655">
        <v>524139.33600000001</v>
      </c>
      <c r="I1264" s="655">
        <v>524139.33600000001</v>
      </c>
      <c r="J1264" s="635">
        <f t="shared" si="45"/>
        <v>1088278.672</v>
      </c>
      <c r="K1264" s="635"/>
      <c r="L1264" s="635"/>
      <c r="M1264" s="655">
        <f t="shared" si="55"/>
        <v>1088278.672</v>
      </c>
      <c r="N1264" s="61"/>
    </row>
    <row r="1265" spans="1:14" s="242" customFormat="1" ht="14.25" customHeight="1">
      <c r="A1265" s="624">
        <v>82</v>
      </c>
      <c r="B1265" s="625" t="e">
        <f>VLOOKUP(D1265,'[1]DS CN MOI UP'!$B$11:$C$447,2,0)</f>
        <v>#N/A</v>
      </c>
      <c r="C1265" s="639" t="s">
        <v>1456</v>
      </c>
      <c r="D1265" s="641" t="s">
        <v>1117</v>
      </c>
      <c r="E1265" s="630" t="s">
        <v>15</v>
      </c>
      <c r="F1265" s="630"/>
      <c r="G1265" s="655">
        <v>40000</v>
      </c>
      <c r="H1265" s="655">
        <v>635040.18900000001</v>
      </c>
      <c r="I1265" s="655">
        <v>524139.33600000001</v>
      </c>
      <c r="J1265" s="635">
        <f t="shared" si="45"/>
        <v>1199179.5249999999</v>
      </c>
      <c r="K1265" s="635"/>
      <c r="L1265" s="635"/>
      <c r="M1265" s="655">
        <f t="shared" si="55"/>
        <v>1199179.5249999999</v>
      </c>
      <c r="N1265" s="61"/>
    </row>
    <row r="1266" spans="1:14" s="242" customFormat="1" ht="14.25" customHeight="1">
      <c r="A1266" s="624">
        <v>83</v>
      </c>
      <c r="B1266" s="625" t="str">
        <f>VLOOKUP(D1266,'[1]DS CN MOI UP'!$B$11:$C$447,2,0)</f>
        <v>02480</v>
      </c>
      <c r="C1266" s="639" t="s">
        <v>1456</v>
      </c>
      <c r="D1266" s="641" t="s">
        <v>493</v>
      </c>
      <c r="E1266" s="630" t="s">
        <v>15</v>
      </c>
      <c r="F1266" s="630"/>
      <c r="G1266" s="655">
        <v>40000</v>
      </c>
      <c r="H1266" s="655">
        <v>635040.18900000001</v>
      </c>
      <c r="I1266" s="655">
        <v>524139.33600000001</v>
      </c>
      <c r="J1266" s="635">
        <f t="shared" si="45"/>
        <v>1199179.5249999999</v>
      </c>
      <c r="K1266" s="635"/>
      <c r="L1266" s="635"/>
      <c r="M1266" s="655">
        <f t="shared" si="55"/>
        <v>1199179.5249999999</v>
      </c>
      <c r="N1266" s="61"/>
    </row>
    <row r="1267" spans="1:14" s="242" customFormat="1" ht="14.25" customHeight="1">
      <c r="A1267" s="624">
        <v>84</v>
      </c>
      <c r="B1267" s="625" t="e">
        <f>VLOOKUP(D1267,'[1]DS CN MOI UP'!$B$11:$C$447,2,0)</f>
        <v>#N/A</v>
      </c>
      <c r="C1267" s="639" t="s">
        <v>1456</v>
      </c>
      <c r="D1267" s="641" t="s">
        <v>1118</v>
      </c>
      <c r="E1267" s="630" t="s">
        <v>15</v>
      </c>
      <c r="F1267" s="630"/>
      <c r="G1267" s="655">
        <v>40000</v>
      </c>
      <c r="H1267" s="655">
        <v>554373.09900000005</v>
      </c>
      <c r="I1267" s="655">
        <v>524139.33600000001</v>
      </c>
      <c r="J1267" s="635">
        <f t="shared" si="45"/>
        <v>1118512.4350000001</v>
      </c>
      <c r="K1267" s="635"/>
      <c r="L1267" s="635"/>
      <c r="M1267" s="655">
        <f t="shared" si="55"/>
        <v>1118512.4350000001</v>
      </c>
      <c r="N1267" s="61"/>
    </row>
    <row r="1268" spans="1:14" s="242" customFormat="1" ht="14.25" customHeight="1">
      <c r="A1268" s="624">
        <v>85</v>
      </c>
      <c r="B1268" s="625" t="str">
        <f>VLOOKUP(D1268,'[1]DS CN MOI UP'!$B$11:$C$447,2,0)</f>
        <v>02481</v>
      </c>
      <c r="C1268" s="626" t="s">
        <v>1374</v>
      </c>
      <c r="D1268" s="630" t="s">
        <v>86</v>
      </c>
      <c r="E1268" s="630" t="s">
        <v>15</v>
      </c>
      <c r="F1268" s="630"/>
      <c r="G1268" s="655">
        <v>60000</v>
      </c>
      <c r="H1268" s="655">
        <v>554373.09900000005</v>
      </c>
      <c r="I1268" s="655">
        <v>524139.33600000001</v>
      </c>
      <c r="J1268" s="635">
        <f t="shared" si="45"/>
        <v>1138512.4350000001</v>
      </c>
      <c r="K1268" s="635"/>
      <c r="L1268" s="635"/>
      <c r="M1268" s="655">
        <f t="shared" si="55"/>
        <v>1138512.4350000001</v>
      </c>
      <c r="N1268" s="61"/>
    </row>
    <row r="1269" spans="1:14" s="242" customFormat="1" ht="14.25" customHeight="1">
      <c r="A1269" s="624">
        <v>86</v>
      </c>
      <c r="B1269" s="625" t="e">
        <f>VLOOKUP(D1269,'[1]DS CN MOI UP'!$B$11:$C$447,2,0)</f>
        <v>#N/A</v>
      </c>
      <c r="C1269" s="626" t="s">
        <v>1376</v>
      </c>
      <c r="D1269" s="630" t="s">
        <v>1119</v>
      </c>
      <c r="E1269" s="630" t="s">
        <v>15</v>
      </c>
      <c r="F1269" s="630"/>
      <c r="G1269" s="655">
        <v>40000</v>
      </c>
      <c r="H1269" s="655">
        <v>554373.09900000005</v>
      </c>
      <c r="I1269" s="655">
        <v>524139.33600000001</v>
      </c>
      <c r="J1269" s="635">
        <f t="shared" si="45"/>
        <v>1118512.4350000001</v>
      </c>
      <c r="K1269" s="635"/>
      <c r="L1269" s="635"/>
      <c r="M1269" s="655">
        <f t="shared" si="55"/>
        <v>1118512.4350000001</v>
      </c>
      <c r="N1269" s="61"/>
    </row>
    <row r="1270" spans="1:14" s="242" customFormat="1" ht="14.25" customHeight="1">
      <c r="A1270" s="624">
        <v>87</v>
      </c>
      <c r="B1270" s="625" t="e">
        <f>VLOOKUP(D1270,'[1]DS CN MOI UP'!$B$11:$C$447,2,0)</f>
        <v>#N/A</v>
      </c>
      <c r="C1270" s="626" t="s">
        <v>1378</v>
      </c>
      <c r="D1270" s="630" t="s">
        <v>1458</v>
      </c>
      <c r="E1270" s="630" t="s">
        <v>15</v>
      </c>
      <c r="F1270" s="630"/>
      <c r="G1270" s="655">
        <v>40000</v>
      </c>
      <c r="H1270" s="655">
        <v>554373.09900000005</v>
      </c>
      <c r="I1270" s="655">
        <v>524139.33600000001</v>
      </c>
      <c r="J1270" s="635">
        <f t="shared" si="45"/>
        <v>1118512.4350000001</v>
      </c>
      <c r="K1270" s="635"/>
      <c r="L1270" s="635"/>
      <c r="M1270" s="655">
        <f t="shared" si="55"/>
        <v>1118512.4350000001</v>
      </c>
      <c r="N1270" s="61"/>
    </row>
    <row r="1271" spans="1:14" s="242" customFormat="1" ht="14.25" customHeight="1">
      <c r="A1271" s="624">
        <v>88</v>
      </c>
      <c r="B1271" s="625" t="str">
        <f>VLOOKUP(D1271,'[1]DS CN MOI UP'!$B$11:$C$447,2,0)</f>
        <v>02482</v>
      </c>
      <c r="C1271" s="626" t="s">
        <v>1379</v>
      </c>
      <c r="D1271" s="630" t="s">
        <v>83</v>
      </c>
      <c r="E1271" s="630" t="s">
        <v>15</v>
      </c>
      <c r="F1271" s="630"/>
      <c r="G1271" s="655">
        <v>40000</v>
      </c>
      <c r="H1271" s="655">
        <v>554373.09900000005</v>
      </c>
      <c r="I1271" s="655">
        <v>524139.33600000001</v>
      </c>
      <c r="J1271" s="635">
        <f t="shared" si="45"/>
        <v>1118512.4350000001</v>
      </c>
      <c r="K1271" s="635"/>
      <c r="L1271" s="635"/>
      <c r="M1271" s="655">
        <f t="shared" si="55"/>
        <v>1118512.4350000001</v>
      </c>
      <c r="N1271" s="61"/>
    </row>
    <row r="1272" spans="1:14" s="242" customFormat="1" ht="14.25" customHeight="1">
      <c r="A1272" s="624">
        <v>89</v>
      </c>
      <c r="B1272" s="625" t="e">
        <f>VLOOKUP(D1272,'[1]DS CN MOI UP'!$B$11:$C$447,2,0)</f>
        <v>#N/A</v>
      </c>
      <c r="C1272" s="626" t="s">
        <v>1381</v>
      </c>
      <c r="D1272" s="630" t="s">
        <v>1120</v>
      </c>
      <c r="E1272" s="630" t="s">
        <v>15</v>
      </c>
      <c r="F1272" s="630"/>
      <c r="G1272" s="655">
        <v>40000</v>
      </c>
      <c r="H1272" s="655">
        <v>635040.18900000001</v>
      </c>
      <c r="I1272" s="655">
        <v>524139.33600000001</v>
      </c>
      <c r="J1272" s="635">
        <f t="shared" si="45"/>
        <v>1199179.5249999999</v>
      </c>
      <c r="K1272" s="635"/>
      <c r="L1272" s="635"/>
      <c r="M1272" s="655">
        <f t="shared" si="55"/>
        <v>1199179.5249999999</v>
      </c>
      <c r="N1272" s="61"/>
    </row>
    <row r="1273" spans="1:14" s="242" customFormat="1" ht="14.25" customHeight="1">
      <c r="A1273" s="624">
        <v>90</v>
      </c>
      <c r="B1273" s="625" t="str">
        <f>VLOOKUP(D1273,'[1]DS CN MOI UP'!$B$11:$C$447,2,0)</f>
        <v>02483</v>
      </c>
      <c r="C1273" s="626" t="s">
        <v>1382</v>
      </c>
      <c r="D1273" s="630" t="s">
        <v>53</v>
      </c>
      <c r="E1273" s="630" t="s">
        <v>15</v>
      </c>
      <c r="F1273" s="630"/>
      <c r="G1273" s="655">
        <v>40000</v>
      </c>
      <c r="H1273" s="655">
        <v>544338.9</v>
      </c>
      <c r="I1273" s="655">
        <v>524139.33600000001</v>
      </c>
      <c r="J1273" s="635">
        <f t="shared" si="45"/>
        <v>1108478.236</v>
      </c>
      <c r="K1273" s="635"/>
      <c r="L1273" s="635"/>
      <c r="M1273" s="655">
        <f t="shared" si="55"/>
        <v>1108478.236</v>
      </c>
      <c r="N1273" s="61"/>
    </row>
    <row r="1274" spans="1:14" s="242" customFormat="1" ht="14.25" customHeight="1">
      <c r="A1274" s="624">
        <v>91</v>
      </c>
      <c r="B1274" s="625" t="e">
        <f>VLOOKUP(D1274,'[1]DS CN MOI UP'!$B$11:$C$447,2,0)</f>
        <v>#N/A</v>
      </c>
      <c r="C1274" s="626" t="s">
        <v>1383</v>
      </c>
      <c r="D1274" s="630" t="s">
        <v>1121</v>
      </c>
      <c r="E1274" s="630" t="s">
        <v>15</v>
      </c>
      <c r="F1274" s="630"/>
      <c r="G1274" s="655">
        <v>40000</v>
      </c>
      <c r="H1274" s="655">
        <v>574572.66299999994</v>
      </c>
      <c r="I1274" s="655">
        <v>524139.33600000001</v>
      </c>
      <c r="J1274" s="635">
        <f t="shared" si="45"/>
        <v>1138711.9989999998</v>
      </c>
      <c r="K1274" s="635"/>
      <c r="L1274" s="635"/>
      <c r="M1274" s="655">
        <f t="shared" si="55"/>
        <v>1138711.9989999998</v>
      </c>
      <c r="N1274" s="61"/>
    </row>
    <row r="1275" spans="1:14" s="242" customFormat="1" ht="14.25" customHeight="1">
      <c r="A1275" s="624">
        <v>92</v>
      </c>
      <c r="B1275" s="625" t="str">
        <f>VLOOKUP(D1275,'[1]DS CN MOI UP'!$B$11:$C$447,2,0)</f>
        <v>02484</v>
      </c>
      <c r="C1275" s="626" t="s">
        <v>1384</v>
      </c>
      <c r="D1275" s="630" t="s">
        <v>490</v>
      </c>
      <c r="E1275" s="630" t="s">
        <v>15</v>
      </c>
      <c r="F1275" s="630"/>
      <c r="G1275" s="655">
        <v>40000</v>
      </c>
      <c r="H1275" s="655">
        <v>604806.42599999998</v>
      </c>
      <c r="I1275" s="655">
        <v>524139.33600000001</v>
      </c>
      <c r="J1275" s="635">
        <f t="shared" si="45"/>
        <v>1168945.7620000001</v>
      </c>
      <c r="K1275" s="635"/>
      <c r="L1275" s="635"/>
      <c r="M1275" s="655">
        <f t="shared" si="55"/>
        <v>1168945.7620000001</v>
      </c>
      <c r="N1275" s="61"/>
    </row>
    <row r="1276" spans="1:14" s="242" customFormat="1" ht="14.25" customHeight="1">
      <c r="A1276" s="624">
        <v>93</v>
      </c>
      <c r="B1276" s="625" t="e">
        <f>VLOOKUP(D1276,'[1]DS CN MOI UP'!$B$11:$C$447,2,0)</f>
        <v>#N/A</v>
      </c>
      <c r="C1276" s="626" t="s">
        <v>1385</v>
      </c>
      <c r="D1276" s="630" t="s">
        <v>1122</v>
      </c>
      <c r="E1276" s="630" t="s">
        <v>15</v>
      </c>
      <c r="F1276" s="630"/>
      <c r="G1276" s="655">
        <v>40000</v>
      </c>
      <c r="H1276" s="655">
        <v>584606.86199999996</v>
      </c>
      <c r="I1276" s="655">
        <v>524139.33600000001</v>
      </c>
      <c r="J1276" s="635">
        <f t="shared" si="45"/>
        <v>1148746.1979999999</v>
      </c>
      <c r="K1276" s="635"/>
      <c r="L1276" s="635"/>
      <c r="M1276" s="655">
        <f t="shared" si="55"/>
        <v>1148746.1979999999</v>
      </c>
      <c r="N1276" s="61"/>
    </row>
    <row r="1277" spans="1:14" s="242" customFormat="1" ht="14.25" customHeight="1">
      <c r="A1277" s="624">
        <v>94</v>
      </c>
      <c r="B1277" s="625" t="str">
        <f>VLOOKUP(D1277,'[1]DS CN MOI UP'!$B$11:$C$447,2,0)</f>
        <v>02485</v>
      </c>
      <c r="C1277" s="626" t="s">
        <v>1387</v>
      </c>
      <c r="D1277" s="630" t="s">
        <v>31</v>
      </c>
      <c r="E1277" s="630" t="s">
        <v>15</v>
      </c>
      <c r="F1277" s="630"/>
      <c r="G1277" s="655">
        <v>40000</v>
      </c>
      <c r="H1277" s="655">
        <v>635040.18900000001</v>
      </c>
      <c r="I1277" s="655">
        <v>524139.33600000001</v>
      </c>
      <c r="J1277" s="635">
        <f t="shared" si="45"/>
        <v>1199179.5249999999</v>
      </c>
      <c r="K1277" s="635"/>
      <c r="L1277" s="635"/>
      <c r="M1277" s="655">
        <f t="shared" si="55"/>
        <v>1199179.5249999999</v>
      </c>
      <c r="N1277" s="61"/>
    </row>
    <row r="1278" spans="1:14" s="242" customFormat="1" ht="14.25" customHeight="1">
      <c r="A1278" s="624">
        <v>95</v>
      </c>
      <c r="B1278" s="625" t="e">
        <f>VLOOKUP(D1278,'[1]DS CN MOI UP'!$B$11:$C$447,2,0)</f>
        <v>#N/A</v>
      </c>
      <c r="C1278" s="626" t="s">
        <v>1388</v>
      </c>
      <c r="D1278" s="630" t="s">
        <v>1123</v>
      </c>
      <c r="E1278" s="630" t="s">
        <v>15</v>
      </c>
      <c r="F1278" s="630"/>
      <c r="G1278" s="655">
        <v>40000</v>
      </c>
      <c r="H1278" s="655">
        <v>524139.33600000001</v>
      </c>
      <c r="I1278" s="655">
        <v>524139.33600000001</v>
      </c>
      <c r="J1278" s="635">
        <f t="shared" si="45"/>
        <v>1088278.672</v>
      </c>
      <c r="K1278" s="635"/>
      <c r="L1278" s="635"/>
      <c r="M1278" s="655">
        <f t="shared" si="55"/>
        <v>1088278.672</v>
      </c>
      <c r="N1278" s="61"/>
    </row>
    <row r="1279" spans="1:14" s="242" customFormat="1" ht="14.25" customHeight="1">
      <c r="A1279" s="624">
        <v>96</v>
      </c>
      <c r="B1279" s="625" t="e">
        <f>VLOOKUP(D1279,'[1]DS CN MOI UP'!$B$11:$C$447,2,0)</f>
        <v>#N/A</v>
      </c>
      <c r="C1279" s="626" t="s">
        <v>1390</v>
      </c>
      <c r="D1279" s="630" t="s">
        <v>1459</v>
      </c>
      <c r="E1279" s="630" t="s">
        <v>15</v>
      </c>
      <c r="F1279" s="630"/>
      <c r="G1279" s="655">
        <v>40000</v>
      </c>
      <c r="H1279" s="655">
        <v>635040.18900000001</v>
      </c>
      <c r="I1279" s="655">
        <v>524139.33600000001</v>
      </c>
      <c r="J1279" s="635">
        <f t="shared" si="45"/>
        <v>1199179.5249999999</v>
      </c>
      <c r="K1279" s="635"/>
      <c r="L1279" s="635"/>
      <c r="M1279" s="655">
        <f t="shared" si="55"/>
        <v>1199179.5249999999</v>
      </c>
      <c r="N1279" s="61"/>
    </row>
    <row r="1280" spans="1:14" s="242" customFormat="1" ht="14.25" customHeight="1">
      <c r="A1280" s="624">
        <v>97</v>
      </c>
      <c r="B1280" s="625" t="str">
        <f>VLOOKUP(D1280,'[1]DS CN MOI UP'!$B$11:$C$447,2,0)</f>
        <v>02486</v>
      </c>
      <c r="C1280" s="626" t="s">
        <v>1391</v>
      </c>
      <c r="D1280" s="630" t="s">
        <v>65</v>
      </c>
      <c r="E1280" s="630" t="s">
        <v>15</v>
      </c>
      <c r="F1280" s="630"/>
      <c r="G1280" s="655">
        <v>40000</v>
      </c>
      <c r="H1280" s="655">
        <v>635040.18900000001</v>
      </c>
      <c r="I1280" s="655">
        <v>524139.33600000001</v>
      </c>
      <c r="J1280" s="635">
        <f t="shared" si="45"/>
        <v>1199179.5249999999</v>
      </c>
      <c r="K1280" s="635"/>
      <c r="L1280" s="635"/>
      <c r="M1280" s="655">
        <f t="shared" si="55"/>
        <v>1199179.5249999999</v>
      </c>
      <c r="N1280" s="61"/>
    </row>
    <row r="1281" spans="1:14" s="242" customFormat="1" ht="14.25" customHeight="1">
      <c r="A1281" s="624">
        <v>98</v>
      </c>
      <c r="B1281" s="625" t="e">
        <f>VLOOKUP(D1281,'[1]DS CN MOI UP'!$B$11:$C$447,2,0)</f>
        <v>#N/A</v>
      </c>
      <c r="C1281" s="626" t="s">
        <v>1392</v>
      </c>
      <c r="D1281" s="630" t="s">
        <v>1124</v>
      </c>
      <c r="E1281" s="630" t="s">
        <v>15</v>
      </c>
      <c r="F1281" s="630"/>
      <c r="G1281" s="655">
        <v>40000</v>
      </c>
      <c r="H1281" s="655">
        <v>554373.09900000005</v>
      </c>
      <c r="I1281" s="655">
        <v>524139.33600000001</v>
      </c>
      <c r="J1281" s="635">
        <f t="shared" si="45"/>
        <v>1118512.4350000001</v>
      </c>
      <c r="K1281" s="635"/>
      <c r="L1281" s="635"/>
      <c r="M1281" s="655">
        <f t="shared" si="55"/>
        <v>1118512.4350000001</v>
      </c>
      <c r="N1281" s="61"/>
    </row>
    <row r="1282" spans="1:14" s="242" customFormat="1" ht="14.25" customHeight="1">
      <c r="A1282" s="624">
        <v>99</v>
      </c>
      <c r="B1282" s="625" t="str">
        <f>VLOOKUP(D1282,'[1]DS CN MOI UP'!$B$11:$C$447,2,0)</f>
        <v>02487</v>
      </c>
      <c r="C1282" s="626" t="s">
        <v>1394</v>
      </c>
      <c r="D1282" s="630" t="s">
        <v>32</v>
      </c>
      <c r="E1282" s="630" t="s">
        <v>15</v>
      </c>
      <c r="F1282" s="630"/>
      <c r="G1282" s="655">
        <v>60000</v>
      </c>
      <c r="H1282" s="655">
        <v>554373.09900000005</v>
      </c>
      <c r="I1282" s="655">
        <v>524139.33600000001</v>
      </c>
      <c r="J1282" s="635">
        <f t="shared" si="45"/>
        <v>1138512.4350000001</v>
      </c>
      <c r="K1282" s="635"/>
      <c r="L1282" s="635"/>
      <c r="M1282" s="655">
        <f t="shared" si="55"/>
        <v>1138512.4350000001</v>
      </c>
      <c r="N1282" s="61"/>
    </row>
    <row r="1283" spans="1:14" s="242" customFormat="1" ht="14.25" customHeight="1">
      <c r="A1283" s="624">
        <v>100</v>
      </c>
      <c r="B1283" s="625" t="e">
        <f>VLOOKUP(D1283,'[1]DS CN MOI UP'!$B$11:$C$447,2,0)</f>
        <v>#N/A</v>
      </c>
      <c r="C1283" s="626" t="s">
        <v>1396</v>
      </c>
      <c r="D1283" s="630" t="s">
        <v>1125</v>
      </c>
      <c r="E1283" s="630" t="s">
        <v>15</v>
      </c>
      <c r="F1283" s="630"/>
      <c r="G1283" s="655">
        <v>40000</v>
      </c>
      <c r="H1283" s="655">
        <v>554373.09900000005</v>
      </c>
      <c r="I1283" s="655">
        <v>524139.33600000001</v>
      </c>
      <c r="J1283" s="635">
        <f t="shared" si="45"/>
        <v>1118512.4350000001</v>
      </c>
      <c r="K1283" s="635"/>
      <c r="L1283" s="635"/>
      <c r="M1283" s="655">
        <f t="shared" si="55"/>
        <v>1118512.4350000001</v>
      </c>
      <c r="N1283" s="61"/>
    </row>
    <row r="1284" spans="1:14" s="242" customFormat="1" ht="14.25" customHeight="1">
      <c r="A1284" s="624">
        <v>101</v>
      </c>
      <c r="B1284" s="625" t="e">
        <f>VLOOKUP(D1284,'[1]DS CN MOI UP'!$B$11:$C$447,2,0)</f>
        <v>#N/A</v>
      </c>
      <c r="C1284" s="626" t="s">
        <v>1398</v>
      </c>
      <c r="D1284" s="630" t="s">
        <v>1460</v>
      </c>
      <c r="E1284" s="630" t="s">
        <v>15</v>
      </c>
      <c r="F1284" s="630"/>
      <c r="G1284" s="655">
        <v>40000</v>
      </c>
      <c r="H1284" s="655">
        <v>554373.09900000005</v>
      </c>
      <c r="I1284" s="655">
        <v>524139.33600000001</v>
      </c>
      <c r="J1284" s="635">
        <f t="shared" si="45"/>
        <v>1118512.4350000001</v>
      </c>
      <c r="K1284" s="635"/>
      <c r="L1284" s="635"/>
      <c r="M1284" s="655">
        <f t="shared" si="55"/>
        <v>1118512.4350000001</v>
      </c>
      <c r="N1284" s="61"/>
    </row>
    <row r="1285" spans="1:14" s="242" customFormat="1" ht="14.25" customHeight="1">
      <c r="A1285" s="624">
        <v>102</v>
      </c>
      <c r="B1285" s="625" t="str">
        <f>VLOOKUP(D1285,'[1]DS CN MOI UP'!$B$11:$C$447,2,0)</f>
        <v>02488</v>
      </c>
      <c r="C1285" s="626" t="s">
        <v>1383</v>
      </c>
      <c r="D1285" s="630" t="s">
        <v>35</v>
      </c>
      <c r="E1285" s="630" t="s">
        <v>15</v>
      </c>
      <c r="F1285" s="630"/>
      <c r="G1285" s="655">
        <v>40000</v>
      </c>
      <c r="H1285" s="655">
        <v>554373.09900000005</v>
      </c>
      <c r="I1285" s="655">
        <v>524139.33600000001</v>
      </c>
      <c r="J1285" s="635">
        <f t="shared" si="45"/>
        <v>1118512.4350000001</v>
      </c>
      <c r="K1285" s="635"/>
      <c r="L1285" s="635"/>
      <c r="M1285" s="655">
        <f t="shared" si="55"/>
        <v>1118512.4350000001</v>
      </c>
      <c r="N1285" s="61"/>
    </row>
    <row r="1286" spans="1:14" s="242" customFormat="1" ht="14.25" customHeight="1">
      <c r="A1286" s="624">
        <v>103</v>
      </c>
      <c r="B1286" s="625" t="e">
        <f>VLOOKUP(D1286,'[1]DS CN MOI UP'!$B$11:$C$447,2,0)</f>
        <v>#N/A</v>
      </c>
      <c r="C1286" s="626" t="s">
        <v>1384</v>
      </c>
      <c r="D1286" s="630" t="s">
        <v>1126</v>
      </c>
      <c r="E1286" s="630" t="s">
        <v>15</v>
      </c>
      <c r="F1286" s="630"/>
      <c r="G1286" s="655">
        <v>40000</v>
      </c>
      <c r="H1286" s="655">
        <v>635040.18900000001</v>
      </c>
      <c r="I1286" s="655">
        <v>524139.33600000001</v>
      </c>
      <c r="J1286" s="635">
        <f t="shared" si="45"/>
        <v>1199179.5249999999</v>
      </c>
      <c r="K1286" s="635"/>
      <c r="L1286" s="635"/>
      <c r="M1286" s="655">
        <f t="shared" si="55"/>
        <v>1199179.5249999999</v>
      </c>
      <c r="N1286" s="61"/>
    </row>
    <row r="1287" spans="1:14" s="242" customFormat="1" ht="14.25" customHeight="1">
      <c r="A1287" s="624">
        <v>104</v>
      </c>
      <c r="B1287" s="625" t="str">
        <f>VLOOKUP(D1287,'[1]DS CN MOI UP'!$B$11:$C$447,2,0)</f>
        <v>02583</v>
      </c>
      <c r="C1287" s="626" t="s">
        <v>1385</v>
      </c>
      <c r="D1287" s="630" t="s">
        <v>581</v>
      </c>
      <c r="E1287" s="630" t="s">
        <v>15</v>
      </c>
      <c r="F1287" s="630"/>
      <c r="G1287" s="655">
        <v>40000</v>
      </c>
      <c r="H1287" s="655">
        <v>544338.9</v>
      </c>
      <c r="I1287" s="655">
        <v>524139.33600000001</v>
      </c>
      <c r="J1287" s="635">
        <f t="shared" si="45"/>
        <v>1108478.236</v>
      </c>
      <c r="K1287" s="635"/>
      <c r="L1287" s="635"/>
      <c r="M1287" s="655">
        <f t="shared" si="55"/>
        <v>1108478.236</v>
      </c>
      <c r="N1287" s="61"/>
    </row>
    <row r="1288" spans="1:14" s="242" customFormat="1" ht="14.25" customHeight="1">
      <c r="A1288" s="624">
        <v>105</v>
      </c>
      <c r="B1288" s="625" t="str">
        <f>VLOOKUP(D1288,'[1]DS CN MOI UP'!$B$11:$C$447,2,0)</f>
        <v>03336</v>
      </c>
      <c r="C1288" s="626" t="s">
        <v>1387</v>
      </c>
      <c r="D1288" s="630" t="s">
        <v>81</v>
      </c>
      <c r="E1288" s="630" t="s">
        <v>15</v>
      </c>
      <c r="F1288" s="630"/>
      <c r="G1288" s="655">
        <v>40000</v>
      </c>
      <c r="H1288" s="655">
        <v>574572.66299999994</v>
      </c>
      <c r="I1288" s="655">
        <v>524139.33600000001</v>
      </c>
      <c r="J1288" s="635">
        <f t="shared" si="45"/>
        <v>1138711.9989999998</v>
      </c>
      <c r="K1288" s="635"/>
      <c r="L1288" s="635"/>
      <c r="M1288" s="655">
        <f t="shared" si="55"/>
        <v>1138711.9989999998</v>
      </c>
      <c r="N1288" s="61"/>
    </row>
    <row r="1289" spans="1:14" s="242" customFormat="1" ht="14.25" customHeight="1">
      <c r="A1289" s="624">
        <v>106</v>
      </c>
      <c r="B1289" s="625" t="e">
        <f>VLOOKUP(D1289,'[1]DS CN MOI UP'!$B$11:$C$447,2,0)</f>
        <v>#N/A</v>
      </c>
      <c r="C1289" s="626" t="s">
        <v>1388</v>
      </c>
      <c r="D1289" s="630" t="s">
        <v>1127</v>
      </c>
      <c r="E1289" s="630" t="s">
        <v>15</v>
      </c>
      <c r="F1289" s="630"/>
      <c r="G1289" s="655">
        <v>40000</v>
      </c>
      <c r="H1289" s="655">
        <v>604806.42599999998</v>
      </c>
      <c r="I1289" s="655">
        <v>524139.33600000001</v>
      </c>
      <c r="J1289" s="635">
        <f t="shared" si="45"/>
        <v>1168945.7620000001</v>
      </c>
      <c r="K1289" s="635"/>
      <c r="L1289" s="635"/>
      <c r="M1289" s="655">
        <f t="shared" si="55"/>
        <v>1168945.7620000001</v>
      </c>
      <c r="N1289" s="61"/>
    </row>
    <row r="1290" spans="1:14" s="242" customFormat="1" ht="14.25" customHeight="1">
      <c r="A1290" s="624">
        <v>107</v>
      </c>
      <c r="B1290" s="625" t="str">
        <f>VLOOKUP(D1290,'[1]DS CN MOI UP'!$B$11:$C$447,2,0)</f>
        <v>02680</v>
      </c>
      <c r="C1290" s="626" t="s">
        <v>1390</v>
      </c>
      <c r="D1290" s="630" t="s">
        <v>91</v>
      </c>
      <c r="E1290" s="630" t="s">
        <v>15</v>
      </c>
      <c r="F1290" s="630"/>
      <c r="G1290" s="655">
        <v>40000</v>
      </c>
      <c r="H1290" s="655">
        <v>584606.86199999996</v>
      </c>
      <c r="I1290" s="655">
        <v>524139.33600000001</v>
      </c>
      <c r="J1290" s="635">
        <f t="shared" si="45"/>
        <v>1148746.1979999999</v>
      </c>
      <c r="K1290" s="635"/>
      <c r="L1290" s="635"/>
      <c r="M1290" s="655">
        <f t="shared" si="55"/>
        <v>1148746.1979999999</v>
      </c>
      <c r="N1290" s="61"/>
    </row>
    <row r="1291" spans="1:14" s="242" customFormat="1" ht="14.25" customHeight="1">
      <c r="A1291" s="624">
        <v>108</v>
      </c>
      <c r="B1291" s="625" t="e">
        <f>VLOOKUP(D1291,'[1]DS CN MOI UP'!$B$11:$C$447,2,0)</f>
        <v>#N/A</v>
      </c>
      <c r="C1291" s="626" t="s">
        <v>1391</v>
      </c>
      <c r="D1291" s="630" t="s">
        <v>1070</v>
      </c>
      <c r="E1291" s="630" t="s">
        <v>15</v>
      </c>
      <c r="F1291" s="630"/>
      <c r="G1291" s="655">
        <v>40000</v>
      </c>
      <c r="H1291" s="655">
        <v>635040.18900000001</v>
      </c>
      <c r="I1291" s="655">
        <v>524139.33600000001</v>
      </c>
      <c r="J1291" s="635">
        <f t="shared" si="45"/>
        <v>1199179.5249999999</v>
      </c>
      <c r="K1291" s="635"/>
      <c r="L1291" s="635"/>
      <c r="M1291" s="655">
        <f t="shared" si="55"/>
        <v>1199179.5249999999</v>
      </c>
      <c r="N1291" s="61"/>
    </row>
    <row r="1292" spans="1:14" s="242" customFormat="1" ht="14.25" customHeight="1">
      <c r="A1292" s="624">
        <v>109</v>
      </c>
      <c r="B1292" s="625" t="e">
        <f>VLOOKUP(D1292,'[1]DS CN MOI UP'!$B$11:$C$447,2,0)</f>
        <v>#N/A</v>
      </c>
      <c r="C1292" s="626" t="s">
        <v>1392</v>
      </c>
      <c r="D1292" s="630" t="s">
        <v>1128</v>
      </c>
      <c r="E1292" s="630" t="s">
        <v>15</v>
      </c>
      <c r="F1292" s="630"/>
      <c r="G1292" s="655">
        <v>40000</v>
      </c>
      <c r="H1292" s="655">
        <v>524139.33600000001</v>
      </c>
      <c r="I1292" s="655">
        <v>524139.33600000001</v>
      </c>
      <c r="J1292" s="635">
        <f t="shared" si="45"/>
        <v>1088278.672</v>
      </c>
      <c r="K1292" s="635"/>
      <c r="L1292" s="635"/>
      <c r="M1292" s="655">
        <f t="shared" si="55"/>
        <v>1088278.672</v>
      </c>
      <c r="N1292" s="61"/>
    </row>
    <row r="1293" spans="1:14" s="242" customFormat="1" ht="14.25" customHeight="1">
      <c r="A1293" s="624">
        <v>110</v>
      </c>
      <c r="B1293" s="625" t="str">
        <f>VLOOKUP(D1293,'[1]DS CN MOI UP'!$B$11:$C$447,2,0)</f>
        <v>02491</v>
      </c>
      <c r="C1293" s="626" t="s">
        <v>1394</v>
      </c>
      <c r="D1293" s="630" t="s">
        <v>62</v>
      </c>
      <c r="E1293" s="630" t="s">
        <v>15</v>
      </c>
      <c r="F1293" s="630"/>
      <c r="G1293" s="655">
        <v>40000</v>
      </c>
      <c r="H1293" s="655">
        <v>635040.18900000001</v>
      </c>
      <c r="I1293" s="655">
        <v>524139.33600000001</v>
      </c>
      <c r="J1293" s="635">
        <f t="shared" si="45"/>
        <v>1199179.5249999999</v>
      </c>
      <c r="K1293" s="635"/>
      <c r="L1293" s="635"/>
      <c r="M1293" s="655">
        <f t="shared" si="55"/>
        <v>1199179.5249999999</v>
      </c>
      <c r="N1293" s="61"/>
    </row>
    <row r="1294" spans="1:14" s="242" customFormat="1" ht="14.25" customHeight="1">
      <c r="A1294" s="624">
        <v>111</v>
      </c>
      <c r="B1294" s="625" t="e">
        <f>VLOOKUP(D1294,'[1]DS CN MOI UP'!$B$11:$C$447,2,0)</f>
        <v>#N/A</v>
      </c>
      <c r="C1294" s="626" t="s">
        <v>1396</v>
      </c>
      <c r="D1294" s="630" t="s">
        <v>1129</v>
      </c>
      <c r="E1294" s="630" t="s">
        <v>15</v>
      </c>
      <c r="F1294" s="630"/>
      <c r="G1294" s="655">
        <v>40000</v>
      </c>
      <c r="H1294" s="655">
        <v>635040.18900000001</v>
      </c>
      <c r="I1294" s="655">
        <v>524139.33600000001</v>
      </c>
      <c r="J1294" s="635">
        <f t="shared" si="45"/>
        <v>1199179.5249999999</v>
      </c>
      <c r="K1294" s="635"/>
      <c r="L1294" s="635"/>
      <c r="M1294" s="655">
        <f t="shared" si="55"/>
        <v>1199179.5249999999</v>
      </c>
      <c r="N1294" s="61"/>
    </row>
    <row r="1295" spans="1:14" s="242" customFormat="1" ht="14.25" customHeight="1">
      <c r="A1295" s="624">
        <v>112</v>
      </c>
      <c r="B1295" s="625" t="e">
        <f>VLOOKUP(D1295,'[1]DS CN MOI UP'!$B$11:$C$447,2,0)</f>
        <v>#N/A</v>
      </c>
      <c r="C1295" s="626" t="s">
        <v>1398</v>
      </c>
      <c r="D1295" s="630" t="s">
        <v>1461</v>
      </c>
      <c r="E1295" s="630" t="s">
        <v>15</v>
      </c>
      <c r="F1295" s="630"/>
      <c r="G1295" s="655">
        <v>40000</v>
      </c>
      <c r="H1295" s="655">
        <v>554373.09900000005</v>
      </c>
      <c r="I1295" s="655">
        <v>524139.33600000001</v>
      </c>
      <c r="J1295" s="635">
        <f t="shared" si="45"/>
        <v>1118512.4350000001</v>
      </c>
      <c r="K1295" s="635"/>
      <c r="L1295" s="635"/>
      <c r="M1295" s="655">
        <f t="shared" si="55"/>
        <v>1118512.4350000001</v>
      </c>
      <c r="N1295" s="61"/>
    </row>
    <row r="1296" spans="1:14" s="242" customFormat="1" ht="14.25" customHeight="1">
      <c r="A1296" s="624">
        <v>113</v>
      </c>
      <c r="B1296" s="625" t="e">
        <f>VLOOKUP(D1296,'[1]DS CN MOI UP'!$B$11:$C$447,2,0)</f>
        <v>#N/A</v>
      </c>
      <c r="C1296" s="626" t="s">
        <v>1405</v>
      </c>
      <c r="D1296" s="630" t="s">
        <v>1071</v>
      </c>
      <c r="E1296" s="630" t="s">
        <v>15</v>
      </c>
      <c r="F1296" s="630"/>
      <c r="G1296" s="655">
        <v>60000</v>
      </c>
      <c r="H1296" s="655">
        <v>554373.09900000005</v>
      </c>
      <c r="I1296" s="655">
        <v>524139.33600000001</v>
      </c>
      <c r="J1296" s="635">
        <f t="shared" si="45"/>
        <v>1138512.4350000001</v>
      </c>
      <c r="K1296" s="635"/>
      <c r="L1296" s="635"/>
      <c r="M1296" s="655">
        <f t="shared" si="55"/>
        <v>1138512.4350000001</v>
      </c>
      <c r="N1296" s="61"/>
    </row>
    <row r="1297" spans="1:14" s="242" customFormat="1" ht="14.25" customHeight="1">
      <c r="A1297" s="624">
        <v>114</v>
      </c>
      <c r="B1297" s="625" t="e">
        <f>VLOOKUP(D1297,'[1]DS CN MOI UP'!$B$11:$C$447,2,0)</f>
        <v>#N/A</v>
      </c>
      <c r="C1297" s="626" t="s">
        <v>1406</v>
      </c>
      <c r="D1297" s="630" t="s">
        <v>1130</v>
      </c>
      <c r="E1297" s="630" t="s">
        <v>15</v>
      </c>
      <c r="F1297" s="630"/>
      <c r="G1297" s="655">
        <v>40000</v>
      </c>
      <c r="H1297" s="655">
        <v>554373.09900000005</v>
      </c>
      <c r="I1297" s="655">
        <v>524139.33600000001</v>
      </c>
      <c r="J1297" s="635">
        <f t="shared" si="45"/>
        <v>1118512.4350000001</v>
      </c>
      <c r="K1297" s="635"/>
      <c r="L1297" s="635"/>
      <c r="M1297" s="655">
        <f t="shared" si="55"/>
        <v>1118512.4350000001</v>
      </c>
      <c r="N1297" s="61"/>
    </row>
    <row r="1298" spans="1:14" s="242" customFormat="1" ht="14.25" customHeight="1">
      <c r="A1298" s="624">
        <v>115</v>
      </c>
      <c r="B1298" s="625" t="str">
        <f>VLOOKUP(D1298,'[1]DS CN MOI UP'!$B$11:$C$447,2,0)</f>
        <v>02493</v>
      </c>
      <c r="C1298" s="626" t="s">
        <v>1408</v>
      </c>
      <c r="D1298" s="630" t="s">
        <v>26</v>
      </c>
      <c r="E1298" s="630" t="s">
        <v>15</v>
      </c>
      <c r="F1298" s="630"/>
      <c r="G1298" s="655">
        <v>40000</v>
      </c>
      <c r="H1298" s="655">
        <v>554373.09900000005</v>
      </c>
      <c r="I1298" s="655">
        <v>524139.33600000001</v>
      </c>
      <c r="J1298" s="635">
        <f t="shared" si="45"/>
        <v>1118512.4350000001</v>
      </c>
      <c r="K1298" s="635"/>
      <c r="L1298" s="635"/>
      <c r="M1298" s="655">
        <f t="shared" si="55"/>
        <v>1118512.4350000001</v>
      </c>
      <c r="N1298" s="61"/>
    </row>
    <row r="1299" spans="1:14" s="242" customFormat="1" ht="14.25" customHeight="1">
      <c r="A1299" s="624">
        <v>116</v>
      </c>
      <c r="B1299" s="625" t="e">
        <f>VLOOKUP(D1299,'[1]DS CN MOI UP'!$B$11:$C$447,2,0)</f>
        <v>#N/A</v>
      </c>
      <c r="C1299" s="626" t="s">
        <v>1410</v>
      </c>
      <c r="D1299" s="630" t="s">
        <v>1462</v>
      </c>
      <c r="E1299" s="630" t="s">
        <v>15</v>
      </c>
      <c r="F1299" s="630"/>
      <c r="G1299" s="655">
        <v>40000</v>
      </c>
      <c r="H1299" s="655">
        <v>554373.09900000005</v>
      </c>
      <c r="I1299" s="655">
        <v>524139.33600000001</v>
      </c>
      <c r="J1299" s="635">
        <f t="shared" si="45"/>
        <v>1118512.4350000001</v>
      </c>
      <c r="K1299" s="635"/>
      <c r="L1299" s="635"/>
      <c r="M1299" s="655">
        <f t="shared" si="55"/>
        <v>1118512.4350000001</v>
      </c>
      <c r="N1299" s="61"/>
    </row>
    <row r="1300" spans="1:14" s="242" customFormat="1" ht="14.25" customHeight="1">
      <c r="A1300" s="624">
        <v>117</v>
      </c>
      <c r="B1300" s="625" t="e">
        <f>VLOOKUP(D1300,'[1]DS CN MOI UP'!$B$11:$C$447,2,0)</f>
        <v>#N/A</v>
      </c>
      <c r="C1300" s="626" t="s">
        <v>1412</v>
      </c>
      <c r="D1300" s="630" t="s">
        <v>1463</v>
      </c>
      <c r="E1300" s="630" t="s">
        <v>15</v>
      </c>
      <c r="F1300" s="630"/>
      <c r="G1300" s="655">
        <v>40000</v>
      </c>
      <c r="H1300" s="655">
        <v>635040.18900000001</v>
      </c>
      <c r="I1300" s="655">
        <v>524139.33600000001</v>
      </c>
      <c r="J1300" s="635">
        <f t="shared" si="45"/>
        <v>1199179.5249999999</v>
      </c>
      <c r="K1300" s="635"/>
      <c r="L1300" s="635"/>
      <c r="M1300" s="655">
        <f t="shared" si="55"/>
        <v>1199179.5249999999</v>
      </c>
      <c r="N1300" s="61"/>
    </row>
    <row r="1301" spans="1:14" s="242" customFormat="1" ht="14.25" customHeight="1">
      <c r="A1301" s="624">
        <v>118</v>
      </c>
      <c r="B1301" s="625" t="e">
        <f>VLOOKUP(D1301,'[1]DS CN MOI UP'!$B$11:$C$447,2,0)</f>
        <v>#N/A</v>
      </c>
      <c r="C1301" s="626" t="s">
        <v>1413</v>
      </c>
      <c r="D1301" s="630" t="s">
        <v>1464</v>
      </c>
      <c r="E1301" s="630" t="s">
        <v>15</v>
      </c>
      <c r="F1301" s="630"/>
      <c r="G1301" s="655">
        <v>40000</v>
      </c>
      <c r="H1301" s="655">
        <v>544338.9</v>
      </c>
      <c r="I1301" s="655">
        <v>524139.33600000001</v>
      </c>
      <c r="J1301" s="635">
        <f t="shared" si="45"/>
        <v>1108478.236</v>
      </c>
      <c r="K1301" s="635"/>
      <c r="L1301" s="635"/>
      <c r="M1301" s="655">
        <f t="shared" si="55"/>
        <v>1108478.236</v>
      </c>
      <c r="N1301" s="61"/>
    </row>
    <row r="1302" spans="1:14" s="242" customFormat="1" ht="14.25" customHeight="1">
      <c r="A1302" s="624">
        <v>119</v>
      </c>
      <c r="B1302" s="625" t="e">
        <f>VLOOKUP(D1302,'[1]DS CN MOI UP'!$B$11:$C$447,2,0)</f>
        <v>#N/A</v>
      </c>
      <c r="C1302" s="626" t="s">
        <v>1414</v>
      </c>
      <c r="D1302" s="630" t="s">
        <v>740</v>
      </c>
      <c r="E1302" s="630" t="s">
        <v>15</v>
      </c>
      <c r="F1302" s="630"/>
      <c r="G1302" s="655">
        <v>20000</v>
      </c>
      <c r="H1302" s="655">
        <v>574572.66299999994</v>
      </c>
      <c r="I1302" s="655">
        <v>524139.33600000001</v>
      </c>
      <c r="J1302" s="635">
        <f t="shared" si="45"/>
        <v>1118711.9989999998</v>
      </c>
      <c r="K1302" s="635"/>
      <c r="L1302" s="635"/>
      <c r="M1302" s="655">
        <f t="shared" si="55"/>
        <v>1118711.9989999998</v>
      </c>
      <c r="N1302" s="61"/>
    </row>
    <row r="1303" spans="1:14" s="242" customFormat="1" ht="14.25" customHeight="1">
      <c r="A1303" s="624">
        <v>120</v>
      </c>
      <c r="B1303" s="625" t="e">
        <f>VLOOKUP(D1303,'[1]DS CN MOI UP'!$B$11:$C$447,2,0)</f>
        <v>#N/A</v>
      </c>
      <c r="C1303" s="626" t="s">
        <v>1415</v>
      </c>
      <c r="D1303" s="630" t="s">
        <v>741</v>
      </c>
      <c r="E1303" s="630" t="s">
        <v>15</v>
      </c>
      <c r="F1303" s="630"/>
      <c r="G1303" s="655">
        <v>60000</v>
      </c>
      <c r="H1303" s="655">
        <v>604806.42599999998</v>
      </c>
      <c r="I1303" s="655">
        <v>524139.33600000001</v>
      </c>
      <c r="J1303" s="635">
        <f t="shared" si="45"/>
        <v>1188945.7620000001</v>
      </c>
      <c r="K1303" s="635"/>
      <c r="L1303" s="635"/>
      <c r="M1303" s="655">
        <f t="shared" si="55"/>
        <v>1188945.7620000001</v>
      </c>
      <c r="N1303" s="61"/>
    </row>
    <row r="1304" spans="1:14" s="242" customFormat="1" ht="14.25" customHeight="1">
      <c r="A1304" s="624">
        <v>121</v>
      </c>
      <c r="B1304" s="625" t="e">
        <f>VLOOKUP(D1304,'[1]DS CN MOI UP'!$B$11:$C$447,2,0)</f>
        <v>#N/A</v>
      </c>
      <c r="C1304" s="626" t="s">
        <v>1417</v>
      </c>
      <c r="D1304" s="630" t="s">
        <v>1465</v>
      </c>
      <c r="E1304" s="630" t="s">
        <v>15</v>
      </c>
      <c r="F1304" s="630"/>
      <c r="G1304" s="655">
        <v>60000</v>
      </c>
      <c r="H1304" s="655">
        <v>584606.86199999996</v>
      </c>
      <c r="I1304" s="655">
        <v>524139.33600000001</v>
      </c>
      <c r="J1304" s="635">
        <f t="shared" si="45"/>
        <v>1168746.1979999999</v>
      </c>
      <c r="K1304" s="635"/>
      <c r="L1304" s="635"/>
      <c r="M1304" s="655">
        <f t="shared" si="55"/>
        <v>1168746.1979999999</v>
      </c>
      <c r="N1304" s="61"/>
    </row>
    <row r="1305" spans="1:14" s="242" customFormat="1" ht="14.25" customHeight="1">
      <c r="A1305" s="624">
        <v>122</v>
      </c>
      <c r="B1305" s="625" t="e">
        <f>VLOOKUP(D1305,'[1]DS CN MOI UP'!$B$11:$C$447,2,0)</f>
        <v>#N/A</v>
      </c>
      <c r="C1305" s="626" t="s">
        <v>1418</v>
      </c>
      <c r="D1305" s="630" t="s">
        <v>743</v>
      </c>
      <c r="E1305" s="630" t="s">
        <v>15</v>
      </c>
      <c r="F1305" s="630"/>
      <c r="G1305" s="655">
        <v>60000</v>
      </c>
      <c r="H1305" s="655">
        <v>635040.18900000001</v>
      </c>
      <c r="I1305" s="655">
        <v>524139.33600000001</v>
      </c>
      <c r="J1305" s="635">
        <f t="shared" si="45"/>
        <v>1219179.5249999999</v>
      </c>
      <c r="K1305" s="635"/>
      <c r="L1305" s="635"/>
      <c r="M1305" s="655">
        <f t="shared" si="55"/>
        <v>1219179.5249999999</v>
      </c>
      <c r="N1305" s="61"/>
    </row>
    <row r="1306" spans="1:14" s="242" customFormat="1" ht="14.25" customHeight="1">
      <c r="A1306" s="624">
        <v>123</v>
      </c>
      <c r="B1306" s="625" t="e">
        <f>VLOOKUP(D1306,'[1]DS CN MOI UP'!$B$11:$C$447,2,0)</f>
        <v>#N/A</v>
      </c>
      <c r="C1306" s="626" t="s">
        <v>1420</v>
      </c>
      <c r="D1306" s="630" t="s">
        <v>1466</v>
      </c>
      <c r="E1306" s="630" t="s">
        <v>15</v>
      </c>
      <c r="F1306" s="630"/>
      <c r="G1306" s="655">
        <v>60000</v>
      </c>
      <c r="H1306" s="655">
        <v>524139.33600000001</v>
      </c>
      <c r="I1306" s="655">
        <v>524139.33600000001</v>
      </c>
      <c r="J1306" s="635">
        <f t="shared" si="45"/>
        <v>1108278.672</v>
      </c>
      <c r="K1306" s="635"/>
      <c r="L1306" s="635"/>
      <c r="M1306" s="655">
        <f t="shared" si="55"/>
        <v>1108278.672</v>
      </c>
      <c r="N1306" s="61"/>
    </row>
    <row r="1307" spans="1:14" s="242" customFormat="1" ht="14.25" customHeight="1">
      <c r="A1307" s="624">
        <v>124</v>
      </c>
      <c r="B1307" s="625" t="e">
        <f>VLOOKUP(D1307,'[1]DS CN MOI UP'!$B$11:$C$447,2,0)</f>
        <v>#N/A</v>
      </c>
      <c r="C1307" s="626" t="s">
        <v>1422</v>
      </c>
      <c r="D1307" s="630" t="s">
        <v>745</v>
      </c>
      <c r="E1307" s="630" t="s">
        <v>15</v>
      </c>
      <c r="F1307" s="630"/>
      <c r="G1307" s="655">
        <v>60000</v>
      </c>
      <c r="H1307" s="655">
        <v>635040.18900000001</v>
      </c>
      <c r="I1307" s="655">
        <v>524139.33600000001</v>
      </c>
      <c r="J1307" s="635">
        <f t="shared" si="45"/>
        <v>1219179.5249999999</v>
      </c>
      <c r="K1307" s="635"/>
      <c r="L1307" s="635"/>
      <c r="M1307" s="655">
        <f t="shared" si="55"/>
        <v>1219179.5249999999</v>
      </c>
      <c r="N1307" s="61"/>
    </row>
    <row r="1308" spans="1:14" s="242" customFormat="1" ht="14.25" customHeight="1">
      <c r="A1308" s="624">
        <v>125</v>
      </c>
      <c r="B1308" s="625" t="e">
        <f>VLOOKUP(D1308,'[1]DS CN MOI UP'!$B$11:$C$447,2,0)</f>
        <v>#N/A</v>
      </c>
      <c r="C1308" s="626" t="s">
        <v>1424</v>
      </c>
      <c r="D1308" s="630" t="s">
        <v>1467</v>
      </c>
      <c r="E1308" s="630" t="s">
        <v>15</v>
      </c>
      <c r="F1308" s="630"/>
      <c r="G1308" s="655">
        <v>60000</v>
      </c>
      <c r="H1308" s="655">
        <v>635040.18900000001</v>
      </c>
      <c r="I1308" s="655">
        <v>524139.33600000001</v>
      </c>
      <c r="J1308" s="635">
        <f t="shared" si="45"/>
        <v>1219179.5249999999</v>
      </c>
      <c r="K1308" s="635"/>
      <c r="L1308" s="635"/>
      <c r="M1308" s="655">
        <f t="shared" si="55"/>
        <v>1219179.5249999999</v>
      </c>
      <c r="N1308" s="61"/>
    </row>
    <row r="1309" spans="1:14" s="242" customFormat="1" ht="14.25" customHeight="1">
      <c r="A1309" s="624">
        <v>126</v>
      </c>
      <c r="B1309" s="625" t="e">
        <f>VLOOKUP(D1309,'[1]DS CN MOI UP'!$B$11:$C$447,2,0)</f>
        <v>#N/A</v>
      </c>
      <c r="C1309" s="626" t="s">
        <v>1426</v>
      </c>
      <c r="D1309" s="630" t="s">
        <v>747</v>
      </c>
      <c r="E1309" s="630" t="s">
        <v>15</v>
      </c>
      <c r="F1309" s="630"/>
      <c r="G1309" s="655">
        <v>60000</v>
      </c>
      <c r="H1309" s="655">
        <v>554373.09900000005</v>
      </c>
      <c r="I1309" s="655">
        <v>524139.33600000001</v>
      </c>
      <c r="J1309" s="635">
        <f t="shared" si="45"/>
        <v>1138512.4350000001</v>
      </c>
      <c r="K1309" s="635"/>
      <c r="L1309" s="635"/>
      <c r="M1309" s="655">
        <f t="shared" si="55"/>
        <v>1138512.4350000001</v>
      </c>
      <c r="N1309" s="61"/>
    </row>
    <row r="1310" spans="1:14" s="242" customFormat="1" ht="14.25" customHeight="1">
      <c r="A1310" s="624">
        <v>127</v>
      </c>
      <c r="B1310" s="625" t="e">
        <f>VLOOKUP(D1310,'[1]DS CN MOI UP'!$B$11:$C$447,2,0)</f>
        <v>#N/A</v>
      </c>
      <c r="C1310" s="626" t="s">
        <v>1428</v>
      </c>
      <c r="D1310" s="630" t="s">
        <v>746</v>
      </c>
      <c r="E1310" s="630" t="s">
        <v>15</v>
      </c>
      <c r="F1310" s="630"/>
      <c r="G1310" s="655">
        <v>60000</v>
      </c>
      <c r="H1310" s="655">
        <v>554373.09900000005</v>
      </c>
      <c r="I1310" s="655">
        <v>524139.33600000001</v>
      </c>
      <c r="J1310" s="635">
        <f t="shared" si="45"/>
        <v>1138512.4350000001</v>
      </c>
      <c r="K1310" s="635"/>
      <c r="L1310" s="635"/>
      <c r="M1310" s="655">
        <f t="shared" si="55"/>
        <v>1138512.4350000001</v>
      </c>
      <c r="N1310" s="61"/>
    </row>
    <row r="1311" spans="1:14" s="242" customFormat="1" ht="14.25" customHeight="1">
      <c r="A1311" s="624">
        <v>128</v>
      </c>
      <c r="B1311" s="625" t="e">
        <f>VLOOKUP(D1311,'[1]DS CN MOI UP'!$B$11:$C$447,2,0)</f>
        <v>#N/A</v>
      </c>
      <c r="C1311" s="626" t="s">
        <v>1430</v>
      </c>
      <c r="D1311" s="630" t="s">
        <v>749</v>
      </c>
      <c r="E1311" s="630" t="s">
        <v>15</v>
      </c>
      <c r="F1311" s="630"/>
      <c r="G1311" s="655">
        <v>60000</v>
      </c>
      <c r="H1311" s="655">
        <v>554373.09900000005</v>
      </c>
      <c r="I1311" s="655">
        <v>524139.33600000001</v>
      </c>
      <c r="J1311" s="635">
        <f t="shared" si="45"/>
        <v>1138512.4350000001</v>
      </c>
      <c r="K1311" s="635"/>
      <c r="L1311" s="635"/>
      <c r="M1311" s="655">
        <f t="shared" si="55"/>
        <v>1138512.4350000001</v>
      </c>
      <c r="N1311" s="61"/>
    </row>
    <row r="1312" spans="1:14" s="242" customFormat="1" ht="14.25" customHeight="1">
      <c r="A1312" s="624">
        <v>129</v>
      </c>
      <c r="B1312" s="625" t="e">
        <f>VLOOKUP(D1312,'[1]DS CN MOI UP'!$B$11:$C$447,2,0)</f>
        <v>#N/A</v>
      </c>
      <c r="C1312" s="626" t="s">
        <v>1432</v>
      </c>
      <c r="D1312" s="630" t="s">
        <v>1468</v>
      </c>
      <c r="E1312" s="630" t="s">
        <v>15</v>
      </c>
      <c r="F1312" s="630"/>
      <c r="G1312" s="655">
        <v>60000</v>
      </c>
      <c r="H1312" s="655">
        <v>554373.09900000005</v>
      </c>
      <c r="I1312" s="655">
        <v>524139.33600000001</v>
      </c>
      <c r="J1312" s="635">
        <f t="shared" si="45"/>
        <v>1138512.4350000001</v>
      </c>
      <c r="K1312" s="635"/>
      <c r="L1312" s="635"/>
      <c r="M1312" s="655">
        <f t="shared" si="55"/>
        <v>1138512.4350000001</v>
      </c>
      <c r="N1312" s="61"/>
    </row>
    <row r="1313" spans="1:15" s="242" customFormat="1" ht="14.25" customHeight="1">
      <c r="A1313" s="624">
        <v>130</v>
      </c>
      <c r="B1313" s="625" t="e">
        <f>VLOOKUP(D1313,'[1]DS CN MOI UP'!$B$11:$C$447,2,0)</f>
        <v>#N/A</v>
      </c>
      <c r="C1313" s="626" t="s">
        <v>1433</v>
      </c>
      <c r="D1313" s="630" t="s">
        <v>751</v>
      </c>
      <c r="E1313" s="630" t="s">
        <v>15</v>
      </c>
      <c r="F1313" s="630"/>
      <c r="G1313" s="655">
        <v>60000</v>
      </c>
      <c r="H1313" s="655">
        <v>554373.09900000005</v>
      </c>
      <c r="I1313" s="655">
        <v>524139.33600000001</v>
      </c>
      <c r="J1313" s="635">
        <f t="shared" si="45"/>
        <v>1138512.4350000001</v>
      </c>
      <c r="K1313" s="635"/>
      <c r="L1313" s="635"/>
      <c r="M1313" s="655">
        <f t="shared" si="55"/>
        <v>1138512.4350000001</v>
      </c>
      <c r="N1313" s="61"/>
    </row>
    <row r="1314" spans="1:15" s="242" customFormat="1" ht="14.25" customHeight="1">
      <c r="A1314" s="624">
        <v>131</v>
      </c>
      <c r="B1314" s="625" t="e">
        <f>VLOOKUP(D1314,'[1]DS CN MOI UP'!$B$11:$C$447,2,0)</f>
        <v>#N/A</v>
      </c>
      <c r="C1314" s="626" t="s">
        <v>1434</v>
      </c>
      <c r="D1314" s="630" t="s">
        <v>752</v>
      </c>
      <c r="E1314" s="630" t="s">
        <v>15</v>
      </c>
      <c r="F1314" s="630"/>
      <c r="G1314" s="655">
        <v>60000</v>
      </c>
      <c r="H1314" s="655">
        <v>635040.18900000001</v>
      </c>
      <c r="I1314" s="655">
        <v>524139.33600000001</v>
      </c>
      <c r="J1314" s="635">
        <f t="shared" si="45"/>
        <v>1219179.5249999999</v>
      </c>
      <c r="K1314" s="635"/>
      <c r="L1314" s="635"/>
      <c r="M1314" s="655">
        <f t="shared" si="55"/>
        <v>1219179.5249999999</v>
      </c>
      <c r="N1314" s="61"/>
    </row>
    <row r="1315" spans="1:15" s="242" customFormat="1" ht="14.25" customHeight="1">
      <c r="A1315" s="624">
        <v>132</v>
      </c>
      <c r="B1315" s="625" t="str">
        <f>VLOOKUP(D1315,'[1]DS CN MOI UP'!$B$11:$C$447,2,0)</f>
        <v>02605</v>
      </c>
      <c r="C1315" s="626" t="s">
        <v>1436</v>
      </c>
      <c r="D1315" s="630" t="s">
        <v>258</v>
      </c>
      <c r="E1315" s="630" t="s">
        <v>15</v>
      </c>
      <c r="F1315" s="630"/>
      <c r="G1315" s="655">
        <v>60000</v>
      </c>
      <c r="H1315" s="655">
        <v>544338.9</v>
      </c>
      <c r="I1315" s="655">
        <v>524139.33600000001</v>
      </c>
      <c r="J1315" s="635">
        <f t="shared" si="45"/>
        <v>1128478.236</v>
      </c>
      <c r="K1315" s="635"/>
      <c r="L1315" s="635"/>
      <c r="M1315" s="655">
        <f t="shared" si="55"/>
        <v>1128478.236</v>
      </c>
      <c r="N1315" s="61"/>
    </row>
    <row r="1316" spans="1:15" s="242" customFormat="1" ht="14.25" customHeight="1">
      <c r="A1316" s="624">
        <v>133</v>
      </c>
      <c r="B1316" s="625" t="e">
        <f>VLOOKUP(D1316,'[1]DS CN MOI UP'!$B$11:$C$447,2,0)</f>
        <v>#N/A</v>
      </c>
      <c r="C1316" s="626" t="s">
        <v>1437</v>
      </c>
      <c r="D1316" s="630" t="s">
        <v>754</v>
      </c>
      <c r="E1316" s="630" t="s">
        <v>15</v>
      </c>
      <c r="F1316" s="630"/>
      <c r="G1316" s="655">
        <v>60000</v>
      </c>
      <c r="H1316" s="655">
        <v>574572.66299999994</v>
      </c>
      <c r="I1316" s="655">
        <v>524139.33600000001</v>
      </c>
      <c r="J1316" s="635">
        <f t="shared" si="45"/>
        <v>1158711.9989999998</v>
      </c>
      <c r="K1316" s="635"/>
      <c r="L1316" s="635"/>
      <c r="M1316" s="655">
        <f t="shared" si="55"/>
        <v>1158711.9989999998</v>
      </c>
      <c r="N1316" s="61"/>
    </row>
    <row r="1317" spans="1:15" s="242" customFormat="1" ht="14.25" customHeight="1">
      <c r="A1317" s="624">
        <v>134</v>
      </c>
      <c r="B1317" s="625" t="e">
        <f>VLOOKUP(D1317,'[1]DS CN MOI UP'!$B$11:$C$447,2,0)</f>
        <v>#N/A</v>
      </c>
      <c r="C1317" s="626" t="s">
        <v>1438</v>
      </c>
      <c r="D1317" s="630" t="s">
        <v>1469</v>
      </c>
      <c r="E1317" s="630" t="s">
        <v>15</v>
      </c>
      <c r="F1317" s="630"/>
      <c r="G1317" s="655">
        <v>60000</v>
      </c>
      <c r="H1317" s="655">
        <v>604806.42599999998</v>
      </c>
      <c r="I1317" s="655">
        <v>524139.33600000001</v>
      </c>
      <c r="J1317" s="635">
        <f t="shared" si="45"/>
        <v>1188945.7620000001</v>
      </c>
      <c r="K1317" s="635"/>
      <c r="L1317" s="635"/>
      <c r="M1317" s="655">
        <f t="shared" si="55"/>
        <v>1188945.7620000001</v>
      </c>
      <c r="N1317" s="61"/>
    </row>
    <row r="1318" spans="1:15" s="242" customFormat="1" ht="14.25" customHeight="1">
      <c r="A1318" s="624">
        <v>135</v>
      </c>
      <c r="B1318" s="625" t="e">
        <f>VLOOKUP(D1318,'[1]DS CN MOI UP'!$B$11:$C$447,2,0)</f>
        <v>#N/A</v>
      </c>
      <c r="C1318" s="626" t="s">
        <v>1440</v>
      </c>
      <c r="D1318" s="630" t="s">
        <v>1470</v>
      </c>
      <c r="E1318" s="630" t="s">
        <v>15</v>
      </c>
      <c r="F1318" s="630"/>
      <c r="G1318" s="655">
        <v>60000</v>
      </c>
      <c r="H1318" s="655">
        <v>584606.86199999996</v>
      </c>
      <c r="I1318" s="655">
        <v>524139.33600000001</v>
      </c>
      <c r="J1318" s="635">
        <f t="shared" si="45"/>
        <v>1168746.1979999999</v>
      </c>
      <c r="K1318" s="635"/>
      <c r="L1318" s="635"/>
      <c r="M1318" s="655">
        <f t="shared" si="55"/>
        <v>1168746.1979999999</v>
      </c>
      <c r="N1318" s="61"/>
    </row>
    <row r="1319" spans="1:15" s="242" customFormat="1" ht="14.25" customHeight="1">
      <c r="A1319" s="624">
        <v>136</v>
      </c>
      <c r="B1319" s="625" t="e">
        <f>VLOOKUP(D1319,'[1]DS CN MOI UP'!$B$11:$C$447,2,0)</f>
        <v>#N/A</v>
      </c>
      <c r="C1319" s="626" t="s">
        <v>1442</v>
      </c>
      <c r="D1319" s="630" t="s">
        <v>1471</v>
      </c>
      <c r="E1319" s="630" t="s">
        <v>15</v>
      </c>
      <c r="F1319" s="630"/>
      <c r="G1319" s="655">
        <v>60000</v>
      </c>
      <c r="H1319" s="655">
        <v>635040.18900000001</v>
      </c>
      <c r="I1319" s="655">
        <v>524139.33600000001</v>
      </c>
      <c r="J1319" s="635">
        <f t="shared" si="45"/>
        <v>1219179.5249999999</v>
      </c>
      <c r="K1319" s="635"/>
      <c r="L1319" s="635"/>
      <c r="M1319" s="655">
        <f t="shared" si="55"/>
        <v>1219179.5249999999</v>
      </c>
      <c r="N1319" s="61"/>
    </row>
    <row r="1320" spans="1:15" s="242" customFormat="1" ht="14.25" customHeight="1">
      <c r="A1320" s="624">
        <v>137</v>
      </c>
      <c r="B1320" s="625" t="e">
        <f>VLOOKUP(D1320,'[1]DS CN MOI UP'!$B$11:$C$447,2,0)</f>
        <v>#N/A</v>
      </c>
      <c r="C1320" s="626" t="s">
        <v>1444</v>
      </c>
      <c r="D1320" s="630" t="s">
        <v>1472</v>
      </c>
      <c r="E1320" s="630" t="s">
        <v>15</v>
      </c>
      <c r="F1320" s="630"/>
      <c r="G1320" s="655">
        <v>60000</v>
      </c>
      <c r="H1320" s="655">
        <v>524139.33600000001</v>
      </c>
      <c r="I1320" s="655">
        <v>524139.33600000001</v>
      </c>
      <c r="J1320" s="635">
        <f t="shared" si="45"/>
        <v>1108278.672</v>
      </c>
      <c r="K1320" s="635"/>
      <c r="L1320" s="635"/>
      <c r="M1320" s="655">
        <f t="shared" si="55"/>
        <v>1108278.672</v>
      </c>
      <c r="N1320" s="61"/>
    </row>
    <row r="1321" spans="1:15" s="242" customFormat="1" ht="14.25" customHeight="1">
      <c r="A1321" s="624">
        <v>138</v>
      </c>
      <c r="B1321" s="625" t="e">
        <f>VLOOKUP(D1321,'[1]DS CN MOI UP'!$B$11:$C$447,2,0)</f>
        <v>#N/A</v>
      </c>
      <c r="C1321" s="639" t="s">
        <v>1445</v>
      </c>
      <c r="D1321" s="630" t="s">
        <v>1473</v>
      </c>
      <c r="E1321" s="630" t="s">
        <v>15</v>
      </c>
      <c r="F1321" s="630"/>
      <c r="G1321" s="655">
        <v>60000</v>
      </c>
      <c r="H1321" s="655">
        <v>635040.18900000001</v>
      </c>
      <c r="I1321" s="655">
        <v>524139.33600000001</v>
      </c>
      <c r="J1321" s="635">
        <f t="shared" si="45"/>
        <v>1219179.5249999999</v>
      </c>
      <c r="K1321" s="635"/>
      <c r="L1321" s="635"/>
      <c r="M1321" s="655">
        <f t="shared" si="55"/>
        <v>1219179.5249999999</v>
      </c>
      <c r="N1321" s="61"/>
    </row>
    <row r="1322" spans="1:15" s="242" customFormat="1" ht="14.25" customHeight="1">
      <c r="A1322" s="624">
        <v>139</v>
      </c>
      <c r="B1322" s="625" t="e">
        <f>VLOOKUP(D1322,'[1]DS CN MOI UP'!$B$11:$C$447,2,0)</f>
        <v>#N/A</v>
      </c>
      <c r="C1322" s="639" t="s">
        <v>1447</v>
      </c>
      <c r="D1322" s="630" t="s">
        <v>1474</v>
      </c>
      <c r="E1322" s="630" t="s">
        <v>15</v>
      </c>
      <c r="F1322" s="630"/>
      <c r="G1322" s="655">
        <v>60000</v>
      </c>
      <c r="H1322" s="655">
        <v>635040.18900000001</v>
      </c>
      <c r="I1322" s="655">
        <v>524139.33600000001</v>
      </c>
      <c r="J1322" s="635">
        <f t="shared" si="45"/>
        <v>1219179.5249999999</v>
      </c>
      <c r="K1322" s="635"/>
      <c r="L1322" s="635"/>
      <c r="M1322" s="655">
        <f t="shared" si="55"/>
        <v>1219179.5249999999</v>
      </c>
      <c r="N1322" s="61"/>
    </row>
    <row r="1323" spans="1:15" s="242" customFormat="1" ht="14.25" customHeight="1">
      <c r="A1323" s="624">
        <v>140</v>
      </c>
      <c r="B1323" s="625" t="e">
        <f>VLOOKUP(D1323,'[1]DS CN MOI UP'!$B$11:$C$447,2,0)</f>
        <v>#N/A</v>
      </c>
      <c r="C1323" s="639" t="s">
        <v>1448</v>
      </c>
      <c r="D1323" s="630" t="s">
        <v>1475</v>
      </c>
      <c r="E1323" s="630" t="s">
        <v>15</v>
      </c>
      <c r="F1323" s="630"/>
      <c r="G1323" s="655">
        <v>60000</v>
      </c>
      <c r="H1323" s="655">
        <v>554373.09900000005</v>
      </c>
      <c r="I1323" s="655">
        <v>524139.33600000001</v>
      </c>
      <c r="J1323" s="635">
        <f t="shared" si="45"/>
        <v>1138512.4350000001</v>
      </c>
      <c r="K1323" s="635"/>
      <c r="L1323" s="635"/>
      <c r="M1323" s="655">
        <f t="shared" si="55"/>
        <v>1138512.4350000001</v>
      </c>
      <c r="N1323" s="61"/>
    </row>
    <row r="1324" spans="1:15" s="242" customFormat="1" ht="14.25" customHeight="1">
      <c r="A1324" s="624">
        <v>141</v>
      </c>
      <c r="B1324" s="625" t="e">
        <f>VLOOKUP(D1324,'[1]DS CN MOI UP'!$B$11:$C$447,2,0)</f>
        <v>#N/A</v>
      </c>
      <c r="C1324" s="639" t="s">
        <v>1450</v>
      </c>
      <c r="D1324" s="630" t="s">
        <v>1476</v>
      </c>
      <c r="E1324" s="630" t="s">
        <v>15</v>
      </c>
      <c r="F1324" s="630"/>
      <c r="G1324" s="655">
        <v>60000</v>
      </c>
      <c r="H1324" s="655">
        <v>554373.09900000005</v>
      </c>
      <c r="I1324" s="655">
        <v>524139.33600000001</v>
      </c>
      <c r="J1324" s="635">
        <f t="shared" si="45"/>
        <v>1138512.4350000001</v>
      </c>
      <c r="K1324" s="635"/>
      <c r="L1324" s="635"/>
      <c r="M1324" s="655">
        <f t="shared" si="55"/>
        <v>1138512.4350000001</v>
      </c>
      <c r="N1324" s="61"/>
    </row>
    <row r="1325" spans="1:15" s="242" customFormat="1" ht="14.25" customHeight="1">
      <c r="A1325" s="624">
        <v>142</v>
      </c>
      <c r="B1325" s="625" t="e">
        <f>VLOOKUP(D1325,'[1]DS CN MOI UP'!$B$11:$C$447,2,0)</f>
        <v>#N/A</v>
      </c>
      <c r="C1325" s="639" t="s">
        <v>1451</v>
      </c>
      <c r="D1325" s="630" t="s">
        <v>1477</v>
      </c>
      <c r="E1325" s="630" t="s">
        <v>15</v>
      </c>
      <c r="F1325" s="630"/>
      <c r="G1325" s="655">
        <v>60000</v>
      </c>
      <c r="H1325" s="655">
        <v>554373.09900000005</v>
      </c>
      <c r="I1325" s="655">
        <v>524139.33600000001</v>
      </c>
      <c r="J1325" s="635">
        <f t="shared" si="45"/>
        <v>1138512.4350000001</v>
      </c>
      <c r="K1325" s="635"/>
      <c r="L1325" s="635"/>
      <c r="M1325" s="655">
        <f t="shared" si="55"/>
        <v>1138512.4350000001</v>
      </c>
      <c r="N1325" s="61"/>
    </row>
    <row r="1326" spans="1:15" s="242" customFormat="1" ht="14.25" customHeight="1">
      <c r="A1326" s="624">
        <v>143</v>
      </c>
      <c r="B1326" s="625" t="e">
        <f>VLOOKUP(D1326,'[1]DS CN MOI UP'!$B$11:$C$447,2,0)</f>
        <v>#N/A</v>
      </c>
      <c r="C1326" s="639" t="s">
        <v>1453</v>
      </c>
      <c r="D1326" s="640" t="s">
        <v>1478</v>
      </c>
      <c r="E1326" s="630" t="s">
        <v>15</v>
      </c>
      <c r="F1326" s="630"/>
      <c r="G1326" s="655">
        <v>60000</v>
      </c>
      <c r="H1326" s="655">
        <v>554373.09900000005</v>
      </c>
      <c r="I1326" s="655">
        <v>524139.33600000001</v>
      </c>
      <c r="J1326" s="635">
        <f t="shared" si="45"/>
        <v>1138512.4350000001</v>
      </c>
      <c r="K1326" s="635"/>
      <c r="L1326" s="635"/>
      <c r="M1326" s="655">
        <f t="shared" si="55"/>
        <v>1138512.4350000001</v>
      </c>
      <c r="N1326" s="61"/>
    </row>
    <row r="1327" spans="1:15" s="242" customFormat="1" ht="14.25" customHeight="1">
      <c r="A1327" s="624">
        <v>144</v>
      </c>
      <c r="B1327" s="625" t="e">
        <f>VLOOKUP(D1327,'[1]DS CN MOI UP'!$B$11:$C$447,2,0)</f>
        <v>#N/A</v>
      </c>
      <c r="C1327" s="639" t="s">
        <v>1455</v>
      </c>
      <c r="D1327" s="641" t="s">
        <v>1479</v>
      </c>
      <c r="E1327" s="630" t="s">
        <v>15</v>
      </c>
      <c r="F1327" s="630"/>
      <c r="G1327" s="655">
        <v>60000</v>
      </c>
      <c r="H1327" s="655">
        <v>554373.09900000005</v>
      </c>
      <c r="I1327" s="655">
        <v>524139.33600000001</v>
      </c>
      <c r="J1327" s="635">
        <f t="shared" si="45"/>
        <v>1138512.4350000001</v>
      </c>
      <c r="K1327" s="635"/>
      <c r="L1327" s="635"/>
      <c r="M1327" s="655">
        <f t="shared" si="55"/>
        <v>1138512.4350000001</v>
      </c>
      <c r="N1327" s="61"/>
      <c r="O1327" s="636"/>
    </row>
    <row r="1328" spans="1:15" s="242" customFormat="1" ht="14.25" customHeight="1">
      <c r="A1328" s="624">
        <v>145</v>
      </c>
      <c r="B1328" s="625" t="e">
        <f>VLOOKUP(D1328,'[1]DS CN MOI UP'!$B$11:$C$447,2,0)</f>
        <v>#N/A</v>
      </c>
      <c r="C1328" s="639" t="s">
        <v>1456</v>
      </c>
      <c r="D1328" s="641" t="s">
        <v>1480</v>
      </c>
      <c r="E1328" s="630" t="s">
        <v>15</v>
      </c>
      <c r="F1328" s="630"/>
      <c r="G1328" s="655">
        <v>60000</v>
      </c>
      <c r="H1328" s="655">
        <v>635040.18900000001</v>
      </c>
      <c r="I1328" s="655">
        <v>524139.33600000001</v>
      </c>
      <c r="J1328" s="635">
        <f t="shared" si="45"/>
        <v>1219179.5249999999</v>
      </c>
      <c r="K1328" s="635"/>
      <c r="L1328" s="635"/>
      <c r="M1328" s="655">
        <f t="shared" si="55"/>
        <v>1219179.5249999999</v>
      </c>
      <c r="N1328" s="61"/>
    </row>
    <row r="1329" spans="1:14" s="242" customFormat="1" ht="14.25" customHeight="1">
      <c r="A1329" s="624">
        <v>146</v>
      </c>
      <c r="B1329" s="625" t="e">
        <f>VLOOKUP(D1329,'[1]DS CN MOI UP'!$B$11:$C$447,2,0)</f>
        <v>#N/A</v>
      </c>
      <c r="C1329" s="639" t="s">
        <v>1456</v>
      </c>
      <c r="D1329" s="641" t="s">
        <v>1481</v>
      </c>
      <c r="E1329" s="630" t="s">
        <v>15</v>
      </c>
      <c r="F1329" s="630"/>
      <c r="G1329" s="655">
        <v>60000</v>
      </c>
      <c r="H1329" s="655">
        <v>544338.9</v>
      </c>
      <c r="I1329" s="655">
        <v>524139.33600000001</v>
      </c>
      <c r="J1329" s="635">
        <f t="shared" si="45"/>
        <v>1128478.236</v>
      </c>
      <c r="K1329" s="635"/>
      <c r="L1329" s="635"/>
      <c r="M1329" s="655">
        <f t="shared" si="55"/>
        <v>1128478.236</v>
      </c>
      <c r="N1329" s="61"/>
    </row>
    <row r="1330" spans="1:14" s="242" customFormat="1" ht="14.25" customHeight="1">
      <c r="A1330" s="624">
        <v>147</v>
      </c>
      <c r="B1330" s="625" t="e">
        <f>VLOOKUP(D1330,'[1]DS CN MOI UP'!$B$11:$C$447,2,0)</f>
        <v>#N/A</v>
      </c>
      <c r="C1330" s="639" t="s">
        <v>1456</v>
      </c>
      <c r="D1330" s="641" t="s">
        <v>1482</v>
      </c>
      <c r="E1330" s="630" t="s">
        <v>15</v>
      </c>
      <c r="F1330" s="630"/>
      <c r="G1330" s="655">
        <v>60000</v>
      </c>
      <c r="H1330" s="655">
        <v>574572.66299999994</v>
      </c>
      <c r="I1330" s="655">
        <v>524139.33600000001</v>
      </c>
      <c r="J1330" s="635">
        <f t="shared" si="45"/>
        <v>1158711.9989999998</v>
      </c>
      <c r="K1330" s="635"/>
      <c r="L1330" s="635"/>
      <c r="M1330" s="655">
        <f t="shared" si="55"/>
        <v>1158711.9989999998</v>
      </c>
      <c r="N1330" s="61"/>
    </row>
    <row r="1331" spans="1:14" s="242" customFormat="1" ht="14.25" customHeight="1">
      <c r="A1331" s="624">
        <v>148</v>
      </c>
      <c r="B1331" s="625" t="e">
        <f>VLOOKUP(D1331,'[1]DS CN MOI UP'!$B$11:$C$447,2,0)</f>
        <v>#N/A</v>
      </c>
      <c r="C1331" s="639" t="s">
        <v>1456</v>
      </c>
      <c r="D1331" s="641" t="s">
        <v>1483</v>
      </c>
      <c r="E1331" s="630" t="s">
        <v>15</v>
      </c>
      <c r="F1331" s="630"/>
      <c r="G1331" s="655">
        <v>524139.33600000001</v>
      </c>
      <c r="H1331" s="655">
        <v>604806.42599999998</v>
      </c>
      <c r="I1331" s="655"/>
      <c r="J1331" s="635">
        <f t="shared" si="45"/>
        <v>1128945.7620000001</v>
      </c>
      <c r="K1331" s="635"/>
      <c r="L1331" s="635"/>
      <c r="M1331" s="655">
        <f t="shared" si="55"/>
        <v>1128945.7620000001</v>
      </c>
      <c r="N1331" s="61"/>
    </row>
    <row r="1332" spans="1:14" s="242" customFormat="1" ht="14.25" customHeight="1">
      <c r="A1332" s="624">
        <v>149</v>
      </c>
      <c r="B1332" s="625" t="e">
        <f>VLOOKUP(D1332,'[1]DS CN MOI UP'!$B$11:$C$447,2,0)</f>
        <v>#N/A</v>
      </c>
      <c r="C1332" s="639" t="s">
        <v>1456</v>
      </c>
      <c r="D1332" s="641" t="s">
        <v>1484</v>
      </c>
      <c r="E1332" s="630" t="s">
        <v>15</v>
      </c>
      <c r="F1332" s="630"/>
      <c r="G1332" s="655">
        <v>524139.33600000001</v>
      </c>
      <c r="H1332" s="655">
        <v>584606.86199999996</v>
      </c>
      <c r="I1332" s="655"/>
      <c r="J1332" s="635">
        <f t="shared" si="45"/>
        <v>1108746.1979999999</v>
      </c>
      <c r="K1332" s="635"/>
      <c r="L1332" s="635"/>
      <c r="M1332" s="655">
        <f t="shared" si="55"/>
        <v>1108746.1979999999</v>
      </c>
      <c r="N1332" s="61"/>
    </row>
    <row r="1333" spans="1:14" s="242" customFormat="1" ht="14.25" customHeight="1">
      <c r="A1333" s="624">
        <v>150</v>
      </c>
      <c r="B1333" s="625" t="e">
        <f>VLOOKUP(D1333,'[1]DS CN MOI UP'!$B$11:$C$447,2,0)</f>
        <v>#N/A</v>
      </c>
      <c r="C1333" s="639" t="s">
        <v>1456</v>
      </c>
      <c r="D1333" s="641" t="s">
        <v>1485</v>
      </c>
      <c r="E1333" s="630" t="s">
        <v>15</v>
      </c>
      <c r="F1333" s="630"/>
      <c r="G1333" s="655">
        <v>524139.33600000001</v>
      </c>
      <c r="H1333" s="655">
        <v>635040.18900000001</v>
      </c>
      <c r="I1333" s="655"/>
      <c r="J1333" s="635">
        <f t="shared" si="45"/>
        <v>1159179.5249999999</v>
      </c>
      <c r="K1333" s="635"/>
      <c r="L1333" s="635"/>
      <c r="M1333" s="655">
        <f t="shared" si="55"/>
        <v>1159179.5249999999</v>
      </c>
      <c r="N1333" s="61"/>
    </row>
    <row r="1334" spans="1:14" s="242" customFormat="1" ht="14.25" customHeight="1">
      <c r="A1334" s="624">
        <v>151</v>
      </c>
      <c r="B1334" s="625" t="e">
        <f>VLOOKUP(D1334,'[1]DS CN MOI UP'!$B$11:$C$447,2,0)</f>
        <v>#N/A</v>
      </c>
      <c r="C1334" s="639" t="s">
        <v>1456</v>
      </c>
      <c r="D1334" s="641" t="s">
        <v>1486</v>
      </c>
      <c r="E1334" s="630" t="s">
        <v>15</v>
      </c>
      <c r="F1334" s="630"/>
      <c r="G1334" s="655">
        <v>524139.33600000001</v>
      </c>
      <c r="H1334" s="655">
        <v>524139.33600000001</v>
      </c>
      <c r="I1334" s="655"/>
      <c r="J1334" s="635">
        <f t="shared" si="45"/>
        <v>1048278.672</v>
      </c>
      <c r="K1334" s="635"/>
      <c r="L1334" s="635"/>
      <c r="M1334" s="655">
        <f t="shared" si="55"/>
        <v>1048278.672</v>
      </c>
      <c r="N1334" s="61"/>
    </row>
    <row r="1335" spans="1:14" s="242" customFormat="1" ht="14.25" customHeight="1">
      <c r="A1335" s="624">
        <v>152</v>
      </c>
      <c r="B1335" s="625" t="e">
        <f>VLOOKUP(D1335,'[1]DS CN MOI UP'!$B$11:$C$447,2,0)</f>
        <v>#N/A</v>
      </c>
      <c r="C1335" s="639" t="s">
        <v>1456</v>
      </c>
      <c r="D1335" s="641" t="s">
        <v>1487</v>
      </c>
      <c r="E1335" s="630" t="s">
        <v>1488</v>
      </c>
      <c r="F1335" s="630"/>
      <c r="G1335" s="655">
        <v>524139.33600000001</v>
      </c>
      <c r="H1335" s="655">
        <v>635040.18900000001</v>
      </c>
      <c r="I1335" s="655"/>
      <c r="J1335" s="635">
        <f t="shared" si="45"/>
        <v>1159179.5249999999</v>
      </c>
      <c r="K1335" s="635"/>
      <c r="L1335" s="635"/>
      <c r="M1335" s="655">
        <f t="shared" si="55"/>
        <v>1159179.5249999999</v>
      </c>
      <c r="N1335" s="61"/>
    </row>
    <row r="1336" spans="1:14" s="242" customFormat="1" ht="14.25" customHeight="1">
      <c r="A1336" s="624">
        <v>153</v>
      </c>
      <c r="B1336" s="625" t="e">
        <f>VLOOKUP(D1336,'[1]DS CN MOI UP'!$B$11:$C$447,2,0)</f>
        <v>#N/A</v>
      </c>
      <c r="C1336" s="639" t="s">
        <v>1456</v>
      </c>
      <c r="D1336" s="641" t="s">
        <v>1489</v>
      </c>
      <c r="E1336" s="630" t="s">
        <v>1488</v>
      </c>
      <c r="F1336" s="630"/>
      <c r="G1336" s="655">
        <v>524139.33600000001</v>
      </c>
      <c r="H1336" s="655">
        <v>635040.18900000001</v>
      </c>
      <c r="I1336" s="655"/>
      <c r="J1336" s="635">
        <f t="shared" si="45"/>
        <v>1159179.5249999999</v>
      </c>
      <c r="K1336" s="635"/>
      <c r="L1336" s="635"/>
      <c r="M1336" s="655">
        <f t="shared" si="55"/>
        <v>1159179.5249999999</v>
      </c>
      <c r="N1336" s="61"/>
    </row>
    <row r="1337" spans="1:14" s="242" customFormat="1" ht="14.25" customHeight="1">
      <c r="A1337" s="624">
        <v>154</v>
      </c>
      <c r="B1337" s="625" t="e">
        <f>VLOOKUP(D1337,'[1]DS CN MOI UP'!$B$11:$C$447,2,0)</f>
        <v>#N/A</v>
      </c>
      <c r="C1337" s="639" t="s">
        <v>1456</v>
      </c>
      <c r="D1337" s="641" t="s">
        <v>1490</v>
      </c>
      <c r="E1337" s="630" t="s">
        <v>15</v>
      </c>
      <c r="F1337" s="630"/>
      <c r="G1337" s="655">
        <v>524139.33600000001</v>
      </c>
      <c r="H1337" s="655">
        <v>554373.09900000005</v>
      </c>
      <c r="I1337" s="655"/>
      <c r="J1337" s="635">
        <f t="shared" si="45"/>
        <v>1078512.4350000001</v>
      </c>
      <c r="K1337" s="635"/>
      <c r="L1337" s="635"/>
      <c r="M1337" s="655">
        <f t="shared" si="55"/>
        <v>1078512.4350000001</v>
      </c>
      <c r="N1337" s="61"/>
    </row>
    <row r="1338" spans="1:14" s="242" customFormat="1" ht="14.25" customHeight="1">
      <c r="A1338" s="624">
        <v>155</v>
      </c>
      <c r="B1338" s="625" t="e">
        <f>VLOOKUP(D1338,'[1]DS CN MOI UP'!$B$11:$C$447,2,0)</f>
        <v>#N/A</v>
      </c>
      <c r="C1338" s="639" t="s">
        <v>1456</v>
      </c>
      <c r="D1338" s="641" t="s">
        <v>1491</v>
      </c>
      <c r="E1338" s="630" t="s">
        <v>15</v>
      </c>
      <c r="F1338" s="630"/>
      <c r="G1338" s="655">
        <v>524139.33600000001</v>
      </c>
      <c r="H1338" s="655">
        <v>554373.09900000005</v>
      </c>
      <c r="I1338" s="655"/>
      <c r="J1338" s="635">
        <f t="shared" si="45"/>
        <v>1078512.4350000001</v>
      </c>
      <c r="K1338" s="635"/>
      <c r="L1338" s="635"/>
      <c r="M1338" s="655">
        <f t="shared" si="55"/>
        <v>1078512.4350000001</v>
      </c>
      <c r="N1338" s="61"/>
    </row>
    <row r="1339" spans="1:14" s="242" customFormat="1" ht="14.25" customHeight="1">
      <c r="A1339" s="624">
        <v>156</v>
      </c>
      <c r="B1339" s="625" t="e">
        <f>VLOOKUP(D1339,'[1]DS CN MOI UP'!$B$11:$C$447,2,0)</f>
        <v>#N/A</v>
      </c>
      <c r="C1339" s="639" t="s">
        <v>1456</v>
      </c>
      <c r="D1339" s="641" t="s">
        <v>1492</v>
      </c>
      <c r="E1339" s="630" t="s">
        <v>15</v>
      </c>
      <c r="F1339" s="630"/>
      <c r="G1339" s="655">
        <v>524139.33600000001</v>
      </c>
      <c r="H1339" s="655">
        <v>554373.09900000005</v>
      </c>
      <c r="I1339" s="655"/>
      <c r="J1339" s="635">
        <f t="shared" si="45"/>
        <v>1078512.4350000001</v>
      </c>
      <c r="K1339" s="635"/>
      <c r="L1339" s="635"/>
      <c r="M1339" s="655">
        <f t="shared" si="55"/>
        <v>1078512.4350000001</v>
      </c>
      <c r="N1339" s="61"/>
    </row>
    <row r="1340" spans="1:14" s="242" customFormat="1" ht="14.25" customHeight="1">
      <c r="A1340" s="624">
        <v>157</v>
      </c>
      <c r="B1340" s="625" t="e">
        <f>VLOOKUP(D1340,'[1]DS CN MOI UP'!$B$11:$C$447,2,0)</f>
        <v>#N/A</v>
      </c>
      <c r="C1340" s="639" t="s">
        <v>1456</v>
      </c>
      <c r="D1340" s="641" t="s">
        <v>1493</v>
      </c>
      <c r="E1340" s="630" t="s">
        <v>15</v>
      </c>
      <c r="F1340" s="630"/>
      <c r="G1340" s="655">
        <v>524139.33600000001</v>
      </c>
      <c r="H1340" s="655">
        <v>554373.09900000005</v>
      </c>
      <c r="I1340" s="655"/>
      <c r="J1340" s="635">
        <f t="shared" si="45"/>
        <v>1078512.4350000001</v>
      </c>
      <c r="K1340" s="635"/>
      <c r="L1340" s="635"/>
      <c r="M1340" s="655">
        <f t="shared" si="55"/>
        <v>1078512.4350000001</v>
      </c>
      <c r="N1340" s="61"/>
    </row>
    <row r="1341" spans="1:14" s="242" customFormat="1" ht="14.25" customHeight="1">
      <c r="A1341" s="624">
        <v>158</v>
      </c>
      <c r="B1341" s="625" t="e">
        <f>VLOOKUP(D1341,'[1]DS CN MOI UP'!$B$11:$C$447,2,0)</f>
        <v>#N/A</v>
      </c>
      <c r="C1341" s="639" t="s">
        <v>1456</v>
      </c>
      <c r="D1341" s="641" t="s">
        <v>1494</v>
      </c>
      <c r="E1341" s="630" t="s">
        <v>15</v>
      </c>
      <c r="F1341" s="630"/>
      <c r="G1341" s="655">
        <v>524139.33600000001</v>
      </c>
      <c r="H1341" s="655">
        <v>554373.09900000005</v>
      </c>
      <c r="I1341" s="655"/>
      <c r="J1341" s="635">
        <f t="shared" si="45"/>
        <v>1078512.4350000001</v>
      </c>
      <c r="K1341" s="635"/>
      <c r="L1341" s="635"/>
      <c r="M1341" s="655">
        <f t="shared" si="55"/>
        <v>1078512.4350000001</v>
      </c>
      <c r="N1341" s="61"/>
    </row>
    <row r="1342" spans="1:14" s="242" customFormat="1" ht="14.25" customHeight="1">
      <c r="A1342" s="624">
        <v>159</v>
      </c>
      <c r="B1342" s="625" t="e">
        <f>VLOOKUP(D1342,'[1]DS CN MOI UP'!$B$11:$C$447,2,0)</f>
        <v>#N/A</v>
      </c>
      <c r="C1342" s="639" t="s">
        <v>1456</v>
      </c>
      <c r="D1342" s="641" t="s">
        <v>1495</v>
      </c>
      <c r="E1342" s="630" t="s">
        <v>15</v>
      </c>
      <c r="F1342" s="630"/>
      <c r="G1342" s="655">
        <v>524139.33600000001</v>
      </c>
      <c r="H1342" s="655">
        <v>635040.18900000001</v>
      </c>
      <c r="I1342" s="655"/>
      <c r="J1342" s="635">
        <f t="shared" si="45"/>
        <v>1159179.5249999999</v>
      </c>
      <c r="K1342" s="635"/>
      <c r="L1342" s="635"/>
      <c r="M1342" s="655">
        <f t="shared" si="55"/>
        <v>1159179.5249999999</v>
      </c>
      <c r="N1342" s="61"/>
    </row>
    <row r="1343" spans="1:14" s="242" customFormat="1" ht="14.25" customHeight="1">
      <c r="A1343" s="624">
        <v>160</v>
      </c>
      <c r="B1343" s="625" t="e">
        <f>VLOOKUP(D1343,'[1]DS CN MOI UP'!$B$11:$C$447,2,0)</f>
        <v>#N/A</v>
      </c>
      <c r="C1343" s="639" t="s">
        <v>1456</v>
      </c>
      <c r="D1343" s="641" t="s">
        <v>1496</v>
      </c>
      <c r="E1343" s="630" t="s">
        <v>15</v>
      </c>
      <c r="F1343" s="630"/>
      <c r="G1343" s="655">
        <v>524139.33600000001</v>
      </c>
      <c r="H1343" s="655">
        <v>544338.9</v>
      </c>
      <c r="I1343" s="655"/>
      <c r="J1343" s="635">
        <f t="shared" si="45"/>
        <v>1068478.236</v>
      </c>
      <c r="K1343" s="635"/>
      <c r="L1343" s="635"/>
      <c r="M1343" s="655">
        <f t="shared" si="55"/>
        <v>1068478.236</v>
      </c>
      <c r="N1343" s="61"/>
    </row>
    <row r="1344" spans="1:14" s="242" customFormat="1" ht="14.25" customHeight="1">
      <c r="A1344" s="624">
        <v>161</v>
      </c>
      <c r="B1344" s="625" t="e">
        <f>VLOOKUP(D1344,'[1]DS CN MOI UP'!$B$11:$C$447,2,0)</f>
        <v>#N/A</v>
      </c>
      <c r="C1344" s="639" t="s">
        <v>1456</v>
      </c>
      <c r="D1344" s="641" t="s">
        <v>1497</v>
      </c>
      <c r="E1344" s="630" t="s">
        <v>15</v>
      </c>
      <c r="F1344" s="630"/>
      <c r="G1344" s="655">
        <v>524139.33600000001</v>
      </c>
      <c r="H1344" s="655">
        <v>574572.66299999994</v>
      </c>
      <c r="I1344" s="655"/>
      <c r="J1344" s="635">
        <f t="shared" si="45"/>
        <v>1098711.9989999998</v>
      </c>
      <c r="K1344" s="635"/>
      <c r="L1344" s="635"/>
      <c r="M1344" s="655">
        <f t="shared" si="55"/>
        <v>1098711.9989999998</v>
      </c>
      <c r="N1344" s="61"/>
    </row>
    <row r="1345" spans="1:15" s="242" customFormat="1" ht="14.25" customHeight="1">
      <c r="A1345" s="624">
        <v>162</v>
      </c>
      <c r="B1345" s="625" t="e">
        <f>VLOOKUP(D1345,'[1]DS CN MOI UP'!$B$11:$C$447,2,0)</f>
        <v>#N/A</v>
      </c>
      <c r="C1345" s="639" t="s">
        <v>1456</v>
      </c>
      <c r="D1345" s="641" t="s">
        <v>1498</v>
      </c>
      <c r="E1345" s="630" t="s">
        <v>15</v>
      </c>
      <c r="F1345" s="630"/>
      <c r="G1345" s="655">
        <v>524139.33600000001</v>
      </c>
      <c r="H1345" s="655">
        <v>604806.42599999998</v>
      </c>
      <c r="I1345" s="655"/>
      <c r="J1345" s="635">
        <f t="shared" si="45"/>
        <v>1128945.7620000001</v>
      </c>
      <c r="K1345" s="635"/>
      <c r="L1345" s="635"/>
      <c r="M1345" s="655">
        <f t="shared" si="55"/>
        <v>1128945.7620000001</v>
      </c>
      <c r="N1345" s="61"/>
    </row>
    <row r="1346" spans="1:15" s="242" customFormat="1" ht="14.25" customHeight="1">
      <c r="A1346" s="624">
        <v>163</v>
      </c>
      <c r="B1346" s="625" t="e">
        <f>VLOOKUP(D1346,'[1]DS CN MOI UP'!$B$11:$C$447,2,0)</f>
        <v>#N/A</v>
      </c>
      <c r="C1346" s="639" t="s">
        <v>1456</v>
      </c>
      <c r="D1346" s="641" t="s">
        <v>1499</v>
      </c>
      <c r="E1346" s="630" t="s">
        <v>15</v>
      </c>
      <c r="F1346" s="630"/>
      <c r="G1346" s="655">
        <v>524139.33600000001</v>
      </c>
      <c r="H1346" s="655">
        <v>584606.86199999996</v>
      </c>
      <c r="I1346" s="655"/>
      <c r="J1346" s="635">
        <f t="shared" si="45"/>
        <v>1108746.1979999999</v>
      </c>
      <c r="K1346" s="635"/>
      <c r="L1346" s="635"/>
      <c r="M1346" s="655">
        <f t="shared" si="55"/>
        <v>1108746.1979999999</v>
      </c>
      <c r="N1346" s="61"/>
    </row>
    <row r="1347" spans="1:15" s="242" customFormat="1" ht="14.25" customHeight="1">
      <c r="A1347" s="624">
        <v>164</v>
      </c>
      <c r="B1347" s="625" t="e">
        <f>VLOOKUP(D1347,'[1]DS CN MOI UP'!$B$11:$C$447,2,0)</f>
        <v>#N/A</v>
      </c>
      <c r="C1347" s="639" t="s">
        <v>1456</v>
      </c>
      <c r="D1347" s="641" t="s">
        <v>755</v>
      </c>
      <c r="E1347" s="630" t="s">
        <v>15</v>
      </c>
      <c r="F1347" s="630"/>
      <c r="G1347" s="655">
        <v>524139.33600000001</v>
      </c>
      <c r="H1347" s="655">
        <v>635040.18900000001</v>
      </c>
      <c r="I1347" s="655"/>
      <c r="J1347" s="635">
        <f t="shared" si="45"/>
        <v>1159179.5249999999</v>
      </c>
      <c r="K1347" s="635"/>
      <c r="L1347" s="635"/>
      <c r="M1347" s="655">
        <f t="shared" si="55"/>
        <v>1159179.5249999999</v>
      </c>
      <c r="N1347" s="61"/>
    </row>
    <row r="1348" spans="1:15" s="242" customFormat="1" ht="14.25" customHeight="1">
      <c r="A1348" s="624">
        <v>165</v>
      </c>
      <c r="B1348" s="625" t="e">
        <f>VLOOKUP(D1348,'[1]DS CN MOI UP'!$B$11:$C$447,2,0)</f>
        <v>#N/A</v>
      </c>
      <c r="C1348" s="639" t="s">
        <v>1456</v>
      </c>
      <c r="D1348" s="641" t="s">
        <v>756</v>
      </c>
      <c r="E1348" s="630" t="s">
        <v>15</v>
      </c>
      <c r="F1348" s="630"/>
      <c r="G1348" s="655">
        <v>524139.33600000001</v>
      </c>
      <c r="H1348" s="655">
        <v>524139.33600000001</v>
      </c>
      <c r="I1348" s="655"/>
      <c r="J1348" s="635">
        <f t="shared" si="45"/>
        <v>1048278.672</v>
      </c>
      <c r="K1348" s="635"/>
      <c r="L1348" s="635"/>
      <c r="M1348" s="655">
        <f t="shared" si="55"/>
        <v>1048278.672</v>
      </c>
      <c r="N1348" s="61"/>
    </row>
    <row r="1349" spans="1:15" s="242" customFormat="1" ht="14.25" customHeight="1">
      <c r="A1349" s="624">
        <v>166</v>
      </c>
      <c r="B1349" s="625" t="e">
        <f>VLOOKUP(D1349,'[1]DS CN MOI UP'!$B$11:$C$447,2,0)</f>
        <v>#N/A</v>
      </c>
      <c r="C1349" s="639" t="s">
        <v>1456</v>
      </c>
      <c r="D1349" s="641" t="s">
        <v>1500</v>
      </c>
      <c r="E1349" s="630" t="s">
        <v>15</v>
      </c>
      <c r="F1349" s="630"/>
      <c r="G1349" s="655">
        <v>524139.33600000001</v>
      </c>
      <c r="H1349" s="655">
        <v>635040.18900000001</v>
      </c>
      <c r="I1349" s="655"/>
      <c r="J1349" s="635">
        <f t="shared" si="45"/>
        <v>1159179.5249999999</v>
      </c>
      <c r="K1349" s="635"/>
      <c r="L1349" s="635"/>
      <c r="M1349" s="655">
        <f t="shared" si="55"/>
        <v>1159179.5249999999</v>
      </c>
      <c r="N1349" s="61"/>
    </row>
    <row r="1350" spans="1:15" s="242" customFormat="1" ht="14.25" customHeight="1">
      <c r="A1350" s="624">
        <v>167</v>
      </c>
      <c r="B1350" s="625" t="str">
        <f>VLOOKUP(D1350,'[1]DS CN MOI UP'!$B$11:$C$447,2,0)</f>
        <v>02495</v>
      </c>
      <c r="C1350" s="639" t="s">
        <v>1456</v>
      </c>
      <c r="D1350" s="641" t="s">
        <v>120</v>
      </c>
      <c r="E1350" s="630" t="s">
        <v>15</v>
      </c>
      <c r="F1350" s="630"/>
      <c r="G1350" s="655">
        <v>524139.33600000001</v>
      </c>
      <c r="H1350" s="655">
        <v>635040.18900000001</v>
      </c>
      <c r="I1350" s="655"/>
      <c r="J1350" s="635">
        <f t="shared" si="45"/>
        <v>1159179.5249999999</v>
      </c>
      <c r="K1350" s="635"/>
      <c r="L1350" s="635"/>
      <c r="M1350" s="655">
        <f t="shared" si="55"/>
        <v>1159179.5249999999</v>
      </c>
      <c r="N1350" s="61"/>
    </row>
    <row r="1351" spans="1:15" s="242" customFormat="1" ht="14.25" customHeight="1">
      <c r="A1351" s="624">
        <v>168</v>
      </c>
      <c r="B1351" s="625" t="str">
        <f>VLOOKUP(D1351,'[1]DS CN MOI UP'!$B$11:$C$447,2,0)</f>
        <v>02505</v>
      </c>
      <c r="C1351" s="626" t="s">
        <v>1374</v>
      </c>
      <c r="D1351" s="630" t="s">
        <v>117</v>
      </c>
      <c r="E1351" s="630" t="s">
        <v>15</v>
      </c>
      <c r="F1351" s="630"/>
      <c r="G1351" s="655">
        <v>524139.33600000001</v>
      </c>
      <c r="H1351" s="655">
        <v>554373.09900000005</v>
      </c>
      <c r="I1351" s="655"/>
      <c r="J1351" s="635">
        <f t="shared" si="45"/>
        <v>1078512.4350000001</v>
      </c>
      <c r="K1351" s="635"/>
      <c r="L1351" s="635"/>
      <c r="M1351" s="655">
        <f t="shared" si="55"/>
        <v>1078512.4350000001</v>
      </c>
      <c r="N1351" s="61"/>
    </row>
    <row r="1352" spans="1:15" s="242" customFormat="1" ht="14.25" customHeight="1">
      <c r="A1352" s="624">
        <v>169</v>
      </c>
      <c r="B1352" s="625" t="str">
        <f>VLOOKUP(D1352,'[1]DS CN MOI UP'!$B$11:$C$447,2,0)</f>
        <v>02516</v>
      </c>
      <c r="C1352" s="626" t="s">
        <v>1376</v>
      </c>
      <c r="D1352" s="630" t="s">
        <v>122</v>
      </c>
      <c r="E1352" s="630" t="s">
        <v>15</v>
      </c>
      <c r="F1352" s="630"/>
      <c r="G1352" s="655">
        <v>524139.33600000001</v>
      </c>
      <c r="H1352" s="655">
        <v>554373.09900000005</v>
      </c>
      <c r="I1352" s="655"/>
      <c r="J1352" s="635">
        <f t="shared" si="45"/>
        <v>1078512.4350000001</v>
      </c>
      <c r="K1352" s="635"/>
      <c r="L1352" s="635"/>
      <c r="M1352" s="655">
        <f t="shared" si="55"/>
        <v>1078512.4350000001</v>
      </c>
      <c r="N1352" s="61"/>
    </row>
    <row r="1353" spans="1:15" s="242" customFormat="1" ht="14.25" customHeight="1">
      <c r="A1353" s="624">
        <v>170</v>
      </c>
      <c r="B1353" s="625" t="str">
        <f>VLOOKUP(D1353,'[1]DS CN MOI UP'!$B$11:$C$447,2,0)</f>
        <v>03347</v>
      </c>
      <c r="C1353" s="626" t="s">
        <v>1378</v>
      </c>
      <c r="D1353" s="630" t="s">
        <v>121</v>
      </c>
      <c r="E1353" s="630" t="s">
        <v>15</v>
      </c>
      <c r="F1353" s="630"/>
      <c r="G1353" s="655">
        <v>524139.33600000001</v>
      </c>
      <c r="H1353" s="655">
        <v>554373.09900000005</v>
      </c>
      <c r="I1353" s="655"/>
      <c r="J1353" s="635">
        <f t="shared" si="45"/>
        <v>1078512.4350000001</v>
      </c>
      <c r="K1353" s="635"/>
      <c r="L1353" s="635"/>
      <c r="M1353" s="655">
        <f t="shared" si="55"/>
        <v>1078512.4350000001</v>
      </c>
      <c r="N1353" s="61"/>
    </row>
    <row r="1354" spans="1:15" s="242" customFormat="1" ht="14.25" customHeight="1">
      <c r="A1354" s="624">
        <v>171</v>
      </c>
      <c r="B1354" s="625" t="str">
        <f>VLOOKUP(D1354,'[1]DS CN MOI UP'!$B$11:$C$447,2,0)</f>
        <v>02539</v>
      </c>
      <c r="C1354" s="626" t="s">
        <v>1379</v>
      </c>
      <c r="D1354" s="630" t="s">
        <v>195</v>
      </c>
      <c r="E1354" s="630" t="s">
        <v>15</v>
      </c>
      <c r="F1354" s="630"/>
      <c r="G1354" s="655">
        <v>524139.33600000001</v>
      </c>
      <c r="H1354" s="655">
        <v>554373.09900000005</v>
      </c>
      <c r="I1354" s="655"/>
      <c r="J1354" s="635">
        <f t="shared" si="45"/>
        <v>1078512.4350000001</v>
      </c>
      <c r="K1354" s="635"/>
      <c r="L1354" s="635"/>
      <c r="M1354" s="655">
        <f t="shared" si="55"/>
        <v>1078512.4350000001</v>
      </c>
      <c r="N1354" s="61"/>
    </row>
    <row r="1355" spans="1:15" s="242" customFormat="1" ht="14.25" customHeight="1">
      <c r="A1355" s="624">
        <v>172</v>
      </c>
      <c r="B1355" s="625" t="e">
        <f>VLOOKUP(D1355,'[1]DS CN MOI UP'!$B$11:$C$447,2,0)</f>
        <v>#N/A</v>
      </c>
      <c r="C1355" s="626" t="s">
        <v>1381</v>
      </c>
      <c r="D1355" s="630" t="s">
        <v>1174</v>
      </c>
      <c r="E1355" s="630" t="s">
        <v>15</v>
      </c>
      <c r="F1355" s="630"/>
      <c r="G1355" s="655">
        <v>343117.876000021</v>
      </c>
      <c r="H1355" s="655">
        <v>554373.09900000005</v>
      </c>
      <c r="I1355" s="655"/>
      <c r="J1355" s="635">
        <f t="shared" si="45"/>
        <v>897490.97500002105</v>
      </c>
      <c r="K1355" s="635"/>
      <c r="L1355" s="635"/>
      <c r="M1355" s="655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4">
        <v>173</v>
      </c>
      <c r="B1356" s="625" t="e">
        <f>VLOOKUP(D1356,'[1]DS CN MOI UP'!$B$11:$C$447,2,0)</f>
        <v>#N/A</v>
      </c>
      <c r="C1356" s="626" t="s">
        <v>1382</v>
      </c>
      <c r="D1356" s="630" t="s">
        <v>1175</v>
      </c>
      <c r="E1356" s="630" t="s">
        <v>15</v>
      </c>
      <c r="F1356" s="630"/>
      <c r="G1356" s="655">
        <v>60000</v>
      </c>
      <c r="H1356" s="635">
        <v>1159179.5249999999</v>
      </c>
      <c r="I1356" s="655"/>
      <c r="J1356" s="635">
        <f t="shared" si="45"/>
        <v>1219179.5249999999</v>
      </c>
      <c r="K1356" s="635"/>
      <c r="L1356" s="635"/>
      <c r="M1356" s="655">
        <f t="shared" si="55"/>
        <v>1219179.5249999999</v>
      </c>
      <c r="N1356" s="61"/>
    </row>
    <row r="1357" spans="1:15" s="242" customFormat="1" ht="14.25" customHeight="1">
      <c r="A1357" s="624">
        <v>174</v>
      </c>
      <c r="B1357" s="625" t="e">
        <f>VLOOKUP(D1357,'[1]DS CN MOI UP'!$B$11:$C$447,2,0)</f>
        <v>#N/A</v>
      </c>
      <c r="C1357" s="626" t="s">
        <v>1383</v>
      </c>
      <c r="D1357" s="630" t="s">
        <v>1176</v>
      </c>
      <c r="E1357" s="630" t="s">
        <v>15</v>
      </c>
      <c r="F1357" s="630"/>
      <c r="G1357" s="655"/>
      <c r="H1357" s="635">
        <v>1239846.615</v>
      </c>
      <c r="I1357" s="655"/>
      <c r="J1357" s="635">
        <f t="shared" si="45"/>
        <v>1239846.615</v>
      </c>
      <c r="K1357" s="635"/>
      <c r="L1357" s="635"/>
      <c r="M1357" s="655">
        <f t="shared" si="55"/>
        <v>1239846.615</v>
      </c>
      <c r="N1357" s="61"/>
    </row>
    <row r="1358" spans="1:15" s="242" customFormat="1" ht="14.25" customHeight="1">
      <c r="A1358" s="624">
        <v>175</v>
      </c>
      <c r="B1358" s="625" t="str">
        <f>VLOOKUP(D1358,'[1]DS CN MOI UP'!$B$11:$C$447,2,0)</f>
        <v>02541</v>
      </c>
      <c r="C1358" s="626" t="s">
        <v>1384</v>
      </c>
      <c r="D1358" s="630" t="s">
        <v>185</v>
      </c>
      <c r="E1358" s="630" t="s">
        <v>15</v>
      </c>
      <c r="F1358" s="630"/>
      <c r="G1358" s="655">
        <v>60000</v>
      </c>
      <c r="H1358" s="635">
        <v>1149145.3259999999</v>
      </c>
      <c r="I1358" s="655"/>
      <c r="J1358" s="635">
        <f t="shared" si="45"/>
        <v>1209145.3259999999</v>
      </c>
      <c r="K1358" s="635"/>
      <c r="L1358" s="635"/>
      <c r="M1358" s="655">
        <f t="shared" si="55"/>
        <v>1209145.3259999999</v>
      </c>
      <c r="N1358" s="61"/>
    </row>
    <row r="1359" spans="1:15" s="242" customFormat="1" ht="14.25" customHeight="1">
      <c r="A1359" s="624">
        <v>176</v>
      </c>
      <c r="B1359" s="625" t="e">
        <f>VLOOKUP(D1359,'[1]DS CN MOI UP'!$B$11:$C$447,2,0)</f>
        <v>#N/A</v>
      </c>
      <c r="C1359" s="626" t="s">
        <v>1385</v>
      </c>
      <c r="D1359" s="630" t="s">
        <v>1177</v>
      </c>
      <c r="E1359" s="630" t="s">
        <v>15</v>
      </c>
      <c r="F1359" s="630"/>
      <c r="G1359" s="655">
        <v>60000</v>
      </c>
      <c r="H1359" s="635">
        <v>1229038.53819991</v>
      </c>
      <c r="I1359" s="655"/>
      <c r="J1359" s="635">
        <f t="shared" si="45"/>
        <v>1289038.53819991</v>
      </c>
      <c r="K1359" s="635"/>
      <c r="L1359" s="635"/>
      <c r="M1359" s="655">
        <f t="shared" si="55"/>
        <v>1289038.53819991</v>
      </c>
      <c r="N1359" s="61"/>
    </row>
    <row r="1360" spans="1:15" s="242" customFormat="1" ht="14.25" customHeight="1">
      <c r="A1360" s="624">
        <v>177</v>
      </c>
      <c r="B1360" s="625" t="e">
        <f>VLOOKUP(D1360,'[1]DS CN MOI UP'!$B$11:$C$447,2,0)</f>
        <v>#N/A</v>
      </c>
      <c r="C1360" s="626" t="s">
        <v>1387</v>
      </c>
      <c r="D1360" s="630" t="s">
        <v>1178</v>
      </c>
      <c r="E1360" s="630" t="s">
        <v>15</v>
      </c>
      <c r="F1360" s="630"/>
      <c r="G1360" s="655">
        <v>60000</v>
      </c>
      <c r="H1360" s="635">
        <v>1159179.5249999999</v>
      </c>
      <c r="I1360" s="655"/>
      <c r="J1360" s="635">
        <f t="shared" si="45"/>
        <v>1219179.5249999999</v>
      </c>
      <c r="K1360" s="635"/>
      <c r="L1360" s="635"/>
      <c r="M1360" s="655">
        <f t="shared" si="55"/>
        <v>1219179.5249999999</v>
      </c>
      <c r="N1360" s="61"/>
    </row>
    <row r="1361" spans="1:14" s="242" customFormat="1" ht="14.25" customHeight="1">
      <c r="A1361" s="624">
        <v>178</v>
      </c>
      <c r="B1361" s="625" t="str">
        <f>VLOOKUP(D1361,'[1]DS CN MOI UP'!$B$11:$C$447,2,0)</f>
        <v>02542</v>
      </c>
      <c r="C1361" s="626" t="s">
        <v>1388</v>
      </c>
      <c r="D1361" s="630" t="s">
        <v>504</v>
      </c>
      <c r="E1361" s="630" t="s">
        <v>15</v>
      </c>
      <c r="F1361" s="630"/>
      <c r="G1361" s="655"/>
      <c r="H1361" s="635">
        <v>1239846.615</v>
      </c>
      <c r="I1361" s="655"/>
      <c r="J1361" s="635">
        <f t="shared" si="45"/>
        <v>1239846.615</v>
      </c>
      <c r="K1361" s="635"/>
      <c r="L1361" s="635"/>
      <c r="M1361" s="655">
        <f t="shared" si="55"/>
        <v>1239846.615</v>
      </c>
      <c r="N1361" s="61"/>
    </row>
    <row r="1362" spans="1:14" s="242" customFormat="1" ht="14.25" customHeight="1">
      <c r="A1362" s="624">
        <v>179</v>
      </c>
      <c r="B1362" s="625" t="str">
        <f>VLOOKUP(D1362,'[1]DS CN MOI UP'!$B$11:$C$447,2,0)</f>
        <v>02541</v>
      </c>
      <c r="C1362" s="626" t="s">
        <v>1390</v>
      </c>
      <c r="D1362" s="630" t="s">
        <v>185</v>
      </c>
      <c r="E1362" s="630" t="s">
        <v>15</v>
      </c>
      <c r="F1362" s="630"/>
      <c r="G1362" s="655">
        <v>60000</v>
      </c>
      <c r="H1362" s="635">
        <v>1149145.3259999999</v>
      </c>
      <c r="I1362" s="655"/>
      <c r="J1362" s="635">
        <f t="shared" si="45"/>
        <v>1209145.3259999999</v>
      </c>
      <c r="K1362" s="635"/>
      <c r="L1362" s="635"/>
      <c r="M1362" s="655">
        <f t="shared" si="55"/>
        <v>1209145.3259999999</v>
      </c>
      <c r="N1362" s="61"/>
    </row>
    <row r="1363" spans="1:14" s="242" customFormat="1" ht="14.25" customHeight="1">
      <c r="A1363" s="624">
        <v>180</v>
      </c>
      <c r="B1363" s="625" t="e">
        <f>VLOOKUP(D1363,'[1]DS CN MOI UP'!$B$11:$C$447,2,0)</f>
        <v>#N/A</v>
      </c>
      <c r="C1363" s="626" t="s">
        <v>1391</v>
      </c>
      <c r="D1363" s="630" t="s">
        <v>972</v>
      </c>
      <c r="E1363" s="630" t="s">
        <v>15</v>
      </c>
      <c r="F1363" s="630"/>
      <c r="G1363" s="655">
        <v>60000</v>
      </c>
      <c r="H1363" s="635">
        <v>1229038.53819991</v>
      </c>
      <c r="I1363" s="655"/>
      <c r="J1363" s="635">
        <f t="shared" si="45"/>
        <v>1289038.53819991</v>
      </c>
      <c r="K1363" s="635"/>
      <c r="L1363" s="635"/>
      <c r="M1363" s="655">
        <f t="shared" si="55"/>
        <v>1289038.53819991</v>
      </c>
      <c r="N1363" s="61"/>
    </row>
    <row r="1364" spans="1:14" s="242" customFormat="1" ht="14.25" customHeight="1">
      <c r="A1364" s="624">
        <v>181</v>
      </c>
      <c r="B1364" s="625" t="str">
        <f>VLOOKUP(D1364,'[1]DS CN MOI UP'!$B$11:$C$447,2,0)</f>
        <v>02543</v>
      </c>
      <c r="C1364" s="626" t="s">
        <v>1392</v>
      </c>
      <c r="D1364" s="630" t="s">
        <v>189</v>
      </c>
      <c r="E1364" s="630" t="s">
        <v>15</v>
      </c>
      <c r="F1364" s="630"/>
      <c r="G1364" s="655">
        <v>60000</v>
      </c>
      <c r="H1364" s="635">
        <v>1088677.8</v>
      </c>
      <c r="I1364" s="655"/>
      <c r="J1364" s="635">
        <f t="shared" si="45"/>
        <v>1148677.8</v>
      </c>
      <c r="K1364" s="635"/>
      <c r="L1364" s="635"/>
      <c r="M1364" s="655">
        <f t="shared" si="55"/>
        <v>1148677.8</v>
      </c>
      <c r="N1364" s="61"/>
    </row>
    <row r="1365" spans="1:14" s="242" customFormat="1" ht="14.25" customHeight="1">
      <c r="A1365" s="624">
        <v>182</v>
      </c>
      <c r="B1365" s="625" t="str">
        <f>VLOOKUP(D1365,'[1]DS CN MOI UP'!$B$11:$C$447,2,0)</f>
        <v>02510</v>
      </c>
      <c r="C1365" s="626" t="s">
        <v>1394</v>
      </c>
      <c r="D1365" s="630" t="s">
        <v>41</v>
      </c>
      <c r="E1365" s="630" t="s">
        <v>15</v>
      </c>
      <c r="F1365" s="630"/>
      <c r="G1365" s="655">
        <v>60000</v>
      </c>
      <c r="H1365" s="655">
        <v>1148746.1980000001</v>
      </c>
      <c r="I1365" s="655"/>
      <c r="J1365" s="635">
        <f t="shared" si="45"/>
        <v>1208746.1980000001</v>
      </c>
      <c r="K1365" s="635"/>
      <c r="L1365" s="635"/>
      <c r="M1365" s="655">
        <f t="shared" si="55"/>
        <v>1208746.1980000001</v>
      </c>
      <c r="N1365" s="61"/>
    </row>
    <row r="1366" spans="1:14" s="242" customFormat="1" ht="14.25" customHeight="1">
      <c r="A1366" s="624">
        <v>183</v>
      </c>
      <c r="B1366" s="625" t="e">
        <f>VLOOKUP(D1366,'[1]DS CN MOI UP'!$B$11:$C$447,2,0)</f>
        <v>#N/A</v>
      </c>
      <c r="C1366" s="626" t="s">
        <v>1396</v>
      </c>
      <c r="D1366" s="630" t="s">
        <v>1077</v>
      </c>
      <c r="E1366" s="630" t="s">
        <v>15</v>
      </c>
      <c r="F1366" s="630"/>
      <c r="G1366" s="655"/>
      <c r="H1366" s="655">
        <v>1270080.378</v>
      </c>
      <c r="I1366" s="655"/>
      <c r="J1366" s="635">
        <f t="shared" si="45"/>
        <v>1270080.378</v>
      </c>
      <c r="K1366" s="635"/>
      <c r="L1366" s="635"/>
      <c r="M1366" s="655">
        <f t="shared" si="55"/>
        <v>1270080.378</v>
      </c>
      <c r="N1366" s="61"/>
    </row>
    <row r="1367" spans="1:14" s="242" customFormat="1" ht="14.25" customHeight="1">
      <c r="A1367" s="624">
        <v>184</v>
      </c>
      <c r="B1367" s="625" t="e">
        <f>VLOOKUP(D1367,'[1]DS CN MOI UP'!$B$11:$C$447,2,0)</f>
        <v>#N/A</v>
      </c>
      <c r="C1367" s="626" t="s">
        <v>1398</v>
      </c>
      <c r="D1367" s="630" t="s">
        <v>1179</v>
      </c>
      <c r="E1367" s="630" t="s">
        <v>15</v>
      </c>
      <c r="F1367" s="630"/>
      <c r="G1367" s="655">
        <v>60000</v>
      </c>
      <c r="H1367" s="655">
        <v>1128677.8</v>
      </c>
      <c r="I1367" s="655"/>
      <c r="J1367" s="635">
        <f t="shared" si="45"/>
        <v>1188677.8</v>
      </c>
      <c r="K1367" s="635"/>
      <c r="L1367" s="635"/>
      <c r="M1367" s="655">
        <f t="shared" si="55"/>
        <v>1188677.8</v>
      </c>
      <c r="N1367" s="61"/>
    </row>
    <row r="1368" spans="1:14" s="242" customFormat="1" ht="14.25" customHeight="1">
      <c r="A1368" s="624">
        <v>185</v>
      </c>
      <c r="B1368" s="625" t="str">
        <f>VLOOKUP(D1368,'[1]DS CN MOI UP'!$B$11:$C$447,2,0)</f>
        <v>02545</v>
      </c>
      <c r="C1368" s="626" t="s">
        <v>1383</v>
      </c>
      <c r="D1368" s="630" t="s">
        <v>126</v>
      </c>
      <c r="E1368" s="630" t="s">
        <v>15</v>
      </c>
      <c r="F1368" s="630"/>
      <c r="G1368" s="655">
        <v>60000</v>
      </c>
      <c r="H1368" s="655">
        <v>1189145.3259999999</v>
      </c>
      <c r="I1368" s="655"/>
      <c r="J1368" s="635">
        <f t="shared" si="45"/>
        <v>1249145.3259999999</v>
      </c>
      <c r="K1368" s="635"/>
      <c r="L1368" s="635"/>
      <c r="M1368" s="655">
        <f t="shared" si="55"/>
        <v>1249145.3259999999</v>
      </c>
      <c r="N1368" s="61"/>
    </row>
    <row r="1369" spans="1:14" s="242" customFormat="1" ht="14.25" customHeight="1">
      <c r="A1369" s="624">
        <v>186</v>
      </c>
      <c r="B1369" s="625" t="e">
        <f>VLOOKUP(D1369,'[1]DS CN MOI UP'!$B$11:$C$447,2,0)</f>
        <v>#N/A</v>
      </c>
      <c r="C1369" s="626" t="s">
        <v>1384</v>
      </c>
      <c r="D1369" s="630" t="s">
        <v>1180</v>
      </c>
      <c r="E1369" s="630" t="s">
        <v>15</v>
      </c>
      <c r="F1369" s="630"/>
      <c r="G1369" s="655"/>
      <c r="H1369" s="655">
        <v>1249612.852</v>
      </c>
      <c r="I1369" s="655"/>
      <c r="J1369" s="635">
        <f t="shared" ref="J1369:J1451" si="56">SUM(G1369:I1369)</f>
        <v>1249612.852</v>
      </c>
      <c r="K1369" s="635"/>
      <c r="L1369" s="635"/>
      <c r="M1369" s="655">
        <f t="shared" si="55"/>
        <v>1249612.852</v>
      </c>
      <c r="N1369" s="61"/>
    </row>
    <row r="1370" spans="1:14" s="242" customFormat="1" ht="14.25" customHeight="1">
      <c r="A1370" s="624">
        <v>187</v>
      </c>
      <c r="B1370" s="625" t="str">
        <f>VLOOKUP(D1370,'[1]DS CN MOI UP'!$B$11:$C$447,2,0)</f>
        <v>03402</v>
      </c>
      <c r="C1370" s="626" t="s">
        <v>1385</v>
      </c>
      <c r="D1370" s="630" t="s">
        <v>312</v>
      </c>
      <c r="E1370" s="630" t="s">
        <v>15</v>
      </c>
      <c r="F1370" s="630"/>
      <c r="G1370" s="655">
        <v>60000</v>
      </c>
      <c r="H1370" s="655">
        <v>1159179.5249999999</v>
      </c>
      <c r="I1370" s="655"/>
      <c r="J1370" s="635">
        <f t="shared" si="56"/>
        <v>1219179.5249999999</v>
      </c>
      <c r="K1370" s="635"/>
      <c r="L1370" s="635"/>
      <c r="M1370" s="655">
        <f t="shared" si="55"/>
        <v>1219179.5249999999</v>
      </c>
      <c r="N1370" s="61"/>
    </row>
    <row r="1371" spans="1:14" s="242" customFormat="1" ht="14.25" customHeight="1">
      <c r="A1371" s="624">
        <v>188</v>
      </c>
      <c r="B1371" s="625" t="e">
        <f>VLOOKUP(D1371,'[1]DS CN MOI UP'!$B$11:$C$447,2,0)</f>
        <v>#N/A</v>
      </c>
      <c r="C1371" s="626" t="s">
        <v>1387</v>
      </c>
      <c r="D1371" s="630" t="s">
        <v>1181</v>
      </c>
      <c r="E1371" s="630" t="s">
        <v>15</v>
      </c>
      <c r="F1371" s="630"/>
      <c r="G1371" s="655">
        <v>60000</v>
      </c>
      <c r="H1371" s="635">
        <v>1159179.5249999999</v>
      </c>
      <c r="I1371" s="655"/>
      <c r="J1371" s="635">
        <f t="shared" si="56"/>
        <v>1219179.5249999999</v>
      </c>
      <c r="K1371" s="635"/>
      <c r="L1371" s="635"/>
      <c r="M1371" s="655">
        <f t="shared" si="55"/>
        <v>1219179.5249999999</v>
      </c>
      <c r="N1371" s="61"/>
    </row>
    <row r="1372" spans="1:14" s="242" customFormat="1" ht="14.25" customHeight="1">
      <c r="A1372" s="624">
        <v>189</v>
      </c>
      <c r="B1372" s="625" t="str">
        <f>VLOOKUP(D1372,'[1]DS CN MOI UP'!$B$11:$C$447,2,0)</f>
        <v>02547</v>
      </c>
      <c r="C1372" s="626" t="s">
        <v>1388</v>
      </c>
      <c r="D1372" s="630" t="s">
        <v>199</v>
      </c>
      <c r="E1372" s="630" t="s">
        <v>15</v>
      </c>
      <c r="F1372" s="630"/>
      <c r="G1372" s="655">
        <v>60000</v>
      </c>
      <c r="H1372" s="635">
        <v>1159179.5249999999</v>
      </c>
      <c r="I1372" s="655"/>
      <c r="J1372" s="635">
        <f t="shared" si="56"/>
        <v>1219179.5249999999</v>
      </c>
      <c r="K1372" s="635"/>
      <c r="L1372" s="635"/>
      <c r="M1372" s="655">
        <f t="shared" si="55"/>
        <v>1219179.5249999999</v>
      </c>
      <c r="N1372" s="61"/>
    </row>
    <row r="1373" spans="1:14" s="242" customFormat="1" ht="14.25" customHeight="1">
      <c r="A1373" s="624">
        <v>190</v>
      </c>
      <c r="B1373" s="625" t="e">
        <f>VLOOKUP(D1373,'[1]DS CN MOI UP'!$B$11:$C$447,2,0)</f>
        <v>#N/A</v>
      </c>
      <c r="C1373" s="626" t="s">
        <v>1390</v>
      </c>
      <c r="D1373" s="630" t="s">
        <v>1182</v>
      </c>
      <c r="E1373" s="630" t="s">
        <v>15</v>
      </c>
      <c r="F1373" s="630"/>
      <c r="G1373" s="655"/>
      <c r="H1373" s="635">
        <v>1239846.615</v>
      </c>
      <c r="I1373" s="655"/>
      <c r="J1373" s="635">
        <f t="shared" si="56"/>
        <v>1239846.615</v>
      </c>
      <c r="K1373" s="635"/>
      <c r="L1373" s="635"/>
      <c r="M1373" s="655">
        <f t="shared" si="55"/>
        <v>1239846.615</v>
      </c>
      <c r="N1373" s="61"/>
    </row>
    <row r="1374" spans="1:14" s="242" customFormat="1" ht="14.25" customHeight="1">
      <c r="A1374" s="624">
        <v>191</v>
      </c>
      <c r="B1374" s="625" t="e">
        <f>VLOOKUP(D1374,'[1]DS CN MOI UP'!$B$11:$C$447,2,0)</f>
        <v>#N/A</v>
      </c>
      <c r="C1374" s="626" t="s">
        <v>1391</v>
      </c>
      <c r="D1374" s="630" t="s">
        <v>1183</v>
      </c>
      <c r="E1374" s="630" t="s">
        <v>15</v>
      </c>
      <c r="F1374" s="630"/>
      <c r="G1374" s="655">
        <v>60000</v>
      </c>
      <c r="H1374" s="635">
        <v>1149145.3259999999</v>
      </c>
      <c r="I1374" s="655"/>
      <c r="J1374" s="635">
        <f t="shared" si="56"/>
        <v>1209145.3259999999</v>
      </c>
      <c r="K1374" s="635"/>
      <c r="L1374" s="635"/>
      <c r="M1374" s="655">
        <f t="shared" si="55"/>
        <v>1209145.3259999999</v>
      </c>
      <c r="N1374" s="61"/>
    </row>
    <row r="1375" spans="1:14" s="242" customFormat="1" ht="14.25" customHeight="1">
      <c r="A1375" s="624">
        <v>192</v>
      </c>
      <c r="B1375" s="625" t="e">
        <f>VLOOKUP(D1375,'[1]DS CN MOI UP'!$B$11:$C$447,2,0)</f>
        <v>#N/A</v>
      </c>
      <c r="C1375" s="626" t="s">
        <v>1392</v>
      </c>
      <c r="D1375" s="630" t="s">
        <v>1184</v>
      </c>
      <c r="E1375" s="630" t="s">
        <v>15</v>
      </c>
      <c r="F1375" s="630"/>
      <c r="G1375" s="655">
        <v>60000</v>
      </c>
      <c r="H1375" s="635">
        <v>1229038.53819991</v>
      </c>
      <c r="I1375" s="655"/>
      <c r="J1375" s="635">
        <f t="shared" si="56"/>
        <v>1289038.53819991</v>
      </c>
      <c r="K1375" s="635"/>
      <c r="L1375" s="635"/>
      <c r="M1375" s="655">
        <f t="shared" si="55"/>
        <v>1289038.53819991</v>
      </c>
      <c r="N1375" s="61"/>
    </row>
    <row r="1376" spans="1:14" s="242" customFormat="1" ht="14.25" customHeight="1">
      <c r="A1376" s="624">
        <v>193</v>
      </c>
      <c r="B1376" s="625" t="e">
        <f>VLOOKUP(D1376,'[1]DS CN MOI UP'!$B$11:$C$447,2,0)</f>
        <v>#N/A</v>
      </c>
      <c r="C1376" s="626" t="s">
        <v>1394</v>
      </c>
      <c r="D1376" s="630" t="s">
        <v>1185</v>
      </c>
      <c r="E1376" s="630" t="s">
        <v>15</v>
      </c>
      <c r="F1376" s="630"/>
      <c r="G1376" s="655">
        <v>60000</v>
      </c>
      <c r="H1376" s="635">
        <v>1159179.5249999999</v>
      </c>
      <c r="I1376" s="655"/>
      <c r="J1376" s="635">
        <f t="shared" si="56"/>
        <v>1219179.5249999999</v>
      </c>
      <c r="K1376" s="635"/>
      <c r="L1376" s="635"/>
      <c r="M1376" s="655">
        <f t="shared" si="55"/>
        <v>1219179.5249999999</v>
      </c>
      <c r="N1376" s="61"/>
    </row>
    <row r="1377" spans="1:14" s="242" customFormat="1" ht="14.25" customHeight="1">
      <c r="A1377" s="624">
        <v>194</v>
      </c>
      <c r="B1377" s="625" t="e">
        <f>VLOOKUP(D1377,'[1]DS CN MOI UP'!$B$11:$C$447,2,0)</f>
        <v>#N/A</v>
      </c>
      <c r="C1377" s="626" t="s">
        <v>1396</v>
      </c>
      <c r="D1377" s="630" t="s">
        <v>1186</v>
      </c>
      <c r="E1377" s="630" t="s">
        <v>15</v>
      </c>
      <c r="F1377" s="630"/>
      <c r="G1377" s="655"/>
      <c r="H1377" s="635">
        <v>1239846.615</v>
      </c>
      <c r="I1377" s="655"/>
      <c r="J1377" s="635">
        <f t="shared" si="56"/>
        <v>1239846.615</v>
      </c>
      <c r="K1377" s="635"/>
      <c r="L1377" s="635"/>
      <c r="M1377" s="655">
        <f t="shared" si="55"/>
        <v>1239846.615</v>
      </c>
      <c r="N1377" s="61"/>
    </row>
    <row r="1378" spans="1:14" s="242" customFormat="1" ht="14.25" customHeight="1">
      <c r="A1378" s="624">
        <v>195</v>
      </c>
      <c r="B1378" s="625" t="str">
        <f>VLOOKUP(D1378,'[1]DS CN MOI UP'!$B$11:$C$447,2,0)</f>
        <v>02518</v>
      </c>
      <c r="C1378" s="626" t="s">
        <v>1398</v>
      </c>
      <c r="D1378" s="630" t="s">
        <v>135</v>
      </c>
      <c r="E1378" s="630" t="s">
        <v>15</v>
      </c>
      <c r="F1378" s="630"/>
      <c r="G1378" s="655">
        <v>60000</v>
      </c>
      <c r="H1378" s="635">
        <v>1149145.3259999999</v>
      </c>
      <c r="I1378" s="655"/>
      <c r="J1378" s="635">
        <f t="shared" si="56"/>
        <v>1209145.3259999999</v>
      </c>
      <c r="K1378" s="635"/>
      <c r="L1378" s="635"/>
      <c r="M1378" s="655">
        <f t="shared" si="55"/>
        <v>1209145.3259999999</v>
      </c>
      <c r="N1378" s="61"/>
    </row>
    <row r="1379" spans="1:14" s="242" customFormat="1" ht="14.25" customHeight="1">
      <c r="A1379" s="624">
        <v>196</v>
      </c>
      <c r="B1379" s="625" t="e">
        <f>VLOOKUP(D1379,'[1]DS CN MOI UP'!$B$11:$C$447,2,0)</f>
        <v>#N/A</v>
      </c>
      <c r="C1379" s="626" t="s">
        <v>1405</v>
      </c>
      <c r="D1379" s="630" t="s">
        <v>1187</v>
      </c>
      <c r="E1379" s="630" t="s">
        <v>15</v>
      </c>
      <c r="F1379" s="630"/>
      <c r="G1379" s="655">
        <v>60000</v>
      </c>
      <c r="H1379" s="635">
        <v>1229038.53819991</v>
      </c>
      <c r="I1379" s="655"/>
      <c r="J1379" s="635">
        <f t="shared" si="56"/>
        <v>1289038.53819991</v>
      </c>
      <c r="K1379" s="635"/>
      <c r="L1379" s="635"/>
      <c r="M1379" s="655">
        <f t="shared" si="55"/>
        <v>1289038.53819991</v>
      </c>
      <c r="N1379" s="61"/>
    </row>
    <row r="1380" spans="1:14" s="242" customFormat="1" ht="14.25" customHeight="1">
      <c r="A1380" s="624">
        <v>197</v>
      </c>
      <c r="B1380" s="625" t="str">
        <f>VLOOKUP(D1380,'[1]DS CN MOI UP'!$B$11:$C$447,2,0)</f>
        <v>02519</v>
      </c>
      <c r="C1380" s="626" t="s">
        <v>1406</v>
      </c>
      <c r="D1380" s="630" t="s">
        <v>173</v>
      </c>
      <c r="E1380" s="630" t="s">
        <v>15</v>
      </c>
      <c r="F1380" s="630"/>
      <c r="G1380" s="655">
        <v>60000</v>
      </c>
      <c r="H1380" s="635">
        <v>1159179.5249999999</v>
      </c>
      <c r="I1380" s="655"/>
      <c r="J1380" s="635">
        <f t="shared" si="56"/>
        <v>1219179.5249999999</v>
      </c>
      <c r="K1380" s="635"/>
      <c r="L1380" s="635"/>
      <c r="M1380" s="655">
        <f t="shared" si="55"/>
        <v>1219179.5249999999</v>
      </c>
      <c r="N1380" s="61"/>
    </row>
    <row r="1381" spans="1:14" s="242" customFormat="1" ht="14.25" customHeight="1">
      <c r="A1381" s="624">
        <v>198</v>
      </c>
      <c r="B1381" s="625" t="e">
        <f>VLOOKUP(D1381,'[1]DS CN MOI UP'!$B$11:$C$447,2,0)</f>
        <v>#N/A</v>
      </c>
      <c r="C1381" s="626" t="s">
        <v>1408</v>
      </c>
      <c r="D1381" s="630" t="s">
        <v>1188</v>
      </c>
      <c r="E1381" s="630" t="s">
        <v>15</v>
      </c>
      <c r="F1381" s="630"/>
      <c r="G1381" s="655"/>
      <c r="H1381" s="635">
        <v>1239846.615</v>
      </c>
      <c r="I1381" s="655"/>
      <c r="J1381" s="635">
        <f t="shared" si="56"/>
        <v>1239846.615</v>
      </c>
      <c r="K1381" s="635"/>
      <c r="L1381" s="635"/>
      <c r="M1381" s="655">
        <f t="shared" si="55"/>
        <v>1239846.615</v>
      </c>
      <c r="N1381" s="61"/>
    </row>
    <row r="1382" spans="1:14" s="242" customFormat="1" ht="14.25" customHeight="1">
      <c r="A1382" s="624">
        <v>199</v>
      </c>
      <c r="B1382" s="625" t="e">
        <f>VLOOKUP(D1382,'[1]DS CN MOI UP'!$B$11:$C$447,2,0)</f>
        <v>#N/A</v>
      </c>
      <c r="C1382" s="626" t="s">
        <v>1410</v>
      </c>
      <c r="D1382" s="630" t="s">
        <v>1189</v>
      </c>
      <c r="E1382" s="630" t="s">
        <v>15</v>
      </c>
      <c r="F1382" s="630"/>
      <c r="G1382" s="655">
        <v>60000</v>
      </c>
      <c r="H1382" s="635">
        <v>1149145.3259999999</v>
      </c>
      <c r="I1382" s="655"/>
      <c r="J1382" s="635">
        <f t="shared" si="56"/>
        <v>1209145.3259999999</v>
      </c>
      <c r="K1382" s="635"/>
      <c r="L1382" s="635"/>
      <c r="M1382" s="655">
        <f t="shared" si="55"/>
        <v>1209145.3259999999</v>
      </c>
      <c r="N1382" s="61"/>
    </row>
    <row r="1383" spans="1:14" s="242" customFormat="1" ht="14.25" customHeight="1">
      <c r="A1383" s="624">
        <v>200</v>
      </c>
      <c r="B1383" s="625" t="str">
        <f>VLOOKUP(D1383,'[1]DS CN MOI UP'!$B$11:$C$447,2,0)</f>
        <v>02520</v>
      </c>
      <c r="C1383" s="626" t="s">
        <v>1412</v>
      </c>
      <c r="D1383" s="630" t="s">
        <v>188</v>
      </c>
      <c r="E1383" s="630" t="s">
        <v>15</v>
      </c>
      <c r="F1383" s="630"/>
      <c r="G1383" s="655">
        <v>60000</v>
      </c>
      <c r="H1383" s="635">
        <v>1229038.53819991</v>
      </c>
      <c r="I1383" s="655"/>
      <c r="J1383" s="635">
        <f t="shared" si="56"/>
        <v>1289038.53819991</v>
      </c>
      <c r="K1383" s="635"/>
      <c r="L1383" s="635"/>
      <c r="M1383" s="655">
        <f t="shared" si="55"/>
        <v>1289038.53819991</v>
      </c>
      <c r="N1383" s="61"/>
    </row>
    <row r="1384" spans="1:14" s="242" customFormat="1" ht="14.25" customHeight="1">
      <c r="A1384" s="624">
        <v>201</v>
      </c>
      <c r="B1384" s="625" t="e">
        <f>VLOOKUP(D1384,'[1]DS CN MOI UP'!$B$11:$C$447,2,0)</f>
        <v>#N/A</v>
      </c>
      <c r="C1384" s="626" t="s">
        <v>1413</v>
      </c>
      <c r="D1384" s="630" t="s">
        <v>1190</v>
      </c>
      <c r="E1384" s="630" t="s">
        <v>15</v>
      </c>
      <c r="F1384" s="630"/>
      <c r="G1384" s="655">
        <v>60000</v>
      </c>
      <c r="H1384" s="635">
        <v>1159179.5249999999</v>
      </c>
      <c r="I1384" s="655"/>
      <c r="J1384" s="635">
        <f t="shared" si="56"/>
        <v>1219179.5249999999</v>
      </c>
      <c r="K1384" s="635"/>
      <c r="L1384" s="635"/>
      <c r="M1384" s="655">
        <f t="shared" si="55"/>
        <v>1219179.5249999999</v>
      </c>
      <c r="N1384" s="61"/>
    </row>
    <row r="1385" spans="1:14" s="242" customFormat="1" ht="14.25" customHeight="1">
      <c r="A1385" s="624">
        <v>202</v>
      </c>
      <c r="B1385" s="625" t="e">
        <f>VLOOKUP(D1385,'[1]DS CN MOI UP'!$B$11:$C$447,2,0)</f>
        <v>#N/A</v>
      </c>
      <c r="C1385" s="626" t="s">
        <v>1414</v>
      </c>
      <c r="D1385" s="630" t="s">
        <v>1191</v>
      </c>
      <c r="E1385" s="630" t="s">
        <v>15</v>
      </c>
      <c r="F1385" s="630"/>
      <c r="G1385" s="655"/>
      <c r="H1385" s="635">
        <v>1239846.615</v>
      </c>
      <c r="I1385" s="655"/>
      <c r="J1385" s="635">
        <f t="shared" si="56"/>
        <v>1239846.615</v>
      </c>
      <c r="K1385" s="635"/>
      <c r="L1385" s="635"/>
      <c r="M1385" s="655">
        <f t="shared" si="55"/>
        <v>1239846.615</v>
      </c>
      <c r="N1385" s="61"/>
    </row>
    <row r="1386" spans="1:14" s="242" customFormat="1" ht="14.25" customHeight="1">
      <c r="A1386" s="624">
        <v>203</v>
      </c>
      <c r="B1386" s="625" t="str">
        <f>VLOOKUP(D1386,'[1]DS CN MOI UP'!$B$11:$C$447,2,0)</f>
        <v>02521</v>
      </c>
      <c r="C1386" s="626" t="s">
        <v>1415</v>
      </c>
      <c r="D1386" s="630" t="s">
        <v>137</v>
      </c>
      <c r="E1386" s="630" t="s">
        <v>15</v>
      </c>
      <c r="F1386" s="630"/>
      <c r="G1386" s="655">
        <v>60000</v>
      </c>
      <c r="H1386" s="635">
        <v>1149145.3259999999</v>
      </c>
      <c r="I1386" s="655"/>
      <c r="J1386" s="635">
        <f t="shared" si="56"/>
        <v>1209145.3259999999</v>
      </c>
      <c r="K1386" s="635"/>
      <c r="L1386" s="635"/>
      <c r="M1386" s="655">
        <f t="shared" si="55"/>
        <v>1209145.3259999999</v>
      </c>
      <c r="N1386" s="61"/>
    </row>
    <row r="1387" spans="1:14" s="242" customFormat="1" ht="14.25" customHeight="1">
      <c r="A1387" s="624">
        <v>204</v>
      </c>
      <c r="B1387" s="625" t="e">
        <f>VLOOKUP(D1387,'[1]DS CN MOI UP'!$B$11:$C$447,2,0)</f>
        <v>#N/A</v>
      </c>
      <c r="C1387" s="626" t="s">
        <v>1417</v>
      </c>
      <c r="D1387" s="630" t="s">
        <v>1192</v>
      </c>
      <c r="E1387" s="630" t="s">
        <v>15</v>
      </c>
      <c r="F1387" s="630"/>
      <c r="G1387" s="655">
        <v>60000</v>
      </c>
      <c r="H1387" s="635">
        <v>1229038.53819991</v>
      </c>
      <c r="I1387" s="655"/>
      <c r="J1387" s="635">
        <f t="shared" si="56"/>
        <v>1289038.53819991</v>
      </c>
      <c r="K1387" s="635"/>
      <c r="L1387" s="635"/>
      <c r="M1387" s="655">
        <f t="shared" si="55"/>
        <v>1289038.53819991</v>
      </c>
      <c r="N1387" s="61"/>
    </row>
    <row r="1388" spans="1:14" s="242" customFormat="1" ht="14.25" customHeight="1">
      <c r="A1388" s="624">
        <v>205</v>
      </c>
      <c r="B1388" s="625" t="str">
        <f>VLOOKUP(D1388,'[1]DS CN MOI UP'!$B$11:$C$447,2,0)</f>
        <v>02522</v>
      </c>
      <c r="C1388" s="626" t="s">
        <v>1418</v>
      </c>
      <c r="D1388" s="630" t="s">
        <v>162</v>
      </c>
      <c r="E1388" s="630" t="s">
        <v>15</v>
      </c>
      <c r="F1388" s="630"/>
      <c r="G1388" s="655">
        <v>60000</v>
      </c>
      <c r="H1388" s="635">
        <v>1088677.8</v>
      </c>
      <c r="I1388" s="655"/>
      <c r="J1388" s="635">
        <f t="shared" si="56"/>
        <v>1148677.8</v>
      </c>
      <c r="K1388" s="635"/>
      <c r="L1388" s="635"/>
      <c r="M1388" s="655">
        <f t="shared" si="55"/>
        <v>1148677.8</v>
      </c>
      <c r="N1388" s="61"/>
    </row>
    <row r="1389" spans="1:14" s="242" customFormat="1" ht="14.25" customHeight="1">
      <c r="A1389" s="624">
        <v>206</v>
      </c>
      <c r="B1389" s="625" t="str">
        <f>VLOOKUP(D1389,'[1]DS CN MOI UP'!$B$11:$C$447,2,0)</f>
        <v>02666</v>
      </c>
      <c r="C1389" s="626" t="s">
        <v>1420</v>
      </c>
      <c r="D1389" s="630" t="s">
        <v>435</v>
      </c>
      <c r="E1389" s="630" t="s">
        <v>15</v>
      </c>
      <c r="F1389" s="630"/>
      <c r="G1389" s="655">
        <v>60000</v>
      </c>
      <c r="H1389" s="655">
        <v>1148746.1980000001</v>
      </c>
      <c r="I1389" s="655"/>
      <c r="J1389" s="635">
        <f t="shared" si="56"/>
        <v>1208746.1980000001</v>
      </c>
      <c r="K1389" s="635"/>
      <c r="L1389" s="635"/>
      <c r="M1389" s="655">
        <f t="shared" si="55"/>
        <v>1208746.1980000001</v>
      </c>
      <c r="N1389" s="61"/>
    </row>
    <row r="1390" spans="1:14" s="242" customFormat="1" ht="14.25" customHeight="1">
      <c r="A1390" s="624">
        <v>207</v>
      </c>
      <c r="B1390" s="625" t="str">
        <f>VLOOKUP(D1390,'[1]DS CN MOI UP'!$B$11:$C$447,2,0)</f>
        <v>02523</v>
      </c>
      <c r="C1390" s="626" t="s">
        <v>1422</v>
      </c>
      <c r="D1390" s="630" t="s">
        <v>169</v>
      </c>
      <c r="E1390" s="630" t="s">
        <v>15</v>
      </c>
      <c r="F1390" s="630"/>
      <c r="G1390" s="655">
        <v>60000</v>
      </c>
      <c r="H1390" s="635">
        <v>1159179.5249999999</v>
      </c>
      <c r="I1390" s="655"/>
      <c r="J1390" s="635">
        <f t="shared" si="56"/>
        <v>1219179.5249999999</v>
      </c>
      <c r="K1390" s="635"/>
      <c r="L1390" s="635"/>
      <c r="M1390" s="655">
        <f t="shared" si="55"/>
        <v>1219179.5249999999</v>
      </c>
      <c r="N1390" s="61"/>
    </row>
    <row r="1391" spans="1:14" s="242" customFormat="1" ht="14.25" customHeight="1">
      <c r="A1391" s="624">
        <v>208</v>
      </c>
      <c r="B1391" s="625" t="e">
        <f>VLOOKUP(D1391,'[1]DS CN MOI UP'!$B$11:$C$447,2,0)</f>
        <v>#N/A</v>
      </c>
      <c r="C1391" s="626" t="s">
        <v>1424</v>
      </c>
      <c r="D1391" s="630" t="s">
        <v>1193</v>
      </c>
      <c r="E1391" s="630" t="s">
        <v>15</v>
      </c>
      <c r="F1391" s="630"/>
      <c r="G1391" s="655"/>
      <c r="H1391" s="635">
        <v>1239846.615</v>
      </c>
      <c r="I1391" s="655"/>
      <c r="J1391" s="635">
        <f t="shared" si="56"/>
        <v>1239846.615</v>
      </c>
      <c r="K1391" s="635"/>
      <c r="L1391" s="635"/>
      <c r="M1391" s="655">
        <f t="shared" si="55"/>
        <v>1239846.615</v>
      </c>
      <c r="N1391" s="61"/>
    </row>
    <row r="1392" spans="1:14" s="242" customFormat="1" ht="14.25" customHeight="1">
      <c r="A1392" s="624">
        <v>209</v>
      </c>
      <c r="B1392" s="625" t="str">
        <f>VLOOKUP(D1392,'[1]DS CN MOI UP'!$B$11:$C$447,2,0)</f>
        <v>02524</v>
      </c>
      <c r="C1392" s="626" t="s">
        <v>1426</v>
      </c>
      <c r="D1392" s="630" t="s">
        <v>139</v>
      </c>
      <c r="E1392" s="630" t="s">
        <v>15</v>
      </c>
      <c r="F1392" s="630"/>
      <c r="G1392" s="655">
        <v>60000</v>
      </c>
      <c r="H1392" s="635">
        <v>1149145.3259999999</v>
      </c>
      <c r="I1392" s="655"/>
      <c r="J1392" s="635">
        <f t="shared" si="56"/>
        <v>1209145.3259999999</v>
      </c>
      <c r="K1392" s="635"/>
      <c r="L1392" s="635"/>
      <c r="M1392" s="655">
        <f t="shared" si="55"/>
        <v>1209145.3259999999</v>
      </c>
      <c r="N1392" s="61"/>
    </row>
    <row r="1393" spans="1:14" s="242" customFormat="1" ht="14.25" customHeight="1">
      <c r="A1393" s="624">
        <v>210</v>
      </c>
      <c r="B1393" s="625" t="e">
        <f>VLOOKUP(D1393,'[1]DS CN MOI UP'!$B$11:$C$447,2,0)</f>
        <v>#N/A</v>
      </c>
      <c r="C1393" s="626" t="s">
        <v>1428</v>
      </c>
      <c r="D1393" s="630" t="s">
        <v>1194</v>
      </c>
      <c r="E1393" s="630" t="s">
        <v>15</v>
      </c>
      <c r="F1393" s="630"/>
      <c r="G1393" s="655">
        <v>60000</v>
      </c>
      <c r="H1393" s="635">
        <v>1229038.53819991</v>
      </c>
      <c r="I1393" s="655"/>
      <c r="J1393" s="635">
        <f t="shared" si="56"/>
        <v>1289038.53819991</v>
      </c>
      <c r="K1393" s="635"/>
      <c r="L1393" s="635"/>
      <c r="M1393" s="655">
        <f t="shared" si="55"/>
        <v>1289038.53819991</v>
      </c>
      <c r="N1393" s="61"/>
    </row>
    <row r="1394" spans="1:14" s="242" customFormat="1" ht="14.25" customHeight="1">
      <c r="A1394" s="624">
        <v>211</v>
      </c>
      <c r="B1394" s="625" t="str">
        <f>VLOOKUP(D1394,'[1]DS CN MOI UP'!$B$11:$C$447,2,0)</f>
        <v>02525</v>
      </c>
      <c r="C1394" s="626" t="s">
        <v>1430</v>
      </c>
      <c r="D1394" s="630" t="s">
        <v>180</v>
      </c>
      <c r="E1394" s="630" t="s">
        <v>15</v>
      </c>
      <c r="F1394" s="630"/>
      <c r="G1394" s="655">
        <v>60000</v>
      </c>
      <c r="H1394" s="635">
        <v>1159179.5249999999</v>
      </c>
      <c r="I1394" s="655"/>
      <c r="J1394" s="635">
        <f t="shared" si="56"/>
        <v>1219179.5249999999</v>
      </c>
      <c r="K1394" s="635"/>
      <c r="L1394" s="635"/>
      <c r="M1394" s="655">
        <f t="shared" si="55"/>
        <v>1219179.5249999999</v>
      </c>
      <c r="N1394" s="61"/>
    </row>
    <row r="1395" spans="1:14" s="242" customFormat="1" ht="14.25" customHeight="1">
      <c r="A1395" s="624">
        <v>212</v>
      </c>
      <c r="B1395" s="625" t="e">
        <f>VLOOKUP(D1395,'[1]DS CN MOI UP'!$B$11:$C$447,2,0)</f>
        <v>#N/A</v>
      </c>
      <c r="C1395" s="626" t="s">
        <v>1432</v>
      </c>
      <c r="D1395" s="630" t="s">
        <v>1195</v>
      </c>
      <c r="E1395" s="630" t="s">
        <v>15</v>
      </c>
      <c r="F1395" s="630"/>
      <c r="G1395" s="655"/>
      <c r="H1395" s="635">
        <v>1239846.615</v>
      </c>
      <c r="I1395" s="655"/>
      <c r="J1395" s="635">
        <f t="shared" si="56"/>
        <v>1239846.615</v>
      </c>
      <c r="K1395" s="635"/>
      <c r="L1395" s="635"/>
      <c r="M1395" s="655">
        <f t="shared" si="55"/>
        <v>1239846.615</v>
      </c>
      <c r="N1395" s="61"/>
    </row>
    <row r="1396" spans="1:14" s="242" customFormat="1" ht="14.25" customHeight="1">
      <c r="A1396" s="624">
        <v>213</v>
      </c>
      <c r="B1396" s="625" t="str">
        <f>VLOOKUP(D1396,'[1]DS CN MOI UP'!$B$11:$C$447,2,0)</f>
        <v>02526</v>
      </c>
      <c r="C1396" s="626" t="s">
        <v>1433</v>
      </c>
      <c r="D1396" s="630" t="s">
        <v>129</v>
      </c>
      <c r="E1396" s="630" t="s">
        <v>15</v>
      </c>
      <c r="F1396" s="630"/>
      <c r="G1396" s="655">
        <v>60000</v>
      </c>
      <c r="H1396" s="635">
        <v>1149145.3259999999</v>
      </c>
      <c r="I1396" s="655"/>
      <c r="J1396" s="635">
        <f t="shared" si="56"/>
        <v>1209145.3259999999</v>
      </c>
      <c r="K1396" s="635"/>
      <c r="L1396" s="635"/>
      <c r="M1396" s="655">
        <f t="shared" si="55"/>
        <v>1209145.3259999999</v>
      </c>
      <c r="N1396" s="61"/>
    </row>
    <row r="1397" spans="1:14" s="242" customFormat="1" ht="14.25" customHeight="1">
      <c r="A1397" s="624">
        <v>214</v>
      </c>
      <c r="B1397" s="625" t="e">
        <f>VLOOKUP(D1397,'[1]DS CN MOI UP'!$B$11:$C$447,2,0)</f>
        <v>#N/A</v>
      </c>
      <c r="C1397" s="626" t="s">
        <v>1434</v>
      </c>
      <c r="D1397" s="630" t="s">
        <v>1196</v>
      </c>
      <c r="E1397" s="630" t="s">
        <v>15</v>
      </c>
      <c r="F1397" s="630"/>
      <c r="G1397" s="655">
        <v>60000</v>
      </c>
      <c r="H1397" s="635">
        <v>1229038.53819991</v>
      </c>
      <c r="I1397" s="655"/>
      <c r="J1397" s="635">
        <f t="shared" si="56"/>
        <v>1289038.53819991</v>
      </c>
      <c r="K1397" s="635"/>
      <c r="L1397" s="635"/>
      <c r="M1397" s="655">
        <f t="shared" si="55"/>
        <v>1289038.53819991</v>
      </c>
      <c r="N1397" s="61"/>
    </row>
    <row r="1398" spans="1:14" s="242" customFormat="1" ht="14.25" customHeight="1">
      <c r="A1398" s="624">
        <v>215</v>
      </c>
      <c r="B1398" s="625" t="str">
        <f>VLOOKUP(D1398,'[1]DS CN MOI UP'!$B$11:$C$447,2,0)</f>
        <v>02527</v>
      </c>
      <c r="C1398" s="626" t="s">
        <v>1436</v>
      </c>
      <c r="D1398" s="630" t="s">
        <v>156</v>
      </c>
      <c r="E1398" s="630" t="s">
        <v>15</v>
      </c>
      <c r="F1398" s="630"/>
      <c r="G1398" s="655">
        <v>60000</v>
      </c>
      <c r="H1398" s="635">
        <v>1088677.8</v>
      </c>
      <c r="I1398" s="655"/>
      <c r="J1398" s="635">
        <f t="shared" si="56"/>
        <v>1148677.8</v>
      </c>
      <c r="K1398" s="635"/>
      <c r="L1398" s="635"/>
      <c r="M1398" s="655">
        <f t="shared" si="55"/>
        <v>1148677.8</v>
      </c>
      <c r="N1398" s="61"/>
    </row>
    <row r="1399" spans="1:14" s="242" customFormat="1" ht="14.25" customHeight="1">
      <c r="A1399" s="624">
        <v>216</v>
      </c>
      <c r="B1399" s="625" t="e">
        <f>VLOOKUP(D1399,'[1]DS CN MOI UP'!$B$11:$C$447,2,0)</f>
        <v>#N/A</v>
      </c>
      <c r="C1399" s="626" t="s">
        <v>1437</v>
      </c>
      <c r="D1399" s="630" t="s">
        <v>1197</v>
      </c>
      <c r="E1399" s="630" t="s">
        <v>15</v>
      </c>
      <c r="F1399" s="630"/>
      <c r="G1399" s="655">
        <v>60000</v>
      </c>
      <c r="H1399" s="655">
        <v>1148746.1980000001</v>
      </c>
      <c r="I1399" s="655"/>
      <c r="J1399" s="635">
        <f t="shared" si="56"/>
        <v>1208746.1980000001</v>
      </c>
      <c r="K1399" s="635"/>
      <c r="L1399" s="635"/>
      <c r="M1399" s="655">
        <f t="shared" si="55"/>
        <v>1208746.1980000001</v>
      </c>
      <c r="N1399" s="61"/>
    </row>
    <row r="1400" spans="1:14" s="242" customFormat="1" ht="14.25" customHeight="1">
      <c r="A1400" s="624">
        <v>217</v>
      </c>
      <c r="B1400" s="625" t="str">
        <f>VLOOKUP(D1400,'[1]DS CN MOI UP'!$B$11:$C$447,2,0)</f>
        <v>02528</v>
      </c>
      <c r="C1400" s="626" t="s">
        <v>1438</v>
      </c>
      <c r="D1400" s="630" t="s">
        <v>159</v>
      </c>
      <c r="E1400" s="630" t="s">
        <v>15</v>
      </c>
      <c r="F1400" s="630"/>
      <c r="G1400" s="655"/>
      <c r="H1400" s="655">
        <v>1270080.378</v>
      </c>
      <c r="I1400" s="655"/>
      <c r="J1400" s="635">
        <f t="shared" si="56"/>
        <v>1270080.378</v>
      </c>
      <c r="K1400" s="635"/>
      <c r="L1400" s="635"/>
      <c r="M1400" s="655">
        <f t="shared" si="55"/>
        <v>1270080.378</v>
      </c>
      <c r="N1400" s="61"/>
    </row>
    <row r="1401" spans="1:14" s="242" customFormat="1" ht="14.25" customHeight="1">
      <c r="A1401" s="624">
        <v>218</v>
      </c>
      <c r="B1401" s="625" t="e">
        <f>VLOOKUP(D1401,'[1]DS CN MOI UP'!$B$11:$C$447,2,0)</f>
        <v>#N/A</v>
      </c>
      <c r="C1401" s="626" t="s">
        <v>1440</v>
      </c>
      <c r="D1401" s="630" t="s">
        <v>1198</v>
      </c>
      <c r="E1401" s="630" t="s">
        <v>15</v>
      </c>
      <c r="F1401" s="630"/>
      <c r="G1401" s="655">
        <v>60000</v>
      </c>
      <c r="H1401" s="655">
        <v>1128677.8</v>
      </c>
      <c r="I1401" s="655"/>
      <c r="J1401" s="635">
        <f t="shared" si="56"/>
        <v>1188677.8</v>
      </c>
      <c r="K1401" s="635"/>
      <c r="L1401" s="635"/>
      <c r="M1401" s="655">
        <f t="shared" si="55"/>
        <v>1188677.8</v>
      </c>
      <c r="N1401" s="61"/>
    </row>
    <row r="1402" spans="1:14" s="242" customFormat="1" ht="14.25" customHeight="1">
      <c r="A1402" s="624">
        <v>219</v>
      </c>
      <c r="B1402" s="625" t="str">
        <f>VLOOKUP(D1402,'[1]DS CN MOI UP'!$B$11:$C$447,2,0)</f>
        <v>03850</v>
      </c>
      <c r="C1402" s="626" t="s">
        <v>1442</v>
      </c>
      <c r="D1402" s="630" t="s">
        <v>449</v>
      </c>
      <c r="E1402" s="630" t="s">
        <v>15</v>
      </c>
      <c r="F1402" s="630"/>
      <c r="G1402" s="655">
        <v>60000</v>
      </c>
      <c r="H1402" s="655">
        <v>1189145.3259999999</v>
      </c>
      <c r="I1402" s="655"/>
      <c r="J1402" s="635">
        <f t="shared" si="56"/>
        <v>1249145.3259999999</v>
      </c>
      <c r="K1402" s="635"/>
      <c r="L1402" s="635"/>
      <c r="M1402" s="655">
        <f t="shared" si="55"/>
        <v>1249145.3259999999</v>
      </c>
      <c r="N1402" s="61"/>
    </row>
    <row r="1403" spans="1:14" s="242" customFormat="1" ht="14.25" customHeight="1">
      <c r="A1403" s="624">
        <v>220</v>
      </c>
      <c r="B1403" s="625" t="e">
        <f>VLOOKUP(D1403,'[1]DS CN MOI UP'!$B$11:$C$447,2,0)</f>
        <v>#N/A</v>
      </c>
      <c r="C1403" s="626" t="s">
        <v>1444</v>
      </c>
      <c r="D1403" s="630" t="s">
        <v>1162</v>
      </c>
      <c r="E1403" s="630" t="s">
        <v>15</v>
      </c>
      <c r="F1403" s="630"/>
      <c r="G1403" s="655"/>
      <c r="H1403" s="655">
        <v>1249612.852</v>
      </c>
      <c r="I1403" s="655"/>
      <c r="J1403" s="635">
        <f t="shared" si="56"/>
        <v>1249612.852</v>
      </c>
      <c r="K1403" s="635"/>
      <c r="L1403" s="635"/>
      <c r="M1403" s="655">
        <f t="shared" si="55"/>
        <v>1249612.852</v>
      </c>
      <c r="N1403" s="61"/>
    </row>
    <row r="1404" spans="1:14" s="242" customFormat="1" ht="14.25" customHeight="1">
      <c r="A1404" s="624">
        <v>221</v>
      </c>
      <c r="B1404" s="625" t="e">
        <f>VLOOKUP(D1404,'[1]DS CN MOI UP'!$B$11:$C$447,2,0)</f>
        <v>#N/A</v>
      </c>
      <c r="C1404" s="639" t="s">
        <v>1445</v>
      </c>
      <c r="D1404" s="630" t="s">
        <v>1163</v>
      </c>
      <c r="E1404" s="630" t="s">
        <v>15</v>
      </c>
      <c r="F1404" s="630"/>
      <c r="G1404" s="655">
        <v>60000</v>
      </c>
      <c r="H1404" s="655">
        <v>1159179.5249999999</v>
      </c>
      <c r="I1404" s="655"/>
      <c r="J1404" s="635">
        <f t="shared" si="56"/>
        <v>1219179.5249999999</v>
      </c>
      <c r="K1404" s="635"/>
      <c r="L1404" s="635"/>
      <c r="M1404" s="655">
        <f t="shared" si="55"/>
        <v>1219179.5249999999</v>
      </c>
      <c r="N1404" s="61"/>
    </row>
    <row r="1405" spans="1:14" s="242" customFormat="1" ht="14.25" customHeight="1">
      <c r="A1405" s="624">
        <v>222</v>
      </c>
      <c r="B1405" s="625" t="e">
        <f>VLOOKUP(D1405,'[1]DS CN MOI UP'!$B$11:$C$447,2,0)</f>
        <v>#N/A</v>
      </c>
      <c r="C1405" s="639" t="s">
        <v>1447</v>
      </c>
      <c r="D1405" s="630" t="s">
        <v>916</v>
      </c>
      <c r="E1405" s="630" t="s">
        <v>15</v>
      </c>
      <c r="F1405" s="630"/>
      <c r="G1405" s="655">
        <v>60000</v>
      </c>
      <c r="H1405" s="635">
        <v>1159179.5249999999</v>
      </c>
      <c r="I1405" s="655"/>
      <c r="J1405" s="635">
        <f t="shared" si="56"/>
        <v>1219179.5249999999</v>
      </c>
      <c r="K1405" s="635"/>
      <c r="L1405" s="635"/>
      <c r="M1405" s="655">
        <f t="shared" si="55"/>
        <v>1219179.5249999999</v>
      </c>
      <c r="N1405" s="61"/>
    </row>
    <row r="1406" spans="1:14" s="242" customFormat="1" ht="14.25" customHeight="1">
      <c r="A1406" s="624">
        <v>223</v>
      </c>
      <c r="B1406" s="625" t="e">
        <f>VLOOKUP(D1406,'[1]DS CN MOI UP'!$B$11:$C$447,2,0)</f>
        <v>#N/A</v>
      </c>
      <c r="C1406" s="639" t="s">
        <v>1448</v>
      </c>
      <c r="D1406" s="630" t="s">
        <v>1164</v>
      </c>
      <c r="E1406" s="630" t="s">
        <v>15</v>
      </c>
      <c r="F1406" s="630"/>
      <c r="G1406" s="655">
        <v>60000</v>
      </c>
      <c r="H1406" s="635">
        <v>1159179.5249999999</v>
      </c>
      <c r="I1406" s="655"/>
      <c r="J1406" s="635">
        <f t="shared" si="56"/>
        <v>1219179.5249999999</v>
      </c>
      <c r="K1406" s="635"/>
      <c r="L1406" s="635"/>
      <c r="M1406" s="655">
        <f t="shared" si="55"/>
        <v>1219179.5249999999</v>
      </c>
      <c r="N1406" s="61"/>
    </row>
    <row r="1407" spans="1:14" s="242" customFormat="1" ht="14.25" customHeight="1">
      <c r="A1407" s="624">
        <v>224</v>
      </c>
      <c r="B1407" s="625" t="e">
        <f>VLOOKUP(D1407,'[1]DS CN MOI UP'!$B$11:$C$447,2,0)</f>
        <v>#N/A</v>
      </c>
      <c r="C1407" s="639" t="s">
        <v>1450</v>
      </c>
      <c r="D1407" s="630" t="s">
        <v>1165</v>
      </c>
      <c r="E1407" s="630" t="s">
        <v>15</v>
      </c>
      <c r="F1407" s="630"/>
      <c r="G1407" s="655"/>
      <c r="H1407" s="635">
        <v>1239846.615</v>
      </c>
      <c r="I1407" s="655"/>
      <c r="J1407" s="635">
        <f t="shared" si="56"/>
        <v>1239846.615</v>
      </c>
      <c r="K1407" s="635"/>
      <c r="L1407" s="635"/>
      <c r="M1407" s="655">
        <f t="shared" si="55"/>
        <v>1239846.615</v>
      </c>
      <c r="N1407" s="61"/>
    </row>
    <row r="1408" spans="1:14" s="242" customFormat="1" ht="14.25" customHeight="1">
      <c r="A1408" s="624">
        <v>225</v>
      </c>
      <c r="B1408" s="625" t="e">
        <f>VLOOKUP(D1408,'[1]DS CN MOI UP'!$B$11:$C$447,2,0)</f>
        <v>#N/A</v>
      </c>
      <c r="C1408" s="639" t="s">
        <v>1451</v>
      </c>
      <c r="D1408" s="630" t="s">
        <v>701</v>
      </c>
      <c r="E1408" s="630" t="s">
        <v>15</v>
      </c>
      <c r="F1408" s="630"/>
      <c r="G1408" s="655">
        <v>60000</v>
      </c>
      <c r="H1408" s="635">
        <v>1149145.3259999999</v>
      </c>
      <c r="I1408" s="655"/>
      <c r="J1408" s="635">
        <f t="shared" si="56"/>
        <v>1209145.3259999999</v>
      </c>
      <c r="K1408" s="635"/>
      <c r="L1408" s="635"/>
      <c r="M1408" s="655">
        <f t="shared" si="55"/>
        <v>1209145.3259999999</v>
      </c>
      <c r="N1408" s="61"/>
    </row>
    <row r="1409" spans="1:15" s="242" customFormat="1" ht="14.25" customHeight="1">
      <c r="A1409" s="624">
        <v>226</v>
      </c>
      <c r="B1409" s="625" t="str">
        <f>VLOOKUP(D1409,'[1]DS CN MOI UP'!$B$11:$C$447,2,0)</f>
        <v>02532</v>
      </c>
      <c r="C1409" s="639" t="s">
        <v>1453</v>
      </c>
      <c r="D1409" s="640" t="s">
        <v>158</v>
      </c>
      <c r="E1409" s="630" t="s">
        <v>15</v>
      </c>
      <c r="F1409" s="630"/>
      <c r="G1409" s="655">
        <v>60000</v>
      </c>
      <c r="H1409" s="635">
        <v>1229038.53819991</v>
      </c>
      <c r="I1409" s="655"/>
      <c r="J1409" s="635">
        <f t="shared" si="56"/>
        <v>1289038.53819991</v>
      </c>
      <c r="K1409" s="635"/>
      <c r="L1409" s="635"/>
      <c r="M1409" s="655">
        <f t="shared" si="55"/>
        <v>1289038.53819991</v>
      </c>
      <c r="N1409" s="61"/>
    </row>
    <row r="1410" spans="1:15" s="242" customFormat="1" ht="14.25" customHeight="1">
      <c r="A1410" s="624">
        <v>227</v>
      </c>
      <c r="B1410" s="625" t="e">
        <f>VLOOKUP(D1410,'[1]DS CN MOI UP'!$B$11:$C$447,2,0)</f>
        <v>#N/A</v>
      </c>
      <c r="C1410" s="639" t="s">
        <v>1455</v>
      </c>
      <c r="D1410" s="641" t="s">
        <v>1167</v>
      </c>
      <c r="E1410" s="630" t="s">
        <v>15</v>
      </c>
      <c r="F1410" s="630"/>
      <c r="G1410" s="655">
        <v>60000</v>
      </c>
      <c r="H1410" s="635">
        <v>1159179.5249999999</v>
      </c>
      <c r="I1410" s="655"/>
      <c r="J1410" s="635">
        <f t="shared" si="56"/>
        <v>1219179.5249999999</v>
      </c>
      <c r="K1410" s="635"/>
      <c r="L1410" s="635"/>
      <c r="M1410" s="655">
        <f t="shared" si="55"/>
        <v>1219179.5249999999</v>
      </c>
      <c r="N1410" s="61"/>
      <c r="O1410" s="636"/>
    </row>
    <row r="1411" spans="1:15" s="242" customFormat="1" ht="14.25" customHeight="1">
      <c r="A1411" s="624">
        <v>228</v>
      </c>
      <c r="B1411" s="625" t="e">
        <f>VLOOKUP(D1411,'[1]DS CN MOI UP'!$B$11:$C$447,2,0)</f>
        <v>#N/A</v>
      </c>
      <c r="C1411" s="639" t="s">
        <v>1456</v>
      </c>
      <c r="D1411" s="641" t="s">
        <v>1168</v>
      </c>
      <c r="E1411" s="630" t="s">
        <v>15</v>
      </c>
      <c r="F1411" s="630"/>
      <c r="G1411" s="655"/>
      <c r="H1411" s="635">
        <v>1239846.615</v>
      </c>
      <c r="I1411" s="655"/>
      <c r="J1411" s="635">
        <f t="shared" si="56"/>
        <v>1239846.615</v>
      </c>
      <c r="K1411" s="635"/>
      <c r="L1411" s="635"/>
      <c r="M1411" s="655">
        <f t="shared" si="55"/>
        <v>1239846.615</v>
      </c>
      <c r="N1411" s="61"/>
    </row>
    <row r="1412" spans="1:15" s="242" customFormat="1" ht="14.25" customHeight="1">
      <c r="A1412" s="624">
        <v>229</v>
      </c>
      <c r="B1412" s="625" t="str">
        <f>VLOOKUP(D1412,'[1]DS CN MOI UP'!$B$11:$C$447,2,0)</f>
        <v>02533</v>
      </c>
      <c r="C1412" s="639" t="s">
        <v>1456</v>
      </c>
      <c r="D1412" s="641" t="s">
        <v>198</v>
      </c>
      <c r="E1412" s="630" t="s">
        <v>15</v>
      </c>
      <c r="F1412" s="630"/>
      <c r="G1412" s="655">
        <v>60000</v>
      </c>
      <c r="H1412" s="635">
        <v>1149145.3259999999</v>
      </c>
      <c r="I1412" s="655"/>
      <c r="J1412" s="635">
        <f t="shared" si="56"/>
        <v>1209145.3259999999</v>
      </c>
      <c r="K1412" s="635"/>
      <c r="L1412" s="635"/>
      <c r="M1412" s="655">
        <f t="shared" si="55"/>
        <v>1209145.3259999999</v>
      </c>
      <c r="N1412" s="61"/>
    </row>
    <row r="1413" spans="1:15" s="242" customFormat="1" ht="14.25" customHeight="1">
      <c r="A1413" s="624">
        <v>230</v>
      </c>
      <c r="B1413" s="625" t="e">
        <f>VLOOKUP(D1413,'[1]DS CN MOI UP'!$B$11:$C$447,2,0)</f>
        <v>#N/A</v>
      </c>
      <c r="C1413" s="639" t="s">
        <v>1456</v>
      </c>
      <c r="D1413" s="641" t="s">
        <v>1169</v>
      </c>
      <c r="E1413" s="630" t="s">
        <v>15</v>
      </c>
      <c r="F1413" s="630"/>
      <c r="G1413" s="655">
        <v>60000</v>
      </c>
      <c r="H1413" s="635">
        <v>1229038.53819991</v>
      </c>
      <c r="I1413" s="655"/>
      <c r="J1413" s="635">
        <f t="shared" si="56"/>
        <v>1289038.53819991</v>
      </c>
      <c r="K1413" s="635"/>
      <c r="L1413" s="635"/>
      <c r="M1413" s="655">
        <f t="shared" si="55"/>
        <v>1289038.53819991</v>
      </c>
      <c r="N1413" s="61"/>
    </row>
    <row r="1414" spans="1:15" s="242" customFormat="1" ht="14.25" customHeight="1">
      <c r="A1414" s="624">
        <v>231</v>
      </c>
      <c r="B1414" s="625" t="e">
        <f>VLOOKUP(D1414,'[1]DS CN MOI UP'!$B$11:$C$447,2,0)</f>
        <v>#N/A</v>
      </c>
      <c r="C1414" s="639" t="s">
        <v>1456</v>
      </c>
      <c r="D1414" s="641" t="s">
        <v>1199</v>
      </c>
      <c r="E1414" s="630" t="s">
        <v>15</v>
      </c>
      <c r="F1414" s="630"/>
      <c r="G1414" s="655">
        <v>60000</v>
      </c>
      <c r="H1414" s="635">
        <v>1159179.5249999999</v>
      </c>
      <c r="I1414" s="655"/>
      <c r="J1414" s="635">
        <f t="shared" si="56"/>
        <v>1219179.5249999999</v>
      </c>
      <c r="K1414" s="635"/>
      <c r="L1414" s="635"/>
      <c r="M1414" s="655">
        <f t="shared" si="55"/>
        <v>1219179.5249999999</v>
      </c>
      <c r="N1414" s="61"/>
    </row>
    <row r="1415" spans="1:15" s="242" customFormat="1" ht="14.25" customHeight="1">
      <c r="A1415" s="624">
        <v>232</v>
      </c>
      <c r="B1415" s="625" t="e">
        <f>VLOOKUP(D1415,'[1]DS CN MOI UP'!$B$11:$C$447,2,0)</f>
        <v>#N/A</v>
      </c>
      <c r="C1415" s="639" t="s">
        <v>1456</v>
      </c>
      <c r="D1415" s="641" t="s">
        <v>567</v>
      </c>
      <c r="E1415" s="630" t="s">
        <v>15</v>
      </c>
      <c r="F1415" s="630"/>
      <c r="G1415" s="655"/>
      <c r="H1415" s="635">
        <v>1239846.615</v>
      </c>
      <c r="I1415" s="655"/>
      <c r="J1415" s="635">
        <f t="shared" si="56"/>
        <v>1239846.615</v>
      </c>
      <c r="K1415" s="635"/>
      <c r="L1415" s="635"/>
      <c r="M1415" s="655">
        <f t="shared" si="55"/>
        <v>1239846.615</v>
      </c>
      <c r="N1415" s="61"/>
    </row>
    <row r="1416" spans="1:15" s="242" customFormat="1" ht="14.25" customHeight="1">
      <c r="A1416" s="624">
        <v>233</v>
      </c>
      <c r="B1416" s="625" t="e">
        <f>VLOOKUP(D1416,'[1]DS CN MOI UP'!$B$11:$C$447,2,0)</f>
        <v>#N/A</v>
      </c>
      <c r="C1416" s="639" t="s">
        <v>1456</v>
      </c>
      <c r="D1416" s="641" t="s">
        <v>1170</v>
      </c>
      <c r="E1416" s="630" t="s">
        <v>15</v>
      </c>
      <c r="F1416" s="630"/>
      <c r="G1416" s="655">
        <v>60000</v>
      </c>
      <c r="H1416" s="635">
        <v>1149145.3259999999</v>
      </c>
      <c r="I1416" s="655"/>
      <c r="J1416" s="635">
        <f t="shared" si="56"/>
        <v>1209145.3259999999</v>
      </c>
      <c r="K1416" s="635"/>
      <c r="L1416" s="635"/>
      <c r="M1416" s="655">
        <f t="shared" si="55"/>
        <v>1209145.3259999999</v>
      </c>
      <c r="N1416" s="61"/>
    </row>
    <row r="1417" spans="1:15" s="242" customFormat="1" ht="14.25" customHeight="1">
      <c r="A1417" s="624">
        <v>234</v>
      </c>
      <c r="B1417" s="625" t="str">
        <f>VLOOKUP(D1417,'[1]DS CN MOI UP'!$B$11:$C$447,2,0)</f>
        <v>02535</v>
      </c>
      <c r="C1417" s="639" t="s">
        <v>1456</v>
      </c>
      <c r="D1417" s="641" t="s">
        <v>165</v>
      </c>
      <c r="E1417" s="630" t="s">
        <v>15</v>
      </c>
      <c r="F1417" s="630"/>
      <c r="G1417" s="655">
        <v>60000</v>
      </c>
      <c r="H1417" s="635">
        <v>1229038.53819991</v>
      </c>
      <c r="I1417" s="655"/>
      <c r="J1417" s="635">
        <f t="shared" si="56"/>
        <v>1289038.53819991</v>
      </c>
      <c r="K1417" s="635"/>
      <c r="L1417" s="635"/>
      <c r="M1417" s="655">
        <f t="shared" si="55"/>
        <v>1289038.53819991</v>
      </c>
      <c r="N1417" s="61"/>
    </row>
    <row r="1418" spans="1:15" s="242" customFormat="1" ht="14.25" customHeight="1">
      <c r="A1418" s="624">
        <v>235</v>
      </c>
      <c r="B1418" s="625" t="e">
        <f>VLOOKUP(D1418,'[1]DS CN MOI UP'!$B$11:$C$447,2,0)</f>
        <v>#N/A</v>
      </c>
      <c r="C1418" s="639" t="s">
        <v>1456</v>
      </c>
      <c r="D1418" s="641" t="s">
        <v>1171</v>
      </c>
      <c r="E1418" s="630" t="s">
        <v>15</v>
      </c>
      <c r="F1418" s="630"/>
      <c r="G1418" s="655">
        <v>60000</v>
      </c>
      <c r="H1418" s="635">
        <v>1159179.5249999999</v>
      </c>
      <c r="I1418" s="655"/>
      <c r="J1418" s="635">
        <f t="shared" si="56"/>
        <v>1219179.5249999999</v>
      </c>
      <c r="K1418" s="635"/>
      <c r="L1418" s="635"/>
      <c r="M1418" s="655">
        <f t="shared" si="55"/>
        <v>1219179.5249999999</v>
      </c>
      <c r="N1418" s="61"/>
    </row>
    <row r="1419" spans="1:15" s="242" customFormat="1" ht="14.25" customHeight="1">
      <c r="A1419" s="624">
        <v>236</v>
      </c>
      <c r="B1419" s="625" t="str">
        <f>VLOOKUP(D1419,'[1]DS CN MOI UP'!$B$11:$C$447,2,0)</f>
        <v>02536</v>
      </c>
      <c r="C1419" s="639" t="s">
        <v>1456</v>
      </c>
      <c r="D1419" s="641" t="s">
        <v>155</v>
      </c>
      <c r="E1419" s="630" t="s">
        <v>15</v>
      </c>
      <c r="F1419" s="630"/>
      <c r="G1419" s="655"/>
      <c r="H1419" s="635">
        <v>1239846.615</v>
      </c>
      <c r="I1419" s="655"/>
      <c r="J1419" s="635">
        <f t="shared" si="56"/>
        <v>1239846.615</v>
      </c>
      <c r="K1419" s="635"/>
      <c r="L1419" s="635"/>
      <c r="M1419" s="655">
        <f t="shared" si="55"/>
        <v>1239846.615</v>
      </c>
      <c r="N1419" s="61"/>
    </row>
    <row r="1420" spans="1:15" s="242" customFormat="1" ht="14.25" customHeight="1">
      <c r="A1420" s="624">
        <v>237</v>
      </c>
      <c r="B1420" s="625" t="e">
        <f>VLOOKUP(D1420,'[1]DS CN MOI UP'!$B$11:$C$447,2,0)</f>
        <v>#N/A</v>
      </c>
      <c r="C1420" s="639" t="s">
        <v>1456</v>
      </c>
      <c r="D1420" s="641" t="s">
        <v>1172</v>
      </c>
      <c r="E1420" s="630" t="s">
        <v>15</v>
      </c>
      <c r="F1420" s="630"/>
      <c r="G1420" s="655">
        <v>60000</v>
      </c>
      <c r="H1420" s="635">
        <v>1149145.3259999999</v>
      </c>
      <c r="I1420" s="655"/>
      <c r="J1420" s="635">
        <f t="shared" si="56"/>
        <v>1209145.3259999999</v>
      </c>
      <c r="K1420" s="635"/>
      <c r="L1420" s="635"/>
      <c r="M1420" s="655">
        <f t="shared" si="55"/>
        <v>1209145.3259999999</v>
      </c>
      <c r="N1420" s="61"/>
    </row>
    <row r="1421" spans="1:15" s="242" customFormat="1" ht="14.25" customHeight="1">
      <c r="A1421" s="624">
        <v>238</v>
      </c>
      <c r="B1421" s="625" t="e">
        <f>VLOOKUP(D1421,'[1]DS CN MOI UP'!$B$11:$C$447,2,0)</f>
        <v>#N/A</v>
      </c>
      <c r="C1421" s="639" t="s">
        <v>1456</v>
      </c>
      <c r="D1421" s="641" t="s">
        <v>1173</v>
      </c>
      <c r="E1421" s="630" t="s">
        <v>15</v>
      </c>
      <c r="F1421" s="630"/>
      <c r="G1421" s="655">
        <v>60000</v>
      </c>
      <c r="H1421" s="635">
        <v>1229038.53819991</v>
      </c>
      <c r="I1421" s="655"/>
      <c r="J1421" s="635">
        <f t="shared" si="56"/>
        <v>1289038.53819991</v>
      </c>
      <c r="K1421" s="635"/>
      <c r="L1421" s="635"/>
      <c r="M1421" s="655">
        <f t="shared" si="55"/>
        <v>1289038.53819991</v>
      </c>
      <c r="N1421" s="61"/>
    </row>
    <row r="1422" spans="1:15" s="242" customFormat="1" ht="14.25" customHeight="1">
      <c r="A1422" s="624">
        <v>239</v>
      </c>
      <c r="B1422" s="625" t="e">
        <f>VLOOKUP(D1422,'[1]DS CN MOI UP'!$B$11:$C$447,2,0)</f>
        <v>#N/A</v>
      </c>
      <c r="C1422" s="639" t="s">
        <v>1456</v>
      </c>
      <c r="D1422" s="641" t="s">
        <v>1200</v>
      </c>
      <c r="E1422" s="630" t="s">
        <v>15</v>
      </c>
      <c r="F1422" s="630"/>
      <c r="G1422" s="655">
        <v>60000</v>
      </c>
      <c r="H1422" s="635">
        <v>1088677.8</v>
      </c>
      <c r="I1422" s="655"/>
      <c r="J1422" s="635">
        <f t="shared" si="56"/>
        <v>1148677.8</v>
      </c>
      <c r="K1422" s="635"/>
      <c r="L1422" s="635"/>
      <c r="M1422" s="655">
        <f t="shared" si="55"/>
        <v>1148677.8</v>
      </c>
      <c r="N1422" s="61"/>
    </row>
    <row r="1423" spans="1:15" s="242" customFormat="1" ht="14.25" customHeight="1">
      <c r="A1423" s="624">
        <v>240</v>
      </c>
      <c r="B1423" s="625" t="str">
        <f>VLOOKUP(D1423,'[1]DS CN MOI UP'!$B$11:$C$447,2,0)</f>
        <v>02538</v>
      </c>
      <c r="C1423" s="639" t="s">
        <v>1456</v>
      </c>
      <c r="D1423" s="641" t="s">
        <v>150</v>
      </c>
      <c r="E1423" s="630" t="s">
        <v>15</v>
      </c>
      <c r="F1423" s="630"/>
      <c r="G1423" s="655">
        <v>60000</v>
      </c>
      <c r="H1423" s="655">
        <v>1148746.1980000001</v>
      </c>
      <c r="I1423" s="655"/>
      <c r="J1423" s="635">
        <f t="shared" si="56"/>
        <v>1208746.1980000001</v>
      </c>
      <c r="K1423" s="635"/>
      <c r="L1423" s="635"/>
      <c r="M1423" s="655">
        <f t="shared" si="55"/>
        <v>1208746.1980000001</v>
      </c>
      <c r="N1423" s="61"/>
    </row>
    <row r="1424" spans="1:15" s="242" customFormat="1" ht="14.25" customHeight="1">
      <c r="A1424" s="624">
        <v>241</v>
      </c>
      <c r="B1424" s="625" t="e">
        <f>VLOOKUP(D1424,'[1]DS CN MOI UP'!$B$11:$C$447,2,0)</f>
        <v>#N/A</v>
      </c>
      <c r="C1424" s="639" t="s">
        <v>1456</v>
      </c>
      <c r="D1424" s="641" t="s">
        <v>1201</v>
      </c>
      <c r="E1424" s="630" t="s">
        <v>15</v>
      </c>
      <c r="F1424" s="630"/>
      <c r="G1424" s="655">
        <v>60000</v>
      </c>
      <c r="H1424" s="635">
        <v>1159179.5249999999</v>
      </c>
      <c r="I1424" s="655"/>
      <c r="J1424" s="635">
        <f t="shared" si="56"/>
        <v>1219179.5249999999</v>
      </c>
      <c r="K1424" s="635"/>
      <c r="L1424" s="635"/>
      <c r="M1424" s="655">
        <f t="shared" si="55"/>
        <v>1219179.5249999999</v>
      </c>
      <c r="N1424" s="61"/>
    </row>
    <row r="1425" spans="1:14" s="242" customFormat="1" ht="14.25" customHeight="1">
      <c r="A1425" s="624">
        <v>242</v>
      </c>
      <c r="B1425" s="625" t="str">
        <f>VLOOKUP(D1425,'[1]DS CN MOI UP'!$B$11:$C$447,2,0)</f>
        <v>02539</v>
      </c>
      <c r="C1425" s="639" t="s">
        <v>1456</v>
      </c>
      <c r="D1425" s="641" t="s">
        <v>195</v>
      </c>
      <c r="E1425" s="630" t="s">
        <v>15</v>
      </c>
      <c r="F1425" s="630"/>
      <c r="G1425" s="655"/>
      <c r="H1425" s="635">
        <v>1239846.615</v>
      </c>
      <c r="I1425" s="655"/>
      <c r="J1425" s="635">
        <f t="shared" si="56"/>
        <v>1239846.615</v>
      </c>
      <c r="K1425" s="635"/>
      <c r="L1425" s="635"/>
      <c r="M1425" s="655">
        <f t="shared" si="55"/>
        <v>1239846.615</v>
      </c>
      <c r="N1425" s="61"/>
    </row>
    <row r="1426" spans="1:14" s="242" customFormat="1" ht="14.25" customHeight="1">
      <c r="A1426" s="624">
        <v>243</v>
      </c>
      <c r="B1426" s="625" t="e">
        <f>VLOOKUP(D1426,'[1]DS CN MOI UP'!$B$11:$C$447,2,0)</f>
        <v>#N/A</v>
      </c>
      <c r="C1426" s="639" t="s">
        <v>1456</v>
      </c>
      <c r="D1426" s="641" t="s">
        <v>1174</v>
      </c>
      <c r="E1426" s="630" t="s">
        <v>15</v>
      </c>
      <c r="F1426" s="630"/>
      <c r="G1426" s="655">
        <v>60000</v>
      </c>
      <c r="H1426" s="635">
        <v>1149145.3259999999</v>
      </c>
      <c r="I1426" s="655"/>
      <c r="J1426" s="635">
        <f t="shared" si="56"/>
        <v>1209145.3259999999</v>
      </c>
      <c r="K1426" s="635"/>
      <c r="L1426" s="635"/>
      <c r="M1426" s="655">
        <f t="shared" si="55"/>
        <v>1209145.3259999999</v>
      </c>
      <c r="N1426" s="61"/>
    </row>
    <row r="1427" spans="1:14" s="242" customFormat="1" ht="14.25" customHeight="1">
      <c r="A1427" s="624">
        <v>244</v>
      </c>
      <c r="B1427" s="625" t="e">
        <f>VLOOKUP(D1427,'[1]DS CN MOI UP'!$B$11:$C$447,2,0)</f>
        <v>#N/A</v>
      </c>
      <c r="C1427" s="639" t="s">
        <v>1456</v>
      </c>
      <c r="D1427" s="641" t="s">
        <v>1175</v>
      </c>
      <c r="E1427" s="630" t="s">
        <v>15</v>
      </c>
      <c r="F1427" s="630"/>
      <c r="G1427" s="655">
        <v>60000</v>
      </c>
      <c r="H1427" s="635">
        <v>1229038.53819991</v>
      </c>
      <c r="I1427" s="655"/>
      <c r="J1427" s="635">
        <f t="shared" si="56"/>
        <v>1289038.53819991</v>
      </c>
      <c r="K1427" s="635"/>
      <c r="L1427" s="635"/>
      <c r="M1427" s="655">
        <f t="shared" si="55"/>
        <v>1289038.53819991</v>
      </c>
      <c r="N1427" s="61"/>
    </row>
    <row r="1428" spans="1:14" s="242" customFormat="1" ht="14.25" customHeight="1">
      <c r="A1428" s="624">
        <v>245</v>
      </c>
      <c r="B1428" s="625" t="e">
        <f>VLOOKUP(D1428,'[1]DS CN MOI UP'!$B$11:$C$447,2,0)</f>
        <v>#N/A</v>
      </c>
      <c r="C1428" s="639" t="s">
        <v>1456</v>
      </c>
      <c r="D1428" s="641" t="s">
        <v>1176</v>
      </c>
      <c r="E1428" s="630" t="s">
        <v>15</v>
      </c>
      <c r="F1428" s="630"/>
      <c r="G1428" s="655">
        <v>60000</v>
      </c>
      <c r="H1428" s="635">
        <v>1159179.5249999999</v>
      </c>
      <c r="I1428" s="655"/>
      <c r="J1428" s="635">
        <f t="shared" si="56"/>
        <v>1219179.5249999999</v>
      </c>
      <c r="K1428" s="635"/>
      <c r="L1428" s="635"/>
      <c r="M1428" s="655">
        <f t="shared" si="55"/>
        <v>1219179.5249999999</v>
      </c>
      <c r="N1428" s="61"/>
    </row>
    <row r="1429" spans="1:14" s="242" customFormat="1" ht="14.25" customHeight="1">
      <c r="A1429" s="624">
        <v>246</v>
      </c>
      <c r="B1429" s="625" t="e">
        <f>VLOOKUP(D1429,'[1]DS CN MOI UP'!$B$11:$C$447,2,0)</f>
        <v>#N/A</v>
      </c>
      <c r="C1429" s="639" t="s">
        <v>1456</v>
      </c>
      <c r="D1429" s="641" t="s">
        <v>1202</v>
      </c>
      <c r="E1429" s="630" t="s">
        <v>15</v>
      </c>
      <c r="F1429" s="630"/>
      <c r="G1429" s="655"/>
      <c r="H1429" s="635">
        <v>1239846.615</v>
      </c>
      <c r="I1429" s="655"/>
      <c r="J1429" s="635">
        <f t="shared" si="56"/>
        <v>1239846.615</v>
      </c>
      <c r="K1429" s="635"/>
      <c r="L1429" s="635"/>
      <c r="M1429" s="655">
        <f t="shared" si="55"/>
        <v>1239846.615</v>
      </c>
      <c r="N1429" s="61"/>
    </row>
    <row r="1430" spans="1:14" s="242" customFormat="1" ht="14.25" customHeight="1">
      <c r="A1430" s="624">
        <v>247</v>
      </c>
      <c r="B1430" s="625" t="str">
        <f>VLOOKUP(D1430,'[1]DS CN MOI UP'!$B$11:$C$447,2,0)</f>
        <v>02541</v>
      </c>
      <c r="C1430" s="639" t="s">
        <v>1456</v>
      </c>
      <c r="D1430" s="641" t="s">
        <v>185</v>
      </c>
      <c r="E1430" s="630" t="s">
        <v>15</v>
      </c>
      <c r="F1430" s="630"/>
      <c r="G1430" s="655">
        <v>60000</v>
      </c>
      <c r="H1430" s="635">
        <v>1149145.3259999999</v>
      </c>
      <c r="I1430" s="655"/>
      <c r="J1430" s="635">
        <f t="shared" si="56"/>
        <v>1209145.3259999999</v>
      </c>
      <c r="K1430" s="635"/>
      <c r="L1430" s="635"/>
      <c r="M1430" s="655">
        <f t="shared" si="55"/>
        <v>1209145.3259999999</v>
      </c>
      <c r="N1430" s="61"/>
    </row>
    <row r="1431" spans="1:14" s="242" customFormat="1" ht="14.25" customHeight="1">
      <c r="A1431" s="624">
        <v>248</v>
      </c>
      <c r="B1431" s="625" t="e">
        <f>VLOOKUP(D1431,'[1]DS CN MOI UP'!$B$11:$C$447,2,0)</f>
        <v>#N/A</v>
      </c>
      <c r="C1431" s="639" t="s">
        <v>1456</v>
      </c>
      <c r="D1431" s="641" t="s">
        <v>1177</v>
      </c>
      <c r="E1431" s="630" t="s">
        <v>15</v>
      </c>
      <c r="F1431" s="630"/>
      <c r="G1431" s="655">
        <v>60000</v>
      </c>
      <c r="H1431" s="635">
        <v>1229038.53819991</v>
      </c>
      <c r="I1431" s="655"/>
      <c r="J1431" s="635">
        <f t="shared" si="56"/>
        <v>1289038.53819991</v>
      </c>
      <c r="K1431" s="635"/>
      <c r="L1431" s="635"/>
      <c r="M1431" s="655">
        <f t="shared" si="55"/>
        <v>1289038.53819991</v>
      </c>
      <c r="N1431" s="61"/>
    </row>
    <row r="1432" spans="1:14" s="242" customFormat="1" ht="14.25" customHeight="1">
      <c r="A1432" s="624">
        <v>249</v>
      </c>
      <c r="B1432" s="625" t="e">
        <f>VLOOKUP(D1432,'[1]DS CN MOI UP'!$B$11:$C$447,2,0)</f>
        <v>#N/A</v>
      </c>
      <c r="C1432" s="639" t="s">
        <v>1456</v>
      </c>
      <c r="D1432" s="641" t="s">
        <v>1501</v>
      </c>
      <c r="E1432" s="630" t="s">
        <v>15</v>
      </c>
      <c r="F1432" s="630"/>
      <c r="G1432" s="655">
        <v>60000</v>
      </c>
      <c r="H1432" s="635">
        <v>1088677.8</v>
      </c>
      <c r="I1432" s="655"/>
      <c r="J1432" s="635">
        <f t="shared" si="56"/>
        <v>1148677.8</v>
      </c>
      <c r="K1432" s="635"/>
      <c r="L1432" s="635"/>
      <c r="M1432" s="655">
        <f t="shared" si="55"/>
        <v>1148677.8</v>
      </c>
      <c r="N1432" s="61"/>
    </row>
    <row r="1433" spans="1:14" s="242" customFormat="1" ht="14.25" customHeight="1">
      <c r="A1433" s="624">
        <v>250</v>
      </c>
      <c r="B1433" s="625" t="e">
        <f>VLOOKUP(D1433,'[1]DS CN MOI UP'!$B$11:$C$447,2,0)</f>
        <v>#N/A</v>
      </c>
      <c r="C1433" s="639" t="s">
        <v>1456</v>
      </c>
      <c r="D1433" s="641" t="s">
        <v>1502</v>
      </c>
      <c r="E1433" s="630" t="s">
        <v>15</v>
      </c>
      <c r="F1433" s="630"/>
      <c r="G1433" s="655">
        <v>60000</v>
      </c>
      <c r="H1433" s="655">
        <v>1148746.1980000001</v>
      </c>
      <c r="I1433" s="655"/>
      <c r="J1433" s="635">
        <f t="shared" si="56"/>
        <v>1208746.1980000001</v>
      </c>
      <c r="K1433" s="635"/>
      <c r="L1433" s="635"/>
      <c r="M1433" s="655">
        <f t="shared" si="55"/>
        <v>1208746.1980000001</v>
      </c>
      <c r="N1433" s="61"/>
    </row>
    <row r="1434" spans="1:14" s="242" customFormat="1" ht="14.25" customHeight="1">
      <c r="A1434" s="624">
        <v>251</v>
      </c>
      <c r="B1434" s="625" t="e">
        <f>VLOOKUP(D1434,'[1]DS CN MOI UP'!$B$11:$C$447,2,0)</f>
        <v>#N/A</v>
      </c>
      <c r="C1434" s="626" t="s">
        <v>1374</v>
      </c>
      <c r="D1434" s="630" t="s">
        <v>1503</v>
      </c>
      <c r="E1434" s="630" t="s">
        <v>15</v>
      </c>
      <c r="F1434" s="630"/>
      <c r="G1434" s="655"/>
      <c r="H1434" s="655">
        <v>1270080.378</v>
      </c>
      <c r="I1434" s="655"/>
      <c r="J1434" s="635">
        <f t="shared" si="56"/>
        <v>1270080.378</v>
      </c>
      <c r="K1434" s="635"/>
      <c r="L1434" s="635"/>
      <c r="M1434" s="655">
        <f t="shared" si="55"/>
        <v>1270080.378</v>
      </c>
      <c r="N1434" s="61"/>
    </row>
    <row r="1435" spans="1:14" s="242" customFormat="1" ht="14.25" customHeight="1">
      <c r="A1435" s="624">
        <v>252</v>
      </c>
      <c r="B1435" s="625" t="e">
        <f>VLOOKUP(D1435,'[1]DS CN MOI UP'!$B$11:$C$447,2,0)</f>
        <v>#N/A</v>
      </c>
      <c r="C1435" s="626" t="s">
        <v>1376</v>
      </c>
      <c r="D1435" s="630" t="s">
        <v>1504</v>
      </c>
      <c r="E1435" s="630" t="s">
        <v>15</v>
      </c>
      <c r="F1435" s="630"/>
      <c r="G1435" s="655">
        <v>60000</v>
      </c>
      <c r="H1435" s="655">
        <v>1128677.8</v>
      </c>
      <c r="I1435" s="655"/>
      <c r="J1435" s="635">
        <f t="shared" si="56"/>
        <v>1188677.8</v>
      </c>
      <c r="K1435" s="635"/>
      <c r="L1435" s="635"/>
      <c r="M1435" s="655">
        <f t="shared" si="55"/>
        <v>1188677.8</v>
      </c>
      <c r="N1435" s="61"/>
    </row>
    <row r="1436" spans="1:14" s="242" customFormat="1" ht="14.25" customHeight="1">
      <c r="A1436" s="624">
        <v>253</v>
      </c>
      <c r="B1436" s="625" t="e">
        <f>VLOOKUP(D1436,'[1]DS CN MOI UP'!$B$11:$C$447,2,0)</f>
        <v>#N/A</v>
      </c>
      <c r="C1436" s="626" t="s">
        <v>1378</v>
      </c>
      <c r="D1436" s="630" t="s">
        <v>1505</v>
      </c>
      <c r="E1436" s="630" t="s">
        <v>15</v>
      </c>
      <c r="F1436" s="630"/>
      <c r="G1436" s="655"/>
      <c r="H1436" s="655">
        <v>1189145.3259999999</v>
      </c>
      <c r="I1436" s="655"/>
      <c r="J1436" s="635">
        <f t="shared" si="56"/>
        <v>1189145.3259999999</v>
      </c>
      <c r="K1436" s="635"/>
      <c r="L1436" s="635"/>
      <c r="M1436" s="655">
        <f t="shared" si="55"/>
        <v>1189145.3259999999</v>
      </c>
      <c r="N1436" s="61"/>
    </row>
    <row r="1437" spans="1:14" s="242" customFormat="1" ht="14.25" customHeight="1">
      <c r="A1437" s="624">
        <v>254</v>
      </c>
      <c r="B1437" s="625" t="e">
        <f>VLOOKUP(D1437,'[1]DS CN MOI UP'!$B$11:$C$447,2,0)</f>
        <v>#N/A</v>
      </c>
      <c r="C1437" s="626" t="s">
        <v>1379</v>
      </c>
      <c r="D1437" s="630" t="s">
        <v>1506</v>
      </c>
      <c r="E1437" s="630" t="s">
        <v>15</v>
      </c>
      <c r="F1437" s="630"/>
      <c r="G1437" s="655"/>
      <c r="H1437" s="655">
        <v>1249612.852</v>
      </c>
      <c r="I1437" s="655"/>
      <c r="J1437" s="635">
        <f t="shared" si="56"/>
        <v>1249612.852</v>
      </c>
      <c r="K1437" s="635"/>
      <c r="L1437" s="635"/>
      <c r="M1437" s="655">
        <f t="shared" si="55"/>
        <v>1249612.852</v>
      </c>
      <c r="N1437" s="61"/>
    </row>
    <row r="1438" spans="1:14" s="242" customFormat="1" ht="14.25" customHeight="1">
      <c r="A1438" s="624">
        <v>255</v>
      </c>
      <c r="B1438" s="625" t="e">
        <f>VLOOKUP(D1438,'[1]DS CN MOI UP'!$B$11:$C$447,2,0)</f>
        <v>#N/A</v>
      </c>
      <c r="C1438" s="626" t="s">
        <v>1381</v>
      </c>
      <c r="D1438" s="630" t="s">
        <v>1507</v>
      </c>
      <c r="E1438" s="630" t="s">
        <v>15</v>
      </c>
      <c r="F1438" s="630"/>
      <c r="G1438" s="655">
        <v>60000</v>
      </c>
      <c r="H1438" s="655">
        <v>1159179.5249999999</v>
      </c>
      <c r="I1438" s="655"/>
      <c r="J1438" s="635">
        <f t="shared" si="56"/>
        <v>1219179.5249999999</v>
      </c>
      <c r="K1438" s="635"/>
      <c r="L1438" s="635"/>
      <c r="M1438" s="655">
        <f t="shared" si="55"/>
        <v>1219179.5249999999</v>
      </c>
      <c r="N1438" s="61"/>
    </row>
    <row r="1439" spans="1:14" s="242" customFormat="1" ht="14.25" customHeight="1">
      <c r="A1439" s="624">
        <v>256</v>
      </c>
      <c r="B1439" s="625" t="e">
        <f>VLOOKUP(D1439,'[1]DS CN MOI UP'!$B$11:$C$447,2,0)</f>
        <v>#N/A</v>
      </c>
      <c r="C1439" s="626" t="s">
        <v>1382</v>
      </c>
      <c r="D1439" s="630" t="s">
        <v>1508</v>
      </c>
      <c r="E1439" s="630" t="s">
        <v>15</v>
      </c>
      <c r="F1439" s="630"/>
      <c r="G1439" s="655">
        <v>60000</v>
      </c>
      <c r="H1439" s="635">
        <v>1159179.5249999999</v>
      </c>
      <c r="I1439" s="655"/>
      <c r="J1439" s="635">
        <f t="shared" si="56"/>
        <v>1219179.5249999999</v>
      </c>
      <c r="K1439" s="635"/>
      <c r="L1439" s="635"/>
      <c r="M1439" s="655">
        <f t="shared" ref="M1439:M1541" si="57">J1439-L1439</f>
        <v>1219179.5249999999</v>
      </c>
      <c r="N1439" s="61"/>
    </row>
    <row r="1440" spans="1:14" s="242" customFormat="1" ht="14.25" customHeight="1">
      <c r="A1440" s="624">
        <v>257</v>
      </c>
      <c r="B1440" s="625" t="e">
        <f>VLOOKUP(D1440,'[1]DS CN MOI UP'!$B$11:$C$447,2,0)</f>
        <v>#N/A</v>
      </c>
      <c r="C1440" s="626" t="s">
        <v>1383</v>
      </c>
      <c r="D1440" s="630" t="s">
        <v>1509</v>
      </c>
      <c r="E1440" s="630" t="s">
        <v>15</v>
      </c>
      <c r="F1440" s="630"/>
      <c r="G1440" s="655">
        <v>60000</v>
      </c>
      <c r="H1440" s="635">
        <v>1159179.5249999999</v>
      </c>
      <c r="I1440" s="655"/>
      <c r="J1440" s="635">
        <f t="shared" si="56"/>
        <v>1219179.5249999999</v>
      </c>
      <c r="K1440" s="635"/>
      <c r="L1440" s="635"/>
      <c r="M1440" s="655">
        <f t="shared" si="57"/>
        <v>1219179.5249999999</v>
      </c>
      <c r="N1440" s="61"/>
    </row>
    <row r="1441" spans="1:14" s="242" customFormat="1" ht="14.25" customHeight="1">
      <c r="A1441" s="624">
        <v>258</v>
      </c>
      <c r="B1441" s="625" t="e">
        <f>VLOOKUP(D1441,'[1]DS CN MOI UP'!$B$11:$C$447,2,0)</f>
        <v>#N/A</v>
      </c>
      <c r="C1441" s="626" t="s">
        <v>1384</v>
      </c>
      <c r="D1441" s="630" t="s">
        <v>1510</v>
      </c>
      <c r="E1441" s="630" t="s">
        <v>15</v>
      </c>
      <c r="F1441" s="630"/>
      <c r="G1441" s="655"/>
      <c r="H1441" s="635">
        <v>1239846.615</v>
      </c>
      <c r="I1441" s="655"/>
      <c r="J1441" s="635">
        <f t="shared" si="56"/>
        <v>1239846.615</v>
      </c>
      <c r="K1441" s="635"/>
      <c r="L1441" s="635"/>
      <c r="M1441" s="655">
        <f t="shared" si="57"/>
        <v>1239846.615</v>
      </c>
      <c r="N1441" s="61"/>
    </row>
    <row r="1442" spans="1:14" s="242" customFormat="1" ht="14.25" customHeight="1">
      <c r="A1442" s="624">
        <v>259</v>
      </c>
      <c r="B1442" s="625" t="e">
        <f>VLOOKUP(D1442,'[1]DS CN MOI UP'!$B$11:$C$447,2,0)</f>
        <v>#N/A</v>
      </c>
      <c r="C1442" s="626" t="s">
        <v>1385</v>
      </c>
      <c r="D1442" s="630" t="s">
        <v>1511</v>
      </c>
      <c r="E1442" s="630" t="s">
        <v>15</v>
      </c>
      <c r="F1442" s="630"/>
      <c r="G1442" s="655">
        <v>60000</v>
      </c>
      <c r="H1442" s="635">
        <v>1149145.3259999999</v>
      </c>
      <c r="I1442" s="655"/>
      <c r="J1442" s="635">
        <f t="shared" si="56"/>
        <v>1209145.3259999999</v>
      </c>
      <c r="K1442" s="635"/>
      <c r="L1442" s="635"/>
      <c r="M1442" s="655">
        <f t="shared" si="57"/>
        <v>1209145.3259999999</v>
      </c>
      <c r="N1442" s="61"/>
    </row>
    <row r="1443" spans="1:14" s="242" customFormat="1" ht="14.25" customHeight="1">
      <c r="A1443" s="624">
        <v>260</v>
      </c>
      <c r="B1443" s="625" t="e">
        <f>VLOOKUP(D1443,'[1]DS CN MOI UP'!$B$11:$C$447,2,0)</f>
        <v>#N/A</v>
      </c>
      <c r="C1443" s="626" t="s">
        <v>1387</v>
      </c>
      <c r="D1443" s="630" t="s">
        <v>1512</v>
      </c>
      <c r="E1443" s="630" t="s">
        <v>15</v>
      </c>
      <c r="F1443" s="630"/>
      <c r="G1443" s="655">
        <v>60000</v>
      </c>
      <c r="H1443" s="635">
        <v>1229038.53819991</v>
      </c>
      <c r="I1443" s="655"/>
      <c r="J1443" s="635">
        <f t="shared" si="56"/>
        <v>1289038.53819991</v>
      </c>
      <c r="K1443" s="635"/>
      <c r="L1443" s="635"/>
      <c r="M1443" s="655">
        <f t="shared" si="57"/>
        <v>1289038.53819991</v>
      </c>
      <c r="N1443" s="61"/>
    </row>
    <row r="1444" spans="1:14" s="242" customFormat="1" ht="14.25" customHeight="1">
      <c r="A1444" s="624">
        <v>261</v>
      </c>
      <c r="B1444" s="625" t="e">
        <f>VLOOKUP(D1444,'[1]DS CN MOI UP'!$B$11:$C$447,2,0)</f>
        <v>#N/A</v>
      </c>
      <c r="C1444" s="626" t="s">
        <v>1388</v>
      </c>
      <c r="D1444" s="630" t="s">
        <v>1513</v>
      </c>
      <c r="E1444" s="630" t="s">
        <v>15</v>
      </c>
      <c r="F1444" s="630"/>
      <c r="G1444" s="655">
        <v>60000</v>
      </c>
      <c r="H1444" s="635">
        <v>1159179.5249999999</v>
      </c>
      <c r="I1444" s="655"/>
      <c r="J1444" s="635">
        <f t="shared" si="56"/>
        <v>1219179.5249999999</v>
      </c>
      <c r="K1444" s="635"/>
      <c r="L1444" s="635"/>
      <c r="M1444" s="655">
        <f t="shared" si="57"/>
        <v>1219179.5249999999</v>
      </c>
      <c r="N1444" s="61"/>
    </row>
    <row r="1445" spans="1:14" s="242" customFormat="1" ht="14.25" customHeight="1">
      <c r="A1445" s="624">
        <v>262</v>
      </c>
      <c r="B1445" s="625" t="e">
        <f>VLOOKUP(D1445,'[1]DS CN MOI UP'!$B$11:$C$447,2,0)</f>
        <v>#N/A</v>
      </c>
      <c r="C1445" s="626" t="s">
        <v>1390</v>
      </c>
      <c r="D1445" s="630" t="s">
        <v>1514</v>
      </c>
      <c r="E1445" s="630" t="s">
        <v>15</v>
      </c>
      <c r="F1445" s="630"/>
      <c r="G1445" s="655"/>
      <c r="H1445" s="635">
        <v>1239846.615</v>
      </c>
      <c r="I1445" s="655"/>
      <c r="J1445" s="635">
        <f t="shared" si="56"/>
        <v>1239846.615</v>
      </c>
      <c r="K1445" s="635"/>
      <c r="L1445" s="635"/>
      <c r="M1445" s="655">
        <f t="shared" si="57"/>
        <v>1239846.615</v>
      </c>
      <c r="N1445" s="61"/>
    </row>
    <row r="1446" spans="1:14" s="242" customFormat="1" ht="14.25" customHeight="1">
      <c r="A1446" s="624">
        <v>263</v>
      </c>
      <c r="B1446" s="625" t="e">
        <f>VLOOKUP(D1446,'[1]DS CN MOI UP'!$B$11:$C$447,2,0)</f>
        <v>#N/A</v>
      </c>
      <c r="C1446" s="626" t="s">
        <v>1391</v>
      </c>
      <c r="D1446" s="630" t="s">
        <v>1515</v>
      </c>
      <c r="E1446" s="630" t="s">
        <v>15</v>
      </c>
      <c r="F1446" s="630"/>
      <c r="G1446" s="655">
        <v>60000</v>
      </c>
      <c r="H1446" s="635">
        <v>1149145.3259999999</v>
      </c>
      <c r="I1446" s="655"/>
      <c r="J1446" s="635">
        <f t="shared" si="56"/>
        <v>1209145.3259999999</v>
      </c>
      <c r="K1446" s="635"/>
      <c r="L1446" s="635"/>
      <c r="M1446" s="655">
        <f t="shared" si="57"/>
        <v>1209145.3259999999</v>
      </c>
      <c r="N1446" s="61"/>
    </row>
    <row r="1447" spans="1:14" s="242" customFormat="1" ht="14.25" customHeight="1">
      <c r="A1447" s="624">
        <v>264</v>
      </c>
      <c r="B1447" s="625" t="e">
        <f>VLOOKUP(D1447,'[1]DS CN MOI UP'!$B$11:$C$447,2,0)</f>
        <v>#N/A</v>
      </c>
      <c r="C1447" s="626" t="s">
        <v>1392</v>
      </c>
      <c r="D1447" s="630" t="s">
        <v>1516</v>
      </c>
      <c r="E1447" s="630" t="s">
        <v>15</v>
      </c>
      <c r="F1447" s="630"/>
      <c r="G1447" s="655">
        <v>60000</v>
      </c>
      <c r="H1447" s="635">
        <v>1229038.53819991</v>
      </c>
      <c r="I1447" s="655"/>
      <c r="J1447" s="635">
        <f t="shared" si="56"/>
        <v>1289038.53819991</v>
      </c>
      <c r="K1447" s="635"/>
      <c r="L1447" s="635"/>
      <c r="M1447" s="655">
        <f t="shared" si="57"/>
        <v>1289038.53819991</v>
      </c>
      <c r="N1447" s="61"/>
    </row>
    <row r="1448" spans="1:14" s="242" customFormat="1" ht="14.25" customHeight="1">
      <c r="A1448" s="624">
        <v>265</v>
      </c>
      <c r="B1448" s="625" t="e">
        <f>VLOOKUP(D1448,'[1]DS CN MOI UP'!$B$11:$C$447,2,0)</f>
        <v>#N/A</v>
      </c>
      <c r="C1448" s="626" t="s">
        <v>1394</v>
      </c>
      <c r="D1448" s="630" t="s">
        <v>1517</v>
      </c>
      <c r="E1448" s="630" t="s">
        <v>15</v>
      </c>
      <c r="F1448" s="630"/>
      <c r="G1448" s="655">
        <v>60000</v>
      </c>
      <c r="H1448" s="635">
        <v>1159179.5249999999</v>
      </c>
      <c r="I1448" s="655"/>
      <c r="J1448" s="635">
        <f t="shared" si="56"/>
        <v>1219179.5249999999</v>
      </c>
      <c r="K1448" s="635"/>
      <c r="L1448" s="635"/>
      <c r="M1448" s="655">
        <f t="shared" si="57"/>
        <v>1219179.5249999999</v>
      </c>
      <c r="N1448" s="61"/>
    </row>
    <row r="1449" spans="1:14" s="242" customFormat="1" ht="14.25" customHeight="1">
      <c r="A1449" s="624">
        <v>266</v>
      </c>
      <c r="B1449" s="625" t="e">
        <f>VLOOKUP(D1449,'[1]DS CN MOI UP'!$B$11:$C$447,2,0)</f>
        <v>#N/A</v>
      </c>
      <c r="C1449" s="626" t="s">
        <v>1396</v>
      </c>
      <c r="D1449" s="630" t="s">
        <v>1518</v>
      </c>
      <c r="E1449" s="630" t="s">
        <v>15</v>
      </c>
      <c r="F1449" s="630"/>
      <c r="G1449" s="655"/>
      <c r="H1449" s="635">
        <v>1239846.615</v>
      </c>
      <c r="I1449" s="655"/>
      <c r="J1449" s="635">
        <f t="shared" si="56"/>
        <v>1239846.615</v>
      </c>
      <c r="K1449" s="635"/>
      <c r="L1449" s="635"/>
      <c r="M1449" s="655">
        <f t="shared" si="57"/>
        <v>1239846.615</v>
      </c>
      <c r="N1449" s="61"/>
    </row>
    <row r="1450" spans="1:14" s="242" customFormat="1" ht="14.25" customHeight="1">
      <c r="A1450" s="624">
        <v>267</v>
      </c>
      <c r="B1450" s="625" t="e">
        <f>VLOOKUP(D1450,'[1]DS CN MOI UP'!$B$11:$C$447,2,0)</f>
        <v>#N/A</v>
      </c>
      <c r="C1450" s="626" t="s">
        <v>1398</v>
      </c>
      <c r="D1450" s="630" t="s">
        <v>1519</v>
      </c>
      <c r="E1450" s="630" t="s">
        <v>15</v>
      </c>
      <c r="F1450" s="630"/>
      <c r="G1450" s="655">
        <v>120000</v>
      </c>
      <c r="H1450" s="635">
        <v>1149145.3259999999</v>
      </c>
      <c r="I1450" s="655"/>
      <c r="J1450" s="635">
        <f t="shared" si="56"/>
        <v>1269145.3259999999</v>
      </c>
      <c r="K1450" s="635"/>
      <c r="L1450" s="635"/>
      <c r="M1450" s="655">
        <f t="shared" si="57"/>
        <v>1269145.3259999999</v>
      </c>
      <c r="N1450" s="61"/>
    </row>
    <row r="1451" spans="1:14" s="242" customFormat="1" ht="14.25" customHeight="1">
      <c r="A1451" s="624">
        <v>268</v>
      </c>
      <c r="B1451" s="625" t="e">
        <f>VLOOKUP(D1451,'[1]DS CN MOI UP'!$B$11:$C$447,2,0)</f>
        <v>#N/A</v>
      </c>
      <c r="C1451" s="626" t="s">
        <v>1383</v>
      </c>
      <c r="D1451" s="630" t="s">
        <v>1520</v>
      </c>
      <c r="E1451" s="630" t="s">
        <v>15</v>
      </c>
      <c r="F1451" s="630"/>
      <c r="G1451" s="655">
        <v>60000</v>
      </c>
      <c r="H1451" s="635">
        <v>1229038.53819991</v>
      </c>
      <c r="I1451" s="655"/>
      <c r="J1451" s="635">
        <f t="shared" si="56"/>
        <v>1289038.53819991</v>
      </c>
      <c r="K1451" s="635"/>
      <c r="L1451" s="635"/>
      <c r="M1451" s="655">
        <f t="shared" si="57"/>
        <v>1289038.53819991</v>
      </c>
      <c r="N1451" s="61"/>
    </row>
    <row r="1452" spans="1:14" s="242" customFormat="1" ht="14.25" customHeight="1">
      <c r="A1452" s="624">
        <v>269</v>
      </c>
      <c r="B1452" s="625" t="e">
        <f>VLOOKUP(D1452,'[1]DS CN MOI UP'!$B$11:$C$447,2,0)</f>
        <v>#N/A</v>
      </c>
      <c r="C1452" s="626" t="s">
        <v>1384</v>
      </c>
      <c r="D1452" s="630" t="s">
        <v>1521</v>
      </c>
      <c r="E1452" s="630" t="s">
        <v>15</v>
      </c>
      <c r="F1452" s="630"/>
      <c r="G1452" s="655">
        <v>60000</v>
      </c>
      <c r="H1452" s="635">
        <v>1159179.5249999999</v>
      </c>
      <c r="I1452" s="655"/>
      <c r="J1452" s="635">
        <f t="shared" ref="J1452:J1541" si="58">SUM(G1452:I1452)</f>
        <v>1219179.5249999999</v>
      </c>
      <c r="K1452" s="635"/>
      <c r="L1452" s="635"/>
      <c r="M1452" s="655">
        <f t="shared" si="57"/>
        <v>1219179.5249999999</v>
      </c>
      <c r="N1452" s="61"/>
    </row>
    <row r="1453" spans="1:14" s="242" customFormat="1" ht="14.25" customHeight="1">
      <c r="A1453" s="624">
        <v>270</v>
      </c>
      <c r="B1453" s="625" t="e">
        <f>VLOOKUP(D1453,'[1]DS CN MOI UP'!$B$11:$C$447,2,0)</f>
        <v>#N/A</v>
      </c>
      <c r="C1453" s="626" t="s">
        <v>1385</v>
      </c>
      <c r="D1453" s="630" t="s">
        <v>1522</v>
      </c>
      <c r="E1453" s="630" t="s">
        <v>15</v>
      </c>
      <c r="F1453" s="630"/>
      <c r="G1453" s="655"/>
      <c r="H1453" s="635">
        <v>1239846.615</v>
      </c>
      <c r="I1453" s="655"/>
      <c r="J1453" s="635">
        <f t="shared" si="58"/>
        <v>1239846.615</v>
      </c>
      <c r="K1453" s="635"/>
      <c r="L1453" s="635"/>
      <c r="M1453" s="655">
        <f t="shared" si="57"/>
        <v>1239846.615</v>
      </c>
      <c r="N1453" s="61"/>
    </row>
    <row r="1454" spans="1:14" s="242" customFormat="1" ht="14.25" customHeight="1">
      <c r="A1454" s="624">
        <v>271</v>
      </c>
      <c r="B1454" s="625" t="e">
        <f>VLOOKUP(D1454,'[1]DS CN MOI UP'!$B$11:$C$447,2,0)</f>
        <v>#N/A</v>
      </c>
      <c r="C1454" s="626" t="s">
        <v>1387</v>
      </c>
      <c r="D1454" s="630" t="s">
        <v>1523</v>
      </c>
      <c r="E1454" s="630" t="s">
        <v>15</v>
      </c>
      <c r="F1454" s="630"/>
      <c r="G1454" s="655"/>
      <c r="H1454" s="635">
        <v>1149145.3259999999</v>
      </c>
      <c r="I1454" s="655"/>
      <c r="J1454" s="635">
        <f t="shared" si="58"/>
        <v>1149145.3259999999</v>
      </c>
      <c r="K1454" s="635"/>
      <c r="L1454" s="635"/>
      <c r="M1454" s="655">
        <f t="shared" si="57"/>
        <v>1149145.3259999999</v>
      </c>
      <c r="N1454" s="61"/>
    </row>
    <row r="1455" spans="1:14" s="242" customFormat="1" ht="14.25" customHeight="1">
      <c r="A1455" s="624">
        <v>272</v>
      </c>
      <c r="B1455" s="625" t="e">
        <f>VLOOKUP(D1455,'[1]DS CN MOI UP'!$B$11:$C$447,2,0)</f>
        <v>#N/A</v>
      </c>
      <c r="C1455" s="626" t="s">
        <v>1388</v>
      </c>
      <c r="D1455" s="630" t="s">
        <v>1524</v>
      </c>
      <c r="E1455" s="630" t="s">
        <v>15</v>
      </c>
      <c r="F1455" s="630"/>
      <c r="G1455" s="655">
        <v>894612</v>
      </c>
      <c r="H1455" s="635">
        <v>165427.038335502</v>
      </c>
      <c r="I1455" s="655">
        <v>93516.387999907107</v>
      </c>
      <c r="J1455" s="635">
        <f t="shared" si="58"/>
        <v>1153555.4263354091</v>
      </c>
      <c r="K1455" s="635"/>
      <c r="L1455" s="635"/>
      <c r="M1455" s="655">
        <f t="shared" si="57"/>
        <v>1153555.4263354091</v>
      </c>
      <c r="N1455" s="61"/>
    </row>
    <row r="1456" spans="1:14" s="242" customFormat="1" ht="14.25" customHeight="1">
      <c r="A1456" s="624">
        <v>273</v>
      </c>
      <c r="B1456" s="625" t="e">
        <f>VLOOKUP(D1456,'[1]DS CN MOI UP'!$B$11:$C$447,2,0)</f>
        <v>#N/A</v>
      </c>
      <c r="C1456" s="639" t="s">
        <v>1448</v>
      </c>
      <c r="D1456" s="630" t="s">
        <v>1525</v>
      </c>
      <c r="E1456" s="630" t="s">
        <v>15</v>
      </c>
      <c r="F1456" s="630"/>
      <c r="G1456" s="635"/>
      <c r="H1456" s="635"/>
      <c r="I1456" s="655">
        <v>1239846.615</v>
      </c>
      <c r="J1456" s="635">
        <f t="shared" si="58"/>
        <v>1239846.615</v>
      </c>
      <c r="K1456" s="635"/>
      <c r="L1456" s="635"/>
      <c r="M1456" s="655">
        <f t="shared" si="57"/>
        <v>1239846.615</v>
      </c>
      <c r="N1456" s="61"/>
    </row>
    <row r="1457" spans="1:15" s="242" customFormat="1" ht="14.25" customHeight="1">
      <c r="A1457" s="624">
        <v>274</v>
      </c>
      <c r="B1457" s="625" t="e">
        <f>VLOOKUP(D1457,'[1]DS CN MOI UP'!$B$11:$C$447,2,0)</f>
        <v>#N/A</v>
      </c>
      <c r="C1457" s="639" t="s">
        <v>1450</v>
      </c>
      <c r="D1457" s="630" t="s">
        <v>1526</v>
      </c>
      <c r="E1457" s="630" t="s">
        <v>15</v>
      </c>
      <c r="F1457" s="630"/>
      <c r="G1457" s="635"/>
      <c r="H1457" s="635"/>
      <c r="I1457" s="655">
        <v>1149145.3259999999</v>
      </c>
      <c r="J1457" s="635">
        <f t="shared" si="58"/>
        <v>1149145.3259999999</v>
      </c>
      <c r="K1457" s="635"/>
      <c r="L1457" s="635"/>
      <c r="M1457" s="655">
        <f t="shared" si="57"/>
        <v>1149145.3259999999</v>
      </c>
      <c r="N1457" s="61"/>
    </row>
    <row r="1458" spans="1:15" s="242" customFormat="1" ht="14.25" customHeight="1">
      <c r="A1458" s="624">
        <v>275</v>
      </c>
      <c r="B1458" s="625" t="e">
        <f>VLOOKUP(D1458,'[1]DS CN MOI UP'!$B$11:$C$447,2,0)</f>
        <v>#N/A</v>
      </c>
      <c r="C1458" s="639" t="s">
        <v>1451</v>
      </c>
      <c r="D1458" s="630" t="s">
        <v>1527</v>
      </c>
      <c r="E1458" s="630" t="s">
        <v>15</v>
      </c>
      <c r="F1458" s="630"/>
      <c r="G1458" s="635"/>
      <c r="H1458" s="655">
        <v>1229038.53819991</v>
      </c>
      <c r="I1458" s="655"/>
      <c r="J1458" s="635">
        <f t="shared" si="58"/>
        <v>1229038.53819991</v>
      </c>
      <c r="K1458" s="635"/>
      <c r="L1458" s="635"/>
      <c r="M1458" s="655">
        <f t="shared" si="57"/>
        <v>1229038.53819991</v>
      </c>
      <c r="N1458" s="61"/>
    </row>
    <row r="1459" spans="1:15" s="242" customFormat="1" ht="14.25" customHeight="1">
      <c r="A1459" s="624">
        <v>276</v>
      </c>
      <c r="B1459" s="625" t="e">
        <f>VLOOKUP(D1459,'[1]DS CN MOI UP'!$B$11:$C$447,2,0)</f>
        <v>#N/A</v>
      </c>
      <c r="C1459" s="639" t="s">
        <v>1453</v>
      </c>
      <c r="D1459" s="640" t="s">
        <v>1528</v>
      </c>
      <c r="E1459" s="630" t="s">
        <v>15</v>
      </c>
      <c r="F1459" s="630"/>
      <c r="G1459" s="635"/>
      <c r="H1459" s="635">
        <v>1159179.5249999999</v>
      </c>
      <c r="I1459" s="655"/>
      <c r="J1459" s="635">
        <f t="shared" si="58"/>
        <v>1159179.5249999999</v>
      </c>
      <c r="K1459" s="635"/>
      <c r="L1459" s="635"/>
      <c r="M1459" s="655">
        <f t="shared" si="57"/>
        <v>1159179.5249999999</v>
      </c>
      <c r="N1459" s="61"/>
    </row>
    <row r="1460" spans="1:15" s="242" customFormat="1" ht="14.25" customHeight="1">
      <c r="A1460" s="624">
        <v>277</v>
      </c>
      <c r="B1460" s="625" t="e">
        <f>VLOOKUP(D1460,'[1]DS CN MOI UP'!$B$11:$C$447,2,0)</f>
        <v>#N/A</v>
      </c>
      <c r="C1460" s="639" t="s">
        <v>1455</v>
      </c>
      <c r="D1460" s="641" t="s">
        <v>1529</v>
      </c>
      <c r="E1460" s="630" t="s">
        <v>15</v>
      </c>
      <c r="F1460" s="630"/>
      <c r="G1460" s="635"/>
      <c r="H1460" s="635">
        <v>1239846.615</v>
      </c>
      <c r="I1460" s="655"/>
      <c r="J1460" s="635">
        <f t="shared" si="58"/>
        <v>1239846.615</v>
      </c>
      <c r="K1460" s="635"/>
      <c r="L1460" s="635"/>
      <c r="M1460" s="655">
        <f t="shared" si="57"/>
        <v>1239846.615</v>
      </c>
      <c r="N1460" s="61"/>
      <c r="O1460" s="636"/>
    </row>
    <row r="1461" spans="1:15" s="242" customFormat="1" ht="14.25" customHeight="1">
      <c r="A1461" s="624">
        <v>278</v>
      </c>
      <c r="B1461" s="625" t="e">
        <f>VLOOKUP(D1461,'[1]DS CN MOI UP'!$B$11:$C$447,2,0)</f>
        <v>#N/A</v>
      </c>
      <c r="C1461" s="639" t="s">
        <v>1455</v>
      </c>
      <c r="D1461" s="641" t="s">
        <v>1530</v>
      </c>
      <c r="E1461" s="630" t="s">
        <v>15</v>
      </c>
      <c r="F1461" s="630"/>
      <c r="G1461" s="635"/>
      <c r="H1461" s="635">
        <v>1239846.615</v>
      </c>
      <c r="I1461" s="655"/>
      <c r="J1461" s="635">
        <f t="shared" si="58"/>
        <v>1239846.615</v>
      </c>
      <c r="K1461" s="635"/>
      <c r="L1461" s="635"/>
      <c r="M1461" s="655">
        <f t="shared" si="57"/>
        <v>1239846.615</v>
      </c>
      <c r="N1461" s="61"/>
      <c r="O1461" s="636"/>
    </row>
    <row r="1462" spans="1:15" s="242" customFormat="1" ht="14.25" customHeight="1">
      <c r="A1462" s="624">
        <v>279</v>
      </c>
      <c r="B1462" s="625" t="e">
        <f>VLOOKUP(D1462,'[1]DS CN MOI UP'!$B$11:$C$447,2,0)</f>
        <v>#N/A</v>
      </c>
      <c r="C1462" s="639" t="s">
        <v>1455</v>
      </c>
      <c r="D1462" s="641" t="s">
        <v>1531</v>
      </c>
      <c r="E1462" s="630" t="s">
        <v>15</v>
      </c>
      <c r="F1462" s="630"/>
      <c r="G1462" s="635">
        <v>307426.05999999499</v>
      </c>
      <c r="H1462" s="635"/>
      <c r="I1462" s="655">
        <v>816498.40260060097</v>
      </c>
      <c r="J1462" s="635">
        <f t="shared" si="58"/>
        <v>1123924.462600596</v>
      </c>
      <c r="K1462" s="635"/>
      <c r="L1462" s="635"/>
      <c r="M1462" s="655">
        <f t="shared" si="57"/>
        <v>1123924.462600596</v>
      </c>
      <c r="N1462" s="61"/>
      <c r="O1462" s="636"/>
    </row>
    <row r="1463" spans="1:15" s="242" customFormat="1" ht="14.25" customHeight="1">
      <c r="A1463" s="624">
        <v>280</v>
      </c>
      <c r="B1463" s="625" t="e">
        <f>VLOOKUP(D1463,'[1]DS CN MOI UP'!$B$11:$C$447,2,0)</f>
        <v>#N/A</v>
      </c>
      <c r="C1463" s="626" t="s">
        <v>1390</v>
      </c>
      <c r="D1463" s="630" t="s">
        <v>1532</v>
      </c>
      <c r="E1463" s="630" t="s">
        <v>15</v>
      </c>
      <c r="F1463" s="630"/>
      <c r="G1463" s="655"/>
      <c r="H1463" s="655">
        <v>1239846.615</v>
      </c>
      <c r="I1463" s="655"/>
      <c r="J1463" s="635">
        <f t="shared" si="58"/>
        <v>1239846.615</v>
      </c>
      <c r="K1463" s="635"/>
      <c r="L1463" s="635"/>
      <c r="M1463" s="655">
        <f t="shared" si="57"/>
        <v>1239846.615</v>
      </c>
      <c r="N1463" s="61"/>
    </row>
    <row r="1464" spans="1:15" s="242" customFormat="1" ht="14.25" customHeight="1">
      <c r="A1464" s="624">
        <v>281</v>
      </c>
      <c r="B1464" s="625" t="e">
        <f>VLOOKUP(D1464,'[1]DS CN MOI UP'!$B$11:$C$447,2,0)</f>
        <v>#N/A</v>
      </c>
      <c r="C1464" s="626" t="s">
        <v>1391</v>
      </c>
      <c r="D1464" s="630" t="s">
        <v>1533</v>
      </c>
      <c r="E1464" s="630" t="s">
        <v>15</v>
      </c>
      <c r="F1464" s="630"/>
      <c r="G1464" s="655"/>
      <c r="H1464" s="655">
        <v>1149145.3259999999</v>
      </c>
      <c r="I1464" s="655"/>
      <c r="J1464" s="635">
        <f t="shared" si="58"/>
        <v>1149145.3259999999</v>
      </c>
      <c r="K1464" s="635"/>
      <c r="L1464" s="635"/>
      <c r="M1464" s="655">
        <f t="shared" si="57"/>
        <v>1149145.3259999999</v>
      </c>
      <c r="N1464" s="61"/>
    </row>
    <row r="1465" spans="1:15" s="242" customFormat="1" ht="14.25" customHeight="1">
      <c r="A1465" s="624">
        <v>282</v>
      </c>
      <c r="B1465" s="625" t="e">
        <f>VLOOKUP(D1465,'[1]DS CN MOI UP'!$B$11:$C$447,2,0)</f>
        <v>#N/A</v>
      </c>
      <c r="C1465" s="626" t="s">
        <v>1392</v>
      </c>
      <c r="D1465" s="630" t="s">
        <v>1534</v>
      </c>
      <c r="E1465" s="630" t="s">
        <v>15</v>
      </c>
      <c r="F1465" s="630"/>
      <c r="G1465" s="655"/>
      <c r="H1465" s="655">
        <v>1229038.53819991</v>
      </c>
      <c r="I1465" s="655"/>
      <c r="J1465" s="635">
        <f t="shared" si="58"/>
        <v>1229038.53819991</v>
      </c>
      <c r="K1465" s="635"/>
      <c r="L1465" s="635"/>
      <c r="M1465" s="655">
        <f t="shared" si="57"/>
        <v>1229038.53819991</v>
      </c>
      <c r="N1465" s="61"/>
    </row>
    <row r="1466" spans="1:15" s="242" customFormat="1" ht="14.25" customHeight="1">
      <c r="A1466" s="624">
        <v>283</v>
      </c>
      <c r="B1466" s="625" t="e">
        <f>VLOOKUP(D1466,'[1]DS CN MOI UP'!$B$11:$C$447,2,0)</f>
        <v>#N/A</v>
      </c>
      <c r="C1466" s="626" t="s">
        <v>1394</v>
      </c>
      <c r="D1466" s="630" t="s">
        <v>1535</v>
      </c>
      <c r="E1466" s="630" t="s">
        <v>15</v>
      </c>
      <c r="F1466" s="630"/>
      <c r="G1466" s="655"/>
      <c r="H1466" s="655">
        <v>1159179.5249999999</v>
      </c>
      <c r="I1466" s="655"/>
      <c r="J1466" s="635">
        <f t="shared" si="58"/>
        <v>1159179.5249999999</v>
      </c>
      <c r="K1466" s="635"/>
      <c r="L1466" s="635"/>
      <c r="M1466" s="655">
        <f t="shared" si="57"/>
        <v>1159179.5249999999</v>
      </c>
      <c r="N1466" s="61"/>
    </row>
    <row r="1467" spans="1:15" s="242" customFormat="1" ht="14.25" customHeight="1">
      <c r="A1467" s="624">
        <v>284</v>
      </c>
      <c r="B1467" s="625" t="e">
        <f>VLOOKUP(D1467,'[1]DS CN MOI UP'!$B$11:$C$447,2,0)</f>
        <v>#N/A</v>
      </c>
      <c r="C1467" s="626" t="s">
        <v>1396</v>
      </c>
      <c r="D1467" s="630" t="s">
        <v>1536</v>
      </c>
      <c r="E1467" s="630" t="s">
        <v>15</v>
      </c>
      <c r="F1467" s="630"/>
      <c r="G1467" s="655"/>
      <c r="H1467" s="655">
        <v>1239846.615</v>
      </c>
      <c r="I1467" s="655"/>
      <c r="J1467" s="635">
        <f t="shared" si="58"/>
        <v>1239846.615</v>
      </c>
      <c r="K1467" s="635"/>
      <c r="L1467" s="635"/>
      <c r="M1467" s="655">
        <f t="shared" si="57"/>
        <v>1239846.615</v>
      </c>
      <c r="N1467" s="61"/>
    </row>
    <row r="1468" spans="1:15" s="242" customFormat="1" ht="14.25" customHeight="1">
      <c r="A1468" s="624">
        <v>285</v>
      </c>
      <c r="B1468" s="625" t="e">
        <f>VLOOKUP(D1468,'[1]DS CN MOI UP'!$B$11:$C$447,2,0)</f>
        <v>#N/A</v>
      </c>
      <c r="C1468" s="626" t="s">
        <v>1398</v>
      </c>
      <c r="D1468" s="630" t="s">
        <v>1537</v>
      </c>
      <c r="E1468" s="630" t="s">
        <v>15</v>
      </c>
      <c r="F1468" s="630"/>
      <c r="G1468" s="655"/>
      <c r="H1468" s="655">
        <v>1149145.3259999999</v>
      </c>
      <c r="I1468" s="655"/>
      <c r="J1468" s="635">
        <f t="shared" si="58"/>
        <v>1149145.3259999999</v>
      </c>
      <c r="K1468" s="635"/>
      <c r="L1468" s="635"/>
      <c r="M1468" s="655">
        <f t="shared" si="57"/>
        <v>1149145.3259999999</v>
      </c>
      <c r="N1468" s="61"/>
    </row>
    <row r="1469" spans="1:15" s="242" customFormat="1" ht="14.25" customHeight="1">
      <c r="A1469" s="624">
        <v>286</v>
      </c>
      <c r="B1469" s="625" t="e">
        <f>VLOOKUP(D1469,'[1]DS CN MOI UP'!$B$11:$C$447,2,0)</f>
        <v>#N/A</v>
      </c>
      <c r="C1469" s="626" t="s">
        <v>1405</v>
      </c>
      <c r="D1469" s="630" t="s">
        <v>1538</v>
      </c>
      <c r="E1469" s="630" t="s">
        <v>15</v>
      </c>
      <c r="F1469" s="630"/>
      <c r="G1469" s="655"/>
      <c r="H1469" s="655">
        <v>1229038.53819991</v>
      </c>
      <c r="I1469" s="655"/>
      <c r="J1469" s="635">
        <f t="shared" si="58"/>
        <v>1229038.53819991</v>
      </c>
      <c r="K1469" s="635"/>
      <c r="L1469" s="635"/>
      <c r="M1469" s="655">
        <f t="shared" si="57"/>
        <v>1229038.53819991</v>
      </c>
      <c r="N1469" s="61"/>
    </row>
    <row r="1470" spans="1:15" s="242" customFormat="1" ht="14.25" customHeight="1">
      <c r="A1470" s="624">
        <v>287</v>
      </c>
      <c r="B1470" s="625" t="e">
        <f>VLOOKUP(D1470,'[1]DS CN MOI UP'!$B$11:$C$447,2,0)</f>
        <v>#N/A</v>
      </c>
      <c r="C1470" s="626" t="s">
        <v>1406</v>
      </c>
      <c r="D1470" s="630" t="s">
        <v>1539</v>
      </c>
      <c r="E1470" s="630" t="s">
        <v>15</v>
      </c>
      <c r="F1470" s="630"/>
      <c r="G1470" s="655"/>
      <c r="H1470" s="655">
        <v>1159179.5249999999</v>
      </c>
      <c r="I1470" s="655"/>
      <c r="J1470" s="635">
        <f t="shared" si="58"/>
        <v>1159179.5249999999</v>
      </c>
      <c r="K1470" s="635"/>
      <c r="L1470" s="635"/>
      <c r="M1470" s="655">
        <f t="shared" si="57"/>
        <v>1159179.5249999999</v>
      </c>
      <c r="N1470" s="61"/>
    </row>
    <row r="1471" spans="1:15" s="242" customFormat="1" ht="14.25" customHeight="1">
      <c r="A1471" s="624">
        <v>288</v>
      </c>
      <c r="B1471" s="625" t="e">
        <f>VLOOKUP(D1471,'[1]DS CN MOI UP'!$B$11:$C$447,2,0)</f>
        <v>#N/A</v>
      </c>
      <c r="C1471" s="626" t="s">
        <v>1408</v>
      </c>
      <c r="D1471" s="630" t="s">
        <v>1540</v>
      </c>
      <c r="E1471" s="630" t="s">
        <v>15</v>
      </c>
      <c r="F1471" s="630"/>
      <c r="G1471" s="655"/>
      <c r="H1471" s="655">
        <v>1239846.615</v>
      </c>
      <c r="I1471" s="655"/>
      <c r="J1471" s="635">
        <f t="shared" si="58"/>
        <v>1239846.615</v>
      </c>
      <c r="K1471" s="635"/>
      <c r="L1471" s="635"/>
      <c r="M1471" s="655">
        <f t="shared" si="57"/>
        <v>1239846.615</v>
      </c>
      <c r="N1471" s="61"/>
    </row>
    <row r="1472" spans="1:15" s="242" customFormat="1" ht="14.25" customHeight="1">
      <c r="A1472" s="624">
        <v>289</v>
      </c>
      <c r="B1472" s="625" t="e">
        <f>VLOOKUP(D1472,'[1]DS CN MOI UP'!$B$11:$C$447,2,0)</f>
        <v>#N/A</v>
      </c>
      <c r="C1472" s="626" t="s">
        <v>1410</v>
      </c>
      <c r="D1472" s="630" t="s">
        <v>1541</v>
      </c>
      <c r="E1472" s="630" t="s">
        <v>15</v>
      </c>
      <c r="F1472" s="630"/>
      <c r="G1472" s="655"/>
      <c r="H1472" s="655">
        <v>1149145.3259999999</v>
      </c>
      <c r="I1472" s="655"/>
      <c r="J1472" s="635">
        <f t="shared" si="58"/>
        <v>1149145.3259999999</v>
      </c>
      <c r="K1472" s="635"/>
      <c r="L1472" s="635"/>
      <c r="M1472" s="655">
        <f t="shared" si="57"/>
        <v>1149145.3259999999</v>
      </c>
      <c r="N1472" s="61"/>
    </row>
    <row r="1473" spans="1:14" s="242" customFormat="1" ht="14.25" customHeight="1">
      <c r="A1473" s="624">
        <v>290</v>
      </c>
      <c r="B1473" s="625" t="e">
        <f>VLOOKUP(D1473,'[1]DS CN MOI UP'!$B$11:$C$447,2,0)</f>
        <v>#N/A</v>
      </c>
      <c r="C1473" s="626" t="s">
        <v>1412</v>
      </c>
      <c r="D1473" s="630" t="s">
        <v>1542</v>
      </c>
      <c r="E1473" s="630" t="s">
        <v>15</v>
      </c>
      <c r="F1473" s="630"/>
      <c r="G1473" s="635"/>
      <c r="H1473" s="635">
        <v>1159179.5249999999</v>
      </c>
      <c r="I1473" s="655"/>
      <c r="J1473" s="635">
        <f t="shared" si="58"/>
        <v>1159179.5249999999</v>
      </c>
      <c r="K1473" s="635"/>
      <c r="L1473" s="635"/>
      <c r="M1473" s="655">
        <f t="shared" si="57"/>
        <v>1159179.5249999999</v>
      </c>
      <c r="N1473" s="61"/>
    </row>
    <row r="1474" spans="1:14" s="242" customFormat="1" ht="14.25" customHeight="1">
      <c r="A1474" s="624">
        <v>291</v>
      </c>
      <c r="B1474" s="625" t="e">
        <f>VLOOKUP(D1474,'[1]DS CN MOI UP'!$B$11:$C$447,2,0)</f>
        <v>#N/A</v>
      </c>
      <c r="C1474" s="626" t="s">
        <v>1413</v>
      </c>
      <c r="D1474" s="630" t="s">
        <v>759</v>
      </c>
      <c r="E1474" s="630" t="s">
        <v>15</v>
      </c>
      <c r="F1474" s="630"/>
      <c r="G1474" s="635"/>
      <c r="H1474" s="635">
        <v>1239846.615</v>
      </c>
      <c r="I1474" s="655"/>
      <c r="J1474" s="635">
        <f t="shared" si="58"/>
        <v>1239846.615</v>
      </c>
      <c r="K1474" s="635"/>
      <c r="L1474" s="635"/>
      <c r="M1474" s="655">
        <f t="shared" si="57"/>
        <v>1239846.615</v>
      </c>
      <c r="N1474" s="61"/>
    </row>
    <row r="1475" spans="1:14" s="242" customFormat="1" ht="14.25" customHeight="1">
      <c r="A1475" s="624">
        <v>292</v>
      </c>
      <c r="B1475" s="625" t="e">
        <f>VLOOKUP(D1475,'[1]DS CN MOI UP'!$B$11:$C$447,2,0)</f>
        <v>#N/A</v>
      </c>
      <c r="C1475" s="626" t="s">
        <v>1414</v>
      </c>
      <c r="D1475" s="630" t="s">
        <v>760</v>
      </c>
      <c r="E1475" s="630" t="s">
        <v>15</v>
      </c>
      <c r="F1475" s="630"/>
      <c r="G1475" s="635"/>
      <c r="H1475" s="635">
        <v>1149145.3259999999</v>
      </c>
      <c r="I1475" s="655"/>
      <c r="J1475" s="635">
        <f t="shared" si="58"/>
        <v>1149145.3259999999</v>
      </c>
      <c r="K1475" s="635"/>
      <c r="L1475" s="635"/>
      <c r="M1475" s="655">
        <f t="shared" si="57"/>
        <v>1149145.3259999999</v>
      </c>
      <c r="N1475" s="61"/>
    </row>
    <row r="1476" spans="1:14" s="242" customFormat="1" ht="14.25" customHeight="1">
      <c r="A1476" s="624">
        <v>293</v>
      </c>
      <c r="B1476" s="625" t="e">
        <f>VLOOKUP(D1476,'[1]DS CN MOI UP'!$B$11:$C$447,2,0)</f>
        <v>#N/A</v>
      </c>
      <c r="C1476" s="626" t="s">
        <v>1415</v>
      </c>
      <c r="D1476" s="630" t="s">
        <v>1464</v>
      </c>
      <c r="E1476" s="630" t="s">
        <v>15</v>
      </c>
      <c r="F1476" s="630"/>
      <c r="G1476" s="635"/>
      <c r="H1476" s="635">
        <v>1229038.53819991</v>
      </c>
      <c r="I1476" s="655"/>
      <c r="J1476" s="635">
        <f t="shared" si="58"/>
        <v>1229038.53819991</v>
      </c>
      <c r="K1476" s="635"/>
      <c r="L1476" s="635"/>
      <c r="M1476" s="655">
        <f t="shared" si="57"/>
        <v>1229038.53819991</v>
      </c>
      <c r="N1476" s="61"/>
    </row>
    <row r="1477" spans="1:14" s="242" customFormat="1" ht="14.25" customHeight="1">
      <c r="A1477" s="624">
        <v>294</v>
      </c>
      <c r="B1477" s="625" t="e">
        <f>VLOOKUP(D1477,'[1]DS CN MOI UP'!$B$11:$C$447,2,0)</f>
        <v>#N/A</v>
      </c>
      <c r="C1477" s="626" t="s">
        <v>1417</v>
      </c>
      <c r="D1477" s="630" t="s">
        <v>740</v>
      </c>
      <c r="E1477" s="630" t="s">
        <v>15</v>
      </c>
      <c r="F1477" s="630"/>
      <c r="G1477" s="635"/>
      <c r="H1477" s="635">
        <v>1159179.5249999999</v>
      </c>
      <c r="I1477" s="655"/>
      <c r="J1477" s="635">
        <f t="shared" si="58"/>
        <v>1159179.5249999999</v>
      </c>
      <c r="K1477" s="635"/>
      <c r="L1477" s="635"/>
      <c r="M1477" s="655">
        <f t="shared" si="57"/>
        <v>1159179.5249999999</v>
      </c>
      <c r="N1477" s="61"/>
    </row>
    <row r="1478" spans="1:14" s="242" customFormat="1" ht="14.25" customHeight="1">
      <c r="A1478" s="624">
        <v>295</v>
      </c>
      <c r="B1478" s="625" t="e">
        <f>VLOOKUP(D1478,'[1]DS CN MOI UP'!$B$11:$C$447,2,0)</f>
        <v>#N/A</v>
      </c>
      <c r="C1478" s="626" t="s">
        <v>1418</v>
      </c>
      <c r="D1478" s="630" t="s">
        <v>741</v>
      </c>
      <c r="E1478" s="630" t="s">
        <v>15</v>
      </c>
      <c r="F1478" s="630"/>
      <c r="G1478" s="635"/>
      <c r="H1478" s="635">
        <v>1239846.615</v>
      </c>
      <c r="I1478" s="655"/>
      <c r="J1478" s="635">
        <f t="shared" si="58"/>
        <v>1239846.615</v>
      </c>
      <c r="K1478" s="635"/>
      <c r="L1478" s="635"/>
      <c r="M1478" s="655">
        <f t="shared" si="57"/>
        <v>1239846.615</v>
      </c>
      <c r="N1478" s="61"/>
    </row>
    <row r="1479" spans="1:14" s="242" customFormat="1" ht="14.25" customHeight="1">
      <c r="A1479" s="624">
        <v>296</v>
      </c>
      <c r="B1479" s="625" t="e">
        <f>VLOOKUP(D1479,'[1]DS CN MOI UP'!$B$11:$C$447,2,0)</f>
        <v>#N/A</v>
      </c>
      <c r="C1479" s="626" t="s">
        <v>1420</v>
      </c>
      <c r="D1479" s="630" t="s">
        <v>1465</v>
      </c>
      <c r="E1479" s="630" t="s">
        <v>15</v>
      </c>
      <c r="F1479" s="630"/>
      <c r="G1479" s="635"/>
      <c r="H1479" s="635">
        <v>1149145.3259999999</v>
      </c>
      <c r="I1479" s="655"/>
      <c r="J1479" s="635">
        <f t="shared" si="58"/>
        <v>1149145.3259999999</v>
      </c>
      <c r="K1479" s="635"/>
      <c r="L1479" s="635"/>
      <c r="M1479" s="655">
        <f t="shared" si="57"/>
        <v>1149145.3259999999</v>
      </c>
      <c r="N1479" s="61"/>
    </row>
    <row r="1480" spans="1:14" s="242" customFormat="1" ht="14.25" customHeight="1">
      <c r="A1480" s="624">
        <v>297</v>
      </c>
      <c r="B1480" s="625" t="e">
        <f>VLOOKUP(D1480,'[1]DS CN MOI UP'!$B$11:$C$447,2,0)</f>
        <v>#N/A</v>
      </c>
      <c r="C1480" s="626" t="s">
        <v>1422</v>
      </c>
      <c r="D1480" s="630" t="s">
        <v>743</v>
      </c>
      <c r="E1480" s="630" t="s">
        <v>15</v>
      </c>
      <c r="F1480" s="630"/>
      <c r="G1480" s="635"/>
      <c r="H1480" s="635">
        <v>1229038.53819991</v>
      </c>
      <c r="I1480" s="655"/>
      <c r="J1480" s="635">
        <f t="shared" si="58"/>
        <v>1229038.53819991</v>
      </c>
      <c r="K1480" s="635"/>
      <c r="L1480" s="635"/>
      <c r="M1480" s="655">
        <f t="shared" si="57"/>
        <v>1229038.53819991</v>
      </c>
      <c r="N1480" s="61"/>
    </row>
    <row r="1481" spans="1:14" s="242" customFormat="1" ht="14.25" customHeight="1">
      <c r="A1481" s="624">
        <v>298</v>
      </c>
      <c r="B1481" s="625" t="e">
        <f>VLOOKUP(D1481,'[1]DS CN MOI UP'!$B$11:$C$447,2,0)</f>
        <v>#N/A</v>
      </c>
      <c r="C1481" s="626" t="s">
        <v>1424</v>
      </c>
      <c r="D1481" s="630" t="s">
        <v>1466</v>
      </c>
      <c r="E1481" s="630" t="s">
        <v>15</v>
      </c>
      <c r="F1481" s="630"/>
      <c r="G1481" s="635"/>
      <c r="H1481" s="635">
        <v>1159179.5249999999</v>
      </c>
      <c r="I1481" s="655"/>
      <c r="J1481" s="635">
        <f t="shared" si="58"/>
        <v>1159179.5249999999</v>
      </c>
      <c r="K1481" s="635"/>
      <c r="L1481" s="635"/>
      <c r="M1481" s="655">
        <f t="shared" si="57"/>
        <v>1159179.5249999999</v>
      </c>
      <c r="N1481" s="61"/>
    </row>
    <row r="1482" spans="1:14" s="242" customFormat="1" ht="14.25" customHeight="1">
      <c r="A1482" s="624">
        <v>299</v>
      </c>
      <c r="B1482" s="625" t="e">
        <f>VLOOKUP(D1482,'[1]DS CN MOI UP'!$B$11:$C$447,2,0)</f>
        <v>#N/A</v>
      </c>
      <c r="C1482" s="626" t="s">
        <v>1426</v>
      </c>
      <c r="D1482" s="630" t="s">
        <v>745</v>
      </c>
      <c r="E1482" s="630" t="s">
        <v>15</v>
      </c>
      <c r="F1482" s="630"/>
      <c r="G1482" s="635"/>
      <c r="H1482" s="635">
        <v>1239846.615</v>
      </c>
      <c r="I1482" s="655"/>
      <c r="J1482" s="635">
        <f t="shared" si="58"/>
        <v>1239846.615</v>
      </c>
      <c r="K1482" s="635"/>
      <c r="L1482" s="635"/>
      <c r="M1482" s="655">
        <f t="shared" si="57"/>
        <v>1239846.615</v>
      </c>
      <c r="N1482" s="61"/>
    </row>
    <row r="1483" spans="1:14" s="242" customFormat="1" ht="14.25" customHeight="1">
      <c r="A1483" s="624">
        <v>300</v>
      </c>
      <c r="B1483" s="625" t="e">
        <f>VLOOKUP(D1483,'[1]DS CN MOI UP'!$B$11:$C$447,2,0)</f>
        <v>#N/A</v>
      </c>
      <c r="C1483" s="626" t="s">
        <v>1428</v>
      </c>
      <c r="D1483" s="630" t="s">
        <v>1467</v>
      </c>
      <c r="E1483" s="630" t="s">
        <v>15</v>
      </c>
      <c r="F1483" s="630"/>
      <c r="G1483" s="635"/>
      <c r="H1483" s="635">
        <v>1149145.3259999999</v>
      </c>
      <c r="I1483" s="655"/>
      <c r="J1483" s="635">
        <f t="shared" si="58"/>
        <v>1149145.3259999999</v>
      </c>
      <c r="K1483" s="635"/>
      <c r="L1483" s="635"/>
      <c r="M1483" s="655">
        <f t="shared" si="57"/>
        <v>1149145.3259999999</v>
      </c>
      <c r="N1483" s="61"/>
    </row>
    <row r="1484" spans="1:14" s="242" customFormat="1" ht="14.25" customHeight="1">
      <c r="A1484" s="624">
        <v>301</v>
      </c>
      <c r="B1484" s="625" t="e">
        <f>VLOOKUP(D1484,'[1]DS CN MOI UP'!$B$11:$C$447,2,0)</f>
        <v>#N/A</v>
      </c>
      <c r="C1484" s="626" t="s">
        <v>1430</v>
      </c>
      <c r="D1484" s="630" t="s">
        <v>747</v>
      </c>
      <c r="E1484" s="630" t="s">
        <v>15</v>
      </c>
      <c r="F1484" s="630"/>
      <c r="G1484" s="635"/>
      <c r="H1484" s="635">
        <v>1159179.5249999999</v>
      </c>
      <c r="I1484" s="655"/>
      <c r="J1484" s="635">
        <f t="shared" si="58"/>
        <v>1159179.5249999999</v>
      </c>
      <c r="K1484" s="635"/>
      <c r="L1484" s="635"/>
      <c r="M1484" s="655">
        <f t="shared" si="57"/>
        <v>1159179.5249999999</v>
      </c>
      <c r="N1484" s="61"/>
    </row>
    <row r="1485" spans="1:14" s="242" customFormat="1" ht="14.25" customHeight="1">
      <c r="A1485" s="624">
        <v>302</v>
      </c>
      <c r="B1485" s="625" t="e">
        <f>VLOOKUP(D1485,'[1]DS CN MOI UP'!$B$11:$C$447,2,0)</f>
        <v>#N/A</v>
      </c>
      <c r="C1485" s="626" t="s">
        <v>1432</v>
      </c>
      <c r="D1485" s="630" t="s">
        <v>746</v>
      </c>
      <c r="E1485" s="630" t="s">
        <v>15</v>
      </c>
      <c r="F1485" s="630"/>
      <c r="G1485" s="635"/>
      <c r="H1485" s="635">
        <v>1239846.615</v>
      </c>
      <c r="I1485" s="655"/>
      <c r="J1485" s="635">
        <f t="shared" si="58"/>
        <v>1239846.615</v>
      </c>
      <c r="K1485" s="635"/>
      <c r="L1485" s="635"/>
      <c r="M1485" s="655">
        <f t="shared" si="57"/>
        <v>1239846.615</v>
      </c>
      <c r="N1485" s="61"/>
    </row>
    <row r="1486" spans="1:14" s="242" customFormat="1" ht="14.25" customHeight="1">
      <c r="A1486" s="624">
        <v>303</v>
      </c>
      <c r="B1486" s="625" t="e">
        <f>VLOOKUP(D1486,'[1]DS CN MOI UP'!$B$11:$C$447,2,0)</f>
        <v>#N/A</v>
      </c>
      <c r="C1486" s="626" t="s">
        <v>1433</v>
      </c>
      <c r="D1486" s="630" t="s">
        <v>749</v>
      </c>
      <c r="E1486" s="630" t="s">
        <v>15</v>
      </c>
      <c r="F1486" s="630"/>
      <c r="G1486" s="635"/>
      <c r="H1486" s="635">
        <v>1149145.3259999999</v>
      </c>
      <c r="I1486" s="655"/>
      <c r="J1486" s="635">
        <f t="shared" si="58"/>
        <v>1149145.3259999999</v>
      </c>
      <c r="K1486" s="635"/>
      <c r="L1486" s="635"/>
      <c r="M1486" s="655">
        <f t="shared" si="57"/>
        <v>1149145.3259999999</v>
      </c>
      <c r="N1486" s="61"/>
    </row>
    <row r="1487" spans="1:14" s="242" customFormat="1" ht="14.25" customHeight="1">
      <c r="A1487" s="624">
        <v>304</v>
      </c>
      <c r="B1487" s="625" t="e">
        <f>VLOOKUP(D1487,'[1]DS CN MOI UP'!$B$11:$C$447,2,0)</f>
        <v>#N/A</v>
      </c>
      <c r="C1487" s="626" t="s">
        <v>1434</v>
      </c>
      <c r="D1487" s="630" t="s">
        <v>1468</v>
      </c>
      <c r="E1487" s="630" t="s">
        <v>15</v>
      </c>
      <c r="F1487" s="630"/>
      <c r="G1487" s="635"/>
      <c r="H1487" s="635">
        <v>1229038.53819991</v>
      </c>
      <c r="I1487" s="655"/>
      <c r="J1487" s="635">
        <f t="shared" si="58"/>
        <v>1229038.53819991</v>
      </c>
      <c r="K1487" s="635"/>
      <c r="L1487" s="635"/>
      <c r="M1487" s="655">
        <f t="shared" si="57"/>
        <v>1229038.53819991</v>
      </c>
      <c r="N1487" s="61"/>
    </row>
    <row r="1488" spans="1:14" s="242" customFormat="1" ht="14.25" customHeight="1">
      <c r="A1488" s="624">
        <v>305</v>
      </c>
      <c r="B1488" s="625" t="e">
        <f>VLOOKUP(D1488,'[1]DS CN MOI UP'!$B$11:$C$447,2,0)</f>
        <v>#N/A</v>
      </c>
      <c r="C1488" s="626" t="s">
        <v>1436</v>
      </c>
      <c r="D1488" s="630" t="s">
        <v>751</v>
      </c>
      <c r="E1488" s="630" t="s">
        <v>15</v>
      </c>
      <c r="F1488" s="630"/>
      <c r="G1488" s="635"/>
      <c r="H1488" s="635">
        <v>1159179.5249999999</v>
      </c>
      <c r="I1488" s="655"/>
      <c r="J1488" s="635">
        <f t="shared" si="58"/>
        <v>1159179.5249999999</v>
      </c>
      <c r="K1488" s="635"/>
      <c r="L1488" s="635"/>
      <c r="M1488" s="655">
        <f t="shared" si="57"/>
        <v>1159179.5249999999</v>
      </c>
      <c r="N1488" s="61"/>
    </row>
    <row r="1489" spans="1:15" s="242" customFormat="1" ht="14.25" customHeight="1">
      <c r="A1489" s="624">
        <v>306</v>
      </c>
      <c r="B1489" s="625" t="e">
        <f>VLOOKUP(D1489,'[1]DS CN MOI UP'!$B$11:$C$447,2,0)</f>
        <v>#N/A</v>
      </c>
      <c r="C1489" s="626" t="s">
        <v>1437</v>
      </c>
      <c r="D1489" s="630" t="s">
        <v>752</v>
      </c>
      <c r="E1489" s="630" t="s">
        <v>15</v>
      </c>
      <c r="F1489" s="630"/>
      <c r="G1489" s="635"/>
      <c r="H1489" s="635">
        <v>1239846.615</v>
      </c>
      <c r="I1489" s="655"/>
      <c r="J1489" s="635">
        <f t="shared" si="58"/>
        <v>1239846.615</v>
      </c>
      <c r="K1489" s="635"/>
      <c r="L1489" s="635"/>
      <c r="M1489" s="655">
        <f t="shared" si="57"/>
        <v>1239846.615</v>
      </c>
      <c r="N1489" s="61"/>
    </row>
    <row r="1490" spans="1:15" s="242" customFormat="1" ht="14.25" customHeight="1">
      <c r="A1490" s="624">
        <v>307</v>
      </c>
      <c r="B1490" s="625" t="str">
        <f>VLOOKUP(D1490,'[1]DS CN MOI UP'!$B$11:$C$447,2,0)</f>
        <v>02605</v>
      </c>
      <c r="C1490" s="626" t="s">
        <v>1438</v>
      </c>
      <c r="D1490" s="630" t="s">
        <v>258</v>
      </c>
      <c r="E1490" s="630" t="s">
        <v>15</v>
      </c>
      <c r="F1490" s="630"/>
      <c r="G1490" s="635"/>
      <c r="H1490" s="635">
        <v>1149145.3259999999</v>
      </c>
      <c r="I1490" s="655"/>
      <c r="J1490" s="635">
        <f t="shared" si="58"/>
        <v>1149145.3259999999</v>
      </c>
      <c r="K1490" s="635"/>
      <c r="L1490" s="635"/>
      <c r="M1490" s="655">
        <f t="shared" si="57"/>
        <v>1149145.3259999999</v>
      </c>
      <c r="N1490" s="61"/>
    </row>
    <row r="1491" spans="1:15" s="242" customFormat="1" ht="14.25" customHeight="1">
      <c r="A1491" s="624">
        <v>308</v>
      </c>
      <c r="B1491" s="625" t="e">
        <f>VLOOKUP(D1491,'[1]DS CN MOI UP'!$B$11:$C$447,2,0)</f>
        <v>#N/A</v>
      </c>
      <c r="C1491" s="626" t="s">
        <v>1440</v>
      </c>
      <c r="D1491" s="630" t="s">
        <v>754</v>
      </c>
      <c r="E1491" s="630" t="s">
        <v>15</v>
      </c>
      <c r="F1491" s="630"/>
      <c r="G1491" s="635"/>
      <c r="H1491" s="635">
        <v>1229038.53819991</v>
      </c>
      <c r="I1491" s="655"/>
      <c r="J1491" s="635">
        <f t="shared" si="58"/>
        <v>1229038.53819991</v>
      </c>
      <c r="K1491" s="635"/>
      <c r="L1491" s="635"/>
      <c r="M1491" s="655">
        <f t="shared" si="57"/>
        <v>1229038.53819991</v>
      </c>
      <c r="N1491" s="61"/>
    </row>
    <row r="1492" spans="1:15" s="242" customFormat="1" ht="14.25" customHeight="1">
      <c r="A1492" s="624">
        <v>309</v>
      </c>
      <c r="B1492" s="625" t="e">
        <f>VLOOKUP(D1492,'[1]DS CN MOI UP'!$B$11:$C$447,2,0)</f>
        <v>#N/A</v>
      </c>
      <c r="C1492" s="626" t="s">
        <v>1442</v>
      </c>
      <c r="D1492" s="630" t="s">
        <v>1469</v>
      </c>
      <c r="E1492" s="630" t="s">
        <v>15</v>
      </c>
      <c r="F1492" s="630"/>
      <c r="G1492" s="635"/>
      <c r="H1492" s="635">
        <v>1159179.5249999999</v>
      </c>
      <c r="I1492" s="655"/>
      <c r="J1492" s="635">
        <f t="shared" si="58"/>
        <v>1159179.5249999999</v>
      </c>
      <c r="K1492" s="635"/>
      <c r="L1492" s="635"/>
      <c r="M1492" s="655">
        <f t="shared" si="57"/>
        <v>1159179.5249999999</v>
      </c>
      <c r="N1492" s="61"/>
    </row>
    <row r="1493" spans="1:15" s="242" customFormat="1" ht="14.25" customHeight="1">
      <c r="A1493" s="624">
        <v>310</v>
      </c>
      <c r="B1493" s="625" t="e">
        <f>VLOOKUP(D1493,'[1]DS CN MOI UP'!$B$11:$C$447,2,0)</f>
        <v>#N/A</v>
      </c>
      <c r="C1493" s="626" t="s">
        <v>1444</v>
      </c>
      <c r="D1493" s="630" t="s">
        <v>1470</v>
      </c>
      <c r="E1493" s="630" t="s">
        <v>15</v>
      </c>
      <c r="F1493" s="630"/>
      <c r="G1493" s="635"/>
      <c r="H1493" s="635">
        <v>1239846.615</v>
      </c>
      <c r="I1493" s="655"/>
      <c r="J1493" s="635">
        <f t="shared" si="58"/>
        <v>1239846.615</v>
      </c>
      <c r="K1493" s="635"/>
      <c r="L1493" s="635"/>
      <c r="M1493" s="655">
        <f t="shared" si="57"/>
        <v>1239846.615</v>
      </c>
      <c r="N1493" s="61"/>
    </row>
    <row r="1494" spans="1:15" s="242" customFormat="1" ht="14.25" customHeight="1">
      <c r="A1494" s="624">
        <v>311</v>
      </c>
      <c r="B1494" s="625" t="e">
        <f>VLOOKUP(D1494,'[1]DS CN MOI UP'!$B$11:$C$447,2,0)</f>
        <v>#N/A</v>
      </c>
      <c r="C1494" s="639" t="s">
        <v>1445</v>
      </c>
      <c r="D1494" s="630" t="s">
        <v>1471</v>
      </c>
      <c r="E1494" s="630" t="s">
        <v>15</v>
      </c>
      <c r="F1494" s="630"/>
      <c r="G1494" s="635"/>
      <c r="H1494" s="635">
        <v>1149145.3259999999</v>
      </c>
      <c r="I1494" s="655"/>
      <c r="J1494" s="635">
        <f t="shared" si="58"/>
        <v>1149145.3259999999</v>
      </c>
      <c r="K1494" s="635"/>
      <c r="L1494" s="635"/>
      <c r="M1494" s="655">
        <f t="shared" si="57"/>
        <v>1149145.3259999999</v>
      </c>
      <c r="N1494" s="61"/>
    </row>
    <row r="1495" spans="1:15" s="242" customFormat="1" ht="14.25" customHeight="1">
      <c r="A1495" s="624">
        <v>312</v>
      </c>
      <c r="B1495" s="625" t="e">
        <f>VLOOKUP(D1495,'[1]DS CN MOI UP'!$B$11:$C$447,2,0)</f>
        <v>#N/A</v>
      </c>
      <c r="C1495" s="639" t="s">
        <v>1447</v>
      </c>
      <c r="D1495" s="630" t="s">
        <v>1472</v>
      </c>
      <c r="E1495" s="630" t="s">
        <v>15</v>
      </c>
      <c r="F1495" s="630"/>
      <c r="G1495" s="635"/>
      <c r="H1495" s="635">
        <v>1159179.5249999999</v>
      </c>
      <c r="I1495" s="655"/>
      <c r="J1495" s="635">
        <f t="shared" si="58"/>
        <v>1159179.5249999999</v>
      </c>
      <c r="K1495" s="635"/>
      <c r="L1495" s="635"/>
      <c r="M1495" s="655">
        <f t="shared" si="57"/>
        <v>1159179.5249999999</v>
      </c>
      <c r="N1495" s="61"/>
    </row>
    <row r="1496" spans="1:15" s="242" customFormat="1" ht="14.25" customHeight="1">
      <c r="A1496" s="624">
        <v>313</v>
      </c>
      <c r="B1496" s="625" t="e">
        <f>VLOOKUP(D1496,'[1]DS CN MOI UP'!$B$11:$C$447,2,0)</f>
        <v>#N/A</v>
      </c>
      <c r="C1496" s="639" t="s">
        <v>1448</v>
      </c>
      <c r="D1496" s="630" t="s">
        <v>1473</v>
      </c>
      <c r="E1496" s="630" t="s">
        <v>15</v>
      </c>
      <c r="F1496" s="630"/>
      <c r="G1496" s="635"/>
      <c r="H1496" s="635">
        <v>1239846.615</v>
      </c>
      <c r="I1496" s="655"/>
      <c r="J1496" s="635">
        <f t="shared" si="58"/>
        <v>1239846.615</v>
      </c>
      <c r="K1496" s="635"/>
      <c r="L1496" s="635"/>
      <c r="M1496" s="655">
        <f t="shared" si="57"/>
        <v>1239846.615</v>
      </c>
      <c r="N1496" s="61"/>
    </row>
    <row r="1497" spans="1:15" s="242" customFormat="1" ht="14.25" customHeight="1">
      <c r="A1497" s="624">
        <v>314</v>
      </c>
      <c r="B1497" s="625" t="e">
        <f>VLOOKUP(D1497,'[1]DS CN MOI UP'!$B$11:$C$447,2,0)</f>
        <v>#N/A</v>
      </c>
      <c r="C1497" s="639" t="s">
        <v>1450</v>
      </c>
      <c r="D1497" s="630" t="s">
        <v>1474</v>
      </c>
      <c r="E1497" s="630" t="s">
        <v>15</v>
      </c>
      <c r="F1497" s="630"/>
      <c r="G1497" s="635"/>
      <c r="H1497" s="635">
        <v>1149145.3259999999</v>
      </c>
      <c r="I1497" s="655"/>
      <c r="J1497" s="635">
        <f t="shared" si="58"/>
        <v>1149145.3259999999</v>
      </c>
      <c r="K1497" s="635"/>
      <c r="L1497" s="635"/>
      <c r="M1497" s="655">
        <f t="shared" si="57"/>
        <v>1149145.3259999999</v>
      </c>
      <c r="N1497" s="61"/>
    </row>
    <row r="1498" spans="1:15" s="242" customFormat="1" ht="14.25" customHeight="1">
      <c r="A1498" s="624">
        <v>315</v>
      </c>
      <c r="B1498" s="625" t="e">
        <f>VLOOKUP(D1498,'[1]DS CN MOI UP'!$B$11:$C$447,2,0)</f>
        <v>#N/A</v>
      </c>
      <c r="C1498" s="639" t="s">
        <v>1451</v>
      </c>
      <c r="D1498" s="630" t="s">
        <v>1475</v>
      </c>
      <c r="E1498" s="630" t="s">
        <v>15</v>
      </c>
      <c r="F1498" s="630"/>
      <c r="G1498" s="635"/>
      <c r="H1498" s="635">
        <v>1229038.53819991</v>
      </c>
      <c r="I1498" s="655"/>
      <c r="J1498" s="635">
        <f t="shared" si="58"/>
        <v>1229038.53819991</v>
      </c>
      <c r="K1498" s="635"/>
      <c r="L1498" s="635"/>
      <c r="M1498" s="655">
        <f t="shared" si="57"/>
        <v>1229038.53819991</v>
      </c>
      <c r="N1498" s="61"/>
    </row>
    <row r="1499" spans="1:15" s="242" customFormat="1" ht="14.25" customHeight="1">
      <c r="A1499" s="624">
        <v>316</v>
      </c>
      <c r="B1499" s="625" t="e">
        <f>VLOOKUP(D1499,'[1]DS CN MOI UP'!$B$11:$C$447,2,0)</f>
        <v>#N/A</v>
      </c>
      <c r="C1499" s="639" t="s">
        <v>1453</v>
      </c>
      <c r="D1499" s="640" t="s">
        <v>1476</v>
      </c>
      <c r="E1499" s="630" t="s">
        <v>15</v>
      </c>
      <c r="F1499" s="630"/>
      <c r="G1499" s="635"/>
      <c r="H1499" s="635">
        <v>1159179.5249999999</v>
      </c>
      <c r="I1499" s="655"/>
      <c r="J1499" s="635">
        <f t="shared" si="58"/>
        <v>1159179.5249999999</v>
      </c>
      <c r="K1499" s="635"/>
      <c r="L1499" s="635"/>
      <c r="M1499" s="655">
        <f t="shared" si="57"/>
        <v>1159179.5249999999</v>
      </c>
      <c r="N1499" s="61"/>
    </row>
    <row r="1500" spans="1:15" s="242" customFormat="1" ht="14.25" customHeight="1">
      <c r="A1500" s="624">
        <v>317</v>
      </c>
      <c r="B1500" s="625" t="e">
        <f>VLOOKUP(D1500,'[1]DS CN MOI UP'!$B$11:$C$447,2,0)</f>
        <v>#N/A</v>
      </c>
      <c r="C1500" s="639" t="s">
        <v>1455</v>
      </c>
      <c r="D1500" s="641" t="s">
        <v>1477</v>
      </c>
      <c r="E1500" s="630" t="s">
        <v>15</v>
      </c>
      <c r="F1500" s="630"/>
      <c r="G1500" s="635"/>
      <c r="H1500" s="635">
        <v>1239846.615</v>
      </c>
      <c r="I1500" s="655"/>
      <c r="J1500" s="635">
        <f t="shared" si="58"/>
        <v>1239846.615</v>
      </c>
      <c r="K1500" s="635"/>
      <c r="L1500" s="635"/>
      <c r="M1500" s="655">
        <f t="shared" si="57"/>
        <v>1239846.615</v>
      </c>
      <c r="N1500" s="61"/>
      <c r="O1500" s="636"/>
    </row>
    <row r="1501" spans="1:15" s="242" customFormat="1" ht="14.25" customHeight="1">
      <c r="A1501" s="624">
        <v>318</v>
      </c>
      <c r="B1501" s="625" t="e">
        <f>VLOOKUP(D1501,'[1]DS CN MOI UP'!$B$11:$C$447,2,0)</f>
        <v>#N/A</v>
      </c>
      <c r="C1501" s="639" t="s">
        <v>1455</v>
      </c>
      <c r="D1501" s="641" t="s">
        <v>1478</v>
      </c>
      <c r="E1501" s="630" t="s">
        <v>15</v>
      </c>
      <c r="F1501" s="630"/>
      <c r="G1501" s="635"/>
      <c r="H1501" s="635">
        <v>1239846.615</v>
      </c>
      <c r="I1501" s="655"/>
      <c r="J1501" s="635">
        <f t="shared" si="58"/>
        <v>1239846.615</v>
      </c>
      <c r="K1501" s="635"/>
      <c r="L1501" s="635"/>
      <c r="M1501" s="655">
        <f t="shared" si="57"/>
        <v>1239846.615</v>
      </c>
      <c r="N1501" s="61"/>
      <c r="O1501" s="636"/>
    </row>
    <row r="1502" spans="1:15" s="242" customFormat="1" ht="14.25" customHeight="1">
      <c r="A1502" s="624">
        <v>319</v>
      </c>
      <c r="B1502" s="625" t="e">
        <f>VLOOKUP(D1502,'[1]DS CN MOI UP'!$B$11:$C$447,2,0)</f>
        <v>#N/A</v>
      </c>
      <c r="C1502" s="639" t="s">
        <v>1455</v>
      </c>
      <c r="D1502" s="641" t="s">
        <v>1479</v>
      </c>
      <c r="E1502" s="630" t="s">
        <v>15</v>
      </c>
      <c r="F1502" s="630"/>
      <c r="G1502" s="635">
        <v>200000</v>
      </c>
      <c r="H1502" s="635">
        <v>816498.40260060097</v>
      </c>
      <c r="I1502" s="655"/>
      <c r="J1502" s="635">
        <f t="shared" si="58"/>
        <v>1016498.402600601</v>
      </c>
      <c r="K1502" s="635"/>
      <c r="L1502" s="635"/>
      <c r="M1502" s="655">
        <f t="shared" si="57"/>
        <v>1016498.402600601</v>
      </c>
      <c r="N1502" s="61"/>
      <c r="O1502" s="636"/>
    </row>
    <row r="1503" spans="1:15" s="242" customFormat="1" ht="14.25" customHeight="1">
      <c r="A1503" s="624">
        <v>320</v>
      </c>
      <c r="B1503" s="625" t="e">
        <f>VLOOKUP(D1503,'[1]DS CN MOI UP'!$B$11:$C$447,2,0)</f>
        <v>#N/A</v>
      </c>
      <c r="C1503" s="626" t="s">
        <v>1390</v>
      </c>
      <c r="D1503" s="630" t="s">
        <v>1480</v>
      </c>
      <c r="E1503" s="630" t="s">
        <v>15</v>
      </c>
      <c r="F1503" s="630"/>
      <c r="G1503" s="655"/>
      <c r="H1503" s="655">
        <v>1239846.615</v>
      </c>
      <c r="I1503" s="655"/>
      <c r="J1503" s="635">
        <f t="shared" si="58"/>
        <v>1239846.615</v>
      </c>
      <c r="K1503" s="635"/>
      <c r="L1503" s="635"/>
      <c r="M1503" s="655">
        <f t="shared" si="57"/>
        <v>1239846.615</v>
      </c>
      <c r="N1503" s="61"/>
    </row>
    <row r="1504" spans="1:15" s="242" customFormat="1" ht="14.25" customHeight="1">
      <c r="A1504" s="624">
        <v>321</v>
      </c>
      <c r="B1504" s="625" t="e">
        <f>VLOOKUP(D1504,'[1]DS CN MOI UP'!$B$11:$C$447,2,0)</f>
        <v>#N/A</v>
      </c>
      <c r="C1504" s="626" t="s">
        <v>1391</v>
      </c>
      <c r="D1504" s="630" t="s">
        <v>1481</v>
      </c>
      <c r="E1504" s="630" t="s">
        <v>15</v>
      </c>
      <c r="F1504" s="630"/>
      <c r="G1504" s="655"/>
      <c r="H1504" s="655">
        <v>1149145.3259999999</v>
      </c>
      <c r="I1504" s="655"/>
      <c r="J1504" s="635">
        <f t="shared" si="58"/>
        <v>1149145.3259999999</v>
      </c>
      <c r="K1504" s="635"/>
      <c r="L1504" s="635"/>
      <c r="M1504" s="655">
        <f t="shared" si="57"/>
        <v>1149145.3259999999</v>
      </c>
      <c r="N1504" s="61"/>
    </row>
    <row r="1505" spans="1:14" s="242" customFormat="1" ht="14.25" customHeight="1">
      <c r="A1505" s="624">
        <v>322</v>
      </c>
      <c r="B1505" s="625" t="e">
        <f>VLOOKUP(D1505,'[1]DS CN MOI UP'!$B$11:$C$447,2,0)</f>
        <v>#N/A</v>
      </c>
      <c r="C1505" s="626" t="s">
        <v>1392</v>
      </c>
      <c r="D1505" s="630" t="s">
        <v>1482</v>
      </c>
      <c r="E1505" s="630" t="s">
        <v>15</v>
      </c>
      <c r="F1505" s="630"/>
      <c r="G1505" s="655"/>
      <c r="H1505" s="655">
        <v>1229038.53819991</v>
      </c>
      <c r="I1505" s="655"/>
      <c r="J1505" s="635">
        <f t="shared" si="58"/>
        <v>1229038.53819991</v>
      </c>
      <c r="K1505" s="635"/>
      <c r="L1505" s="635"/>
      <c r="M1505" s="655">
        <f t="shared" si="57"/>
        <v>1229038.53819991</v>
      </c>
      <c r="N1505" s="61"/>
    </row>
    <row r="1506" spans="1:14" s="242" customFormat="1" ht="14.25" customHeight="1">
      <c r="A1506" s="624">
        <v>323</v>
      </c>
      <c r="B1506" s="625" t="e">
        <f>VLOOKUP(D1506,'[1]DS CN MOI UP'!$B$11:$C$447,2,0)</f>
        <v>#N/A</v>
      </c>
      <c r="C1506" s="626" t="s">
        <v>1394</v>
      </c>
      <c r="D1506" s="630" t="s">
        <v>1483</v>
      </c>
      <c r="E1506" s="630" t="s">
        <v>15</v>
      </c>
      <c r="F1506" s="630"/>
      <c r="G1506" s="655"/>
      <c r="H1506" s="655">
        <v>1159179.5249999999</v>
      </c>
      <c r="I1506" s="655"/>
      <c r="J1506" s="635">
        <f t="shared" si="58"/>
        <v>1159179.5249999999</v>
      </c>
      <c r="K1506" s="635"/>
      <c r="L1506" s="635"/>
      <c r="M1506" s="655">
        <f t="shared" si="57"/>
        <v>1159179.5249999999</v>
      </c>
      <c r="N1506" s="61"/>
    </row>
    <row r="1507" spans="1:14" s="242" customFormat="1" ht="14.25" customHeight="1">
      <c r="A1507" s="624">
        <v>324</v>
      </c>
      <c r="B1507" s="625" t="e">
        <f>VLOOKUP(D1507,'[1]DS CN MOI UP'!$B$11:$C$447,2,0)</f>
        <v>#N/A</v>
      </c>
      <c r="C1507" s="626" t="s">
        <v>1396</v>
      </c>
      <c r="D1507" s="630" t="s">
        <v>1484</v>
      </c>
      <c r="E1507" s="630" t="s">
        <v>15</v>
      </c>
      <c r="F1507" s="630"/>
      <c r="G1507" s="655"/>
      <c r="H1507" s="655">
        <v>1239846.615</v>
      </c>
      <c r="I1507" s="655"/>
      <c r="J1507" s="635">
        <f t="shared" si="58"/>
        <v>1239846.615</v>
      </c>
      <c r="K1507" s="635"/>
      <c r="L1507" s="635"/>
      <c r="M1507" s="655">
        <f t="shared" si="57"/>
        <v>1239846.615</v>
      </c>
      <c r="N1507" s="61"/>
    </row>
    <row r="1508" spans="1:14" s="242" customFormat="1" ht="14.25" customHeight="1">
      <c r="A1508" s="624">
        <v>325</v>
      </c>
      <c r="B1508" s="625" t="e">
        <f>VLOOKUP(D1508,'[1]DS CN MOI UP'!$B$11:$C$447,2,0)</f>
        <v>#N/A</v>
      </c>
      <c r="C1508" s="626" t="s">
        <v>1398</v>
      </c>
      <c r="D1508" s="630" t="s">
        <v>1485</v>
      </c>
      <c r="E1508" s="630" t="s">
        <v>15</v>
      </c>
      <c r="F1508" s="630"/>
      <c r="G1508" s="655"/>
      <c r="H1508" s="655">
        <v>1149145.3259999999</v>
      </c>
      <c r="I1508" s="655"/>
      <c r="J1508" s="635">
        <f t="shared" si="58"/>
        <v>1149145.3259999999</v>
      </c>
      <c r="K1508" s="635"/>
      <c r="L1508" s="635"/>
      <c r="M1508" s="655">
        <f t="shared" si="57"/>
        <v>1149145.3259999999</v>
      </c>
      <c r="N1508" s="61"/>
    </row>
    <row r="1509" spans="1:14" s="242" customFormat="1" ht="14.25" customHeight="1">
      <c r="A1509" s="624">
        <v>326</v>
      </c>
      <c r="B1509" s="625" t="e">
        <f>VLOOKUP(D1509,'[1]DS CN MOI UP'!$B$11:$C$447,2,0)</f>
        <v>#N/A</v>
      </c>
      <c r="C1509" s="626" t="s">
        <v>1405</v>
      </c>
      <c r="D1509" s="630" t="s">
        <v>1486</v>
      </c>
      <c r="E1509" s="630" t="s">
        <v>15</v>
      </c>
      <c r="F1509" s="630"/>
      <c r="G1509" s="655"/>
      <c r="H1509" s="655">
        <v>1229038.53819991</v>
      </c>
      <c r="I1509" s="655"/>
      <c r="J1509" s="635">
        <f t="shared" si="58"/>
        <v>1229038.53819991</v>
      </c>
      <c r="K1509" s="635"/>
      <c r="L1509" s="635"/>
      <c r="M1509" s="655">
        <f t="shared" si="57"/>
        <v>1229038.53819991</v>
      </c>
      <c r="N1509" s="61"/>
    </row>
    <row r="1510" spans="1:14" s="242" customFormat="1" ht="14.25" customHeight="1">
      <c r="A1510" s="624">
        <v>327</v>
      </c>
      <c r="B1510" s="625" t="e">
        <f>VLOOKUP(D1510,'[1]DS CN MOI UP'!$B$11:$C$447,2,0)</f>
        <v>#N/A</v>
      </c>
      <c r="C1510" s="626" t="s">
        <v>1406</v>
      </c>
      <c r="D1510" s="630" t="s">
        <v>1487</v>
      </c>
      <c r="E1510" s="630" t="s">
        <v>15</v>
      </c>
      <c r="F1510" s="630"/>
      <c r="G1510" s="655"/>
      <c r="H1510" s="655">
        <v>1159179.5249999999</v>
      </c>
      <c r="I1510" s="655"/>
      <c r="J1510" s="635">
        <f t="shared" si="58"/>
        <v>1159179.5249999999</v>
      </c>
      <c r="K1510" s="635"/>
      <c r="L1510" s="635"/>
      <c r="M1510" s="655">
        <f t="shared" si="57"/>
        <v>1159179.5249999999</v>
      </c>
      <c r="N1510" s="61"/>
    </row>
    <row r="1511" spans="1:14" s="242" customFormat="1" ht="14.25" customHeight="1">
      <c r="A1511" s="624">
        <v>328</v>
      </c>
      <c r="B1511" s="625" t="e">
        <f>VLOOKUP(D1511,'[1]DS CN MOI UP'!$B$11:$C$447,2,0)</f>
        <v>#N/A</v>
      </c>
      <c r="C1511" s="626" t="s">
        <v>1408</v>
      </c>
      <c r="D1511" s="630" t="s">
        <v>1489</v>
      </c>
      <c r="E1511" s="630" t="s">
        <v>15</v>
      </c>
      <c r="F1511" s="630"/>
      <c r="G1511" s="655"/>
      <c r="H1511" s="655">
        <v>1239846.615</v>
      </c>
      <c r="I1511" s="655"/>
      <c r="J1511" s="635">
        <f t="shared" si="58"/>
        <v>1239846.615</v>
      </c>
      <c r="K1511" s="635"/>
      <c r="L1511" s="635"/>
      <c r="M1511" s="655">
        <f t="shared" si="57"/>
        <v>1239846.615</v>
      </c>
      <c r="N1511" s="61"/>
    </row>
    <row r="1512" spans="1:14" s="242" customFormat="1" ht="14.25" customHeight="1">
      <c r="A1512" s="624">
        <v>329</v>
      </c>
      <c r="B1512" s="625" t="e">
        <f>VLOOKUP(D1512,'[1]DS CN MOI UP'!$B$11:$C$447,2,0)</f>
        <v>#N/A</v>
      </c>
      <c r="C1512" s="626" t="s">
        <v>1410</v>
      </c>
      <c r="D1512" s="630" t="s">
        <v>1490</v>
      </c>
      <c r="E1512" s="630" t="s">
        <v>15</v>
      </c>
      <c r="F1512" s="630"/>
      <c r="G1512" s="655"/>
      <c r="H1512" s="655">
        <v>1149145.3259999999</v>
      </c>
      <c r="I1512" s="655"/>
      <c r="J1512" s="635">
        <f t="shared" si="58"/>
        <v>1149145.3259999999</v>
      </c>
      <c r="K1512" s="635"/>
      <c r="L1512" s="635"/>
      <c r="M1512" s="655">
        <f t="shared" si="57"/>
        <v>1149145.3259999999</v>
      </c>
      <c r="N1512" s="61"/>
    </row>
    <row r="1513" spans="1:14" s="242" customFormat="1" ht="14.25" customHeight="1">
      <c r="A1513" s="624">
        <v>330</v>
      </c>
      <c r="B1513" s="625" t="e">
        <f>VLOOKUP(D1513,'[1]DS CN MOI UP'!$B$11:$C$447,2,0)</f>
        <v>#N/A</v>
      </c>
      <c r="C1513" s="626" t="s">
        <v>1412</v>
      </c>
      <c r="D1513" s="630" t="s">
        <v>1491</v>
      </c>
      <c r="E1513" s="630" t="s">
        <v>15</v>
      </c>
      <c r="F1513" s="630"/>
      <c r="G1513" s="635"/>
      <c r="H1513" s="635">
        <v>1159179.5249999999</v>
      </c>
      <c r="I1513" s="655"/>
      <c r="J1513" s="635">
        <f t="shared" si="58"/>
        <v>1159179.5249999999</v>
      </c>
      <c r="K1513" s="635"/>
      <c r="L1513" s="635"/>
      <c r="M1513" s="655">
        <f t="shared" si="57"/>
        <v>1159179.5249999999</v>
      </c>
      <c r="N1513" s="61"/>
    </row>
    <row r="1514" spans="1:14" s="242" customFormat="1" ht="14.25" customHeight="1">
      <c r="A1514" s="624">
        <v>331</v>
      </c>
      <c r="B1514" s="625" t="e">
        <f>VLOOKUP(D1514,'[1]DS CN MOI UP'!$B$11:$C$447,2,0)</f>
        <v>#N/A</v>
      </c>
      <c r="C1514" s="626" t="s">
        <v>1413</v>
      </c>
      <c r="D1514" s="630" t="s">
        <v>1492</v>
      </c>
      <c r="E1514" s="630" t="s">
        <v>15</v>
      </c>
      <c r="F1514" s="630"/>
      <c r="G1514" s="635"/>
      <c r="H1514" s="635">
        <v>1239846.615</v>
      </c>
      <c r="I1514" s="655"/>
      <c r="J1514" s="635">
        <f t="shared" si="58"/>
        <v>1239846.615</v>
      </c>
      <c r="K1514" s="635"/>
      <c r="L1514" s="635"/>
      <c r="M1514" s="655">
        <f t="shared" si="57"/>
        <v>1239846.615</v>
      </c>
      <c r="N1514" s="61"/>
    </row>
    <row r="1515" spans="1:14" s="242" customFormat="1" ht="14.25" customHeight="1">
      <c r="A1515" s="624">
        <v>332</v>
      </c>
      <c r="B1515" s="625" t="e">
        <f>VLOOKUP(D1515,'[1]DS CN MOI UP'!$B$11:$C$447,2,0)</f>
        <v>#N/A</v>
      </c>
      <c r="C1515" s="626" t="s">
        <v>1414</v>
      </c>
      <c r="D1515" s="630" t="s">
        <v>1493</v>
      </c>
      <c r="E1515" s="630" t="s">
        <v>15</v>
      </c>
      <c r="F1515" s="630"/>
      <c r="G1515" s="635"/>
      <c r="H1515" s="635">
        <v>1149145.3259999999</v>
      </c>
      <c r="I1515" s="655"/>
      <c r="J1515" s="635">
        <f t="shared" si="58"/>
        <v>1149145.3259999999</v>
      </c>
      <c r="K1515" s="635"/>
      <c r="L1515" s="635"/>
      <c r="M1515" s="655">
        <f t="shared" si="57"/>
        <v>1149145.3259999999</v>
      </c>
      <c r="N1515" s="61"/>
    </row>
    <row r="1516" spans="1:14" s="242" customFormat="1" ht="14.25" customHeight="1">
      <c r="A1516" s="624">
        <v>333</v>
      </c>
      <c r="B1516" s="625" t="e">
        <f>VLOOKUP(D1516,'[1]DS CN MOI UP'!$B$11:$C$447,2,0)</f>
        <v>#N/A</v>
      </c>
      <c r="C1516" s="626" t="s">
        <v>1415</v>
      </c>
      <c r="D1516" s="630" t="s">
        <v>1494</v>
      </c>
      <c r="E1516" s="630" t="s">
        <v>15</v>
      </c>
      <c r="F1516" s="630"/>
      <c r="G1516" s="635"/>
      <c r="H1516" s="635">
        <v>1229038.53819991</v>
      </c>
      <c r="I1516" s="655"/>
      <c r="J1516" s="635">
        <f t="shared" si="58"/>
        <v>1229038.53819991</v>
      </c>
      <c r="K1516" s="635"/>
      <c r="L1516" s="635"/>
      <c r="M1516" s="655">
        <f t="shared" si="57"/>
        <v>1229038.53819991</v>
      </c>
      <c r="N1516" s="61"/>
    </row>
    <row r="1517" spans="1:14" s="242" customFormat="1" ht="14.25" customHeight="1">
      <c r="A1517" s="624">
        <v>334</v>
      </c>
      <c r="B1517" s="625" t="e">
        <f>VLOOKUP(D1517,'[1]DS CN MOI UP'!$B$11:$C$447,2,0)</f>
        <v>#N/A</v>
      </c>
      <c r="C1517" s="626" t="s">
        <v>1417</v>
      </c>
      <c r="D1517" s="630" t="s">
        <v>1495</v>
      </c>
      <c r="E1517" s="630" t="s">
        <v>15</v>
      </c>
      <c r="F1517" s="630"/>
      <c r="G1517" s="635"/>
      <c r="H1517" s="635">
        <v>1159179.5249999999</v>
      </c>
      <c r="I1517" s="655"/>
      <c r="J1517" s="635">
        <f t="shared" si="58"/>
        <v>1159179.5249999999</v>
      </c>
      <c r="K1517" s="635"/>
      <c r="L1517" s="635"/>
      <c r="M1517" s="655">
        <f t="shared" si="57"/>
        <v>1159179.5249999999</v>
      </c>
      <c r="N1517" s="61"/>
    </row>
    <row r="1518" spans="1:14" s="242" customFormat="1" ht="14.25" customHeight="1">
      <c r="A1518" s="624">
        <v>335</v>
      </c>
      <c r="B1518" s="625" t="e">
        <f>VLOOKUP(D1518,'[1]DS CN MOI UP'!$B$11:$C$447,2,0)</f>
        <v>#N/A</v>
      </c>
      <c r="C1518" s="626" t="s">
        <v>1418</v>
      </c>
      <c r="D1518" s="630" t="s">
        <v>1496</v>
      </c>
      <c r="E1518" s="630" t="s">
        <v>15</v>
      </c>
      <c r="F1518" s="630"/>
      <c r="G1518" s="635"/>
      <c r="H1518" s="635">
        <v>1239846.615</v>
      </c>
      <c r="I1518" s="655"/>
      <c r="J1518" s="635">
        <f t="shared" si="58"/>
        <v>1239846.615</v>
      </c>
      <c r="K1518" s="635"/>
      <c r="L1518" s="635"/>
      <c r="M1518" s="655">
        <f t="shared" si="57"/>
        <v>1239846.615</v>
      </c>
      <c r="N1518" s="61"/>
    </row>
    <row r="1519" spans="1:14" s="242" customFormat="1" ht="14.25" customHeight="1">
      <c r="A1519" s="624">
        <v>336</v>
      </c>
      <c r="B1519" s="625" t="e">
        <f>VLOOKUP(D1519,'[1]DS CN MOI UP'!$B$11:$C$447,2,0)</f>
        <v>#N/A</v>
      </c>
      <c r="C1519" s="626" t="s">
        <v>1420</v>
      </c>
      <c r="D1519" s="630" t="s">
        <v>1497</v>
      </c>
      <c r="E1519" s="630" t="s">
        <v>15</v>
      </c>
      <c r="F1519" s="630"/>
      <c r="G1519" s="635"/>
      <c r="H1519" s="635">
        <v>1149145.3259999999</v>
      </c>
      <c r="I1519" s="655"/>
      <c r="J1519" s="635">
        <f t="shared" si="58"/>
        <v>1149145.3259999999</v>
      </c>
      <c r="K1519" s="635"/>
      <c r="L1519" s="635"/>
      <c r="M1519" s="655">
        <f t="shared" si="57"/>
        <v>1149145.3259999999</v>
      </c>
      <c r="N1519" s="61"/>
    </row>
    <row r="1520" spans="1:14" s="242" customFormat="1" ht="14.25" customHeight="1">
      <c r="A1520" s="624">
        <v>337</v>
      </c>
      <c r="B1520" s="625" t="e">
        <f>VLOOKUP(D1520,'[1]DS CN MOI UP'!$B$11:$C$447,2,0)</f>
        <v>#N/A</v>
      </c>
      <c r="C1520" s="626" t="s">
        <v>1422</v>
      </c>
      <c r="D1520" s="630" t="s">
        <v>1498</v>
      </c>
      <c r="E1520" s="630" t="s">
        <v>15</v>
      </c>
      <c r="F1520" s="630"/>
      <c r="G1520" s="635"/>
      <c r="H1520" s="635">
        <v>1229038.53819991</v>
      </c>
      <c r="I1520" s="655"/>
      <c r="J1520" s="635">
        <f t="shared" si="58"/>
        <v>1229038.53819991</v>
      </c>
      <c r="K1520" s="635"/>
      <c r="L1520" s="635"/>
      <c r="M1520" s="655">
        <f t="shared" si="57"/>
        <v>1229038.53819991</v>
      </c>
      <c r="N1520" s="61"/>
    </row>
    <row r="1521" spans="1:14" s="242" customFormat="1" ht="14.25" customHeight="1">
      <c r="A1521" s="624">
        <v>338</v>
      </c>
      <c r="B1521" s="625" t="e">
        <f>VLOOKUP(D1521,'[1]DS CN MOI UP'!$B$11:$C$447,2,0)</f>
        <v>#N/A</v>
      </c>
      <c r="C1521" s="626" t="s">
        <v>1424</v>
      </c>
      <c r="D1521" s="630" t="s">
        <v>1499</v>
      </c>
      <c r="E1521" s="630" t="s">
        <v>15</v>
      </c>
      <c r="F1521" s="630"/>
      <c r="G1521" s="635"/>
      <c r="H1521" s="635">
        <v>1159179.5249999999</v>
      </c>
      <c r="I1521" s="655"/>
      <c r="J1521" s="635">
        <f t="shared" si="58"/>
        <v>1159179.5249999999</v>
      </c>
      <c r="K1521" s="635"/>
      <c r="L1521" s="635"/>
      <c r="M1521" s="655">
        <f t="shared" si="57"/>
        <v>1159179.5249999999</v>
      </c>
      <c r="N1521" s="61"/>
    </row>
    <row r="1522" spans="1:14" s="242" customFormat="1" ht="14.25" customHeight="1">
      <c r="A1522" s="624">
        <v>339</v>
      </c>
      <c r="B1522" s="625" t="e">
        <f>VLOOKUP(D1522,'[1]DS CN MOI UP'!$B$11:$C$447,2,0)</f>
        <v>#N/A</v>
      </c>
      <c r="C1522" s="626" t="s">
        <v>1426</v>
      </c>
      <c r="D1522" s="630" t="s">
        <v>755</v>
      </c>
      <c r="E1522" s="630" t="s">
        <v>15</v>
      </c>
      <c r="F1522" s="630"/>
      <c r="G1522" s="635"/>
      <c r="H1522" s="635">
        <v>1239846.615</v>
      </c>
      <c r="I1522" s="655"/>
      <c r="J1522" s="635">
        <f t="shared" si="58"/>
        <v>1239846.615</v>
      </c>
      <c r="K1522" s="635"/>
      <c r="L1522" s="635"/>
      <c r="M1522" s="655">
        <f t="shared" si="57"/>
        <v>1239846.615</v>
      </c>
      <c r="N1522" s="61"/>
    </row>
    <row r="1523" spans="1:14" s="242" customFormat="1" ht="14.25" customHeight="1">
      <c r="A1523" s="624">
        <v>340</v>
      </c>
      <c r="B1523" s="625" t="e">
        <f>VLOOKUP(D1523,'[1]DS CN MOI UP'!$B$11:$C$447,2,0)</f>
        <v>#N/A</v>
      </c>
      <c r="C1523" s="626" t="s">
        <v>1428</v>
      </c>
      <c r="D1523" s="630" t="s">
        <v>756</v>
      </c>
      <c r="E1523" s="630" t="s">
        <v>15</v>
      </c>
      <c r="F1523" s="630"/>
      <c r="G1523" s="635"/>
      <c r="H1523" s="635">
        <v>1149145.3259999999</v>
      </c>
      <c r="I1523" s="655"/>
      <c r="J1523" s="635">
        <f t="shared" si="58"/>
        <v>1149145.3259999999</v>
      </c>
      <c r="K1523" s="635"/>
      <c r="L1523" s="635"/>
      <c r="M1523" s="655">
        <f t="shared" si="57"/>
        <v>1149145.3259999999</v>
      </c>
      <c r="N1523" s="61"/>
    </row>
    <row r="1524" spans="1:14" s="242" customFormat="1" ht="14.25" customHeight="1">
      <c r="A1524" s="624">
        <v>341</v>
      </c>
      <c r="B1524" s="625" t="e">
        <f>VLOOKUP(D1524,'[1]DS CN MOI UP'!$B$11:$C$447,2,0)</f>
        <v>#N/A</v>
      </c>
      <c r="C1524" s="626" t="s">
        <v>1430</v>
      </c>
      <c r="D1524" s="630" t="s">
        <v>1500</v>
      </c>
      <c r="E1524" s="630" t="s">
        <v>15</v>
      </c>
      <c r="F1524" s="630"/>
      <c r="G1524" s="635"/>
      <c r="H1524" s="635">
        <v>1159179.5249999999</v>
      </c>
      <c r="I1524" s="655"/>
      <c r="J1524" s="635">
        <f t="shared" si="58"/>
        <v>1159179.5249999999</v>
      </c>
      <c r="K1524" s="635"/>
      <c r="L1524" s="635"/>
      <c r="M1524" s="655">
        <f t="shared" si="57"/>
        <v>1159179.5249999999</v>
      </c>
      <c r="N1524" s="61"/>
    </row>
    <row r="1525" spans="1:14" s="242" customFormat="1" ht="14.25" customHeight="1">
      <c r="A1525" s="624">
        <v>342</v>
      </c>
      <c r="B1525" s="625" t="str">
        <f>VLOOKUP(D1525,'[1]DS CN MOI UP'!$B$11:$C$447,2,0)</f>
        <v>02495</v>
      </c>
      <c r="C1525" s="626" t="s">
        <v>1432</v>
      </c>
      <c r="D1525" s="630" t="s">
        <v>120</v>
      </c>
      <c r="E1525" s="630" t="s">
        <v>15</v>
      </c>
      <c r="F1525" s="630"/>
      <c r="G1525" s="635"/>
      <c r="H1525" s="635">
        <v>1239846.615</v>
      </c>
      <c r="I1525" s="655"/>
      <c r="J1525" s="635">
        <f t="shared" si="58"/>
        <v>1239846.615</v>
      </c>
      <c r="K1525" s="635"/>
      <c r="L1525" s="635"/>
      <c r="M1525" s="655">
        <f t="shared" si="57"/>
        <v>1239846.615</v>
      </c>
      <c r="N1525" s="61"/>
    </row>
    <row r="1526" spans="1:14" s="242" customFormat="1" ht="14.25" customHeight="1">
      <c r="A1526" s="624">
        <v>343</v>
      </c>
      <c r="B1526" s="625" t="str">
        <f>VLOOKUP(D1526,'[1]DS CN MOI UP'!$B$11:$C$447,2,0)</f>
        <v>02505</v>
      </c>
      <c r="C1526" s="626" t="s">
        <v>1433</v>
      </c>
      <c r="D1526" s="630" t="s">
        <v>117</v>
      </c>
      <c r="E1526" s="630" t="s">
        <v>15</v>
      </c>
      <c r="F1526" s="630"/>
      <c r="G1526" s="635"/>
      <c r="H1526" s="635">
        <v>1149145.3259999999</v>
      </c>
      <c r="I1526" s="655"/>
      <c r="J1526" s="635">
        <f t="shared" si="58"/>
        <v>1149145.3259999999</v>
      </c>
      <c r="K1526" s="635"/>
      <c r="L1526" s="635"/>
      <c r="M1526" s="655">
        <f t="shared" si="57"/>
        <v>1149145.3259999999</v>
      </c>
      <c r="N1526" s="61"/>
    </row>
    <row r="1527" spans="1:14" s="242" customFormat="1" ht="14.25" customHeight="1">
      <c r="A1527" s="624">
        <v>344</v>
      </c>
      <c r="B1527" s="625" t="str">
        <f>VLOOKUP(D1527,'[1]DS CN MOI UP'!$B$11:$C$447,2,0)</f>
        <v>02516</v>
      </c>
      <c r="C1527" s="626" t="s">
        <v>1434</v>
      </c>
      <c r="D1527" s="630" t="s">
        <v>122</v>
      </c>
      <c r="E1527" s="630" t="s">
        <v>15</v>
      </c>
      <c r="F1527" s="630"/>
      <c r="G1527" s="635"/>
      <c r="H1527" s="635">
        <v>1229038.53819991</v>
      </c>
      <c r="I1527" s="655"/>
      <c r="J1527" s="635">
        <f t="shared" si="58"/>
        <v>1229038.53819991</v>
      </c>
      <c r="K1527" s="635"/>
      <c r="L1527" s="635"/>
      <c r="M1527" s="655">
        <f t="shared" si="57"/>
        <v>1229038.53819991</v>
      </c>
      <c r="N1527" s="61"/>
    </row>
    <row r="1528" spans="1:14" s="242" customFormat="1" ht="14.25" customHeight="1">
      <c r="A1528" s="624">
        <v>345</v>
      </c>
      <c r="B1528" s="625" t="str">
        <f>VLOOKUP(D1528,'[1]DS CN MOI UP'!$B$11:$C$447,2,0)</f>
        <v>03347</v>
      </c>
      <c r="C1528" s="626" t="s">
        <v>1436</v>
      </c>
      <c r="D1528" s="630" t="s">
        <v>121</v>
      </c>
      <c r="E1528" s="630" t="s">
        <v>15</v>
      </c>
      <c r="F1528" s="630"/>
      <c r="G1528" s="635"/>
      <c r="H1528" s="635">
        <v>1159179.5249999999</v>
      </c>
      <c r="I1528" s="655"/>
      <c r="J1528" s="635">
        <f t="shared" si="58"/>
        <v>1159179.5249999999</v>
      </c>
      <c r="K1528" s="635"/>
      <c r="L1528" s="635"/>
      <c r="M1528" s="655">
        <f t="shared" si="57"/>
        <v>1159179.5249999999</v>
      </c>
      <c r="N1528" s="61"/>
    </row>
    <row r="1529" spans="1:14" s="242" customFormat="1" ht="14.25" customHeight="1">
      <c r="A1529" s="624">
        <v>346</v>
      </c>
      <c r="B1529" s="625" t="str">
        <f>VLOOKUP(D1529,'[1]DS CN MOI UP'!$B$11:$C$447,2,0)</f>
        <v>02539</v>
      </c>
      <c r="C1529" s="626" t="s">
        <v>1437</v>
      </c>
      <c r="D1529" s="630" t="s">
        <v>195</v>
      </c>
      <c r="E1529" s="630" t="s">
        <v>15</v>
      </c>
      <c r="F1529" s="630"/>
      <c r="G1529" s="635"/>
      <c r="H1529" s="635">
        <v>1239846.615</v>
      </c>
      <c r="I1529" s="655"/>
      <c r="J1529" s="635">
        <f t="shared" si="58"/>
        <v>1239846.615</v>
      </c>
      <c r="K1529" s="635"/>
      <c r="L1529" s="635"/>
      <c r="M1529" s="655">
        <f t="shared" si="57"/>
        <v>1239846.615</v>
      </c>
      <c r="N1529" s="61"/>
    </row>
    <row r="1530" spans="1:14" s="242" customFormat="1" ht="14.25" customHeight="1">
      <c r="A1530" s="624">
        <v>347</v>
      </c>
      <c r="B1530" s="625" t="e">
        <f>VLOOKUP(D1530,'[1]DS CN MOI UP'!$B$11:$C$447,2,0)</f>
        <v>#N/A</v>
      </c>
      <c r="C1530" s="626" t="s">
        <v>1438</v>
      </c>
      <c r="D1530" s="630" t="s">
        <v>1174</v>
      </c>
      <c r="E1530" s="630" t="s">
        <v>15</v>
      </c>
      <c r="F1530" s="630"/>
      <c r="G1530" s="635"/>
      <c r="H1530" s="635">
        <v>1149145.3259999999</v>
      </c>
      <c r="I1530" s="655"/>
      <c r="J1530" s="635">
        <f t="shared" si="58"/>
        <v>1149145.3259999999</v>
      </c>
      <c r="K1530" s="635"/>
      <c r="L1530" s="635"/>
      <c r="M1530" s="655">
        <f t="shared" si="57"/>
        <v>1149145.3259999999</v>
      </c>
      <c r="N1530" s="61"/>
    </row>
    <row r="1531" spans="1:14" s="242" customFormat="1" ht="14.25" customHeight="1">
      <c r="A1531" s="624">
        <v>348</v>
      </c>
      <c r="B1531" s="625" t="e">
        <f>VLOOKUP(D1531,'[1]DS CN MOI UP'!$B$11:$C$447,2,0)</f>
        <v>#N/A</v>
      </c>
      <c r="C1531" s="626" t="s">
        <v>1440</v>
      </c>
      <c r="D1531" s="630" t="s">
        <v>1175</v>
      </c>
      <c r="E1531" s="630" t="s">
        <v>15</v>
      </c>
      <c r="F1531" s="630"/>
      <c r="G1531" s="635"/>
      <c r="H1531" s="635">
        <v>1229038.53819991</v>
      </c>
      <c r="I1531" s="655"/>
      <c r="J1531" s="635">
        <f t="shared" si="58"/>
        <v>1229038.53819991</v>
      </c>
      <c r="K1531" s="635"/>
      <c r="L1531" s="635"/>
      <c r="M1531" s="655">
        <f t="shared" si="57"/>
        <v>1229038.53819991</v>
      </c>
      <c r="N1531" s="61"/>
    </row>
    <row r="1532" spans="1:14" s="242" customFormat="1" ht="14.25" customHeight="1">
      <c r="A1532" s="624">
        <v>349</v>
      </c>
      <c r="B1532" s="625" t="e">
        <f>VLOOKUP(D1532,'[1]DS CN MOI UP'!$B$11:$C$447,2,0)</f>
        <v>#N/A</v>
      </c>
      <c r="C1532" s="626" t="s">
        <v>1442</v>
      </c>
      <c r="D1532" s="630" t="s">
        <v>1176</v>
      </c>
      <c r="E1532" s="630" t="s">
        <v>15</v>
      </c>
      <c r="F1532" s="630"/>
      <c r="G1532" s="635"/>
      <c r="H1532" s="635">
        <v>1159179.5249999999</v>
      </c>
      <c r="I1532" s="655">
        <v>100000</v>
      </c>
      <c r="J1532" s="635">
        <f t="shared" si="58"/>
        <v>1259179.5249999999</v>
      </c>
      <c r="K1532" s="635"/>
      <c r="L1532" s="635"/>
      <c r="M1532" s="655">
        <f t="shared" si="57"/>
        <v>1259179.5249999999</v>
      </c>
      <c r="N1532" s="61"/>
    </row>
    <row r="1533" spans="1:14" s="242" customFormat="1" ht="14.25" customHeight="1">
      <c r="A1533" s="624">
        <v>350</v>
      </c>
      <c r="B1533" s="625" t="str">
        <f>VLOOKUP(D1533,'[1]DS CN MOI UP'!$B$11:$C$447,2,0)</f>
        <v>02541</v>
      </c>
      <c r="C1533" s="626" t="s">
        <v>1444</v>
      </c>
      <c r="D1533" s="630" t="s">
        <v>185</v>
      </c>
      <c r="E1533" s="630" t="s">
        <v>15</v>
      </c>
      <c r="F1533" s="630"/>
      <c r="G1533" s="635"/>
      <c r="H1533" s="635">
        <v>1239846.615</v>
      </c>
      <c r="I1533" s="655"/>
      <c r="J1533" s="635">
        <f t="shared" si="58"/>
        <v>1239846.615</v>
      </c>
      <c r="K1533" s="635"/>
      <c r="L1533" s="635"/>
      <c r="M1533" s="655">
        <f t="shared" si="57"/>
        <v>1239846.615</v>
      </c>
      <c r="N1533" s="61"/>
    </row>
    <row r="1534" spans="1:14" s="242" customFormat="1" ht="14.25" customHeight="1">
      <c r="A1534" s="624">
        <v>351</v>
      </c>
      <c r="B1534" s="625" t="e">
        <f>VLOOKUP(D1534,'[1]DS CN MOI UP'!$B$11:$C$447,2,0)</f>
        <v>#N/A</v>
      </c>
      <c r="C1534" s="639" t="s">
        <v>1445</v>
      </c>
      <c r="D1534" s="630" t="s">
        <v>1177</v>
      </c>
      <c r="E1534" s="630" t="s">
        <v>15</v>
      </c>
      <c r="F1534" s="630"/>
      <c r="G1534" s="635"/>
      <c r="H1534" s="635">
        <v>1149145.3259999999</v>
      </c>
      <c r="I1534" s="655">
        <v>100000</v>
      </c>
      <c r="J1534" s="635">
        <f t="shared" si="58"/>
        <v>1249145.3259999999</v>
      </c>
      <c r="K1534" s="635"/>
      <c r="L1534" s="635"/>
      <c r="M1534" s="655">
        <f t="shared" si="57"/>
        <v>1249145.3259999999</v>
      </c>
      <c r="N1534" s="61"/>
    </row>
    <row r="1535" spans="1:14" s="242" customFormat="1" ht="14.25" customHeight="1">
      <c r="A1535" s="624">
        <v>352</v>
      </c>
      <c r="B1535" s="625" t="e">
        <f>VLOOKUP(D1535,'[1]DS CN MOI UP'!$B$11:$C$447,2,0)</f>
        <v>#N/A</v>
      </c>
      <c r="C1535" s="639" t="s">
        <v>1447</v>
      </c>
      <c r="D1535" s="630" t="s">
        <v>1178</v>
      </c>
      <c r="E1535" s="630" t="s">
        <v>15</v>
      </c>
      <c r="F1535" s="630"/>
      <c r="G1535" s="635"/>
      <c r="H1535" s="635">
        <v>1159179.5249999999</v>
      </c>
      <c r="I1535" s="655">
        <v>100000</v>
      </c>
      <c r="J1535" s="635">
        <f t="shared" si="58"/>
        <v>1259179.5249999999</v>
      </c>
      <c r="K1535" s="635"/>
      <c r="L1535" s="635"/>
      <c r="M1535" s="655">
        <f t="shared" si="57"/>
        <v>1259179.5249999999</v>
      </c>
      <c r="N1535" s="61"/>
    </row>
    <row r="1536" spans="1:14" s="242" customFormat="1" ht="14.25" customHeight="1">
      <c r="A1536" s="624">
        <v>353</v>
      </c>
      <c r="B1536" s="625" t="str">
        <f>VLOOKUP(D1536,'[1]DS CN MOI UP'!$B$11:$C$447,2,0)</f>
        <v>02542</v>
      </c>
      <c r="C1536" s="639" t="s">
        <v>1448</v>
      </c>
      <c r="D1536" s="630" t="s">
        <v>504</v>
      </c>
      <c r="E1536" s="630" t="s">
        <v>15</v>
      </c>
      <c r="F1536" s="630"/>
      <c r="G1536" s="635"/>
      <c r="H1536" s="635">
        <v>1239846.615</v>
      </c>
      <c r="I1536" s="655"/>
      <c r="J1536" s="635">
        <f t="shared" si="58"/>
        <v>1239846.615</v>
      </c>
      <c r="K1536" s="635"/>
      <c r="L1536" s="635"/>
      <c r="M1536" s="655">
        <f t="shared" si="57"/>
        <v>1239846.615</v>
      </c>
      <c r="N1536" s="61"/>
    </row>
    <row r="1537" spans="1:15" s="242" customFormat="1" ht="14.25" customHeight="1">
      <c r="A1537" s="624">
        <v>354</v>
      </c>
      <c r="B1537" s="625" t="str">
        <f>VLOOKUP(D1537,'[1]DS CN MOI UP'!$B$11:$C$447,2,0)</f>
        <v>02541</v>
      </c>
      <c r="C1537" s="639" t="s">
        <v>1450</v>
      </c>
      <c r="D1537" s="630" t="s">
        <v>185</v>
      </c>
      <c r="E1537" s="630" t="s">
        <v>15</v>
      </c>
      <c r="F1537" s="630"/>
      <c r="G1537" s="635"/>
      <c r="H1537" s="635">
        <v>1149145.3259999999</v>
      </c>
      <c r="I1537" s="655"/>
      <c r="J1537" s="635">
        <f t="shared" si="58"/>
        <v>1149145.3259999999</v>
      </c>
      <c r="K1537" s="635"/>
      <c r="L1537" s="635"/>
      <c r="M1537" s="655">
        <f t="shared" si="57"/>
        <v>1149145.3259999999</v>
      </c>
      <c r="N1537" s="61"/>
    </row>
    <row r="1538" spans="1:15" s="242" customFormat="1" ht="14.25" customHeight="1">
      <c r="A1538" s="624">
        <v>355</v>
      </c>
      <c r="B1538" s="625" t="e">
        <f>VLOOKUP(D1538,'[1]DS CN MOI UP'!$B$11:$C$447,2,0)</f>
        <v>#N/A</v>
      </c>
      <c r="C1538" s="639" t="s">
        <v>1451</v>
      </c>
      <c r="D1538" s="630" t="s">
        <v>972</v>
      </c>
      <c r="E1538" s="630" t="s">
        <v>15</v>
      </c>
      <c r="F1538" s="630"/>
      <c r="G1538" s="635"/>
      <c r="H1538" s="635">
        <v>1199647.6398015099</v>
      </c>
      <c r="I1538" s="655"/>
      <c r="J1538" s="635">
        <f t="shared" si="58"/>
        <v>1199647.6398015099</v>
      </c>
      <c r="K1538" s="635"/>
      <c r="L1538" s="635"/>
      <c r="M1538" s="655">
        <f t="shared" si="57"/>
        <v>1199647.6398015099</v>
      </c>
      <c r="N1538" s="61"/>
    </row>
    <row r="1539" spans="1:15" s="242" customFormat="1" ht="14.25" customHeight="1">
      <c r="A1539" s="624">
        <v>356</v>
      </c>
      <c r="B1539" s="625" t="str">
        <f>VLOOKUP(D1539,'[1]DS CN MOI UP'!$B$11:$C$447,2,0)</f>
        <v>02543</v>
      </c>
      <c r="C1539" s="639" t="s">
        <v>1453</v>
      </c>
      <c r="D1539" s="640" t="s">
        <v>189</v>
      </c>
      <c r="E1539" s="630" t="s">
        <v>15</v>
      </c>
      <c r="F1539" s="630"/>
      <c r="G1539" s="635"/>
      <c r="H1539" s="635">
        <v>1159179.5249999999</v>
      </c>
      <c r="I1539" s="655">
        <v>100000</v>
      </c>
      <c r="J1539" s="635">
        <f t="shared" si="58"/>
        <v>1259179.5249999999</v>
      </c>
      <c r="K1539" s="635"/>
      <c r="L1539" s="635"/>
      <c r="M1539" s="655">
        <f t="shared" si="57"/>
        <v>1259179.5249999999</v>
      </c>
      <c r="N1539" s="61"/>
    </row>
    <row r="1540" spans="1:15" s="242" customFormat="1" ht="14.25" customHeight="1">
      <c r="A1540" s="624">
        <v>357</v>
      </c>
      <c r="B1540" s="625" t="str">
        <f>VLOOKUP(D1540,'[1]DS CN MOI UP'!$B$11:$C$447,2,0)</f>
        <v>02510</v>
      </c>
      <c r="C1540" s="639" t="s">
        <v>1455</v>
      </c>
      <c r="D1540" s="641" t="s">
        <v>41</v>
      </c>
      <c r="E1540" s="630" t="s">
        <v>15</v>
      </c>
      <c r="F1540" s="630"/>
      <c r="G1540" s="635"/>
      <c r="H1540" s="635">
        <v>1239846.615</v>
      </c>
      <c r="I1540" s="655"/>
      <c r="J1540" s="635">
        <f t="shared" si="58"/>
        <v>1239846.615</v>
      </c>
      <c r="K1540" s="635"/>
      <c r="L1540" s="635"/>
      <c r="M1540" s="655">
        <f t="shared" si="57"/>
        <v>1239846.615</v>
      </c>
      <c r="N1540" s="61"/>
      <c r="O1540" s="636"/>
    </row>
    <row r="1541" spans="1:15" s="242" customFormat="1" ht="14.25" customHeight="1">
      <c r="A1541" s="624">
        <v>358</v>
      </c>
      <c r="B1541" s="625" t="e">
        <f>VLOOKUP(D1541,'[1]DS CN MOI UP'!$B$11:$C$447,2,0)</f>
        <v>#N/A</v>
      </c>
      <c r="C1541" s="639" t="s">
        <v>1455</v>
      </c>
      <c r="D1541" s="641" t="s">
        <v>1077</v>
      </c>
      <c r="E1541" s="630" t="s">
        <v>15</v>
      </c>
      <c r="F1541" s="630"/>
      <c r="G1541" s="635"/>
      <c r="H1541" s="635">
        <v>1209649.2271459</v>
      </c>
      <c r="I1541" s="655"/>
      <c r="J1541" s="635">
        <f t="shared" si="58"/>
        <v>1209649.2271459</v>
      </c>
      <c r="K1541" s="635"/>
      <c r="L1541" s="635"/>
      <c r="M1541" s="655">
        <f t="shared" si="57"/>
        <v>1209649.2271459</v>
      </c>
      <c r="N1541" s="61"/>
      <c r="O1541" s="636"/>
    </row>
    <row r="1542" spans="1:15" s="242" customFormat="1" ht="14.25" customHeight="1">
      <c r="A1542" s="624">
        <v>359</v>
      </c>
      <c r="B1542" s="625" t="e">
        <f>VLOOKUP(D1542,'[1]DS CN MOI UP'!$B$11:$C$447,2,0)</f>
        <v>#N/A</v>
      </c>
      <c r="C1542" s="626" t="s">
        <v>1413</v>
      </c>
      <c r="D1542" s="630" t="s">
        <v>1179</v>
      </c>
      <c r="E1542" s="630" t="s">
        <v>15</v>
      </c>
      <c r="F1542" s="630"/>
      <c r="G1542" s="635">
        <v>1239846.615</v>
      </c>
      <c r="H1542" s="635"/>
      <c r="I1542" s="655"/>
      <c r="J1542" s="635">
        <f t="shared" ref="J1542:J1640" si="59">SUM(G1542:I1542)</f>
        <v>1239846.615</v>
      </c>
      <c r="K1542" s="635"/>
      <c r="L1542" s="635"/>
      <c r="M1542" s="655">
        <f t="shared" ref="M1542:M1640" si="60">J1542-L1542</f>
        <v>1239846.615</v>
      </c>
      <c r="N1542" s="61"/>
    </row>
    <row r="1543" spans="1:15" s="242" customFormat="1" ht="14.25" customHeight="1">
      <c r="A1543" s="624">
        <v>360</v>
      </c>
      <c r="B1543" s="625" t="str">
        <f>VLOOKUP(D1543,'[1]DS CN MOI UP'!$B$11:$C$447,2,0)</f>
        <v>02545</v>
      </c>
      <c r="C1543" s="626" t="s">
        <v>1414</v>
      </c>
      <c r="D1543" s="630" t="s">
        <v>126</v>
      </c>
      <c r="E1543" s="630" t="s">
        <v>15</v>
      </c>
      <c r="F1543" s="630"/>
      <c r="G1543" s="635">
        <v>1149145.3259999999</v>
      </c>
      <c r="H1543" s="635"/>
      <c r="I1543" s="655"/>
      <c r="J1543" s="635">
        <f t="shared" si="59"/>
        <v>1149145.3259999999</v>
      </c>
      <c r="K1543" s="635"/>
      <c r="L1543" s="635"/>
      <c r="M1543" s="655">
        <f t="shared" si="60"/>
        <v>1149145.3259999999</v>
      </c>
      <c r="N1543" s="61"/>
    </row>
    <row r="1544" spans="1:15" s="242" customFormat="1" ht="14.25" customHeight="1">
      <c r="A1544" s="624">
        <v>361</v>
      </c>
      <c r="B1544" s="625" t="e">
        <f>VLOOKUP(D1544,'[1]DS CN MOI UP'!$B$11:$C$447,2,0)</f>
        <v>#N/A</v>
      </c>
      <c r="C1544" s="626" t="s">
        <v>1415</v>
      </c>
      <c r="D1544" s="630" t="s">
        <v>1180</v>
      </c>
      <c r="E1544" s="630" t="s">
        <v>15</v>
      </c>
      <c r="F1544" s="630"/>
      <c r="G1544" s="635">
        <v>1229038.53819991</v>
      </c>
      <c r="H1544" s="635"/>
      <c r="I1544" s="655"/>
      <c r="J1544" s="635">
        <f t="shared" si="59"/>
        <v>1229038.53819991</v>
      </c>
      <c r="K1544" s="635"/>
      <c r="L1544" s="635"/>
      <c r="M1544" s="655">
        <f t="shared" si="60"/>
        <v>1229038.53819991</v>
      </c>
      <c r="N1544" s="61"/>
    </row>
    <row r="1545" spans="1:15" s="242" customFormat="1" ht="14.25" customHeight="1">
      <c r="A1545" s="624">
        <v>362</v>
      </c>
      <c r="B1545" s="625" t="str">
        <f>VLOOKUP(D1545,'[1]DS CN MOI UP'!$B$11:$C$447,2,0)</f>
        <v>03402</v>
      </c>
      <c r="C1545" s="626" t="s">
        <v>1417</v>
      </c>
      <c r="D1545" s="630" t="s">
        <v>312</v>
      </c>
      <c r="E1545" s="630" t="s">
        <v>15</v>
      </c>
      <c r="F1545" s="630"/>
      <c r="G1545" s="635">
        <v>1159179.5249999999</v>
      </c>
      <c r="H1545" s="635"/>
      <c r="I1545" s="655"/>
      <c r="J1545" s="635">
        <f t="shared" si="59"/>
        <v>1159179.5249999999</v>
      </c>
      <c r="K1545" s="635"/>
      <c r="L1545" s="635"/>
      <c r="M1545" s="655">
        <f t="shared" si="60"/>
        <v>1159179.5249999999</v>
      </c>
      <c r="N1545" s="61"/>
    </row>
    <row r="1546" spans="1:15" s="242" customFormat="1" ht="14.25" customHeight="1">
      <c r="A1546" s="624">
        <v>363</v>
      </c>
      <c r="B1546" s="625" t="e">
        <f>VLOOKUP(D1546,'[1]DS CN MOI UP'!$B$11:$C$447,2,0)</f>
        <v>#N/A</v>
      </c>
      <c r="C1546" s="626" t="s">
        <v>1418</v>
      </c>
      <c r="D1546" s="630" t="s">
        <v>1181</v>
      </c>
      <c r="E1546" s="630" t="s">
        <v>15</v>
      </c>
      <c r="F1546" s="630"/>
      <c r="G1546" s="635">
        <v>1239846.615</v>
      </c>
      <c r="H1546" s="635"/>
      <c r="I1546" s="655"/>
      <c r="J1546" s="635">
        <f t="shared" si="59"/>
        <v>1239846.615</v>
      </c>
      <c r="K1546" s="635"/>
      <c r="L1546" s="635"/>
      <c r="M1546" s="655">
        <f t="shared" si="60"/>
        <v>1239846.615</v>
      </c>
      <c r="N1546" s="61"/>
    </row>
    <row r="1547" spans="1:15" s="242" customFormat="1" ht="14.25" customHeight="1">
      <c r="A1547" s="624">
        <v>364</v>
      </c>
      <c r="B1547" s="625" t="str">
        <f>VLOOKUP(D1547,'[1]DS CN MOI UP'!$B$11:$C$447,2,0)</f>
        <v>02547</v>
      </c>
      <c r="C1547" s="626" t="s">
        <v>1420</v>
      </c>
      <c r="D1547" s="630" t="s">
        <v>199</v>
      </c>
      <c r="E1547" s="630" t="s">
        <v>15</v>
      </c>
      <c r="F1547" s="630"/>
      <c r="G1547" s="635">
        <v>1149145.3259999999</v>
      </c>
      <c r="H1547" s="635"/>
      <c r="I1547" s="655"/>
      <c r="J1547" s="635">
        <f t="shared" si="59"/>
        <v>1149145.3259999999</v>
      </c>
      <c r="K1547" s="635"/>
      <c r="L1547" s="635"/>
      <c r="M1547" s="655">
        <f t="shared" si="60"/>
        <v>1149145.3259999999</v>
      </c>
      <c r="N1547" s="61"/>
    </row>
    <row r="1548" spans="1:15" s="242" customFormat="1" ht="14.25" customHeight="1">
      <c r="A1548" s="624">
        <v>365</v>
      </c>
      <c r="B1548" s="625" t="e">
        <f>VLOOKUP(D1548,'[1]DS CN MOI UP'!$B$11:$C$447,2,0)</f>
        <v>#N/A</v>
      </c>
      <c r="C1548" s="626" t="s">
        <v>1422</v>
      </c>
      <c r="D1548" s="630" t="s">
        <v>1182</v>
      </c>
      <c r="E1548" s="630" t="s">
        <v>15</v>
      </c>
      <c r="F1548" s="630"/>
      <c r="G1548" s="635">
        <v>1229038.53819991</v>
      </c>
      <c r="H1548" s="635"/>
      <c r="I1548" s="655"/>
      <c r="J1548" s="635">
        <f t="shared" si="59"/>
        <v>1229038.53819991</v>
      </c>
      <c r="K1548" s="635"/>
      <c r="L1548" s="635"/>
      <c r="M1548" s="655">
        <f t="shared" si="60"/>
        <v>1229038.53819991</v>
      </c>
      <c r="N1548" s="61"/>
    </row>
    <row r="1549" spans="1:15" s="242" customFormat="1" ht="14.25" customHeight="1">
      <c r="A1549" s="624">
        <v>366</v>
      </c>
      <c r="B1549" s="625" t="e">
        <f>VLOOKUP(D1549,'[1]DS CN MOI UP'!$B$11:$C$447,2,0)</f>
        <v>#N/A</v>
      </c>
      <c r="C1549" s="626" t="s">
        <v>1424</v>
      </c>
      <c r="D1549" s="630" t="s">
        <v>1183</v>
      </c>
      <c r="E1549" s="630" t="s">
        <v>15</v>
      </c>
      <c r="F1549" s="630"/>
      <c r="G1549" s="635">
        <v>1159179.5249999999</v>
      </c>
      <c r="H1549" s="635"/>
      <c r="I1549" s="655"/>
      <c r="J1549" s="635">
        <f t="shared" si="59"/>
        <v>1159179.5249999999</v>
      </c>
      <c r="K1549" s="635"/>
      <c r="L1549" s="635"/>
      <c r="M1549" s="655">
        <f t="shared" si="60"/>
        <v>1159179.5249999999</v>
      </c>
      <c r="N1549" s="61"/>
    </row>
    <row r="1550" spans="1:15" s="242" customFormat="1" ht="14.25" customHeight="1">
      <c r="A1550" s="624">
        <v>367</v>
      </c>
      <c r="B1550" s="625" t="e">
        <f>VLOOKUP(D1550,'[1]DS CN MOI UP'!$B$11:$C$447,2,0)</f>
        <v>#N/A</v>
      </c>
      <c r="C1550" s="626" t="s">
        <v>1426</v>
      </c>
      <c r="D1550" s="630" t="s">
        <v>1184</v>
      </c>
      <c r="E1550" s="630" t="s">
        <v>15</v>
      </c>
      <c r="F1550" s="630"/>
      <c r="G1550" s="635">
        <v>1239846.615</v>
      </c>
      <c r="H1550" s="635"/>
      <c r="I1550" s="655"/>
      <c r="J1550" s="635">
        <f t="shared" si="59"/>
        <v>1239846.615</v>
      </c>
      <c r="K1550" s="635"/>
      <c r="L1550" s="635"/>
      <c r="M1550" s="655">
        <f t="shared" si="60"/>
        <v>1239846.615</v>
      </c>
      <c r="N1550" s="61"/>
    </row>
    <row r="1551" spans="1:15" s="242" customFormat="1" ht="14.25" customHeight="1">
      <c r="A1551" s="624">
        <v>368</v>
      </c>
      <c r="B1551" s="625" t="e">
        <f>VLOOKUP(D1551,'[1]DS CN MOI UP'!$B$11:$C$447,2,0)</f>
        <v>#N/A</v>
      </c>
      <c r="C1551" s="626" t="s">
        <v>1428</v>
      </c>
      <c r="D1551" s="630" t="s">
        <v>1185</v>
      </c>
      <c r="E1551" s="630" t="s">
        <v>15</v>
      </c>
      <c r="F1551" s="630"/>
      <c r="G1551" s="635">
        <v>1149145.3259999999</v>
      </c>
      <c r="H1551" s="635"/>
      <c r="I1551" s="655"/>
      <c r="J1551" s="635">
        <f t="shared" si="59"/>
        <v>1149145.3259999999</v>
      </c>
      <c r="K1551" s="635"/>
      <c r="L1551" s="635"/>
      <c r="M1551" s="655">
        <f t="shared" si="60"/>
        <v>1149145.3259999999</v>
      </c>
      <c r="N1551" s="61"/>
    </row>
    <row r="1552" spans="1:15" s="242" customFormat="1" ht="14.25" customHeight="1">
      <c r="A1552" s="624">
        <v>369</v>
      </c>
      <c r="B1552" s="625" t="e">
        <f>VLOOKUP(D1552,'[1]DS CN MOI UP'!$B$11:$C$447,2,0)</f>
        <v>#N/A</v>
      </c>
      <c r="C1552" s="626" t="s">
        <v>1430</v>
      </c>
      <c r="D1552" s="630" t="s">
        <v>1186</v>
      </c>
      <c r="E1552" s="630" t="s">
        <v>15</v>
      </c>
      <c r="F1552" s="630"/>
      <c r="G1552" s="635">
        <v>1159179.5249999999</v>
      </c>
      <c r="H1552" s="635"/>
      <c r="I1552" s="655"/>
      <c r="J1552" s="635">
        <f t="shared" si="59"/>
        <v>1159179.5249999999</v>
      </c>
      <c r="K1552" s="635"/>
      <c r="L1552" s="635"/>
      <c r="M1552" s="655">
        <f t="shared" si="60"/>
        <v>1159179.5249999999</v>
      </c>
      <c r="N1552" s="61"/>
    </row>
    <row r="1553" spans="1:14" s="242" customFormat="1" ht="14.25" customHeight="1">
      <c r="A1553" s="624">
        <v>370</v>
      </c>
      <c r="B1553" s="625" t="str">
        <f>VLOOKUP(D1553,'[1]DS CN MOI UP'!$B$11:$C$447,2,0)</f>
        <v>02518</v>
      </c>
      <c r="C1553" s="626" t="s">
        <v>1432</v>
      </c>
      <c r="D1553" s="630" t="s">
        <v>135</v>
      </c>
      <c r="E1553" s="630" t="s">
        <v>15</v>
      </c>
      <c r="F1553" s="630"/>
      <c r="G1553" s="635">
        <v>1239846.615</v>
      </c>
      <c r="H1553" s="635"/>
      <c r="I1553" s="655"/>
      <c r="J1553" s="635">
        <f t="shared" si="59"/>
        <v>1239846.615</v>
      </c>
      <c r="K1553" s="635"/>
      <c r="L1553" s="635"/>
      <c r="M1553" s="655">
        <f t="shared" si="60"/>
        <v>1239846.615</v>
      </c>
      <c r="N1553" s="61"/>
    </row>
    <row r="1554" spans="1:14" s="242" customFormat="1" ht="14.25" customHeight="1">
      <c r="A1554" s="624">
        <v>371</v>
      </c>
      <c r="B1554" s="625" t="e">
        <f>VLOOKUP(D1554,'[1]DS CN MOI UP'!$B$11:$C$447,2,0)</f>
        <v>#N/A</v>
      </c>
      <c r="C1554" s="626" t="s">
        <v>1433</v>
      </c>
      <c r="D1554" s="630" t="s">
        <v>1187</v>
      </c>
      <c r="E1554" s="630" t="s">
        <v>15</v>
      </c>
      <c r="F1554" s="630"/>
      <c r="G1554" s="635">
        <v>1149145.3259999999</v>
      </c>
      <c r="H1554" s="635"/>
      <c r="I1554" s="655"/>
      <c r="J1554" s="635">
        <f t="shared" si="59"/>
        <v>1149145.3259999999</v>
      </c>
      <c r="K1554" s="635"/>
      <c r="L1554" s="635"/>
      <c r="M1554" s="655">
        <f t="shared" si="60"/>
        <v>1149145.3259999999</v>
      </c>
      <c r="N1554" s="61"/>
    </row>
    <row r="1555" spans="1:14" s="242" customFormat="1" ht="14.25" customHeight="1">
      <c r="A1555" s="624">
        <v>372</v>
      </c>
      <c r="B1555" s="625" t="str">
        <f>VLOOKUP(D1555,'[1]DS CN MOI UP'!$B$11:$C$447,2,0)</f>
        <v>02519</v>
      </c>
      <c r="C1555" s="626" t="s">
        <v>1434</v>
      </c>
      <c r="D1555" s="630" t="s">
        <v>173</v>
      </c>
      <c r="E1555" s="630" t="s">
        <v>15</v>
      </c>
      <c r="F1555" s="630"/>
      <c r="G1555" s="635">
        <v>1229038.53819991</v>
      </c>
      <c r="H1555" s="635"/>
      <c r="I1555" s="655"/>
      <c r="J1555" s="635">
        <f t="shared" si="59"/>
        <v>1229038.53819991</v>
      </c>
      <c r="K1555" s="635"/>
      <c r="L1555" s="635"/>
      <c r="M1555" s="655">
        <f t="shared" si="60"/>
        <v>1229038.53819991</v>
      </c>
      <c r="N1555" s="61"/>
    </row>
    <row r="1556" spans="1:14" s="242" customFormat="1" ht="14.25" customHeight="1">
      <c r="A1556" s="624">
        <v>373</v>
      </c>
      <c r="B1556" s="625" t="e">
        <f>VLOOKUP(D1556,'[1]DS CN MOI UP'!$B$11:$C$447,2,0)</f>
        <v>#N/A</v>
      </c>
      <c r="C1556" s="626" t="s">
        <v>1436</v>
      </c>
      <c r="D1556" s="630" t="s">
        <v>1188</v>
      </c>
      <c r="E1556" s="630" t="s">
        <v>15</v>
      </c>
      <c r="F1556" s="630"/>
      <c r="G1556" s="635">
        <v>1159179.5249999999</v>
      </c>
      <c r="H1556" s="635"/>
      <c r="I1556" s="655"/>
      <c r="J1556" s="635">
        <f t="shared" si="59"/>
        <v>1159179.5249999999</v>
      </c>
      <c r="K1556" s="635"/>
      <c r="L1556" s="635"/>
      <c r="M1556" s="655">
        <f t="shared" si="60"/>
        <v>1159179.5249999999</v>
      </c>
      <c r="N1556" s="61"/>
    </row>
    <row r="1557" spans="1:14" s="242" customFormat="1" ht="14.25" customHeight="1">
      <c r="A1557" s="624">
        <v>374</v>
      </c>
      <c r="B1557" s="625" t="e">
        <f>VLOOKUP(D1557,'[1]DS CN MOI UP'!$B$11:$C$447,2,0)</f>
        <v>#N/A</v>
      </c>
      <c r="C1557" s="626" t="s">
        <v>1436</v>
      </c>
      <c r="D1557" s="630" t="s">
        <v>1189</v>
      </c>
      <c r="E1557" s="630" t="s">
        <v>15</v>
      </c>
      <c r="F1557" s="630"/>
      <c r="G1557" s="635">
        <v>1149145.3259999999</v>
      </c>
      <c r="H1557" s="635"/>
      <c r="I1557" s="655"/>
      <c r="J1557" s="635">
        <f t="shared" ref="J1557:J1565" si="61">SUM(G1557:I1557)</f>
        <v>1149145.3259999999</v>
      </c>
      <c r="K1557" s="635"/>
      <c r="L1557" s="635"/>
      <c r="M1557" s="655">
        <f t="shared" ref="M1557:M1565" si="62">J1557-L1557</f>
        <v>1149145.3259999999</v>
      </c>
      <c r="N1557" s="61"/>
    </row>
    <row r="1558" spans="1:14" s="242" customFormat="1" ht="14.25" customHeight="1">
      <c r="A1558" s="624">
        <v>375</v>
      </c>
      <c r="B1558" s="625" t="str">
        <f>VLOOKUP(D1558,'[1]DS CN MOI UP'!$B$11:$C$447,2,0)</f>
        <v>02520</v>
      </c>
      <c r="C1558" s="626" t="s">
        <v>1436</v>
      </c>
      <c r="D1558" s="630" t="s">
        <v>188</v>
      </c>
      <c r="E1558" s="630" t="s">
        <v>15</v>
      </c>
      <c r="F1558" s="630"/>
      <c r="G1558" s="635">
        <v>1229038.53819991</v>
      </c>
      <c r="H1558" s="635"/>
      <c r="I1558" s="655"/>
      <c r="J1558" s="635">
        <f t="shared" si="61"/>
        <v>1229038.53819991</v>
      </c>
      <c r="K1558" s="635"/>
      <c r="L1558" s="635"/>
      <c r="M1558" s="655">
        <f t="shared" si="62"/>
        <v>1229038.53819991</v>
      </c>
      <c r="N1558" s="61"/>
    </row>
    <row r="1559" spans="1:14" s="242" customFormat="1" ht="14.25" customHeight="1">
      <c r="A1559" s="624">
        <v>376</v>
      </c>
      <c r="B1559" s="625" t="e">
        <f>VLOOKUP(D1559,'[1]DS CN MOI UP'!$B$11:$C$447,2,0)</f>
        <v>#N/A</v>
      </c>
      <c r="C1559" s="626" t="s">
        <v>1436</v>
      </c>
      <c r="D1559" s="630" t="s">
        <v>1190</v>
      </c>
      <c r="E1559" s="630" t="s">
        <v>15</v>
      </c>
      <c r="F1559" s="630"/>
      <c r="G1559" s="635">
        <v>1159179.5249999999</v>
      </c>
      <c r="H1559" s="635"/>
      <c r="I1559" s="655"/>
      <c r="J1559" s="635">
        <f t="shared" si="61"/>
        <v>1159179.5249999999</v>
      </c>
      <c r="K1559" s="635"/>
      <c r="L1559" s="635"/>
      <c r="M1559" s="655">
        <f t="shared" si="62"/>
        <v>1159179.5249999999</v>
      </c>
      <c r="N1559" s="61"/>
    </row>
    <row r="1560" spans="1:14" s="242" customFormat="1" ht="14.25" customHeight="1">
      <c r="A1560" s="624">
        <v>377</v>
      </c>
      <c r="B1560" s="625" t="e">
        <f>VLOOKUP(D1560,'[1]DS CN MOI UP'!$B$11:$C$447,2,0)</f>
        <v>#N/A</v>
      </c>
      <c r="C1560" s="626" t="s">
        <v>1436</v>
      </c>
      <c r="D1560" s="630" t="s">
        <v>1191</v>
      </c>
      <c r="E1560" s="630" t="s">
        <v>15</v>
      </c>
      <c r="F1560" s="630"/>
      <c r="G1560" s="635">
        <v>1239846.615</v>
      </c>
      <c r="H1560" s="635"/>
      <c r="I1560" s="655"/>
      <c r="J1560" s="635">
        <f t="shared" si="61"/>
        <v>1239846.615</v>
      </c>
      <c r="K1560" s="635"/>
      <c r="L1560" s="635"/>
      <c r="M1560" s="655">
        <f t="shared" si="62"/>
        <v>1239846.615</v>
      </c>
      <c r="N1560" s="61"/>
    </row>
    <row r="1561" spans="1:14" s="242" customFormat="1" ht="14.25" customHeight="1">
      <c r="A1561" s="624">
        <v>378</v>
      </c>
      <c r="B1561" s="625" t="str">
        <f>VLOOKUP(D1561,'[1]DS CN MOI UP'!$B$11:$C$447,2,0)</f>
        <v>02521</v>
      </c>
      <c r="C1561" s="626" t="s">
        <v>1436</v>
      </c>
      <c r="D1561" s="630" t="s">
        <v>137</v>
      </c>
      <c r="E1561" s="630" t="s">
        <v>15</v>
      </c>
      <c r="F1561" s="630"/>
      <c r="G1561" s="635">
        <v>1149145.3259999999</v>
      </c>
      <c r="H1561" s="635"/>
      <c r="I1561" s="655"/>
      <c r="J1561" s="635">
        <f t="shared" si="61"/>
        <v>1149145.3259999999</v>
      </c>
      <c r="K1561" s="635"/>
      <c r="L1561" s="635"/>
      <c r="M1561" s="655">
        <f t="shared" si="62"/>
        <v>1149145.3259999999</v>
      </c>
      <c r="N1561" s="61"/>
    </row>
    <row r="1562" spans="1:14" s="242" customFormat="1" ht="14.25" customHeight="1">
      <c r="A1562" s="624">
        <v>379</v>
      </c>
      <c r="B1562" s="625" t="e">
        <f>VLOOKUP(D1562,'[1]DS CN MOI UP'!$B$11:$C$447,2,0)</f>
        <v>#N/A</v>
      </c>
      <c r="C1562" s="626" t="s">
        <v>1436</v>
      </c>
      <c r="D1562" s="630" t="s">
        <v>1192</v>
      </c>
      <c r="E1562" s="630" t="s">
        <v>15</v>
      </c>
      <c r="F1562" s="630"/>
      <c r="G1562" s="635">
        <v>1159179.5249999999</v>
      </c>
      <c r="H1562" s="635"/>
      <c r="I1562" s="655"/>
      <c r="J1562" s="635">
        <f t="shared" si="61"/>
        <v>1159179.5249999999</v>
      </c>
      <c r="K1562" s="635"/>
      <c r="L1562" s="635"/>
      <c r="M1562" s="655">
        <f t="shared" si="62"/>
        <v>1159179.5249999999</v>
      </c>
      <c r="N1562" s="61"/>
    </row>
    <row r="1563" spans="1:14" s="242" customFormat="1" ht="14.25" customHeight="1">
      <c r="A1563" s="624">
        <v>380</v>
      </c>
      <c r="B1563" s="625" t="str">
        <f>VLOOKUP(D1563,'[1]DS CN MOI UP'!$B$11:$C$447,2,0)</f>
        <v>02522</v>
      </c>
      <c r="C1563" s="626" t="s">
        <v>1436</v>
      </c>
      <c r="D1563" s="630" t="s">
        <v>162</v>
      </c>
      <c r="E1563" s="630" t="s">
        <v>15</v>
      </c>
      <c r="F1563" s="630"/>
      <c r="G1563" s="635">
        <v>1239846.615</v>
      </c>
      <c r="H1563" s="635"/>
      <c r="I1563" s="655"/>
      <c r="J1563" s="635">
        <f t="shared" si="61"/>
        <v>1239846.615</v>
      </c>
      <c r="K1563" s="635"/>
      <c r="L1563" s="635"/>
      <c r="M1563" s="655">
        <f t="shared" si="62"/>
        <v>1239846.615</v>
      </c>
      <c r="N1563" s="61"/>
    </row>
    <row r="1564" spans="1:14" s="242" customFormat="1" ht="14.25" customHeight="1">
      <c r="A1564" s="624">
        <v>381</v>
      </c>
      <c r="B1564" s="625" t="str">
        <f>VLOOKUP(D1564,'[1]DS CN MOI UP'!$B$11:$C$447,2,0)</f>
        <v>02666</v>
      </c>
      <c r="C1564" s="626" t="s">
        <v>1436</v>
      </c>
      <c r="D1564" s="630" t="s">
        <v>435</v>
      </c>
      <c r="E1564" s="630" t="s">
        <v>15</v>
      </c>
      <c r="F1564" s="630"/>
      <c r="G1564" s="635">
        <v>1149145.3259999999</v>
      </c>
      <c r="H1564" s="635"/>
      <c r="I1564" s="655"/>
      <c r="J1564" s="635">
        <f t="shared" si="61"/>
        <v>1149145.3259999999</v>
      </c>
      <c r="K1564" s="635"/>
      <c r="L1564" s="635"/>
      <c r="M1564" s="655">
        <f t="shared" si="62"/>
        <v>1149145.3259999999</v>
      </c>
      <c r="N1564" s="61"/>
    </row>
    <row r="1565" spans="1:14" s="242" customFormat="1" ht="14.25" customHeight="1">
      <c r="A1565" s="624">
        <v>382</v>
      </c>
      <c r="B1565" s="625" t="str">
        <f>VLOOKUP(D1565,'[1]DS CN MOI UP'!$B$11:$C$447,2,0)</f>
        <v>02523</v>
      </c>
      <c r="C1565" s="626" t="s">
        <v>1436</v>
      </c>
      <c r="D1565" s="630" t="s">
        <v>169</v>
      </c>
      <c r="E1565" s="630" t="s">
        <v>15</v>
      </c>
      <c r="F1565" s="630"/>
      <c r="G1565" s="635">
        <v>693171.72520034795</v>
      </c>
      <c r="H1565" s="635"/>
      <c r="I1565" s="655"/>
      <c r="J1565" s="635">
        <f t="shared" si="61"/>
        <v>693171.72520034795</v>
      </c>
      <c r="K1565" s="635"/>
      <c r="L1565" s="635"/>
      <c r="M1565" s="655">
        <f t="shared" si="62"/>
        <v>693171.72520034795</v>
      </c>
      <c r="N1565" s="61"/>
    </row>
    <row r="1566" spans="1:14" s="242" customFormat="1" ht="14.25" customHeight="1">
      <c r="A1566" s="624">
        <v>383</v>
      </c>
      <c r="B1566" s="625" t="e">
        <f>VLOOKUP(D1566,'[1]DS CN MOI UP'!$B$11:$C$447,2,0)</f>
        <v>#N/A</v>
      </c>
      <c r="C1566" s="626" t="s">
        <v>1436</v>
      </c>
      <c r="D1566" s="630" t="s">
        <v>1193</v>
      </c>
      <c r="E1566" s="630" t="s">
        <v>15</v>
      </c>
      <c r="F1566" s="630"/>
      <c r="G1566" s="635"/>
      <c r="H1566" s="635">
        <v>373490.343199611</v>
      </c>
      <c r="I1566" s="655">
        <v>889429.39460042701</v>
      </c>
      <c r="J1566" s="635">
        <f t="shared" ref="J1566:J1567" si="63">SUM(G1566:I1566)</f>
        <v>1262919.737800038</v>
      </c>
      <c r="K1566" s="635"/>
      <c r="L1566" s="635"/>
      <c r="M1566" s="655">
        <f t="shared" ref="M1566:M1567" si="64">J1566-L1566</f>
        <v>1262919.737800038</v>
      </c>
      <c r="N1566" s="61"/>
    </row>
    <row r="1567" spans="1:14" s="242" customFormat="1" ht="14.25" customHeight="1">
      <c r="A1567" s="624">
        <v>384</v>
      </c>
      <c r="B1567" s="625" t="str">
        <f>VLOOKUP(D1567,'[1]DS CN MOI UP'!$B$11:$C$447,2,0)</f>
        <v>02524</v>
      </c>
      <c r="C1567" s="626" t="s">
        <v>1436</v>
      </c>
      <c r="D1567" s="630" t="s">
        <v>139</v>
      </c>
      <c r="E1567" s="630" t="s">
        <v>15</v>
      </c>
      <c r="F1567" s="630"/>
      <c r="G1567" s="635"/>
      <c r="H1567" s="635">
        <v>1149145.3259999999</v>
      </c>
      <c r="I1567" s="655"/>
      <c r="J1567" s="635">
        <f t="shared" si="63"/>
        <v>1149145.3259999999</v>
      </c>
      <c r="K1567" s="635"/>
      <c r="L1567" s="635"/>
      <c r="M1567" s="655">
        <f t="shared" si="64"/>
        <v>1149145.3259999999</v>
      </c>
      <c r="N1567" s="61"/>
    </row>
    <row r="1568" spans="1:14" s="242" customFormat="1" ht="14.25" customHeight="1">
      <c r="A1568" s="624">
        <v>385</v>
      </c>
      <c r="B1568" s="625" t="e">
        <f>VLOOKUP(D1568,'[1]DS CN MOI UP'!$B$11:$C$447,2,0)</f>
        <v>#N/A</v>
      </c>
      <c r="C1568" s="626" t="s">
        <v>1437</v>
      </c>
      <c r="D1568" s="630" t="s">
        <v>1194</v>
      </c>
      <c r="E1568" s="630" t="s">
        <v>15</v>
      </c>
      <c r="F1568" s="630"/>
      <c r="G1568" s="635"/>
      <c r="H1568" s="635">
        <v>1239846.615</v>
      </c>
      <c r="I1568" s="655"/>
      <c r="J1568" s="635">
        <f t="shared" si="59"/>
        <v>1239846.615</v>
      </c>
      <c r="K1568" s="635"/>
      <c r="L1568" s="635"/>
      <c r="M1568" s="655">
        <f t="shared" si="60"/>
        <v>1239846.615</v>
      </c>
      <c r="N1568" s="61"/>
    </row>
    <row r="1569" spans="1:15" s="242" customFormat="1" ht="14.25" customHeight="1">
      <c r="A1569" s="624">
        <v>386</v>
      </c>
      <c r="B1569" s="625" t="str">
        <f>VLOOKUP(D1569,'[1]DS CN MOI UP'!$B$11:$C$447,2,0)</f>
        <v>02525</v>
      </c>
      <c r="C1569" s="626" t="s">
        <v>1438</v>
      </c>
      <c r="D1569" s="630" t="s">
        <v>180</v>
      </c>
      <c r="E1569" s="630" t="s">
        <v>15</v>
      </c>
      <c r="F1569" s="630"/>
      <c r="G1569" s="635"/>
      <c r="H1569" s="635">
        <v>1149145.3259999999</v>
      </c>
      <c r="I1569" s="655"/>
      <c r="J1569" s="635">
        <f t="shared" si="59"/>
        <v>1149145.3259999999</v>
      </c>
      <c r="K1569" s="635"/>
      <c r="L1569" s="635"/>
      <c r="M1569" s="655">
        <f t="shared" si="60"/>
        <v>1149145.3259999999</v>
      </c>
      <c r="N1569" s="61"/>
    </row>
    <row r="1570" spans="1:15" s="242" customFormat="1" ht="14.25" customHeight="1">
      <c r="A1570" s="624">
        <v>387</v>
      </c>
      <c r="B1570" s="625" t="e">
        <f>VLOOKUP(D1570,'[1]DS CN MOI UP'!$B$11:$C$447,2,0)</f>
        <v>#N/A</v>
      </c>
      <c r="C1570" s="626" t="s">
        <v>1440</v>
      </c>
      <c r="D1570" s="630" t="s">
        <v>1195</v>
      </c>
      <c r="E1570" s="630" t="s">
        <v>15</v>
      </c>
      <c r="F1570" s="630"/>
      <c r="G1570" s="635"/>
      <c r="H1570" s="635">
        <v>1229038.53819991</v>
      </c>
      <c r="I1570" s="655"/>
      <c r="J1570" s="635">
        <f t="shared" si="59"/>
        <v>1229038.53819991</v>
      </c>
      <c r="K1570" s="635"/>
      <c r="L1570" s="635"/>
      <c r="M1570" s="655">
        <f t="shared" si="60"/>
        <v>1229038.53819991</v>
      </c>
      <c r="N1570" s="61"/>
    </row>
    <row r="1571" spans="1:15" s="242" customFormat="1" ht="14.25" customHeight="1">
      <c r="A1571" s="624">
        <v>388</v>
      </c>
      <c r="B1571" s="625" t="str">
        <f>VLOOKUP(D1571,'[1]DS CN MOI UP'!$B$11:$C$447,2,0)</f>
        <v>02526</v>
      </c>
      <c r="C1571" s="639" t="s">
        <v>1455</v>
      </c>
      <c r="D1571" s="641" t="s">
        <v>129</v>
      </c>
      <c r="E1571" s="630" t="s">
        <v>15</v>
      </c>
      <c r="F1571" s="630"/>
      <c r="G1571" s="635"/>
      <c r="H1571" s="635">
        <v>816498.40260060097</v>
      </c>
      <c r="I1571" s="655">
        <v>189400.86679902699</v>
      </c>
      <c r="J1571" s="635">
        <f t="shared" si="59"/>
        <v>1005899.2693996279</v>
      </c>
      <c r="K1571" s="635"/>
      <c r="L1571" s="635"/>
      <c r="M1571" s="655">
        <f t="shared" si="60"/>
        <v>1005899.2693996279</v>
      </c>
      <c r="N1571" s="61"/>
      <c r="O1571" s="636"/>
    </row>
    <row r="1572" spans="1:15" s="242" customFormat="1" ht="14.25" customHeight="1">
      <c r="A1572" s="624">
        <v>389</v>
      </c>
      <c r="B1572" s="625" t="e">
        <f>VLOOKUP(D1572,'[1]DS CN MOI UP'!$B$11:$C$447,2,0)</f>
        <v>#N/A</v>
      </c>
      <c r="C1572" s="639" t="s">
        <v>1455</v>
      </c>
      <c r="D1572" s="641" t="s">
        <v>1196</v>
      </c>
      <c r="E1572" s="630" t="s">
        <v>15</v>
      </c>
      <c r="F1572" s="630"/>
      <c r="G1572" s="635">
        <v>1159179.5249999999</v>
      </c>
      <c r="H1572" s="635"/>
      <c r="I1572" s="655"/>
      <c r="J1572" s="635">
        <f t="shared" ref="J1572:J1581" si="65">SUM(G1572:I1572)</f>
        <v>1159179.5249999999</v>
      </c>
      <c r="K1572" s="635"/>
      <c r="L1572" s="635"/>
      <c r="M1572" s="655">
        <f t="shared" ref="M1572:M1581" si="66">J1572-L1572</f>
        <v>1159179.5249999999</v>
      </c>
      <c r="N1572" s="61"/>
      <c r="O1572" s="636"/>
    </row>
    <row r="1573" spans="1:15" s="242" customFormat="1" ht="14.25" customHeight="1">
      <c r="A1573" s="624">
        <v>390</v>
      </c>
      <c r="B1573" s="625" t="str">
        <f>VLOOKUP(D1573,'[1]DS CN MOI UP'!$B$11:$C$447,2,0)</f>
        <v>02527</v>
      </c>
      <c r="C1573" s="639" t="s">
        <v>1455</v>
      </c>
      <c r="D1573" s="641" t="s">
        <v>156</v>
      </c>
      <c r="E1573" s="630" t="s">
        <v>15</v>
      </c>
      <c r="F1573" s="630"/>
      <c r="G1573" s="635">
        <v>1149145.3259999999</v>
      </c>
      <c r="H1573" s="635"/>
      <c r="I1573" s="655"/>
      <c r="J1573" s="635">
        <f t="shared" si="65"/>
        <v>1149145.3259999999</v>
      </c>
      <c r="K1573" s="635"/>
      <c r="L1573" s="635"/>
      <c r="M1573" s="655">
        <f t="shared" si="66"/>
        <v>1149145.3259999999</v>
      </c>
      <c r="N1573" s="61"/>
      <c r="O1573" s="636"/>
    </row>
    <row r="1574" spans="1:15" s="242" customFormat="1" ht="14.25" customHeight="1">
      <c r="A1574" s="624">
        <v>391</v>
      </c>
      <c r="B1574" s="625" t="e">
        <f>VLOOKUP(D1574,'[1]DS CN MOI UP'!$B$11:$C$447,2,0)</f>
        <v>#N/A</v>
      </c>
      <c r="C1574" s="639" t="s">
        <v>1455</v>
      </c>
      <c r="D1574" s="641" t="s">
        <v>1197</v>
      </c>
      <c r="E1574" s="630" t="s">
        <v>15</v>
      </c>
      <c r="F1574" s="630"/>
      <c r="G1574" s="635">
        <v>1229038.53819991</v>
      </c>
      <c r="H1574" s="635"/>
      <c r="I1574" s="655"/>
      <c r="J1574" s="635">
        <f t="shared" si="65"/>
        <v>1229038.53819991</v>
      </c>
      <c r="K1574" s="635"/>
      <c r="L1574" s="635"/>
      <c r="M1574" s="655">
        <f t="shared" si="66"/>
        <v>1229038.53819991</v>
      </c>
      <c r="N1574" s="61"/>
      <c r="O1574" s="636"/>
    </row>
    <row r="1575" spans="1:15" s="242" customFormat="1" ht="14.25" customHeight="1">
      <c r="A1575" s="624">
        <v>392</v>
      </c>
      <c r="B1575" s="625" t="str">
        <f>VLOOKUP(D1575,'[1]DS CN MOI UP'!$B$11:$C$447,2,0)</f>
        <v>02528</v>
      </c>
      <c r="C1575" s="639" t="s">
        <v>1455</v>
      </c>
      <c r="D1575" s="641" t="s">
        <v>159</v>
      </c>
      <c r="E1575" s="630" t="s">
        <v>15</v>
      </c>
      <c r="F1575" s="630"/>
      <c r="G1575" s="635">
        <v>1159179.5249999999</v>
      </c>
      <c r="H1575" s="635"/>
      <c r="I1575" s="655"/>
      <c r="J1575" s="635">
        <f t="shared" si="65"/>
        <v>1159179.5249999999</v>
      </c>
      <c r="K1575" s="635"/>
      <c r="L1575" s="635"/>
      <c r="M1575" s="655">
        <f t="shared" si="66"/>
        <v>1159179.5249999999</v>
      </c>
      <c r="N1575" s="61"/>
      <c r="O1575" s="636"/>
    </row>
    <row r="1576" spans="1:15" s="242" customFormat="1" ht="14.25" customHeight="1">
      <c r="A1576" s="624">
        <v>393</v>
      </c>
      <c r="B1576" s="625" t="e">
        <f>VLOOKUP(D1576,'[1]DS CN MOI UP'!$B$11:$C$447,2,0)</f>
        <v>#N/A</v>
      </c>
      <c r="C1576" s="639" t="s">
        <v>1455</v>
      </c>
      <c r="D1576" s="641" t="s">
        <v>1198</v>
      </c>
      <c r="E1576" s="630" t="s">
        <v>15</v>
      </c>
      <c r="F1576" s="630"/>
      <c r="G1576" s="635">
        <v>1239846.615</v>
      </c>
      <c r="H1576" s="635"/>
      <c r="I1576" s="655"/>
      <c r="J1576" s="635">
        <f t="shared" si="65"/>
        <v>1239846.615</v>
      </c>
      <c r="K1576" s="635"/>
      <c r="L1576" s="635"/>
      <c r="M1576" s="655">
        <f t="shared" si="66"/>
        <v>1239846.615</v>
      </c>
      <c r="N1576" s="61"/>
      <c r="O1576" s="636"/>
    </row>
    <row r="1577" spans="1:15" s="242" customFormat="1" ht="14.25" customHeight="1">
      <c r="A1577" s="624">
        <v>394</v>
      </c>
      <c r="B1577" s="625" t="str">
        <f>VLOOKUP(D1577,'[1]DS CN MOI UP'!$B$11:$C$447,2,0)</f>
        <v>03850</v>
      </c>
      <c r="C1577" s="639" t="s">
        <v>1455</v>
      </c>
      <c r="D1577" s="641" t="s">
        <v>449</v>
      </c>
      <c r="E1577" s="630" t="s">
        <v>15</v>
      </c>
      <c r="F1577" s="630"/>
      <c r="G1577" s="635">
        <v>1149145.3259999999</v>
      </c>
      <c r="H1577" s="635"/>
      <c r="I1577" s="655"/>
      <c r="J1577" s="635">
        <f t="shared" si="65"/>
        <v>1149145.3259999999</v>
      </c>
      <c r="K1577" s="635"/>
      <c r="L1577" s="635"/>
      <c r="M1577" s="655">
        <f t="shared" si="66"/>
        <v>1149145.3259999999</v>
      </c>
      <c r="N1577" s="61"/>
      <c r="O1577" s="636"/>
    </row>
    <row r="1578" spans="1:15" s="242" customFormat="1" ht="14.25" customHeight="1">
      <c r="A1578" s="624">
        <v>395</v>
      </c>
      <c r="B1578" s="625" t="e">
        <f>VLOOKUP(D1578,'[1]DS CN MOI UP'!$B$11:$C$447,2,0)</f>
        <v>#N/A</v>
      </c>
      <c r="C1578" s="639" t="s">
        <v>1455</v>
      </c>
      <c r="D1578" s="641" t="s">
        <v>1162</v>
      </c>
      <c r="E1578" s="630" t="s">
        <v>15</v>
      </c>
      <c r="F1578" s="630"/>
      <c r="G1578" s="635">
        <v>1159179.5249999999</v>
      </c>
      <c r="H1578" s="635"/>
      <c r="I1578" s="655"/>
      <c r="J1578" s="635">
        <f t="shared" si="65"/>
        <v>1159179.5249999999</v>
      </c>
      <c r="K1578" s="635"/>
      <c r="L1578" s="635"/>
      <c r="M1578" s="655">
        <f t="shared" si="66"/>
        <v>1159179.5249999999</v>
      </c>
      <c r="N1578" s="61"/>
      <c r="O1578" s="636"/>
    </row>
    <row r="1579" spans="1:15" s="242" customFormat="1" ht="14.25" customHeight="1">
      <c r="A1579" s="624">
        <v>396</v>
      </c>
      <c r="B1579" s="625" t="e">
        <f>VLOOKUP(D1579,'[1]DS CN MOI UP'!$B$11:$C$447,2,0)</f>
        <v>#N/A</v>
      </c>
      <c r="C1579" s="639" t="s">
        <v>1455</v>
      </c>
      <c r="D1579" s="641" t="s">
        <v>1163</v>
      </c>
      <c r="E1579" s="630" t="s">
        <v>15</v>
      </c>
      <c r="F1579" s="630"/>
      <c r="G1579" s="635">
        <v>1239846.615</v>
      </c>
      <c r="H1579" s="635"/>
      <c r="I1579" s="655"/>
      <c r="J1579" s="635">
        <f t="shared" si="65"/>
        <v>1239846.615</v>
      </c>
      <c r="K1579" s="635"/>
      <c r="L1579" s="635"/>
      <c r="M1579" s="655">
        <f t="shared" si="66"/>
        <v>1239846.615</v>
      </c>
      <c r="N1579" s="61"/>
      <c r="O1579" s="636"/>
    </row>
    <row r="1580" spans="1:15" s="242" customFormat="1" ht="14.25" customHeight="1">
      <c r="A1580" s="624">
        <v>397</v>
      </c>
      <c r="B1580" s="625" t="e">
        <f>VLOOKUP(D1580,'[1]DS CN MOI UP'!$B$11:$C$447,2,0)</f>
        <v>#N/A</v>
      </c>
      <c r="C1580" s="639" t="s">
        <v>1455</v>
      </c>
      <c r="D1580" s="641" t="s">
        <v>916</v>
      </c>
      <c r="E1580" s="630" t="s">
        <v>15</v>
      </c>
      <c r="F1580" s="630"/>
      <c r="G1580" s="635">
        <v>1159179.5249999999</v>
      </c>
      <c r="H1580" s="635"/>
      <c r="I1580" s="655"/>
      <c r="J1580" s="635">
        <f t="shared" si="65"/>
        <v>1159179.5249999999</v>
      </c>
      <c r="K1580" s="635"/>
      <c r="L1580" s="635"/>
      <c r="M1580" s="655">
        <f t="shared" si="66"/>
        <v>1159179.5249999999</v>
      </c>
      <c r="N1580" s="61"/>
      <c r="O1580" s="636"/>
    </row>
    <row r="1581" spans="1:15" s="242" customFormat="1" ht="14.25" customHeight="1">
      <c r="A1581" s="624">
        <v>398</v>
      </c>
      <c r="B1581" s="625" t="e">
        <f>VLOOKUP(D1581,'[1]DS CN MOI UP'!$B$11:$C$447,2,0)</f>
        <v>#N/A</v>
      </c>
      <c r="C1581" s="639" t="s">
        <v>1455</v>
      </c>
      <c r="D1581" s="641" t="s">
        <v>1164</v>
      </c>
      <c r="E1581" s="630" t="s">
        <v>15</v>
      </c>
      <c r="F1581" s="630"/>
      <c r="G1581" s="635">
        <v>1149145.3259999999</v>
      </c>
      <c r="H1581" s="635"/>
      <c r="I1581" s="655"/>
      <c r="J1581" s="635">
        <f t="shared" si="65"/>
        <v>1149145.3259999999</v>
      </c>
      <c r="K1581" s="635"/>
      <c r="L1581" s="635"/>
      <c r="M1581" s="655">
        <f t="shared" si="66"/>
        <v>1149145.3259999999</v>
      </c>
      <c r="N1581" s="61"/>
      <c r="O1581" s="636"/>
    </row>
    <row r="1582" spans="1:15" s="242" customFormat="1" ht="14.25" customHeight="1">
      <c r="A1582" s="624">
        <v>399</v>
      </c>
      <c r="B1582" s="625" t="e">
        <f>VLOOKUP(D1582,'[1]DS CN MOI UP'!$B$11:$C$447,2,0)</f>
        <v>#N/A</v>
      </c>
      <c r="C1582" s="639" t="s">
        <v>1455</v>
      </c>
      <c r="D1582" s="641" t="s">
        <v>1165</v>
      </c>
      <c r="E1582" s="630" t="s">
        <v>15</v>
      </c>
      <c r="F1582" s="630"/>
      <c r="G1582" s="635">
        <v>1229038.53819991</v>
      </c>
      <c r="H1582" s="635"/>
      <c r="I1582" s="655"/>
      <c r="J1582" s="635">
        <f t="shared" si="59"/>
        <v>1229038.53819991</v>
      </c>
      <c r="K1582" s="635"/>
      <c r="L1582" s="635"/>
      <c r="M1582" s="655">
        <f t="shared" si="60"/>
        <v>1229038.53819991</v>
      </c>
      <c r="N1582" s="61"/>
      <c r="O1582" s="636"/>
    </row>
    <row r="1583" spans="1:15" s="242" customFormat="1" ht="14.25" customHeight="1">
      <c r="A1583" s="624">
        <v>400</v>
      </c>
      <c r="B1583" s="625" t="e">
        <f>VLOOKUP(D1583,'[1]DS CN MOI UP'!$B$11:$C$447,2,0)</f>
        <v>#N/A</v>
      </c>
      <c r="C1583" s="639" t="s">
        <v>1455</v>
      </c>
      <c r="D1583" s="641" t="s">
        <v>701</v>
      </c>
      <c r="E1583" s="630" t="s">
        <v>15</v>
      </c>
      <c r="F1583" s="630"/>
      <c r="G1583" s="635">
        <v>1159179.5249999999</v>
      </c>
      <c r="H1583" s="635"/>
      <c r="I1583" s="655"/>
      <c r="J1583" s="635">
        <f t="shared" si="59"/>
        <v>1159179.5249999999</v>
      </c>
      <c r="K1583" s="635"/>
      <c r="L1583" s="635"/>
      <c r="M1583" s="655">
        <f t="shared" si="60"/>
        <v>1159179.5249999999</v>
      </c>
      <c r="N1583" s="61"/>
      <c r="O1583" s="636"/>
    </row>
    <row r="1584" spans="1:15" s="242" customFormat="1" ht="14.25" customHeight="1">
      <c r="A1584" s="624">
        <v>401</v>
      </c>
      <c r="B1584" s="625" t="str">
        <f>VLOOKUP(D1584,'[1]DS CN MOI UP'!$B$11:$C$447,2,0)</f>
        <v>02532</v>
      </c>
      <c r="C1584" s="639" t="s">
        <v>1455</v>
      </c>
      <c r="D1584" s="641" t="s">
        <v>158</v>
      </c>
      <c r="E1584" s="630" t="s">
        <v>15</v>
      </c>
      <c r="F1584" s="630"/>
      <c r="G1584" s="635">
        <v>1239846.615</v>
      </c>
      <c r="H1584" s="635"/>
      <c r="I1584" s="655"/>
      <c r="J1584" s="635">
        <f t="shared" si="59"/>
        <v>1239846.615</v>
      </c>
      <c r="K1584" s="635"/>
      <c r="L1584" s="635"/>
      <c r="M1584" s="655">
        <f t="shared" si="60"/>
        <v>1239846.615</v>
      </c>
      <c r="N1584" s="61"/>
      <c r="O1584" s="636"/>
    </row>
    <row r="1585" spans="1:15" s="242" customFormat="1" ht="14.25" customHeight="1">
      <c r="A1585" s="624">
        <v>402</v>
      </c>
      <c r="B1585" s="625" t="e">
        <f>VLOOKUP(D1585,'[1]DS CN MOI UP'!$B$11:$C$447,2,0)</f>
        <v>#N/A</v>
      </c>
      <c r="C1585" s="639" t="s">
        <v>1455</v>
      </c>
      <c r="D1585" s="641" t="s">
        <v>1167</v>
      </c>
      <c r="E1585" s="630" t="s">
        <v>15</v>
      </c>
      <c r="F1585" s="630"/>
      <c r="G1585" s="635">
        <v>1149145.3259999999</v>
      </c>
      <c r="H1585" s="635"/>
      <c r="I1585" s="655"/>
      <c r="J1585" s="635">
        <f t="shared" si="59"/>
        <v>1149145.3259999999</v>
      </c>
      <c r="K1585" s="635"/>
      <c r="L1585" s="635"/>
      <c r="M1585" s="655">
        <f t="shared" si="60"/>
        <v>1149145.3259999999</v>
      </c>
      <c r="N1585" s="61"/>
      <c r="O1585" s="636"/>
    </row>
    <row r="1586" spans="1:15" s="242" customFormat="1" ht="14.25" customHeight="1">
      <c r="A1586" s="624">
        <v>403</v>
      </c>
      <c r="B1586" s="625" t="e">
        <f>VLOOKUP(D1586,'[1]DS CN MOI UP'!$B$11:$C$447,2,0)</f>
        <v>#N/A</v>
      </c>
      <c r="C1586" s="639" t="s">
        <v>1455</v>
      </c>
      <c r="D1586" s="641" t="s">
        <v>1168</v>
      </c>
      <c r="E1586" s="630" t="s">
        <v>15</v>
      </c>
      <c r="F1586" s="630"/>
      <c r="G1586" s="635">
        <v>1159179.5249999999</v>
      </c>
      <c r="H1586" s="635"/>
      <c r="I1586" s="655"/>
      <c r="J1586" s="635">
        <f t="shared" si="59"/>
        <v>1159179.5249999999</v>
      </c>
      <c r="K1586" s="635"/>
      <c r="L1586" s="635"/>
      <c r="M1586" s="655">
        <f t="shared" si="60"/>
        <v>1159179.5249999999</v>
      </c>
      <c r="N1586" s="61"/>
      <c r="O1586" s="636"/>
    </row>
    <row r="1587" spans="1:15" s="242" customFormat="1" ht="14.25" customHeight="1">
      <c r="A1587" s="624">
        <v>404</v>
      </c>
      <c r="B1587" s="625" t="e">
        <f>VLOOKUP(D1587,'[1]DS CN MOI UP'!$B$11:$C$447,2,0)</f>
        <v>#N/A</v>
      </c>
      <c r="C1587" s="639" t="s">
        <v>1455</v>
      </c>
      <c r="D1587" s="641" t="s">
        <v>1543</v>
      </c>
      <c r="E1587" s="630" t="s">
        <v>15</v>
      </c>
      <c r="F1587" s="630"/>
      <c r="G1587" s="635">
        <v>1239846.615</v>
      </c>
      <c r="H1587" s="635"/>
      <c r="I1587" s="655"/>
      <c r="J1587" s="635">
        <f t="shared" si="59"/>
        <v>1239846.615</v>
      </c>
      <c r="K1587" s="635"/>
      <c r="L1587" s="635"/>
      <c r="M1587" s="655">
        <f t="shared" si="60"/>
        <v>1239846.615</v>
      </c>
      <c r="N1587" s="61"/>
      <c r="O1587" s="636"/>
    </row>
    <row r="1588" spans="1:15" s="242" customFormat="1" ht="14.25" customHeight="1">
      <c r="A1588" s="624">
        <v>405</v>
      </c>
      <c r="B1588" s="625" t="str">
        <f>VLOOKUP(D1588,'[1]DS CN MOI UP'!$B$11:$C$447,2,0)</f>
        <v>02533</v>
      </c>
      <c r="C1588" s="639" t="s">
        <v>1455</v>
      </c>
      <c r="D1588" s="641" t="s">
        <v>198</v>
      </c>
      <c r="E1588" s="630" t="s">
        <v>15</v>
      </c>
      <c r="F1588" s="630"/>
      <c r="G1588" s="635">
        <v>1159179.5249999999</v>
      </c>
      <c r="H1588" s="635"/>
      <c r="I1588" s="655"/>
      <c r="J1588" s="635">
        <f t="shared" si="59"/>
        <v>1159179.5249999999</v>
      </c>
      <c r="K1588" s="635"/>
      <c r="L1588" s="635"/>
      <c r="M1588" s="655">
        <f t="shared" si="60"/>
        <v>1159179.5249999999</v>
      </c>
      <c r="N1588" s="61"/>
      <c r="O1588" s="636"/>
    </row>
    <row r="1589" spans="1:15" s="242" customFormat="1" ht="14.25" customHeight="1">
      <c r="A1589" s="624">
        <v>406</v>
      </c>
      <c r="B1589" s="625" t="e">
        <f>VLOOKUP(D1589,'[1]DS CN MOI UP'!$B$11:$C$447,2,0)</f>
        <v>#N/A</v>
      </c>
      <c r="C1589" s="639" t="s">
        <v>1455</v>
      </c>
      <c r="D1589" s="641" t="s">
        <v>1169</v>
      </c>
      <c r="E1589" s="630" t="s">
        <v>15</v>
      </c>
      <c r="F1589" s="630"/>
      <c r="G1589" s="635">
        <v>1149145.3259999999</v>
      </c>
      <c r="H1589" s="635"/>
      <c r="I1589" s="655"/>
      <c r="J1589" s="635">
        <f t="shared" si="59"/>
        <v>1149145.3259999999</v>
      </c>
      <c r="K1589" s="635"/>
      <c r="L1589" s="635"/>
      <c r="M1589" s="655">
        <f t="shared" si="60"/>
        <v>1149145.3259999999</v>
      </c>
      <c r="N1589" s="61"/>
      <c r="O1589" s="636"/>
    </row>
    <row r="1590" spans="1:15" s="242" customFormat="1" ht="14.25" customHeight="1">
      <c r="A1590" s="624">
        <v>407</v>
      </c>
      <c r="B1590" s="625" t="e">
        <f>VLOOKUP(D1590,'[1]DS CN MOI UP'!$B$11:$C$447,2,0)</f>
        <v>#N/A</v>
      </c>
      <c r="C1590" s="639" t="s">
        <v>1455</v>
      </c>
      <c r="D1590" s="641" t="s">
        <v>1199</v>
      </c>
      <c r="E1590" s="630" t="s">
        <v>15</v>
      </c>
      <c r="F1590" s="630"/>
      <c r="G1590" s="635">
        <v>1229038.53819991</v>
      </c>
      <c r="H1590" s="635"/>
      <c r="I1590" s="655"/>
      <c r="J1590" s="635">
        <f t="shared" si="59"/>
        <v>1229038.53819991</v>
      </c>
      <c r="K1590" s="635"/>
      <c r="L1590" s="635"/>
      <c r="M1590" s="655">
        <f t="shared" si="60"/>
        <v>1229038.53819991</v>
      </c>
      <c r="N1590" s="61"/>
      <c r="O1590" s="636"/>
    </row>
    <row r="1591" spans="1:15" s="242" customFormat="1" ht="14.25" customHeight="1">
      <c r="A1591" s="624">
        <v>408</v>
      </c>
      <c r="B1591" s="625" t="e">
        <f>VLOOKUP(D1591,'[1]DS CN MOI UP'!$B$11:$C$447,2,0)</f>
        <v>#N/A</v>
      </c>
      <c r="C1591" s="639" t="s">
        <v>1455</v>
      </c>
      <c r="D1591" s="641" t="s">
        <v>567</v>
      </c>
      <c r="E1591" s="630" t="s">
        <v>15</v>
      </c>
      <c r="F1591" s="630"/>
      <c r="G1591" s="635">
        <v>1159179.5249999999</v>
      </c>
      <c r="H1591" s="635"/>
      <c r="I1591" s="655"/>
      <c r="J1591" s="635">
        <f t="shared" si="59"/>
        <v>1159179.5249999999</v>
      </c>
      <c r="K1591" s="635"/>
      <c r="L1591" s="635"/>
      <c r="M1591" s="655">
        <f t="shared" si="60"/>
        <v>1159179.5249999999</v>
      </c>
      <c r="N1591" s="61"/>
      <c r="O1591" s="636"/>
    </row>
    <row r="1592" spans="1:15" s="242" customFormat="1" ht="14.25" customHeight="1">
      <c r="A1592" s="624">
        <v>409</v>
      </c>
      <c r="B1592" s="625" t="e">
        <f>VLOOKUP(D1592,'[1]DS CN MOI UP'!$B$11:$C$447,2,0)</f>
        <v>#N/A</v>
      </c>
      <c r="C1592" s="639" t="s">
        <v>1455</v>
      </c>
      <c r="D1592" s="641" t="s">
        <v>1170</v>
      </c>
      <c r="E1592" s="630" t="s">
        <v>15</v>
      </c>
      <c r="F1592" s="630"/>
      <c r="G1592" s="635">
        <v>1239846.615</v>
      </c>
      <c r="H1592" s="635"/>
      <c r="I1592" s="655"/>
      <c r="J1592" s="635">
        <f t="shared" ref="J1592:J1601" si="67">SUM(G1592:I1592)</f>
        <v>1239846.615</v>
      </c>
      <c r="K1592" s="635"/>
      <c r="L1592" s="635"/>
      <c r="M1592" s="655">
        <f t="shared" ref="M1592:M1601" si="68">J1592-L1592</f>
        <v>1239846.615</v>
      </c>
      <c r="N1592" s="61"/>
      <c r="O1592" s="636"/>
    </row>
    <row r="1593" spans="1:15" s="242" customFormat="1" ht="14.25" customHeight="1">
      <c r="A1593" s="624">
        <v>410</v>
      </c>
      <c r="B1593" s="625" t="str">
        <f>VLOOKUP(D1593,'[1]DS CN MOI UP'!$B$11:$C$447,2,0)</f>
        <v>02535</v>
      </c>
      <c r="C1593" s="639" t="s">
        <v>1455</v>
      </c>
      <c r="D1593" s="641" t="s">
        <v>165</v>
      </c>
      <c r="E1593" s="630" t="s">
        <v>15</v>
      </c>
      <c r="F1593" s="630"/>
      <c r="G1593" s="635">
        <v>1149145.3259999999</v>
      </c>
      <c r="H1593" s="635"/>
      <c r="I1593" s="655"/>
      <c r="J1593" s="635">
        <f t="shared" si="67"/>
        <v>1149145.3259999999</v>
      </c>
      <c r="K1593" s="635"/>
      <c r="L1593" s="635"/>
      <c r="M1593" s="655">
        <f t="shared" si="68"/>
        <v>1149145.3259999999</v>
      </c>
      <c r="N1593" s="61"/>
      <c r="O1593" s="636"/>
    </row>
    <row r="1594" spans="1:15" s="242" customFormat="1" ht="14.25" customHeight="1">
      <c r="A1594" s="624">
        <v>411</v>
      </c>
      <c r="B1594" s="625" t="e">
        <f>VLOOKUP(D1594,'[1]DS CN MOI UP'!$B$11:$C$447,2,0)</f>
        <v>#N/A</v>
      </c>
      <c r="C1594" s="639" t="s">
        <v>1455</v>
      </c>
      <c r="D1594" s="641" t="s">
        <v>1171</v>
      </c>
      <c r="E1594" s="630" t="s">
        <v>15</v>
      </c>
      <c r="F1594" s="630"/>
      <c r="G1594" s="635">
        <v>1159179.5249999999</v>
      </c>
      <c r="H1594" s="635"/>
      <c r="I1594" s="655"/>
      <c r="J1594" s="635">
        <f t="shared" si="67"/>
        <v>1159179.5249999999</v>
      </c>
      <c r="K1594" s="635"/>
      <c r="L1594" s="635"/>
      <c r="M1594" s="655">
        <f t="shared" si="68"/>
        <v>1159179.5249999999</v>
      </c>
      <c r="N1594" s="61"/>
      <c r="O1594" s="636"/>
    </row>
    <row r="1595" spans="1:15" s="242" customFormat="1" ht="14.25" customHeight="1">
      <c r="A1595" s="624">
        <v>412</v>
      </c>
      <c r="B1595" s="625" t="str">
        <f>VLOOKUP(D1595,'[1]DS CN MOI UP'!$B$11:$C$447,2,0)</f>
        <v>02536</v>
      </c>
      <c r="C1595" s="639" t="s">
        <v>1455</v>
      </c>
      <c r="D1595" s="641" t="s">
        <v>155</v>
      </c>
      <c r="E1595" s="630" t="s">
        <v>15</v>
      </c>
      <c r="F1595" s="630"/>
      <c r="G1595" s="635">
        <v>1239846.615</v>
      </c>
      <c r="H1595" s="635"/>
      <c r="I1595" s="655"/>
      <c r="J1595" s="635">
        <f t="shared" si="67"/>
        <v>1239846.615</v>
      </c>
      <c r="K1595" s="635"/>
      <c r="L1595" s="635"/>
      <c r="M1595" s="655">
        <f t="shared" si="68"/>
        <v>1239846.615</v>
      </c>
      <c r="N1595" s="61"/>
      <c r="O1595" s="636"/>
    </row>
    <row r="1596" spans="1:15" s="242" customFormat="1" ht="14.25" customHeight="1">
      <c r="A1596" s="624">
        <v>413</v>
      </c>
      <c r="B1596" s="625" t="e">
        <f>VLOOKUP(D1596,'[1]DS CN MOI UP'!$B$11:$C$447,2,0)</f>
        <v>#N/A</v>
      </c>
      <c r="C1596" s="639" t="s">
        <v>1455</v>
      </c>
      <c r="D1596" s="641" t="s">
        <v>1172</v>
      </c>
      <c r="E1596" s="630" t="s">
        <v>15</v>
      </c>
      <c r="F1596" s="630"/>
      <c r="G1596" s="635">
        <v>1239846.615</v>
      </c>
      <c r="H1596" s="635"/>
      <c r="I1596" s="655"/>
      <c r="J1596" s="635">
        <f t="shared" si="67"/>
        <v>1239846.615</v>
      </c>
      <c r="K1596" s="635"/>
      <c r="L1596" s="635"/>
      <c r="M1596" s="655">
        <f t="shared" si="68"/>
        <v>1239846.615</v>
      </c>
      <c r="N1596" s="61"/>
      <c r="O1596" s="636"/>
    </row>
    <row r="1597" spans="1:15" s="242" customFormat="1" ht="14.25" customHeight="1">
      <c r="A1597" s="624">
        <v>414</v>
      </c>
      <c r="B1597" s="625" t="e">
        <f>VLOOKUP(D1597,'[1]DS CN MOI UP'!$B$11:$C$447,2,0)</f>
        <v>#N/A</v>
      </c>
      <c r="C1597" s="639" t="s">
        <v>1455</v>
      </c>
      <c r="D1597" s="641" t="s">
        <v>1173</v>
      </c>
      <c r="E1597" s="630" t="s">
        <v>15</v>
      </c>
      <c r="F1597" s="630"/>
      <c r="G1597" s="635">
        <v>1149145.3259999999</v>
      </c>
      <c r="H1597" s="635"/>
      <c r="I1597" s="655"/>
      <c r="J1597" s="635">
        <f t="shared" si="67"/>
        <v>1149145.3259999999</v>
      </c>
      <c r="K1597" s="635"/>
      <c r="L1597" s="635"/>
      <c r="M1597" s="655">
        <f t="shared" si="68"/>
        <v>1149145.3259999999</v>
      </c>
      <c r="N1597" s="61"/>
      <c r="O1597" s="636"/>
    </row>
    <row r="1598" spans="1:15" s="242" customFormat="1" ht="14.25" customHeight="1">
      <c r="A1598" s="624">
        <v>415</v>
      </c>
      <c r="B1598" s="625" t="e">
        <f>VLOOKUP(D1598,'[1]DS CN MOI UP'!$B$11:$C$447,2,0)</f>
        <v>#N/A</v>
      </c>
      <c r="C1598" s="639" t="s">
        <v>1455</v>
      </c>
      <c r="D1598" s="641" t="s">
        <v>1200</v>
      </c>
      <c r="E1598" s="630" t="s">
        <v>15</v>
      </c>
      <c r="F1598" s="630"/>
      <c r="G1598" s="635">
        <v>1159179.5249999999</v>
      </c>
      <c r="H1598" s="635"/>
      <c r="I1598" s="655"/>
      <c r="J1598" s="635">
        <f t="shared" si="67"/>
        <v>1159179.5249999999</v>
      </c>
      <c r="K1598" s="635"/>
      <c r="L1598" s="635"/>
      <c r="M1598" s="655">
        <f t="shared" si="68"/>
        <v>1159179.5249999999</v>
      </c>
      <c r="N1598" s="61"/>
      <c r="O1598" s="636"/>
    </row>
    <row r="1599" spans="1:15" s="242" customFormat="1" ht="14.25" customHeight="1">
      <c r="A1599" s="624">
        <v>416</v>
      </c>
      <c r="B1599" s="625" t="str">
        <f>VLOOKUP(D1599,'[1]DS CN MOI UP'!$B$11:$C$447,2,0)</f>
        <v>02538</v>
      </c>
      <c r="C1599" s="639" t="s">
        <v>1455</v>
      </c>
      <c r="D1599" s="641" t="s">
        <v>150</v>
      </c>
      <c r="E1599" s="630" t="s">
        <v>15</v>
      </c>
      <c r="F1599" s="630"/>
      <c r="G1599" s="635">
        <v>1239846.615</v>
      </c>
      <c r="H1599" s="635"/>
      <c r="I1599" s="655"/>
      <c r="J1599" s="635">
        <f t="shared" si="67"/>
        <v>1239846.615</v>
      </c>
      <c r="K1599" s="635"/>
      <c r="L1599" s="635"/>
      <c r="M1599" s="655">
        <f t="shared" si="68"/>
        <v>1239846.615</v>
      </c>
      <c r="N1599" s="61"/>
      <c r="O1599" s="636"/>
    </row>
    <row r="1600" spans="1:15" s="242" customFormat="1" ht="14.25" customHeight="1">
      <c r="A1600" s="624">
        <v>417</v>
      </c>
      <c r="B1600" s="625" t="e">
        <f>VLOOKUP(D1600,'[1]DS CN MOI UP'!$B$11:$C$447,2,0)</f>
        <v>#N/A</v>
      </c>
      <c r="C1600" s="639" t="s">
        <v>1455</v>
      </c>
      <c r="D1600" s="641" t="s">
        <v>1201</v>
      </c>
      <c r="E1600" s="630" t="s">
        <v>15</v>
      </c>
      <c r="F1600" s="630"/>
      <c r="G1600" s="635"/>
      <c r="H1600" s="635">
        <v>1229038.53819991</v>
      </c>
      <c r="I1600" s="655"/>
      <c r="J1600" s="635">
        <f t="shared" si="67"/>
        <v>1229038.53819991</v>
      </c>
      <c r="K1600" s="635"/>
      <c r="L1600" s="635"/>
      <c r="M1600" s="655">
        <f t="shared" si="68"/>
        <v>1229038.53819991</v>
      </c>
      <c r="N1600" s="61"/>
      <c r="O1600" s="636"/>
    </row>
    <row r="1601" spans="1:15" s="242" customFormat="1" ht="14.25" customHeight="1">
      <c r="A1601" s="624">
        <v>418</v>
      </c>
      <c r="B1601" s="625" t="str">
        <f>VLOOKUP(D1601,'[1]DS CN MOI UP'!$B$11:$C$447,2,0)</f>
        <v>02539</v>
      </c>
      <c r="C1601" s="639" t="s">
        <v>1455</v>
      </c>
      <c r="D1601" s="641" t="s">
        <v>195</v>
      </c>
      <c r="E1601" s="630" t="s">
        <v>15</v>
      </c>
      <c r="F1601" s="630"/>
      <c r="G1601" s="635"/>
      <c r="H1601" s="635">
        <v>1159179.5249999999</v>
      </c>
      <c r="I1601" s="655"/>
      <c r="J1601" s="635">
        <f t="shared" si="67"/>
        <v>1159179.5249999999</v>
      </c>
      <c r="K1601" s="635"/>
      <c r="L1601" s="635"/>
      <c r="M1601" s="655">
        <f t="shared" si="68"/>
        <v>1159179.5249999999</v>
      </c>
      <c r="N1601" s="61"/>
      <c r="O1601" s="636"/>
    </row>
    <row r="1602" spans="1:15" s="242" customFormat="1" ht="14.25" customHeight="1">
      <c r="A1602" s="624">
        <v>419</v>
      </c>
      <c r="B1602" s="625" t="e">
        <f>VLOOKUP(D1602,'[1]DS CN MOI UP'!$B$11:$C$447,2,0)</f>
        <v>#N/A</v>
      </c>
      <c r="C1602" s="639" t="s">
        <v>1455</v>
      </c>
      <c r="D1602" s="641" t="s">
        <v>1174</v>
      </c>
      <c r="E1602" s="630" t="s">
        <v>15</v>
      </c>
      <c r="F1602" s="630"/>
      <c r="G1602" s="635"/>
      <c r="H1602" s="635">
        <v>1239846.615</v>
      </c>
      <c r="I1602" s="655"/>
      <c r="J1602" s="635">
        <f t="shared" si="59"/>
        <v>1239846.615</v>
      </c>
      <c r="K1602" s="635"/>
      <c r="L1602" s="635"/>
      <c r="M1602" s="655">
        <f t="shared" si="60"/>
        <v>1239846.615</v>
      </c>
      <c r="N1602" s="61"/>
      <c r="O1602" s="636"/>
    </row>
    <row r="1603" spans="1:15" s="242" customFormat="1" ht="14.25" customHeight="1">
      <c r="A1603" s="624">
        <v>420</v>
      </c>
      <c r="B1603" s="625" t="e">
        <f>VLOOKUP(D1603,'[1]DS CN MOI UP'!$B$11:$C$447,2,0)</f>
        <v>#N/A</v>
      </c>
      <c r="C1603" s="639" t="s">
        <v>1455</v>
      </c>
      <c r="D1603" s="641" t="s">
        <v>1175</v>
      </c>
      <c r="E1603" s="630" t="s">
        <v>15</v>
      </c>
      <c r="F1603" s="630"/>
      <c r="G1603" s="635"/>
      <c r="H1603" s="635">
        <v>1149145.3259999999</v>
      </c>
      <c r="I1603" s="655"/>
      <c r="J1603" s="635">
        <f t="shared" si="59"/>
        <v>1149145.3259999999</v>
      </c>
      <c r="K1603" s="635"/>
      <c r="L1603" s="635"/>
      <c r="M1603" s="655">
        <f t="shared" si="60"/>
        <v>1149145.3259999999</v>
      </c>
      <c r="N1603" s="61"/>
      <c r="O1603" s="636"/>
    </row>
    <row r="1604" spans="1:15" s="242" customFormat="1" ht="14.25" customHeight="1">
      <c r="A1604" s="624">
        <v>421</v>
      </c>
      <c r="B1604" s="625" t="e">
        <f>VLOOKUP(D1604,'[1]DS CN MOI UP'!$B$11:$C$447,2,0)</f>
        <v>#N/A</v>
      </c>
      <c r="C1604" s="639" t="s">
        <v>1455</v>
      </c>
      <c r="D1604" s="641" t="s">
        <v>1176</v>
      </c>
      <c r="E1604" s="630" t="s">
        <v>15</v>
      </c>
      <c r="F1604" s="630"/>
      <c r="G1604" s="635"/>
      <c r="H1604" s="635">
        <v>1159179.5249999999</v>
      </c>
      <c r="I1604" s="655"/>
      <c r="J1604" s="635">
        <f t="shared" si="59"/>
        <v>1159179.5249999999</v>
      </c>
      <c r="K1604" s="635"/>
      <c r="L1604" s="635"/>
      <c r="M1604" s="655">
        <f t="shared" si="60"/>
        <v>1159179.5249999999</v>
      </c>
      <c r="N1604" s="61"/>
      <c r="O1604" s="636"/>
    </row>
    <row r="1605" spans="1:15" s="242" customFormat="1" ht="14.25" customHeight="1">
      <c r="A1605" s="624">
        <v>422</v>
      </c>
      <c r="B1605" s="625" t="e">
        <f>VLOOKUP(D1605,'[1]DS CN MOI UP'!$B$11:$C$447,2,0)</f>
        <v>#N/A</v>
      </c>
      <c r="C1605" s="639" t="s">
        <v>1455</v>
      </c>
      <c r="D1605" s="641" t="s">
        <v>1202</v>
      </c>
      <c r="E1605" s="630" t="s">
        <v>15</v>
      </c>
      <c r="F1605" s="630"/>
      <c r="G1605" s="635"/>
      <c r="H1605" s="635">
        <v>1239846.615</v>
      </c>
      <c r="I1605" s="655"/>
      <c r="J1605" s="635">
        <f t="shared" si="59"/>
        <v>1239846.615</v>
      </c>
      <c r="K1605" s="635"/>
      <c r="L1605" s="635"/>
      <c r="M1605" s="655">
        <f t="shared" si="60"/>
        <v>1239846.615</v>
      </c>
      <c r="N1605" s="61"/>
      <c r="O1605" s="636"/>
    </row>
    <row r="1606" spans="1:15" s="242" customFormat="1" ht="14.25" customHeight="1">
      <c r="A1606" s="624">
        <v>423</v>
      </c>
      <c r="B1606" s="625" t="str">
        <f>VLOOKUP(D1606,'[1]DS CN MOI UP'!$B$11:$C$447,2,0)</f>
        <v>02541</v>
      </c>
      <c r="C1606" s="639" t="s">
        <v>1455</v>
      </c>
      <c r="D1606" s="641" t="s">
        <v>185</v>
      </c>
      <c r="E1606" s="630" t="s">
        <v>15</v>
      </c>
      <c r="F1606" s="630"/>
      <c r="G1606" s="635"/>
      <c r="H1606" s="635">
        <v>1159179.5249999999</v>
      </c>
      <c r="I1606" s="655"/>
      <c r="J1606" s="635">
        <f t="shared" si="59"/>
        <v>1159179.5249999999</v>
      </c>
      <c r="K1606" s="635"/>
      <c r="L1606" s="635"/>
      <c r="M1606" s="655">
        <f t="shared" si="60"/>
        <v>1159179.5249999999</v>
      </c>
      <c r="N1606" s="61"/>
      <c r="O1606" s="636"/>
    </row>
    <row r="1607" spans="1:15" s="242" customFormat="1" ht="14.25" customHeight="1">
      <c r="A1607" s="624">
        <v>424</v>
      </c>
      <c r="B1607" s="625" t="e">
        <f>VLOOKUP(D1607,'[1]DS CN MOI UP'!$B$11:$C$447,2,0)</f>
        <v>#N/A</v>
      </c>
      <c r="C1607" s="639" t="s">
        <v>1455</v>
      </c>
      <c r="D1607" s="641" t="s">
        <v>1177</v>
      </c>
      <c r="E1607" s="630" t="s">
        <v>15</v>
      </c>
      <c r="F1607" s="630"/>
      <c r="G1607" s="635"/>
      <c r="H1607" s="635">
        <v>1149145.3259999999</v>
      </c>
      <c r="I1607" s="655"/>
      <c r="J1607" s="635">
        <f t="shared" ref="J1607:J1611" si="69">SUM(G1607:I1607)</f>
        <v>1149145.3259999999</v>
      </c>
      <c r="K1607" s="635"/>
      <c r="L1607" s="635"/>
      <c r="M1607" s="655">
        <f t="shared" ref="M1607:M1611" si="70">J1607-L1607</f>
        <v>1149145.3259999999</v>
      </c>
      <c r="N1607" s="61"/>
      <c r="O1607" s="636"/>
    </row>
    <row r="1608" spans="1:15" s="242" customFormat="1" ht="14.25" customHeight="1">
      <c r="A1608" s="624">
        <v>425</v>
      </c>
      <c r="B1608" s="625" t="e">
        <f>VLOOKUP(D1608,'[1]DS CN MOI UP'!$B$11:$C$447,2,0)</f>
        <v>#N/A</v>
      </c>
      <c r="C1608" s="639" t="s">
        <v>1455</v>
      </c>
      <c r="D1608" s="641" t="s">
        <v>1501</v>
      </c>
      <c r="E1608" s="630" t="s">
        <v>15</v>
      </c>
      <c r="F1608" s="630"/>
      <c r="G1608" s="635"/>
      <c r="H1608" s="635">
        <v>1229038.53819991</v>
      </c>
      <c r="I1608" s="655"/>
      <c r="J1608" s="635">
        <f t="shared" si="69"/>
        <v>1229038.53819991</v>
      </c>
      <c r="K1608" s="635"/>
      <c r="L1608" s="635"/>
      <c r="M1608" s="655">
        <f t="shared" si="70"/>
        <v>1229038.53819991</v>
      </c>
      <c r="N1608" s="61"/>
      <c r="O1608" s="636"/>
    </row>
    <row r="1609" spans="1:15" s="242" customFormat="1" ht="14.25" customHeight="1">
      <c r="A1609" s="624">
        <v>426</v>
      </c>
      <c r="B1609" s="625" t="e">
        <f>VLOOKUP(D1609,'[1]DS CN MOI UP'!$B$11:$C$447,2,0)</f>
        <v>#N/A</v>
      </c>
      <c r="C1609" s="639" t="s">
        <v>1455</v>
      </c>
      <c r="D1609" s="641" t="s">
        <v>1502</v>
      </c>
      <c r="E1609" s="630" t="s">
        <v>15</v>
      </c>
      <c r="F1609" s="630"/>
      <c r="G1609" s="635"/>
      <c r="H1609" s="635">
        <v>1229038.53819991</v>
      </c>
      <c r="I1609" s="655"/>
      <c r="J1609" s="635">
        <f t="shared" si="69"/>
        <v>1229038.53819991</v>
      </c>
      <c r="K1609" s="635"/>
      <c r="L1609" s="635"/>
      <c r="M1609" s="655">
        <f t="shared" si="70"/>
        <v>1229038.53819991</v>
      </c>
      <c r="N1609" s="61"/>
      <c r="O1609" s="636"/>
    </row>
    <row r="1610" spans="1:15" s="242" customFormat="1" ht="14.25" customHeight="1">
      <c r="A1610" s="624">
        <v>427</v>
      </c>
      <c r="B1610" s="625" t="e">
        <f>VLOOKUP(D1610,'[1]DS CN MOI UP'!$B$11:$C$447,2,0)</f>
        <v>#N/A</v>
      </c>
      <c r="C1610" s="639" t="s">
        <v>1455</v>
      </c>
      <c r="D1610" s="641" t="s">
        <v>1503</v>
      </c>
      <c r="E1610" s="630" t="s">
        <v>15</v>
      </c>
      <c r="F1610" s="630"/>
      <c r="G1610" s="635"/>
      <c r="H1610" s="635">
        <v>1159179.5249999999</v>
      </c>
      <c r="I1610" s="655"/>
      <c r="J1610" s="635">
        <f t="shared" si="69"/>
        <v>1159179.5249999999</v>
      </c>
      <c r="K1610" s="635"/>
      <c r="L1610" s="635"/>
      <c r="M1610" s="655">
        <f t="shared" si="70"/>
        <v>1159179.5249999999</v>
      </c>
      <c r="N1610" s="61"/>
      <c r="O1610" s="636"/>
    </row>
    <row r="1611" spans="1:15" s="242" customFormat="1" ht="14.25" customHeight="1">
      <c r="A1611" s="624">
        <v>428</v>
      </c>
      <c r="B1611" s="625" t="e">
        <f>VLOOKUP(D1611,'[1]DS CN MOI UP'!$B$11:$C$447,2,0)</f>
        <v>#N/A</v>
      </c>
      <c r="C1611" s="639" t="s">
        <v>1455</v>
      </c>
      <c r="D1611" s="641" t="s">
        <v>1504</v>
      </c>
      <c r="E1611" s="630" t="s">
        <v>15</v>
      </c>
      <c r="F1611" s="630"/>
      <c r="G1611" s="635"/>
      <c r="H1611" s="635">
        <v>1239846.615</v>
      </c>
      <c r="I1611" s="655"/>
      <c r="J1611" s="635">
        <f t="shared" si="69"/>
        <v>1239846.615</v>
      </c>
      <c r="K1611" s="635"/>
      <c r="L1611" s="635"/>
      <c r="M1611" s="655">
        <f t="shared" si="70"/>
        <v>1239846.615</v>
      </c>
      <c r="N1611" s="61"/>
      <c r="O1611" s="636"/>
    </row>
    <row r="1612" spans="1:15" s="242" customFormat="1" ht="14.25" customHeight="1">
      <c r="A1612" s="624">
        <v>429</v>
      </c>
      <c r="B1612" s="625" t="e">
        <f>VLOOKUP(D1612,'[1]DS CN MOI UP'!$B$11:$C$447,2,0)</f>
        <v>#N/A</v>
      </c>
      <c r="C1612" s="639" t="s">
        <v>1455</v>
      </c>
      <c r="D1612" s="641" t="s">
        <v>1505</v>
      </c>
      <c r="E1612" s="630" t="s">
        <v>15</v>
      </c>
      <c r="F1612" s="630"/>
      <c r="G1612" s="635"/>
      <c r="H1612" s="635">
        <v>1149145.3259999999</v>
      </c>
      <c r="I1612" s="655"/>
      <c r="J1612" s="635">
        <f t="shared" ref="J1612:J1616" si="71">SUM(G1612:I1612)</f>
        <v>1149145.3259999999</v>
      </c>
      <c r="K1612" s="635"/>
      <c r="L1612" s="635"/>
      <c r="M1612" s="655">
        <f t="shared" ref="M1612:M1616" si="72">J1612-L1612</f>
        <v>1149145.3259999999</v>
      </c>
      <c r="N1612" s="61"/>
      <c r="O1612" s="636"/>
    </row>
    <row r="1613" spans="1:15" s="242" customFormat="1" ht="14.25" customHeight="1">
      <c r="A1613" s="624">
        <v>430</v>
      </c>
      <c r="B1613" s="625" t="e">
        <f>VLOOKUP(D1613,'[1]DS CN MOI UP'!$B$11:$C$447,2,0)</f>
        <v>#N/A</v>
      </c>
      <c r="C1613" s="639" t="s">
        <v>1455</v>
      </c>
      <c r="D1613" s="641" t="s">
        <v>1506</v>
      </c>
      <c r="E1613" s="630" t="s">
        <v>15</v>
      </c>
      <c r="F1613" s="630"/>
      <c r="G1613" s="635"/>
      <c r="H1613" s="635">
        <v>1159179.5249999999</v>
      </c>
      <c r="I1613" s="655"/>
      <c r="J1613" s="635">
        <f t="shared" si="71"/>
        <v>1159179.5249999999</v>
      </c>
      <c r="K1613" s="635"/>
      <c r="L1613" s="635"/>
      <c r="M1613" s="655">
        <f t="shared" si="72"/>
        <v>1159179.5249999999</v>
      </c>
      <c r="N1613" s="61"/>
      <c r="O1613" s="636"/>
    </row>
    <row r="1614" spans="1:15" s="242" customFormat="1" ht="14.25" customHeight="1">
      <c r="A1614" s="624">
        <v>431</v>
      </c>
      <c r="B1614" s="625" t="e">
        <f>VLOOKUP(D1614,'[1]DS CN MOI UP'!$B$11:$C$447,2,0)</f>
        <v>#N/A</v>
      </c>
      <c r="C1614" s="639" t="s">
        <v>1455</v>
      </c>
      <c r="D1614" s="641" t="s">
        <v>1507</v>
      </c>
      <c r="E1614" s="630" t="s">
        <v>15</v>
      </c>
      <c r="F1614" s="630"/>
      <c r="G1614" s="635"/>
      <c r="H1614" s="635">
        <v>1239846.615</v>
      </c>
      <c r="I1614" s="655"/>
      <c r="J1614" s="635">
        <f t="shared" si="71"/>
        <v>1239846.615</v>
      </c>
      <c r="K1614" s="635"/>
      <c r="L1614" s="635"/>
      <c r="M1614" s="655">
        <f t="shared" si="72"/>
        <v>1239846.615</v>
      </c>
      <c r="N1614" s="61"/>
      <c r="O1614" s="636"/>
    </row>
    <row r="1615" spans="1:15" s="242" customFormat="1" ht="14.25" customHeight="1">
      <c r="A1615" s="624">
        <v>432</v>
      </c>
      <c r="B1615" s="625" t="e">
        <f>VLOOKUP(D1615,'[1]DS CN MOI UP'!$B$11:$C$447,2,0)</f>
        <v>#N/A</v>
      </c>
      <c r="C1615" s="639" t="s">
        <v>1455</v>
      </c>
      <c r="D1615" s="641" t="s">
        <v>1508</v>
      </c>
      <c r="E1615" s="630" t="s">
        <v>15</v>
      </c>
      <c r="F1615" s="630"/>
      <c r="G1615" s="635"/>
      <c r="H1615" s="635">
        <v>1159179.5249999999</v>
      </c>
      <c r="I1615" s="655"/>
      <c r="J1615" s="635">
        <f t="shared" si="71"/>
        <v>1159179.5249999999</v>
      </c>
      <c r="K1615" s="635"/>
      <c r="L1615" s="635"/>
      <c r="M1615" s="655">
        <f t="shared" si="72"/>
        <v>1159179.5249999999</v>
      </c>
      <c r="N1615" s="61"/>
      <c r="O1615" s="636"/>
    </row>
    <row r="1616" spans="1:15" s="242" customFormat="1" ht="14.25" customHeight="1">
      <c r="A1616" s="624">
        <v>433</v>
      </c>
      <c r="B1616" s="625" t="e">
        <f>VLOOKUP(D1616,'[1]DS CN MOI UP'!$B$11:$C$447,2,0)</f>
        <v>#N/A</v>
      </c>
      <c r="C1616" s="639" t="s">
        <v>1455</v>
      </c>
      <c r="D1616" s="641" t="s">
        <v>1509</v>
      </c>
      <c r="E1616" s="630" t="s">
        <v>15</v>
      </c>
      <c r="F1616" s="630"/>
      <c r="G1616" s="635"/>
      <c r="H1616" s="635">
        <v>1149145.3259999999</v>
      </c>
      <c r="I1616" s="655"/>
      <c r="J1616" s="635">
        <f t="shared" si="71"/>
        <v>1149145.3259999999</v>
      </c>
      <c r="K1616" s="635"/>
      <c r="L1616" s="635"/>
      <c r="M1616" s="655">
        <f t="shared" si="72"/>
        <v>1149145.3259999999</v>
      </c>
      <c r="N1616" s="61"/>
      <c r="O1616" s="636"/>
    </row>
    <row r="1617" spans="1:15" s="242" customFormat="1" ht="14.25" customHeight="1">
      <c r="A1617" s="624">
        <v>434</v>
      </c>
      <c r="B1617" s="625" t="e">
        <f>VLOOKUP(D1617,'[1]DS CN MOI UP'!$B$11:$C$447,2,0)</f>
        <v>#N/A</v>
      </c>
      <c r="C1617" s="639" t="s">
        <v>1455</v>
      </c>
      <c r="D1617" s="641" t="s">
        <v>1510</v>
      </c>
      <c r="E1617" s="630" t="s">
        <v>15</v>
      </c>
      <c r="F1617" s="630"/>
      <c r="G1617" s="635"/>
      <c r="H1617" s="635">
        <v>1229038.53819991</v>
      </c>
      <c r="I1617" s="655"/>
      <c r="J1617" s="635">
        <f t="shared" si="59"/>
        <v>1229038.53819991</v>
      </c>
      <c r="K1617" s="635"/>
      <c r="L1617" s="635"/>
      <c r="M1617" s="655">
        <f t="shared" si="60"/>
        <v>1229038.53819991</v>
      </c>
      <c r="N1617" s="61"/>
      <c r="O1617" s="636"/>
    </row>
    <row r="1618" spans="1:15" s="242" customFormat="1" ht="14.25" customHeight="1">
      <c r="A1618" s="624">
        <v>435</v>
      </c>
      <c r="B1618" s="625" t="e">
        <f>VLOOKUP(D1618,'[1]DS CN MOI UP'!$B$11:$C$447,2,0)</f>
        <v>#N/A</v>
      </c>
      <c r="C1618" s="639" t="s">
        <v>1455</v>
      </c>
      <c r="D1618" s="641" t="s">
        <v>1511</v>
      </c>
      <c r="E1618" s="630" t="s">
        <v>15</v>
      </c>
      <c r="F1618" s="630"/>
      <c r="G1618" s="635"/>
      <c r="H1618" s="635">
        <v>1159179.5249999999</v>
      </c>
      <c r="I1618" s="655"/>
      <c r="J1618" s="635">
        <f t="shared" si="59"/>
        <v>1159179.5249999999</v>
      </c>
      <c r="K1618" s="635"/>
      <c r="L1618" s="635"/>
      <c r="M1618" s="655">
        <f t="shared" si="60"/>
        <v>1159179.5249999999</v>
      </c>
      <c r="N1618" s="61"/>
      <c r="O1618" s="636"/>
    </row>
    <row r="1619" spans="1:15" s="242" customFormat="1" ht="14.25" customHeight="1">
      <c r="A1619" s="624">
        <v>436</v>
      </c>
      <c r="B1619" s="625" t="e">
        <f>VLOOKUP(D1619,'[1]DS CN MOI UP'!$B$11:$C$447,2,0)</f>
        <v>#N/A</v>
      </c>
      <c r="C1619" s="639" t="s">
        <v>1455</v>
      </c>
      <c r="D1619" s="641" t="s">
        <v>1512</v>
      </c>
      <c r="E1619" s="630" t="s">
        <v>15</v>
      </c>
      <c r="F1619" s="630"/>
      <c r="G1619" s="635"/>
      <c r="H1619" s="635">
        <v>1239846.615</v>
      </c>
      <c r="I1619" s="655"/>
      <c r="J1619" s="635">
        <f t="shared" si="59"/>
        <v>1239846.615</v>
      </c>
      <c r="K1619" s="635"/>
      <c r="L1619" s="635"/>
      <c r="M1619" s="655">
        <f t="shared" si="60"/>
        <v>1239846.615</v>
      </c>
      <c r="N1619" s="61"/>
      <c r="O1619" s="636"/>
    </row>
    <row r="1620" spans="1:15" s="242" customFormat="1" ht="14.25" customHeight="1">
      <c r="A1620" s="624">
        <v>437</v>
      </c>
      <c r="B1620" s="625" t="e">
        <f>VLOOKUP(D1620,'[1]DS CN MOI UP'!$B$11:$C$447,2,0)</f>
        <v>#N/A</v>
      </c>
      <c r="C1620" s="639" t="s">
        <v>1455</v>
      </c>
      <c r="D1620" s="641" t="s">
        <v>1513</v>
      </c>
      <c r="E1620" s="630" t="s">
        <v>15</v>
      </c>
      <c r="F1620" s="630"/>
      <c r="G1620" s="635"/>
      <c r="H1620" s="635">
        <v>1159179.5249999999</v>
      </c>
      <c r="I1620" s="655"/>
      <c r="J1620" s="635">
        <f t="shared" si="59"/>
        <v>1159179.5249999999</v>
      </c>
      <c r="K1620" s="635"/>
      <c r="L1620" s="635"/>
      <c r="M1620" s="655">
        <f t="shared" si="60"/>
        <v>1159179.5249999999</v>
      </c>
      <c r="N1620" s="61"/>
      <c r="O1620" s="636"/>
    </row>
    <row r="1621" spans="1:15" s="242" customFormat="1" ht="14.25" customHeight="1">
      <c r="A1621" s="624">
        <v>438</v>
      </c>
      <c r="B1621" s="625" t="e">
        <f>VLOOKUP(D1621,'[1]DS CN MOI UP'!$B$11:$C$447,2,0)</f>
        <v>#N/A</v>
      </c>
      <c r="C1621" s="639" t="s">
        <v>1455</v>
      </c>
      <c r="D1621" s="641" t="s">
        <v>1514</v>
      </c>
      <c r="E1621" s="630" t="s">
        <v>15</v>
      </c>
      <c r="F1621" s="630"/>
      <c r="G1621" s="635"/>
      <c r="H1621" s="635">
        <v>1149145.3259999999</v>
      </c>
      <c r="I1621" s="655"/>
      <c r="J1621" s="635">
        <f t="shared" si="59"/>
        <v>1149145.3259999999</v>
      </c>
      <c r="K1621" s="635"/>
      <c r="L1621" s="635"/>
      <c r="M1621" s="655">
        <f t="shared" si="60"/>
        <v>1149145.3259999999</v>
      </c>
      <c r="N1621" s="61"/>
      <c r="O1621" s="636"/>
    </row>
    <row r="1622" spans="1:15" s="242" customFormat="1" ht="14.25" customHeight="1">
      <c r="A1622" s="624">
        <v>439</v>
      </c>
      <c r="B1622" s="625" t="e">
        <f>VLOOKUP(D1622,'[1]DS CN MOI UP'!$B$11:$C$447,2,0)</f>
        <v>#N/A</v>
      </c>
      <c r="C1622" s="639" t="s">
        <v>1455</v>
      </c>
      <c r="D1622" s="641" t="s">
        <v>1515</v>
      </c>
      <c r="E1622" s="630" t="s">
        <v>15</v>
      </c>
      <c r="F1622" s="630"/>
      <c r="G1622" s="635"/>
      <c r="H1622" s="635">
        <v>1229038.53819991</v>
      </c>
      <c r="I1622" s="655"/>
      <c r="J1622" s="635">
        <f t="shared" si="59"/>
        <v>1229038.53819991</v>
      </c>
      <c r="K1622" s="635"/>
      <c r="L1622" s="635"/>
      <c r="M1622" s="655">
        <f t="shared" si="60"/>
        <v>1229038.53819991</v>
      </c>
      <c r="N1622" s="61"/>
      <c r="O1622" s="636"/>
    </row>
    <row r="1623" spans="1:15" s="242" customFormat="1" ht="14.25" customHeight="1">
      <c r="A1623" s="624">
        <v>440</v>
      </c>
      <c r="B1623" s="625" t="e">
        <f>VLOOKUP(D1623,'[1]DS CN MOI UP'!$B$11:$C$447,2,0)</f>
        <v>#N/A</v>
      </c>
      <c r="C1623" s="639" t="s">
        <v>1455</v>
      </c>
      <c r="D1623" s="641" t="s">
        <v>1516</v>
      </c>
      <c r="E1623" s="630" t="s">
        <v>15</v>
      </c>
      <c r="F1623" s="630"/>
      <c r="G1623" s="635"/>
      <c r="H1623" s="635">
        <v>1229038.53819991</v>
      </c>
      <c r="I1623" s="655"/>
      <c r="J1623" s="635">
        <f t="shared" si="59"/>
        <v>1229038.53819991</v>
      </c>
      <c r="K1623" s="635"/>
      <c r="L1623" s="635"/>
      <c r="M1623" s="655">
        <f t="shared" si="60"/>
        <v>1229038.53819991</v>
      </c>
      <c r="N1623" s="61"/>
      <c r="O1623" s="636"/>
    </row>
    <row r="1624" spans="1:15" s="242" customFormat="1" ht="14.25" customHeight="1">
      <c r="A1624" s="624">
        <v>441</v>
      </c>
      <c r="B1624" s="625" t="e">
        <f>VLOOKUP(D1624,'[1]DS CN MOI UP'!$B$11:$C$447,2,0)</f>
        <v>#N/A</v>
      </c>
      <c r="C1624" s="639" t="s">
        <v>1455</v>
      </c>
      <c r="D1624" s="641" t="s">
        <v>1517</v>
      </c>
      <c r="E1624" s="630" t="s">
        <v>15</v>
      </c>
      <c r="F1624" s="630"/>
      <c r="G1624" s="635"/>
      <c r="H1624" s="635">
        <v>1159179.5249999999</v>
      </c>
      <c r="I1624" s="655"/>
      <c r="J1624" s="635">
        <f t="shared" si="59"/>
        <v>1159179.5249999999</v>
      </c>
      <c r="K1624" s="635"/>
      <c r="L1624" s="635"/>
      <c r="M1624" s="655">
        <f t="shared" si="60"/>
        <v>1159179.5249999999</v>
      </c>
      <c r="N1624" s="61"/>
      <c r="O1624" s="636"/>
    </row>
    <row r="1625" spans="1:15" s="242" customFormat="1" ht="14.25" customHeight="1">
      <c r="A1625" s="624">
        <v>442</v>
      </c>
      <c r="B1625" s="625" t="e">
        <f>VLOOKUP(D1625,'[1]DS CN MOI UP'!$B$11:$C$447,2,0)</f>
        <v>#N/A</v>
      </c>
      <c r="C1625" s="639" t="s">
        <v>1455</v>
      </c>
      <c r="D1625" s="641" t="s">
        <v>1518</v>
      </c>
      <c r="E1625" s="630" t="s">
        <v>15</v>
      </c>
      <c r="F1625" s="630"/>
      <c r="G1625" s="635"/>
      <c r="H1625" s="635">
        <v>1239846.615</v>
      </c>
      <c r="I1625" s="655"/>
      <c r="J1625" s="635">
        <f t="shared" si="59"/>
        <v>1239846.615</v>
      </c>
      <c r="K1625" s="635"/>
      <c r="L1625" s="635"/>
      <c r="M1625" s="655">
        <f t="shared" si="60"/>
        <v>1239846.615</v>
      </c>
      <c r="N1625" s="61"/>
      <c r="O1625" s="636"/>
    </row>
    <row r="1626" spans="1:15" s="242" customFormat="1" ht="14.25" customHeight="1">
      <c r="A1626" s="624">
        <v>443</v>
      </c>
      <c r="B1626" s="625" t="e">
        <f>VLOOKUP(D1626,'[1]DS CN MOI UP'!$B$11:$C$447,2,0)</f>
        <v>#N/A</v>
      </c>
      <c r="C1626" s="639" t="s">
        <v>1455</v>
      </c>
      <c r="D1626" s="641" t="s">
        <v>1519</v>
      </c>
      <c r="E1626" s="630" t="s">
        <v>15</v>
      </c>
      <c r="F1626" s="630"/>
      <c r="G1626" s="635"/>
      <c r="H1626" s="635">
        <v>1149145.3259999999</v>
      </c>
      <c r="I1626" s="655"/>
      <c r="J1626" s="635">
        <f t="shared" si="59"/>
        <v>1149145.3259999999</v>
      </c>
      <c r="K1626" s="635"/>
      <c r="L1626" s="635"/>
      <c r="M1626" s="655">
        <f t="shared" si="60"/>
        <v>1149145.3259999999</v>
      </c>
      <c r="N1626" s="61"/>
      <c r="O1626" s="636"/>
    </row>
    <row r="1627" spans="1:15" s="242" customFormat="1" ht="14.25" customHeight="1">
      <c r="A1627" s="624">
        <v>444</v>
      </c>
      <c r="B1627" s="625" t="e">
        <f>VLOOKUP(D1627,'[1]DS CN MOI UP'!$B$11:$C$447,2,0)</f>
        <v>#N/A</v>
      </c>
      <c r="C1627" s="639" t="s">
        <v>1455</v>
      </c>
      <c r="D1627" s="641" t="s">
        <v>1520</v>
      </c>
      <c r="E1627" s="630" t="s">
        <v>15</v>
      </c>
      <c r="F1627" s="630"/>
      <c r="G1627" s="635"/>
      <c r="H1627" s="635">
        <v>1159179.5249999999</v>
      </c>
      <c r="I1627" s="655"/>
      <c r="J1627" s="635">
        <f t="shared" si="59"/>
        <v>1159179.5249999999</v>
      </c>
      <c r="K1627" s="635"/>
      <c r="L1627" s="635"/>
      <c r="M1627" s="655">
        <f t="shared" si="60"/>
        <v>1159179.5249999999</v>
      </c>
      <c r="N1627" s="61"/>
      <c r="O1627" s="636"/>
    </row>
    <row r="1628" spans="1:15" s="242" customFormat="1" ht="14.25" customHeight="1">
      <c r="A1628" s="624">
        <v>445</v>
      </c>
      <c r="B1628" s="625" t="e">
        <f>VLOOKUP(D1628,'[1]DS CN MOI UP'!$B$11:$C$447,2,0)</f>
        <v>#N/A</v>
      </c>
      <c r="C1628" s="639" t="s">
        <v>1455</v>
      </c>
      <c r="D1628" s="641" t="s">
        <v>1521</v>
      </c>
      <c r="E1628" s="630" t="s">
        <v>15</v>
      </c>
      <c r="F1628" s="630"/>
      <c r="G1628" s="635"/>
      <c r="H1628" s="635">
        <v>1239846.615</v>
      </c>
      <c r="I1628" s="655"/>
      <c r="J1628" s="635">
        <f t="shared" si="59"/>
        <v>1239846.615</v>
      </c>
      <c r="K1628" s="635"/>
      <c r="L1628" s="635"/>
      <c r="M1628" s="655">
        <f t="shared" si="60"/>
        <v>1239846.615</v>
      </c>
      <c r="N1628" s="61"/>
      <c r="O1628" s="636"/>
    </row>
    <row r="1629" spans="1:15" s="242" customFormat="1" ht="14.25" customHeight="1">
      <c r="A1629" s="624">
        <v>446</v>
      </c>
      <c r="B1629" s="625" t="e">
        <f>VLOOKUP(D1629,'[1]DS CN MOI UP'!$B$11:$C$447,2,0)</f>
        <v>#N/A</v>
      </c>
      <c r="C1629" s="639" t="s">
        <v>1455</v>
      </c>
      <c r="D1629" s="641" t="s">
        <v>1522</v>
      </c>
      <c r="E1629" s="630" t="s">
        <v>15</v>
      </c>
      <c r="F1629" s="630"/>
      <c r="G1629" s="635"/>
      <c r="H1629" s="635">
        <v>1159179.5249999999</v>
      </c>
      <c r="I1629" s="655"/>
      <c r="J1629" s="635">
        <f t="shared" si="59"/>
        <v>1159179.5249999999</v>
      </c>
      <c r="K1629" s="635"/>
      <c r="L1629" s="635"/>
      <c r="M1629" s="655">
        <f t="shared" si="60"/>
        <v>1159179.5249999999</v>
      </c>
      <c r="N1629" s="61"/>
      <c r="O1629" s="636"/>
    </row>
    <row r="1630" spans="1:15" s="242" customFormat="1" ht="14.25" customHeight="1">
      <c r="A1630" s="624">
        <v>447</v>
      </c>
      <c r="B1630" s="625" t="e">
        <f>VLOOKUP(D1630,'[1]DS CN MOI UP'!$B$11:$C$447,2,0)</f>
        <v>#N/A</v>
      </c>
      <c r="C1630" s="639" t="s">
        <v>1455</v>
      </c>
      <c r="D1630" s="641" t="s">
        <v>1523</v>
      </c>
      <c r="E1630" s="630" t="s">
        <v>15</v>
      </c>
      <c r="F1630" s="630"/>
      <c r="G1630" s="635"/>
      <c r="H1630" s="635">
        <v>1149145.3259999999</v>
      </c>
      <c r="I1630" s="655"/>
      <c r="J1630" s="635">
        <f t="shared" si="59"/>
        <v>1149145.3259999999</v>
      </c>
      <c r="K1630" s="635"/>
      <c r="L1630" s="635"/>
      <c r="M1630" s="655">
        <f t="shared" si="60"/>
        <v>1149145.3259999999</v>
      </c>
      <c r="N1630" s="61"/>
      <c r="O1630" s="636"/>
    </row>
    <row r="1631" spans="1:15" s="242" customFormat="1" ht="14.25" customHeight="1">
      <c r="A1631" s="624">
        <v>448</v>
      </c>
      <c r="B1631" s="625" t="e">
        <f>VLOOKUP(D1631,'[1]DS CN MOI UP'!$B$11:$C$447,2,0)</f>
        <v>#N/A</v>
      </c>
      <c r="C1631" s="639" t="s">
        <v>1455</v>
      </c>
      <c r="D1631" s="641" t="s">
        <v>1524</v>
      </c>
      <c r="E1631" s="630" t="s">
        <v>15</v>
      </c>
      <c r="F1631" s="630"/>
      <c r="G1631" s="635"/>
      <c r="H1631" s="635">
        <v>1229038.53819991</v>
      </c>
      <c r="I1631" s="655"/>
      <c r="J1631" s="635">
        <f t="shared" si="59"/>
        <v>1229038.53819991</v>
      </c>
      <c r="K1631" s="635"/>
      <c r="L1631" s="635"/>
      <c r="M1631" s="655">
        <f t="shared" si="60"/>
        <v>1229038.53819991</v>
      </c>
      <c r="N1631" s="61"/>
      <c r="O1631" s="636"/>
    </row>
    <row r="1632" spans="1:15" s="242" customFormat="1" ht="14.25" customHeight="1">
      <c r="A1632" s="624">
        <v>449</v>
      </c>
      <c r="B1632" s="625" t="e">
        <f>VLOOKUP(D1632,'[1]DS CN MOI UP'!$B$11:$C$447,2,0)</f>
        <v>#N/A</v>
      </c>
      <c r="C1632" s="639" t="s">
        <v>1455</v>
      </c>
      <c r="D1632" s="641" t="s">
        <v>1525</v>
      </c>
      <c r="E1632" s="630" t="s">
        <v>15</v>
      </c>
      <c r="F1632" s="630"/>
      <c r="G1632" s="635"/>
      <c r="H1632" s="635">
        <v>1159179.5249999999</v>
      </c>
      <c r="I1632" s="655"/>
      <c r="J1632" s="635">
        <f t="shared" si="59"/>
        <v>1159179.5249999999</v>
      </c>
      <c r="K1632" s="635"/>
      <c r="L1632" s="635"/>
      <c r="M1632" s="655">
        <f t="shared" si="60"/>
        <v>1159179.5249999999</v>
      </c>
      <c r="N1632" s="61"/>
      <c r="O1632" s="636"/>
    </row>
    <row r="1633" spans="1:15" s="242" customFormat="1" ht="14.25" customHeight="1">
      <c r="A1633" s="624">
        <v>450</v>
      </c>
      <c r="B1633" s="625" t="e">
        <f>VLOOKUP(D1633,'[1]DS CN MOI UP'!$B$11:$C$447,2,0)</f>
        <v>#N/A</v>
      </c>
      <c r="C1633" s="639" t="s">
        <v>1455</v>
      </c>
      <c r="D1633" s="641" t="s">
        <v>1526</v>
      </c>
      <c r="E1633" s="630" t="s">
        <v>15</v>
      </c>
      <c r="F1633" s="630"/>
      <c r="G1633" s="635"/>
      <c r="H1633" s="635">
        <v>1239846.615</v>
      </c>
      <c r="I1633" s="655"/>
      <c r="J1633" s="635">
        <f t="shared" si="59"/>
        <v>1239846.615</v>
      </c>
      <c r="K1633" s="635"/>
      <c r="L1633" s="635"/>
      <c r="M1633" s="655">
        <f t="shared" si="60"/>
        <v>1239846.615</v>
      </c>
      <c r="N1633" s="61"/>
      <c r="O1633" s="636"/>
    </row>
    <row r="1634" spans="1:15" s="242" customFormat="1" ht="14.25" customHeight="1">
      <c r="A1634" s="624">
        <v>451</v>
      </c>
      <c r="B1634" s="625" t="e">
        <f>VLOOKUP(D1634,'[1]DS CN MOI UP'!$B$11:$C$447,2,0)</f>
        <v>#N/A</v>
      </c>
      <c r="C1634" s="639" t="s">
        <v>1455</v>
      </c>
      <c r="D1634" s="641" t="s">
        <v>1527</v>
      </c>
      <c r="E1634" s="630" t="s">
        <v>15</v>
      </c>
      <c r="F1634" s="630"/>
      <c r="G1634" s="635"/>
      <c r="H1634" s="635">
        <v>1159179.5249999999</v>
      </c>
      <c r="I1634" s="655"/>
      <c r="J1634" s="635">
        <f t="shared" si="59"/>
        <v>1159179.5249999999</v>
      </c>
      <c r="K1634" s="635"/>
      <c r="L1634" s="635"/>
      <c r="M1634" s="655">
        <f t="shared" si="60"/>
        <v>1159179.5249999999</v>
      </c>
      <c r="N1634" s="61"/>
      <c r="O1634" s="636"/>
    </row>
    <row r="1635" spans="1:15" s="242" customFormat="1" ht="14.25" customHeight="1">
      <c r="A1635" s="624">
        <v>452</v>
      </c>
      <c r="B1635" s="625" t="e">
        <f>VLOOKUP(D1635,'[1]DS CN MOI UP'!$B$11:$C$447,2,0)</f>
        <v>#N/A</v>
      </c>
      <c r="C1635" s="639" t="s">
        <v>1455</v>
      </c>
      <c r="D1635" s="641" t="s">
        <v>1528</v>
      </c>
      <c r="E1635" s="630" t="s">
        <v>15</v>
      </c>
      <c r="F1635" s="630"/>
      <c r="G1635" s="635">
        <v>200000</v>
      </c>
      <c r="H1635" s="635">
        <v>948141.191190243</v>
      </c>
      <c r="I1635" s="655"/>
      <c r="J1635" s="635">
        <f t="shared" si="59"/>
        <v>1148141.191190243</v>
      </c>
      <c r="K1635" s="635"/>
      <c r="L1635" s="635"/>
      <c r="M1635" s="655">
        <f t="shared" si="60"/>
        <v>1148141.191190243</v>
      </c>
      <c r="N1635" s="61"/>
      <c r="O1635" s="636"/>
    </row>
    <row r="1636" spans="1:15" s="242" customFormat="1" ht="14.25" customHeight="1">
      <c r="A1636" s="624">
        <v>453</v>
      </c>
      <c r="B1636" s="625" t="e">
        <f>VLOOKUP(D1636,'[1]DS CN MOI UP'!$B$11:$C$447,2,0)</f>
        <v>#N/A</v>
      </c>
      <c r="C1636" s="639" t="s">
        <v>1455</v>
      </c>
      <c r="D1636" s="641" t="s">
        <v>1529</v>
      </c>
      <c r="E1636" s="630" t="s">
        <v>15</v>
      </c>
      <c r="F1636" s="630"/>
      <c r="G1636" s="635">
        <v>1229038.53819991</v>
      </c>
      <c r="H1636" s="635"/>
      <c r="I1636" s="655"/>
      <c r="J1636" s="635">
        <f t="shared" si="59"/>
        <v>1229038.53819991</v>
      </c>
      <c r="K1636" s="635"/>
      <c r="L1636" s="635"/>
      <c r="M1636" s="655">
        <f t="shared" si="60"/>
        <v>1229038.53819991</v>
      </c>
      <c r="N1636" s="61"/>
      <c r="O1636" s="636"/>
    </row>
    <row r="1637" spans="1:15" s="242" customFormat="1" ht="14.25" customHeight="1">
      <c r="A1637" s="624">
        <v>454</v>
      </c>
      <c r="B1637" s="625" t="e">
        <f>VLOOKUP(D1637,'[1]DS CN MOI UP'!$B$11:$C$447,2,0)</f>
        <v>#N/A</v>
      </c>
      <c r="C1637" s="639" t="s">
        <v>1455</v>
      </c>
      <c r="D1637" s="641" t="s">
        <v>1530</v>
      </c>
      <c r="E1637" s="630" t="s">
        <v>15</v>
      </c>
      <c r="F1637" s="630"/>
      <c r="G1637" s="635">
        <v>1229038.53819991</v>
      </c>
      <c r="H1637" s="635"/>
      <c r="I1637" s="655"/>
      <c r="J1637" s="635">
        <f t="shared" si="59"/>
        <v>1229038.53819991</v>
      </c>
      <c r="K1637" s="635"/>
      <c r="L1637" s="635"/>
      <c r="M1637" s="655">
        <f t="shared" si="60"/>
        <v>1229038.53819991</v>
      </c>
      <c r="N1637" s="61"/>
      <c r="O1637" s="636"/>
    </row>
    <row r="1638" spans="1:15" s="242" customFormat="1" ht="14.25" customHeight="1">
      <c r="A1638" s="624">
        <v>455</v>
      </c>
      <c r="B1638" s="625" t="e">
        <f>VLOOKUP(D1638,'[1]DS CN MOI UP'!$B$11:$C$447,2,0)</f>
        <v>#N/A</v>
      </c>
      <c r="C1638" s="639" t="s">
        <v>1455</v>
      </c>
      <c r="D1638" s="641" t="s">
        <v>1531</v>
      </c>
      <c r="E1638" s="630" t="s">
        <v>15</v>
      </c>
      <c r="F1638" s="630"/>
      <c r="G1638" s="635">
        <v>1159179.5249999999</v>
      </c>
      <c r="H1638" s="635"/>
      <c r="I1638" s="655"/>
      <c r="J1638" s="635">
        <f t="shared" si="59"/>
        <v>1159179.5249999999</v>
      </c>
      <c r="K1638" s="635"/>
      <c r="L1638" s="635"/>
      <c r="M1638" s="655">
        <f t="shared" si="60"/>
        <v>1159179.5249999999</v>
      </c>
      <c r="N1638" s="61"/>
      <c r="O1638" s="636"/>
    </row>
    <row r="1639" spans="1:15" s="242" customFormat="1" ht="14.25" customHeight="1">
      <c r="A1639" s="624">
        <v>456</v>
      </c>
      <c r="B1639" s="625" t="e">
        <f>VLOOKUP(D1639,'[1]DS CN MOI UP'!$B$11:$C$447,2,0)</f>
        <v>#N/A</v>
      </c>
      <c r="C1639" s="639" t="s">
        <v>1455</v>
      </c>
      <c r="D1639" s="641" t="s">
        <v>1532</v>
      </c>
      <c r="E1639" s="630" t="s">
        <v>15</v>
      </c>
      <c r="F1639" s="630"/>
      <c r="G1639" s="635">
        <v>1239846.615</v>
      </c>
      <c r="H1639" s="635"/>
      <c r="I1639" s="655"/>
      <c r="J1639" s="635">
        <f t="shared" si="59"/>
        <v>1239846.615</v>
      </c>
      <c r="K1639" s="635"/>
      <c r="L1639" s="635"/>
      <c r="M1639" s="655">
        <f t="shared" si="60"/>
        <v>1239846.615</v>
      </c>
      <c r="N1639" s="61"/>
      <c r="O1639" s="636"/>
    </row>
    <row r="1640" spans="1:15" s="242" customFormat="1" ht="14.25" customHeight="1">
      <c r="A1640" s="624">
        <v>457</v>
      </c>
      <c r="B1640" s="625" t="e">
        <f>VLOOKUP(D1640,'[1]DS CN MOI UP'!$B$11:$C$447,2,0)</f>
        <v>#N/A</v>
      </c>
      <c r="C1640" s="639" t="s">
        <v>1455</v>
      </c>
      <c r="D1640" s="641" t="s">
        <v>1533</v>
      </c>
      <c r="E1640" s="630" t="s">
        <v>15</v>
      </c>
      <c r="F1640" s="630"/>
      <c r="G1640" s="635">
        <v>1149145.3259999999</v>
      </c>
      <c r="H1640" s="635"/>
      <c r="I1640" s="655"/>
      <c r="J1640" s="635">
        <f t="shared" si="59"/>
        <v>1149145.3259999999</v>
      </c>
      <c r="K1640" s="635"/>
      <c r="L1640" s="635"/>
      <c r="M1640" s="655">
        <f t="shared" si="60"/>
        <v>1149145.3259999999</v>
      </c>
      <c r="N1640" s="61"/>
      <c r="O1640" s="636"/>
    </row>
    <row r="1641" spans="1:15" s="242" customFormat="1" ht="14.25" customHeight="1">
      <c r="A1641" s="624">
        <v>458</v>
      </c>
      <c r="B1641" s="625" t="e">
        <f>VLOOKUP(D1641,'[1]DS CN MOI UP'!$B$11:$C$447,2,0)</f>
        <v>#N/A</v>
      </c>
      <c r="C1641" s="639" t="s">
        <v>1455</v>
      </c>
      <c r="D1641" s="641" t="s">
        <v>1534</v>
      </c>
      <c r="E1641" s="630" t="s">
        <v>15</v>
      </c>
      <c r="F1641" s="630"/>
      <c r="G1641" s="635">
        <v>1159179.5249999999</v>
      </c>
      <c r="H1641" s="635"/>
      <c r="I1641" s="655"/>
      <c r="J1641" s="635">
        <f t="shared" ref="J1641:J1642" si="73">SUM(G1641:I1641)</f>
        <v>1159179.5249999999</v>
      </c>
      <c r="K1641" s="635"/>
      <c r="L1641" s="635"/>
      <c r="M1641" s="655">
        <f t="shared" ref="M1641:M1642" si="74">J1641-L1641</f>
        <v>1159179.5249999999</v>
      </c>
      <c r="N1641" s="61"/>
      <c r="O1641" s="636"/>
    </row>
    <row r="1642" spans="1:15" s="242" customFormat="1" ht="14.25" customHeight="1">
      <c r="A1642" s="624">
        <v>459</v>
      </c>
      <c r="B1642" s="625" t="e">
        <f>VLOOKUP(D1642,'[1]DS CN MOI UP'!$B$11:$C$447,2,0)</f>
        <v>#N/A</v>
      </c>
      <c r="C1642" s="639" t="s">
        <v>1455</v>
      </c>
      <c r="D1642" s="641" t="s">
        <v>1535</v>
      </c>
      <c r="E1642" s="630" t="s">
        <v>15</v>
      </c>
      <c r="F1642" s="630"/>
      <c r="G1642" s="635">
        <v>1239846.615</v>
      </c>
      <c r="H1642" s="635"/>
      <c r="I1642" s="655"/>
      <c r="J1642" s="635">
        <f t="shared" si="73"/>
        <v>1239846.615</v>
      </c>
      <c r="K1642" s="635"/>
      <c r="L1642" s="635"/>
      <c r="M1642" s="655">
        <f t="shared" si="74"/>
        <v>1239846.615</v>
      </c>
      <c r="N1642" s="61"/>
      <c r="O1642" s="636"/>
    </row>
    <row r="1643" spans="1:15" s="242" customFormat="1" ht="14.25" customHeight="1">
      <c r="A1643" s="624">
        <v>460</v>
      </c>
      <c r="B1643" s="625" t="e">
        <f>VLOOKUP(D1643,'[1]DS CN MOI UP'!$B$11:$C$447,2,0)</f>
        <v>#N/A</v>
      </c>
      <c r="C1643" s="639" t="s">
        <v>1455</v>
      </c>
      <c r="D1643" s="641" t="s">
        <v>1536</v>
      </c>
      <c r="E1643" s="630" t="s">
        <v>15</v>
      </c>
      <c r="F1643" s="630"/>
      <c r="G1643" s="635">
        <v>1229038.53819991</v>
      </c>
      <c r="H1643" s="635"/>
      <c r="I1643" s="655"/>
      <c r="J1643" s="635">
        <f t="shared" ref="J1643:J1693" si="75">SUM(G1643:I1643)</f>
        <v>1229038.53819991</v>
      </c>
      <c r="K1643" s="635"/>
      <c r="L1643" s="635"/>
      <c r="M1643" s="655">
        <f t="shared" ref="M1643:M1693" si="76">J1643-L1643</f>
        <v>1229038.53819991</v>
      </c>
      <c r="N1643" s="61"/>
      <c r="O1643" s="636"/>
    </row>
    <row r="1644" spans="1:15" s="242" customFormat="1" ht="14.25" customHeight="1">
      <c r="A1644" s="624">
        <v>461</v>
      </c>
      <c r="B1644" s="625"/>
      <c r="C1644" s="639"/>
      <c r="D1644" s="641" t="s">
        <v>1175</v>
      </c>
      <c r="E1644" s="630" t="s">
        <v>15</v>
      </c>
      <c r="F1644" s="630"/>
      <c r="G1644" s="635">
        <v>1159179.5249999999</v>
      </c>
      <c r="H1644" s="635"/>
      <c r="I1644" s="655"/>
      <c r="J1644" s="635">
        <f t="shared" si="75"/>
        <v>1159179.5249999999</v>
      </c>
      <c r="K1644" s="635"/>
      <c r="L1644" s="635"/>
      <c r="M1644" s="655">
        <f t="shared" si="76"/>
        <v>1159179.5249999999</v>
      </c>
      <c r="N1644" s="61"/>
      <c r="O1644" s="636"/>
    </row>
    <row r="1645" spans="1:15" s="242" customFormat="1" ht="14.25" customHeight="1">
      <c r="A1645" s="624">
        <v>462</v>
      </c>
      <c r="B1645" s="625"/>
      <c r="C1645" s="639"/>
      <c r="D1645" s="641" t="s">
        <v>1176</v>
      </c>
      <c r="E1645" s="630" t="s">
        <v>15</v>
      </c>
      <c r="F1645" s="630"/>
      <c r="G1645" s="635">
        <v>1239846.615</v>
      </c>
      <c r="H1645" s="635"/>
      <c r="I1645" s="655"/>
      <c r="J1645" s="635">
        <f t="shared" si="75"/>
        <v>1239846.615</v>
      </c>
      <c r="K1645" s="635"/>
      <c r="L1645" s="635"/>
      <c r="M1645" s="655">
        <f t="shared" si="76"/>
        <v>1239846.615</v>
      </c>
      <c r="N1645" s="61"/>
      <c r="O1645" s="636"/>
    </row>
    <row r="1646" spans="1:15" s="242" customFormat="1" ht="14.25" customHeight="1">
      <c r="A1646" s="624">
        <v>463</v>
      </c>
      <c r="B1646" s="625"/>
      <c r="C1646" s="639"/>
      <c r="D1646" s="641" t="s">
        <v>1202</v>
      </c>
      <c r="E1646" s="630" t="s">
        <v>15</v>
      </c>
      <c r="F1646" s="630"/>
      <c r="G1646" s="635">
        <v>1149145.3259999999</v>
      </c>
      <c r="H1646" s="635"/>
      <c r="I1646" s="655"/>
      <c r="J1646" s="635">
        <f t="shared" si="75"/>
        <v>1149145.3259999999</v>
      </c>
      <c r="K1646" s="635"/>
      <c r="L1646" s="635"/>
      <c r="M1646" s="655">
        <f t="shared" si="76"/>
        <v>1149145.3259999999</v>
      </c>
      <c r="N1646" s="61"/>
      <c r="O1646" s="636"/>
    </row>
    <row r="1647" spans="1:15" s="242" customFormat="1" ht="14.25" customHeight="1">
      <c r="A1647" s="624">
        <v>464</v>
      </c>
      <c r="B1647" s="625"/>
      <c r="C1647" s="639"/>
      <c r="D1647" s="641" t="s">
        <v>185</v>
      </c>
      <c r="E1647" s="630" t="s">
        <v>15</v>
      </c>
      <c r="F1647" s="630"/>
      <c r="G1647" s="635">
        <v>1159179.5249999999</v>
      </c>
      <c r="H1647" s="635"/>
      <c r="I1647" s="655"/>
      <c r="J1647" s="635">
        <f t="shared" si="75"/>
        <v>1159179.5249999999</v>
      </c>
      <c r="K1647" s="635"/>
      <c r="L1647" s="635"/>
      <c r="M1647" s="655">
        <f t="shared" si="76"/>
        <v>1159179.5249999999</v>
      </c>
      <c r="N1647" s="61"/>
      <c r="O1647" s="636"/>
    </row>
    <row r="1648" spans="1:15" s="242" customFormat="1" ht="14.25" customHeight="1">
      <c r="A1648" s="624">
        <v>465</v>
      </c>
      <c r="B1648" s="625"/>
      <c r="C1648" s="639"/>
      <c r="D1648" s="641" t="s">
        <v>1177</v>
      </c>
      <c r="E1648" s="630" t="s">
        <v>15</v>
      </c>
      <c r="F1648" s="630"/>
      <c r="G1648" s="635">
        <v>1239846.615</v>
      </c>
      <c r="H1648" s="635"/>
      <c r="I1648" s="655"/>
      <c r="J1648" s="635">
        <f t="shared" si="75"/>
        <v>1239846.615</v>
      </c>
      <c r="K1648" s="635"/>
      <c r="L1648" s="635"/>
      <c r="M1648" s="655">
        <f t="shared" si="76"/>
        <v>1239846.615</v>
      </c>
      <c r="N1648" s="61"/>
      <c r="O1648" s="636"/>
    </row>
    <row r="1649" spans="1:15" s="242" customFormat="1" ht="14.25" customHeight="1">
      <c r="A1649" s="624">
        <v>466</v>
      </c>
      <c r="B1649" s="625"/>
      <c r="C1649" s="639"/>
      <c r="D1649" s="641" t="s">
        <v>1501</v>
      </c>
      <c r="E1649" s="630" t="s">
        <v>15</v>
      </c>
      <c r="F1649" s="630"/>
      <c r="G1649" s="635">
        <v>1159179.5249999999</v>
      </c>
      <c r="H1649" s="635"/>
      <c r="I1649" s="655"/>
      <c r="J1649" s="635">
        <f t="shared" si="75"/>
        <v>1159179.5249999999</v>
      </c>
      <c r="K1649" s="635"/>
      <c r="L1649" s="635"/>
      <c r="M1649" s="655">
        <f t="shared" si="76"/>
        <v>1159179.5249999999</v>
      </c>
      <c r="N1649" s="61"/>
      <c r="O1649" s="636"/>
    </row>
    <row r="1650" spans="1:15" s="242" customFormat="1" ht="14.25" customHeight="1">
      <c r="A1650" s="624">
        <v>467</v>
      </c>
      <c r="B1650" s="625"/>
      <c r="C1650" s="639"/>
      <c r="D1650" s="641" t="s">
        <v>1502</v>
      </c>
      <c r="E1650" s="630" t="s">
        <v>15</v>
      </c>
      <c r="F1650" s="630"/>
      <c r="G1650" s="635">
        <v>1149145.3259999999</v>
      </c>
      <c r="H1650" s="635"/>
      <c r="I1650" s="655"/>
      <c r="J1650" s="635">
        <f t="shared" si="75"/>
        <v>1149145.3259999999</v>
      </c>
      <c r="K1650" s="635"/>
      <c r="L1650" s="635"/>
      <c r="M1650" s="655">
        <f t="shared" si="76"/>
        <v>1149145.3259999999</v>
      </c>
      <c r="N1650" s="61"/>
      <c r="O1650" s="636"/>
    </row>
    <row r="1651" spans="1:15" s="242" customFormat="1" ht="14.25" customHeight="1">
      <c r="A1651" s="624">
        <v>468</v>
      </c>
      <c r="B1651" s="625"/>
      <c r="C1651" s="639"/>
      <c r="D1651" s="641" t="s">
        <v>1503</v>
      </c>
      <c r="E1651" s="630" t="s">
        <v>15</v>
      </c>
      <c r="F1651" s="630"/>
      <c r="G1651" s="635">
        <v>1229038.53819991</v>
      </c>
      <c r="H1651" s="635"/>
      <c r="I1651" s="655"/>
      <c r="J1651" s="635">
        <f t="shared" si="75"/>
        <v>1229038.53819991</v>
      </c>
      <c r="K1651" s="635"/>
      <c r="L1651" s="635"/>
      <c r="M1651" s="655">
        <f t="shared" si="76"/>
        <v>1229038.53819991</v>
      </c>
      <c r="N1651" s="61"/>
      <c r="O1651" s="636"/>
    </row>
    <row r="1652" spans="1:15" s="242" customFormat="1" ht="14.25" customHeight="1">
      <c r="A1652" s="624">
        <v>469</v>
      </c>
      <c r="B1652" s="625"/>
      <c r="C1652" s="639"/>
      <c r="D1652" s="641" t="s">
        <v>1504</v>
      </c>
      <c r="E1652" s="630" t="s">
        <v>15</v>
      </c>
      <c r="F1652" s="630"/>
      <c r="G1652" s="635">
        <v>1229038.53819991</v>
      </c>
      <c r="H1652" s="635"/>
      <c r="I1652" s="655"/>
      <c r="J1652" s="635">
        <f t="shared" si="75"/>
        <v>1229038.53819991</v>
      </c>
      <c r="K1652" s="635"/>
      <c r="L1652" s="635"/>
      <c r="M1652" s="655">
        <f t="shared" si="76"/>
        <v>1229038.53819991</v>
      </c>
      <c r="N1652" s="61"/>
      <c r="O1652" s="636"/>
    </row>
    <row r="1653" spans="1:15" s="242" customFormat="1" ht="14.25" customHeight="1">
      <c r="A1653" s="624">
        <v>470</v>
      </c>
      <c r="B1653" s="625"/>
      <c r="C1653" s="639"/>
      <c r="D1653" s="641" t="s">
        <v>1505</v>
      </c>
      <c r="E1653" s="630" t="s">
        <v>15</v>
      </c>
      <c r="F1653" s="630"/>
      <c r="G1653" s="635">
        <v>1159179.5249999999</v>
      </c>
      <c r="H1653" s="635"/>
      <c r="I1653" s="655"/>
      <c r="J1653" s="635">
        <f t="shared" si="75"/>
        <v>1159179.5249999999</v>
      </c>
      <c r="K1653" s="635"/>
      <c r="L1653" s="635"/>
      <c r="M1653" s="655">
        <f t="shared" si="76"/>
        <v>1159179.5249999999</v>
      </c>
      <c r="N1653" s="61"/>
      <c r="O1653" s="636"/>
    </row>
    <row r="1654" spans="1:15" s="242" customFormat="1" ht="14.25" customHeight="1">
      <c r="A1654" s="624">
        <v>471</v>
      </c>
      <c r="B1654" s="625"/>
      <c r="C1654" s="639"/>
      <c r="D1654" s="641" t="s">
        <v>1506</v>
      </c>
      <c r="E1654" s="630" t="s">
        <v>15</v>
      </c>
      <c r="F1654" s="630"/>
      <c r="G1654" s="635">
        <v>1239846.615</v>
      </c>
      <c r="H1654" s="635"/>
      <c r="I1654" s="655"/>
      <c r="J1654" s="635">
        <f t="shared" si="75"/>
        <v>1239846.615</v>
      </c>
      <c r="K1654" s="635"/>
      <c r="L1654" s="635"/>
      <c r="M1654" s="655">
        <f t="shared" si="76"/>
        <v>1239846.615</v>
      </c>
      <c r="N1654" s="61"/>
      <c r="O1654" s="636"/>
    </row>
    <row r="1655" spans="1:15" s="242" customFormat="1" ht="14.25" customHeight="1">
      <c r="A1655" s="624">
        <v>472</v>
      </c>
      <c r="B1655" s="625"/>
      <c r="C1655" s="639"/>
      <c r="D1655" s="641" t="s">
        <v>1507</v>
      </c>
      <c r="E1655" s="630" t="s">
        <v>15</v>
      </c>
      <c r="F1655" s="630"/>
      <c r="G1655" s="635">
        <v>1149145.3259999999</v>
      </c>
      <c r="H1655" s="635"/>
      <c r="I1655" s="655"/>
      <c r="J1655" s="635">
        <f t="shared" si="75"/>
        <v>1149145.3259999999</v>
      </c>
      <c r="K1655" s="635"/>
      <c r="L1655" s="635"/>
      <c r="M1655" s="655">
        <f t="shared" si="76"/>
        <v>1149145.3259999999</v>
      </c>
      <c r="N1655" s="61"/>
      <c r="O1655" s="636"/>
    </row>
    <row r="1656" spans="1:15" s="242" customFormat="1" ht="14.25" customHeight="1">
      <c r="A1656" s="624">
        <v>473</v>
      </c>
      <c r="B1656" s="625"/>
      <c r="C1656" s="639"/>
      <c r="D1656" s="641" t="s">
        <v>1508</v>
      </c>
      <c r="E1656" s="630" t="s">
        <v>15</v>
      </c>
      <c r="F1656" s="630"/>
      <c r="G1656" s="635">
        <v>1159179.5249999999</v>
      </c>
      <c r="H1656" s="635"/>
      <c r="I1656" s="655"/>
      <c r="J1656" s="635">
        <f t="shared" si="75"/>
        <v>1159179.5249999999</v>
      </c>
      <c r="K1656" s="635"/>
      <c r="L1656" s="635"/>
      <c r="M1656" s="655">
        <f t="shared" si="76"/>
        <v>1159179.5249999999</v>
      </c>
      <c r="N1656" s="61"/>
      <c r="O1656" s="636"/>
    </row>
    <row r="1657" spans="1:15" s="242" customFormat="1" ht="14.25" customHeight="1">
      <c r="A1657" s="624">
        <v>474</v>
      </c>
      <c r="B1657" s="625"/>
      <c r="C1657" s="639"/>
      <c r="D1657" s="641" t="s">
        <v>1509</v>
      </c>
      <c r="E1657" s="630" t="s">
        <v>15</v>
      </c>
      <c r="F1657" s="630"/>
      <c r="G1657" s="635">
        <v>1239846.615</v>
      </c>
      <c r="H1657" s="635"/>
      <c r="I1657" s="655"/>
      <c r="J1657" s="635">
        <f t="shared" si="75"/>
        <v>1239846.615</v>
      </c>
      <c r="K1657" s="635"/>
      <c r="L1657" s="635"/>
      <c r="M1657" s="655">
        <f t="shared" si="76"/>
        <v>1239846.615</v>
      </c>
      <c r="N1657" s="61"/>
      <c r="O1657" s="636"/>
    </row>
    <row r="1658" spans="1:15" s="242" customFormat="1" ht="14.25" customHeight="1">
      <c r="A1658" s="624">
        <v>475</v>
      </c>
      <c r="B1658" s="625"/>
      <c r="C1658" s="639"/>
      <c r="D1658" s="641" t="s">
        <v>1510</v>
      </c>
      <c r="E1658" s="630" t="s">
        <v>15</v>
      </c>
      <c r="F1658" s="630"/>
      <c r="G1658" s="635"/>
      <c r="H1658" s="635"/>
      <c r="I1658" s="655">
        <v>1229038.53819991</v>
      </c>
      <c r="J1658" s="635">
        <f t="shared" si="75"/>
        <v>1229038.53819991</v>
      </c>
      <c r="K1658" s="635"/>
      <c r="L1658" s="635"/>
      <c r="M1658" s="655">
        <f t="shared" si="76"/>
        <v>1229038.53819991</v>
      </c>
      <c r="N1658" s="61"/>
      <c r="O1658" s="636"/>
    </row>
    <row r="1659" spans="1:15" s="242" customFormat="1" ht="14.25" customHeight="1">
      <c r="A1659" s="624">
        <v>476</v>
      </c>
      <c r="B1659" s="625"/>
      <c r="C1659" s="639"/>
      <c r="D1659" s="641" t="s">
        <v>1511</v>
      </c>
      <c r="E1659" s="630" t="s">
        <v>15</v>
      </c>
      <c r="F1659" s="630"/>
      <c r="G1659" s="635"/>
      <c r="H1659" s="635"/>
      <c r="I1659" s="655">
        <v>1159179.5249999999</v>
      </c>
      <c r="J1659" s="635">
        <f t="shared" si="75"/>
        <v>1159179.5249999999</v>
      </c>
      <c r="K1659" s="635"/>
      <c r="L1659" s="635"/>
      <c r="M1659" s="655">
        <f t="shared" si="76"/>
        <v>1159179.5249999999</v>
      </c>
      <c r="N1659" s="61"/>
      <c r="O1659" s="636"/>
    </row>
    <row r="1660" spans="1:15" s="242" customFormat="1" ht="14.25" customHeight="1">
      <c r="A1660" s="624">
        <v>477</v>
      </c>
      <c r="B1660" s="625"/>
      <c r="C1660" s="639"/>
      <c r="D1660" s="641" t="s">
        <v>1512</v>
      </c>
      <c r="E1660" s="630" t="s">
        <v>15</v>
      </c>
      <c r="F1660" s="630"/>
      <c r="G1660" s="635"/>
      <c r="H1660" s="635"/>
      <c r="I1660" s="655">
        <v>1239846.615</v>
      </c>
      <c r="J1660" s="635">
        <f t="shared" si="75"/>
        <v>1239846.615</v>
      </c>
      <c r="K1660" s="635"/>
      <c r="L1660" s="635"/>
      <c r="M1660" s="655">
        <f t="shared" si="76"/>
        <v>1239846.615</v>
      </c>
      <c r="N1660" s="61"/>
      <c r="O1660" s="636"/>
    </row>
    <row r="1661" spans="1:15" s="242" customFormat="1" ht="14.25" customHeight="1">
      <c r="A1661" s="624">
        <v>478</v>
      </c>
      <c r="B1661" s="625"/>
      <c r="C1661" s="639"/>
      <c r="D1661" s="641" t="s">
        <v>1513</v>
      </c>
      <c r="E1661" s="630" t="s">
        <v>15</v>
      </c>
      <c r="F1661" s="630"/>
      <c r="G1661" s="635"/>
      <c r="H1661" s="635"/>
      <c r="I1661" s="655">
        <v>1149145.3259999999</v>
      </c>
      <c r="J1661" s="635">
        <f t="shared" si="75"/>
        <v>1149145.3259999999</v>
      </c>
      <c r="K1661" s="635"/>
      <c r="L1661" s="635"/>
      <c r="M1661" s="655">
        <f t="shared" si="76"/>
        <v>1149145.3259999999</v>
      </c>
      <c r="N1661" s="61"/>
      <c r="O1661" s="636"/>
    </row>
    <row r="1662" spans="1:15" s="242" customFormat="1" ht="14.25" customHeight="1">
      <c r="A1662" s="624">
        <v>479</v>
      </c>
      <c r="B1662" s="625"/>
      <c r="C1662" s="639"/>
      <c r="D1662" s="641" t="s">
        <v>1514</v>
      </c>
      <c r="E1662" s="630" t="s">
        <v>15</v>
      </c>
      <c r="F1662" s="630"/>
      <c r="G1662" s="635"/>
      <c r="H1662" s="635"/>
      <c r="I1662" s="655">
        <v>1159179.5249999999</v>
      </c>
      <c r="J1662" s="635">
        <f t="shared" si="75"/>
        <v>1159179.5249999999</v>
      </c>
      <c r="K1662" s="635"/>
      <c r="L1662" s="635"/>
      <c r="M1662" s="655">
        <f t="shared" si="76"/>
        <v>1159179.5249999999</v>
      </c>
      <c r="N1662" s="61"/>
      <c r="O1662" s="636"/>
    </row>
    <row r="1663" spans="1:15" s="242" customFormat="1" ht="14.25" customHeight="1">
      <c r="A1663" s="624">
        <v>480</v>
      </c>
      <c r="B1663" s="625"/>
      <c r="C1663" s="639"/>
      <c r="D1663" s="641" t="s">
        <v>1515</v>
      </c>
      <c r="E1663" s="630" t="s">
        <v>15</v>
      </c>
      <c r="F1663" s="630"/>
      <c r="G1663" s="635"/>
      <c r="H1663" s="635"/>
      <c r="I1663" s="655">
        <v>1239846.615</v>
      </c>
      <c r="J1663" s="635">
        <f t="shared" si="75"/>
        <v>1239846.615</v>
      </c>
      <c r="K1663" s="635"/>
      <c r="L1663" s="635"/>
      <c r="M1663" s="655">
        <f t="shared" si="76"/>
        <v>1239846.615</v>
      </c>
      <c r="N1663" s="61"/>
      <c r="O1663" s="636"/>
    </row>
    <row r="1664" spans="1:15" s="242" customFormat="1" ht="14.25" customHeight="1">
      <c r="A1664" s="624">
        <v>481</v>
      </c>
      <c r="B1664" s="625"/>
      <c r="C1664" s="639"/>
      <c r="D1664" s="641" t="s">
        <v>1516</v>
      </c>
      <c r="E1664" s="630" t="s">
        <v>15</v>
      </c>
      <c r="F1664" s="630"/>
      <c r="G1664" s="635"/>
      <c r="H1664" s="635"/>
      <c r="I1664" s="655">
        <v>1159179.5249999999</v>
      </c>
      <c r="J1664" s="635">
        <f t="shared" si="75"/>
        <v>1159179.5249999999</v>
      </c>
      <c r="K1664" s="635"/>
      <c r="L1664" s="635"/>
      <c r="M1664" s="655">
        <f t="shared" si="76"/>
        <v>1159179.5249999999</v>
      </c>
      <c r="N1664" s="61"/>
      <c r="O1664" s="636"/>
    </row>
    <row r="1665" spans="1:15" s="242" customFormat="1" ht="14.25" customHeight="1">
      <c r="A1665" s="624">
        <v>482</v>
      </c>
      <c r="B1665" s="625"/>
      <c r="C1665" s="639"/>
      <c r="D1665" s="641" t="s">
        <v>1517</v>
      </c>
      <c r="E1665" s="630" t="s">
        <v>15</v>
      </c>
      <c r="F1665" s="630"/>
      <c r="G1665" s="635"/>
      <c r="H1665" s="635"/>
      <c r="I1665" s="655">
        <v>1149145.3259999999</v>
      </c>
      <c r="J1665" s="635">
        <f t="shared" si="75"/>
        <v>1149145.3259999999</v>
      </c>
      <c r="K1665" s="635"/>
      <c r="L1665" s="635"/>
      <c r="M1665" s="655">
        <f t="shared" si="76"/>
        <v>1149145.3259999999</v>
      </c>
      <c r="N1665" s="61"/>
      <c r="O1665" s="636"/>
    </row>
    <row r="1666" spans="1:15" s="242" customFormat="1" ht="14.25" customHeight="1">
      <c r="A1666" s="624">
        <v>483</v>
      </c>
      <c r="B1666" s="625"/>
      <c r="C1666" s="639"/>
      <c r="D1666" s="641" t="s">
        <v>1518</v>
      </c>
      <c r="E1666" s="630" t="s">
        <v>15</v>
      </c>
      <c r="F1666" s="630"/>
      <c r="G1666" s="635"/>
      <c r="H1666" s="635"/>
      <c r="I1666" s="655">
        <v>1229038.53819991</v>
      </c>
      <c r="J1666" s="635">
        <f t="shared" si="75"/>
        <v>1229038.53819991</v>
      </c>
      <c r="K1666" s="635"/>
      <c r="L1666" s="635"/>
      <c r="M1666" s="655">
        <f t="shared" si="76"/>
        <v>1229038.53819991</v>
      </c>
      <c r="N1666" s="61"/>
      <c r="O1666" s="636"/>
    </row>
    <row r="1667" spans="1:15" s="242" customFormat="1" ht="14.25" customHeight="1">
      <c r="A1667" s="624">
        <v>484</v>
      </c>
      <c r="B1667" s="625"/>
      <c r="C1667" s="639"/>
      <c r="D1667" s="641" t="s">
        <v>1519</v>
      </c>
      <c r="E1667" s="630" t="s">
        <v>15</v>
      </c>
      <c r="F1667" s="630"/>
      <c r="G1667" s="635"/>
      <c r="H1667" s="635"/>
      <c r="I1667" s="655">
        <v>1229038.53819991</v>
      </c>
      <c r="J1667" s="635">
        <f t="shared" si="75"/>
        <v>1229038.53819991</v>
      </c>
      <c r="K1667" s="635"/>
      <c r="L1667" s="635"/>
      <c r="M1667" s="655">
        <f t="shared" si="76"/>
        <v>1229038.53819991</v>
      </c>
      <c r="N1667" s="61"/>
      <c r="O1667" s="636"/>
    </row>
    <row r="1668" spans="1:15" s="242" customFormat="1" ht="14.25" customHeight="1">
      <c r="A1668" s="624">
        <v>485</v>
      </c>
      <c r="B1668" s="625"/>
      <c r="C1668" s="639"/>
      <c r="D1668" s="641" t="s">
        <v>1520</v>
      </c>
      <c r="E1668" s="630" t="s">
        <v>15</v>
      </c>
      <c r="F1668" s="630"/>
      <c r="G1668" s="635"/>
      <c r="H1668" s="635"/>
      <c r="I1668" s="655">
        <v>1159179.5249999999</v>
      </c>
      <c r="J1668" s="635">
        <f t="shared" si="75"/>
        <v>1159179.5249999999</v>
      </c>
      <c r="K1668" s="635"/>
      <c r="L1668" s="635"/>
      <c r="M1668" s="655">
        <f t="shared" si="76"/>
        <v>1159179.5249999999</v>
      </c>
      <c r="N1668" s="61"/>
      <c r="O1668" s="636"/>
    </row>
    <row r="1669" spans="1:15" s="242" customFormat="1" ht="14.25" customHeight="1">
      <c r="A1669" s="624">
        <v>486</v>
      </c>
      <c r="B1669" s="625"/>
      <c r="C1669" s="639"/>
      <c r="D1669" s="641" t="s">
        <v>1521</v>
      </c>
      <c r="E1669" s="630" t="s">
        <v>15</v>
      </c>
      <c r="F1669" s="630"/>
      <c r="G1669" s="635"/>
      <c r="H1669" s="635"/>
      <c r="I1669" s="655">
        <v>1239846.615</v>
      </c>
      <c r="J1669" s="635">
        <f t="shared" si="75"/>
        <v>1239846.615</v>
      </c>
      <c r="K1669" s="635"/>
      <c r="L1669" s="635"/>
      <c r="M1669" s="655">
        <f t="shared" si="76"/>
        <v>1239846.615</v>
      </c>
      <c r="N1669" s="61"/>
      <c r="O1669" s="636"/>
    </row>
    <row r="1670" spans="1:15" s="242" customFormat="1" ht="14.25" customHeight="1">
      <c r="A1670" s="624">
        <v>487</v>
      </c>
      <c r="B1670" s="625"/>
      <c r="C1670" s="639"/>
      <c r="D1670" s="641" t="s">
        <v>1522</v>
      </c>
      <c r="E1670" s="630" t="s">
        <v>15</v>
      </c>
      <c r="F1670" s="630"/>
      <c r="G1670" s="635"/>
      <c r="H1670" s="635"/>
      <c r="I1670" s="655">
        <v>1149145.3259999999</v>
      </c>
      <c r="J1670" s="635">
        <f t="shared" si="75"/>
        <v>1149145.3259999999</v>
      </c>
      <c r="K1670" s="635"/>
      <c r="L1670" s="635"/>
      <c r="M1670" s="655">
        <f t="shared" si="76"/>
        <v>1149145.3259999999</v>
      </c>
      <c r="N1670" s="61"/>
      <c r="O1670" s="636"/>
    </row>
    <row r="1671" spans="1:15" s="242" customFormat="1" ht="14.25" customHeight="1">
      <c r="A1671" s="624">
        <v>488</v>
      </c>
      <c r="B1671" s="625"/>
      <c r="C1671" s="639"/>
      <c r="D1671" s="641" t="s">
        <v>1523</v>
      </c>
      <c r="E1671" s="630" t="s">
        <v>15</v>
      </c>
      <c r="F1671" s="630"/>
      <c r="G1671" s="635"/>
      <c r="H1671" s="635"/>
      <c r="I1671" s="655">
        <v>1159179.5249999999</v>
      </c>
      <c r="J1671" s="635">
        <f t="shared" si="75"/>
        <v>1159179.5249999999</v>
      </c>
      <c r="K1671" s="635"/>
      <c r="L1671" s="635"/>
      <c r="M1671" s="655">
        <f t="shared" si="76"/>
        <v>1159179.5249999999</v>
      </c>
      <c r="N1671" s="61"/>
      <c r="O1671" s="636"/>
    </row>
    <row r="1672" spans="1:15" s="242" customFormat="1" ht="14.25" customHeight="1">
      <c r="A1672" s="624">
        <v>489</v>
      </c>
      <c r="B1672" s="625"/>
      <c r="C1672" s="639"/>
      <c r="D1672" s="641" t="s">
        <v>1524</v>
      </c>
      <c r="E1672" s="630" t="s">
        <v>15</v>
      </c>
      <c r="F1672" s="630"/>
      <c r="G1672" s="635"/>
      <c r="H1672" s="635"/>
      <c r="I1672" s="655">
        <v>1239846.615</v>
      </c>
      <c r="J1672" s="635">
        <f t="shared" si="75"/>
        <v>1239846.615</v>
      </c>
      <c r="K1672" s="635"/>
      <c r="L1672" s="635"/>
      <c r="M1672" s="655">
        <f t="shared" si="76"/>
        <v>1239846.615</v>
      </c>
      <c r="N1672" s="61"/>
      <c r="O1672" s="636"/>
    </row>
    <row r="1673" spans="1:15" s="242" customFormat="1" ht="14.25" customHeight="1">
      <c r="A1673" s="624">
        <v>490</v>
      </c>
      <c r="B1673" s="625"/>
      <c r="C1673" s="639"/>
      <c r="D1673" s="641" t="s">
        <v>1525</v>
      </c>
      <c r="E1673" s="630" t="s">
        <v>15</v>
      </c>
      <c r="F1673" s="630"/>
      <c r="G1673" s="635"/>
      <c r="H1673" s="635"/>
      <c r="I1673" s="655">
        <v>1229038.53819991</v>
      </c>
      <c r="J1673" s="635">
        <f t="shared" si="75"/>
        <v>1229038.53819991</v>
      </c>
      <c r="K1673" s="635"/>
      <c r="L1673" s="635"/>
      <c r="M1673" s="655">
        <f t="shared" si="76"/>
        <v>1229038.53819991</v>
      </c>
      <c r="N1673" s="61"/>
      <c r="O1673" s="636"/>
    </row>
    <row r="1674" spans="1:15" s="242" customFormat="1" ht="14.25" customHeight="1">
      <c r="A1674" s="624">
        <v>491</v>
      </c>
      <c r="B1674" s="625"/>
      <c r="C1674" s="639"/>
      <c r="D1674" s="641" t="s">
        <v>1526</v>
      </c>
      <c r="E1674" s="630" t="s">
        <v>15</v>
      </c>
      <c r="F1674" s="630"/>
      <c r="G1674" s="635"/>
      <c r="H1674" s="635"/>
      <c r="I1674" s="655">
        <v>1159179.5249999999</v>
      </c>
      <c r="J1674" s="635">
        <f t="shared" si="75"/>
        <v>1159179.5249999999</v>
      </c>
      <c r="K1674" s="635"/>
      <c r="L1674" s="635"/>
      <c r="M1674" s="655">
        <f t="shared" si="76"/>
        <v>1159179.5249999999</v>
      </c>
      <c r="N1674" s="61"/>
      <c r="O1674" s="636"/>
    </row>
    <row r="1675" spans="1:15" s="242" customFormat="1" ht="14.25" customHeight="1">
      <c r="A1675" s="624">
        <v>492</v>
      </c>
      <c r="B1675" s="625"/>
      <c r="C1675" s="639"/>
      <c r="D1675" s="641" t="s">
        <v>1527</v>
      </c>
      <c r="E1675" s="630" t="s">
        <v>15</v>
      </c>
      <c r="F1675" s="630"/>
      <c r="G1675" s="635"/>
      <c r="H1675" s="635"/>
      <c r="I1675" s="655">
        <v>1239846.615</v>
      </c>
      <c r="J1675" s="635">
        <f t="shared" si="75"/>
        <v>1239846.615</v>
      </c>
      <c r="K1675" s="635"/>
      <c r="L1675" s="635"/>
      <c r="M1675" s="655">
        <f t="shared" si="76"/>
        <v>1239846.615</v>
      </c>
      <c r="N1675" s="61"/>
      <c r="O1675" s="636"/>
    </row>
    <row r="1676" spans="1:15" s="242" customFormat="1" ht="14.25" customHeight="1">
      <c r="A1676" s="624">
        <v>493</v>
      </c>
      <c r="B1676" s="625"/>
      <c r="C1676" s="639"/>
      <c r="D1676" s="641" t="s">
        <v>1528</v>
      </c>
      <c r="E1676" s="630" t="s">
        <v>15</v>
      </c>
      <c r="F1676" s="630"/>
      <c r="G1676" s="635"/>
      <c r="H1676" s="635"/>
      <c r="I1676" s="655">
        <v>1149145.3259999999</v>
      </c>
      <c r="J1676" s="635">
        <f t="shared" si="75"/>
        <v>1149145.3259999999</v>
      </c>
      <c r="K1676" s="635"/>
      <c r="L1676" s="635"/>
      <c r="M1676" s="655">
        <f t="shared" si="76"/>
        <v>1149145.3259999999</v>
      </c>
      <c r="N1676" s="61"/>
      <c r="O1676" s="636"/>
    </row>
    <row r="1677" spans="1:15" s="242" customFormat="1" ht="14.25" customHeight="1">
      <c r="A1677" s="624">
        <v>494</v>
      </c>
      <c r="B1677" s="625"/>
      <c r="C1677" s="639"/>
      <c r="D1677" s="641" t="s">
        <v>1529</v>
      </c>
      <c r="E1677" s="630" t="s">
        <v>15</v>
      </c>
      <c r="F1677" s="630"/>
      <c r="G1677" s="635"/>
      <c r="H1677" s="635"/>
      <c r="I1677" s="655">
        <v>1159179.5249999999</v>
      </c>
      <c r="J1677" s="635">
        <f t="shared" si="75"/>
        <v>1159179.5249999999</v>
      </c>
      <c r="K1677" s="635"/>
      <c r="L1677" s="635"/>
      <c r="M1677" s="655">
        <f t="shared" si="76"/>
        <v>1159179.5249999999</v>
      </c>
      <c r="N1677" s="61"/>
      <c r="O1677" s="636"/>
    </row>
    <row r="1678" spans="1:15" s="242" customFormat="1" ht="14.25" customHeight="1">
      <c r="A1678" s="624">
        <v>495</v>
      </c>
      <c r="B1678" s="625"/>
      <c r="C1678" s="639"/>
      <c r="D1678" s="641" t="s">
        <v>1530</v>
      </c>
      <c r="E1678" s="630" t="s">
        <v>15</v>
      </c>
      <c r="F1678" s="630"/>
      <c r="G1678" s="635"/>
      <c r="H1678" s="635"/>
      <c r="I1678" s="655">
        <v>1239846.615</v>
      </c>
      <c r="J1678" s="635">
        <f t="shared" si="75"/>
        <v>1239846.615</v>
      </c>
      <c r="K1678" s="635"/>
      <c r="L1678" s="635"/>
      <c r="M1678" s="655">
        <f t="shared" si="76"/>
        <v>1239846.615</v>
      </c>
      <c r="N1678" s="61"/>
      <c r="O1678" s="636"/>
    </row>
    <row r="1679" spans="1:15" s="242" customFormat="1" ht="14.25" customHeight="1">
      <c r="A1679" s="624">
        <v>496</v>
      </c>
      <c r="B1679" s="625"/>
      <c r="C1679" s="639"/>
      <c r="D1679" s="641" t="s">
        <v>1531</v>
      </c>
      <c r="E1679" s="630" t="s">
        <v>15</v>
      </c>
      <c r="F1679" s="630"/>
      <c r="G1679" s="635"/>
      <c r="H1679" s="635"/>
      <c r="I1679" s="655">
        <v>1159179.5249999999</v>
      </c>
      <c r="J1679" s="635">
        <f t="shared" si="75"/>
        <v>1159179.5249999999</v>
      </c>
      <c r="K1679" s="635"/>
      <c r="L1679" s="635"/>
      <c r="M1679" s="655">
        <f t="shared" si="76"/>
        <v>1159179.5249999999</v>
      </c>
      <c r="N1679" s="61"/>
      <c r="O1679" s="636"/>
    </row>
    <row r="1680" spans="1:15" s="242" customFormat="1" ht="14.25" customHeight="1">
      <c r="A1680" s="624">
        <v>497</v>
      </c>
      <c r="B1680" s="625"/>
      <c r="C1680" s="639"/>
      <c r="D1680" s="641" t="s">
        <v>1532</v>
      </c>
      <c r="E1680" s="630" t="s">
        <v>15</v>
      </c>
      <c r="F1680" s="630"/>
      <c r="G1680" s="635"/>
      <c r="H1680" s="635"/>
      <c r="I1680" s="655">
        <v>1149145.3259999999</v>
      </c>
      <c r="J1680" s="635">
        <f t="shared" si="75"/>
        <v>1149145.3259999999</v>
      </c>
      <c r="K1680" s="635"/>
      <c r="L1680" s="635"/>
      <c r="M1680" s="655">
        <f t="shared" si="76"/>
        <v>1149145.3259999999</v>
      </c>
      <c r="N1680" s="61"/>
      <c r="O1680" s="636"/>
    </row>
    <row r="1681" spans="1:18" s="242" customFormat="1" ht="14.25" customHeight="1">
      <c r="A1681" s="624">
        <v>498</v>
      </c>
      <c r="B1681" s="625"/>
      <c r="C1681" s="639"/>
      <c r="D1681" s="641" t="s">
        <v>1533</v>
      </c>
      <c r="E1681" s="630" t="s">
        <v>15</v>
      </c>
      <c r="F1681" s="630"/>
      <c r="G1681" s="635"/>
      <c r="H1681" s="635"/>
      <c r="I1681" s="655">
        <v>1229038.53819991</v>
      </c>
      <c r="J1681" s="635">
        <f t="shared" si="75"/>
        <v>1229038.53819991</v>
      </c>
      <c r="K1681" s="635"/>
      <c r="L1681" s="635"/>
      <c r="M1681" s="655">
        <f t="shared" si="76"/>
        <v>1229038.53819991</v>
      </c>
      <c r="N1681" s="61"/>
      <c r="O1681" s="636"/>
    </row>
    <row r="1682" spans="1:18" s="242" customFormat="1" ht="14.25" customHeight="1">
      <c r="A1682" s="624">
        <v>499</v>
      </c>
      <c r="B1682" s="625"/>
      <c r="C1682" s="639"/>
      <c r="D1682" s="641" t="s">
        <v>1534</v>
      </c>
      <c r="E1682" s="630" t="s">
        <v>15</v>
      </c>
      <c r="F1682" s="630"/>
      <c r="G1682" s="635"/>
      <c r="H1682" s="635"/>
      <c r="I1682" s="655">
        <v>1229038.53819991</v>
      </c>
      <c r="J1682" s="635">
        <f t="shared" si="75"/>
        <v>1229038.53819991</v>
      </c>
      <c r="K1682" s="635"/>
      <c r="L1682" s="635"/>
      <c r="M1682" s="655">
        <f t="shared" si="76"/>
        <v>1229038.53819991</v>
      </c>
      <c r="N1682" s="61"/>
      <c r="O1682" s="636"/>
    </row>
    <row r="1683" spans="1:18" s="242" customFormat="1" ht="14.25" customHeight="1">
      <c r="A1683" s="624">
        <v>500</v>
      </c>
      <c r="B1683" s="625"/>
      <c r="C1683" s="639"/>
      <c r="D1683" s="641" t="s">
        <v>1535</v>
      </c>
      <c r="E1683" s="630" t="s">
        <v>15</v>
      </c>
      <c r="F1683" s="630"/>
      <c r="G1683" s="635"/>
      <c r="H1683" s="635"/>
      <c r="I1683" s="655">
        <v>1159179.5249999999</v>
      </c>
      <c r="J1683" s="635">
        <f t="shared" si="75"/>
        <v>1159179.5249999999</v>
      </c>
      <c r="K1683" s="635"/>
      <c r="L1683" s="635"/>
      <c r="M1683" s="655">
        <f t="shared" si="76"/>
        <v>1159179.5249999999</v>
      </c>
      <c r="N1683" s="61"/>
      <c r="O1683" s="636"/>
    </row>
    <row r="1684" spans="1:18" s="242" customFormat="1" ht="14.25" customHeight="1">
      <c r="A1684" s="624">
        <v>501</v>
      </c>
      <c r="B1684" s="625"/>
      <c r="C1684" s="639"/>
      <c r="D1684" s="641" t="s">
        <v>1536</v>
      </c>
      <c r="E1684" s="630" t="s">
        <v>15</v>
      </c>
      <c r="F1684" s="630"/>
      <c r="G1684" s="635"/>
      <c r="H1684" s="635"/>
      <c r="I1684" s="655">
        <v>1239846.615</v>
      </c>
      <c r="J1684" s="635">
        <f t="shared" si="75"/>
        <v>1239846.615</v>
      </c>
      <c r="K1684" s="635"/>
      <c r="L1684" s="635"/>
      <c r="M1684" s="655">
        <f t="shared" si="76"/>
        <v>1239846.615</v>
      </c>
      <c r="N1684" s="61"/>
      <c r="O1684" s="636"/>
    </row>
    <row r="1685" spans="1:18" s="242" customFormat="1" ht="14.25" customHeight="1">
      <c r="A1685" s="624">
        <v>502</v>
      </c>
      <c r="B1685" s="625"/>
      <c r="C1685" s="639"/>
      <c r="D1685" s="641" t="s">
        <v>1537</v>
      </c>
      <c r="E1685" s="630" t="s">
        <v>15</v>
      </c>
      <c r="F1685" s="630"/>
      <c r="G1685" s="635"/>
      <c r="H1685" s="635"/>
      <c r="I1685" s="655">
        <v>1149145.3259999999</v>
      </c>
      <c r="J1685" s="635">
        <f t="shared" si="75"/>
        <v>1149145.3259999999</v>
      </c>
      <c r="K1685" s="635"/>
      <c r="L1685" s="635"/>
      <c r="M1685" s="655">
        <f t="shared" si="76"/>
        <v>1149145.3259999999</v>
      </c>
      <c r="N1685" s="61"/>
      <c r="O1685" s="636"/>
    </row>
    <row r="1686" spans="1:18" s="242" customFormat="1" ht="14.25" customHeight="1">
      <c r="A1686" s="624">
        <v>503</v>
      </c>
      <c r="B1686" s="625"/>
      <c r="C1686" s="639"/>
      <c r="D1686" s="641" t="s">
        <v>1538</v>
      </c>
      <c r="E1686" s="630" t="s">
        <v>15</v>
      </c>
      <c r="F1686" s="630"/>
      <c r="G1686" s="635"/>
      <c r="H1686" s="635"/>
      <c r="I1686" s="655">
        <v>1159179.5249999999</v>
      </c>
      <c r="J1686" s="635">
        <f t="shared" si="75"/>
        <v>1159179.5249999999</v>
      </c>
      <c r="K1686" s="635"/>
      <c r="L1686" s="635"/>
      <c r="M1686" s="655">
        <f t="shared" si="76"/>
        <v>1159179.5249999999</v>
      </c>
      <c r="N1686" s="61"/>
      <c r="O1686" s="636"/>
    </row>
    <row r="1687" spans="1:18" s="242" customFormat="1" ht="14.25" customHeight="1">
      <c r="A1687" s="624">
        <v>504</v>
      </c>
      <c r="B1687" s="625"/>
      <c r="C1687" s="639"/>
      <c r="D1687" s="641" t="s">
        <v>1539</v>
      </c>
      <c r="E1687" s="630" t="s">
        <v>15</v>
      </c>
      <c r="F1687" s="630"/>
      <c r="G1687" s="635"/>
      <c r="H1687" s="635"/>
      <c r="I1687" s="655">
        <v>1239846.615</v>
      </c>
      <c r="J1687" s="635">
        <f t="shared" si="75"/>
        <v>1239846.615</v>
      </c>
      <c r="K1687" s="635"/>
      <c r="L1687" s="635"/>
      <c r="M1687" s="655">
        <f t="shared" si="76"/>
        <v>1239846.615</v>
      </c>
      <c r="N1687" s="61"/>
      <c r="O1687" s="636"/>
    </row>
    <row r="1688" spans="1:18" s="242" customFormat="1" ht="14.25" customHeight="1">
      <c r="A1688" s="624">
        <v>505</v>
      </c>
      <c r="B1688" s="625"/>
      <c r="C1688" s="639"/>
      <c r="D1688" s="641" t="s">
        <v>1540</v>
      </c>
      <c r="E1688" s="630" t="s">
        <v>15</v>
      </c>
      <c r="F1688" s="630"/>
      <c r="G1688" s="635"/>
      <c r="H1688" s="635"/>
      <c r="I1688" s="655">
        <v>1229038.53819991</v>
      </c>
      <c r="J1688" s="635">
        <f t="shared" si="75"/>
        <v>1229038.53819991</v>
      </c>
      <c r="K1688" s="635"/>
      <c r="L1688" s="635"/>
      <c r="M1688" s="655">
        <f t="shared" si="76"/>
        <v>1229038.53819991</v>
      </c>
      <c r="N1688" s="61"/>
      <c r="O1688" s="636"/>
    </row>
    <row r="1689" spans="1:18" s="242" customFormat="1" ht="14.25" customHeight="1">
      <c r="A1689" s="624">
        <v>506</v>
      </c>
      <c r="B1689" s="625"/>
      <c r="C1689" s="639"/>
      <c r="D1689" s="641" t="s">
        <v>1541</v>
      </c>
      <c r="E1689" s="630" t="s">
        <v>15</v>
      </c>
      <c r="F1689" s="630"/>
      <c r="G1689" s="635"/>
      <c r="H1689" s="635"/>
      <c r="I1689" s="655">
        <v>1159179.5249999999</v>
      </c>
      <c r="J1689" s="635">
        <f t="shared" si="75"/>
        <v>1159179.5249999999</v>
      </c>
      <c r="K1689" s="635"/>
      <c r="L1689" s="635"/>
      <c r="M1689" s="655">
        <f t="shared" si="76"/>
        <v>1159179.5249999999</v>
      </c>
      <c r="N1689" s="61"/>
      <c r="O1689" s="636"/>
    </row>
    <row r="1690" spans="1:18" s="242" customFormat="1" ht="14.25" customHeight="1">
      <c r="A1690" s="624">
        <v>507</v>
      </c>
      <c r="B1690" s="625"/>
      <c r="C1690" s="639"/>
      <c r="D1690" s="641" t="s">
        <v>1542</v>
      </c>
      <c r="E1690" s="630" t="s">
        <v>15</v>
      </c>
      <c r="F1690" s="630"/>
      <c r="G1690" s="635"/>
      <c r="H1690" s="635"/>
      <c r="I1690" s="655">
        <v>1239846.615</v>
      </c>
      <c r="J1690" s="635">
        <f t="shared" si="75"/>
        <v>1239846.615</v>
      </c>
      <c r="K1690" s="635"/>
      <c r="L1690" s="635"/>
      <c r="M1690" s="655">
        <f t="shared" si="76"/>
        <v>1239846.615</v>
      </c>
      <c r="N1690" s="61"/>
      <c r="O1690" s="636"/>
    </row>
    <row r="1691" spans="1:18" s="242" customFormat="1" ht="14.25" customHeight="1">
      <c r="A1691" s="624">
        <v>508</v>
      </c>
      <c r="B1691" s="625"/>
      <c r="C1691" s="639"/>
      <c r="D1691" s="641" t="s">
        <v>759</v>
      </c>
      <c r="E1691" s="630" t="s">
        <v>15</v>
      </c>
      <c r="F1691" s="630"/>
      <c r="G1691" s="635"/>
      <c r="H1691" s="635"/>
      <c r="I1691" s="655">
        <v>1149145.3259999999</v>
      </c>
      <c r="J1691" s="635">
        <f t="shared" si="75"/>
        <v>1149145.3259999999</v>
      </c>
      <c r="K1691" s="635"/>
      <c r="L1691" s="635"/>
      <c r="M1691" s="655">
        <f t="shared" si="76"/>
        <v>1149145.3259999999</v>
      </c>
      <c r="N1691" s="61"/>
      <c r="O1691" s="636"/>
    </row>
    <row r="1692" spans="1:18" s="242" customFormat="1" ht="14.25" customHeight="1">
      <c r="A1692" s="624">
        <v>509</v>
      </c>
      <c r="B1692" s="625"/>
      <c r="C1692" s="639"/>
      <c r="D1692" s="641" t="s">
        <v>760</v>
      </c>
      <c r="E1692" s="630" t="s">
        <v>15</v>
      </c>
      <c r="F1692" s="630"/>
      <c r="G1692" s="635"/>
      <c r="H1692" s="635"/>
      <c r="I1692" s="655">
        <v>1159179.5249999999</v>
      </c>
      <c r="J1692" s="635">
        <f t="shared" si="75"/>
        <v>1159179.5249999999</v>
      </c>
      <c r="K1692" s="635"/>
      <c r="L1692" s="635"/>
      <c r="M1692" s="655">
        <f t="shared" si="76"/>
        <v>1159179.5249999999</v>
      </c>
      <c r="N1692" s="61"/>
      <c r="O1692" s="636"/>
    </row>
    <row r="1693" spans="1:18" s="242" customFormat="1" ht="14.25" customHeight="1">
      <c r="A1693" s="624">
        <v>510</v>
      </c>
      <c r="B1693" s="625"/>
      <c r="C1693" s="639"/>
      <c r="D1693" s="641" t="s">
        <v>1544</v>
      </c>
      <c r="E1693" s="630" t="s">
        <v>15</v>
      </c>
      <c r="F1693" s="630"/>
      <c r="G1693" s="635">
        <v>206188.57340063201</v>
      </c>
      <c r="H1693" s="635">
        <v>0</v>
      </c>
      <c r="I1693" s="655">
        <v>496445.73060050601</v>
      </c>
      <c r="J1693" s="635">
        <f t="shared" si="75"/>
        <v>702634.30400113808</v>
      </c>
      <c r="K1693" s="635"/>
      <c r="L1693" s="635"/>
      <c r="M1693" s="655">
        <f t="shared" si="76"/>
        <v>702634.30400113808</v>
      </c>
      <c r="N1693" s="61"/>
      <c r="O1693" s="636"/>
    </row>
    <row r="1694" spans="1:18" s="243" customFormat="1" ht="14.25" customHeight="1">
      <c r="A1694" s="628" t="s">
        <v>123</v>
      </c>
      <c r="B1694" s="642" t="e">
        <f>VLOOKUP(A1694,'[1]DS CN MOI UP'!$B$11:$C$447,2,0)</f>
        <v>#N/A</v>
      </c>
      <c r="C1694" s="628"/>
      <c r="E1694" s="628"/>
      <c r="F1694" s="628"/>
      <c r="G1694" s="651">
        <f t="shared" ref="G1694:M1694" si="77">SUM(G1184:G1693)</f>
        <v>113354999.99999996</v>
      </c>
      <c r="H1694" s="651">
        <f t="shared" si="77"/>
        <v>364827168.69667017</v>
      </c>
      <c r="I1694" s="651">
        <f t="shared" si="77"/>
        <v>124038826</v>
      </c>
      <c r="J1694" s="651">
        <f t="shared" si="77"/>
        <v>602220994.69666767</v>
      </c>
      <c r="K1694" s="651">
        <f t="shared" si="77"/>
        <v>0</v>
      </c>
      <c r="L1694" s="651">
        <f t="shared" si="77"/>
        <v>0</v>
      </c>
      <c r="M1694" s="651">
        <f t="shared" si="77"/>
        <v>602220994.69666767</v>
      </c>
      <c r="N1694" s="656"/>
      <c r="O1694" s="598" t="e">
        <f>#REF!</f>
        <v>#REF!</v>
      </c>
      <c r="P1694" s="598" t="e">
        <f>#REF!</f>
        <v>#REF!</v>
      </c>
      <c r="Q1694" s="598" t="e">
        <f>#REF!</f>
        <v>#REF!</v>
      </c>
      <c r="R1694" s="598" t="e">
        <f>#REF!</f>
        <v>#REF!</v>
      </c>
    </row>
    <row r="1695" spans="1:18" s="242" customFormat="1" ht="14.25" customHeight="1">
      <c r="A1695" s="643">
        <v>1</v>
      </c>
      <c r="B1695" s="625" t="e">
        <f>VLOOKUP(D1695,'[1]DS CN MOI UP'!$B$11:$C$447,2,0)</f>
        <v>#N/A</v>
      </c>
      <c r="C1695" s="626" t="s">
        <v>1545</v>
      </c>
      <c r="D1695" s="630" t="s">
        <v>1539</v>
      </c>
      <c r="E1695" s="630" t="s">
        <v>15</v>
      </c>
      <c r="F1695" s="630"/>
      <c r="G1695" s="655">
        <v>60000</v>
      </c>
      <c r="H1695" s="635">
        <v>554373.09900000005</v>
      </c>
      <c r="I1695" s="655">
        <v>524139.33600000001</v>
      </c>
      <c r="J1695" s="635">
        <f t="shared" ref="J1695:J1949" si="78">SUM(G1695:I1695)</f>
        <v>1138512.4350000001</v>
      </c>
      <c r="K1695" s="635"/>
      <c r="L1695" s="635"/>
      <c r="M1695" s="655">
        <f t="shared" ref="M1695:M1949" si="79">J1695-L1695</f>
        <v>1138512.4350000001</v>
      </c>
      <c r="N1695" s="644"/>
      <c r="O1695" s="636" t="e">
        <f>+O1694-G1694</f>
        <v>#REF!</v>
      </c>
      <c r="P1695" s="636" t="e">
        <f>+P1694-H1694</f>
        <v>#REF!</v>
      </c>
      <c r="Q1695" s="636" t="e">
        <f>+Q1694-I1694</f>
        <v>#REF!</v>
      </c>
    </row>
    <row r="1696" spans="1:18" s="242" customFormat="1" ht="14.25" customHeight="1">
      <c r="A1696" s="643">
        <v>2</v>
      </c>
      <c r="B1696" s="625" t="e">
        <f>VLOOKUP(D1696,'[1]DS CN MOI UP'!$B$11:$C$447,2,0)</f>
        <v>#N/A</v>
      </c>
      <c r="C1696" s="626" t="s">
        <v>1546</v>
      </c>
      <c r="D1696" s="630" t="s">
        <v>1540</v>
      </c>
      <c r="E1696" s="630" t="s">
        <v>15</v>
      </c>
      <c r="F1696" s="630"/>
      <c r="G1696" s="655">
        <v>40000</v>
      </c>
      <c r="H1696" s="635">
        <v>554373.09900000005</v>
      </c>
      <c r="I1696" s="655">
        <v>524139.33600000001</v>
      </c>
      <c r="J1696" s="635">
        <f t="shared" si="78"/>
        <v>1118512.4350000001</v>
      </c>
      <c r="K1696" s="635"/>
      <c r="L1696" s="635"/>
      <c r="M1696" s="655">
        <f t="shared" si="79"/>
        <v>1118512.4350000001</v>
      </c>
      <c r="N1696" s="644"/>
      <c r="P1696" s="636"/>
    </row>
    <row r="1697" spans="1:16" s="242" customFormat="1" ht="14.25" customHeight="1">
      <c r="A1697" s="643">
        <v>3</v>
      </c>
      <c r="B1697" s="625" t="e">
        <f>VLOOKUP(D1697,'[1]DS CN MOI UP'!$B$11:$C$447,2,0)</f>
        <v>#N/A</v>
      </c>
      <c r="C1697" s="626" t="s">
        <v>1547</v>
      </c>
      <c r="D1697" s="630" t="s">
        <v>1541</v>
      </c>
      <c r="E1697" s="630" t="s">
        <v>15</v>
      </c>
      <c r="F1697" s="630"/>
      <c r="G1697" s="655">
        <v>40000</v>
      </c>
      <c r="H1697" s="635">
        <v>554373.09900000005</v>
      </c>
      <c r="I1697" s="655">
        <v>524139.33600000001</v>
      </c>
      <c r="J1697" s="635">
        <f t="shared" si="78"/>
        <v>1118512.4350000001</v>
      </c>
      <c r="K1697" s="635"/>
      <c r="L1697" s="635"/>
      <c r="M1697" s="655">
        <f t="shared" si="79"/>
        <v>1118512.4350000001</v>
      </c>
      <c r="N1697" s="644"/>
      <c r="P1697" s="636"/>
    </row>
    <row r="1698" spans="1:16" s="242" customFormat="1" ht="14.25" customHeight="1">
      <c r="A1698" s="643">
        <v>4</v>
      </c>
      <c r="B1698" s="625" t="e">
        <f>VLOOKUP(D1698,'[1]DS CN MOI UP'!$B$11:$C$447,2,0)</f>
        <v>#N/A</v>
      </c>
      <c r="C1698" s="626" t="s">
        <v>1548</v>
      </c>
      <c r="D1698" s="630" t="s">
        <v>1542</v>
      </c>
      <c r="E1698" s="630" t="s">
        <v>15</v>
      </c>
      <c r="F1698" s="630"/>
      <c r="G1698" s="655">
        <v>40000</v>
      </c>
      <c r="H1698" s="635">
        <v>554373.09900000005</v>
      </c>
      <c r="I1698" s="655">
        <v>524139.33600000001</v>
      </c>
      <c r="J1698" s="635">
        <f t="shared" si="78"/>
        <v>1118512.4350000001</v>
      </c>
      <c r="K1698" s="635"/>
      <c r="L1698" s="635"/>
      <c r="M1698" s="655">
        <f t="shared" si="79"/>
        <v>1118512.4350000001</v>
      </c>
      <c r="N1698" s="644"/>
      <c r="P1698" s="636"/>
    </row>
    <row r="1699" spans="1:16" s="242" customFormat="1" ht="14.25" customHeight="1">
      <c r="A1699" s="643">
        <v>5</v>
      </c>
      <c r="B1699" s="625" t="e">
        <f>VLOOKUP(D1699,'[1]DS CN MOI UP'!$B$11:$C$447,2,0)</f>
        <v>#N/A</v>
      </c>
      <c r="C1699" s="626" t="s">
        <v>1549</v>
      </c>
      <c r="D1699" s="630" t="s">
        <v>759</v>
      </c>
      <c r="E1699" s="630" t="s">
        <v>15</v>
      </c>
      <c r="F1699" s="630"/>
      <c r="G1699" s="655">
        <v>40000</v>
      </c>
      <c r="H1699" s="635">
        <v>635040.18900000001</v>
      </c>
      <c r="I1699" s="655">
        <v>524139.33600000001</v>
      </c>
      <c r="J1699" s="635">
        <f t="shared" si="78"/>
        <v>1199179.5249999999</v>
      </c>
      <c r="K1699" s="635"/>
      <c r="L1699" s="635"/>
      <c r="M1699" s="655">
        <f t="shared" si="79"/>
        <v>1199179.5249999999</v>
      </c>
      <c r="N1699" s="644"/>
      <c r="P1699" s="636"/>
    </row>
    <row r="1700" spans="1:16" s="242" customFormat="1" ht="14.25" customHeight="1">
      <c r="A1700" s="643">
        <v>6</v>
      </c>
      <c r="B1700" s="625" t="e">
        <f>VLOOKUP(D1700,'[1]DS CN MOI UP'!$B$11:$C$447,2,0)</f>
        <v>#N/A</v>
      </c>
      <c r="C1700" s="626" t="s">
        <v>1550</v>
      </c>
      <c r="D1700" s="630" t="s">
        <v>760</v>
      </c>
      <c r="E1700" s="630" t="s">
        <v>15</v>
      </c>
      <c r="F1700" s="630"/>
      <c r="G1700" s="655">
        <v>40000</v>
      </c>
      <c r="H1700" s="635">
        <v>544338.9</v>
      </c>
      <c r="I1700" s="655">
        <v>524139.33600000001</v>
      </c>
      <c r="J1700" s="635">
        <f t="shared" si="78"/>
        <v>1108478.236</v>
      </c>
      <c r="K1700" s="635"/>
      <c r="L1700" s="635"/>
      <c r="M1700" s="655">
        <f t="shared" si="79"/>
        <v>1108478.236</v>
      </c>
      <c r="N1700" s="644"/>
      <c r="P1700" s="636"/>
    </row>
    <row r="1701" spans="1:16" s="242" customFormat="1" ht="14.25" customHeight="1">
      <c r="A1701" s="643">
        <v>7</v>
      </c>
      <c r="B1701" s="625" t="e">
        <f>VLOOKUP(D1701,'[1]DS CN MOI UP'!$B$11:$C$447,2,0)</f>
        <v>#N/A</v>
      </c>
      <c r="C1701" s="626" t="s">
        <v>1551</v>
      </c>
      <c r="D1701" s="630" t="s">
        <v>1544</v>
      </c>
      <c r="E1701" s="630" t="s">
        <v>15</v>
      </c>
      <c r="F1701" s="630"/>
      <c r="G1701" s="655">
        <v>40000</v>
      </c>
      <c r="H1701" s="635">
        <v>574572.66299999994</v>
      </c>
      <c r="I1701" s="655">
        <v>524139.33600000001</v>
      </c>
      <c r="J1701" s="635">
        <f t="shared" si="78"/>
        <v>1138711.9989999998</v>
      </c>
      <c r="K1701" s="635"/>
      <c r="L1701" s="635"/>
      <c r="M1701" s="655">
        <f t="shared" si="79"/>
        <v>1138711.9989999998</v>
      </c>
      <c r="N1701" s="644"/>
      <c r="P1701" s="636"/>
    </row>
    <row r="1702" spans="1:16" s="242" customFormat="1" ht="14.25" customHeight="1">
      <c r="A1702" s="643">
        <v>8</v>
      </c>
      <c r="B1702" s="625" t="e">
        <f>VLOOKUP(D1702,'[1]DS CN MOI UP'!$B$11:$C$447,2,0)</f>
        <v>#N/A</v>
      </c>
      <c r="C1702" s="626" t="s">
        <v>1552</v>
      </c>
      <c r="D1702" s="630" t="s">
        <v>1553</v>
      </c>
      <c r="E1702" s="630" t="s">
        <v>15</v>
      </c>
      <c r="F1702" s="630"/>
      <c r="G1702" s="655">
        <v>40000</v>
      </c>
      <c r="H1702" s="655">
        <v>604806.42599999998</v>
      </c>
      <c r="I1702" s="655">
        <v>524139.33600000001</v>
      </c>
      <c r="J1702" s="635">
        <f t="shared" si="78"/>
        <v>1168945.7620000001</v>
      </c>
      <c r="K1702" s="635"/>
      <c r="L1702" s="635"/>
      <c r="M1702" s="655">
        <f t="shared" si="79"/>
        <v>1168945.7620000001</v>
      </c>
      <c r="N1702" s="644"/>
      <c r="P1702" s="636"/>
    </row>
    <row r="1703" spans="1:16" s="242" customFormat="1" ht="14.25" customHeight="1">
      <c r="A1703" s="643">
        <v>9</v>
      </c>
      <c r="B1703" s="625" t="e">
        <f>VLOOKUP(D1703,'[1]DS CN MOI UP'!$B$11:$C$447,2,0)</f>
        <v>#N/A</v>
      </c>
      <c r="C1703" s="626" t="s">
        <v>1554</v>
      </c>
      <c r="D1703" s="630" t="s">
        <v>1555</v>
      </c>
      <c r="E1703" s="630" t="s">
        <v>15</v>
      </c>
      <c r="F1703" s="630"/>
      <c r="G1703" s="655">
        <v>40000</v>
      </c>
      <c r="H1703" s="655">
        <v>584606.86199999996</v>
      </c>
      <c r="I1703" s="655">
        <v>524139.33600000001</v>
      </c>
      <c r="J1703" s="635">
        <f t="shared" si="78"/>
        <v>1148746.1979999999</v>
      </c>
      <c r="K1703" s="635"/>
      <c r="L1703" s="635"/>
      <c r="M1703" s="655">
        <f t="shared" si="79"/>
        <v>1148746.1979999999</v>
      </c>
      <c r="N1703" s="644"/>
      <c r="P1703" s="636"/>
    </row>
    <row r="1704" spans="1:16" s="242" customFormat="1" ht="14.25" customHeight="1">
      <c r="A1704" s="643">
        <v>10</v>
      </c>
      <c r="B1704" s="625" t="e">
        <f>VLOOKUP(D1704,'[1]DS CN MOI UP'!$B$11:$C$447,2,0)</f>
        <v>#N/A</v>
      </c>
      <c r="C1704" s="626" t="s">
        <v>1556</v>
      </c>
      <c r="D1704" s="630" t="s">
        <v>1557</v>
      </c>
      <c r="E1704" s="630" t="s">
        <v>15</v>
      </c>
      <c r="F1704" s="630"/>
      <c r="G1704" s="655">
        <v>40000</v>
      </c>
      <c r="H1704" s="655">
        <v>635040.18900000001</v>
      </c>
      <c r="I1704" s="655">
        <v>524139.33600000001</v>
      </c>
      <c r="J1704" s="635">
        <f t="shared" si="78"/>
        <v>1199179.5249999999</v>
      </c>
      <c r="K1704" s="635"/>
      <c r="L1704" s="635"/>
      <c r="M1704" s="655">
        <f t="shared" si="79"/>
        <v>1199179.5249999999</v>
      </c>
      <c r="N1704" s="644"/>
      <c r="P1704" s="636"/>
    </row>
    <row r="1705" spans="1:16" s="242" customFormat="1" ht="14.25" customHeight="1">
      <c r="A1705" s="643">
        <v>11</v>
      </c>
      <c r="B1705" s="625" t="e">
        <f>VLOOKUP(D1705,'[1]DS CN MOI UP'!$B$11:$C$447,2,0)</f>
        <v>#N/A</v>
      </c>
      <c r="C1705" s="626" t="s">
        <v>1558</v>
      </c>
      <c r="D1705" s="630" t="s">
        <v>1559</v>
      </c>
      <c r="E1705" s="630" t="s">
        <v>15</v>
      </c>
      <c r="F1705" s="630"/>
      <c r="G1705" s="655">
        <v>40000</v>
      </c>
      <c r="H1705" s="655">
        <v>524139.33600000001</v>
      </c>
      <c r="I1705" s="655">
        <v>524139.33600000001</v>
      </c>
      <c r="J1705" s="635">
        <f t="shared" si="78"/>
        <v>1088278.672</v>
      </c>
      <c r="K1705" s="635"/>
      <c r="L1705" s="635"/>
      <c r="M1705" s="655">
        <f t="shared" si="79"/>
        <v>1088278.672</v>
      </c>
      <c r="N1705" s="644"/>
      <c r="P1705" s="636"/>
    </row>
    <row r="1706" spans="1:16" s="242" customFormat="1" ht="14.25" customHeight="1">
      <c r="A1706" s="643">
        <v>12</v>
      </c>
      <c r="B1706" s="625" t="e">
        <f>VLOOKUP(D1706,'[1]DS CN MOI UP'!$B$11:$C$447,2,0)</f>
        <v>#N/A</v>
      </c>
      <c r="C1706" s="626" t="s">
        <v>1560</v>
      </c>
      <c r="D1706" s="630" t="s">
        <v>1561</v>
      </c>
      <c r="E1706" s="630" t="s">
        <v>15</v>
      </c>
      <c r="F1706" s="630"/>
      <c r="G1706" s="655">
        <v>40000</v>
      </c>
      <c r="H1706" s="655">
        <v>635040.18900000001</v>
      </c>
      <c r="I1706" s="655">
        <v>524139.33600000001</v>
      </c>
      <c r="J1706" s="635">
        <f t="shared" si="78"/>
        <v>1199179.5249999999</v>
      </c>
      <c r="K1706" s="635"/>
      <c r="L1706" s="635"/>
      <c r="M1706" s="655">
        <f t="shared" si="79"/>
        <v>1199179.5249999999</v>
      </c>
      <c r="N1706" s="644"/>
      <c r="P1706" s="636"/>
    </row>
    <row r="1707" spans="1:16" s="242" customFormat="1" ht="14.25" customHeight="1">
      <c r="A1707" s="643">
        <v>13</v>
      </c>
      <c r="B1707" s="625" t="e">
        <f>VLOOKUP(D1707,'[1]DS CN MOI UP'!$B$11:$C$447,2,0)</f>
        <v>#N/A</v>
      </c>
      <c r="C1707" s="626" t="s">
        <v>1562</v>
      </c>
      <c r="D1707" s="630" t="s">
        <v>1563</v>
      </c>
      <c r="E1707" s="630" t="s">
        <v>15</v>
      </c>
      <c r="F1707" s="630"/>
      <c r="G1707" s="655">
        <v>40000</v>
      </c>
      <c r="H1707" s="655">
        <v>635040.18900000001</v>
      </c>
      <c r="I1707" s="655">
        <v>524139.33600000001</v>
      </c>
      <c r="J1707" s="635">
        <f t="shared" si="78"/>
        <v>1199179.5249999999</v>
      </c>
      <c r="K1707" s="635"/>
      <c r="L1707" s="635"/>
      <c r="M1707" s="655">
        <f t="shared" si="79"/>
        <v>1199179.5249999999</v>
      </c>
      <c r="N1707" s="644"/>
      <c r="P1707" s="636"/>
    </row>
    <row r="1708" spans="1:16" s="242" customFormat="1" ht="14.25" customHeight="1">
      <c r="A1708" s="643">
        <v>14</v>
      </c>
      <c r="B1708" s="625" t="e">
        <f>VLOOKUP(D1708,'[1]DS CN MOI UP'!$B$11:$C$447,2,0)</f>
        <v>#N/A</v>
      </c>
      <c r="C1708" s="626" t="s">
        <v>1564</v>
      </c>
      <c r="D1708" s="630" t="s">
        <v>1565</v>
      </c>
      <c r="E1708" s="630" t="s">
        <v>15</v>
      </c>
      <c r="F1708" s="630"/>
      <c r="G1708" s="655">
        <v>40000</v>
      </c>
      <c r="H1708" s="655">
        <v>554373.09900000005</v>
      </c>
      <c r="I1708" s="655">
        <v>524139.33600000001</v>
      </c>
      <c r="J1708" s="635">
        <f t="shared" si="78"/>
        <v>1118512.4350000001</v>
      </c>
      <c r="K1708" s="635"/>
      <c r="L1708" s="635"/>
      <c r="M1708" s="655">
        <f t="shared" si="79"/>
        <v>1118512.4350000001</v>
      </c>
      <c r="N1708" s="644"/>
      <c r="P1708" s="636"/>
    </row>
    <row r="1709" spans="1:16" s="242" customFormat="1" ht="14.25" customHeight="1">
      <c r="A1709" s="643">
        <v>15</v>
      </c>
      <c r="B1709" s="625" t="e">
        <f>VLOOKUP(D1709,'[1]DS CN MOI UP'!$B$11:$C$447,2,0)</f>
        <v>#N/A</v>
      </c>
      <c r="C1709" s="626" t="s">
        <v>1566</v>
      </c>
      <c r="D1709" s="630" t="s">
        <v>1567</v>
      </c>
      <c r="E1709" s="630" t="s">
        <v>15</v>
      </c>
      <c r="F1709" s="630"/>
      <c r="G1709" s="655">
        <v>60000</v>
      </c>
      <c r="H1709" s="655">
        <v>554373.09900000005</v>
      </c>
      <c r="I1709" s="655">
        <v>524139.33600000001</v>
      </c>
      <c r="J1709" s="635">
        <f t="shared" si="78"/>
        <v>1138512.4350000001</v>
      </c>
      <c r="K1709" s="635"/>
      <c r="L1709" s="635"/>
      <c r="M1709" s="655">
        <f t="shared" si="79"/>
        <v>1138512.4350000001</v>
      </c>
      <c r="N1709" s="644"/>
      <c r="P1709" s="636"/>
    </row>
    <row r="1710" spans="1:16" s="242" customFormat="1" ht="14.25" customHeight="1">
      <c r="A1710" s="643">
        <v>16</v>
      </c>
      <c r="B1710" s="625" t="e">
        <f>VLOOKUP(D1710,'[1]DS CN MOI UP'!$B$11:$C$447,2,0)</f>
        <v>#N/A</v>
      </c>
      <c r="C1710" s="626" t="s">
        <v>1568</v>
      </c>
      <c r="D1710" s="630" t="s">
        <v>1569</v>
      </c>
      <c r="E1710" s="630" t="s">
        <v>15</v>
      </c>
      <c r="F1710" s="630"/>
      <c r="G1710" s="655">
        <v>40000</v>
      </c>
      <c r="H1710" s="655">
        <v>554373.09900000005</v>
      </c>
      <c r="I1710" s="655">
        <v>524139.33600000001</v>
      </c>
      <c r="J1710" s="635">
        <f t="shared" si="78"/>
        <v>1118512.4350000001</v>
      </c>
      <c r="K1710" s="635"/>
      <c r="L1710" s="635"/>
      <c r="M1710" s="655">
        <f t="shared" si="79"/>
        <v>1118512.4350000001</v>
      </c>
      <c r="N1710" s="644"/>
      <c r="P1710" s="636"/>
    </row>
    <row r="1711" spans="1:16" s="242" customFormat="1" ht="14.25" customHeight="1">
      <c r="A1711" s="643">
        <v>17</v>
      </c>
      <c r="B1711" s="625" t="e">
        <f>VLOOKUP(D1711,'[1]DS CN MOI UP'!$B$11:$C$447,2,0)</f>
        <v>#N/A</v>
      </c>
      <c r="C1711" s="626" t="s">
        <v>1570</v>
      </c>
      <c r="D1711" s="630" t="s">
        <v>1571</v>
      </c>
      <c r="E1711" s="630" t="s">
        <v>15</v>
      </c>
      <c r="F1711" s="630"/>
      <c r="G1711" s="655">
        <v>40000</v>
      </c>
      <c r="H1711" s="655">
        <v>554373.09900000005</v>
      </c>
      <c r="I1711" s="655">
        <v>524139.33600000001</v>
      </c>
      <c r="J1711" s="635">
        <f t="shared" si="78"/>
        <v>1118512.4350000001</v>
      </c>
      <c r="K1711" s="635"/>
      <c r="L1711" s="635"/>
      <c r="M1711" s="655">
        <f t="shared" si="79"/>
        <v>1118512.4350000001</v>
      </c>
      <c r="N1711" s="644"/>
      <c r="P1711" s="636"/>
    </row>
    <row r="1712" spans="1:16" s="242" customFormat="1" ht="14.25" customHeight="1">
      <c r="A1712" s="643">
        <v>18</v>
      </c>
      <c r="B1712" s="625" t="e">
        <f>VLOOKUP(D1712,'[1]DS CN MOI UP'!$B$11:$C$447,2,0)</f>
        <v>#N/A</v>
      </c>
      <c r="C1712" s="626" t="s">
        <v>1572</v>
      </c>
      <c r="D1712" s="630" t="s">
        <v>1573</v>
      </c>
      <c r="E1712" s="630" t="s">
        <v>15</v>
      </c>
      <c r="F1712" s="630"/>
      <c r="G1712" s="655">
        <v>40000</v>
      </c>
      <c r="H1712" s="655">
        <v>554373.09900000005</v>
      </c>
      <c r="I1712" s="655">
        <v>524139.33600000001</v>
      </c>
      <c r="J1712" s="635">
        <f t="shared" si="78"/>
        <v>1118512.4350000001</v>
      </c>
      <c r="K1712" s="635"/>
      <c r="L1712" s="635"/>
      <c r="M1712" s="655">
        <f t="shared" si="79"/>
        <v>1118512.4350000001</v>
      </c>
      <c r="N1712" s="644"/>
      <c r="P1712" s="636"/>
    </row>
    <row r="1713" spans="1:16" s="242" customFormat="1" ht="14.25" customHeight="1">
      <c r="A1713" s="643">
        <v>19</v>
      </c>
      <c r="B1713" s="625" t="e">
        <f>VLOOKUP(D1713,'[1]DS CN MOI UP'!$B$11:$C$447,2,0)</f>
        <v>#N/A</v>
      </c>
      <c r="C1713" s="626" t="s">
        <v>1574</v>
      </c>
      <c r="D1713" s="630" t="s">
        <v>1575</v>
      </c>
      <c r="E1713" s="630" t="s">
        <v>15</v>
      </c>
      <c r="F1713" s="630"/>
      <c r="G1713" s="655">
        <v>40000</v>
      </c>
      <c r="H1713" s="655">
        <v>635040.18900000001</v>
      </c>
      <c r="I1713" s="655">
        <v>524139.33600000001</v>
      </c>
      <c r="J1713" s="635">
        <f t="shared" si="78"/>
        <v>1199179.5249999999</v>
      </c>
      <c r="K1713" s="635"/>
      <c r="L1713" s="635"/>
      <c r="M1713" s="655">
        <f t="shared" si="79"/>
        <v>1199179.5249999999</v>
      </c>
      <c r="N1713" s="644"/>
      <c r="P1713" s="636"/>
    </row>
    <row r="1714" spans="1:16" s="242" customFormat="1" ht="14.25" customHeight="1">
      <c r="A1714" s="643">
        <v>20</v>
      </c>
      <c r="B1714" s="625" t="e">
        <f>VLOOKUP(D1714,'[1]DS CN MOI UP'!$B$11:$C$447,2,0)</f>
        <v>#N/A</v>
      </c>
      <c r="C1714" s="626" t="s">
        <v>1576</v>
      </c>
      <c r="D1714" s="630" t="s">
        <v>1577</v>
      </c>
      <c r="E1714" s="630" t="s">
        <v>15</v>
      </c>
      <c r="F1714" s="630"/>
      <c r="G1714" s="655">
        <v>40000</v>
      </c>
      <c r="H1714" s="655">
        <v>544338.9</v>
      </c>
      <c r="I1714" s="655">
        <v>524139.33600000001</v>
      </c>
      <c r="J1714" s="635">
        <f t="shared" si="78"/>
        <v>1108478.236</v>
      </c>
      <c r="K1714" s="635"/>
      <c r="L1714" s="635"/>
      <c r="M1714" s="655">
        <f t="shared" si="79"/>
        <v>1108478.236</v>
      </c>
      <c r="N1714" s="644"/>
      <c r="P1714" s="636"/>
    </row>
    <row r="1715" spans="1:16" s="242" customFormat="1" ht="14.25" customHeight="1">
      <c r="A1715" s="643">
        <v>21</v>
      </c>
      <c r="B1715" s="625" t="e">
        <f>VLOOKUP(D1715,'[1]DS CN MOI UP'!$B$11:$C$447,2,0)</f>
        <v>#N/A</v>
      </c>
      <c r="C1715" s="626" t="s">
        <v>1578</v>
      </c>
      <c r="D1715" s="630" t="s">
        <v>1579</v>
      </c>
      <c r="E1715" s="630" t="s">
        <v>15</v>
      </c>
      <c r="F1715" s="630"/>
      <c r="G1715" s="655">
        <v>40000</v>
      </c>
      <c r="H1715" s="655">
        <v>574572.66299999994</v>
      </c>
      <c r="I1715" s="655">
        <v>524139.33600000001</v>
      </c>
      <c r="J1715" s="635">
        <f t="shared" si="78"/>
        <v>1138711.9989999998</v>
      </c>
      <c r="K1715" s="635"/>
      <c r="L1715" s="635"/>
      <c r="M1715" s="655">
        <f t="shared" si="79"/>
        <v>1138711.9989999998</v>
      </c>
      <c r="N1715" s="644"/>
      <c r="P1715" s="636"/>
    </row>
    <row r="1716" spans="1:16" s="242" customFormat="1" ht="14.25" customHeight="1">
      <c r="A1716" s="643">
        <v>22</v>
      </c>
      <c r="B1716" s="625" t="e">
        <f>VLOOKUP(D1716,'[1]DS CN MOI UP'!$B$11:$C$447,2,0)</f>
        <v>#N/A</v>
      </c>
      <c r="C1716" s="626" t="s">
        <v>1580</v>
      </c>
      <c r="D1716" s="630" t="s">
        <v>1581</v>
      </c>
      <c r="E1716" s="630" t="s">
        <v>15</v>
      </c>
      <c r="F1716" s="630"/>
      <c r="G1716" s="655">
        <v>40000</v>
      </c>
      <c r="H1716" s="655">
        <v>604806.42599999998</v>
      </c>
      <c r="I1716" s="655">
        <v>524139.33600000001</v>
      </c>
      <c r="J1716" s="635">
        <f t="shared" si="78"/>
        <v>1168945.7620000001</v>
      </c>
      <c r="K1716" s="635"/>
      <c r="L1716" s="635"/>
      <c r="M1716" s="655">
        <f t="shared" si="79"/>
        <v>1168945.7620000001</v>
      </c>
      <c r="N1716" s="644"/>
      <c r="P1716" s="636"/>
    </row>
    <row r="1717" spans="1:16" s="242" customFormat="1" ht="14.25" customHeight="1">
      <c r="A1717" s="643">
        <v>23</v>
      </c>
      <c r="B1717" s="625" t="e">
        <f>VLOOKUP(D1717,'[1]DS CN MOI UP'!$B$11:$C$447,2,0)</f>
        <v>#N/A</v>
      </c>
      <c r="C1717" s="626" t="s">
        <v>1582</v>
      </c>
      <c r="D1717" s="630" t="s">
        <v>1583</v>
      </c>
      <c r="E1717" s="630" t="s">
        <v>15</v>
      </c>
      <c r="F1717" s="630"/>
      <c r="G1717" s="655">
        <v>40000</v>
      </c>
      <c r="H1717" s="655">
        <v>584606.86199999996</v>
      </c>
      <c r="I1717" s="655">
        <v>524139.33600000001</v>
      </c>
      <c r="J1717" s="635">
        <f t="shared" si="78"/>
        <v>1148746.1979999999</v>
      </c>
      <c r="K1717" s="635"/>
      <c r="L1717" s="635"/>
      <c r="M1717" s="655">
        <f t="shared" si="79"/>
        <v>1148746.1979999999</v>
      </c>
      <c r="N1717" s="644"/>
      <c r="P1717" s="636"/>
    </row>
    <row r="1718" spans="1:16" s="242" customFormat="1" ht="14.25" customHeight="1">
      <c r="A1718" s="643">
        <v>24</v>
      </c>
      <c r="B1718" s="625" t="e">
        <f>VLOOKUP(D1718,'[1]DS CN MOI UP'!$B$11:$C$447,2,0)</f>
        <v>#N/A</v>
      </c>
      <c r="C1718" s="626" t="s">
        <v>1584</v>
      </c>
      <c r="D1718" s="630" t="s">
        <v>1585</v>
      </c>
      <c r="E1718" s="630" t="s">
        <v>15</v>
      </c>
      <c r="F1718" s="630"/>
      <c r="G1718" s="655">
        <v>40000</v>
      </c>
      <c r="H1718" s="655">
        <v>635040.18900000001</v>
      </c>
      <c r="I1718" s="655">
        <v>524139.33600000001</v>
      </c>
      <c r="J1718" s="635">
        <f t="shared" si="78"/>
        <v>1199179.5249999999</v>
      </c>
      <c r="K1718" s="635"/>
      <c r="L1718" s="635"/>
      <c r="M1718" s="655">
        <f t="shared" si="79"/>
        <v>1199179.5249999999</v>
      </c>
      <c r="N1718" s="644"/>
      <c r="P1718" s="636"/>
    </row>
    <row r="1719" spans="1:16" s="242" customFormat="1" ht="14.25" customHeight="1">
      <c r="A1719" s="643">
        <v>25</v>
      </c>
      <c r="B1719" s="625" t="e">
        <f>VLOOKUP(D1719,'[1]DS CN MOI UP'!$B$11:$C$447,2,0)</f>
        <v>#N/A</v>
      </c>
      <c r="C1719" s="626" t="s">
        <v>1586</v>
      </c>
      <c r="D1719" s="630" t="s">
        <v>1587</v>
      </c>
      <c r="E1719" s="630" t="s">
        <v>15</v>
      </c>
      <c r="F1719" s="630"/>
      <c r="G1719" s="655">
        <v>40000</v>
      </c>
      <c r="H1719" s="655">
        <v>524139.33600000001</v>
      </c>
      <c r="I1719" s="655">
        <v>524139.33600000001</v>
      </c>
      <c r="J1719" s="635">
        <f t="shared" si="78"/>
        <v>1088278.672</v>
      </c>
      <c r="K1719" s="635"/>
      <c r="L1719" s="635"/>
      <c r="M1719" s="655">
        <f t="shared" si="79"/>
        <v>1088278.672</v>
      </c>
      <c r="N1719" s="644"/>
      <c r="P1719" s="636"/>
    </row>
    <row r="1720" spans="1:16" s="242" customFormat="1" ht="14.25" customHeight="1">
      <c r="A1720" s="643">
        <v>26</v>
      </c>
      <c r="B1720" s="625" t="e">
        <f>VLOOKUP(D1720,'[1]DS CN MOI UP'!$B$11:$C$447,2,0)</f>
        <v>#N/A</v>
      </c>
      <c r="C1720" s="61" t="s">
        <v>1588</v>
      </c>
      <c r="D1720" s="630" t="s">
        <v>1589</v>
      </c>
      <c r="E1720" s="630" t="s">
        <v>15</v>
      </c>
      <c r="F1720" s="630"/>
      <c r="G1720" s="655">
        <v>40000</v>
      </c>
      <c r="H1720" s="655">
        <v>635040.18900000001</v>
      </c>
      <c r="I1720" s="655">
        <v>524139.33600000001</v>
      </c>
      <c r="J1720" s="635">
        <f t="shared" si="78"/>
        <v>1199179.5249999999</v>
      </c>
      <c r="K1720" s="635"/>
      <c r="L1720" s="635"/>
      <c r="M1720" s="655">
        <f t="shared" si="79"/>
        <v>1199179.5249999999</v>
      </c>
      <c r="N1720" s="644"/>
      <c r="P1720" s="636"/>
    </row>
    <row r="1721" spans="1:16" s="242" customFormat="1" ht="14.25" customHeight="1">
      <c r="A1721" s="643">
        <v>27</v>
      </c>
      <c r="B1721" s="625" t="e">
        <f>VLOOKUP(D1721,'[1]DS CN MOI UP'!$B$11:$C$447,2,0)</f>
        <v>#N/A</v>
      </c>
      <c r="C1721" s="626" t="s">
        <v>1590</v>
      </c>
      <c r="D1721" s="630" t="s">
        <v>1591</v>
      </c>
      <c r="E1721" s="630" t="s">
        <v>15</v>
      </c>
      <c r="F1721" s="630"/>
      <c r="G1721" s="655">
        <v>40000</v>
      </c>
      <c r="H1721" s="655">
        <v>635040.18900000001</v>
      </c>
      <c r="I1721" s="655">
        <v>524139.33600000001</v>
      </c>
      <c r="J1721" s="635">
        <f t="shared" si="78"/>
        <v>1199179.5249999999</v>
      </c>
      <c r="K1721" s="635"/>
      <c r="L1721" s="635"/>
      <c r="M1721" s="655">
        <f t="shared" si="79"/>
        <v>1199179.5249999999</v>
      </c>
      <c r="N1721" s="644"/>
      <c r="P1721" s="636"/>
    </row>
    <row r="1722" spans="1:16" s="242" customFormat="1" ht="14.25" customHeight="1">
      <c r="A1722" s="643">
        <v>28</v>
      </c>
      <c r="B1722" s="625" t="e">
        <f>VLOOKUP(D1722,'[1]DS CN MOI UP'!$B$11:$C$447,2,0)</f>
        <v>#N/A</v>
      </c>
      <c r="C1722" s="626" t="s">
        <v>1592</v>
      </c>
      <c r="D1722" s="630" t="s">
        <v>1593</v>
      </c>
      <c r="E1722" s="630" t="s">
        <v>15</v>
      </c>
      <c r="F1722" s="630"/>
      <c r="G1722" s="655">
        <v>40000</v>
      </c>
      <c r="H1722" s="655">
        <v>554373.09900000005</v>
      </c>
      <c r="I1722" s="655">
        <v>524139.33600000001</v>
      </c>
      <c r="J1722" s="635">
        <f t="shared" si="78"/>
        <v>1118512.4350000001</v>
      </c>
      <c r="K1722" s="635"/>
      <c r="L1722" s="635"/>
      <c r="M1722" s="655">
        <f t="shared" si="79"/>
        <v>1118512.4350000001</v>
      </c>
      <c r="N1722" s="644"/>
      <c r="P1722" s="636"/>
    </row>
    <row r="1723" spans="1:16" s="242" customFormat="1" ht="14.25" customHeight="1">
      <c r="A1723" s="643">
        <v>29</v>
      </c>
      <c r="B1723" s="625" t="e">
        <f>VLOOKUP(D1723,'[1]DS CN MOI UP'!$B$11:$C$447,2,0)</f>
        <v>#N/A</v>
      </c>
      <c r="C1723" s="626" t="s">
        <v>1594</v>
      </c>
      <c r="D1723" s="630" t="s">
        <v>1121</v>
      </c>
      <c r="E1723" s="630" t="s">
        <v>15</v>
      </c>
      <c r="F1723" s="630"/>
      <c r="G1723" s="655">
        <v>60000</v>
      </c>
      <c r="H1723" s="655">
        <v>554373.09900000005</v>
      </c>
      <c r="I1723" s="655">
        <v>524139.33600000001</v>
      </c>
      <c r="J1723" s="635">
        <f t="shared" si="78"/>
        <v>1138512.4350000001</v>
      </c>
      <c r="K1723" s="635"/>
      <c r="L1723" s="635"/>
      <c r="M1723" s="655">
        <f t="shared" si="79"/>
        <v>1138512.4350000001</v>
      </c>
      <c r="N1723" s="644"/>
      <c r="P1723" s="636"/>
    </row>
    <row r="1724" spans="1:16" s="242" customFormat="1" ht="14.25" customHeight="1">
      <c r="A1724" s="643">
        <v>30</v>
      </c>
      <c r="B1724" s="625" t="e">
        <f>VLOOKUP(D1724,'[1]DS CN MOI UP'!$B$11:$C$447,2,0)</f>
        <v>#N/A</v>
      </c>
      <c r="C1724" s="626" t="s">
        <v>1595</v>
      </c>
      <c r="D1724" s="630" t="s">
        <v>1596</v>
      </c>
      <c r="E1724" s="630" t="s">
        <v>15</v>
      </c>
      <c r="F1724" s="630"/>
      <c r="G1724" s="655">
        <v>40000</v>
      </c>
      <c r="H1724" s="655">
        <v>554373.09900000005</v>
      </c>
      <c r="I1724" s="655">
        <v>524139.33600000001</v>
      </c>
      <c r="J1724" s="635">
        <f t="shared" si="78"/>
        <v>1118512.4350000001</v>
      </c>
      <c r="K1724" s="635"/>
      <c r="L1724" s="635"/>
      <c r="M1724" s="655">
        <f t="shared" si="79"/>
        <v>1118512.4350000001</v>
      </c>
      <c r="N1724" s="644"/>
      <c r="P1724" s="636"/>
    </row>
    <row r="1725" spans="1:16" s="242" customFormat="1" ht="14.25" customHeight="1">
      <c r="A1725" s="643">
        <v>31</v>
      </c>
      <c r="B1725" s="625" t="e">
        <f>VLOOKUP(D1725,'[1]DS CN MOI UP'!$B$11:$C$447,2,0)</f>
        <v>#N/A</v>
      </c>
      <c r="C1725" s="626" t="s">
        <v>1597</v>
      </c>
      <c r="D1725" s="630" t="s">
        <v>1598</v>
      </c>
      <c r="E1725" s="630" t="s">
        <v>15</v>
      </c>
      <c r="F1725" s="630"/>
      <c r="G1725" s="655">
        <v>40000</v>
      </c>
      <c r="H1725" s="655">
        <v>554373.09900000005</v>
      </c>
      <c r="I1725" s="655">
        <v>524139.33600000001</v>
      </c>
      <c r="J1725" s="635">
        <f t="shared" si="78"/>
        <v>1118512.4350000001</v>
      </c>
      <c r="K1725" s="635"/>
      <c r="L1725" s="635"/>
      <c r="M1725" s="655">
        <f t="shared" si="79"/>
        <v>1118512.4350000001</v>
      </c>
      <c r="N1725" s="644"/>
      <c r="P1725" s="636"/>
    </row>
    <row r="1726" spans="1:16" s="242" customFormat="1" ht="14.25" customHeight="1">
      <c r="A1726" s="643">
        <v>32</v>
      </c>
      <c r="B1726" s="625" t="e">
        <f>VLOOKUP(D1726,'[1]DS CN MOI UP'!$B$11:$C$447,2,0)</f>
        <v>#N/A</v>
      </c>
      <c r="C1726" s="626" t="s">
        <v>1599</v>
      </c>
      <c r="D1726" s="630" t="s">
        <v>1600</v>
      </c>
      <c r="E1726" s="630" t="s">
        <v>15</v>
      </c>
      <c r="F1726" s="630"/>
      <c r="G1726" s="655">
        <v>40000</v>
      </c>
      <c r="H1726" s="655">
        <v>554373.09900000005</v>
      </c>
      <c r="I1726" s="655">
        <v>524139.33600000001</v>
      </c>
      <c r="J1726" s="635">
        <f t="shared" si="78"/>
        <v>1118512.4350000001</v>
      </c>
      <c r="K1726" s="635"/>
      <c r="L1726" s="635"/>
      <c r="M1726" s="655">
        <f t="shared" si="79"/>
        <v>1118512.4350000001</v>
      </c>
      <c r="N1726" s="644"/>
      <c r="P1726" s="636"/>
    </row>
    <row r="1727" spans="1:16" s="242" customFormat="1" ht="14.25" customHeight="1">
      <c r="A1727" s="643">
        <v>33</v>
      </c>
      <c r="B1727" s="625" t="e">
        <f>VLOOKUP(D1727,'[1]DS CN MOI UP'!$B$11:$C$447,2,0)</f>
        <v>#N/A</v>
      </c>
      <c r="C1727" s="626" t="s">
        <v>1601</v>
      </c>
      <c r="D1727" s="630" t="s">
        <v>1602</v>
      </c>
      <c r="E1727" s="630" t="s">
        <v>15</v>
      </c>
      <c r="F1727" s="630"/>
      <c r="G1727" s="655">
        <v>40000</v>
      </c>
      <c r="H1727" s="655">
        <v>635040.18900000001</v>
      </c>
      <c r="I1727" s="655">
        <v>524139.33600000001</v>
      </c>
      <c r="J1727" s="635">
        <f t="shared" si="78"/>
        <v>1199179.5249999999</v>
      </c>
      <c r="K1727" s="635"/>
      <c r="L1727" s="635"/>
      <c r="M1727" s="655">
        <f t="shared" si="79"/>
        <v>1199179.5249999999</v>
      </c>
      <c r="N1727" s="644"/>
      <c r="P1727" s="636"/>
    </row>
    <row r="1728" spans="1:16" s="242" customFormat="1" ht="14.25" customHeight="1">
      <c r="A1728" s="643">
        <v>34</v>
      </c>
      <c r="B1728" s="625" t="e">
        <f>VLOOKUP(D1728,'[1]DS CN MOI UP'!$B$11:$C$447,2,0)</f>
        <v>#N/A</v>
      </c>
      <c r="C1728" s="626" t="s">
        <v>1603</v>
      </c>
      <c r="D1728" s="630" t="s">
        <v>1604</v>
      </c>
      <c r="E1728" s="630" t="s">
        <v>15</v>
      </c>
      <c r="F1728" s="630"/>
      <c r="G1728" s="655">
        <v>40000</v>
      </c>
      <c r="H1728" s="655">
        <v>544338.9</v>
      </c>
      <c r="I1728" s="655">
        <v>524139.33600000001</v>
      </c>
      <c r="J1728" s="635">
        <f t="shared" si="78"/>
        <v>1108478.236</v>
      </c>
      <c r="K1728" s="635"/>
      <c r="L1728" s="635"/>
      <c r="M1728" s="655">
        <f t="shared" si="79"/>
        <v>1108478.236</v>
      </c>
      <c r="N1728" s="644"/>
      <c r="P1728" s="636"/>
    </row>
    <row r="1729" spans="1:16" s="242" customFormat="1" ht="14.25" customHeight="1">
      <c r="A1729" s="643">
        <v>35</v>
      </c>
      <c r="B1729" s="625" t="e">
        <f>VLOOKUP(D1729,'[1]DS CN MOI UP'!$B$11:$C$447,2,0)</f>
        <v>#N/A</v>
      </c>
      <c r="C1729" s="626" t="s">
        <v>1605</v>
      </c>
      <c r="D1729" s="630" t="s">
        <v>1606</v>
      </c>
      <c r="E1729" s="630" t="s">
        <v>15</v>
      </c>
      <c r="F1729" s="630"/>
      <c r="G1729" s="655">
        <v>40000</v>
      </c>
      <c r="H1729" s="655">
        <v>574572.66299999994</v>
      </c>
      <c r="I1729" s="655">
        <v>524139.33600000001</v>
      </c>
      <c r="J1729" s="635">
        <f t="shared" si="78"/>
        <v>1138711.9989999998</v>
      </c>
      <c r="K1729" s="635"/>
      <c r="L1729" s="635"/>
      <c r="M1729" s="655">
        <f t="shared" si="79"/>
        <v>1138711.9989999998</v>
      </c>
      <c r="N1729" s="644"/>
      <c r="P1729" s="636"/>
    </row>
    <row r="1730" spans="1:16" s="242" customFormat="1" ht="14.25" customHeight="1">
      <c r="A1730" s="643">
        <v>36</v>
      </c>
      <c r="B1730" s="625" t="e">
        <f>VLOOKUP(D1730,'[1]DS CN MOI UP'!$B$11:$C$447,2,0)</f>
        <v>#N/A</v>
      </c>
      <c r="C1730" s="626" t="s">
        <v>1607</v>
      </c>
      <c r="D1730" s="630" t="s">
        <v>1608</v>
      </c>
      <c r="E1730" s="630" t="s">
        <v>15</v>
      </c>
      <c r="F1730" s="630"/>
      <c r="G1730" s="655">
        <v>40000</v>
      </c>
      <c r="H1730" s="655">
        <v>604806.42599999998</v>
      </c>
      <c r="I1730" s="655">
        <v>524139.33600000001</v>
      </c>
      <c r="J1730" s="635">
        <f t="shared" si="78"/>
        <v>1168945.7620000001</v>
      </c>
      <c r="K1730" s="635"/>
      <c r="L1730" s="635"/>
      <c r="M1730" s="655">
        <f t="shared" si="79"/>
        <v>1168945.7620000001</v>
      </c>
      <c r="N1730" s="644"/>
      <c r="P1730" s="636"/>
    </row>
    <row r="1731" spans="1:16" s="242" customFormat="1" ht="14.25" customHeight="1">
      <c r="A1731" s="643">
        <v>37</v>
      </c>
      <c r="B1731" s="625" t="e">
        <f>VLOOKUP(D1731,'[1]DS CN MOI UP'!$B$11:$C$447,2,0)</f>
        <v>#N/A</v>
      </c>
      <c r="C1731" s="626" t="s">
        <v>1609</v>
      </c>
      <c r="D1731" s="630" t="s">
        <v>1610</v>
      </c>
      <c r="E1731" s="630" t="s">
        <v>15</v>
      </c>
      <c r="F1731" s="630"/>
      <c r="G1731" s="655">
        <v>40000</v>
      </c>
      <c r="H1731" s="655">
        <v>584606.86199999996</v>
      </c>
      <c r="I1731" s="655">
        <v>524139.33600000001</v>
      </c>
      <c r="J1731" s="635">
        <f t="shared" si="78"/>
        <v>1148746.1979999999</v>
      </c>
      <c r="K1731" s="635"/>
      <c r="L1731" s="635"/>
      <c r="M1731" s="655">
        <f t="shared" si="79"/>
        <v>1148746.1979999999</v>
      </c>
      <c r="N1731" s="644"/>
      <c r="P1731" s="636"/>
    </row>
    <row r="1732" spans="1:16" s="242" customFormat="1" ht="14.25" customHeight="1">
      <c r="A1732" s="643">
        <v>38</v>
      </c>
      <c r="B1732" s="625" t="e">
        <f>VLOOKUP(D1732,'[1]DS CN MOI UP'!$B$11:$C$447,2,0)</f>
        <v>#N/A</v>
      </c>
      <c r="C1732" s="626" t="s">
        <v>1611</v>
      </c>
      <c r="D1732" s="630" t="s">
        <v>782</v>
      </c>
      <c r="E1732" s="630" t="s">
        <v>15</v>
      </c>
      <c r="F1732" s="630"/>
      <c r="G1732" s="655">
        <v>40000</v>
      </c>
      <c r="H1732" s="655">
        <v>635040.18900000001</v>
      </c>
      <c r="I1732" s="655">
        <v>524139.33600000001</v>
      </c>
      <c r="J1732" s="635">
        <f t="shared" si="78"/>
        <v>1199179.5249999999</v>
      </c>
      <c r="K1732" s="635"/>
      <c r="L1732" s="635"/>
      <c r="M1732" s="655">
        <f t="shared" si="79"/>
        <v>1199179.5249999999</v>
      </c>
      <c r="N1732" s="644"/>
      <c r="P1732" s="636"/>
    </row>
    <row r="1733" spans="1:16" s="242" customFormat="1" ht="14.25" customHeight="1">
      <c r="A1733" s="643">
        <v>39</v>
      </c>
      <c r="B1733" s="625" t="e">
        <f>VLOOKUP(D1733,'[1]DS CN MOI UP'!$B$11:$C$447,2,0)</f>
        <v>#N/A</v>
      </c>
      <c r="C1733" s="626" t="s">
        <v>1612</v>
      </c>
      <c r="D1733" s="630" t="s">
        <v>1613</v>
      </c>
      <c r="E1733" s="630" t="s">
        <v>15</v>
      </c>
      <c r="F1733" s="630"/>
      <c r="G1733" s="655">
        <v>40000</v>
      </c>
      <c r="H1733" s="655">
        <v>524139.33600000001</v>
      </c>
      <c r="I1733" s="655">
        <v>524139.33600000001</v>
      </c>
      <c r="J1733" s="635">
        <f t="shared" si="78"/>
        <v>1088278.672</v>
      </c>
      <c r="K1733" s="635"/>
      <c r="L1733" s="635"/>
      <c r="M1733" s="655">
        <f t="shared" si="79"/>
        <v>1088278.672</v>
      </c>
      <c r="N1733" s="644"/>
      <c r="P1733" s="636"/>
    </row>
    <row r="1734" spans="1:16" s="242" customFormat="1" ht="14.25" customHeight="1">
      <c r="A1734" s="643">
        <v>40</v>
      </c>
      <c r="B1734" s="625" t="e">
        <f>VLOOKUP(D1734,'[1]DS CN MOI UP'!$B$11:$C$447,2,0)</f>
        <v>#N/A</v>
      </c>
      <c r="C1734" s="626" t="s">
        <v>1614</v>
      </c>
      <c r="D1734" s="630" t="s">
        <v>1615</v>
      </c>
      <c r="E1734" s="630" t="s">
        <v>15</v>
      </c>
      <c r="F1734" s="630"/>
      <c r="G1734" s="655">
        <v>40000</v>
      </c>
      <c r="H1734" s="655">
        <v>635040.18900000001</v>
      </c>
      <c r="I1734" s="655">
        <v>524139.33600000001</v>
      </c>
      <c r="J1734" s="635">
        <f t="shared" si="78"/>
        <v>1199179.5249999999</v>
      </c>
      <c r="K1734" s="635"/>
      <c r="L1734" s="635"/>
      <c r="M1734" s="655">
        <f t="shared" si="79"/>
        <v>1199179.5249999999</v>
      </c>
      <c r="N1734" s="644"/>
      <c r="P1734" s="636"/>
    </row>
    <row r="1735" spans="1:16" s="242" customFormat="1" ht="14.25" customHeight="1">
      <c r="A1735" s="643">
        <v>41</v>
      </c>
      <c r="B1735" s="625" t="e">
        <f>VLOOKUP(D1735,'[1]DS CN MOI UP'!$B$11:$C$447,2,0)</f>
        <v>#N/A</v>
      </c>
      <c r="C1735" s="626" t="s">
        <v>1616</v>
      </c>
      <c r="D1735" s="630" t="s">
        <v>1617</v>
      </c>
      <c r="E1735" s="630" t="s">
        <v>15</v>
      </c>
      <c r="F1735" s="630"/>
      <c r="G1735" s="655">
        <v>40000</v>
      </c>
      <c r="H1735" s="655">
        <v>635040.18900000001</v>
      </c>
      <c r="I1735" s="655">
        <v>524139.33600000001</v>
      </c>
      <c r="J1735" s="635">
        <f t="shared" si="78"/>
        <v>1199179.5249999999</v>
      </c>
      <c r="K1735" s="635"/>
      <c r="L1735" s="635"/>
      <c r="M1735" s="655">
        <f t="shared" si="79"/>
        <v>1199179.5249999999</v>
      </c>
      <c r="N1735" s="644"/>
      <c r="P1735" s="636"/>
    </row>
    <row r="1736" spans="1:16" s="242" customFormat="1" ht="14.25" customHeight="1">
      <c r="A1736" s="643">
        <v>42</v>
      </c>
      <c r="B1736" s="625" t="e">
        <f>VLOOKUP(D1736,'[1]DS CN MOI UP'!$B$11:$C$447,2,0)</f>
        <v>#N/A</v>
      </c>
      <c r="C1736" s="626" t="s">
        <v>1618</v>
      </c>
      <c r="D1736" s="630" t="s">
        <v>1619</v>
      </c>
      <c r="E1736" s="630" t="s">
        <v>15</v>
      </c>
      <c r="F1736" s="630"/>
      <c r="G1736" s="655">
        <v>40000</v>
      </c>
      <c r="H1736" s="655">
        <v>554373.09900000005</v>
      </c>
      <c r="I1736" s="655">
        <v>524139.33600000001</v>
      </c>
      <c r="J1736" s="635">
        <f t="shared" si="78"/>
        <v>1118512.4350000001</v>
      </c>
      <c r="K1736" s="635"/>
      <c r="L1736" s="635"/>
      <c r="M1736" s="655">
        <f t="shared" si="79"/>
        <v>1118512.4350000001</v>
      </c>
      <c r="N1736" s="644"/>
      <c r="P1736" s="636"/>
    </row>
    <row r="1737" spans="1:16" s="242" customFormat="1" ht="14.25" customHeight="1">
      <c r="A1737" s="643">
        <v>43</v>
      </c>
      <c r="B1737" s="625" t="e">
        <f>VLOOKUP(D1737,'[1]DS CN MOI UP'!$B$11:$C$447,2,0)</f>
        <v>#N/A</v>
      </c>
      <c r="C1737" s="626" t="s">
        <v>1620</v>
      </c>
      <c r="D1737" s="630" t="s">
        <v>1621</v>
      </c>
      <c r="E1737" s="630" t="s">
        <v>15</v>
      </c>
      <c r="F1737" s="630"/>
      <c r="G1737" s="655">
        <v>60000</v>
      </c>
      <c r="H1737" s="655">
        <v>554373.09900000005</v>
      </c>
      <c r="I1737" s="655">
        <v>524139.33600000001</v>
      </c>
      <c r="J1737" s="635">
        <f t="shared" si="78"/>
        <v>1138512.4350000001</v>
      </c>
      <c r="K1737" s="635"/>
      <c r="L1737" s="635"/>
      <c r="M1737" s="655">
        <f t="shared" si="79"/>
        <v>1138512.4350000001</v>
      </c>
      <c r="N1737" s="644"/>
      <c r="P1737" s="636"/>
    </row>
    <row r="1738" spans="1:16" s="242" customFormat="1" ht="14.25" customHeight="1">
      <c r="A1738" s="643">
        <v>44</v>
      </c>
      <c r="B1738" s="625" t="e">
        <f>VLOOKUP(D1738,'[1]DS CN MOI UP'!$B$11:$C$447,2,0)</f>
        <v>#N/A</v>
      </c>
      <c r="C1738" s="626" t="s">
        <v>1622</v>
      </c>
      <c r="D1738" s="630" t="s">
        <v>1623</v>
      </c>
      <c r="E1738" s="630" t="s">
        <v>15</v>
      </c>
      <c r="F1738" s="630"/>
      <c r="G1738" s="655">
        <v>40000</v>
      </c>
      <c r="H1738" s="655">
        <v>554373.09900000005</v>
      </c>
      <c r="I1738" s="655">
        <v>524139.33600000001</v>
      </c>
      <c r="J1738" s="635">
        <f t="shared" si="78"/>
        <v>1118512.4350000001</v>
      </c>
      <c r="K1738" s="635"/>
      <c r="L1738" s="635"/>
      <c r="M1738" s="655">
        <f t="shared" si="79"/>
        <v>1118512.4350000001</v>
      </c>
      <c r="N1738" s="644"/>
      <c r="P1738" s="636"/>
    </row>
    <row r="1739" spans="1:16" s="242" customFormat="1" ht="14.25" customHeight="1">
      <c r="A1739" s="643">
        <v>45</v>
      </c>
      <c r="B1739" s="625" t="e">
        <f>VLOOKUP(D1739,'[1]DS CN MOI UP'!$B$11:$C$447,2,0)</f>
        <v>#N/A</v>
      </c>
      <c r="C1739" s="626" t="s">
        <v>1624</v>
      </c>
      <c r="D1739" s="630" t="s">
        <v>794</v>
      </c>
      <c r="E1739" s="630" t="s">
        <v>15</v>
      </c>
      <c r="F1739" s="630"/>
      <c r="G1739" s="655">
        <v>40000</v>
      </c>
      <c r="H1739" s="655">
        <v>554373.09900000005</v>
      </c>
      <c r="I1739" s="655">
        <v>524139.33600000001</v>
      </c>
      <c r="J1739" s="635">
        <f t="shared" si="78"/>
        <v>1118512.4350000001</v>
      </c>
      <c r="K1739" s="635"/>
      <c r="L1739" s="635"/>
      <c r="M1739" s="655">
        <f t="shared" si="79"/>
        <v>1118512.4350000001</v>
      </c>
      <c r="N1739" s="644"/>
      <c r="P1739" s="636"/>
    </row>
    <row r="1740" spans="1:16" s="618" customFormat="1" ht="14.25" customHeight="1">
      <c r="A1740" s="643">
        <v>46</v>
      </c>
      <c r="B1740" s="625" t="e">
        <f>VLOOKUP(D1740,'[1]DS CN MOI UP'!$B$11:$C$447,2,0)</f>
        <v>#N/A</v>
      </c>
      <c r="C1740" s="626" t="s">
        <v>1625</v>
      </c>
      <c r="D1740" s="630" t="s">
        <v>1626</v>
      </c>
      <c r="E1740" s="630" t="s">
        <v>15</v>
      </c>
      <c r="F1740" s="630"/>
      <c r="G1740" s="655">
        <v>40000</v>
      </c>
      <c r="H1740" s="655">
        <v>554373.09900000005</v>
      </c>
      <c r="I1740" s="655">
        <v>524139.33600000001</v>
      </c>
      <c r="J1740" s="635">
        <f t="shared" si="78"/>
        <v>1118512.4350000001</v>
      </c>
      <c r="K1740" s="635"/>
      <c r="L1740" s="635"/>
      <c r="M1740" s="655">
        <f t="shared" si="79"/>
        <v>1118512.4350000001</v>
      </c>
      <c r="N1740" s="644"/>
      <c r="O1740" s="645"/>
      <c r="P1740" s="636"/>
    </row>
    <row r="1741" spans="1:16" s="618" customFormat="1" ht="14.25" customHeight="1">
      <c r="A1741" s="643">
        <v>47</v>
      </c>
      <c r="B1741" s="625" t="e">
        <f>VLOOKUP(D1741,'[1]DS CN MOI UP'!$B$11:$C$447,2,0)</f>
        <v>#N/A</v>
      </c>
      <c r="C1741" s="626" t="s">
        <v>1627</v>
      </c>
      <c r="D1741" s="630" t="s">
        <v>1464</v>
      </c>
      <c r="E1741" s="630" t="s">
        <v>15</v>
      </c>
      <c r="F1741" s="630"/>
      <c r="G1741" s="655">
        <v>40000</v>
      </c>
      <c r="H1741" s="655">
        <v>635040.18900000001</v>
      </c>
      <c r="I1741" s="655">
        <v>524139.33600000001</v>
      </c>
      <c r="J1741" s="635">
        <f t="shared" si="78"/>
        <v>1199179.5249999999</v>
      </c>
      <c r="K1741" s="635"/>
      <c r="L1741" s="635"/>
      <c r="M1741" s="655">
        <f t="shared" si="79"/>
        <v>1199179.5249999999</v>
      </c>
      <c r="N1741" s="644"/>
      <c r="O1741" s="645"/>
      <c r="P1741" s="636"/>
    </row>
    <row r="1742" spans="1:16" s="618" customFormat="1" ht="14.25" customHeight="1">
      <c r="A1742" s="643">
        <v>48</v>
      </c>
      <c r="B1742" s="625" t="e">
        <f>VLOOKUP(D1742,'[1]DS CN MOI UP'!$B$11:$C$447,2,0)</f>
        <v>#N/A</v>
      </c>
      <c r="C1742" s="626" t="s">
        <v>1628</v>
      </c>
      <c r="D1742" s="630" t="s">
        <v>1629</v>
      </c>
      <c r="E1742" s="630" t="s">
        <v>15</v>
      </c>
      <c r="F1742" s="630"/>
      <c r="G1742" s="655">
        <v>40000</v>
      </c>
      <c r="H1742" s="655">
        <v>544338.9</v>
      </c>
      <c r="I1742" s="655">
        <v>524139.33600000001</v>
      </c>
      <c r="J1742" s="635">
        <f t="shared" si="78"/>
        <v>1108478.236</v>
      </c>
      <c r="K1742" s="635"/>
      <c r="L1742" s="635"/>
      <c r="M1742" s="655">
        <f t="shared" si="79"/>
        <v>1108478.236</v>
      </c>
      <c r="N1742" s="644"/>
      <c r="O1742" s="645"/>
      <c r="P1742" s="636"/>
    </row>
    <row r="1743" spans="1:16" s="618" customFormat="1" ht="14.25" customHeight="1">
      <c r="A1743" s="643">
        <v>49</v>
      </c>
      <c r="B1743" s="625" t="e">
        <f>VLOOKUP(D1743,'[1]DS CN MOI UP'!$B$11:$C$447,2,0)</f>
        <v>#N/A</v>
      </c>
      <c r="C1743" s="626" t="s">
        <v>1628</v>
      </c>
      <c r="D1743" s="630" t="s">
        <v>1630</v>
      </c>
      <c r="E1743" s="630" t="s">
        <v>15</v>
      </c>
      <c r="F1743" s="630"/>
      <c r="G1743" s="655">
        <v>40000</v>
      </c>
      <c r="H1743" s="655">
        <v>574572.66299999994</v>
      </c>
      <c r="I1743" s="655">
        <v>524139.33600000001</v>
      </c>
      <c r="J1743" s="635">
        <f t="shared" si="78"/>
        <v>1138711.9989999998</v>
      </c>
      <c r="K1743" s="635"/>
      <c r="L1743" s="635"/>
      <c r="M1743" s="655">
        <f t="shared" si="79"/>
        <v>1138711.9989999998</v>
      </c>
      <c r="N1743" s="644"/>
      <c r="O1743" s="645"/>
      <c r="P1743" s="636"/>
    </row>
    <row r="1744" spans="1:16" s="618" customFormat="1" ht="14.25" customHeight="1">
      <c r="A1744" s="643">
        <v>50</v>
      </c>
      <c r="B1744" s="625" t="e">
        <f>VLOOKUP(D1744,'[1]DS CN MOI UP'!$B$11:$C$447,2,0)</f>
        <v>#N/A</v>
      </c>
      <c r="C1744" s="626" t="s">
        <v>1628</v>
      </c>
      <c r="D1744" s="630" t="s">
        <v>1631</v>
      </c>
      <c r="E1744" s="630" t="s">
        <v>15</v>
      </c>
      <c r="F1744" s="630"/>
      <c r="G1744" s="655">
        <v>40000</v>
      </c>
      <c r="H1744" s="655">
        <v>604806.42599999998</v>
      </c>
      <c r="I1744" s="655">
        <v>524139.33600000001</v>
      </c>
      <c r="J1744" s="635">
        <f t="shared" si="78"/>
        <v>1168945.7620000001</v>
      </c>
      <c r="K1744" s="635"/>
      <c r="L1744" s="635"/>
      <c r="M1744" s="655">
        <f t="shared" si="79"/>
        <v>1168945.7620000001</v>
      </c>
      <c r="N1744" s="644"/>
      <c r="O1744" s="645"/>
      <c r="P1744" s="636"/>
    </row>
    <row r="1745" spans="1:16" s="618" customFormat="1" ht="14.25" customHeight="1">
      <c r="A1745" s="643">
        <v>51</v>
      </c>
      <c r="B1745" s="625" t="e">
        <f>VLOOKUP(D1745,'[1]DS CN MOI UP'!$B$11:$C$447,2,0)</f>
        <v>#N/A</v>
      </c>
      <c r="C1745" s="626" t="s">
        <v>1628</v>
      </c>
      <c r="D1745" s="630" t="s">
        <v>1632</v>
      </c>
      <c r="E1745" s="630" t="s">
        <v>15</v>
      </c>
      <c r="F1745" s="630"/>
      <c r="G1745" s="655">
        <v>40000</v>
      </c>
      <c r="H1745" s="655">
        <v>584606.86199999996</v>
      </c>
      <c r="I1745" s="655">
        <v>524139.33600000001</v>
      </c>
      <c r="J1745" s="635">
        <f t="shared" si="78"/>
        <v>1148746.1979999999</v>
      </c>
      <c r="K1745" s="635"/>
      <c r="L1745" s="635"/>
      <c r="M1745" s="655">
        <f t="shared" si="79"/>
        <v>1148746.1979999999</v>
      </c>
      <c r="N1745" s="644"/>
      <c r="O1745" s="645"/>
      <c r="P1745" s="636"/>
    </row>
    <row r="1746" spans="1:16" s="618" customFormat="1" ht="14.25" customHeight="1">
      <c r="A1746" s="643">
        <v>52</v>
      </c>
      <c r="B1746" s="625" t="e">
        <f>VLOOKUP(D1746,'[1]DS CN MOI UP'!$B$11:$C$447,2,0)</f>
        <v>#N/A</v>
      </c>
      <c r="C1746" s="626" t="s">
        <v>1628</v>
      </c>
      <c r="D1746" s="630" t="s">
        <v>1633</v>
      </c>
      <c r="E1746" s="630" t="s">
        <v>15</v>
      </c>
      <c r="F1746" s="630"/>
      <c r="G1746" s="655">
        <v>40000</v>
      </c>
      <c r="H1746" s="655">
        <v>635040.18900000001</v>
      </c>
      <c r="I1746" s="655">
        <v>524139.33600000001</v>
      </c>
      <c r="J1746" s="635">
        <f t="shared" si="78"/>
        <v>1199179.5249999999</v>
      </c>
      <c r="K1746" s="635"/>
      <c r="L1746" s="635"/>
      <c r="M1746" s="655">
        <f t="shared" si="79"/>
        <v>1199179.5249999999</v>
      </c>
      <c r="N1746" s="644"/>
      <c r="O1746" s="645"/>
      <c r="P1746" s="636"/>
    </row>
    <row r="1747" spans="1:16" s="618" customFormat="1" ht="14.25" customHeight="1">
      <c r="A1747" s="643">
        <v>53</v>
      </c>
      <c r="B1747" s="625" t="e">
        <f>VLOOKUP(D1747,'[1]DS CN MOI UP'!$B$11:$C$447,2,0)</f>
        <v>#N/A</v>
      </c>
      <c r="C1747" s="626" t="s">
        <v>1628</v>
      </c>
      <c r="D1747" s="630" t="s">
        <v>1634</v>
      </c>
      <c r="E1747" s="630" t="s">
        <v>15</v>
      </c>
      <c r="F1747" s="630"/>
      <c r="G1747" s="655">
        <v>40000</v>
      </c>
      <c r="H1747" s="655">
        <v>524139.33600000001</v>
      </c>
      <c r="I1747" s="655">
        <v>524139.33600000001</v>
      </c>
      <c r="J1747" s="635">
        <f t="shared" si="78"/>
        <v>1088278.672</v>
      </c>
      <c r="K1747" s="635"/>
      <c r="L1747" s="635"/>
      <c r="M1747" s="655">
        <f t="shared" si="79"/>
        <v>1088278.672</v>
      </c>
      <c r="N1747" s="644"/>
      <c r="O1747" s="645"/>
      <c r="P1747" s="636"/>
    </row>
    <row r="1748" spans="1:16" s="618" customFormat="1" ht="14.25" customHeight="1">
      <c r="A1748" s="643">
        <v>54</v>
      </c>
      <c r="B1748" s="625" t="e">
        <f>VLOOKUP(D1748,'[1]DS CN MOI UP'!$B$11:$C$447,2,0)</f>
        <v>#N/A</v>
      </c>
      <c r="C1748" s="626" t="s">
        <v>1628</v>
      </c>
      <c r="D1748" s="630" t="s">
        <v>1635</v>
      </c>
      <c r="E1748" s="630" t="s">
        <v>15</v>
      </c>
      <c r="F1748" s="630"/>
      <c r="G1748" s="655">
        <v>40000</v>
      </c>
      <c r="H1748" s="655">
        <v>635040.18900000001</v>
      </c>
      <c r="I1748" s="655">
        <v>524139.33600000001</v>
      </c>
      <c r="J1748" s="635">
        <f t="shared" si="78"/>
        <v>1199179.5249999999</v>
      </c>
      <c r="K1748" s="635"/>
      <c r="L1748" s="635"/>
      <c r="M1748" s="655">
        <f t="shared" si="79"/>
        <v>1199179.5249999999</v>
      </c>
      <c r="N1748" s="644"/>
      <c r="O1748" s="645"/>
      <c r="P1748" s="636"/>
    </row>
    <row r="1749" spans="1:16" s="618" customFormat="1" ht="14.25" customHeight="1">
      <c r="A1749" s="643">
        <v>55</v>
      </c>
      <c r="B1749" s="625" t="e">
        <f>VLOOKUP(D1749,'[1]DS CN MOI UP'!$B$11:$C$447,2,0)</f>
        <v>#N/A</v>
      </c>
      <c r="C1749" s="626" t="s">
        <v>1628</v>
      </c>
      <c r="D1749" s="630" t="s">
        <v>1636</v>
      </c>
      <c r="E1749" s="630" t="s">
        <v>15</v>
      </c>
      <c r="F1749" s="630"/>
      <c r="G1749" s="655">
        <v>40000</v>
      </c>
      <c r="H1749" s="655">
        <v>635040.18900000001</v>
      </c>
      <c r="I1749" s="655">
        <v>524139.33600000001</v>
      </c>
      <c r="J1749" s="635">
        <f t="shared" si="78"/>
        <v>1199179.5249999999</v>
      </c>
      <c r="K1749" s="635"/>
      <c r="L1749" s="635"/>
      <c r="M1749" s="655">
        <f t="shared" si="79"/>
        <v>1199179.5249999999</v>
      </c>
      <c r="N1749" s="644"/>
      <c r="O1749" s="645"/>
      <c r="P1749" s="636"/>
    </row>
    <row r="1750" spans="1:16" s="618" customFormat="1" ht="14.25" customHeight="1">
      <c r="A1750" s="643">
        <v>56</v>
      </c>
      <c r="B1750" s="625" t="e">
        <f>VLOOKUP(D1750,'[1]DS CN MOI UP'!$B$11:$C$447,2,0)</f>
        <v>#N/A</v>
      </c>
      <c r="C1750" s="626" t="s">
        <v>1628</v>
      </c>
      <c r="D1750" s="630" t="s">
        <v>1637</v>
      </c>
      <c r="E1750" s="630" t="s">
        <v>15</v>
      </c>
      <c r="F1750" s="630"/>
      <c r="G1750" s="655">
        <v>40000</v>
      </c>
      <c r="H1750" s="655">
        <v>554373.09900000005</v>
      </c>
      <c r="I1750" s="655">
        <v>524139.33600000001</v>
      </c>
      <c r="J1750" s="635">
        <f t="shared" si="78"/>
        <v>1118512.4350000001</v>
      </c>
      <c r="K1750" s="635"/>
      <c r="L1750" s="635"/>
      <c r="M1750" s="655">
        <f t="shared" si="79"/>
        <v>1118512.4350000001</v>
      </c>
      <c r="N1750" s="644"/>
      <c r="O1750" s="645"/>
      <c r="P1750" s="636"/>
    </row>
    <row r="1751" spans="1:16" s="618" customFormat="1" ht="14.25" customHeight="1">
      <c r="A1751" s="643">
        <v>57</v>
      </c>
      <c r="B1751" s="625" t="e">
        <f>VLOOKUP(D1751,'[1]DS CN MOI UP'!$B$11:$C$447,2,0)</f>
        <v>#N/A</v>
      </c>
      <c r="C1751" s="626" t="s">
        <v>1628</v>
      </c>
      <c r="D1751" s="630" t="s">
        <v>1638</v>
      </c>
      <c r="E1751" s="630" t="s">
        <v>15</v>
      </c>
      <c r="F1751" s="630"/>
      <c r="G1751" s="655">
        <v>60000</v>
      </c>
      <c r="H1751" s="655">
        <v>554373.09900000005</v>
      </c>
      <c r="I1751" s="655">
        <v>524139.33600000001</v>
      </c>
      <c r="J1751" s="635">
        <f t="shared" si="78"/>
        <v>1138512.4350000001</v>
      </c>
      <c r="K1751" s="635"/>
      <c r="L1751" s="635"/>
      <c r="M1751" s="655">
        <f t="shared" si="79"/>
        <v>1138512.4350000001</v>
      </c>
      <c r="N1751" s="644"/>
      <c r="O1751" s="645"/>
      <c r="P1751" s="636"/>
    </row>
    <row r="1752" spans="1:16" s="618" customFormat="1" ht="14.25" customHeight="1">
      <c r="A1752" s="643">
        <v>58</v>
      </c>
      <c r="B1752" s="625" t="e">
        <f>VLOOKUP(D1752,'[1]DS CN MOI UP'!$B$11:$C$447,2,0)</f>
        <v>#N/A</v>
      </c>
      <c r="C1752" s="626" t="s">
        <v>1628</v>
      </c>
      <c r="D1752" s="630" t="s">
        <v>1639</v>
      </c>
      <c r="E1752" s="630" t="s">
        <v>15</v>
      </c>
      <c r="F1752" s="630"/>
      <c r="G1752" s="655">
        <v>40000</v>
      </c>
      <c r="H1752" s="655">
        <v>554373.09900000005</v>
      </c>
      <c r="I1752" s="655">
        <v>524139.33600000001</v>
      </c>
      <c r="J1752" s="635">
        <f t="shared" si="78"/>
        <v>1118512.4350000001</v>
      </c>
      <c r="K1752" s="635"/>
      <c r="L1752" s="635"/>
      <c r="M1752" s="655">
        <f t="shared" si="79"/>
        <v>1118512.4350000001</v>
      </c>
      <c r="N1752" s="644"/>
      <c r="O1752" s="645"/>
      <c r="P1752" s="636"/>
    </row>
    <row r="1753" spans="1:16" s="618" customFormat="1" ht="14.25" customHeight="1">
      <c r="A1753" s="643">
        <v>59</v>
      </c>
      <c r="B1753" s="625" t="e">
        <f>VLOOKUP(D1753,'[1]DS CN MOI UP'!$B$11:$C$447,2,0)</f>
        <v>#N/A</v>
      </c>
      <c r="C1753" s="626" t="s">
        <v>1628</v>
      </c>
      <c r="D1753" s="630" t="s">
        <v>1575</v>
      </c>
      <c r="E1753" s="630" t="s">
        <v>15</v>
      </c>
      <c r="F1753" s="630"/>
      <c r="G1753" s="655">
        <v>40000</v>
      </c>
      <c r="H1753" s="655">
        <v>554373.09900000005</v>
      </c>
      <c r="I1753" s="655">
        <v>524139.33600000001</v>
      </c>
      <c r="J1753" s="635">
        <f t="shared" si="78"/>
        <v>1118512.4350000001</v>
      </c>
      <c r="K1753" s="635"/>
      <c r="L1753" s="635"/>
      <c r="M1753" s="655">
        <f t="shared" si="79"/>
        <v>1118512.4350000001</v>
      </c>
      <c r="N1753" s="644"/>
      <c r="O1753" s="645"/>
      <c r="P1753" s="636"/>
    </row>
    <row r="1754" spans="1:16" s="618" customFormat="1" ht="14.25" customHeight="1">
      <c r="A1754" s="643">
        <v>60</v>
      </c>
      <c r="B1754" s="625" t="e">
        <f>VLOOKUP(D1754,'[1]DS CN MOI UP'!$B$11:$C$447,2,0)</f>
        <v>#N/A</v>
      </c>
      <c r="C1754" s="626" t="s">
        <v>1628</v>
      </c>
      <c r="D1754" s="630" t="s">
        <v>1640</v>
      </c>
      <c r="E1754" s="630" t="s">
        <v>15</v>
      </c>
      <c r="F1754" s="630"/>
      <c r="G1754" s="655">
        <v>40000</v>
      </c>
      <c r="H1754" s="655">
        <v>554373.09900000005</v>
      </c>
      <c r="I1754" s="655">
        <v>524139.33600000001</v>
      </c>
      <c r="J1754" s="635">
        <f t="shared" si="78"/>
        <v>1118512.4350000001</v>
      </c>
      <c r="K1754" s="635"/>
      <c r="L1754" s="635"/>
      <c r="M1754" s="655">
        <f t="shared" si="79"/>
        <v>1118512.4350000001</v>
      </c>
      <c r="N1754" s="644"/>
      <c r="O1754" s="645"/>
      <c r="P1754" s="636"/>
    </row>
    <row r="1755" spans="1:16" s="618" customFormat="1" ht="14.25" customHeight="1">
      <c r="A1755" s="643">
        <v>61</v>
      </c>
      <c r="B1755" s="625" t="e">
        <f>VLOOKUP(D1755,'[1]DS CN MOI UP'!$B$11:$C$447,2,0)</f>
        <v>#N/A</v>
      </c>
      <c r="C1755" s="626" t="s">
        <v>1628</v>
      </c>
      <c r="D1755" s="630" t="s">
        <v>1641</v>
      </c>
      <c r="E1755" s="630" t="s">
        <v>15</v>
      </c>
      <c r="F1755" s="630"/>
      <c r="G1755" s="655">
        <v>40000</v>
      </c>
      <c r="H1755" s="655">
        <v>635040.18900000001</v>
      </c>
      <c r="I1755" s="655">
        <v>524139.33600000001</v>
      </c>
      <c r="J1755" s="635">
        <f t="shared" si="78"/>
        <v>1199179.5249999999</v>
      </c>
      <c r="K1755" s="635"/>
      <c r="L1755" s="635"/>
      <c r="M1755" s="655">
        <f t="shared" si="79"/>
        <v>1199179.5249999999</v>
      </c>
      <c r="N1755" s="644"/>
      <c r="O1755" s="645"/>
      <c r="P1755" s="636"/>
    </row>
    <row r="1756" spans="1:16" s="618" customFormat="1" ht="14.25" customHeight="1">
      <c r="A1756" s="643">
        <v>62</v>
      </c>
      <c r="B1756" s="625" t="e">
        <f>VLOOKUP(D1756,'[1]DS CN MOI UP'!$B$11:$C$447,2,0)</f>
        <v>#N/A</v>
      </c>
      <c r="C1756" s="626" t="s">
        <v>1628</v>
      </c>
      <c r="D1756" s="630" t="s">
        <v>1642</v>
      </c>
      <c r="E1756" s="630" t="s">
        <v>15</v>
      </c>
      <c r="F1756" s="630"/>
      <c r="G1756" s="655">
        <v>40000</v>
      </c>
      <c r="H1756" s="655">
        <v>544338.9</v>
      </c>
      <c r="I1756" s="655">
        <v>524139.33600000001</v>
      </c>
      <c r="J1756" s="635">
        <f t="shared" si="78"/>
        <v>1108478.236</v>
      </c>
      <c r="K1756" s="635"/>
      <c r="L1756" s="635"/>
      <c r="M1756" s="655">
        <f t="shared" si="79"/>
        <v>1108478.236</v>
      </c>
      <c r="N1756" s="644"/>
      <c r="O1756" s="645"/>
      <c r="P1756" s="636"/>
    </row>
    <row r="1757" spans="1:16" s="618" customFormat="1" ht="14.25" customHeight="1">
      <c r="A1757" s="643">
        <v>63</v>
      </c>
      <c r="B1757" s="625" t="str">
        <f>VLOOKUP(D1757,'[1]DS CN MOI UP'!$B$11:$C$447,2,0)</f>
        <v>03403</v>
      </c>
      <c r="C1757" s="626" t="s">
        <v>1628</v>
      </c>
      <c r="D1757" s="630" t="s">
        <v>1439</v>
      </c>
      <c r="E1757" s="630" t="s">
        <v>15</v>
      </c>
      <c r="F1757" s="630"/>
      <c r="G1757" s="655">
        <v>40000</v>
      </c>
      <c r="H1757" s="655">
        <v>574572.66299999994</v>
      </c>
      <c r="I1757" s="655">
        <v>524139.33600000001</v>
      </c>
      <c r="J1757" s="635">
        <f t="shared" si="78"/>
        <v>1138711.9989999998</v>
      </c>
      <c r="K1757" s="635"/>
      <c r="L1757" s="635"/>
      <c r="M1757" s="655">
        <f t="shared" si="79"/>
        <v>1138711.9989999998</v>
      </c>
      <c r="N1757" s="644"/>
      <c r="O1757" s="645"/>
      <c r="P1757" s="636"/>
    </row>
    <row r="1758" spans="1:16" s="618" customFormat="1" ht="14.25" customHeight="1">
      <c r="A1758" s="643">
        <v>64</v>
      </c>
      <c r="B1758" s="625" t="e">
        <f>VLOOKUP(D1758,'[1]DS CN MOI UP'!$B$11:$C$447,2,0)</f>
        <v>#N/A</v>
      </c>
      <c r="C1758" s="626" t="s">
        <v>1628</v>
      </c>
      <c r="D1758" s="630" t="s">
        <v>1018</v>
      </c>
      <c r="E1758" s="630" t="s">
        <v>15</v>
      </c>
      <c r="F1758" s="630"/>
      <c r="G1758" s="655">
        <v>40000</v>
      </c>
      <c r="H1758" s="655">
        <v>604806.42599999998</v>
      </c>
      <c r="I1758" s="655">
        <v>524139.33600000001</v>
      </c>
      <c r="J1758" s="635">
        <f t="shared" si="78"/>
        <v>1168945.7620000001</v>
      </c>
      <c r="K1758" s="635"/>
      <c r="L1758" s="635"/>
      <c r="M1758" s="655">
        <f t="shared" si="79"/>
        <v>1168945.7620000001</v>
      </c>
      <c r="N1758" s="644"/>
      <c r="O1758" s="645"/>
      <c r="P1758" s="636"/>
    </row>
    <row r="1759" spans="1:16" s="618" customFormat="1" ht="14.25" customHeight="1">
      <c r="A1759" s="643">
        <v>65</v>
      </c>
      <c r="B1759" s="625" t="e">
        <f>VLOOKUP(D1759,'[1]DS CN MOI UP'!$B$11:$C$447,2,0)</f>
        <v>#N/A</v>
      </c>
      <c r="C1759" s="626" t="s">
        <v>1628</v>
      </c>
      <c r="D1759" s="630" t="s">
        <v>1643</v>
      </c>
      <c r="E1759" s="630" t="s">
        <v>15</v>
      </c>
      <c r="F1759" s="630"/>
      <c r="G1759" s="655">
        <v>40000</v>
      </c>
      <c r="H1759" s="655">
        <v>584606.86199999996</v>
      </c>
      <c r="I1759" s="655">
        <v>524139.33600000001</v>
      </c>
      <c r="J1759" s="635">
        <f t="shared" si="78"/>
        <v>1148746.1979999999</v>
      </c>
      <c r="K1759" s="635"/>
      <c r="L1759" s="635"/>
      <c r="M1759" s="655">
        <f t="shared" si="79"/>
        <v>1148746.1979999999</v>
      </c>
      <c r="N1759" s="644"/>
      <c r="O1759" s="645"/>
      <c r="P1759" s="636"/>
    </row>
    <row r="1760" spans="1:16" s="618" customFormat="1" ht="14.25" customHeight="1">
      <c r="A1760" s="643">
        <v>66</v>
      </c>
      <c r="B1760" s="625" t="e">
        <f>VLOOKUP(D1760,'[1]DS CN MOI UP'!$B$11:$C$447,2,0)</f>
        <v>#N/A</v>
      </c>
      <c r="C1760" s="626" t="s">
        <v>1628</v>
      </c>
      <c r="D1760" s="630" t="s">
        <v>1644</v>
      </c>
      <c r="E1760" s="630" t="s">
        <v>15</v>
      </c>
      <c r="F1760" s="630"/>
      <c r="G1760" s="655">
        <v>40000</v>
      </c>
      <c r="H1760" s="655">
        <v>635040.18900000001</v>
      </c>
      <c r="I1760" s="655">
        <v>524139.33600000001</v>
      </c>
      <c r="J1760" s="635">
        <f t="shared" si="78"/>
        <v>1199179.5249999999</v>
      </c>
      <c r="K1760" s="635"/>
      <c r="L1760" s="635"/>
      <c r="M1760" s="655">
        <f t="shared" si="79"/>
        <v>1199179.5249999999</v>
      </c>
      <c r="N1760" s="644"/>
      <c r="O1760" s="645"/>
      <c r="P1760" s="636"/>
    </row>
    <row r="1761" spans="1:16" s="618" customFormat="1" ht="14.25" customHeight="1">
      <c r="A1761" s="643">
        <v>67</v>
      </c>
      <c r="B1761" s="625" t="e">
        <f>VLOOKUP(D1761,'[1]DS CN MOI UP'!$B$11:$C$447,2,0)</f>
        <v>#N/A</v>
      </c>
      <c r="C1761" s="626" t="s">
        <v>1628</v>
      </c>
      <c r="D1761" s="630" t="s">
        <v>1645</v>
      </c>
      <c r="E1761" s="630" t="s">
        <v>15</v>
      </c>
      <c r="F1761" s="630"/>
      <c r="G1761" s="655">
        <v>40000</v>
      </c>
      <c r="H1761" s="655">
        <v>524139.33600000001</v>
      </c>
      <c r="I1761" s="655">
        <v>524139.33600000001</v>
      </c>
      <c r="J1761" s="635">
        <f t="shared" si="78"/>
        <v>1088278.672</v>
      </c>
      <c r="K1761" s="635"/>
      <c r="L1761" s="635"/>
      <c r="M1761" s="655">
        <f t="shared" si="79"/>
        <v>1088278.672</v>
      </c>
      <c r="N1761" s="644"/>
      <c r="O1761" s="645"/>
      <c r="P1761" s="636"/>
    </row>
    <row r="1762" spans="1:16" s="618" customFormat="1" ht="14.25" customHeight="1">
      <c r="A1762" s="643">
        <v>68</v>
      </c>
      <c r="B1762" s="625" t="e">
        <f>VLOOKUP(D1762,'[1]DS CN MOI UP'!$B$11:$C$447,2,0)</f>
        <v>#N/A</v>
      </c>
      <c r="C1762" s="626" t="s">
        <v>1628</v>
      </c>
      <c r="D1762" s="630" t="s">
        <v>1646</v>
      </c>
      <c r="E1762" s="630" t="s">
        <v>15</v>
      </c>
      <c r="F1762" s="630"/>
      <c r="G1762" s="655">
        <v>40000</v>
      </c>
      <c r="H1762" s="655">
        <v>635040.18900000001</v>
      </c>
      <c r="I1762" s="655">
        <v>524139.33600000001</v>
      </c>
      <c r="J1762" s="635">
        <f t="shared" si="78"/>
        <v>1199179.5249999999</v>
      </c>
      <c r="K1762" s="635"/>
      <c r="L1762" s="635"/>
      <c r="M1762" s="655">
        <f t="shared" si="79"/>
        <v>1199179.5249999999</v>
      </c>
      <c r="N1762" s="644"/>
      <c r="O1762" s="645"/>
      <c r="P1762" s="636"/>
    </row>
    <row r="1763" spans="1:16" s="618" customFormat="1" ht="14.25" customHeight="1">
      <c r="A1763" s="643">
        <v>69</v>
      </c>
      <c r="B1763" s="625" t="e">
        <f>VLOOKUP(D1763,'[1]DS CN MOI UP'!$B$11:$C$447,2,0)</f>
        <v>#N/A</v>
      </c>
      <c r="C1763" s="626" t="s">
        <v>1628</v>
      </c>
      <c r="D1763" s="630" t="s">
        <v>1647</v>
      </c>
      <c r="E1763" s="630" t="s">
        <v>15</v>
      </c>
      <c r="F1763" s="630"/>
      <c r="G1763" s="655">
        <v>40000</v>
      </c>
      <c r="H1763" s="655">
        <v>635040.18900000001</v>
      </c>
      <c r="I1763" s="655">
        <v>524139.33600000001</v>
      </c>
      <c r="J1763" s="635">
        <f t="shared" si="78"/>
        <v>1199179.5249999999</v>
      </c>
      <c r="K1763" s="635"/>
      <c r="L1763" s="635"/>
      <c r="M1763" s="655">
        <f t="shared" si="79"/>
        <v>1199179.5249999999</v>
      </c>
      <c r="N1763" s="644"/>
      <c r="O1763" s="645"/>
      <c r="P1763" s="636"/>
    </row>
    <row r="1764" spans="1:16" s="618" customFormat="1" ht="14.25" customHeight="1">
      <c r="A1764" s="643">
        <v>70</v>
      </c>
      <c r="B1764" s="625" t="str">
        <f>VLOOKUP(D1764,'[1]DS CN MOI UP'!$B$11:$C$447,2,0)</f>
        <v>02525</v>
      </c>
      <c r="C1764" s="626" t="s">
        <v>1628</v>
      </c>
      <c r="D1764" s="630" t="s">
        <v>180</v>
      </c>
      <c r="E1764" s="630" t="s">
        <v>15</v>
      </c>
      <c r="F1764" s="630"/>
      <c r="G1764" s="655">
        <v>40000</v>
      </c>
      <c r="H1764" s="655">
        <v>554373.09900000005</v>
      </c>
      <c r="I1764" s="655">
        <v>524139.33600000001</v>
      </c>
      <c r="J1764" s="635">
        <f t="shared" si="78"/>
        <v>1118512.4350000001</v>
      </c>
      <c r="K1764" s="635"/>
      <c r="L1764" s="635"/>
      <c r="M1764" s="655">
        <f t="shared" si="79"/>
        <v>1118512.4350000001</v>
      </c>
      <c r="N1764" s="644"/>
      <c r="O1764" s="645"/>
      <c r="P1764" s="636"/>
    </row>
    <row r="1765" spans="1:16" s="618" customFormat="1" ht="14.25" customHeight="1">
      <c r="A1765" s="643">
        <v>71</v>
      </c>
      <c r="B1765" s="625" t="str">
        <f>VLOOKUP(D1765,'[1]DS CN MOI UP'!$B$11:$C$447,2,0)</f>
        <v>02500</v>
      </c>
      <c r="C1765" s="626" t="s">
        <v>1628</v>
      </c>
      <c r="D1765" s="630" t="s">
        <v>59</v>
      </c>
      <c r="E1765" s="630" t="s">
        <v>15</v>
      </c>
      <c r="F1765" s="630"/>
      <c r="G1765" s="655">
        <v>60000</v>
      </c>
      <c r="H1765" s="655">
        <v>554373.09900000005</v>
      </c>
      <c r="I1765" s="655">
        <v>524139.33600000001</v>
      </c>
      <c r="J1765" s="635">
        <f t="shared" si="78"/>
        <v>1138512.4350000001</v>
      </c>
      <c r="K1765" s="635"/>
      <c r="L1765" s="635"/>
      <c r="M1765" s="655">
        <f t="shared" si="79"/>
        <v>1138512.4350000001</v>
      </c>
      <c r="N1765" s="644"/>
      <c r="O1765" s="645"/>
      <c r="P1765" s="636"/>
    </row>
    <row r="1766" spans="1:16" s="618" customFormat="1" ht="14.25" customHeight="1">
      <c r="A1766" s="643">
        <v>72</v>
      </c>
      <c r="B1766" s="625" t="str">
        <f>VLOOKUP(D1766,'[1]DS CN MOI UP'!$B$11:$C$447,2,0)</f>
        <v>02550</v>
      </c>
      <c r="C1766" s="626" t="s">
        <v>1628</v>
      </c>
      <c r="D1766" s="630" t="s">
        <v>200</v>
      </c>
      <c r="E1766" s="630" t="s">
        <v>15</v>
      </c>
      <c r="F1766" s="630"/>
      <c r="G1766" s="655">
        <v>40000</v>
      </c>
      <c r="H1766" s="655">
        <v>554373.09900000005</v>
      </c>
      <c r="I1766" s="655">
        <v>524139.33600000001</v>
      </c>
      <c r="J1766" s="635">
        <f t="shared" si="78"/>
        <v>1118512.4350000001</v>
      </c>
      <c r="K1766" s="635"/>
      <c r="L1766" s="635"/>
      <c r="M1766" s="655">
        <f t="shared" si="79"/>
        <v>1118512.4350000001</v>
      </c>
      <c r="N1766" s="644"/>
      <c r="O1766" s="645"/>
      <c r="P1766" s="636"/>
    </row>
    <row r="1767" spans="1:16" s="618" customFormat="1" ht="14.25" customHeight="1">
      <c r="A1767" s="643">
        <v>73</v>
      </c>
      <c r="B1767" s="625" t="e">
        <f>VLOOKUP(D1767,'[1]DS CN MOI UP'!$B$11:$C$447,2,0)</f>
        <v>#N/A</v>
      </c>
      <c r="C1767" s="626" t="s">
        <v>1628</v>
      </c>
      <c r="D1767" s="630" t="s">
        <v>1648</v>
      </c>
      <c r="E1767" s="630" t="s">
        <v>15</v>
      </c>
      <c r="F1767" s="630"/>
      <c r="G1767" s="655">
        <v>40000</v>
      </c>
      <c r="H1767" s="655">
        <v>554373.09900000005</v>
      </c>
      <c r="I1767" s="655">
        <v>524139.33600000001</v>
      </c>
      <c r="J1767" s="635">
        <f t="shared" si="78"/>
        <v>1118512.4350000001</v>
      </c>
      <c r="K1767" s="635"/>
      <c r="L1767" s="635"/>
      <c r="M1767" s="655">
        <f t="shared" si="79"/>
        <v>1118512.4350000001</v>
      </c>
      <c r="N1767" s="644"/>
      <c r="O1767" s="645"/>
      <c r="P1767" s="636"/>
    </row>
    <row r="1768" spans="1:16" s="618" customFormat="1" ht="14.25" customHeight="1">
      <c r="A1768" s="643">
        <v>74</v>
      </c>
      <c r="B1768" s="625" t="e">
        <f>VLOOKUP(D1768,'[1]DS CN MOI UP'!$B$11:$C$447,2,0)</f>
        <v>#N/A</v>
      </c>
      <c r="C1768" s="626" t="s">
        <v>1628</v>
      </c>
      <c r="D1768" s="630" t="s">
        <v>1649</v>
      </c>
      <c r="E1768" s="630" t="s">
        <v>15</v>
      </c>
      <c r="F1768" s="630"/>
      <c r="G1768" s="655">
        <v>40000</v>
      </c>
      <c r="H1768" s="655">
        <v>554373.09900000005</v>
      </c>
      <c r="I1768" s="655">
        <v>524139.33600000001</v>
      </c>
      <c r="J1768" s="635">
        <f t="shared" si="78"/>
        <v>1118512.4350000001</v>
      </c>
      <c r="K1768" s="635"/>
      <c r="L1768" s="635"/>
      <c r="M1768" s="655">
        <f t="shared" si="79"/>
        <v>1118512.4350000001</v>
      </c>
      <c r="N1768" s="644"/>
      <c r="O1768" s="645"/>
      <c r="P1768" s="636"/>
    </row>
    <row r="1769" spans="1:16" s="618" customFormat="1" ht="14.25" customHeight="1">
      <c r="A1769" s="643">
        <v>75</v>
      </c>
      <c r="B1769" s="625" t="e">
        <f>VLOOKUP(D1769,'[1]DS CN MOI UP'!$B$11:$C$447,2,0)</f>
        <v>#N/A</v>
      </c>
      <c r="C1769" s="626" t="s">
        <v>1628</v>
      </c>
      <c r="D1769" s="630" t="s">
        <v>698</v>
      </c>
      <c r="E1769" s="630" t="s">
        <v>15</v>
      </c>
      <c r="F1769" s="630"/>
      <c r="G1769" s="655">
        <v>40000</v>
      </c>
      <c r="H1769" s="655">
        <v>635040.18900000001</v>
      </c>
      <c r="I1769" s="655">
        <v>524139.33600000001</v>
      </c>
      <c r="J1769" s="635">
        <f t="shared" si="78"/>
        <v>1199179.5249999999</v>
      </c>
      <c r="K1769" s="635"/>
      <c r="L1769" s="635"/>
      <c r="M1769" s="655">
        <f t="shared" si="79"/>
        <v>1199179.5249999999</v>
      </c>
      <c r="N1769" s="644"/>
      <c r="O1769" s="645"/>
      <c r="P1769" s="636"/>
    </row>
    <row r="1770" spans="1:16" s="618" customFormat="1" ht="14.25" customHeight="1">
      <c r="A1770" s="643">
        <v>76</v>
      </c>
      <c r="B1770" s="625" t="e">
        <f>VLOOKUP(D1770,'[1]DS CN MOI UP'!$B$11:$C$447,2,0)</f>
        <v>#N/A</v>
      </c>
      <c r="C1770" s="626" t="s">
        <v>1628</v>
      </c>
      <c r="D1770" s="630" t="s">
        <v>1650</v>
      </c>
      <c r="E1770" s="630" t="s">
        <v>15</v>
      </c>
      <c r="F1770" s="630"/>
      <c r="G1770" s="655">
        <v>40000</v>
      </c>
      <c r="H1770" s="655">
        <v>544338.9</v>
      </c>
      <c r="I1770" s="655">
        <v>524139.33600000001</v>
      </c>
      <c r="J1770" s="635">
        <f t="shared" si="78"/>
        <v>1108478.236</v>
      </c>
      <c r="K1770" s="635"/>
      <c r="L1770" s="635"/>
      <c r="M1770" s="655">
        <f t="shared" si="79"/>
        <v>1108478.236</v>
      </c>
      <c r="N1770" s="644"/>
      <c r="O1770" s="645"/>
      <c r="P1770" s="636"/>
    </row>
    <row r="1771" spans="1:16" s="618" customFormat="1" ht="14.25" customHeight="1">
      <c r="A1771" s="643">
        <v>77</v>
      </c>
      <c r="B1771" s="625" t="e">
        <f>VLOOKUP(D1771,'[1]DS CN MOI UP'!$B$11:$C$447,2,0)</f>
        <v>#N/A</v>
      </c>
      <c r="C1771" s="626" t="s">
        <v>1628</v>
      </c>
      <c r="D1771" s="630" t="s">
        <v>1651</v>
      </c>
      <c r="E1771" s="630" t="s">
        <v>15</v>
      </c>
      <c r="F1771" s="630"/>
      <c r="G1771" s="655">
        <v>40000</v>
      </c>
      <c r="H1771" s="655">
        <v>574572.66299999994</v>
      </c>
      <c r="I1771" s="655">
        <v>524139.33600000001</v>
      </c>
      <c r="J1771" s="635">
        <f t="shared" si="78"/>
        <v>1138711.9989999998</v>
      </c>
      <c r="K1771" s="635"/>
      <c r="L1771" s="635"/>
      <c r="M1771" s="655">
        <f t="shared" si="79"/>
        <v>1138711.9989999998</v>
      </c>
      <c r="N1771" s="644"/>
      <c r="O1771" s="645"/>
      <c r="P1771" s="636"/>
    </row>
    <row r="1772" spans="1:16" s="618" customFormat="1" ht="14.25" customHeight="1">
      <c r="A1772" s="643">
        <v>78</v>
      </c>
      <c r="B1772" s="625" t="e">
        <f>VLOOKUP(D1772,'[1]DS CN MOI UP'!$B$11:$C$447,2,0)</f>
        <v>#N/A</v>
      </c>
      <c r="C1772" s="626" t="s">
        <v>1628</v>
      </c>
      <c r="D1772" s="630" t="s">
        <v>1652</v>
      </c>
      <c r="E1772" s="630" t="s">
        <v>15</v>
      </c>
      <c r="F1772" s="630"/>
      <c r="G1772" s="655">
        <v>40000</v>
      </c>
      <c r="H1772" s="655">
        <v>604806.42599999998</v>
      </c>
      <c r="I1772" s="655">
        <v>524139.33600000001</v>
      </c>
      <c r="J1772" s="635">
        <f t="shared" si="78"/>
        <v>1168945.7620000001</v>
      </c>
      <c r="K1772" s="635"/>
      <c r="L1772" s="635"/>
      <c r="M1772" s="655">
        <f t="shared" si="79"/>
        <v>1168945.7620000001</v>
      </c>
      <c r="N1772" s="644"/>
      <c r="O1772" s="645"/>
      <c r="P1772" s="636"/>
    </row>
    <row r="1773" spans="1:16" s="242" customFormat="1" ht="14.25" customHeight="1">
      <c r="A1773" s="643">
        <v>79</v>
      </c>
      <c r="B1773" s="625" t="e">
        <f>VLOOKUP(D1773,'[1]DS CN MOI UP'!$B$11:$C$447,2,0)</f>
        <v>#N/A</v>
      </c>
      <c r="C1773" s="626" t="s">
        <v>1653</v>
      </c>
      <c r="D1773" s="61" t="s">
        <v>1654</v>
      </c>
      <c r="E1773" s="630" t="s">
        <v>15</v>
      </c>
      <c r="F1773" s="630"/>
      <c r="G1773" s="655">
        <v>40000</v>
      </c>
      <c r="H1773" s="655">
        <v>584606.86199999996</v>
      </c>
      <c r="I1773" s="655">
        <v>524139.33600000001</v>
      </c>
      <c r="J1773" s="635">
        <f t="shared" si="78"/>
        <v>1148746.1979999999</v>
      </c>
      <c r="K1773" s="635"/>
      <c r="L1773" s="635"/>
      <c r="M1773" s="655">
        <f t="shared" si="79"/>
        <v>1148746.1979999999</v>
      </c>
      <c r="N1773" s="644"/>
      <c r="P1773" s="636"/>
    </row>
    <row r="1774" spans="1:16" s="242" customFormat="1" ht="14.25" customHeight="1">
      <c r="A1774" s="643">
        <v>80</v>
      </c>
      <c r="B1774" s="625" t="e">
        <f>VLOOKUP(D1774,'[1]DS CN MOI UP'!$B$11:$C$447,2,0)</f>
        <v>#N/A</v>
      </c>
      <c r="C1774" s="626" t="s">
        <v>1653</v>
      </c>
      <c r="D1774" s="61" t="s">
        <v>1655</v>
      </c>
      <c r="E1774" s="630" t="s">
        <v>15</v>
      </c>
      <c r="F1774" s="630"/>
      <c r="G1774" s="655">
        <v>40000</v>
      </c>
      <c r="H1774" s="655">
        <v>635040.18900000001</v>
      </c>
      <c r="I1774" s="655">
        <v>524139.33600000001</v>
      </c>
      <c r="J1774" s="635">
        <f t="shared" si="78"/>
        <v>1199179.5249999999</v>
      </c>
      <c r="K1774" s="635"/>
      <c r="L1774" s="635"/>
      <c r="M1774" s="655">
        <f t="shared" si="79"/>
        <v>1199179.5249999999</v>
      </c>
      <c r="N1774" s="644"/>
      <c r="P1774" s="636"/>
    </row>
    <row r="1775" spans="1:16" s="242" customFormat="1" ht="14.25" customHeight="1">
      <c r="A1775" s="643">
        <v>81</v>
      </c>
      <c r="B1775" s="625" t="e">
        <f>VLOOKUP(D1775,'[1]DS CN MOI UP'!$B$11:$C$447,2,0)</f>
        <v>#N/A</v>
      </c>
      <c r="C1775" s="626" t="s">
        <v>1546</v>
      </c>
      <c r="D1775" s="630" t="s">
        <v>1656</v>
      </c>
      <c r="E1775" s="630" t="s">
        <v>15</v>
      </c>
      <c r="F1775" s="630"/>
      <c r="G1775" s="655">
        <v>40000</v>
      </c>
      <c r="H1775" s="635">
        <v>524139.33600000001</v>
      </c>
      <c r="I1775" s="655">
        <v>524139.33600000001</v>
      </c>
      <c r="J1775" s="635">
        <f t="shared" si="78"/>
        <v>1088278.672</v>
      </c>
      <c r="K1775" s="635"/>
      <c r="L1775" s="635"/>
      <c r="M1775" s="655">
        <f t="shared" si="79"/>
        <v>1088278.672</v>
      </c>
      <c r="N1775" s="644"/>
      <c r="P1775" s="636"/>
    </row>
    <row r="1776" spans="1:16" s="242" customFormat="1" ht="14.25" customHeight="1">
      <c r="A1776" s="643">
        <v>82</v>
      </c>
      <c r="B1776" s="625" t="e">
        <f>VLOOKUP(D1776,'[1]DS CN MOI UP'!$B$11:$C$447,2,0)</f>
        <v>#N/A</v>
      </c>
      <c r="C1776" s="626" t="s">
        <v>1547</v>
      </c>
      <c r="D1776" s="630" t="s">
        <v>1657</v>
      </c>
      <c r="E1776" s="630" t="s">
        <v>15</v>
      </c>
      <c r="F1776" s="630"/>
      <c r="G1776" s="655">
        <v>40000</v>
      </c>
      <c r="H1776" s="635">
        <v>635040.18900000001</v>
      </c>
      <c r="I1776" s="655">
        <v>524139.33600000001</v>
      </c>
      <c r="J1776" s="635">
        <f t="shared" si="78"/>
        <v>1199179.5249999999</v>
      </c>
      <c r="K1776" s="635"/>
      <c r="L1776" s="635"/>
      <c r="M1776" s="655">
        <f t="shared" si="79"/>
        <v>1199179.5249999999</v>
      </c>
      <c r="N1776" s="644"/>
      <c r="P1776" s="636"/>
    </row>
    <row r="1777" spans="1:16" s="242" customFormat="1" ht="14.25" customHeight="1">
      <c r="A1777" s="643">
        <v>83</v>
      </c>
      <c r="B1777" s="625" t="e">
        <f>VLOOKUP(D1777,'[1]DS CN MOI UP'!$B$11:$C$447,2,0)</f>
        <v>#N/A</v>
      </c>
      <c r="C1777" s="626" t="s">
        <v>1548</v>
      </c>
      <c r="D1777" s="630" t="s">
        <v>1658</v>
      </c>
      <c r="E1777" s="630" t="s">
        <v>15</v>
      </c>
      <c r="F1777" s="630"/>
      <c r="G1777" s="655">
        <v>40000</v>
      </c>
      <c r="H1777" s="635">
        <v>635040.18900000001</v>
      </c>
      <c r="I1777" s="655">
        <v>524139.33600000001</v>
      </c>
      <c r="J1777" s="635">
        <f t="shared" si="78"/>
        <v>1199179.5249999999</v>
      </c>
      <c r="K1777" s="635"/>
      <c r="L1777" s="635"/>
      <c r="M1777" s="655">
        <f t="shared" si="79"/>
        <v>1199179.5249999999</v>
      </c>
      <c r="N1777" s="644"/>
      <c r="P1777" s="636"/>
    </row>
    <row r="1778" spans="1:16" s="242" customFormat="1" ht="14.25" customHeight="1">
      <c r="A1778" s="643">
        <v>84</v>
      </c>
      <c r="B1778" s="625" t="e">
        <f>VLOOKUP(D1778,'[1]DS CN MOI UP'!$B$11:$C$447,2,0)</f>
        <v>#N/A</v>
      </c>
      <c r="C1778" s="626" t="s">
        <v>1549</v>
      </c>
      <c r="D1778" s="630" t="s">
        <v>1659</v>
      </c>
      <c r="E1778" s="630" t="s">
        <v>15</v>
      </c>
      <c r="F1778" s="630"/>
      <c r="G1778" s="655">
        <v>40000</v>
      </c>
      <c r="H1778" s="635">
        <v>554373.09900000005</v>
      </c>
      <c r="I1778" s="655">
        <v>524139.33600000001</v>
      </c>
      <c r="J1778" s="635">
        <f t="shared" si="78"/>
        <v>1118512.4350000001</v>
      </c>
      <c r="K1778" s="635"/>
      <c r="L1778" s="635"/>
      <c r="M1778" s="655">
        <f t="shared" si="79"/>
        <v>1118512.4350000001</v>
      </c>
      <c r="N1778" s="644"/>
      <c r="P1778" s="636"/>
    </row>
    <row r="1779" spans="1:16" s="242" customFormat="1" ht="14.25" customHeight="1">
      <c r="A1779" s="643">
        <v>85</v>
      </c>
      <c r="B1779" s="625" t="e">
        <f>VLOOKUP(D1779,'[1]DS CN MOI UP'!$B$11:$C$447,2,0)</f>
        <v>#N/A</v>
      </c>
      <c r="C1779" s="626" t="s">
        <v>1550</v>
      </c>
      <c r="D1779" s="630" t="s">
        <v>1660</v>
      </c>
      <c r="E1779" s="630" t="s">
        <v>15</v>
      </c>
      <c r="F1779" s="630"/>
      <c r="G1779" s="655">
        <v>60000</v>
      </c>
      <c r="H1779" s="635">
        <v>554373.09900000005</v>
      </c>
      <c r="I1779" s="655">
        <v>524139.33600000001</v>
      </c>
      <c r="J1779" s="635">
        <f t="shared" si="78"/>
        <v>1138512.4350000001</v>
      </c>
      <c r="K1779" s="635"/>
      <c r="L1779" s="635"/>
      <c r="M1779" s="655">
        <f t="shared" si="79"/>
        <v>1138512.4350000001</v>
      </c>
      <c r="N1779" s="644"/>
      <c r="P1779" s="636"/>
    </row>
    <row r="1780" spans="1:16" s="242" customFormat="1" ht="14.25" customHeight="1">
      <c r="A1780" s="643">
        <v>86</v>
      </c>
      <c r="B1780" s="625" t="e">
        <f>VLOOKUP(D1780,'[1]DS CN MOI UP'!$B$11:$C$447,2,0)</f>
        <v>#N/A</v>
      </c>
      <c r="C1780" s="626" t="s">
        <v>1551</v>
      </c>
      <c r="D1780" s="630" t="s">
        <v>1661</v>
      </c>
      <c r="E1780" s="630" t="s">
        <v>15</v>
      </c>
      <c r="F1780" s="630"/>
      <c r="G1780" s="655">
        <v>40000</v>
      </c>
      <c r="H1780" s="635">
        <v>554373.09900000005</v>
      </c>
      <c r="I1780" s="655">
        <v>524139.33600000001</v>
      </c>
      <c r="J1780" s="635">
        <f t="shared" si="78"/>
        <v>1118512.4350000001</v>
      </c>
      <c r="K1780" s="635"/>
      <c r="L1780" s="635"/>
      <c r="M1780" s="655">
        <f t="shared" si="79"/>
        <v>1118512.4350000001</v>
      </c>
      <c r="N1780" s="644"/>
      <c r="P1780" s="636"/>
    </row>
    <row r="1781" spans="1:16" s="242" customFormat="1" ht="14.25" customHeight="1">
      <c r="A1781" s="643">
        <v>87</v>
      </c>
      <c r="B1781" s="625" t="e">
        <f>VLOOKUP(D1781,'[1]DS CN MOI UP'!$B$11:$C$447,2,0)</f>
        <v>#N/A</v>
      </c>
      <c r="C1781" s="626" t="s">
        <v>1552</v>
      </c>
      <c r="D1781" s="630" t="s">
        <v>1662</v>
      </c>
      <c r="E1781" s="630" t="s">
        <v>15</v>
      </c>
      <c r="F1781" s="630"/>
      <c r="G1781" s="655">
        <v>40000</v>
      </c>
      <c r="H1781" s="655">
        <v>554373.09900000005</v>
      </c>
      <c r="I1781" s="655">
        <v>524139.33600000001</v>
      </c>
      <c r="J1781" s="635">
        <f t="shared" si="78"/>
        <v>1118512.4350000001</v>
      </c>
      <c r="K1781" s="635"/>
      <c r="L1781" s="635"/>
      <c r="M1781" s="655">
        <f t="shared" si="79"/>
        <v>1118512.4350000001</v>
      </c>
      <c r="N1781" s="644"/>
      <c r="P1781" s="636"/>
    </row>
    <row r="1782" spans="1:16" s="242" customFormat="1" ht="14.25" customHeight="1">
      <c r="A1782" s="643">
        <v>88</v>
      </c>
      <c r="B1782" s="625" t="e">
        <f>VLOOKUP(D1782,'[1]DS CN MOI UP'!$B$11:$C$447,2,0)</f>
        <v>#N/A</v>
      </c>
      <c r="C1782" s="626" t="s">
        <v>1554</v>
      </c>
      <c r="D1782" s="630" t="s">
        <v>1663</v>
      </c>
      <c r="E1782" s="630" t="s">
        <v>15</v>
      </c>
      <c r="F1782" s="630"/>
      <c r="G1782" s="655">
        <v>40000</v>
      </c>
      <c r="H1782" s="655">
        <v>554373.09900000005</v>
      </c>
      <c r="I1782" s="655">
        <v>524139.33600000001</v>
      </c>
      <c r="J1782" s="635">
        <f t="shared" si="78"/>
        <v>1118512.4350000001</v>
      </c>
      <c r="K1782" s="635"/>
      <c r="L1782" s="635"/>
      <c r="M1782" s="655">
        <f t="shared" si="79"/>
        <v>1118512.4350000001</v>
      </c>
      <c r="N1782" s="644"/>
      <c r="P1782" s="636"/>
    </row>
    <row r="1783" spans="1:16" s="242" customFormat="1" ht="14.25" customHeight="1">
      <c r="A1783" s="643">
        <v>89</v>
      </c>
      <c r="B1783" s="625" t="e">
        <f>VLOOKUP(D1783,'[1]DS CN MOI UP'!$B$11:$C$447,2,0)</f>
        <v>#N/A</v>
      </c>
      <c r="C1783" s="626" t="s">
        <v>1556</v>
      </c>
      <c r="D1783" s="630" t="s">
        <v>1664</v>
      </c>
      <c r="E1783" s="630" t="s">
        <v>15</v>
      </c>
      <c r="F1783" s="630"/>
      <c r="G1783" s="655">
        <v>40000</v>
      </c>
      <c r="H1783" s="655">
        <v>635040.18900000001</v>
      </c>
      <c r="I1783" s="655">
        <v>524139.33600000001</v>
      </c>
      <c r="J1783" s="635">
        <f t="shared" si="78"/>
        <v>1199179.5249999999</v>
      </c>
      <c r="K1783" s="635"/>
      <c r="L1783" s="635"/>
      <c r="M1783" s="655">
        <f t="shared" si="79"/>
        <v>1199179.5249999999</v>
      </c>
      <c r="N1783" s="644"/>
      <c r="P1783" s="636"/>
    </row>
    <row r="1784" spans="1:16" s="242" customFormat="1" ht="14.25" customHeight="1">
      <c r="A1784" s="643">
        <v>90</v>
      </c>
      <c r="B1784" s="625" t="e">
        <f>VLOOKUP(D1784,'[1]DS CN MOI UP'!$B$11:$C$447,2,0)</f>
        <v>#N/A</v>
      </c>
      <c r="C1784" s="626" t="s">
        <v>1558</v>
      </c>
      <c r="D1784" s="630" t="s">
        <v>1645</v>
      </c>
      <c r="E1784" s="630" t="s">
        <v>15</v>
      </c>
      <c r="F1784" s="630"/>
      <c r="G1784" s="655">
        <v>40000</v>
      </c>
      <c r="H1784" s="655">
        <v>544338.9</v>
      </c>
      <c r="I1784" s="655">
        <v>524139.33600000001</v>
      </c>
      <c r="J1784" s="635">
        <f t="shared" si="78"/>
        <v>1108478.236</v>
      </c>
      <c r="K1784" s="635"/>
      <c r="L1784" s="635"/>
      <c r="M1784" s="655">
        <f t="shared" si="79"/>
        <v>1108478.236</v>
      </c>
      <c r="N1784" s="644"/>
      <c r="P1784" s="636"/>
    </row>
    <row r="1785" spans="1:16" s="242" customFormat="1" ht="14.25" customHeight="1">
      <c r="A1785" s="643">
        <v>91</v>
      </c>
      <c r="B1785" s="625" t="e">
        <f>VLOOKUP(D1785,'[1]DS CN MOI UP'!$B$11:$C$447,2,0)</f>
        <v>#N/A</v>
      </c>
      <c r="C1785" s="626" t="s">
        <v>1560</v>
      </c>
      <c r="D1785" s="630" t="s">
        <v>1665</v>
      </c>
      <c r="E1785" s="630" t="s">
        <v>15</v>
      </c>
      <c r="F1785" s="630"/>
      <c r="G1785" s="655">
        <v>40000</v>
      </c>
      <c r="H1785" s="655">
        <v>574572.66299999994</v>
      </c>
      <c r="I1785" s="655">
        <v>524139.33600000001</v>
      </c>
      <c r="J1785" s="635">
        <f t="shared" si="78"/>
        <v>1138711.9989999998</v>
      </c>
      <c r="K1785" s="635"/>
      <c r="L1785" s="635"/>
      <c r="M1785" s="655">
        <f t="shared" si="79"/>
        <v>1138711.9989999998</v>
      </c>
      <c r="N1785" s="644"/>
      <c r="P1785" s="636"/>
    </row>
    <row r="1786" spans="1:16" s="242" customFormat="1" ht="14.25" customHeight="1">
      <c r="A1786" s="643">
        <v>92</v>
      </c>
      <c r="B1786" s="625" t="e">
        <f>VLOOKUP(D1786,'[1]DS CN MOI UP'!$B$11:$C$447,2,0)</f>
        <v>#N/A</v>
      </c>
      <c r="C1786" s="626" t="s">
        <v>1562</v>
      </c>
      <c r="D1786" s="630" t="s">
        <v>1666</v>
      </c>
      <c r="E1786" s="630" t="s">
        <v>15</v>
      </c>
      <c r="F1786" s="630"/>
      <c r="G1786" s="655">
        <v>40000</v>
      </c>
      <c r="H1786" s="655">
        <v>604806.42599999998</v>
      </c>
      <c r="I1786" s="655">
        <v>524139.33600000001</v>
      </c>
      <c r="J1786" s="635">
        <f t="shared" si="78"/>
        <v>1168945.7620000001</v>
      </c>
      <c r="K1786" s="635"/>
      <c r="L1786" s="635"/>
      <c r="M1786" s="655">
        <f t="shared" si="79"/>
        <v>1168945.7620000001</v>
      </c>
      <c r="N1786" s="644"/>
      <c r="P1786" s="636"/>
    </row>
    <row r="1787" spans="1:16" s="242" customFormat="1" ht="14.25" customHeight="1">
      <c r="A1787" s="643">
        <v>93</v>
      </c>
      <c r="B1787" s="625" t="e">
        <f>VLOOKUP(D1787,'[1]DS CN MOI UP'!$B$11:$C$447,2,0)</f>
        <v>#N/A</v>
      </c>
      <c r="C1787" s="626" t="s">
        <v>1564</v>
      </c>
      <c r="D1787" s="630" t="s">
        <v>1667</v>
      </c>
      <c r="E1787" s="630" t="s">
        <v>15</v>
      </c>
      <c r="F1787" s="630"/>
      <c r="G1787" s="655">
        <v>40000</v>
      </c>
      <c r="H1787" s="655">
        <v>584606.86199999996</v>
      </c>
      <c r="I1787" s="655">
        <v>524139.33600000001</v>
      </c>
      <c r="J1787" s="635">
        <f t="shared" si="78"/>
        <v>1148746.1979999999</v>
      </c>
      <c r="K1787" s="635"/>
      <c r="L1787" s="635"/>
      <c r="M1787" s="655">
        <f t="shared" si="79"/>
        <v>1148746.1979999999</v>
      </c>
      <c r="N1787" s="644"/>
      <c r="P1787" s="636"/>
    </row>
    <row r="1788" spans="1:16" s="242" customFormat="1" ht="14.25" customHeight="1">
      <c r="A1788" s="643">
        <v>94</v>
      </c>
      <c r="B1788" s="625" t="e">
        <f>VLOOKUP(D1788,'[1]DS CN MOI UP'!$B$11:$C$447,2,0)</f>
        <v>#N/A</v>
      </c>
      <c r="C1788" s="626" t="s">
        <v>1566</v>
      </c>
      <c r="D1788" s="630" t="s">
        <v>1668</v>
      </c>
      <c r="E1788" s="630" t="s">
        <v>15</v>
      </c>
      <c r="F1788" s="630"/>
      <c r="G1788" s="655">
        <v>40000</v>
      </c>
      <c r="H1788" s="655">
        <v>635040.18900000001</v>
      </c>
      <c r="I1788" s="655">
        <v>524139.33600000001</v>
      </c>
      <c r="J1788" s="635">
        <f t="shared" si="78"/>
        <v>1199179.5249999999</v>
      </c>
      <c r="K1788" s="635"/>
      <c r="L1788" s="635"/>
      <c r="M1788" s="655">
        <f t="shared" si="79"/>
        <v>1199179.5249999999</v>
      </c>
      <c r="N1788" s="644"/>
      <c r="P1788" s="636"/>
    </row>
    <row r="1789" spans="1:16" s="242" customFormat="1" ht="14.25" customHeight="1">
      <c r="A1789" s="643">
        <v>95</v>
      </c>
      <c r="B1789" s="625" t="e">
        <f>VLOOKUP(D1789,'[1]DS CN MOI UP'!$B$11:$C$447,2,0)</f>
        <v>#N/A</v>
      </c>
      <c r="C1789" s="626" t="s">
        <v>1568</v>
      </c>
      <c r="D1789" s="630" t="s">
        <v>1669</v>
      </c>
      <c r="E1789" s="630" t="s">
        <v>15</v>
      </c>
      <c r="F1789" s="630"/>
      <c r="G1789" s="655">
        <v>40000</v>
      </c>
      <c r="H1789" s="655">
        <v>524139.33600000001</v>
      </c>
      <c r="I1789" s="655">
        <v>524139.33600000001</v>
      </c>
      <c r="J1789" s="635">
        <f t="shared" si="78"/>
        <v>1088278.672</v>
      </c>
      <c r="K1789" s="635"/>
      <c r="L1789" s="635"/>
      <c r="M1789" s="655">
        <f t="shared" si="79"/>
        <v>1088278.672</v>
      </c>
      <c r="N1789" s="644"/>
      <c r="P1789" s="636"/>
    </row>
    <row r="1790" spans="1:16" s="242" customFormat="1" ht="14.25" customHeight="1">
      <c r="A1790" s="643">
        <v>96</v>
      </c>
      <c r="B1790" s="625" t="e">
        <f>VLOOKUP(D1790,'[1]DS CN MOI UP'!$B$11:$C$447,2,0)</f>
        <v>#N/A</v>
      </c>
      <c r="C1790" s="626" t="s">
        <v>1570</v>
      </c>
      <c r="D1790" s="630" t="s">
        <v>1670</v>
      </c>
      <c r="E1790" s="630" t="s">
        <v>15</v>
      </c>
      <c r="F1790" s="630"/>
      <c r="G1790" s="655">
        <v>60000</v>
      </c>
      <c r="H1790" s="635">
        <v>554373.09900000005</v>
      </c>
      <c r="I1790" s="655">
        <v>524139.33600000001</v>
      </c>
      <c r="J1790" s="635">
        <f t="shared" si="78"/>
        <v>1138512.4350000001</v>
      </c>
      <c r="K1790" s="635"/>
      <c r="L1790" s="635"/>
      <c r="M1790" s="655">
        <f t="shared" si="79"/>
        <v>1138512.4350000001</v>
      </c>
      <c r="N1790" s="644"/>
      <c r="P1790" s="636"/>
    </row>
    <row r="1791" spans="1:16" s="242" customFormat="1" ht="14.25" customHeight="1">
      <c r="A1791" s="643">
        <v>97</v>
      </c>
      <c r="B1791" s="625" t="e">
        <f>VLOOKUP(D1791,'[1]DS CN MOI UP'!$B$11:$C$447,2,0)</f>
        <v>#N/A</v>
      </c>
      <c r="C1791" s="626" t="s">
        <v>1572</v>
      </c>
      <c r="D1791" s="630" t="s">
        <v>1671</v>
      </c>
      <c r="E1791" s="630" t="s">
        <v>15</v>
      </c>
      <c r="F1791" s="630"/>
      <c r="G1791" s="655">
        <v>40000</v>
      </c>
      <c r="H1791" s="635">
        <v>554373.09900000005</v>
      </c>
      <c r="I1791" s="655">
        <v>524139.33600000001</v>
      </c>
      <c r="J1791" s="635">
        <f t="shared" si="78"/>
        <v>1118512.4350000001</v>
      </c>
      <c r="K1791" s="635"/>
      <c r="L1791" s="635"/>
      <c r="M1791" s="655">
        <f t="shared" si="79"/>
        <v>1118512.4350000001</v>
      </c>
      <c r="N1791" s="644"/>
      <c r="P1791" s="636"/>
    </row>
    <row r="1792" spans="1:16" s="242" customFormat="1" ht="14.25" customHeight="1">
      <c r="A1792" s="643">
        <v>98</v>
      </c>
      <c r="B1792" s="625" t="str">
        <f>VLOOKUP(D1792,'[1]DS CN MOI UP'!$B$11:$C$447,2,0)</f>
        <v>02485</v>
      </c>
      <c r="C1792" s="626" t="s">
        <v>1574</v>
      </c>
      <c r="D1792" s="630" t="s">
        <v>31</v>
      </c>
      <c r="E1792" s="630" t="s">
        <v>15</v>
      </c>
      <c r="F1792" s="630"/>
      <c r="G1792" s="655">
        <v>40000</v>
      </c>
      <c r="H1792" s="635">
        <v>554373.09900000005</v>
      </c>
      <c r="I1792" s="655">
        <v>524139.33600000001</v>
      </c>
      <c r="J1792" s="635">
        <f t="shared" si="78"/>
        <v>1118512.4350000001</v>
      </c>
      <c r="K1792" s="635"/>
      <c r="L1792" s="635"/>
      <c r="M1792" s="655">
        <f t="shared" si="79"/>
        <v>1118512.4350000001</v>
      </c>
      <c r="N1792" s="644"/>
      <c r="P1792" s="636"/>
    </row>
    <row r="1793" spans="1:16" s="242" customFormat="1" ht="14.25" customHeight="1">
      <c r="A1793" s="643">
        <v>99</v>
      </c>
      <c r="B1793" s="625" t="e">
        <f>VLOOKUP(D1793,'[1]DS CN MOI UP'!$B$11:$C$447,2,0)</f>
        <v>#N/A</v>
      </c>
      <c r="C1793" s="626" t="s">
        <v>1576</v>
      </c>
      <c r="D1793" s="630" t="s">
        <v>1672</v>
      </c>
      <c r="E1793" s="630" t="s">
        <v>15</v>
      </c>
      <c r="F1793" s="630"/>
      <c r="G1793" s="655">
        <v>40000</v>
      </c>
      <c r="H1793" s="635">
        <v>554373.09900000005</v>
      </c>
      <c r="I1793" s="655">
        <v>524139.33600000001</v>
      </c>
      <c r="J1793" s="635">
        <f t="shared" si="78"/>
        <v>1118512.4350000001</v>
      </c>
      <c r="K1793" s="635"/>
      <c r="L1793" s="635"/>
      <c r="M1793" s="655">
        <f t="shared" si="79"/>
        <v>1118512.4350000001</v>
      </c>
      <c r="N1793" s="644"/>
      <c r="P1793" s="636"/>
    </row>
    <row r="1794" spans="1:16" s="242" customFormat="1" ht="14.25" customHeight="1">
      <c r="A1794" s="643">
        <v>100</v>
      </c>
      <c r="B1794" s="625" t="e">
        <f>VLOOKUP(D1794,'[1]DS CN MOI UP'!$B$11:$C$447,2,0)</f>
        <v>#N/A</v>
      </c>
      <c r="C1794" s="626" t="s">
        <v>1578</v>
      </c>
      <c r="D1794" s="630" t="s">
        <v>1673</v>
      </c>
      <c r="E1794" s="630" t="s">
        <v>15</v>
      </c>
      <c r="F1794" s="630"/>
      <c r="G1794" s="655">
        <v>40000</v>
      </c>
      <c r="H1794" s="635">
        <v>635040.18900000001</v>
      </c>
      <c r="I1794" s="655">
        <v>524139.33600000001</v>
      </c>
      <c r="J1794" s="635">
        <f t="shared" si="78"/>
        <v>1199179.5249999999</v>
      </c>
      <c r="K1794" s="635"/>
      <c r="L1794" s="635"/>
      <c r="M1794" s="655">
        <f t="shared" si="79"/>
        <v>1199179.5249999999</v>
      </c>
      <c r="N1794" s="644"/>
      <c r="P1794" s="636"/>
    </row>
    <row r="1795" spans="1:16" s="242" customFormat="1" ht="14.25" customHeight="1">
      <c r="A1795" s="643">
        <v>101</v>
      </c>
      <c r="B1795" s="625" t="e">
        <f>VLOOKUP(D1795,'[1]DS CN MOI UP'!$B$11:$C$447,2,0)</f>
        <v>#N/A</v>
      </c>
      <c r="C1795" s="626" t="s">
        <v>1580</v>
      </c>
      <c r="D1795" s="630" t="s">
        <v>907</v>
      </c>
      <c r="E1795" s="630" t="s">
        <v>15</v>
      </c>
      <c r="F1795" s="630"/>
      <c r="G1795" s="655">
        <v>40000</v>
      </c>
      <c r="H1795" s="635">
        <v>544338.9</v>
      </c>
      <c r="I1795" s="655">
        <v>524139.33600000001</v>
      </c>
      <c r="J1795" s="635">
        <f t="shared" si="78"/>
        <v>1108478.236</v>
      </c>
      <c r="K1795" s="635"/>
      <c r="L1795" s="635"/>
      <c r="M1795" s="655">
        <f t="shared" si="79"/>
        <v>1108478.236</v>
      </c>
      <c r="N1795" s="644"/>
      <c r="P1795" s="636"/>
    </row>
    <row r="1796" spans="1:16" s="242" customFormat="1" ht="14.25" customHeight="1">
      <c r="A1796" s="643">
        <v>102</v>
      </c>
      <c r="B1796" s="625" t="e">
        <f>VLOOKUP(D1796,'[1]DS CN MOI UP'!$B$11:$C$447,2,0)</f>
        <v>#N/A</v>
      </c>
      <c r="C1796" s="626" t="s">
        <v>1582</v>
      </c>
      <c r="D1796" s="630" t="s">
        <v>1674</v>
      </c>
      <c r="E1796" s="630" t="s">
        <v>15</v>
      </c>
      <c r="F1796" s="630"/>
      <c r="G1796" s="655">
        <v>40000</v>
      </c>
      <c r="H1796" s="635">
        <v>574572.66299999994</v>
      </c>
      <c r="I1796" s="655">
        <v>524139.33600000001</v>
      </c>
      <c r="J1796" s="635">
        <f t="shared" si="78"/>
        <v>1138711.9989999998</v>
      </c>
      <c r="K1796" s="635"/>
      <c r="L1796" s="635"/>
      <c r="M1796" s="655">
        <f t="shared" si="79"/>
        <v>1138711.9989999998</v>
      </c>
      <c r="N1796" s="644"/>
      <c r="P1796" s="636"/>
    </row>
    <row r="1797" spans="1:16" s="242" customFormat="1" ht="14.25" customHeight="1">
      <c r="A1797" s="643">
        <v>103</v>
      </c>
      <c r="B1797" s="625" t="str">
        <f>VLOOKUP(D1797,'[1]DS CN MOI UP'!$B$11:$C$447,2,0)</f>
        <v>02458</v>
      </c>
      <c r="C1797" s="626" t="s">
        <v>1584</v>
      </c>
      <c r="D1797" s="630" t="s">
        <v>492</v>
      </c>
      <c r="E1797" s="630" t="s">
        <v>15</v>
      </c>
      <c r="F1797" s="630"/>
      <c r="G1797" s="655">
        <v>40000</v>
      </c>
      <c r="H1797" s="655">
        <v>604806.42599999998</v>
      </c>
      <c r="I1797" s="655">
        <v>524139.33600000001</v>
      </c>
      <c r="J1797" s="635">
        <f t="shared" si="78"/>
        <v>1168945.7620000001</v>
      </c>
      <c r="K1797" s="635"/>
      <c r="L1797" s="635"/>
      <c r="M1797" s="655">
        <f t="shared" si="79"/>
        <v>1168945.7620000001</v>
      </c>
      <c r="N1797" s="644"/>
      <c r="P1797" s="636"/>
    </row>
    <row r="1798" spans="1:16" s="242" customFormat="1" ht="14.25" customHeight="1">
      <c r="A1798" s="643">
        <v>104</v>
      </c>
      <c r="B1798" s="625" t="e">
        <f>VLOOKUP(D1798,'[1]DS CN MOI UP'!$B$11:$C$447,2,0)</f>
        <v>#N/A</v>
      </c>
      <c r="C1798" s="626" t="s">
        <v>1586</v>
      </c>
      <c r="D1798" s="630" t="s">
        <v>307</v>
      </c>
      <c r="E1798" s="630" t="s">
        <v>15</v>
      </c>
      <c r="F1798" s="630"/>
      <c r="G1798" s="655">
        <v>40000</v>
      </c>
      <c r="H1798" s="655">
        <v>584606.86199999996</v>
      </c>
      <c r="I1798" s="655">
        <v>524139.33600000001</v>
      </c>
      <c r="J1798" s="635">
        <f t="shared" si="78"/>
        <v>1148746.1979999999</v>
      </c>
      <c r="K1798" s="635"/>
      <c r="L1798" s="635"/>
      <c r="M1798" s="655">
        <f t="shared" si="79"/>
        <v>1148746.1979999999</v>
      </c>
      <c r="N1798" s="644"/>
      <c r="P1798" s="636"/>
    </row>
    <row r="1799" spans="1:16" s="242" customFormat="1" ht="14.25" customHeight="1">
      <c r="A1799" s="643">
        <v>105</v>
      </c>
      <c r="B1799" s="625" t="e">
        <f>VLOOKUP(D1799,'[1]DS CN MOI UP'!$B$11:$C$447,2,0)</f>
        <v>#N/A</v>
      </c>
      <c r="C1799" s="61" t="s">
        <v>1588</v>
      </c>
      <c r="D1799" s="630" t="s">
        <v>1174</v>
      </c>
      <c r="E1799" s="630" t="s">
        <v>15</v>
      </c>
      <c r="F1799" s="630"/>
      <c r="G1799" s="655">
        <v>40000</v>
      </c>
      <c r="H1799" s="655">
        <v>635040.18900000001</v>
      </c>
      <c r="I1799" s="655">
        <v>524139.33600000001</v>
      </c>
      <c r="J1799" s="635">
        <f t="shared" si="78"/>
        <v>1199179.5249999999</v>
      </c>
      <c r="K1799" s="635"/>
      <c r="L1799" s="635"/>
      <c r="M1799" s="655">
        <f t="shared" si="79"/>
        <v>1199179.5249999999</v>
      </c>
      <c r="N1799" s="644"/>
      <c r="P1799" s="636"/>
    </row>
    <row r="1800" spans="1:16" s="242" customFormat="1" ht="14.25" customHeight="1">
      <c r="A1800" s="643">
        <v>106</v>
      </c>
      <c r="B1800" s="625" t="e">
        <f>VLOOKUP(D1800,'[1]DS CN MOI UP'!$B$11:$C$447,2,0)</f>
        <v>#N/A</v>
      </c>
      <c r="C1800" s="626" t="s">
        <v>1590</v>
      </c>
      <c r="D1800" s="630" t="s">
        <v>1553</v>
      </c>
      <c r="E1800" s="630" t="s">
        <v>15</v>
      </c>
      <c r="F1800" s="630"/>
      <c r="G1800" s="655">
        <v>40000</v>
      </c>
      <c r="H1800" s="655">
        <v>524139.33600000001</v>
      </c>
      <c r="I1800" s="655">
        <v>524139.33600000001</v>
      </c>
      <c r="J1800" s="635">
        <f t="shared" si="78"/>
        <v>1088278.672</v>
      </c>
      <c r="K1800" s="635"/>
      <c r="L1800" s="635"/>
      <c r="M1800" s="655">
        <f t="shared" si="79"/>
        <v>1088278.672</v>
      </c>
      <c r="N1800" s="644"/>
      <c r="P1800" s="636"/>
    </row>
    <row r="1801" spans="1:16" s="242" customFormat="1" ht="14.25" customHeight="1">
      <c r="A1801" s="643">
        <v>107</v>
      </c>
      <c r="B1801" s="625" t="str">
        <f>VLOOKUP(D1801,'[1]DS CN MOI UP'!$B$11:$C$447,2,0)</f>
        <v>03859</v>
      </c>
      <c r="C1801" s="626" t="s">
        <v>1592</v>
      </c>
      <c r="D1801" s="630" t="s">
        <v>331</v>
      </c>
      <c r="E1801" s="630" t="s">
        <v>15</v>
      </c>
      <c r="F1801" s="630"/>
      <c r="G1801" s="655">
        <v>40000</v>
      </c>
      <c r="H1801" s="655">
        <v>635040.18900000001</v>
      </c>
      <c r="I1801" s="655">
        <v>524139.33600000001</v>
      </c>
      <c r="J1801" s="635">
        <f t="shared" si="78"/>
        <v>1199179.5249999999</v>
      </c>
      <c r="K1801" s="635"/>
      <c r="L1801" s="635"/>
      <c r="M1801" s="655">
        <f t="shared" si="79"/>
        <v>1199179.5249999999</v>
      </c>
      <c r="N1801" s="644"/>
      <c r="P1801" s="636"/>
    </row>
    <row r="1802" spans="1:16" s="242" customFormat="1" ht="14.25" customHeight="1">
      <c r="A1802" s="643">
        <v>108</v>
      </c>
      <c r="B1802" s="625" t="e">
        <f>VLOOKUP(D1802,'[1]DS CN MOI UP'!$B$11:$C$447,2,0)</f>
        <v>#N/A</v>
      </c>
      <c r="C1802" s="626" t="s">
        <v>1594</v>
      </c>
      <c r="D1802" s="630" t="s">
        <v>1675</v>
      </c>
      <c r="E1802" s="630" t="s">
        <v>15</v>
      </c>
      <c r="F1802" s="630"/>
      <c r="G1802" s="655">
        <v>40000</v>
      </c>
      <c r="H1802" s="655">
        <v>635040.18900000001</v>
      </c>
      <c r="I1802" s="655">
        <v>524139.33600000001</v>
      </c>
      <c r="J1802" s="635">
        <f t="shared" si="78"/>
        <v>1199179.5249999999</v>
      </c>
      <c r="K1802" s="635"/>
      <c r="L1802" s="635"/>
      <c r="M1802" s="655">
        <f t="shared" si="79"/>
        <v>1199179.5249999999</v>
      </c>
      <c r="N1802" s="644"/>
      <c r="P1802" s="636"/>
    </row>
    <row r="1803" spans="1:16" s="242" customFormat="1" ht="14.25" customHeight="1">
      <c r="A1803" s="643">
        <v>109</v>
      </c>
      <c r="B1803" s="625" t="e">
        <f>VLOOKUP(D1803,'[1]DS CN MOI UP'!$B$11:$C$447,2,0)</f>
        <v>#N/A</v>
      </c>
      <c r="C1803" s="626" t="s">
        <v>1595</v>
      </c>
      <c r="D1803" s="630" t="s">
        <v>1676</v>
      </c>
      <c r="E1803" s="630" t="s">
        <v>15</v>
      </c>
      <c r="F1803" s="630"/>
      <c r="G1803" s="655">
        <v>40000</v>
      </c>
      <c r="H1803" s="655">
        <v>554373.09900000005</v>
      </c>
      <c r="I1803" s="655">
        <v>524139.33600000001</v>
      </c>
      <c r="J1803" s="635">
        <f t="shared" si="78"/>
        <v>1118512.4350000001</v>
      </c>
      <c r="K1803" s="635"/>
      <c r="L1803" s="635"/>
      <c r="M1803" s="655">
        <f t="shared" si="79"/>
        <v>1118512.4350000001</v>
      </c>
      <c r="N1803" s="644"/>
      <c r="P1803" s="636"/>
    </row>
    <row r="1804" spans="1:16" s="242" customFormat="1" ht="14.25" customHeight="1">
      <c r="A1804" s="643">
        <v>110</v>
      </c>
      <c r="B1804" s="625" t="e">
        <f>VLOOKUP(D1804,'[1]DS CN MOI UP'!$B$11:$C$447,2,0)</f>
        <v>#N/A</v>
      </c>
      <c r="C1804" s="626" t="s">
        <v>1597</v>
      </c>
      <c r="D1804" s="630" t="s">
        <v>1677</v>
      </c>
      <c r="E1804" s="630" t="s">
        <v>15</v>
      </c>
      <c r="F1804" s="630"/>
      <c r="G1804" s="655">
        <v>60000</v>
      </c>
      <c r="H1804" s="655">
        <v>554373.09900000005</v>
      </c>
      <c r="I1804" s="655">
        <v>524139.33600000001</v>
      </c>
      <c r="J1804" s="635">
        <f t="shared" si="78"/>
        <v>1138512.4350000001</v>
      </c>
      <c r="K1804" s="635"/>
      <c r="L1804" s="635"/>
      <c r="M1804" s="655">
        <f t="shared" si="79"/>
        <v>1138512.4350000001</v>
      </c>
      <c r="N1804" s="644"/>
      <c r="P1804" s="636"/>
    </row>
    <row r="1805" spans="1:16" s="242" customFormat="1" ht="14.25" customHeight="1">
      <c r="A1805" s="643">
        <v>111</v>
      </c>
      <c r="B1805" s="625" t="str">
        <f>VLOOKUP(D1805,'[1]DS CN MOI UP'!$B$11:$C$447,2,0)</f>
        <v>02599</v>
      </c>
      <c r="C1805" s="626" t="s">
        <v>1599</v>
      </c>
      <c r="D1805" s="630" t="s">
        <v>224</v>
      </c>
      <c r="E1805" s="630" t="s">
        <v>15</v>
      </c>
      <c r="F1805" s="630"/>
      <c r="G1805" s="655">
        <v>40000</v>
      </c>
      <c r="H1805" s="655">
        <v>554373.09900000005</v>
      </c>
      <c r="I1805" s="655">
        <v>524139.33600000001</v>
      </c>
      <c r="J1805" s="635">
        <f t="shared" si="78"/>
        <v>1118512.4350000001</v>
      </c>
      <c r="K1805" s="635"/>
      <c r="L1805" s="635"/>
      <c r="M1805" s="655">
        <f t="shared" si="79"/>
        <v>1118512.4350000001</v>
      </c>
      <c r="N1805" s="644"/>
      <c r="P1805" s="636"/>
    </row>
    <row r="1806" spans="1:16" s="242" customFormat="1" ht="14.25" customHeight="1">
      <c r="A1806" s="643">
        <v>112</v>
      </c>
      <c r="B1806" s="625" t="e">
        <f>VLOOKUP(D1806,'[1]DS CN MOI UP'!$B$11:$C$447,2,0)</f>
        <v>#N/A</v>
      </c>
      <c r="C1806" s="626" t="s">
        <v>1601</v>
      </c>
      <c r="D1806" s="630" t="s">
        <v>1678</v>
      </c>
      <c r="E1806" s="630" t="s">
        <v>15</v>
      </c>
      <c r="F1806" s="630"/>
      <c r="G1806" s="655">
        <v>40000</v>
      </c>
      <c r="H1806" s="655">
        <v>554373.09900000005</v>
      </c>
      <c r="I1806" s="655">
        <v>524139.33600000001</v>
      </c>
      <c r="J1806" s="635">
        <f t="shared" si="78"/>
        <v>1118512.4350000001</v>
      </c>
      <c r="K1806" s="635"/>
      <c r="L1806" s="635"/>
      <c r="M1806" s="655">
        <f t="shared" si="79"/>
        <v>1118512.4350000001</v>
      </c>
      <c r="N1806" s="644"/>
      <c r="P1806" s="636"/>
    </row>
    <row r="1807" spans="1:16" s="242" customFormat="1" ht="14.25" customHeight="1">
      <c r="A1807" s="643">
        <v>113</v>
      </c>
      <c r="B1807" s="625" t="e">
        <f>VLOOKUP(D1807,'[1]DS CN MOI UP'!$B$11:$C$447,2,0)</f>
        <v>#N/A</v>
      </c>
      <c r="C1807" s="626" t="s">
        <v>1603</v>
      </c>
      <c r="D1807" s="630" t="s">
        <v>1679</v>
      </c>
      <c r="E1807" s="630" t="s">
        <v>15</v>
      </c>
      <c r="F1807" s="630"/>
      <c r="G1807" s="655">
        <v>40000</v>
      </c>
      <c r="H1807" s="655">
        <v>554373.09900000005</v>
      </c>
      <c r="I1807" s="655">
        <v>524139.33600000001</v>
      </c>
      <c r="J1807" s="635">
        <f t="shared" si="78"/>
        <v>1118512.4350000001</v>
      </c>
      <c r="K1807" s="635"/>
      <c r="L1807" s="635"/>
      <c r="M1807" s="655">
        <f t="shared" si="79"/>
        <v>1118512.4350000001</v>
      </c>
      <c r="N1807" s="644"/>
      <c r="P1807" s="636"/>
    </row>
    <row r="1808" spans="1:16" s="242" customFormat="1" ht="14.25" customHeight="1">
      <c r="A1808" s="643">
        <v>114</v>
      </c>
      <c r="B1808" s="625" t="e">
        <f>VLOOKUP(D1808,'[1]DS CN MOI UP'!$B$11:$C$447,2,0)</f>
        <v>#N/A</v>
      </c>
      <c r="C1808" s="626" t="s">
        <v>1605</v>
      </c>
      <c r="D1808" s="630" t="s">
        <v>1680</v>
      </c>
      <c r="E1808" s="630" t="s">
        <v>15</v>
      </c>
      <c r="F1808" s="630"/>
      <c r="G1808" s="655">
        <v>40000</v>
      </c>
      <c r="H1808" s="655">
        <v>635040.18900000001</v>
      </c>
      <c r="I1808" s="655">
        <v>524139.33600000001</v>
      </c>
      <c r="J1808" s="635">
        <f t="shared" si="78"/>
        <v>1199179.5249999999</v>
      </c>
      <c r="K1808" s="635"/>
      <c r="L1808" s="635"/>
      <c r="M1808" s="655">
        <f t="shared" si="79"/>
        <v>1199179.5249999999</v>
      </c>
      <c r="N1808" s="644"/>
      <c r="P1808" s="636"/>
    </row>
    <row r="1809" spans="1:16" s="242" customFormat="1" ht="14.25" customHeight="1">
      <c r="A1809" s="643">
        <v>115</v>
      </c>
      <c r="B1809" s="625" t="e">
        <f>VLOOKUP(D1809,'[1]DS CN MOI UP'!$B$11:$C$447,2,0)</f>
        <v>#N/A</v>
      </c>
      <c r="C1809" s="626" t="s">
        <v>1607</v>
      </c>
      <c r="D1809" s="630" t="s">
        <v>1681</v>
      </c>
      <c r="E1809" s="630" t="s">
        <v>15</v>
      </c>
      <c r="F1809" s="630"/>
      <c r="G1809" s="655">
        <v>40000</v>
      </c>
      <c r="H1809" s="655">
        <v>544338.9</v>
      </c>
      <c r="I1809" s="655">
        <v>524139.33600000001</v>
      </c>
      <c r="J1809" s="635">
        <f t="shared" si="78"/>
        <v>1108478.236</v>
      </c>
      <c r="K1809" s="635"/>
      <c r="L1809" s="635"/>
      <c r="M1809" s="655">
        <f t="shared" si="79"/>
        <v>1108478.236</v>
      </c>
      <c r="N1809" s="644"/>
      <c r="P1809" s="636"/>
    </row>
    <row r="1810" spans="1:16" s="242" customFormat="1" ht="14.25" customHeight="1">
      <c r="A1810" s="643">
        <v>116</v>
      </c>
      <c r="B1810" s="625" t="e">
        <f>VLOOKUP(D1810,'[1]DS CN MOI UP'!$B$11:$C$447,2,0)</f>
        <v>#N/A</v>
      </c>
      <c r="C1810" s="626" t="s">
        <v>1609</v>
      </c>
      <c r="D1810" s="630" t="s">
        <v>1682</v>
      </c>
      <c r="E1810" s="630" t="s">
        <v>15</v>
      </c>
      <c r="F1810" s="630"/>
      <c r="G1810" s="655">
        <v>40000</v>
      </c>
      <c r="H1810" s="655">
        <v>574572.66299999994</v>
      </c>
      <c r="I1810" s="655">
        <v>524139.33600000001</v>
      </c>
      <c r="J1810" s="635">
        <f t="shared" si="78"/>
        <v>1138711.9989999998</v>
      </c>
      <c r="K1810" s="635"/>
      <c r="L1810" s="635"/>
      <c r="M1810" s="655">
        <f t="shared" si="79"/>
        <v>1138711.9989999998</v>
      </c>
      <c r="N1810" s="644"/>
      <c r="P1810" s="636"/>
    </row>
    <row r="1811" spans="1:16" s="242" customFormat="1" ht="14.25" customHeight="1">
      <c r="A1811" s="643">
        <v>117</v>
      </c>
      <c r="B1811" s="625" t="e">
        <f>VLOOKUP(D1811,'[1]DS CN MOI UP'!$B$11:$C$447,2,0)</f>
        <v>#N/A</v>
      </c>
      <c r="C1811" s="626" t="s">
        <v>1611</v>
      </c>
      <c r="D1811" s="630" t="s">
        <v>1683</v>
      </c>
      <c r="E1811" s="630" t="s">
        <v>15</v>
      </c>
      <c r="F1811" s="630"/>
      <c r="G1811" s="655">
        <v>40000</v>
      </c>
      <c r="H1811" s="655">
        <v>604806.42599999998</v>
      </c>
      <c r="I1811" s="655">
        <v>524139.33600000001</v>
      </c>
      <c r="J1811" s="635">
        <f t="shared" si="78"/>
        <v>1168945.7620000001</v>
      </c>
      <c r="K1811" s="635"/>
      <c r="L1811" s="635"/>
      <c r="M1811" s="655">
        <f t="shared" si="79"/>
        <v>1168945.7620000001</v>
      </c>
      <c r="N1811" s="644"/>
      <c r="P1811" s="636"/>
    </row>
    <row r="1812" spans="1:16" s="242" customFormat="1" ht="14.25" customHeight="1">
      <c r="A1812" s="643">
        <v>118</v>
      </c>
      <c r="B1812" s="625" t="e">
        <f>VLOOKUP(D1812,'[1]DS CN MOI UP'!$B$11:$C$447,2,0)</f>
        <v>#N/A</v>
      </c>
      <c r="C1812" s="626" t="s">
        <v>1612</v>
      </c>
      <c r="D1812" s="630" t="s">
        <v>1684</v>
      </c>
      <c r="E1812" s="630" t="s">
        <v>15</v>
      </c>
      <c r="F1812" s="630"/>
      <c r="G1812" s="655">
        <v>40000</v>
      </c>
      <c r="H1812" s="655">
        <v>584606.86199999996</v>
      </c>
      <c r="I1812" s="655">
        <v>524139.33600000001</v>
      </c>
      <c r="J1812" s="635">
        <f t="shared" si="78"/>
        <v>1148746.1979999999</v>
      </c>
      <c r="K1812" s="635"/>
      <c r="L1812" s="635"/>
      <c r="M1812" s="655">
        <f t="shared" si="79"/>
        <v>1148746.1979999999</v>
      </c>
      <c r="N1812" s="644"/>
      <c r="P1812" s="636"/>
    </row>
    <row r="1813" spans="1:16" s="242" customFormat="1" ht="14.25" customHeight="1">
      <c r="A1813" s="643">
        <v>119</v>
      </c>
      <c r="B1813" s="625" t="e">
        <f>VLOOKUP(D1813,'[1]DS CN MOI UP'!$B$11:$C$447,2,0)</f>
        <v>#N/A</v>
      </c>
      <c r="C1813" s="626" t="s">
        <v>1614</v>
      </c>
      <c r="D1813" s="630" t="s">
        <v>1685</v>
      </c>
      <c r="E1813" s="630" t="s">
        <v>15</v>
      </c>
      <c r="F1813" s="630"/>
      <c r="G1813" s="655">
        <v>40000</v>
      </c>
      <c r="H1813" s="655">
        <v>635040.18900000001</v>
      </c>
      <c r="I1813" s="655">
        <v>524139.33600000001</v>
      </c>
      <c r="J1813" s="635">
        <f t="shared" si="78"/>
        <v>1199179.5249999999</v>
      </c>
      <c r="K1813" s="635"/>
      <c r="L1813" s="635"/>
      <c r="M1813" s="655">
        <f t="shared" si="79"/>
        <v>1199179.5249999999</v>
      </c>
      <c r="N1813" s="644"/>
      <c r="P1813" s="636"/>
    </row>
    <row r="1814" spans="1:16" s="242" customFormat="1" ht="14.25" customHeight="1">
      <c r="A1814" s="643">
        <v>120</v>
      </c>
      <c r="B1814" s="625" t="e">
        <f>VLOOKUP(D1814,'[1]DS CN MOI UP'!$B$11:$C$447,2,0)</f>
        <v>#N/A</v>
      </c>
      <c r="C1814" s="626" t="s">
        <v>1616</v>
      </c>
      <c r="D1814" s="630" t="s">
        <v>1686</v>
      </c>
      <c r="E1814" s="630" t="s">
        <v>15</v>
      </c>
      <c r="F1814" s="630"/>
      <c r="G1814" s="655">
        <v>40000</v>
      </c>
      <c r="H1814" s="655">
        <v>524139.33600000001</v>
      </c>
      <c r="I1814" s="655">
        <v>524139.33600000001</v>
      </c>
      <c r="J1814" s="635">
        <f t="shared" si="78"/>
        <v>1088278.672</v>
      </c>
      <c r="K1814" s="635"/>
      <c r="L1814" s="635"/>
      <c r="M1814" s="655">
        <f t="shared" si="79"/>
        <v>1088278.672</v>
      </c>
      <c r="N1814" s="644"/>
      <c r="P1814" s="636"/>
    </row>
    <row r="1815" spans="1:16" s="242" customFormat="1" ht="14.25" customHeight="1">
      <c r="A1815" s="643">
        <v>121</v>
      </c>
      <c r="B1815" s="625" t="e">
        <f>VLOOKUP(D1815,'[1]DS CN MOI UP'!$B$11:$C$447,2,0)</f>
        <v>#N/A</v>
      </c>
      <c r="C1815" s="626" t="s">
        <v>1618</v>
      </c>
      <c r="D1815" s="630" t="s">
        <v>1687</v>
      </c>
      <c r="E1815" s="630" t="s">
        <v>15</v>
      </c>
      <c r="F1815" s="630"/>
      <c r="G1815" s="655">
        <v>40000</v>
      </c>
      <c r="H1815" s="655">
        <v>635040.18900000001</v>
      </c>
      <c r="I1815" s="655">
        <v>524139.33600000001</v>
      </c>
      <c r="J1815" s="635">
        <f t="shared" si="78"/>
        <v>1199179.5249999999</v>
      </c>
      <c r="K1815" s="635"/>
      <c r="L1815" s="635"/>
      <c r="M1815" s="655">
        <f t="shared" si="79"/>
        <v>1199179.5249999999</v>
      </c>
      <c r="N1815" s="644"/>
      <c r="P1815" s="636"/>
    </row>
    <row r="1816" spans="1:16" s="242" customFormat="1" ht="14.25" customHeight="1">
      <c r="A1816" s="643">
        <v>122</v>
      </c>
      <c r="B1816" s="625" t="e">
        <f>VLOOKUP(D1816,'[1]DS CN MOI UP'!$B$11:$C$447,2,0)</f>
        <v>#N/A</v>
      </c>
      <c r="C1816" s="626" t="s">
        <v>1620</v>
      </c>
      <c r="D1816" s="630" t="s">
        <v>1688</v>
      </c>
      <c r="E1816" s="630" t="s">
        <v>15</v>
      </c>
      <c r="F1816" s="630"/>
      <c r="G1816" s="655">
        <v>40000</v>
      </c>
      <c r="H1816" s="655">
        <v>635040.18900000001</v>
      </c>
      <c r="I1816" s="655">
        <v>524139.33600000001</v>
      </c>
      <c r="J1816" s="635">
        <f t="shared" si="78"/>
        <v>1199179.5249999999</v>
      </c>
      <c r="K1816" s="635"/>
      <c r="L1816" s="635"/>
      <c r="M1816" s="655">
        <f t="shared" si="79"/>
        <v>1199179.5249999999</v>
      </c>
      <c r="N1816" s="644"/>
      <c r="P1816" s="636"/>
    </row>
    <row r="1817" spans="1:16" s="242" customFormat="1" ht="14.25" customHeight="1">
      <c r="A1817" s="643">
        <v>123</v>
      </c>
      <c r="B1817" s="625" t="e">
        <f>VLOOKUP(D1817,'[1]DS CN MOI UP'!$B$11:$C$447,2,0)</f>
        <v>#N/A</v>
      </c>
      <c r="C1817" s="626" t="s">
        <v>1622</v>
      </c>
      <c r="D1817" s="630" t="s">
        <v>1689</v>
      </c>
      <c r="E1817" s="630" t="s">
        <v>15</v>
      </c>
      <c r="F1817" s="630"/>
      <c r="G1817" s="655">
        <v>40000</v>
      </c>
      <c r="H1817" s="655">
        <v>554373.09900000005</v>
      </c>
      <c r="I1817" s="655">
        <v>524139.33600000001</v>
      </c>
      <c r="J1817" s="635">
        <f t="shared" si="78"/>
        <v>1118512.4350000001</v>
      </c>
      <c r="K1817" s="635"/>
      <c r="L1817" s="635"/>
      <c r="M1817" s="655">
        <f t="shared" si="79"/>
        <v>1118512.4350000001</v>
      </c>
      <c r="N1817" s="644"/>
      <c r="P1817" s="636"/>
    </row>
    <row r="1818" spans="1:16" s="242" customFormat="1" ht="14.25" customHeight="1">
      <c r="A1818" s="643">
        <v>124</v>
      </c>
      <c r="B1818" s="625" t="e">
        <f>VLOOKUP(D1818,'[1]DS CN MOI UP'!$B$11:$C$447,2,0)</f>
        <v>#N/A</v>
      </c>
      <c r="C1818" s="626" t="s">
        <v>1624</v>
      </c>
      <c r="D1818" s="630" t="s">
        <v>330</v>
      </c>
      <c r="E1818" s="630" t="s">
        <v>15</v>
      </c>
      <c r="F1818" s="630"/>
      <c r="G1818" s="655">
        <v>60000</v>
      </c>
      <c r="H1818" s="655">
        <v>554373.09900000005</v>
      </c>
      <c r="I1818" s="655">
        <v>524139.33600000001</v>
      </c>
      <c r="J1818" s="635">
        <f t="shared" si="78"/>
        <v>1138512.4350000001</v>
      </c>
      <c r="K1818" s="635"/>
      <c r="L1818" s="635"/>
      <c r="M1818" s="655">
        <f t="shared" si="79"/>
        <v>1138512.4350000001</v>
      </c>
      <c r="N1818" s="644"/>
      <c r="P1818" s="636"/>
    </row>
    <row r="1819" spans="1:16" s="618" customFormat="1" ht="14.25" customHeight="1">
      <c r="A1819" s="643">
        <v>125</v>
      </c>
      <c r="B1819" s="625" t="e">
        <f>VLOOKUP(D1819,'[1]DS CN MOI UP'!$B$11:$C$447,2,0)</f>
        <v>#N/A</v>
      </c>
      <c r="C1819" s="626" t="s">
        <v>1625</v>
      </c>
      <c r="D1819" s="630" t="s">
        <v>1690</v>
      </c>
      <c r="E1819" s="630" t="s">
        <v>15</v>
      </c>
      <c r="F1819" s="630"/>
      <c r="G1819" s="655">
        <v>40000</v>
      </c>
      <c r="H1819" s="655">
        <v>554373.09900000005</v>
      </c>
      <c r="I1819" s="655">
        <v>524139.33600000001</v>
      </c>
      <c r="J1819" s="635">
        <f t="shared" si="78"/>
        <v>1118512.4350000001</v>
      </c>
      <c r="K1819" s="635"/>
      <c r="L1819" s="635"/>
      <c r="M1819" s="655">
        <f t="shared" si="79"/>
        <v>1118512.4350000001</v>
      </c>
      <c r="N1819" s="644"/>
      <c r="O1819" s="645">
        <v>-340439.97600013</v>
      </c>
      <c r="P1819" s="636"/>
    </row>
    <row r="1820" spans="1:16" s="618" customFormat="1" ht="14.25" customHeight="1">
      <c r="A1820" s="643">
        <v>126</v>
      </c>
      <c r="B1820" s="625" t="e">
        <f>VLOOKUP(D1820,'[1]DS CN MOI UP'!$B$11:$C$447,2,0)</f>
        <v>#N/A</v>
      </c>
      <c r="C1820" s="626" t="s">
        <v>1627</v>
      </c>
      <c r="D1820" s="630" t="s">
        <v>1691</v>
      </c>
      <c r="E1820" s="630" t="s">
        <v>15</v>
      </c>
      <c r="F1820" s="630"/>
      <c r="G1820" s="655">
        <v>40000</v>
      </c>
      <c r="H1820" s="655">
        <v>554373.09900000005</v>
      </c>
      <c r="I1820" s="655">
        <f>524139.336+O1819</f>
        <v>183699.35999987001</v>
      </c>
      <c r="J1820" s="635">
        <f t="shared" si="78"/>
        <v>778072.45899987011</v>
      </c>
      <c r="K1820" s="635"/>
      <c r="L1820" s="635"/>
      <c r="M1820" s="655">
        <f t="shared" si="79"/>
        <v>778072.45899987011</v>
      </c>
      <c r="N1820" s="644"/>
      <c r="O1820" s="645"/>
      <c r="P1820" s="636"/>
    </row>
    <row r="1821" spans="1:16" s="618" customFormat="1" ht="14.25" customHeight="1">
      <c r="A1821" s="643">
        <v>127</v>
      </c>
      <c r="B1821" s="625" t="e">
        <f>VLOOKUP(D1821,'[1]DS CN MOI UP'!$B$11:$C$447,2,0)</f>
        <v>#N/A</v>
      </c>
      <c r="C1821" s="626" t="s">
        <v>1628</v>
      </c>
      <c r="D1821" s="630" t="s">
        <v>1692</v>
      </c>
      <c r="E1821" s="630" t="s">
        <v>15</v>
      </c>
      <c r="F1821" s="630"/>
      <c r="G1821" s="655">
        <v>40000</v>
      </c>
      <c r="H1821" s="655">
        <v>554373.09900000005</v>
      </c>
      <c r="I1821" s="655"/>
      <c r="J1821" s="635">
        <f t="shared" si="78"/>
        <v>594373.09900000005</v>
      </c>
      <c r="K1821" s="635"/>
      <c r="L1821" s="635"/>
      <c r="M1821" s="655">
        <f t="shared" si="79"/>
        <v>594373.09900000005</v>
      </c>
      <c r="N1821" s="644"/>
      <c r="O1821" s="645"/>
      <c r="P1821" s="636"/>
    </row>
    <row r="1822" spans="1:16" s="618" customFormat="1" ht="14.25" customHeight="1">
      <c r="A1822" s="643">
        <v>128</v>
      </c>
      <c r="B1822" s="625" t="e">
        <f>VLOOKUP(D1822,'[1]DS CN MOI UP'!$B$11:$C$447,2,0)</f>
        <v>#N/A</v>
      </c>
      <c r="C1822" s="626" t="s">
        <v>1628</v>
      </c>
      <c r="D1822" s="630" t="s">
        <v>1693</v>
      </c>
      <c r="E1822" s="630" t="s">
        <v>15</v>
      </c>
      <c r="F1822" s="630"/>
      <c r="G1822" s="655">
        <v>524139.33600000001</v>
      </c>
      <c r="H1822" s="655">
        <v>635040.18900000001</v>
      </c>
      <c r="I1822" s="655"/>
      <c r="J1822" s="635">
        <f t="shared" si="78"/>
        <v>1159179.5249999999</v>
      </c>
      <c r="K1822" s="635"/>
      <c r="L1822" s="635"/>
      <c r="M1822" s="655">
        <f t="shared" si="79"/>
        <v>1159179.5249999999</v>
      </c>
      <c r="N1822" s="644"/>
      <c r="O1822" s="645"/>
      <c r="P1822" s="636"/>
    </row>
    <row r="1823" spans="1:16" s="618" customFormat="1" ht="14.25" customHeight="1">
      <c r="A1823" s="643">
        <v>129</v>
      </c>
      <c r="B1823" s="625" t="e">
        <f>VLOOKUP(D1823,'[1]DS CN MOI UP'!$B$11:$C$447,2,0)</f>
        <v>#N/A</v>
      </c>
      <c r="C1823" s="626" t="s">
        <v>1628</v>
      </c>
      <c r="D1823" s="630" t="s">
        <v>1694</v>
      </c>
      <c r="E1823" s="630" t="s">
        <v>15</v>
      </c>
      <c r="F1823" s="630"/>
      <c r="G1823" s="655">
        <v>524139.33600000001</v>
      </c>
      <c r="H1823" s="655">
        <v>544338.9</v>
      </c>
      <c r="I1823" s="655"/>
      <c r="J1823" s="635">
        <f t="shared" si="78"/>
        <v>1068478.236</v>
      </c>
      <c r="K1823" s="635"/>
      <c r="L1823" s="635"/>
      <c r="M1823" s="655">
        <f t="shared" si="79"/>
        <v>1068478.236</v>
      </c>
      <c r="N1823" s="644"/>
      <c r="O1823" s="645"/>
      <c r="P1823" s="636"/>
    </row>
    <row r="1824" spans="1:16" s="618" customFormat="1" ht="14.25" customHeight="1">
      <c r="A1824" s="643">
        <v>130</v>
      </c>
      <c r="B1824" s="625" t="e">
        <f>VLOOKUP(D1824,'[1]DS CN MOI UP'!$B$11:$C$447,2,0)</f>
        <v>#N/A</v>
      </c>
      <c r="C1824" s="626" t="s">
        <v>1628</v>
      </c>
      <c r="D1824" s="630" t="s">
        <v>1695</v>
      </c>
      <c r="E1824" s="630" t="s">
        <v>15</v>
      </c>
      <c r="F1824" s="630"/>
      <c r="G1824" s="655">
        <v>524139.33600000001</v>
      </c>
      <c r="H1824" s="655">
        <v>574572.66299999994</v>
      </c>
      <c r="I1824" s="655"/>
      <c r="J1824" s="635">
        <f t="shared" si="78"/>
        <v>1098711.9989999998</v>
      </c>
      <c r="K1824" s="635"/>
      <c r="L1824" s="635"/>
      <c r="M1824" s="655">
        <f t="shared" si="79"/>
        <v>1098711.9989999998</v>
      </c>
      <c r="N1824" s="644"/>
      <c r="O1824" s="645"/>
      <c r="P1824" s="636"/>
    </row>
    <row r="1825" spans="1:16" s="618" customFormat="1" ht="14.25" customHeight="1">
      <c r="A1825" s="643">
        <v>131</v>
      </c>
      <c r="B1825" s="625" t="e">
        <f>VLOOKUP(D1825,'[1]DS CN MOI UP'!$B$11:$C$447,2,0)</f>
        <v>#N/A</v>
      </c>
      <c r="C1825" s="626" t="s">
        <v>1628</v>
      </c>
      <c r="D1825" s="630" t="s">
        <v>1696</v>
      </c>
      <c r="E1825" s="630" t="s">
        <v>15</v>
      </c>
      <c r="F1825" s="630"/>
      <c r="G1825" s="655">
        <v>524139.33600000001</v>
      </c>
      <c r="H1825" s="655">
        <v>604806.42599999998</v>
      </c>
      <c r="I1825" s="655"/>
      <c r="J1825" s="635">
        <f t="shared" si="78"/>
        <v>1128945.7620000001</v>
      </c>
      <c r="K1825" s="635"/>
      <c r="L1825" s="635"/>
      <c r="M1825" s="655">
        <f t="shared" si="79"/>
        <v>1128945.7620000001</v>
      </c>
      <c r="N1825" s="644"/>
      <c r="O1825" s="645"/>
      <c r="P1825" s="636"/>
    </row>
    <row r="1826" spans="1:16" s="618" customFormat="1" ht="14.25" customHeight="1">
      <c r="A1826" s="643">
        <v>132</v>
      </c>
      <c r="B1826" s="625" t="e">
        <f>VLOOKUP(D1826,'[1]DS CN MOI UP'!$B$11:$C$447,2,0)</f>
        <v>#N/A</v>
      </c>
      <c r="C1826" s="626" t="s">
        <v>1628</v>
      </c>
      <c r="D1826" s="630" t="s">
        <v>1697</v>
      </c>
      <c r="E1826" s="630" t="s">
        <v>15</v>
      </c>
      <c r="F1826" s="630"/>
      <c r="G1826" s="655">
        <v>524139.33600000001</v>
      </c>
      <c r="H1826" s="655">
        <v>584606.86199999996</v>
      </c>
      <c r="I1826" s="655"/>
      <c r="J1826" s="635">
        <f t="shared" si="78"/>
        <v>1108746.1979999999</v>
      </c>
      <c r="K1826" s="635"/>
      <c r="L1826" s="635"/>
      <c r="M1826" s="655">
        <f t="shared" si="79"/>
        <v>1108746.1979999999</v>
      </c>
      <c r="N1826" s="644"/>
      <c r="O1826" s="645"/>
      <c r="P1826" s="636"/>
    </row>
    <row r="1827" spans="1:16" s="618" customFormat="1" ht="14.25" customHeight="1">
      <c r="A1827" s="643">
        <v>133</v>
      </c>
      <c r="B1827" s="625" t="e">
        <f>VLOOKUP(D1827,'[1]DS CN MOI UP'!$B$11:$C$447,2,0)</f>
        <v>#N/A</v>
      </c>
      <c r="C1827" s="626" t="s">
        <v>1628</v>
      </c>
      <c r="D1827" s="630" t="s">
        <v>1698</v>
      </c>
      <c r="E1827" s="630" t="s">
        <v>15</v>
      </c>
      <c r="F1827" s="630"/>
      <c r="G1827" s="655">
        <v>524139.33600000001</v>
      </c>
      <c r="H1827" s="655">
        <v>635040.18900000001</v>
      </c>
      <c r="I1827" s="655"/>
      <c r="J1827" s="635">
        <f t="shared" si="78"/>
        <v>1159179.5249999999</v>
      </c>
      <c r="K1827" s="635"/>
      <c r="L1827" s="635"/>
      <c r="M1827" s="655">
        <f t="shared" si="79"/>
        <v>1159179.5249999999</v>
      </c>
      <c r="N1827" s="644"/>
      <c r="O1827" s="645"/>
      <c r="P1827" s="636"/>
    </row>
    <row r="1828" spans="1:16" s="618" customFormat="1" ht="14.25" customHeight="1">
      <c r="A1828" s="643">
        <v>134</v>
      </c>
      <c r="B1828" s="625" t="e">
        <f>VLOOKUP(D1828,'[1]DS CN MOI UP'!$B$11:$C$447,2,0)</f>
        <v>#N/A</v>
      </c>
      <c r="C1828" s="626" t="s">
        <v>1628</v>
      </c>
      <c r="D1828" s="630" t="s">
        <v>1699</v>
      </c>
      <c r="E1828" s="630" t="s">
        <v>15</v>
      </c>
      <c r="F1828" s="630"/>
      <c r="G1828" s="655">
        <v>524139.33600000001</v>
      </c>
      <c r="H1828" s="655">
        <v>524139.33600000001</v>
      </c>
      <c r="I1828" s="655"/>
      <c r="J1828" s="635">
        <f t="shared" si="78"/>
        <v>1048278.672</v>
      </c>
      <c r="K1828" s="635"/>
      <c r="L1828" s="635"/>
      <c r="M1828" s="655">
        <f t="shared" si="79"/>
        <v>1048278.672</v>
      </c>
      <c r="N1828" s="644"/>
      <c r="O1828" s="645"/>
      <c r="P1828" s="636"/>
    </row>
    <row r="1829" spans="1:16" s="618" customFormat="1" ht="14.25" customHeight="1">
      <c r="A1829" s="643">
        <v>135</v>
      </c>
      <c r="B1829" s="625" t="e">
        <f>VLOOKUP(D1829,'[1]DS CN MOI UP'!$B$11:$C$447,2,0)</f>
        <v>#N/A</v>
      </c>
      <c r="C1829" s="626" t="s">
        <v>1628</v>
      </c>
      <c r="D1829" s="630" t="s">
        <v>1700</v>
      </c>
      <c r="E1829" s="630" t="s">
        <v>15</v>
      </c>
      <c r="F1829" s="630"/>
      <c r="G1829" s="655">
        <v>524139.33600000001</v>
      </c>
      <c r="H1829" s="655">
        <v>635040.18900000001</v>
      </c>
      <c r="I1829" s="655"/>
      <c r="J1829" s="635">
        <f t="shared" si="78"/>
        <v>1159179.5249999999</v>
      </c>
      <c r="K1829" s="635"/>
      <c r="L1829" s="635"/>
      <c r="M1829" s="655">
        <f t="shared" si="79"/>
        <v>1159179.5249999999</v>
      </c>
      <c r="N1829" s="644"/>
      <c r="O1829" s="645"/>
      <c r="P1829" s="636"/>
    </row>
    <row r="1830" spans="1:16" s="618" customFormat="1" ht="14.25" customHeight="1">
      <c r="A1830" s="643">
        <v>136</v>
      </c>
      <c r="B1830" s="625" t="e">
        <f>VLOOKUP(D1830,'[1]DS CN MOI UP'!$B$11:$C$447,2,0)</f>
        <v>#N/A</v>
      </c>
      <c r="C1830" s="626" t="s">
        <v>1628</v>
      </c>
      <c r="D1830" s="630" t="s">
        <v>1701</v>
      </c>
      <c r="E1830" s="630" t="s">
        <v>15</v>
      </c>
      <c r="F1830" s="630"/>
      <c r="G1830" s="655">
        <v>524139.33600000001</v>
      </c>
      <c r="H1830" s="655">
        <v>635040.18900000001</v>
      </c>
      <c r="I1830" s="655"/>
      <c r="J1830" s="635">
        <f t="shared" si="78"/>
        <v>1159179.5249999999</v>
      </c>
      <c r="K1830" s="635"/>
      <c r="L1830" s="635"/>
      <c r="M1830" s="655">
        <f t="shared" si="79"/>
        <v>1159179.5249999999</v>
      </c>
      <c r="N1830" s="644"/>
      <c r="O1830" s="645"/>
      <c r="P1830" s="636"/>
    </row>
    <row r="1831" spans="1:16" s="618" customFormat="1" ht="14.25" customHeight="1">
      <c r="A1831" s="643">
        <v>137</v>
      </c>
      <c r="B1831" s="625" t="e">
        <f>VLOOKUP(D1831,'[1]DS CN MOI UP'!$B$11:$C$447,2,0)</f>
        <v>#N/A</v>
      </c>
      <c r="C1831" s="626" t="s">
        <v>1628</v>
      </c>
      <c r="D1831" s="630" t="s">
        <v>1702</v>
      </c>
      <c r="E1831" s="630" t="s">
        <v>15</v>
      </c>
      <c r="F1831" s="630"/>
      <c r="G1831" s="655">
        <v>524139.33600000001</v>
      </c>
      <c r="H1831" s="655">
        <v>554373.09900000005</v>
      </c>
      <c r="I1831" s="655"/>
      <c r="J1831" s="635">
        <f t="shared" si="78"/>
        <v>1078512.4350000001</v>
      </c>
      <c r="K1831" s="635"/>
      <c r="L1831" s="635"/>
      <c r="M1831" s="655">
        <f t="shared" si="79"/>
        <v>1078512.4350000001</v>
      </c>
      <c r="N1831" s="644"/>
      <c r="O1831" s="645"/>
      <c r="P1831" s="636"/>
    </row>
    <row r="1832" spans="1:16" s="618" customFormat="1" ht="14.25" customHeight="1">
      <c r="A1832" s="643">
        <v>138</v>
      </c>
      <c r="B1832" s="625" t="e">
        <f>VLOOKUP(D1832,'[1]DS CN MOI UP'!$B$11:$C$447,2,0)</f>
        <v>#N/A</v>
      </c>
      <c r="C1832" s="626" t="s">
        <v>1628</v>
      </c>
      <c r="D1832" s="630" t="s">
        <v>907</v>
      </c>
      <c r="E1832" s="630" t="s">
        <v>15</v>
      </c>
      <c r="F1832" s="630"/>
      <c r="G1832" s="655">
        <v>524139.33600000001</v>
      </c>
      <c r="H1832" s="655">
        <v>554373.09900000005</v>
      </c>
      <c r="I1832" s="655"/>
      <c r="J1832" s="635">
        <f t="shared" si="78"/>
        <v>1078512.4350000001</v>
      </c>
      <c r="K1832" s="635"/>
      <c r="L1832" s="635"/>
      <c r="M1832" s="655">
        <f t="shared" si="79"/>
        <v>1078512.4350000001</v>
      </c>
      <c r="N1832" s="644"/>
      <c r="O1832" s="645"/>
      <c r="P1832" s="636"/>
    </row>
    <row r="1833" spans="1:16" s="618" customFormat="1" ht="14.25" customHeight="1">
      <c r="A1833" s="643">
        <v>139</v>
      </c>
      <c r="B1833" s="625" t="e">
        <f>VLOOKUP(D1833,'[1]DS CN MOI UP'!$B$11:$C$447,2,0)</f>
        <v>#N/A</v>
      </c>
      <c r="C1833" s="626" t="s">
        <v>1628</v>
      </c>
      <c r="D1833" s="630" t="s">
        <v>1703</v>
      </c>
      <c r="E1833" s="630" t="s">
        <v>15</v>
      </c>
      <c r="F1833" s="630"/>
      <c r="G1833" s="655"/>
      <c r="H1833" s="655">
        <v>554373.09900000005</v>
      </c>
      <c r="I1833" s="655"/>
      <c r="J1833" s="635">
        <f t="shared" si="78"/>
        <v>554373.09900000005</v>
      </c>
      <c r="K1833" s="635"/>
      <c r="L1833" s="635"/>
      <c r="M1833" s="655">
        <f t="shared" si="79"/>
        <v>554373.09900000005</v>
      </c>
      <c r="N1833" s="644"/>
      <c r="O1833" s="645"/>
      <c r="P1833" s="636"/>
    </row>
    <row r="1834" spans="1:16" s="618" customFormat="1" ht="14.25" customHeight="1">
      <c r="A1834" s="643">
        <v>140</v>
      </c>
      <c r="B1834" s="625" t="e">
        <f>VLOOKUP(D1834,'[1]DS CN MOI UP'!$B$11:$C$447,2,0)</f>
        <v>#N/A</v>
      </c>
      <c r="C1834" s="626" t="s">
        <v>1628</v>
      </c>
      <c r="D1834" s="630" t="s">
        <v>1704</v>
      </c>
      <c r="E1834" s="630" t="s">
        <v>15</v>
      </c>
      <c r="F1834" s="630"/>
      <c r="G1834" s="655"/>
      <c r="H1834" s="655">
        <v>1239846.615</v>
      </c>
      <c r="I1834" s="655"/>
      <c r="J1834" s="635">
        <f t="shared" si="78"/>
        <v>1239846.615</v>
      </c>
      <c r="K1834" s="635"/>
      <c r="L1834" s="635"/>
      <c r="M1834" s="655">
        <f t="shared" si="79"/>
        <v>1239846.615</v>
      </c>
      <c r="N1834" s="644"/>
      <c r="O1834" s="645"/>
      <c r="P1834" s="636"/>
    </row>
    <row r="1835" spans="1:16" s="618" customFormat="1" ht="14.25" customHeight="1">
      <c r="A1835" s="643">
        <v>141</v>
      </c>
      <c r="B1835" s="625" t="e">
        <f>VLOOKUP(D1835,'[1]DS CN MOI UP'!$B$11:$C$447,2,0)</f>
        <v>#N/A</v>
      </c>
      <c r="C1835" s="626" t="s">
        <v>1628</v>
      </c>
      <c r="D1835" s="630" t="s">
        <v>1705</v>
      </c>
      <c r="E1835" s="630" t="s">
        <v>15</v>
      </c>
      <c r="F1835" s="630"/>
      <c r="G1835" s="655"/>
      <c r="H1835" s="655">
        <v>1239846.615</v>
      </c>
      <c r="I1835" s="655"/>
      <c r="J1835" s="635">
        <f t="shared" si="78"/>
        <v>1239846.615</v>
      </c>
      <c r="K1835" s="635"/>
      <c r="L1835" s="635"/>
      <c r="M1835" s="655">
        <f t="shared" si="79"/>
        <v>1239846.615</v>
      </c>
      <c r="N1835" s="644"/>
      <c r="O1835" s="645"/>
      <c r="P1835" s="636"/>
    </row>
    <row r="1836" spans="1:16" s="618" customFormat="1" ht="14.25" customHeight="1">
      <c r="A1836" s="643">
        <v>142</v>
      </c>
      <c r="B1836" s="625" t="e">
        <f>VLOOKUP(D1836,'[1]DS CN MOI UP'!$B$11:$C$447,2,0)</f>
        <v>#N/A</v>
      </c>
      <c r="C1836" s="626" t="s">
        <v>1628</v>
      </c>
      <c r="D1836" s="630" t="s">
        <v>1533</v>
      </c>
      <c r="E1836" s="630" t="s">
        <v>15</v>
      </c>
      <c r="F1836" s="630"/>
      <c r="G1836" s="655"/>
      <c r="H1836" s="655">
        <v>1239846.615</v>
      </c>
      <c r="I1836" s="655"/>
      <c r="J1836" s="635">
        <f t="shared" si="78"/>
        <v>1239846.615</v>
      </c>
      <c r="K1836" s="635"/>
      <c r="L1836" s="635"/>
      <c r="M1836" s="655">
        <f t="shared" si="79"/>
        <v>1239846.615</v>
      </c>
      <c r="N1836" s="644"/>
      <c r="O1836" s="645"/>
      <c r="P1836" s="636"/>
    </row>
    <row r="1837" spans="1:16" s="618" customFormat="1" ht="14.25" customHeight="1">
      <c r="A1837" s="643">
        <v>143</v>
      </c>
      <c r="B1837" s="625" t="e">
        <f>VLOOKUP(D1837,'[1]DS CN MOI UP'!$B$11:$C$447,2,0)</f>
        <v>#N/A</v>
      </c>
      <c r="C1837" s="626" t="s">
        <v>1628</v>
      </c>
      <c r="D1837" s="630" t="s">
        <v>762</v>
      </c>
      <c r="E1837" s="630" t="s">
        <v>15</v>
      </c>
      <c r="F1837" s="630"/>
      <c r="G1837" s="655"/>
      <c r="H1837" s="655">
        <v>1149145.3259999999</v>
      </c>
      <c r="I1837" s="655"/>
      <c r="J1837" s="635">
        <f t="shared" si="78"/>
        <v>1149145.3259999999</v>
      </c>
      <c r="K1837" s="635"/>
      <c r="L1837" s="635"/>
      <c r="M1837" s="655">
        <f t="shared" si="79"/>
        <v>1149145.3259999999</v>
      </c>
      <c r="N1837" s="644"/>
      <c r="O1837" s="645"/>
      <c r="P1837" s="636"/>
    </row>
    <row r="1838" spans="1:16" s="618" customFormat="1" ht="14.25" customHeight="1">
      <c r="A1838" s="643">
        <v>144</v>
      </c>
      <c r="B1838" s="625" t="e">
        <f>VLOOKUP(D1838,'[1]DS CN MOI UP'!$B$11:$C$447,2,0)</f>
        <v>#N/A</v>
      </c>
      <c r="C1838" s="626" t="s">
        <v>1628</v>
      </c>
      <c r="D1838" s="630" t="s">
        <v>763</v>
      </c>
      <c r="E1838" s="630" t="s">
        <v>15</v>
      </c>
      <c r="F1838" s="630"/>
      <c r="G1838" s="655"/>
      <c r="H1838" s="655">
        <v>1229038.53819991</v>
      </c>
      <c r="I1838" s="655"/>
      <c r="J1838" s="635">
        <f t="shared" si="78"/>
        <v>1229038.53819991</v>
      </c>
      <c r="K1838" s="635"/>
      <c r="L1838" s="635"/>
      <c r="M1838" s="655">
        <f t="shared" si="79"/>
        <v>1229038.53819991</v>
      </c>
      <c r="N1838" s="644"/>
      <c r="O1838" s="645"/>
      <c r="P1838" s="636"/>
    </row>
    <row r="1839" spans="1:16" s="618" customFormat="1" ht="14.25" customHeight="1">
      <c r="A1839" s="643">
        <v>145</v>
      </c>
      <c r="B1839" s="625" t="e">
        <f>VLOOKUP(D1839,'[1]DS CN MOI UP'!$B$11:$C$447,2,0)</f>
        <v>#N/A</v>
      </c>
      <c r="C1839" s="626" t="s">
        <v>1628</v>
      </c>
      <c r="D1839" s="630" t="s">
        <v>764</v>
      </c>
      <c r="E1839" s="630" t="s">
        <v>15</v>
      </c>
      <c r="F1839" s="630"/>
      <c r="G1839" s="655"/>
      <c r="H1839" s="655">
        <v>1159179.5249999999</v>
      </c>
      <c r="I1839" s="655"/>
      <c r="J1839" s="635">
        <f t="shared" si="78"/>
        <v>1159179.5249999999</v>
      </c>
      <c r="K1839" s="635"/>
      <c r="L1839" s="635"/>
      <c r="M1839" s="655">
        <f t="shared" si="79"/>
        <v>1159179.5249999999</v>
      </c>
      <c r="N1839" s="644"/>
      <c r="O1839" s="645"/>
      <c r="P1839" s="636"/>
    </row>
    <row r="1840" spans="1:16" s="618" customFormat="1" ht="14.25" customHeight="1">
      <c r="A1840" s="643">
        <v>146</v>
      </c>
      <c r="B1840" s="625" t="e">
        <f>VLOOKUP(D1840,'[1]DS CN MOI UP'!$B$11:$C$447,2,0)</f>
        <v>#N/A</v>
      </c>
      <c r="C1840" s="626" t="s">
        <v>1628</v>
      </c>
      <c r="D1840" s="630" t="s">
        <v>765</v>
      </c>
      <c r="E1840" s="630" t="s">
        <v>15</v>
      </c>
      <c r="F1840" s="630"/>
      <c r="G1840" s="655"/>
      <c r="H1840" s="655">
        <v>1239846.615</v>
      </c>
      <c r="I1840" s="655"/>
      <c r="J1840" s="635">
        <f t="shared" si="78"/>
        <v>1239846.615</v>
      </c>
      <c r="K1840" s="635"/>
      <c r="L1840" s="635"/>
      <c r="M1840" s="655">
        <f t="shared" si="79"/>
        <v>1239846.615</v>
      </c>
      <c r="N1840" s="644"/>
      <c r="O1840" s="645"/>
      <c r="P1840" s="636"/>
    </row>
    <row r="1841" spans="1:16" s="618" customFormat="1" ht="14.25" customHeight="1">
      <c r="A1841" s="643">
        <v>147</v>
      </c>
      <c r="B1841" s="625" t="e">
        <f>VLOOKUP(D1841,'[1]DS CN MOI UP'!$B$11:$C$447,2,0)</f>
        <v>#N/A</v>
      </c>
      <c r="C1841" s="626" t="s">
        <v>1628</v>
      </c>
      <c r="D1841" s="630" t="s">
        <v>766</v>
      </c>
      <c r="E1841" s="630" t="s">
        <v>15</v>
      </c>
      <c r="F1841" s="630"/>
      <c r="G1841" s="655"/>
      <c r="H1841" s="655">
        <v>1149145.3259999999</v>
      </c>
      <c r="I1841" s="655"/>
      <c r="J1841" s="635">
        <f t="shared" si="78"/>
        <v>1149145.3259999999</v>
      </c>
      <c r="K1841" s="635"/>
      <c r="L1841" s="635"/>
      <c r="M1841" s="655">
        <f t="shared" si="79"/>
        <v>1149145.3259999999</v>
      </c>
      <c r="N1841" s="644"/>
      <c r="O1841" s="645"/>
      <c r="P1841" s="636"/>
    </row>
    <row r="1842" spans="1:16" s="618" customFormat="1" ht="14.25" customHeight="1">
      <c r="A1842" s="643">
        <v>148</v>
      </c>
      <c r="B1842" s="625" t="e">
        <f>VLOOKUP(D1842,'[1]DS CN MOI UP'!$B$11:$C$447,2,0)</f>
        <v>#N/A</v>
      </c>
      <c r="C1842" s="626" t="s">
        <v>1628</v>
      </c>
      <c r="D1842" s="630" t="s">
        <v>1706</v>
      </c>
      <c r="E1842" s="630" t="s">
        <v>15</v>
      </c>
      <c r="F1842" s="630"/>
      <c r="G1842" s="655"/>
      <c r="H1842" s="655">
        <v>1229038.53819991</v>
      </c>
      <c r="I1842" s="655"/>
      <c r="J1842" s="635">
        <f t="shared" si="78"/>
        <v>1229038.53819991</v>
      </c>
      <c r="K1842" s="635"/>
      <c r="L1842" s="635"/>
      <c r="M1842" s="655">
        <f t="shared" si="79"/>
        <v>1229038.53819991</v>
      </c>
      <c r="N1842" s="644"/>
      <c r="O1842" s="645"/>
      <c r="P1842" s="636"/>
    </row>
    <row r="1843" spans="1:16" s="618" customFormat="1" ht="14.25" customHeight="1">
      <c r="A1843" s="643">
        <v>149</v>
      </c>
      <c r="B1843" s="625" t="e">
        <f>VLOOKUP(D1843,'[1]DS CN MOI UP'!$B$11:$C$447,2,0)</f>
        <v>#N/A</v>
      </c>
      <c r="C1843" s="626" t="s">
        <v>1628</v>
      </c>
      <c r="D1843" s="630" t="s">
        <v>768</v>
      </c>
      <c r="E1843" s="630" t="s">
        <v>15</v>
      </c>
      <c r="F1843" s="630"/>
      <c r="G1843" s="655"/>
      <c r="H1843" s="655">
        <v>1159179.5249999999</v>
      </c>
      <c r="I1843" s="655"/>
      <c r="J1843" s="635">
        <f t="shared" si="78"/>
        <v>1159179.5249999999</v>
      </c>
      <c r="K1843" s="635"/>
      <c r="L1843" s="635"/>
      <c r="M1843" s="655">
        <f t="shared" si="79"/>
        <v>1159179.5249999999</v>
      </c>
      <c r="N1843" s="644"/>
      <c r="O1843" s="645"/>
      <c r="P1843" s="636"/>
    </row>
    <row r="1844" spans="1:16" s="618" customFormat="1" ht="14.25" customHeight="1">
      <c r="A1844" s="643">
        <v>150</v>
      </c>
      <c r="B1844" s="625" t="e">
        <f>VLOOKUP(D1844,'[1]DS CN MOI UP'!$B$11:$C$447,2,0)</f>
        <v>#N/A</v>
      </c>
      <c r="C1844" s="626" t="s">
        <v>1628</v>
      </c>
      <c r="D1844" s="630" t="s">
        <v>769</v>
      </c>
      <c r="E1844" s="630" t="s">
        <v>15</v>
      </c>
      <c r="F1844" s="630"/>
      <c r="G1844" s="655"/>
      <c r="H1844" s="655">
        <v>1239846.615</v>
      </c>
      <c r="I1844" s="655"/>
      <c r="J1844" s="635">
        <f t="shared" si="78"/>
        <v>1239846.615</v>
      </c>
      <c r="K1844" s="635"/>
      <c r="L1844" s="635"/>
      <c r="M1844" s="655">
        <f t="shared" si="79"/>
        <v>1239846.615</v>
      </c>
      <c r="N1844" s="644"/>
      <c r="O1844" s="645"/>
      <c r="P1844" s="636"/>
    </row>
    <row r="1845" spans="1:16" s="618" customFormat="1" ht="14.25" customHeight="1">
      <c r="A1845" s="643">
        <v>151</v>
      </c>
      <c r="B1845" s="625" t="e">
        <f>VLOOKUP(D1845,'[1]DS CN MOI UP'!$B$11:$C$447,2,0)</f>
        <v>#N/A</v>
      </c>
      <c r="C1845" s="626" t="s">
        <v>1628</v>
      </c>
      <c r="D1845" s="630" t="s">
        <v>1707</v>
      </c>
      <c r="E1845" s="630" t="s">
        <v>15</v>
      </c>
      <c r="F1845" s="630"/>
      <c r="G1845" s="655"/>
      <c r="H1845" s="655">
        <v>1149145.3259999999</v>
      </c>
      <c r="I1845" s="655"/>
      <c r="J1845" s="635">
        <f t="shared" si="78"/>
        <v>1149145.3259999999</v>
      </c>
      <c r="K1845" s="635"/>
      <c r="L1845" s="635"/>
      <c r="M1845" s="655">
        <f t="shared" si="79"/>
        <v>1149145.3259999999</v>
      </c>
      <c r="N1845" s="644"/>
      <c r="O1845" s="645"/>
      <c r="P1845" s="636"/>
    </row>
    <row r="1846" spans="1:16" s="618" customFormat="1" ht="14.25" customHeight="1">
      <c r="A1846" s="643">
        <v>152</v>
      </c>
      <c r="B1846" s="625" t="e">
        <f>VLOOKUP(D1846,'[1]DS CN MOI UP'!$B$11:$C$447,2,0)</f>
        <v>#N/A</v>
      </c>
      <c r="C1846" s="626" t="s">
        <v>1628</v>
      </c>
      <c r="D1846" s="630" t="s">
        <v>1708</v>
      </c>
      <c r="E1846" s="630" t="s">
        <v>15</v>
      </c>
      <c r="F1846" s="630"/>
      <c r="G1846" s="655"/>
      <c r="H1846" s="655">
        <v>1159179.5249999999</v>
      </c>
      <c r="I1846" s="655"/>
      <c r="J1846" s="635">
        <f t="shared" si="78"/>
        <v>1159179.5249999999</v>
      </c>
      <c r="K1846" s="635"/>
      <c r="L1846" s="635"/>
      <c r="M1846" s="655">
        <f t="shared" si="79"/>
        <v>1159179.5249999999</v>
      </c>
      <c r="N1846" s="644"/>
      <c r="O1846" s="645"/>
      <c r="P1846" s="636"/>
    </row>
    <row r="1847" spans="1:16" s="618" customFormat="1" ht="14.25" customHeight="1">
      <c r="A1847" s="643">
        <v>153</v>
      </c>
      <c r="B1847" s="625" t="e">
        <f>VLOOKUP(D1847,'[1]DS CN MOI UP'!$B$11:$C$447,2,0)</f>
        <v>#N/A</v>
      </c>
      <c r="C1847" s="626" t="s">
        <v>1628</v>
      </c>
      <c r="D1847" s="630" t="s">
        <v>1709</v>
      </c>
      <c r="E1847" s="630" t="s">
        <v>15</v>
      </c>
      <c r="F1847" s="630"/>
      <c r="G1847" s="655"/>
      <c r="H1847" s="655">
        <v>1159179.5249999999</v>
      </c>
      <c r="I1847" s="655"/>
      <c r="J1847" s="635">
        <f t="shared" si="78"/>
        <v>1159179.5249999999</v>
      </c>
      <c r="K1847" s="635"/>
      <c r="L1847" s="635"/>
      <c r="M1847" s="655">
        <f t="shared" si="79"/>
        <v>1159179.5249999999</v>
      </c>
      <c r="N1847" s="644"/>
      <c r="O1847" s="645"/>
      <c r="P1847" s="636"/>
    </row>
    <row r="1848" spans="1:16" s="618" customFormat="1" ht="14.25" customHeight="1">
      <c r="A1848" s="643">
        <v>154</v>
      </c>
      <c r="B1848" s="625" t="e">
        <f>VLOOKUP(D1848,'[1]DS CN MOI UP'!$B$11:$C$447,2,0)</f>
        <v>#N/A</v>
      </c>
      <c r="C1848" s="626" t="s">
        <v>1628</v>
      </c>
      <c r="D1848" s="630" t="s">
        <v>771</v>
      </c>
      <c r="E1848" s="630" t="s">
        <v>15</v>
      </c>
      <c r="F1848" s="630"/>
      <c r="G1848" s="655"/>
      <c r="H1848" s="655">
        <v>1239846.615</v>
      </c>
      <c r="I1848" s="655"/>
      <c r="J1848" s="635">
        <f t="shared" si="78"/>
        <v>1239846.615</v>
      </c>
      <c r="K1848" s="635"/>
      <c r="L1848" s="635"/>
      <c r="M1848" s="655">
        <f t="shared" si="79"/>
        <v>1239846.615</v>
      </c>
      <c r="N1848" s="644"/>
      <c r="O1848" s="645">
        <v>-299510.69700004201</v>
      </c>
      <c r="P1848" s="636"/>
    </row>
    <row r="1849" spans="1:16" s="618" customFormat="1" ht="14.25" customHeight="1">
      <c r="A1849" s="643">
        <v>155</v>
      </c>
      <c r="B1849" s="625" t="e">
        <f>VLOOKUP(D1849,'[1]DS CN MOI UP'!$B$11:$C$447,2,0)</f>
        <v>#N/A</v>
      </c>
      <c r="C1849" s="626" t="s">
        <v>1628</v>
      </c>
      <c r="D1849" s="630" t="s">
        <v>1710</v>
      </c>
      <c r="E1849" s="630" t="s">
        <v>15</v>
      </c>
      <c r="F1849" s="630"/>
      <c r="G1849" s="655"/>
      <c r="H1849" s="655">
        <v>1149145.3259999999</v>
      </c>
      <c r="I1849" s="655"/>
      <c r="J1849" s="635">
        <f t="shared" si="78"/>
        <v>1149145.3259999999</v>
      </c>
      <c r="K1849" s="635"/>
      <c r="L1849" s="635"/>
      <c r="M1849" s="655">
        <f t="shared" si="79"/>
        <v>1149145.3259999999</v>
      </c>
      <c r="N1849" s="644"/>
      <c r="O1849" s="645"/>
      <c r="P1849" s="636"/>
    </row>
    <row r="1850" spans="1:16" s="618" customFormat="1" ht="14.25" customHeight="1">
      <c r="A1850" s="643">
        <v>156</v>
      </c>
      <c r="B1850" s="625" t="e">
        <f>VLOOKUP(D1850,'[1]DS CN MOI UP'!$B$11:$C$447,2,0)</f>
        <v>#N/A</v>
      </c>
      <c r="C1850" s="626" t="s">
        <v>1628</v>
      </c>
      <c r="D1850" s="630" t="s">
        <v>773</v>
      </c>
      <c r="E1850" s="630" t="s">
        <v>15</v>
      </c>
      <c r="F1850" s="630"/>
      <c r="G1850" s="655"/>
      <c r="H1850" s="655">
        <v>1229038.53819991</v>
      </c>
      <c r="I1850" s="655"/>
      <c r="J1850" s="635">
        <f t="shared" si="78"/>
        <v>1229038.53819991</v>
      </c>
      <c r="K1850" s="635"/>
      <c r="L1850" s="635"/>
      <c r="M1850" s="655">
        <f t="shared" si="79"/>
        <v>1229038.53819991</v>
      </c>
      <c r="N1850" s="644"/>
      <c r="O1850" s="645"/>
      <c r="P1850" s="636"/>
    </row>
    <row r="1851" spans="1:16" s="618" customFormat="1" ht="14.25" customHeight="1">
      <c r="A1851" s="643">
        <v>157</v>
      </c>
      <c r="B1851" s="625" t="e">
        <f>VLOOKUP(D1851,'[1]DS CN MOI UP'!$B$11:$C$447,2,0)</f>
        <v>#N/A</v>
      </c>
      <c r="C1851" s="626" t="s">
        <v>1628</v>
      </c>
      <c r="D1851" s="630" t="s">
        <v>774</v>
      </c>
      <c r="E1851" s="630" t="s">
        <v>15</v>
      </c>
      <c r="F1851" s="630"/>
      <c r="G1851" s="655"/>
      <c r="H1851" s="655">
        <v>1159179.5249999999</v>
      </c>
      <c r="I1851" s="655"/>
      <c r="J1851" s="635">
        <f t="shared" si="78"/>
        <v>1159179.5249999999</v>
      </c>
      <c r="K1851" s="635"/>
      <c r="L1851" s="635"/>
      <c r="M1851" s="655">
        <f t="shared" si="79"/>
        <v>1159179.5249999999</v>
      </c>
      <c r="N1851" s="644"/>
      <c r="O1851" s="645"/>
      <c r="P1851" s="636"/>
    </row>
    <row r="1852" spans="1:16" s="242" customFormat="1" ht="14.25" customHeight="1">
      <c r="A1852" s="643">
        <v>158</v>
      </c>
      <c r="B1852" s="625" t="e">
        <f>VLOOKUP(D1852,'[1]DS CN MOI UP'!$B$11:$C$447,2,0)</f>
        <v>#N/A</v>
      </c>
      <c r="C1852" s="626" t="s">
        <v>1653</v>
      </c>
      <c r="D1852" s="61" t="s">
        <v>1711</v>
      </c>
      <c r="E1852" s="630" t="s">
        <v>15</v>
      </c>
      <c r="F1852" s="630"/>
      <c r="G1852" s="655"/>
      <c r="H1852" s="655">
        <v>1239846.615</v>
      </c>
      <c r="I1852" s="655"/>
      <c r="J1852" s="635">
        <f t="shared" si="78"/>
        <v>1239846.615</v>
      </c>
      <c r="K1852" s="635"/>
      <c r="L1852" s="635"/>
      <c r="M1852" s="655">
        <f t="shared" si="79"/>
        <v>1239846.615</v>
      </c>
      <c r="N1852" s="644"/>
      <c r="P1852" s="636"/>
    </row>
    <row r="1853" spans="1:16" s="242" customFormat="1" ht="14.25" customHeight="1">
      <c r="A1853" s="643">
        <v>159</v>
      </c>
      <c r="B1853" s="625" t="e">
        <f>VLOOKUP(D1853,'[1]DS CN MOI UP'!$B$11:$C$447,2,0)</f>
        <v>#N/A</v>
      </c>
      <c r="C1853" s="626" t="s">
        <v>1653</v>
      </c>
      <c r="D1853" s="61" t="s">
        <v>1712</v>
      </c>
      <c r="E1853" s="630" t="s">
        <v>1713</v>
      </c>
      <c r="F1853" s="630"/>
      <c r="G1853" s="655"/>
      <c r="H1853" s="655">
        <v>1149145.3259999999</v>
      </c>
      <c r="I1853" s="655"/>
      <c r="J1853" s="635">
        <f t="shared" si="78"/>
        <v>1149145.3259999999</v>
      </c>
      <c r="K1853" s="635"/>
      <c r="L1853" s="635"/>
      <c r="M1853" s="655">
        <f t="shared" si="79"/>
        <v>1149145.3259999999</v>
      </c>
      <c r="N1853" s="644"/>
      <c r="P1853" s="636"/>
    </row>
    <row r="1854" spans="1:16" s="242" customFormat="1" ht="14.25" customHeight="1">
      <c r="A1854" s="643">
        <v>160</v>
      </c>
      <c r="B1854" s="625" t="e">
        <f>VLOOKUP(D1854,'[1]DS CN MOI UP'!$B$11:$C$447,2,0)</f>
        <v>#N/A</v>
      </c>
      <c r="C1854" s="626" t="s">
        <v>1546</v>
      </c>
      <c r="D1854" s="630" t="s">
        <v>777</v>
      </c>
      <c r="E1854" s="630" t="s">
        <v>15</v>
      </c>
      <c r="F1854" s="630"/>
      <c r="G1854" s="655"/>
      <c r="H1854" s="655">
        <v>1229038.53819991</v>
      </c>
      <c r="I1854" s="655"/>
      <c r="J1854" s="635">
        <f t="shared" si="78"/>
        <v>1229038.53819991</v>
      </c>
      <c r="K1854" s="635"/>
      <c r="L1854" s="635"/>
      <c r="M1854" s="655">
        <f t="shared" si="79"/>
        <v>1229038.53819991</v>
      </c>
      <c r="N1854" s="644"/>
      <c r="P1854" s="636"/>
    </row>
    <row r="1855" spans="1:16" s="242" customFormat="1" ht="14.25" customHeight="1">
      <c r="A1855" s="643">
        <v>161</v>
      </c>
      <c r="B1855" s="625" t="e">
        <f>VLOOKUP(D1855,'[1]DS CN MOI UP'!$B$11:$C$447,2,0)</f>
        <v>#N/A</v>
      </c>
      <c r="C1855" s="626" t="s">
        <v>1547</v>
      </c>
      <c r="D1855" s="630" t="s">
        <v>1714</v>
      </c>
      <c r="E1855" s="630" t="s">
        <v>15</v>
      </c>
      <c r="F1855" s="630"/>
      <c r="G1855" s="655"/>
      <c r="H1855" s="655">
        <v>1159179.5249999999</v>
      </c>
      <c r="I1855" s="655"/>
      <c r="J1855" s="635">
        <f t="shared" si="78"/>
        <v>1159179.5249999999</v>
      </c>
      <c r="K1855" s="635"/>
      <c r="L1855" s="635"/>
      <c r="M1855" s="655">
        <f t="shared" si="79"/>
        <v>1159179.5249999999</v>
      </c>
      <c r="N1855" s="644"/>
      <c r="P1855" s="636"/>
    </row>
    <row r="1856" spans="1:16" s="242" customFormat="1" ht="14.25" customHeight="1">
      <c r="A1856" s="643">
        <v>162</v>
      </c>
      <c r="B1856" s="625" t="e">
        <f>VLOOKUP(D1856,'[1]DS CN MOI UP'!$B$11:$C$447,2,0)</f>
        <v>#N/A</v>
      </c>
      <c r="C1856" s="626" t="s">
        <v>1548</v>
      </c>
      <c r="D1856" s="630" t="s">
        <v>1715</v>
      </c>
      <c r="E1856" s="630" t="s">
        <v>15</v>
      </c>
      <c r="F1856" s="630"/>
      <c r="G1856" s="655"/>
      <c r="H1856" s="655">
        <v>1239846.615</v>
      </c>
      <c r="I1856" s="655"/>
      <c r="J1856" s="635">
        <f t="shared" si="78"/>
        <v>1239846.615</v>
      </c>
      <c r="K1856" s="635"/>
      <c r="L1856" s="635"/>
      <c r="M1856" s="655">
        <f t="shared" si="79"/>
        <v>1239846.615</v>
      </c>
      <c r="N1856" s="644"/>
      <c r="P1856" s="636"/>
    </row>
    <row r="1857" spans="1:16" s="242" customFormat="1" ht="14.25" customHeight="1">
      <c r="A1857" s="643">
        <v>163</v>
      </c>
      <c r="B1857" s="625" t="e">
        <f>VLOOKUP(D1857,'[1]DS CN MOI UP'!$B$11:$C$447,2,0)</f>
        <v>#N/A</v>
      </c>
      <c r="C1857" s="626" t="s">
        <v>1549</v>
      </c>
      <c r="D1857" s="630" t="s">
        <v>1716</v>
      </c>
      <c r="E1857" s="630" t="s">
        <v>15</v>
      </c>
      <c r="F1857" s="630"/>
      <c r="G1857" s="655"/>
      <c r="H1857" s="655">
        <v>1149145.3259999999</v>
      </c>
      <c r="I1857" s="655"/>
      <c r="J1857" s="635">
        <f t="shared" si="78"/>
        <v>1149145.3259999999</v>
      </c>
      <c r="K1857" s="635"/>
      <c r="L1857" s="635"/>
      <c r="M1857" s="655">
        <f t="shared" si="79"/>
        <v>1149145.3259999999</v>
      </c>
      <c r="N1857" s="644"/>
      <c r="P1857" s="636"/>
    </row>
    <row r="1858" spans="1:16" s="242" customFormat="1" ht="14.25" customHeight="1">
      <c r="A1858" s="643">
        <v>164</v>
      </c>
      <c r="B1858" s="625" t="e">
        <f>VLOOKUP(D1858,'[1]DS CN MOI UP'!$B$11:$C$447,2,0)</f>
        <v>#N/A</v>
      </c>
      <c r="C1858" s="626" t="s">
        <v>1550</v>
      </c>
      <c r="D1858" s="630" t="s">
        <v>1717</v>
      </c>
      <c r="E1858" s="630" t="s">
        <v>15</v>
      </c>
      <c r="F1858" s="630"/>
      <c r="G1858" s="655"/>
      <c r="H1858" s="655">
        <v>1159179.5249999999</v>
      </c>
      <c r="I1858" s="655"/>
      <c r="J1858" s="635">
        <f t="shared" si="78"/>
        <v>1159179.5249999999</v>
      </c>
      <c r="K1858" s="635"/>
      <c r="L1858" s="635"/>
      <c r="M1858" s="655">
        <f t="shared" si="79"/>
        <v>1159179.5249999999</v>
      </c>
      <c r="N1858" s="644"/>
      <c r="P1858" s="636"/>
    </row>
    <row r="1859" spans="1:16" s="242" customFormat="1" ht="14.25" customHeight="1">
      <c r="A1859" s="643">
        <v>165</v>
      </c>
      <c r="B1859" s="625" t="e">
        <f>VLOOKUP(D1859,'[1]DS CN MOI UP'!$B$11:$C$447,2,0)</f>
        <v>#N/A</v>
      </c>
      <c r="C1859" s="626" t="s">
        <v>1551</v>
      </c>
      <c r="D1859" s="630" t="s">
        <v>1718</v>
      </c>
      <c r="E1859" s="630" t="s">
        <v>15</v>
      </c>
      <c r="F1859" s="630"/>
      <c r="G1859" s="655"/>
      <c r="H1859" s="655">
        <v>1239846.615</v>
      </c>
      <c r="I1859" s="655"/>
      <c r="J1859" s="635">
        <f t="shared" si="78"/>
        <v>1239846.615</v>
      </c>
      <c r="K1859" s="635"/>
      <c r="L1859" s="635"/>
      <c r="M1859" s="655">
        <f t="shared" si="79"/>
        <v>1239846.615</v>
      </c>
      <c r="N1859" s="644"/>
      <c r="P1859" s="636"/>
    </row>
    <row r="1860" spans="1:16" s="242" customFormat="1" ht="14.25" customHeight="1">
      <c r="A1860" s="643">
        <v>166</v>
      </c>
      <c r="B1860" s="625" t="e">
        <f>VLOOKUP(D1860,'[1]DS CN MOI UP'!$B$11:$C$447,2,0)</f>
        <v>#N/A</v>
      </c>
      <c r="C1860" s="626" t="s">
        <v>1552</v>
      </c>
      <c r="D1860" s="630" t="s">
        <v>1719</v>
      </c>
      <c r="E1860" s="630" t="s">
        <v>15</v>
      </c>
      <c r="F1860" s="630"/>
      <c r="G1860" s="655"/>
      <c r="H1860" s="655">
        <v>1149145.3259999999</v>
      </c>
      <c r="I1860" s="655"/>
      <c r="J1860" s="635">
        <f t="shared" si="78"/>
        <v>1149145.3259999999</v>
      </c>
      <c r="K1860" s="635"/>
      <c r="L1860" s="635"/>
      <c r="M1860" s="655">
        <f t="shared" si="79"/>
        <v>1149145.3259999999</v>
      </c>
      <c r="N1860" s="644"/>
      <c r="P1860" s="636"/>
    </row>
    <row r="1861" spans="1:16" s="242" customFormat="1" ht="14.25" customHeight="1">
      <c r="A1861" s="643">
        <v>167</v>
      </c>
      <c r="B1861" s="625" t="e">
        <f>VLOOKUP(D1861,'[1]DS CN MOI UP'!$B$11:$C$447,2,0)</f>
        <v>#N/A</v>
      </c>
      <c r="C1861" s="626" t="s">
        <v>1554</v>
      </c>
      <c r="D1861" s="630" t="s">
        <v>1720</v>
      </c>
      <c r="E1861" s="630" t="s">
        <v>15</v>
      </c>
      <c r="F1861" s="630"/>
      <c r="G1861" s="655"/>
      <c r="H1861" s="655">
        <v>1229038.53819991</v>
      </c>
      <c r="I1861" s="655"/>
      <c r="J1861" s="635">
        <f t="shared" si="78"/>
        <v>1229038.53819991</v>
      </c>
      <c r="K1861" s="635"/>
      <c r="L1861" s="635"/>
      <c r="M1861" s="655">
        <f t="shared" si="79"/>
        <v>1229038.53819991</v>
      </c>
      <c r="N1861" s="644"/>
      <c r="P1861" s="636"/>
    </row>
    <row r="1862" spans="1:16" s="242" customFormat="1" ht="14.25" customHeight="1">
      <c r="A1862" s="643">
        <v>168</v>
      </c>
      <c r="B1862" s="625" t="e">
        <f>VLOOKUP(D1862,'[1]DS CN MOI UP'!$B$11:$C$447,2,0)</f>
        <v>#N/A</v>
      </c>
      <c r="C1862" s="626" t="s">
        <v>1556</v>
      </c>
      <c r="D1862" s="630" t="s">
        <v>1721</v>
      </c>
      <c r="E1862" s="630" t="s">
        <v>15</v>
      </c>
      <c r="F1862" s="630"/>
      <c r="G1862" s="655"/>
      <c r="H1862" s="655">
        <v>1159179.5249999999</v>
      </c>
      <c r="I1862" s="655"/>
      <c r="J1862" s="635">
        <f t="shared" si="78"/>
        <v>1159179.5249999999</v>
      </c>
      <c r="K1862" s="635"/>
      <c r="L1862" s="635"/>
      <c r="M1862" s="655">
        <f t="shared" si="79"/>
        <v>1159179.5249999999</v>
      </c>
      <c r="N1862" s="644"/>
      <c r="P1862" s="636"/>
    </row>
    <row r="1863" spans="1:16" s="242" customFormat="1" ht="14.25" customHeight="1">
      <c r="A1863" s="643">
        <v>169</v>
      </c>
      <c r="B1863" s="625" t="e">
        <f>VLOOKUP(D1863,'[1]DS CN MOI UP'!$B$11:$C$447,2,0)</f>
        <v>#N/A</v>
      </c>
      <c r="C1863" s="626" t="s">
        <v>1558</v>
      </c>
      <c r="D1863" s="630" t="s">
        <v>1722</v>
      </c>
      <c r="E1863" s="630" t="s">
        <v>15</v>
      </c>
      <c r="F1863" s="630"/>
      <c r="G1863" s="655"/>
      <c r="H1863" s="655">
        <v>1239846.615</v>
      </c>
      <c r="I1863" s="655"/>
      <c r="J1863" s="635">
        <f t="shared" si="78"/>
        <v>1239846.615</v>
      </c>
      <c r="K1863" s="635"/>
      <c r="L1863" s="635"/>
      <c r="M1863" s="655">
        <f t="shared" si="79"/>
        <v>1239846.615</v>
      </c>
      <c r="N1863" s="644"/>
      <c r="P1863" s="636"/>
    </row>
    <row r="1864" spans="1:16" s="242" customFormat="1" ht="14.25" customHeight="1">
      <c r="A1864" s="643">
        <v>170</v>
      </c>
      <c r="B1864" s="625" t="e">
        <f>VLOOKUP(D1864,'[1]DS CN MOI UP'!$B$11:$C$447,2,0)</f>
        <v>#N/A</v>
      </c>
      <c r="C1864" s="626" t="s">
        <v>1560</v>
      </c>
      <c r="D1864" s="630" t="s">
        <v>1723</v>
      </c>
      <c r="E1864" s="630" t="s">
        <v>15</v>
      </c>
      <c r="F1864" s="630"/>
      <c r="G1864" s="655"/>
      <c r="H1864" s="655">
        <v>1149145.3259999999</v>
      </c>
      <c r="I1864" s="655"/>
      <c r="J1864" s="635">
        <f t="shared" si="78"/>
        <v>1149145.3259999999</v>
      </c>
      <c r="K1864" s="635"/>
      <c r="L1864" s="635"/>
      <c r="M1864" s="655">
        <f t="shared" si="79"/>
        <v>1149145.3259999999</v>
      </c>
      <c r="N1864" s="644"/>
      <c r="P1864" s="636"/>
    </row>
    <row r="1865" spans="1:16" s="242" customFormat="1" ht="14.25" customHeight="1">
      <c r="A1865" s="643">
        <v>171</v>
      </c>
      <c r="B1865" s="625" t="e">
        <f>VLOOKUP(D1865,'[1]DS CN MOI UP'!$B$11:$C$447,2,0)</f>
        <v>#N/A</v>
      </c>
      <c r="C1865" s="626" t="s">
        <v>1562</v>
      </c>
      <c r="D1865" s="630" t="s">
        <v>1724</v>
      </c>
      <c r="E1865" s="630" t="s">
        <v>15</v>
      </c>
      <c r="F1865" s="630"/>
      <c r="G1865" s="655"/>
      <c r="H1865" s="655">
        <v>1229038.53819991</v>
      </c>
      <c r="I1865" s="655"/>
      <c r="J1865" s="635">
        <f t="shared" si="78"/>
        <v>1229038.53819991</v>
      </c>
      <c r="K1865" s="635"/>
      <c r="L1865" s="635"/>
      <c r="M1865" s="655">
        <f t="shared" si="79"/>
        <v>1229038.53819991</v>
      </c>
      <c r="N1865" s="644"/>
      <c r="P1865" s="636"/>
    </row>
    <row r="1866" spans="1:16" s="242" customFormat="1" ht="14.25" customHeight="1">
      <c r="A1866" s="643">
        <v>172</v>
      </c>
      <c r="B1866" s="625" t="e">
        <f>VLOOKUP(D1866,'[1]DS CN MOI UP'!$B$11:$C$447,2,0)</f>
        <v>#N/A</v>
      </c>
      <c r="C1866" s="626" t="s">
        <v>1564</v>
      </c>
      <c r="D1866" s="630" t="s">
        <v>1725</v>
      </c>
      <c r="E1866" s="630" t="s">
        <v>15</v>
      </c>
      <c r="F1866" s="630"/>
      <c r="G1866" s="655"/>
      <c r="H1866" s="655">
        <v>1159179.5249999999</v>
      </c>
      <c r="I1866" s="655"/>
      <c r="J1866" s="635">
        <f t="shared" si="78"/>
        <v>1159179.5249999999</v>
      </c>
      <c r="K1866" s="635"/>
      <c r="L1866" s="635"/>
      <c r="M1866" s="655">
        <f t="shared" si="79"/>
        <v>1159179.5249999999</v>
      </c>
      <c r="N1866" s="644"/>
      <c r="P1866" s="636"/>
    </row>
    <row r="1867" spans="1:16" s="242" customFormat="1" ht="14.25" customHeight="1">
      <c r="A1867" s="643">
        <v>173</v>
      </c>
      <c r="B1867" s="625" t="e">
        <f>VLOOKUP(D1867,'[1]DS CN MOI UP'!$B$11:$C$447,2,0)</f>
        <v>#N/A</v>
      </c>
      <c r="C1867" s="626" t="s">
        <v>1566</v>
      </c>
      <c r="D1867" s="630" t="s">
        <v>836</v>
      </c>
      <c r="E1867" s="630" t="s">
        <v>15</v>
      </c>
      <c r="F1867" s="630"/>
      <c r="G1867" s="655"/>
      <c r="H1867" s="655">
        <v>1239846.615</v>
      </c>
      <c r="I1867" s="655"/>
      <c r="J1867" s="635">
        <f t="shared" si="78"/>
        <v>1239846.615</v>
      </c>
      <c r="K1867" s="635"/>
      <c r="L1867" s="635"/>
      <c r="M1867" s="655">
        <f t="shared" si="79"/>
        <v>1239846.615</v>
      </c>
      <c r="N1867" s="644"/>
      <c r="P1867" s="636"/>
    </row>
    <row r="1868" spans="1:16" s="242" customFormat="1" ht="14.25" customHeight="1">
      <c r="A1868" s="643">
        <v>174</v>
      </c>
      <c r="B1868" s="625" t="e">
        <f>VLOOKUP(D1868,'[1]DS CN MOI UP'!$B$11:$C$447,2,0)</f>
        <v>#N/A</v>
      </c>
      <c r="C1868" s="626" t="s">
        <v>1568</v>
      </c>
      <c r="D1868" s="630" t="s">
        <v>1726</v>
      </c>
      <c r="E1868" s="630" t="s">
        <v>15</v>
      </c>
      <c r="F1868" s="630"/>
      <c r="G1868" s="655"/>
      <c r="H1868" s="655">
        <v>1149145.3259999999</v>
      </c>
      <c r="I1868" s="655"/>
      <c r="J1868" s="635">
        <f t="shared" si="78"/>
        <v>1149145.3259999999</v>
      </c>
      <c r="K1868" s="635"/>
      <c r="L1868" s="635"/>
      <c r="M1868" s="655">
        <f t="shared" si="79"/>
        <v>1149145.3259999999</v>
      </c>
      <c r="N1868" s="644"/>
      <c r="P1868" s="636"/>
    </row>
    <row r="1869" spans="1:16" s="242" customFormat="1" ht="14.25" customHeight="1">
      <c r="A1869" s="643">
        <v>175</v>
      </c>
      <c r="B1869" s="625" t="e">
        <f>VLOOKUP(D1869,'[1]DS CN MOI UP'!$B$11:$C$447,2,0)</f>
        <v>#N/A</v>
      </c>
      <c r="C1869" s="626" t="s">
        <v>1570</v>
      </c>
      <c r="D1869" s="630" t="s">
        <v>1727</v>
      </c>
      <c r="E1869" s="630" t="s">
        <v>15</v>
      </c>
      <c r="F1869" s="630"/>
      <c r="G1869" s="655"/>
      <c r="H1869" s="655">
        <v>1159179.5249999999</v>
      </c>
      <c r="I1869" s="655"/>
      <c r="J1869" s="635">
        <f t="shared" si="78"/>
        <v>1159179.5249999999</v>
      </c>
      <c r="K1869" s="635"/>
      <c r="L1869" s="635"/>
      <c r="M1869" s="655">
        <f t="shared" si="79"/>
        <v>1159179.5249999999</v>
      </c>
      <c r="N1869" s="644"/>
      <c r="P1869" s="636"/>
    </row>
    <row r="1870" spans="1:16" s="242" customFormat="1" ht="14.25" customHeight="1">
      <c r="A1870" s="643">
        <v>176</v>
      </c>
      <c r="B1870" s="625" t="e">
        <f>VLOOKUP(D1870,'[1]DS CN MOI UP'!$B$11:$C$447,2,0)</f>
        <v>#N/A</v>
      </c>
      <c r="C1870" s="626" t="s">
        <v>1599</v>
      </c>
      <c r="D1870" s="630" t="s">
        <v>1728</v>
      </c>
      <c r="E1870" s="630" t="s">
        <v>15</v>
      </c>
      <c r="F1870" s="630"/>
      <c r="G1870" s="655"/>
      <c r="H1870" s="655">
        <v>1239846.615</v>
      </c>
      <c r="I1870" s="655"/>
      <c r="J1870" s="635">
        <f t="shared" si="78"/>
        <v>1239846.615</v>
      </c>
      <c r="K1870" s="635"/>
      <c r="L1870" s="635"/>
      <c r="M1870" s="655">
        <f t="shared" si="79"/>
        <v>1239846.615</v>
      </c>
      <c r="N1870" s="644"/>
      <c r="P1870" s="636"/>
    </row>
    <row r="1871" spans="1:16" s="242" customFormat="1" ht="14.25" customHeight="1">
      <c r="A1871" s="643">
        <v>177</v>
      </c>
      <c r="B1871" s="625" t="e">
        <f>VLOOKUP(D1871,'[1]DS CN MOI UP'!$B$11:$C$447,2,0)</f>
        <v>#N/A</v>
      </c>
      <c r="C1871" s="626" t="s">
        <v>1601</v>
      </c>
      <c r="D1871" s="630" t="s">
        <v>1729</v>
      </c>
      <c r="E1871" s="630" t="s">
        <v>15</v>
      </c>
      <c r="F1871" s="630"/>
      <c r="G1871" s="655"/>
      <c r="H1871" s="655">
        <v>1149145.3259999999</v>
      </c>
      <c r="I1871" s="655"/>
      <c r="J1871" s="635">
        <f t="shared" si="78"/>
        <v>1149145.3259999999</v>
      </c>
      <c r="K1871" s="635"/>
      <c r="L1871" s="635"/>
      <c r="M1871" s="655">
        <f t="shared" si="79"/>
        <v>1149145.3259999999</v>
      </c>
      <c r="N1871" s="644"/>
      <c r="P1871" s="636"/>
    </row>
    <row r="1872" spans="1:16" s="242" customFormat="1" ht="14.25" customHeight="1">
      <c r="A1872" s="643">
        <v>178</v>
      </c>
      <c r="B1872" s="625" t="e">
        <f>VLOOKUP(D1872,'[1]DS CN MOI UP'!$B$11:$C$447,2,0)</f>
        <v>#N/A</v>
      </c>
      <c r="C1872" s="626" t="s">
        <v>1603</v>
      </c>
      <c r="D1872" s="630" t="s">
        <v>1730</v>
      </c>
      <c r="E1872" s="630" t="s">
        <v>15</v>
      </c>
      <c r="F1872" s="630"/>
      <c r="G1872" s="655"/>
      <c r="H1872" s="655">
        <v>1229038.53819991</v>
      </c>
      <c r="I1872" s="655"/>
      <c r="J1872" s="635">
        <f t="shared" si="78"/>
        <v>1229038.53819991</v>
      </c>
      <c r="K1872" s="635"/>
      <c r="L1872" s="635"/>
      <c r="M1872" s="655">
        <f t="shared" si="79"/>
        <v>1229038.53819991</v>
      </c>
      <c r="N1872" s="644"/>
      <c r="P1872" s="636"/>
    </row>
    <row r="1873" spans="1:16" s="242" customFormat="1" ht="14.25" customHeight="1">
      <c r="A1873" s="643">
        <v>179</v>
      </c>
      <c r="B1873" s="625" t="e">
        <f>VLOOKUP(D1873,'[1]DS CN MOI UP'!$B$11:$C$447,2,0)</f>
        <v>#N/A</v>
      </c>
      <c r="C1873" s="626" t="s">
        <v>1605</v>
      </c>
      <c r="D1873" s="630" t="s">
        <v>1731</v>
      </c>
      <c r="E1873" s="630" t="s">
        <v>15</v>
      </c>
      <c r="F1873" s="630"/>
      <c r="G1873" s="655"/>
      <c r="H1873" s="655">
        <v>1159179.5249999999</v>
      </c>
      <c r="I1873" s="655"/>
      <c r="J1873" s="635">
        <f t="shared" si="78"/>
        <v>1159179.5249999999</v>
      </c>
      <c r="K1873" s="635"/>
      <c r="L1873" s="635"/>
      <c r="M1873" s="655">
        <f t="shared" si="79"/>
        <v>1159179.5249999999</v>
      </c>
      <c r="N1873" s="644"/>
      <c r="P1873" s="636"/>
    </row>
    <row r="1874" spans="1:16" s="242" customFormat="1" ht="14.25" customHeight="1">
      <c r="A1874" s="643">
        <v>180</v>
      </c>
      <c r="B1874" s="625" t="e">
        <f>VLOOKUP(D1874,'[1]DS CN MOI UP'!$B$11:$C$447,2,0)</f>
        <v>#N/A</v>
      </c>
      <c r="C1874" s="626" t="s">
        <v>1607</v>
      </c>
      <c r="D1874" s="630" t="s">
        <v>1732</v>
      </c>
      <c r="E1874" s="630" t="s">
        <v>15</v>
      </c>
      <c r="F1874" s="630"/>
      <c r="G1874" s="655"/>
      <c r="H1874" s="655">
        <v>1239846.615</v>
      </c>
      <c r="I1874" s="655"/>
      <c r="J1874" s="635">
        <f t="shared" si="78"/>
        <v>1239846.615</v>
      </c>
      <c r="K1874" s="635"/>
      <c r="L1874" s="635"/>
      <c r="M1874" s="655">
        <f t="shared" si="79"/>
        <v>1239846.615</v>
      </c>
      <c r="N1874" s="644"/>
      <c r="P1874" s="636"/>
    </row>
    <row r="1875" spans="1:16" s="242" customFormat="1" ht="14.25" customHeight="1">
      <c r="A1875" s="643">
        <v>181</v>
      </c>
      <c r="B1875" s="625" t="e">
        <f>VLOOKUP(D1875,'[1]DS CN MOI UP'!$B$11:$C$447,2,0)</f>
        <v>#N/A</v>
      </c>
      <c r="C1875" s="626" t="s">
        <v>1609</v>
      </c>
      <c r="D1875" s="630" t="s">
        <v>1733</v>
      </c>
      <c r="E1875" s="630" t="s">
        <v>15</v>
      </c>
      <c r="F1875" s="630"/>
      <c r="G1875" s="655"/>
      <c r="H1875" s="655">
        <v>1149145.3259999999</v>
      </c>
      <c r="I1875" s="655"/>
      <c r="J1875" s="635">
        <f t="shared" si="78"/>
        <v>1149145.3259999999</v>
      </c>
      <c r="K1875" s="635"/>
      <c r="L1875" s="635"/>
      <c r="M1875" s="655">
        <f t="shared" si="79"/>
        <v>1149145.3259999999</v>
      </c>
      <c r="N1875" s="644"/>
      <c r="P1875" s="636"/>
    </row>
    <row r="1876" spans="1:16" s="242" customFormat="1" ht="14.25" customHeight="1">
      <c r="A1876" s="643">
        <v>182</v>
      </c>
      <c r="B1876" s="625" t="e">
        <f>VLOOKUP(D1876,'[1]DS CN MOI UP'!$B$11:$C$447,2,0)</f>
        <v>#N/A</v>
      </c>
      <c r="C1876" s="626" t="s">
        <v>1611</v>
      </c>
      <c r="D1876" s="630" t="s">
        <v>1734</v>
      </c>
      <c r="E1876" s="630" t="s">
        <v>15</v>
      </c>
      <c r="F1876" s="630"/>
      <c r="G1876" s="635"/>
      <c r="H1876" s="655">
        <v>1229038.53819991</v>
      </c>
      <c r="I1876" s="655"/>
      <c r="J1876" s="635">
        <f t="shared" si="78"/>
        <v>1229038.53819991</v>
      </c>
      <c r="K1876" s="635"/>
      <c r="L1876" s="635"/>
      <c r="M1876" s="655">
        <f t="shared" si="79"/>
        <v>1229038.53819991</v>
      </c>
      <c r="N1876" s="644"/>
      <c r="P1876" s="636"/>
    </row>
    <row r="1877" spans="1:16" s="242" customFormat="1" ht="14.25" customHeight="1">
      <c r="A1877" s="643">
        <v>183</v>
      </c>
      <c r="B1877" s="625" t="e">
        <f>VLOOKUP(D1877,'[1]DS CN MOI UP'!$B$11:$C$447,2,0)</f>
        <v>#N/A</v>
      </c>
      <c r="C1877" s="626" t="s">
        <v>1612</v>
      </c>
      <c r="D1877" s="630" t="s">
        <v>837</v>
      </c>
      <c r="E1877" s="630" t="s">
        <v>15</v>
      </c>
      <c r="F1877" s="630"/>
      <c r="G1877" s="635"/>
      <c r="H1877" s="655">
        <v>1159179.5249999999</v>
      </c>
      <c r="I1877" s="655"/>
      <c r="J1877" s="635">
        <f t="shared" si="78"/>
        <v>1159179.5249999999</v>
      </c>
      <c r="K1877" s="635"/>
      <c r="L1877" s="635"/>
      <c r="M1877" s="655">
        <f t="shared" si="79"/>
        <v>1159179.5249999999</v>
      </c>
      <c r="N1877" s="644"/>
      <c r="P1877" s="636"/>
    </row>
    <row r="1878" spans="1:16" s="242" customFormat="1" ht="14.25" customHeight="1">
      <c r="A1878" s="643">
        <v>184</v>
      </c>
      <c r="B1878" s="625" t="e">
        <f>VLOOKUP(D1878,'[1]DS CN MOI UP'!$B$11:$C$447,2,0)</f>
        <v>#N/A</v>
      </c>
      <c r="C1878" s="626" t="s">
        <v>1614</v>
      </c>
      <c r="D1878" s="630" t="s">
        <v>1735</v>
      </c>
      <c r="E1878" s="630" t="s">
        <v>15</v>
      </c>
      <c r="F1878" s="630"/>
      <c r="G1878" s="635"/>
      <c r="H1878" s="655">
        <v>1239846.615</v>
      </c>
      <c r="I1878" s="655"/>
      <c r="J1878" s="635">
        <f t="shared" si="78"/>
        <v>1239846.615</v>
      </c>
      <c r="K1878" s="635"/>
      <c r="L1878" s="635"/>
      <c r="M1878" s="655">
        <f t="shared" si="79"/>
        <v>1239846.615</v>
      </c>
      <c r="N1878" s="644"/>
      <c r="P1878" s="636"/>
    </row>
    <row r="1879" spans="1:16" s="242" customFormat="1" ht="14.25" customHeight="1">
      <c r="A1879" s="643">
        <v>185</v>
      </c>
      <c r="B1879" s="625" t="e">
        <f>VLOOKUP(D1879,'[1]DS CN MOI UP'!$B$11:$C$447,2,0)</f>
        <v>#N/A</v>
      </c>
      <c r="C1879" s="626" t="s">
        <v>1616</v>
      </c>
      <c r="D1879" s="630" t="s">
        <v>1736</v>
      </c>
      <c r="E1879" s="630" t="s">
        <v>15</v>
      </c>
      <c r="F1879" s="630"/>
      <c r="G1879" s="635"/>
      <c r="H1879" s="655">
        <v>1149145.3259999999</v>
      </c>
      <c r="I1879" s="655"/>
      <c r="J1879" s="635">
        <f t="shared" si="78"/>
        <v>1149145.3259999999</v>
      </c>
      <c r="K1879" s="635"/>
      <c r="L1879" s="635"/>
      <c r="M1879" s="655">
        <f t="shared" si="79"/>
        <v>1149145.3259999999</v>
      </c>
      <c r="N1879" s="644"/>
      <c r="P1879" s="636"/>
    </row>
    <row r="1880" spans="1:16" s="242" customFormat="1" ht="14.25" customHeight="1">
      <c r="A1880" s="643">
        <v>186</v>
      </c>
      <c r="B1880" s="625" t="e">
        <f>VLOOKUP(D1880,'[1]DS CN MOI UP'!$B$11:$C$447,2,0)</f>
        <v>#N/A</v>
      </c>
      <c r="C1880" s="626" t="s">
        <v>1618</v>
      </c>
      <c r="D1880" s="630" t="s">
        <v>1737</v>
      </c>
      <c r="E1880" s="630" t="s">
        <v>15</v>
      </c>
      <c r="F1880" s="630"/>
      <c r="G1880" s="635"/>
      <c r="H1880" s="655">
        <v>1159179.5249999999</v>
      </c>
      <c r="I1880" s="655"/>
      <c r="J1880" s="635">
        <f t="shared" si="78"/>
        <v>1159179.5249999999</v>
      </c>
      <c r="K1880" s="635"/>
      <c r="L1880" s="635"/>
      <c r="M1880" s="655">
        <f t="shared" si="79"/>
        <v>1159179.5249999999</v>
      </c>
      <c r="N1880" s="644"/>
      <c r="P1880" s="636"/>
    </row>
    <row r="1881" spans="1:16" s="242" customFormat="1" ht="14.25" customHeight="1">
      <c r="A1881" s="643">
        <v>187</v>
      </c>
      <c r="B1881" s="625" t="e">
        <f>VLOOKUP(D1881,'[1]DS CN MOI UP'!$B$11:$C$447,2,0)</f>
        <v>#N/A</v>
      </c>
      <c r="C1881" s="626" t="s">
        <v>1620</v>
      </c>
      <c r="D1881" s="630" t="s">
        <v>1738</v>
      </c>
      <c r="E1881" s="630" t="s">
        <v>15</v>
      </c>
      <c r="F1881" s="630"/>
      <c r="G1881" s="635"/>
      <c r="H1881" s="655">
        <v>1239846.615</v>
      </c>
      <c r="I1881" s="655"/>
      <c r="J1881" s="635">
        <f t="shared" si="78"/>
        <v>1239846.615</v>
      </c>
      <c r="K1881" s="635"/>
      <c r="L1881" s="635"/>
      <c r="M1881" s="655">
        <f t="shared" si="79"/>
        <v>1239846.615</v>
      </c>
      <c r="N1881" s="644"/>
      <c r="P1881" s="636"/>
    </row>
    <row r="1882" spans="1:16" s="242" customFormat="1" ht="14.25" customHeight="1">
      <c r="A1882" s="643">
        <v>188</v>
      </c>
      <c r="B1882" s="625" t="e">
        <f>VLOOKUP(D1882,'[1]DS CN MOI UP'!$B$11:$C$447,2,0)</f>
        <v>#N/A</v>
      </c>
      <c r="C1882" s="626" t="s">
        <v>1622</v>
      </c>
      <c r="D1882" s="630" t="s">
        <v>1739</v>
      </c>
      <c r="E1882" s="630" t="s">
        <v>15</v>
      </c>
      <c r="F1882" s="630"/>
      <c r="G1882" s="655"/>
      <c r="H1882" s="655">
        <v>1149145.3259999999</v>
      </c>
      <c r="I1882" s="655"/>
      <c r="J1882" s="635">
        <f t="shared" si="78"/>
        <v>1149145.3259999999</v>
      </c>
      <c r="K1882" s="635"/>
      <c r="L1882" s="635"/>
      <c r="M1882" s="655">
        <f t="shared" si="79"/>
        <v>1149145.3259999999</v>
      </c>
      <c r="N1882" s="644"/>
      <c r="P1882" s="636"/>
    </row>
    <row r="1883" spans="1:16" s="242" customFormat="1" ht="14.25" customHeight="1">
      <c r="A1883" s="643">
        <v>189</v>
      </c>
      <c r="B1883" s="625" t="e">
        <f>VLOOKUP(D1883,'[1]DS CN MOI UP'!$B$11:$C$447,2,0)</f>
        <v>#N/A</v>
      </c>
      <c r="C1883" s="626" t="s">
        <v>1624</v>
      </c>
      <c r="D1883" s="630" t="s">
        <v>1740</v>
      </c>
      <c r="E1883" s="630" t="s">
        <v>15</v>
      </c>
      <c r="F1883" s="630"/>
      <c r="G1883" s="655"/>
      <c r="H1883" s="655">
        <v>1229038.53819991</v>
      </c>
      <c r="I1883" s="655"/>
      <c r="J1883" s="635">
        <f t="shared" si="78"/>
        <v>1229038.53819991</v>
      </c>
      <c r="K1883" s="635"/>
      <c r="L1883" s="635"/>
      <c r="M1883" s="655">
        <f t="shared" si="79"/>
        <v>1229038.53819991</v>
      </c>
      <c r="N1883" s="644"/>
      <c r="P1883" s="636"/>
    </row>
    <row r="1884" spans="1:16" s="618" customFormat="1" ht="14.25" customHeight="1">
      <c r="A1884" s="643">
        <v>190</v>
      </c>
      <c r="B1884" s="625" t="e">
        <f>VLOOKUP(D1884,'[1]DS CN MOI UP'!$B$11:$C$447,2,0)</f>
        <v>#N/A</v>
      </c>
      <c r="C1884" s="626" t="s">
        <v>1625</v>
      </c>
      <c r="D1884" s="630" t="s">
        <v>1741</v>
      </c>
      <c r="E1884" s="630" t="s">
        <v>15</v>
      </c>
      <c r="F1884" s="630"/>
      <c r="G1884" s="655"/>
      <c r="H1884" s="655">
        <v>1159179.5249999999</v>
      </c>
      <c r="I1884" s="655"/>
      <c r="J1884" s="635">
        <f t="shared" si="78"/>
        <v>1159179.5249999999</v>
      </c>
      <c r="K1884" s="635"/>
      <c r="L1884" s="635"/>
      <c r="M1884" s="655">
        <f t="shared" si="79"/>
        <v>1159179.5249999999</v>
      </c>
      <c r="N1884" s="644"/>
      <c r="O1884" s="645"/>
      <c r="P1884" s="636"/>
    </row>
    <row r="1885" spans="1:16" s="618" customFormat="1" ht="14.25" customHeight="1">
      <c r="A1885" s="643">
        <v>191</v>
      </c>
      <c r="B1885" s="625" t="e">
        <f>VLOOKUP(D1885,'[1]DS CN MOI UP'!$B$11:$C$447,2,0)</f>
        <v>#N/A</v>
      </c>
      <c r="C1885" s="626" t="s">
        <v>1627</v>
      </c>
      <c r="D1885" s="630" t="s">
        <v>1742</v>
      </c>
      <c r="E1885" s="630" t="s">
        <v>15</v>
      </c>
      <c r="F1885" s="630"/>
      <c r="G1885" s="655"/>
      <c r="H1885" s="655">
        <v>1239846.615</v>
      </c>
      <c r="I1885" s="655"/>
      <c r="J1885" s="635">
        <f t="shared" si="78"/>
        <v>1239846.615</v>
      </c>
      <c r="K1885" s="635"/>
      <c r="L1885" s="635"/>
      <c r="M1885" s="655">
        <f t="shared" si="79"/>
        <v>1239846.615</v>
      </c>
      <c r="N1885" s="644"/>
      <c r="O1885" s="645"/>
      <c r="P1885" s="636"/>
    </row>
    <row r="1886" spans="1:16" s="618" customFormat="1" ht="14.25" customHeight="1">
      <c r="A1886" s="643">
        <v>192</v>
      </c>
      <c r="B1886" s="625" t="e">
        <f>VLOOKUP(D1886,'[1]DS CN MOI UP'!$B$11:$C$447,2,0)</f>
        <v>#N/A</v>
      </c>
      <c r="C1886" s="626" t="s">
        <v>1628</v>
      </c>
      <c r="D1886" s="630" t="s">
        <v>1743</v>
      </c>
      <c r="E1886" s="630" t="s">
        <v>15</v>
      </c>
      <c r="F1886" s="630"/>
      <c r="G1886" s="655"/>
      <c r="H1886" s="655">
        <v>1149145.3259999999</v>
      </c>
      <c r="I1886" s="655"/>
      <c r="J1886" s="635">
        <f t="shared" si="78"/>
        <v>1149145.3259999999</v>
      </c>
      <c r="K1886" s="635"/>
      <c r="L1886" s="635"/>
      <c r="M1886" s="655">
        <f t="shared" si="79"/>
        <v>1149145.3259999999</v>
      </c>
      <c r="N1886" s="644"/>
      <c r="O1886" s="645"/>
      <c r="P1886" s="636"/>
    </row>
    <row r="1887" spans="1:16" s="618" customFormat="1" ht="14.25" customHeight="1">
      <c r="A1887" s="643">
        <v>193</v>
      </c>
      <c r="B1887" s="625" t="e">
        <f>VLOOKUP(D1887,'[1]DS CN MOI UP'!$B$11:$C$447,2,0)</f>
        <v>#N/A</v>
      </c>
      <c r="C1887" s="626" t="s">
        <v>1628</v>
      </c>
      <c r="D1887" s="630" t="s">
        <v>1744</v>
      </c>
      <c r="E1887" s="630" t="s">
        <v>15</v>
      </c>
      <c r="F1887" s="630"/>
      <c r="G1887" s="655"/>
      <c r="H1887" s="655">
        <v>1229038.53819991</v>
      </c>
      <c r="I1887" s="655"/>
      <c r="J1887" s="635">
        <f t="shared" si="78"/>
        <v>1229038.53819991</v>
      </c>
      <c r="K1887" s="635"/>
      <c r="L1887" s="635"/>
      <c r="M1887" s="655">
        <f t="shared" si="79"/>
        <v>1229038.53819991</v>
      </c>
      <c r="N1887" s="644"/>
      <c r="O1887" s="645"/>
      <c r="P1887" s="636"/>
    </row>
    <row r="1888" spans="1:16" s="618" customFormat="1" ht="14.25" customHeight="1">
      <c r="A1888" s="643">
        <v>194</v>
      </c>
      <c r="B1888" s="625" t="e">
        <f>VLOOKUP(D1888,'[1]DS CN MOI UP'!$B$11:$C$447,2,0)</f>
        <v>#N/A</v>
      </c>
      <c r="C1888" s="626" t="s">
        <v>1628</v>
      </c>
      <c r="D1888" s="630" t="s">
        <v>780</v>
      </c>
      <c r="E1888" s="630" t="s">
        <v>15</v>
      </c>
      <c r="F1888" s="630"/>
      <c r="G1888" s="655"/>
      <c r="H1888" s="655">
        <v>1159179.5249999999</v>
      </c>
      <c r="I1888" s="655"/>
      <c r="J1888" s="635">
        <f t="shared" si="78"/>
        <v>1159179.5249999999</v>
      </c>
      <c r="K1888" s="635"/>
      <c r="L1888" s="635"/>
      <c r="M1888" s="655">
        <f t="shared" si="79"/>
        <v>1159179.5249999999</v>
      </c>
      <c r="N1888" s="644"/>
      <c r="O1888" s="645"/>
      <c r="P1888" s="636"/>
    </row>
    <row r="1889" spans="1:16" s="618" customFormat="1" ht="14.25" customHeight="1">
      <c r="A1889" s="643">
        <v>195</v>
      </c>
      <c r="B1889" s="625" t="e">
        <f>VLOOKUP(D1889,'[1]DS CN MOI UP'!$B$11:$C$447,2,0)</f>
        <v>#N/A</v>
      </c>
      <c r="C1889" s="626" t="s">
        <v>1628</v>
      </c>
      <c r="D1889" s="630" t="s">
        <v>781</v>
      </c>
      <c r="E1889" s="630" t="s">
        <v>15</v>
      </c>
      <c r="F1889" s="630"/>
      <c r="G1889" s="655"/>
      <c r="H1889" s="655">
        <v>1239846.615</v>
      </c>
      <c r="I1889" s="655"/>
      <c r="J1889" s="635">
        <f t="shared" si="78"/>
        <v>1239846.615</v>
      </c>
      <c r="K1889" s="635"/>
      <c r="L1889" s="635"/>
      <c r="M1889" s="655">
        <f t="shared" si="79"/>
        <v>1239846.615</v>
      </c>
      <c r="N1889" s="644"/>
      <c r="O1889" s="645"/>
      <c r="P1889" s="636"/>
    </row>
    <row r="1890" spans="1:16" s="618" customFormat="1" ht="14.25" customHeight="1">
      <c r="A1890" s="643">
        <v>196</v>
      </c>
      <c r="B1890" s="625" t="e">
        <f>VLOOKUP(D1890,'[1]DS CN MOI UP'!$B$11:$C$447,2,0)</f>
        <v>#N/A</v>
      </c>
      <c r="C1890" s="626" t="s">
        <v>1628</v>
      </c>
      <c r="D1890" s="630" t="s">
        <v>1745</v>
      </c>
      <c r="E1890" s="630" t="s">
        <v>15</v>
      </c>
      <c r="F1890" s="630"/>
      <c r="G1890" s="635"/>
      <c r="H1890" s="655">
        <v>1149145.3259999999</v>
      </c>
      <c r="I1890" s="655"/>
      <c r="J1890" s="635">
        <f t="shared" si="78"/>
        <v>1149145.3259999999</v>
      </c>
      <c r="K1890" s="635"/>
      <c r="L1890" s="635"/>
      <c r="M1890" s="655">
        <f t="shared" si="79"/>
        <v>1149145.3259999999</v>
      </c>
      <c r="N1890" s="644"/>
      <c r="O1890" s="645"/>
      <c r="P1890" s="636"/>
    </row>
    <row r="1891" spans="1:16" s="618" customFormat="1" ht="14.25" customHeight="1">
      <c r="A1891" s="643">
        <v>197</v>
      </c>
      <c r="B1891" s="625" t="e">
        <f>VLOOKUP(D1891,'[1]DS CN MOI UP'!$B$11:$C$447,2,0)</f>
        <v>#N/A</v>
      </c>
      <c r="C1891" s="626" t="s">
        <v>1628</v>
      </c>
      <c r="D1891" s="630" t="s">
        <v>1746</v>
      </c>
      <c r="E1891" s="630" t="s">
        <v>15</v>
      </c>
      <c r="F1891" s="630"/>
      <c r="G1891" s="635"/>
      <c r="H1891" s="655">
        <v>1159179.5249999999</v>
      </c>
      <c r="I1891" s="655"/>
      <c r="J1891" s="635">
        <f t="shared" si="78"/>
        <v>1159179.5249999999</v>
      </c>
      <c r="K1891" s="635"/>
      <c r="L1891" s="635"/>
      <c r="M1891" s="655">
        <f t="shared" si="79"/>
        <v>1159179.5249999999</v>
      </c>
      <c r="N1891" s="644"/>
      <c r="O1891" s="645"/>
      <c r="P1891" s="636"/>
    </row>
    <row r="1892" spans="1:16" s="618" customFormat="1" ht="14.25" customHeight="1">
      <c r="A1892" s="643">
        <v>198</v>
      </c>
      <c r="B1892" s="625" t="e">
        <f>VLOOKUP(D1892,'[1]DS CN MOI UP'!$B$11:$C$447,2,0)</f>
        <v>#N/A</v>
      </c>
      <c r="C1892" s="626" t="s">
        <v>1628</v>
      </c>
      <c r="D1892" s="630" t="s">
        <v>1747</v>
      </c>
      <c r="E1892" s="630" t="s">
        <v>15</v>
      </c>
      <c r="F1892" s="630"/>
      <c r="G1892" s="635"/>
      <c r="H1892" s="655">
        <v>1149145.3259999999</v>
      </c>
      <c r="I1892" s="655"/>
      <c r="J1892" s="635">
        <f t="shared" si="78"/>
        <v>1149145.3259999999</v>
      </c>
      <c r="K1892" s="635"/>
      <c r="L1892" s="635"/>
      <c r="M1892" s="655">
        <f t="shared" si="79"/>
        <v>1149145.3259999999</v>
      </c>
      <c r="N1892" s="644"/>
      <c r="O1892" s="645"/>
      <c r="P1892" s="636"/>
    </row>
    <row r="1893" spans="1:16" s="618" customFormat="1" ht="14.25" customHeight="1">
      <c r="A1893" s="643">
        <v>199</v>
      </c>
      <c r="B1893" s="625" t="e">
        <f>VLOOKUP(D1893,'[1]DS CN MOI UP'!$B$11:$C$447,2,0)</f>
        <v>#N/A</v>
      </c>
      <c r="C1893" s="626" t="s">
        <v>1628</v>
      </c>
      <c r="D1893" s="630" t="s">
        <v>1610</v>
      </c>
      <c r="E1893" s="630" t="s">
        <v>15</v>
      </c>
      <c r="F1893" s="630"/>
      <c r="G1893" s="635"/>
      <c r="H1893" s="655">
        <v>1159179.5249999999</v>
      </c>
      <c r="I1893" s="655"/>
      <c r="J1893" s="635">
        <f t="shared" si="78"/>
        <v>1159179.5249999999</v>
      </c>
      <c r="K1893" s="635"/>
      <c r="L1893" s="635"/>
      <c r="M1893" s="655">
        <f t="shared" si="79"/>
        <v>1159179.5249999999</v>
      </c>
      <c r="N1893" s="644"/>
      <c r="O1893" s="645"/>
      <c r="P1893" s="636"/>
    </row>
    <row r="1894" spans="1:16" s="618" customFormat="1" ht="14.25" customHeight="1">
      <c r="A1894" s="643">
        <v>200</v>
      </c>
      <c r="B1894" s="625" t="e">
        <f>VLOOKUP(D1894,'[1]DS CN MOI UP'!$B$11:$C$447,2,0)</f>
        <v>#N/A</v>
      </c>
      <c r="C1894" s="626" t="s">
        <v>1628</v>
      </c>
      <c r="D1894" s="630" t="s">
        <v>782</v>
      </c>
      <c r="E1894" s="630" t="s">
        <v>15</v>
      </c>
      <c r="F1894" s="630"/>
      <c r="G1894" s="635"/>
      <c r="H1894" s="655">
        <v>524139.33600000001</v>
      </c>
      <c r="I1894" s="635">
        <v>554373.09900000005</v>
      </c>
      <c r="J1894" s="635">
        <f t="shared" si="78"/>
        <v>1078512.4350000001</v>
      </c>
      <c r="K1894" s="635"/>
      <c r="L1894" s="635"/>
      <c r="M1894" s="655">
        <f t="shared" si="79"/>
        <v>1078512.4350000001</v>
      </c>
      <c r="N1894" s="644"/>
      <c r="O1894" s="645"/>
      <c r="P1894" s="636"/>
    </row>
    <row r="1895" spans="1:16" s="618" customFormat="1" ht="14.25" customHeight="1">
      <c r="A1895" s="643">
        <v>201</v>
      </c>
      <c r="B1895" s="625" t="e">
        <f>VLOOKUP(D1895,'[1]DS CN MOI UP'!$B$11:$C$447,2,0)</f>
        <v>#N/A</v>
      </c>
      <c r="C1895" s="626" t="s">
        <v>1628</v>
      </c>
      <c r="D1895" s="630" t="s">
        <v>1613</v>
      </c>
      <c r="E1895" s="630" t="s">
        <v>15</v>
      </c>
      <c r="F1895" s="630"/>
      <c r="G1895" s="635"/>
      <c r="H1895" s="655">
        <v>524139.33600000001</v>
      </c>
      <c r="I1895" s="635">
        <v>554373.09900000005</v>
      </c>
      <c r="J1895" s="635">
        <f t="shared" si="78"/>
        <v>1078512.4350000001</v>
      </c>
      <c r="K1895" s="635"/>
      <c r="L1895" s="635"/>
      <c r="M1895" s="655">
        <f t="shared" si="79"/>
        <v>1078512.4350000001</v>
      </c>
      <c r="N1895" s="644"/>
      <c r="O1895" s="645"/>
      <c r="P1895" s="636"/>
    </row>
    <row r="1896" spans="1:16" s="618" customFormat="1" ht="14.25" customHeight="1">
      <c r="A1896" s="643">
        <v>202</v>
      </c>
      <c r="B1896" s="625" t="e">
        <f>VLOOKUP(D1896,'[1]DS CN MOI UP'!$B$11:$C$447,2,0)</f>
        <v>#N/A</v>
      </c>
      <c r="C1896" s="626" t="s">
        <v>1628</v>
      </c>
      <c r="D1896" s="630" t="s">
        <v>1615</v>
      </c>
      <c r="E1896" s="630" t="s">
        <v>15</v>
      </c>
      <c r="F1896" s="630"/>
      <c r="G1896" s="655"/>
      <c r="H1896" s="655">
        <v>524139.33600000001</v>
      </c>
      <c r="I1896" s="655">
        <v>554373.09900000005</v>
      </c>
      <c r="J1896" s="635">
        <f t="shared" si="78"/>
        <v>1078512.4350000001</v>
      </c>
      <c r="K1896" s="635"/>
      <c r="L1896" s="635"/>
      <c r="M1896" s="655">
        <f t="shared" si="79"/>
        <v>1078512.4350000001</v>
      </c>
      <c r="N1896" s="644"/>
      <c r="O1896" s="645"/>
      <c r="P1896" s="636"/>
    </row>
    <row r="1897" spans="1:16" s="618" customFormat="1" ht="14.25" customHeight="1">
      <c r="A1897" s="643">
        <v>203</v>
      </c>
      <c r="B1897" s="625" t="e">
        <f>VLOOKUP(D1897,'[1]DS CN MOI UP'!$B$11:$C$447,2,0)</f>
        <v>#N/A</v>
      </c>
      <c r="C1897" s="626" t="s">
        <v>1628</v>
      </c>
      <c r="D1897" s="630" t="s">
        <v>1617</v>
      </c>
      <c r="E1897" s="630" t="s">
        <v>15</v>
      </c>
      <c r="F1897" s="630"/>
      <c r="G1897" s="655"/>
      <c r="H1897" s="655">
        <v>524139.33600000001</v>
      </c>
      <c r="I1897" s="655">
        <v>554373.09900000005</v>
      </c>
      <c r="J1897" s="635">
        <f t="shared" si="78"/>
        <v>1078512.4350000001</v>
      </c>
      <c r="K1897" s="635"/>
      <c r="L1897" s="635"/>
      <c r="M1897" s="655">
        <f t="shared" si="79"/>
        <v>1078512.4350000001</v>
      </c>
      <c r="N1897" s="644"/>
      <c r="O1897" s="645"/>
      <c r="P1897" s="636"/>
    </row>
    <row r="1898" spans="1:16" s="618" customFormat="1" ht="14.25" customHeight="1">
      <c r="A1898" s="643">
        <v>204</v>
      </c>
      <c r="B1898" s="625" t="e">
        <f>VLOOKUP(D1898,'[1]DS CN MOI UP'!$B$11:$C$447,2,0)</f>
        <v>#N/A</v>
      </c>
      <c r="C1898" s="626" t="s">
        <v>1628</v>
      </c>
      <c r="D1898" s="630" t="s">
        <v>1619</v>
      </c>
      <c r="E1898" s="630" t="s">
        <v>15</v>
      </c>
      <c r="F1898" s="630"/>
      <c r="G1898" s="655"/>
      <c r="H1898" s="655">
        <v>524139.33600000001</v>
      </c>
      <c r="I1898" s="655">
        <v>635040.18900000001</v>
      </c>
      <c r="J1898" s="635">
        <f t="shared" si="78"/>
        <v>1159179.5249999999</v>
      </c>
      <c r="K1898" s="635"/>
      <c r="L1898" s="635"/>
      <c r="M1898" s="655">
        <f t="shared" si="79"/>
        <v>1159179.5249999999</v>
      </c>
      <c r="N1898" s="644"/>
      <c r="O1898" s="645"/>
      <c r="P1898" s="636"/>
    </row>
    <row r="1899" spans="1:16" s="618" customFormat="1" ht="14.25" customHeight="1">
      <c r="A1899" s="643">
        <v>205</v>
      </c>
      <c r="B1899" s="625" t="e">
        <f>VLOOKUP(D1899,'[1]DS CN MOI UP'!$B$11:$C$447,2,0)</f>
        <v>#N/A</v>
      </c>
      <c r="C1899" s="626" t="s">
        <v>1628</v>
      </c>
      <c r="D1899" s="630" t="s">
        <v>1621</v>
      </c>
      <c r="E1899" s="630" t="s">
        <v>15</v>
      </c>
      <c r="F1899" s="630"/>
      <c r="G1899" s="655"/>
      <c r="H1899" s="655">
        <v>524139.33600000001</v>
      </c>
      <c r="I1899" s="655">
        <v>544338.9</v>
      </c>
      <c r="J1899" s="635">
        <f t="shared" si="78"/>
        <v>1068478.236</v>
      </c>
      <c r="K1899" s="635"/>
      <c r="L1899" s="635"/>
      <c r="M1899" s="655">
        <f t="shared" si="79"/>
        <v>1068478.236</v>
      </c>
      <c r="N1899" s="644"/>
      <c r="O1899" s="645"/>
      <c r="P1899" s="636"/>
    </row>
    <row r="1900" spans="1:16" s="618" customFormat="1" ht="14.25" customHeight="1">
      <c r="A1900" s="643">
        <v>206</v>
      </c>
      <c r="B1900" s="625" t="e">
        <f>VLOOKUP(D1900,'[1]DS CN MOI UP'!$B$11:$C$447,2,0)</f>
        <v>#N/A</v>
      </c>
      <c r="C1900" s="626" t="s">
        <v>1628</v>
      </c>
      <c r="D1900" s="630" t="s">
        <v>1623</v>
      </c>
      <c r="E1900" s="630" t="s">
        <v>15</v>
      </c>
      <c r="F1900" s="630"/>
      <c r="G1900" s="655"/>
      <c r="H1900" s="655">
        <v>524139.33600000001</v>
      </c>
      <c r="I1900" s="655">
        <v>574572.66299999994</v>
      </c>
      <c r="J1900" s="635">
        <f t="shared" si="78"/>
        <v>1098711.9989999998</v>
      </c>
      <c r="K1900" s="635"/>
      <c r="L1900" s="635"/>
      <c r="M1900" s="655">
        <f t="shared" si="79"/>
        <v>1098711.9989999998</v>
      </c>
      <c r="N1900" s="644"/>
      <c r="O1900" s="645"/>
      <c r="P1900" s="636"/>
    </row>
    <row r="1901" spans="1:16" s="618" customFormat="1" ht="14.25" customHeight="1">
      <c r="A1901" s="643">
        <v>207</v>
      </c>
      <c r="B1901" s="625" t="e">
        <f>VLOOKUP(D1901,'[1]DS CN MOI UP'!$B$11:$C$447,2,0)</f>
        <v>#N/A</v>
      </c>
      <c r="C1901" s="626" t="s">
        <v>1628</v>
      </c>
      <c r="D1901" s="630" t="s">
        <v>794</v>
      </c>
      <c r="E1901" s="630" t="s">
        <v>15</v>
      </c>
      <c r="F1901" s="630"/>
      <c r="G1901" s="655"/>
      <c r="H1901" s="655">
        <v>524139.33600000001</v>
      </c>
      <c r="I1901" s="655">
        <v>604806.42599999998</v>
      </c>
      <c r="J1901" s="635">
        <f t="shared" si="78"/>
        <v>1128945.7620000001</v>
      </c>
      <c r="K1901" s="635"/>
      <c r="L1901" s="635"/>
      <c r="M1901" s="655">
        <f t="shared" si="79"/>
        <v>1128945.7620000001</v>
      </c>
      <c r="N1901" s="644"/>
      <c r="O1901" s="645"/>
      <c r="P1901" s="636"/>
    </row>
    <row r="1902" spans="1:16" s="618" customFormat="1" ht="14.25" customHeight="1">
      <c r="A1902" s="643">
        <v>208</v>
      </c>
      <c r="B1902" s="625" t="e">
        <f>VLOOKUP(D1902,'[1]DS CN MOI UP'!$B$11:$C$447,2,0)</f>
        <v>#N/A</v>
      </c>
      <c r="C1902" s="626" t="s">
        <v>1628</v>
      </c>
      <c r="D1902" s="630" t="s">
        <v>1626</v>
      </c>
      <c r="E1902" s="630" t="s">
        <v>15</v>
      </c>
      <c r="F1902" s="630"/>
      <c r="G1902" s="655"/>
      <c r="H1902" s="655">
        <v>524139.33600000001</v>
      </c>
      <c r="I1902" s="655">
        <v>584606.86199999996</v>
      </c>
      <c r="J1902" s="635">
        <f t="shared" si="78"/>
        <v>1108746.1979999999</v>
      </c>
      <c r="K1902" s="635"/>
      <c r="L1902" s="635"/>
      <c r="M1902" s="655">
        <f t="shared" si="79"/>
        <v>1108746.1979999999</v>
      </c>
      <c r="N1902" s="644"/>
      <c r="O1902" s="645"/>
      <c r="P1902" s="636"/>
    </row>
    <row r="1903" spans="1:16" s="618" customFormat="1" ht="14.25" customHeight="1">
      <c r="A1903" s="643">
        <v>209</v>
      </c>
      <c r="B1903" s="625" t="e">
        <f>VLOOKUP(D1903,'[1]DS CN MOI UP'!$B$11:$C$447,2,0)</f>
        <v>#N/A</v>
      </c>
      <c r="C1903" s="626" t="s">
        <v>1628</v>
      </c>
      <c r="D1903" s="630" t="s">
        <v>1464</v>
      </c>
      <c r="E1903" s="630" t="s">
        <v>15</v>
      </c>
      <c r="F1903" s="630"/>
      <c r="G1903" s="655"/>
      <c r="H1903" s="655">
        <v>524139.33600000001</v>
      </c>
      <c r="I1903" s="655">
        <v>635040.18900000001</v>
      </c>
      <c r="J1903" s="635">
        <f t="shared" si="78"/>
        <v>1159179.5249999999</v>
      </c>
      <c r="K1903" s="635"/>
      <c r="L1903" s="635"/>
      <c r="M1903" s="655">
        <f t="shared" si="79"/>
        <v>1159179.5249999999</v>
      </c>
      <c r="N1903" s="644"/>
      <c r="O1903" s="645"/>
      <c r="P1903" s="636"/>
    </row>
    <row r="1904" spans="1:16" s="618" customFormat="1" ht="14.25" customHeight="1">
      <c r="A1904" s="643">
        <v>210</v>
      </c>
      <c r="B1904" s="625" t="e">
        <f>VLOOKUP(D1904,'[1]DS CN MOI UP'!$B$11:$C$447,2,0)</f>
        <v>#N/A</v>
      </c>
      <c r="C1904" s="626" t="s">
        <v>1628</v>
      </c>
      <c r="D1904" s="630" t="s">
        <v>1629</v>
      </c>
      <c r="E1904" s="630" t="s">
        <v>15</v>
      </c>
      <c r="F1904" s="630"/>
      <c r="G1904" s="635"/>
      <c r="H1904" s="655">
        <v>524139.33600000001</v>
      </c>
      <c r="I1904" s="635">
        <v>524139.33600000001</v>
      </c>
      <c r="J1904" s="635">
        <f t="shared" si="78"/>
        <v>1048278.672</v>
      </c>
      <c r="K1904" s="635"/>
      <c r="L1904" s="635"/>
      <c r="M1904" s="655">
        <f t="shared" si="79"/>
        <v>1048278.672</v>
      </c>
      <c r="N1904" s="644"/>
      <c r="O1904" s="645"/>
      <c r="P1904" s="636"/>
    </row>
    <row r="1905" spans="1:16" s="618" customFormat="1" ht="14.25" customHeight="1">
      <c r="A1905" s="643">
        <v>211</v>
      </c>
      <c r="B1905" s="625" t="e">
        <f>VLOOKUP(D1905,'[1]DS CN MOI UP'!$B$11:$C$447,2,0)</f>
        <v>#N/A</v>
      </c>
      <c r="C1905" s="626" t="s">
        <v>1628</v>
      </c>
      <c r="D1905" s="630" t="s">
        <v>1630</v>
      </c>
      <c r="E1905" s="630" t="s">
        <v>15</v>
      </c>
      <c r="F1905" s="630"/>
      <c r="G1905" s="635"/>
      <c r="H1905" s="655">
        <v>524139.33600000001</v>
      </c>
      <c r="I1905" s="635">
        <v>635040.18900000001</v>
      </c>
      <c r="J1905" s="635">
        <f t="shared" si="78"/>
        <v>1159179.5249999999</v>
      </c>
      <c r="K1905" s="635"/>
      <c r="L1905" s="635"/>
      <c r="M1905" s="655">
        <f t="shared" si="79"/>
        <v>1159179.5249999999</v>
      </c>
      <c r="N1905" s="644"/>
      <c r="O1905" s="645"/>
      <c r="P1905" s="636"/>
    </row>
    <row r="1906" spans="1:16" s="618" customFormat="1" ht="14.25" customHeight="1">
      <c r="A1906" s="643">
        <v>212</v>
      </c>
      <c r="B1906" s="625" t="e">
        <f>VLOOKUP(D1906,'[1]DS CN MOI UP'!$B$11:$C$447,2,0)</f>
        <v>#N/A</v>
      </c>
      <c r="C1906" s="626" t="s">
        <v>1628</v>
      </c>
      <c r="D1906" s="630" t="s">
        <v>1631</v>
      </c>
      <c r="E1906" s="630" t="s">
        <v>15</v>
      </c>
      <c r="F1906" s="630"/>
      <c r="G1906" s="635"/>
      <c r="H1906" s="655">
        <v>524139.33600000001</v>
      </c>
      <c r="I1906" s="635">
        <v>635040.18900000001</v>
      </c>
      <c r="J1906" s="635">
        <f t="shared" si="78"/>
        <v>1159179.5249999999</v>
      </c>
      <c r="K1906" s="635"/>
      <c r="L1906" s="635"/>
      <c r="M1906" s="655">
        <f t="shared" si="79"/>
        <v>1159179.5249999999</v>
      </c>
      <c r="N1906" s="644"/>
      <c r="O1906" s="645"/>
      <c r="P1906" s="636"/>
    </row>
    <row r="1907" spans="1:16" s="618" customFormat="1" ht="14.25" customHeight="1">
      <c r="A1907" s="643">
        <v>213</v>
      </c>
      <c r="B1907" s="625" t="e">
        <f>VLOOKUP(D1907,'[1]DS CN MOI UP'!$B$11:$C$447,2,0)</f>
        <v>#N/A</v>
      </c>
      <c r="C1907" s="626" t="s">
        <v>1628</v>
      </c>
      <c r="D1907" s="630" t="s">
        <v>1632</v>
      </c>
      <c r="E1907" s="630" t="s">
        <v>15</v>
      </c>
      <c r="F1907" s="630"/>
      <c r="G1907" s="635"/>
      <c r="H1907" s="655">
        <v>524139.33600000001</v>
      </c>
      <c r="I1907" s="635">
        <v>554373.09900000005</v>
      </c>
      <c r="J1907" s="635">
        <f t="shared" si="78"/>
        <v>1078512.4350000001</v>
      </c>
      <c r="K1907" s="635"/>
      <c r="L1907" s="635"/>
      <c r="M1907" s="655">
        <f t="shared" si="79"/>
        <v>1078512.4350000001</v>
      </c>
      <c r="N1907" s="644"/>
      <c r="O1907" s="645"/>
      <c r="P1907" s="636"/>
    </row>
    <row r="1908" spans="1:16" s="618" customFormat="1" ht="14.25" customHeight="1">
      <c r="A1908" s="643">
        <v>214</v>
      </c>
      <c r="B1908" s="625" t="e">
        <f>VLOOKUP(D1908,'[1]DS CN MOI UP'!$B$11:$C$447,2,0)</f>
        <v>#N/A</v>
      </c>
      <c r="C1908" s="626" t="s">
        <v>1628</v>
      </c>
      <c r="D1908" s="630" t="s">
        <v>1633</v>
      </c>
      <c r="E1908" s="630" t="s">
        <v>15</v>
      </c>
      <c r="F1908" s="630"/>
      <c r="G1908" s="635"/>
      <c r="H1908" s="655">
        <v>524139.33600000001</v>
      </c>
      <c r="I1908" s="635">
        <v>554373.09900000005</v>
      </c>
      <c r="J1908" s="635">
        <f t="shared" si="78"/>
        <v>1078512.4350000001</v>
      </c>
      <c r="K1908" s="635"/>
      <c r="L1908" s="635"/>
      <c r="M1908" s="655">
        <f t="shared" si="79"/>
        <v>1078512.4350000001</v>
      </c>
      <c r="N1908" s="644"/>
      <c r="O1908" s="645"/>
      <c r="P1908" s="636"/>
    </row>
    <row r="1909" spans="1:16" s="618" customFormat="1" ht="14.25" customHeight="1">
      <c r="A1909" s="643">
        <v>215</v>
      </c>
      <c r="B1909" s="625" t="str">
        <f>VLOOKUP(D1909,'[1]DS CN MOI UP'!$B$11:$C$447,2,0)</f>
        <v>02495</v>
      </c>
      <c r="C1909" s="626" t="s">
        <v>1628</v>
      </c>
      <c r="D1909" s="630" t="s">
        <v>120</v>
      </c>
      <c r="E1909" s="630" t="s">
        <v>15</v>
      </c>
      <c r="F1909" s="630"/>
      <c r="G1909" s="635"/>
      <c r="H1909" s="655">
        <v>524139.33600000001</v>
      </c>
      <c r="I1909" s="635">
        <v>554373.09900000005</v>
      </c>
      <c r="J1909" s="635">
        <f t="shared" si="78"/>
        <v>1078512.4350000001</v>
      </c>
      <c r="K1909" s="635"/>
      <c r="L1909" s="635"/>
      <c r="M1909" s="655">
        <f t="shared" si="79"/>
        <v>1078512.4350000001</v>
      </c>
      <c r="N1909" s="644"/>
      <c r="O1909" s="645"/>
      <c r="P1909" s="636"/>
    </row>
    <row r="1910" spans="1:16" s="618" customFormat="1" ht="14.25" customHeight="1">
      <c r="A1910" s="643">
        <v>216</v>
      </c>
      <c r="B1910" s="625" t="str">
        <f>VLOOKUP(D1910,'[1]DS CN MOI UP'!$B$11:$C$447,2,0)</f>
        <v>02505</v>
      </c>
      <c r="C1910" s="626" t="s">
        <v>1628</v>
      </c>
      <c r="D1910" s="630" t="s">
        <v>117</v>
      </c>
      <c r="E1910" s="630" t="s">
        <v>15</v>
      </c>
      <c r="F1910" s="630"/>
      <c r="G1910" s="655">
        <v>554373.09900000005</v>
      </c>
      <c r="H1910" s="655">
        <v>524139.33600000001</v>
      </c>
      <c r="I1910" s="655"/>
      <c r="J1910" s="635">
        <f t="shared" si="78"/>
        <v>1078512.4350000001</v>
      </c>
      <c r="K1910" s="635"/>
      <c r="L1910" s="635"/>
      <c r="M1910" s="655">
        <f t="shared" si="79"/>
        <v>1078512.4350000001</v>
      </c>
      <c r="N1910" s="644"/>
      <c r="O1910" s="645"/>
      <c r="P1910" s="636"/>
    </row>
    <row r="1911" spans="1:16" s="618" customFormat="1" ht="14.25" customHeight="1">
      <c r="A1911" s="643">
        <v>217</v>
      </c>
      <c r="B1911" s="625" t="str">
        <f>VLOOKUP(D1911,'[1]DS CN MOI UP'!$B$11:$C$447,2,0)</f>
        <v>02516</v>
      </c>
      <c r="C1911" s="626" t="s">
        <v>1628</v>
      </c>
      <c r="D1911" s="630" t="s">
        <v>122</v>
      </c>
      <c r="E1911" s="630" t="s">
        <v>15</v>
      </c>
      <c r="F1911" s="630"/>
      <c r="G1911" s="655">
        <v>554373.09900000005</v>
      </c>
      <c r="H1911" s="655">
        <v>524139.33600000001</v>
      </c>
      <c r="I1911" s="655"/>
      <c r="J1911" s="635">
        <f t="shared" si="78"/>
        <v>1078512.4350000001</v>
      </c>
      <c r="K1911" s="635"/>
      <c r="L1911" s="635"/>
      <c r="M1911" s="655">
        <f t="shared" si="79"/>
        <v>1078512.4350000001</v>
      </c>
      <c r="N1911" s="644"/>
      <c r="O1911" s="645"/>
      <c r="P1911" s="636"/>
    </row>
    <row r="1912" spans="1:16" s="618" customFormat="1" ht="14.25" customHeight="1">
      <c r="A1912" s="643">
        <v>218</v>
      </c>
      <c r="B1912" s="625" t="str">
        <f>VLOOKUP(D1912,'[1]DS CN MOI UP'!$B$11:$C$447,2,0)</f>
        <v>03347</v>
      </c>
      <c r="C1912" s="626" t="s">
        <v>1628</v>
      </c>
      <c r="D1912" s="630" t="s">
        <v>121</v>
      </c>
      <c r="E1912" s="630" t="s">
        <v>15</v>
      </c>
      <c r="F1912" s="630"/>
      <c r="G1912" s="655">
        <v>37754.9639999762</v>
      </c>
      <c r="H1912" s="655">
        <v>1224139.3359999999</v>
      </c>
      <c r="I1912" s="655"/>
      <c r="J1912" s="635">
        <f t="shared" si="78"/>
        <v>1261894.2999999761</v>
      </c>
      <c r="K1912" s="635"/>
      <c r="L1912" s="635"/>
      <c r="M1912" s="655">
        <f t="shared" si="79"/>
        <v>1261894.2999999761</v>
      </c>
      <c r="N1912" s="644"/>
      <c r="O1912" s="645"/>
      <c r="P1912" s="636"/>
    </row>
    <row r="1913" spans="1:16" s="618" customFormat="1" ht="14.25" customHeight="1">
      <c r="A1913" s="643">
        <v>219</v>
      </c>
      <c r="B1913" s="625" t="str">
        <f>VLOOKUP(D1913,'[1]DS CN MOI UP'!$B$11:$C$447,2,0)</f>
        <v>02539</v>
      </c>
      <c r="C1913" s="626" t="s">
        <v>1628</v>
      </c>
      <c r="D1913" s="630" t="s">
        <v>195</v>
      </c>
      <c r="E1913" s="630" t="s">
        <v>15</v>
      </c>
      <c r="F1913" s="630"/>
      <c r="G1913" s="655">
        <v>544338.9</v>
      </c>
      <c r="H1913" s="655">
        <v>524139.33600000001</v>
      </c>
      <c r="I1913" s="655"/>
      <c r="J1913" s="635">
        <f t="shared" si="78"/>
        <v>1068478.236</v>
      </c>
      <c r="K1913" s="635"/>
      <c r="L1913" s="635"/>
      <c r="M1913" s="655">
        <f t="shared" si="79"/>
        <v>1068478.236</v>
      </c>
      <c r="N1913" s="644"/>
      <c r="O1913" s="645"/>
      <c r="P1913" s="636"/>
    </row>
    <row r="1914" spans="1:16" s="618" customFormat="1" ht="14.25" customHeight="1">
      <c r="A1914" s="643">
        <v>220</v>
      </c>
      <c r="B1914" s="625" t="e">
        <f>VLOOKUP(D1914,'[1]DS CN MOI UP'!$B$11:$C$447,2,0)</f>
        <v>#N/A</v>
      </c>
      <c r="C1914" s="626" t="s">
        <v>1628</v>
      </c>
      <c r="D1914" s="630" t="s">
        <v>1174</v>
      </c>
      <c r="E1914" s="630" t="s">
        <v>15</v>
      </c>
      <c r="F1914" s="630"/>
      <c r="G1914" s="655">
        <v>574572.66299999994</v>
      </c>
      <c r="H1914" s="655">
        <v>524139.33600000001</v>
      </c>
      <c r="I1914" s="655"/>
      <c r="J1914" s="635">
        <f t="shared" si="78"/>
        <v>1098711.9989999998</v>
      </c>
      <c r="K1914" s="635"/>
      <c r="L1914" s="635"/>
      <c r="M1914" s="655">
        <f t="shared" si="79"/>
        <v>1098711.9989999998</v>
      </c>
      <c r="N1914" s="644"/>
      <c r="O1914" s="645"/>
      <c r="P1914" s="636"/>
    </row>
    <row r="1915" spans="1:16" s="618" customFormat="1" ht="14.25" customHeight="1">
      <c r="A1915" s="643">
        <v>221</v>
      </c>
      <c r="B1915" s="625" t="e">
        <f>VLOOKUP(D1915,'[1]DS CN MOI UP'!$B$11:$C$447,2,0)</f>
        <v>#N/A</v>
      </c>
      <c r="C1915" s="626" t="s">
        <v>1628</v>
      </c>
      <c r="D1915" s="630" t="s">
        <v>1175</v>
      </c>
      <c r="E1915" s="630" t="s">
        <v>15</v>
      </c>
      <c r="F1915" s="630"/>
      <c r="G1915" s="655">
        <v>315399.50300002802</v>
      </c>
      <c r="H1915" s="655">
        <v>946013.78802028298</v>
      </c>
      <c r="I1915" s="655"/>
      <c r="J1915" s="635">
        <f t="shared" si="78"/>
        <v>1261413.2910203109</v>
      </c>
      <c r="K1915" s="635"/>
      <c r="L1915" s="635"/>
      <c r="M1915" s="655">
        <f t="shared" si="79"/>
        <v>1261413.2910203109</v>
      </c>
      <c r="N1915" s="644"/>
      <c r="O1915" s="645"/>
      <c r="P1915" s="636"/>
    </row>
    <row r="1916" spans="1:16" s="618" customFormat="1" ht="14.25" customHeight="1">
      <c r="A1916" s="643">
        <v>222</v>
      </c>
      <c r="B1916" s="625" t="e">
        <f>VLOOKUP(D1916,'[1]DS CN MOI UP'!$B$11:$C$447,2,0)</f>
        <v>#N/A</v>
      </c>
      <c r="C1916" s="626" t="s">
        <v>1628</v>
      </c>
      <c r="D1916" s="630" t="s">
        <v>1176</v>
      </c>
      <c r="E1916" s="630" t="s">
        <v>15</v>
      </c>
      <c r="F1916" s="630"/>
      <c r="G1916" s="655"/>
      <c r="H1916" s="655">
        <v>1048278.672</v>
      </c>
      <c r="I1916" s="655"/>
      <c r="J1916" s="635">
        <f t="shared" si="78"/>
        <v>1048278.672</v>
      </c>
      <c r="K1916" s="635"/>
      <c r="L1916" s="635"/>
      <c r="M1916" s="655">
        <f t="shared" si="79"/>
        <v>1048278.672</v>
      </c>
      <c r="N1916" s="644"/>
      <c r="O1916" s="645"/>
      <c r="P1916" s="636"/>
    </row>
    <row r="1917" spans="1:16" s="242" customFormat="1" ht="14.25" customHeight="1">
      <c r="A1917" s="643">
        <v>223</v>
      </c>
      <c r="B1917" s="625" t="str">
        <f>VLOOKUP(D1917,'[1]DS CN MOI UP'!$B$11:$C$447,2,0)</f>
        <v>02541</v>
      </c>
      <c r="C1917" s="626" t="s">
        <v>1653</v>
      </c>
      <c r="D1917" s="61" t="s">
        <v>185</v>
      </c>
      <c r="E1917" s="630" t="s">
        <v>15</v>
      </c>
      <c r="F1917" s="630"/>
      <c r="G1917" s="655"/>
      <c r="H1917" s="655">
        <v>1048278.672</v>
      </c>
      <c r="I1917" s="655"/>
      <c r="J1917" s="635">
        <f t="shared" si="78"/>
        <v>1048278.672</v>
      </c>
      <c r="K1917" s="635"/>
      <c r="L1917" s="635"/>
      <c r="M1917" s="655">
        <f t="shared" si="79"/>
        <v>1048278.672</v>
      </c>
      <c r="N1917" s="644"/>
      <c r="P1917" s="636"/>
    </row>
    <row r="1918" spans="1:16" s="242" customFormat="1" ht="14.25" customHeight="1">
      <c r="A1918" s="643">
        <v>224</v>
      </c>
      <c r="B1918" s="625" t="e">
        <f>VLOOKUP(D1918,'[1]DS CN MOI UP'!$B$11:$C$447,2,0)</f>
        <v>#N/A</v>
      </c>
      <c r="C1918" s="626" t="s">
        <v>1546</v>
      </c>
      <c r="D1918" s="630" t="s">
        <v>1174</v>
      </c>
      <c r="E1918" s="630" t="s">
        <v>15</v>
      </c>
      <c r="F1918" s="630"/>
      <c r="G1918" s="635"/>
      <c r="H1918" s="655">
        <v>1239846.615</v>
      </c>
      <c r="I1918" s="655"/>
      <c r="J1918" s="635">
        <f t="shared" si="78"/>
        <v>1239846.615</v>
      </c>
      <c r="K1918" s="635"/>
      <c r="L1918" s="635"/>
      <c r="M1918" s="655">
        <f t="shared" si="79"/>
        <v>1239846.615</v>
      </c>
      <c r="N1918" s="644"/>
      <c r="P1918" s="636"/>
    </row>
    <row r="1919" spans="1:16" s="242" customFormat="1" ht="14.25" customHeight="1">
      <c r="A1919" s="643">
        <v>225</v>
      </c>
      <c r="B1919" s="625" t="e">
        <f>VLOOKUP(D1919,'[1]DS CN MOI UP'!$B$11:$C$447,2,0)</f>
        <v>#N/A</v>
      </c>
      <c r="C1919" s="626" t="s">
        <v>1547</v>
      </c>
      <c r="D1919" s="630" t="s">
        <v>1748</v>
      </c>
      <c r="E1919" s="630" t="s">
        <v>15</v>
      </c>
      <c r="F1919" s="630"/>
      <c r="G1919" s="635"/>
      <c r="H1919" s="655">
        <v>1149145.3259999999</v>
      </c>
      <c r="I1919" s="655"/>
      <c r="J1919" s="635">
        <f t="shared" si="78"/>
        <v>1149145.3259999999</v>
      </c>
      <c r="K1919" s="635"/>
      <c r="L1919" s="635"/>
      <c r="M1919" s="655">
        <f t="shared" si="79"/>
        <v>1149145.3259999999</v>
      </c>
      <c r="N1919" s="644"/>
      <c r="P1919" s="636"/>
    </row>
    <row r="1920" spans="1:16" s="242" customFormat="1" ht="14.25" customHeight="1">
      <c r="A1920" s="643">
        <v>226</v>
      </c>
      <c r="B1920" s="625" t="e">
        <f>VLOOKUP(D1920,'[1]DS CN MOI UP'!$B$11:$C$447,2,0)</f>
        <v>#N/A</v>
      </c>
      <c r="C1920" s="626" t="s">
        <v>1548</v>
      </c>
      <c r="D1920" s="630" t="s">
        <v>1749</v>
      </c>
      <c r="E1920" s="630" t="s">
        <v>15</v>
      </c>
      <c r="F1920" s="630"/>
      <c r="G1920" s="635"/>
      <c r="H1920" s="655">
        <v>1229038.53819991</v>
      </c>
      <c r="I1920" s="655"/>
      <c r="J1920" s="635">
        <f t="shared" si="78"/>
        <v>1229038.53819991</v>
      </c>
      <c r="K1920" s="635"/>
      <c r="L1920" s="635"/>
      <c r="M1920" s="655">
        <f t="shared" si="79"/>
        <v>1229038.53819991</v>
      </c>
      <c r="N1920" s="644"/>
      <c r="P1920" s="636"/>
    </row>
    <row r="1921" spans="1:16" s="242" customFormat="1" ht="14.25" customHeight="1">
      <c r="A1921" s="643">
        <v>227</v>
      </c>
      <c r="B1921" s="625" t="e">
        <f>VLOOKUP(D1921,'[1]DS CN MOI UP'!$B$11:$C$447,2,0)</f>
        <v>#N/A</v>
      </c>
      <c r="C1921" s="626" t="s">
        <v>1549</v>
      </c>
      <c r="D1921" s="630" t="s">
        <v>1750</v>
      </c>
      <c r="E1921" s="630" t="s">
        <v>15</v>
      </c>
      <c r="F1921" s="630"/>
      <c r="G1921" s="635"/>
      <c r="H1921" s="655">
        <v>1159179.5249999999</v>
      </c>
      <c r="I1921" s="655"/>
      <c r="J1921" s="635">
        <f t="shared" si="78"/>
        <v>1159179.5249999999</v>
      </c>
      <c r="K1921" s="635"/>
      <c r="L1921" s="635"/>
      <c r="M1921" s="655">
        <f t="shared" si="79"/>
        <v>1159179.5249999999</v>
      </c>
      <c r="N1921" s="644"/>
      <c r="P1921" s="636"/>
    </row>
    <row r="1922" spans="1:16" s="242" customFormat="1" ht="14.25" customHeight="1">
      <c r="A1922" s="643">
        <v>228</v>
      </c>
      <c r="B1922" s="625" t="e">
        <f>VLOOKUP(D1922,'[1]DS CN MOI UP'!$B$11:$C$447,2,0)</f>
        <v>#N/A</v>
      </c>
      <c r="C1922" s="626" t="s">
        <v>1550</v>
      </c>
      <c r="D1922" s="630" t="s">
        <v>1751</v>
      </c>
      <c r="E1922" s="630" t="s">
        <v>15</v>
      </c>
      <c r="F1922" s="630"/>
      <c r="G1922" s="635"/>
      <c r="H1922" s="655">
        <v>1239846.615</v>
      </c>
      <c r="I1922" s="655"/>
      <c r="J1922" s="635">
        <f t="shared" si="78"/>
        <v>1239846.615</v>
      </c>
      <c r="K1922" s="635"/>
      <c r="L1922" s="635"/>
      <c r="M1922" s="655">
        <f t="shared" si="79"/>
        <v>1239846.615</v>
      </c>
      <c r="N1922" s="644"/>
      <c r="P1922" s="636"/>
    </row>
    <row r="1923" spans="1:16" s="242" customFormat="1" ht="14.25" customHeight="1">
      <c r="A1923" s="643">
        <v>229</v>
      </c>
      <c r="B1923" s="625" t="e">
        <f>VLOOKUP(D1923,'[1]DS CN MOI UP'!$B$11:$C$447,2,0)</f>
        <v>#N/A</v>
      </c>
      <c r="C1923" s="626" t="s">
        <v>1551</v>
      </c>
      <c r="D1923" s="630" t="s">
        <v>1752</v>
      </c>
      <c r="E1923" s="630" t="s">
        <v>15</v>
      </c>
      <c r="F1923" s="630"/>
      <c r="G1923" s="655"/>
      <c r="H1923" s="655">
        <v>1149145.3259999999</v>
      </c>
      <c r="I1923" s="655"/>
      <c r="J1923" s="635">
        <f t="shared" si="78"/>
        <v>1149145.3259999999</v>
      </c>
      <c r="K1923" s="635"/>
      <c r="L1923" s="635"/>
      <c r="M1923" s="655">
        <f t="shared" si="79"/>
        <v>1149145.3259999999</v>
      </c>
      <c r="N1923" s="644"/>
      <c r="P1923" s="636"/>
    </row>
    <row r="1924" spans="1:16" s="242" customFormat="1" ht="14.25" customHeight="1">
      <c r="A1924" s="643">
        <v>230</v>
      </c>
      <c r="B1924" s="625" t="e">
        <f>VLOOKUP(D1924,'[1]DS CN MOI UP'!$B$11:$C$447,2,0)</f>
        <v>#N/A</v>
      </c>
      <c r="C1924" s="626" t="s">
        <v>1552</v>
      </c>
      <c r="D1924" s="630" t="s">
        <v>1753</v>
      </c>
      <c r="E1924" s="630" t="s">
        <v>15</v>
      </c>
      <c r="F1924" s="630"/>
      <c r="G1924" s="655"/>
      <c r="H1924" s="655">
        <v>1159179.5249999999</v>
      </c>
      <c r="I1924" s="655"/>
      <c r="J1924" s="635">
        <f t="shared" si="78"/>
        <v>1159179.5249999999</v>
      </c>
      <c r="K1924" s="635"/>
      <c r="L1924" s="635"/>
      <c r="M1924" s="655">
        <f t="shared" si="79"/>
        <v>1159179.5249999999</v>
      </c>
      <c r="N1924" s="644"/>
      <c r="P1924" s="636"/>
    </row>
    <row r="1925" spans="1:16" s="242" customFormat="1" ht="14.25" customHeight="1">
      <c r="A1925" s="643">
        <v>231</v>
      </c>
      <c r="B1925" s="625" t="e">
        <f>VLOOKUP(D1925,'[1]DS CN MOI UP'!$B$11:$C$447,2,0)</f>
        <v>#N/A</v>
      </c>
      <c r="C1925" s="626" t="s">
        <v>1554</v>
      </c>
      <c r="D1925" s="630" t="s">
        <v>1754</v>
      </c>
      <c r="E1925" s="630" t="s">
        <v>15</v>
      </c>
      <c r="F1925" s="630"/>
      <c r="G1925" s="655"/>
      <c r="H1925" s="655">
        <v>1239846.615</v>
      </c>
      <c r="I1925" s="655"/>
      <c r="J1925" s="635">
        <f t="shared" si="78"/>
        <v>1239846.615</v>
      </c>
      <c r="K1925" s="635"/>
      <c r="L1925" s="635"/>
      <c r="M1925" s="655">
        <f t="shared" si="79"/>
        <v>1239846.615</v>
      </c>
      <c r="N1925" s="644"/>
      <c r="P1925" s="636"/>
    </row>
    <row r="1926" spans="1:16" s="242" customFormat="1" ht="14.25" customHeight="1">
      <c r="A1926" s="643">
        <v>232</v>
      </c>
      <c r="B1926" s="625" t="e">
        <f>VLOOKUP(D1926,'[1]DS CN MOI UP'!$B$11:$C$447,2,0)</f>
        <v>#N/A</v>
      </c>
      <c r="C1926" s="626" t="s">
        <v>1556</v>
      </c>
      <c r="D1926" s="630" t="s">
        <v>1755</v>
      </c>
      <c r="E1926" s="630" t="s">
        <v>15</v>
      </c>
      <c r="F1926" s="630"/>
      <c r="G1926" s="655"/>
      <c r="H1926" s="655">
        <v>1149145.3259999999</v>
      </c>
      <c r="I1926" s="655"/>
      <c r="J1926" s="635">
        <f t="shared" si="78"/>
        <v>1149145.3259999999</v>
      </c>
      <c r="K1926" s="635"/>
      <c r="L1926" s="635"/>
      <c r="M1926" s="655">
        <f t="shared" si="79"/>
        <v>1149145.3259999999</v>
      </c>
      <c r="N1926" s="644"/>
      <c r="P1926" s="636"/>
    </row>
    <row r="1927" spans="1:16" s="242" customFormat="1" ht="14.25" customHeight="1">
      <c r="A1927" s="643">
        <v>233</v>
      </c>
      <c r="B1927" s="625" t="e">
        <f>VLOOKUP(D1927,'[1]DS CN MOI UP'!$B$11:$C$447,2,0)</f>
        <v>#N/A</v>
      </c>
      <c r="C1927" s="626" t="s">
        <v>1558</v>
      </c>
      <c r="D1927" s="630" t="s">
        <v>1756</v>
      </c>
      <c r="E1927" s="630" t="s">
        <v>15</v>
      </c>
      <c r="F1927" s="630"/>
      <c r="G1927" s="655"/>
      <c r="H1927" s="655">
        <v>1229038.53819991</v>
      </c>
      <c r="I1927" s="655"/>
      <c r="J1927" s="635">
        <f t="shared" si="78"/>
        <v>1229038.53819991</v>
      </c>
      <c r="K1927" s="635"/>
      <c r="L1927" s="635"/>
      <c r="M1927" s="655">
        <f t="shared" si="79"/>
        <v>1229038.53819991</v>
      </c>
      <c r="N1927" s="644"/>
      <c r="P1927" s="636"/>
    </row>
    <row r="1928" spans="1:16" s="242" customFormat="1" ht="14.25" customHeight="1">
      <c r="A1928" s="643">
        <v>234</v>
      </c>
      <c r="B1928" s="625" t="e">
        <f>VLOOKUP(D1928,'[1]DS CN MOI UP'!$B$11:$C$447,2,0)</f>
        <v>#N/A</v>
      </c>
      <c r="C1928" s="626" t="s">
        <v>1560</v>
      </c>
      <c r="D1928" s="630" t="s">
        <v>730</v>
      </c>
      <c r="E1928" s="630" t="s">
        <v>15</v>
      </c>
      <c r="F1928" s="630"/>
      <c r="G1928" s="655"/>
      <c r="H1928" s="655">
        <v>1159179.5249999999</v>
      </c>
      <c r="I1928" s="655"/>
      <c r="J1928" s="635">
        <f t="shared" si="78"/>
        <v>1159179.5249999999</v>
      </c>
      <c r="K1928" s="635"/>
      <c r="L1928" s="635"/>
      <c r="M1928" s="655">
        <f t="shared" si="79"/>
        <v>1159179.5249999999</v>
      </c>
      <c r="N1928" s="644"/>
      <c r="P1928" s="636"/>
    </row>
    <row r="1929" spans="1:16" s="242" customFormat="1" ht="14.25" customHeight="1">
      <c r="A1929" s="643">
        <v>235</v>
      </c>
      <c r="B1929" s="625" t="e">
        <f>VLOOKUP(D1929,'[1]DS CN MOI UP'!$B$11:$C$447,2,0)</f>
        <v>#N/A</v>
      </c>
      <c r="C1929" s="626" t="s">
        <v>1562</v>
      </c>
      <c r="D1929" s="630" t="s">
        <v>1757</v>
      </c>
      <c r="E1929" s="630" t="s">
        <v>15</v>
      </c>
      <c r="F1929" s="630"/>
      <c r="G1929" s="655"/>
      <c r="H1929" s="655">
        <v>1239846.615</v>
      </c>
      <c r="I1929" s="655"/>
      <c r="J1929" s="635">
        <f t="shared" si="78"/>
        <v>1239846.615</v>
      </c>
      <c r="K1929" s="635"/>
      <c r="L1929" s="635"/>
      <c r="M1929" s="655">
        <f t="shared" si="79"/>
        <v>1239846.615</v>
      </c>
      <c r="N1929" s="644"/>
      <c r="P1929" s="636"/>
    </row>
    <row r="1930" spans="1:16" s="242" customFormat="1" ht="14.25" customHeight="1">
      <c r="A1930" s="643">
        <v>236</v>
      </c>
      <c r="B1930" s="625" t="e">
        <f>VLOOKUP(D1930,'[1]DS CN MOI UP'!$B$11:$C$447,2,0)</f>
        <v>#N/A</v>
      </c>
      <c r="C1930" s="626" t="s">
        <v>1564</v>
      </c>
      <c r="D1930" s="630" t="s">
        <v>1758</v>
      </c>
      <c r="E1930" s="630" t="s">
        <v>15</v>
      </c>
      <c r="F1930" s="630"/>
      <c r="G1930" s="655"/>
      <c r="H1930" s="655">
        <v>1149145.3259999999</v>
      </c>
      <c r="I1930" s="655"/>
      <c r="J1930" s="635">
        <f t="shared" si="78"/>
        <v>1149145.3259999999</v>
      </c>
      <c r="K1930" s="635"/>
      <c r="L1930" s="635"/>
      <c r="M1930" s="655">
        <f t="shared" si="79"/>
        <v>1149145.3259999999</v>
      </c>
      <c r="N1930" s="644"/>
      <c r="P1930" s="636"/>
    </row>
    <row r="1931" spans="1:16" s="242" customFormat="1" ht="14.25" customHeight="1">
      <c r="A1931" s="643">
        <v>237</v>
      </c>
      <c r="B1931" s="625" t="e">
        <f>VLOOKUP(D1931,'[1]DS CN MOI UP'!$B$11:$C$447,2,0)</f>
        <v>#N/A</v>
      </c>
      <c r="C1931" s="626" t="s">
        <v>1566</v>
      </c>
      <c r="D1931" s="630" t="s">
        <v>1759</v>
      </c>
      <c r="E1931" s="630" t="s">
        <v>15</v>
      </c>
      <c r="F1931" s="630"/>
      <c r="G1931" s="635"/>
      <c r="H1931" s="655">
        <v>1229038.53819991</v>
      </c>
      <c r="I1931" s="655"/>
      <c r="J1931" s="635">
        <f t="shared" si="78"/>
        <v>1229038.53819991</v>
      </c>
      <c r="K1931" s="635"/>
      <c r="L1931" s="635"/>
      <c r="M1931" s="655">
        <f t="shared" si="79"/>
        <v>1229038.53819991</v>
      </c>
      <c r="N1931" s="644"/>
      <c r="P1931" s="636"/>
    </row>
    <row r="1932" spans="1:16" s="242" customFormat="1" ht="14.25" customHeight="1">
      <c r="A1932" s="643">
        <v>238</v>
      </c>
      <c r="B1932" s="625" t="e">
        <f>VLOOKUP(D1932,'[1]DS CN MOI UP'!$B$11:$C$447,2,0)</f>
        <v>#N/A</v>
      </c>
      <c r="C1932" s="626" t="s">
        <v>1568</v>
      </c>
      <c r="D1932" s="630" t="s">
        <v>1760</v>
      </c>
      <c r="E1932" s="630" t="s">
        <v>15</v>
      </c>
      <c r="F1932" s="630"/>
      <c r="G1932" s="635"/>
      <c r="H1932" s="655">
        <v>1159179.5249999999</v>
      </c>
      <c r="I1932" s="655"/>
      <c r="J1932" s="635">
        <f t="shared" si="78"/>
        <v>1159179.5249999999</v>
      </c>
      <c r="K1932" s="635"/>
      <c r="L1932" s="635"/>
      <c r="M1932" s="655">
        <f t="shared" si="79"/>
        <v>1159179.5249999999</v>
      </c>
      <c r="N1932" s="644"/>
      <c r="P1932" s="636"/>
    </row>
    <row r="1933" spans="1:16" s="242" customFormat="1" ht="14.25" customHeight="1">
      <c r="A1933" s="643">
        <v>239</v>
      </c>
      <c r="B1933" s="625" t="e">
        <f>VLOOKUP(D1933,'[1]DS CN MOI UP'!$B$11:$C$447,2,0)</f>
        <v>#N/A</v>
      </c>
      <c r="C1933" s="626" t="s">
        <v>1570</v>
      </c>
      <c r="D1933" s="630" t="s">
        <v>1761</v>
      </c>
      <c r="E1933" s="630" t="s">
        <v>15</v>
      </c>
      <c r="F1933" s="630"/>
      <c r="G1933" s="635"/>
      <c r="H1933" s="655">
        <v>1239846.615</v>
      </c>
      <c r="I1933" s="655"/>
      <c r="J1933" s="635">
        <f t="shared" si="78"/>
        <v>1239846.615</v>
      </c>
      <c r="K1933" s="635"/>
      <c r="L1933" s="635"/>
      <c r="M1933" s="655">
        <f t="shared" si="79"/>
        <v>1239846.615</v>
      </c>
      <c r="N1933" s="644"/>
      <c r="P1933" s="636"/>
    </row>
    <row r="1934" spans="1:16" s="242" customFormat="1" ht="14.25" customHeight="1">
      <c r="A1934" s="643">
        <v>240</v>
      </c>
      <c r="B1934" s="625" t="e">
        <f>VLOOKUP(D1934,'[1]DS CN MOI UP'!$B$11:$C$447,2,0)</f>
        <v>#N/A</v>
      </c>
      <c r="C1934" s="626" t="s">
        <v>1572</v>
      </c>
      <c r="D1934" s="630" t="s">
        <v>1462</v>
      </c>
      <c r="E1934" s="630" t="s">
        <v>15</v>
      </c>
      <c r="F1934" s="630"/>
      <c r="G1934" s="635"/>
      <c r="H1934" s="655">
        <v>1149145.3259999999</v>
      </c>
      <c r="I1934" s="655"/>
      <c r="J1934" s="635">
        <f t="shared" si="78"/>
        <v>1149145.3259999999</v>
      </c>
      <c r="K1934" s="635"/>
      <c r="L1934" s="635"/>
      <c r="M1934" s="655">
        <f t="shared" si="79"/>
        <v>1149145.3259999999</v>
      </c>
      <c r="N1934" s="644"/>
      <c r="P1934" s="636"/>
    </row>
    <row r="1935" spans="1:16" s="242" customFormat="1" ht="14.25" customHeight="1">
      <c r="A1935" s="643">
        <v>241</v>
      </c>
      <c r="B1935" s="625" t="e">
        <f>VLOOKUP(D1935,'[1]DS CN MOI UP'!$B$11:$C$447,2,0)</f>
        <v>#N/A</v>
      </c>
      <c r="C1935" s="626" t="s">
        <v>1574</v>
      </c>
      <c r="D1935" s="630" t="s">
        <v>1463</v>
      </c>
      <c r="E1935" s="630" t="s">
        <v>15</v>
      </c>
      <c r="F1935" s="630"/>
      <c r="G1935" s="635"/>
      <c r="H1935" s="655">
        <v>1159179.5249999999</v>
      </c>
      <c r="I1935" s="655"/>
      <c r="J1935" s="635">
        <f t="shared" si="78"/>
        <v>1159179.5249999999</v>
      </c>
      <c r="K1935" s="635"/>
      <c r="L1935" s="635"/>
      <c r="M1935" s="655">
        <f t="shared" si="79"/>
        <v>1159179.5249999999</v>
      </c>
      <c r="N1935" s="644"/>
      <c r="P1935" s="636"/>
    </row>
    <row r="1936" spans="1:16" s="242" customFormat="1" ht="14.25" customHeight="1">
      <c r="A1936" s="643">
        <v>242</v>
      </c>
      <c r="B1936" s="625" t="e">
        <f>VLOOKUP(D1936,'[1]DS CN MOI UP'!$B$11:$C$447,2,0)</f>
        <v>#N/A</v>
      </c>
      <c r="C1936" s="626" t="s">
        <v>1576</v>
      </c>
      <c r="D1936" s="630" t="s">
        <v>1464</v>
      </c>
      <c r="E1936" s="630" t="s">
        <v>15</v>
      </c>
      <c r="F1936" s="630"/>
      <c r="G1936" s="635"/>
      <c r="H1936" s="655">
        <v>1239846.615</v>
      </c>
      <c r="I1936" s="655"/>
      <c r="J1936" s="635">
        <f t="shared" si="78"/>
        <v>1239846.615</v>
      </c>
      <c r="K1936" s="635"/>
      <c r="L1936" s="635"/>
      <c r="M1936" s="655">
        <f t="shared" si="79"/>
        <v>1239846.615</v>
      </c>
      <c r="N1936" s="644"/>
      <c r="P1936" s="636"/>
    </row>
    <row r="1937" spans="1:16" s="242" customFormat="1" ht="14.25" customHeight="1">
      <c r="A1937" s="643">
        <v>243</v>
      </c>
      <c r="B1937" s="625" t="e">
        <f>VLOOKUP(D1937,'[1]DS CN MOI UP'!$B$11:$C$447,2,0)</f>
        <v>#N/A</v>
      </c>
      <c r="C1937" s="626" t="s">
        <v>1578</v>
      </c>
      <c r="D1937" s="630" t="s">
        <v>740</v>
      </c>
      <c r="E1937" s="630" t="s">
        <v>15</v>
      </c>
      <c r="F1937" s="630"/>
      <c r="G1937" s="655"/>
      <c r="H1937" s="655">
        <v>1149145.3259999999</v>
      </c>
      <c r="I1937" s="655"/>
      <c r="J1937" s="635">
        <f t="shared" si="78"/>
        <v>1149145.3259999999</v>
      </c>
      <c r="K1937" s="635"/>
      <c r="L1937" s="635"/>
      <c r="M1937" s="655">
        <f t="shared" si="79"/>
        <v>1149145.3259999999</v>
      </c>
      <c r="N1937" s="644"/>
      <c r="P1937" s="636"/>
    </row>
    <row r="1938" spans="1:16" s="242" customFormat="1" ht="14.25" customHeight="1">
      <c r="A1938" s="643">
        <v>244</v>
      </c>
      <c r="B1938" s="625" t="e">
        <f>VLOOKUP(D1938,'[1]DS CN MOI UP'!$B$11:$C$447,2,0)</f>
        <v>#N/A</v>
      </c>
      <c r="C1938" s="626" t="s">
        <v>1580</v>
      </c>
      <c r="D1938" s="630" t="s">
        <v>741</v>
      </c>
      <c r="E1938" s="630" t="s">
        <v>15</v>
      </c>
      <c r="F1938" s="630"/>
      <c r="G1938" s="655"/>
      <c r="H1938" s="655">
        <v>1229038.53819991</v>
      </c>
      <c r="I1938" s="655"/>
      <c r="J1938" s="635">
        <f t="shared" si="78"/>
        <v>1229038.53819991</v>
      </c>
      <c r="K1938" s="635"/>
      <c r="L1938" s="635"/>
      <c r="M1938" s="655">
        <f t="shared" si="79"/>
        <v>1229038.53819991</v>
      </c>
      <c r="N1938" s="644"/>
      <c r="P1938" s="636"/>
    </row>
    <row r="1939" spans="1:16" s="242" customFormat="1" ht="14.25" customHeight="1">
      <c r="A1939" s="643">
        <v>245</v>
      </c>
      <c r="B1939" s="625" t="e">
        <f>VLOOKUP(D1939,'[1]DS CN MOI UP'!$B$11:$C$447,2,0)</f>
        <v>#N/A</v>
      </c>
      <c r="C1939" s="626" t="s">
        <v>1582</v>
      </c>
      <c r="D1939" s="630" t="s">
        <v>1465</v>
      </c>
      <c r="E1939" s="630" t="s">
        <v>15</v>
      </c>
      <c r="F1939" s="630"/>
      <c r="G1939" s="655"/>
      <c r="H1939" s="655">
        <v>1159179.5249999999</v>
      </c>
      <c r="I1939" s="655"/>
      <c r="J1939" s="635">
        <f t="shared" si="78"/>
        <v>1159179.5249999999</v>
      </c>
      <c r="K1939" s="635"/>
      <c r="L1939" s="635"/>
      <c r="M1939" s="655">
        <f t="shared" si="79"/>
        <v>1159179.5249999999</v>
      </c>
      <c r="N1939" s="644"/>
      <c r="P1939" s="636"/>
    </row>
    <row r="1940" spans="1:16" s="242" customFormat="1" ht="14.25" customHeight="1">
      <c r="A1940" s="643">
        <v>246</v>
      </c>
      <c r="B1940" s="625" t="e">
        <f>VLOOKUP(D1940,'[1]DS CN MOI UP'!$B$11:$C$447,2,0)</f>
        <v>#N/A</v>
      </c>
      <c r="C1940" s="626" t="s">
        <v>1584</v>
      </c>
      <c r="D1940" s="630" t="s">
        <v>743</v>
      </c>
      <c r="E1940" s="630" t="s">
        <v>15</v>
      </c>
      <c r="F1940" s="630"/>
      <c r="G1940" s="655"/>
      <c r="H1940" s="655">
        <v>1239846.615</v>
      </c>
      <c r="I1940" s="655"/>
      <c r="J1940" s="635">
        <f t="shared" si="78"/>
        <v>1239846.615</v>
      </c>
      <c r="K1940" s="635"/>
      <c r="L1940" s="635"/>
      <c r="M1940" s="655">
        <f t="shared" si="79"/>
        <v>1239846.615</v>
      </c>
      <c r="N1940" s="644"/>
      <c r="P1940" s="636"/>
    </row>
    <row r="1941" spans="1:16" s="242" customFormat="1" ht="14.25" customHeight="1">
      <c r="A1941" s="643">
        <v>247</v>
      </c>
      <c r="B1941" s="625" t="e">
        <f>VLOOKUP(D1941,'[1]DS CN MOI UP'!$B$11:$C$447,2,0)</f>
        <v>#N/A</v>
      </c>
      <c r="C1941" s="626" t="s">
        <v>1586</v>
      </c>
      <c r="D1941" s="630" t="s">
        <v>1466</v>
      </c>
      <c r="E1941" s="630" t="s">
        <v>15</v>
      </c>
      <c r="F1941" s="630"/>
      <c r="G1941" s="655"/>
      <c r="H1941" s="655">
        <v>1239846.615</v>
      </c>
      <c r="I1941" s="655"/>
      <c r="J1941" s="635">
        <f t="shared" si="78"/>
        <v>1239846.615</v>
      </c>
      <c r="K1941" s="635"/>
      <c r="L1941" s="635"/>
      <c r="M1941" s="655">
        <f t="shared" si="79"/>
        <v>1239846.615</v>
      </c>
      <c r="N1941" s="644"/>
      <c r="P1941" s="636"/>
    </row>
    <row r="1942" spans="1:16" s="242" customFormat="1" ht="14.25" customHeight="1">
      <c r="A1942" s="643">
        <v>248</v>
      </c>
      <c r="B1942" s="625" t="e">
        <f>VLOOKUP(D1942,'[1]DS CN MOI UP'!$B$11:$C$447,2,0)</f>
        <v>#N/A</v>
      </c>
      <c r="C1942" s="61" t="s">
        <v>1588</v>
      </c>
      <c r="D1942" s="630" t="s">
        <v>745</v>
      </c>
      <c r="E1942" s="630" t="s">
        <v>15</v>
      </c>
      <c r="F1942" s="630"/>
      <c r="G1942" s="655"/>
      <c r="H1942" s="655">
        <v>1149145.3259999999</v>
      </c>
      <c r="I1942" s="655"/>
      <c r="J1942" s="635">
        <f t="shared" si="78"/>
        <v>1149145.3259999999</v>
      </c>
      <c r="K1942" s="635"/>
      <c r="L1942" s="635"/>
      <c r="M1942" s="655">
        <f t="shared" si="79"/>
        <v>1149145.3259999999</v>
      </c>
      <c r="N1942" s="644"/>
      <c r="P1942" s="636"/>
    </row>
    <row r="1943" spans="1:16" s="242" customFormat="1" ht="14.25" customHeight="1">
      <c r="A1943" s="643">
        <v>249</v>
      </c>
      <c r="B1943" s="625" t="e">
        <f>VLOOKUP(D1943,'[1]DS CN MOI UP'!$B$11:$C$447,2,0)</f>
        <v>#N/A</v>
      </c>
      <c r="C1943" s="626" t="s">
        <v>1590</v>
      </c>
      <c r="D1943" s="630" t="s">
        <v>1467</v>
      </c>
      <c r="E1943" s="630" t="s">
        <v>15</v>
      </c>
      <c r="F1943" s="630"/>
      <c r="G1943" s="655"/>
      <c r="H1943" s="655">
        <v>1229038.53819991</v>
      </c>
      <c r="I1943" s="655"/>
      <c r="J1943" s="635">
        <f t="shared" si="78"/>
        <v>1229038.53819991</v>
      </c>
      <c r="K1943" s="635"/>
      <c r="L1943" s="635"/>
      <c r="M1943" s="655">
        <f t="shared" si="79"/>
        <v>1229038.53819991</v>
      </c>
      <c r="N1943" s="644"/>
      <c r="P1943" s="636"/>
    </row>
    <row r="1944" spans="1:16" s="242" customFormat="1" ht="14.25" customHeight="1">
      <c r="A1944" s="643">
        <v>250</v>
      </c>
      <c r="B1944" s="625" t="e">
        <f>VLOOKUP(D1944,'[1]DS CN MOI UP'!$B$11:$C$447,2,0)</f>
        <v>#N/A</v>
      </c>
      <c r="C1944" s="626" t="s">
        <v>1592</v>
      </c>
      <c r="D1944" s="630" t="s">
        <v>747</v>
      </c>
      <c r="E1944" s="630" t="s">
        <v>15</v>
      </c>
      <c r="F1944" s="630"/>
      <c r="G1944" s="655"/>
      <c r="H1944" s="655">
        <v>1159179.5249999999</v>
      </c>
      <c r="I1944" s="655"/>
      <c r="J1944" s="635">
        <f t="shared" si="78"/>
        <v>1159179.5249999999</v>
      </c>
      <c r="K1944" s="635"/>
      <c r="L1944" s="635"/>
      <c r="M1944" s="655">
        <f t="shared" si="79"/>
        <v>1159179.5249999999</v>
      </c>
      <c r="N1944" s="644"/>
      <c r="P1944" s="636"/>
    </row>
    <row r="1945" spans="1:16" s="242" customFormat="1" ht="14.25" customHeight="1">
      <c r="A1945" s="643">
        <v>251</v>
      </c>
      <c r="B1945" s="625" t="e">
        <f>VLOOKUP(D1945,'[1]DS CN MOI UP'!$B$11:$C$447,2,0)</f>
        <v>#N/A</v>
      </c>
      <c r="C1945" s="626" t="s">
        <v>1594</v>
      </c>
      <c r="D1945" s="630" t="s">
        <v>746</v>
      </c>
      <c r="E1945" s="630" t="s">
        <v>15</v>
      </c>
      <c r="F1945" s="630"/>
      <c r="G1945" s="635"/>
      <c r="H1945" s="655">
        <v>1239846.615</v>
      </c>
      <c r="I1945" s="655"/>
      <c r="J1945" s="635">
        <f t="shared" si="78"/>
        <v>1239846.615</v>
      </c>
      <c r="K1945" s="635"/>
      <c r="L1945" s="635"/>
      <c r="M1945" s="655">
        <f t="shared" si="79"/>
        <v>1239846.615</v>
      </c>
      <c r="N1945" s="644"/>
      <c r="P1945" s="636"/>
    </row>
    <row r="1946" spans="1:16" s="242" customFormat="1" ht="14.25" customHeight="1">
      <c r="A1946" s="643">
        <v>252</v>
      </c>
      <c r="B1946" s="625" t="e">
        <f>VLOOKUP(D1946,'[1]DS CN MOI UP'!$B$11:$C$447,2,0)</f>
        <v>#N/A</v>
      </c>
      <c r="C1946" s="626" t="s">
        <v>1595</v>
      </c>
      <c r="D1946" s="630" t="s">
        <v>749</v>
      </c>
      <c r="E1946" s="630" t="s">
        <v>15</v>
      </c>
      <c r="F1946" s="630"/>
      <c r="G1946" s="635"/>
      <c r="H1946" s="655">
        <v>1149145.3259999999</v>
      </c>
      <c r="I1946" s="655"/>
      <c r="J1946" s="635">
        <f t="shared" si="78"/>
        <v>1149145.3259999999</v>
      </c>
      <c r="K1946" s="635"/>
      <c r="L1946" s="635"/>
      <c r="M1946" s="655">
        <f t="shared" si="79"/>
        <v>1149145.3259999999</v>
      </c>
      <c r="N1946" s="644"/>
      <c r="P1946" s="636"/>
    </row>
    <row r="1947" spans="1:16" s="242" customFormat="1" ht="14.25" customHeight="1">
      <c r="A1947" s="643">
        <v>253</v>
      </c>
      <c r="B1947" s="625" t="e">
        <f>VLOOKUP(D1947,'[1]DS CN MOI UP'!$B$11:$C$447,2,0)</f>
        <v>#N/A</v>
      </c>
      <c r="C1947" s="626" t="s">
        <v>1597</v>
      </c>
      <c r="D1947" s="630" t="s">
        <v>1468</v>
      </c>
      <c r="E1947" s="630" t="s">
        <v>15</v>
      </c>
      <c r="F1947" s="630"/>
      <c r="G1947" s="635"/>
      <c r="H1947" s="655">
        <v>1159179.5249999999</v>
      </c>
      <c r="I1947" s="655"/>
      <c r="J1947" s="635">
        <f t="shared" si="78"/>
        <v>1159179.5249999999</v>
      </c>
      <c r="K1947" s="635"/>
      <c r="L1947" s="635"/>
      <c r="M1947" s="655">
        <f t="shared" si="79"/>
        <v>1159179.5249999999</v>
      </c>
      <c r="N1947" s="644"/>
      <c r="P1947" s="636"/>
    </row>
    <row r="1948" spans="1:16" s="242" customFormat="1" ht="14.25" customHeight="1">
      <c r="A1948" s="643">
        <v>254</v>
      </c>
      <c r="B1948" s="625" t="e">
        <f>VLOOKUP(D1948,'[1]DS CN MOI UP'!$B$11:$C$447,2,0)</f>
        <v>#N/A</v>
      </c>
      <c r="C1948" s="626" t="s">
        <v>1599</v>
      </c>
      <c r="D1948" s="630" t="s">
        <v>751</v>
      </c>
      <c r="E1948" s="630" t="s">
        <v>15</v>
      </c>
      <c r="F1948" s="630"/>
      <c r="G1948" s="635"/>
      <c r="H1948" s="655">
        <v>1239846.615</v>
      </c>
      <c r="I1948" s="655"/>
      <c r="J1948" s="635">
        <f t="shared" si="78"/>
        <v>1239846.615</v>
      </c>
      <c r="K1948" s="635"/>
      <c r="L1948" s="635"/>
      <c r="M1948" s="655">
        <f t="shared" si="79"/>
        <v>1239846.615</v>
      </c>
      <c r="N1948" s="644"/>
      <c r="P1948" s="636"/>
    </row>
    <row r="1949" spans="1:16" s="242" customFormat="1" ht="14.25" customHeight="1">
      <c r="A1949" s="643">
        <v>255</v>
      </c>
      <c r="B1949" s="625" t="e">
        <f>VLOOKUP(D1949,'[1]DS CN MOI UP'!$B$11:$C$447,2,0)</f>
        <v>#N/A</v>
      </c>
      <c r="C1949" s="626" t="s">
        <v>1601</v>
      </c>
      <c r="D1949" s="630" t="s">
        <v>752</v>
      </c>
      <c r="E1949" s="630" t="s">
        <v>15</v>
      </c>
      <c r="F1949" s="630"/>
      <c r="G1949" s="635"/>
      <c r="H1949" s="655">
        <v>1149145.3259999999</v>
      </c>
      <c r="I1949" s="655"/>
      <c r="J1949" s="635">
        <f t="shared" si="78"/>
        <v>1149145.3259999999</v>
      </c>
      <c r="K1949" s="635"/>
      <c r="L1949" s="635"/>
      <c r="M1949" s="655">
        <f t="shared" si="79"/>
        <v>1149145.3259999999</v>
      </c>
      <c r="N1949" s="644"/>
      <c r="P1949" s="636"/>
    </row>
    <row r="1950" spans="1:16" s="242" customFormat="1" ht="14.25" customHeight="1">
      <c r="A1950" s="643">
        <v>256</v>
      </c>
      <c r="B1950" s="625" t="str">
        <f>VLOOKUP(D1950,'[1]DS CN MOI UP'!$B$11:$C$447,2,0)</f>
        <v>02605</v>
      </c>
      <c r="C1950" s="626" t="s">
        <v>1603</v>
      </c>
      <c r="D1950" s="630" t="s">
        <v>258</v>
      </c>
      <c r="E1950" s="630" t="s">
        <v>15</v>
      </c>
      <c r="F1950" s="630"/>
      <c r="G1950" s="635"/>
      <c r="H1950" s="655">
        <v>1229038.53819991</v>
      </c>
      <c r="I1950" s="655"/>
      <c r="J1950" s="635">
        <f t="shared" ref="J1950:J2032" si="80">SUM(G1950:I1950)</f>
        <v>1229038.53819991</v>
      </c>
      <c r="K1950" s="635"/>
      <c r="L1950" s="635"/>
      <c r="M1950" s="655">
        <f t="shared" ref="M1950:M2032" si="81">J1950-L1950</f>
        <v>1229038.53819991</v>
      </c>
      <c r="N1950" s="644"/>
      <c r="P1950" s="636"/>
    </row>
    <row r="1951" spans="1:16" s="242" customFormat="1" ht="14.25" customHeight="1">
      <c r="A1951" s="643">
        <v>257</v>
      </c>
      <c r="B1951" s="625" t="e">
        <f>VLOOKUP(D1951,'[1]DS CN MOI UP'!$B$11:$C$447,2,0)</f>
        <v>#N/A</v>
      </c>
      <c r="C1951" s="626" t="s">
        <v>1605</v>
      </c>
      <c r="D1951" s="630" t="s">
        <v>754</v>
      </c>
      <c r="E1951" s="630" t="s">
        <v>15</v>
      </c>
      <c r="F1951" s="630"/>
      <c r="G1951" s="655"/>
      <c r="H1951" s="655">
        <v>1159179.5249999999</v>
      </c>
      <c r="I1951" s="655"/>
      <c r="J1951" s="635">
        <f t="shared" si="80"/>
        <v>1159179.5249999999</v>
      </c>
      <c r="K1951" s="635"/>
      <c r="L1951" s="635"/>
      <c r="M1951" s="655">
        <f t="shared" si="81"/>
        <v>1159179.5249999999</v>
      </c>
      <c r="N1951" s="644"/>
      <c r="P1951" s="636"/>
    </row>
    <row r="1952" spans="1:16" s="242" customFormat="1" ht="14.25" customHeight="1">
      <c r="A1952" s="643">
        <v>258</v>
      </c>
      <c r="B1952" s="625" t="e">
        <f>VLOOKUP(D1952,'[1]DS CN MOI UP'!$B$11:$C$447,2,0)</f>
        <v>#N/A</v>
      </c>
      <c r="C1952" s="626" t="s">
        <v>1607</v>
      </c>
      <c r="D1952" s="630" t="s">
        <v>1469</v>
      </c>
      <c r="E1952" s="630" t="s">
        <v>15</v>
      </c>
      <c r="F1952" s="630"/>
      <c r="G1952" s="655"/>
      <c r="H1952" s="655">
        <v>1239846.615</v>
      </c>
      <c r="I1952" s="655"/>
      <c r="J1952" s="635">
        <f t="shared" si="80"/>
        <v>1239846.615</v>
      </c>
      <c r="K1952" s="635"/>
      <c r="L1952" s="635"/>
      <c r="M1952" s="655">
        <f t="shared" si="81"/>
        <v>1239846.615</v>
      </c>
      <c r="N1952" s="644"/>
      <c r="P1952" s="636"/>
    </row>
    <row r="1953" spans="1:16" s="242" customFormat="1" ht="14.25" customHeight="1">
      <c r="A1953" s="643">
        <v>259</v>
      </c>
      <c r="B1953" s="625" t="e">
        <f>VLOOKUP(D1953,'[1]DS CN MOI UP'!$B$11:$C$447,2,0)</f>
        <v>#N/A</v>
      </c>
      <c r="C1953" s="626" t="s">
        <v>1609</v>
      </c>
      <c r="D1953" s="630" t="s">
        <v>1470</v>
      </c>
      <c r="E1953" s="630" t="s">
        <v>15</v>
      </c>
      <c r="F1953" s="630"/>
      <c r="G1953" s="655"/>
      <c r="H1953" s="655">
        <v>1149145.3259999999</v>
      </c>
      <c r="I1953" s="655"/>
      <c r="J1953" s="635">
        <f t="shared" si="80"/>
        <v>1149145.3259999999</v>
      </c>
      <c r="K1953" s="635"/>
      <c r="L1953" s="635"/>
      <c r="M1953" s="655">
        <f t="shared" si="81"/>
        <v>1149145.3259999999</v>
      </c>
      <c r="N1953" s="644"/>
      <c r="P1953" s="636"/>
    </row>
    <row r="1954" spans="1:16" s="242" customFormat="1" ht="14.25" customHeight="1">
      <c r="A1954" s="643">
        <v>260</v>
      </c>
      <c r="B1954" s="625" t="e">
        <f>VLOOKUP(D1954,'[1]DS CN MOI UP'!$B$11:$C$447,2,0)</f>
        <v>#N/A</v>
      </c>
      <c r="C1954" s="626" t="s">
        <v>1611</v>
      </c>
      <c r="D1954" s="630" t="s">
        <v>1471</v>
      </c>
      <c r="E1954" s="630" t="s">
        <v>15</v>
      </c>
      <c r="F1954" s="630"/>
      <c r="G1954" s="655"/>
      <c r="H1954" s="655">
        <v>1229038.53819991</v>
      </c>
      <c r="I1954" s="655"/>
      <c r="J1954" s="635">
        <f t="shared" si="80"/>
        <v>1229038.53819991</v>
      </c>
      <c r="K1954" s="635"/>
      <c r="L1954" s="635"/>
      <c r="M1954" s="655">
        <f t="shared" si="81"/>
        <v>1229038.53819991</v>
      </c>
      <c r="N1954" s="644"/>
      <c r="P1954" s="636"/>
    </row>
    <row r="1955" spans="1:16" s="242" customFormat="1" ht="14.25" customHeight="1">
      <c r="A1955" s="643">
        <v>261</v>
      </c>
      <c r="B1955" s="625" t="e">
        <f>VLOOKUP(D1955,'[1]DS CN MOI UP'!$B$11:$C$447,2,0)</f>
        <v>#N/A</v>
      </c>
      <c r="C1955" s="626" t="s">
        <v>1612</v>
      </c>
      <c r="D1955" s="630" t="s">
        <v>1472</v>
      </c>
      <c r="E1955" s="630" t="s">
        <v>15</v>
      </c>
      <c r="F1955" s="630"/>
      <c r="G1955" s="655"/>
      <c r="H1955" s="655">
        <v>1159179.5249999999</v>
      </c>
      <c r="I1955" s="655"/>
      <c r="J1955" s="635">
        <f t="shared" si="80"/>
        <v>1159179.5249999999</v>
      </c>
      <c r="K1955" s="635"/>
      <c r="L1955" s="635"/>
      <c r="M1955" s="655">
        <f t="shared" si="81"/>
        <v>1159179.5249999999</v>
      </c>
      <c r="N1955" s="644"/>
      <c r="P1955" s="636"/>
    </row>
    <row r="1956" spans="1:16" s="242" customFormat="1" ht="14.25" customHeight="1">
      <c r="A1956" s="643">
        <v>262</v>
      </c>
      <c r="B1956" s="625" t="e">
        <f>VLOOKUP(D1956,'[1]DS CN MOI UP'!$B$11:$C$447,2,0)</f>
        <v>#N/A</v>
      </c>
      <c r="C1956" s="626" t="s">
        <v>1614</v>
      </c>
      <c r="D1956" s="630" t="s">
        <v>1473</v>
      </c>
      <c r="E1956" s="630" t="s">
        <v>15</v>
      </c>
      <c r="F1956" s="630"/>
      <c r="G1956" s="655"/>
      <c r="H1956" s="655">
        <v>1239846.615</v>
      </c>
      <c r="I1956" s="655"/>
      <c r="J1956" s="635">
        <f t="shared" si="80"/>
        <v>1239846.615</v>
      </c>
      <c r="K1956" s="635"/>
      <c r="L1956" s="635"/>
      <c r="M1956" s="655">
        <f t="shared" si="81"/>
        <v>1239846.615</v>
      </c>
      <c r="N1956" s="644"/>
      <c r="P1956" s="636"/>
    </row>
    <row r="1957" spans="1:16" s="242" customFormat="1" ht="14.25" customHeight="1">
      <c r="A1957" s="643">
        <v>263</v>
      </c>
      <c r="B1957" s="625" t="e">
        <f>VLOOKUP(D1957,'[1]DS CN MOI UP'!$B$11:$C$447,2,0)</f>
        <v>#N/A</v>
      </c>
      <c r="C1957" s="626" t="s">
        <v>1616</v>
      </c>
      <c r="D1957" s="630" t="s">
        <v>1474</v>
      </c>
      <c r="E1957" s="630" t="s">
        <v>15</v>
      </c>
      <c r="F1957" s="630"/>
      <c r="G1957" s="655"/>
      <c r="H1957" s="655">
        <v>1149145.3259999999</v>
      </c>
      <c r="I1957" s="655"/>
      <c r="J1957" s="635">
        <f t="shared" si="80"/>
        <v>1149145.3259999999</v>
      </c>
      <c r="K1957" s="635"/>
      <c r="L1957" s="635"/>
      <c r="M1957" s="655">
        <f t="shared" si="81"/>
        <v>1149145.3259999999</v>
      </c>
      <c r="N1957" s="644"/>
      <c r="P1957" s="636"/>
    </row>
    <row r="1958" spans="1:16" s="242" customFormat="1" ht="14.25" customHeight="1">
      <c r="A1958" s="643">
        <v>264</v>
      </c>
      <c r="B1958" s="625" t="e">
        <f>VLOOKUP(D1958,'[1]DS CN MOI UP'!$B$11:$C$447,2,0)</f>
        <v>#N/A</v>
      </c>
      <c r="C1958" s="626" t="s">
        <v>1618</v>
      </c>
      <c r="D1958" s="630" t="s">
        <v>1475</v>
      </c>
      <c r="E1958" s="630" t="s">
        <v>15</v>
      </c>
      <c r="F1958" s="630"/>
      <c r="G1958" s="655"/>
      <c r="H1958" s="655">
        <v>1159179.5249999999</v>
      </c>
      <c r="I1958" s="655"/>
      <c r="J1958" s="635">
        <f t="shared" si="80"/>
        <v>1159179.5249999999</v>
      </c>
      <c r="K1958" s="635"/>
      <c r="L1958" s="635"/>
      <c r="M1958" s="655">
        <f t="shared" si="81"/>
        <v>1159179.5249999999</v>
      </c>
      <c r="N1958" s="644"/>
      <c r="P1958" s="636"/>
    </row>
    <row r="1959" spans="1:16" s="242" customFormat="1" ht="14.25" customHeight="1">
      <c r="A1959" s="643">
        <v>265</v>
      </c>
      <c r="B1959" s="625" t="e">
        <f>VLOOKUP(D1959,'[1]DS CN MOI UP'!$B$11:$C$447,2,0)</f>
        <v>#N/A</v>
      </c>
      <c r="C1959" s="626" t="s">
        <v>1620</v>
      </c>
      <c r="D1959" s="630" t="s">
        <v>1476</v>
      </c>
      <c r="E1959" s="630" t="s">
        <v>15</v>
      </c>
      <c r="F1959" s="630"/>
      <c r="G1959" s="635"/>
      <c r="H1959" s="655">
        <v>1239846.615</v>
      </c>
      <c r="I1959" s="655"/>
      <c r="J1959" s="635">
        <f t="shared" si="80"/>
        <v>1239846.615</v>
      </c>
      <c r="K1959" s="635"/>
      <c r="L1959" s="635"/>
      <c r="M1959" s="655">
        <f t="shared" si="81"/>
        <v>1239846.615</v>
      </c>
      <c r="N1959" s="644"/>
      <c r="P1959" s="636"/>
    </row>
    <row r="1960" spans="1:16" s="242" customFormat="1" ht="14.25" customHeight="1">
      <c r="A1960" s="643">
        <v>266</v>
      </c>
      <c r="B1960" s="625" t="e">
        <f>VLOOKUP(D1960,'[1]DS CN MOI UP'!$B$11:$C$447,2,0)</f>
        <v>#N/A</v>
      </c>
      <c r="C1960" s="626" t="s">
        <v>1622</v>
      </c>
      <c r="D1960" s="630" t="s">
        <v>1477</v>
      </c>
      <c r="E1960" s="630" t="s">
        <v>15</v>
      </c>
      <c r="F1960" s="630"/>
      <c r="G1960" s="635"/>
      <c r="H1960" s="655">
        <v>1149145.3259999999</v>
      </c>
      <c r="I1960" s="655"/>
      <c r="J1960" s="635">
        <f t="shared" si="80"/>
        <v>1149145.3259999999</v>
      </c>
      <c r="K1960" s="635"/>
      <c r="L1960" s="635"/>
      <c r="M1960" s="655">
        <f t="shared" si="81"/>
        <v>1149145.3259999999</v>
      </c>
      <c r="N1960" s="644"/>
      <c r="P1960" s="636"/>
    </row>
    <row r="1961" spans="1:16" s="242" customFormat="1" ht="14.25" customHeight="1">
      <c r="A1961" s="643">
        <v>267</v>
      </c>
      <c r="B1961" s="625" t="e">
        <f>VLOOKUP(D1961,'[1]DS CN MOI UP'!$B$11:$C$447,2,0)</f>
        <v>#N/A</v>
      </c>
      <c r="C1961" s="626" t="s">
        <v>1624</v>
      </c>
      <c r="D1961" s="630" t="s">
        <v>1478</v>
      </c>
      <c r="E1961" s="630" t="s">
        <v>15</v>
      </c>
      <c r="F1961" s="630"/>
      <c r="G1961" s="635"/>
      <c r="H1961" s="655">
        <v>1229038.53819991</v>
      </c>
      <c r="I1961" s="655"/>
      <c r="J1961" s="635">
        <f t="shared" si="80"/>
        <v>1229038.53819991</v>
      </c>
      <c r="K1961" s="635"/>
      <c r="L1961" s="635"/>
      <c r="M1961" s="655">
        <f t="shared" si="81"/>
        <v>1229038.53819991</v>
      </c>
      <c r="N1961" s="644"/>
      <c r="P1961" s="636"/>
    </row>
    <row r="1962" spans="1:16" s="618" customFormat="1" ht="14.25" customHeight="1">
      <c r="A1962" s="643">
        <v>268</v>
      </c>
      <c r="B1962" s="625" t="e">
        <f>VLOOKUP(D1962,'[1]DS CN MOI UP'!$B$11:$C$447,2,0)</f>
        <v>#N/A</v>
      </c>
      <c r="C1962" s="626" t="s">
        <v>1625</v>
      </c>
      <c r="D1962" s="630" t="s">
        <v>1479</v>
      </c>
      <c r="E1962" s="630" t="s">
        <v>15</v>
      </c>
      <c r="F1962" s="630"/>
      <c r="G1962" s="635"/>
      <c r="H1962" s="655">
        <v>1159179.5249999999</v>
      </c>
      <c r="I1962" s="655"/>
      <c r="J1962" s="635">
        <f t="shared" si="80"/>
        <v>1159179.5249999999</v>
      </c>
      <c r="K1962" s="635"/>
      <c r="L1962" s="635"/>
      <c r="M1962" s="655">
        <f t="shared" si="81"/>
        <v>1159179.5249999999</v>
      </c>
      <c r="N1962" s="644"/>
      <c r="O1962" s="645"/>
      <c r="P1962" s="636"/>
    </row>
    <row r="1963" spans="1:16" s="618" customFormat="1" ht="14.25" customHeight="1">
      <c r="A1963" s="643">
        <v>269</v>
      </c>
      <c r="B1963" s="625" t="e">
        <f>VLOOKUP(D1963,'[1]DS CN MOI UP'!$B$11:$C$447,2,0)</f>
        <v>#N/A</v>
      </c>
      <c r="C1963" s="626" t="s">
        <v>1627</v>
      </c>
      <c r="D1963" s="630" t="s">
        <v>1480</v>
      </c>
      <c r="E1963" s="630" t="s">
        <v>15</v>
      </c>
      <c r="F1963" s="630"/>
      <c r="G1963" s="635"/>
      <c r="H1963" s="655">
        <v>1239846.615</v>
      </c>
      <c r="I1963" s="655"/>
      <c r="J1963" s="635">
        <f t="shared" si="80"/>
        <v>1239846.615</v>
      </c>
      <c r="K1963" s="635"/>
      <c r="L1963" s="635"/>
      <c r="M1963" s="655">
        <f t="shared" si="81"/>
        <v>1239846.615</v>
      </c>
      <c r="N1963" s="644"/>
      <c r="O1963" s="645"/>
      <c r="P1963" s="636"/>
    </row>
    <row r="1964" spans="1:16" s="618" customFormat="1" ht="14.25" customHeight="1">
      <c r="A1964" s="643">
        <v>270</v>
      </c>
      <c r="B1964" s="625" t="e">
        <f>VLOOKUP(D1964,'[1]DS CN MOI UP'!$B$11:$C$447,2,0)</f>
        <v>#N/A</v>
      </c>
      <c r="C1964" s="626" t="s">
        <v>1628</v>
      </c>
      <c r="D1964" s="630" t="s">
        <v>1481</v>
      </c>
      <c r="E1964" s="630" t="s">
        <v>15</v>
      </c>
      <c r="F1964" s="630"/>
      <c r="G1964" s="635"/>
      <c r="H1964" s="655">
        <v>1159179.5249999999</v>
      </c>
      <c r="I1964" s="655"/>
      <c r="J1964" s="635">
        <f t="shared" si="80"/>
        <v>1159179.5249999999</v>
      </c>
      <c r="K1964" s="635"/>
      <c r="L1964" s="635"/>
      <c r="M1964" s="655">
        <f t="shared" si="81"/>
        <v>1159179.5249999999</v>
      </c>
      <c r="N1964" s="644"/>
      <c r="O1964" s="645"/>
      <c r="P1964" s="636"/>
    </row>
    <row r="1965" spans="1:16" s="618" customFormat="1" ht="14.25" customHeight="1">
      <c r="A1965" s="643">
        <v>271</v>
      </c>
      <c r="B1965" s="625" t="e">
        <f>VLOOKUP(D1965,'[1]DS CN MOI UP'!$B$11:$C$447,2,0)</f>
        <v>#N/A</v>
      </c>
      <c r="C1965" s="626" t="s">
        <v>1628</v>
      </c>
      <c r="D1965" s="630" t="s">
        <v>1482</v>
      </c>
      <c r="E1965" s="630" t="s">
        <v>15</v>
      </c>
      <c r="F1965" s="630"/>
      <c r="G1965" s="655"/>
      <c r="H1965" s="655">
        <v>1239846.615</v>
      </c>
      <c r="I1965" s="655"/>
      <c r="J1965" s="635">
        <f t="shared" si="80"/>
        <v>1239846.615</v>
      </c>
      <c r="K1965" s="635"/>
      <c r="L1965" s="635"/>
      <c r="M1965" s="655">
        <f t="shared" si="81"/>
        <v>1239846.615</v>
      </c>
      <c r="N1965" s="644"/>
      <c r="O1965" s="645"/>
      <c r="P1965" s="636"/>
    </row>
    <row r="1966" spans="1:16" s="618" customFormat="1" ht="14.25" customHeight="1">
      <c r="A1966" s="643">
        <v>272</v>
      </c>
      <c r="B1966" s="625" t="e">
        <f>VLOOKUP(D1966,'[1]DS CN MOI UP'!$B$11:$C$447,2,0)</f>
        <v>#N/A</v>
      </c>
      <c r="C1966" s="626" t="s">
        <v>1628</v>
      </c>
      <c r="D1966" s="630" t="s">
        <v>1483</v>
      </c>
      <c r="E1966" s="630" t="s">
        <v>15</v>
      </c>
      <c r="F1966" s="630"/>
      <c r="G1966" s="655"/>
      <c r="H1966" s="655">
        <v>1239846.615</v>
      </c>
      <c r="I1966" s="655"/>
      <c r="J1966" s="635">
        <f t="shared" si="80"/>
        <v>1239846.615</v>
      </c>
      <c r="K1966" s="635"/>
      <c r="L1966" s="635"/>
      <c r="M1966" s="655">
        <f t="shared" si="81"/>
        <v>1239846.615</v>
      </c>
      <c r="N1966" s="644"/>
      <c r="O1966" s="645"/>
      <c r="P1966" s="636"/>
    </row>
    <row r="1967" spans="1:16" s="618" customFormat="1" ht="14.25" customHeight="1">
      <c r="A1967" s="643">
        <v>273</v>
      </c>
      <c r="B1967" s="625" t="e">
        <f>VLOOKUP(D1967,'[1]DS CN MOI UP'!$B$11:$C$447,2,0)</f>
        <v>#N/A</v>
      </c>
      <c r="C1967" s="626" t="s">
        <v>1628</v>
      </c>
      <c r="D1967" s="630" t="s">
        <v>1484</v>
      </c>
      <c r="E1967" s="630" t="s">
        <v>15</v>
      </c>
      <c r="F1967" s="630"/>
      <c r="G1967" s="655"/>
      <c r="H1967" s="655">
        <v>1149145.3259999999</v>
      </c>
      <c r="I1967" s="655"/>
      <c r="J1967" s="635">
        <f t="shared" si="80"/>
        <v>1149145.3259999999</v>
      </c>
      <c r="K1967" s="635"/>
      <c r="L1967" s="635"/>
      <c r="M1967" s="655">
        <f t="shared" si="81"/>
        <v>1149145.3259999999</v>
      </c>
      <c r="N1967" s="644"/>
      <c r="O1967" s="645"/>
      <c r="P1967" s="636"/>
    </row>
    <row r="1968" spans="1:16" s="618" customFormat="1" ht="14.25" customHeight="1">
      <c r="A1968" s="643">
        <v>274</v>
      </c>
      <c r="B1968" s="625" t="e">
        <f>VLOOKUP(D1968,'[1]DS CN MOI UP'!$B$11:$C$447,2,0)</f>
        <v>#N/A</v>
      </c>
      <c r="C1968" s="626" t="s">
        <v>1628</v>
      </c>
      <c r="D1968" s="630" t="s">
        <v>1485</v>
      </c>
      <c r="E1968" s="630" t="s">
        <v>15</v>
      </c>
      <c r="F1968" s="630"/>
      <c r="G1968" s="655"/>
      <c r="H1968" s="655">
        <v>1229038.53819991</v>
      </c>
      <c r="I1968" s="655"/>
      <c r="J1968" s="635">
        <f t="shared" si="80"/>
        <v>1229038.53819991</v>
      </c>
      <c r="K1968" s="635"/>
      <c r="L1968" s="635"/>
      <c r="M1968" s="655">
        <f t="shared" si="81"/>
        <v>1229038.53819991</v>
      </c>
      <c r="N1968" s="644"/>
      <c r="O1968" s="645"/>
      <c r="P1968" s="636"/>
    </row>
    <row r="1969" spans="1:16" s="618" customFormat="1" ht="14.25" customHeight="1">
      <c r="A1969" s="643">
        <v>275</v>
      </c>
      <c r="B1969" s="625" t="e">
        <f>VLOOKUP(D1969,'[1]DS CN MOI UP'!$B$11:$C$447,2,0)</f>
        <v>#N/A</v>
      </c>
      <c r="C1969" s="626" t="s">
        <v>1628</v>
      </c>
      <c r="D1969" s="630" t="s">
        <v>1486</v>
      </c>
      <c r="E1969" s="630" t="s">
        <v>15</v>
      </c>
      <c r="F1969" s="630"/>
      <c r="G1969" s="655"/>
      <c r="H1969" s="655">
        <v>1159179.5249999999</v>
      </c>
      <c r="I1969" s="655"/>
      <c r="J1969" s="635">
        <f t="shared" si="80"/>
        <v>1159179.5249999999</v>
      </c>
      <c r="K1969" s="635"/>
      <c r="L1969" s="635"/>
      <c r="M1969" s="655">
        <f t="shared" si="81"/>
        <v>1159179.5249999999</v>
      </c>
      <c r="N1969" s="644"/>
      <c r="O1969" s="645"/>
      <c r="P1969" s="636"/>
    </row>
    <row r="1970" spans="1:16" s="618" customFormat="1" ht="14.25" customHeight="1">
      <c r="A1970" s="643">
        <v>276</v>
      </c>
      <c r="B1970" s="625" t="e">
        <f>VLOOKUP(D1970,'[1]DS CN MOI UP'!$B$11:$C$447,2,0)</f>
        <v>#N/A</v>
      </c>
      <c r="C1970" s="626" t="s">
        <v>1628</v>
      </c>
      <c r="D1970" s="630" t="s">
        <v>1487</v>
      </c>
      <c r="E1970" s="630" t="s">
        <v>15</v>
      </c>
      <c r="F1970" s="630"/>
      <c r="G1970" s="655"/>
      <c r="H1970" s="655">
        <v>1239846.615</v>
      </c>
      <c r="I1970" s="655"/>
      <c r="J1970" s="635">
        <f t="shared" si="80"/>
        <v>1239846.615</v>
      </c>
      <c r="K1970" s="635"/>
      <c r="L1970" s="635"/>
      <c r="M1970" s="655">
        <f t="shared" si="81"/>
        <v>1239846.615</v>
      </c>
      <c r="N1970" s="644"/>
      <c r="O1970" s="645"/>
      <c r="P1970" s="636"/>
    </row>
    <row r="1971" spans="1:16" s="618" customFormat="1" ht="14.25" customHeight="1">
      <c r="A1971" s="643">
        <v>277</v>
      </c>
      <c r="B1971" s="625" t="e">
        <f>VLOOKUP(D1971,'[1]DS CN MOI UP'!$B$11:$C$447,2,0)</f>
        <v>#N/A</v>
      </c>
      <c r="C1971" s="626" t="s">
        <v>1628</v>
      </c>
      <c r="D1971" s="630" t="s">
        <v>1489</v>
      </c>
      <c r="E1971" s="630" t="s">
        <v>15</v>
      </c>
      <c r="F1971" s="630"/>
      <c r="G1971" s="655"/>
      <c r="H1971" s="655">
        <v>1149145.3259999999</v>
      </c>
      <c r="I1971" s="655"/>
      <c r="J1971" s="635">
        <f t="shared" si="80"/>
        <v>1149145.3259999999</v>
      </c>
      <c r="K1971" s="635"/>
      <c r="L1971" s="635"/>
      <c r="M1971" s="655">
        <f t="shared" si="81"/>
        <v>1149145.3259999999</v>
      </c>
      <c r="N1971" s="644"/>
      <c r="O1971" s="645"/>
      <c r="P1971" s="636"/>
    </row>
    <row r="1972" spans="1:16" s="618" customFormat="1" ht="14.25" customHeight="1">
      <c r="A1972" s="643">
        <v>278</v>
      </c>
      <c r="B1972" s="625" t="e">
        <f>VLOOKUP(D1972,'[1]DS CN MOI UP'!$B$11:$C$447,2,0)</f>
        <v>#N/A</v>
      </c>
      <c r="C1972" s="626" t="s">
        <v>1628</v>
      </c>
      <c r="D1972" s="630" t="s">
        <v>1490</v>
      </c>
      <c r="E1972" s="630" t="s">
        <v>15</v>
      </c>
      <c r="F1972" s="630"/>
      <c r="G1972" s="655"/>
      <c r="H1972" s="655">
        <v>1159179.5249999999</v>
      </c>
      <c r="I1972" s="655"/>
      <c r="J1972" s="635">
        <f t="shared" si="80"/>
        <v>1159179.5249999999</v>
      </c>
      <c r="K1972" s="635"/>
      <c r="L1972" s="635"/>
      <c r="M1972" s="655">
        <f t="shared" si="81"/>
        <v>1159179.5249999999</v>
      </c>
      <c r="N1972" s="644"/>
      <c r="O1972" s="645"/>
      <c r="P1972" s="636"/>
    </row>
    <row r="1973" spans="1:16" s="618" customFormat="1" ht="14.25" customHeight="1">
      <c r="A1973" s="643">
        <v>279</v>
      </c>
      <c r="B1973" s="625" t="e">
        <f>VLOOKUP(D1973,'[1]DS CN MOI UP'!$B$11:$C$447,2,0)</f>
        <v>#N/A</v>
      </c>
      <c r="C1973" s="626" t="s">
        <v>1628</v>
      </c>
      <c r="D1973" s="630" t="s">
        <v>1491</v>
      </c>
      <c r="E1973" s="630" t="s">
        <v>15</v>
      </c>
      <c r="F1973" s="630"/>
      <c r="G1973" s="635"/>
      <c r="H1973" s="655">
        <v>1239846.615</v>
      </c>
      <c r="I1973" s="655"/>
      <c r="J1973" s="635">
        <f t="shared" si="80"/>
        <v>1239846.615</v>
      </c>
      <c r="K1973" s="635"/>
      <c r="L1973" s="635"/>
      <c r="M1973" s="655">
        <f t="shared" si="81"/>
        <v>1239846.615</v>
      </c>
      <c r="N1973" s="644"/>
      <c r="O1973" s="645"/>
      <c r="P1973" s="636"/>
    </row>
    <row r="1974" spans="1:16" s="618" customFormat="1" ht="14.25" customHeight="1">
      <c r="A1974" s="643">
        <v>280</v>
      </c>
      <c r="B1974" s="625" t="e">
        <f>VLOOKUP(D1974,'[1]DS CN MOI UP'!$B$11:$C$447,2,0)</f>
        <v>#N/A</v>
      </c>
      <c r="C1974" s="626" t="s">
        <v>1628</v>
      </c>
      <c r="D1974" s="630" t="s">
        <v>1492</v>
      </c>
      <c r="E1974" s="630" t="s">
        <v>15</v>
      </c>
      <c r="F1974" s="630"/>
      <c r="G1974" s="635"/>
      <c r="H1974" s="655">
        <v>1149145.3259999999</v>
      </c>
      <c r="I1974" s="655"/>
      <c r="J1974" s="635">
        <f t="shared" si="80"/>
        <v>1149145.3259999999</v>
      </c>
      <c r="K1974" s="635"/>
      <c r="L1974" s="635"/>
      <c r="M1974" s="655">
        <f t="shared" si="81"/>
        <v>1149145.3259999999</v>
      </c>
      <c r="N1974" s="644"/>
      <c r="O1974" s="645"/>
      <c r="P1974" s="636"/>
    </row>
    <row r="1975" spans="1:16" s="618" customFormat="1" ht="14.25" customHeight="1">
      <c r="A1975" s="643">
        <v>281</v>
      </c>
      <c r="B1975" s="625" t="e">
        <f>VLOOKUP(D1975,'[1]DS CN MOI UP'!$B$11:$C$447,2,0)</f>
        <v>#N/A</v>
      </c>
      <c r="C1975" s="626" t="s">
        <v>1628</v>
      </c>
      <c r="D1975" s="630" t="s">
        <v>1493</v>
      </c>
      <c r="E1975" s="630" t="s">
        <v>15</v>
      </c>
      <c r="F1975" s="630"/>
      <c r="G1975" s="635"/>
      <c r="H1975" s="655">
        <v>1229038.53819991</v>
      </c>
      <c r="I1975" s="655"/>
      <c r="J1975" s="635">
        <f t="shared" si="80"/>
        <v>1229038.53819991</v>
      </c>
      <c r="K1975" s="635"/>
      <c r="L1975" s="635"/>
      <c r="M1975" s="655">
        <f t="shared" si="81"/>
        <v>1229038.53819991</v>
      </c>
      <c r="N1975" s="644"/>
      <c r="O1975" s="645"/>
      <c r="P1975" s="636"/>
    </row>
    <row r="1976" spans="1:16" s="618" customFormat="1" ht="14.25" customHeight="1">
      <c r="A1976" s="643">
        <v>282</v>
      </c>
      <c r="B1976" s="625" t="e">
        <f>VLOOKUP(D1976,'[1]DS CN MOI UP'!$B$11:$C$447,2,0)</f>
        <v>#N/A</v>
      </c>
      <c r="C1976" s="626" t="s">
        <v>1628</v>
      </c>
      <c r="D1976" s="630" t="s">
        <v>1494</v>
      </c>
      <c r="E1976" s="630" t="s">
        <v>15</v>
      </c>
      <c r="F1976" s="630"/>
      <c r="G1976" s="635"/>
      <c r="H1976" s="655">
        <v>1159179.5249999999</v>
      </c>
      <c r="I1976" s="655"/>
      <c r="J1976" s="635">
        <f t="shared" si="80"/>
        <v>1159179.5249999999</v>
      </c>
      <c r="K1976" s="635"/>
      <c r="L1976" s="635"/>
      <c r="M1976" s="655">
        <f t="shared" si="81"/>
        <v>1159179.5249999999</v>
      </c>
      <c r="N1976" s="644"/>
      <c r="O1976" s="645"/>
      <c r="P1976" s="636"/>
    </row>
    <row r="1977" spans="1:16" s="618" customFormat="1" ht="14.25" customHeight="1">
      <c r="A1977" s="643">
        <v>283</v>
      </c>
      <c r="B1977" s="625" t="e">
        <f>VLOOKUP(D1977,'[1]DS CN MOI UP'!$B$11:$C$447,2,0)</f>
        <v>#N/A</v>
      </c>
      <c r="C1977" s="626" t="s">
        <v>1628</v>
      </c>
      <c r="D1977" s="630" t="s">
        <v>1495</v>
      </c>
      <c r="E1977" s="630" t="s">
        <v>15</v>
      </c>
      <c r="F1977" s="630"/>
      <c r="G1977" s="635"/>
      <c r="H1977" s="655">
        <v>1239846.615</v>
      </c>
      <c r="I1977" s="655"/>
      <c r="J1977" s="635">
        <f t="shared" si="80"/>
        <v>1239846.615</v>
      </c>
      <c r="K1977" s="635"/>
      <c r="L1977" s="635"/>
      <c r="M1977" s="655">
        <f t="shared" si="81"/>
        <v>1239846.615</v>
      </c>
      <c r="N1977" s="644"/>
      <c r="O1977" s="645"/>
      <c r="P1977" s="636"/>
    </row>
    <row r="1978" spans="1:16" s="618" customFormat="1" ht="14.25" customHeight="1">
      <c r="A1978" s="643">
        <v>284</v>
      </c>
      <c r="B1978" s="625" t="e">
        <f>VLOOKUP(D1978,'[1]DS CN MOI UP'!$B$11:$C$447,2,0)</f>
        <v>#N/A</v>
      </c>
      <c r="C1978" s="626" t="s">
        <v>1628</v>
      </c>
      <c r="D1978" s="630" t="s">
        <v>1496</v>
      </c>
      <c r="E1978" s="630" t="s">
        <v>15</v>
      </c>
      <c r="F1978" s="630"/>
      <c r="G1978" s="635"/>
      <c r="H1978" s="655">
        <v>1149145.3259999999</v>
      </c>
      <c r="I1978" s="655"/>
      <c r="J1978" s="635">
        <f t="shared" si="80"/>
        <v>1149145.3259999999</v>
      </c>
      <c r="K1978" s="635"/>
      <c r="L1978" s="635"/>
      <c r="M1978" s="655">
        <f t="shared" si="81"/>
        <v>1149145.3259999999</v>
      </c>
      <c r="N1978" s="644"/>
      <c r="O1978" s="645"/>
      <c r="P1978" s="636"/>
    </row>
    <row r="1979" spans="1:16" s="618" customFormat="1" ht="14.25" customHeight="1">
      <c r="A1979" s="643">
        <v>285</v>
      </c>
      <c r="B1979" s="625" t="e">
        <f>VLOOKUP(D1979,'[1]DS CN MOI UP'!$B$11:$C$447,2,0)</f>
        <v>#N/A</v>
      </c>
      <c r="C1979" s="626" t="s">
        <v>1628</v>
      </c>
      <c r="D1979" s="630" t="s">
        <v>1497</v>
      </c>
      <c r="E1979" s="630" t="s">
        <v>15</v>
      </c>
      <c r="F1979" s="630"/>
      <c r="G1979" s="655"/>
      <c r="H1979" s="655">
        <v>1229038.53819991</v>
      </c>
      <c r="I1979" s="655"/>
      <c r="J1979" s="635">
        <f t="shared" si="80"/>
        <v>1229038.53819991</v>
      </c>
      <c r="K1979" s="635"/>
      <c r="L1979" s="635"/>
      <c r="M1979" s="655">
        <f t="shared" si="81"/>
        <v>1229038.53819991</v>
      </c>
      <c r="N1979" s="644"/>
      <c r="O1979" s="645"/>
      <c r="P1979" s="636"/>
    </row>
    <row r="1980" spans="1:16" s="618" customFormat="1" ht="14.25" customHeight="1">
      <c r="A1980" s="643">
        <v>286</v>
      </c>
      <c r="B1980" s="625" t="e">
        <f>VLOOKUP(D1980,'[1]DS CN MOI UP'!$B$11:$C$447,2,0)</f>
        <v>#N/A</v>
      </c>
      <c r="C1980" s="626" t="s">
        <v>1628</v>
      </c>
      <c r="D1980" s="630" t="s">
        <v>1498</v>
      </c>
      <c r="E1980" s="630" t="s">
        <v>15</v>
      </c>
      <c r="F1980" s="630"/>
      <c r="G1980" s="655"/>
      <c r="H1980" s="655">
        <v>1159179.5249999999</v>
      </c>
      <c r="I1980" s="655"/>
      <c r="J1980" s="635">
        <f t="shared" si="80"/>
        <v>1159179.5249999999</v>
      </c>
      <c r="K1980" s="635"/>
      <c r="L1980" s="635"/>
      <c r="M1980" s="655">
        <f t="shared" si="81"/>
        <v>1159179.5249999999</v>
      </c>
      <c r="N1980" s="644"/>
      <c r="O1980" s="645"/>
      <c r="P1980" s="636"/>
    </row>
    <row r="1981" spans="1:16" s="618" customFormat="1" ht="14.25" customHeight="1">
      <c r="A1981" s="643">
        <v>287</v>
      </c>
      <c r="B1981" s="625" t="e">
        <f>VLOOKUP(D1981,'[1]DS CN MOI UP'!$B$11:$C$447,2,0)</f>
        <v>#N/A</v>
      </c>
      <c r="C1981" s="626" t="s">
        <v>1628</v>
      </c>
      <c r="D1981" s="630" t="s">
        <v>1499</v>
      </c>
      <c r="E1981" s="630" t="s">
        <v>15</v>
      </c>
      <c r="F1981" s="630"/>
      <c r="G1981" s="655"/>
      <c r="H1981" s="655">
        <v>1239846.615</v>
      </c>
      <c r="I1981" s="655"/>
      <c r="J1981" s="635">
        <f t="shared" si="80"/>
        <v>1239846.615</v>
      </c>
      <c r="K1981" s="635"/>
      <c r="L1981" s="635"/>
      <c r="M1981" s="655">
        <f t="shared" si="81"/>
        <v>1239846.615</v>
      </c>
      <c r="N1981" s="644"/>
      <c r="O1981" s="645"/>
      <c r="P1981" s="636"/>
    </row>
    <row r="1982" spans="1:16" s="618" customFormat="1" ht="14.25" customHeight="1">
      <c r="A1982" s="643">
        <v>288</v>
      </c>
      <c r="B1982" s="625" t="e">
        <f>VLOOKUP(D1982,'[1]DS CN MOI UP'!$B$11:$C$447,2,0)</f>
        <v>#N/A</v>
      </c>
      <c r="C1982" s="626" t="s">
        <v>1628</v>
      </c>
      <c r="D1982" s="630" t="s">
        <v>755</v>
      </c>
      <c r="E1982" s="630" t="s">
        <v>15</v>
      </c>
      <c r="F1982" s="630"/>
      <c r="G1982" s="655"/>
      <c r="H1982" s="655">
        <v>1149145.3259999999</v>
      </c>
      <c r="I1982" s="655"/>
      <c r="J1982" s="635">
        <f t="shared" si="80"/>
        <v>1149145.3259999999</v>
      </c>
      <c r="K1982" s="635"/>
      <c r="L1982" s="635"/>
      <c r="M1982" s="655">
        <f t="shared" si="81"/>
        <v>1149145.3259999999</v>
      </c>
      <c r="N1982" s="644"/>
      <c r="O1982" s="645"/>
      <c r="P1982" s="636"/>
    </row>
    <row r="1983" spans="1:16" s="618" customFormat="1" ht="14.25" customHeight="1">
      <c r="A1983" s="643">
        <v>289</v>
      </c>
      <c r="B1983" s="625" t="e">
        <f>VLOOKUP(D1983,'[1]DS CN MOI UP'!$B$11:$C$447,2,0)</f>
        <v>#N/A</v>
      </c>
      <c r="C1983" s="626" t="s">
        <v>1628</v>
      </c>
      <c r="D1983" s="630" t="s">
        <v>756</v>
      </c>
      <c r="E1983" s="630" t="s">
        <v>15</v>
      </c>
      <c r="F1983" s="630"/>
      <c r="G1983" s="655"/>
      <c r="H1983" s="655">
        <v>1159179.5249999999</v>
      </c>
      <c r="I1983" s="655"/>
      <c r="J1983" s="635">
        <f t="shared" si="80"/>
        <v>1159179.5249999999</v>
      </c>
      <c r="K1983" s="635"/>
      <c r="L1983" s="635"/>
      <c r="M1983" s="655">
        <f t="shared" si="81"/>
        <v>1159179.5249999999</v>
      </c>
      <c r="N1983" s="644"/>
      <c r="O1983" s="645"/>
      <c r="P1983" s="636"/>
    </row>
    <row r="1984" spans="1:16" s="618" customFormat="1" ht="14.25" customHeight="1">
      <c r="A1984" s="643">
        <v>290</v>
      </c>
      <c r="B1984" s="625" t="e">
        <f>VLOOKUP(D1984,'[1]DS CN MOI UP'!$B$11:$C$447,2,0)</f>
        <v>#N/A</v>
      </c>
      <c r="C1984" s="626" t="s">
        <v>1628</v>
      </c>
      <c r="D1984" s="630" t="s">
        <v>1500</v>
      </c>
      <c r="E1984" s="630" t="s">
        <v>15</v>
      </c>
      <c r="F1984" s="630"/>
      <c r="G1984" s="655"/>
      <c r="H1984" s="655">
        <v>1239846.615</v>
      </c>
      <c r="I1984" s="655"/>
      <c r="J1984" s="635">
        <f t="shared" si="80"/>
        <v>1239846.615</v>
      </c>
      <c r="K1984" s="635"/>
      <c r="L1984" s="635"/>
      <c r="M1984" s="655">
        <f t="shared" si="81"/>
        <v>1239846.615</v>
      </c>
      <c r="N1984" s="644"/>
      <c r="O1984" s="645"/>
      <c r="P1984" s="636"/>
    </row>
    <row r="1985" spans="1:16" s="618" customFormat="1" ht="14.25" customHeight="1">
      <c r="A1985" s="643">
        <v>291</v>
      </c>
      <c r="B1985" s="625" t="str">
        <f>VLOOKUP(D1985,'[1]DS CN MOI UP'!$B$11:$C$447,2,0)</f>
        <v>02495</v>
      </c>
      <c r="C1985" s="626" t="s">
        <v>1628</v>
      </c>
      <c r="D1985" s="630" t="s">
        <v>120</v>
      </c>
      <c r="E1985" s="630" t="s">
        <v>15</v>
      </c>
      <c r="F1985" s="630"/>
      <c r="G1985" s="655"/>
      <c r="H1985" s="655">
        <v>1149145.3259999999</v>
      </c>
      <c r="I1985" s="655"/>
      <c r="J1985" s="635">
        <f t="shared" si="80"/>
        <v>1149145.3259999999</v>
      </c>
      <c r="K1985" s="635"/>
      <c r="L1985" s="635"/>
      <c r="M1985" s="655">
        <f t="shared" si="81"/>
        <v>1149145.3259999999</v>
      </c>
      <c r="N1985" s="644"/>
      <c r="O1985" s="645"/>
      <c r="P1985" s="636"/>
    </row>
    <row r="1986" spans="1:16" s="618" customFormat="1" ht="14.25" customHeight="1">
      <c r="A1986" s="643">
        <v>292</v>
      </c>
      <c r="B1986" s="625" t="str">
        <f>VLOOKUP(D1986,'[1]DS CN MOI UP'!$B$11:$C$447,2,0)</f>
        <v>02505</v>
      </c>
      <c r="C1986" s="626" t="s">
        <v>1628</v>
      </c>
      <c r="D1986" s="630" t="s">
        <v>117</v>
      </c>
      <c r="E1986" s="630" t="s">
        <v>15</v>
      </c>
      <c r="F1986" s="630"/>
      <c r="G1986" s="655"/>
      <c r="H1986" s="655">
        <v>1229038.53819991</v>
      </c>
      <c r="I1986" s="655"/>
      <c r="J1986" s="635">
        <f t="shared" si="80"/>
        <v>1229038.53819991</v>
      </c>
      <c r="K1986" s="635"/>
      <c r="L1986" s="635"/>
      <c r="M1986" s="655">
        <f t="shared" si="81"/>
        <v>1229038.53819991</v>
      </c>
      <c r="N1986" s="644"/>
      <c r="O1986" s="645"/>
      <c r="P1986" s="636"/>
    </row>
    <row r="1987" spans="1:16" s="618" customFormat="1" ht="14.25" customHeight="1">
      <c r="A1987" s="643">
        <v>293</v>
      </c>
      <c r="B1987" s="625" t="str">
        <f>VLOOKUP(D1987,'[1]DS CN MOI UP'!$B$11:$C$447,2,0)</f>
        <v>02516</v>
      </c>
      <c r="C1987" s="626" t="s">
        <v>1628</v>
      </c>
      <c r="D1987" s="630" t="s">
        <v>122</v>
      </c>
      <c r="E1987" s="630" t="s">
        <v>15</v>
      </c>
      <c r="F1987" s="630"/>
      <c r="G1987" s="635"/>
      <c r="H1987" s="655">
        <v>1159179.5249999999</v>
      </c>
      <c r="I1987" s="655"/>
      <c r="J1987" s="635">
        <f t="shared" si="80"/>
        <v>1159179.5249999999</v>
      </c>
      <c r="K1987" s="635"/>
      <c r="L1987" s="635"/>
      <c r="M1987" s="655">
        <f t="shared" si="81"/>
        <v>1159179.5249999999</v>
      </c>
      <c r="N1987" s="644"/>
      <c r="O1987" s="645"/>
      <c r="P1987" s="636"/>
    </row>
    <row r="1988" spans="1:16" s="618" customFormat="1" ht="14.25" customHeight="1">
      <c r="A1988" s="643">
        <v>294</v>
      </c>
      <c r="B1988" s="625" t="str">
        <f>VLOOKUP(D1988,'[1]DS CN MOI UP'!$B$11:$C$447,2,0)</f>
        <v>03347</v>
      </c>
      <c r="C1988" s="626" t="s">
        <v>1628</v>
      </c>
      <c r="D1988" s="630" t="s">
        <v>121</v>
      </c>
      <c r="E1988" s="630" t="s">
        <v>15</v>
      </c>
      <c r="F1988" s="630"/>
      <c r="G1988" s="635"/>
      <c r="H1988" s="655">
        <v>1239846.615</v>
      </c>
      <c r="I1988" s="655"/>
      <c r="J1988" s="635">
        <f t="shared" si="80"/>
        <v>1239846.615</v>
      </c>
      <c r="K1988" s="635"/>
      <c r="L1988" s="635"/>
      <c r="M1988" s="655">
        <f t="shared" si="81"/>
        <v>1239846.615</v>
      </c>
      <c r="N1988" s="644"/>
      <c r="O1988" s="645"/>
      <c r="P1988" s="636"/>
    </row>
    <row r="1989" spans="1:16" s="618" customFormat="1" ht="14.25" customHeight="1">
      <c r="A1989" s="643">
        <v>295</v>
      </c>
      <c r="B1989" s="625" t="str">
        <f>VLOOKUP(D1989,'[1]DS CN MOI UP'!$B$11:$C$447,2,0)</f>
        <v>02539</v>
      </c>
      <c r="C1989" s="626" t="s">
        <v>1628</v>
      </c>
      <c r="D1989" s="630" t="s">
        <v>195</v>
      </c>
      <c r="E1989" s="630" t="s">
        <v>15</v>
      </c>
      <c r="F1989" s="630"/>
      <c r="G1989" s="635"/>
      <c r="H1989" s="655">
        <v>1159179.5249999999</v>
      </c>
      <c r="I1989" s="655"/>
      <c r="J1989" s="635">
        <f t="shared" si="80"/>
        <v>1159179.5249999999</v>
      </c>
      <c r="K1989" s="635"/>
      <c r="L1989" s="635"/>
      <c r="M1989" s="655">
        <f t="shared" si="81"/>
        <v>1159179.5249999999</v>
      </c>
      <c r="N1989" s="644"/>
      <c r="O1989" s="645"/>
      <c r="P1989" s="636"/>
    </row>
    <row r="1990" spans="1:16" s="618" customFormat="1" ht="14.25" customHeight="1">
      <c r="A1990" s="643">
        <v>296</v>
      </c>
      <c r="B1990" s="625" t="e">
        <f>VLOOKUP(D1990,'[1]DS CN MOI UP'!$B$11:$C$447,2,0)</f>
        <v>#N/A</v>
      </c>
      <c r="C1990" s="626" t="s">
        <v>1628</v>
      </c>
      <c r="D1990" s="630" t="s">
        <v>1174</v>
      </c>
      <c r="E1990" s="630" t="s">
        <v>15</v>
      </c>
      <c r="F1990" s="630"/>
      <c r="G1990" s="635"/>
      <c r="H1990" s="655">
        <v>1239846.615</v>
      </c>
      <c r="I1990" s="655"/>
      <c r="J1990" s="635">
        <f t="shared" si="80"/>
        <v>1239846.615</v>
      </c>
      <c r="K1990" s="635"/>
      <c r="L1990" s="635"/>
      <c r="M1990" s="655">
        <f t="shared" si="81"/>
        <v>1239846.615</v>
      </c>
      <c r="N1990" s="644"/>
      <c r="O1990" s="645"/>
      <c r="P1990" s="636"/>
    </row>
    <row r="1991" spans="1:16" s="618" customFormat="1" ht="14.25" customHeight="1">
      <c r="A1991" s="643">
        <v>297</v>
      </c>
      <c r="B1991" s="625" t="e">
        <f>VLOOKUP(D1991,'[1]DS CN MOI UP'!$B$11:$C$447,2,0)</f>
        <v>#N/A</v>
      </c>
      <c r="C1991" s="626" t="s">
        <v>1628</v>
      </c>
      <c r="D1991" s="630" t="s">
        <v>1175</v>
      </c>
      <c r="E1991" s="630" t="s">
        <v>15</v>
      </c>
      <c r="F1991" s="630"/>
      <c r="G1991" s="635"/>
      <c r="H1991" s="655">
        <v>1239846.615</v>
      </c>
      <c r="I1991" s="655"/>
      <c r="J1991" s="635">
        <f t="shared" si="80"/>
        <v>1239846.615</v>
      </c>
      <c r="K1991" s="635"/>
      <c r="L1991" s="635"/>
      <c r="M1991" s="655">
        <f t="shared" si="81"/>
        <v>1239846.615</v>
      </c>
      <c r="N1991" s="644"/>
      <c r="O1991" s="645"/>
      <c r="P1991" s="636"/>
    </row>
    <row r="1992" spans="1:16" s="618" customFormat="1" ht="14.25" customHeight="1">
      <c r="A1992" s="643">
        <v>298</v>
      </c>
      <c r="B1992" s="625" t="e">
        <f>VLOOKUP(D1992,'[1]DS CN MOI UP'!$B$11:$C$447,2,0)</f>
        <v>#N/A</v>
      </c>
      <c r="C1992" s="626" t="s">
        <v>1628</v>
      </c>
      <c r="D1992" s="630" t="s">
        <v>1176</v>
      </c>
      <c r="E1992" s="630" t="s">
        <v>15</v>
      </c>
      <c r="F1992" s="630"/>
      <c r="G1992" s="635"/>
      <c r="H1992" s="655">
        <v>1149145.3259999999</v>
      </c>
      <c r="I1992" s="655"/>
      <c r="J1992" s="635">
        <f t="shared" si="80"/>
        <v>1149145.3259999999</v>
      </c>
      <c r="K1992" s="635"/>
      <c r="L1992" s="635"/>
      <c r="M1992" s="655">
        <f t="shared" si="81"/>
        <v>1149145.3259999999</v>
      </c>
      <c r="N1992" s="644"/>
      <c r="O1992" s="645"/>
      <c r="P1992" s="636"/>
    </row>
    <row r="1993" spans="1:16" s="618" customFormat="1" ht="14.25" customHeight="1">
      <c r="A1993" s="643">
        <v>299</v>
      </c>
      <c r="B1993" s="625" t="str">
        <f>VLOOKUP(D1993,'[1]DS CN MOI UP'!$B$11:$C$447,2,0)</f>
        <v>02541</v>
      </c>
      <c r="C1993" s="626" t="s">
        <v>1628</v>
      </c>
      <c r="D1993" s="630" t="s">
        <v>185</v>
      </c>
      <c r="E1993" s="630" t="s">
        <v>15</v>
      </c>
      <c r="F1993" s="630"/>
      <c r="G1993" s="655"/>
      <c r="H1993" s="655">
        <v>1229038.53819991</v>
      </c>
      <c r="I1993" s="655"/>
      <c r="J1993" s="635">
        <f t="shared" si="80"/>
        <v>1229038.53819991</v>
      </c>
      <c r="K1993" s="635"/>
      <c r="L1993" s="635"/>
      <c r="M1993" s="655">
        <f t="shared" si="81"/>
        <v>1229038.53819991</v>
      </c>
      <c r="N1993" s="644"/>
      <c r="O1993" s="645"/>
      <c r="P1993" s="636"/>
    </row>
    <row r="1994" spans="1:16" s="618" customFormat="1" ht="14.25" customHeight="1">
      <c r="A1994" s="643">
        <v>300</v>
      </c>
      <c r="B1994" s="625" t="e">
        <f>VLOOKUP(D1994,'[1]DS CN MOI UP'!$B$11:$C$447,2,0)</f>
        <v>#N/A</v>
      </c>
      <c r="C1994" s="626" t="s">
        <v>1628</v>
      </c>
      <c r="D1994" s="630" t="s">
        <v>1177</v>
      </c>
      <c r="E1994" s="630" t="s">
        <v>15</v>
      </c>
      <c r="F1994" s="630"/>
      <c r="G1994" s="655"/>
      <c r="H1994" s="655">
        <v>1159179.5249999999</v>
      </c>
      <c r="I1994" s="655"/>
      <c r="J1994" s="635">
        <f t="shared" si="80"/>
        <v>1159179.5249999999</v>
      </c>
      <c r="K1994" s="635"/>
      <c r="L1994" s="635"/>
      <c r="M1994" s="655">
        <f t="shared" si="81"/>
        <v>1159179.5249999999</v>
      </c>
      <c r="N1994" s="644"/>
      <c r="O1994" s="645"/>
      <c r="P1994" s="636"/>
    </row>
    <row r="1995" spans="1:16" s="242" customFormat="1" ht="14.25" customHeight="1">
      <c r="A1995" s="643">
        <v>301</v>
      </c>
      <c r="B1995" s="625" t="e">
        <f>VLOOKUP(D1995,'[1]DS CN MOI UP'!$B$11:$C$447,2,0)</f>
        <v>#N/A</v>
      </c>
      <c r="C1995" s="626" t="s">
        <v>1653</v>
      </c>
      <c r="D1995" s="61" t="s">
        <v>1178</v>
      </c>
      <c r="E1995" s="630" t="s">
        <v>15</v>
      </c>
      <c r="F1995" s="630"/>
      <c r="G1995" s="655"/>
      <c r="H1995" s="655">
        <v>1239846.615</v>
      </c>
      <c r="I1995" s="655"/>
      <c r="J1995" s="635">
        <f t="shared" si="80"/>
        <v>1239846.615</v>
      </c>
      <c r="K1995" s="635"/>
      <c r="L1995" s="635"/>
      <c r="M1995" s="655">
        <f t="shared" si="81"/>
        <v>1239846.615</v>
      </c>
      <c r="N1995" s="644"/>
      <c r="P1995" s="636"/>
    </row>
    <row r="1996" spans="1:16" s="242" customFormat="1" ht="14.25" customHeight="1">
      <c r="A1996" s="643">
        <v>302</v>
      </c>
      <c r="B1996" s="625" t="str">
        <f>VLOOKUP(D1996,'[1]DS CN MOI UP'!$B$11:$C$447,2,0)</f>
        <v>02542</v>
      </c>
      <c r="C1996" s="626" t="s">
        <v>1653</v>
      </c>
      <c r="D1996" s="61" t="s">
        <v>504</v>
      </c>
      <c r="E1996" s="630" t="s">
        <v>1713</v>
      </c>
      <c r="F1996" s="630"/>
      <c r="G1996" s="655"/>
      <c r="H1996" s="655">
        <v>1149145.3259999999</v>
      </c>
      <c r="I1996" s="655"/>
      <c r="J1996" s="635">
        <f t="shared" si="80"/>
        <v>1149145.3259999999</v>
      </c>
      <c r="K1996" s="635"/>
      <c r="L1996" s="635"/>
      <c r="M1996" s="655">
        <f t="shared" si="81"/>
        <v>1149145.3259999999</v>
      </c>
      <c r="N1996" s="644"/>
      <c r="P1996" s="636"/>
    </row>
    <row r="1997" spans="1:16" s="242" customFormat="1" ht="14.25" customHeight="1">
      <c r="A1997" s="643">
        <v>303</v>
      </c>
      <c r="B1997" s="625" t="str">
        <f>VLOOKUP(D1997,'[1]DS CN MOI UP'!$B$11:$C$447,2,0)</f>
        <v>02541</v>
      </c>
      <c r="C1997" s="626" t="s">
        <v>1546</v>
      </c>
      <c r="D1997" s="630" t="s">
        <v>185</v>
      </c>
      <c r="E1997" s="630" t="s">
        <v>15</v>
      </c>
      <c r="F1997" s="630"/>
      <c r="G1997" s="655"/>
      <c r="H1997" s="655">
        <v>1159179.5249999999</v>
      </c>
      <c r="I1997" s="655"/>
      <c r="J1997" s="635">
        <f t="shared" si="80"/>
        <v>1159179.5249999999</v>
      </c>
      <c r="K1997" s="635"/>
      <c r="L1997" s="635"/>
      <c r="M1997" s="655">
        <f t="shared" si="81"/>
        <v>1159179.5249999999</v>
      </c>
      <c r="N1997" s="644"/>
      <c r="P1997" s="636"/>
    </row>
    <row r="1998" spans="1:16" s="242" customFormat="1" ht="14.25" customHeight="1">
      <c r="A1998" s="643">
        <v>304</v>
      </c>
      <c r="B1998" s="625" t="e">
        <f>VLOOKUP(D1998,'[1]DS CN MOI UP'!$B$11:$C$447,2,0)</f>
        <v>#N/A</v>
      </c>
      <c r="C1998" s="626" t="s">
        <v>1547</v>
      </c>
      <c r="D1998" s="630" t="s">
        <v>972</v>
      </c>
      <c r="E1998" s="630" t="s">
        <v>15</v>
      </c>
      <c r="F1998" s="630"/>
      <c r="G1998" s="655"/>
      <c r="H1998" s="655">
        <v>1239846.615</v>
      </c>
      <c r="I1998" s="655"/>
      <c r="J1998" s="635">
        <f t="shared" si="80"/>
        <v>1239846.615</v>
      </c>
      <c r="K1998" s="635"/>
      <c r="L1998" s="635"/>
      <c r="M1998" s="655">
        <f t="shared" si="81"/>
        <v>1239846.615</v>
      </c>
      <c r="N1998" s="644"/>
      <c r="P1998" s="636"/>
    </row>
    <row r="1999" spans="1:16" s="242" customFormat="1" ht="14.25" customHeight="1">
      <c r="A1999" s="643">
        <v>305</v>
      </c>
      <c r="B1999" s="625" t="str">
        <f>VLOOKUP(D1999,'[1]DS CN MOI UP'!$B$11:$C$447,2,0)</f>
        <v>02543</v>
      </c>
      <c r="C1999" s="626" t="s">
        <v>1548</v>
      </c>
      <c r="D1999" s="630" t="s">
        <v>189</v>
      </c>
      <c r="E1999" s="630" t="s">
        <v>15</v>
      </c>
      <c r="F1999" s="630"/>
      <c r="G1999" s="655"/>
      <c r="H1999" s="655">
        <v>1149145.3259999999</v>
      </c>
      <c r="I1999" s="655"/>
      <c r="J1999" s="635">
        <f t="shared" si="80"/>
        <v>1149145.3259999999</v>
      </c>
      <c r="K1999" s="635"/>
      <c r="L1999" s="635"/>
      <c r="M1999" s="655">
        <f t="shared" si="81"/>
        <v>1149145.3259999999</v>
      </c>
      <c r="N1999" s="644"/>
      <c r="P1999" s="636"/>
    </row>
    <row r="2000" spans="1:16" s="242" customFormat="1" ht="14.25" customHeight="1">
      <c r="A2000" s="643">
        <v>306</v>
      </c>
      <c r="B2000" s="625" t="str">
        <f>VLOOKUP(D2000,'[1]DS CN MOI UP'!$B$11:$C$447,2,0)</f>
        <v>02510</v>
      </c>
      <c r="C2000" s="626" t="s">
        <v>1549</v>
      </c>
      <c r="D2000" s="630" t="s">
        <v>41</v>
      </c>
      <c r="E2000" s="630" t="s">
        <v>15</v>
      </c>
      <c r="F2000" s="630"/>
      <c r="G2000" s="655"/>
      <c r="H2000" s="655">
        <v>1229038.53819991</v>
      </c>
      <c r="I2000" s="655"/>
      <c r="J2000" s="635">
        <f t="shared" si="80"/>
        <v>1229038.53819991</v>
      </c>
      <c r="K2000" s="635"/>
      <c r="L2000" s="635"/>
      <c r="M2000" s="655">
        <f t="shared" si="81"/>
        <v>1229038.53819991</v>
      </c>
      <c r="N2000" s="644"/>
      <c r="P2000" s="636"/>
    </row>
    <row r="2001" spans="1:16" s="242" customFormat="1" ht="14.25" customHeight="1">
      <c r="A2001" s="643">
        <v>307</v>
      </c>
      <c r="B2001" s="625" t="e">
        <f>VLOOKUP(D2001,'[1]DS CN MOI UP'!$B$11:$C$447,2,0)</f>
        <v>#N/A</v>
      </c>
      <c r="C2001" s="626" t="s">
        <v>1550</v>
      </c>
      <c r="D2001" s="630" t="s">
        <v>1077</v>
      </c>
      <c r="E2001" s="630" t="s">
        <v>15</v>
      </c>
      <c r="F2001" s="630"/>
      <c r="G2001" s="655"/>
      <c r="H2001" s="655">
        <v>1159179.5249999999</v>
      </c>
      <c r="I2001" s="655"/>
      <c r="J2001" s="635">
        <f t="shared" si="80"/>
        <v>1159179.5249999999</v>
      </c>
      <c r="K2001" s="635"/>
      <c r="L2001" s="635"/>
      <c r="M2001" s="655">
        <f t="shared" si="81"/>
        <v>1159179.5249999999</v>
      </c>
      <c r="N2001" s="644"/>
      <c r="P2001" s="636"/>
    </row>
    <row r="2002" spans="1:16" s="242" customFormat="1" ht="14.25" customHeight="1">
      <c r="A2002" s="643">
        <v>308</v>
      </c>
      <c r="B2002" s="625" t="e">
        <f>VLOOKUP(D2002,'[1]DS CN MOI UP'!$B$11:$C$447,2,0)</f>
        <v>#N/A</v>
      </c>
      <c r="C2002" s="626" t="s">
        <v>1551</v>
      </c>
      <c r="D2002" s="630" t="s">
        <v>1179</v>
      </c>
      <c r="E2002" s="630" t="s">
        <v>15</v>
      </c>
      <c r="F2002" s="630"/>
      <c r="G2002" s="655"/>
      <c r="H2002" s="655">
        <v>1239846.615</v>
      </c>
      <c r="I2002" s="655"/>
      <c r="J2002" s="635">
        <f t="shared" si="80"/>
        <v>1239846.615</v>
      </c>
      <c r="K2002" s="635"/>
      <c r="L2002" s="635"/>
      <c r="M2002" s="655">
        <f t="shared" si="81"/>
        <v>1239846.615</v>
      </c>
      <c r="N2002" s="644"/>
      <c r="P2002" s="636"/>
    </row>
    <row r="2003" spans="1:16" s="242" customFormat="1" ht="14.25" customHeight="1">
      <c r="A2003" s="643">
        <v>309</v>
      </c>
      <c r="B2003" s="625" t="str">
        <f>VLOOKUP(D2003,'[1]DS CN MOI UP'!$B$11:$C$447,2,0)</f>
        <v>02545</v>
      </c>
      <c r="C2003" s="626" t="s">
        <v>1552</v>
      </c>
      <c r="D2003" s="630" t="s">
        <v>126</v>
      </c>
      <c r="E2003" s="630" t="s">
        <v>15</v>
      </c>
      <c r="F2003" s="630"/>
      <c r="G2003" s="655"/>
      <c r="H2003" s="655">
        <v>1149145.3259999999</v>
      </c>
      <c r="I2003" s="655"/>
      <c r="J2003" s="635">
        <f t="shared" si="80"/>
        <v>1149145.3259999999</v>
      </c>
      <c r="K2003" s="635"/>
      <c r="L2003" s="635"/>
      <c r="M2003" s="655">
        <f t="shared" si="81"/>
        <v>1149145.3259999999</v>
      </c>
      <c r="N2003" s="644"/>
      <c r="P2003" s="636"/>
    </row>
    <row r="2004" spans="1:16" s="242" customFormat="1" ht="14.25" customHeight="1">
      <c r="A2004" s="643">
        <v>310</v>
      </c>
      <c r="B2004" s="625" t="e">
        <f>VLOOKUP(D2004,'[1]DS CN MOI UP'!$B$11:$C$447,2,0)</f>
        <v>#N/A</v>
      </c>
      <c r="C2004" s="626" t="s">
        <v>1554</v>
      </c>
      <c r="D2004" s="630" t="s">
        <v>1180</v>
      </c>
      <c r="E2004" s="630" t="s">
        <v>15</v>
      </c>
      <c r="F2004" s="630"/>
      <c r="G2004" s="655"/>
      <c r="H2004" s="655">
        <v>1229038.53819991</v>
      </c>
      <c r="I2004" s="655"/>
      <c r="J2004" s="635">
        <f t="shared" si="80"/>
        <v>1229038.53819991</v>
      </c>
      <c r="K2004" s="635"/>
      <c r="L2004" s="635"/>
      <c r="M2004" s="655">
        <f t="shared" si="81"/>
        <v>1229038.53819991</v>
      </c>
      <c r="N2004" s="644"/>
      <c r="P2004" s="636"/>
    </row>
    <row r="2005" spans="1:16" s="242" customFormat="1" ht="14.25" customHeight="1">
      <c r="A2005" s="643">
        <v>311</v>
      </c>
      <c r="B2005" s="625" t="str">
        <f>VLOOKUP(D2005,'[1]DS CN MOI UP'!$B$11:$C$447,2,0)</f>
        <v>03402</v>
      </c>
      <c r="C2005" s="626" t="s">
        <v>1556</v>
      </c>
      <c r="D2005" s="630" t="s">
        <v>312</v>
      </c>
      <c r="E2005" s="630" t="s">
        <v>15</v>
      </c>
      <c r="F2005" s="630"/>
      <c r="G2005" s="655"/>
      <c r="H2005" s="655">
        <v>1159179.5249999999</v>
      </c>
      <c r="I2005" s="655"/>
      <c r="J2005" s="635">
        <f t="shared" si="80"/>
        <v>1159179.5249999999</v>
      </c>
      <c r="K2005" s="635"/>
      <c r="L2005" s="635"/>
      <c r="M2005" s="655">
        <f t="shared" si="81"/>
        <v>1159179.5249999999</v>
      </c>
      <c r="N2005" s="644"/>
      <c r="P2005" s="636"/>
    </row>
    <row r="2006" spans="1:16" s="242" customFormat="1" ht="14.25" customHeight="1">
      <c r="A2006" s="643">
        <v>312</v>
      </c>
      <c r="B2006" s="625" t="e">
        <f>VLOOKUP(D2006,'[1]DS CN MOI UP'!$B$11:$C$447,2,0)</f>
        <v>#N/A</v>
      </c>
      <c r="C2006" s="626" t="s">
        <v>1558</v>
      </c>
      <c r="D2006" s="630" t="s">
        <v>1181</v>
      </c>
      <c r="E2006" s="630" t="s">
        <v>15</v>
      </c>
      <c r="F2006" s="630"/>
      <c r="G2006" s="655"/>
      <c r="H2006" s="655">
        <v>1239846.615</v>
      </c>
      <c r="I2006" s="655"/>
      <c r="J2006" s="635">
        <f t="shared" si="80"/>
        <v>1239846.615</v>
      </c>
      <c r="K2006" s="635"/>
      <c r="L2006" s="635"/>
      <c r="M2006" s="655">
        <f t="shared" si="81"/>
        <v>1239846.615</v>
      </c>
      <c r="N2006" s="644"/>
      <c r="P2006" s="636"/>
    </row>
    <row r="2007" spans="1:16" s="242" customFormat="1" ht="14.25" customHeight="1">
      <c r="A2007" s="643">
        <v>313</v>
      </c>
      <c r="B2007" s="625" t="str">
        <f>VLOOKUP(D2007,'[1]DS CN MOI UP'!$B$11:$C$447,2,0)</f>
        <v>02547</v>
      </c>
      <c r="C2007" s="626" t="s">
        <v>1560</v>
      </c>
      <c r="D2007" s="630" t="s">
        <v>199</v>
      </c>
      <c r="E2007" s="630" t="s">
        <v>15</v>
      </c>
      <c r="F2007" s="630"/>
      <c r="G2007" s="655"/>
      <c r="H2007" s="655">
        <v>1149145.3259999999</v>
      </c>
      <c r="I2007" s="655"/>
      <c r="J2007" s="635">
        <f t="shared" si="80"/>
        <v>1149145.3259999999</v>
      </c>
      <c r="K2007" s="635"/>
      <c r="L2007" s="635"/>
      <c r="M2007" s="655">
        <f t="shared" si="81"/>
        <v>1149145.3259999999</v>
      </c>
      <c r="N2007" s="644"/>
      <c r="P2007" s="636"/>
    </row>
    <row r="2008" spans="1:16" s="242" customFormat="1" ht="14.25" customHeight="1">
      <c r="A2008" s="643">
        <v>314</v>
      </c>
      <c r="B2008" s="625" t="e">
        <f>VLOOKUP(D2008,'[1]DS CN MOI UP'!$B$11:$C$447,2,0)</f>
        <v>#N/A</v>
      </c>
      <c r="C2008" s="626" t="s">
        <v>1562</v>
      </c>
      <c r="D2008" s="630" t="s">
        <v>1182</v>
      </c>
      <c r="E2008" s="630" t="s">
        <v>15</v>
      </c>
      <c r="F2008" s="630"/>
      <c r="G2008" s="655"/>
      <c r="H2008" s="655">
        <v>1159179.5249999999</v>
      </c>
      <c r="I2008" s="655"/>
      <c r="J2008" s="635">
        <f t="shared" si="80"/>
        <v>1159179.5249999999</v>
      </c>
      <c r="K2008" s="635"/>
      <c r="L2008" s="635"/>
      <c r="M2008" s="655">
        <f t="shared" si="81"/>
        <v>1159179.5249999999</v>
      </c>
      <c r="N2008" s="644"/>
      <c r="P2008" s="636"/>
    </row>
    <row r="2009" spans="1:16" s="618" customFormat="1" ht="14.25" customHeight="1">
      <c r="A2009" s="643">
        <v>315</v>
      </c>
      <c r="B2009" s="625" t="e">
        <f>VLOOKUP(D2009,'[1]DS CN MOI UP'!$B$11:$C$447,2,0)</f>
        <v>#N/A</v>
      </c>
      <c r="C2009" s="626" t="s">
        <v>1628</v>
      </c>
      <c r="D2009" s="630" t="s">
        <v>1183</v>
      </c>
      <c r="E2009" s="630" t="s">
        <v>15</v>
      </c>
      <c r="F2009" s="630"/>
      <c r="G2009" s="655"/>
      <c r="H2009" s="655">
        <v>1229038.53819991</v>
      </c>
      <c r="I2009" s="655"/>
      <c r="J2009" s="635">
        <f t="shared" si="80"/>
        <v>1229038.53819991</v>
      </c>
      <c r="K2009" s="635"/>
      <c r="L2009" s="635"/>
      <c r="M2009" s="655">
        <f t="shared" si="81"/>
        <v>1229038.53819991</v>
      </c>
      <c r="N2009" s="644"/>
      <c r="O2009" s="645"/>
      <c r="P2009" s="636"/>
    </row>
    <row r="2010" spans="1:16" s="618" customFormat="1" ht="14.25" customHeight="1">
      <c r="A2010" s="643">
        <v>316</v>
      </c>
      <c r="B2010" s="625" t="e">
        <f>VLOOKUP(D2010,'[1]DS CN MOI UP'!$B$11:$C$447,2,0)</f>
        <v>#N/A</v>
      </c>
      <c r="C2010" s="626" t="s">
        <v>1628</v>
      </c>
      <c r="D2010" s="630" t="s">
        <v>1184</v>
      </c>
      <c r="E2010" s="630" t="s">
        <v>15</v>
      </c>
      <c r="F2010" s="630"/>
      <c r="G2010" s="655"/>
      <c r="H2010" s="655">
        <v>1159179.5249999999</v>
      </c>
      <c r="I2010" s="655"/>
      <c r="J2010" s="635">
        <f t="shared" si="80"/>
        <v>1159179.5249999999</v>
      </c>
      <c r="K2010" s="635"/>
      <c r="L2010" s="635"/>
      <c r="M2010" s="655">
        <f t="shared" si="81"/>
        <v>1159179.5249999999</v>
      </c>
      <c r="N2010" s="644"/>
      <c r="O2010" s="645"/>
      <c r="P2010" s="636"/>
    </row>
    <row r="2011" spans="1:16" s="242" customFormat="1" ht="14.25" customHeight="1">
      <c r="A2011" s="643">
        <v>317</v>
      </c>
      <c r="B2011" s="625" t="e">
        <f>VLOOKUP(D2011,'[1]DS CN MOI UP'!$B$11:$C$447,2,0)</f>
        <v>#N/A</v>
      </c>
      <c r="C2011" s="626" t="s">
        <v>1653</v>
      </c>
      <c r="D2011" s="61" t="s">
        <v>1185</v>
      </c>
      <c r="E2011" s="630" t="s">
        <v>15</v>
      </c>
      <c r="F2011" s="630"/>
      <c r="G2011" s="655"/>
      <c r="H2011" s="655">
        <v>1239846.615</v>
      </c>
      <c r="I2011" s="655"/>
      <c r="J2011" s="635">
        <f t="shared" si="80"/>
        <v>1239846.615</v>
      </c>
      <c r="K2011" s="635"/>
      <c r="L2011" s="635"/>
      <c r="M2011" s="655">
        <f t="shared" si="81"/>
        <v>1239846.615</v>
      </c>
      <c r="N2011" s="644"/>
      <c r="P2011" s="636"/>
    </row>
    <row r="2012" spans="1:16" s="242" customFormat="1" ht="14.25" customHeight="1">
      <c r="A2012" s="643">
        <v>318</v>
      </c>
      <c r="B2012" s="625" t="e">
        <f>VLOOKUP(D2012,'[1]DS CN MOI UP'!$B$11:$C$447,2,0)</f>
        <v>#N/A</v>
      </c>
      <c r="C2012" s="626" t="s">
        <v>1653</v>
      </c>
      <c r="D2012" s="61" t="s">
        <v>1186</v>
      </c>
      <c r="E2012" s="630" t="s">
        <v>1713</v>
      </c>
      <c r="F2012" s="630"/>
      <c r="G2012" s="655"/>
      <c r="H2012" s="655">
        <v>1149145.3259999999</v>
      </c>
      <c r="I2012" s="655"/>
      <c r="J2012" s="635">
        <f t="shared" si="80"/>
        <v>1149145.3259999999</v>
      </c>
      <c r="K2012" s="635"/>
      <c r="L2012" s="635"/>
      <c r="M2012" s="655">
        <f t="shared" si="81"/>
        <v>1149145.3259999999</v>
      </c>
      <c r="N2012" s="644"/>
      <c r="P2012" s="636"/>
    </row>
    <row r="2013" spans="1:16" s="242" customFormat="1" ht="14.25" customHeight="1">
      <c r="A2013" s="643">
        <v>319</v>
      </c>
      <c r="B2013" s="625" t="str">
        <f>VLOOKUP(D2013,'[1]DS CN MOI UP'!$B$11:$C$447,2,0)</f>
        <v>02518</v>
      </c>
      <c r="C2013" s="626" t="s">
        <v>1546</v>
      </c>
      <c r="D2013" s="630" t="s">
        <v>135</v>
      </c>
      <c r="E2013" s="630" t="s">
        <v>15</v>
      </c>
      <c r="F2013" s="630"/>
      <c r="G2013" s="655"/>
      <c r="H2013" s="655">
        <v>1159179.5249999999</v>
      </c>
      <c r="I2013" s="655"/>
      <c r="J2013" s="635">
        <f t="shared" si="80"/>
        <v>1159179.5249999999</v>
      </c>
      <c r="K2013" s="635"/>
      <c r="L2013" s="635"/>
      <c r="M2013" s="655">
        <f t="shared" si="81"/>
        <v>1159179.5249999999</v>
      </c>
      <c r="N2013" s="644"/>
      <c r="P2013" s="636"/>
    </row>
    <row r="2014" spans="1:16" s="242" customFormat="1" ht="14.25" customHeight="1">
      <c r="A2014" s="643">
        <v>320</v>
      </c>
      <c r="B2014" s="625" t="e">
        <f>VLOOKUP(D2014,'[1]DS CN MOI UP'!$B$11:$C$447,2,0)</f>
        <v>#N/A</v>
      </c>
      <c r="C2014" s="626" t="s">
        <v>1547</v>
      </c>
      <c r="D2014" s="630" t="s">
        <v>1187</v>
      </c>
      <c r="E2014" s="630" t="s">
        <v>15</v>
      </c>
      <c r="F2014" s="630"/>
      <c r="G2014" s="655"/>
      <c r="H2014" s="655">
        <v>1239846.615</v>
      </c>
      <c r="I2014" s="655"/>
      <c r="J2014" s="635">
        <f t="shared" si="80"/>
        <v>1239846.615</v>
      </c>
      <c r="K2014" s="635"/>
      <c r="L2014" s="635"/>
      <c r="M2014" s="655">
        <f t="shared" si="81"/>
        <v>1239846.615</v>
      </c>
      <c r="N2014" s="644"/>
      <c r="P2014" s="636"/>
    </row>
    <row r="2015" spans="1:16" s="242" customFormat="1" ht="14.25" customHeight="1">
      <c r="A2015" s="643">
        <v>321</v>
      </c>
      <c r="B2015" s="625" t="str">
        <f>VLOOKUP(D2015,'[1]DS CN MOI UP'!$B$11:$C$447,2,0)</f>
        <v>02519</v>
      </c>
      <c r="C2015" s="626" t="s">
        <v>1548</v>
      </c>
      <c r="D2015" s="630" t="s">
        <v>173</v>
      </c>
      <c r="E2015" s="630" t="s">
        <v>15</v>
      </c>
      <c r="F2015" s="630"/>
      <c r="G2015" s="655"/>
      <c r="H2015" s="655">
        <v>1149145.3259999999</v>
      </c>
      <c r="I2015" s="655"/>
      <c r="J2015" s="635">
        <f t="shared" si="80"/>
        <v>1149145.3259999999</v>
      </c>
      <c r="K2015" s="635"/>
      <c r="L2015" s="635"/>
      <c r="M2015" s="655">
        <f t="shared" si="81"/>
        <v>1149145.3259999999</v>
      </c>
      <c r="N2015" s="644"/>
      <c r="P2015" s="636"/>
    </row>
    <row r="2016" spans="1:16" s="242" customFormat="1" ht="14.25" customHeight="1">
      <c r="A2016" s="643">
        <v>322</v>
      </c>
      <c r="B2016" s="625" t="e">
        <f>VLOOKUP(D2016,'[1]DS CN MOI UP'!$B$11:$C$447,2,0)</f>
        <v>#N/A</v>
      </c>
      <c r="C2016" s="626" t="s">
        <v>1549</v>
      </c>
      <c r="D2016" s="630" t="s">
        <v>1188</v>
      </c>
      <c r="E2016" s="630" t="s">
        <v>15</v>
      </c>
      <c r="F2016" s="630"/>
      <c r="G2016" s="655"/>
      <c r="H2016" s="655">
        <v>1229038.53819991</v>
      </c>
      <c r="I2016" s="655"/>
      <c r="J2016" s="635">
        <f t="shared" si="80"/>
        <v>1229038.53819991</v>
      </c>
      <c r="K2016" s="635"/>
      <c r="L2016" s="635"/>
      <c r="M2016" s="655">
        <f t="shared" si="81"/>
        <v>1229038.53819991</v>
      </c>
      <c r="N2016" s="644"/>
      <c r="P2016" s="636"/>
    </row>
    <row r="2017" spans="1:16" s="242" customFormat="1" ht="14.25" customHeight="1">
      <c r="A2017" s="643">
        <v>323</v>
      </c>
      <c r="B2017" s="625" t="e">
        <f>VLOOKUP(D2017,'[1]DS CN MOI UP'!$B$11:$C$447,2,0)</f>
        <v>#N/A</v>
      </c>
      <c r="C2017" s="626" t="s">
        <v>1550</v>
      </c>
      <c r="D2017" s="630" t="s">
        <v>1189</v>
      </c>
      <c r="E2017" s="630" t="s">
        <v>15</v>
      </c>
      <c r="F2017" s="630"/>
      <c r="G2017" s="655"/>
      <c r="H2017" s="655">
        <v>1159179.5249999999</v>
      </c>
      <c r="I2017" s="655"/>
      <c r="J2017" s="635">
        <f t="shared" si="80"/>
        <v>1159179.5249999999</v>
      </c>
      <c r="K2017" s="635"/>
      <c r="L2017" s="635"/>
      <c r="M2017" s="655">
        <f t="shared" si="81"/>
        <v>1159179.5249999999</v>
      </c>
      <c r="N2017" s="644"/>
      <c r="P2017" s="636"/>
    </row>
    <row r="2018" spans="1:16" s="242" customFormat="1" ht="14.25" customHeight="1">
      <c r="A2018" s="643">
        <v>324</v>
      </c>
      <c r="B2018" s="625" t="str">
        <f>VLOOKUP(D2018,'[1]DS CN MOI UP'!$B$11:$C$447,2,0)</f>
        <v>02520</v>
      </c>
      <c r="C2018" s="626" t="s">
        <v>1551</v>
      </c>
      <c r="D2018" s="630" t="s">
        <v>188</v>
      </c>
      <c r="E2018" s="630" t="s">
        <v>15</v>
      </c>
      <c r="F2018" s="630"/>
      <c r="G2018" s="655"/>
      <c r="H2018" s="655">
        <v>1239846.615</v>
      </c>
      <c r="I2018" s="655"/>
      <c r="J2018" s="635">
        <f t="shared" si="80"/>
        <v>1239846.615</v>
      </c>
      <c r="K2018" s="635"/>
      <c r="L2018" s="635"/>
      <c r="M2018" s="655">
        <f t="shared" si="81"/>
        <v>1239846.615</v>
      </c>
      <c r="N2018" s="644"/>
      <c r="P2018" s="636"/>
    </row>
    <row r="2019" spans="1:16" s="242" customFormat="1" ht="14.25" customHeight="1">
      <c r="A2019" s="643">
        <v>325</v>
      </c>
      <c r="B2019" s="625" t="e">
        <f>VLOOKUP(D2019,'[1]DS CN MOI UP'!$B$11:$C$447,2,0)</f>
        <v>#N/A</v>
      </c>
      <c r="C2019" s="626" t="s">
        <v>1552</v>
      </c>
      <c r="D2019" s="630" t="s">
        <v>1190</v>
      </c>
      <c r="E2019" s="630" t="s">
        <v>15</v>
      </c>
      <c r="F2019" s="630"/>
      <c r="G2019" s="655"/>
      <c r="H2019" s="655">
        <v>1149145.3259999999</v>
      </c>
      <c r="I2019" s="655"/>
      <c r="J2019" s="635">
        <f t="shared" si="80"/>
        <v>1149145.3259999999</v>
      </c>
      <c r="K2019" s="635"/>
      <c r="L2019" s="635"/>
      <c r="M2019" s="655">
        <f t="shared" si="81"/>
        <v>1149145.3259999999</v>
      </c>
      <c r="N2019" s="644"/>
      <c r="P2019" s="636"/>
    </row>
    <row r="2020" spans="1:16" s="242" customFormat="1" ht="14.25" customHeight="1">
      <c r="A2020" s="643">
        <v>326</v>
      </c>
      <c r="B2020" s="625" t="e">
        <f>VLOOKUP(D2020,'[1]DS CN MOI UP'!$B$11:$C$447,2,0)</f>
        <v>#N/A</v>
      </c>
      <c r="C2020" s="626" t="s">
        <v>1554</v>
      </c>
      <c r="D2020" s="630" t="s">
        <v>1191</v>
      </c>
      <c r="E2020" s="630" t="s">
        <v>15</v>
      </c>
      <c r="F2020" s="630"/>
      <c r="G2020" s="655"/>
      <c r="H2020" s="655">
        <v>1229038.53819991</v>
      </c>
      <c r="I2020" s="655"/>
      <c r="J2020" s="635">
        <f t="shared" si="80"/>
        <v>1229038.53819991</v>
      </c>
      <c r="K2020" s="635"/>
      <c r="L2020" s="635"/>
      <c r="M2020" s="655">
        <f t="shared" si="81"/>
        <v>1229038.53819991</v>
      </c>
      <c r="N2020" s="644"/>
      <c r="P2020" s="636"/>
    </row>
    <row r="2021" spans="1:16" s="242" customFormat="1" ht="14.25" customHeight="1">
      <c r="A2021" s="643">
        <v>327</v>
      </c>
      <c r="B2021" s="625" t="str">
        <f>VLOOKUP(D2021,'[1]DS CN MOI UP'!$B$11:$C$447,2,0)</f>
        <v>02521</v>
      </c>
      <c r="C2021" s="626" t="s">
        <v>1556</v>
      </c>
      <c r="D2021" s="630" t="s">
        <v>137</v>
      </c>
      <c r="E2021" s="630" t="s">
        <v>15</v>
      </c>
      <c r="F2021" s="630"/>
      <c r="G2021" s="655"/>
      <c r="H2021" s="655">
        <v>1159179.5249999999</v>
      </c>
      <c r="I2021" s="655"/>
      <c r="J2021" s="635">
        <f t="shared" si="80"/>
        <v>1159179.5249999999</v>
      </c>
      <c r="K2021" s="635"/>
      <c r="L2021" s="635"/>
      <c r="M2021" s="655">
        <f t="shared" si="81"/>
        <v>1159179.5249999999</v>
      </c>
      <c r="N2021" s="644"/>
      <c r="P2021" s="636"/>
    </row>
    <row r="2022" spans="1:16" s="242" customFormat="1" ht="14.25" customHeight="1">
      <c r="A2022" s="643">
        <v>328</v>
      </c>
      <c r="B2022" s="625" t="e">
        <f>VLOOKUP(D2022,'[1]DS CN MOI UP'!$B$11:$C$447,2,0)</f>
        <v>#N/A</v>
      </c>
      <c r="C2022" s="626" t="s">
        <v>1558</v>
      </c>
      <c r="D2022" s="630" t="s">
        <v>1192</v>
      </c>
      <c r="E2022" s="630" t="s">
        <v>15</v>
      </c>
      <c r="F2022" s="630"/>
      <c r="G2022" s="655"/>
      <c r="H2022" s="655">
        <v>1239846.615</v>
      </c>
      <c r="I2022" s="655"/>
      <c r="J2022" s="635">
        <f t="shared" si="80"/>
        <v>1239846.615</v>
      </c>
      <c r="K2022" s="635"/>
      <c r="L2022" s="635"/>
      <c r="M2022" s="655">
        <f t="shared" si="81"/>
        <v>1239846.615</v>
      </c>
      <c r="N2022" s="644"/>
      <c r="P2022" s="636"/>
    </row>
    <row r="2023" spans="1:16" s="242" customFormat="1" ht="14.25" customHeight="1">
      <c r="A2023" s="643">
        <v>329</v>
      </c>
      <c r="B2023" s="625" t="str">
        <f>VLOOKUP(D2023,'[1]DS CN MOI UP'!$B$11:$C$447,2,0)</f>
        <v>02522</v>
      </c>
      <c r="C2023" s="626" t="s">
        <v>1560</v>
      </c>
      <c r="D2023" s="630" t="s">
        <v>162</v>
      </c>
      <c r="E2023" s="630" t="s">
        <v>15</v>
      </c>
      <c r="F2023" s="630"/>
      <c r="G2023" s="655"/>
      <c r="H2023" s="655">
        <v>1149145.3259999999</v>
      </c>
      <c r="I2023" s="655"/>
      <c r="J2023" s="635">
        <f t="shared" si="80"/>
        <v>1149145.3259999999</v>
      </c>
      <c r="K2023" s="635"/>
      <c r="L2023" s="635"/>
      <c r="M2023" s="655">
        <f t="shared" si="81"/>
        <v>1149145.3259999999</v>
      </c>
      <c r="N2023" s="644"/>
      <c r="P2023" s="636"/>
    </row>
    <row r="2024" spans="1:16" s="242" customFormat="1" ht="14.25" customHeight="1">
      <c r="A2024" s="643">
        <v>330</v>
      </c>
      <c r="B2024" s="625" t="str">
        <f>VLOOKUP(D2024,'[1]DS CN MOI UP'!$B$11:$C$447,2,0)</f>
        <v>02666</v>
      </c>
      <c r="C2024" s="626" t="s">
        <v>1562</v>
      </c>
      <c r="D2024" s="630" t="s">
        <v>435</v>
      </c>
      <c r="E2024" s="630" t="s">
        <v>15</v>
      </c>
      <c r="F2024" s="630"/>
      <c r="G2024" s="655"/>
      <c r="H2024" s="655">
        <v>1159179.5249999999</v>
      </c>
      <c r="I2024" s="655"/>
      <c r="J2024" s="635">
        <f t="shared" si="80"/>
        <v>1159179.5249999999</v>
      </c>
      <c r="K2024" s="635"/>
      <c r="L2024" s="635"/>
      <c r="M2024" s="655">
        <f t="shared" si="81"/>
        <v>1159179.5249999999</v>
      </c>
      <c r="N2024" s="644"/>
      <c r="P2024" s="636"/>
    </row>
    <row r="2025" spans="1:16" s="618" customFormat="1" ht="14.25" customHeight="1">
      <c r="A2025" s="643">
        <v>331</v>
      </c>
      <c r="B2025" s="625" t="str">
        <f>VLOOKUP(D2025,'[1]DS CN MOI UP'!$B$11:$C$447,2,0)</f>
        <v>02523</v>
      </c>
      <c r="C2025" s="626" t="s">
        <v>1628</v>
      </c>
      <c r="D2025" s="630" t="s">
        <v>169</v>
      </c>
      <c r="E2025" s="630" t="s">
        <v>15</v>
      </c>
      <c r="F2025" s="630"/>
      <c r="G2025" s="655"/>
      <c r="H2025" s="655">
        <v>1229038.53819991</v>
      </c>
      <c r="I2025" s="655"/>
      <c r="J2025" s="635">
        <f t="shared" si="80"/>
        <v>1229038.53819991</v>
      </c>
      <c r="K2025" s="635"/>
      <c r="L2025" s="635"/>
      <c r="M2025" s="655">
        <f t="shared" si="81"/>
        <v>1229038.53819991</v>
      </c>
      <c r="N2025" s="644"/>
      <c r="O2025" s="645"/>
      <c r="P2025" s="636"/>
    </row>
    <row r="2026" spans="1:16" s="618" customFormat="1" ht="14.25" customHeight="1">
      <c r="A2026" s="643">
        <v>332</v>
      </c>
      <c r="B2026" s="625" t="e">
        <f>VLOOKUP(D2026,'[1]DS CN MOI UP'!$B$11:$C$447,2,0)</f>
        <v>#N/A</v>
      </c>
      <c r="C2026" s="626" t="s">
        <v>1628</v>
      </c>
      <c r="D2026" s="630" t="s">
        <v>1193</v>
      </c>
      <c r="E2026" s="630" t="s">
        <v>15</v>
      </c>
      <c r="F2026" s="630"/>
      <c r="G2026" s="655"/>
      <c r="H2026" s="655">
        <v>1159179.5249999999</v>
      </c>
      <c r="I2026" s="655"/>
      <c r="J2026" s="635">
        <f t="shared" si="80"/>
        <v>1159179.5249999999</v>
      </c>
      <c r="K2026" s="635"/>
      <c r="L2026" s="635"/>
      <c r="M2026" s="655">
        <f t="shared" si="81"/>
        <v>1159179.5249999999</v>
      </c>
      <c r="N2026" s="644"/>
      <c r="O2026" s="645"/>
      <c r="P2026" s="636"/>
    </row>
    <row r="2027" spans="1:16" s="242" customFormat="1" ht="14.25" customHeight="1">
      <c r="A2027" s="643">
        <v>333</v>
      </c>
      <c r="B2027" s="625" t="str">
        <f>VLOOKUP(D2027,'[1]DS CN MOI UP'!$B$11:$C$447,2,0)</f>
        <v>02524</v>
      </c>
      <c r="C2027" s="626" t="s">
        <v>1653</v>
      </c>
      <c r="D2027" s="61" t="s">
        <v>139</v>
      </c>
      <c r="E2027" s="630" t="s">
        <v>15</v>
      </c>
      <c r="F2027" s="630"/>
      <c r="G2027" s="655"/>
      <c r="H2027" s="655">
        <v>1239846.615</v>
      </c>
      <c r="I2027" s="655"/>
      <c r="J2027" s="635">
        <f t="shared" si="80"/>
        <v>1239846.615</v>
      </c>
      <c r="K2027" s="635"/>
      <c r="L2027" s="635"/>
      <c r="M2027" s="655">
        <f t="shared" si="81"/>
        <v>1239846.615</v>
      </c>
      <c r="N2027" s="644"/>
      <c r="P2027" s="636"/>
    </row>
    <row r="2028" spans="1:16" s="242" customFormat="1" ht="14.25" customHeight="1">
      <c r="A2028" s="643">
        <v>334</v>
      </c>
      <c r="B2028" s="625" t="e">
        <f>VLOOKUP(D2028,'[1]DS CN MOI UP'!$B$11:$C$447,2,0)</f>
        <v>#N/A</v>
      </c>
      <c r="C2028" s="626" t="s">
        <v>1653</v>
      </c>
      <c r="D2028" s="61" t="s">
        <v>1194</v>
      </c>
      <c r="E2028" s="630" t="s">
        <v>1713</v>
      </c>
      <c r="F2028" s="630"/>
      <c r="G2028" s="655"/>
      <c r="H2028" s="655">
        <v>1149145.3259999999</v>
      </c>
      <c r="I2028" s="655"/>
      <c r="J2028" s="635">
        <f t="shared" si="80"/>
        <v>1149145.3259999999</v>
      </c>
      <c r="K2028" s="635"/>
      <c r="L2028" s="635"/>
      <c r="M2028" s="655">
        <f t="shared" si="81"/>
        <v>1149145.3259999999</v>
      </c>
      <c r="N2028" s="644"/>
      <c r="P2028" s="636"/>
    </row>
    <row r="2029" spans="1:16" s="242" customFormat="1" ht="14.25" customHeight="1">
      <c r="A2029" s="643">
        <v>335</v>
      </c>
      <c r="B2029" s="625" t="str">
        <f>VLOOKUP(D2029,'[1]DS CN MOI UP'!$B$11:$C$447,2,0)</f>
        <v>02525</v>
      </c>
      <c r="C2029" s="626" t="s">
        <v>1546</v>
      </c>
      <c r="D2029" s="630" t="s">
        <v>180</v>
      </c>
      <c r="E2029" s="630" t="s">
        <v>15</v>
      </c>
      <c r="F2029" s="630"/>
      <c r="G2029" s="655"/>
      <c r="H2029" s="655">
        <v>1159179.5249999999</v>
      </c>
      <c r="I2029" s="655"/>
      <c r="J2029" s="635">
        <f t="shared" si="80"/>
        <v>1159179.5249999999</v>
      </c>
      <c r="K2029" s="635"/>
      <c r="L2029" s="635"/>
      <c r="M2029" s="655">
        <f t="shared" si="81"/>
        <v>1159179.5249999999</v>
      </c>
      <c r="N2029" s="644"/>
      <c r="P2029" s="636"/>
    </row>
    <row r="2030" spans="1:16" s="242" customFormat="1" ht="14.25" customHeight="1">
      <c r="A2030" s="643">
        <v>336</v>
      </c>
      <c r="B2030" s="625" t="e">
        <f>VLOOKUP(D2030,'[1]DS CN MOI UP'!$B$11:$C$447,2,0)</f>
        <v>#N/A</v>
      </c>
      <c r="C2030" s="626" t="s">
        <v>1547</v>
      </c>
      <c r="D2030" s="630" t="s">
        <v>1195</v>
      </c>
      <c r="E2030" s="630" t="s">
        <v>15</v>
      </c>
      <c r="F2030" s="630"/>
      <c r="G2030" s="655"/>
      <c r="H2030" s="655">
        <v>1239846.615</v>
      </c>
      <c r="I2030" s="655"/>
      <c r="J2030" s="635">
        <f t="shared" si="80"/>
        <v>1239846.615</v>
      </c>
      <c r="K2030" s="635"/>
      <c r="L2030" s="635"/>
      <c r="M2030" s="655">
        <f t="shared" si="81"/>
        <v>1239846.615</v>
      </c>
      <c r="N2030" s="644"/>
      <c r="P2030" s="636"/>
    </row>
    <row r="2031" spans="1:16" s="242" customFormat="1" ht="14.25" customHeight="1">
      <c r="A2031" s="643">
        <v>337</v>
      </c>
      <c r="B2031" s="625" t="str">
        <f>VLOOKUP(D2031,'[1]DS CN MOI UP'!$B$11:$C$447,2,0)</f>
        <v>02526</v>
      </c>
      <c r="C2031" s="626" t="s">
        <v>1548</v>
      </c>
      <c r="D2031" s="630" t="s">
        <v>129</v>
      </c>
      <c r="E2031" s="630" t="s">
        <v>15</v>
      </c>
      <c r="F2031" s="630"/>
      <c r="G2031" s="655"/>
      <c r="H2031" s="655">
        <v>1149145.3259999999</v>
      </c>
      <c r="I2031" s="655"/>
      <c r="J2031" s="635">
        <f t="shared" si="80"/>
        <v>1149145.3259999999</v>
      </c>
      <c r="K2031" s="635"/>
      <c r="L2031" s="635"/>
      <c r="M2031" s="655">
        <f t="shared" si="81"/>
        <v>1149145.3259999999</v>
      </c>
      <c r="N2031" s="644"/>
      <c r="P2031" s="636"/>
    </row>
    <row r="2032" spans="1:16" s="242" customFormat="1" ht="14.25" customHeight="1">
      <c r="A2032" s="643">
        <v>338</v>
      </c>
      <c r="B2032" s="625" t="e">
        <f>VLOOKUP(D2032,'[1]DS CN MOI UP'!$B$11:$C$447,2,0)</f>
        <v>#N/A</v>
      </c>
      <c r="C2032" s="626" t="s">
        <v>1549</v>
      </c>
      <c r="D2032" s="630" t="s">
        <v>1196</v>
      </c>
      <c r="E2032" s="630" t="s">
        <v>15</v>
      </c>
      <c r="F2032" s="630"/>
      <c r="G2032" s="655"/>
      <c r="H2032" s="655">
        <v>1229038.53819991</v>
      </c>
      <c r="I2032" s="655"/>
      <c r="J2032" s="635">
        <f t="shared" si="80"/>
        <v>1229038.53819991</v>
      </c>
      <c r="K2032" s="635"/>
      <c r="L2032" s="635"/>
      <c r="M2032" s="655">
        <f t="shared" si="81"/>
        <v>1229038.53819991</v>
      </c>
      <c r="N2032" s="644"/>
      <c r="P2032" s="636"/>
    </row>
    <row r="2033" spans="1:16" s="242" customFormat="1" ht="14.25" customHeight="1">
      <c r="A2033" s="643">
        <v>339</v>
      </c>
      <c r="B2033" s="625" t="e">
        <f>VLOOKUP(D2033,'[1]DS CN MOI UP'!$B$11:$C$447,2,0)</f>
        <v>#N/A</v>
      </c>
      <c r="C2033" s="626" t="s">
        <v>1562</v>
      </c>
      <c r="D2033" s="630" t="s">
        <v>1542</v>
      </c>
      <c r="E2033" s="630" t="s">
        <v>15</v>
      </c>
      <c r="F2033" s="630"/>
      <c r="G2033" s="655">
        <v>600000</v>
      </c>
      <c r="H2033" s="635">
        <v>524139.33600000001</v>
      </c>
      <c r="I2033" s="655"/>
      <c r="J2033" s="635">
        <f t="shared" ref="J2033:J2161" si="82">SUM(G2033:I2033)</f>
        <v>1124139.3360000001</v>
      </c>
      <c r="K2033" s="635"/>
      <c r="L2033" s="635"/>
      <c r="M2033" s="655">
        <f t="shared" ref="M2033:M2161" si="83">J2033-L2033</f>
        <v>1124139.3360000001</v>
      </c>
      <c r="N2033" s="644"/>
      <c r="P2033" s="636"/>
    </row>
    <row r="2034" spans="1:16" s="242" customFormat="1" ht="14.25" customHeight="1">
      <c r="A2034" s="643">
        <v>340</v>
      </c>
      <c r="B2034" s="625" t="e">
        <f>VLOOKUP(D2034,'[1]DS CN MOI UP'!$B$11:$C$447,2,0)</f>
        <v>#N/A</v>
      </c>
      <c r="C2034" s="626" t="s">
        <v>1562</v>
      </c>
      <c r="D2034" s="630" t="s">
        <v>759</v>
      </c>
      <c r="E2034" s="630" t="s">
        <v>15</v>
      </c>
      <c r="F2034" s="630"/>
      <c r="G2034" s="655">
        <v>600000</v>
      </c>
      <c r="H2034" s="635">
        <v>635040.18900000001</v>
      </c>
      <c r="I2034" s="655"/>
      <c r="J2034" s="635">
        <f t="shared" si="82"/>
        <v>1235040.189</v>
      </c>
      <c r="K2034" s="635"/>
      <c r="L2034" s="635"/>
      <c r="M2034" s="655">
        <f t="shared" si="83"/>
        <v>1235040.189</v>
      </c>
      <c r="N2034" s="644"/>
      <c r="P2034" s="636"/>
    </row>
    <row r="2035" spans="1:16" s="242" customFormat="1" ht="14.25" customHeight="1">
      <c r="A2035" s="643">
        <v>341</v>
      </c>
      <c r="B2035" s="625" t="e">
        <f>VLOOKUP(D2035,'[1]DS CN MOI UP'!$B$11:$C$447,2,0)</f>
        <v>#N/A</v>
      </c>
      <c r="C2035" s="626" t="s">
        <v>1562</v>
      </c>
      <c r="D2035" s="630" t="s">
        <v>760</v>
      </c>
      <c r="E2035" s="630" t="s">
        <v>15</v>
      </c>
      <c r="F2035" s="630"/>
      <c r="G2035" s="655">
        <v>600000</v>
      </c>
      <c r="H2035" s="635">
        <v>635040.18900000001</v>
      </c>
      <c r="I2035" s="655"/>
      <c r="J2035" s="635">
        <f t="shared" si="82"/>
        <v>1235040.189</v>
      </c>
      <c r="K2035" s="635"/>
      <c r="L2035" s="635"/>
      <c r="M2035" s="655">
        <f t="shared" si="83"/>
        <v>1235040.189</v>
      </c>
      <c r="N2035" s="644"/>
      <c r="P2035" s="636"/>
    </row>
    <row r="2036" spans="1:16" s="242" customFormat="1" ht="14.25" customHeight="1">
      <c r="A2036" s="643">
        <v>342</v>
      </c>
      <c r="B2036" s="625" t="e">
        <f>VLOOKUP(D2036,'[1]DS CN MOI UP'!$B$11:$C$447,2,0)</f>
        <v>#N/A</v>
      </c>
      <c r="C2036" s="626" t="s">
        <v>1562</v>
      </c>
      <c r="D2036" s="630" t="s">
        <v>1464</v>
      </c>
      <c r="E2036" s="630" t="s">
        <v>15</v>
      </c>
      <c r="F2036" s="630"/>
      <c r="G2036" s="655">
        <v>600000</v>
      </c>
      <c r="H2036" s="635">
        <v>635040.18900000001</v>
      </c>
      <c r="I2036" s="655"/>
      <c r="J2036" s="635">
        <f t="shared" si="82"/>
        <v>1235040.189</v>
      </c>
      <c r="K2036" s="635"/>
      <c r="L2036" s="635"/>
      <c r="M2036" s="655">
        <f t="shared" si="83"/>
        <v>1235040.189</v>
      </c>
      <c r="N2036" s="644"/>
      <c r="P2036" s="636"/>
    </row>
    <row r="2037" spans="1:16" s="242" customFormat="1" ht="14.25" customHeight="1">
      <c r="A2037" s="643">
        <v>343</v>
      </c>
      <c r="B2037" s="625" t="e">
        <f>VLOOKUP(D2037,'[1]DS CN MOI UP'!$B$11:$C$447,2,0)</f>
        <v>#N/A</v>
      </c>
      <c r="C2037" s="626" t="s">
        <v>1562</v>
      </c>
      <c r="D2037" s="630" t="s">
        <v>740</v>
      </c>
      <c r="E2037" s="630" t="s">
        <v>15</v>
      </c>
      <c r="F2037" s="630"/>
      <c r="G2037" s="655">
        <v>600000</v>
      </c>
      <c r="H2037" s="635">
        <v>635040.18900000001</v>
      </c>
      <c r="I2037" s="655"/>
      <c r="J2037" s="635">
        <f t="shared" si="82"/>
        <v>1235040.189</v>
      </c>
      <c r="K2037" s="635"/>
      <c r="L2037" s="635"/>
      <c r="M2037" s="655">
        <f t="shared" si="83"/>
        <v>1235040.189</v>
      </c>
      <c r="N2037" s="644"/>
      <c r="P2037" s="636"/>
    </row>
    <row r="2038" spans="1:16" s="242" customFormat="1" ht="14.25" customHeight="1">
      <c r="A2038" s="643">
        <v>344</v>
      </c>
      <c r="B2038" s="625" t="e">
        <f>VLOOKUP(D2038,'[1]DS CN MOI UP'!$B$11:$C$447,2,0)</f>
        <v>#N/A</v>
      </c>
      <c r="C2038" s="626" t="s">
        <v>1562</v>
      </c>
      <c r="D2038" s="630" t="s">
        <v>741</v>
      </c>
      <c r="E2038" s="630" t="s">
        <v>15</v>
      </c>
      <c r="F2038" s="630"/>
      <c r="G2038" s="655">
        <v>600000</v>
      </c>
      <c r="H2038" s="635">
        <v>635040.18900000001</v>
      </c>
      <c r="I2038" s="655"/>
      <c r="J2038" s="635">
        <f t="shared" si="82"/>
        <v>1235040.189</v>
      </c>
      <c r="K2038" s="635"/>
      <c r="L2038" s="635"/>
      <c r="M2038" s="655">
        <f t="shared" si="83"/>
        <v>1235040.189</v>
      </c>
      <c r="N2038" s="644"/>
      <c r="P2038" s="636"/>
    </row>
    <row r="2039" spans="1:16" s="242" customFormat="1" ht="14.25" customHeight="1">
      <c r="A2039" s="643">
        <v>345</v>
      </c>
      <c r="B2039" s="625" t="e">
        <f>VLOOKUP(D2039,'[1]DS CN MOI UP'!$B$11:$C$447,2,0)</f>
        <v>#N/A</v>
      </c>
      <c r="C2039" s="626" t="s">
        <v>1562</v>
      </c>
      <c r="D2039" s="630" t="s">
        <v>1465</v>
      </c>
      <c r="E2039" s="630" t="s">
        <v>15</v>
      </c>
      <c r="F2039" s="630"/>
      <c r="G2039" s="655">
        <v>600000</v>
      </c>
      <c r="H2039" s="635">
        <v>635040.18900000001</v>
      </c>
      <c r="I2039" s="655"/>
      <c r="J2039" s="635">
        <f t="shared" si="82"/>
        <v>1235040.189</v>
      </c>
      <c r="K2039" s="635"/>
      <c r="L2039" s="635"/>
      <c r="M2039" s="655">
        <f t="shared" si="83"/>
        <v>1235040.189</v>
      </c>
      <c r="N2039" s="644"/>
      <c r="P2039" s="636"/>
    </row>
    <row r="2040" spans="1:16" s="242" customFormat="1" ht="14.25" customHeight="1">
      <c r="A2040" s="643">
        <v>346</v>
      </c>
      <c r="B2040" s="625" t="e">
        <f>VLOOKUP(D2040,'[1]DS CN MOI UP'!$B$11:$C$447,2,0)</f>
        <v>#N/A</v>
      </c>
      <c r="C2040" s="626" t="s">
        <v>1562</v>
      </c>
      <c r="D2040" s="630" t="s">
        <v>743</v>
      </c>
      <c r="E2040" s="630" t="s">
        <v>15</v>
      </c>
      <c r="F2040" s="630"/>
      <c r="G2040" s="655">
        <v>600000</v>
      </c>
      <c r="H2040" s="635">
        <v>635040.18900000001</v>
      </c>
      <c r="I2040" s="655"/>
      <c r="J2040" s="635">
        <f t="shared" si="82"/>
        <v>1235040.189</v>
      </c>
      <c r="K2040" s="635"/>
      <c r="L2040" s="635"/>
      <c r="M2040" s="655">
        <f t="shared" si="83"/>
        <v>1235040.189</v>
      </c>
      <c r="N2040" s="644"/>
      <c r="P2040" s="636"/>
    </row>
    <row r="2041" spans="1:16" s="242" customFormat="1" ht="14.25" customHeight="1">
      <c r="A2041" s="643">
        <v>347</v>
      </c>
      <c r="B2041" s="625" t="e">
        <f>VLOOKUP(D2041,'[1]DS CN MOI UP'!$B$11:$C$447,2,0)</f>
        <v>#N/A</v>
      </c>
      <c r="C2041" s="626" t="s">
        <v>1562</v>
      </c>
      <c r="D2041" s="630" t="s">
        <v>1466</v>
      </c>
      <c r="E2041" s="630" t="s">
        <v>15</v>
      </c>
      <c r="F2041" s="630"/>
      <c r="G2041" s="655">
        <v>600000</v>
      </c>
      <c r="H2041" s="635">
        <v>554373.09900000005</v>
      </c>
      <c r="I2041" s="655"/>
      <c r="J2041" s="635">
        <f t="shared" si="82"/>
        <v>1154373.0989999999</v>
      </c>
      <c r="K2041" s="635"/>
      <c r="L2041" s="635"/>
      <c r="M2041" s="655">
        <f t="shared" si="83"/>
        <v>1154373.0989999999</v>
      </c>
      <c r="N2041" s="644"/>
      <c r="P2041" s="636"/>
    </row>
    <row r="2042" spans="1:16" s="242" customFormat="1" ht="14.25" customHeight="1">
      <c r="A2042" s="643">
        <v>348</v>
      </c>
      <c r="B2042" s="625" t="e">
        <f>VLOOKUP(D2042,'[1]DS CN MOI UP'!$B$11:$C$447,2,0)</f>
        <v>#N/A</v>
      </c>
      <c r="C2042" s="626" t="s">
        <v>1562</v>
      </c>
      <c r="D2042" s="630" t="s">
        <v>745</v>
      </c>
      <c r="E2042" s="630" t="s">
        <v>15</v>
      </c>
      <c r="F2042" s="630"/>
      <c r="G2042" s="655">
        <v>600000</v>
      </c>
      <c r="H2042" s="635">
        <v>554373.09900000005</v>
      </c>
      <c r="I2042" s="655"/>
      <c r="J2042" s="635">
        <f t="shared" si="82"/>
        <v>1154373.0989999999</v>
      </c>
      <c r="K2042" s="635"/>
      <c r="L2042" s="635"/>
      <c r="M2042" s="655">
        <f t="shared" si="83"/>
        <v>1154373.0989999999</v>
      </c>
      <c r="N2042" s="644"/>
      <c r="P2042" s="636"/>
    </row>
    <row r="2043" spans="1:16" s="242" customFormat="1" ht="14.25" customHeight="1">
      <c r="A2043" s="643">
        <v>349</v>
      </c>
      <c r="B2043" s="625" t="e">
        <f>VLOOKUP(D2043,'[1]DS CN MOI UP'!$B$11:$C$447,2,0)</f>
        <v>#N/A</v>
      </c>
      <c r="C2043" s="626" t="s">
        <v>1562</v>
      </c>
      <c r="D2043" s="630" t="s">
        <v>1467</v>
      </c>
      <c r="E2043" s="630" t="s">
        <v>15</v>
      </c>
      <c r="F2043" s="630"/>
      <c r="G2043" s="655">
        <v>600000</v>
      </c>
      <c r="H2043" s="635">
        <v>554373.09900000005</v>
      </c>
      <c r="I2043" s="655"/>
      <c r="J2043" s="635">
        <f t="shared" si="82"/>
        <v>1154373.0989999999</v>
      </c>
      <c r="K2043" s="635"/>
      <c r="L2043" s="635"/>
      <c r="M2043" s="655">
        <f t="shared" si="83"/>
        <v>1154373.0989999999</v>
      </c>
      <c r="N2043" s="644"/>
      <c r="P2043" s="636"/>
    </row>
    <row r="2044" spans="1:16" s="242" customFormat="1" ht="14.25" customHeight="1">
      <c r="A2044" s="643">
        <v>350</v>
      </c>
      <c r="B2044" s="625" t="e">
        <f>VLOOKUP(D2044,'[1]DS CN MOI UP'!$B$11:$C$447,2,0)</f>
        <v>#N/A</v>
      </c>
      <c r="C2044" s="626" t="s">
        <v>1562</v>
      </c>
      <c r="D2044" s="630" t="s">
        <v>747</v>
      </c>
      <c r="E2044" s="630" t="s">
        <v>15</v>
      </c>
      <c r="F2044" s="630"/>
      <c r="G2044" s="655">
        <v>600000</v>
      </c>
      <c r="H2044" s="635">
        <v>635040.18900000001</v>
      </c>
      <c r="I2044" s="655"/>
      <c r="J2044" s="635">
        <f t="shared" si="82"/>
        <v>1235040.189</v>
      </c>
      <c r="K2044" s="635"/>
      <c r="L2044" s="635"/>
      <c r="M2044" s="655">
        <f t="shared" si="83"/>
        <v>1235040.189</v>
      </c>
      <c r="N2044" s="644"/>
      <c r="P2044" s="636"/>
    </row>
    <row r="2045" spans="1:16" s="242" customFormat="1" ht="14.25" customHeight="1">
      <c r="A2045" s="643">
        <v>351</v>
      </c>
      <c r="B2045" s="625" t="e">
        <f>VLOOKUP(D2045,'[1]DS CN MOI UP'!$B$11:$C$447,2,0)</f>
        <v>#N/A</v>
      </c>
      <c r="C2045" s="626" t="s">
        <v>1562</v>
      </c>
      <c r="D2045" s="630" t="s">
        <v>746</v>
      </c>
      <c r="E2045" s="630" t="s">
        <v>15</v>
      </c>
      <c r="F2045" s="630"/>
      <c r="G2045" s="655">
        <v>600000</v>
      </c>
      <c r="H2045" s="635">
        <v>544338.9</v>
      </c>
      <c r="I2045" s="655"/>
      <c r="J2045" s="635">
        <f t="shared" si="82"/>
        <v>1144338.8999999999</v>
      </c>
      <c r="K2045" s="635"/>
      <c r="L2045" s="635"/>
      <c r="M2045" s="655">
        <f t="shared" si="83"/>
        <v>1144338.8999999999</v>
      </c>
      <c r="N2045" s="644"/>
      <c r="P2045" s="636"/>
    </row>
    <row r="2046" spans="1:16" s="242" customFormat="1" ht="14.25" customHeight="1">
      <c r="A2046" s="643">
        <v>352</v>
      </c>
      <c r="B2046" s="625" t="e">
        <f>VLOOKUP(D2046,'[1]DS CN MOI UP'!$B$11:$C$447,2,0)</f>
        <v>#N/A</v>
      </c>
      <c r="C2046" s="626" t="s">
        <v>1562</v>
      </c>
      <c r="D2046" s="630" t="s">
        <v>749</v>
      </c>
      <c r="E2046" s="630" t="s">
        <v>15</v>
      </c>
      <c r="F2046" s="630"/>
      <c r="G2046" s="655">
        <v>600000</v>
      </c>
      <c r="H2046" s="635">
        <v>574572.66299999994</v>
      </c>
      <c r="I2046" s="655"/>
      <c r="J2046" s="635">
        <f t="shared" si="82"/>
        <v>1174572.6629999999</v>
      </c>
      <c r="K2046" s="635"/>
      <c r="L2046" s="635"/>
      <c r="M2046" s="655">
        <f t="shared" si="83"/>
        <v>1174572.6629999999</v>
      </c>
      <c r="N2046" s="644"/>
      <c r="P2046" s="636"/>
    </row>
    <row r="2047" spans="1:16" s="242" customFormat="1" ht="14.25" customHeight="1">
      <c r="A2047" s="643">
        <v>353</v>
      </c>
      <c r="B2047" s="625" t="e">
        <f>VLOOKUP(D2047,'[1]DS CN MOI UP'!$B$11:$C$447,2,0)</f>
        <v>#N/A</v>
      </c>
      <c r="C2047" s="626" t="s">
        <v>1562</v>
      </c>
      <c r="D2047" s="630" t="s">
        <v>1468</v>
      </c>
      <c r="E2047" s="630" t="s">
        <v>15</v>
      </c>
      <c r="F2047" s="630"/>
      <c r="G2047" s="655">
        <v>600000</v>
      </c>
      <c r="H2047" s="635">
        <v>524139.33600000001</v>
      </c>
      <c r="I2047" s="655"/>
      <c r="J2047" s="635">
        <f t="shared" si="82"/>
        <v>1124139.3360000001</v>
      </c>
      <c r="K2047" s="635"/>
      <c r="L2047" s="635"/>
      <c r="M2047" s="655">
        <f t="shared" si="83"/>
        <v>1124139.3360000001</v>
      </c>
      <c r="N2047" s="644"/>
      <c r="P2047" s="636"/>
    </row>
    <row r="2048" spans="1:16" s="242" customFormat="1" ht="14.25" customHeight="1">
      <c r="A2048" s="643">
        <v>354</v>
      </c>
      <c r="B2048" s="625" t="e">
        <f>VLOOKUP(D2048,'[1]DS CN MOI UP'!$B$11:$C$447,2,0)</f>
        <v>#N/A</v>
      </c>
      <c r="C2048" s="626" t="s">
        <v>1562</v>
      </c>
      <c r="D2048" s="630" t="s">
        <v>751</v>
      </c>
      <c r="E2048" s="630" t="s">
        <v>15</v>
      </c>
      <c r="F2048" s="630"/>
      <c r="G2048" s="655">
        <v>600000</v>
      </c>
      <c r="H2048" s="635">
        <v>635040.18900000001</v>
      </c>
      <c r="I2048" s="655"/>
      <c r="J2048" s="635">
        <f t="shared" si="82"/>
        <v>1235040.189</v>
      </c>
      <c r="K2048" s="635"/>
      <c r="L2048" s="635"/>
      <c r="M2048" s="655">
        <f t="shared" si="83"/>
        <v>1235040.189</v>
      </c>
      <c r="N2048" s="644"/>
      <c r="P2048" s="636"/>
    </row>
    <row r="2049" spans="1:16" s="242" customFormat="1" ht="14.25" customHeight="1">
      <c r="A2049" s="643">
        <v>355</v>
      </c>
      <c r="B2049" s="625" t="e">
        <f>VLOOKUP(D2049,'[1]DS CN MOI UP'!$B$11:$C$447,2,0)</f>
        <v>#N/A</v>
      </c>
      <c r="C2049" s="626" t="s">
        <v>1562</v>
      </c>
      <c r="D2049" s="630" t="s">
        <v>752</v>
      </c>
      <c r="E2049" s="630" t="s">
        <v>15</v>
      </c>
      <c r="F2049" s="630"/>
      <c r="G2049" s="655">
        <v>600000</v>
      </c>
      <c r="H2049" s="635">
        <v>635040.18900000001</v>
      </c>
      <c r="I2049" s="655"/>
      <c r="J2049" s="635">
        <f t="shared" si="82"/>
        <v>1235040.189</v>
      </c>
      <c r="K2049" s="635"/>
      <c r="L2049" s="635"/>
      <c r="M2049" s="655">
        <f t="shared" si="83"/>
        <v>1235040.189</v>
      </c>
      <c r="N2049" s="644"/>
      <c r="P2049" s="636"/>
    </row>
    <row r="2050" spans="1:16" s="242" customFormat="1" ht="14.25" customHeight="1">
      <c r="A2050" s="643">
        <v>356</v>
      </c>
      <c r="B2050" s="625" t="str">
        <f>VLOOKUP(D2050,'[1]DS CN MOI UP'!$B$11:$C$447,2,0)</f>
        <v>02605</v>
      </c>
      <c r="C2050" s="626" t="s">
        <v>1562</v>
      </c>
      <c r="D2050" s="630" t="s">
        <v>258</v>
      </c>
      <c r="E2050" s="630" t="s">
        <v>15</v>
      </c>
      <c r="F2050" s="630"/>
      <c r="G2050" s="655">
        <v>600000</v>
      </c>
      <c r="H2050" s="635">
        <v>635040.18900000001</v>
      </c>
      <c r="I2050" s="655"/>
      <c r="J2050" s="635">
        <f t="shared" si="82"/>
        <v>1235040.189</v>
      </c>
      <c r="K2050" s="635"/>
      <c r="L2050" s="635"/>
      <c r="M2050" s="655">
        <f t="shared" si="83"/>
        <v>1235040.189</v>
      </c>
      <c r="N2050" s="644"/>
      <c r="P2050" s="636"/>
    </row>
    <row r="2051" spans="1:16" s="242" customFormat="1" ht="14.25" customHeight="1">
      <c r="A2051" s="643">
        <v>357</v>
      </c>
      <c r="B2051" s="625" t="e">
        <f>VLOOKUP(D2051,'[1]DS CN MOI UP'!$B$11:$C$447,2,0)</f>
        <v>#N/A</v>
      </c>
      <c r="C2051" s="626" t="s">
        <v>1562</v>
      </c>
      <c r="D2051" s="630" t="s">
        <v>754</v>
      </c>
      <c r="E2051" s="630" t="s">
        <v>15</v>
      </c>
      <c r="F2051" s="630"/>
      <c r="G2051" s="655">
        <v>600000</v>
      </c>
      <c r="H2051" s="635">
        <v>635040.18900000001</v>
      </c>
      <c r="I2051" s="655"/>
      <c r="J2051" s="635">
        <f t="shared" si="82"/>
        <v>1235040.189</v>
      </c>
      <c r="K2051" s="635"/>
      <c r="L2051" s="635"/>
      <c r="M2051" s="655">
        <f t="shared" si="83"/>
        <v>1235040.189</v>
      </c>
      <c r="N2051" s="644"/>
      <c r="P2051" s="636"/>
    </row>
    <row r="2052" spans="1:16" s="242" customFormat="1" ht="14.25" customHeight="1">
      <c r="A2052" s="643">
        <v>358</v>
      </c>
      <c r="B2052" s="625" t="e">
        <f>VLOOKUP(D2052,'[1]DS CN MOI UP'!$B$11:$C$447,2,0)</f>
        <v>#N/A</v>
      </c>
      <c r="C2052" s="626" t="s">
        <v>1562</v>
      </c>
      <c r="D2052" s="630" t="s">
        <v>1469</v>
      </c>
      <c r="E2052" s="630" t="s">
        <v>15</v>
      </c>
      <c r="F2052" s="630"/>
      <c r="G2052" s="655">
        <v>600000</v>
      </c>
      <c r="H2052" s="635">
        <v>635040.18900000001</v>
      </c>
      <c r="I2052" s="655"/>
      <c r="J2052" s="635">
        <f t="shared" si="82"/>
        <v>1235040.189</v>
      </c>
      <c r="K2052" s="635"/>
      <c r="L2052" s="635"/>
      <c r="M2052" s="655">
        <f t="shared" si="83"/>
        <v>1235040.189</v>
      </c>
      <c r="N2052" s="644"/>
      <c r="P2052" s="636"/>
    </row>
    <row r="2053" spans="1:16" s="242" customFormat="1" ht="14.25" customHeight="1">
      <c r="A2053" s="643">
        <v>359</v>
      </c>
      <c r="B2053" s="625" t="e">
        <f>VLOOKUP(D2053,'[1]DS CN MOI UP'!$B$11:$C$447,2,0)</f>
        <v>#N/A</v>
      </c>
      <c r="C2053" s="626" t="s">
        <v>1562</v>
      </c>
      <c r="D2053" s="630" t="s">
        <v>1470</v>
      </c>
      <c r="E2053" s="630" t="s">
        <v>15</v>
      </c>
      <c r="F2053" s="630"/>
      <c r="G2053" s="655">
        <v>600000</v>
      </c>
      <c r="H2053" s="635">
        <v>635040.18900000001</v>
      </c>
      <c r="I2053" s="655"/>
      <c r="J2053" s="635">
        <f t="shared" si="82"/>
        <v>1235040.189</v>
      </c>
      <c r="K2053" s="635"/>
      <c r="L2053" s="635"/>
      <c r="M2053" s="655">
        <f t="shared" si="83"/>
        <v>1235040.189</v>
      </c>
      <c r="N2053" s="644"/>
      <c r="P2053" s="636"/>
    </row>
    <row r="2054" spans="1:16" s="242" customFormat="1" ht="14.25" customHeight="1">
      <c r="A2054" s="643">
        <v>360</v>
      </c>
      <c r="B2054" s="625" t="e">
        <f>VLOOKUP(D2054,'[1]DS CN MOI UP'!$B$11:$C$447,2,0)</f>
        <v>#N/A</v>
      </c>
      <c r="C2054" s="626" t="s">
        <v>1562</v>
      </c>
      <c r="D2054" s="630" t="s">
        <v>1471</v>
      </c>
      <c r="E2054" s="630" t="s">
        <v>15</v>
      </c>
      <c r="F2054" s="630"/>
      <c r="G2054" s="655">
        <v>600000</v>
      </c>
      <c r="H2054" s="635">
        <v>635040.18900000001</v>
      </c>
      <c r="I2054" s="655"/>
      <c r="J2054" s="635">
        <f t="shared" si="82"/>
        <v>1235040.189</v>
      </c>
      <c r="K2054" s="635"/>
      <c r="L2054" s="635"/>
      <c r="M2054" s="655">
        <f t="shared" si="83"/>
        <v>1235040.189</v>
      </c>
      <c r="N2054" s="644"/>
      <c r="P2054" s="636"/>
    </row>
    <row r="2055" spans="1:16" s="242" customFormat="1" ht="14.25" customHeight="1">
      <c r="A2055" s="643">
        <v>361</v>
      </c>
      <c r="B2055" s="625" t="e">
        <f>VLOOKUP(D2055,'[1]DS CN MOI UP'!$B$11:$C$447,2,0)</f>
        <v>#N/A</v>
      </c>
      <c r="C2055" s="626" t="s">
        <v>1562</v>
      </c>
      <c r="D2055" s="630" t="s">
        <v>1472</v>
      </c>
      <c r="E2055" s="630" t="s">
        <v>15</v>
      </c>
      <c r="F2055" s="630"/>
      <c r="G2055" s="655">
        <v>600000</v>
      </c>
      <c r="H2055" s="635">
        <v>554373.09900000005</v>
      </c>
      <c r="I2055" s="655"/>
      <c r="J2055" s="635">
        <f t="shared" si="82"/>
        <v>1154373.0989999999</v>
      </c>
      <c r="K2055" s="635"/>
      <c r="L2055" s="635"/>
      <c r="M2055" s="655">
        <f t="shared" si="83"/>
        <v>1154373.0989999999</v>
      </c>
      <c r="N2055" s="644"/>
      <c r="P2055" s="636"/>
    </row>
    <row r="2056" spans="1:16" s="242" customFormat="1" ht="14.25" customHeight="1">
      <c r="A2056" s="643">
        <v>362</v>
      </c>
      <c r="B2056" s="625" t="e">
        <f>VLOOKUP(D2056,'[1]DS CN MOI UP'!$B$11:$C$447,2,0)</f>
        <v>#N/A</v>
      </c>
      <c r="C2056" s="626" t="s">
        <v>1562</v>
      </c>
      <c r="D2056" s="630" t="s">
        <v>1473</v>
      </c>
      <c r="E2056" s="630" t="s">
        <v>15</v>
      </c>
      <c r="F2056" s="630"/>
      <c r="G2056" s="655">
        <v>600000</v>
      </c>
      <c r="H2056" s="635">
        <v>554373.09900000005</v>
      </c>
      <c r="I2056" s="655"/>
      <c r="J2056" s="635">
        <f t="shared" si="82"/>
        <v>1154373.0989999999</v>
      </c>
      <c r="K2056" s="635"/>
      <c r="L2056" s="635"/>
      <c r="M2056" s="655">
        <f t="shared" si="83"/>
        <v>1154373.0989999999</v>
      </c>
      <c r="N2056" s="644"/>
      <c r="P2056" s="636"/>
    </row>
    <row r="2057" spans="1:16" s="242" customFormat="1" ht="14.25" customHeight="1">
      <c r="A2057" s="643">
        <v>363</v>
      </c>
      <c r="B2057" s="625" t="e">
        <f>VLOOKUP(D2057,'[1]DS CN MOI UP'!$B$11:$C$447,2,0)</f>
        <v>#N/A</v>
      </c>
      <c r="C2057" s="626" t="s">
        <v>1562</v>
      </c>
      <c r="D2057" s="630" t="s">
        <v>1474</v>
      </c>
      <c r="E2057" s="630" t="s">
        <v>15</v>
      </c>
      <c r="F2057" s="630"/>
      <c r="G2057" s="655">
        <v>600000</v>
      </c>
      <c r="H2057" s="635">
        <v>554373.09900000005</v>
      </c>
      <c r="I2057" s="655"/>
      <c r="J2057" s="635">
        <f t="shared" si="82"/>
        <v>1154373.0989999999</v>
      </c>
      <c r="K2057" s="635"/>
      <c r="L2057" s="635"/>
      <c r="M2057" s="655">
        <f t="shared" si="83"/>
        <v>1154373.0989999999</v>
      </c>
      <c r="N2057" s="644"/>
      <c r="P2057" s="636"/>
    </row>
    <row r="2058" spans="1:16" s="242" customFormat="1" ht="14.25" customHeight="1">
      <c r="A2058" s="643">
        <v>364</v>
      </c>
      <c r="B2058" s="625" t="e">
        <f>VLOOKUP(D2058,'[1]DS CN MOI UP'!$B$11:$C$447,2,0)</f>
        <v>#N/A</v>
      </c>
      <c r="C2058" s="626" t="s">
        <v>1562</v>
      </c>
      <c r="D2058" s="630" t="s">
        <v>1475</v>
      </c>
      <c r="E2058" s="630" t="s">
        <v>15</v>
      </c>
      <c r="F2058" s="630"/>
      <c r="G2058" s="655">
        <v>600000</v>
      </c>
      <c r="H2058" s="635">
        <v>635040.18900000001</v>
      </c>
      <c r="I2058" s="655"/>
      <c r="J2058" s="635">
        <f t="shared" si="82"/>
        <v>1235040.189</v>
      </c>
      <c r="K2058" s="635"/>
      <c r="L2058" s="635"/>
      <c r="M2058" s="655">
        <f t="shared" si="83"/>
        <v>1235040.189</v>
      </c>
      <c r="N2058" s="644"/>
      <c r="P2058" s="636"/>
    </row>
    <row r="2059" spans="1:16" s="242" customFormat="1" ht="14.25" customHeight="1">
      <c r="A2059" s="643">
        <v>365</v>
      </c>
      <c r="B2059" s="625" t="e">
        <f>VLOOKUP(D2059,'[1]DS CN MOI UP'!$B$11:$C$447,2,0)</f>
        <v>#N/A</v>
      </c>
      <c r="C2059" s="626" t="s">
        <v>1562</v>
      </c>
      <c r="D2059" s="630" t="s">
        <v>1476</v>
      </c>
      <c r="E2059" s="630" t="s">
        <v>15</v>
      </c>
      <c r="F2059" s="630"/>
      <c r="G2059" s="655">
        <v>600000</v>
      </c>
      <c r="H2059" s="635">
        <v>544338.9</v>
      </c>
      <c r="I2059" s="655"/>
      <c r="J2059" s="635">
        <f t="shared" ref="J2059:J2084" si="84">SUM(G2059:I2059)</f>
        <v>1144338.8999999999</v>
      </c>
      <c r="K2059" s="635"/>
      <c r="L2059" s="635"/>
      <c r="M2059" s="655">
        <f t="shared" ref="M2059:M2084" si="85">J2059-L2059</f>
        <v>1144338.8999999999</v>
      </c>
      <c r="N2059" s="644"/>
      <c r="P2059" s="636"/>
    </row>
    <row r="2060" spans="1:16" s="242" customFormat="1" ht="14.25" customHeight="1">
      <c r="A2060" s="643">
        <v>366</v>
      </c>
      <c r="B2060" s="625" t="e">
        <f>VLOOKUP(D2060,'[1]DS CN MOI UP'!$B$11:$C$447,2,0)</f>
        <v>#N/A</v>
      </c>
      <c r="C2060" s="626" t="s">
        <v>1562</v>
      </c>
      <c r="D2060" s="630" t="s">
        <v>1477</v>
      </c>
      <c r="E2060" s="630" t="s">
        <v>15</v>
      </c>
      <c r="F2060" s="630"/>
      <c r="G2060" s="655">
        <v>600000</v>
      </c>
      <c r="H2060" s="635">
        <v>574572.66299999994</v>
      </c>
      <c r="I2060" s="655"/>
      <c r="J2060" s="635">
        <f t="shared" si="84"/>
        <v>1174572.6629999999</v>
      </c>
      <c r="K2060" s="635"/>
      <c r="L2060" s="635"/>
      <c r="M2060" s="655">
        <f t="shared" si="85"/>
        <v>1174572.6629999999</v>
      </c>
      <c r="N2060" s="644"/>
      <c r="P2060" s="636"/>
    </row>
    <row r="2061" spans="1:16" s="242" customFormat="1" ht="14.25" customHeight="1">
      <c r="A2061" s="643">
        <v>367</v>
      </c>
      <c r="B2061" s="625" t="e">
        <f>VLOOKUP(D2061,'[1]DS CN MOI UP'!$B$11:$C$447,2,0)</f>
        <v>#N/A</v>
      </c>
      <c r="C2061" s="626" t="s">
        <v>1562</v>
      </c>
      <c r="D2061" s="630" t="s">
        <v>1478</v>
      </c>
      <c r="E2061" s="630" t="s">
        <v>15</v>
      </c>
      <c r="F2061" s="630"/>
      <c r="G2061" s="655">
        <v>600000</v>
      </c>
      <c r="H2061" s="635">
        <v>524139.33600000001</v>
      </c>
      <c r="I2061" s="655"/>
      <c r="J2061" s="635">
        <f t="shared" si="84"/>
        <v>1124139.3360000001</v>
      </c>
      <c r="K2061" s="635"/>
      <c r="L2061" s="635"/>
      <c r="M2061" s="655">
        <f t="shared" si="85"/>
        <v>1124139.3360000001</v>
      </c>
      <c r="N2061" s="644"/>
      <c r="P2061" s="636"/>
    </row>
    <row r="2062" spans="1:16" s="242" customFormat="1" ht="14.25" customHeight="1">
      <c r="A2062" s="643">
        <v>368</v>
      </c>
      <c r="B2062" s="625" t="e">
        <f>VLOOKUP(D2062,'[1]DS CN MOI UP'!$B$11:$C$447,2,0)</f>
        <v>#N/A</v>
      </c>
      <c r="C2062" s="626" t="s">
        <v>1562</v>
      </c>
      <c r="D2062" s="630" t="s">
        <v>1479</v>
      </c>
      <c r="E2062" s="630" t="s">
        <v>15</v>
      </c>
      <c r="F2062" s="630"/>
      <c r="G2062" s="655">
        <v>600000</v>
      </c>
      <c r="H2062" s="635">
        <v>635040.18900000001</v>
      </c>
      <c r="I2062" s="655"/>
      <c r="J2062" s="635">
        <f t="shared" si="84"/>
        <v>1235040.189</v>
      </c>
      <c r="K2062" s="635"/>
      <c r="L2062" s="635"/>
      <c r="M2062" s="655">
        <f t="shared" si="85"/>
        <v>1235040.189</v>
      </c>
      <c r="N2062" s="644"/>
      <c r="P2062" s="636"/>
    </row>
    <row r="2063" spans="1:16" s="242" customFormat="1" ht="14.25" customHeight="1">
      <c r="A2063" s="643">
        <v>369</v>
      </c>
      <c r="B2063" s="625" t="e">
        <f>VLOOKUP(D2063,'[1]DS CN MOI UP'!$B$11:$C$447,2,0)</f>
        <v>#N/A</v>
      </c>
      <c r="C2063" s="626" t="s">
        <v>1562</v>
      </c>
      <c r="D2063" s="630" t="s">
        <v>1480</v>
      </c>
      <c r="E2063" s="630" t="s">
        <v>15</v>
      </c>
      <c r="F2063" s="630"/>
      <c r="G2063" s="655">
        <v>600000</v>
      </c>
      <c r="H2063" s="635">
        <v>635040.18900000001</v>
      </c>
      <c r="I2063" s="655"/>
      <c r="J2063" s="635">
        <f t="shared" si="84"/>
        <v>1235040.189</v>
      </c>
      <c r="K2063" s="635"/>
      <c r="L2063" s="635"/>
      <c r="M2063" s="655">
        <f t="shared" si="85"/>
        <v>1235040.189</v>
      </c>
      <c r="N2063" s="644"/>
      <c r="P2063" s="636"/>
    </row>
    <row r="2064" spans="1:16" s="242" customFormat="1" ht="14.25" customHeight="1">
      <c r="A2064" s="643">
        <v>370</v>
      </c>
      <c r="B2064" s="625" t="e">
        <f>VLOOKUP(D2064,'[1]DS CN MOI UP'!$B$11:$C$447,2,0)</f>
        <v>#N/A</v>
      </c>
      <c r="C2064" s="626" t="s">
        <v>1562</v>
      </c>
      <c r="D2064" s="630" t="s">
        <v>1481</v>
      </c>
      <c r="E2064" s="630" t="s">
        <v>15</v>
      </c>
      <c r="F2064" s="630"/>
      <c r="G2064" s="655">
        <v>600000</v>
      </c>
      <c r="H2064" s="635">
        <v>635040.18900000001</v>
      </c>
      <c r="I2064" s="655"/>
      <c r="J2064" s="635">
        <f t="shared" si="84"/>
        <v>1235040.189</v>
      </c>
      <c r="K2064" s="635"/>
      <c r="L2064" s="635"/>
      <c r="M2064" s="655">
        <f t="shared" si="85"/>
        <v>1235040.189</v>
      </c>
      <c r="N2064" s="644"/>
      <c r="P2064" s="636"/>
    </row>
    <row r="2065" spans="1:16" s="242" customFormat="1" ht="14.25" customHeight="1">
      <c r="A2065" s="643">
        <v>371</v>
      </c>
      <c r="B2065" s="625" t="e">
        <f>VLOOKUP(D2065,'[1]DS CN MOI UP'!$B$11:$C$447,2,0)</f>
        <v>#N/A</v>
      </c>
      <c r="C2065" s="626" t="s">
        <v>1562</v>
      </c>
      <c r="D2065" s="630" t="s">
        <v>1482</v>
      </c>
      <c r="E2065" s="630" t="s">
        <v>15</v>
      </c>
      <c r="F2065" s="630"/>
      <c r="G2065" s="655">
        <v>480655.07599999802</v>
      </c>
      <c r="H2065" s="635">
        <v>635040.18900000001</v>
      </c>
      <c r="I2065" s="655"/>
      <c r="J2065" s="635">
        <f t="shared" si="84"/>
        <v>1115695.264999998</v>
      </c>
      <c r="K2065" s="635"/>
      <c r="L2065" s="635"/>
      <c r="M2065" s="655">
        <f t="shared" si="85"/>
        <v>1115695.264999998</v>
      </c>
      <c r="N2065" s="644"/>
      <c r="P2065" s="636"/>
    </row>
    <row r="2066" spans="1:16" s="242" customFormat="1" ht="14.25" customHeight="1">
      <c r="A2066" s="643">
        <v>372</v>
      </c>
      <c r="B2066" s="625" t="e">
        <f>VLOOKUP(D2066,'[1]DS CN MOI UP'!$B$11:$C$447,2,0)</f>
        <v>#N/A</v>
      </c>
      <c r="C2066" s="626" t="s">
        <v>1562</v>
      </c>
      <c r="D2066" s="630" t="s">
        <v>1483</v>
      </c>
      <c r="E2066" s="630" t="s">
        <v>15</v>
      </c>
      <c r="F2066" s="630"/>
      <c r="G2066" s="655"/>
      <c r="H2066" s="635">
        <v>635040.18900000001</v>
      </c>
      <c r="I2066" s="655">
        <v>600000</v>
      </c>
      <c r="J2066" s="635">
        <f t="shared" si="84"/>
        <v>1235040.189</v>
      </c>
      <c r="K2066" s="635"/>
      <c r="L2066" s="635"/>
      <c r="M2066" s="655">
        <f t="shared" si="85"/>
        <v>1235040.189</v>
      </c>
      <c r="N2066" s="644"/>
      <c r="P2066" s="636"/>
    </row>
    <row r="2067" spans="1:16" s="242" customFormat="1" ht="14.25" customHeight="1">
      <c r="A2067" s="643">
        <v>373</v>
      </c>
      <c r="B2067" s="625" t="e">
        <f>VLOOKUP(D2067,'[1]DS CN MOI UP'!$B$11:$C$447,2,0)</f>
        <v>#N/A</v>
      </c>
      <c r="C2067" s="626" t="s">
        <v>1562</v>
      </c>
      <c r="D2067" s="630" t="s">
        <v>1484</v>
      </c>
      <c r="E2067" s="630" t="s">
        <v>15</v>
      </c>
      <c r="F2067" s="630"/>
      <c r="G2067" s="655"/>
      <c r="H2067" s="635">
        <v>635040.18900000001</v>
      </c>
      <c r="I2067" s="655">
        <v>600000</v>
      </c>
      <c r="J2067" s="635">
        <f t="shared" si="84"/>
        <v>1235040.189</v>
      </c>
      <c r="K2067" s="635"/>
      <c r="L2067" s="635"/>
      <c r="M2067" s="655">
        <f t="shared" si="85"/>
        <v>1235040.189</v>
      </c>
      <c r="N2067" s="644"/>
      <c r="P2067" s="636"/>
    </row>
    <row r="2068" spans="1:16" s="242" customFormat="1" ht="14.25" customHeight="1">
      <c r="A2068" s="643">
        <v>374</v>
      </c>
      <c r="B2068" s="625" t="e">
        <f>VLOOKUP(D2068,'[1]DS CN MOI UP'!$B$11:$C$447,2,0)</f>
        <v>#N/A</v>
      </c>
      <c r="C2068" s="626" t="s">
        <v>1562</v>
      </c>
      <c r="D2068" s="630" t="s">
        <v>1485</v>
      </c>
      <c r="E2068" s="630" t="s">
        <v>15</v>
      </c>
      <c r="F2068" s="630"/>
      <c r="G2068" s="655"/>
      <c r="H2068" s="635">
        <v>635040.18900000001</v>
      </c>
      <c r="I2068" s="655">
        <v>600000</v>
      </c>
      <c r="J2068" s="635">
        <f t="shared" si="84"/>
        <v>1235040.189</v>
      </c>
      <c r="K2068" s="635"/>
      <c r="L2068" s="635"/>
      <c r="M2068" s="655">
        <f t="shared" si="85"/>
        <v>1235040.189</v>
      </c>
      <c r="N2068" s="644"/>
      <c r="P2068" s="636"/>
    </row>
    <row r="2069" spans="1:16" s="242" customFormat="1" ht="14.25" customHeight="1">
      <c r="A2069" s="643">
        <v>375</v>
      </c>
      <c r="B2069" s="625" t="e">
        <f>VLOOKUP(D2069,'[1]DS CN MOI UP'!$B$11:$C$447,2,0)</f>
        <v>#N/A</v>
      </c>
      <c r="C2069" s="626" t="s">
        <v>1562</v>
      </c>
      <c r="D2069" s="630" t="s">
        <v>1486</v>
      </c>
      <c r="E2069" s="630" t="s">
        <v>15</v>
      </c>
      <c r="F2069" s="630"/>
      <c r="G2069" s="655"/>
      <c r="H2069" s="635">
        <v>554373.09900000005</v>
      </c>
      <c r="I2069" s="655">
        <v>600000</v>
      </c>
      <c r="J2069" s="635">
        <f t="shared" si="84"/>
        <v>1154373.0989999999</v>
      </c>
      <c r="K2069" s="635"/>
      <c r="L2069" s="635"/>
      <c r="M2069" s="655">
        <f t="shared" si="85"/>
        <v>1154373.0989999999</v>
      </c>
      <c r="N2069" s="644"/>
      <c r="P2069" s="636"/>
    </row>
    <row r="2070" spans="1:16" s="242" customFormat="1" ht="14.25" customHeight="1">
      <c r="A2070" s="643">
        <v>376</v>
      </c>
      <c r="B2070" s="625" t="e">
        <f>VLOOKUP(D2070,'[1]DS CN MOI UP'!$B$11:$C$447,2,0)</f>
        <v>#N/A</v>
      </c>
      <c r="C2070" s="626" t="s">
        <v>1562</v>
      </c>
      <c r="D2070" s="630" t="s">
        <v>1487</v>
      </c>
      <c r="E2070" s="630" t="s">
        <v>15</v>
      </c>
      <c r="F2070" s="630"/>
      <c r="G2070" s="655"/>
      <c r="H2070" s="635">
        <v>554373.09900000005</v>
      </c>
      <c r="I2070" s="655">
        <v>600000</v>
      </c>
      <c r="J2070" s="635">
        <f t="shared" si="84"/>
        <v>1154373.0989999999</v>
      </c>
      <c r="K2070" s="635"/>
      <c r="L2070" s="635"/>
      <c r="M2070" s="655">
        <f t="shared" si="85"/>
        <v>1154373.0989999999</v>
      </c>
      <c r="N2070" s="644"/>
      <c r="P2070" s="636"/>
    </row>
    <row r="2071" spans="1:16" s="242" customFormat="1" ht="14.25" customHeight="1">
      <c r="A2071" s="643">
        <v>377</v>
      </c>
      <c r="B2071" s="625" t="e">
        <f>VLOOKUP(D2071,'[1]DS CN MOI UP'!$B$11:$C$447,2,0)</f>
        <v>#N/A</v>
      </c>
      <c r="C2071" s="626" t="s">
        <v>1562</v>
      </c>
      <c r="D2071" s="630" t="s">
        <v>1489</v>
      </c>
      <c r="E2071" s="630" t="s">
        <v>15</v>
      </c>
      <c r="F2071" s="630"/>
      <c r="G2071" s="655"/>
      <c r="H2071" s="635">
        <v>554373.09900000005</v>
      </c>
      <c r="I2071" s="655">
        <v>600000</v>
      </c>
      <c r="J2071" s="635">
        <f t="shared" si="84"/>
        <v>1154373.0989999999</v>
      </c>
      <c r="K2071" s="635"/>
      <c r="L2071" s="635"/>
      <c r="M2071" s="655">
        <f t="shared" si="85"/>
        <v>1154373.0989999999</v>
      </c>
      <c r="N2071" s="644"/>
      <c r="P2071" s="636"/>
    </row>
    <row r="2072" spans="1:16" s="242" customFormat="1" ht="14.25" customHeight="1">
      <c r="A2072" s="643">
        <v>378</v>
      </c>
      <c r="B2072" s="625" t="e">
        <f>VLOOKUP(D2072,'[1]DS CN MOI UP'!$B$11:$C$447,2,0)</f>
        <v>#N/A</v>
      </c>
      <c r="C2072" s="626" t="s">
        <v>1562</v>
      </c>
      <c r="D2072" s="630" t="s">
        <v>1490</v>
      </c>
      <c r="E2072" s="630" t="s">
        <v>15</v>
      </c>
      <c r="F2072" s="630"/>
      <c r="G2072" s="655"/>
      <c r="H2072" s="635">
        <v>635040.18900000001</v>
      </c>
      <c r="I2072" s="655">
        <v>600000</v>
      </c>
      <c r="J2072" s="635">
        <f t="shared" si="84"/>
        <v>1235040.189</v>
      </c>
      <c r="K2072" s="635"/>
      <c r="L2072" s="635"/>
      <c r="M2072" s="655">
        <f t="shared" si="85"/>
        <v>1235040.189</v>
      </c>
      <c r="N2072" s="644"/>
      <c r="P2072" s="636"/>
    </row>
    <row r="2073" spans="1:16" s="242" customFormat="1" ht="14.25" customHeight="1">
      <c r="A2073" s="643">
        <v>379</v>
      </c>
      <c r="B2073" s="625" t="e">
        <f>VLOOKUP(D2073,'[1]DS CN MOI UP'!$B$11:$C$447,2,0)</f>
        <v>#N/A</v>
      </c>
      <c r="C2073" s="626" t="s">
        <v>1562</v>
      </c>
      <c r="D2073" s="630" t="s">
        <v>1491</v>
      </c>
      <c r="E2073" s="630" t="s">
        <v>15</v>
      </c>
      <c r="F2073" s="630"/>
      <c r="G2073" s="655"/>
      <c r="H2073" s="635">
        <v>544338.9</v>
      </c>
      <c r="I2073" s="655">
        <v>600000</v>
      </c>
      <c r="J2073" s="635">
        <f t="shared" si="84"/>
        <v>1144338.8999999999</v>
      </c>
      <c r="K2073" s="635"/>
      <c r="L2073" s="635"/>
      <c r="M2073" s="655">
        <f t="shared" si="85"/>
        <v>1144338.8999999999</v>
      </c>
      <c r="N2073" s="644"/>
      <c r="P2073" s="636"/>
    </row>
    <row r="2074" spans="1:16" s="242" customFormat="1" ht="14.25" customHeight="1">
      <c r="A2074" s="643">
        <v>380</v>
      </c>
      <c r="B2074" s="625" t="e">
        <f>VLOOKUP(D2074,'[1]DS CN MOI UP'!$B$11:$C$447,2,0)</f>
        <v>#N/A</v>
      </c>
      <c r="C2074" s="626" t="s">
        <v>1562</v>
      </c>
      <c r="D2074" s="630" t="s">
        <v>1492</v>
      </c>
      <c r="E2074" s="630" t="s">
        <v>15</v>
      </c>
      <c r="F2074" s="630"/>
      <c r="G2074" s="655"/>
      <c r="H2074" s="635">
        <v>574572.66299999994</v>
      </c>
      <c r="I2074" s="655">
        <v>600000</v>
      </c>
      <c r="J2074" s="635">
        <f t="shared" si="84"/>
        <v>1174572.6629999999</v>
      </c>
      <c r="K2074" s="635"/>
      <c r="L2074" s="635"/>
      <c r="M2074" s="655">
        <f t="shared" si="85"/>
        <v>1174572.6629999999</v>
      </c>
      <c r="N2074" s="644"/>
      <c r="P2074" s="636"/>
    </row>
    <row r="2075" spans="1:16" s="242" customFormat="1" ht="14.25" customHeight="1">
      <c r="A2075" s="643">
        <v>381</v>
      </c>
      <c r="B2075" s="625" t="e">
        <f>VLOOKUP(D2075,'[1]DS CN MOI UP'!$B$11:$C$447,2,0)</f>
        <v>#N/A</v>
      </c>
      <c r="C2075" s="626" t="s">
        <v>1562</v>
      </c>
      <c r="D2075" s="630" t="s">
        <v>1493</v>
      </c>
      <c r="E2075" s="630" t="s">
        <v>15</v>
      </c>
      <c r="F2075" s="630"/>
      <c r="G2075" s="655"/>
      <c r="H2075" s="635">
        <v>524139.33600000001</v>
      </c>
      <c r="I2075" s="655">
        <v>600000</v>
      </c>
      <c r="J2075" s="635">
        <f t="shared" si="84"/>
        <v>1124139.3360000001</v>
      </c>
      <c r="K2075" s="635"/>
      <c r="L2075" s="635"/>
      <c r="M2075" s="655">
        <f t="shared" si="85"/>
        <v>1124139.3360000001</v>
      </c>
      <c r="N2075" s="644"/>
      <c r="P2075" s="636"/>
    </row>
    <row r="2076" spans="1:16" s="242" customFormat="1" ht="14.25" customHeight="1">
      <c r="A2076" s="643">
        <v>382</v>
      </c>
      <c r="B2076" s="625" t="e">
        <f>VLOOKUP(D2076,'[1]DS CN MOI UP'!$B$11:$C$447,2,0)</f>
        <v>#N/A</v>
      </c>
      <c r="C2076" s="626" t="s">
        <v>1562</v>
      </c>
      <c r="D2076" s="630" t="s">
        <v>1494</v>
      </c>
      <c r="E2076" s="630" t="s">
        <v>15</v>
      </c>
      <c r="F2076" s="630"/>
      <c r="G2076" s="655"/>
      <c r="H2076" s="635">
        <v>635040.18900000001</v>
      </c>
      <c r="I2076" s="655">
        <v>600000</v>
      </c>
      <c r="J2076" s="635">
        <f t="shared" si="84"/>
        <v>1235040.189</v>
      </c>
      <c r="K2076" s="635"/>
      <c r="L2076" s="635"/>
      <c r="M2076" s="655">
        <f t="shared" si="85"/>
        <v>1235040.189</v>
      </c>
      <c r="N2076" s="644"/>
      <c r="P2076" s="636"/>
    </row>
    <row r="2077" spans="1:16" s="242" customFormat="1" ht="14.25" customHeight="1">
      <c r="A2077" s="643">
        <v>383</v>
      </c>
      <c r="B2077" s="625" t="e">
        <f>VLOOKUP(D2077,'[1]DS CN MOI UP'!$B$11:$C$447,2,0)</f>
        <v>#N/A</v>
      </c>
      <c r="C2077" s="626" t="s">
        <v>1562</v>
      </c>
      <c r="D2077" s="630" t="s">
        <v>1495</v>
      </c>
      <c r="E2077" s="630" t="s">
        <v>15</v>
      </c>
      <c r="F2077" s="630"/>
      <c r="G2077" s="655"/>
      <c r="H2077" s="635">
        <v>635040.18900000001</v>
      </c>
      <c r="I2077" s="655">
        <v>600000</v>
      </c>
      <c r="J2077" s="635">
        <f t="shared" si="84"/>
        <v>1235040.189</v>
      </c>
      <c r="K2077" s="635"/>
      <c r="L2077" s="635"/>
      <c r="M2077" s="655">
        <f t="shared" si="85"/>
        <v>1235040.189</v>
      </c>
      <c r="N2077" s="644"/>
      <c r="P2077" s="636"/>
    </row>
    <row r="2078" spans="1:16" s="242" customFormat="1" ht="14.25" customHeight="1">
      <c r="A2078" s="643">
        <v>384</v>
      </c>
      <c r="B2078" s="625" t="e">
        <f>VLOOKUP(D2078,'[1]DS CN MOI UP'!$B$11:$C$447,2,0)</f>
        <v>#N/A</v>
      </c>
      <c r="C2078" s="626" t="s">
        <v>1562</v>
      </c>
      <c r="D2078" s="630" t="s">
        <v>1496</v>
      </c>
      <c r="E2078" s="630" t="s">
        <v>15</v>
      </c>
      <c r="F2078" s="630"/>
      <c r="G2078" s="655"/>
      <c r="H2078" s="635">
        <v>635040.18900000001</v>
      </c>
      <c r="I2078" s="655">
        <v>600000</v>
      </c>
      <c r="J2078" s="635">
        <f t="shared" si="84"/>
        <v>1235040.189</v>
      </c>
      <c r="K2078" s="635"/>
      <c r="L2078" s="635"/>
      <c r="M2078" s="655">
        <f t="shared" si="85"/>
        <v>1235040.189</v>
      </c>
      <c r="N2078" s="644"/>
      <c r="P2078" s="636"/>
    </row>
    <row r="2079" spans="1:16" s="242" customFormat="1" ht="14.25" customHeight="1">
      <c r="A2079" s="643">
        <v>385</v>
      </c>
      <c r="B2079" s="625" t="e">
        <f>VLOOKUP(D2079,'[1]DS CN MOI UP'!$B$11:$C$447,2,0)</f>
        <v>#N/A</v>
      </c>
      <c r="C2079" s="626" t="s">
        <v>1562</v>
      </c>
      <c r="D2079" s="630" t="s">
        <v>1497</v>
      </c>
      <c r="E2079" s="630" t="s">
        <v>15</v>
      </c>
      <c r="F2079" s="630"/>
      <c r="G2079" s="655"/>
      <c r="H2079" s="635">
        <v>635040.18900000001</v>
      </c>
      <c r="I2079" s="655">
        <v>600000</v>
      </c>
      <c r="J2079" s="635">
        <f t="shared" si="84"/>
        <v>1235040.189</v>
      </c>
      <c r="K2079" s="635"/>
      <c r="L2079" s="635"/>
      <c r="M2079" s="655">
        <f t="shared" si="85"/>
        <v>1235040.189</v>
      </c>
      <c r="N2079" s="644"/>
      <c r="P2079" s="636"/>
    </row>
    <row r="2080" spans="1:16" s="242" customFormat="1" ht="14.25" customHeight="1">
      <c r="A2080" s="643">
        <v>386</v>
      </c>
      <c r="B2080" s="625" t="e">
        <f>VLOOKUP(D2080,'[1]DS CN MOI UP'!$B$11:$C$447,2,0)</f>
        <v>#N/A</v>
      </c>
      <c r="C2080" s="626" t="s">
        <v>1562</v>
      </c>
      <c r="D2080" s="630" t="s">
        <v>1498</v>
      </c>
      <c r="E2080" s="630" t="s">
        <v>15</v>
      </c>
      <c r="F2080" s="630"/>
      <c r="G2080" s="655"/>
      <c r="H2080" s="635">
        <v>635040.18900000001</v>
      </c>
      <c r="I2080" s="655">
        <v>600000</v>
      </c>
      <c r="J2080" s="635">
        <f t="shared" si="84"/>
        <v>1235040.189</v>
      </c>
      <c r="K2080" s="635"/>
      <c r="L2080" s="635"/>
      <c r="M2080" s="655">
        <f t="shared" si="85"/>
        <v>1235040.189</v>
      </c>
      <c r="N2080" s="644"/>
      <c r="P2080" s="636"/>
    </row>
    <row r="2081" spans="1:16" s="242" customFormat="1" ht="14.25" customHeight="1">
      <c r="A2081" s="643">
        <v>387</v>
      </c>
      <c r="B2081" s="625" t="e">
        <f>VLOOKUP(D2081,'[1]DS CN MOI UP'!$B$11:$C$447,2,0)</f>
        <v>#N/A</v>
      </c>
      <c r="C2081" s="626" t="s">
        <v>1562</v>
      </c>
      <c r="D2081" s="630" t="s">
        <v>1499</v>
      </c>
      <c r="E2081" s="630" t="s">
        <v>15</v>
      </c>
      <c r="F2081" s="630"/>
      <c r="G2081" s="655"/>
      <c r="H2081" s="635">
        <v>635040.18900000001</v>
      </c>
      <c r="I2081" s="655">
        <v>600000</v>
      </c>
      <c r="J2081" s="635">
        <f t="shared" si="84"/>
        <v>1235040.189</v>
      </c>
      <c r="K2081" s="635"/>
      <c r="L2081" s="635"/>
      <c r="M2081" s="655">
        <f t="shared" si="85"/>
        <v>1235040.189</v>
      </c>
      <c r="N2081" s="644"/>
      <c r="P2081" s="636"/>
    </row>
    <row r="2082" spans="1:16" s="242" customFormat="1" ht="14.25" customHeight="1">
      <c r="A2082" s="643">
        <v>388</v>
      </c>
      <c r="B2082" s="625" t="e">
        <f>VLOOKUP(D2082,'[1]DS CN MOI UP'!$B$11:$C$447,2,0)</f>
        <v>#N/A</v>
      </c>
      <c r="C2082" s="626" t="s">
        <v>1562</v>
      </c>
      <c r="D2082" s="630" t="s">
        <v>755</v>
      </c>
      <c r="E2082" s="630" t="s">
        <v>15</v>
      </c>
      <c r="F2082" s="630"/>
      <c r="G2082" s="655"/>
      <c r="H2082" s="635">
        <v>635040.18900000001</v>
      </c>
      <c r="I2082" s="655">
        <v>600000</v>
      </c>
      <c r="J2082" s="635">
        <f t="shared" si="84"/>
        <v>1235040.189</v>
      </c>
      <c r="K2082" s="635"/>
      <c r="L2082" s="635"/>
      <c r="M2082" s="655">
        <f t="shared" si="85"/>
        <v>1235040.189</v>
      </c>
      <c r="N2082" s="644"/>
      <c r="P2082" s="636"/>
    </row>
    <row r="2083" spans="1:16" s="242" customFormat="1" ht="14.25" customHeight="1">
      <c r="A2083" s="643">
        <v>389</v>
      </c>
      <c r="B2083" s="625" t="e">
        <f>VLOOKUP(D2083,'[1]DS CN MOI UP'!$B$11:$C$447,2,0)</f>
        <v>#N/A</v>
      </c>
      <c r="C2083" s="626" t="s">
        <v>1562</v>
      </c>
      <c r="D2083" s="630" t="s">
        <v>756</v>
      </c>
      <c r="E2083" s="630" t="s">
        <v>15</v>
      </c>
      <c r="F2083" s="630"/>
      <c r="G2083" s="655"/>
      <c r="H2083" s="635">
        <v>554373.09900000005</v>
      </c>
      <c r="I2083" s="655">
        <v>600000</v>
      </c>
      <c r="J2083" s="635">
        <f t="shared" si="84"/>
        <v>1154373.0989999999</v>
      </c>
      <c r="K2083" s="635"/>
      <c r="L2083" s="635"/>
      <c r="M2083" s="655">
        <f t="shared" si="85"/>
        <v>1154373.0989999999</v>
      </c>
      <c r="N2083" s="644"/>
      <c r="P2083" s="636"/>
    </row>
    <row r="2084" spans="1:16" s="242" customFormat="1" ht="14.25" customHeight="1">
      <c r="A2084" s="643">
        <v>390</v>
      </c>
      <c r="B2084" s="625" t="e">
        <f>VLOOKUP(D2084,'[1]DS CN MOI UP'!$B$11:$C$447,2,0)</f>
        <v>#N/A</v>
      </c>
      <c r="C2084" s="626" t="s">
        <v>1562</v>
      </c>
      <c r="D2084" s="630" t="s">
        <v>1500</v>
      </c>
      <c r="E2084" s="630" t="s">
        <v>15</v>
      </c>
      <c r="F2084" s="630"/>
      <c r="G2084" s="655"/>
      <c r="H2084" s="635">
        <v>554373.09900000005</v>
      </c>
      <c r="I2084" s="655">
        <v>600000</v>
      </c>
      <c r="J2084" s="635">
        <f t="shared" si="84"/>
        <v>1154373.0989999999</v>
      </c>
      <c r="K2084" s="635"/>
      <c r="L2084" s="635"/>
      <c r="M2084" s="655">
        <f t="shared" si="85"/>
        <v>1154373.0989999999</v>
      </c>
      <c r="N2084" s="644"/>
      <c r="P2084" s="636"/>
    </row>
    <row r="2085" spans="1:16" s="242" customFormat="1" ht="14.25" customHeight="1">
      <c r="A2085" s="643">
        <v>391</v>
      </c>
      <c r="B2085" s="625" t="str">
        <f>VLOOKUP(D2085,'[1]DS CN MOI UP'!$B$11:$C$447,2,0)</f>
        <v>02495</v>
      </c>
      <c r="C2085" s="626" t="s">
        <v>1562</v>
      </c>
      <c r="D2085" s="630" t="s">
        <v>120</v>
      </c>
      <c r="E2085" s="630" t="s">
        <v>15</v>
      </c>
      <c r="F2085" s="630"/>
      <c r="G2085" s="655"/>
      <c r="H2085" s="635">
        <v>554373.09900000005</v>
      </c>
      <c r="I2085" s="655">
        <v>600000</v>
      </c>
      <c r="J2085" s="635">
        <f t="shared" si="82"/>
        <v>1154373.0989999999</v>
      </c>
      <c r="K2085" s="635"/>
      <c r="L2085" s="635"/>
      <c r="M2085" s="655">
        <f t="shared" si="83"/>
        <v>1154373.0989999999</v>
      </c>
      <c r="N2085" s="644"/>
      <c r="P2085" s="636"/>
    </row>
    <row r="2086" spans="1:16" s="242" customFormat="1" ht="14.25" customHeight="1">
      <c r="A2086" s="643">
        <v>392</v>
      </c>
      <c r="B2086" s="625" t="str">
        <f>VLOOKUP(D2086,'[1]DS CN MOI UP'!$B$11:$C$447,2,0)</f>
        <v>02505</v>
      </c>
      <c r="C2086" s="626" t="s">
        <v>1562</v>
      </c>
      <c r="D2086" s="630" t="s">
        <v>117</v>
      </c>
      <c r="E2086" s="630" t="s">
        <v>15</v>
      </c>
      <c r="F2086" s="630"/>
      <c r="G2086" s="655"/>
      <c r="H2086" s="635">
        <v>635040.18900000001</v>
      </c>
      <c r="I2086" s="655">
        <v>600000</v>
      </c>
      <c r="J2086" s="635">
        <f t="shared" si="82"/>
        <v>1235040.189</v>
      </c>
      <c r="K2086" s="635"/>
      <c r="L2086" s="635"/>
      <c r="M2086" s="655">
        <f t="shared" si="83"/>
        <v>1235040.189</v>
      </c>
      <c r="N2086" s="644"/>
      <c r="P2086" s="636"/>
    </row>
    <row r="2087" spans="1:16" s="242" customFormat="1" ht="14.25" customHeight="1">
      <c r="A2087" s="643">
        <v>393</v>
      </c>
      <c r="B2087" s="625" t="str">
        <f>VLOOKUP(D2087,'[1]DS CN MOI UP'!$B$11:$C$447,2,0)</f>
        <v>02516</v>
      </c>
      <c r="C2087" s="626" t="s">
        <v>1562</v>
      </c>
      <c r="D2087" s="630" t="s">
        <v>122</v>
      </c>
      <c r="E2087" s="630" t="s">
        <v>15</v>
      </c>
      <c r="F2087" s="630"/>
      <c r="G2087" s="655"/>
      <c r="H2087" s="635">
        <v>544338.9</v>
      </c>
      <c r="I2087" s="655">
        <v>600000</v>
      </c>
      <c r="J2087" s="635">
        <f t="shared" si="82"/>
        <v>1144338.8999999999</v>
      </c>
      <c r="K2087" s="635"/>
      <c r="L2087" s="635"/>
      <c r="M2087" s="655">
        <f t="shared" si="83"/>
        <v>1144338.8999999999</v>
      </c>
      <c r="N2087" s="644"/>
      <c r="P2087" s="636"/>
    </row>
    <row r="2088" spans="1:16" s="242" customFormat="1" ht="14.25" customHeight="1">
      <c r="A2088" s="643">
        <v>394</v>
      </c>
      <c r="B2088" s="625" t="str">
        <f>VLOOKUP(D2088,'[1]DS CN MOI UP'!$B$11:$C$447,2,0)</f>
        <v>03347</v>
      </c>
      <c r="C2088" s="626" t="s">
        <v>1562</v>
      </c>
      <c r="D2088" s="630" t="s">
        <v>121</v>
      </c>
      <c r="E2088" s="630" t="s">
        <v>15</v>
      </c>
      <c r="F2088" s="630"/>
      <c r="G2088" s="655"/>
      <c r="H2088" s="635">
        <v>574572.66299999994</v>
      </c>
      <c r="I2088" s="655">
        <v>600000</v>
      </c>
      <c r="J2088" s="635">
        <f t="shared" si="82"/>
        <v>1174572.6629999999</v>
      </c>
      <c r="K2088" s="635"/>
      <c r="L2088" s="635"/>
      <c r="M2088" s="655">
        <f t="shared" si="83"/>
        <v>1174572.6629999999</v>
      </c>
      <c r="N2088" s="644"/>
      <c r="P2088" s="636"/>
    </row>
    <row r="2089" spans="1:16" s="242" customFormat="1" ht="14.25" customHeight="1">
      <c r="A2089" s="643">
        <v>395</v>
      </c>
      <c r="B2089" s="625" t="str">
        <f>VLOOKUP(D2089,'[1]DS CN MOI UP'!$B$11:$C$447,2,0)</f>
        <v>02539</v>
      </c>
      <c r="C2089" s="626" t="s">
        <v>1562</v>
      </c>
      <c r="D2089" s="630" t="s">
        <v>195</v>
      </c>
      <c r="E2089" s="630" t="s">
        <v>15</v>
      </c>
      <c r="F2089" s="630"/>
      <c r="G2089" s="655"/>
      <c r="H2089" s="635">
        <v>524139.33600000001</v>
      </c>
      <c r="I2089" s="655">
        <v>600000</v>
      </c>
      <c r="J2089" s="635">
        <f t="shared" si="82"/>
        <v>1124139.3360000001</v>
      </c>
      <c r="K2089" s="635"/>
      <c r="L2089" s="635"/>
      <c r="M2089" s="655">
        <f t="shared" si="83"/>
        <v>1124139.3360000001</v>
      </c>
      <c r="N2089" s="644"/>
      <c r="P2089" s="636"/>
    </row>
    <row r="2090" spans="1:16" s="242" customFormat="1" ht="14.25" customHeight="1">
      <c r="A2090" s="643">
        <v>396</v>
      </c>
      <c r="B2090" s="625" t="e">
        <f>VLOOKUP(D2090,'[1]DS CN MOI UP'!$B$11:$C$447,2,0)</f>
        <v>#N/A</v>
      </c>
      <c r="C2090" s="626" t="s">
        <v>1562</v>
      </c>
      <c r="D2090" s="630" t="s">
        <v>1174</v>
      </c>
      <c r="E2090" s="630" t="s">
        <v>15</v>
      </c>
      <c r="F2090" s="630"/>
      <c r="G2090" s="655"/>
      <c r="H2090" s="635">
        <v>635040.18900000001</v>
      </c>
      <c r="I2090" s="655">
        <v>600000</v>
      </c>
      <c r="J2090" s="635">
        <f t="shared" si="82"/>
        <v>1235040.189</v>
      </c>
      <c r="K2090" s="635"/>
      <c r="L2090" s="635"/>
      <c r="M2090" s="655">
        <f t="shared" si="83"/>
        <v>1235040.189</v>
      </c>
      <c r="N2090" s="644"/>
      <c r="P2090" s="636"/>
    </row>
    <row r="2091" spans="1:16" s="242" customFormat="1" ht="14.25" customHeight="1">
      <c r="A2091" s="643">
        <v>397</v>
      </c>
      <c r="B2091" s="625" t="e">
        <f>VLOOKUP(D2091,'[1]DS CN MOI UP'!$B$11:$C$447,2,0)</f>
        <v>#N/A</v>
      </c>
      <c r="C2091" s="626" t="s">
        <v>1562</v>
      </c>
      <c r="D2091" s="630" t="s">
        <v>1175</v>
      </c>
      <c r="E2091" s="630" t="s">
        <v>15</v>
      </c>
      <c r="F2091" s="630"/>
      <c r="G2091" s="655"/>
      <c r="H2091" s="635">
        <v>635040.18900000001</v>
      </c>
      <c r="I2091" s="655">
        <v>600000</v>
      </c>
      <c r="J2091" s="635">
        <f t="shared" si="82"/>
        <v>1235040.189</v>
      </c>
      <c r="K2091" s="635"/>
      <c r="L2091" s="635"/>
      <c r="M2091" s="655">
        <f t="shared" si="83"/>
        <v>1235040.189</v>
      </c>
      <c r="N2091" s="644"/>
      <c r="P2091" s="636"/>
    </row>
    <row r="2092" spans="1:16" s="242" customFormat="1" ht="14.25" customHeight="1">
      <c r="A2092" s="643">
        <v>398</v>
      </c>
      <c r="B2092" s="625" t="e">
        <f>VLOOKUP(D2092,'[1]DS CN MOI UP'!$B$11:$C$447,2,0)</f>
        <v>#N/A</v>
      </c>
      <c r="C2092" s="626" t="s">
        <v>1562</v>
      </c>
      <c r="D2092" s="630" t="s">
        <v>1176</v>
      </c>
      <c r="E2092" s="630" t="s">
        <v>15</v>
      </c>
      <c r="F2092" s="630"/>
      <c r="G2092" s="655"/>
      <c r="H2092" s="635">
        <v>635040.18900000001</v>
      </c>
      <c r="I2092" s="655">
        <v>600000</v>
      </c>
      <c r="J2092" s="635">
        <f t="shared" si="82"/>
        <v>1235040.189</v>
      </c>
      <c r="K2092" s="635"/>
      <c r="L2092" s="635"/>
      <c r="M2092" s="655">
        <f t="shared" si="83"/>
        <v>1235040.189</v>
      </c>
      <c r="N2092" s="644"/>
      <c r="P2092" s="636"/>
    </row>
    <row r="2093" spans="1:16" s="242" customFormat="1" ht="14.25" customHeight="1">
      <c r="A2093" s="643">
        <v>399</v>
      </c>
      <c r="B2093" s="625" t="str">
        <f>VLOOKUP(D2093,'[1]DS CN MOI UP'!$B$11:$C$447,2,0)</f>
        <v>02541</v>
      </c>
      <c r="C2093" s="626" t="s">
        <v>1562</v>
      </c>
      <c r="D2093" s="630" t="s">
        <v>185</v>
      </c>
      <c r="E2093" s="630" t="s">
        <v>15</v>
      </c>
      <c r="F2093" s="630"/>
      <c r="G2093" s="655"/>
      <c r="H2093" s="635">
        <v>635040.18900000001</v>
      </c>
      <c r="I2093" s="655">
        <v>600000</v>
      </c>
      <c r="J2093" s="635">
        <f t="shared" si="82"/>
        <v>1235040.189</v>
      </c>
      <c r="K2093" s="635"/>
      <c r="L2093" s="635"/>
      <c r="M2093" s="655">
        <f t="shared" si="83"/>
        <v>1235040.189</v>
      </c>
      <c r="N2093" s="644"/>
      <c r="P2093" s="636"/>
    </row>
    <row r="2094" spans="1:16" s="242" customFormat="1" ht="14.25" customHeight="1">
      <c r="A2094" s="643">
        <v>400</v>
      </c>
      <c r="B2094" s="625" t="e">
        <f>VLOOKUP(D2094,'[1]DS CN MOI UP'!$B$11:$C$447,2,0)</f>
        <v>#N/A</v>
      </c>
      <c r="C2094" s="626" t="s">
        <v>1562</v>
      </c>
      <c r="D2094" s="630" t="s">
        <v>1177</v>
      </c>
      <c r="E2094" s="630" t="s">
        <v>15</v>
      </c>
      <c r="F2094" s="630"/>
      <c r="G2094" s="655"/>
      <c r="H2094" s="635">
        <v>635040.18900000001</v>
      </c>
      <c r="I2094" s="655">
        <v>600000</v>
      </c>
      <c r="J2094" s="635">
        <f t="shared" si="82"/>
        <v>1235040.189</v>
      </c>
      <c r="K2094" s="635"/>
      <c r="L2094" s="635"/>
      <c r="M2094" s="655">
        <f t="shared" si="83"/>
        <v>1235040.189</v>
      </c>
      <c r="N2094" s="644"/>
      <c r="P2094" s="636"/>
    </row>
    <row r="2095" spans="1:16" s="242" customFormat="1" ht="14.25" customHeight="1">
      <c r="A2095" s="643">
        <v>401</v>
      </c>
      <c r="B2095" s="625" t="e">
        <f>VLOOKUP(D2095,'[1]DS CN MOI UP'!$B$11:$C$447,2,0)</f>
        <v>#N/A</v>
      </c>
      <c r="C2095" s="626" t="s">
        <v>1562</v>
      </c>
      <c r="D2095" s="630" t="s">
        <v>1178</v>
      </c>
      <c r="E2095" s="630" t="s">
        <v>15</v>
      </c>
      <c r="F2095" s="630"/>
      <c r="G2095" s="655"/>
      <c r="H2095" s="635">
        <v>635040.18900000001</v>
      </c>
      <c r="I2095" s="655">
        <v>600000</v>
      </c>
      <c r="J2095" s="635">
        <f t="shared" si="82"/>
        <v>1235040.189</v>
      </c>
      <c r="K2095" s="635"/>
      <c r="L2095" s="635"/>
      <c r="M2095" s="655">
        <f t="shared" si="83"/>
        <v>1235040.189</v>
      </c>
      <c r="N2095" s="644"/>
      <c r="P2095" s="636"/>
    </row>
    <row r="2096" spans="1:16" s="242" customFormat="1" ht="14.25" customHeight="1">
      <c r="A2096" s="643">
        <v>402</v>
      </c>
      <c r="B2096" s="625" t="str">
        <f>VLOOKUP(D2096,'[1]DS CN MOI UP'!$B$11:$C$447,2,0)</f>
        <v>02542</v>
      </c>
      <c r="C2096" s="626" t="s">
        <v>1562</v>
      </c>
      <c r="D2096" s="630" t="s">
        <v>504</v>
      </c>
      <c r="E2096" s="630" t="s">
        <v>15</v>
      </c>
      <c r="F2096" s="630"/>
      <c r="G2096" s="655"/>
      <c r="H2096" s="635">
        <v>635040.18900000001</v>
      </c>
      <c r="I2096" s="655">
        <v>600000</v>
      </c>
      <c r="J2096" s="635">
        <f t="shared" si="82"/>
        <v>1235040.189</v>
      </c>
      <c r="K2096" s="635"/>
      <c r="L2096" s="635"/>
      <c r="M2096" s="655">
        <f t="shared" si="83"/>
        <v>1235040.189</v>
      </c>
      <c r="N2096" s="644"/>
      <c r="P2096" s="636"/>
    </row>
    <row r="2097" spans="1:16" s="242" customFormat="1" ht="14.25" customHeight="1">
      <c r="A2097" s="643">
        <v>403</v>
      </c>
      <c r="B2097" s="625" t="str">
        <f>VLOOKUP(D2097,'[1]DS CN MOI UP'!$B$11:$C$447,2,0)</f>
        <v>02541</v>
      </c>
      <c r="C2097" s="626" t="s">
        <v>1562</v>
      </c>
      <c r="D2097" s="630" t="s">
        <v>185</v>
      </c>
      <c r="E2097" s="630" t="s">
        <v>15</v>
      </c>
      <c r="F2097" s="630"/>
      <c r="G2097" s="655"/>
      <c r="H2097" s="635">
        <v>554373.09900000005</v>
      </c>
      <c r="I2097" s="655">
        <v>600000</v>
      </c>
      <c r="J2097" s="635">
        <f t="shared" si="82"/>
        <v>1154373.0989999999</v>
      </c>
      <c r="K2097" s="635"/>
      <c r="L2097" s="635"/>
      <c r="M2097" s="655">
        <f t="shared" si="83"/>
        <v>1154373.0989999999</v>
      </c>
      <c r="N2097" s="644"/>
      <c r="P2097" s="636"/>
    </row>
    <row r="2098" spans="1:16" s="242" customFormat="1" ht="14.25" customHeight="1">
      <c r="A2098" s="643">
        <v>404</v>
      </c>
      <c r="B2098" s="625" t="e">
        <f>VLOOKUP(D2098,'[1]DS CN MOI UP'!$B$11:$C$447,2,0)</f>
        <v>#N/A</v>
      </c>
      <c r="C2098" s="626" t="s">
        <v>1562</v>
      </c>
      <c r="D2098" s="630" t="s">
        <v>972</v>
      </c>
      <c r="E2098" s="630" t="s">
        <v>15</v>
      </c>
      <c r="F2098" s="630"/>
      <c r="G2098" s="655"/>
      <c r="H2098" s="635">
        <v>554373.09900000005</v>
      </c>
      <c r="I2098" s="655">
        <v>600000</v>
      </c>
      <c r="J2098" s="635">
        <f t="shared" si="82"/>
        <v>1154373.0989999999</v>
      </c>
      <c r="K2098" s="635"/>
      <c r="L2098" s="635"/>
      <c r="M2098" s="655">
        <f t="shared" si="83"/>
        <v>1154373.0989999999</v>
      </c>
      <c r="N2098" s="644"/>
      <c r="P2098" s="636"/>
    </row>
    <row r="2099" spans="1:16" s="242" customFormat="1" ht="14.25" customHeight="1">
      <c r="A2099" s="643">
        <v>405</v>
      </c>
      <c r="B2099" s="625" t="str">
        <f>VLOOKUP(D2099,'[1]DS CN MOI UP'!$B$11:$C$447,2,0)</f>
        <v>02543</v>
      </c>
      <c r="C2099" s="626" t="s">
        <v>1562</v>
      </c>
      <c r="D2099" s="630" t="s">
        <v>189</v>
      </c>
      <c r="E2099" s="630" t="s">
        <v>15</v>
      </c>
      <c r="F2099" s="630"/>
      <c r="G2099" s="655"/>
      <c r="H2099" s="635">
        <v>554373.09900000005</v>
      </c>
      <c r="I2099" s="655">
        <v>600000</v>
      </c>
      <c r="J2099" s="635">
        <f t="shared" si="82"/>
        <v>1154373.0989999999</v>
      </c>
      <c r="K2099" s="635"/>
      <c r="L2099" s="635"/>
      <c r="M2099" s="655">
        <f t="shared" si="83"/>
        <v>1154373.0989999999</v>
      </c>
      <c r="N2099" s="644"/>
      <c r="P2099" s="636"/>
    </row>
    <row r="2100" spans="1:16" s="242" customFormat="1" ht="14.25" customHeight="1">
      <c r="A2100" s="643">
        <v>406</v>
      </c>
      <c r="B2100" s="625" t="str">
        <f>VLOOKUP(D2100,'[1]DS CN MOI UP'!$B$11:$C$447,2,0)</f>
        <v>02510</v>
      </c>
      <c r="C2100" s="626" t="s">
        <v>1562</v>
      </c>
      <c r="D2100" s="630" t="s">
        <v>41</v>
      </c>
      <c r="E2100" s="630" t="s">
        <v>15</v>
      </c>
      <c r="F2100" s="630"/>
      <c r="G2100" s="655"/>
      <c r="H2100" s="635">
        <v>635040.18900000001</v>
      </c>
      <c r="I2100" s="655">
        <v>600000</v>
      </c>
      <c r="J2100" s="635">
        <f t="shared" si="82"/>
        <v>1235040.189</v>
      </c>
      <c r="K2100" s="635"/>
      <c r="L2100" s="635"/>
      <c r="M2100" s="655">
        <f t="shared" si="83"/>
        <v>1235040.189</v>
      </c>
      <c r="N2100" s="644"/>
      <c r="P2100" s="636"/>
    </row>
    <row r="2101" spans="1:16" s="242" customFormat="1" ht="14.25" customHeight="1">
      <c r="A2101" s="643">
        <v>407</v>
      </c>
      <c r="B2101" s="625" t="e">
        <f>VLOOKUP(D2101,'[1]DS CN MOI UP'!$B$11:$C$447,2,0)</f>
        <v>#N/A</v>
      </c>
      <c r="C2101" s="626" t="s">
        <v>1562</v>
      </c>
      <c r="D2101" s="630" t="s">
        <v>1077</v>
      </c>
      <c r="E2101" s="630" t="s">
        <v>15</v>
      </c>
      <c r="F2101" s="630"/>
      <c r="G2101" s="655"/>
      <c r="H2101" s="635">
        <v>544338.9</v>
      </c>
      <c r="I2101" s="655">
        <v>600000</v>
      </c>
      <c r="J2101" s="635">
        <f t="shared" si="82"/>
        <v>1144338.8999999999</v>
      </c>
      <c r="K2101" s="635"/>
      <c r="L2101" s="635"/>
      <c r="M2101" s="655">
        <f t="shared" si="83"/>
        <v>1144338.8999999999</v>
      </c>
      <c r="N2101" s="644"/>
      <c r="P2101" s="636"/>
    </row>
    <row r="2102" spans="1:16" s="242" customFormat="1" ht="14.25" customHeight="1">
      <c r="A2102" s="643">
        <v>408</v>
      </c>
      <c r="B2102" s="625" t="e">
        <f>VLOOKUP(D2102,'[1]DS CN MOI UP'!$B$11:$C$447,2,0)</f>
        <v>#N/A</v>
      </c>
      <c r="C2102" s="626" t="s">
        <v>1562</v>
      </c>
      <c r="D2102" s="630" t="s">
        <v>1179</v>
      </c>
      <c r="E2102" s="630" t="s">
        <v>15</v>
      </c>
      <c r="F2102" s="630"/>
      <c r="G2102" s="655"/>
      <c r="H2102" s="635">
        <v>574572.66299999994</v>
      </c>
      <c r="I2102" s="655">
        <v>600000</v>
      </c>
      <c r="J2102" s="635">
        <f t="shared" si="82"/>
        <v>1174572.6629999999</v>
      </c>
      <c r="K2102" s="635"/>
      <c r="L2102" s="635"/>
      <c r="M2102" s="655">
        <f t="shared" si="83"/>
        <v>1174572.6629999999</v>
      </c>
      <c r="N2102" s="644"/>
      <c r="P2102" s="636"/>
    </row>
    <row r="2103" spans="1:16" s="242" customFormat="1" ht="14.25" customHeight="1">
      <c r="A2103" s="643">
        <v>409</v>
      </c>
      <c r="B2103" s="625" t="str">
        <f>VLOOKUP(D2103,'[1]DS CN MOI UP'!$B$11:$C$447,2,0)</f>
        <v>02545</v>
      </c>
      <c r="C2103" s="626" t="s">
        <v>1562</v>
      </c>
      <c r="D2103" s="630" t="s">
        <v>126</v>
      </c>
      <c r="E2103" s="630" t="s">
        <v>15</v>
      </c>
      <c r="F2103" s="630"/>
      <c r="G2103" s="655"/>
      <c r="H2103" s="635">
        <v>524139.33600000001</v>
      </c>
      <c r="I2103" s="655">
        <v>600000</v>
      </c>
      <c r="J2103" s="635">
        <f t="shared" si="82"/>
        <v>1124139.3360000001</v>
      </c>
      <c r="K2103" s="635"/>
      <c r="L2103" s="635"/>
      <c r="M2103" s="655">
        <f t="shared" si="83"/>
        <v>1124139.3360000001</v>
      </c>
      <c r="N2103" s="644"/>
      <c r="P2103" s="636"/>
    </row>
    <row r="2104" spans="1:16" s="242" customFormat="1" ht="14.25" customHeight="1">
      <c r="A2104" s="643">
        <v>410</v>
      </c>
      <c r="B2104" s="625" t="e">
        <f>VLOOKUP(D2104,'[1]DS CN MOI UP'!$B$11:$C$447,2,0)</f>
        <v>#N/A</v>
      </c>
      <c r="C2104" s="626" t="s">
        <v>1562</v>
      </c>
      <c r="D2104" s="630" t="s">
        <v>1180</v>
      </c>
      <c r="E2104" s="630" t="s">
        <v>15</v>
      </c>
      <c r="F2104" s="630"/>
      <c r="G2104" s="655"/>
      <c r="H2104" s="635">
        <v>635040.18900000001</v>
      </c>
      <c r="I2104" s="655">
        <v>600000</v>
      </c>
      <c r="J2104" s="635">
        <f t="shared" si="82"/>
        <v>1235040.189</v>
      </c>
      <c r="K2104" s="635"/>
      <c r="L2104" s="635"/>
      <c r="M2104" s="655">
        <f t="shared" si="83"/>
        <v>1235040.189</v>
      </c>
      <c r="N2104" s="644"/>
      <c r="P2104" s="636"/>
    </row>
    <row r="2105" spans="1:16" s="242" customFormat="1" ht="14.25" customHeight="1">
      <c r="A2105" s="643">
        <v>411</v>
      </c>
      <c r="B2105" s="625" t="str">
        <f>VLOOKUP(D2105,'[1]DS CN MOI UP'!$B$11:$C$447,2,0)</f>
        <v>03402</v>
      </c>
      <c r="C2105" s="626" t="s">
        <v>1562</v>
      </c>
      <c r="D2105" s="630" t="s">
        <v>312</v>
      </c>
      <c r="E2105" s="630" t="s">
        <v>15</v>
      </c>
      <c r="F2105" s="630"/>
      <c r="G2105" s="655"/>
      <c r="H2105" s="635">
        <v>635040.18900000001</v>
      </c>
      <c r="I2105" s="655">
        <v>600000</v>
      </c>
      <c r="J2105" s="635">
        <f t="shared" si="82"/>
        <v>1235040.189</v>
      </c>
      <c r="K2105" s="635"/>
      <c r="L2105" s="635"/>
      <c r="M2105" s="655">
        <f t="shared" si="83"/>
        <v>1235040.189</v>
      </c>
      <c r="N2105" s="644"/>
      <c r="P2105" s="636"/>
    </row>
    <row r="2106" spans="1:16" s="242" customFormat="1" ht="14.25" customHeight="1">
      <c r="A2106" s="643">
        <v>412</v>
      </c>
      <c r="B2106" s="625" t="e">
        <f>VLOOKUP(D2106,'[1]DS CN MOI UP'!$B$11:$C$447,2,0)</f>
        <v>#N/A</v>
      </c>
      <c r="C2106" s="626" t="s">
        <v>1562</v>
      </c>
      <c r="D2106" s="630" t="s">
        <v>1181</v>
      </c>
      <c r="E2106" s="630" t="s">
        <v>15</v>
      </c>
      <c r="F2106" s="630"/>
      <c r="G2106" s="655"/>
      <c r="H2106" s="635">
        <v>635040.18900000001</v>
      </c>
      <c r="I2106" s="655">
        <v>600000</v>
      </c>
      <c r="J2106" s="635">
        <f t="shared" si="82"/>
        <v>1235040.189</v>
      </c>
      <c r="K2106" s="635"/>
      <c r="L2106" s="635"/>
      <c r="M2106" s="655">
        <f t="shared" si="83"/>
        <v>1235040.189</v>
      </c>
      <c r="N2106" s="644"/>
      <c r="P2106" s="636"/>
    </row>
    <row r="2107" spans="1:16" s="242" customFormat="1" ht="14.25" customHeight="1">
      <c r="A2107" s="643">
        <v>413</v>
      </c>
      <c r="B2107" s="625" t="str">
        <f>VLOOKUP(D2107,'[1]DS CN MOI UP'!$B$11:$C$447,2,0)</f>
        <v>02547</v>
      </c>
      <c r="C2107" s="626" t="s">
        <v>1562</v>
      </c>
      <c r="D2107" s="630" t="s">
        <v>199</v>
      </c>
      <c r="E2107" s="630" t="s">
        <v>15</v>
      </c>
      <c r="F2107" s="630"/>
      <c r="G2107" s="655"/>
      <c r="H2107" s="635">
        <v>635040.18900000001</v>
      </c>
      <c r="I2107" s="655">
        <v>600000</v>
      </c>
      <c r="J2107" s="635">
        <f t="shared" si="82"/>
        <v>1235040.189</v>
      </c>
      <c r="K2107" s="635"/>
      <c r="L2107" s="635"/>
      <c r="M2107" s="655">
        <f t="shared" si="83"/>
        <v>1235040.189</v>
      </c>
      <c r="N2107" s="644"/>
      <c r="P2107" s="636"/>
    </row>
    <row r="2108" spans="1:16" s="242" customFormat="1" ht="14.25" customHeight="1">
      <c r="A2108" s="643">
        <v>414</v>
      </c>
      <c r="B2108" s="625" t="e">
        <f>VLOOKUP(D2108,'[1]DS CN MOI UP'!$B$11:$C$447,2,0)</f>
        <v>#N/A</v>
      </c>
      <c r="C2108" s="626" t="s">
        <v>1562</v>
      </c>
      <c r="D2108" s="630" t="s">
        <v>1182</v>
      </c>
      <c r="E2108" s="630" t="s">
        <v>15</v>
      </c>
      <c r="F2108" s="630"/>
      <c r="G2108" s="655"/>
      <c r="H2108" s="635">
        <v>635040.18900000001</v>
      </c>
      <c r="I2108" s="655">
        <v>600000</v>
      </c>
      <c r="J2108" s="635">
        <f t="shared" si="82"/>
        <v>1235040.189</v>
      </c>
      <c r="K2108" s="635"/>
      <c r="L2108" s="635"/>
      <c r="M2108" s="655">
        <f t="shared" si="83"/>
        <v>1235040.189</v>
      </c>
      <c r="N2108" s="644"/>
      <c r="P2108" s="636"/>
    </row>
    <row r="2109" spans="1:16" s="242" customFormat="1" ht="14.25" customHeight="1">
      <c r="A2109" s="643">
        <v>415</v>
      </c>
      <c r="B2109" s="625" t="e">
        <f>VLOOKUP(D2109,'[1]DS CN MOI UP'!$B$11:$C$447,2,0)</f>
        <v>#N/A</v>
      </c>
      <c r="C2109" s="626" t="s">
        <v>1562</v>
      </c>
      <c r="D2109" s="630" t="s">
        <v>1183</v>
      </c>
      <c r="E2109" s="630" t="s">
        <v>15</v>
      </c>
      <c r="F2109" s="630"/>
      <c r="G2109" s="655"/>
      <c r="H2109" s="635">
        <v>635040.18900000001</v>
      </c>
      <c r="I2109" s="655">
        <v>600000</v>
      </c>
      <c r="J2109" s="635">
        <f t="shared" si="82"/>
        <v>1235040.189</v>
      </c>
      <c r="K2109" s="635"/>
      <c r="L2109" s="635"/>
      <c r="M2109" s="655">
        <f t="shared" si="83"/>
        <v>1235040.189</v>
      </c>
      <c r="N2109" s="644"/>
      <c r="P2109" s="636"/>
    </row>
    <row r="2110" spans="1:16" s="242" customFormat="1" ht="14.25" customHeight="1">
      <c r="A2110" s="643">
        <v>416</v>
      </c>
      <c r="B2110" s="625" t="e">
        <f>VLOOKUP(D2110,'[1]DS CN MOI UP'!$B$11:$C$447,2,0)</f>
        <v>#N/A</v>
      </c>
      <c r="C2110" s="626" t="s">
        <v>1562</v>
      </c>
      <c r="D2110" s="630" t="s">
        <v>1184</v>
      </c>
      <c r="E2110" s="630" t="s">
        <v>15</v>
      </c>
      <c r="F2110" s="630"/>
      <c r="G2110" s="655"/>
      <c r="H2110" s="635">
        <v>635040.18900000001</v>
      </c>
      <c r="I2110" s="655">
        <v>600000</v>
      </c>
      <c r="J2110" s="635">
        <f t="shared" si="82"/>
        <v>1235040.189</v>
      </c>
      <c r="K2110" s="635"/>
      <c r="L2110" s="635"/>
      <c r="M2110" s="655">
        <f t="shared" si="83"/>
        <v>1235040.189</v>
      </c>
      <c r="N2110" s="644"/>
      <c r="P2110" s="636"/>
    </row>
    <row r="2111" spans="1:16" s="242" customFormat="1" ht="14.25" customHeight="1">
      <c r="A2111" s="643">
        <v>417</v>
      </c>
      <c r="B2111" s="625" t="e">
        <f>VLOOKUP(D2111,'[1]DS CN MOI UP'!$B$11:$C$447,2,0)</f>
        <v>#N/A</v>
      </c>
      <c r="C2111" s="626" t="s">
        <v>1562</v>
      </c>
      <c r="D2111" s="630" t="s">
        <v>1185</v>
      </c>
      <c r="E2111" s="630" t="s">
        <v>15</v>
      </c>
      <c r="F2111" s="630"/>
      <c r="G2111" s="655"/>
      <c r="H2111" s="635">
        <v>554373.09900000005</v>
      </c>
      <c r="I2111" s="655">
        <v>600000</v>
      </c>
      <c r="J2111" s="635">
        <f t="shared" ref="J2111:J2135" si="86">SUM(G2111:I2111)</f>
        <v>1154373.0989999999</v>
      </c>
      <c r="K2111" s="635"/>
      <c r="L2111" s="635"/>
      <c r="M2111" s="655">
        <f t="shared" ref="M2111:M2135" si="87">J2111-L2111</f>
        <v>1154373.0989999999</v>
      </c>
      <c r="N2111" s="644"/>
      <c r="P2111" s="636"/>
    </row>
    <row r="2112" spans="1:16" s="242" customFormat="1" ht="14.25" customHeight="1">
      <c r="A2112" s="643">
        <v>418</v>
      </c>
      <c r="B2112" s="625" t="e">
        <f>VLOOKUP(D2112,'[1]DS CN MOI UP'!$B$11:$C$447,2,0)</f>
        <v>#N/A</v>
      </c>
      <c r="C2112" s="626" t="s">
        <v>1562</v>
      </c>
      <c r="D2112" s="630" t="s">
        <v>1186</v>
      </c>
      <c r="E2112" s="630" t="s">
        <v>15</v>
      </c>
      <c r="F2112" s="630"/>
      <c r="G2112" s="655"/>
      <c r="H2112" s="635">
        <v>554373.09900000005</v>
      </c>
      <c r="I2112" s="655">
        <v>600000</v>
      </c>
      <c r="J2112" s="635">
        <f t="shared" si="86"/>
        <v>1154373.0989999999</v>
      </c>
      <c r="K2112" s="635"/>
      <c r="L2112" s="635"/>
      <c r="M2112" s="655">
        <f t="shared" si="87"/>
        <v>1154373.0989999999</v>
      </c>
      <c r="N2112" s="644"/>
      <c r="P2112" s="636"/>
    </row>
    <row r="2113" spans="1:17" s="242" customFormat="1" ht="14.25" customHeight="1">
      <c r="A2113" s="643">
        <v>419</v>
      </c>
      <c r="B2113" s="625" t="str">
        <f>VLOOKUP(D2113,'[1]DS CN MOI UP'!$B$11:$C$447,2,0)</f>
        <v>02518</v>
      </c>
      <c r="C2113" s="626" t="s">
        <v>1562</v>
      </c>
      <c r="D2113" s="630" t="s">
        <v>135</v>
      </c>
      <c r="E2113" s="630" t="s">
        <v>15</v>
      </c>
      <c r="F2113" s="630"/>
      <c r="G2113" s="655"/>
      <c r="H2113" s="635">
        <v>554373.09900000005</v>
      </c>
      <c r="I2113" s="655">
        <v>600000</v>
      </c>
      <c r="J2113" s="635">
        <f t="shared" si="86"/>
        <v>1154373.0989999999</v>
      </c>
      <c r="K2113" s="635"/>
      <c r="L2113" s="635"/>
      <c r="M2113" s="655">
        <f t="shared" si="87"/>
        <v>1154373.0989999999</v>
      </c>
      <c r="N2113" s="644"/>
      <c r="P2113" s="636"/>
    </row>
    <row r="2114" spans="1:17" s="242" customFormat="1" ht="14.25" customHeight="1">
      <c r="A2114" s="643">
        <v>420</v>
      </c>
      <c r="B2114" s="625" t="e">
        <f>VLOOKUP(D2114,'[1]DS CN MOI UP'!$B$11:$C$447,2,0)</f>
        <v>#N/A</v>
      </c>
      <c r="C2114" s="626" t="s">
        <v>1562</v>
      </c>
      <c r="D2114" s="630" t="s">
        <v>1187</v>
      </c>
      <c r="E2114" s="630" t="s">
        <v>15</v>
      </c>
      <c r="F2114" s="630"/>
      <c r="G2114" s="655"/>
      <c r="H2114" s="635">
        <v>635040.18900000001</v>
      </c>
      <c r="I2114" s="655">
        <v>600000</v>
      </c>
      <c r="J2114" s="635">
        <f t="shared" si="86"/>
        <v>1235040.189</v>
      </c>
      <c r="K2114" s="635"/>
      <c r="L2114" s="635"/>
      <c r="M2114" s="655">
        <f t="shared" si="87"/>
        <v>1235040.189</v>
      </c>
      <c r="N2114" s="644"/>
      <c r="P2114" s="636"/>
    </row>
    <row r="2115" spans="1:17" s="242" customFormat="1" ht="14.25" customHeight="1">
      <c r="A2115" s="643">
        <v>421</v>
      </c>
      <c r="B2115" s="625" t="str">
        <f>VLOOKUP(D2115,'[1]DS CN MOI UP'!$B$11:$C$447,2,0)</f>
        <v>02519</v>
      </c>
      <c r="C2115" s="626" t="s">
        <v>1562</v>
      </c>
      <c r="D2115" s="630" t="s">
        <v>173</v>
      </c>
      <c r="E2115" s="630" t="s">
        <v>15</v>
      </c>
      <c r="F2115" s="630"/>
      <c r="G2115" s="655"/>
      <c r="H2115" s="635">
        <v>544338.9</v>
      </c>
      <c r="I2115" s="655">
        <v>600000</v>
      </c>
      <c r="J2115" s="635">
        <f t="shared" si="86"/>
        <v>1144338.8999999999</v>
      </c>
      <c r="K2115" s="635"/>
      <c r="L2115" s="635"/>
      <c r="M2115" s="655">
        <f t="shared" si="87"/>
        <v>1144338.8999999999</v>
      </c>
      <c r="N2115" s="644"/>
      <c r="P2115" s="636"/>
    </row>
    <row r="2116" spans="1:17" s="242" customFormat="1" ht="14.25" customHeight="1">
      <c r="A2116" s="643">
        <v>422</v>
      </c>
      <c r="B2116" s="625" t="e">
        <f>VLOOKUP(D2116,'[1]DS CN MOI UP'!$B$11:$C$447,2,0)</f>
        <v>#N/A</v>
      </c>
      <c r="C2116" s="626" t="s">
        <v>1562</v>
      </c>
      <c r="D2116" s="630" t="s">
        <v>1188</v>
      </c>
      <c r="E2116" s="630" t="s">
        <v>15</v>
      </c>
      <c r="F2116" s="630"/>
      <c r="G2116" s="655"/>
      <c r="H2116" s="635">
        <v>574572.66299999994</v>
      </c>
      <c r="I2116" s="655">
        <v>600000</v>
      </c>
      <c r="J2116" s="635">
        <f t="shared" si="86"/>
        <v>1174572.6629999999</v>
      </c>
      <c r="K2116" s="635"/>
      <c r="L2116" s="635"/>
      <c r="M2116" s="655">
        <f t="shared" si="87"/>
        <v>1174572.6629999999</v>
      </c>
      <c r="N2116" s="644"/>
      <c r="P2116" s="636"/>
    </row>
    <row r="2117" spans="1:17" s="242" customFormat="1" ht="14.25" customHeight="1">
      <c r="A2117" s="643">
        <v>423</v>
      </c>
      <c r="B2117" s="625" t="e">
        <f>VLOOKUP(D2117,'[1]DS CN MOI UP'!$B$11:$C$447,2,0)</f>
        <v>#N/A</v>
      </c>
      <c r="C2117" s="626" t="s">
        <v>1562</v>
      </c>
      <c r="D2117" s="630" t="s">
        <v>1189</v>
      </c>
      <c r="E2117" s="630" t="s">
        <v>15</v>
      </c>
      <c r="F2117" s="630"/>
      <c r="G2117" s="655"/>
      <c r="H2117" s="635">
        <v>524139.33600000001</v>
      </c>
      <c r="I2117" s="655">
        <v>600000</v>
      </c>
      <c r="J2117" s="635">
        <f t="shared" si="86"/>
        <v>1124139.3360000001</v>
      </c>
      <c r="K2117" s="635"/>
      <c r="L2117" s="635"/>
      <c r="M2117" s="655">
        <f t="shared" si="87"/>
        <v>1124139.3360000001</v>
      </c>
      <c r="N2117" s="644"/>
      <c r="O2117" s="1130">
        <v>-119344.92400000201</v>
      </c>
      <c r="P2117" s="1130">
        <v>-403449.92033612699</v>
      </c>
      <c r="Q2117" s="1130">
        <v>332611.003999963</v>
      </c>
    </row>
    <row r="2118" spans="1:17" s="242" customFormat="1" ht="14.25" customHeight="1">
      <c r="A2118" s="643">
        <v>424</v>
      </c>
      <c r="B2118" s="625" t="str">
        <f>VLOOKUP(D2118,'[1]DS CN MOI UP'!$B$11:$C$447,2,0)</f>
        <v>02520</v>
      </c>
      <c r="C2118" s="626" t="s">
        <v>1562</v>
      </c>
      <c r="D2118" s="630" t="s">
        <v>188</v>
      </c>
      <c r="E2118" s="630" t="s">
        <v>15</v>
      </c>
      <c r="F2118" s="630"/>
      <c r="G2118" s="655"/>
      <c r="H2118" s="635">
        <v>635040.18900000001</v>
      </c>
      <c r="I2118" s="655">
        <v>332611.003999963</v>
      </c>
      <c r="J2118" s="635">
        <f t="shared" si="86"/>
        <v>967651.19299996295</v>
      </c>
      <c r="K2118" s="635"/>
      <c r="L2118" s="635"/>
      <c r="M2118" s="655">
        <f t="shared" si="87"/>
        <v>967651.19299996295</v>
      </c>
      <c r="N2118" s="644"/>
      <c r="P2118" s="636"/>
    </row>
    <row r="2119" spans="1:17" s="242" customFormat="1" ht="14.25" customHeight="1">
      <c r="A2119" s="643">
        <v>425</v>
      </c>
      <c r="B2119" s="625" t="e">
        <f>VLOOKUP(D2119,'[1]DS CN MOI UP'!$B$11:$C$447,2,0)</f>
        <v>#N/A</v>
      </c>
      <c r="C2119" s="626" t="s">
        <v>1562</v>
      </c>
      <c r="D2119" s="630" t="s">
        <v>1191</v>
      </c>
      <c r="E2119" s="630" t="s">
        <v>15</v>
      </c>
      <c r="F2119" s="630"/>
      <c r="G2119" s="655"/>
      <c r="H2119" s="635">
        <v>1174572.6629999999</v>
      </c>
      <c r="I2119" s="655"/>
      <c r="J2119" s="635">
        <f t="shared" si="86"/>
        <v>1174572.6629999999</v>
      </c>
      <c r="K2119" s="635"/>
      <c r="L2119" s="635"/>
      <c r="M2119" s="655">
        <f t="shared" si="87"/>
        <v>1174572.6629999999</v>
      </c>
      <c r="N2119" s="644"/>
      <c r="P2119" s="636"/>
    </row>
    <row r="2120" spans="1:17" s="242" customFormat="1" ht="14.25" customHeight="1">
      <c r="A2120" s="643">
        <v>426</v>
      </c>
      <c r="B2120" s="625" t="str">
        <f>VLOOKUP(D2120,'[1]DS CN MOI UP'!$B$11:$C$447,2,0)</f>
        <v>02521</v>
      </c>
      <c r="C2120" s="626" t="s">
        <v>1562</v>
      </c>
      <c r="D2120" s="630" t="s">
        <v>137</v>
      </c>
      <c r="E2120" s="630" t="s">
        <v>15</v>
      </c>
      <c r="F2120" s="630"/>
      <c r="G2120" s="655"/>
      <c r="H2120" s="635">
        <v>1124139.3359999999</v>
      </c>
      <c r="I2120" s="655"/>
      <c r="J2120" s="635">
        <f t="shared" si="86"/>
        <v>1124139.3359999999</v>
      </c>
      <c r="K2120" s="635"/>
      <c r="L2120" s="635"/>
      <c r="M2120" s="655">
        <f t="shared" si="87"/>
        <v>1124139.3359999999</v>
      </c>
      <c r="N2120" s="644"/>
      <c r="P2120" s="636"/>
    </row>
    <row r="2121" spans="1:17" s="242" customFormat="1" ht="14.25" customHeight="1">
      <c r="A2121" s="643">
        <v>427</v>
      </c>
      <c r="B2121" s="625" t="e">
        <f>VLOOKUP(D2121,'[1]DS CN MOI UP'!$B$11:$C$447,2,0)</f>
        <v>#N/A</v>
      </c>
      <c r="C2121" s="626" t="s">
        <v>1562</v>
      </c>
      <c r="D2121" s="630" t="s">
        <v>1192</v>
      </c>
      <c r="E2121" s="630" t="s">
        <v>15</v>
      </c>
      <c r="F2121" s="630"/>
      <c r="G2121" s="655"/>
      <c r="H2121" s="635">
        <v>1235040.189</v>
      </c>
      <c r="I2121" s="655"/>
      <c r="J2121" s="635">
        <f t="shared" si="86"/>
        <v>1235040.189</v>
      </c>
      <c r="K2121" s="635"/>
      <c r="L2121" s="635"/>
      <c r="M2121" s="655">
        <f t="shared" si="87"/>
        <v>1235040.189</v>
      </c>
      <c r="N2121" s="644"/>
      <c r="P2121" s="636"/>
    </row>
    <row r="2122" spans="1:17" s="242" customFormat="1" ht="14.25" customHeight="1">
      <c r="A2122" s="643">
        <v>428</v>
      </c>
      <c r="B2122" s="625" t="str">
        <f>VLOOKUP(D2122,'[1]DS CN MOI UP'!$B$11:$C$447,2,0)</f>
        <v>02522</v>
      </c>
      <c r="C2122" s="626" t="s">
        <v>1562</v>
      </c>
      <c r="D2122" s="630" t="s">
        <v>162</v>
      </c>
      <c r="E2122" s="630" t="s">
        <v>15</v>
      </c>
      <c r="F2122" s="630"/>
      <c r="G2122" s="655"/>
      <c r="H2122" s="635">
        <v>1235040.189</v>
      </c>
      <c r="I2122" s="655"/>
      <c r="J2122" s="635">
        <f t="shared" si="86"/>
        <v>1235040.189</v>
      </c>
      <c r="K2122" s="635"/>
      <c r="L2122" s="635"/>
      <c r="M2122" s="655">
        <f t="shared" si="87"/>
        <v>1235040.189</v>
      </c>
      <c r="N2122" s="644"/>
      <c r="P2122" s="636"/>
    </row>
    <row r="2123" spans="1:17" s="242" customFormat="1" ht="14.25" customHeight="1">
      <c r="A2123" s="643">
        <v>429</v>
      </c>
      <c r="B2123" s="625" t="str">
        <f>VLOOKUP(D2123,'[1]DS CN MOI UP'!$B$11:$C$447,2,0)</f>
        <v>02666</v>
      </c>
      <c r="C2123" s="626" t="s">
        <v>1562</v>
      </c>
      <c r="D2123" s="630" t="s">
        <v>435</v>
      </c>
      <c r="E2123" s="630" t="s">
        <v>15</v>
      </c>
      <c r="F2123" s="630"/>
      <c r="G2123" s="655"/>
      <c r="H2123" s="635">
        <v>1235040.189</v>
      </c>
      <c r="I2123" s="655"/>
      <c r="J2123" s="635">
        <f t="shared" si="86"/>
        <v>1235040.189</v>
      </c>
      <c r="K2123" s="635"/>
      <c r="L2123" s="635"/>
      <c r="M2123" s="655">
        <f t="shared" si="87"/>
        <v>1235040.189</v>
      </c>
      <c r="N2123" s="644"/>
      <c r="P2123" s="636"/>
    </row>
    <row r="2124" spans="1:17" s="242" customFormat="1" ht="14.25" customHeight="1">
      <c r="A2124" s="643">
        <v>430</v>
      </c>
      <c r="B2124" s="625" t="str">
        <f>VLOOKUP(D2124,'[1]DS CN MOI UP'!$B$11:$C$447,2,0)</f>
        <v>02523</v>
      </c>
      <c r="C2124" s="626" t="s">
        <v>1562</v>
      </c>
      <c r="D2124" s="630" t="s">
        <v>169</v>
      </c>
      <c r="E2124" s="630" t="s">
        <v>15</v>
      </c>
      <c r="F2124" s="630"/>
      <c r="G2124" s="655"/>
      <c r="H2124" s="635">
        <v>1235040.189</v>
      </c>
      <c r="I2124" s="655"/>
      <c r="J2124" s="635">
        <f t="shared" si="86"/>
        <v>1235040.189</v>
      </c>
      <c r="K2124" s="635"/>
      <c r="L2124" s="635"/>
      <c r="M2124" s="655">
        <f t="shared" si="87"/>
        <v>1235040.189</v>
      </c>
      <c r="N2124" s="644"/>
      <c r="P2124" s="636"/>
    </row>
    <row r="2125" spans="1:17" s="242" customFormat="1" ht="14.25" customHeight="1">
      <c r="A2125" s="643">
        <v>431</v>
      </c>
      <c r="B2125" s="625" t="e">
        <f>VLOOKUP(D2125,'[1]DS CN MOI UP'!$B$11:$C$447,2,0)</f>
        <v>#N/A</v>
      </c>
      <c r="C2125" s="626" t="s">
        <v>1562</v>
      </c>
      <c r="D2125" s="630" t="s">
        <v>1193</v>
      </c>
      <c r="E2125" s="630" t="s">
        <v>15</v>
      </c>
      <c r="F2125" s="630"/>
      <c r="G2125" s="655"/>
      <c r="H2125" s="635">
        <v>1235040.189</v>
      </c>
      <c r="I2125" s="655"/>
      <c r="J2125" s="635">
        <f t="shared" si="86"/>
        <v>1235040.189</v>
      </c>
      <c r="K2125" s="635"/>
      <c r="L2125" s="635"/>
      <c r="M2125" s="655">
        <f t="shared" si="87"/>
        <v>1235040.189</v>
      </c>
      <c r="N2125" s="644"/>
      <c r="P2125" s="636"/>
    </row>
    <row r="2126" spans="1:17" s="242" customFormat="1" ht="14.25" customHeight="1">
      <c r="A2126" s="643">
        <v>432</v>
      </c>
      <c r="B2126" s="625" t="str">
        <f>VLOOKUP(D2126,'[1]DS CN MOI UP'!$B$11:$C$447,2,0)</f>
        <v>02524</v>
      </c>
      <c r="C2126" s="626" t="s">
        <v>1562</v>
      </c>
      <c r="D2126" s="630" t="s">
        <v>139</v>
      </c>
      <c r="E2126" s="630" t="s">
        <v>15</v>
      </c>
      <c r="F2126" s="630"/>
      <c r="G2126" s="655"/>
      <c r="H2126" s="635">
        <v>1235040.189</v>
      </c>
      <c r="I2126" s="655"/>
      <c r="J2126" s="635">
        <f t="shared" si="86"/>
        <v>1235040.189</v>
      </c>
      <c r="K2126" s="635"/>
      <c r="L2126" s="635"/>
      <c r="M2126" s="655">
        <f t="shared" si="87"/>
        <v>1235040.189</v>
      </c>
      <c r="N2126" s="644"/>
      <c r="P2126" s="636"/>
    </row>
    <row r="2127" spans="1:17" s="242" customFormat="1" ht="14.25" customHeight="1">
      <c r="A2127" s="643">
        <v>433</v>
      </c>
      <c r="B2127" s="625" t="e">
        <f>VLOOKUP(D2127,'[1]DS CN MOI UP'!$B$11:$C$447,2,0)</f>
        <v>#N/A</v>
      </c>
      <c r="C2127" s="626" t="s">
        <v>1562</v>
      </c>
      <c r="D2127" s="630" t="s">
        <v>1194</v>
      </c>
      <c r="E2127" s="630" t="s">
        <v>15</v>
      </c>
      <c r="F2127" s="630"/>
      <c r="G2127" s="655"/>
      <c r="H2127" s="635">
        <v>1235040.189</v>
      </c>
      <c r="I2127" s="655"/>
      <c r="J2127" s="635">
        <f t="shared" si="86"/>
        <v>1235040.189</v>
      </c>
      <c r="K2127" s="635"/>
      <c r="L2127" s="635"/>
      <c r="M2127" s="655">
        <f t="shared" si="87"/>
        <v>1235040.189</v>
      </c>
      <c r="N2127" s="644"/>
      <c r="P2127" s="636"/>
    </row>
    <row r="2128" spans="1:17" s="242" customFormat="1" ht="14.25" customHeight="1">
      <c r="A2128" s="643">
        <v>434</v>
      </c>
      <c r="B2128" s="625" t="str">
        <f>VLOOKUP(D2128,'[1]DS CN MOI UP'!$B$11:$C$447,2,0)</f>
        <v>02525</v>
      </c>
      <c r="C2128" s="626" t="s">
        <v>1562</v>
      </c>
      <c r="D2128" s="630" t="s">
        <v>180</v>
      </c>
      <c r="E2128" s="630" t="s">
        <v>15</v>
      </c>
      <c r="F2128" s="630"/>
      <c r="G2128" s="655"/>
      <c r="H2128" s="635">
        <v>1154373.0989999999</v>
      </c>
      <c r="I2128" s="655"/>
      <c r="J2128" s="635">
        <f t="shared" si="86"/>
        <v>1154373.0989999999</v>
      </c>
      <c r="K2128" s="635"/>
      <c r="L2128" s="635"/>
      <c r="M2128" s="655">
        <f t="shared" si="87"/>
        <v>1154373.0989999999</v>
      </c>
      <c r="N2128" s="644"/>
      <c r="P2128" s="636"/>
    </row>
    <row r="2129" spans="1:16" s="242" customFormat="1" ht="14.25" customHeight="1">
      <c r="A2129" s="643">
        <v>435</v>
      </c>
      <c r="B2129" s="625" t="e">
        <f>VLOOKUP(D2129,'[1]DS CN MOI UP'!$B$11:$C$447,2,0)</f>
        <v>#N/A</v>
      </c>
      <c r="C2129" s="626" t="s">
        <v>1562</v>
      </c>
      <c r="D2129" s="630" t="s">
        <v>1195</v>
      </c>
      <c r="E2129" s="630" t="s">
        <v>15</v>
      </c>
      <c r="F2129" s="630"/>
      <c r="G2129" s="655"/>
      <c r="H2129" s="635">
        <v>1154373.0989999999</v>
      </c>
      <c r="I2129" s="655"/>
      <c r="J2129" s="635">
        <f t="shared" si="86"/>
        <v>1154373.0989999999</v>
      </c>
      <c r="K2129" s="635"/>
      <c r="L2129" s="635"/>
      <c r="M2129" s="655">
        <f t="shared" si="87"/>
        <v>1154373.0989999999</v>
      </c>
      <c r="N2129" s="644"/>
      <c r="P2129" s="636"/>
    </row>
    <row r="2130" spans="1:16" s="242" customFormat="1" ht="14.25" customHeight="1">
      <c r="A2130" s="643">
        <v>436</v>
      </c>
      <c r="B2130" s="625" t="str">
        <f>VLOOKUP(D2130,'[1]DS CN MOI UP'!$B$11:$C$447,2,0)</f>
        <v>02526</v>
      </c>
      <c r="C2130" s="626" t="s">
        <v>1562</v>
      </c>
      <c r="D2130" s="630" t="s">
        <v>129</v>
      </c>
      <c r="E2130" s="630" t="s">
        <v>15</v>
      </c>
      <c r="F2130" s="630"/>
      <c r="G2130" s="655"/>
      <c r="H2130" s="635">
        <v>1154373.0989999999</v>
      </c>
      <c r="I2130" s="655"/>
      <c r="J2130" s="635">
        <f t="shared" si="86"/>
        <v>1154373.0989999999</v>
      </c>
      <c r="K2130" s="635"/>
      <c r="L2130" s="635"/>
      <c r="M2130" s="655">
        <f t="shared" si="87"/>
        <v>1154373.0989999999</v>
      </c>
      <c r="N2130" s="644"/>
      <c r="P2130" s="636"/>
    </row>
    <row r="2131" spans="1:16" s="242" customFormat="1" ht="14.25" customHeight="1">
      <c r="A2131" s="643">
        <v>437</v>
      </c>
      <c r="B2131" s="625" t="e">
        <f>VLOOKUP(D2131,'[1]DS CN MOI UP'!$B$11:$C$447,2,0)</f>
        <v>#N/A</v>
      </c>
      <c r="C2131" s="626" t="s">
        <v>1562</v>
      </c>
      <c r="D2131" s="630" t="s">
        <v>1196</v>
      </c>
      <c r="E2131" s="630" t="s">
        <v>15</v>
      </c>
      <c r="F2131" s="630"/>
      <c r="G2131" s="655"/>
      <c r="H2131" s="635">
        <v>1235040.189</v>
      </c>
      <c r="I2131" s="655"/>
      <c r="J2131" s="635">
        <f t="shared" si="86"/>
        <v>1235040.189</v>
      </c>
      <c r="K2131" s="635"/>
      <c r="L2131" s="635"/>
      <c r="M2131" s="655">
        <f t="shared" si="87"/>
        <v>1235040.189</v>
      </c>
      <c r="N2131" s="644"/>
      <c r="P2131" s="636"/>
    </row>
    <row r="2132" spans="1:16" s="242" customFormat="1" ht="14.25" customHeight="1">
      <c r="A2132" s="643">
        <v>438</v>
      </c>
      <c r="B2132" s="625" t="str">
        <f>VLOOKUP(D2132,'[1]DS CN MOI UP'!$B$11:$C$447,2,0)</f>
        <v>02527</v>
      </c>
      <c r="C2132" s="626" t="s">
        <v>1562</v>
      </c>
      <c r="D2132" s="630" t="s">
        <v>156</v>
      </c>
      <c r="E2132" s="630" t="s">
        <v>15</v>
      </c>
      <c r="F2132" s="630"/>
      <c r="G2132" s="655"/>
      <c r="H2132" s="635">
        <v>1144338.8999999999</v>
      </c>
      <c r="I2132" s="655"/>
      <c r="J2132" s="635">
        <f t="shared" si="86"/>
        <v>1144338.8999999999</v>
      </c>
      <c r="K2132" s="635"/>
      <c r="L2132" s="635"/>
      <c r="M2132" s="655">
        <f t="shared" si="87"/>
        <v>1144338.8999999999</v>
      </c>
      <c r="N2132" s="644"/>
      <c r="P2132" s="636"/>
    </row>
    <row r="2133" spans="1:16" s="242" customFormat="1" ht="14.25" customHeight="1">
      <c r="A2133" s="643">
        <v>439</v>
      </c>
      <c r="B2133" s="625" t="e">
        <f>VLOOKUP(D2133,'[1]DS CN MOI UP'!$B$11:$C$447,2,0)</f>
        <v>#N/A</v>
      </c>
      <c r="C2133" s="626" t="s">
        <v>1562</v>
      </c>
      <c r="D2133" s="630" t="s">
        <v>1197</v>
      </c>
      <c r="E2133" s="630" t="s">
        <v>15</v>
      </c>
      <c r="F2133" s="630"/>
      <c r="G2133" s="655"/>
      <c r="H2133" s="635">
        <v>1174572.6629999999</v>
      </c>
      <c r="I2133" s="655"/>
      <c r="J2133" s="635">
        <f t="shared" si="86"/>
        <v>1174572.6629999999</v>
      </c>
      <c r="K2133" s="635"/>
      <c r="L2133" s="635"/>
      <c r="M2133" s="655">
        <f t="shared" si="87"/>
        <v>1174572.6629999999</v>
      </c>
      <c r="N2133" s="644"/>
      <c r="P2133" s="636"/>
    </row>
    <row r="2134" spans="1:16" s="242" customFormat="1" ht="14.25" customHeight="1">
      <c r="A2134" s="643">
        <v>440</v>
      </c>
      <c r="B2134" s="625" t="str">
        <f>VLOOKUP(D2134,'[1]DS CN MOI UP'!$B$11:$C$447,2,0)</f>
        <v>02528</v>
      </c>
      <c r="C2134" s="626" t="s">
        <v>1562</v>
      </c>
      <c r="D2134" s="630" t="s">
        <v>159</v>
      </c>
      <c r="E2134" s="630" t="s">
        <v>15</v>
      </c>
      <c r="F2134" s="630"/>
      <c r="G2134" s="655"/>
      <c r="H2134" s="635">
        <v>1124139.3359999999</v>
      </c>
      <c r="I2134" s="655"/>
      <c r="J2134" s="635">
        <f t="shared" si="86"/>
        <v>1124139.3359999999</v>
      </c>
      <c r="K2134" s="635"/>
      <c r="L2134" s="635"/>
      <c r="M2134" s="655">
        <f t="shared" si="87"/>
        <v>1124139.3359999999</v>
      </c>
      <c r="N2134" s="644"/>
      <c r="P2134" s="636"/>
    </row>
    <row r="2135" spans="1:16" s="242" customFormat="1" ht="14.25" customHeight="1">
      <c r="A2135" s="643">
        <v>441</v>
      </c>
      <c r="B2135" s="625" t="e">
        <f>VLOOKUP(D2135,'[1]DS CN MOI UP'!$B$11:$C$447,2,0)</f>
        <v>#N/A</v>
      </c>
      <c r="C2135" s="626" t="s">
        <v>1562</v>
      </c>
      <c r="D2135" s="630" t="s">
        <v>1198</v>
      </c>
      <c r="E2135" s="630" t="s">
        <v>15</v>
      </c>
      <c r="F2135" s="630"/>
      <c r="G2135" s="655"/>
      <c r="H2135" s="635">
        <v>1174572.6629999999</v>
      </c>
      <c r="I2135" s="655"/>
      <c r="J2135" s="635">
        <f t="shared" si="86"/>
        <v>1174572.6629999999</v>
      </c>
      <c r="K2135" s="635"/>
      <c r="L2135" s="635"/>
      <c r="M2135" s="655">
        <f t="shared" si="87"/>
        <v>1174572.6629999999</v>
      </c>
      <c r="N2135" s="644"/>
      <c r="P2135" s="636"/>
    </row>
    <row r="2136" spans="1:16" s="242" customFormat="1" ht="14.25" customHeight="1">
      <c r="A2136" s="643">
        <v>442</v>
      </c>
      <c r="B2136" s="625" t="str">
        <f>VLOOKUP(D2136,'[1]DS CN MOI UP'!$B$11:$C$447,2,0)</f>
        <v>03850</v>
      </c>
      <c r="C2136" s="626" t="s">
        <v>1562</v>
      </c>
      <c r="D2136" s="630" t="s">
        <v>449</v>
      </c>
      <c r="E2136" s="630" t="s">
        <v>15</v>
      </c>
      <c r="F2136" s="630"/>
      <c r="G2136" s="655"/>
      <c r="H2136" s="635">
        <v>1124139.3359999999</v>
      </c>
      <c r="I2136" s="655"/>
      <c r="J2136" s="635">
        <f t="shared" si="82"/>
        <v>1124139.3359999999</v>
      </c>
      <c r="K2136" s="635"/>
      <c r="L2136" s="635"/>
      <c r="M2136" s="655">
        <f t="shared" si="83"/>
        <v>1124139.3359999999</v>
      </c>
      <c r="N2136" s="644"/>
      <c r="P2136" s="636"/>
    </row>
    <row r="2137" spans="1:16" s="242" customFormat="1" ht="14.25" customHeight="1">
      <c r="A2137" s="643">
        <v>443</v>
      </c>
      <c r="B2137" s="625" t="e">
        <f>VLOOKUP(D2137,'[1]DS CN MOI UP'!$B$11:$C$447,2,0)</f>
        <v>#N/A</v>
      </c>
      <c r="C2137" s="626" t="s">
        <v>1562</v>
      </c>
      <c r="D2137" s="630" t="s">
        <v>1162</v>
      </c>
      <c r="E2137" s="630" t="s">
        <v>15</v>
      </c>
      <c r="F2137" s="630"/>
      <c r="G2137" s="655"/>
      <c r="H2137" s="635">
        <v>1235040.189</v>
      </c>
      <c r="I2137" s="655"/>
      <c r="J2137" s="635">
        <f t="shared" si="82"/>
        <v>1235040.189</v>
      </c>
      <c r="K2137" s="635"/>
      <c r="L2137" s="635"/>
      <c r="M2137" s="655">
        <f t="shared" si="83"/>
        <v>1235040.189</v>
      </c>
      <c r="N2137" s="644"/>
      <c r="P2137" s="636"/>
    </row>
    <row r="2138" spans="1:16" s="242" customFormat="1" ht="14.25" customHeight="1">
      <c r="A2138" s="643">
        <v>444</v>
      </c>
      <c r="B2138" s="625" t="e">
        <f>VLOOKUP(D2138,'[1]DS CN MOI UP'!$B$11:$C$447,2,0)</f>
        <v>#N/A</v>
      </c>
      <c r="C2138" s="626" t="s">
        <v>1562</v>
      </c>
      <c r="D2138" s="630" t="s">
        <v>1163</v>
      </c>
      <c r="E2138" s="630" t="s">
        <v>15</v>
      </c>
      <c r="F2138" s="630"/>
      <c r="G2138" s="655"/>
      <c r="H2138" s="635">
        <v>1235040.189</v>
      </c>
      <c r="I2138" s="655"/>
      <c r="J2138" s="635">
        <f t="shared" si="82"/>
        <v>1235040.189</v>
      </c>
      <c r="K2138" s="635"/>
      <c r="L2138" s="635"/>
      <c r="M2138" s="655">
        <f t="shared" si="83"/>
        <v>1235040.189</v>
      </c>
      <c r="N2138" s="644"/>
      <c r="P2138" s="636"/>
    </row>
    <row r="2139" spans="1:16" s="242" customFormat="1" ht="14.25" customHeight="1">
      <c r="A2139" s="643">
        <v>445</v>
      </c>
      <c r="B2139" s="625" t="e">
        <f>VLOOKUP(D2139,'[1]DS CN MOI UP'!$B$11:$C$447,2,0)</f>
        <v>#N/A</v>
      </c>
      <c r="C2139" s="626" t="s">
        <v>1562</v>
      </c>
      <c r="D2139" s="630" t="s">
        <v>916</v>
      </c>
      <c r="E2139" s="630" t="s">
        <v>15</v>
      </c>
      <c r="F2139" s="630"/>
      <c r="G2139" s="655"/>
      <c r="H2139" s="635">
        <v>1235040.189</v>
      </c>
      <c r="I2139" s="655"/>
      <c r="J2139" s="635">
        <f t="shared" si="82"/>
        <v>1235040.189</v>
      </c>
      <c r="K2139" s="635"/>
      <c r="L2139" s="635"/>
      <c r="M2139" s="655">
        <f t="shared" si="83"/>
        <v>1235040.189</v>
      </c>
      <c r="N2139" s="644"/>
      <c r="P2139" s="636"/>
    </row>
    <row r="2140" spans="1:16" s="242" customFormat="1" ht="14.25" customHeight="1">
      <c r="A2140" s="643">
        <v>446</v>
      </c>
      <c r="B2140" s="625" t="e">
        <f>VLOOKUP(D2140,'[1]DS CN MOI UP'!$B$11:$C$447,2,0)</f>
        <v>#N/A</v>
      </c>
      <c r="C2140" s="626" t="s">
        <v>1562</v>
      </c>
      <c r="D2140" s="630" t="s">
        <v>1164</v>
      </c>
      <c r="E2140" s="630" t="s">
        <v>15</v>
      </c>
      <c r="F2140" s="630"/>
      <c r="G2140" s="655"/>
      <c r="H2140" s="635">
        <v>1235040.189</v>
      </c>
      <c r="I2140" s="655"/>
      <c r="J2140" s="635">
        <f t="shared" si="82"/>
        <v>1235040.189</v>
      </c>
      <c r="K2140" s="635"/>
      <c r="L2140" s="635"/>
      <c r="M2140" s="655">
        <f t="shared" si="83"/>
        <v>1235040.189</v>
      </c>
      <c r="N2140" s="644"/>
      <c r="P2140" s="636"/>
    </row>
    <row r="2141" spans="1:16" s="242" customFormat="1" ht="14.25" customHeight="1">
      <c r="A2141" s="643">
        <v>447</v>
      </c>
      <c r="B2141" s="625" t="e">
        <f>VLOOKUP(D2141,'[1]DS CN MOI UP'!$B$11:$C$447,2,0)</f>
        <v>#N/A</v>
      </c>
      <c r="C2141" s="626" t="s">
        <v>1562</v>
      </c>
      <c r="D2141" s="630" t="s">
        <v>1165</v>
      </c>
      <c r="E2141" s="630" t="s">
        <v>15</v>
      </c>
      <c r="F2141" s="630"/>
      <c r="G2141" s="655"/>
      <c r="H2141" s="635">
        <v>1235040.189</v>
      </c>
      <c r="I2141" s="655"/>
      <c r="J2141" s="635">
        <f t="shared" si="82"/>
        <v>1235040.189</v>
      </c>
      <c r="K2141" s="635"/>
      <c r="L2141" s="635"/>
      <c r="M2141" s="655">
        <f t="shared" si="83"/>
        <v>1235040.189</v>
      </c>
      <c r="N2141" s="644"/>
      <c r="P2141" s="636"/>
    </row>
    <row r="2142" spans="1:16" s="242" customFormat="1" ht="14.25" customHeight="1">
      <c r="A2142" s="643">
        <v>448</v>
      </c>
      <c r="B2142" s="625" t="e">
        <f>VLOOKUP(D2142,'[1]DS CN MOI UP'!$B$11:$C$447,2,0)</f>
        <v>#N/A</v>
      </c>
      <c r="C2142" s="626" t="s">
        <v>1562</v>
      </c>
      <c r="D2142" s="630" t="s">
        <v>701</v>
      </c>
      <c r="E2142" s="630" t="s">
        <v>15</v>
      </c>
      <c r="F2142" s="630"/>
      <c r="G2142" s="655"/>
      <c r="H2142" s="635">
        <v>1235040.189</v>
      </c>
      <c r="I2142" s="655"/>
      <c r="J2142" s="635">
        <f t="shared" si="82"/>
        <v>1235040.189</v>
      </c>
      <c r="K2142" s="635"/>
      <c r="L2142" s="635"/>
      <c r="M2142" s="655">
        <f t="shared" si="83"/>
        <v>1235040.189</v>
      </c>
      <c r="N2142" s="644"/>
      <c r="P2142" s="636"/>
    </row>
    <row r="2143" spans="1:16" s="242" customFormat="1" ht="14.25" customHeight="1">
      <c r="A2143" s="643">
        <v>449</v>
      </c>
      <c r="B2143" s="625" t="str">
        <f>VLOOKUP(D2143,'[1]DS CN MOI UP'!$B$11:$C$447,2,0)</f>
        <v>02532</v>
      </c>
      <c r="C2143" s="626" t="s">
        <v>1562</v>
      </c>
      <c r="D2143" s="630" t="s">
        <v>158</v>
      </c>
      <c r="E2143" s="630" t="s">
        <v>15</v>
      </c>
      <c r="F2143" s="630"/>
      <c r="G2143" s="655"/>
      <c r="H2143" s="635">
        <v>1235040.189</v>
      </c>
      <c r="I2143" s="655"/>
      <c r="J2143" s="635">
        <f t="shared" si="82"/>
        <v>1235040.189</v>
      </c>
      <c r="K2143" s="635"/>
      <c r="L2143" s="635"/>
      <c r="M2143" s="655">
        <f t="shared" si="83"/>
        <v>1235040.189</v>
      </c>
      <c r="N2143" s="644"/>
      <c r="P2143" s="636"/>
    </row>
    <row r="2144" spans="1:16" s="242" customFormat="1" ht="14.25" customHeight="1">
      <c r="A2144" s="643">
        <v>450</v>
      </c>
      <c r="B2144" s="625" t="e">
        <f>VLOOKUP(D2144,'[1]DS CN MOI UP'!$B$11:$C$447,2,0)</f>
        <v>#N/A</v>
      </c>
      <c r="C2144" s="626" t="s">
        <v>1562</v>
      </c>
      <c r="D2144" s="630" t="s">
        <v>1167</v>
      </c>
      <c r="E2144" s="630" t="s">
        <v>15</v>
      </c>
      <c r="F2144" s="630"/>
      <c r="G2144" s="655"/>
      <c r="H2144" s="635">
        <v>1154373.0989999999</v>
      </c>
      <c r="I2144" s="655"/>
      <c r="J2144" s="635">
        <f t="shared" si="82"/>
        <v>1154373.0989999999</v>
      </c>
      <c r="K2144" s="635"/>
      <c r="L2144" s="635"/>
      <c r="M2144" s="655">
        <f t="shared" si="83"/>
        <v>1154373.0989999999</v>
      </c>
      <c r="N2144" s="644"/>
      <c r="P2144" s="636"/>
    </row>
    <row r="2145" spans="1:16" s="242" customFormat="1" ht="14.25" customHeight="1">
      <c r="A2145" s="643">
        <v>451</v>
      </c>
      <c r="B2145" s="625" t="e">
        <f>VLOOKUP(D2145,'[1]DS CN MOI UP'!$B$11:$C$447,2,0)</f>
        <v>#N/A</v>
      </c>
      <c r="C2145" s="626" t="s">
        <v>1562</v>
      </c>
      <c r="D2145" s="630" t="s">
        <v>1168</v>
      </c>
      <c r="E2145" s="630" t="s">
        <v>15</v>
      </c>
      <c r="F2145" s="630"/>
      <c r="G2145" s="655"/>
      <c r="H2145" s="635">
        <v>1154373.0989999999</v>
      </c>
      <c r="I2145" s="655"/>
      <c r="J2145" s="635">
        <f t="shared" si="82"/>
        <v>1154373.0989999999</v>
      </c>
      <c r="K2145" s="635"/>
      <c r="L2145" s="635"/>
      <c r="M2145" s="655">
        <f t="shared" si="83"/>
        <v>1154373.0989999999</v>
      </c>
      <c r="N2145" s="644"/>
      <c r="P2145" s="636"/>
    </row>
    <row r="2146" spans="1:16" s="242" customFormat="1" ht="14.25" customHeight="1">
      <c r="A2146" s="643">
        <v>452</v>
      </c>
      <c r="B2146" s="625" t="e">
        <f>VLOOKUP(D2146,'[1]DS CN MOI UP'!$B$11:$C$447,2,0)</f>
        <v>#N/A</v>
      </c>
      <c r="C2146" s="626" t="s">
        <v>1562</v>
      </c>
      <c r="D2146" s="630" t="s">
        <v>1543</v>
      </c>
      <c r="E2146" s="630" t="s">
        <v>15</v>
      </c>
      <c r="F2146" s="630"/>
      <c r="G2146" s="655"/>
      <c r="H2146" s="635">
        <v>1154373.0989999999</v>
      </c>
      <c r="I2146" s="655"/>
      <c r="J2146" s="635">
        <f t="shared" si="82"/>
        <v>1154373.0989999999</v>
      </c>
      <c r="K2146" s="635"/>
      <c r="L2146" s="635"/>
      <c r="M2146" s="655">
        <f t="shared" si="83"/>
        <v>1154373.0989999999</v>
      </c>
      <c r="N2146" s="644"/>
      <c r="P2146" s="636"/>
    </row>
    <row r="2147" spans="1:16" s="242" customFormat="1" ht="14.25" customHeight="1">
      <c r="A2147" s="643">
        <v>453</v>
      </c>
      <c r="B2147" s="625" t="str">
        <f>VLOOKUP(D2147,'[1]DS CN MOI UP'!$B$11:$C$447,2,0)</f>
        <v>02533</v>
      </c>
      <c r="C2147" s="626" t="s">
        <v>1562</v>
      </c>
      <c r="D2147" s="630" t="s">
        <v>198</v>
      </c>
      <c r="E2147" s="630" t="s">
        <v>15</v>
      </c>
      <c r="F2147" s="630"/>
      <c r="G2147" s="655"/>
      <c r="H2147" s="635">
        <v>1235040.189</v>
      </c>
      <c r="I2147" s="655"/>
      <c r="J2147" s="635">
        <f t="shared" ref="J2147:J2157" si="88">SUM(G2147:I2147)</f>
        <v>1235040.189</v>
      </c>
      <c r="K2147" s="635"/>
      <c r="L2147" s="635"/>
      <c r="M2147" s="655">
        <f t="shared" ref="M2147:M2157" si="89">J2147-L2147</f>
        <v>1235040.189</v>
      </c>
      <c r="N2147" s="644"/>
      <c r="P2147" s="636"/>
    </row>
    <row r="2148" spans="1:16" s="242" customFormat="1" ht="14.25" customHeight="1">
      <c r="A2148" s="643">
        <v>454</v>
      </c>
      <c r="B2148" s="625" t="e">
        <f>VLOOKUP(D2148,'[1]DS CN MOI UP'!$B$11:$C$447,2,0)</f>
        <v>#N/A</v>
      </c>
      <c r="C2148" s="626" t="s">
        <v>1562</v>
      </c>
      <c r="D2148" s="630" t="s">
        <v>1169</v>
      </c>
      <c r="E2148" s="630" t="s">
        <v>15</v>
      </c>
      <c r="F2148" s="630"/>
      <c r="G2148" s="655"/>
      <c r="H2148" s="635">
        <v>1144338.8999999999</v>
      </c>
      <c r="I2148" s="655"/>
      <c r="J2148" s="635">
        <f t="shared" si="88"/>
        <v>1144338.8999999999</v>
      </c>
      <c r="K2148" s="635"/>
      <c r="L2148" s="635"/>
      <c r="M2148" s="655">
        <f t="shared" si="89"/>
        <v>1144338.8999999999</v>
      </c>
      <c r="N2148" s="644"/>
      <c r="P2148" s="636"/>
    </row>
    <row r="2149" spans="1:16" s="242" customFormat="1" ht="14.25" customHeight="1">
      <c r="A2149" s="643">
        <v>455</v>
      </c>
      <c r="B2149" s="625" t="e">
        <f>VLOOKUP(D2149,'[1]DS CN MOI UP'!$B$11:$C$447,2,0)</f>
        <v>#N/A</v>
      </c>
      <c r="C2149" s="626" t="s">
        <v>1562</v>
      </c>
      <c r="D2149" s="630" t="s">
        <v>1199</v>
      </c>
      <c r="E2149" s="630" t="s">
        <v>15</v>
      </c>
      <c r="F2149" s="630"/>
      <c r="G2149" s="655"/>
      <c r="H2149" s="635">
        <v>1174572.6629999999</v>
      </c>
      <c r="I2149" s="655"/>
      <c r="J2149" s="635">
        <f t="shared" si="88"/>
        <v>1174572.6629999999</v>
      </c>
      <c r="K2149" s="635"/>
      <c r="L2149" s="635"/>
      <c r="M2149" s="655">
        <f t="shared" si="89"/>
        <v>1174572.6629999999</v>
      </c>
      <c r="N2149" s="644"/>
      <c r="P2149" s="636"/>
    </row>
    <row r="2150" spans="1:16" s="242" customFormat="1" ht="14.25" customHeight="1">
      <c r="A2150" s="643">
        <v>456</v>
      </c>
      <c r="B2150" s="625" t="e">
        <f>VLOOKUP(D2150,'[1]DS CN MOI UP'!$B$11:$C$447,2,0)</f>
        <v>#N/A</v>
      </c>
      <c r="C2150" s="626" t="s">
        <v>1562</v>
      </c>
      <c r="D2150" s="630" t="s">
        <v>567</v>
      </c>
      <c r="E2150" s="630" t="s">
        <v>15</v>
      </c>
      <c r="F2150" s="630"/>
      <c r="G2150" s="655"/>
      <c r="H2150" s="635">
        <v>1124139.3359999999</v>
      </c>
      <c r="I2150" s="655"/>
      <c r="J2150" s="635">
        <f t="shared" si="88"/>
        <v>1124139.3359999999</v>
      </c>
      <c r="K2150" s="635"/>
      <c r="L2150" s="635"/>
      <c r="M2150" s="655">
        <f t="shared" si="89"/>
        <v>1124139.3359999999</v>
      </c>
      <c r="N2150" s="644"/>
      <c r="P2150" s="636"/>
    </row>
    <row r="2151" spans="1:16" s="242" customFormat="1" ht="14.25" customHeight="1">
      <c r="A2151" s="643">
        <v>457</v>
      </c>
      <c r="B2151" s="625" t="e">
        <f>VLOOKUP(D2151,'[1]DS CN MOI UP'!$B$11:$C$447,2,0)</f>
        <v>#N/A</v>
      </c>
      <c r="C2151" s="626" t="s">
        <v>1562</v>
      </c>
      <c r="D2151" s="630" t="s">
        <v>1170</v>
      </c>
      <c r="E2151" s="630" t="s">
        <v>15</v>
      </c>
      <c r="F2151" s="630"/>
      <c r="G2151" s="655"/>
      <c r="H2151" s="635">
        <v>1174572.6629999999</v>
      </c>
      <c r="I2151" s="655"/>
      <c r="J2151" s="635">
        <f t="shared" si="88"/>
        <v>1174572.6629999999</v>
      </c>
      <c r="K2151" s="635"/>
      <c r="L2151" s="635"/>
      <c r="M2151" s="655">
        <f t="shared" si="89"/>
        <v>1174572.6629999999</v>
      </c>
      <c r="N2151" s="644"/>
      <c r="P2151" s="636"/>
    </row>
    <row r="2152" spans="1:16" s="242" customFormat="1" ht="14.25" customHeight="1">
      <c r="A2152" s="643">
        <v>458</v>
      </c>
      <c r="B2152" s="625" t="str">
        <f>VLOOKUP(D2152,'[1]DS CN MOI UP'!$B$11:$C$447,2,0)</f>
        <v>02535</v>
      </c>
      <c r="C2152" s="626" t="s">
        <v>1562</v>
      </c>
      <c r="D2152" s="630" t="s">
        <v>165</v>
      </c>
      <c r="E2152" s="630" t="s">
        <v>15</v>
      </c>
      <c r="F2152" s="630"/>
      <c r="G2152" s="655"/>
      <c r="H2152" s="635">
        <v>1124139.3359999999</v>
      </c>
      <c r="I2152" s="655"/>
      <c r="J2152" s="635">
        <f t="shared" si="88"/>
        <v>1124139.3359999999</v>
      </c>
      <c r="K2152" s="635"/>
      <c r="L2152" s="635"/>
      <c r="M2152" s="655">
        <f t="shared" si="89"/>
        <v>1124139.3359999999</v>
      </c>
      <c r="N2152" s="644"/>
      <c r="P2152" s="636"/>
    </row>
    <row r="2153" spans="1:16" s="242" customFormat="1" ht="14.25" customHeight="1">
      <c r="A2153" s="643">
        <v>459</v>
      </c>
      <c r="B2153" s="625" t="e">
        <f>VLOOKUP(D2153,'[1]DS CN MOI UP'!$B$11:$C$447,2,0)</f>
        <v>#N/A</v>
      </c>
      <c r="C2153" s="626" t="s">
        <v>1562</v>
      </c>
      <c r="D2153" s="630" t="s">
        <v>1171</v>
      </c>
      <c r="E2153" s="630" t="s">
        <v>15</v>
      </c>
      <c r="F2153" s="630"/>
      <c r="G2153" s="655"/>
      <c r="H2153" s="635">
        <v>1235040.189</v>
      </c>
      <c r="I2153" s="655"/>
      <c r="J2153" s="635">
        <f t="shared" si="88"/>
        <v>1235040.189</v>
      </c>
      <c r="K2153" s="635"/>
      <c r="L2153" s="635"/>
      <c r="M2153" s="655">
        <f t="shared" si="89"/>
        <v>1235040.189</v>
      </c>
      <c r="N2153" s="644"/>
      <c r="P2153" s="636"/>
    </row>
    <row r="2154" spans="1:16" s="242" customFormat="1" ht="14.25" customHeight="1">
      <c r="A2154" s="643">
        <v>460</v>
      </c>
      <c r="B2154" s="625" t="str">
        <f>VLOOKUP(D2154,'[1]DS CN MOI UP'!$B$11:$C$447,2,0)</f>
        <v>02536</v>
      </c>
      <c r="C2154" s="626" t="s">
        <v>1562</v>
      </c>
      <c r="D2154" s="630" t="s">
        <v>155</v>
      </c>
      <c r="E2154" s="630" t="s">
        <v>15</v>
      </c>
      <c r="F2154" s="630"/>
      <c r="G2154" s="655"/>
      <c r="H2154" s="635">
        <v>1144338.8999999999</v>
      </c>
      <c r="I2154" s="655"/>
      <c r="J2154" s="635">
        <f t="shared" si="88"/>
        <v>1144338.8999999999</v>
      </c>
      <c r="K2154" s="635"/>
      <c r="L2154" s="635"/>
      <c r="M2154" s="655">
        <f t="shared" si="89"/>
        <v>1144338.8999999999</v>
      </c>
      <c r="N2154" s="644"/>
      <c r="P2154" s="636"/>
    </row>
    <row r="2155" spans="1:16" s="242" customFormat="1" ht="14.25" customHeight="1">
      <c r="A2155" s="643">
        <v>461</v>
      </c>
      <c r="B2155" s="625" t="e">
        <f>VLOOKUP(D2155,'[1]DS CN MOI UP'!$B$11:$C$447,2,0)</f>
        <v>#N/A</v>
      </c>
      <c r="C2155" s="626" t="s">
        <v>1562</v>
      </c>
      <c r="D2155" s="630" t="s">
        <v>1172</v>
      </c>
      <c r="E2155" s="630" t="s">
        <v>15</v>
      </c>
      <c r="F2155" s="630"/>
      <c r="G2155" s="655"/>
      <c r="H2155" s="635">
        <v>1174572.6629999999</v>
      </c>
      <c r="I2155" s="655"/>
      <c r="J2155" s="635">
        <f t="shared" si="88"/>
        <v>1174572.6629999999</v>
      </c>
      <c r="K2155" s="635"/>
      <c r="L2155" s="635"/>
      <c r="M2155" s="655">
        <f t="shared" si="89"/>
        <v>1174572.6629999999</v>
      </c>
      <c r="N2155" s="644"/>
      <c r="P2155" s="636"/>
    </row>
    <row r="2156" spans="1:16" s="242" customFormat="1" ht="14.25" customHeight="1">
      <c r="A2156" s="643">
        <v>462</v>
      </c>
      <c r="B2156" s="625" t="e">
        <f>VLOOKUP(D2156,'[1]DS CN MOI UP'!$B$11:$C$447,2,0)</f>
        <v>#N/A</v>
      </c>
      <c r="C2156" s="626" t="s">
        <v>1562</v>
      </c>
      <c r="D2156" s="630" t="s">
        <v>1173</v>
      </c>
      <c r="E2156" s="630" t="s">
        <v>15</v>
      </c>
      <c r="F2156" s="630"/>
      <c r="G2156" s="655"/>
      <c r="H2156" s="635">
        <v>1124139.3359999999</v>
      </c>
      <c r="I2156" s="655"/>
      <c r="J2156" s="635">
        <f t="shared" si="88"/>
        <v>1124139.3359999999</v>
      </c>
      <c r="K2156" s="635"/>
      <c r="L2156" s="635"/>
      <c r="M2156" s="655">
        <f t="shared" si="89"/>
        <v>1124139.3359999999</v>
      </c>
      <c r="N2156" s="644"/>
      <c r="P2156" s="636"/>
    </row>
    <row r="2157" spans="1:16" s="242" customFormat="1" ht="14.25" customHeight="1">
      <c r="A2157" s="643">
        <v>463</v>
      </c>
      <c r="B2157" s="625" t="e">
        <f>VLOOKUP(D2157,'[1]DS CN MOI UP'!$B$11:$C$447,2,0)</f>
        <v>#N/A</v>
      </c>
      <c r="C2157" s="626" t="s">
        <v>1562</v>
      </c>
      <c r="D2157" s="630" t="s">
        <v>1200</v>
      </c>
      <c r="E2157" s="630" t="s">
        <v>15</v>
      </c>
      <c r="F2157" s="630"/>
      <c r="G2157" s="655"/>
      <c r="H2157" s="635">
        <v>1174572.6629999999</v>
      </c>
      <c r="I2157" s="655"/>
      <c r="J2157" s="635">
        <f t="shared" si="88"/>
        <v>1174572.6629999999</v>
      </c>
      <c r="K2157" s="635"/>
      <c r="L2157" s="635"/>
      <c r="M2157" s="655">
        <f t="shared" si="89"/>
        <v>1174572.6629999999</v>
      </c>
      <c r="N2157" s="644"/>
      <c r="P2157" s="636"/>
    </row>
    <row r="2158" spans="1:16" s="242" customFormat="1" ht="14.25" customHeight="1">
      <c r="A2158" s="643">
        <v>464</v>
      </c>
      <c r="B2158" s="625" t="str">
        <f>VLOOKUP(D2158,'[1]DS CN MOI UP'!$B$11:$C$447,2,0)</f>
        <v>02538</v>
      </c>
      <c r="C2158" s="626" t="s">
        <v>1562</v>
      </c>
      <c r="D2158" s="630" t="s">
        <v>150</v>
      </c>
      <c r="E2158" s="630" t="s">
        <v>15</v>
      </c>
      <c r="F2158" s="630"/>
      <c r="G2158" s="655"/>
      <c r="H2158" s="635">
        <v>1124139.3359999999</v>
      </c>
      <c r="I2158" s="655"/>
      <c r="J2158" s="635">
        <f t="shared" si="82"/>
        <v>1124139.3359999999</v>
      </c>
      <c r="K2158" s="635"/>
      <c r="L2158" s="635"/>
      <c r="M2158" s="655">
        <f t="shared" si="83"/>
        <v>1124139.3359999999</v>
      </c>
      <c r="N2158" s="644"/>
      <c r="P2158" s="636"/>
    </row>
    <row r="2159" spans="1:16" s="242" customFormat="1" ht="14.25" customHeight="1">
      <c r="A2159" s="643">
        <v>465</v>
      </c>
      <c r="B2159" s="625" t="e">
        <f>VLOOKUP(D2159,'[1]DS CN MOI UP'!$B$11:$C$447,2,0)</f>
        <v>#N/A</v>
      </c>
      <c r="C2159" s="626" t="s">
        <v>1562</v>
      </c>
      <c r="D2159" s="630" t="s">
        <v>1201</v>
      </c>
      <c r="E2159" s="630" t="s">
        <v>15</v>
      </c>
      <c r="F2159" s="630"/>
      <c r="G2159" s="655"/>
      <c r="H2159" s="635">
        <v>1235040.189</v>
      </c>
      <c r="I2159" s="655"/>
      <c r="J2159" s="635">
        <f t="shared" si="82"/>
        <v>1235040.189</v>
      </c>
      <c r="K2159" s="635"/>
      <c r="L2159" s="635"/>
      <c r="M2159" s="655">
        <f t="shared" si="83"/>
        <v>1235040.189</v>
      </c>
      <c r="N2159" s="644"/>
      <c r="P2159" s="636"/>
    </row>
    <row r="2160" spans="1:16" s="242" customFormat="1" ht="14.25" customHeight="1">
      <c r="A2160" s="643">
        <v>466</v>
      </c>
      <c r="B2160" s="625" t="str">
        <f>VLOOKUP(D2160,'[1]DS CN MOI UP'!$B$11:$C$447,2,0)</f>
        <v>02539</v>
      </c>
      <c r="C2160" s="626" t="s">
        <v>1562</v>
      </c>
      <c r="D2160" s="630" t="s">
        <v>195</v>
      </c>
      <c r="E2160" s="630" t="s">
        <v>15</v>
      </c>
      <c r="F2160" s="630"/>
      <c r="G2160" s="655"/>
      <c r="H2160" s="635">
        <v>1235040.189</v>
      </c>
      <c r="I2160" s="655"/>
      <c r="J2160" s="635">
        <f t="shared" si="82"/>
        <v>1235040.189</v>
      </c>
      <c r="K2160" s="635"/>
      <c r="L2160" s="635"/>
      <c r="M2160" s="655">
        <f t="shared" si="83"/>
        <v>1235040.189</v>
      </c>
      <c r="N2160" s="644"/>
      <c r="P2160" s="636"/>
    </row>
    <row r="2161" spans="1:17" s="242" customFormat="1" ht="14.25" customHeight="1">
      <c r="A2161" s="643">
        <v>467</v>
      </c>
      <c r="B2161" s="625" t="e">
        <f>VLOOKUP(D2161,'[1]DS CN MOI UP'!$B$11:$C$447,2,0)</f>
        <v>#N/A</v>
      </c>
      <c r="C2161" s="626" t="s">
        <v>1562</v>
      </c>
      <c r="D2161" s="630" t="s">
        <v>1174</v>
      </c>
      <c r="E2161" s="630" t="s">
        <v>15</v>
      </c>
      <c r="F2161" s="630"/>
      <c r="G2161" s="655"/>
      <c r="H2161" s="635">
        <v>1214024.1704651699</v>
      </c>
      <c r="I2161" s="655"/>
      <c r="J2161" s="635">
        <f t="shared" si="82"/>
        <v>1214024.1704651699</v>
      </c>
      <c r="K2161" s="635"/>
      <c r="L2161" s="635"/>
      <c r="M2161" s="655">
        <f t="shared" si="83"/>
        <v>1214024.1704651699</v>
      </c>
      <c r="N2161" s="644"/>
      <c r="P2161" s="636"/>
    </row>
    <row r="2162" spans="1:17" s="242" customFormat="1" ht="14.25" customHeight="1">
      <c r="A2162" s="628" t="s">
        <v>522</v>
      </c>
      <c r="B2162" s="625" t="e">
        <f>VLOOKUP(A2162,'[1]DS CN MOI UP'!$B$11:$C$447,2,0)</f>
        <v>#N/A</v>
      </c>
      <c r="C2162" s="628"/>
      <c r="E2162" s="628"/>
      <c r="F2162" s="628"/>
      <c r="G2162" s="651">
        <f t="shared" ref="G2162:M2162" si="90">SUM(G1695:G2161)</f>
        <v>33307000</v>
      </c>
      <c r="H2162" s="651">
        <f t="shared" si="90"/>
        <v>406701521.01648301</v>
      </c>
      <c r="I2162" s="651">
        <f t="shared" si="90"/>
        <v>106486964</v>
      </c>
      <c r="J2162" s="651">
        <f t="shared" si="90"/>
        <v>546495485.01648188</v>
      </c>
      <c r="K2162" s="651">
        <f t="shared" si="90"/>
        <v>0</v>
      </c>
      <c r="L2162" s="651">
        <f t="shared" si="90"/>
        <v>0</v>
      </c>
      <c r="M2162" s="651">
        <f t="shared" si="90"/>
        <v>546495485.01648188</v>
      </c>
      <c r="N2162" s="61"/>
      <c r="O2162" s="636" t="e">
        <f>#REF!</f>
        <v>#REF!</v>
      </c>
      <c r="P2162" s="636" t="e">
        <f>#REF!</f>
        <v>#REF!</v>
      </c>
      <c r="Q2162" s="636" t="e">
        <f>#REF!</f>
        <v>#REF!</v>
      </c>
    </row>
    <row r="2163" spans="1:17" s="242" customFormat="1" ht="14.25" customHeight="1">
      <c r="A2163" s="624">
        <v>1</v>
      </c>
      <c r="B2163" s="625" t="e">
        <f>VLOOKUP(D2163,'[1]DS CN MOI UP'!$B$11:$C$447,2,0)</f>
        <v>#N/A</v>
      </c>
      <c r="C2163" s="626"/>
      <c r="D2163" s="61" t="s">
        <v>1591</v>
      </c>
      <c r="E2163" s="630" t="s">
        <v>15</v>
      </c>
      <c r="F2163" s="630"/>
      <c r="G2163" s="655">
        <v>60000</v>
      </c>
      <c r="H2163" s="635">
        <v>554373.09900000005</v>
      </c>
      <c r="I2163" s="655">
        <v>524139.33600000001</v>
      </c>
      <c r="J2163" s="635">
        <f t="shared" ref="J2163:J2283" si="91">SUM(G2163:I2163)</f>
        <v>1138512.4350000001</v>
      </c>
      <c r="K2163" s="635"/>
      <c r="L2163" s="635"/>
      <c r="M2163" s="655">
        <f t="shared" ref="M2163:M2283" si="92">J2163-L2163</f>
        <v>1138512.4350000001</v>
      </c>
      <c r="N2163" s="61"/>
      <c r="O2163" s="636" t="e">
        <f>+O2162-G2162</f>
        <v>#REF!</v>
      </c>
      <c r="P2163" s="636" t="e">
        <f>+P2162-H2162</f>
        <v>#REF!</v>
      </c>
      <c r="Q2163" s="636" t="e">
        <f>+Q2162-I2162</f>
        <v>#REF!</v>
      </c>
    </row>
    <row r="2164" spans="1:17" s="242" customFormat="1" ht="14.25" customHeight="1">
      <c r="A2164" s="624">
        <v>2</v>
      </c>
      <c r="B2164" s="625" t="e">
        <f>VLOOKUP(D2164,'[1]DS CN MOI UP'!$B$11:$C$447,2,0)</f>
        <v>#N/A</v>
      </c>
      <c r="C2164" s="626"/>
      <c r="D2164" s="61" t="s">
        <v>1593</v>
      </c>
      <c r="E2164" s="630" t="s">
        <v>15</v>
      </c>
      <c r="F2164" s="630"/>
      <c r="G2164" s="655">
        <v>40000</v>
      </c>
      <c r="H2164" s="635">
        <v>554373.09900000005</v>
      </c>
      <c r="I2164" s="655">
        <v>524139.33600000001</v>
      </c>
      <c r="J2164" s="635">
        <f t="shared" si="91"/>
        <v>1118512.4350000001</v>
      </c>
      <c r="K2164" s="635"/>
      <c r="L2164" s="635"/>
      <c r="M2164" s="655">
        <f t="shared" si="92"/>
        <v>1118512.4350000001</v>
      </c>
      <c r="N2164" s="61"/>
    </row>
    <row r="2165" spans="1:17" s="242" customFormat="1" ht="14.25" customHeight="1">
      <c r="A2165" s="624">
        <v>3</v>
      </c>
      <c r="B2165" s="625" t="e">
        <f>VLOOKUP(D2165,'[1]DS CN MOI UP'!$B$11:$C$447,2,0)</f>
        <v>#N/A</v>
      </c>
      <c r="C2165" s="626"/>
      <c r="D2165" s="61" t="s">
        <v>1596</v>
      </c>
      <c r="E2165" s="630" t="s">
        <v>15</v>
      </c>
      <c r="F2165" s="630"/>
      <c r="G2165" s="655">
        <v>40000</v>
      </c>
      <c r="H2165" s="635">
        <v>554373.09900000005</v>
      </c>
      <c r="I2165" s="655">
        <v>524139.33600000001</v>
      </c>
      <c r="J2165" s="635">
        <f t="shared" si="91"/>
        <v>1118512.4350000001</v>
      </c>
      <c r="K2165" s="635"/>
      <c r="L2165" s="635"/>
      <c r="M2165" s="655">
        <f t="shared" si="92"/>
        <v>1118512.4350000001</v>
      </c>
      <c r="N2165" s="61"/>
      <c r="O2165" s="636"/>
    </row>
    <row r="2166" spans="1:17" s="242" customFormat="1" ht="14.25" customHeight="1">
      <c r="A2166" s="624">
        <v>4</v>
      </c>
      <c r="B2166" s="625" t="e">
        <f>VLOOKUP(D2166,'[1]DS CN MOI UP'!$B$11:$C$447,2,0)</f>
        <v>#N/A</v>
      </c>
      <c r="C2166" s="626"/>
      <c r="D2166" s="61" t="s">
        <v>1598</v>
      </c>
      <c r="E2166" s="630" t="s">
        <v>15</v>
      </c>
      <c r="F2166" s="630"/>
      <c r="G2166" s="655">
        <v>40000</v>
      </c>
      <c r="H2166" s="635">
        <v>554373.09900000005</v>
      </c>
      <c r="I2166" s="655">
        <v>524139.33600000001</v>
      </c>
      <c r="J2166" s="635">
        <f t="shared" si="91"/>
        <v>1118512.4350000001</v>
      </c>
      <c r="K2166" s="635"/>
      <c r="L2166" s="635"/>
      <c r="M2166" s="655">
        <f t="shared" si="92"/>
        <v>1118512.4350000001</v>
      </c>
      <c r="N2166" s="61"/>
    </row>
    <row r="2167" spans="1:17" s="242" customFormat="1" ht="14.25" customHeight="1">
      <c r="A2167" s="624">
        <v>5</v>
      </c>
      <c r="B2167" s="625" t="e">
        <f>VLOOKUP(D2167,'[1]DS CN MOI UP'!$B$11:$C$447,2,0)</f>
        <v>#N/A</v>
      </c>
      <c r="C2167" s="626"/>
      <c r="D2167" s="61" t="s">
        <v>1600</v>
      </c>
      <c r="E2167" s="630" t="s">
        <v>15</v>
      </c>
      <c r="F2167" s="630"/>
      <c r="G2167" s="655">
        <v>40000</v>
      </c>
      <c r="H2167" s="635">
        <v>635040.18900000001</v>
      </c>
      <c r="I2167" s="655">
        <v>524139.33600000001</v>
      </c>
      <c r="J2167" s="635">
        <f t="shared" si="91"/>
        <v>1199179.5249999999</v>
      </c>
      <c r="K2167" s="635"/>
      <c r="L2167" s="635"/>
      <c r="M2167" s="655">
        <f t="shared" si="92"/>
        <v>1199179.5249999999</v>
      </c>
      <c r="N2167" s="61"/>
    </row>
    <row r="2168" spans="1:17" s="242" customFormat="1" ht="14.25" customHeight="1">
      <c r="A2168" s="624">
        <v>6</v>
      </c>
      <c r="B2168" s="625" t="e">
        <f>VLOOKUP(D2168,'[1]DS CN MOI UP'!$B$11:$C$447,2,0)</f>
        <v>#N/A</v>
      </c>
      <c r="C2168" s="626"/>
      <c r="D2168" s="61" t="s">
        <v>1602</v>
      </c>
      <c r="E2168" s="630" t="s">
        <v>15</v>
      </c>
      <c r="F2168" s="630"/>
      <c r="G2168" s="655">
        <v>40000</v>
      </c>
      <c r="H2168" s="635">
        <v>544338.9</v>
      </c>
      <c r="I2168" s="655">
        <v>524139.33600000001</v>
      </c>
      <c r="J2168" s="635">
        <f t="shared" si="91"/>
        <v>1108478.236</v>
      </c>
      <c r="K2168" s="635"/>
      <c r="L2168" s="635"/>
      <c r="M2168" s="655">
        <f t="shared" si="92"/>
        <v>1108478.236</v>
      </c>
      <c r="N2168" s="61"/>
    </row>
    <row r="2169" spans="1:17" s="242" customFormat="1" ht="14.25" customHeight="1">
      <c r="A2169" s="624">
        <v>7</v>
      </c>
      <c r="B2169" s="625" t="e">
        <f>VLOOKUP(D2169,'[1]DS CN MOI UP'!$B$11:$C$447,2,0)</f>
        <v>#N/A</v>
      </c>
      <c r="C2169" s="626"/>
      <c r="D2169" s="61" t="s">
        <v>1604</v>
      </c>
      <c r="E2169" s="630" t="s">
        <v>15</v>
      </c>
      <c r="F2169" s="630"/>
      <c r="G2169" s="655">
        <v>40000</v>
      </c>
      <c r="H2169" s="635">
        <v>574572.66299999994</v>
      </c>
      <c r="I2169" s="655">
        <v>524139.33600000001</v>
      </c>
      <c r="J2169" s="635">
        <f t="shared" si="91"/>
        <v>1138711.9989999998</v>
      </c>
      <c r="K2169" s="635"/>
      <c r="L2169" s="635"/>
      <c r="M2169" s="655">
        <f t="shared" si="92"/>
        <v>1138711.9989999998</v>
      </c>
      <c r="N2169" s="61"/>
    </row>
    <row r="2170" spans="1:17" s="242" customFormat="1" ht="14.25" customHeight="1">
      <c r="A2170" s="624">
        <v>8</v>
      </c>
      <c r="B2170" s="625" t="e">
        <f>VLOOKUP(D2170,'[1]DS CN MOI UP'!$B$11:$C$447,2,0)</f>
        <v>#N/A</v>
      </c>
      <c r="C2170" s="626"/>
      <c r="D2170" s="61" t="s">
        <v>1606</v>
      </c>
      <c r="E2170" s="630" t="s">
        <v>15</v>
      </c>
      <c r="F2170" s="630"/>
      <c r="G2170" s="655">
        <v>40000</v>
      </c>
      <c r="H2170" s="655">
        <v>604806.42599999998</v>
      </c>
      <c r="I2170" s="655">
        <v>524139.33600000001</v>
      </c>
      <c r="J2170" s="635">
        <f t="shared" si="91"/>
        <v>1168945.7620000001</v>
      </c>
      <c r="K2170" s="635"/>
      <c r="L2170" s="635"/>
      <c r="M2170" s="655">
        <f t="shared" si="92"/>
        <v>1168945.7620000001</v>
      </c>
      <c r="N2170" s="61"/>
    </row>
    <row r="2171" spans="1:17" s="242" customFormat="1" ht="14.25" customHeight="1">
      <c r="A2171" s="624">
        <v>9</v>
      </c>
      <c r="B2171" s="625" t="e">
        <f>VLOOKUP(D2171,'[1]DS CN MOI UP'!$B$11:$C$447,2,0)</f>
        <v>#N/A</v>
      </c>
      <c r="C2171" s="626"/>
      <c r="D2171" s="61" t="s">
        <v>1613</v>
      </c>
      <c r="E2171" s="630" t="s">
        <v>15</v>
      </c>
      <c r="F2171" s="630"/>
      <c r="G2171" s="655">
        <v>40000</v>
      </c>
      <c r="H2171" s="655">
        <v>584606.86199999996</v>
      </c>
      <c r="I2171" s="655">
        <v>524139.33600000001</v>
      </c>
      <c r="J2171" s="635">
        <f t="shared" si="91"/>
        <v>1148746.1979999999</v>
      </c>
      <c r="K2171" s="635"/>
      <c r="L2171" s="635"/>
      <c r="M2171" s="655">
        <f t="shared" si="92"/>
        <v>1148746.1979999999</v>
      </c>
      <c r="N2171" s="61"/>
    </row>
    <row r="2172" spans="1:17" s="242" customFormat="1" ht="14.25" customHeight="1">
      <c r="A2172" s="624">
        <v>10</v>
      </c>
      <c r="B2172" s="625" t="e">
        <f>VLOOKUP(D2172,'[1]DS CN MOI UP'!$B$11:$C$447,2,0)</f>
        <v>#N/A</v>
      </c>
      <c r="C2172" s="626"/>
      <c r="D2172" s="61" t="s">
        <v>1615</v>
      </c>
      <c r="E2172" s="630" t="s">
        <v>15</v>
      </c>
      <c r="F2172" s="630"/>
      <c r="G2172" s="655">
        <v>40000</v>
      </c>
      <c r="H2172" s="655">
        <v>635040.18900000001</v>
      </c>
      <c r="I2172" s="655">
        <v>524139.33600000001</v>
      </c>
      <c r="J2172" s="635">
        <f t="shared" si="91"/>
        <v>1199179.5249999999</v>
      </c>
      <c r="K2172" s="635"/>
      <c r="L2172" s="635"/>
      <c r="M2172" s="655">
        <f t="shared" si="92"/>
        <v>1199179.5249999999</v>
      </c>
      <c r="N2172" s="61"/>
    </row>
    <row r="2173" spans="1:17" s="242" customFormat="1" ht="14.25" customHeight="1">
      <c r="A2173" s="624">
        <v>11</v>
      </c>
      <c r="B2173" s="625" t="e">
        <f>VLOOKUP(D2173,'[1]DS CN MOI UP'!$B$11:$C$447,2,0)</f>
        <v>#N/A</v>
      </c>
      <c r="C2173" s="626"/>
      <c r="D2173" s="61" t="s">
        <v>1617</v>
      </c>
      <c r="E2173" s="630" t="s">
        <v>15</v>
      </c>
      <c r="F2173" s="630"/>
      <c r="G2173" s="655">
        <v>40000</v>
      </c>
      <c r="H2173" s="655">
        <v>524139.33600000001</v>
      </c>
      <c r="I2173" s="655">
        <v>524139.33600000001</v>
      </c>
      <c r="J2173" s="635">
        <f t="shared" si="91"/>
        <v>1088278.672</v>
      </c>
      <c r="K2173" s="635"/>
      <c r="L2173" s="635"/>
      <c r="M2173" s="655">
        <f t="shared" si="92"/>
        <v>1088278.672</v>
      </c>
      <c r="N2173" s="61"/>
    </row>
    <row r="2174" spans="1:17" s="242" customFormat="1" ht="14.25" customHeight="1">
      <c r="A2174" s="624">
        <v>12</v>
      </c>
      <c r="B2174" s="625" t="e">
        <f>VLOOKUP(D2174,'[1]DS CN MOI UP'!$B$11:$C$447,2,0)</f>
        <v>#N/A</v>
      </c>
      <c r="C2174" s="626"/>
      <c r="D2174" s="61" t="s">
        <v>1619</v>
      </c>
      <c r="E2174" s="630" t="s">
        <v>15</v>
      </c>
      <c r="F2174" s="630"/>
      <c r="G2174" s="655">
        <v>40000</v>
      </c>
      <c r="H2174" s="655">
        <v>635040.18900000001</v>
      </c>
      <c r="I2174" s="655">
        <v>524139.33600000001</v>
      </c>
      <c r="J2174" s="635">
        <f t="shared" si="91"/>
        <v>1199179.5249999999</v>
      </c>
      <c r="K2174" s="635"/>
      <c r="L2174" s="635"/>
      <c r="M2174" s="655">
        <f t="shared" si="92"/>
        <v>1199179.5249999999</v>
      </c>
      <c r="N2174" s="61"/>
    </row>
    <row r="2175" spans="1:17" s="242" customFormat="1" ht="14.25" customHeight="1">
      <c r="A2175" s="624">
        <v>13</v>
      </c>
      <c r="B2175" s="625" t="e">
        <f>VLOOKUP(D2175,'[1]DS CN MOI UP'!$B$11:$C$447,2,0)</f>
        <v>#N/A</v>
      </c>
      <c r="C2175" s="626"/>
      <c r="D2175" s="61" t="s">
        <v>1621</v>
      </c>
      <c r="E2175" s="630" t="s">
        <v>15</v>
      </c>
      <c r="F2175" s="630"/>
      <c r="G2175" s="655">
        <v>40000</v>
      </c>
      <c r="H2175" s="655">
        <v>635040.18900000001</v>
      </c>
      <c r="I2175" s="655">
        <v>524139.33600000001</v>
      </c>
      <c r="J2175" s="635">
        <f t="shared" si="91"/>
        <v>1199179.5249999999</v>
      </c>
      <c r="K2175" s="635"/>
      <c r="L2175" s="635"/>
      <c r="M2175" s="655">
        <f t="shared" si="92"/>
        <v>1199179.5249999999</v>
      </c>
      <c r="N2175" s="61"/>
    </row>
    <row r="2176" spans="1:17" s="242" customFormat="1" ht="14.25" customHeight="1">
      <c r="A2176" s="624">
        <v>14</v>
      </c>
      <c r="B2176" s="625" t="e">
        <f>VLOOKUP(D2176,'[1]DS CN MOI UP'!$B$11:$C$447,2,0)</f>
        <v>#N/A</v>
      </c>
      <c r="C2176" s="626"/>
      <c r="D2176" s="61" t="s">
        <v>1623</v>
      </c>
      <c r="E2176" s="630" t="s">
        <v>15</v>
      </c>
      <c r="F2176" s="630"/>
      <c r="G2176" s="655">
        <v>40000</v>
      </c>
      <c r="H2176" s="655">
        <v>554373.09900000005</v>
      </c>
      <c r="I2176" s="655">
        <v>524139.33600000001</v>
      </c>
      <c r="J2176" s="635">
        <f t="shared" si="91"/>
        <v>1118512.4350000001</v>
      </c>
      <c r="K2176" s="635"/>
      <c r="L2176" s="635"/>
      <c r="M2176" s="655">
        <f t="shared" si="92"/>
        <v>1118512.4350000001</v>
      </c>
      <c r="N2176" s="61"/>
    </row>
    <row r="2177" spans="1:14" s="242" customFormat="1" ht="14.25" customHeight="1">
      <c r="A2177" s="624">
        <v>15</v>
      </c>
      <c r="B2177" s="625" t="e">
        <f>VLOOKUP(D2177,'[1]DS CN MOI UP'!$B$11:$C$447,2,0)</f>
        <v>#N/A</v>
      </c>
      <c r="C2177" s="626"/>
      <c r="D2177" s="61" t="s">
        <v>794</v>
      </c>
      <c r="E2177" s="630" t="s">
        <v>15</v>
      </c>
      <c r="F2177" s="630"/>
      <c r="G2177" s="655">
        <v>60000</v>
      </c>
      <c r="H2177" s="655">
        <v>554373.09900000005</v>
      </c>
      <c r="I2177" s="655">
        <v>524139.33600000001</v>
      </c>
      <c r="J2177" s="635">
        <f t="shared" si="91"/>
        <v>1138512.4350000001</v>
      </c>
      <c r="K2177" s="635"/>
      <c r="L2177" s="635"/>
      <c r="M2177" s="655">
        <f t="shared" si="92"/>
        <v>1138512.4350000001</v>
      </c>
      <c r="N2177" s="61"/>
    </row>
    <row r="2178" spans="1:14" s="242" customFormat="1" ht="14.25" customHeight="1">
      <c r="A2178" s="624">
        <v>16</v>
      </c>
      <c r="B2178" s="625" t="e">
        <f>VLOOKUP(D2178,'[1]DS CN MOI UP'!$B$11:$C$447,2,0)</f>
        <v>#N/A</v>
      </c>
      <c r="C2178" s="626"/>
      <c r="D2178" s="61" t="s">
        <v>1626</v>
      </c>
      <c r="E2178" s="630" t="s">
        <v>15</v>
      </c>
      <c r="F2178" s="630"/>
      <c r="G2178" s="655">
        <v>40000</v>
      </c>
      <c r="H2178" s="655">
        <v>554373.09900000005</v>
      </c>
      <c r="I2178" s="655">
        <v>524139.33600000001</v>
      </c>
      <c r="J2178" s="635">
        <f t="shared" si="91"/>
        <v>1118512.4350000001</v>
      </c>
      <c r="K2178" s="635"/>
      <c r="L2178" s="635"/>
      <c r="M2178" s="655">
        <f t="shared" si="92"/>
        <v>1118512.4350000001</v>
      </c>
      <c r="N2178" s="61"/>
    </row>
    <row r="2179" spans="1:14" s="242" customFormat="1" ht="14.25" customHeight="1">
      <c r="A2179" s="624">
        <v>17</v>
      </c>
      <c r="B2179" s="625" t="e">
        <f>VLOOKUP(D2179,'[1]DS CN MOI UP'!$B$11:$C$447,2,0)</f>
        <v>#N/A</v>
      </c>
      <c r="C2179" s="626"/>
      <c r="D2179" s="61" t="s">
        <v>1464</v>
      </c>
      <c r="E2179" s="630" t="s">
        <v>15</v>
      </c>
      <c r="F2179" s="630"/>
      <c r="G2179" s="655">
        <v>40000</v>
      </c>
      <c r="H2179" s="655">
        <v>554373.09900000005</v>
      </c>
      <c r="I2179" s="655">
        <v>524139.33600000001</v>
      </c>
      <c r="J2179" s="635">
        <f t="shared" si="91"/>
        <v>1118512.4350000001</v>
      </c>
      <c r="K2179" s="635"/>
      <c r="L2179" s="635"/>
      <c r="M2179" s="655">
        <f t="shared" si="92"/>
        <v>1118512.4350000001</v>
      </c>
      <c r="N2179" s="61"/>
    </row>
    <row r="2180" spans="1:14" s="242" customFormat="1" ht="14.25" customHeight="1">
      <c r="A2180" s="624">
        <v>18</v>
      </c>
      <c r="B2180" s="625" t="e">
        <f>VLOOKUP(D2180,'[1]DS CN MOI UP'!$B$11:$C$447,2,0)</f>
        <v>#N/A</v>
      </c>
      <c r="C2180" s="626"/>
      <c r="D2180" s="61" t="s">
        <v>1629</v>
      </c>
      <c r="E2180" s="630" t="s">
        <v>15</v>
      </c>
      <c r="F2180" s="630"/>
      <c r="G2180" s="655">
        <v>40000</v>
      </c>
      <c r="H2180" s="655">
        <v>554373.09900000005</v>
      </c>
      <c r="I2180" s="655">
        <v>524139.33600000001</v>
      </c>
      <c r="J2180" s="635">
        <f t="shared" si="91"/>
        <v>1118512.4350000001</v>
      </c>
      <c r="K2180" s="635"/>
      <c r="L2180" s="635"/>
      <c r="M2180" s="655">
        <f t="shared" si="92"/>
        <v>1118512.4350000001</v>
      </c>
      <c r="N2180" s="61"/>
    </row>
    <row r="2181" spans="1:14" s="242" customFormat="1" ht="14.25" customHeight="1">
      <c r="A2181" s="624">
        <v>19</v>
      </c>
      <c r="B2181" s="625" t="e">
        <f>VLOOKUP(D2181,'[1]DS CN MOI UP'!$B$11:$C$447,2,0)</f>
        <v>#N/A</v>
      </c>
      <c r="C2181" s="626"/>
      <c r="D2181" s="61" t="s">
        <v>1630</v>
      </c>
      <c r="E2181" s="630" t="s">
        <v>15</v>
      </c>
      <c r="F2181" s="630"/>
      <c r="G2181" s="655">
        <v>40000</v>
      </c>
      <c r="H2181" s="655">
        <v>635040.18900000001</v>
      </c>
      <c r="I2181" s="655">
        <v>524139.33600000001</v>
      </c>
      <c r="J2181" s="635">
        <f t="shared" si="91"/>
        <v>1199179.5249999999</v>
      </c>
      <c r="K2181" s="635"/>
      <c r="L2181" s="635"/>
      <c r="M2181" s="655">
        <f t="shared" si="92"/>
        <v>1199179.5249999999</v>
      </c>
      <c r="N2181" s="61"/>
    </row>
    <row r="2182" spans="1:14" s="242" customFormat="1" ht="14.25" customHeight="1">
      <c r="A2182" s="624">
        <v>20</v>
      </c>
      <c r="B2182" s="625" t="e">
        <f>VLOOKUP(D2182,'[1]DS CN MOI UP'!$B$11:$C$447,2,0)</f>
        <v>#N/A</v>
      </c>
      <c r="C2182" s="626"/>
      <c r="D2182" s="61" t="s">
        <v>1631</v>
      </c>
      <c r="E2182" s="630" t="s">
        <v>15</v>
      </c>
      <c r="F2182" s="630"/>
      <c r="G2182" s="655">
        <v>40000</v>
      </c>
      <c r="H2182" s="655">
        <v>544338.9</v>
      </c>
      <c r="I2182" s="655">
        <v>524139.33600000001</v>
      </c>
      <c r="J2182" s="635">
        <f t="shared" si="91"/>
        <v>1108478.236</v>
      </c>
      <c r="K2182" s="635"/>
      <c r="L2182" s="635"/>
      <c r="M2182" s="655">
        <f t="shared" si="92"/>
        <v>1108478.236</v>
      </c>
      <c r="N2182" s="61"/>
    </row>
    <row r="2183" spans="1:14" s="242" customFormat="1" ht="14.25" customHeight="1">
      <c r="A2183" s="624">
        <v>21</v>
      </c>
      <c r="B2183" s="625" t="e">
        <f>VLOOKUP(D2183,'[1]DS CN MOI UP'!$B$11:$C$447,2,0)</f>
        <v>#N/A</v>
      </c>
      <c r="C2183" s="626"/>
      <c r="D2183" s="61" t="s">
        <v>1632</v>
      </c>
      <c r="E2183" s="630" t="s">
        <v>15</v>
      </c>
      <c r="F2183" s="630"/>
      <c r="G2183" s="655">
        <v>40000</v>
      </c>
      <c r="H2183" s="655">
        <v>574572.66299999994</v>
      </c>
      <c r="I2183" s="655">
        <v>524139.33600000001</v>
      </c>
      <c r="J2183" s="635">
        <f t="shared" si="91"/>
        <v>1138711.9989999998</v>
      </c>
      <c r="K2183" s="635"/>
      <c r="L2183" s="635"/>
      <c r="M2183" s="655">
        <f t="shared" si="92"/>
        <v>1138711.9989999998</v>
      </c>
      <c r="N2183" s="61"/>
    </row>
    <row r="2184" spans="1:14" s="242" customFormat="1" ht="14.25" customHeight="1">
      <c r="A2184" s="624">
        <v>22</v>
      </c>
      <c r="B2184" s="625" t="e">
        <f>VLOOKUP(D2184,'[1]DS CN MOI UP'!$B$11:$C$447,2,0)</f>
        <v>#N/A</v>
      </c>
      <c r="C2184" s="626"/>
      <c r="D2184" s="61" t="s">
        <v>1633</v>
      </c>
      <c r="E2184" s="630" t="s">
        <v>15</v>
      </c>
      <c r="F2184" s="630"/>
      <c r="G2184" s="655">
        <v>40000</v>
      </c>
      <c r="H2184" s="655">
        <v>604806.42599999998</v>
      </c>
      <c r="I2184" s="655">
        <v>524139.33600000001</v>
      </c>
      <c r="J2184" s="635">
        <f t="shared" si="91"/>
        <v>1168945.7620000001</v>
      </c>
      <c r="K2184" s="635"/>
      <c r="L2184" s="635"/>
      <c r="M2184" s="655">
        <f t="shared" si="92"/>
        <v>1168945.7620000001</v>
      </c>
      <c r="N2184" s="61"/>
    </row>
    <row r="2185" spans="1:14" s="242" customFormat="1" ht="14.25" customHeight="1">
      <c r="A2185" s="624">
        <v>23</v>
      </c>
      <c r="B2185" s="625" t="e">
        <f>VLOOKUP(D2185,'[1]DS CN MOI UP'!$B$11:$C$447,2,0)</f>
        <v>#N/A</v>
      </c>
      <c r="C2185" s="626"/>
      <c r="D2185" s="61" t="s">
        <v>1634</v>
      </c>
      <c r="E2185" s="630" t="s">
        <v>15</v>
      </c>
      <c r="F2185" s="630"/>
      <c r="G2185" s="655">
        <v>40000</v>
      </c>
      <c r="H2185" s="655">
        <v>584606.86199999996</v>
      </c>
      <c r="I2185" s="655">
        <v>524139.33600000001</v>
      </c>
      <c r="J2185" s="635">
        <f t="shared" si="91"/>
        <v>1148746.1979999999</v>
      </c>
      <c r="K2185" s="635"/>
      <c r="L2185" s="635"/>
      <c r="M2185" s="655">
        <f t="shared" si="92"/>
        <v>1148746.1979999999</v>
      </c>
      <c r="N2185" s="61"/>
    </row>
    <row r="2186" spans="1:14" s="242" customFormat="1" ht="14.25" customHeight="1">
      <c r="A2186" s="624">
        <v>24</v>
      </c>
      <c r="B2186" s="625" t="e">
        <f>VLOOKUP(D2186,'[1]DS CN MOI UP'!$B$11:$C$447,2,0)</f>
        <v>#N/A</v>
      </c>
      <c r="C2186" s="626"/>
      <c r="D2186" s="61" t="s">
        <v>1635</v>
      </c>
      <c r="E2186" s="630" t="s">
        <v>15</v>
      </c>
      <c r="F2186" s="630"/>
      <c r="G2186" s="655">
        <v>60000</v>
      </c>
      <c r="H2186" s="635">
        <v>554373.09900000005</v>
      </c>
      <c r="I2186" s="655">
        <v>524139.33600000001</v>
      </c>
      <c r="J2186" s="635">
        <f t="shared" si="91"/>
        <v>1138512.4350000001</v>
      </c>
      <c r="K2186" s="635"/>
      <c r="L2186" s="635"/>
      <c r="M2186" s="655">
        <f t="shared" si="92"/>
        <v>1138512.4350000001</v>
      </c>
      <c r="N2186" s="61"/>
    </row>
    <row r="2187" spans="1:14" s="242" customFormat="1" ht="14.25" customHeight="1">
      <c r="A2187" s="624">
        <v>25</v>
      </c>
      <c r="B2187" s="625" t="e">
        <f>VLOOKUP(D2187,'[1]DS CN MOI UP'!$B$11:$C$447,2,0)</f>
        <v>#N/A</v>
      </c>
      <c r="C2187" s="626"/>
      <c r="D2187" s="61" t="s">
        <v>1636</v>
      </c>
      <c r="E2187" s="630" t="s">
        <v>15</v>
      </c>
      <c r="F2187" s="630"/>
      <c r="G2187" s="655">
        <v>40000</v>
      </c>
      <c r="H2187" s="635">
        <v>554373.09900000005</v>
      </c>
      <c r="I2187" s="655">
        <v>524139.33600000001</v>
      </c>
      <c r="J2187" s="635">
        <f t="shared" si="91"/>
        <v>1118512.4350000001</v>
      </c>
      <c r="K2187" s="635"/>
      <c r="L2187" s="635"/>
      <c r="M2187" s="655">
        <f t="shared" si="92"/>
        <v>1118512.4350000001</v>
      </c>
      <c r="N2187" s="61"/>
    </row>
    <row r="2188" spans="1:14" s="242" customFormat="1" ht="14.25" customHeight="1">
      <c r="A2188" s="624">
        <v>26</v>
      </c>
      <c r="B2188" s="625" t="e">
        <f>VLOOKUP(D2188,'[1]DS CN MOI UP'!$B$11:$C$447,2,0)</f>
        <v>#N/A</v>
      </c>
      <c r="C2188" s="626"/>
      <c r="D2188" s="61" t="s">
        <v>1637</v>
      </c>
      <c r="E2188" s="630" t="s">
        <v>15</v>
      </c>
      <c r="F2188" s="630"/>
      <c r="G2188" s="655">
        <v>40000</v>
      </c>
      <c r="H2188" s="635">
        <v>554373.09900000005</v>
      </c>
      <c r="I2188" s="655">
        <v>524139.33600000001</v>
      </c>
      <c r="J2188" s="635">
        <f t="shared" si="91"/>
        <v>1118512.4350000001</v>
      </c>
      <c r="K2188" s="635"/>
      <c r="L2188" s="635"/>
      <c r="M2188" s="655">
        <f t="shared" si="92"/>
        <v>1118512.4350000001</v>
      </c>
      <c r="N2188" s="61"/>
    </row>
    <row r="2189" spans="1:14" s="242" customFormat="1" ht="14.25" customHeight="1">
      <c r="A2189" s="624">
        <v>27</v>
      </c>
      <c r="B2189" s="625" t="e">
        <f>VLOOKUP(D2189,'[1]DS CN MOI UP'!$B$11:$C$447,2,0)</f>
        <v>#N/A</v>
      </c>
      <c r="C2189" s="626"/>
      <c r="D2189" s="61" t="s">
        <v>1638</v>
      </c>
      <c r="E2189" s="630" t="s">
        <v>15</v>
      </c>
      <c r="F2189" s="630"/>
      <c r="G2189" s="655">
        <v>40000</v>
      </c>
      <c r="H2189" s="635">
        <v>554373.09900000005</v>
      </c>
      <c r="I2189" s="655">
        <v>524139.33600000001</v>
      </c>
      <c r="J2189" s="635">
        <f t="shared" si="91"/>
        <v>1118512.4350000001</v>
      </c>
      <c r="K2189" s="635"/>
      <c r="L2189" s="635"/>
      <c r="M2189" s="655">
        <f t="shared" si="92"/>
        <v>1118512.4350000001</v>
      </c>
      <c r="N2189" s="61"/>
    </row>
    <row r="2190" spans="1:14" s="242" customFormat="1" ht="14.25" customHeight="1">
      <c r="A2190" s="624">
        <v>28</v>
      </c>
      <c r="B2190" s="625" t="e">
        <f>VLOOKUP(D2190,'[1]DS CN MOI UP'!$B$11:$C$447,2,0)</f>
        <v>#N/A</v>
      </c>
      <c r="C2190" s="626"/>
      <c r="D2190" s="61" t="s">
        <v>1639</v>
      </c>
      <c r="E2190" s="630" t="s">
        <v>15</v>
      </c>
      <c r="F2190" s="630"/>
      <c r="G2190" s="655">
        <v>40000</v>
      </c>
      <c r="H2190" s="635">
        <v>635040.18900000001</v>
      </c>
      <c r="I2190" s="655">
        <v>524139.33600000001</v>
      </c>
      <c r="J2190" s="635">
        <f t="shared" si="91"/>
        <v>1199179.5249999999</v>
      </c>
      <c r="K2190" s="635"/>
      <c r="L2190" s="635"/>
      <c r="M2190" s="655">
        <f t="shared" si="92"/>
        <v>1199179.5249999999</v>
      </c>
      <c r="N2190" s="61"/>
    </row>
    <row r="2191" spans="1:14" s="242" customFormat="1" ht="14.25" customHeight="1">
      <c r="A2191" s="624">
        <v>29</v>
      </c>
      <c r="B2191" s="625" t="e">
        <f>VLOOKUP(D2191,'[1]DS CN MOI UP'!$B$11:$C$447,2,0)</f>
        <v>#N/A</v>
      </c>
      <c r="C2191" s="626"/>
      <c r="D2191" s="61" t="s">
        <v>1575</v>
      </c>
      <c r="E2191" s="630" t="s">
        <v>15</v>
      </c>
      <c r="F2191" s="630"/>
      <c r="G2191" s="655">
        <v>40000</v>
      </c>
      <c r="H2191" s="635">
        <v>544338.9</v>
      </c>
      <c r="I2191" s="655">
        <v>524139.33600000001</v>
      </c>
      <c r="J2191" s="635">
        <f t="shared" si="91"/>
        <v>1108478.236</v>
      </c>
      <c r="K2191" s="635"/>
      <c r="L2191" s="635"/>
      <c r="M2191" s="655">
        <f t="shared" si="92"/>
        <v>1108478.236</v>
      </c>
      <c r="N2191" s="61"/>
    </row>
    <row r="2192" spans="1:14" s="242" customFormat="1" ht="14.25" customHeight="1">
      <c r="A2192" s="624">
        <v>30</v>
      </c>
      <c r="B2192" s="625" t="e">
        <f>VLOOKUP(D2192,'[1]DS CN MOI UP'!$B$11:$C$447,2,0)</f>
        <v>#N/A</v>
      </c>
      <c r="C2192" s="626"/>
      <c r="D2192" s="61" t="s">
        <v>1640</v>
      </c>
      <c r="E2192" s="630" t="s">
        <v>15</v>
      </c>
      <c r="F2192" s="630"/>
      <c r="G2192" s="655">
        <v>40000</v>
      </c>
      <c r="H2192" s="635">
        <v>574572.66299999994</v>
      </c>
      <c r="I2192" s="655">
        <v>524139.33600000001</v>
      </c>
      <c r="J2192" s="635">
        <f t="shared" si="91"/>
        <v>1138711.9989999998</v>
      </c>
      <c r="K2192" s="635"/>
      <c r="L2192" s="635"/>
      <c r="M2192" s="655">
        <f t="shared" si="92"/>
        <v>1138711.9989999998</v>
      </c>
      <c r="N2192" s="61"/>
    </row>
    <row r="2193" spans="1:16" s="242" customFormat="1" ht="14.25" customHeight="1">
      <c r="A2193" s="624">
        <v>31</v>
      </c>
      <c r="B2193" s="625" t="e">
        <f>VLOOKUP(D2193,'[1]DS CN MOI UP'!$B$11:$C$447,2,0)</f>
        <v>#N/A</v>
      </c>
      <c r="C2193" s="626"/>
      <c r="D2193" s="61" t="s">
        <v>1641</v>
      </c>
      <c r="E2193" s="630" t="s">
        <v>15</v>
      </c>
      <c r="F2193" s="630"/>
      <c r="G2193" s="655">
        <v>40000</v>
      </c>
      <c r="H2193" s="655">
        <v>604806.42599999998</v>
      </c>
      <c r="I2193" s="655">
        <v>524139.33600000001</v>
      </c>
      <c r="J2193" s="635">
        <f t="shared" si="91"/>
        <v>1168945.7620000001</v>
      </c>
      <c r="K2193" s="635"/>
      <c r="L2193" s="635"/>
      <c r="M2193" s="655">
        <f t="shared" si="92"/>
        <v>1168945.7620000001</v>
      </c>
      <c r="N2193" s="61"/>
    </row>
    <row r="2194" spans="1:16" s="242" customFormat="1" ht="14.25" customHeight="1">
      <c r="A2194" s="624">
        <v>32</v>
      </c>
      <c r="B2194" s="625" t="e">
        <f>VLOOKUP(D2194,'[1]DS CN MOI UP'!$B$11:$C$447,2,0)</f>
        <v>#N/A</v>
      </c>
      <c r="C2194" s="626"/>
      <c r="D2194" s="61" t="s">
        <v>1642</v>
      </c>
      <c r="E2194" s="630" t="s">
        <v>15</v>
      </c>
      <c r="F2194" s="630"/>
      <c r="G2194" s="655">
        <v>40000</v>
      </c>
      <c r="H2194" s="655">
        <v>584606.86199999996</v>
      </c>
      <c r="I2194" s="655">
        <v>524139.33600000001</v>
      </c>
      <c r="J2194" s="635">
        <f t="shared" si="91"/>
        <v>1148746.1979999999</v>
      </c>
      <c r="K2194" s="635"/>
      <c r="L2194" s="635"/>
      <c r="M2194" s="655">
        <f t="shared" si="92"/>
        <v>1148746.1979999999</v>
      </c>
      <c r="N2194" s="61"/>
    </row>
    <row r="2195" spans="1:16" s="242" customFormat="1" ht="14.25" customHeight="1">
      <c r="A2195" s="624">
        <v>33</v>
      </c>
      <c r="B2195" s="625" t="str">
        <f>VLOOKUP(D2195,'[1]DS CN MOI UP'!$B$11:$C$447,2,0)</f>
        <v>03403</v>
      </c>
      <c r="C2195" s="626"/>
      <c r="D2195" s="61" t="s">
        <v>1439</v>
      </c>
      <c r="E2195" s="630" t="s">
        <v>15</v>
      </c>
      <c r="F2195" s="630"/>
      <c r="G2195" s="655">
        <v>40000</v>
      </c>
      <c r="H2195" s="655">
        <v>635040.18900000001</v>
      </c>
      <c r="I2195" s="655">
        <v>524139.33600000001</v>
      </c>
      <c r="J2195" s="635">
        <f t="shared" si="91"/>
        <v>1199179.5249999999</v>
      </c>
      <c r="K2195" s="635"/>
      <c r="L2195" s="635"/>
      <c r="M2195" s="655">
        <f t="shared" si="92"/>
        <v>1199179.5249999999</v>
      </c>
      <c r="N2195" s="61"/>
      <c r="P2195" s="636"/>
    </row>
    <row r="2196" spans="1:16" s="242" customFormat="1" ht="14.25" customHeight="1">
      <c r="A2196" s="624">
        <v>34</v>
      </c>
      <c r="B2196" s="625" t="e">
        <f>VLOOKUP(D2196,'[1]DS CN MOI UP'!$B$11:$C$447,2,0)</f>
        <v>#N/A</v>
      </c>
      <c r="C2196" s="626"/>
      <c r="D2196" s="61" t="s">
        <v>1018</v>
      </c>
      <c r="E2196" s="630" t="s">
        <v>15</v>
      </c>
      <c r="F2196" s="630"/>
      <c r="G2196" s="655">
        <v>40000</v>
      </c>
      <c r="H2196" s="655">
        <v>524139.33600000001</v>
      </c>
      <c r="I2196" s="655">
        <v>524139.33600000001</v>
      </c>
      <c r="J2196" s="635">
        <f t="shared" si="91"/>
        <v>1088278.672</v>
      </c>
      <c r="K2196" s="635"/>
      <c r="L2196" s="635"/>
      <c r="M2196" s="655">
        <f t="shared" si="92"/>
        <v>1088278.672</v>
      </c>
      <c r="N2196" s="61"/>
    </row>
    <row r="2197" spans="1:16" s="242" customFormat="1" ht="14.25" customHeight="1">
      <c r="A2197" s="624">
        <v>35</v>
      </c>
      <c r="B2197" s="625" t="e">
        <f>VLOOKUP(D2197,'[1]DS CN MOI UP'!$B$11:$C$447,2,0)</f>
        <v>#N/A</v>
      </c>
      <c r="C2197" s="626"/>
      <c r="D2197" s="61" t="s">
        <v>1643</v>
      </c>
      <c r="E2197" s="630" t="s">
        <v>15</v>
      </c>
      <c r="F2197" s="630"/>
      <c r="G2197" s="655">
        <v>40000</v>
      </c>
      <c r="H2197" s="655">
        <v>635040.18900000001</v>
      </c>
      <c r="I2197" s="655">
        <v>524139.33600000001</v>
      </c>
      <c r="J2197" s="635">
        <f t="shared" si="91"/>
        <v>1199179.5249999999</v>
      </c>
      <c r="K2197" s="635"/>
      <c r="L2197" s="635"/>
      <c r="M2197" s="655">
        <f t="shared" si="92"/>
        <v>1199179.5249999999</v>
      </c>
      <c r="N2197" s="61"/>
    </row>
    <row r="2198" spans="1:16" s="242" customFormat="1" ht="14.25" customHeight="1">
      <c r="A2198" s="624">
        <v>36</v>
      </c>
      <c r="B2198" s="625" t="e">
        <f>VLOOKUP(D2198,'[1]DS CN MOI UP'!$B$11:$C$447,2,0)</f>
        <v>#N/A</v>
      </c>
      <c r="C2198" s="626"/>
      <c r="D2198" s="61" t="s">
        <v>1644</v>
      </c>
      <c r="E2198" s="630" t="s">
        <v>15</v>
      </c>
      <c r="F2198" s="630"/>
      <c r="G2198" s="655">
        <v>40000</v>
      </c>
      <c r="H2198" s="655">
        <v>635040.18900000001</v>
      </c>
      <c r="I2198" s="655">
        <v>524139.33600000001</v>
      </c>
      <c r="J2198" s="635">
        <f t="shared" si="91"/>
        <v>1199179.5249999999</v>
      </c>
      <c r="K2198" s="635"/>
      <c r="L2198" s="635"/>
      <c r="M2198" s="655">
        <f t="shared" si="92"/>
        <v>1199179.5249999999</v>
      </c>
      <c r="N2198" s="61"/>
      <c r="P2198" s="636"/>
    </row>
    <row r="2199" spans="1:16" s="242" customFormat="1" ht="14.25" customHeight="1">
      <c r="A2199" s="624">
        <v>37</v>
      </c>
      <c r="B2199" s="625" t="e">
        <f>VLOOKUP(D2199,'[1]DS CN MOI UP'!$B$11:$C$447,2,0)</f>
        <v>#N/A</v>
      </c>
      <c r="C2199" s="626"/>
      <c r="D2199" s="61" t="s">
        <v>1645</v>
      </c>
      <c r="E2199" s="630" t="s">
        <v>15</v>
      </c>
      <c r="F2199" s="630"/>
      <c r="G2199" s="655">
        <v>40000</v>
      </c>
      <c r="H2199" s="655">
        <v>554373.09900000005</v>
      </c>
      <c r="I2199" s="655">
        <v>524139.33600000001</v>
      </c>
      <c r="J2199" s="635">
        <f t="shared" si="91"/>
        <v>1118512.4350000001</v>
      </c>
      <c r="K2199" s="635"/>
      <c r="L2199" s="635"/>
      <c r="M2199" s="655">
        <f t="shared" si="92"/>
        <v>1118512.4350000001</v>
      </c>
      <c r="N2199" s="61"/>
    </row>
    <row r="2200" spans="1:16" s="242" customFormat="1" ht="14.25" customHeight="1">
      <c r="A2200" s="624">
        <v>38</v>
      </c>
      <c r="B2200" s="625" t="e">
        <f>VLOOKUP(D2200,'[1]DS CN MOI UP'!$B$11:$C$447,2,0)</f>
        <v>#N/A</v>
      </c>
      <c r="C2200" s="626"/>
      <c r="D2200" s="61" t="s">
        <v>1646</v>
      </c>
      <c r="E2200" s="630" t="s">
        <v>15</v>
      </c>
      <c r="F2200" s="630"/>
      <c r="G2200" s="655">
        <v>60000</v>
      </c>
      <c r="H2200" s="655">
        <v>554373.09900000005</v>
      </c>
      <c r="I2200" s="655">
        <v>524139.33600000001</v>
      </c>
      <c r="J2200" s="635">
        <f t="shared" si="91"/>
        <v>1138512.4350000001</v>
      </c>
      <c r="K2200" s="635"/>
      <c r="L2200" s="635"/>
      <c r="M2200" s="655">
        <f t="shared" si="92"/>
        <v>1138512.4350000001</v>
      </c>
      <c r="N2200" s="61"/>
    </row>
    <row r="2201" spans="1:16" s="242" customFormat="1" ht="14.25" customHeight="1">
      <c r="A2201" s="624">
        <v>39</v>
      </c>
      <c r="B2201" s="625" t="e">
        <f>VLOOKUP(D2201,'[1]DS CN MOI UP'!$B$11:$C$447,2,0)</f>
        <v>#N/A</v>
      </c>
      <c r="C2201" s="626"/>
      <c r="D2201" s="61" t="s">
        <v>1647</v>
      </c>
      <c r="E2201" s="630" t="s">
        <v>15</v>
      </c>
      <c r="F2201" s="630"/>
      <c r="G2201" s="655">
        <v>40000</v>
      </c>
      <c r="H2201" s="655">
        <v>554373.09900000005</v>
      </c>
      <c r="I2201" s="655">
        <v>524139.33600000001</v>
      </c>
      <c r="J2201" s="635">
        <f t="shared" si="91"/>
        <v>1118512.4350000001</v>
      </c>
      <c r="K2201" s="635"/>
      <c r="L2201" s="635"/>
      <c r="M2201" s="655">
        <f t="shared" si="92"/>
        <v>1118512.4350000001</v>
      </c>
      <c r="N2201" s="61"/>
    </row>
    <row r="2202" spans="1:16" s="242" customFormat="1" ht="14.25" customHeight="1">
      <c r="A2202" s="624">
        <v>40</v>
      </c>
      <c r="B2202" s="625" t="str">
        <f>VLOOKUP(D2202,'[1]DS CN MOI UP'!$B$11:$C$447,2,0)</f>
        <v>02525</v>
      </c>
      <c r="C2202" s="626"/>
      <c r="D2202" s="61" t="s">
        <v>180</v>
      </c>
      <c r="E2202" s="630" t="s">
        <v>15</v>
      </c>
      <c r="F2202" s="630"/>
      <c r="G2202" s="655">
        <v>40000</v>
      </c>
      <c r="H2202" s="655">
        <v>554373.09900000005</v>
      </c>
      <c r="I2202" s="655">
        <v>524139.33600000001</v>
      </c>
      <c r="J2202" s="635">
        <f t="shared" si="91"/>
        <v>1118512.4350000001</v>
      </c>
      <c r="K2202" s="635"/>
      <c r="L2202" s="635"/>
      <c r="M2202" s="655">
        <f t="shared" si="92"/>
        <v>1118512.4350000001</v>
      </c>
      <c r="N2202" s="61"/>
    </row>
    <row r="2203" spans="1:16" s="242" customFormat="1" ht="14.25" customHeight="1">
      <c r="A2203" s="624">
        <v>41</v>
      </c>
      <c r="B2203" s="625" t="str">
        <f>VLOOKUP(D2203,'[1]DS CN MOI UP'!$B$11:$C$447,2,0)</f>
        <v>02500</v>
      </c>
      <c r="C2203" s="626"/>
      <c r="D2203" s="61" t="s">
        <v>59</v>
      </c>
      <c r="E2203" s="630" t="s">
        <v>15</v>
      </c>
      <c r="F2203" s="630"/>
      <c r="G2203" s="655">
        <v>40000</v>
      </c>
      <c r="H2203" s="655">
        <v>554373.09900000005</v>
      </c>
      <c r="I2203" s="655">
        <v>524139.33600000001</v>
      </c>
      <c r="J2203" s="635">
        <f t="shared" si="91"/>
        <v>1118512.4350000001</v>
      </c>
      <c r="K2203" s="635"/>
      <c r="L2203" s="635"/>
      <c r="M2203" s="655">
        <f t="shared" si="92"/>
        <v>1118512.4350000001</v>
      </c>
      <c r="N2203" s="61"/>
    </row>
    <row r="2204" spans="1:16" s="242" customFormat="1" ht="14.25" customHeight="1">
      <c r="A2204" s="624">
        <v>42</v>
      </c>
      <c r="B2204" s="625" t="str">
        <f>VLOOKUP(D2204,'[1]DS CN MOI UP'!$B$11:$C$447,2,0)</f>
        <v>02550</v>
      </c>
      <c r="C2204" s="626"/>
      <c r="D2204" s="61" t="s">
        <v>200</v>
      </c>
      <c r="E2204" s="630" t="s">
        <v>15</v>
      </c>
      <c r="F2204" s="630"/>
      <c r="G2204" s="655">
        <v>40000</v>
      </c>
      <c r="H2204" s="655">
        <v>635040.18900000001</v>
      </c>
      <c r="I2204" s="655">
        <v>524139.33600000001</v>
      </c>
      <c r="J2204" s="635">
        <f t="shared" si="91"/>
        <v>1199179.5249999999</v>
      </c>
      <c r="K2204" s="635"/>
      <c r="L2204" s="635"/>
      <c r="M2204" s="655">
        <f t="shared" si="92"/>
        <v>1199179.5249999999</v>
      </c>
      <c r="N2204" s="61"/>
    </row>
    <row r="2205" spans="1:16" s="242" customFormat="1" ht="14.25" customHeight="1">
      <c r="A2205" s="624">
        <v>43</v>
      </c>
      <c r="B2205" s="625" t="e">
        <f>VLOOKUP(D2205,'[1]DS CN MOI UP'!$B$11:$C$447,2,0)</f>
        <v>#N/A</v>
      </c>
      <c r="C2205" s="626"/>
      <c r="D2205" s="61" t="s">
        <v>1648</v>
      </c>
      <c r="E2205" s="630" t="s">
        <v>15</v>
      </c>
      <c r="F2205" s="630"/>
      <c r="G2205" s="655">
        <v>40000</v>
      </c>
      <c r="H2205" s="655">
        <v>544338.9</v>
      </c>
      <c r="I2205" s="655">
        <v>524139.33600000001</v>
      </c>
      <c r="J2205" s="635">
        <f t="shared" si="91"/>
        <v>1108478.236</v>
      </c>
      <c r="K2205" s="635"/>
      <c r="L2205" s="635"/>
      <c r="M2205" s="655">
        <f t="shared" si="92"/>
        <v>1108478.236</v>
      </c>
      <c r="N2205" s="61"/>
    </row>
    <row r="2206" spans="1:16" s="242" customFormat="1" ht="14.25" customHeight="1">
      <c r="A2206" s="624">
        <v>44</v>
      </c>
      <c r="B2206" s="625" t="e">
        <f>VLOOKUP(D2206,'[1]DS CN MOI UP'!$B$11:$C$447,2,0)</f>
        <v>#N/A</v>
      </c>
      <c r="C2206" s="626"/>
      <c r="D2206" s="61" t="s">
        <v>1649</v>
      </c>
      <c r="E2206" s="630" t="s">
        <v>15</v>
      </c>
      <c r="F2206" s="630"/>
      <c r="G2206" s="655">
        <v>40000</v>
      </c>
      <c r="H2206" s="655">
        <v>574572.66299999994</v>
      </c>
      <c r="I2206" s="655">
        <v>524139.33600000001</v>
      </c>
      <c r="J2206" s="635">
        <f t="shared" si="91"/>
        <v>1138711.9989999998</v>
      </c>
      <c r="K2206" s="635"/>
      <c r="L2206" s="635"/>
      <c r="M2206" s="655">
        <f t="shared" si="92"/>
        <v>1138711.9989999998</v>
      </c>
      <c r="N2206" s="61"/>
    </row>
    <row r="2207" spans="1:16" s="242" customFormat="1" ht="14.25" customHeight="1">
      <c r="A2207" s="624">
        <v>45</v>
      </c>
      <c r="B2207" s="625" t="e">
        <f>VLOOKUP(D2207,'[1]DS CN MOI UP'!$B$11:$C$447,2,0)</f>
        <v>#N/A</v>
      </c>
      <c r="C2207" s="626"/>
      <c r="D2207" s="61" t="s">
        <v>698</v>
      </c>
      <c r="E2207" s="630" t="s">
        <v>15</v>
      </c>
      <c r="F2207" s="630"/>
      <c r="G2207" s="655">
        <v>40000</v>
      </c>
      <c r="H2207" s="655">
        <v>604806.42599999998</v>
      </c>
      <c r="I2207" s="655">
        <v>524139.33600000001</v>
      </c>
      <c r="J2207" s="635">
        <f t="shared" si="91"/>
        <v>1168945.7620000001</v>
      </c>
      <c r="K2207" s="635"/>
      <c r="L2207" s="635"/>
      <c r="M2207" s="655">
        <f t="shared" si="92"/>
        <v>1168945.7620000001</v>
      </c>
      <c r="N2207" s="61"/>
    </row>
    <row r="2208" spans="1:16" s="242" customFormat="1" ht="14.25" customHeight="1">
      <c r="A2208" s="624">
        <v>46</v>
      </c>
      <c r="B2208" s="625" t="e">
        <f>VLOOKUP(D2208,'[1]DS CN MOI UP'!$B$11:$C$447,2,0)</f>
        <v>#N/A</v>
      </c>
      <c r="C2208" s="626"/>
      <c r="D2208" s="61" t="s">
        <v>1650</v>
      </c>
      <c r="E2208" s="630" t="s">
        <v>15</v>
      </c>
      <c r="F2208" s="630"/>
      <c r="G2208" s="655">
        <v>40000</v>
      </c>
      <c r="H2208" s="655">
        <v>584606.86199999996</v>
      </c>
      <c r="I2208" s="655">
        <v>524139.33600000001</v>
      </c>
      <c r="J2208" s="635">
        <f t="shared" si="91"/>
        <v>1148746.1979999999</v>
      </c>
      <c r="K2208" s="635"/>
      <c r="L2208" s="635"/>
      <c r="M2208" s="655">
        <f t="shared" si="92"/>
        <v>1148746.1979999999</v>
      </c>
      <c r="N2208" s="61"/>
    </row>
    <row r="2209" spans="1:14" s="242" customFormat="1" ht="14.25" customHeight="1">
      <c r="A2209" s="624">
        <v>47</v>
      </c>
      <c r="B2209" s="625" t="e">
        <f>VLOOKUP(D2209,'[1]DS CN MOI UP'!$B$11:$C$447,2,0)</f>
        <v>#N/A</v>
      </c>
      <c r="C2209" s="626"/>
      <c r="D2209" s="61" t="s">
        <v>1651</v>
      </c>
      <c r="E2209" s="630" t="s">
        <v>15</v>
      </c>
      <c r="F2209" s="630"/>
      <c r="G2209" s="655">
        <v>60000</v>
      </c>
      <c r="H2209" s="635">
        <v>554373.09900000005</v>
      </c>
      <c r="I2209" s="655">
        <v>524139.33600000001</v>
      </c>
      <c r="J2209" s="635">
        <f t="shared" si="91"/>
        <v>1138512.4350000001</v>
      </c>
      <c r="K2209" s="635"/>
      <c r="L2209" s="635"/>
      <c r="M2209" s="655">
        <f t="shared" si="92"/>
        <v>1138512.4350000001</v>
      </c>
      <c r="N2209" s="61"/>
    </row>
    <row r="2210" spans="1:14" s="242" customFormat="1" ht="14.25" customHeight="1">
      <c r="A2210" s="624">
        <v>48</v>
      </c>
      <c r="B2210" s="625" t="e">
        <f>VLOOKUP(D2210,'[1]DS CN MOI UP'!$B$11:$C$447,2,0)</f>
        <v>#N/A</v>
      </c>
      <c r="C2210" s="626"/>
      <c r="D2210" s="61" t="s">
        <v>1652</v>
      </c>
      <c r="E2210" s="630" t="s">
        <v>15</v>
      </c>
      <c r="F2210" s="630"/>
      <c r="G2210" s="655">
        <v>40000</v>
      </c>
      <c r="H2210" s="635">
        <v>554373.09900000005</v>
      </c>
      <c r="I2210" s="655">
        <v>524139.33600000001</v>
      </c>
      <c r="J2210" s="635">
        <f t="shared" si="91"/>
        <v>1118512.4350000001</v>
      </c>
      <c r="K2210" s="635"/>
      <c r="L2210" s="635"/>
      <c r="M2210" s="655">
        <f t="shared" si="92"/>
        <v>1118512.4350000001</v>
      </c>
      <c r="N2210" s="61"/>
    </row>
    <row r="2211" spans="1:14" s="242" customFormat="1" ht="14.25" customHeight="1">
      <c r="A2211" s="624">
        <v>49</v>
      </c>
      <c r="B2211" s="625" t="e">
        <f>VLOOKUP(D2211,'[1]DS CN MOI UP'!$B$11:$C$447,2,0)</f>
        <v>#N/A</v>
      </c>
      <c r="C2211" s="626"/>
      <c r="D2211" s="61" t="s">
        <v>1654</v>
      </c>
      <c r="E2211" s="630" t="s">
        <v>15</v>
      </c>
      <c r="F2211" s="630"/>
      <c r="G2211" s="655">
        <v>40000</v>
      </c>
      <c r="H2211" s="635">
        <v>554373.09900000005</v>
      </c>
      <c r="I2211" s="655">
        <v>524139.33600000001</v>
      </c>
      <c r="J2211" s="635">
        <f t="shared" si="91"/>
        <v>1118512.4350000001</v>
      </c>
      <c r="K2211" s="635"/>
      <c r="L2211" s="635"/>
      <c r="M2211" s="655">
        <f t="shared" si="92"/>
        <v>1118512.4350000001</v>
      </c>
      <c r="N2211" s="61"/>
    </row>
    <row r="2212" spans="1:14" s="242" customFormat="1" ht="14.25" customHeight="1">
      <c r="A2212" s="624">
        <v>50</v>
      </c>
      <c r="B2212" s="625" t="e">
        <f>VLOOKUP(D2212,'[1]DS CN MOI UP'!$B$11:$C$447,2,0)</f>
        <v>#N/A</v>
      </c>
      <c r="C2212" s="626"/>
      <c r="D2212" s="61" t="s">
        <v>1655</v>
      </c>
      <c r="E2212" s="630" t="s">
        <v>15</v>
      </c>
      <c r="F2212" s="630"/>
      <c r="G2212" s="655">
        <v>40000</v>
      </c>
      <c r="H2212" s="635">
        <v>554373.09900000005</v>
      </c>
      <c r="I2212" s="655">
        <v>524139.33600000001</v>
      </c>
      <c r="J2212" s="635">
        <f t="shared" si="91"/>
        <v>1118512.4350000001</v>
      </c>
      <c r="K2212" s="635"/>
      <c r="L2212" s="635"/>
      <c r="M2212" s="655">
        <f t="shared" si="92"/>
        <v>1118512.4350000001</v>
      </c>
      <c r="N2212" s="61"/>
    </row>
    <row r="2213" spans="1:14" s="242" customFormat="1" ht="14.25" customHeight="1">
      <c r="A2213" s="624">
        <v>51</v>
      </c>
      <c r="B2213" s="625" t="e">
        <f>VLOOKUP(D2213,'[1]DS CN MOI UP'!$B$11:$C$447,2,0)</f>
        <v>#N/A</v>
      </c>
      <c r="C2213" s="626"/>
      <c r="D2213" s="61" t="s">
        <v>1656</v>
      </c>
      <c r="E2213" s="630" t="s">
        <v>15</v>
      </c>
      <c r="F2213" s="630"/>
      <c r="G2213" s="655">
        <v>40000</v>
      </c>
      <c r="H2213" s="635">
        <v>635040.18900000001</v>
      </c>
      <c r="I2213" s="655">
        <v>524139.33600000001</v>
      </c>
      <c r="J2213" s="635">
        <f t="shared" si="91"/>
        <v>1199179.5249999999</v>
      </c>
      <c r="K2213" s="635"/>
      <c r="L2213" s="635"/>
      <c r="M2213" s="655">
        <f t="shared" si="92"/>
        <v>1199179.5249999999</v>
      </c>
      <c r="N2213" s="61"/>
    </row>
    <row r="2214" spans="1:14" s="242" customFormat="1" ht="14.25" customHeight="1">
      <c r="A2214" s="624">
        <v>52</v>
      </c>
      <c r="B2214" s="625" t="e">
        <f>VLOOKUP(D2214,'[1]DS CN MOI UP'!$B$11:$C$447,2,0)</f>
        <v>#N/A</v>
      </c>
      <c r="C2214" s="626"/>
      <c r="D2214" s="61" t="s">
        <v>1657</v>
      </c>
      <c r="E2214" s="630" t="s">
        <v>15</v>
      </c>
      <c r="F2214" s="630"/>
      <c r="G2214" s="655">
        <v>40000</v>
      </c>
      <c r="H2214" s="635">
        <v>544338.9</v>
      </c>
      <c r="I2214" s="655">
        <v>524139.33600000001</v>
      </c>
      <c r="J2214" s="635">
        <f t="shared" si="91"/>
        <v>1108478.236</v>
      </c>
      <c r="K2214" s="635"/>
      <c r="L2214" s="635"/>
      <c r="M2214" s="655">
        <f t="shared" si="92"/>
        <v>1108478.236</v>
      </c>
      <c r="N2214" s="61"/>
    </row>
    <row r="2215" spans="1:14" s="242" customFormat="1" ht="14.25" customHeight="1">
      <c r="A2215" s="624">
        <v>53</v>
      </c>
      <c r="B2215" s="625" t="e">
        <f>VLOOKUP(D2215,'[1]DS CN MOI UP'!$B$11:$C$447,2,0)</f>
        <v>#N/A</v>
      </c>
      <c r="C2215" s="626"/>
      <c r="D2215" s="61" t="s">
        <v>1658</v>
      </c>
      <c r="E2215" s="630" t="s">
        <v>15</v>
      </c>
      <c r="F2215" s="630"/>
      <c r="G2215" s="655">
        <v>40000</v>
      </c>
      <c r="H2215" s="635">
        <v>574572.66299999994</v>
      </c>
      <c r="I2215" s="655">
        <v>524139.33600000001</v>
      </c>
      <c r="J2215" s="635">
        <f t="shared" si="91"/>
        <v>1138711.9989999998</v>
      </c>
      <c r="K2215" s="635"/>
      <c r="L2215" s="635"/>
      <c r="M2215" s="655">
        <f t="shared" si="92"/>
        <v>1138711.9989999998</v>
      </c>
      <c r="N2215" s="61"/>
    </row>
    <row r="2216" spans="1:14" s="242" customFormat="1" ht="14.25" customHeight="1">
      <c r="A2216" s="624">
        <v>54</v>
      </c>
      <c r="B2216" s="625" t="e">
        <f>VLOOKUP(D2216,'[1]DS CN MOI UP'!$B$11:$C$447,2,0)</f>
        <v>#N/A</v>
      </c>
      <c r="C2216" s="626"/>
      <c r="D2216" s="61" t="s">
        <v>1659</v>
      </c>
      <c r="E2216" s="630" t="s">
        <v>15</v>
      </c>
      <c r="F2216" s="630"/>
      <c r="G2216" s="655">
        <v>40000</v>
      </c>
      <c r="H2216" s="655">
        <v>604806.42599999998</v>
      </c>
      <c r="I2216" s="655">
        <v>524139.33600000001</v>
      </c>
      <c r="J2216" s="635">
        <f t="shared" si="91"/>
        <v>1168945.7620000001</v>
      </c>
      <c r="K2216" s="635"/>
      <c r="L2216" s="635"/>
      <c r="M2216" s="655">
        <f t="shared" si="92"/>
        <v>1168945.7620000001</v>
      </c>
      <c r="N2216" s="61"/>
    </row>
    <row r="2217" spans="1:14" s="242" customFormat="1" ht="14.25" customHeight="1">
      <c r="A2217" s="624">
        <v>55</v>
      </c>
      <c r="B2217" s="625" t="e">
        <f>VLOOKUP(D2217,'[1]DS CN MOI UP'!$B$11:$C$447,2,0)</f>
        <v>#N/A</v>
      </c>
      <c r="C2217" s="626"/>
      <c r="D2217" s="61" t="s">
        <v>1660</v>
      </c>
      <c r="E2217" s="630" t="s">
        <v>15</v>
      </c>
      <c r="F2217" s="630"/>
      <c r="G2217" s="655">
        <v>40000</v>
      </c>
      <c r="H2217" s="655">
        <v>584606.86199999996</v>
      </c>
      <c r="I2217" s="655">
        <v>524139.33600000001</v>
      </c>
      <c r="J2217" s="635">
        <f t="shared" si="91"/>
        <v>1148746.1979999999</v>
      </c>
      <c r="K2217" s="635"/>
      <c r="L2217" s="635"/>
      <c r="M2217" s="655">
        <f t="shared" si="92"/>
        <v>1148746.1979999999</v>
      </c>
      <c r="N2217" s="61"/>
    </row>
    <row r="2218" spans="1:14" s="242" customFormat="1" ht="14.25" customHeight="1">
      <c r="A2218" s="624">
        <v>56</v>
      </c>
      <c r="B2218" s="625" t="e">
        <f>VLOOKUP(D2218,'[1]DS CN MOI UP'!$B$11:$C$447,2,0)</f>
        <v>#N/A</v>
      </c>
      <c r="C2218" s="626"/>
      <c r="D2218" s="61" t="s">
        <v>1661</v>
      </c>
      <c r="E2218" s="630" t="s">
        <v>15</v>
      </c>
      <c r="F2218" s="630"/>
      <c r="G2218" s="655">
        <v>40000</v>
      </c>
      <c r="H2218" s="655">
        <v>635040.18900000001</v>
      </c>
      <c r="I2218" s="655">
        <v>524139.33600000001</v>
      </c>
      <c r="J2218" s="635">
        <f t="shared" si="91"/>
        <v>1199179.5249999999</v>
      </c>
      <c r="K2218" s="635"/>
      <c r="L2218" s="635"/>
      <c r="M2218" s="655">
        <f t="shared" si="92"/>
        <v>1199179.5249999999</v>
      </c>
      <c r="N2218" s="61"/>
    </row>
    <row r="2219" spans="1:14" s="242" customFormat="1" ht="14.25" customHeight="1">
      <c r="A2219" s="624">
        <v>57</v>
      </c>
      <c r="B2219" s="625" t="e">
        <f>VLOOKUP(D2219,'[1]DS CN MOI UP'!$B$11:$C$447,2,0)</f>
        <v>#N/A</v>
      </c>
      <c r="C2219" s="626"/>
      <c r="D2219" s="61" t="s">
        <v>1662</v>
      </c>
      <c r="E2219" s="630" t="s">
        <v>15</v>
      </c>
      <c r="F2219" s="630"/>
      <c r="G2219" s="655">
        <v>40000</v>
      </c>
      <c r="H2219" s="655">
        <v>524139.33600000001</v>
      </c>
      <c r="I2219" s="655">
        <v>524139.33600000001</v>
      </c>
      <c r="J2219" s="635">
        <f t="shared" si="91"/>
        <v>1088278.672</v>
      </c>
      <c r="K2219" s="635"/>
      <c r="L2219" s="635"/>
      <c r="M2219" s="655">
        <f t="shared" si="92"/>
        <v>1088278.672</v>
      </c>
      <c r="N2219" s="61"/>
    </row>
    <row r="2220" spans="1:14" s="242" customFormat="1" ht="14.25" customHeight="1">
      <c r="A2220" s="624">
        <v>58</v>
      </c>
      <c r="B2220" s="625" t="e">
        <f>VLOOKUP(D2220,'[1]DS CN MOI UP'!$B$11:$C$447,2,0)</f>
        <v>#N/A</v>
      </c>
      <c r="C2220" s="626"/>
      <c r="D2220" s="61" t="s">
        <v>1663</v>
      </c>
      <c r="E2220" s="630" t="s">
        <v>15</v>
      </c>
      <c r="F2220" s="630"/>
      <c r="G2220" s="655">
        <v>40000</v>
      </c>
      <c r="H2220" s="655">
        <v>635040.18900000001</v>
      </c>
      <c r="I2220" s="655">
        <v>524139.33600000001</v>
      </c>
      <c r="J2220" s="635">
        <f t="shared" si="91"/>
        <v>1199179.5249999999</v>
      </c>
      <c r="K2220" s="635"/>
      <c r="L2220" s="635"/>
      <c r="M2220" s="655">
        <f t="shared" si="92"/>
        <v>1199179.5249999999</v>
      </c>
      <c r="N2220" s="61"/>
    </row>
    <row r="2221" spans="1:14" s="242" customFormat="1" ht="14.25" customHeight="1">
      <c r="A2221" s="624">
        <v>59</v>
      </c>
      <c r="B2221" s="625" t="e">
        <f>VLOOKUP(D2221,'[1]DS CN MOI UP'!$B$11:$C$447,2,0)</f>
        <v>#N/A</v>
      </c>
      <c r="C2221" s="626"/>
      <c r="D2221" s="61" t="s">
        <v>1664</v>
      </c>
      <c r="E2221" s="630" t="s">
        <v>15</v>
      </c>
      <c r="F2221" s="630"/>
      <c r="G2221" s="655">
        <v>40000</v>
      </c>
      <c r="H2221" s="655">
        <v>635040.18900000001</v>
      </c>
      <c r="I2221" s="655">
        <v>524139.33600000001</v>
      </c>
      <c r="J2221" s="635">
        <f t="shared" si="91"/>
        <v>1199179.5249999999</v>
      </c>
      <c r="K2221" s="635"/>
      <c r="L2221" s="635"/>
      <c r="M2221" s="655">
        <f t="shared" si="92"/>
        <v>1199179.5249999999</v>
      </c>
      <c r="N2221" s="61"/>
    </row>
    <row r="2222" spans="1:14" s="242" customFormat="1" ht="14.25" customHeight="1">
      <c r="A2222" s="624">
        <v>60</v>
      </c>
      <c r="B2222" s="625" t="e">
        <f>VLOOKUP(D2222,'[1]DS CN MOI UP'!$B$11:$C$447,2,0)</f>
        <v>#N/A</v>
      </c>
      <c r="C2222" s="626"/>
      <c r="D2222" s="61" t="s">
        <v>1645</v>
      </c>
      <c r="E2222" s="630" t="s">
        <v>15</v>
      </c>
      <c r="F2222" s="630"/>
      <c r="G2222" s="655">
        <v>40000</v>
      </c>
      <c r="H2222" s="655">
        <v>554373.09900000005</v>
      </c>
      <c r="I2222" s="655">
        <v>524139.33600000001</v>
      </c>
      <c r="J2222" s="635">
        <f t="shared" si="91"/>
        <v>1118512.4350000001</v>
      </c>
      <c r="K2222" s="635"/>
      <c r="L2222" s="635"/>
      <c r="M2222" s="655">
        <f t="shared" si="92"/>
        <v>1118512.4350000001</v>
      </c>
      <c r="N2222" s="61"/>
    </row>
    <row r="2223" spans="1:14" s="242" customFormat="1" ht="14.25" customHeight="1">
      <c r="A2223" s="624">
        <v>61</v>
      </c>
      <c r="B2223" s="625" t="e">
        <f>VLOOKUP(D2223,'[1]DS CN MOI UP'!$B$11:$C$447,2,0)</f>
        <v>#N/A</v>
      </c>
      <c r="C2223" s="626"/>
      <c r="D2223" s="61" t="s">
        <v>1665</v>
      </c>
      <c r="E2223" s="630" t="s">
        <v>15</v>
      </c>
      <c r="F2223" s="630"/>
      <c r="G2223" s="655">
        <v>60000</v>
      </c>
      <c r="H2223" s="655">
        <v>554373.09900000005</v>
      </c>
      <c r="I2223" s="655">
        <v>524139.33600000001</v>
      </c>
      <c r="J2223" s="635">
        <f t="shared" si="91"/>
        <v>1138512.4350000001</v>
      </c>
      <c r="K2223" s="635"/>
      <c r="L2223" s="635"/>
      <c r="M2223" s="655">
        <f t="shared" si="92"/>
        <v>1138512.4350000001</v>
      </c>
      <c r="N2223" s="61"/>
    </row>
    <row r="2224" spans="1:14" s="242" customFormat="1" ht="14.25" customHeight="1">
      <c r="A2224" s="624">
        <v>62</v>
      </c>
      <c r="B2224" s="625" t="e">
        <f>VLOOKUP(D2224,'[1]DS CN MOI UP'!$B$11:$C$447,2,0)</f>
        <v>#N/A</v>
      </c>
      <c r="C2224" s="626"/>
      <c r="D2224" s="61" t="s">
        <v>1666</v>
      </c>
      <c r="E2224" s="630" t="s">
        <v>15</v>
      </c>
      <c r="F2224" s="630"/>
      <c r="G2224" s="655">
        <v>40000</v>
      </c>
      <c r="H2224" s="655">
        <v>554373.09900000005</v>
      </c>
      <c r="I2224" s="655">
        <v>524139.33600000001</v>
      </c>
      <c r="J2224" s="635">
        <f t="shared" si="91"/>
        <v>1118512.4350000001</v>
      </c>
      <c r="K2224" s="635"/>
      <c r="L2224" s="635"/>
      <c r="M2224" s="655">
        <f t="shared" si="92"/>
        <v>1118512.4350000001</v>
      </c>
      <c r="N2224" s="61"/>
    </row>
    <row r="2225" spans="1:15" s="242" customFormat="1" ht="14.25" customHeight="1">
      <c r="A2225" s="624">
        <v>63</v>
      </c>
      <c r="B2225" s="625" t="e">
        <f>VLOOKUP(D2225,'[1]DS CN MOI UP'!$B$11:$C$447,2,0)</f>
        <v>#N/A</v>
      </c>
      <c r="C2225" s="626"/>
      <c r="D2225" s="61" t="s">
        <v>1667</v>
      </c>
      <c r="E2225" s="630" t="s">
        <v>15</v>
      </c>
      <c r="F2225" s="630"/>
      <c r="G2225" s="655">
        <v>40000</v>
      </c>
      <c r="H2225" s="655">
        <v>554373.09900000005</v>
      </c>
      <c r="I2225" s="655">
        <v>524139.33600000001</v>
      </c>
      <c r="J2225" s="635">
        <f t="shared" si="91"/>
        <v>1118512.4350000001</v>
      </c>
      <c r="K2225" s="635"/>
      <c r="L2225" s="635"/>
      <c r="M2225" s="655">
        <f t="shared" si="92"/>
        <v>1118512.4350000001</v>
      </c>
      <c r="N2225" s="61"/>
      <c r="O2225" s="636"/>
    </row>
    <row r="2226" spans="1:15" s="242" customFormat="1" ht="14.25" customHeight="1">
      <c r="A2226" s="624">
        <v>64</v>
      </c>
      <c r="B2226" s="625" t="e">
        <f>VLOOKUP(D2226,'[1]DS CN MOI UP'!$B$11:$C$447,2,0)</f>
        <v>#N/A</v>
      </c>
      <c r="C2226" s="626"/>
      <c r="D2226" s="61" t="s">
        <v>1668</v>
      </c>
      <c r="E2226" s="630" t="s">
        <v>15</v>
      </c>
      <c r="F2226" s="630"/>
      <c r="G2226" s="655">
        <v>40000</v>
      </c>
      <c r="H2226" s="655">
        <v>554373.09900000005</v>
      </c>
      <c r="I2226" s="655">
        <v>524139.33600000001</v>
      </c>
      <c r="J2226" s="635">
        <f t="shared" si="91"/>
        <v>1118512.4350000001</v>
      </c>
      <c r="K2226" s="635"/>
      <c r="L2226" s="635"/>
      <c r="M2226" s="655">
        <f t="shared" si="92"/>
        <v>1118512.4350000001</v>
      </c>
      <c r="N2226" s="61"/>
    </row>
    <row r="2227" spans="1:15" s="242" customFormat="1" ht="14.25" customHeight="1">
      <c r="A2227" s="624">
        <v>65</v>
      </c>
      <c r="B2227" s="625" t="e">
        <f>VLOOKUP(D2227,'[1]DS CN MOI UP'!$B$11:$C$447,2,0)</f>
        <v>#N/A</v>
      </c>
      <c r="C2227" s="626"/>
      <c r="D2227" s="61" t="s">
        <v>1669</v>
      </c>
      <c r="E2227" s="630" t="s">
        <v>15</v>
      </c>
      <c r="F2227" s="630"/>
      <c r="G2227" s="655">
        <v>40000</v>
      </c>
      <c r="H2227" s="655">
        <v>635040.18900000001</v>
      </c>
      <c r="I2227" s="655">
        <v>524139.33600000001</v>
      </c>
      <c r="J2227" s="635">
        <f t="shared" si="91"/>
        <v>1199179.5249999999</v>
      </c>
      <c r="K2227" s="635"/>
      <c r="L2227" s="635"/>
      <c r="M2227" s="655">
        <f t="shared" si="92"/>
        <v>1199179.5249999999</v>
      </c>
      <c r="N2227" s="61"/>
    </row>
    <row r="2228" spans="1:15" s="242" customFormat="1" ht="14.25" customHeight="1">
      <c r="A2228" s="624">
        <v>66</v>
      </c>
      <c r="B2228" s="625" t="e">
        <f>VLOOKUP(D2228,'[1]DS CN MOI UP'!$B$11:$C$447,2,0)</f>
        <v>#N/A</v>
      </c>
      <c r="C2228" s="626"/>
      <c r="D2228" s="61" t="s">
        <v>1670</v>
      </c>
      <c r="E2228" s="630" t="s">
        <v>15</v>
      </c>
      <c r="F2228" s="630"/>
      <c r="G2228" s="655">
        <v>40000</v>
      </c>
      <c r="H2228" s="655">
        <v>544338.9</v>
      </c>
      <c r="I2228" s="655">
        <v>524139.33600000001</v>
      </c>
      <c r="J2228" s="635">
        <f t="shared" si="91"/>
        <v>1108478.236</v>
      </c>
      <c r="K2228" s="635"/>
      <c r="L2228" s="635"/>
      <c r="M2228" s="655">
        <f t="shared" si="92"/>
        <v>1108478.236</v>
      </c>
      <c r="N2228" s="61"/>
    </row>
    <row r="2229" spans="1:15" s="242" customFormat="1" ht="14.25" customHeight="1">
      <c r="A2229" s="624">
        <v>67</v>
      </c>
      <c r="B2229" s="625" t="e">
        <f>VLOOKUP(D2229,'[1]DS CN MOI UP'!$B$11:$C$447,2,0)</f>
        <v>#N/A</v>
      </c>
      <c r="C2229" s="626"/>
      <c r="D2229" s="61" t="s">
        <v>1671</v>
      </c>
      <c r="E2229" s="630" t="s">
        <v>15</v>
      </c>
      <c r="F2229" s="630"/>
      <c r="G2229" s="655">
        <v>40000</v>
      </c>
      <c r="H2229" s="655">
        <v>574572.66299999994</v>
      </c>
      <c r="I2229" s="655">
        <v>524139.33600000001</v>
      </c>
      <c r="J2229" s="635">
        <f t="shared" si="91"/>
        <v>1138711.9989999998</v>
      </c>
      <c r="K2229" s="635"/>
      <c r="L2229" s="635"/>
      <c r="M2229" s="655">
        <f t="shared" si="92"/>
        <v>1138711.9989999998</v>
      </c>
      <c r="N2229" s="61"/>
    </row>
    <row r="2230" spans="1:15" s="242" customFormat="1" ht="14.25" customHeight="1">
      <c r="A2230" s="624">
        <v>68</v>
      </c>
      <c r="B2230" s="625" t="str">
        <f>VLOOKUP(D2230,'[1]DS CN MOI UP'!$B$11:$C$447,2,0)</f>
        <v>02485</v>
      </c>
      <c r="C2230" s="626"/>
      <c r="D2230" s="61" t="s">
        <v>31</v>
      </c>
      <c r="E2230" s="630" t="s">
        <v>15</v>
      </c>
      <c r="F2230" s="630"/>
      <c r="G2230" s="655">
        <v>40000</v>
      </c>
      <c r="H2230" s="655">
        <v>604806.42599999998</v>
      </c>
      <c r="I2230" s="655">
        <v>524139.33600000001</v>
      </c>
      <c r="J2230" s="635">
        <f t="shared" si="91"/>
        <v>1168945.7620000001</v>
      </c>
      <c r="K2230" s="635"/>
      <c r="L2230" s="635"/>
      <c r="M2230" s="655">
        <f t="shared" si="92"/>
        <v>1168945.7620000001</v>
      </c>
      <c r="N2230" s="61"/>
    </row>
    <row r="2231" spans="1:15" s="242" customFormat="1" ht="14.25" customHeight="1">
      <c r="A2231" s="624">
        <v>69</v>
      </c>
      <c r="B2231" s="625" t="e">
        <f>VLOOKUP(D2231,'[1]DS CN MOI UP'!$B$11:$C$447,2,0)</f>
        <v>#N/A</v>
      </c>
      <c r="C2231" s="626"/>
      <c r="D2231" s="61" t="s">
        <v>1672</v>
      </c>
      <c r="E2231" s="630" t="s">
        <v>15</v>
      </c>
      <c r="F2231" s="630"/>
      <c r="G2231" s="655">
        <v>40000</v>
      </c>
      <c r="H2231" s="655">
        <v>584606.86199999996</v>
      </c>
      <c r="I2231" s="655">
        <v>524139.33600000001</v>
      </c>
      <c r="J2231" s="635">
        <f t="shared" si="91"/>
        <v>1148746.1979999999</v>
      </c>
      <c r="K2231" s="635"/>
      <c r="L2231" s="635"/>
      <c r="M2231" s="655">
        <f t="shared" si="92"/>
        <v>1148746.1979999999</v>
      </c>
      <c r="N2231" s="61"/>
    </row>
    <row r="2232" spans="1:15" s="242" customFormat="1" ht="14.25" customHeight="1">
      <c r="A2232" s="624">
        <v>70</v>
      </c>
      <c r="B2232" s="625" t="e">
        <f>VLOOKUP(D2232,'[1]DS CN MOI UP'!$B$11:$C$447,2,0)</f>
        <v>#N/A</v>
      </c>
      <c r="C2232" s="626"/>
      <c r="D2232" s="61" t="s">
        <v>1673</v>
      </c>
      <c r="E2232" s="630" t="s">
        <v>15</v>
      </c>
      <c r="F2232" s="630"/>
      <c r="G2232" s="655">
        <v>60000</v>
      </c>
      <c r="H2232" s="635">
        <v>554373.09900000005</v>
      </c>
      <c r="I2232" s="655">
        <v>524139.33600000001</v>
      </c>
      <c r="J2232" s="635">
        <f t="shared" si="91"/>
        <v>1138512.4350000001</v>
      </c>
      <c r="K2232" s="635"/>
      <c r="L2232" s="635"/>
      <c r="M2232" s="655">
        <f t="shared" si="92"/>
        <v>1138512.4350000001</v>
      </c>
      <c r="N2232" s="61"/>
    </row>
    <row r="2233" spans="1:15" s="242" customFormat="1" ht="14.25" customHeight="1">
      <c r="A2233" s="624">
        <v>71</v>
      </c>
      <c r="B2233" s="625" t="e">
        <f>VLOOKUP(D2233,'[1]DS CN MOI UP'!$B$11:$C$447,2,0)</f>
        <v>#N/A</v>
      </c>
      <c r="C2233" s="626"/>
      <c r="D2233" s="61" t="s">
        <v>907</v>
      </c>
      <c r="E2233" s="630" t="s">
        <v>15</v>
      </c>
      <c r="F2233" s="630"/>
      <c r="G2233" s="655">
        <v>40000</v>
      </c>
      <c r="H2233" s="635">
        <v>554373.09900000005</v>
      </c>
      <c r="I2233" s="655">
        <v>524139.33600000001</v>
      </c>
      <c r="J2233" s="635">
        <f t="shared" si="91"/>
        <v>1118512.4350000001</v>
      </c>
      <c r="K2233" s="635"/>
      <c r="L2233" s="635"/>
      <c r="M2233" s="655">
        <f t="shared" si="92"/>
        <v>1118512.4350000001</v>
      </c>
      <c r="N2233" s="61"/>
    </row>
    <row r="2234" spans="1:15" s="242" customFormat="1" ht="14.25" customHeight="1">
      <c r="A2234" s="624">
        <v>72</v>
      </c>
      <c r="B2234" s="625" t="e">
        <f>VLOOKUP(D2234,'[1]DS CN MOI UP'!$B$11:$C$447,2,0)</f>
        <v>#N/A</v>
      </c>
      <c r="C2234" s="626"/>
      <c r="D2234" s="61" t="s">
        <v>1674</v>
      </c>
      <c r="E2234" s="630" t="s">
        <v>15</v>
      </c>
      <c r="F2234" s="630"/>
      <c r="G2234" s="655">
        <v>40000</v>
      </c>
      <c r="H2234" s="635">
        <v>554373.09900000005</v>
      </c>
      <c r="I2234" s="655">
        <v>524139.33600000001</v>
      </c>
      <c r="J2234" s="635">
        <f t="shared" si="91"/>
        <v>1118512.4350000001</v>
      </c>
      <c r="K2234" s="635"/>
      <c r="L2234" s="635"/>
      <c r="M2234" s="655">
        <f t="shared" si="92"/>
        <v>1118512.4350000001</v>
      </c>
      <c r="N2234" s="61"/>
    </row>
    <row r="2235" spans="1:15" s="242" customFormat="1" ht="14.25" customHeight="1">
      <c r="A2235" s="624">
        <v>73</v>
      </c>
      <c r="B2235" s="625" t="str">
        <f>VLOOKUP(D2235,'[1]DS CN MOI UP'!$B$11:$C$447,2,0)</f>
        <v>02458</v>
      </c>
      <c r="C2235" s="626"/>
      <c r="D2235" s="61" t="s">
        <v>492</v>
      </c>
      <c r="E2235" s="630" t="s">
        <v>15</v>
      </c>
      <c r="F2235" s="630"/>
      <c r="G2235" s="655">
        <v>40000</v>
      </c>
      <c r="H2235" s="635">
        <v>554373.09900000005</v>
      </c>
      <c r="I2235" s="655">
        <v>524139.33600000001</v>
      </c>
      <c r="J2235" s="635">
        <f t="shared" si="91"/>
        <v>1118512.4350000001</v>
      </c>
      <c r="K2235" s="635"/>
      <c r="L2235" s="635"/>
      <c r="M2235" s="655">
        <f t="shared" si="92"/>
        <v>1118512.4350000001</v>
      </c>
      <c r="N2235" s="61"/>
    </row>
    <row r="2236" spans="1:15" s="242" customFormat="1" ht="14.25" customHeight="1">
      <c r="A2236" s="624">
        <v>74</v>
      </c>
      <c r="B2236" s="625" t="e">
        <f>VLOOKUP(D2236,'[1]DS CN MOI UP'!$B$11:$C$447,2,0)</f>
        <v>#N/A</v>
      </c>
      <c r="C2236" s="626"/>
      <c r="D2236" s="61" t="s">
        <v>307</v>
      </c>
      <c r="E2236" s="630" t="s">
        <v>15</v>
      </c>
      <c r="F2236" s="630"/>
      <c r="G2236" s="655">
        <v>40000</v>
      </c>
      <c r="H2236" s="635">
        <v>635040.18900000001</v>
      </c>
      <c r="I2236" s="655">
        <v>524139.33600000001</v>
      </c>
      <c r="J2236" s="635">
        <f t="shared" si="91"/>
        <v>1199179.5249999999</v>
      </c>
      <c r="K2236" s="635"/>
      <c r="L2236" s="635"/>
      <c r="M2236" s="655">
        <f t="shared" si="92"/>
        <v>1199179.5249999999</v>
      </c>
      <c r="N2236" s="61"/>
    </row>
    <row r="2237" spans="1:15" s="242" customFormat="1" ht="14.25" customHeight="1">
      <c r="A2237" s="624">
        <v>75</v>
      </c>
      <c r="B2237" s="625" t="e">
        <f>VLOOKUP(D2237,'[1]DS CN MOI UP'!$B$11:$C$447,2,0)</f>
        <v>#N/A</v>
      </c>
      <c r="C2237" s="626"/>
      <c r="D2237" s="61" t="s">
        <v>1174</v>
      </c>
      <c r="E2237" s="630" t="s">
        <v>15</v>
      </c>
      <c r="F2237" s="630"/>
      <c r="G2237" s="655">
        <v>40000</v>
      </c>
      <c r="H2237" s="635">
        <v>544338.9</v>
      </c>
      <c r="I2237" s="655">
        <v>524139.33600000001</v>
      </c>
      <c r="J2237" s="635">
        <f t="shared" si="91"/>
        <v>1108478.236</v>
      </c>
      <c r="K2237" s="635"/>
      <c r="L2237" s="635"/>
      <c r="M2237" s="655">
        <f t="shared" si="92"/>
        <v>1108478.236</v>
      </c>
      <c r="N2237" s="61"/>
    </row>
    <row r="2238" spans="1:15" s="242" customFormat="1" ht="14.25" customHeight="1">
      <c r="A2238" s="624">
        <v>76</v>
      </c>
      <c r="B2238" s="625" t="e">
        <f>VLOOKUP(D2238,'[1]DS CN MOI UP'!$B$11:$C$447,2,0)</f>
        <v>#N/A</v>
      </c>
      <c r="C2238" s="626"/>
      <c r="D2238" s="61" t="s">
        <v>1553</v>
      </c>
      <c r="E2238" s="630" t="s">
        <v>15</v>
      </c>
      <c r="F2238" s="630"/>
      <c r="G2238" s="655">
        <v>40000</v>
      </c>
      <c r="H2238" s="635">
        <v>574572.66299999994</v>
      </c>
      <c r="I2238" s="655">
        <v>524139.33600000001</v>
      </c>
      <c r="J2238" s="635">
        <f t="shared" si="91"/>
        <v>1138711.9989999998</v>
      </c>
      <c r="K2238" s="635"/>
      <c r="L2238" s="635"/>
      <c r="M2238" s="655">
        <f t="shared" si="92"/>
        <v>1138711.9989999998</v>
      </c>
      <c r="N2238" s="61"/>
    </row>
    <row r="2239" spans="1:15" s="242" customFormat="1" ht="14.25" customHeight="1">
      <c r="A2239" s="624">
        <v>77</v>
      </c>
      <c r="B2239" s="625" t="str">
        <f>VLOOKUP(D2239,'[1]DS CN MOI UP'!$B$11:$C$447,2,0)</f>
        <v>03859</v>
      </c>
      <c r="C2239" s="626"/>
      <c r="D2239" s="61" t="s">
        <v>331</v>
      </c>
      <c r="E2239" s="630" t="s">
        <v>15</v>
      </c>
      <c r="F2239" s="630"/>
      <c r="G2239" s="655">
        <v>40000</v>
      </c>
      <c r="H2239" s="655">
        <v>604806.42599999998</v>
      </c>
      <c r="I2239" s="655">
        <v>524139.33600000001</v>
      </c>
      <c r="J2239" s="635">
        <f t="shared" si="91"/>
        <v>1168945.7620000001</v>
      </c>
      <c r="K2239" s="635"/>
      <c r="L2239" s="635"/>
      <c r="M2239" s="655">
        <f t="shared" si="92"/>
        <v>1168945.7620000001</v>
      </c>
      <c r="N2239" s="61"/>
    </row>
    <row r="2240" spans="1:15" s="242" customFormat="1" ht="14.25" customHeight="1">
      <c r="A2240" s="624">
        <v>78</v>
      </c>
      <c r="B2240" s="625" t="e">
        <f>VLOOKUP(D2240,'[1]DS CN MOI UP'!$B$11:$C$447,2,0)</f>
        <v>#N/A</v>
      </c>
      <c r="C2240" s="626"/>
      <c r="D2240" s="61" t="s">
        <v>1675</v>
      </c>
      <c r="E2240" s="630" t="s">
        <v>15</v>
      </c>
      <c r="F2240" s="630"/>
      <c r="G2240" s="655">
        <v>40000</v>
      </c>
      <c r="H2240" s="655">
        <v>584606.86199999996</v>
      </c>
      <c r="I2240" s="655">
        <v>524139.33600000001</v>
      </c>
      <c r="J2240" s="635">
        <f t="shared" si="91"/>
        <v>1148746.1979999999</v>
      </c>
      <c r="K2240" s="635"/>
      <c r="L2240" s="635"/>
      <c r="M2240" s="655">
        <f t="shared" si="92"/>
        <v>1148746.1979999999</v>
      </c>
      <c r="N2240" s="61"/>
    </row>
    <row r="2241" spans="1:16" s="242" customFormat="1" ht="14.25" customHeight="1">
      <c r="A2241" s="624">
        <v>79</v>
      </c>
      <c r="B2241" s="625" t="e">
        <f>VLOOKUP(D2241,'[1]DS CN MOI UP'!$B$11:$C$447,2,0)</f>
        <v>#N/A</v>
      </c>
      <c r="C2241" s="626"/>
      <c r="D2241" s="61" t="s">
        <v>1676</v>
      </c>
      <c r="E2241" s="630" t="s">
        <v>15</v>
      </c>
      <c r="F2241" s="630"/>
      <c r="G2241" s="655">
        <v>40000</v>
      </c>
      <c r="H2241" s="655">
        <v>635040.18900000001</v>
      </c>
      <c r="I2241" s="655">
        <v>524139.33600000001</v>
      </c>
      <c r="J2241" s="635">
        <f t="shared" si="91"/>
        <v>1199179.5249999999</v>
      </c>
      <c r="K2241" s="635"/>
      <c r="L2241" s="635"/>
      <c r="M2241" s="655">
        <f t="shared" si="92"/>
        <v>1199179.5249999999</v>
      </c>
      <c r="N2241" s="61"/>
    </row>
    <row r="2242" spans="1:16" s="242" customFormat="1" ht="14.25" customHeight="1">
      <c r="A2242" s="624">
        <v>80</v>
      </c>
      <c r="B2242" s="625" t="e">
        <f>VLOOKUP(D2242,'[1]DS CN MOI UP'!$B$11:$C$447,2,0)</f>
        <v>#N/A</v>
      </c>
      <c r="C2242" s="626"/>
      <c r="D2242" s="61" t="s">
        <v>1677</v>
      </c>
      <c r="E2242" s="630" t="s">
        <v>15</v>
      </c>
      <c r="F2242" s="630"/>
      <c r="G2242" s="655">
        <v>40000</v>
      </c>
      <c r="H2242" s="655">
        <v>524139.33600000001</v>
      </c>
      <c r="I2242" s="655">
        <v>524139.33600000001</v>
      </c>
      <c r="J2242" s="635">
        <f t="shared" si="91"/>
        <v>1088278.672</v>
      </c>
      <c r="K2242" s="635"/>
      <c r="L2242" s="635"/>
      <c r="M2242" s="655">
        <f t="shared" si="92"/>
        <v>1088278.672</v>
      </c>
      <c r="N2242" s="61"/>
    </row>
    <row r="2243" spans="1:16" s="242" customFormat="1" ht="14.25" customHeight="1">
      <c r="A2243" s="624">
        <v>81</v>
      </c>
      <c r="B2243" s="625" t="str">
        <f>VLOOKUP(D2243,'[1]DS CN MOI UP'!$B$11:$C$447,2,0)</f>
        <v>02599</v>
      </c>
      <c r="C2243" s="626"/>
      <c r="D2243" s="61" t="s">
        <v>224</v>
      </c>
      <c r="E2243" s="630" t="s">
        <v>15</v>
      </c>
      <c r="F2243" s="630"/>
      <c r="G2243" s="655">
        <v>40000</v>
      </c>
      <c r="H2243" s="655">
        <v>635040.18900000001</v>
      </c>
      <c r="I2243" s="655">
        <v>524139.33600000001</v>
      </c>
      <c r="J2243" s="635">
        <f t="shared" si="91"/>
        <v>1199179.5249999999</v>
      </c>
      <c r="K2243" s="635"/>
      <c r="L2243" s="635"/>
      <c r="M2243" s="655">
        <f t="shared" si="92"/>
        <v>1199179.5249999999</v>
      </c>
      <c r="N2243" s="61"/>
    </row>
    <row r="2244" spans="1:16" s="242" customFormat="1" ht="14.25" customHeight="1">
      <c r="A2244" s="624">
        <v>82</v>
      </c>
      <c r="B2244" s="625" t="e">
        <f>VLOOKUP(D2244,'[1]DS CN MOI UP'!$B$11:$C$447,2,0)</f>
        <v>#N/A</v>
      </c>
      <c r="C2244" s="626"/>
      <c r="D2244" s="61" t="s">
        <v>1678</v>
      </c>
      <c r="E2244" s="630" t="s">
        <v>15</v>
      </c>
      <c r="F2244" s="630"/>
      <c r="G2244" s="655">
        <v>40000</v>
      </c>
      <c r="H2244" s="655">
        <v>635040.18900000001</v>
      </c>
      <c r="I2244" s="655">
        <v>524139.33600000001</v>
      </c>
      <c r="J2244" s="635">
        <f t="shared" si="91"/>
        <v>1199179.5249999999</v>
      </c>
      <c r="K2244" s="635"/>
      <c r="L2244" s="635"/>
      <c r="M2244" s="655">
        <f t="shared" si="92"/>
        <v>1199179.5249999999</v>
      </c>
      <c r="N2244" s="61"/>
    </row>
    <row r="2245" spans="1:16" s="242" customFormat="1" ht="14.25" customHeight="1">
      <c r="A2245" s="624">
        <v>83</v>
      </c>
      <c r="B2245" s="625" t="e">
        <f>VLOOKUP(D2245,'[1]DS CN MOI UP'!$B$11:$C$447,2,0)</f>
        <v>#N/A</v>
      </c>
      <c r="C2245" s="626"/>
      <c r="D2245" s="61" t="s">
        <v>1679</v>
      </c>
      <c r="E2245" s="630" t="s">
        <v>15</v>
      </c>
      <c r="F2245" s="630"/>
      <c r="G2245" s="655">
        <v>40000</v>
      </c>
      <c r="H2245" s="655">
        <v>554373.09900000005</v>
      </c>
      <c r="I2245" s="655">
        <v>524139.33600000001</v>
      </c>
      <c r="J2245" s="635">
        <f t="shared" si="91"/>
        <v>1118512.4350000001</v>
      </c>
      <c r="K2245" s="635"/>
      <c r="L2245" s="635"/>
      <c r="M2245" s="655">
        <f t="shared" si="92"/>
        <v>1118512.4350000001</v>
      </c>
      <c r="N2245" s="61"/>
    </row>
    <row r="2246" spans="1:16" s="242" customFormat="1" ht="14.25" customHeight="1">
      <c r="A2246" s="624">
        <v>84</v>
      </c>
      <c r="B2246" s="625" t="e">
        <f>VLOOKUP(D2246,'[1]DS CN MOI UP'!$B$11:$C$447,2,0)</f>
        <v>#N/A</v>
      </c>
      <c r="C2246" s="626"/>
      <c r="D2246" s="61" t="s">
        <v>1680</v>
      </c>
      <c r="E2246" s="630" t="s">
        <v>15</v>
      </c>
      <c r="F2246" s="630"/>
      <c r="G2246" s="655">
        <v>60000</v>
      </c>
      <c r="H2246" s="655">
        <v>554373.09900000005</v>
      </c>
      <c r="I2246" s="655">
        <v>524139.33600000001</v>
      </c>
      <c r="J2246" s="635">
        <f t="shared" si="91"/>
        <v>1138512.4350000001</v>
      </c>
      <c r="K2246" s="635"/>
      <c r="L2246" s="635"/>
      <c r="M2246" s="655">
        <f t="shared" si="92"/>
        <v>1138512.4350000001</v>
      </c>
      <c r="N2246" s="61"/>
    </row>
    <row r="2247" spans="1:16" s="242" customFormat="1" ht="14.25" customHeight="1">
      <c r="A2247" s="624">
        <v>85</v>
      </c>
      <c r="B2247" s="625" t="e">
        <f>VLOOKUP(D2247,'[1]DS CN MOI UP'!$B$11:$C$447,2,0)</f>
        <v>#N/A</v>
      </c>
      <c r="C2247" s="626"/>
      <c r="D2247" s="61" t="s">
        <v>1681</v>
      </c>
      <c r="E2247" s="630" t="s">
        <v>15</v>
      </c>
      <c r="F2247" s="630"/>
      <c r="G2247" s="655">
        <v>40000</v>
      </c>
      <c r="H2247" s="655">
        <v>554373.09900000005</v>
      </c>
      <c r="I2247" s="655">
        <v>524139.33600000001</v>
      </c>
      <c r="J2247" s="635">
        <f t="shared" si="91"/>
        <v>1118512.4350000001</v>
      </c>
      <c r="K2247" s="635"/>
      <c r="L2247" s="635"/>
      <c r="M2247" s="655">
        <f t="shared" si="92"/>
        <v>1118512.4350000001</v>
      </c>
      <c r="N2247" s="61"/>
    </row>
    <row r="2248" spans="1:16" s="242" customFormat="1" ht="14.25" customHeight="1">
      <c r="A2248" s="624">
        <v>86</v>
      </c>
      <c r="B2248" s="625" t="e">
        <f>VLOOKUP(D2248,'[1]DS CN MOI UP'!$B$11:$C$447,2,0)</f>
        <v>#N/A</v>
      </c>
      <c r="C2248" s="626"/>
      <c r="D2248" s="61" t="s">
        <v>1682</v>
      </c>
      <c r="E2248" s="630" t="s">
        <v>15</v>
      </c>
      <c r="F2248" s="630"/>
      <c r="G2248" s="655">
        <v>40000</v>
      </c>
      <c r="H2248" s="655">
        <v>554373.09900000005</v>
      </c>
      <c r="I2248" s="655">
        <v>524139.33600000001</v>
      </c>
      <c r="J2248" s="635">
        <f t="shared" si="91"/>
        <v>1118512.4350000001</v>
      </c>
      <c r="K2248" s="635"/>
      <c r="L2248" s="635"/>
      <c r="M2248" s="655">
        <f t="shared" si="92"/>
        <v>1118512.4350000001</v>
      </c>
      <c r="N2248" s="61"/>
    </row>
    <row r="2249" spans="1:16" s="242" customFormat="1" ht="14.25" customHeight="1">
      <c r="A2249" s="624">
        <v>87</v>
      </c>
      <c r="B2249" s="625" t="e">
        <f>VLOOKUP(D2249,'[1]DS CN MOI UP'!$B$11:$C$447,2,0)</f>
        <v>#N/A</v>
      </c>
      <c r="C2249" s="626"/>
      <c r="D2249" s="61" t="s">
        <v>1683</v>
      </c>
      <c r="E2249" s="630" t="s">
        <v>15</v>
      </c>
      <c r="F2249" s="630"/>
      <c r="G2249" s="655">
        <v>40000</v>
      </c>
      <c r="H2249" s="655">
        <v>554373.09900000005</v>
      </c>
      <c r="I2249" s="655">
        <v>524139.33600000001</v>
      </c>
      <c r="J2249" s="635">
        <f t="shared" si="91"/>
        <v>1118512.4350000001</v>
      </c>
      <c r="K2249" s="635"/>
      <c r="L2249" s="635"/>
      <c r="M2249" s="655">
        <f t="shared" si="92"/>
        <v>1118512.4350000001</v>
      </c>
      <c r="N2249" s="61"/>
    </row>
    <row r="2250" spans="1:16" s="242" customFormat="1" ht="14.25" customHeight="1">
      <c r="A2250" s="624">
        <v>88</v>
      </c>
      <c r="B2250" s="625" t="e">
        <f>VLOOKUP(D2250,'[1]DS CN MOI UP'!$B$11:$C$447,2,0)</f>
        <v>#N/A</v>
      </c>
      <c r="C2250" s="626"/>
      <c r="D2250" s="61" t="s">
        <v>1684</v>
      </c>
      <c r="E2250" s="630" t="s">
        <v>15</v>
      </c>
      <c r="F2250" s="630"/>
      <c r="G2250" s="655">
        <v>40000</v>
      </c>
      <c r="H2250" s="655">
        <v>635040.18900000001</v>
      </c>
      <c r="I2250" s="655">
        <v>524139.33600000001</v>
      </c>
      <c r="J2250" s="635">
        <f t="shared" si="91"/>
        <v>1199179.5249999999</v>
      </c>
      <c r="K2250" s="635"/>
      <c r="L2250" s="635"/>
      <c r="M2250" s="655">
        <f t="shared" si="92"/>
        <v>1199179.5249999999</v>
      </c>
      <c r="N2250" s="61"/>
    </row>
    <row r="2251" spans="1:16" s="242" customFormat="1" ht="14.25" customHeight="1">
      <c r="A2251" s="624">
        <v>89</v>
      </c>
      <c r="B2251" s="625" t="e">
        <f>VLOOKUP(D2251,'[1]DS CN MOI UP'!$B$11:$C$447,2,0)</f>
        <v>#N/A</v>
      </c>
      <c r="C2251" s="626"/>
      <c r="D2251" s="61" t="s">
        <v>1685</v>
      </c>
      <c r="E2251" s="630" t="s">
        <v>15</v>
      </c>
      <c r="F2251" s="630"/>
      <c r="G2251" s="655">
        <v>40000</v>
      </c>
      <c r="H2251" s="655">
        <v>544338.9</v>
      </c>
      <c r="I2251" s="655">
        <v>524139.33600000001</v>
      </c>
      <c r="J2251" s="635">
        <f t="shared" si="91"/>
        <v>1108478.236</v>
      </c>
      <c r="K2251" s="635"/>
      <c r="L2251" s="635"/>
      <c r="M2251" s="655">
        <f t="shared" si="92"/>
        <v>1108478.236</v>
      </c>
      <c r="N2251" s="61"/>
    </row>
    <row r="2252" spans="1:16" s="242" customFormat="1" ht="14.25" customHeight="1">
      <c r="A2252" s="624">
        <v>90</v>
      </c>
      <c r="B2252" s="625" t="e">
        <f>VLOOKUP(D2252,'[1]DS CN MOI UP'!$B$11:$C$447,2,0)</f>
        <v>#N/A</v>
      </c>
      <c r="C2252" s="626"/>
      <c r="D2252" s="61" t="s">
        <v>1686</v>
      </c>
      <c r="E2252" s="630" t="s">
        <v>15</v>
      </c>
      <c r="F2252" s="630"/>
      <c r="G2252" s="655">
        <v>40000</v>
      </c>
      <c r="H2252" s="655">
        <v>574572.66299999994</v>
      </c>
      <c r="I2252" s="655">
        <v>524139.33600000001</v>
      </c>
      <c r="J2252" s="635">
        <f t="shared" si="91"/>
        <v>1138711.9989999998</v>
      </c>
      <c r="K2252" s="635"/>
      <c r="L2252" s="635"/>
      <c r="M2252" s="655">
        <f t="shared" si="92"/>
        <v>1138711.9989999998</v>
      </c>
      <c r="N2252" s="61"/>
    </row>
    <row r="2253" spans="1:16" s="242" customFormat="1" ht="14.25" customHeight="1">
      <c r="A2253" s="624">
        <v>91</v>
      </c>
      <c r="B2253" s="625" t="e">
        <f>VLOOKUP(D2253,'[1]DS CN MOI UP'!$B$11:$C$447,2,0)</f>
        <v>#N/A</v>
      </c>
      <c r="C2253" s="626"/>
      <c r="D2253" s="61" t="s">
        <v>1687</v>
      </c>
      <c r="E2253" s="630" t="s">
        <v>15</v>
      </c>
      <c r="F2253" s="630"/>
      <c r="G2253" s="655">
        <v>40000</v>
      </c>
      <c r="H2253" s="655">
        <v>604806.42599999998</v>
      </c>
      <c r="I2253" s="655">
        <v>524139.33600000001</v>
      </c>
      <c r="J2253" s="635">
        <f t="shared" si="91"/>
        <v>1168945.7620000001</v>
      </c>
      <c r="K2253" s="635"/>
      <c r="L2253" s="635"/>
      <c r="M2253" s="655">
        <f t="shared" si="92"/>
        <v>1168945.7620000001</v>
      </c>
      <c r="N2253" s="61"/>
    </row>
    <row r="2254" spans="1:16" s="242" customFormat="1" ht="14.25" customHeight="1">
      <c r="A2254" s="624">
        <v>92</v>
      </c>
      <c r="B2254" s="625" t="e">
        <f>VLOOKUP(D2254,'[1]DS CN MOI UP'!$B$11:$C$447,2,0)</f>
        <v>#N/A</v>
      </c>
      <c r="C2254" s="626"/>
      <c r="D2254" s="61" t="s">
        <v>1688</v>
      </c>
      <c r="E2254" s="630" t="s">
        <v>15</v>
      </c>
      <c r="F2254" s="630"/>
      <c r="G2254" s="655">
        <v>40000</v>
      </c>
      <c r="H2254" s="655">
        <v>584606.86199999996</v>
      </c>
      <c r="I2254" s="655">
        <v>524139.33600000001</v>
      </c>
      <c r="J2254" s="635">
        <f t="shared" si="91"/>
        <v>1148746.1979999999</v>
      </c>
      <c r="K2254" s="635"/>
      <c r="L2254" s="635"/>
      <c r="M2254" s="655">
        <f t="shared" si="92"/>
        <v>1148746.1979999999</v>
      </c>
      <c r="N2254" s="61"/>
    </row>
    <row r="2255" spans="1:16" s="242" customFormat="1" ht="14.25" customHeight="1">
      <c r="A2255" s="624">
        <v>93</v>
      </c>
      <c r="B2255" s="625" t="e">
        <f>VLOOKUP(D2255,'[1]DS CN MOI UP'!$B$11:$C$447,2,0)</f>
        <v>#N/A</v>
      </c>
      <c r="C2255" s="626"/>
      <c r="D2255" s="61" t="s">
        <v>1689</v>
      </c>
      <c r="E2255" s="630" t="s">
        <v>15</v>
      </c>
      <c r="F2255" s="630"/>
      <c r="G2255" s="655">
        <v>60000</v>
      </c>
      <c r="H2255" s="635">
        <v>554373.09900000005</v>
      </c>
      <c r="I2255" s="655">
        <v>524139.33600000001</v>
      </c>
      <c r="J2255" s="635">
        <f t="shared" si="91"/>
        <v>1138512.4350000001</v>
      </c>
      <c r="K2255" s="635"/>
      <c r="L2255" s="635"/>
      <c r="M2255" s="655">
        <f t="shared" si="92"/>
        <v>1138512.4350000001</v>
      </c>
      <c r="N2255" s="61"/>
      <c r="P2255" s="636"/>
    </row>
    <row r="2256" spans="1:16" s="242" customFormat="1" ht="14.25" customHeight="1">
      <c r="A2256" s="624">
        <v>94</v>
      </c>
      <c r="B2256" s="625" t="e">
        <f>VLOOKUP(D2256,'[1]DS CN MOI UP'!$B$11:$C$447,2,0)</f>
        <v>#N/A</v>
      </c>
      <c r="C2256" s="626"/>
      <c r="D2256" s="61" t="s">
        <v>330</v>
      </c>
      <c r="E2256" s="630" t="s">
        <v>15</v>
      </c>
      <c r="F2256" s="630"/>
      <c r="G2256" s="655">
        <v>40000</v>
      </c>
      <c r="H2256" s="635">
        <v>554373.09900000005</v>
      </c>
      <c r="I2256" s="655">
        <v>524139.33600000001</v>
      </c>
      <c r="J2256" s="635">
        <f t="shared" si="91"/>
        <v>1118512.4350000001</v>
      </c>
      <c r="K2256" s="635"/>
      <c r="L2256" s="635"/>
      <c r="M2256" s="655">
        <f t="shared" si="92"/>
        <v>1118512.4350000001</v>
      </c>
      <c r="N2256" s="61"/>
    </row>
    <row r="2257" spans="1:16" s="242" customFormat="1" ht="14.25" customHeight="1">
      <c r="A2257" s="624">
        <v>95</v>
      </c>
      <c r="B2257" s="625" t="e">
        <f>VLOOKUP(D2257,'[1]DS CN MOI UP'!$B$11:$C$447,2,0)</f>
        <v>#N/A</v>
      </c>
      <c r="C2257" s="626"/>
      <c r="D2257" s="61" t="s">
        <v>1690</v>
      </c>
      <c r="E2257" s="630" t="s">
        <v>15</v>
      </c>
      <c r="F2257" s="630"/>
      <c r="G2257" s="655">
        <v>40000</v>
      </c>
      <c r="H2257" s="635">
        <v>554373.09900000005</v>
      </c>
      <c r="I2257" s="655">
        <v>524139.33600000001</v>
      </c>
      <c r="J2257" s="635">
        <f t="shared" si="91"/>
        <v>1118512.4350000001</v>
      </c>
      <c r="K2257" s="635"/>
      <c r="L2257" s="635"/>
      <c r="M2257" s="655">
        <f t="shared" si="92"/>
        <v>1118512.4350000001</v>
      </c>
      <c r="N2257" s="61"/>
    </row>
    <row r="2258" spans="1:16" s="242" customFormat="1" ht="14.25" customHeight="1">
      <c r="A2258" s="624">
        <v>96</v>
      </c>
      <c r="B2258" s="625" t="e">
        <f>VLOOKUP(D2258,'[1]DS CN MOI UP'!$B$11:$C$447,2,0)</f>
        <v>#N/A</v>
      </c>
      <c r="C2258" s="626"/>
      <c r="D2258" s="61" t="s">
        <v>1691</v>
      </c>
      <c r="E2258" s="630" t="s">
        <v>15</v>
      </c>
      <c r="F2258" s="630"/>
      <c r="G2258" s="655">
        <v>40000</v>
      </c>
      <c r="H2258" s="635">
        <v>554373.09900000005</v>
      </c>
      <c r="I2258" s="655">
        <v>524139.33600000001</v>
      </c>
      <c r="J2258" s="635">
        <f t="shared" si="91"/>
        <v>1118512.4350000001</v>
      </c>
      <c r="K2258" s="635"/>
      <c r="L2258" s="635"/>
      <c r="M2258" s="655">
        <f t="shared" si="92"/>
        <v>1118512.4350000001</v>
      </c>
      <c r="N2258" s="61"/>
      <c r="P2258" s="636"/>
    </row>
    <row r="2259" spans="1:16" s="242" customFormat="1" ht="14.25" customHeight="1">
      <c r="A2259" s="624">
        <v>97</v>
      </c>
      <c r="B2259" s="625" t="e">
        <f>VLOOKUP(D2259,'[1]DS CN MOI UP'!$B$11:$C$447,2,0)</f>
        <v>#N/A</v>
      </c>
      <c r="C2259" s="626"/>
      <c r="D2259" s="61" t="s">
        <v>1692</v>
      </c>
      <c r="E2259" s="630" t="s">
        <v>15</v>
      </c>
      <c r="F2259" s="630"/>
      <c r="G2259" s="655">
        <v>40000</v>
      </c>
      <c r="H2259" s="635">
        <v>635040.18900000001</v>
      </c>
      <c r="I2259" s="655">
        <v>524139.33600000001</v>
      </c>
      <c r="J2259" s="635">
        <f t="shared" si="91"/>
        <v>1199179.5249999999</v>
      </c>
      <c r="K2259" s="635"/>
      <c r="L2259" s="635"/>
      <c r="M2259" s="655">
        <f t="shared" si="92"/>
        <v>1199179.5249999999</v>
      </c>
      <c r="N2259" s="61"/>
    </row>
    <row r="2260" spans="1:16" s="242" customFormat="1" ht="14.25" customHeight="1">
      <c r="A2260" s="624">
        <v>98</v>
      </c>
      <c r="B2260" s="625" t="e">
        <f>VLOOKUP(D2260,'[1]DS CN MOI UP'!$B$11:$C$447,2,0)</f>
        <v>#N/A</v>
      </c>
      <c r="C2260" s="626"/>
      <c r="D2260" s="61" t="s">
        <v>1693</v>
      </c>
      <c r="E2260" s="630" t="s">
        <v>15</v>
      </c>
      <c r="F2260" s="630"/>
      <c r="G2260" s="655">
        <v>40000</v>
      </c>
      <c r="H2260" s="635">
        <v>544338.9</v>
      </c>
      <c r="I2260" s="655">
        <v>524139.33600000001</v>
      </c>
      <c r="J2260" s="635">
        <f t="shared" si="91"/>
        <v>1108478.236</v>
      </c>
      <c r="K2260" s="635"/>
      <c r="L2260" s="635"/>
      <c r="M2260" s="655">
        <f t="shared" si="92"/>
        <v>1108478.236</v>
      </c>
      <c r="N2260" s="61"/>
    </row>
    <row r="2261" spans="1:16" s="242" customFormat="1" ht="14.25" customHeight="1">
      <c r="A2261" s="624">
        <v>99</v>
      </c>
      <c r="B2261" s="625" t="e">
        <f>VLOOKUP(D2261,'[1]DS CN MOI UP'!$B$11:$C$447,2,0)</f>
        <v>#N/A</v>
      </c>
      <c r="C2261" s="626"/>
      <c r="D2261" s="61" t="s">
        <v>1694</v>
      </c>
      <c r="E2261" s="630" t="s">
        <v>15</v>
      </c>
      <c r="F2261" s="630"/>
      <c r="G2261" s="655">
        <v>40000</v>
      </c>
      <c r="H2261" s="635">
        <v>574572.66299999994</v>
      </c>
      <c r="I2261" s="655">
        <v>524139.33600000001</v>
      </c>
      <c r="J2261" s="635">
        <f t="shared" si="91"/>
        <v>1138711.9989999998</v>
      </c>
      <c r="K2261" s="635"/>
      <c r="L2261" s="635"/>
      <c r="M2261" s="655">
        <f t="shared" si="92"/>
        <v>1138711.9989999998</v>
      </c>
      <c r="N2261" s="61"/>
    </row>
    <row r="2262" spans="1:16" s="242" customFormat="1" ht="14.25" customHeight="1">
      <c r="A2262" s="624">
        <v>100</v>
      </c>
      <c r="B2262" s="625" t="e">
        <f>VLOOKUP(D2262,'[1]DS CN MOI UP'!$B$11:$C$447,2,0)</f>
        <v>#N/A</v>
      </c>
      <c r="C2262" s="626"/>
      <c r="D2262" s="61" t="s">
        <v>1695</v>
      </c>
      <c r="E2262" s="630" t="s">
        <v>15</v>
      </c>
      <c r="F2262" s="630"/>
      <c r="G2262" s="655">
        <v>40000</v>
      </c>
      <c r="H2262" s="655">
        <v>604806.42599999998</v>
      </c>
      <c r="I2262" s="655">
        <v>524139.33600000001</v>
      </c>
      <c r="J2262" s="635">
        <f t="shared" si="91"/>
        <v>1168945.7620000001</v>
      </c>
      <c r="K2262" s="635"/>
      <c r="L2262" s="635"/>
      <c r="M2262" s="655">
        <f t="shared" si="92"/>
        <v>1168945.7620000001</v>
      </c>
      <c r="N2262" s="61"/>
    </row>
    <row r="2263" spans="1:16" s="242" customFormat="1" ht="14.25" customHeight="1">
      <c r="A2263" s="624">
        <v>101</v>
      </c>
      <c r="B2263" s="625" t="e">
        <f>VLOOKUP(D2263,'[1]DS CN MOI UP'!$B$11:$C$447,2,0)</f>
        <v>#N/A</v>
      </c>
      <c r="C2263" s="626"/>
      <c r="D2263" s="61" t="s">
        <v>1696</v>
      </c>
      <c r="E2263" s="630" t="s">
        <v>15</v>
      </c>
      <c r="F2263" s="630"/>
      <c r="G2263" s="655">
        <v>40000</v>
      </c>
      <c r="H2263" s="655">
        <v>584606.86199999996</v>
      </c>
      <c r="I2263" s="655">
        <v>524139.33600000001</v>
      </c>
      <c r="J2263" s="635">
        <f t="shared" si="91"/>
        <v>1148746.1979999999</v>
      </c>
      <c r="K2263" s="635"/>
      <c r="L2263" s="635"/>
      <c r="M2263" s="655">
        <f t="shared" si="92"/>
        <v>1148746.1979999999</v>
      </c>
      <c r="N2263" s="61"/>
    </row>
    <row r="2264" spans="1:16" s="242" customFormat="1" ht="14.25" customHeight="1">
      <c r="A2264" s="624">
        <v>102</v>
      </c>
      <c r="B2264" s="625" t="e">
        <f>VLOOKUP(D2264,'[1]DS CN MOI UP'!$B$11:$C$447,2,0)</f>
        <v>#N/A</v>
      </c>
      <c r="C2264" s="626"/>
      <c r="D2264" s="61" t="s">
        <v>1697</v>
      </c>
      <c r="E2264" s="630" t="s">
        <v>15</v>
      </c>
      <c r="F2264" s="630"/>
      <c r="G2264" s="655">
        <v>40000</v>
      </c>
      <c r="H2264" s="655">
        <v>635040.18900000001</v>
      </c>
      <c r="I2264" s="655">
        <v>524139.33600000001</v>
      </c>
      <c r="J2264" s="635">
        <f t="shared" si="91"/>
        <v>1199179.5249999999</v>
      </c>
      <c r="K2264" s="635"/>
      <c r="L2264" s="635"/>
      <c r="M2264" s="655">
        <f t="shared" si="92"/>
        <v>1199179.5249999999</v>
      </c>
      <c r="N2264" s="61"/>
    </row>
    <row r="2265" spans="1:16" s="242" customFormat="1" ht="14.25" customHeight="1">
      <c r="A2265" s="624">
        <v>103</v>
      </c>
      <c r="B2265" s="625" t="e">
        <f>VLOOKUP(D2265,'[1]DS CN MOI UP'!$B$11:$C$447,2,0)</f>
        <v>#N/A</v>
      </c>
      <c r="C2265" s="626"/>
      <c r="D2265" s="61" t="s">
        <v>1698</v>
      </c>
      <c r="E2265" s="630" t="s">
        <v>15</v>
      </c>
      <c r="F2265" s="630"/>
      <c r="G2265" s="655">
        <v>40000</v>
      </c>
      <c r="H2265" s="655">
        <v>524139.33600000001</v>
      </c>
      <c r="I2265" s="655">
        <v>524139.33600000001</v>
      </c>
      <c r="J2265" s="635">
        <f t="shared" si="91"/>
        <v>1088278.672</v>
      </c>
      <c r="K2265" s="635"/>
      <c r="L2265" s="635"/>
      <c r="M2265" s="655">
        <f t="shared" si="92"/>
        <v>1088278.672</v>
      </c>
      <c r="N2265" s="61"/>
    </row>
    <row r="2266" spans="1:16" s="242" customFormat="1" ht="14.25" customHeight="1">
      <c r="A2266" s="624">
        <v>104</v>
      </c>
      <c r="B2266" s="625" t="e">
        <f>VLOOKUP(D2266,'[1]DS CN MOI UP'!$B$11:$C$447,2,0)</f>
        <v>#N/A</v>
      </c>
      <c r="C2266" s="626"/>
      <c r="D2266" s="61" t="s">
        <v>1699</v>
      </c>
      <c r="E2266" s="630" t="s">
        <v>15</v>
      </c>
      <c r="F2266" s="630"/>
      <c r="G2266" s="655">
        <v>40000</v>
      </c>
      <c r="H2266" s="655">
        <v>635040.18900000001</v>
      </c>
      <c r="I2266" s="655">
        <v>524139.33600000001</v>
      </c>
      <c r="J2266" s="635">
        <f t="shared" si="91"/>
        <v>1199179.5249999999</v>
      </c>
      <c r="K2266" s="635"/>
      <c r="L2266" s="635"/>
      <c r="M2266" s="655">
        <f t="shared" si="92"/>
        <v>1199179.5249999999</v>
      </c>
      <c r="N2266" s="61"/>
    </row>
    <row r="2267" spans="1:16" s="242" customFormat="1" ht="14.25" customHeight="1">
      <c r="A2267" s="624">
        <v>105</v>
      </c>
      <c r="B2267" s="625" t="e">
        <f>VLOOKUP(D2267,'[1]DS CN MOI UP'!$B$11:$C$447,2,0)</f>
        <v>#N/A</v>
      </c>
      <c r="C2267" s="626"/>
      <c r="D2267" s="61" t="s">
        <v>1700</v>
      </c>
      <c r="E2267" s="630" t="s">
        <v>15</v>
      </c>
      <c r="F2267" s="630"/>
      <c r="G2267" s="655">
        <v>40000</v>
      </c>
      <c r="H2267" s="655">
        <v>635040.18900000001</v>
      </c>
      <c r="I2267" s="655">
        <v>524139.33600000001</v>
      </c>
      <c r="J2267" s="635">
        <f t="shared" si="91"/>
        <v>1199179.5249999999</v>
      </c>
      <c r="K2267" s="635"/>
      <c r="L2267" s="635"/>
      <c r="M2267" s="655">
        <f t="shared" si="92"/>
        <v>1199179.5249999999</v>
      </c>
      <c r="N2267" s="61"/>
    </row>
    <row r="2268" spans="1:16" s="242" customFormat="1" ht="14.25" customHeight="1">
      <c r="A2268" s="624">
        <v>106</v>
      </c>
      <c r="B2268" s="625" t="e">
        <f>VLOOKUP(D2268,'[1]DS CN MOI UP'!$B$11:$C$447,2,0)</f>
        <v>#N/A</v>
      </c>
      <c r="C2268" s="626"/>
      <c r="D2268" s="61" t="s">
        <v>1701</v>
      </c>
      <c r="E2268" s="630" t="s">
        <v>15</v>
      </c>
      <c r="F2268" s="630"/>
      <c r="G2268" s="655">
        <v>40000</v>
      </c>
      <c r="H2268" s="655">
        <v>554373.09900000005</v>
      </c>
      <c r="I2268" s="655">
        <v>524139.33600000001</v>
      </c>
      <c r="J2268" s="635">
        <f t="shared" si="91"/>
        <v>1118512.4350000001</v>
      </c>
      <c r="K2268" s="635"/>
      <c r="L2268" s="635"/>
      <c r="M2268" s="655">
        <f t="shared" si="92"/>
        <v>1118512.4350000001</v>
      </c>
      <c r="N2268" s="61"/>
    </row>
    <row r="2269" spans="1:16" s="242" customFormat="1" ht="14.25" customHeight="1">
      <c r="A2269" s="624">
        <v>107</v>
      </c>
      <c r="B2269" s="625" t="e">
        <f>VLOOKUP(D2269,'[1]DS CN MOI UP'!$B$11:$C$447,2,0)</f>
        <v>#N/A</v>
      </c>
      <c r="C2269" s="626"/>
      <c r="D2269" s="61" t="s">
        <v>1702</v>
      </c>
      <c r="E2269" s="630" t="s">
        <v>15</v>
      </c>
      <c r="F2269" s="630"/>
      <c r="G2269" s="655">
        <v>60000</v>
      </c>
      <c r="H2269" s="655">
        <v>554373.09900000005</v>
      </c>
      <c r="I2269" s="655">
        <v>524139.33600000001</v>
      </c>
      <c r="J2269" s="635">
        <f t="shared" si="91"/>
        <v>1138512.4350000001</v>
      </c>
      <c r="K2269" s="635"/>
      <c r="L2269" s="635"/>
      <c r="M2269" s="655">
        <f t="shared" si="92"/>
        <v>1138512.4350000001</v>
      </c>
      <c r="N2269" s="61"/>
    </row>
    <row r="2270" spans="1:16" s="242" customFormat="1" ht="14.25" customHeight="1">
      <c r="A2270" s="624">
        <v>108</v>
      </c>
      <c r="B2270" s="625" t="e">
        <f>VLOOKUP(D2270,'[1]DS CN MOI UP'!$B$11:$C$447,2,0)</f>
        <v>#N/A</v>
      </c>
      <c r="C2270" s="626"/>
      <c r="D2270" s="61" t="s">
        <v>907</v>
      </c>
      <c r="E2270" s="630" t="s">
        <v>15</v>
      </c>
      <c r="F2270" s="630"/>
      <c r="G2270" s="655">
        <v>40000</v>
      </c>
      <c r="H2270" s="655">
        <v>554373.09900000005</v>
      </c>
      <c r="I2270" s="655">
        <v>524139.33600000001</v>
      </c>
      <c r="J2270" s="635">
        <f t="shared" si="91"/>
        <v>1118512.4350000001</v>
      </c>
      <c r="K2270" s="635"/>
      <c r="L2270" s="635"/>
      <c r="M2270" s="655">
        <f t="shared" si="92"/>
        <v>1118512.4350000001</v>
      </c>
      <c r="N2270" s="61"/>
    </row>
    <row r="2271" spans="1:16" s="242" customFormat="1" ht="14.25" customHeight="1">
      <c r="A2271" s="624">
        <v>109</v>
      </c>
      <c r="B2271" s="625" t="e">
        <f>VLOOKUP(D2271,'[1]DS CN MOI UP'!$B$11:$C$447,2,0)</f>
        <v>#N/A</v>
      </c>
      <c r="C2271" s="626"/>
      <c r="D2271" s="61" t="s">
        <v>1703</v>
      </c>
      <c r="E2271" s="630" t="s">
        <v>15</v>
      </c>
      <c r="F2271" s="630"/>
      <c r="G2271" s="655">
        <v>40000</v>
      </c>
      <c r="H2271" s="655">
        <v>554373.09900000005</v>
      </c>
      <c r="I2271" s="655">
        <v>524139.33600000001</v>
      </c>
      <c r="J2271" s="635">
        <f t="shared" si="91"/>
        <v>1118512.4350000001</v>
      </c>
      <c r="K2271" s="635"/>
      <c r="L2271" s="635"/>
      <c r="M2271" s="655">
        <f t="shared" si="92"/>
        <v>1118512.4350000001</v>
      </c>
      <c r="N2271" s="61"/>
    </row>
    <row r="2272" spans="1:16" s="242" customFormat="1" ht="14.25" customHeight="1">
      <c r="A2272" s="624">
        <v>110</v>
      </c>
      <c r="B2272" s="625" t="e">
        <f>VLOOKUP(D2272,'[1]DS CN MOI UP'!$B$11:$C$447,2,0)</f>
        <v>#N/A</v>
      </c>
      <c r="C2272" s="626"/>
      <c r="D2272" s="61" t="s">
        <v>1704</v>
      </c>
      <c r="E2272" s="630" t="s">
        <v>15</v>
      </c>
      <c r="F2272" s="630"/>
      <c r="G2272" s="655">
        <v>40000</v>
      </c>
      <c r="H2272" s="655">
        <v>554373.09900000005</v>
      </c>
      <c r="I2272" s="655">
        <v>414271.75599989999</v>
      </c>
      <c r="J2272" s="635">
        <f t="shared" si="91"/>
        <v>1008644.8549999001</v>
      </c>
      <c r="K2272" s="635"/>
      <c r="L2272" s="635"/>
      <c r="M2272" s="655">
        <f t="shared" si="92"/>
        <v>1008644.8549999001</v>
      </c>
      <c r="N2272" s="61"/>
    </row>
    <row r="2273" spans="1:15" s="242" customFormat="1" ht="14.25" customHeight="1">
      <c r="A2273" s="624">
        <v>111</v>
      </c>
      <c r="B2273" s="625" t="e">
        <f>VLOOKUP(D2273,'[1]DS CN MOI UP'!$B$11:$C$447,2,0)</f>
        <v>#N/A</v>
      </c>
      <c r="C2273" s="626"/>
      <c r="D2273" s="61" t="s">
        <v>1705</v>
      </c>
      <c r="E2273" s="630" t="s">
        <v>15</v>
      </c>
      <c r="F2273" s="630"/>
      <c r="G2273" s="655">
        <v>40000</v>
      </c>
      <c r="H2273" s="655">
        <v>1229038.53819991</v>
      </c>
      <c r="I2273" s="655"/>
      <c r="J2273" s="635">
        <f t="shared" si="91"/>
        <v>1269038.53819991</v>
      </c>
      <c r="K2273" s="635"/>
      <c r="L2273" s="635"/>
      <c r="M2273" s="655">
        <f t="shared" si="92"/>
        <v>1269038.53819991</v>
      </c>
      <c r="N2273" s="61"/>
    </row>
    <row r="2274" spans="1:15" s="242" customFormat="1" ht="14.25" customHeight="1">
      <c r="A2274" s="624">
        <v>112</v>
      </c>
      <c r="B2274" s="625" t="e">
        <f>VLOOKUP(D2274,'[1]DS CN MOI UP'!$B$11:$C$447,2,0)</f>
        <v>#N/A</v>
      </c>
      <c r="C2274" s="626"/>
      <c r="D2274" s="61" t="s">
        <v>1533</v>
      </c>
      <c r="E2274" s="630" t="s">
        <v>15</v>
      </c>
      <c r="F2274" s="630"/>
      <c r="G2274" s="655">
        <v>40000</v>
      </c>
      <c r="H2274" s="655">
        <v>1159179.5249999999</v>
      </c>
      <c r="I2274" s="655"/>
      <c r="J2274" s="635">
        <f t="shared" si="91"/>
        <v>1199179.5249999999</v>
      </c>
      <c r="K2274" s="635"/>
      <c r="L2274" s="635"/>
      <c r="M2274" s="655">
        <f t="shared" si="92"/>
        <v>1199179.5249999999</v>
      </c>
      <c r="N2274" s="61"/>
    </row>
    <row r="2275" spans="1:15" s="242" customFormat="1" ht="14.25" customHeight="1">
      <c r="A2275" s="624">
        <v>113</v>
      </c>
      <c r="B2275" s="625" t="e">
        <f>VLOOKUP(D2275,'[1]DS CN MOI UP'!$B$11:$C$447,2,0)</f>
        <v>#N/A</v>
      </c>
      <c r="C2275" s="626"/>
      <c r="D2275" s="61" t="s">
        <v>762</v>
      </c>
      <c r="E2275" s="630" t="s">
        <v>15</v>
      </c>
      <c r="F2275" s="630"/>
      <c r="G2275" s="655">
        <v>40000</v>
      </c>
      <c r="H2275" s="655">
        <v>1239846.615</v>
      </c>
      <c r="I2275" s="655"/>
      <c r="J2275" s="635">
        <f t="shared" si="91"/>
        <v>1279846.615</v>
      </c>
      <c r="K2275" s="635"/>
      <c r="L2275" s="635"/>
      <c r="M2275" s="655">
        <f t="shared" si="92"/>
        <v>1279846.615</v>
      </c>
      <c r="N2275" s="61"/>
    </row>
    <row r="2276" spans="1:15" s="242" customFormat="1" ht="14.25" customHeight="1">
      <c r="A2276" s="624">
        <v>114</v>
      </c>
      <c r="B2276" s="625" t="e">
        <f>VLOOKUP(D2276,'[1]DS CN MOI UP'!$B$11:$C$447,2,0)</f>
        <v>#N/A</v>
      </c>
      <c r="C2276" s="626"/>
      <c r="D2276" s="61" t="s">
        <v>763</v>
      </c>
      <c r="E2276" s="630" t="s">
        <v>15</v>
      </c>
      <c r="F2276" s="630"/>
      <c r="G2276" s="655">
        <v>40000</v>
      </c>
      <c r="H2276" s="655">
        <v>1149145.3259999999</v>
      </c>
      <c r="I2276" s="655"/>
      <c r="J2276" s="635">
        <f t="shared" si="91"/>
        <v>1189145.3259999999</v>
      </c>
      <c r="K2276" s="635"/>
      <c r="L2276" s="635"/>
      <c r="M2276" s="655">
        <f t="shared" si="92"/>
        <v>1189145.3259999999</v>
      </c>
      <c r="N2276" s="61"/>
    </row>
    <row r="2277" spans="1:15" s="242" customFormat="1" ht="14.25" customHeight="1">
      <c r="A2277" s="624">
        <v>115</v>
      </c>
      <c r="B2277" s="625" t="e">
        <f>VLOOKUP(D2277,'[1]DS CN MOI UP'!$B$11:$C$447,2,0)</f>
        <v>#N/A</v>
      </c>
      <c r="C2277" s="626"/>
      <c r="D2277" s="61" t="s">
        <v>764</v>
      </c>
      <c r="E2277" s="630" t="s">
        <v>15</v>
      </c>
      <c r="F2277" s="630"/>
      <c r="G2277" s="655">
        <v>60000</v>
      </c>
      <c r="H2277" s="655">
        <v>1159179.5249999999</v>
      </c>
      <c r="I2277" s="655"/>
      <c r="J2277" s="635">
        <f t="shared" si="91"/>
        <v>1219179.5249999999</v>
      </c>
      <c r="K2277" s="635"/>
      <c r="L2277" s="635"/>
      <c r="M2277" s="655">
        <f t="shared" si="92"/>
        <v>1219179.5249999999</v>
      </c>
      <c r="N2277" s="61"/>
    </row>
    <row r="2278" spans="1:15" s="242" customFormat="1" ht="14.25" customHeight="1">
      <c r="A2278" s="624">
        <v>116</v>
      </c>
      <c r="B2278" s="625" t="e">
        <f>VLOOKUP(D2278,'[1]DS CN MOI UP'!$B$11:$C$447,2,0)</f>
        <v>#N/A</v>
      </c>
      <c r="C2278" s="626"/>
      <c r="D2278" s="61" t="s">
        <v>765</v>
      </c>
      <c r="E2278" s="630" t="s">
        <v>15</v>
      </c>
      <c r="F2278" s="630"/>
      <c r="G2278" s="655">
        <v>40000</v>
      </c>
      <c r="H2278" s="655">
        <v>1239846.615</v>
      </c>
      <c r="I2278" s="655"/>
      <c r="J2278" s="635">
        <f t="shared" si="91"/>
        <v>1279846.615</v>
      </c>
      <c r="K2278" s="635"/>
      <c r="L2278" s="635"/>
      <c r="M2278" s="655">
        <f t="shared" si="92"/>
        <v>1279846.615</v>
      </c>
      <c r="N2278" s="61"/>
    </row>
    <row r="2279" spans="1:15" s="242" customFormat="1" ht="14.25" customHeight="1">
      <c r="A2279" s="624">
        <v>117</v>
      </c>
      <c r="B2279" s="625" t="e">
        <f>VLOOKUP(D2279,'[1]DS CN MOI UP'!$B$11:$C$447,2,0)</f>
        <v>#N/A</v>
      </c>
      <c r="C2279" s="626"/>
      <c r="D2279" s="61" t="s">
        <v>766</v>
      </c>
      <c r="E2279" s="630" t="s">
        <v>15</v>
      </c>
      <c r="F2279" s="630"/>
      <c r="G2279" s="655">
        <v>40000</v>
      </c>
      <c r="H2279" s="655">
        <v>1149145.3259999999</v>
      </c>
      <c r="I2279" s="655"/>
      <c r="J2279" s="635">
        <f t="shared" si="91"/>
        <v>1189145.3259999999</v>
      </c>
      <c r="K2279" s="635"/>
      <c r="L2279" s="635"/>
      <c r="M2279" s="655">
        <f t="shared" si="92"/>
        <v>1189145.3259999999</v>
      </c>
      <c r="N2279" s="61"/>
    </row>
    <row r="2280" spans="1:15" s="242" customFormat="1" ht="14.25" customHeight="1">
      <c r="A2280" s="624">
        <v>118</v>
      </c>
      <c r="B2280" s="625" t="e">
        <f>VLOOKUP(D2280,'[1]DS CN MOI UP'!$B$11:$C$447,2,0)</f>
        <v>#N/A</v>
      </c>
      <c r="C2280" s="626"/>
      <c r="D2280" s="61" t="s">
        <v>1706</v>
      </c>
      <c r="E2280" s="630" t="s">
        <v>15</v>
      </c>
      <c r="F2280" s="630"/>
      <c r="G2280" s="655">
        <v>40000</v>
      </c>
      <c r="H2280" s="655">
        <v>1229038.53819991</v>
      </c>
      <c r="I2280" s="655"/>
      <c r="J2280" s="635">
        <f t="shared" si="91"/>
        <v>1269038.53819991</v>
      </c>
      <c r="K2280" s="635"/>
      <c r="L2280" s="635"/>
      <c r="M2280" s="655">
        <f t="shared" si="92"/>
        <v>1269038.53819991</v>
      </c>
      <c r="N2280" s="61"/>
    </row>
    <row r="2281" spans="1:15" s="242" customFormat="1" ht="14.25" customHeight="1">
      <c r="A2281" s="624">
        <v>119</v>
      </c>
      <c r="B2281" s="625" t="e">
        <f>VLOOKUP(D2281,'[1]DS CN MOI UP'!$B$11:$C$447,2,0)</f>
        <v>#N/A</v>
      </c>
      <c r="C2281" s="626"/>
      <c r="D2281" s="61" t="s">
        <v>768</v>
      </c>
      <c r="E2281" s="630" t="s">
        <v>15</v>
      </c>
      <c r="F2281" s="630"/>
      <c r="G2281" s="655">
        <v>40000</v>
      </c>
      <c r="H2281" s="655">
        <v>1159179.5249999999</v>
      </c>
      <c r="I2281" s="655"/>
      <c r="J2281" s="635">
        <f t="shared" si="91"/>
        <v>1199179.5249999999</v>
      </c>
      <c r="K2281" s="635"/>
      <c r="L2281" s="635"/>
      <c r="M2281" s="655">
        <f t="shared" si="92"/>
        <v>1199179.5249999999</v>
      </c>
      <c r="N2281" s="61"/>
    </row>
    <row r="2282" spans="1:15" s="242" customFormat="1" ht="14.25" customHeight="1">
      <c r="A2282" s="624">
        <v>120</v>
      </c>
      <c r="B2282" s="625" t="e">
        <f>VLOOKUP(D2282,'[1]DS CN MOI UP'!$B$11:$C$447,2,0)</f>
        <v>#N/A</v>
      </c>
      <c r="C2282" s="626"/>
      <c r="D2282" s="61" t="s">
        <v>769</v>
      </c>
      <c r="E2282" s="630" t="s">
        <v>15</v>
      </c>
      <c r="F2282" s="630"/>
      <c r="G2282" s="655">
        <v>40000</v>
      </c>
      <c r="H2282" s="655">
        <v>1229038.53819991</v>
      </c>
      <c r="I2282" s="655"/>
      <c r="J2282" s="635">
        <f t="shared" si="91"/>
        <v>1269038.53819991</v>
      </c>
      <c r="K2282" s="635"/>
      <c r="L2282" s="635"/>
      <c r="M2282" s="655">
        <f t="shared" si="92"/>
        <v>1269038.53819991</v>
      </c>
      <c r="N2282" s="61"/>
    </row>
    <row r="2283" spans="1:15" s="242" customFormat="1" ht="14.25" customHeight="1">
      <c r="A2283" s="624">
        <v>121</v>
      </c>
      <c r="B2283" s="625" t="e">
        <f>VLOOKUP(D2283,'[1]DS CN MOI UP'!$B$11:$C$447,2,0)</f>
        <v>#N/A</v>
      </c>
      <c r="C2283" s="626"/>
      <c r="D2283" s="61" t="s">
        <v>1707</v>
      </c>
      <c r="E2283" s="630" t="s">
        <v>15</v>
      </c>
      <c r="F2283" s="630"/>
      <c r="G2283" s="655">
        <v>40000</v>
      </c>
      <c r="H2283" s="655">
        <v>1159179.5249999999</v>
      </c>
      <c r="I2283" s="655"/>
      <c r="J2283" s="635">
        <f t="shared" si="91"/>
        <v>1199179.5249999999</v>
      </c>
      <c r="K2283" s="635"/>
      <c r="L2283" s="635"/>
      <c r="M2283" s="655">
        <f t="shared" si="92"/>
        <v>1199179.5249999999</v>
      </c>
      <c r="N2283" s="61"/>
    </row>
    <row r="2284" spans="1:15" s="242" customFormat="1" ht="14.25" customHeight="1">
      <c r="A2284" s="624">
        <v>122</v>
      </c>
      <c r="B2284" s="625" t="e">
        <f>VLOOKUP(D2284,'[1]DS CN MOI UP'!$B$11:$C$447,2,0)</f>
        <v>#N/A</v>
      </c>
      <c r="C2284" s="626"/>
      <c r="D2284" s="61" t="s">
        <v>1708</v>
      </c>
      <c r="E2284" s="630" t="s">
        <v>15</v>
      </c>
      <c r="F2284" s="630"/>
      <c r="G2284" s="655">
        <v>40000</v>
      </c>
      <c r="H2284" s="655">
        <v>1239846.615</v>
      </c>
      <c r="I2284" s="655"/>
      <c r="J2284" s="635">
        <f t="shared" ref="J2284:J2371" si="93">SUM(G2284:I2284)</f>
        <v>1279846.615</v>
      </c>
      <c r="K2284" s="635"/>
      <c r="L2284" s="635"/>
      <c r="M2284" s="655">
        <f t="shared" ref="M2284:M2371" si="94">J2284-L2284</f>
        <v>1279846.615</v>
      </c>
      <c r="N2284" s="61"/>
    </row>
    <row r="2285" spans="1:15" s="242" customFormat="1" ht="14.25" customHeight="1">
      <c r="A2285" s="624">
        <v>123</v>
      </c>
      <c r="B2285" s="625" t="e">
        <f>VLOOKUP(D2285,'[1]DS CN MOI UP'!$B$11:$C$447,2,0)</f>
        <v>#N/A</v>
      </c>
      <c r="C2285" s="626"/>
      <c r="D2285" s="61" t="s">
        <v>1709</v>
      </c>
      <c r="E2285" s="630" t="s">
        <v>15</v>
      </c>
      <c r="F2285" s="630"/>
      <c r="G2285" s="655">
        <v>40000</v>
      </c>
      <c r="H2285" s="655">
        <v>1149145.3259999999</v>
      </c>
      <c r="I2285" s="655"/>
      <c r="J2285" s="635">
        <f t="shared" si="93"/>
        <v>1189145.3259999999</v>
      </c>
      <c r="K2285" s="635"/>
      <c r="L2285" s="635"/>
      <c r="M2285" s="655">
        <f t="shared" si="94"/>
        <v>1189145.3259999999</v>
      </c>
      <c r="N2285" s="61"/>
      <c r="O2285" s="636"/>
    </row>
    <row r="2286" spans="1:15" s="242" customFormat="1" ht="14.25" customHeight="1">
      <c r="A2286" s="624">
        <v>124</v>
      </c>
      <c r="B2286" s="625" t="e">
        <f>VLOOKUP(D2286,'[1]DS CN MOI UP'!$B$11:$C$447,2,0)</f>
        <v>#N/A</v>
      </c>
      <c r="C2286" s="626"/>
      <c r="D2286" s="61" t="s">
        <v>771</v>
      </c>
      <c r="E2286" s="630" t="s">
        <v>15</v>
      </c>
      <c r="F2286" s="630"/>
      <c r="G2286" s="655">
        <v>40000</v>
      </c>
      <c r="H2286" s="655">
        <v>1159179.5249999999</v>
      </c>
      <c r="I2286" s="655"/>
      <c r="J2286" s="635">
        <f t="shared" si="93"/>
        <v>1199179.5249999999</v>
      </c>
      <c r="K2286" s="635"/>
      <c r="L2286" s="635"/>
      <c r="M2286" s="655">
        <f t="shared" si="94"/>
        <v>1199179.5249999999</v>
      </c>
      <c r="N2286" s="61"/>
    </row>
    <row r="2287" spans="1:15" s="242" customFormat="1" ht="14.25" customHeight="1">
      <c r="A2287" s="624">
        <v>125</v>
      </c>
      <c r="B2287" s="625" t="e">
        <f>VLOOKUP(D2287,'[1]DS CN MOI UP'!$B$11:$C$447,2,0)</f>
        <v>#N/A</v>
      </c>
      <c r="C2287" s="626"/>
      <c r="D2287" s="61" t="s">
        <v>1710</v>
      </c>
      <c r="E2287" s="630" t="s">
        <v>15</v>
      </c>
      <c r="F2287" s="630"/>
      <c r="G2287" s="655">
        <v>40000</v>
      </c>
      <c r="H2287" s="655">
        <v>1239846.615</v>
      </c>
      <c r="I2287" s="655"/>
      <c r="J2287" s="635">
        <f t="shared" si="93"/>
        <v>1279846.615</v>
      </c>
      <c r="K2287" s="635"/>
      <c r="L2287" s="635"/>
      <c r="M2287" s="655">
        <f t="shared" si="94"/>
        <v>1279846.615</v>
      </c>
      <c r="N2287" s="61"/>
    </row>
    <row r="2288" spans="1:15" s="242" customFormat="1" ht="14.25" customHeight="1">
      <c r="A2288" s="624">
        <v>126</v>
      </c>
      <c r="B2288" s="625" t="e">
        <f>VLOOKUP(D2288,'[1]DS CN MOI UP'!$B$11:$C$447,2,0)</f>
        <v>#N/A</v>
      </c>
      <c r="C2288" s="626"/>
      <c r="D2288" s="61" t="s">
        <v>773</v>
      </c>
      <c r="E2288" s="630" t="s">
        <v>15</v>
      </c>
      <c r="F2288" s="630"/>
      <c r="G2288" s="655">
        <v>40000</v>
      </c>
      <c r="H2288" s="655">
        <v>1149145.3259999999</v>
      </c>
      <c r="I2288" s="655"/>
      <c r="J2288" s="635">
        <f t="shared" si="93"/>
        <v>1189145.3259999999</v>
      </c>
      <c r="K2288" s="635"/>
      <c r="L2288" s="635"/>
      <c r="M2288" s="655">
        <f t="shared" si="94"/>
        <v>1189145.3259999999</v>
      </c>
      <c r="N2288" s="61"/>
    </row>
    <row r="2289" spans="1:14" s="242" customFormat="1" ht="14.25" customHeight="1">
      <c r="A2289" s="624">
        <v>127</v>
      </c>
      <c r="B2289" s="625" t="e">
        <f>VLOOKUP(D2289,'[1]DS CN MOI UP'!$B$11:$C$447,2,0)</f>
        <v>#N/A</v>
      </c>
      <c r="C2289" s="626"/>
      <c r="D2289" s="61" t="s">
        <v>774</v>
      </c>
      <c r="E2289" s="630" t="s">
        <v>15</v>
      </c>
      <c r="F2289" s="630"/>
      <c r="G2289" s="655">
        <v>40000</v>
      </c>
      <c r="H2289" s="655">
        <v>1229038.53819991</v>
      </c>
      <c r="I2289" s="655"/>
      <c r="J2289" s="635">
        <f t="shared" si="93"/>
        <v>1269038.53819991</v>
      </c>
      <c r="K2289" s="635"/>
      <c r="L2289" s="635"/>
      <c r="M2289" s="655">
        <f t="shared" si="94"/>
        <v>1269038.53819991</v>
      </c>
      <c r="N2289" s="61"/>
    </row>
    <row r="2290" spans="1:14" s="242" customFormat="1" ht="14.25" customHeight="1">
      <c r="A2290" s="624">
        <v>128</v>
      </c>
      <c r="B2290" s="625" t="e">
        <f>VLOOKUP(D2290,'[1]DS CN MOI UP'!$B$11:$C$447,2,0)</f>
        <v>#N/A</v>
      </c>
      <c r="C2290" s="626"/>
      <c r="D2290" s="61" t="s">
        <v>1711</v>
      </c>
      <c r="E2290" s="630" t="s">
        <v>15</v>
      </c>
      <c r="F2290" s="630"/>
      <c r="G2290" s="655">
        <v>40000</v>
      </c>
      <c r="H2290" s="655">
        <v>1159179.5249999999</v>
      </c>
      <c r="I2290" s="655"/>
      <c r="J2290" s="635">
        <f t="shared" si="93"/>
        <v>1199179.5249999999</v>
      </c>
      <c r="K2290" s="635"/>
      <c r="L2290" s="635"/>
      <c r="M2290" s="655">
        <f t="shared" si="94"/>
        <v>1199179.5249999999</v>
      </c>
      <c r="N2290" s="61"/>
    </row>
    <row r="2291" spans="1:14" s="242" customFormat="1" ht="14.25" customHeight="1">
      <c r="A2291" s="624">
        <v>129</v>
      </c>
      <c r="B2291" s="625" t="e">
        <f>VLOOKUP(D2291,'[1]DS CN MOI UP'!$B$11:$C$447,2,0)</f>
        <v>#N/A</v>
      </c>
      <c r="C2291" s="626"/>
      <c r="D2291" s="61" t="s">
        <v>1712</v>
      </c>
      <c r="E2291" s="630" t="s">
        <v>15</v>
      </c>
      <c r="F2291" s="630"/>
      <c r="G2291" s="655">
        <v>40000</v>
      </c>
      <c r="H2291" s="655">
        <v>554373.09900000005</v>
      </c>
      <c r="I2291" s="655">
        <v>436874.00809438498</v>
      </c>
      <c r="J2291" s="635">
        <f t="shared" si="93"/>
        <v>1031247.107094385</v>
      </c>
      <c r="K2291" s="635"/>
      <c r="L2291" s="635"/>
      <c r="M2291" s="655">
        <f t="shared" si="94"/>
        <v>1031247.107094385</v>
      </c>
      <c r="N2291" s="61"/>
    </row>
    <row r="2292" spans="1:14" s="242" customFormat="1" ht="14.25" customHeight="1">
      <c r="A2292" s="624">
        <v>130</v>
      </c>
      <c r="B2292" s="625" t="e">
        <f>VLOOKUP(D2292,'[1]DS CN MOI UP'!$B$11:$C$447,2,0)</f>
        <v>#N/A</v>
      </c>
      <c r="C2292" s="626"/>
      <c r="D2292" s="61" t="s">
        <v>777</v>
      </c>
      <c r="E2292" s="630" t="s">
        <v>15</v>
      </c>
      <c r="F2292" s="630"/>
      <c r="G2292" s="655">
        <v>40000</v>
      </c>
      <c r="H2292" s="655">
        <v>554373.09900000005</v>
      </c>
      <c r="I2292" s="655">
        <v>436874.00809438498</v>
      </c>
      <c r="J2292" s="635">
        <f t="shared" si="93"/>
        <v>1031247.107094385</v>
      </c>
      <c r="K2292" s="635"/>
      <c r="L2292" s="635"/>
      <c r="M2292" s="655">
        <f t="shared" si="94"/>
        <v>1031247.107094385</v>
      </c>
      <c r="N2292" s="61"/>
    </row>
    <row r="2293" spans="1:14" s="242" customFormat="1" ht="14.25" customHeight="1">
      <c r="A2293" s="624">
        <v>131</v>
      </c>
      <c r="B2293" s="625" t="e">
        <f>VLOOKUP(D2293,'[1]DS CN MOI UP'!$B$11:$C$447,2,0)</f>
        <v>#N/A</v>
      </c>
      <c r="C2293" s="626"/>
      <c r="D2293" s="61" t="s">
        <v>1714</v>
      </c>
      <c r="E2293" s="630" t="s">
        <v>15</v>
      </c>
      <c r="F2293" s="630"/>
      <c r="G2293" s="655">
        <v>40000</v>
      </c>
      <c r="H2293" s="655">
        <v>554373.09900000005</v>
      </c>
      <c r="I2293" s="655">
        <v>436874.00809438498</v>
      </c>
      <c r="J2293" s="635">
        <f t="shared" si="93"/>
        <v>1031247.107094385</v>
      </c>
      <c r="K2293" s="635"/>
      <c r="L2293" s="635"/>
      <c r="M2293" s="655">
        <f t="shared" si="94"/>
        <v>1031247.107094385</v>
      </c>
      <c r="N2293" s="61"/>
    </row>
    <row r="2294" spans="1:14" s="242" customFormat="1" ht="14.25" customHeight="1">
      <c r="A2294" s="624">
        <v>132</v>
      </c>
      <c r="B2294" s="625" t="e">
        <f>VLOOKUP(D2294,'[1]DS CN MOI UP'!$B$11:$C$447,2,0)</f>
        <v>#N/A</v>
      </c>
      <c r="C2294" s="626"/>
      <c r="D2294" s="61" t="s">
        <v>1715</v>
      </c>
      <c r="E2294" s="630" t="s">
        <v>15</v>
      </c>
      <c r="F2294" s="630"/>
      <c r="G2294" s="655">
        <v>40000</v>
      </c>
      <c r="H2294" s="655">
        <v>554373.09900000005</v>
      </c>
      <c r="I2294" s="655">
        <v>436874.00809438498</v>
      </c>
      <c r="J2294" s="635">
        <f t="shared" si="93"/>
        <v>1031247.107094385</v>
      </c>
      <c r="K2294" s="635"/>
      <c r="L2294" s="635"/>
      <c r="M2294" s="655">
        <f t="shared" si="94"/>
        <v>1031247.107094385</v>
      </c>
      <c r="N2294" s="61"/>
    </row>
    <row r="2295" spans="1:14" s="242" customFormat="1" ht="14.25" customHeight="1">
      <c r="A2295" s="624">
        <v>133</v>
      </c>
      <c r="B2295" s="625" t="e">
        <f>VLOOKUP(D2295,'[1]DS CN MOI UP'!$B$11:$C$447,2,0)</f>
        <v>#N/A</v>
      </c>
      <c r="C2295" s="626"/>
      <c r="D2295" s="61" t="s">
        <v>1716</v>
      </c>
      <c r="E2295" s="630" t="s">
        <v>15</v>
      </c>
      <c r="F2295" s="630"/>
      <c r="G2295" s="655">
        <v>705000</v>
      </c>
      <c r="H2295" s="655">
        <v>436874.00809438498</v>
      </c>
      <c r="I2295" s="655"/>
      <c r="J2295" s="635">
        <f t="shared" si="93"/>
        <v>1141874.008094385</v>
      </c>
      <c r="K2295" s="635"/>
      <c r="L2295" s="635"/>
      <c r="M2295" s="655">
        <f t="shared" si="94"/>
        <v>1141874.008094385</v>
      </c>
      <c r="N2295" s="61"/>
    </row>
    <row r="2296" spans="1:14" s="242" customFormat="1" ht="14.25" customHeight="1">
      <c r="A2296" s="624">
        <v>134</v>
      </c>
      <c r="B2296" s="625" t="e">
        <f>VLOOKUP(D2296,'[1]DS CN MOI UP'!$B$11:$C$447,2,0)</f>
        <v>#N/A</v>
      </c>
      <c r="C2296" s="626"/>
      <c r="D2296" s="61" t="s">
        <v>1717</v>
      </c>
      <c r="E2296" s="630" t="s">
        <v>15</v>
      </c>
      <c r="F2296" s="630"/>
      <c r="G2296" s="655">
        <v>705000</v>
      </c>
      <c r="H2296" s="655">
        <v>436874.00809438498</v>
      </c>
      <c r="I2296" s="655"/>
      <c r="J2296" s="635">
        <f t="shared" si="93"/>
        <v>1141874.008094385</v>
      </c>
      <c r="K2296" s="635"/>
      <c r="L2296" s="635"/>
      <c r="M2296" s="655">
        <f t="shared" si="94"/>
        <v>1141874.008094385</v>
      </c>
      <c r="N2296" s="61"/>
    </row>
    <row r="2297" spans="1:14" s="242" customFormat="1" ht="14.25" customHeight="1">
      <c r="A2297" s="624">
        <v>135</v>
      </c>
      <c r="B2297" s="625" t="e">
        <f>VLOOKUP(D2297,'[1]DS CN MOI UP'!$B$11:$C$447,2,0)</f>
        <v>#N/A</v>
      </c>
      <c r="C2297" s="626"/>
      <c r="D2297" s="61" t="s">
        <v>1718</v>
      </c>
      <c r="E2297" s="630" t="s">
        <v>15</v>
      </c>
      <c r="F2297" s="630"/>
      <c r="G2297" s="655">
        <v>705000</v>
      </c>
      <c r="H2297" s="655">
        <v>436874.00809438498</v>
      </c>
      <c r="I2297" s="655"/>
      <c r="J2297" s="635">
        <f t="shared" si="93"/>
        <v>1141874.008094385</v>
      </c>
      <c r="K2297" s="635"/>
      <c r="L2297" s="635"/>
      <c r="M2297" s="655">
        <f t="shared" si="94"/>
        <v>1141874.008094385</v>
      </c>
      <c r="N2297" s="61"/>
    </row>
    <row r="2298" spans="1:14" s="242" customFormat="1" ht="14.25" customHeight="1">
      <c r="A2298" s="624">
        <v>136</v>
      </c>
      <c r="B2298" s="625" t="e">
        <f>VLOOKUP(D2298,'[1]DS CN MOI UP'!$B$11:$C$447,2,0)</f>
        <v>#N/A</v>
      </c>
      <c r="C2298" s="626"/>
      <c r="D2298" s="61" t="s">
        <v>1719</v>
      </c>
      <c r="E2298" s="630" t="s">
        <v>15</v>
      </c>
      <c r="F2298" s="630"/>
      <c r="G2298" s="655">
        <v>705000</v>
      </c>
      <c r="H2298" s="655">
        <v>436874.00809438498</v>
      </c>
      <c r="I2298" s="655"/>
      <c r="J2298" s="635">
        <f t="shared" si="93"/>
        <v>1141874.008094385</v>
      </c>
      <c r="K2298" s="635"/>
      <c r="L2298" s="635"/>
      <c r="M2298" s="655">
        <f t="shared" si="94"/>
        <v>1141874.008094385</v>
      </c>
      <c r="N2298" s="61"/>
    </row>
    <row r="2299" spans="1:14" s="242" customFormat="1" ht="14.25" customHeight="1">
      <c r="A2299" s="624">
        <v>137</v>
      </c>
      <c r="B2299" s="625" t="e">
        <f>VLOOKUP(D2299,'[1]DS CN MOI UP'!$B$11:$C$447,2,0)</f>
        <v>#N/A</v>
      </c>
      <c r="C2299" s="626"/>
      <c r="D2299" s="61" t="s">
        <v>1720</v>
      </c>
      <c r="E2299" s="630" t="s">
        <v>15</v>
      </c>
      <c r="F2299" s="630"/>
      <c r="G2299" s="655">
        <v>705000</v>
      </c>
      <c r="H2299" s="655">
        <v>436874.00809438498</v>
      </c>
      <c r="I2299" s="655"/>
      <c r="J2299" s="635">
        <f t="shared" si="93"/>
        <v>1141874.008094385</v>
      </c>
      <c r="K2299" s="635"/>
      <c r="L2299" s="635"/>
      <c r="M2299" s="655">
        <f t="shared" si="94"/>
        <v>1141874.008094385</v>
      </c>
      <c r="N2299" s="61"/>
    </row>
    <row r="2300" spans="1:14" s="242" customFormat="1" ht="14.25" customHeight="1">
      <c r="A2300" s="624">
        <v>138</v>
      </c>
      <c r="B2300" s="625" t="e">
        <f>VLOOKUP(D2300,'[1]DS CN MOI UP'!$B$11:$C$447,2,0)</f>
        <v>#N/A</v>
      </c>
      <c r="C2300" s="626"/>
      <c r="D2300" s="61" t="s">
        <v>1721</v>
      </c>
      <c r="E2300" s="630" t="s">
        <v>15</v>
      </c>
      <c r="F2300" s="630"/>
      <c r="G2300" s="655">
        <v>705000</v>
      </c>
      <c r="H2300" s="655">
        <v>436874.00809438498</v>
      </c>
      <c r="I2300" s="655"/>
      <c r="J2300" s="635">
        <f t="shared" si="93"/>
        <v>1141874.008094385</v>
      </c>
      <c r="K2300" s="635"/>
      <c r="L2300" s="635"/>
      <c r="M2300" s="655">
        <f t="shared" si="94"/>
        <v>1141874.008094385</v>
      </c>
      <c r="N2300" s="61"/>
    </row>
    <row r="2301" spans="1:14" s="242" customFormat="1" ht="14.25" customHeight="1">
      <c r="A2301" s="624">
        <v>139</v>
      </c>
      <c r="B2301" s="625" t="e">
        <f>VLOOKUP(D2301,'[1]DS CN MOI UP'!$B$11:$C$447,2,0)</f>
        <v>#N/A</v>
      </c>
      <c r="C2301" s="626"/>
      <c r="D2301" s="61" t="s">
        <v>1722</v>
      </c>
      <c r="E2301" s="630" t="s">
        <v>15</v>
      </c>
      <c r="F2301" s="630"/>
      <c r="G2301" s="655">
        <v>705000</v>
      </c>
      <c r="H2301" s="655">
        <v>436874.00809438498</v>
      </c>
      <c r="I2301" s="655"/>
      <c r="J2301" s="635">
        <f t="shared" si="93"/>
        <v>1141874.008094385</v>
      </c>
      <c r="K2301" s="635"/>
      <c r="L2301" s="635"/>
      <c r="M2301" s="655">
        <f t="shared" si="94"/>
        <v>1141874.008094385</v>
      </c>
      <c r="N2301" s="61"/>
    </row>
    <row r="2302" spans="1:14" s="242" customFormat="1" ht="14.25" customHeight="1">
      <c r="A2302" s="624">
        <v>140</v>
      </c>
      <c r="B2302" s="625" t="e">
        <f>VLOOKUP(D2302,'[1]DS CN MOI UP'!$B$11:$C$447,2,0)</f>
        <v>#N/A</v>
      </c>
      <c r="C2302" s="626"/>
      <c r="D2302" s="61" t="s">
        <v>1723</v>
      </c>
      <c r="E2302" s="630" t="s">
        <v>15</v>
      </c>
      <c r="F2302" s="630"/>
      <c r="G2302" s="655">
        <v>705000</v>
      </c>
      <c r="H2302" s="655">
        <v>436874.00809438498</v>
      </c>
      <c r="I2302" s="655"/>
      <c r="J2302" s="635">
        <f t="shared" si="93"/>
        <v>1141874.008094385</v>
      </c>
      <c r="K2302" s="635"/>
      <c r="L2302" s="635"/>
      <c r="M2302" s="655">
        <f t="shared" si="94"/>
        <v>1141874.008094385</v>
      </c>
      <c r="N2302" s="61"/>
    </row>
    <row r="2303" spans="1:14" s="242" customFormat="1" ht="14.25" customHeight="1">
      <c r="A2303" s="624">
        <v>141</v>
      </c>
      <c r="B2303" s="625" t="e">
        <f>VLOOKUP(D2303,'[1]DS CN MOI UP'!$B$11:$C$447,2,0)</f>
        <v>#N/A</v>
      </c>
      <c r="C2303" s="626"/>
      <c r="D2303" s="61" t="s">
        <v>1724</v>
      </c>
      <c r="E2303" s="630" t="s">
        <v>15</v>
      </c>
      <c r="F2303" s="630"/>
      <c r="G2303" s="655">
        <v>705000</v>
      </c>
      <c r="H2303" s="655">
        <v>436874.00809438498</v>
      </c>
      <c r="I2303" s="655"/>
      <c r="J2303" s="635">
        <f t="shared" si="93"/>
        <v>1141874.008094385</v>
      </c>
      <c r="K2303" s="635"/>
      <c r="L2303" s="635"/>
      <c r="M2303" s="655">
        <f t="shared" si="94"/>
        <v>1141874.008094385</v>
      </c>
      <c r="N2303" s="61"/>
    </row>
    <row r="2304" spans="1:14" s="242" customFormat="1" ht="14.25" customHeight="1">
      <c r="A2304" s="624">
        <v>142</v>
      </c>
      <c r="B2304" s="625" t="e">
        <f>VLOOKUP(D2304,'[1]DS CN MOI UP'!$B$11:$C$447,2,0)</f>
        <v>#N/A</v>
      </c>
      <c r="C2304" s="626"/>
      <c r="D2304" s="61" t="s">
        <v>1725</v>
      </c>
      <c r="E2304" s="630" t="s">
        <v>15</v>
      </c>
      <c r="F2304" s="630"/>
      <c r="G2304" s="655">
        <v>705000</v>
      </c>
      <c r="H2304" s="655">
        <v>436874.00809438498</v>
      </c>
      <c r="I2304" s="655"/>
      <c r="J2304" s="635">
        <f t="shared" si="93"/>
        <v>1141874.008094385</v>
      </c>
      <c r="K2304" s="635"/>
      <c r="L2304" s="635"/>
      <c r="M2304" s="655">
        <f t="shared" si="94"/>
        <v>1141874.008094385</v>
      </c>
      <c r="N2304" s="61"/>
    </row>
    <row r="2305" spans="1:14" s="242" customFormat="1" ht="14.25" customHeight="1">
      <c r="A2305" s="624">
        <v>143</v>
      </c>
      <c r="B2305" s="625" t="e">
        <f>VLOOKUP(D2305,'[1]DS CN MOI UP'!$B$11:$C$447,2,0)</f>
        <v>#N/A</v>
      </c>
      <c r="C2305" s="626"/>
      <c r="D2305" s="61" t="s">
        <v>836</v>
      </c>
      <c r="E2305" s="630" t="s">
        <v>15</v>
      </c>
      <c r="F2305" s="630"/>
      <c r="G2305" s="655">
        <v>705000</v>
      </c>
      <c r="H2305" s="655">
        <v>436874.00809438498</v>
      </c>
      <c r="I2305" s="655"/>
      <c r="J2305" s="635">
        <f t="shared" si="93"/>
        <v>1141874.008094385</v>
      </c>
      <c r="K2305" s="635"/>
      <c r="L2305" s="635"/>
      <c r="M2305" s="655">
        <f t="shared" si="94"/>
        <v>1141874.008094385</v>
      </c>
      <c r="N2305" s="61"/>
    </row>
    <row r="2306" spans="1:14" s="242" customFormat="1" ht="14.25" customHeight="1">
      <c r="A2306" s="624">
        <v>144</v>
      </c>
      <c r="B2306" s="625" t="e">
        <f>VLOOKUP(D2306,'[1]DS CN MOI UP'!$B$11:$C$447,2,0)</f>
        <v>#N/A</v>
      </c>
      <c r="C2306" s="626"/>
      <c r="D2306" s="61" t="s">
        <v>1726</v>
      </c>
      <c r="E2306" s="630" t="s">
        <v>15</v>
      </c>
      <c r="F2306" s="630"/>
      <c r="G2306" s="655">
        <v>705000</v>
      </c>
      <c r="H2306" s="655">
        <v>436874.00809438498</v>
      </c>
      <c r="I2306" s="655"/>
      <c r="J2306" s="635">
        <f t="shared" si="93"/>
        <v>1141874.008094385</v>
      </c>
      <c r="K2306" s="635"/>
      <c r="L2306" s="635"/>
      <c r="M2306" s="655">
        <f t="shared" si="94"/>
        <v>1141874.008094385</v>
      </c>
      <c r="N2306" s="61"/>
    </row>
    <row r="2307" spans="1:14" s="242" customFormat="1" ht="14.25" customHeight="1">
      <c r="A2307" s="624">
        <v>145</v>
      </c>
      <c r="B2307" s="625" t="e">
        <f>VLOOKUP(D2307,'[1]DS CN MOI UP'!$B$11:$C$447,2,0)</f>
        <v>#N/A</v>
      </c>
      <c r="C2307" s="626"/>
      <c r="D2307" s="61" t="s">
        <v>1727</v>
      </c>
      <c r="E2307" s="630" t="s">
        <v>15</v>
      </c>
      <c r="F2307" s="630"/>
      <c r="G2307" s="655">
        <v>705000</v>
      </c>
      <c r="H2307" s="655">
        <v>436874.00809438498</v>
      </c>
      <c r="I2307" s="655"/>
      <c r="J2307" s="635">
        <f t="shared" si="93"/>
        <v>1141874.008094385</v>
      </c>
      <c r="K2307" s="635"/>
      <c r="L2307" s="635"/>
      <c r="M2307" s="655">
        <f t="shared" si="94"/>
        <v>1141874.008094385</v>
      </c>
      <c r="N2307" s="61"/>
    </row>
    <row r="2308" spans="1:14" s="242" customFormat="1" ht="14.25" customHeight="1">
      <c r="A2308" s="624">
        <v>146</v>
      </c>
      <c r="B2308" s="625" t="e">
        <f>VLOOKUP(D2308,'[1]DS CN MOI UP'!$B$11:$C$447,2,0)</f>
        <v>#N/A</v>
      </c>
      <c r="C2308" s="626"/>
      <c r="D2308" s="61" t="s">
        <v>1728</v>
      </c>
      <c r="E2308" s="630" t="s">
        <v>15</v>
      </c>
      <c r="F2308" s="630"/>
      <c r="G2308" s="655">
        <v>705000</v>
      </c>
      <c r="H2308" s="655">
        <v>436874.00809438498</v>
      </c>
      <c r="I2308" s="655"/>
      <c r="J2308" s="635">
        <f t="shared" si="93"/>
        <v>1141874.008094385</v>
      </c>
      <c r="K2308" s="635"/>
      <c r="L2308" s="635"/>
      <c r="M2308" s="655">
        <f t="shared" si="94"/>
        <v>1141874.008094385</v>
      </c>
      <c r="N2308" s="61"/>
    </row>
    <row r="2309" spans="1:14" s="242" customFormat="1" ht="14.25" customHeight="1">
      <c r="A2309" s="624">
        <v>147</v>
      </c>
      <c r="B2309" s="625" t="e">
        <f>VLOOKUP(D2309,'[1]DS CN MOI UP'!$B$11:$C$447,2,0)</f>
        <v>#N/A</v>
      </c>
      <c r="C2309" s="626"/>
      <c r="D2309" s="61" t="s">
        <v>1729</v>
      </c>
      <c r="E2309" s="630" t="s">
        <v>15</v>
      </c>
      <c r="F2309" s="630"/>
      <c r="G2309" s="655">
        <v>705000</v>
      </c>
      <c r="H2309" s="655">
        <v>436874.00809438498</v>
      </c>
      <c r="I2309" s="655"/>
      <c r="J2309" s="635">
        <f t="shared" si="93"/>
        <v>1141874.008094385</v>
      </c>
      <c r="K2309" s="635"/>
      <c r="L2309" s="635"/>
      <c r="M2309" s="655">
        <f t="shared" si="94"/>
        <v>1141874.008094385</v>
      </c>
      <c r="N2309" s="61"/>
    </row>
    <row r="2310" spans="1:14" s="242" customFormat="1" ht="14.25" customHeight="1">
      <c r="A2310" s="624">
        <v>148</v>
      </c>
      <c r="B2310" s="625" t="e">
        <f>VLOOKUP(D2310,'[1]DS CN MOI UP'!$B$11:$C$447,2,0)</f>
        <v>#N/A</v>
      </c>
      <c r="C2310" s="626"/>
      <c r="D2310" s="61" t="s">
        <v>1730</v>
      </c>
      <c r="E2310" s="630" t="s">
        <v>15</v>
      </c>
      <c r="F2310" s="630"/>
      <c r="G2310" s="655">
        <v>705000</v>
      </c>
      <c r="H2310" s="655">
        <v>436874.00809438498</v>
      </c>
      <c r="I2310" s="655"/>
      <c r="J2310" s="635">
        <f t="shared" si="93"/>
        <v>1141874.008094385</v>
      </c>
      <c r="K2310" s="635"/>
      <c r="L2310" s="635"/>
      <c r="M2310" s="655">
        <f t="shared" si="94"/>
        <v>1141874.008094385</v>
      </c>
      <c r="N2310" s="61"/>
    </row>
    <row r="2311" spans="1:14" s="242" customFormat="1" ht="14.25" customHeight="1">
      <c r="A2311" s="624">
        <v>149</v>
      </c>
      <c r="B2311" s="625" t="e">
        <f>VLOOKUP(D2311,'[1]DS CN MOI UP'!$B$11:$C$447,2,0)</f>
        <v>#N/A</v>
      </c>
      <c r="C2311" s="626"/>
      <c r="D2311" s="61" t="s">
        <v>1731</v>
      </c>
      <c r="E2311" s="630" t="s">
        <v>15</v>
      </c>
      <c r="F2311" s="630"/>
      <c r="G2311" s="655">
        <v>705000</v>
      </c>
      <c r="H2311" s="655">
        <v>436874.00809438498</v>
      </c>
      <c r="I2311" s="655"/>
      <c r="J2311" s="635">
        <f t="shared" si="93"/>
        <v>1141874.008094385</v>
      </c>
      <c r="K2311" s="635"/>
      <c r="L2311" s="635"/>
      <c r="M2311" s="655">
        <f t="shared" si="94"/>
        <v>1141874.008094385</v>
      </c>
      <c r="N2311" s="61"/>
    </row>
    <row r="2312" spans="1:14" s="242" customFormat="1" ht="14.25" customHeight="1">
      <c r="A2312" s="624">
        <v>150</v>
      </c>
      <c r="B2312" s="625" t="e">
        <f>VLOOKUP(D2312,'[1]DS CN MOI UP'!$B$11:$C$447,2,0)</f>
        <v>#N/A</v>
      </c>
      <c r="C2312" s="626"/>
      <c r="D2312" s="61" t="s">
        <v>1732</v>
      </c>
      <c r="E2312" s="630" t="s">
        <v>15</v>
      </c>
      <c r="F2312" s="630"/>
      <c r="G2312" s="655">
        <v>705000</v>
      </c>
      <c r="H2312" s="655">
        <v>436874.00809438498</v>
      </c>
      <c r="I2312" s="655"/>
      <c r="J2312" s="635">
        <f t="shared" si="93"/>
        <v>1141874.008094385</v>
      </c>
      <c r="K2312" s="635"/>
      <c r="L2312" s="635"/>
      <c r="M2312" s="655">
        <f t="shared" si="94"/>
        <v>1141874.008094385</v>
      </c>
      <c r="N2312" s="61"/>
    </row>
    <row r="2313" spans="1:14" s="242" customFormat="1" ht="14.25" customHeight="1">
      <c r="A2313" s="624">
        <v>151</v>
      </c>
      <c r="B2313" s="625" t="e">
        <f>VLOOKUP(D2313,'[1]DS CN MOI UP'!$B$11:$C$447,2,0)</f>
        <v>#N/A</v>
      </c>
      <c r="C2313" s="626"/>
      <c r="D2313" s="61" t="s">
        <v>1733</v>
      </c>
      <c r="E2313" s="630" t="s">
        <v>15</v>
      </c>
      <c r="F2313" s="630"/>
      <c r="G2313" s="655">
        <v>40000</v>
      </c>
      <c r="H2313" s="655">
        <v>554373.09900000005</v>
      </c>
      <c r="I2313" s="655"/>
      <c r="J2313" s="635">
        <f t="shared" si="93"/>
        <v>594373.09900000005</v>
      </c>
      <c r="K2313" s="635"/>
      <c r="L2313" s="635"/>
      <c r="M2313" s="655">
        <f t="shared" si="94"/>
        <v>594373.09900000005</v>
      </c>
      <c r="N2313" s="61"/>
    </row>
    <row r="2314" spans="1:14" s="242" customFormat="1" ht="14.25" customHeight="1">
      <c r="A2314" s="624">
        <v>152</v>
      </c>
      <c r="B2314" s="625" t="e">
        <f>VLOOKUP(D2314,'[1]DS CN MOI UP'!$B$11:$C$447,2,0)</f>
        <v>#N/A</v>
      </c>
      <c r="C2314" s="626"/>
      <c r="D2314" s="61" t="s">
        <v>1734</v>
      </c>
      <c r="E2314" s="630" t="s">
        <v>15</v>
      </c>
      <c r="F2314" s="630"/>
      <c r="G2314" s="655">
        <v>705000</v>
      </c>
      <c r="H2314" s="655">
        <v>436874.00809438498</v>
      </c>
      <c r="I2314" s="655"/>
      <c r="J2314" s="635">
        <f t="shared" si="93"/>
        <v>1141874.008094385</v>
      </c>
      <c r="K2314" s="635"/>
      <c r="L2314" s="635"/>
      <c r="M2314" s="655">
        <f t="shared" si="94"/>
        <v>1141874.008094385</v>
      </c>
      <c r="N2314" s="61"/>
    </row>
    <row r="2315" spans="1:14" s="242" customFormat="1" ht="14.25" customHeight="1">
      <c r="A2315" s="624">
        <v>153</v>
      </c>
      <c r="B2315" s="625" t="e">
        <f>VLOOKUP(D2315,'[1]DS CN MOI UP'!$B$11:$C$447,2,0)</f>
        <v>#N/A</v>
      </c>
      <c r="C2315" s="626"/>
      <c r="D2315" s="61" t="s">
        <v>837</v>
      </c>
      <c r="E2315" s="630" t="s">
        <v>15</v>
      </c>
      <c r="F2315" s="630"/>
      <c r="G2315" s="655">
        <v>600500</v>
      </c>
      <c r="H2315" s="655">
        <v>436874.00809438498</v>
      </c>
      <c r="I2315" s="655"/>
      <c r="J2315" s="635">
        <f t="shared" si="93"/>
        <v>1037374.008094385</v>
      </c>
      <c r="K2315" s="635"/>
      <c r="L2315" s="635"/>
      <c r="M2315" s="655">
        <f t="shared" si="94"/>
        <v>1037374.008094385</v>
      </c>
      <c r="N2315" s="61"/>
    </row>
    <row r="2316" spans="1:14" s="242" customFormat="1" ht="14.25" customHeight="1">
      <c r="A2316" s="624">
        <v>154</v>
      </c>
      <c r="B2316" s="625" t="e">
        <f>VLOOKUP(D2316,'[1]DS CN MOI UP'!$B$11:$C$447,2,0)</f>
        <v>#N/A</v>
      </c>
      <c r="C2316" s="626"/>
      <c r="D2316" s="61" t="s">
        <v>1735</v>
      </c>
      <c r="E2316" s="630" t="s">
        <v>15</v>
      </c>
      <c r="F2316" s="630"/>
      <c r="G2316" s="655">
        <v>544338.9</v>
      </c>
      <c r="H2316" s="655">
        <v>436874.00809438498</v>
      </c>
      <c r="I2316" s="635"/>
      <c r="J2316" s="635">
        <f t="shared" si="93"/>
        <v>981212.90809438494</v>
      </c>
      <c r="K2316" s="635"/>
      <c r="L2316" s="635"/>
      <c r="M2316" s="655">
        <f t="shared" si="94"/>
        <v>981212.90809438494</v>
      </c>
      <c r="N2316" s="61"/>
    </row>
    <row r="2317" spans="1:14" s="242" customFormat="1" ht="14.25" customHeight="1">
      <c r="A2317" s="624">
        <v>155</v>
      </c>
      <c r="B2317" s="625" t="e">
        <f>VLOOKUP(D2317,'[1]DS CN MOI UP'!$B$11:$C$447,2,0)</f>
        <v>#N/A</v>
      </c>
      <c r="C2317" s="626"/>
      <c r="D2317" s="61" t="s">
        <v>1736</v>
      </c>
      <c r="E2317" s="630" t="s">
        <v>15</v>
      </c>
      <c r="F2317" s="630"/>
      <c r="G2317" s="655">
        <v>574572.66299999994</v>
      </c>
      <c r="H2317" s="655">
        <v>436874.00809438498</v>
      </c>
      <c r="I2317" s="635"/>
      <c r="J2317" s="635">
        <f t="shared" si="93"/>
        <v>1011446.671094385</v>
      </c>
      <c r="K2317" s="635"/>
      <c r="L2317" s="635"/>
      <c r="M2317" s="655">
        <f t="shared" si="94"/>
        <v>1011446.671094385</v>
      </c>
      <c r="N2317" s="61"/>
    </row>
    <row r="2318" spans="1:14" s="242" customFormat="1" ht="14.25" customHeight="1">
      <c r="A2318" s="624">
        <v>156</v>
      </c>
      <c r="B2318" s="625" t="e">
        <f>VLOOKUP(D2318,'[1]DS CN MOI UP'!$B$11:$C$447,2,0)</f>
        <v>#N/A</v>
      </c>
      <c r="C2318" s="626"/>
      <c r="D2318" s="61" t="s">
        <v>1737</v>
      </c>
      <c r="E2318" s="630" t="s">
        <v>15</v>
      </c>
      <c r="F2318" s="630"/>
      <c r="G2318" s="655">
        <v>604806.42599999998</v>
      </c>
      <c r="H2318" s="655">
        <v>436874.00809438498</v>
      </c>
      <c r="I2318" s="655"/>
      <c r="J2318" s="635">
        <f t="shared" si="93"/>
        <v>1041680.434094385</v>
      </c>
      <c r="K2318" s="635"/>
      <c r="L2318" s="635"/>
      <c r="M2318" s="655">
        <f t="shared" si="94"/>
        <v>1041680.434094385</v>
      </c>
      <c r="N2318" s="61"/>
    </row>
    <row r="2319" spans="1:14" s="242" customFormat="1" ht="14.25" customHeight="1">
      <c r="A2319" s="624">
        <v>157</v>
      </c>
      <c r="B2319" s="625" t="e">
        <f>VLOOKUP(D2319,'[1]DS CN MOI UP'!$B$11:$C$447,2,0)</f>
        <v>#N/A</v>
      </c>
      <c r="C2319" s="626"/>
      <c r="D2319" s="61" t="s">
        <v>1738</v>
      </c>
      <c r="E2319" s="630" t="s">
        <v>15</v>
      </c>
      <c r="F2319" s="630"/>
      <c r="G2319" s="655">
        <v>584606.86199999996</v>
      </c>
      <c r="H2319" s="655">
        <v>436874.00809438498</v>
      </c>
      <c r="I2319" s="655"/>
      <c r="J2319" s="635">
        <f t="shared" si="93"/>
        <v>1021480.870094385</v>
      </c>
      <c r="K2319" s="635"/>
      <c r="L2319" s="635"/>
      <c r="M2319" s="655">
        <f t="shared" si="94"/>
        <v>1021480.870094385</v>
      </c>
      <c r="N2319" s="61"/>
    </row>
    <row r="2320" spans="1:14" s="242" customFormat="1" ht="14.25" customHeight="1">
      <c r="A2320" s="624">
        <v>158</v>
      </c>
      <c r="B2320" s="625" t="e">
        <f>VLOOKUP(D2320,'[1]DS CN MOI UP'!$B$11:$C$447,2,0)</f>
        <v>#N/A</v>
      </c>
      <c r="C2320" s="626"/>
      <c r="D2320" s="61" t="s">
        <v>1739</v>
      </c>
      <c r="E2320" s="630" t="s">
        <v>15</v>
      </c>
      <c r="F2320" s="630"/>
      <c r="G2320" s="655">
        <v>635040.18900000001</v>
      </c>
      <c r="H2320" s="655">
        <v>436874.00809438498</v>
      </c>
      <c r="I2320" s="655"/>
      <c r="J2320" s="635">
        <f t="shared" si="93"/>
        <v>1071914.197094385</v>
      </c>
      <c r="K2320" s="635"/>
      <c r="L2320" s="635"/>
      <c r="M2320" s="655">
        <f t="shared" si="94"/>
        <v>1071914.197094385</v>
      </c>
      <c r="N2320" s="61"/>
    </row>
    <row r="2321" spans="1:14" s="242" customFormat="1" ht="14.25" customHeight="1">
      <c r="A2321" s="624">
        <v>159</v>
      </c>
      <c r="B2321" s="625" t="e">
        <f>VLOOKUP(D2321,'[1]DS CN MOI UP'!$B$11:$C$447,2,0)</f>
        <v>#N/A</v>
      </c>
      <c r="C2321" s="626"/>
      <c r="D2321" s="61" t="s">
        <v>1740</v>
      </c>
      <c r="E2321" s="630" t="s">
        <v>15</v>
      </c>
      <c r="F2321" s="630"/>
      <c r="G2321" s="655">
        <v>524139.33600000001</v>
      </c>
      <c r="H2321" s="655">
        <v>436874.00809438498</v>
      </c>
      <c r="I2321" s="655"/>
      <c r="J2321" s="635">
        <f t="shared" si="93"/>
        <v>961013.34409438493</v>
      </c>
      <c r="K2321" s="635"/>
      <c r="L2321" s="635"/>
      <c r="M2321" s="655">
        <f t="shared" si="94"/>
        <v>961013.34409438493</v>
      </c>
      <c r="N2321" s="61"/>
    </row>
    <row r="2322" spans="1:14" s="242" customFormat="1" ht="14.25" customHeight="1">
      <c r="A2322" s="624">
        <v>160</v>
      </c>
      <c r="B2322" s="625" t="e">
        <f>VLOOKUP(D2322,'[1]DS CN MOI UP'!$B$11:$C$447,2,0)</f>
        <v>#N/A</v>
      </c>
      <c r="C2322" s="626"/>
      <c r="D2322" s="61" t="s">
        <v>1741</v>
      </c>
      <c r="E2322" s="630" t="s">
        <v>15</v>
      </c>
      <c r="F2322" s="630"/>
      <c r="G2322" s="655">
        <v>635040.18900000001</v>
      </c>
      <c r="H2322" s="655">
        <v>436874.00809438498</v>
      </c>
      <c r="I2322" s="655"/>
      <c r="J2322" s="635">
        <f t="shared" si="93"/>
        <v>1071914.197094385</v>
      </c>
      <c r="K2322" s="635"/>
      <c r="L2322" s="635"/>
      <c r="M2322" s="655">
        <f t="shared" si="94"/>
        <v>1071914.197094385</v>
      </c>
      <c r="N2322" s="61"/>
    </row>
    <row r="2323" spans="1:14" s="242" customFormat="1" ht="14.25" customHeight="1">
      <c r="A2323" s="624">
        <v>161</v>
      </c>
      <c r="B2323" s="625" t="e">
        <f>VLOOKUP(D2323,'[1]DS CN MOI UP'!$B$11:$C$447,2,0)</f>
        <v>#N/A</v>
      </c>
      <c r="C2323" s="626"/>
      <c r="D2323" s="61" t="s">
        <v>1742</v>
      </c>
      <c r="E2323" s="630" t="s">
        <v>15</v>
      </c>
      <c r="F2323" s="630"/>
      <c r="G2323" s="655">
        <v>635040.18900000001</v>
      </c>
      <c r="H2323" s="655">
        <v>436874.00809438498</v>
      </c>
      <c r="I2323" s="655"/>
      <c r="J2323" s="635">
        <f t="shared" si="93"/>
        <v>1071914.197094385</v>
      </c>
      <c r="K2323" s="635"/>
      <c r="L2323" s="635"/>
      <c r="M2323" s="655">
        <f t="shared" si="94"/>
        <v>1071914.197094385</v>
      </c>
      <c r="N2323" s="61"/>
    </row>
    <row r="2324" spans="1:14" s="242" customFormat="1" ht="14.25" customHeight="1">
      <c r="A2324" s="624">
        <v>162</v>
      </c>
      <c r="B2324" s="625" t="e">
        <f>VLOOKUP(D2324,'[1]DS CN MOI UP'!$B$11:$C$447,2,0)</f>
        <v>#N/A</v>
      </c>
      <c r="C2324" s="626"/>
      <c r="D2324" s="61" t="s">
        <v>1743</v>
      </c>
      <c r="E2324" s="630" t="s">
        <v>15</v>
      </c>
      <c r="F2324" s="630"/>
      <c r="G2324" s="655">
        <v>554373.09900000005</v>
      </c>
      <c r="H2324" s="655">
        <v>436874.00809438498</v>
      </c>
      <c r="I2324" s="655"/>
      <c r="J2324" s="635">
        <f t="shared" si="93"/>
        <v>991247.10709438496</v>
      </c>
      <c r="K2324" s="635"/>
      <c r="L2324" s="635"/>
      <c r="M2324" s="655">
        <f t="shared" si="94"/>
        <v>991247.10709438496</v>
      </c>
      <c r="N2324" s="61"/>
    </row>
    <row r="2325" spans="1:14" s="242" customFormat="1" ht="14.25" customHeight="1">
      <c r="A2325" s="624">
        <v>163</v>
      </c>
      <c r="B2325" s="625" t="e">
        <f>VLOOKUP(D2325,'[1]DS CN MOI UP'!$B$11:$C$447,2,0)</f>
        <v>#N/A</v>
      </c>
      <c r="C2325" s="626"/>
      <c r="D2325" s="61" t="s">
        <v>1744</v>
      </c>
      <c r="E2325" s="630" t="s">
        <v>15</v>
      </c>
      <c r="F2325" s="630"/>
      <c r="G2325" s="655">
        <v>544338.9</v>
      </c>
      <c r="H2325" s="655">
        <v>436874.00809438498</v>
      </c>
      <c r="I2325" s="635"/>
      <c r="J2325" s="635">
        <f t="shared" si="93"/>
        <v>981212.90809438494</v>
      </c>
      <c r="K2325" s="635"/>
      <c r="L2325" s="635"/>
      <c r="M2325" s="655">
        <f t="shared" si="94"/>
        <v>981212.90809438494</v>
      </c>
      <c r="N2325" s="61"/>
    </row>
    <row r="2326" spans="1:14" s="242" customFormat="1" ht="14.25" customHeight="1">
      <c r="A2326" s="624">
        <v>164</v>
      </c>
      <c r="B2326" s="625" t="e">
        <f>VLOOKUP(D2326,'[1]DS CN MOI UP'!$B$11:$C$447,2,0)</f>
        <v>#N/A</v>
      </c>
      <c r="C2326" s="626"/>
      <c r="D2326" s="61" t="s">
        <v>780</v>
      </c>
      <c r="E2326" s="630" t="s">
        <v>15</v>
      </c>
      <c r="F2326" s="630"/>
      <c r="G2326" s="655">
        <v>574572.66299999994</v>
      </c>
      <c r="H2326" s="655">
        <v>436874.00809438498</v>
      </c>
      <c r="I2326" s="635"/>
      <c r="J2326" s="635">
        <f t="shared" si="93"/>
        <v>1011446.671094385</v>
      </c>
      <c r="K2326" s="635"/>
      <c r="L2326" s="635"/>
      <c r="M2326" s="655">
        <f t="shared" si="94"/>
        <v>1011446.671094385</v>
      </c>
      <c r="N2326" s="61"/>
    </row>
    <row r="2327" spans="1:14" s="242" customFormat="1" ht="14.25" customHeight="1">
      <c r="A2327" s="624">
        <v>165</v>
      </c>
      <c r="B2327" s="625" t="e">
        <f>VLOOKUP(D2327,'[1]DS CN MOI UP'!$B$11:$C$447,2,0)</f>
        <v>#N/A</v>
      </c>
      <c r="C2327" s="626"/>
      <c r="D2327" s="61" t="s">
        <v>781</v>
      </c>
      <c r="E2327" s="630" t="s">
        <v>15</v>
      </c>
      <c r="F2327" s="630"/>
      <c r="G2327" s="655">
        <v>604806.42599999998</v>
      </c>
      <c r="H2327" s="655">
        <v>436874.00809438498</v>
      </c>
      <c r="I2327" s="655"/>
      <c r="J2327" s="635">
        <f t="shared" si="93"/>
        <v>1041680.434094385</v>
      </c>
      <c r="K2327" s="635"/>
      <c r="L2327" s="635"/>
      <c r="M2327" s="655">
        <f t="shared" si="94"/>
        <v>1041680.434094385</v>
      </c>
      <c r="N2327" s="61"/>
    </row>
    <row r="2328" spans="1:14" s="242" customFormat="1" ht="14.25" customHeight="1">
      <c r="A2328" s="624">
        <v>166</v>
      </c>
      <c r="B2328" s="625" t="e">
        <f>VLOOKUP(D2328,'[1]DS CN MOI UP'!$B$11:$C$447,2,0)</f>
        <v>#N/A</v>
      </c>
      <c r="C2328" s="626"/>
      <c r="D2328" s="61" t="s">
        <v>1745</v>
      </c>
      <c r="E2328" s="630" t="s">
        <v>15</v>
      </c>
      <c r="F2328" s="630"/>
      <c r="G2328" s="655">
        <v>584606.86199999996</v>
      </c>
      <c r="H2328" s="655">
        <v>436874.00809438498</v>
      </c>
      <c r="I2328" s="655"/>
      <c r="J2328" s="635">
        <f t="shared" si="93"/>
        <v>1021480.870094385</v>
      </c>
      <c r="K2328" s="635"/>
      <c r="L2328" s="635"/>
      <c r="M2328" s="655">
        <f t="shared" si="94"/>
        <v>1021480.870094385</v>
      </c>
      <c r="N2328" s="61"/>
    </row>
    <row r="2329" spans="1:14" s="242" customFormat="1" ht="14.25" customHeight="1">
      <c r="A2329" s="624">
        <v>167</v>
      </c>
      <c r="B2329" s="625" t="e">
        <f>VLOOKUP(D2329,'[1]DS CN MOI UP'!$B$11:$C$447,2,0)</f>
        <v>#N/A</v>
      </c>
      <c r="C2329" s="626"/>
      <c r="D2329" s="61" t="s">
        <v>1746</v>
      </c>
      <c r="E2329" s="630" t="s">
        <v>15</v>
      </c>
      <c r="F2329" s="630"/>
      <c r="G2329" s="655">
        <v>635040.18900000001</v>
      </c>
      <c r="H2329" s="655">
        <v>436874.00809438498</v>
      </c>
      <c r="I2329" s="655"/>
      <c r="J2329" s="635">
        <f t="shared" si="93"/>
        <v>1071914.197094385</v>
      </c>
      <c r="K2329" s="635"/>
      <c r="L2329" s="635"/>
      <c r="M2329" s="655">
        <f t="shared" si="94"/>
        <v>1071914.197094385</v>
      </c>
      <c r="N2329" s="61"/>
    </row>
    <row r="2330" spans="1:14" s="242" customFormat="1" ht="14.25" customHeight="1">
      <c r="A2330" s="624">
        <v>168</v>
      </c>
      <c r="B2330" s="625" t="e">
        <f>VLOOKUP(D2330,'[1]DS CN MOI UP'!$B$11:$C$447,2,0)</f>
        <v>#N/A</v>
      </c>
      <c r="C2330" s="626"/>
      <c r="D2330" s="61" t="s">
        <v>1747</v>
      </c>
      <c r="E2330" s="630" t="s">
        <v>15</v>
      </c>
      <c r="F2330" s="630"/>
      <c r="G2330" s="655">
        <v>524139.33600000001</v>
      </c>
      <c r="H2330" s="655">
        <v>436874.00809438498</v>
      </c>
      <c r="I2330" s="655"/>
      <c r="J2330" s="635">
        <f t="shared" si="93"/>
        <v>961013.34409438493</v>
      </c>
      <c r="K2330" s="635"/>
      <c r="L2330" s="635"/>
      <c r="M2330" s="655">
        <f t="shared" si="94"/>
        <v>961013.34409438493</v>
      </c>
      <c r="N2330" s="61"/>
    </row>
    <row r="2331" spans="1:14" s="242" customFormat="1" ht="14.25" customHeight="1">
      <c r="A2331" s="624">
        <v>169</v>
      </c>
      <c r="B2331" s="625" t="e">
        <f>VLOOKUP(D2331,'[1]DS CN MOI UP'!$B$11:$C$447,2,0)</f>
        <v>#N/A</v>
      </c>
      <c r="C2331" s="626"/>
      <c r="D2331" s="61" t="s">
        <v>1610</v>
      </c>
      <c r="E2331" s="630" t="s">
        <v>15</v>
      </c>
      <c r="F2331" s="630"/>
      <c r="G2331" s="655">
        <v>635040.18900000001</v>
      </c>
      <c r="H2331" s="655">
        <v>436874.00809438498</v>
      </c>
      <c r="I2331" s="655"/>
      <c r="J2331" s="635">
        <f t="shared" si="93"/>
        <v>1071914.197094385</v>
      </c>
      <c r="K2331" s="635"/>
      <c r="L2331" s="635"/>
      <c r="M2331" s="655">
        <f t="shared" si="94"/>
        <v>1071914.197094385</v>
      </c>
      <c r="N2331" s="61"/>
    </row>
    <row r="2332" spans="1:14" s="242" customFormat="1" ht="14.25" customHeight="1">
      <c r="A2332" s="624">
        <v>170</v>
      </c>
      <c r="B2332" s="625" t="e">
        <f>VLOOKUP(D2332,'[1]DS CN MOI UP'!$B$11:$C$447,2,0)</f>
        <v>#N/A</v>
      </c>
      <c r="C2332" s="626"/>
      <c r="D2332" s="61" t="s">
        <v>782</v>
      </c>
      <c r="E2332" s="630" t="s">
        <v>15</v>
      </c>
      <c r="F2332" s="630"/>
      <c r="G2332" s="655">
        <v>635040.18900000001</v>
      </c>
      <c r="H2332" s="655">
        <v>436874.00809438498</v>
      </c>
      <c r="I2332" s="655"/>
      <c r="J2332" s="635">
        <f t="shared" si="93"/>
        <v>1071914.197094385</v>
      </c>
      <c r="K2332" s="635"/>
      <c r="L2332" s="635"/>
      <c r="M2332" s="655">
        <f t="shared" si="94"/>
        <v>1071914.197094385</v>
      </c>
      <c r="N2332" s="61"/>
    </row>
    <row r="2333" spans="1:14" s="242" customFormat="1" ht="14.25" customHeight="1">
      <c r="A2333" s="624">
        <v>171</v>
      </c>
      <c r="B2333" s="625" t="e">
        <f>VLOOKUP(D2333,'[1]DS CN MOI UP'!$B$11:$C$447,2,0)</f>
        <v>#N/A</v>
      </c>
      <c r="C2333" s="626"/>
      <c r="D2333" s="61" t="s">
        <v>1613</v>
      </c>
      <c r="E2333" s="630" t="s">
        <v>15</v>
      </c>
      <c r="F2333" s="630"/>
      <c r="G2333" s="655">
        <v>554373.09900000005</v>
      </c>
      <c r="H2333" s="655">
        <v>436874.00809438498</v>
      </c>
      <c r="I2333" s="655"/>
      <c r="J2333" s="635">
        <f t="shared" si="93"/>
        <v>991247.10709438496</v>
      </c>
      <c r="K2333" s="635"/>
      <c r="L2333" s="635"/>
      <c r="M2333" s="655">
        <f t="shared" si="94"/>
        <v>991247.10709438496</v>
      </c>
      <c r="N2333" s="61"/>
    </row>
    <row r="2334" spans="1:14" s="242" customFormat="1" ht="14.25" customHeight="1">
      <c r="A2334" s="624">
        <v>172</v>
      </c>
      <c r="B2334" s="625" t="e">
        <f>VLOOKUP(D2334,'[1]DS CN MOI UP'!$B$11:$C$447,2,0)</f>
        <v>#N/A</v>
      </c>
      <c r="C2334" s="626"/>
      <c r="D2334" s="61" t="s">
        <v>1615</v>
      </c>
      <c r="E2334" s="630" t="s">
        <v>15</v>
      </c>
      <c r="F2334" s="630"/>
      <c r="G2334" s="655">
        <v>544338.9</v>
      </c>
      <c r="H2334" s="655">
        <v>436874.00809438498</v>
      </c>
      <c r="I2334" s="635"/>
      <c r="J2334" s="635">
        <f t="shared" si="93"/>
        <v>981212.90809438494</v>
      </c>
      <c r="K2334" s="635"/>
      <c r="L2334" s="635"/>
      <c r="M2334" s="655">
        <f t="shared" si="94"/>
        <v>981212.90809438494</v>
      </c>
      <c r="N2334" s="61"/>
    </row>
    <row r="2335" spans="1:14" s="242" customFormat="1" ht="14.25" customHeight="1">
      <c r="A2335" s="624">
        <v>173</v>
      </c>
      <c r="B2335" s="625" t="e">
        <f>VLOOKUP(D2335,'[1]DS CN MOI UP'!$B$11:$C$447,2,0)</f>
        <v>#N/A</v>
      </c>
      <c r="C2335" s="626"/>
      <c r="D2335" s="61" t="s">
        <v>1617</v>
      </c>
      <c r="E2335" s="630" t="s">
        <v>15</v>
      </c>
      <c r="F2335" s="630"/>
      <c r="G2335" s="655">
        <v>574572.66299999994</v>
      </c>
      <c r="H2335" s="655">
        <v>436874.00809438498</v>
      </c>
      <c r="I2335" s="635"/>
      <c r="J2335" s="635">
        <f t="shared" si="93"/>
        <v>1011446.671094385</v>
      </c>
      <c r="K2335" s="635"/>
      <c r="L2335" s="635"/>
      <c r="M2335" s="655">
        <f t="shared" si="94"/>
        <v>1011446.671094385</v>
      </c>
      <c r="N2335" s="61"/>
    </row>
    <row r="2336" spans="1:14" s="242" customFormat="1" ht="14.25" customHeight="1">
      <c r="A2336" s="624">
        <v>174</v>
      </c>
      <c r="B2336" s="625" t="e">
        <f>VLOOKUP(D2336,'[1]DS CN MOI UP'!$B$11:$C$447,2,0)</f>
        <v>#N/A</v>
      </c>
      <c r="C2336" s="626"/>
      <c r="D2336" s="61" t="s">
        <v>1619</v>
      </c>
      <c r="E2336" s="630" t="s">
        <v>15</v>
      </c>
      <c r="F2336" s="630"/>
      <c r="G2336" s="655">
        <v>604806.42599999998</v>
      </c>
      <c r="H2336" s="655">
        <v>436874.00809438498</v>
      </c>
      <c r="I2336" s="655"/>
      <c r="J2336" s="635">
        <f t="shared" si="93"/>
        <v>1041680.434094385</v>
      </c>
      <c r="K2336" s="635"/>
      <c r="L2336" s="635"/>
      <c r="M2336" s="655">
        <f t="shared" si="94"/>
        <v>1041680.434094385</v>
      </c>
      <c r="N2336" s="61"/>
    </row>
    <row r="2337" spans="1:14" s="242" customFormat="1" ht="14.25" customHeight="1">
      <c r="A2337" s="624">
        <v>175</v>
      </c>
      <c r="B2337" s="625" t="e">
        <f>VLOOKUP(D2337,'[1]DS CN MOI UP'!$B$11:$C$447,2,0)</f>
        <v>#N/A</v>
      </c>
      <c r="C2337" s="626"/>
      <c r="D2337" s="61" t="s">
        <v>1621</v>
      </c>
      <c r="E2337" s="630" t="s">
        <v>15</v>
      </c>
      <c r="F2337" s="630"/>
      <c r="G2337" s="655">
        <v>585322.51162245497</v>
      </c>
      <c r="H2337" s="655">
        <v>436874.00809438498</v>
      </c>
      <c r="I2337" s="655"/>
      <c r="J2337" s="635">
        <f t="shared" si="93"/>
        <v>1022196.51971684</v>
      </c>
      <c r="K2337" s="635"/>
      <c r="L2337" s="635"/>
      <c r="M2337" s="655">
        <f t="shared" si="94"/>
        <v>1022196.51971684</v>
      </c>
      <c r="N2337" s="61"/>
    </row>
    <row r="2338" spans="1:14" s="242" customFormat="1" ht="14.25" customHeight="1">
      <c r="A2338" s="624">
        <v>176</v>
      </c>
      <c r="B2338" s="625" t="e">
        <f>VLOOKUP(D2338,'[1]DS CN MOI UP'!$B$11:$C$447,2,0)</f>
        <v>#N/A</v>
      </c>
      <c r="C2338" s="626"/>
      <c r="D2338" s="61" t="s">
        <v>1623</v>
      </c>
      <c r="E2338" s="630" t="s">
        <v>15</v>
      </c>
      <c r="F2338" s="630"/>
      <c r="G2338" s="655">
        <v>635040.18900000001</v>
      </c>
      <c r="H2338" s="655">
        <v>436874.00809438498</v>
      </c>
      <c r="I2338" s="655"/>
      <c r="J2338" s="635">
        <f t="shared" si="93"/>
        <v>1071914.197094385</v>
      </c>
      <c r="K2338" s="635"/>
      <c r="L2338" s="635"/>
      <c r="M2338" s="655">
        <f t="shared" si="94"/>
        <v>1071914.197094385</v>
      </c>
      <c r="N2338" s="61"/>
    </row>
    <row r="2339" spans="1:14" s="242" customFormat="1" ht="14.25" customHeight="1">
      <c r="A2339" s="624">
        <v>177</v>
      </c>
      <c r="B2339" s="625" t="e">
        <f>VLOOKUP(D2339,'[1]DS CN MOI UP'!$B$11:$C$447,2,0)</f>
        <v>#N/A</v>
      </c>
      <c r="C2339" s="626"/>
      <c r="D2339" s="61" t="s">
        <v>794</v>
      </c>
      <c r="E2339" s="630" t="s">
        <v>15</v>
      </c>
      <c r="F2339" s="630"/>
      <c r="G2339" s="655"/>
      <c r="H2339" s="655">
        <v>1239846.615</v>
      </c>
      <c r="I2339" s="655"/>
      <c r="J2339" s="635">
        <f t="shared" si="93"/>
        <v>1239846.615</v>
      </c>
      <c r="K2339" s="635"/>
      <c r="L2339" s="635"/>
      <c r="M2339" s="655">
        <f t="shared" si="94"/>
        <v>1239846.615</v>
      </c>
      <c r="N2339" s="61"/>
    </row>
    <row r="2340" spans="1:14" s="242" customFormat="1" ht="14.25" customHeight="1">
      <c r="A2340" s="624">
        <v>178</v>
      </c>
      <c r="B2340" s="625" t="e">
        <f>VLOOKUP(D2340,'[1]DS CN MOI UP'!$B$11:$C$447,2,0)</f>
        <v>#N/A</v>
      </c>
      <c r="C2340" s="626"/>
      <c r="D2340" s="61" t="s">
        <v>1626</v>
      </c>
      <c r="E2340" s="630" t="s">
        <v>15</v>
      </c>
      <c r="F2340" s="630"/>
      <c r="G2340" s="655"/>
      <c r="H2340" s="655">
        <v>1149145.3259999999</v>
      </c>
      <c r="I2340" s="655"/>
      <c r="J2340" s="635">
        <f t="shared" si="93"/>
        <v>1149145.3259999999</v>
      </c>
      <c r="K2340" s="635"/>
      <c r="L2340" s="635"/>
      <c r="M2340" s="655">
        <f t="shared" si="94"/>
        <v>1149145.3259999999</v>
      </c>
      <c r="N2340" s="61"/>
    </row>
    <row r="2341" spans="1:14" s="242" customFormat="1" ht="14.25" customHeight="1">
      <c r="A2341" s="624">
        <v>179</v>
      </c>
      <c r="B2341" s="625" t="e">
        <f>VLOOKUP(D2341,'[1]DS CN MOI UP'!$B$11:$C$447,2,0)</f>
        <v>#N/A</v>
      </c>
      <c r="C2341" s="626"/>
      <c r="D2341" s="61" t="s">
        <v>1464</v>
      </c>
      <c r="E2341" s="630" t="s">
        <v>15</v>
      </c>
      <c r="F2341" s="630"/>
      <c r="G2341" s="655"/>
      <c r="H2341" s="655">
        <v>1159179.5249999999</v>
      </c>
      <c r="I2341" s="655"/>
      <c r="J2341" s="635">
        <f t="shared" si="93"/>
        <v>1159179.5249999999</v>
      </c>
      <c r="K2341" s="635"/>
      <c r="L2341" s="635"/>
      <c r="M2341" s="655">
        <f t="shared" si="94"/>
        <v>1159179.5249999999</v>
      </c>
      <c r="N2341" s="61"/>
    </row>
    <row r="2342" spans="1:14" s="242" customFormat="1" ht="14.25" customHeight="1">
      <c r="A2342" s="624">
        <v>180</v>
      </c>
      <c r="B2342" s="625" t="e">
        <f>VLOOKUP(D2342,'[1]DS CN MOI UP'!$B$11:$C$447,2,0)</f>
        <v>#N/A</v>
      </c>
      <c r="C2342" s="626"/>
      <c r="D2342" s="61" t="s">
        <v>1629</v>
      </c>
      <c r="E2342" s="630" t="s">
        <v>15</v>
      </c>
      <c r="F2342" s="630"/>
      <c r="G2342" s="655"/>
      <c r="H2342" s="655">
        <v>1239846.615</v>
      </c>
      <c r="I2342" s="655"/>
      <c r="J2342" s="635">
        <f t="shared" si="93"/>
        <v>1239846.615</v>
      </c>
      <c r="K2342" s="635"/>
      <c r="L2342" s="635"/>
      <c r="M2342" s="655">
        <f t="shared" si="94"/>
        <v>1239846.615</v>
      </c>
      <c r="N2342" s="61"/>
    </row>
    <row r="2343" spans="1:14" s="242" customFormat="1" ht="14.25" customHeight="1">
      <c r="A2343" s="624">
        <v>181</v>
      </c>
      <c r="B2343" s="625" t="e">
        <f>VLOOKUP(D2343,'[1]DS CN MOI UP'!$B$11:$C$447,2,0)</f>
        <v>#N/A</v>
      </c>
      <c r="C2343" s="626"/>
      <c r="D2343" s="61" t="s">
        <v>1630</v>
      </c>
      <c r="E2343" s="630" t="s">
        <v>15</v>
      </c>
      <c r="F2343" s="630"/>
      <c r="G2343" s="655"/>
      <c r="H2343" s="655">
        <v>1149145.3259999999</v>
      </c>
      <c r="I2343" s="655"/>
      <c r="J2343" s="635">
        <f t="shared" si="93"/>
        <v>1149145.3259999999</v>
      </c>
      <c r="K2343" s="635"/>
      <c r="L2343" s="635"/>
      <c r="M2343" s="655">
        <f t="shared" si="94"/>
        <v>1149145.3259999999</v>
      </c>
      <c r="N2343" s="61"/>
    </row>
    <row r="2344" spans="1:14" s="242" customFormat="1" ht="14.25" customHeight="1">
      <c r="A2344" s="624">
        <v>182</v>
      </c>
      <c r="B2344" s="625" t="e">
        <f>VLOOKUP(D2344,'[1]DS CN MOI UP'!$B$11:$C$447,2,0)</f>
        <v>#N/A</v>
      </c>
      <c r="C2344" s="626"/>
      <c r="D2344" s="61" t="s">
        <v>1631</v>
      </c>
      <c r="E2344" s="630" t="s">
        <v>15</v>
      </c>
      <c r="F2344" s="630"/>
      <c r="G2344" s="655"/>
      <c r="H2344" s="655">
        <v>1229038.53819991</v>
      </c>
      <c r="I2344" s="655"/>
      <c r="J2344" s="635">
        <f t="shared" si="93"/>
        <v>1229038.53819991</v>
      </c>
      <c r="K2344" s="635"/>
      <c r="L2344" s="635"/>
      <c r="M2344" s="655">
        <f t="shared" si="94"/>
        <v>1229038.53819991</v>
      </c>
      <c r="N2344" s="61"/>
    </row>
    <row r="2345" spans="1:14" s="242" customFormat="1" ht="14.25" customHeight="1">
      <c r="A2345" s="624">
        <v>183</v>
      </c>
      <c r="B2345" s="625" t="e">
        <f>VLOOKUP(D2345,'[1]DS CN MOI UP'!$B$11:$C$447,2,0)</f>
        <v>#N/A</v>
      </c>
      <c r="C2345" s="626"/>
      <c r="D2345" s="61" t="s">
        <v>1632</v>
      </c>
      <c r="E2345" s="630" t="s">
        <v>15</v>
      </c>
      <c r="F2345" s="630"/>
      <c r="G2345" s="655"/>
      <c r="H2345" s="655">
        <v>1159179.5249999999</v>
      </c>
      <c r="I2345" s="655"/>
      <c r="J2345" s="635">
        <f t="shared" si="93"/>
        <v>1159179.5249999999</v>
      </c>
      <c r="K2345" s="635"/>
      <c r="L2345" s="635"/>
      <c r="M2345" s="655">
        <f t="shared" si="94"/>
        <v>1159179.5249999999</v>
      </c>
      <c r="N2345" s="61"/>
    </row>
    <row r="2346" spans="1:14" s="242" customFormat="1" ht="14.25" customHeight="1">
      <c r="A2346" s="624">
        <v>184</v>
      </c>
      <c r="B2346" s="625" t="e">
        <f>VLOOKUP(D2346,'[1]DS CN MOI UP'!$B$11:$C$447,2,0)</f>
        <v>#N/A</v>
      </c>
      <c r="C2346" s="626"/>
      <c r="D2346" s="61" t="s">
        <v>1633</v>
      </c>
      <c r="E2346" s="630" t="s">
        <v>15</v>
      </c>
      <c r="F2346" s="630"/>
      <c r="G2346" s="655"/>
      <c r="H2346" s="655">
        <v>1239846.615</v>
      </c>
      <c r="I2346" s="655"/>
      <c r="J2346" s="635">
        <f t="shared" si="93"/>
        <v>1239846.615</v>
      </c>
      <c r="K2346" s="635"/>
      <c r="L2346" s="635"/>
      <c r="M2346" s="655">
        <f t="shared" si="94"/>
        <v>1239846.615</v>
      </c>
      <c r="N2346" s="61"/>
    </row>
    <row r="2347" spans="1:14" s="242" customFormat="1" ht="14.25" customHeight="1">
      <c r="A2347" s="624">
        <v>185</v>
      </c>
      <c r="B2347" s="625" t="str">
        <f>VLOOKUP(D2347,'[1]DS CN MOI UP'!$B$11:$C$447,2,0)</f>
        <v>02495</v>
      </c>
      <c r="C2347" s="626"/>
      <c r="D2347" s="61" t="s">
        <v>120</v>
      </c>
      <c r="E2347" s="630" t="s">
        <v>15</v>
      </c>
      <c r="F2347" s="630"/>
      <c r="G2347" s="655"/>
      <c r="H2347" s="655">
        <v>1149145.3259999999</v>
      </c>
      <c r="I2347" s="655"/>
      <c r="J2347" s="635">
        <f t="shared" si="93"/>
        <v>1149145.3259999999</v>
      </c>
      <c r="K2347" s="635"/>
      <c r="L2347" s="635"/>
      <c r="M2347" s="655">
        <f t="shared" si="94"/>
        <v>1149145.3259999999</v>
      </c>
      <c r="N2347" s="61"/>
    </row>
    <row r="2348" spans="1:14" s="242" customFormat="1" ht="14.25" customHeight="1">
      <c r="A2348" s="624">
        <v>186</v>
      </c>
      <c r="B2348" s="625" t="str">
        <f>VLOOKUP(D2348,'[1]DS CN MOI UP'!$B$11:$C$447,2,0)</f>
        <v>02505</v>
      </c>
      <c r="C2348" s="626"/>
      <c r="D2348" s="61" t="s">
        <v>117</v>
      </c>
      <c r="E2348" s="630" t="s">
        <v>15</v>
      </c>
      <c r="F2348" s="630"/>
      <c r="G2348" s="655"/>
      <c r="H2348" s="655">
        <v>1239846.615</v>
      </c>
      <c r="I2348" s="655"/>
      <c r="J2348" s="635">
        <f t="shared" si="93"/>
        <v>1239846.615</v>
      </c>
      <c r="K2348" s="635"/>
      <c r="L2348" s="635"/>
      <c r="M2348" s="655">
        <f t="shared" si="94"/>
        <v>1239846.615</v>
      </c>
      <c r="N2348" s="61"/>
    </row>
    <row r="2349" spans="1:14" s="242" customFormat="1" ht="14.25" customHeight="1">
      <c r="A2349" s="624">
        <v>187</v>
      </c>
      <c r="B2349" s="625" t="str">
        <f>VLOOKUP(D2349,'[1]DS CN MOI UP'!$B$11:$C$447,2,0)</f>
        <v>02516</v>
      </c>
      <c r="C2349" s="626"/>
      <c r="D2349" s="61" t="s">
        <v>122</v>
      </c>
      <c r="E2349" s="630" t="s">
        <v>15</v>
      </c>
      <c r="F2349" s="630"/>
      <c r="G2349" s="655"/>
      <c r="H2349" s="655">
        <v>1149145.3259999999</v>
      </c>
      <c r="I2349" s="655"/>
      <c r="J2349" s="635">
        <f t="shared" si="93"/>
        <v>1149145.3259999999</v>
      </c>
      <c r="K2349" s="635"/>
      <c r="L2349" s="635"/>
      <c r="M2349" s="655">
        <f t="shared" si="94"/>
        <v>1149145.3259999999</v>
      </c>
      <c r="N2349" s="61"/>
    </row>
    <row r="2350" spans="1:14" s="242" customFormat="1" ht="14.25" customHeight="1">
      <c r="A2350" s="624">
        <v>188</v>
      </c>
      <c r="B2350" s="625" t="str">
        <f>VLOOKUP(D2350,'[1]DS CN MOI UP'!$B$11:$C$447,2,0)</f>
        <v>03347</v>
      </c>
      <c r="C2350" s="626"/>
      <c r="D2350" s="61" t="s">
        <v>121</v>
      </c>
      <c r="E2350" s="630" t="s">
        <v>15</v>
      </c>
      <c r="F2350" s="630"/>
      <c r="G2350" s="655"/>
      <c r="H2350" s="655">
        <v>1159179.5249999999</v>
      </c>
      <c r="I2350" s="655"/>
      <c r="J2350" s="635">
        <f t="shared" si="93"/>
        <v>1159179.5249999999</v>
      </c>
      <c r="K2350" s="635"/>
      <c r="L2350" s="635"/>
      <c r="M2350" s="655">
        <f t="shared" si="94"/>
        <v>1159179.5249999999</v>
      </c>
      <c r="N2350" s="61"/>
    </row>
    <row r="2351" spans="1:14" s="242" customFormat="1" ht="14.25" customHeight="1">
      <c r="A2351" s="624">
        <v>189</v>
      </c>
      <c r="B2351" s="625" t="str">
        <f>VLOOKUP(D2351,'[1]DS CN MOI UP'!$B$11:$C$447,2,0)</f>
        <v>02539</v>
      </c>
      <c r="C2351" s="626"/>
      <c r="D2351" s="61" t="s">
        <v>195</v>
      </c>
      <c r="E2351" s="630" t="s">
        <v>15</v>
      </c>
      <c r="F2351" s="630"/>
      <c r="G2351" s="655"/>
      <c r="H2351" s="655">
        <v>1239846.615</v>
      </c>
      <c r="I2351" s="655"/>
      <c r="J2351" s="635">
        <f t="shared" si="93"/>
        <v>1239846.615</v>
      </c>
      <c r="K2351" s="635"/>
      <c r="L2351" s="635"/>
      <c r="M2351" s="655">
        <f t="shared" si="94"/>
        <v>1239846.615</v>
      </c>
      <c r="N2351" s="61"/>
    </row>
    <row r="2352" spans="1:14" s="242" customFormat="1" ht="14.25" customHeight="1">
      <c r="A2352" s="624">
        <v>190</v>
      </c>
      <c r="B2352" s="625" t="e">
        <f>VLOOKUP(D2352,'[1]DS CN MOI UP'!$B$11:$C$447,2,0)</f>
        <v>#N/A</v>
      </c>
      <c r="C2352" s="626"/>
      <c r="D2352" s="61" t="s">
        <v>1174</v>
      </c>
      <c r="E2352" s="630" t="s">
        <v>15</v>
      </c>
      <c r="F2352" s="630"/>
      <c r="G2352" s="655"/>
      <c r="H2352" s="655">
        <v>1149145.3259999999</v>
      </c>
      <c r="I2352" s="655"/>
      <c r="J2352" s="635">
        <f t="shared" si="93"/>
        <v>1149145.3259999999</v>
      </c>
      <c r="K2352" s="635"/>
      <c r="L2352" s="635"/>
      <c r="M2352" s="655">
        <f t="shared" si="94"/>
        <v>1149145.3259999999</v>
      </c>
      <c r="N2352" s="61"/>
    </row>
    <row r="2353" spans="1:14" s="242" customFormat="1" ht="14.25" customHeight="1">
      <c r="A2353" s="624">
        <v>191</v>
      </c>
      <c r="B2353" s="625" t="e">
        <f>VLOOKUP(D2353,'[1]DS CN MOI UP'!$B$11:$C$447,2,0)</f>
        <v>#N/A</v>
      </c>
      <c r="C2353" s="626"/>
      <c r="D2353" s="61" t="s">
        <v>1175</v>
      </c>
      <c r="E2353" s="630" t="s">
        <v>15</v>
      </c>
      <c r="F2353" s="630"/>
      <c r="G2353" s="655"/>
      <c r="H2353" s="655">
        <v>1229038.53819991</v>
      </c>
      <c r="I2353" s="655"/>
      <c r="J2353" s="635">
        <f t="shared" si="93"/>
        <v>1229038.53819991</v>
      </c>
      <c r="K2353" s="635"/>
      <c r="L2353" s="635"/>
      <c r="M2353" s="655">
        <f t="shared" si="94"/>
        <v>1229038.53819991</v>
      </c>
      <c r="N2353" s="61"/>
    </row>
    <row r="2354" spans="1:14" s="242" customFormat="1" ht="14.25" customHeight="1">
      <c r="A2354" s="624">
        <v>192</v>
      </c>
      <c r="B2354" s="625" t="e">
        <f>VLOOKUP(D2354,'[1]DS CN MOI UP'!$B$11:$C$447,2,0)</f>
        <v>#N/A</v>
      </c>
      <c r="C2354" s="626"/>
      <c r="D2354" s="61" t="s">
        <v>1176</v>
      </c>
      <c r="E2354" s="630" t="s">
        <v>15</v>
      </c>
      <c r="F2354" s="630"/>
      <c r="G2354" s="655"/>
      <c r="H2354" s="655">
        <v>1159179.5249999999</v>
      </c>
      <c r="I2354" s="655"/>
      <c r="J2354" s="635">
        <f t="shared" si="93"/>
        <v>1159179.5249999999</v>
      </c>
      <c r="K2354" s="635"/>
      <c r="L2354" s="635"/>
      <c r="M2354" s="655">
        <f t="shared" si="94"/>
        <v>1159179.5249999999</v>
      </c>
      <c r="N2354" s="61"/>
    </row>
    <row r="2355" spans="1:14" s="242" customFormat="1" ht="14.25" customHeight="1">
      <c r="A2355" s="624">
        <v>193</v>
      </c>
      <c r="B2355" s="625" t="str">
        <f>VLOOKUP(D2355,'[1]DS CN MOI UP'!$B$11:$C$447,2,0)</f>
        <v>02541</v>
      </c>
      <c r="C2355" s="626"/>
      <c r="D2355" s="61" t="s">
        <v>185</v>
      </c>
      <c r="E2355" s="630" t="s">
        <v>15</v>
      </c>
      <c r="F2355" s="630"/>
      <c r="G2355" s="655"/>
      <c r="H2355" s="655">
        <v>1239846.615</v>
      </c>
      <c r="I2355" s="655"/>
      <c r="J2355" s="635">
        <f t="shared" si="93"/>
        <v>1239846.615</v>
      </c>
      <c r="K2355" s="635"/>
      <c r="L2355" s="635"/>
      <c r="M2355" s="655">
        <f t="shared" si="94"/>
        <v>1239846.615</v>
      </c>
      <c r="N2355" s="61"/>
    </row>
    <row r="2356" spans="1:14" s="242" customFormat="1" ht="14.25" customHeight="1">
      <c r="A2356" s="624">
        <v>194</v>
      </c>
      <c r="B2356" s="625" t="e">
        <f>VLOOKUP(D2356,'[1]DS CN MOI UP'!$B$11:$C$447,2,0)</f>
        <v>#N/A</v>
      </c>
      <c r="C2356" s="626"/>
      <c r="D2356" s="61" t="s">
        <v>1174</v>
      </c>
      <c r="E2356" s="630" t="s">
        <v>15</v>
      </c>
      <c r="F2356" s="630"/>
      <c r="G2356" s="655"/>
      <c r="H2356" s="655">
        <v>1149145.3259999999</v>
      </c>
      <c r="I2356" s="655"/>
      <c r="J2356" s="635">
        <f t="shared" si="93"/>
        <v>1149145.3259999999</v>
      </c>
      <c r="K2356" s="635"/>
      <c r="L2356" s="635"/>
      <c r="M2356" s="655">
        <f t="shared" si="94"/>
        <v>1149145.3259999999</v>
      </c>
      <c r="N2356" s="61"/>
    </row>
    <row r="2357" spans="1:14" s="242" customFormat="1" ht="14.25" customHeight="1">
      <c r="A2357" s="624">
        <v>195</v>
      </c>
      <c r="B2357" s="625" t="e">
        <f>VLOOKUP(D2357,'[1]DS CN MOI UP'!$B$11:$C$447,2,0)</f>
        <v>#N/A</v>
      </c>
      <c r="C2357" s="626"/>
      <c r="D2357" s="61" t="s">
        <v>1748</v>
      </c>
      <c r="E2357" s="630" t="s">
        <v>15</v>
      </c>
      <c r="F2357" s="630"/>
      <c r="G2357" s="655"/>
      <c r="H2357" s="655">
        <v>1149145.3259999999</v>
      </c>
      <c r="I2357" s="655"/>
      <c r="J2357" s="635">
        <f t="shared" si="93"/>
        <v>1149145.3259999999</v>
      </c>
      <c r="K2357" s="635"/>
      <c r="L2357" s="635"/>
      <c r="M2357" s="655">
        <f t="shared" si="94"/>
        <v>1149145.3259999999</v>
      </c>
      <c r="N2357" s="61"/>
    </row>
    <row r="2358" spans="1:14" s="242" customFormat="1" ht="14.25" customHeight="1">
      <c r="A2358" s="624">
        <v>196</v>
      </c>
      <c r="B2358" s="625" t="e">
        <f>VLOOKUP(D2358,'[1]DS CN MOI UP'!$B$11:$C$447,2,0)</f>
        <v>#N/A</v>
      </c>
      <c r="C2358" s="626"/>
      <c r="D2358" s="61" t="s">
        <v>1749</v>
      </c>
      <c r="E2358" s="630" t="s">
        <v>15</v>
      </c>
      <c r="F2358" s="630"/>
      <c r="G2358" s="655"/>
      <c r="H2358" s="655">
        <v>1229038.53819991</v>
      </c>
      <c r="I2358" s="655"/>
      <c r="J2358" s="635">
        <f t="shared" si="93"/>
        <v>1229038.53819991</v>
      </c>
      <c r="K2358" s="635"/>
      <c r="L2358" s="635"/>
      <c r="M2358" s="655">
        <f t="shared" si="94"/>
        <v>1229038.53819991</v>
      </c>
      <c r="N2358" s="61"/>
    </row>
    <row r="2359" spans="1:14" s="242" customFormat="1" ht="14.25" customHeight="1">
      <c r="A2359" s="624">
        <v>197</v>
      </c>
      <c r="B2359" s="625" t="e">
        <f>VLOOKUP(D2359,'[1]DS CN MOI UP'!$B$11:$C$447,2,0)</f>
        <v>#N/A</v>
      </c>
      <c r="C2359" s="626"/>
      <c r="D2359" s="61" t="s">
        <v>1750</v>
      </c>
      <c r="E2359" s="630" t="s">
        <v>15</v>
      </c>
      <c r="F2359" s="630"/>
      <c r="G2359" s="655"/>
      <c r="H2359" s="655">
        <v>1159179.5249999999</v>
      </c>
      <c r="I2359" s="655"/>
      <c r="J2359" s="635">
        <f t="shared" si="93"/>
        <v>1159179.5249999999</v>
      </c>
      <c r="K2359" s="635"/>
      <c r="L2359" s="635"/>
      <c r="M2359" s="655">
        <f t="shared" si="94"/>
        <v>1159179.5249999999</v>
      </c>
      <c r="N2359" s="61"/>
    </row>
    <row r="2360" spans="1:14" s="242" customFormat="1" ht="14.25" customHeight="1">
      <c r="A2360" s="624">
        <v>198</v>
      </c>
      <c r="B2360" s="625" t="e">
        <f>VLOOKUP(D2360,'[1]DS CN MOI UP'!$B$11:$C$447,2,0)</f>
        <v>#N/A</v>
      </c>
      <c r="C2360" s="626"/>
      <c r="D2360" s="61" t="s">
        <v>1751</v>
      </c>
      <c r="E2360" s="630" t="s">
        <v>15</v>
      </c>
      <c r="F2360" s="630"/>
      <c r="G2360" s="655"/>
      <c r="H2360" s="655">
        <v>1239846.615</v>
      </c>
      <c r="I2360" s="655"/>
      <c r="J2360" s="635">
        <f t="shared" si="93"/>
        <v>1239846.615</v>
      </c>
      <c r="K2360" s="635"/>
      <c r="L2360" s="635"/>
      <c r="M2360" s="655">
        <f t="shared" si="94"/>
        <v>1239846.615</v>
      </c>
      <c r="N2360" s="61"/>
    </row>
    <row r="2361" spans="1:14" s="242" customFormat="1" ht="14.25" customHeight="1">
      <c r="A2361" s="624">
        <v>199</v>
      </c>
      <c r="B2361" s="625" t="e">
        <f>VLOOKUP(D2361,'[1]DS CN MOI UP'!$B$11:$C$447,2,0)</f>
        <v>#N/A</v>
      </c>
      <c r="C2361" s="626"/>
      <c r="D2361" s="61" t="s">
        <v>1752</v>
      </c>
      <c r="E2361" s="630" t="s">
        <v>15</v>
      </c>
      <c r="F2361" s="630"/>
      <c r="G2361" s="655"/>
      <c r="H2361" s="655">
        <v>1149145.3259999999</v>
      </c>
      <c r="I2361" s="655"/>
      <c r="J2361" s="635">
        <f t="shared" si="93"/>
        <v>1149145.3259999999</v>
      </c>
      <c r="K2361" s="635"/>
      <c r="L2361" s="635"/>
      <c r="M2361" s="655">
        <f t="shared" si="94"/>
        <v>1149145.3259999999</v>
      </c>
      <c r="N2361" s="61"/>
    </row>
    <row r="2362" spans="1:14" s="242" customFormat="1" ht="14.25" customHeight="1">
      <c r="A2362" s="624">
        <v>200</v>
      </c>
      <c r="B2362" s="625" t="e">
        <f>VLOOKUP(D2362,'[1]DS CN MOI UP'!$B$11:$C$447,2,0)</f>
        <v>#N/A</v>
      </c>
      <c r="C2362" s="626"/>
      <c r="D2362" s="61" t="s">
        <v>1753</v>
      </c>
      <c r="E2362" s="630" t="s">
        <v>15</v>
      </c>
      <c r="F2362" s="630"/>
      <c r="G2362" s="655"/>
      <c r="H2362" s="655">
        <v>1239846.615</v>
      </c>
      <c r="I2362" s="655"/>
      <c r="J2362" s="635">
        <f t="shared" si="93"/>
        <v>1239846.615</v>
      </c>
      <c r="K2362" s="635"/>
      <c r="L2362" s="635"/>
      <c r="M2362" s="655">
        <f t="shared" si="94"/>
        <v>1239846.615</v>
      </c>
      <c r="N2362" s="61"/>
    </row>
    <row r="2363" spans="1:14" s="242" customFormat="1" ht="14.25" customHeight="1">
      <c r="A2363" s="624">
        <v>201</v>
      </c>
      <c r="B2363" s="625" t="e">
        <f>VLOOKUP(D2363,'[1]DS CN MOI UP'!$B$11:$C$447,2,0)</f>
        <v>#N/A</v>
      </c>
      <c r="C2363" s="626"/>
      <c r="D2363" s="61" t="s">
        <v>1754</v>
      </c>
      <c r="E2363" s="630" t="s">
        <v>15</v>
      </c>
      <c r="F2363" s="630"/>
      <c r="G2363" s="655"/>
      <c r="H2363" s="655">
        <v>1149145.3259999999</v>
      </c>
      <c r="I2363" s="655"/>
      <c r="J2363" s="635">
        <f t="shared" si="93"/>
        <v>1149145.3259999999</v>
      </c>
      <c r="K2363" s="635"/>
      <c r="L2363" s="635"/>
      <c r="M2363" s="655">
        <f t="shared" si="94"/>
        <v>1149145.3259999999</v>
      </c>
      <c r="N2363" s="61"/>
    </row>
    <row r="2364" spans="1:14" s="242" customFormat="1" ht="14.25" customHeight="1">
      <c r="A2364" s="624">
        <v>202</v>
      </c>
      <c r="B2364" s="625" t="e">
        <f>VLOOKUP(D2364,'[1]DS CN MOI UP'!$B$11:$C$447,2,0)</f>
        <v>#N/A</v>
      </c>
      <c r="C2364" s="626"/>
      <c r="D2364" s="61" t="s">
        <v>1755</v>
      </c>
      <c r="E2364" s="630" t="s">
        <v>15</v>
      </c>
      <c r="F2364" s="630"/>
      <c r="G2364" s="655"/>
      <c r="H2364" s="655">
        <v>1149145.3259999999</v>
      </c>
      <c r="I2364" s="655"/>
      <c r="J2364" s="635">
        <f t="shared" si="93"/>
        <v>1149145.3259999999</v>
      </c>
      <c r="K2364" s="635"/>
      <c r="L2364" s="635"/>
      <c r="M2364" s="655">
        <f t="shared" si="94"/>
        <v>1149145.3259999999</v>
      </c>
      <c r="N2364" s="61"/>
    </row>
    <row r="2365" spans="1:14" s="242" customFormat="1" ht="14.25" customHeight="1">
      <c r="A2365" s="624">
        <v>203</v>
      </c>
      <c r="B2365" s="625" t="e">
        <f>VLOOKUP(D2365,'[1]DS CN MOI UP'!$B$11:$C$447,2,0)</f>
        <v>#N/A</v>
      </c>
      <c r="C2365" s="626"/>
      <c r="D2365" s="61" t="s">
        <v>1756</v>
      </c>
      <c r="E2365" s="630" t="s">
        <v>15</v>
      </c>
      <c r="F2365" s="630"/>
      <c r="G2365" s="655"/>
      <c r="H2365" s="655">
        <v>1239846.615</v>
      </c>
      <c r="I2365" s="655"/>
      <c r="J2365" s="635">
        <f t="shared" si="93"/>
        <v>1239846.615</v>
      </c>
      <c r="K2365" s="635"/>
      <c r="L2365" s="635"/>
      <c r="M2365" s="655">
        <f t="shared" si="94"/>
        <v>1239846.615</v>
      </c>
      <c r="N2365" s="61"/>
    </row>
    <row r="2366" spans="1:14" s="242" customFormat="1" ht="14.25" customHeight="1">
      <c r="A2366" s="624">
        <v>204</v>
      </c>
      <c r="B2366" s="625" t="e">
        <f>VLOOKUP(D2366,'[1]DS CN MOI UP'!$B$11:$C$447,2,0)</f>
        <v>#N/A</v>
      </c>
      <c r="C2366" s="626"/>
      <c r="D2366" s="61" t="s">
        <v>730</v>
      </c>
      <c r="E2366" s="630" t="s">
        <v>15</v>
      </c>
      <c r="F2366" s="630"/>
      <c r="G2366" s="655"/>
      <c r="H2366" s="655">
        <v>627578.85617408203</v>
      </c>
      <c r="I2366" s="655">
        <v>549145.326</v>
      </c>
      <c r="J2366" s="635">
        <f t="shared" si="93"/>
        <v>1176724.1821740819</v>
      </c>
      <c r="K2366" s="635"/>
      <c r="L2366" s="635"/>
      <c r="M2366" s="655">
        <f t="shared" si="94"/>
        <v>1176724.1821740819</v>
      </c>
      <c r="N2366" s="61"/>
    </row>
    <row r="2367" spans="1:14" s="242" customFormat="1" ht="14.25" customHeight="1">
      <c r="A2367" s="624">
        <v>205</v>
      </c>
      <c r="B2367" s="625" t="e">
        <f>VLOOKUP(D2367,'[1]DS CN MOI UP'!$B$11:$C$447,2,0)</f>
        <v>#N/A</v>
      </c>
      <c r="C2367" s="626"/>
      <c r="D2367" s="61" t="s">
        <v>1757</v>
      </c>
      <c r="E2367" s="630" t="s">
        <v>15</v>
      </c>
      <c r="F2367" s="630"/>
      <c r="G2367" s="655"/>
      <c r="H2367" s="655"/>
      <c r="I2367" s="655">
        <v>1149145.3259999999</v>
      </c>
      <c r="J2367" s="635">
        <f t="shared" si="93"/>
        <v>1149145.3259999999</v>
      </c>
      <c r="K2367" s="635"/>
      <c r="L2367" s="635"/>
      <c r="M2367" s="655">
        <f t="shared" si="94"/>
        <v>1149145.3259999999</v>
      </c>
      <c r="N2367" s="61"/>
    </row>
    <row r="2368" spans="1:14" s="242" customFormat="1" ht="14.25" customHeight="1">
      <c r="A2368" s="624">
        <v>206</v>
      </c>
      <c r="B2368" s="625" t="e">
        <f>VLOOKUP(D2368,'[1]DS CN MOI UP'!$B$11:$C$447,2,0)</f>
        <v>#N/A</v>
      </c>
      <c r="C2368" s="626"/>
      <c r="D2368" s="61" t="s">
        <v>1758</v>
      </c>
      <c r="E2368" s="630" t="s">
        <v>15</v>
      </c>
      <c r="F2368" s="630"/>
      <c r="G2368" s="655"/>
      <c r="H2368" s="655"/>
      <c r="I2368" s="655">
        <v>1229038.53819991</v>
      </c>
      <c r="J2368" s="635">
        <f t="shared" si="93"/>
        <v>1229038.53819991</v>
      </c>
      <c r="K2368" s="635"/>
      <c r="L2368" s="635"/>
      <c r="M2368" s="655">
        <f t="shared" si="94"/>
        <v>1229038.53819991</v>
      </c>
      <c r="N2368" s="61"/>
    </row>
    <row r="2369" spans="1:17" s="242" customFormat="1" ht="14.25" customHeight="1">
      <c r="A2369" s="624">
        <v>207</v>
      </c>
      <c r="B2369" s="625" t="e">
        <f>VLOOKUP(D2369,'[1]DS CN MOI UP'!$B$11:$C$447,2,0)</f>
        <v>#N/A</v>
      </c>
      <c r="C2369" s="626"/>
      <c r="D2369" s="61" t="s">
        <v>1759</v>
      </c>
      <c r="E2369" s="630" t="s">
        <v>15</v>
      </c>
      <c r="F2369" s="630"/>
      <c r="G2369" s="655"/>
      <c r="H2369" s="655"/>
      <c r="I2369" s="655">
        <v>1159179.5249999999</v>
      </c>
      <c r="J2369" s="635">
        <f t="shared" si="93"/>
        <v>1159179.5249999999</v>
      </c>
      <c r="K2369" s="635"/>
      <c r="L2369" s="635"/>
      <c r="M2369" s="655">
        <f t="shared" si="94"/>
        <v>1159179.5249999999</v>
      </c>
      <c r="N2369" s="61"/>
    </row>
    <row r="2370" spans="1:17" s="242" customFormat="1" ht="14.25" customHeight="1">
      <c r="A2370" s="624">
        <v>208</v>
      </c>
      <c r="B2370" s="625" t="e">
        <f>VLOOKUP(D2370,'[1]DS CN MOI UP'!$B$11:$C$447,2,0)</f>
        <v>#N/A</v>
      </c>
      <c r="C2370" s="626"/>
      <c r="D2370" s="61" t="s">
        <v>1760</v>
      </c>
      <c r="E2370" s="630" t="s">
        <v>15</v>
      </c>
      <c r="F2370" s="630"/>
      <c r="G2370" s="655"/>
      <c r="H2370" s="655"/>
      <c r="I2370" s="655">
        <v>1239846.615</v>
      </c>
      <c r="J2370" s="635">
        <f t="shared" si="93"/>
        <v>1239846.615</v>
      </c>
      <c r="K2370" s="635"/>
      <c r="L2370" s="635"/>
      <c r="M2370" s="655">
        <f t="shared" si="94"/>
        <v>1239846.615</v>
      </c>
      <c r="N2370" s="61"/>
    </row>
    <row r="2371" spans="1:17" s="242" customFormat="1" ht="14.25" customHeight="1">
      <c r="A2371" s="624">
        <v>209</v>
      </c>
      <c r="B2371" s="625" t="e">
        <f>VLOOKUP(D2371,'[1]DS CN MOI UP'!$B$11:$C$447,2,0)</f>
        <v>#N/A</v>
      </c>
      <c r="C2371" s="626"/>
      <c r="D2371" s="61" t="s">
        <v>1762</v>
      </c>
      <c r="E2371" s="630" t="s">
        <v>15</v>
      </c>
      <c r="F2371" s="630"/>
      <c r="G2371" s="655"/>
      <c r="H2371" s="655"/>
      <c r="I2371" s="655">
        <v>1237631.5878828999</v>
      </c>
      <c r="J2371" s="635">
        <f t="shared" si="93"/>
        <v>1237631.5878828999</v>
      </c>
      <c r="K2371" s="635"/>
      <c r="L2371" s="635"/>
      <c r="M2371" s="655">
        <f t="shared" si="94"/>
        <v>1237631.5878828999</v>
      </c>
      <c r="N2371" s="61"/>
    </row>
    <row r="2372" spans="1:17" s="242" customFormat="1" ht="14.25" customHeight="1">
      <c r="A2372" s="624">
        <v>210</v>
      </c>
      <c r="B2372" s="625" t="e">
        <f>VLOOKUP(D2372,'[1]DS CN MOI UP'!$B$11:$C$447,2,0)</f>
        <v>#N/A</v>
      </c>
      <c r="C2372" s="626"/>
      <c r="D2372" s="61" t="s">
        <v>1763</v>
      </c>
      <c r="E2372" s="630" t="s">
        <v>15</v>
      </c>
      <c r="F2372" s="630"/>
      <c r="G2372" s="655"/>
      <c r="H2372" s="655"/>
      <c r="I2372" s="655">
        <v>1237631.5878828999</v>
      </c>
      <c r="J2372" s="635">
        <f t="shared" ref="J2372:J2392" si="95">SUM(G2372:I2372)</f>
        <v>1237631.5878828999</v>
      </c>
      <c r="K2372" s="635"/>
      <c r="L2372" s="635"/>
      <c r="M2372" s="655">
        <f t="shared" ref="M2372:M2392" si="96">J2372-L2372</f>
        <v>1237631.5878828999</v>
      </c>
      <c r="N2372" s="61"/>
    </row>
    <row r="2373" spans="1:17" s="242" customFormat="1" ht="14.25" customHeight="1">
      <c r="A2373" s="624">
        <v>211</v>
      </c>
      <c r="B2373" s="625" t="e">
        <f>VLOOKUP(D2373,'[1]DS CN MOI UP'!$B$11:$C$447,2,0)</f>
        <v>#N/A</v>
      </c>
      <c r="C2373" s="626"/>
      <c r="D2373" s="61" t="s">
        <v>1764</v>
      </c>
      <c r="E2373" s="630" t="s">
        <v>15</v>
      </c>
      <c r="F2373" s="630"/>
      <c r="G2373" s="655"/>
      <c r="H2373" s="655"/>
      <c r="I2373" s="655">
        <v>1237631.5878828999</v>
      </c>
      <c r="J2373" s="635">
        <f t="shared" si="95"/>
        <v>1237631.5878828999</v>
      </c>
      <c r="K2373" s="635"/>
      <c r="L2373" s="635"/>
      <c r="M2373" s="655">
        <f t="shared" si="96"/>
        <v>1237631.5878828999</v>
      </c>
      <c r="N2373" s="61"/>
    </row>
    <row r="2374" spans="1:17" s="242" customFormat="1" ht="14.25" customHeight="1">
      <c r="A2374" s="624">
        <v>212</v>
      </c>
      <c r="B2374" s="625" t="e">
        <f>VLOOKUP(D2374,'[1]DS CN MOI UP'!$B$11:$C$447,2,0)</f>
        <v>#N/A</v>
      </c>
      <c r="C2374" s="626"/>
      <c r="D2374" s="61" t="s">
        <v>1765</v>
      </c>
      <c r="E2374" s="630" t="s">
        <v>15</v>
      </c>
      <c r="F2374" s="630"/>
      <c r="G2374" s="655"/>
      <c r="H2374" s="655"/>
      <c r="I2374" s="655">
        <v>1237631.5878828999</v>
      </c>
      <c r="J2374" s="635">
        <f t="shared" si="95"/>
        <v>1237631.5878828999</v>
      </c>
      <c r="K2374" s="635"/>
      <c r="L2374" s="635"/>
      <c r="M2374" s="655">
        <f t="shared" si="96"/>
        <v>1237631.5878828999</v>
      </c>
      <c r="N2374" s="61"/>
    </row>
    <row r="2375" spans="1:17" s="242" customFormat="1" ht="14.25" customHeight="1">
      <c r="A2375" s="624">
        <v>213</v>
      </c>
      <c r="B2375" s="625" t="e">
        <f>VLOOKUP(D2375,'[1]DS CN MOI UP'!$B$11:$C$447,2,0)</f>
        <v>#N/A</v>
      </c>
      <c r="C2375" s="626"/>
      <c r="D2375" s="61" t="s">
        <v>1766</v>
      </c>
      <c r="E2375" s="630" t="s">
        <v>15</v>
      </c>
      <c r="F2375" s="630"/>
      <c r="G2375" s="655"/>
      <c r="H2375" s="655"/>
      <c r="I2375" s="655">
        <v>1237631.5878828999</v>
      </c>
      <c r="J2375" s="635">
        <f t="shared" si="95"/>
        <v>1237631.5878828999</v>
      </c>
      <c r="K2375" s="635"/>
      <c r="L2375" s="635"/>
      <c r="M2375" s="655">
        <f t="shared" si="96"/>
        <v>1237631.5878828999</v>
      </c>
      <c r="N2375" s="61"/>
    </row>
    <row r="2376" spans="1:17" s="242" customFormat="1" ht="14.25" customHeight="1">
      <c r="A2376" s="624">
        <v>214</v>
      </c>
      <c r="B2376" s="625" t="e">
        <f>VLOOKUP(D2376,'[1]DS CN MOI UP'!$B$11:$C$447,2,0)</f>
        <v>#N/A</v>
      </c>
      <c r="C2376" s="626"/>
      <c r="D2376" s="61" t="s">
        <v>346</v>
      </c>
      <c r="E2376" s="630" t="s">
        <v>15</v>
      </c>
      <c r="F2376" s="630"/>
      <c r="G2376" s="655"/>
      <c r="H2376" s="655"/>
      <c r="I2376" s="655">
        <v>1237631.5878828999</v>
      </c>
      <c r="J2376" s="635">
        <f t="shared" si="95"/>
        <v>1237631.5878828999</v>
      </c>
      <c r="K2376" s="635"/>
      <c r="L2376" s="635"/>
      <c r="M2376" s="655">
        <f t="shared" si="96"/>
        <v>1237631.5878828999</v>
      </c>
      <c r="N2376" s="61"/>
    </row>
    <row r="2377" spans="1:17" s="242" customFormat="1" ht="14.25" customHeight="1">
      <c r="A2377" s="624">
        <v>215</v>
      </c>
      <c r="B2377" s="625" t="e">
        <f>VLOOKUP(D2377,'[1]DS CN MOI UP'!$B$11:$C$447,2,0)</f>
        <v>#N/A</v>
      </c>
      <c r="C2377" s="626"/>
      <c r="D2377" s="61" t="s">
        <v>1767</v>
      </c>
      <c r="E2377" s="630" t="s">
        <v>15</v>
      </c>
      <c r="F2377" s="630"/>
      <c r="G2377" s="655"/>
      <c r="H2377" s="655"/>
      <c r="I2377" s="655">
        <v>1237631.5878828999</v>
      </c>
      <c r="J2377" s="635">
        <f t="shared" si="95"/>
        <v>1237631.5878828999</v>
      </c>
      <c r="K2377" s="635"/>
      <c r="L2377" s="635"/>
      <c r="M2377" s="655">
        <f t="shared" si="96"/>
        <v>1237631.5878828999</v>
      </c>
      <c r="N2377" s="61"/>
    </row>
    <row r="2378" spans="1:17" s="242" customFormat="1" ht="14.25" customHeight="1">
      <c r="A2378" s="624">
        <v>216</v>
      </c>
      <c r="B2378" s="625" t="e">
        <f>VLOOKUP(D2378,'[1]DS CN MOI UP'!$B$11:$C$447,2,0)</f>
        <v>#N/A</v>
      </c>
      <c r="C2378" s="626"/>
      <c r="D2378" s="61" t="s">
        <v>1768</v>
      </c>
      <c r="E2378" s="630" t="s">
        <v>15</v>
      </c>
      <c r="F2378" s="630"/>
      <c r="G2378" s="655"/>
      <c r="H2378" s="655"/>
      <c r="I2378" s="655">
        <v>1237631.5878828999</v>
      </c>
      <c r="J2378" s="635">
        <f t="shared" si="95"/>
        <v>1237631.5878828999</v>
      </c>
      <c r="K2378" s="635"/>
      <c r="L2378" s="635"/>
      <c r="M2378" s="655">
        <f t="shared" si="96"/>
        <v>1237631.5878828999</v>
      </c>
      <c r="N2378" s="61"/>
    </row>
    <row r="2379" spans="1:17" s="242" customFormat="1" ht="14.25" customHeight="1">
      <c r="A2379" s="624">
        <v>217</v>
      </c>
      <c r="B2379" s="625" t="e">
        <f>VLOOKUP(D2379,'[1]DS CN MOI UP'!$B$11:$C$447,2,0)</f>
        <v>#N/A</v>
      </c>
      <c r="C2379" s="626"/>
      <c r="D2379" s="61" t="s">
        <v>1769</v>
      </c>
      <c r="E2379" s="630" t="s">
        <v>15</v>
      </c>
      <c r="F2379" s="630"/>
      <c r="G2379" s="655"/>
      <c r="H2379" s="655"/>
      <c r="I2379" s="655">
        <v>1237631.5878828999</v>
      </c>
      <c r="J2379" s="635">
        <f t="shared" si="95"/>
        <v>1237631.5878828999</v>
      </c>
      <c r="K2379" s="635"/>
      <c r="L2379" s="635"/>
      <c r="M2379" s="655">
        <f t="shared" si="96"/>
        <v>1237631.5878828999</v>
      </c>
      <c r="N2379" s="61"/>
    </row>
    <row r="2380" spans="1:17" s="242" customFormat="1" ht="14.25" customHeight="1">
      <c r="A2380" s="624">
        <v>218</v>
      </c>
      <c r="B2380" s="625" t="e">
        <f>VLOOKUP(D2380,'[1]DS CN MOI UP'!$B$11:$C$447,2,0)</f>
        <v>#N/A</v>
      </c>
      <c r="C2380" s="626"/>
      <c r="D2380" s="61" t="s">
        <v>1770</v>
      </c>
      <c r="E2380" s="630" t="s">
        <v>15</v>
      </c>
      <c r="F2380" s="630"/>
      <c r="G2380" s="655"/>
      <c r="H2380" s="655"/>
      <c r="I2380" s="655">
        <v>1237631.5878828999</v>
      </c>
      <c r="J2380" s="635">
        <f t="shared" si="95"/>
        <v>1237631.5878828999</v>
      </c>
      <c r="K2380" s="635"/>
      <c r="L2380" s="635"/>
      <c r="M2380" s="655">
        <f t="shared" si="96"/>
        <v>1237631.5878828999</v>
      </c>
      <c r="N2380" s="61"/>
    </row>
    <row r="2381" spans="1:17" s="242" customFormat="1" ht="14.25" customHeight="1">
      <c r="A2381" s="624">
        <v>219</v>
      </c>
      <c r="B2381" s="625" t="e">
        <f>VLOOKUP(D2381,'[1]DS CN MOI UP'!$B$11:$C$447,2,0)</f>
        <v>#N/A</v>
      </c>
      <c r="C2381" s="626"/>
      <c r="D2381" s="61" t="s">
        <v>1771</v>
      </c>
      <c r="E2381" s="630" t="s">
        <v>15</v>
      </c>
      <c r="F2381" s="630"/>
      <c r="G2381" s="655"/>
      <c r="H2381" s="655"/>
      <c r="I2381" s="655">
        <v>1237631.5878828999</v>
      </c>
      <c r="J2381" s="635">
        <f t="shared" si="95"/>
        <v>1237631.5878828999</v>
      </c>
      <c r="K2381" s="635"/>
      <c r="L2381" s="635"/>
      <c r="M2381" s="655">
        <f t="shared" si="96"/>
        <v>1237631.5878828999</v>
      </c>
      <c r="N2381" s="61"/>
    </row>
    <row r="2382" spans="1:17" s="242" customFormat="1" ht="14.25" customHeight="1">
      <c r="A2382" s="624">
        <v>220</v>
      </c>
      <c r="B2382" s="625" t="e">
        <f>VLOOKUP(D2382,'[1]DS CN MOI UP'!$B$11:$C$447,2,0)</f>
        <v>#N/A</v>
      </c>
      <c r="C2382" s="626"/>
      <c r="D2382" s="61" t="s">
        <v>1772</v>
      </c>
      <c r="E2382" s="630" t="s">
        <v>15</v>
      </c>
      <c r="F2382" s="630"/>
      <c r="G2382" s="655"/>
      <c r="H2382" s="655"/>
      <c r="I2382" s="655">
        <v>1237631.5878828999</v>
      </c>
      <c r="J2382" s="635">
        <f t="shared" si="95"/>
        <v>1237631.5878828999</v>
      </c>
      <c r="K2382" s="635"/>
      <c r="L2382" s="635"/>
      <c r="M2382" s="655">
        <f t="shared" si="96"/>
        <v>1237631.5878828999</v>
      </c>
      <c r="N2382" s="61"/>
    </row>
    <row r="2383" spans="1:17" s="242" customFormat="1" ht="14.25" customHeight="1">
      <c r="A2383" s="624">
        <v>221</v>
      </c>
      <c r="B2383" s="625" t="e">
        <f>VLOOKUP(D2383,'[1]DS CN MOI UP'!$B$11:$C$447,2,0)</f>
        <v>#N/A</v>
      </c>
      <c r="C2383" s="626"/>
      <c r="D2383" s="61" t="s">
        <v>1773</v>
      </c>
      <c r="E2383" s="630" t="s">
        <v>15</v>
      </c>
      <c r="F2383" s="630"/>
      <c r="G2383" s="655"/>
      <c r="H2383" s="655"/>
      <c r="I2383" s="655">
        <v>1237631.5878828999</v>
      </c>
      <c r="J2383" s="635">
        <f t="shared" si="95"/>
        <v>1237631.5878828999</v>
      </c>
      <c r="K2383" s="635"/>
      <c r="L2383" s="635"/>
      <c r="M2383" s="655">
        <f t="shared" si="96"/>
        <v>1237631.5878828999</v>
      </c>
      <c r="N2383" s="61"/>
    </row>
    <row r="2384" spans="1:17" s="242" customFormat="1" ht="14.25" customHeight="1">
      <c r="A2384" s="624">
        <v>222</v>
      </c>
      <c r="B2384" s="625" t="e">
        <f>VLOOKUP(D2384,'[1]DS CN MOI UP'!$B$11:$C$447,2,0)</f>
        <v>#N/A</v>
      </c>
      <c r="C2384" s="626"/>
      <c r="D2384" s="61" t="s">
        <v>1774</v>
      </c>
      <c r="E2384" s="630" t="s">
        <v>15</v>
      </c>
      <c r="F2384" s="630"/>
      <c r="G2384" s="655">
        <v>1237631.5878828999</v>
      </c>
      <c r="H2384" s="655"/>
      <c r="I2384" s="655"/>
      <c r="J2384" s="635">
        <f t="shared" si="95"/>
        <v>1237631.5878828999</v>
      </c>
      <c r="K2384" s="635"/>
      <c r="L2384" s="635"/>
      <c r="M2384" s="655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4">
        <v>223</v>
      </c>
      <c r="B2385" s="625" t="e">
        <f>VLOOKUP(D2385,'[1]DS CN MOI UP'!$B$11:$C$447,2,0)</f>
        <v>#N/A</v>
      </c>
      <c r="C2385" s="626"/>
      <c r="D2385" s="61" t="s">
        <v>1775</v>
      </c>
      <c r="E2385" s="630" t="s">
        <v>15</v>
      </c>
      <c r="F2385" s="630"/>
      <c r="G2385" s="655">
        <v>1237631.5878828999</v>
      </c>
      <c r="H2385" s="655"/>
      <c r="I2385" s="655"/>
      <c r="J2385" s="635">
        <f t="shared" si="95"/>
        <v>1237631.5878828999</v>
      </c>
      <c r="K2385" s="635"/>
      <c r="L2385" s="635"/>
      <c r="M2385" s="655">
        <f t="shared" si="96"/>
        <v>1237631.5878828999</v>
      </c>
      <c r="N2385" s="61"/>
    </row>
    <row r="2386" spans="1:14" s="242" customFormat="1" ht="14.25" customHeight="1">
      <c r="A2386" s="624">
        <v>224</v>
      </c>
      <c r="B2386" s="625" t="e">
        <f>VLOOKUP(D2386,'[1]DS CN MOI UP'!$B$11:$C$447,2,0)</f>
        <v>#N/A</v>
      </c>
      <c r="C2386" s="626"/>
      <c r="D2386" s="61" t="s">
        <v>1776</v>
      </c>
      <c r="E2386" s="630" t="s">
        <v>15</v>
      </c>
      <c r="F2386" s="630"/>
      <c r="G2386" s="655">
        <v>1237631.5878828999</v>
      </c>
      <c r="H2386" s="655"/>
      <c r="I2386" s="655"/>
      <c r="J2386" s="635">
        <f t="shared" si="95"/>
        <v>1237631.5878828999</v>
      </c>
      <c r="K2386" s="635"/>
      <c r="L2386" s="635"/>
      <c r="M2386" s="655">
        <f t="shared" si="96"/>
        <v>1237631.5878828999</v>
      </c>
      <c r="N2386" s="61"/>
    </row>
    <row r="2387" spans="1:14" s="242" customFormat="1" ht="14.25" customHeight="1">
      <c r="A2387" s="624">
        <v>225</v>
      </c>
      <c r="B2387" s="625" t="e">
        <f>VLOOKUP(D2387,'[1]DS CN MOI UP'!$B$11:$C$447,2,0)</f>
        <v>#N/A</v>
      </c>
      <c r="C2387" s="626"/>
      <c r="D2387" s="61" t="s">
        <v>1777</v>
      </c>
      <c r="E2387" s="630" t="s">
        <v>15</v>
      </c>
      <c r="F2387" s="630"/>
      <c r="G2387" s="655">
        <v>1237631.5878828999</v>
      </c>
      <c r="H2387" s="655"/>
      <c r="I2387" s="655"/>
      <c r="J2387" s="635">
        <f t="shared" si="95"/>
        <v>1237631.5878828999</v>
      </c>
      <c r="K2387" s="635"/>
      <c r="L2387" s="635"/>
      <c r="M2387" s="655">
        <f t="shared" si="96"/>
        <v>1237631.5878828999</v>
      </c>
      <c r="N2387" s="61"/>
    </row>
    <row r="2388" spans="1:14" s="242" customFormat="1" ht="14.25" customHeight="1">
      <c r="A2388" s="624">
        <v>226</v>
      </c>
      <c r="B2388" s="625" t="e">
        <f>VLOOKUP(D2388,'[1]DS CN MOI UP'!$B$11:$C$447,2,0)</f>
        <v>#N/A</v>
      </c>
      <c r="C2388" s="626"/>
      <c r="D2388" s="61" t="s">
        <v>1778</v>
      </c>
      <c r="E2388" s="630" t="s">
        <v>15</v>
      </c>
      <c r="F2388" s="630"/>
      <c r="G2388" s="655">
        <v>1237631.5878828999</v>
      </c>
      <c r="H2388" s="655"/>
      <c r="I2388" s="655"/>
      <c r="J2388" s="635">
        <f t="shared" si="95"/>
        <v>1237631.5878828999</v>
      </c>
      <c r="K2388" s="635"/>
      <c r="L2388" s="635"/>
      <c r="M2388" s="655">
        <f t="shared" si="96"/>
        <v>1237631.5878828999</v>
      </c>
      <c r="N2388" s="61"/>
    </row>
    <row r="2389" spans="1:14" s="242" customFormat="1" ht="14.25" customHeight="1">
      <c r="A2389" s="624">
        <v>227</v>
      </c>
      <c r="B2389" s="625" t="str">
        <f>VLOOKUP(D2389,'[1]DS CN MOI UP'!$B$11:$C$447,2,0)</f>
        <v>03353</v>
      </c>
      <c r="C2389" s="626"/>
      <c r="D2389" s="61" t="s">
        <v>134</v>
      </c>
      <c r="E2389" s="630" t="s">
        <v>15</v>
      </c>
      <c r="F2389" s="630"/>
      <c r="G2389" s="655">
        <v>381381.41810777801</v>
      </c>
      <c r="H2389" s="655">
        <v>67112.785824179999</v>
      </c>
      <c r="I2389" s="655">
        <f>+Q2384+637504.342907757</f>
        <v>810368.37254425907</v>
      </c>
      <c r="J2389" s="635">
        <f t="shared" si="95"/>
        <v>1258862.576476217</v>
      </c>
      <c r="K2389" s="635"/>
      <c r="L2389" s="635"/>
      <c r="M2389" s="655">
        <f t="shared" si="96"/>
        <v>1258862.576476217</v>
      </c>
      <c r="N2389" s="61"/>
    </row>
    <row r="2390" spans="1:14" s="242" customFormat="1" ht="14.25" customHeight="1">
      <c r="A2390" s="624">
        <v>228</v>
      </c>
      <c r="B2390" s="625" t="e">
        <f>VLOOKUP(D2390,'[1]DS CN MOI UP'!$B$11:$C$447,2,0)</f>
        <v>#N/A</v>
      </c>
      <c r="C2390" s="626"/>
      <c r="D2390" s="61" t="s">
        <v>1779</v>
      </c>
      <c r="E2390" s="630" t="s">
        <v>15</v>
      </c>
      <c r="F2390" s="630"/>
      <c r="G2390" s="655">
        <v>1237631.5878828999</v>
      </c>
      <c r="H2390" s="655"/>
      <c r="I2390" s="655"/>
      <c r="J2390" s="635">
        <f t="shared" si="95"/>
        <v>1237631.5878828999</v>
      </c>
      <c r="K2390" s="635"/>
      <c r="L2390" s="635"/>
      <c r="M2390" s="655">
        <f t="shared" si="96"/>
        <v>1237631.5878828999</v>
      </c>
      <c r="N2390" s="61"/>
    </row>
    <row r="2391" spans="1:14" s="242" customFormat="1" ht="14.25" customHeight="1">
      <c r="A2391" s="624">
        <v>229</v>
      </c>
      <c r="B2391" s="625" t="e">
        <f>VLOOKUP(D2391,'[1]DS CN MOI UP'!$B$11:$C$447,2,0)</f>
        <v>#N/A</v>
      </c>
      <c r="C2391" s="626"/>
      <c r="D2391" s="61" t="s">
        <v>1780</v>
      </c>
      <c r="E2391" s="630" t="s">
        <v>15</v>
      </c>
      <c r="F2391" s="630"/>
      <c r="G2391" s="655">
        <v>1237631.5878828999</v>
      </c>
      <c r="H2391" s="655"/>
      <c r="I2391" s="655"/>
      <c r="J2391" s="635">
        <f t="shared" si="95"/>
        <v>1237631.5878828999</v>
      </c>
      <c r="K2391" s="635"/>
      <c r="L2391" s="635"/>
      <c r="M2391" s="655">
        <f t="shared" si="96"/>
        <v>1237631.5878828999</v>
      </c>
      <c r="N2391" s="61"/>
    </row>
    <row r="2392" spans="1:14" s="242" customFormat="1" ht="14.25" customHeight="1">
      <c r="A2392" s="624">
        <v>230</v>
      </c>
      <c r="B2392" s="625" t="e">
        <f>VLOOKUP(D2392,'[1]DS CN MOI UP'!$B$11:$C$447,2,0)</f>
        <v>#N/A</v>
      </c>
      <c r="C2392" s="626"/>
      <c r="D2392" s="61" t="s">
        <v>1781</v>
      </c>
      <c r="E2392" s="630" t="s">
        <v>15</v>
      </c>
      <c r="F2392" s="630"/>
      <c r="G2392" s="655">
        <v>1237631.5878828999</v>
      </c>
      <c r="H2392" s="655"/>
      <c r="I2392" s="655"/>
      <c r="J2392" s="635">
        <f t="shared" si="95"/>
        <v>1237631.5878828999</v>
      </c>
      <c r="K2392" s="635"/>
      <c r="L2392" s="635"/>
      <c r="M2392" s="655">
        <f t="shared" si="96"/>
        <v>1237631.5878828999</v>
      </c>
      <c r="N2392" s="61"/>
    </row>
    <row r="2393" spans="1:14" s="242" customFormat="1" ht="14.25" customHeight="1">
      <c r="A2393" s="624">
        <v>231</v>
      </c>
      <c r="B2393" s="625" t="e">
        <f>VLOOKUP(D2393,'[1]DS CN MOI UP'!$B$11:$C$447,2,0)</f>
        <v>#N/A</v>
      </c>
      <c r="C2393" s="626"/>
      <c r="D2393" s="61" t="s">
        <v>769</v>
      </c>
      <c r="E2393" s="630" t="s">
        <v>15</v>
      </c>
      <c r="F2393" s="630"/>
      <c r="G2393" s="655">
        <v>624228.51360449195</v>
      </c>
      <c r="H2393" s="635">
        <v>554373.09900000005</v>
      </c>
      <c r="I2393" s="655"/>
      <c r="J2393" s="635">
        <f t="shared" ref="J2393:J2550" si="97">SUM(G2393:I2393)</f>
        <v>1178601.6126044919</v>
      </c>
      <c r="K2393" s="635"/>
      <c r="L2393" s="635"/>
      <c r="M2393" s="655">
        <f t="shared" ref="M2393:M2550" si="98">J2393-L2393</f>
        <v>1178601.6126044919</v>
      </c>
      <c r="N2393" s="61"/>
    </row>
    <row r="2394" spans="1:14" s="242" customFormat="1" ht="14.25" customHeight="1">
      <c r="A2394" s="624">
        <v>232</v>
      </c>
      <c r="B2394" s="625" t="e">
        <f>VLOOKUP(D2394,'[1]DS CN MOI UP'!$B$11:$C$447,2,0)</f>
        <v>#N/A</v>
      </c>
      <c r="C2394" s="626"/>
      <c r="D2394" s="61" t="s">
        <v>1707</v>
      </c>
      <c r="E2394" s="630" t="s">
        <v>15</v>
      </c>
      <c r="F2394" s="630"/>
      <c r="G2394" s="655">
        <v>600000</v>
      </c>
      <c r="H2394" s="635">
        <v>635040.18900000001</v>
      </c>
      <c r="I2394" s="655"/>
      <c r="J2394" s="635">
        <f t="shared" si="97"/>
        <v>1235040.189</v>
      </c>
      <c r="K2394" s="635"/>
      <c r="L2394" s="635"/>
      <c r="M2394" s="655">
        <f t="shared" si="98"/>
        <v>1235040.189</v>
      </c>
      <c r="N2394" s="61"/>
    </row>
    <row r="2395" spans="1:14" s="242" customFormat="1" ht="14.25" customHeight="1">
      <c r="A2395" s="624">
        <v>233</v>
      </c>
      <c r="B2395" s="625" t="e">
        <f>VLOOKUP(D2395,'[1]DS CN MOI UP'!$B$11:$C$447,2,0)</f>
        <v>#N/A</v>
      </c>
      <c r="C2395" s="626"/>
      <c r="D2395" s="61" t="s">
        <v>1708</v>
      </c>
      <c r="E2395" s="630" t="s">
        <v>15</v>
      </c>
      <c r="F2395" s="630"/>
      <c r="G2395" s="655">
        <v>744855.12120026303</v>
      </c>
      <c r="H2395" s="635">
        <v>544338.9</v>
      </c>
      <c r="I2395" s="655"/>
      <c r="J2395" s="635">
        <f t="shared" si="97"/>
        <v>1289194.0212002629</v>
      </c>
      <c r="K2395" s="635"/>
      <c r="L2395" s="635"/>
      <c r="M2395" s="655">
        <f t="shared" si="98"/>
        <v>1289194.0212002629</v>
      </c>
      <c r="N2395" s="61"/>
    </row>
    <row r="2396" spans="1:14" s="242" customFormat="1" ht="14.25" customHeight="1">
      <c r="A2396" s="624">
        <v>234</v>
      </c>
      <c r="B2396" s="625" t="e">
        <f>VLOOKUP(D2396,'[1]DS CN MOI UP'!$B$11:$C$447,2,0)</f>
        <v>#N/A</v>
      </c>
      <c r="C2396" s="626"/>
      <c r="D2396" s="61" t="s">
        <v>1709</v>
      </c>
      <c r="E2396" s="630" t="s">
        <v>15</v>
      </c>
      <c r="F2396" s="630"/>
      <c r="G2396" s="655">
        <v>600000</v>
      </c>
      <c r="H2396" s="635">
        <v>574572.66299999994</v>
      </c>
      <c r="I2396" s="655"/>
      <c r="J2396" s="635">
        <f t="shared" si="97"/>
        <v>1174572.6629999999</v>
      </c>
      <c r="K2396" s="635"/>
      <c r="L2396" s="635"/>
      <c r="M2396" s="655">
        <f t="shared" si="98"/>
        <v>1174572.6629999999</v>
      </c>
      <c r="N2396" s="61"/>
    </row>
    <row r="2397" spans="1:14" s="242" customFormat="1" ht="14.25" customHeight="1">
      <c r="A2397" s="624">
        <v>235</v>
      </c>
      <c r="B2397" s="625" t="e">
        <f>VLOOKUP(D2397,'[1]DS CN MOI UP'!$B$11:$C$447,2,0)</f>
        <v>#N/A</v>
      </c>
      <c r="C2397" s="626"/>
      <c r="D2397" s="61" t="s">
        <v>771</v>
      </c>
      <c r="E2397" s="630" t="s">
        <v>15</v>
      </c>
      <c r="F2397" s="630"/>
      <c r="G2397" s="655">
        <v>600000</v>
      </c>
      <c r="H2397" s="635">
        <v>524139.33600000001</v>
      </c>
      <c r="I2397" s="655"/>
      <c r="J2397" s="635">
        <f t="shared" si="97"/>
        <v>1124139.3360000001</v>
      </c>
      <c r="K2397" s="635"/>
      <c r="L2397" s="635"/>
      <c r="M2397" s="655">
        <f t="shared" si="98"/>
        <v>1124139.3360000001</v>
      </c>
      <c r="N2397" s="61"/>
    </row>
    <row r="2398" spans="1:14" s="242" customFormat="1" ht="14.25" customHeight="1">
      <c r="A2398" s="624">
        <v>236</v>
      </c>
      <c r="B2398" s="625" t="e">
        <f>VLOOKUP(D2398,'[1]DS CN MOI UP'!$B$11:$C$447,2,0)</f>
        <v>#N/A</v>
      </c>
      <c r="C2398" s="626"/>
      <c r="D2398" s="61" t="s">
        <v>1782</v>
      </c>
      <c r="E2398" s="630" t="s">
        <v>15</v>
      </c>
      <c r="F2398" s="630"/>
      <c r="G2398" s="655">
        <v>600000</v>
      </c>
      <c r="H2398" s="635">
        <v>635040.18900000001</v>
      </c>
      <c r="I2398" s="655"/>
      <c r="J2398" s="635">
        <f t="shared" si="97"/>
        <v>1235040.189</v>
      </c>
      <c r="K2398" s="635"/>
      <c r="L2398" s="635"/>
      <c r="M2398" s="655">
        <f t="shared" si="98"/>
        <v>1235040.189</v>
      </c>
      <c r="N2398" s="61"/>
    </row>
    <row r="2399" spans="1:14" s="242" customFormat="1" ht="14.25" customHeight="1">
      <c r="A2399" s="624">
        <v>237</v>
      </c>
      <c r="B2399" s="625" t="e">
        <f>VLOOKUP(D2399,'[1]DS CN MOI UP'!$B$11:$C$447,2,0)</f>
        <v>#N/A</v>
      </c>
      <c r="C2399" s="626"/>
      <c r="D2399" s="61" t="s">
        <v>1783</v>
      </c>
      <c r="E2399" s="630" t="s">
        <v>15</v>
      </c>
      <c r="F2399" s="630"/>
      <c r="G2399" s="655">
        <v>600000</v>
      </c>
      <c r="H2399" s="635">
        <v>635040.18900000001</v>
      </c>
      <c r="I2399" s="655"/>
      <c r="J2399" s="635">
        <f t="shared" si="97"/>
        <v>1235040.189</v>
      </c>
      <c r="K2399" s="635"/>
      <c r="L2399" s="635"/>
      <c r="M2399" s="655">
        <f t="shared" si="98"/>
        <v>1235040.189</v>
      </c>
      <c r="N2399" s="61"/>
    </row>
    <row r="2400" spans="1:14" s="242" customFormat="1" ht="14.25" customHeight="1">
      <c r="A2400" s="624">
        <v>238</v>
      </c>
      <c r="B2400" s="625" t="e">
        <f>VLOOKUP(D2400,'[1]DS CN MOI UP'!$B$11:$C$447,2,0)</f>
        <v>#N/A</v>
      </c>
      <c r="C2400" s="626"/>
      <c r="D2400" s="61" t="s">
        <v>773</v>
      </c>
      <c r="E2400" s="630" t="s">
        <v>15</v>
      </c>
      <c r="F2400" s="630"/>
      <c r="G2400" s="655">
        <v>600000</v>
      </c>
      <c r="H2400" s="635">
        <v>554373.09900000005</v>
      </c>
      <c r="I2400" s="655"/>
      <c r="J2400" s="635">
        <f t="shared" si="97"/>
        <v>1154373.0989999999</v>
      </c>
      <c r="K2400" s="635"/>
      <c r="L2400" s="635"/>
      <c r="M2400" s="655">
        <f t="shared" si="98"/>
        <v>1154373.0989999999</v>
      </c>
      <c r="N2400" s="61"/>
    </row>
    <row r="2401" spans="1:14" s="242" customFormat="1" ht="14.25" customHeight="1">
      <c r="A2401" s="624">
        <v>239</v>
      </c>
      <c r="B2401" s="625" t="e">
        <f>VLOOKUP(D2401,'[1]DS CN MOI UP'!$B$11:$C$447,2,0)</f>
        <v>#N/A</v>
      </c>
      <c r="C2401" s="626"/>
      <c r="D2401" s="61" t="s">
        <v>774</v>
      </c>
      <c r="E2401" s="630" t="s">
        <v>15</v>
      </c>
      <c r="F2401" s="630"/>
      <c r="G2401" s="655">
        <v>600000</v>
      </c>
      <c r="H2401" s="635">
        <v>635040.18900000001</v>
      </c>
      <c r="I2401" s="655"/>
      <c r="J2401" s="635">
        <f t="shared" si="97"/>
        <v>1235040.189</v>
      </c>
      <c r="K2401" s="635"/>
      <c r="L2401" s="635"/>
      <c r="M2401" s="655">
        <f t="shared" si="98"/>
        <v>1235040.189</v>
      </c>
      <c r="N2401" s="61"/>
    </row>
    <row r="2402" spans="1:14" s="242" customFormat="1" ht="14.25" customHeight="1">
      <c r="A2402" s="624">
        <v>240</v>
      </c>
      <c r="B2402" s="625" t="e">
        <f>VLOOKUP(D2402,'[1]DS CN MOI UP'!$B$11:$C$447,2,0)</f>
        <v>#N/A</v>
      </c>
      <c r="C2402" s="626"/>
      <c r="D2402" s="61" t="s">
        <v>1711</v>
      </c>
      <c r="E2402" s="630" t="s">
        <v>15</v>
      </c>
      <c r="F2402" s="630"/>
      <c r="G2402" s="655">
        <v>744855.12120026303</v>
      </c>
      <c r="H2402" s="635">
        <v>544338.9</v>
      </c>
      <c r="I2402" s="655"/>
      <c r="J2402" s="635">
        <f t="shared" si="97"/>
        <v>1289194.0212002629</v>
      </c>
      <c r="K2402" s="635"/>
      <c r="L2402" s="635"/>
      <c r="M2402" s="655">
        <f t="shared" si="98"/>
        <v>1289194.0212002629</v>
      </c>
      <c r="N2402" s="61"/>
    </row>
    <row r="2403" spans="1:14" s="242" customFormat="1" ht="14.25" customHeight="1">
      <c r="A2403" s="624">
        <v>241</v>
      </c>
      <c r="B2403" s="625" t="e">
        <f>VLOOKUP(D2403,'[1]DS CN MOI UP'!$B$11:$C$447,2,0)</f>
        <v>#N/A</v>
      </c>
      <c r="C2403" s="626"/>
      <c r="D2403" s="61" t="s">
        <v>1712</v>
      </c>
      <c r="E2403" s="630" t="s">
        <v>15</v>
      </c>
      <c r="F2403" s="630"/>
      <c r="G2403" s="655">
        <v>600000</v>
      </c>
      <c r="H2403" s="635">
        <v>674572.66299999994</v>
      </c>
      <c r="I2403" s="655"/>
      <c r="J2403" s="635">
        <f t="shared" si="97"/>
        <v>1274572.6629999999</v>
      </c>
      <c r="K2403" s="635"/>
      <c r="L2403" s="635"/>
      <c r="M2403" s="655">
        <f t="shared" si="98"/>
        <v>1274572.6629999999</v>
      </c>
      <c r="N2403" s="61"/>
    </row>
    <row r="2404" spans="1:14" s="242" customFormat="1" ht="14.25" customHeight="1">
      <c r="A2404" s="624">
        <v>242</v>
      </c>
      <c r="B2404" s="625" t="e">
        <f>VLOOKUP(D2404,'[1]DS CN MOI UP'!$B$11:$C$447,2,0)</f>
        <v>#N/A</v>
      </c>
      <c r="C2404" s="626"/>
      <c r="D2404" s="61" t="s">
        <v>777</v>
      </c>
      <c r="E2404" s="630" t="s">
        <v>15</v>
      </c>
      <c r="F2404" s="630"/>
      <c r="G2404" s="655">
        <v>600000</v>
      </c>
      <c r="H2404" s="635">
        <v>524139.33600000001</v>
      </c>
      <c r="I2404" s="655"/>
      <c r="J2404" s="635">
        <f t="shared" si="97"/>
        <v>1124139.3360000001</v>
      </c>
      <c r="K2404" s="635"/>
      <c r="L2404" s="635"/>
      <c r="M2404" s="655">
        <f t="shared" si="98"/>
        <v>1124139.3360000001</v>
      </c>
      <c r="N2404" s="61"/>
    </row>
    <row r="2405" spans="1:14" s="242" customFormat="1" ht="14.25" customHeight="1">
      <c r="A2405" s="624">
        <v>243</v>
      </c>
      <c r="B2405" s="625" t="e">
        <f>VLOOKUP(D2405,'[1]DS CN MOI UP'!$B$11:$C$447,2,0)</f>
        <v>#N/A</v>
      </c>
      <c r="C2405" s="626"/>
      <c r="D2405" s="61" t="s">
        <v>1714</v>
      </c>
      <c r="E2405" s="630" t="s">
        <v>15</v>
      </c>
      <c r="F2405" s="630"/>
      <c r="G2405" s="655">
        <v>600000</v>
      </c>
      <c r="H2405" s="635">
        <v>635040.18900000001</v>
      </c>
      <c r="I2405" s="655"/>
      <c r="J2405" s="635">
        <f t="shared" ref="J2405:J2424" si="99">SUM(G2405:I2405)</f>
        <v>1235040.189</v>
      </c>
      <c r="K2405" s="635"/>
      <c r="L2405" s="635"/>
      <c r="M2405" s="655">
        <f t="shared" ref="M2405:M2424" si="100">J2405-L2405</f>
        <v>1235040.189</v>
      </c>
      <c r="N2405" s="61"/>
    </row>
    <row r="2406" spans="1:14" s="242" customFormat="1" ht="14.25" customHeight="1">
      <c r="A2406" s="624">
        <v>244</v>
      </c>
      <c r="B2406" s="625" t="e">
        <f>VLOOKUP(D2406,'[1]DS CN MOI UP'!$B$11:$C$447,2,0)</f>
        <v>#N/A</v>
      </c>
      <c r="C2406" s="626"/>
      <c r="D2406" s="61" t="s">
        <v>1715</v>
      </c>
      <c r="E2406" s="630" t="s">
        <v>15</v>
      </c>
      <c r="F2406" s="630"/>
      <c r="G2406" s="655">
        <v>600000</v>
      </c>
      <c r="H2406" s="635">
        <v>635040.18900000001</v>
      </c>
      <c r="I2406" s="655"/>
      <c r="J2406" s="635">
        <f t="shared" si="99"/>
        <v>1235040.189</v>
      </c>
      <c r="K2406" s="635"/>
      <c r="L2406" s="635"/>
      <c r="M2406" s="655">
        <f t="shared" si="100"/>
        <v>1235040.189</v>
      </c>
      <c r="N2406" s="61"/>
    </row>
    <row r="2407" spans="1:14" s="242" customFormat="1" ht="14.25" customHeight="1">
      <c r="A2407" s="624">
        <v>245</v>
      </c>
      <c r="B2407" s="625" t="e">
        <f>VLOOKUP(D2407,'[1]DS CN MOI UP'!$B$11:$C$447,2,0)</f>
        <v>#N/A</v>
      </c>
      <c r="C2407" s="626"/>
      <c r="D2407" s="61" t="s">
        <v>1716</v>
      </c>
      <c r="E2407" s="630" t="s">
        <v>15</v>
      </c>
      <c r="F2407" s="630"/>
      <c r="G2407" s="655">
        <v>600000</v>
      </c>
      <c r="H2407" s="635">
        <v>554373.09900000005</v>
      </c>
      <c r="I2407" s="655"/>
      <c r="J2407" s="635">
        <f t="shared" si="99"/>
        <v>1154373.0989999999</v>
      </c>
      <c r="K2407" s="635"/>
      <c r="L2407" s="635"/>
      <c r="M2407" s="655">
        <f t="shared" si="100"/>
        <v>1154373.0989999999</v>
      </c>
      <c r="N2407" s="61"/>
    </row>
    <row r="2408" spans="1:14" s="242" customFormat="1" ht="14.25" customHeight="1">
      <c r="A2408" s="624">
        <v>246</v>
      </c>
      <c r="B2408" s="625" t="e">
        <f>VLOOKUP(D2408,'[1]DS CN MOI UP'!$B$11:$C$447,2,0)</f>
        <v>#N/A</v>
      </c>
      <c r="C2408" s="626"/>
      <c r="D2408" s="61" t="s">
        <v>1717</v>
      </c>
      <c r="E2408" s="630" t="s">
        <v>15</v>
      </c>
      <c r="F2408" s="630"/>
      <c r="G2408" s="655">
        <v>600000</v>
      </c>
      <c r="H2408" s="635">
        <v>635040.18900000001</v>
      </c>
      <c r="I2408" s="655"/>
      <c r="J2408" s="635">
        <f t="shared" si="99"/>
        <v>1235040.189</v>
      </c>
      <c r="K2408" s="635"/>
      <c r="L2408" s="635"/>
      <c r="M2408" s="655">
        <f t="shared" si="100"/>
        <v>1235040.189</v>
      </c>
      <c r="N2408" s="61"/>
    </row>
    <row r="2409" spans="1:14" s="242" customFormat="1" ht="14.25" customHeight="1">
      <c r="A2409" s="624">
        <v>247</v>
      </c>
      <c r="B2409" s="625" t="e">
        <f>VLOOKUP(D2409,'[1]DS CN MOI UP'!$B$11:$C$447,2,0)</f>
        <v>#N/A</v>
      </c>
      <c r="C2409" s="626"/>
      <c r="D2409" s="61" t="s">
        <v>1718</v>
      </c>
      <c r="E2409" s="630" t="s">
        <v>15</v>
      </c>
      <c r="F2409" s="630"/>
      <c r="G2409" s="655">
        <v>744855.12120026303</v>
      </c>
      <c r="H2409" s="635">
        <v>544338.9</v>
      </c>
      <c r="I2409" s="655"/>
      <c r="J2409" s="635">
        <f t="shared" si="99"/>
        <v>1289194.0212002629</v>
      </c>
      <c r="K2409" s="635"/>
      <c r="L2409" s="635"/>
      <c r="M2409" s="655">
        <f t="shared" si="100"/>
        <v>1289194.0212002629</v>
      </c>
      <c r="N2409" s="61"/>
    </row>
    <row r="2410" spans="1:14" s="242" customFormat="1" ht="14.25" customHeight="1">
      <c r="A2410" s="624">
        <v>248</v>
      </c>
      <c r="B2410" s="625" t="e">
        <f>VLOOKUP(D2410,'[1]DS CN MOI UP'!$B$11:$C$447,2,0)</f>
        <v>#N/A</v>
      </c>
      <c r="C2410" s="626"/>
      <c r="D2410" s="61" t="s">
        <v>1719</v>
      </c>
      <c r="E2410" s="630" t="s">
        <v>15</v>
      </c>
      <c r="F2410" s="630"/>
      <c r="G2410" s="655">
        <v>600000</v>
      </c>
      <c r="H2410" s="635">
        <v>574572.66299999994</v>
      </c>
      <c r="I2410" s="655"/>
      <c r="J2410" s="635">
        <f t="shared" si="99"/>
        <v>1174572.6629999999</v>
      </c>
      <c r="K2410" s="635"/>
      <c r="L2410" s="635"/>
      <c r="M2410" s="655">
        <f t="shared" si="100"/>
        <v>1174572.6629999999</v>
      </c>
      <c r="N2410" s="61"/>
    </row>
    <row r="2411" spans="1:14" s="242" customFormat="1" ht="14.25" customHeight="1">
      <c r="A2411" s="624">
        <v>249</v>
      </c>
      <c r="B2411" s="625" t="e">
        <f>VLOOKUP(D2411,'[1]DS CN MOI UP'!$B$11:$C$447,2,0)</f>
        <v>#N/A</v>
      </c>
      <c r="C2411" s="626"/>
      <c r="D2411" s="61" t="s">
        <v>1720</v>
      </c>
      <c r="E2411" s="630" t="s">
        <v>15</v>
      </c>
      <c r="F2411" s="630"/>
      <c r="G2411" s="655">
        <v>600000</v>
      </c>
      <c r="H2411" s="635">
        <v>524139.33600000001</v>
      </c>
      <c r="I2411" s="655"/>
      <c r="J2411" s="635">
        <f t="shared" si="99"/>
        <v>1124139.3360000001</v>
      </c>
      <c r="K2411" s="635"/>
      <c r="L2411" s="635"/>
      <c r="M2411" s="655">
        <f t="shared" si="100"/>
        <v>1124139.3360000001</v>
      </c>
      <c r="N2411" s="61"/>
    </row>
    <row r="2412" spans="1:14" s="242" customFormat="1" ht="14.25" customHeight="1">
      <c r="A2412" s="624">
        <v>250</v>
      </c>
      <c r="B2412" s="625" t="e">
        <f>VLOOKUP(D2412,'[1]DS CN MOI UP'!$B$11:$C$447,2,0)</f>
        <v>#N/A</v>
      </c>
      <c r="C2412" s="626"/>
      <c r="D2412" s="61" t="s">
        <v>1721</v>
      </c>
      <c r="E2412" s="630" t="s">
        <v>15</v>
      </c>
      <c r="F2412" s="630"/>
      <c r="G2412" s="655">
        <v>600000</v>
      </c>
      <c r="H2412" s="635">
        <v>635040.18900000001</v>
      </c>
      <c r="I2412" s="655"/>
      <c r="J2412" s="635">
        <f t="shared" si="99"/>
        <v>1235040.189</v>
      </c>
      <c r="K2412" s="635"/>
      <c r="L2412" s="635"/>
      <c r="M2412" s="655">
        <f t="shared" si="100"/>
        <v>1235040.189</v>
      </c>
      <c r="N2412" s="61"/>
    </row>
    <row r="2413" spans="1:14" s="242" customFormat="1" ht="14.25" customHeight="1">
      <c r="A2413" s="624">
        <v>251</v>
      </c>
      <c r="B2413" s="625" t="e">
        <f>VLOOKUP(D2413,'[1]DS CN MOI UP'!$B$11:$C$447,2,0)</f>
        <v>#N/A</v>
      </c>
      <c r="C2413" s="626"/>
      <c r="D2413" s="61" t="s">
        <v>1722</v>
      </c>
      <c r="E2413" s="630" t="s">
        <v>15</v>
      </c>
      <c r="F2413" s="630"/>
      <c r="G2413" s="655">
        <v>600000</v>
      </c>
      <c r="H2413" s="635">
        <v>635040.18900000001</v>
      </c>
      <c r="I2413" s="655"/>
      <c r="J2413" s="635">
        <f t="shared" si="99"/>
        <v>1235040.189</v>
      </c>
      <c r="K2413" s="635"/>
      <c r="L2413" s="635"/>
      <c r="M2413" s="655">
        <f t="shared" si="100"/>
        <v>1235040.189</v>
      </c>
      <c r="N2413" s="61"/>
    </row>
    <row r="2414" spans="1:14" s="242" customFormat="1" ht="14.25" customHeight="1">
      <c r="A2414" s="624">
        <v>252</v>
      </c>
      <c r="B2414" s="625" t="e">
        <f>VLOOKUP(D2414,'[1]DS CN MOI UP'!$B$11:$C$447,2,0)</f>
        <v>#N/A</v>
      </c>
      <c r="C2414" s="626"/>
      <c r="D2414" s="61" t="s">
        <v>1723</v>
      </c>
      <c r="E2414" s="630" t="s">
        <v>15</v>
      </c>
      <c r="F2414" s="630"/>
      <c r="G2414" s="655">
        <v>600000</v>
      </c>
      <c r="H2414" s="635">
        <v>554373.09900000005</v>
      </c>
      <c r="I2414" s="655"/>
      <c r="J2414" s="635">
        <f t="shared" si="99"/>
        <v>1154373.0989999999</v>
      </c>
      <c r="K2414" s="635"/>
      <c r="L2414" s="635"/>
      <c r="M2414" s="655">
        <f t="shared" si="100"/>
        <v>1154373.0989999999</v>
      </c>
      <c r="N2414" s="61"/>
    </row>
    <row r="2415" spans="1:14" s="242" customFormat="1" ht="14.25" customHeight="1">
      <c r="A2415" s="624">
        <v>253</v>
      </c>
      <c r="B2415" s="625" t="e">
        <f>VLOOKUP(D2415,'[1]DS CN MOI UP'!$B$11:$C$447,2,0)</f>
        <v>#N/A</v>
      </c>
      <c r="C2415" s="626"/>
      <c r="D2415" s="61" t="s">
        <v>1724</v>
      </c>
      <c r="E2415" s="630" t="s">
        <v>15</v>
      </c>
      <c r="F2415" s="630"/>
      <c r="G2415" s="655">
        <v>600000</v>
      </c>
      <c r="H2415" s="635">
        <v>635040.18900000001</v>
      </c>
      <c r="I2415" s="655"/>
      <c r="J2415" s="635">
        <f t="shared" si="99"/>
        <v>1235040.189</v>
      </c>
      <c r="K2415" s="635"/>
      <c r="L2415" s="635"/>
      <c r="M2415" s="655">
        <f t="shared" si="100"/>
        <v>1235040.189</v>
      </c>
      <c r="N2415" s="61"/>
    </row>
    <row r="2416" spans="1:14" s="242" customFormat="1" ht="14.25" customHeight="1">
      <c r="A2416" s="624">
        <v>254</v>
      </c>
      <c r="B2416" s="625" t="e">
        <f>VLOOKUP(D2416,'[1]DS CN MOI UP'!$B$11:$C$447,2,0)</f>
        <v>#N/A</v>
      </c>
      <c r="C2416" s="626"/>
      <c r="D2416" s="61" t="s">
        <v>1725</v>
      </c>
      <c r="E2416" s="630" t="s">
        <v>15</v>
      </c>
      <c r="F2416" s="630"/>
      <c r="G2416" s="655">
        <v>744855.12120026303</v>
      </c>
      <c r="H2416" s="635">
        <v>544338.9</v>
      </c>
      <c r="I2416" s="655"/>
      <c r="J2416" s="635">
        <f t="shared" si="99"/>
        <v>1289194.0212002629</v>
      </c>
      <c r="K2416" s="635"/>
      <c r="L2416" s="635"/>
      <c r="M2416" s="655">
        <f t="shared" si="100"/>
        <v>1289194.0212002629</v>
      </c>
      <c r="N2416" s="61"/>
    </row>
    <row r="2417" spans="1:14" s="242" customFormat="1" ht="14.25" customHeight="1">
      <c r="A2417" s="624">
        <v>255</v>
      </c>
      <c r="B2417" s="625" t="e">
        <f>VLOOKUP(D2417,'[1]DS CN MOI UP'!$B$11:$C$447,2,0)</f>
        <v>#N/A</v>
      </c>
      <c r="C2417" s="626"/>
      <c r="D2417" s="61" t="s">
        <v>836</v>
      </c>
      <c r="E2417" s="630" t="s">
        <v>15</v>
      </c>
      <c r="F2417" s="630"/>
      <c r="G2417" s="655">
        <v>600000</v>
      </c>
      <c r="H2417" s="635">
        <v>574572.66299999994</v>
      </c>
      <c r="I2417" s="655"/>
      <c r="J2417" s="635">
        <f t="shared" si="99"/>
        <v>1174572.6629999999</v>
      </c>
      <c r="K2417" s="635"/>
      <c r="L2417" s="635"/>
      <c r="M2417" s="655">
        <f t="shared" si="100"/>
        <v>1174572.6629999999</v>
      </c>
      <c r="N2417" s="61"/>
    </row>
    <row r="2418" spans="1:14" s="242" customFormat="1" ht="14.25" customHeight="1">
      <c r="A2418" s="624">
        <v>256</v>
      </c>
      <c r="B2418" s="625" t="e">
        <f>VLOOKUP(D2418,'[1]DS CN MOI UP'!$B$11:$C$447,2,0)</f>
        <v>#N/A</v>
      </c>
      <c r="C2418" s="626"/>
      <c r="D2418" s="61" t="s">
        <v>1726</v>
      </c>
      <c r="E2418" s="630" t="s">
        <v>15</v>
      </c>
      <c r="F2418" s="630"/>
      <c r="G2418" s="655">
        <v>600000</v>
      </c>
      <c r="H2418" s="635">
        <v>524139.33600000001</v>
      </c>
      <c r="I2418" s="655"/>
      <c r="J2418" s="635">
        <f t="shared" si="99"/>
        <v>1124139.3360000001</v>
      </c>
      <c r="K2418" s="635"/>
      <c r="L2418" s="635"/>
      <c r="M2418" s="655">
        <f t="shared" si="100"/>
        <v>1124139.3360000001</v>
      </c>
      <c r="N2418" s="61"/>
    </row>
    <row r="2419" spans="1:14" s="242" customFormat="1" ht="14.25" customHeight="1">
      <c r="A2419" s="624">
        <v>257</v>
      </c>
      <c r="B2419" s="625" t="e">
        <f>VLOOKUP(D2419,'[1]DS CN MOI UP'!$B$11:$C$447,2,0)</f>
        <v>#N/A</v>
      </c>
      <c r="C2419" s="626"/>
      <c r="D2419" s="61" t="s">
        <v>1727</v>
      </c>
      <c r="E2419" s="630" t="s">
        <v>15</v>
      </c>
      <c r="F2419" s="630"/>
      <c r="G2419" s="655">
        <v>600000</v>
      </c>
      <c r="H2419" s="635">
        <v>635040.18900000001</v>
      </c>
      <c r="I2419" s="655"/>
      <c r="J2419" s="635">
        <f t="shared" si="99"/>
        <v>1235040.189</v>
      </c>
      <c r="K2419" s="635"/>
      <c r="L2419" s="635"/>
      <c r="M2419" s="655">
        <f t="shared" si="100"/>
        <v>1235040.189</v>
      </c>
      <c r="N2419" s="61"/>
    </row>
    <row r="2420" spans="1:14" s="242" customFormat="1" ht="14.25" customHeight="1">
      <c r="A2420" s="624">
        <v>258</v>
      </c>
      <c r="B2420" s="625" t="e">
        <f>VLOOKUP(D2420,'[1]DS CN MOI UP'!$B$11:$C$447,2,0)</f>
        <v>#N/A</v>
      </c>
      <c r="C2420" s="626"/>
      <c r="D2420" s="61" t="s">
        <v>1728</v>
      </c>
      <c r="E2420" s="630" t="s">
        <v>15</v>
      </c>
      <c r="F2420" s="630"/>
      <c r="G2420" s="655">
        <v>600000</v>
      </c>
      <c r="H2420" s="635">
        <v>635040.18900000001</v>
      </c>
      <c r="I2420" s="655"/>
      <c r="J2420" s="635">
        <f t="shared" si="99"/>
        <v>1235040.189</v>
      </c>
      <c r="K2420" s="635"/>
      <c r="L2420" s="635"/>
      <c r="M2420" s="655">
        <f t="shared" si="100"/>
        <v>1235040.189</v>
      </c>
      <c r="N2420" s="61"/>
    </row>
    <row r="2421" spans="1:14" s="242" customFormat="1" ht="14.25" customHeight="1">
      <c r="A2421" s="624">
        <v>259</v>
      </c>
      <c r="B2421" s="625" t="e">
        <f>VLOOKUP(D2421,'[1]DS CN MOI UP'!$B$11:$C$447,2,0)</f>
        <v>#N/A</v>
      </c>
      <c r="C2421" s="626"/>
      <c r="D2421" s="61" t="s">
        <v>1729</v>
      </c>
      <c r="E2421" s="630" t="s">
        <v>15</v>
      </c>
      <c r="F2421" s="630"/>
      <c r="G2421" s="655">
        <v>600000</v>
      </c>
      <c r="H2421" s="635">
        <v>554373.09900000005</v>
      </c>
      <c r="I2421" s="655"/>
      <c r="J2421" s="635">
        <f t="shared" si="99"/>
        <v>1154373.0989999999</v>
      </c>
      <c r="K2421" s="635"/>
      <c r="L2421" s="635"/>
      <c r="M2421" s="655">
        <f t="shared" si="100"/>
        <v>1154373.0989999999</v>
      </c>
      <c r="N2421" s="61"/>
    </row>
    <row r="2422" spans="1:14" s="242" customFormat="1" ht="14.25" customHeight="1">
      <c r="A2422" s="624">
        <v>260</v>
      </c>
      <c r="B2422" s="625" t="e">
        <f>VLOOKUP(D2422,'[1]DS CN MOI UP'!$B$11:$C$447,2,0)</f>
        <v>#N/A</v>
      </c>
      <c r="C2422" s="626"/>
      <c r="D2422" s="61" t="s">
        <v>1730</v>
      </c>
      <c r="E2422" s="630" t="s">
        <v>15</v>
      </c>
      <c r="F2422" s="630"/>
      <c r="G2422" s="655">
        <v>600000</v>
      </c>
      <c r="H2422" s="635">
        <v>635040.18900000001</v>
      </c>
      <c r="I2422" s="655"/>
      <c r="J2422" s="635">
        <f t="shared" si="99"/>
        <v>1235040.189</v>
      </c>
      <c r="K2422" s="635"/>
      <c r="L2422" s="635"/>
      <c r="M2422" s="655">
        <f t="shared" si="100"/>
        <v>1235040.189</v>
      </c>
      <c r="N2422" s="61"/>
    </row>
    <row r="2423" spans="1:14" s="242" customFormat="1" ht="14.25" customHeight="1">
      <c r="A2423" s="624">
        <v>261</v>
      </c>
      <c r="B2423" s="625" t="e">
        <f>VLOOKUP(D2423,'[1]DS CN MOI UP'!$B$11:$C$447,2,0)</f>
        <v>#N/A</v>
      </c>
      <c r="C2423" s="626"/>
      <c r="D2423" s="61" t="s">
        <v>1731</v>
      </c>
      <c r="E2423" s="630" t="s">
        <v>15</v>
      </c>
      <c r="F2423" s="630"/>
      <c r="G2423" s="655">
        <v>744855.12120026303</v>
      </c>
      <c r="H2423" s="635">
        <v>544338.9</v>
      </c>
      <c r="I2423" s="655"/>
      <c r="J2423" s="635">
        <f t="shared" si="99"/>
        <v>1289194.0212002629</v>
      </c>
      <c r="K2423" s="635"/>
      <c r="L2423" s="635"/>
      <c r="M2423" s="655">
        <f t="shared" si="100"/>
        <v>1289194.0212002629</v>
      </c>
      <c r="N2423" s="61"/>
    </row>
    <row r="2424" spans="1:14" s="242" customFormat="1" ht="14.25" customHeight="1">
      <c r="A2424" s="624">
        <v>262</v>
      </c>
      <c r="B2424" s="625" t="e">
        <f>VLOOKUP(D2424,'[1]DS CN MOI UP'!$B$11:$C$447,2,0)</f>
        <v>#N/A</v>
      </c>
      <c r="C2424" s="626"/>
      <c r="D2424" s="61" t="s">
        <v>1732</v>
      </c>
      <c r="E2424" s="630" t="s">
        <v>15</v>
      </c>
      <c r="F2424" s="630"/>
      <c r="G2424" s="655">
        <v>600000</v>
      </c>
      <c r="H2424" s="635">
        <v>574572.66299999994</v>
      </c>
      <c r="I2424" s="655"/>
      <c r="J2424" s="635">
        <f t="shared" si="99"/>
        <v>1174572.6629999999</v>
      </c>
      <c r="K2424" s="635"/>
      <c r="L2424" s="635"/>
      <c r="M2424" s="655">
        <f t="shared" si="100"/>
        <v>1174572.6629999999</v>
      </c>
      <c r="N2424" s="61"/>
    </row>
    <row r="2425" spans="1:14" s="242" customFormat="1" ht="14.25" customHeight="1">
      <c r="A2425" s="624">
        <v>263</v>
      </c>
      <c r="B2425" s="625" t="e">
        <f>VLOOKUP(D2425,'[1]DS CN MOI UP'!$B$11:$C$447,2,0)</f>
        <v>#N/A</v>
      </c>
      <c r="C2425" s="626"/>
      <c r="D2425" s="61" t="s">
        <v>1733</v>
      </c>
      <c r="E2425" s="630" t="s">
        <v>15</v>
      </c>
      <c r="F2425" s="630"/>
      <c r="G2425" s="655">
        <v>600000</v>
      </c>
      <c r="H2425" s="635">
        <v>524139.33600000001</v>
      </c>
      <c r="I2425" s="655"/>
      <c r="J2425" s="635">
        <f t="shared" si="97"/>
        <v>1124139.3360000001</v>
      </c>
      <c r="K2425" s="635"/>
      <c r="L2425" s="635"/>
      <c r="M2425" s="655">
        <f t="shared" si="98"/>
        <v>1124139.3360000001</v>
      </c>
      <c r="N2425" s="61"/>
    </row>
    <row r="2426" spans="1:14" s="242" customFormat="1" ht="14.25" customHeight="1">
      <c r="A2426" s="624">
        <v>264</v>
      </c>
      <c r="B2426" s="625" t="e">
        <f>VLOOKUP(D2426,'[1]DS CN MOI UP'!$B$11:$C$447,2,0)</f>
        <v>#N/A</v>
      </c>
      <c r="C2426" s="626"/>
      <c r="D2426" s="61" t="s">
        <v>1734</v>
      </c>
      <c r="E2426" s="630" t="s">
        <v>15</v>
      </c>
      <c r="F2426" s="630"/>
      <c r="G2426" s="655">
        <v>600000</v>
      </c>
      <c r="H2426" s="635">
        <v>635040.18900000001</v>
      </c>
      <c r="I2426" s="655"/>
      <c r="J2426" s="635">
        <f t="shared" si="97"/>
        <v>1235040.189</v>
      </c>
      <c r="K2426" s="635"/>
      <c r="L2426" s="635"/>
      <c r="M2426" s="655">
        <f t="shared" si="98"/>
        <v>1235040.189</v>
      </c>
      <c r="N2426" s="61"/>
    </row>
    <row r="2427" spans="1:14" s="242" customFormat="1" ht="14.25" customHeight="1">
      <c r="A2427" s="624">
        <v>265</v>
      </c>
      <c r="B2427" s="625" t="e">
        <f>VLOOKUP(D2427,'[1]DS CN MOI UP'!$B$11:$C$447,2,0)</f>
        <v>#N/A</v>
      </c>
      <c r="C2427" s="626"/>
      <c r="D2427" s="61" t="s">
        <v>837</v>
      </c>
      <c r="E2427" s="630" t="s">
        <v>15</v>
      </c>
      <c r="F2427" s="630"/>
      <c r="G2427" s="655">
        <v>600000</v>
      </c>
      <c r="H2427" s="635">
        <v>635040.18900000001</v>
      </c>
      <c r="I2427" s="655"/>
      <c r="J2427" s="635">
        <f t="shared" si="97"/>
        <v>1235040.189</v>
      </c>
      <c r="K2427" s="635"/>
      <c r="L2427" s="635"/>
      <c r="M2427" s="655">
        <f t="shared" si="98"/>
        <v>1235040.189</v>
      </c>
      <c r="N2427" s="61"/>
    </row>
    <row r="2428" spans="1:14" s="242" customFormat="1" ht="14.25" customHeight="1">
      <c r="A2428" s="624">
        <v>266</v>
      </c>
      <c r="B2428" s="625" t="e">
        <f>VLOOKUP(D2428,'[1]DS CN MOI UP'!$B$11:$C$447,2,0)</f>
        <v>#N/A</v>
      </c>
      <c r="C2428" s="626"/>
      <c r="D2428" s="61" t="s">
        <v>1735</v>
      </c>
      <c r="E2428" s="630" t="s">
        <v>15</v>
      </c>
      <c r="F2428" s="630"/>
      <c r="G2428" s="655">
        <v>600000</v>
      </c>
      <c r="H2428" s="635">
        <v>554373.09900000005</v>
      </c>
      <c r="I2428" s="655"/>
      <c r="J2428" s="635">
        <f t="shared" si="97"/>
        <v>1154373.0989999999</v>
      </c>
      <c r="K2428" s="635"/>
      <c r="L2428" s="635"/>
      <c r="M2428" s="655">
        <f t="shared" si="98"/>
        <v>1154373.0989999999</v>
      </c>
      <c r="N2428" s="61"/>
    </row>
    <row r="2429" spans="1:14" s="242" customFormat="1" ht="14.25" customHeight="1">
      <c r="A2429" s="624">
        <v>267</v>
      </c>
      <c r="B2429" s="625" t="e">
        <f>VLOOKUP(D2429,'[1]DS CN MOI UP'!$B$11:$C$447,2,0)</f>
        <v>#N/A</v>
      </c>
      <c r="C2429" s="626"/>
      <c r="D2429" s="61" t="s">
        <v>1736</v>
      </c>
      <c r="E2429" s="630" t="s">
        <v>15</v>
      </c>
      <c r="F2429" s="630"/>
      <c r="G2429" s="655">
        <v>600000</v>
      </c>
      <c r="H2429" s="635">
        <v>635040.18900000001</v>
      </c>
      <c r="I2429" s="655"/>
      <c r="J2429" s="635">
        <f t="shared" si="97"/>
        <v>1235040.189</v>
      </c>
      <c r="K2429" s="635"/>
      <c r="L2429" s="635"/>
      <c r="M2429" s="655">
        <f t="shared" si="98"/>
        <v>1235040.189</v>
      </c>
      <c r="N2429" s="61"/>
    </row>
    <row r="2430" spans="1:14" s="242" customFormat="1" ht="14.25" customHeight="1">
      <c r="A2430" s="624">
        <v>268</v>
      </c>
      <c r="B2430" s="625" t="e">
        <f>VLOOKUP(D2430,'[1]DS CN MOI UP'!$B$11:$C$447,2,0)</f>
        <v>#N/A</v>
      </c>
      <c r="C2430" s="626"/>
      <c r="D2430" s="61" t="s">
        <v>1737</v>
      </c>
      <c r="E2430" s="630" t="s">
        <v>15</v>
      </c>
      <c r="F2430" s="630"/>
      <c r="G2430" s="655">
        <v>744855.12120026303</v>
      </c>
      <c r="H2430" s="635">
        <v>544338.9</v>
      </c>
      <c r="I2430" s="655"/>
      <c r="J2430" s="635">
        <f t="shared" si="97"/>
        <v>1289194.0212002629</v>
      </c>
      <c r="K2430" s="635"/>
      <c r="L2430" s="635"/>
      <c r="M2430" s="655">
        <f t="shared" si="98"/>
        <v>1289194.0212002629</v>
      </c>
      <c r="N2430" s="61"/>
    </row>
    <row r="2431" spans="1:14" s="242" customFormat="1" ht="14.25" customHeight="1">
      <c r="A2431" s="624">
        <v>269</v>
      </c>
      <c r="B2431" s="625" t="e">
        <f>VLOOKUP(D2431,'[1]DS CN MOI UP'!$B$11:$C$447,2,0)</f>
        <v>#N/A</v>
      </c>
      <c r="C2431" s="626"/>
      <c r="D2431" s="61" t="s">
        <v>1738</v>
      </c>
      <c r="E2431" s="630" t="s">
        <v>15</v>
      </c>
      <c r="F2431" s="630"/>
      <c r="G2431" s="655">
        <v>600000</v>
      </c>
      <c r="H2431" s="635">
        <v>574572.66299999994</v>
      </c>
      <c r="I2431" s="655"/>
      <c r="J2431" s="635">
        <f t="shared" si="97"/>
        <v>1174572.6629999999</v>
      </c>
      <c r="K2431" s="635"/>
      <c r="L2431" s="635"/>
      <c r="M2431" s="655">
        <f t="shared" si="98"/>
        <v>1174572.6629999999</v>
      </c>
      <c r="N2431" s="61"/>
    </row>
    <row r="2432" spans="1:14" s="242" customFormat="1" ht="14.25" customHeight="1">
      <c r="A2432" s="624">
        <v>270</v>
      </c>
      <c r="B2432" s="625" t="e">
        <f>VLOOKUP(D2432,'[1]DS CN MOI UP'!$B$11:$C$447,2,0)</f>
        <v>#N/A</v>
      </c>
      <c r="C2432" s="626"/>
      <c r="D2432" s="61" t="s">
        <v>1739</v>
      </c>
      <c r="E2432" s="630" t="s">
        <v>15</v>
      </c>
      <c r="F2432" s="630"/>
      <c r="G2432" s="655">
        <v>600000</v>
      </c>
      <c r="H2432" s="635">
        <v>524139.33600000001</v>
      </c>
      <c r="I2432" s="655"/>
      <c r="J2432" s="635">
        <f t="shared" si="97"/>
        <v>1124139.3360000001</v>
      </c>
      <c r="K2432" s="635"/>
      <c r="L2432" s="635"/>
      <c r="M2432" s="655">
        <f t="shared" si="98"/>
        <v>1124139.3360000001</v>
      </c>
      <c r="N2432" s="61"/>
    </row>
    <row r="2433" spans="1:14" s="242" customFormat="1" ht="14.25" customHeight="1">
      <c r="A2433" s="624">
        <v>271</v>
      </c>
      <c r="B2433" s="625" t="e">
        <f>VLOOKUP(D2433,'[1]DS CN MOI UP'!$B$11:$C$447,2,0)</f>
        <v>#N/A</v>
      </c>
      <c r="C2433" s="626"/>
      <c r="D2433" s="61" t="s">
        <v>1740</v>
      </c>
      <c r="E2433" s="630" t="s">
        <v>15</v>
      </c>
      <c r="F2433" s="630"/>
      <c r="G2433" s="655">
        <v>600000</v>
      </c>
      <c r="H2433" s="635">
        <v>635040.18900000001</v>
      </c>
      <c r="I2433" s="655"/>
      <c r="J2433" s="635">
        <f t="shared" si="97"/>
        <v>1235040.189</v>
      </c>
      <c r="K2433" s="635"/>
      <c r="L2433" s="635"/>
      <c r="M2433" s="655">
        <f t="shared" si="98"/>
        <v>1235040.189</v>
      </c>
      <c r="N2433" s="61"/>
    </row>
    <row r="2434" spans="1:14" s="242" customFormat="1" ht="14.25" customHeight="1">
      <c r="A2434" s="624">
        <v>272</v>
      </c>
      <c r="B2434" s="625" t="e">
        <f>VLOOKUP(D2434,'[1]DS CN MOI UP'!$B$11:$C$447,2,0)</f>
        <v>#N/A</v>
      </c>
      <c r="C2434" s="626"/>
      <c r="D2434" s="61" t="s">
        <v>1741</v>
      </c>
      <c r="E2434" s="630" t="s">
        <v>15</v>
      </c>
      <c r="F2434" s="630"/>
      <c r="G2434" s="655">
        <v>600000</v>
      </c>
      <c r="H2434" s="635">
        <v>635040.18900000001</v>
      </c>
      <c r="I2434" s="655"/>
      <c r="J2434" s="635">
        <f t="shared" si="97"/>
        <v>1235040.189</v>
      </c>
      <c r="K2434" s="635"/>
      <c r="L2434" s="635"/>
      <c r="M2434" s="655">
        <f t="shared" si="98"/>
        <v>1235040.189</v>
      </c>
      <c r="N2434" s="61"/>
    </row>
    <row r="2435" spans="1:14" s="242" customFormat="1" ht="14.25" customHeight="1">
      <c r="A2435" s="624">
        <v>273</v>
      </c>
      <c r="B2435" s="625" t="e">
        <f>VLOOKUP(D2435,'[1]DS CN MOI UP'!$B$11:$C$447,2,0)</f>
        <v>#N/A</v>
      </c>
      <c r="C2435" s="626"/>
      <c r="D2435" s="61" t="s">
        <v>1742</v>
      </c>
      <c r="E2435" s="630" t="s">
        <v>15</v>
      </c>
      <c r="F2435" s="630"/>
      <c r="G2435" s="655">
        <v>600000</v>
      </c>
      <c r="H2435" s="635">
        <v>554373.09900000005</v>
      </c>
      <c r="I2435" s="655"/>
      <c r="J2435" s="635">
        <f t="shared" ref="J2435:J2444" si="101">SUM(G2435:I2435)</f>
        <v>1154373.0989999999</v>
      </c>
      <c r="K2435" s="635"/>
      <c r="L2435" s="635"/>
      <c r="M2435" s="655">
        <f t="shared" ref="M2435:M2444" si="102">J2435-L2435</f>
        <v>1154373.0989999999</v>
      </c>
      <c r="N2435" s="61"/>
    </row>
    <row r="2436" spans="1:14" s="242" customFormat="1" ht="14.25" customHeight="1">
      <c r="A2436" s="624">
        <v>274</v>
      </c>
      <c r="B2436" s="625" t="e">
        <f>VLOOKUP(D2436,'[1]DS CN MOI UP'!$B$11:$C$447,2,0)</f>
        <v>#N/A</v>
      </c>
      <c r="C2436" s="626"/>
      <c r="D2436" s="61" t="s">
        <v>1743</v>
      </c>
      <c r="E2436" s="630" t="s">
        <v>15</v>
      </c>
      <c r="F2436" s="630"/>
      <c r="G2436" s="655">
        <v>600000</v>
      </c>
      <c r="H2436" s="635">
        <v>635040.18900000001</v>
      </c>
      <c r="I2436" s="655"/>
      <c r="J2436" s="635">
        <f t="shared" si="101"/>
        <v>1235040.189</v>
      </c>
      <c r="K2436" s="635"/>
      <c r="L2436" s="635"/>
      <c r="M2436" s="655">
        <f t="shared" si="102"/>
        <v>1235040.189</v>
      </c>
      <c r="N2436" s="61"/>
    </row>
    <row r="2437" spans="1:14" s="242" customFormat="1" ht="14.25" customHeight="1">
      <c r="A2437" s="624">
        <v>275</v>
      </c>
      <c r="B2437" s="625" t="e">
        <f>VLOOKUP(D2437,'[1]DS CN MOI UP'!$B$11:$C$447,2,0)</f>
        <v>#N/A</v>
      </c>
      <c r="C2437" s="626"/>
      <c r="D2437" s="61" t="s">
        <v>1744</v>
      </c>
      <c r="E2437" s="630" t="s">
        <v>15</v>
      </c>
      <c r="F2437" s="630"/>
      <c r="G2437" s="655">
        <v>744855.12120026303</v>
      </c>
      <c r="H2437" s="635">
        <v>544338.9</v>
      </c>
      <c r="I2437" s="655"/>
      <c r="J2437" s="635">
        <f t="shared" si="101"/>
        <v>1289194.0212002629</v>
      </c>
      <c r="K2437" s="635"/>
      <c r="L2437" s="635"/>
      <c r="M2437" s="655">
        <f t="shared" si="102"/>
        <v>1289194.0212002629</v>
      </c>
      <c r="N2437" s="61"/>
    </row>
    <row r="2438" spans="1:14" s="242" customFormat="1" ht="14.25" customHeight="1">
      <c r="A2438" s="624">
        <v>276</v>
      </c>
      <c r="B2438" s="625" t="e">
        <f>VLOOKUP(D2438,'[1]DS CN MOI UP'!$B$11:$C$447,2,0)</f>
        <v>#N/A</v>
      </c>
      <c r="C2438" s="626"/>
      <c r="D2438" s="61" t="s">
        <v>780</v>
      </c>
      <c r="E2438" s="630" t="s">
        <v>15</v>
      </c>
      <c r="F2438" s="630"/>
      <c r="G2438" s="655">
        <v>600000</v>
      </c>
      <c r="H2438" s="635">
        <v>574572.66299999994</v>
      </c>
      <c r="I2438" s="655"/>
      <c r="J2438" s="635">
        <f t="shared" si="101"/>
        <v>1174572.6629999999</v>
      </c>
      <c r="K2438" s="635"/>
      <c r="L2438" s="635"/>
      <c r="M2438" s="655">
        <f t="shared" si="102"/>
        <v>1174572.6629999999</v>
      </c>
      <c r="N2438" s="61"/>
    </row>
    <row r="2439" spans="1:14" s="242" customFormat="1" ht="14.25" customHeight="1">
      <c r="A2439" s="624">
        <v>277</v>
      </c>
      <c r="B2439" s="625" t="e">
        <f>VLOOKUP(D2439,'[1]DS CN MOI UP'!$B$11:$C$447,2,0)</f>
        <v>#N/A</v>
      </c>
      <c r="C2439" s="626"/>
      <c r="D2439" s="61" t="s">
        <v>781</v>
      </c>
      <c r="E2439" s="630" t="s">
        <v>15</v>
      </c>
      <c r="F2439" s="630"/>
      <c r="G2439" s="655">
        <v>600000</v>
      </c>
      <c r="H2439" s="635">
        <v>524139.33600000001</v>
      </c>
      <c r="I2439" s="655"/>
      <c r="J2439" s="635">
        <f t="shared" si="101"/>
        <v>1124139.3360000001</v>
      </c>
      <c r="K2439" s="635"/>
      <c r="L2439" s="635"/>
      <c r="M2439" s="655">
        <f t="shared" si="102"/>
        <v>1124139.3360000001</v>
      </c>
      <c r="N2439" s="61"/>
    </row>
    <row r="2440" spans="1:14" s="242" customFormat="1" ht="14.25" customHeight="1">
      <c r="A2440" s="624">
        <v>278</v>
      </c>
      <c r="B2440" s="625" t="e">
        <f>VLOOKUP(D2440,'[1]DS CN MOI UP'!$B$11:$C$447,2,0)</f>
        <v>#N/A</v>
      </c>
      <c r="C2440" s="626"/>
      <c r="D2440" s="61" t="s">
        <v>1745</v>
      </c>
      <c r="E2440" s="630" t="s">
        <v>15</v>
      </c>
      <c r="F2440" s="630"/>
      <c r="G2440" s="655">
        <v>600000</v>
      </c>
      <c r="H2440" s="635">
        <v>635040.18900000001</v>
      </c>
      <c r="I2440" s="655"/>
      <c r="J2440" s="635">
        <f t="shared" si="101"/>
        <v>1235040.189</v>
      </c>
      <c r="K2440" s="635"/>
      <c r="L2440" s="635"/>
      <c r="M2440" s="655">
        <f t="shared" si="102"/>
        <v>1235040.189</v>
      </c>
      <c r="N2440" s="61"/>
    </row>
    <row r="2441" spans="1:14" s="242" customFormat="1" ht="14.25" customHeight="1">
      <c r="A2441" s="624">
        <v>279</v>
      </c>
      <c r="B2441" s="625" t="e">
        <f>VLOOKUP(D2441,'[1]DS CN MOI UP'!$B$11:$C$447,2,0)</f>
        <v>#N/A</v>
      </c>
      <c r="C2441" s="626"/>
      <c r="D2441" s="61" t="s">
        <v>1746</v>
      </c>
      <c r="E2441" s="630" t="s">
        <v>15</v>
      </c>
      <c r="F2441" s="630"/>
      <c r="G2441" s="655">
        <v>600000</v>
      </c>
      <c r="H2441" s="635">
        <v>635040.18900000001</v>
      </c>
      <c r="I2441" s="655"/>
      <c r="J2441" s="635">
        <f t="shared" si="101"/>
        <v>1235040.189</v>
      </c>
      <c r="K2441" s="635"/>
      <c r="L2441" s="635"/>
      <c r="M2441" s="655">
        <f t="shared" si="102"/>
        <v>1235040.189</v>
      </c>
      <c r="N2441" s="61"/>
    </row>
    <row r="2442" spans="1:14" s="242" customFormat="1" ht="14.25" customHeight="1">
      <c r="A2442" s="624">
        <v>280</v>
      </c>
      <c r="B2442" s="625" t="e">
        <f>VLOOKUP(D2442,'[1]DS CN MOI UP'!$B$11:$C$447,2,0)</f>
        <v>#N/A</v>
      </c>
      <c r="C2442" s="626"/>
      <c r="D2442" s="61" t="s">
        <v>1747</v>
      </c>
      <c r="E2442" s="630" t="s">
        <v>15</v>
      </c>
      <c r="F2442" s="630"/>
      <c r="G2442" s="655">
        <v>600000</v>
      </c>
      <c r="H2442" s="635">
        <v>554373.09900000005</v>
      </c>
      <c r="I2442" s="655"/>
      <c r="J2442" s="635">
        <f t="shared" si="101"/>
        <v>1154373.0989999999</v>
      </c>
      <c r="K2442" s="635"/>
      <c r="L2442" s="635"/>
      <c r="M2442" s="655">
        <f t="shared" si="102"/>
        <v>1154373.0989999999</v>
      </c>
      <c r="N2442" s="61"/>
    </row>
    <row r="2443" spans="1:14" s="242" customFormat="1" ht="14.25" customHeight="1">
      <c r="A2443" s="624">
        <v>281</v>
      </c>
      <c r="B2443" s="625" t="e">
        <f>VLOOKUP(D2443,'[1]DS CN MOI UP'!$B$11:$C$447,2,0)</f>
        <v>#N/A</v>
      </c>
      <c r="C2443" s="626"/>
      <c r="D2443" s="61" t="s">
        <v>1610</v>
      </c>
      <c r="E2443" s="630" t="s">
        <v>15</v>
      </c>
      <c r="F2443" s="630"/>
      <c r="G2443" s="655">
        <v>600000</v>
      </c>
      <c r="H2443" s="635">
        <v>635040.18900000001</v>
      </c>
      <c r="I2443" s="655"/>
      <c r="J2443" s="635">
        <f t="shared" si="101"/>
        <v>1235040.189</v>
      </c>
      <c r="K2443" s="635"/>
      <c r="L2443" s="635"/>
      <c r="M2443" s="655">
        <f t="shared" si="102"/>
        <v>1235040.189</v>
      </c>
      <c r="N2443" s="61"/>
    </row>
    <row r="2444" spans="1:14" s="242" customFormat="1" ht="14.25" customHeight="1">
      <c r="A2444" s="624">
        <v>282</v>
      </c>
      <c r="B2444" s="625" t="e">
        <f>VLOOKUP(D2444,'[1]DS CN MOI UP'!$B$11:$C$447,2,0)</f>
        <v>#N/A</v>
      </c>
      <c r="C2444" s="626"/>
      <c r="D2444" s="61" t="s">
        <v>782</v>
      </c>
      <c r="E2444" s="630" t="s">
        <v>15</v>
      </c>
      <c r="F2444" s="630"/>
      <c r="G2444" s="655">
        <v>744855.12120026303</v>
      </c>
      <c r="H2444" s="635">
        <v>544338.9</v>
      </c>
      <c r="I2444" s="655"/>
      <c r="J2444" s="635">
        <f t="shared" si="101"/>
        <v>1289194.0212002629</v>
      </c>
      <c r="K2444" s="635"/>
      <c r="L2444" s="635"/>
      <c r="M2444" s="655">
        <f t="shared" si="102"/>
        <v>1289194.0212002629</v>
      </c>
      <c r="N2444" s="61"/>
    </row>
    <row r="2445" spans="1:14" s="242" customFormat="1" ht="14.25" customHeight="1">
      <c r="A2445" s="624">
        <v>283</v>
      </c>
      <c r="B2445" s="625" t="e">
        <f>VLOOKUP(D2445,'[1]DS CN MOI UP'!$B$11:$C$447,2,0)</f>
        <v>#N/A</v>
      </c>
      <c r="C2445" s="626"/>
      <c r="D2445" s="61" t="s">
        <v>1613</v>
      </c>
      <c r="E2445" s="630" t="s">
        <v>15</v>
      </c>
      <c r="F2445" s="630"/>
      <c r="G2445" s="655">
        <v>600000</v>
      </c>
      <c r="H2445" s="635">
        <v>574572.66299999994</v>
      </c>
      <c r="I2445" s="655"/>
      <c r="J2445" s="635">
        <f t="shared" ref="J2445:J2454" si="103">SUM(G2445:I2445)</f>
        <v>1174572.6629999999</v>
      </c>
      <c r="K2445" s="635"/>
      <c r="L2445" s="635"/>
      <c r="M2445" s="655">
        <f t="shared" ref="M2445:M2454" si="104">J2445-L2445</f>
        <v>1174572.6629999999</v>
      </c>
      <c r="N2445" s="61"/>
    </row>
    <row r="2446" spans="1:14" s="242" customFormat="1" ht="14.25" customHeight="1">
      <c r="A2446" s="624">
        <v>284</v>
      </c>
      <c r="B2446" s="625" t="e">
        <f>VLOOKUP(D2446,'[1]DS CN MOI UP'!$B$11:$C$447,2,0)</f>
        <v>#N/A</v>
      </c>
      <c r="C2446" s="626"/>
      <c r="D2446" s="61" t="s">
        <v>1615</v>
      </c>
      <c r="E2446" s="630" t="s">
        <v>15</v>
      </c>
      <c r="F2446" s="630"/>
      <c r="G2446" s="655">
        <v>600000</v>
      </c>
      <c r="H2446" s="635">
        <v>524139.33600000001</v>
      </c>
      <c r="I2446" s="655"/>
      <c r="J2446" s="635">
        <f t="shared" si="103"/>
        <v>1124139.3360000001</v>
      </c>
      <c r="K2446" s="635"/>
      <c r="L2446" s="635"/>
      <c r="M2446" s="655">
        <f t="shared" si="104"/>
        <v>1124139.3360000001</v>
      </c>
      <c r="N2446" s="61"/>
    </row>
    <row r="2447" spans="1:14" s="242" customFormat="1" ht="14.25" customHeight="1">
      <c r="A2447" s="624">
        <v>285</v>
      </c>
      <c r="B2447" s="625" t="e">
        <f>VLOOKUP(D2447,'[1]DS CN MOI UP'!$B$11:$C$447,2,0)</f>
        <v>#N/A</v>
      </c>
      <c r="C2447" s="626"/>
      <c r="D2447" s="61" t="s">
        <v>1617</v>
      </c>
      <c r="E2447" s="630" t="s">
        <v>15</v>
      </c>
      <c r="F2447" s="630"/>
      <c r="G2447" s="655">
        <v>600000</v>
      </c>
      <c r="H2447" s="635">
        <v>635040.18900000001</v>
      </c>
      <c r="I2447" s="655"/>
      <c r="J2447" s="635">
        <f t="shared" si="103"/>
        <v>1235040.189</v>
      </c>
      <c r="K2447" s="635"/>
      <c r="L2447" s="635"/>
      <c r="M2447" s="655">
        <f t="shared" si="104"/>
        <v>1235040.189</v>
      </c>
      <c r="N2447" s="61"/>
    </row>
    <row r="2448" spans="1:14" s="242" customFormat="1" ht="14.25" customHeight="1">
      <c r="A2448" s="624">
        <v>286</v>
      </c>
      <c r="B2448" s="625" t="e">
        <f>VLOOKUP(D2448,'[1]DS CN MOI UP'!$B$11:$C$447,2,0)</f>
        <v>#N/A</v>
      </c>
      <c r="C2448" s="626"/>
      <c r="D2448" s="61" t="s">
        <v>1619</v>
      </c>
      <c r="E2448" s="630" t="s">
        <v>15</v>
      </c>
      <c r="F2448" s="630"/>
      <c r="G2448" s="655"/>
      <c r="H2448" s="635">
        <v>1235040.189</v>
      </c>
      <c r="I2448" s="655"/>
      <c r="J2448" s="635">
        <f t="shared" si="103"/>
        <v>1235040.189</v>
      </c>
      <c r="K2448" s="635"/>
      <c r="L2448" s="635"/>
      <c r="M2448" s="655">
        <f t="shared" si="104"/>
        <v>1235040.189</v>
      </c>
      <c r="N2448" s="61"/>
    </row>
    <row r="2449" spans="1:14" s="242" customFormat="1" ht="14.25" customHeight="1">
      <c r="A2449" s="624">
        <v>287</v>
      </c>
      <c r="B2449" s="625" t="e">
        <f>VLOOKUP(D2449,'[1]DS CN MOI UP'!$B$11:$C$447,2,0)</f>
        <v>#N/A</v>
      </c>
      <c r="C2449" s="626"/>
      <c r="D2449" s="61" t="s">
        <v>1621</v>
      </c>
      <c r="E2449" s="630" t="s">
        <v>15</v>
      </c>
      <c r="F2449" s="630"/>
      <c r="G2449" s="655"/>
      <c r="H2449" s="635">
        <v>1154373.0989999999</v>
      </c>
      <c r="I2449" s="655"/>
      <c r="J2449" s="635">
        <f t="shared" si="103"/>
        <v>1154373.0989999999</v>
      </c>
      <c r="K2449" s="635"/>
      <c r="L2449" s="635"/>
      <c r="M2449" s="655">
        <f t="shared" si="104"/>
        <v>1154373.0989999999</v>
      </c>
      <c r="N2449" s="61"/>
    </row>
    <row r="2450" spans="1:14" s="242" customFormat="1" ht="14.25" customHeight="1">
      <c r="A2450" s="624">
        <v>288</v>
      </c>
      <c r="B2450" s="625" t="e">
        <f>VLOOKUP(D2450,'[1]DS CN MOI UP'!$B$11:$C$447,2,0)</f>
        <v>#N/A</v>
      </c>
      <c r="C2450" s="626"/>
      <c r="D2450" s="61" t="s">
        <v>1623</v>
      </c>
      <c r="E2450" s="630" t="s">
        <v>15</v>
      </c>
      <c r="F2450" s="630"/>
      <c r="G2450" s="655"/>
      <c r="H2450" s="635">
        <v>1235040.189</v>
      </c>
      <c r="I2450" s="655"/>
      <c r="J2450" s="635">
        <f t="shared" si="103"/>
        <v>1235040.189</v>
      </c>
      <c r="K2450" s="635"/>
      <c r="L2450" s="635"/>
      <c r="M2450" s="655">
        <f t="shared" si="104"/>
        <v>1235040.189</v>
      </c>
      <c r="N2450" s="61"/>
    </row>
    <row r="2451" spans="1:14" s="242" customFormat="1" ht="14.25" customHeight="1">
      <c r="A2451" s="624">
        <v>289</v>
      </c>
      <c r="B2451" s="625" t="e">
        <f>VLOOKUP(D2451,'[1]DS CN MOI UP'!$B$11:$C$447,2,0)</f>
        <v>#N/A</v>
      </c>
      <c r="C2451" s="626"/>
      <c r="D2451" s="61" t="s">
        <v>794</v>
      </c>
      <c r="E2451" s="630" t="s">
        <v>15</v>
      </c>
      <c r="F2451" s="630"/>
      <c r="G2451" s="655"/>
      <c r="H2451" s="635">
        <v>1289194.0212002599</v>
      </c>
      <c r="I2451" s="655"/>
      <c r="J2451" s="635">
        <f t="shared" si="103"/>
        <v>1289194.0212002599</v>
      </c>
      <c r="K2451" s="635"/>
      <c r="L2451" s="635"/>
      <c r="M2451" s="655">
        <f t="shared" si="104"/>
        <v>1289194.0212002599</v>
      </c>
      <c r="N2451" s="61"/>
    </row>
    <row r="2452" spans="1:14" s="242" customFormat="1" ht="14.25" customHeight="1">
      <c r="A2452" s="624">
        <v>290</v>
      </c>
      <c r="B2452" s="625" t="e">
        <f>VLOOKUP(D2452,'[1]DS CN MOI UP'!$B$11:$C$447,2,0)</f>
        <v>#N/A</v>
      </c>
      <c r="C2452" s="626"/>
      <c r="D2452" s="61" t="s">
        <v>1626</v>
      </c>
      <c r="E2452" s="630" t="s">
        <v>15</v>
      </c>
      <c r="F2452" s="630"/>
      <c r="G2452" s="655"/>
      <c r="H2452" s="635">
        <v>1174572.6629999999</v>
      </c>
      <c r="I2452" s="655"/>
      <c r="J2452" s="635">
        <f t="shared" si="103"/>
        <v>1174572.6629999999</v>
      </c>
      <c r="K2452" s="635"/>
      <c r="L2452" s="635"/>
      <c r="M2452" s="655">
        <f t="shared" si="104"/>
        <v>1174572.6629999999</v>
      </c>
      <c r="N2452" s="61"/>
    </row>
    <row r="2453" spans="1:14" s="242" customFormat="1" ht="14.25" customHeight="1">
      <c r="A2453" s="624">
        <v>291</v>
      </c>
      <c r="B2453" s="625" t="e">
        <f>VLOOKUP(D2453,'[1]DS CN MOI UP'!$B$11:$C$447,2,0)</f>
        <v>#N/A</v>
      </c>
      <c r="C2453" s="626"/>
      <c r="D2453" s="61" t="s">
        <v>1464</v>
      </c>
      <c r="E2453" s="630" t="s">
        <v>15</v>
      </c>
      <c r="F2453" s="630"/>
      <c r="G2453" s="655"/>
      <c r="H2453" s="635">
        <v>1124139.3359999999</v>
      </c>
      <c r="I2453" s="655"/>
      <c r="J2453" s="635">
        <f t="shared" si="103"/>
        <v>1124139.3359999999</v>
      </c>
      <c r="K2453" s="635"/>
      <c r="L2453" s="635"/>
      <c r="M2453" s="655">
        <f t="shared" si="104"/>
        <v>1124139.3359999999</v>
      </c>
      <c r="N2453" s="61"/>
    </row>
    <row r="2454" spans="1:14" s="242" customFormat="1" ht="14.25" customHeight="1">
      <c r="A2454" s="624">
        <v>292</v>
      </c>
      <c r="B2454" s="625" t="e">
        <f>VLOOKUP(D2454,'[1]DS CN MOI UP'!$B$11:$C$447,2,0)</f>
        <v>#N/A</v>
      </c>
      <c r="C2454" s="626"/>
      <c r="D2454" s="61" t="s">
        <v>1629</v>
      </c>
      <c r="E2454" s="630" t="s">
        <v>15</v>
      </c>
      <c r="F2454" s="630"/>
      <c r="G2454" s="655"/>
      <c r="H2454" s="635">
        <v>1235040.189</v>
      </c>
      <c r="I2454" s="655"/>
      <c r="J2454" s="635">
        <f t="shared" si="103"/>
        <v>1235040.189</v>
      </c>
      <c r="K2454" s="635"/>
      <c r="L2454" s="635"/>
      <c r="M2454" s="655">
        <f t="shared" si="104"/>
        <v>1235040.189</v>
      </c>
      <c r="N2454" s="61"/>
    </row>
    <row r="2455" spans="1:14" s="242" customFormat="1" ht="14.25" customHeight="1">
      <c r="A2455" s="624">
        <v>293</v>
      </c>
      <c r="B2455" s="625" t="e">
        <f>VLOOKUP(D2455,'[1]DS CN MOI UP'!$B$11:$C$447,2,0)</f>
        <v>#N/A</v>
      </c>
      <c r="C2455" s="626"/>
      <c r="D2455" s="61" t="s">
        <v>1630</v>
      </c>
      <c r="E2455" s="630" t="s">
        <v>15</v>
      </c>
      <c r="F2455" s="630"/>
      <c r="G2455" s="655"/>
      <c r="H2455" s="635">
        <v>1235040.189</v>
      </c>
      <c r="I2455" s="655"/>
      <c r="J2455" s="635">
        <f t="shared" si="97"/>
        <v>1235040.189</v>
      </c>
      <c r="K2455" s="635"/>
      <c r="L2455" s="635"/>
      <c r="M2455" s="655">
        <f t="shared" si="98"/>
        <v>1235040.189</v>
      </c>
      <c r="N2455" s="61"/>
    </row>
    <row r="2456" spans="1:14" s="242" customFormat="1" ht="14.25" customHeight="1">
      <c r="A2456" s="624">
        <v>294</v>
      </c>
      <c r="B2456" s="625" t="e">
        <f>VLOOKUP(D2456,'[1]DS CN MOI UP'!$B$11:$C$447,2,0)</f>
        <v>#N/A</v>
      </c>
      <c r="C2456" s="626"/>
      <c r="D2456" s="61" t="s">
        <v>1631</v>
      </c>
      <c r="E2456" s="630" t="s">
        <v>15</v>
      </c>
      <c r="F2456" s="630"/>
      <c r="G2456" s="655"/>
      <c r="H2456" s="635">
        <v>1154373.0989999999</v>
      </c>
      <c r="I2456" s="655"/>
      <c r="J2456" s="635">
        <f t="shared" si="97"/>
        <v>1154373.0989999999</v>
      </c>
      <c r="K2456" s="635"/>
      <c r="L2456" s="635"/>
      <c r="M2456" s="655">
        <f t="shared" si="98"/>
        <v>1154373.0989999999</v>
      </c>
      <c r="N2456" s="61"/>
    </row>
    <row r="2457" spans="1:14" s="242" customFormat="1" ht="14.25" customHeight="1">
      <c r="A2457" s="624">
        <v>295</v>
      </c>
      <c r="B2457" s="625" t="e">
        <f>VLOOKUP(D2457,'[1]DS CN MOI UP'!$B$11:$C$447,2,0)</f>
        <v>#N/A</v>
      </c>
      <c r="C2457" s="626"/>
      <c r="D2457" s="61" t="s">
        <v>1632</v>
      </c>
      <c r="E2457" s="630" t="s">
        <v>15</v>
      </c>
      <c r="F2457" s="630"/>
      <c r="G2457" s="655"/>
      <c r="H2457" s="635">
        <v>1235040.189</v>
      </c>
      <c r="I2457" s="655"/>
      <c r="J2457" s="635">
        <f t="shared" si="97"/>
        <v>1235040.189</v>
      </c>
      <c r="K2457" s="635"/>
      <c r="L2457" s="635"/>
      <c r="M2457" s="655">
        <f t="shared" si="98"/>
        <v>1235040.189</v>
      </c>
      <c r="N2457" s="61"/>
    </row>
    <row r="2458" spans="1:14" s="242" customFormat="1" ht="14.25" customHeight="1">
      <c r="A2458" s="624">
        <v>296</v>
      </c>
      <c r="B2458" s="625" t="e">
        <f>VLOOKUP(D2458,'[1]DS CN MOI UP'!$B$11:$C$447,2,0)</f>
        <v>#N/A</v>
      </c>
      <c r="C2458" s="626"/>
      <c r="D2458" s="61" t="s">
        <v>1633</v>
      </c>
      <c r="E2458" s="630" t="s">
        <v>15</v>
      </c>
      <c r="F2458" s="630"/>
      <c r="G2458" s="655"/>
      <c r="H2458" s="635">
        <v>1289194.0212002599</v>
      </c>
      <c r="I2458" s="655"/>
      <c r="J2458" s="635">
        <f t="shared" si="97"/>
        <v>1289194.0212002599</v>
      </c>
      <c r="K2458" s="635"/>
      <c r="L2458" s="635"/>
      <c r="M2458" s="655">
        <f t="shared" si="98"/>
        <v>1289194.0212002599</v>
      </c>
      <c r="N2458" s="61"/>
    </row>
    <row r="2459" spans="1:14" s="242" customFormat="1" ht="14.25" customHeight="1">
      <c r="A2459" s="624">
        <v>297</v>
      </c>
      <c r="B2459" s="625" t="str">
        <f>VLOOKUP(D2459,'[1]DS CN MOI UP'!$B$11:$C$447,2,0)</f>
        <v>03328</v>
      </c>
      <c r="C2459" s="626"/>
      <c r="D2459" s="61" t="s">
        <v>1784</v>
      </c>
      <c r="E2459" s="630" t="s">
        <v>15</v>
      </c>
      <c r="F2459" s="630"/>
      <c r="G2459" s="655"/>
      <c r="H2459" s="635">
        <v>1174572.6629999999</v>
      </c>
      <c r="I2459" s="655"/>
      <c r="J2459" s="635">
        <f t="shared" si="97"/>
        <v>1174572.6629999999</v>
      </c>
      <c r="K2459" s="635"/>
      <c r="L2459" s="635"/>
      <c r="M2459" s="655">
        <f t="shared" si="98"/>
        <v>1174572.6629999999</v>
      </c>
      <c r="N2459" s="61"/>
    </row>
    <row r="2460" spans="1:14" s="242" customFormat="1" ht="14.25" customHeight="1">
      <c r="A2460" s="624">
        <v>298</v>
      </c>
      <c r="B2460" s="625" t="str">
        <f>VLOOKUP(D2460,'[1]DS CN MOI UP'!$B$11:$C$447,2,0)</f>
        <v>03305</v>
      </c>
      <c r="C2460" s="626"/>
      <c r="D2460" s="61" t="s">
        <v>468</v>
      </c>
      <c r="E2460" s="630" t="s">
        <v>15</v>
      </c>
      <c r="F2460" s="630"/>
      <c r="G2460" s="655"/>
      <c r="H2460" s="635">
        <v>524139.33600000001</v>
      </c>
      <c r="I2460" s="655">
        <v>600000</v>
      </c>
      <c r="J2460" s="635">
        <f t="shared" si="97"/>
        <v>1124139.3360000001</v>
      </c>
      <c r="K2460" s="635"/>
      <c r="L2460" s="635"/>
      <c r="M2460" s="655">
        <f t="shared" si="98"/>
        <v>1124139.3360000001</v>
      </c>
      <c r="N2460" s="61"/>
    </row>
    <row r="2461" spans="1:14" s="242" customFormat="1" ht="14.25" customHeight="1">
      <c r="A2461" s="624">
        <v>299</v>
      </c>
      <c r="B2461" s="625" t="e">
        <f>VLOOKUP(D2461,'[1]DS CN MOI UP'!$B$11:$C$447,2,0)</f>
        <v>#N/A</v>
      </c>
      <c r="C2461" s="626"/>
      <c r="D2461" s="61" t="s">
        <v>1785</v>
      </c>
      <c r="E2461" s="630" t="s">
        <v>15</v>
      </c>
      <c r="F2461" s="630"/>
      <c r="G2461" s="655"/>
      <c r="H2461" s="635">
        <v>635040.18900000001</v>
      </c>
      <c r="I2461" s="655">
        <v>600000</v>
      </c>
      <c r="J2461" s="635">
        <f t="shared" si="97"/>
        <v>1235040.189</v>
      </c>
      <c r="K2461" s="635"/>
      <c r="L2461" s="635"/>
      <c r="M2461" s="655">
        <f t="shared" si="98"/>
        <v>1235040.189</v>
      </c>
      <c r="N2461" s="61"/>
    </row>
    <row r="2462" spans="1:14" s="242" customFormat="1" ht="14.25" customHeight="1">
      <c r="A2462" s="624">
        <v>300</v>
      </c>
      <c r="B2462" s="625" t="e">
        <f>VLOOKUP(D2462,'[1]DS CN MOI UP'!$B$11:$C$447,2,0)</f>
        <v>#N/A</v>
      </c>
      <c r="C2462" s="626"/>
      <c r="D2462" s="61" t="s">
        <v>1786</v>
      </c>
      <c r="E2462" s="630" t="s">
        <v>15</v>
      </c>
      <c r="F2462" s="630"/>
      <c r="G2462" s="655"/>
      <c r="H2462" s="635">
        <v>635040.18900000001</v>
      </c>
      <c r="I2462" s="655">
        <v>600000</v>
      </c>
      <c r="J2462" s="635">
        <f t="shared" si="97"/>
        <v>1235040.189</v>
      </c>
      <c r="K2462" s="635"/>
      <c r="L2462" s="635"/>
      <c r="M2462" s="655">
        <f t="shared" si="98"/>
        <v>1235040.189</v>
      </c>
      <c r="N2462" s="61"/>
    </row>
    <row r="2463" spans="1:14" s="242" customFormat="1" ht="14.25" customHeight="1">
      <c r="A2463" s="624">
        <v>301</v>
      </c>
      <c r="B2463" s="625" t="e">
        <f>VLOOKUP(D2463,'[1]DS CN MOI UP'!$B$11:$C$447,2,0)</f>
        <v>#N/A</v>
      </c>
      <c r="C2463" s="626"/>
      <c r="D2463" s="61" t="s">
        <v>1787</v>
      </c>
      <c r="E2463" s="630" t="s">
        <v>15</v>
      </c>
      <c r="F2463" s="630"/>
      <c r="G2463" s="655"/>
      <c r="H2463" s="635">
        <v>635040.18900000001</v>
      </c>
      <c r="I2463" s="655">
        <v>600000</v>
      </c>
      <c r="J2463" s="635">
        <f t="shared" si="97"/>
        <v>1235040.189</v>
      </c>
      <c r="K2463" s="635"/>
      <c r="L2463" s="635"/>
      <c r="M2463" s="655">
        <f t="shared" si="98"/>
        <v>1235040.189</v>
      </c>
      <c r="N2463" s="61"/>
    </row>
    <row r="2464" spans="1:14" s="242" customFormat="1" ht="14.25" customHeight="1">
      <c r="A2464" s="624">
        <v>302</v>
      </c>
      <c r="B2464" s="625" t="e">
        <f>VLOOKUP(D2464,'[1]DS CN MOI UP'!$B$11:$C$447,2,0)</f>
        <v>#N/A</v>
      </c>
      <c r="C2464" s="626"/>
      <c r="D2464" s="61" t="s">
        <v>1788</v>
      </c>
      <c r="E2464" s="630" t="s">
        <v>15</v>
      </c>
      <c r="F2464" s="630"/>
      <c r="G2464" s="655"/>
      <c r="H2464" s="635">
        <v>544338.9</v>
      </c>
      <c r="I2464" s="655">
        <v>744855.12120026303</v>
      </c>
      <c r="J2464" s="635">
        <f t="shared" si="97"/>
        <v>1289194.0212002629</v>
      </c>
      <c r="K2464" s="635"/>
      <c r="L2464" s="635"/>
      <c r="M2464" s="655">
        <f t="shared" si="98"/>
        <v>1289194.0212002629</v>
      </c>
      <c r="N2464" s="61"/>
    </row>
    <row r="2465" spans="1:14" s="242" customFormat="1" ht="14.25" customHeight="1">
      <c r="A2465" s="624">
        <v>303</v>
      </c>
      <c r="B2465" s="625" t="e">
        <f>VLOOKUP(D2465,'[1]DS CN MOI UP'!$B$11:$C$447,2,0)</f>
        <v>#N/A</v>
      </c>
      <c r="C2465" s="626"/>
      <c r="D2465" s="61" t="s">
        <v>1789</v>
      </c>
      <c r="E2465" s="630" t="s">
        <v>15</v>
      </c>
      <c r="F2465" s="630"/>
      <c r="G2465" s="655"/>
      <c r="H2465" s="635">
        <v>574572.66299999994</v>
      </c>
      <c r="I2465" s="655">
        <v>600000</v>
      </c>
      <c r="J2465" s="635">
        <f t="shared" si="97"/>
        <v>1174572.6629999999</v>
      </c>
      <c r="K2465" s="635"/>
      <c r="L2465" s="635"/>
      <c r="M2465" s="655">
        <f t="shared" si="98"/>
        <v>1174572.6629999999</v>
      </c>
      <c r="N2465" s="61"/>
    </row>
    <row r="2466" spans="1:14" s="242" customFormat="1" ht="14.25" customHeight="1">
      <c r="A2466" s="624">
        <v>304</v>
      </c>
      <c r="B2466" s="625" t="e">
        <f>VLOOKUP(D2466,'[1]DS CN MOI UP'!$B$11:$C$447,2,0)</f>
        <v>#N/A</v>
      </c>
      <c r="C2466" s="626"/>
      <c r="D2466" s="61" t="s">
        <v>1790</v>
      </c>
      <c r="E2466" s="630" t="s">
        <v>15</v>
      </c>
      <c r="F2466" s="630"/>
      <c r="G2466" s="655"/>
      <c r="H2466" s="635">
        <v>524139.33600000001</v>
      </c>
      <c r="I2466" s="655">
        <v>600000</v>
      </c>
      <c r="J2466" s="635">
        <f t="shared" si="97"/>
        <v>1124139.3360000001</v>
      </c>
      <c r="K2466" s="635"/>
      <c r="L2466" s="635"/>
      <c r="M2466" s="655">
        <f t="shared" si="98"/>
        <v>1124139.3360000001</v>
      </c>
      <c r="N2466" s="61"/>
    </row>
    <row r="2467" spans="1:14" s="242" customFormat="1" ht="14.25" customHeight="1">
      <c r="A2467" s="624">
        <v>305</v>
      </c>
      <c r="B2467" s="625" t="e">
        <f>VLOOKUP(D2467,'[1]DS CN MOI UP'!$B$11:$C$447,2,0)</f>
        <v>#N/A</v>
      </c>
      <c r="C2467" s="626"/>
      <c r="D2467" s="61" t="s">
        <v>818</v>
      </c>
      <c r="E2467" s="630" t="s">
        <v>15</v>
      </c>
      <c r="F2467" s="630"/>
      <c r="G2467" s="655"/>
      <c r="H2467" s="635">
        <v>635040.18900000001</v>
      </c>
      <c r="I2467" s="655">
        <v>600000</v>
      </c>
      <c r="J2467" s="635">
        <f t="shared" si="97"/>
        <v>1235040.189</v>
      </c>
      <c r="K2467" s="635"/>
      <c r="L2467" s="635"/>
      <c r="M2467" s="655">
        <f t="shared" si="98"/>
        <v>1235040.189</v>
      </c>
      <c r="N2467" s="61"/>
    </row>
    <row r="2468" spans="1:14" s="242" customFormat="1" ht="14.25" customHeight="1">
      <c r="A2468" s="624">
        <v>306</v>
      </c>
      <c r="B2468" s="625" t="e">
        <f>VLOOKUP(D2468,'[1]DS CN MOI UP'!$B$11:$C$447,2,0)</f>
        <v>#N/A</v>
      </c>
      <c r="C2468" s="626"/>
      <c r="D2468" s="61" t="s">
        <v>1791</v>
      </c>
      <c r="E2468" s="630" t="s">
        <v>15</v>
      </c>
      <c r="F2468" s="630"/>
      <c r="G2468" s="655"/>
      <c r="H2468" s="635">
        <v>635040.18900000001</v>
      </c>
      <c r="I2468" s="655">
        <v>600000</v>
      </c>
      <c r="J2468" s="635">
        <f t="shared" si="97"/>
        <v>1235040.189</v>
      </c>
      <c r="K2468" s="635"/>
      <c r="L2468" s="635"/>
      <c r="M2468" s="655">
        <f t="shared" si="98"/>
        <v>1235040.189</v>
      </c>
      <c r="N2468" s="61"/>
    </row>
    <row r="2469" spans="1:14" s="242" customFormat="1" ht="14.25" customHeight="1">
      <c r="A2469" s="624">
        <v>307</v>
      </c>
      <c r="B2469" s="625" t="e">
        <f>VLOOKUP(D2469,'[1]DS CN MOI UP'!$B$11:$C$447,2,0)</f>
        <v>#N/A</v>
      </c>
      <c r="C2469" s="626"/>
      <c r="D2469" s="61" t="s">
        <v>1792</v>
      </c>
      <c r="E2469" s="630" t="s">
        <v>15</v>
      </c>
      <c r="F2469" s="630"/>
      <c r="G2469" s="655"/>
      <c r="H2469" s="635">
        <v>635040.18900000001</v>
      </c>
      <c r="I2469" s="655">
        <v>600000</v>
      </c>
      <c r="J2469" s="635">
        <f t="shared" si="97"/>
        <v>1235040.189</v>
      </c>
      <c r="K2469" s="635"/>
      <c r="L2469" s="635"/>
      <c r="M2469" s="655">
        <f t="shared" si="98"/>
        <v>1235040.189</v>
      </c>
      <c r="N2469" s="61"/>
    </row>
    <row r="2470" spans="1:14" s="242" customFormat="1" ht="14.25" customHeight="1">
      <c r="A2470" s="624">
        <v>308</v>
      </c>
      <c r="B2470" s="625" t="e">
        <f>VLOOKUP(D2470,'[1]DS CN MOI UP'!$B$11:$C$447,2,0)</f>
        <v>#N/A</v>
      </c>
      <c r="C2470" s="626"/>
      <c r="D2470" s="61" t="s">
        <v>820</v>
      </c>
      <c r="E2470" s="630" t="s">
        <v>15</v>
      </c>
      <c r="F2470" s="630"/>
      <c r="G2470" s="655"/>
      <c r="H2470" s="635">
        <v>544338.9</v>
      </c>
      <c r="I2470" s="655">
        <v>744855.12120026303</v>
      </c>
      <c r="J2470" s="635">
        <f t="shared" si="97"/>
        <v>1289194.0212002629</v>
      </c>
      <c r="K2470" s="635"/>
      <c r="L2470" s="635"/>
      <c r="M2470" s="655">
        <f t="shared" si="98"/>
        <v>1289194.0212002629</v>
      </c>
      <c r="N2470" s="61"/>
    </row>
    <row r="2471" spans="1:14" s="242" customFormat="1" ht="14.25" customHeight="1">
      <c r="A2471" s="624">
        <v>309</v>
      </c>
      <c r="B2471" s="625" t="e">
        <f>VLOOKUP(D2471,'[1]DS CN MOI UP'!$B$11:$C$447,2,0)</f>
        <v>#N/A</v>
      </c>
      <c r="C2471" s="626"/>
      <c r="D2471" s="61" t="s">
        <v>1542</v>
      </c>
      <c r="E2471" s="630" t="s">
        <v>15</v>
      </c>
      <c r="F2471" s="630"/>
      <c r="G2471" s="655"/>
      <c r="H2471" s="635">
        <v>574572.66299999994</v>
      </c>
      <c r="I2471" s="655">
        <v>600000</v>
      </c>
      <c r="J2471" s="635">
        <f t="shared" si="97"/>
        <v>1174572.6629999999</v>
      </c>
      <c r="K2471" s="635"/>
      <c r="L2471" s="635"/>
      <c r="M2471" s="655">
        <f t="shared" si="98"/>
        <v>1174572.6629999999</v>
      </c>
      <c r="N2471" s="61"/>
    </row>
    <row r="2472" spans="1:14" s="242" customFormat="1" ht="14.25" customHeight="1">
      <c r="A2472" s="624">
        <v>310</v>
      </c>
      <c r="B2472" s="625" t="e">
        <f>VLOOKUP(D2472,'[1]DS CN MOI UP'!$B$11:$C$447,2,0)</f>
        <v>#N/A</v>
      </c>
      <c r="C2472" s="626"/>
      <c r="D2472" s="61" t="s">
        <v>827</v>
      </c>
      <c r="E2472" s="630" t="s">
        <v>15</v>
      </c>
      <c r="F2472" s="630"/>
      <c r="G2472" s="655"/>
      <c r="H2472" s="635">
        <v>1124139.3359999999</v>
      </c>
      <c r="I2472" s="655"/>
      <c r="J2472" s="635">
        <f t="shared" si="97"/>
        <v>1124139.3359999999</v>
      </c>
      <c r="K2472" s="635"/>
      <c r="L2472" s="635"/>
      <c r="M2472" s="655">
        <f t="shared" si="98"/>
        <v>1124139.3359999999</v>
      </c>
      <c r="N2472" s="61"/>
    </row>
    <row r="2473" spans="1:14" s="242" customFormat="1" ht="14.25" customHeight="1">
      <c r="A2473" s="624">
        <v>311</v>
      </c>
      <c r="B2473" s="625" t="e">
        <f>VLOOKUP(D2473,'[1]DS CN MOI UP'!$B$11:$C$447,2,0)</f>
        <v>#N/A</v>
      </c>
      <c r="C2473" s="626"/>
      <c r="D2473" s="61" t="s">
        <v>824</v>
      </c>
      <c r="E2473" s="630" t="s">
        <v>15</v>
      </c>
      <c r="F2473" s="630"/>
      <c r="G2473" s="655"/>
      <c r="H2473" s="635">
        <v>1235040.189</v>
      </c>
      <c r="I2473" s="655"/>
      <c r="J2473" s="635">
        <f t="shared" si="97"/>
        <v>1235040.189</v>
      </c>
      <c r="K2473" s="635"/>
      <c r="L2473" s="635"/>
      <c r="M2473" s="655">
        <f t="shared" si="98"/>
        <v>1235040.189</v>
      </c>
      <c r="N2473" s="61"/>
    </row>
    <row r="2474" spans="1:14" s="242" customFormat="1" ht="14.25" customHeight="1">
      <c r="A2474" s="624">
        <v>312</v>
      </c>
      <c r="B2474" s="625" t="e">
        <f>VLOOKUP(D2474,'[1]DS CN MOI UP'!$B$11:$C$447,2,0)</f>
        <v>#N/A</v>
      </c>
      <c r="C2474" s="626"/>
      <c r="D2474" s="61" t="s">
        <v>1793</v>
      </c>
      <c r="E2474" s="630" t="s">
        <v>15</v>
      </c>
      <c r="F2474" s="630"/>
      <c r="G2474" s="655"/>
      <c r="H2474" s="635">
        <v>1235040.189</v>
      </c>
      <c r="I2474" s="655"/>
      <c r="J2474" s="635">
        <f t="shared" si="97"/>
        <v>1235040.189</v>
      </c>
      <c r="K2474" s="635"/>
      <c r="L2474" s="635"/>
      <c r="M2474" s="655">
        <f t="shared" si="98"/>
        <v>1235040.189</v>
      </c>
      <c r="N2474" s="61"/>
    </row>
    <row r="2475" spans="1:14" s="242" customFormat="1" ht="14.25" customHeight="1">
      <c r="A2475" s="624">
        <v>313</v>
      </c>
      <c r="B2475" s="625" t="e">
        <f>VLOOKUP(D2475,'[1]DS CN MOI UP'!$B$11:$C$447,2,0)</f>
        <v>#N/A</v>
      </c>
      <c r="C2475" s="626"/>
      <c r="D2475" s="61" t="s">
        <v>1794</v>
      </c>
      <c r="E2475" s="630" t="s">
        <v>15</v>
      </c>
      <c r="F2475" s="630"/>
      <c r="G2475" s="655"/>
      <c r="H2475" s="635">
        <v>1235040.189</v>
      </c>
      <c r="I2475" s="655"/>
      <c r="J2475" s="635">
        <f t="shared" ref="J2475:J2486" si="105">SUM(G2475:I2475)</f>
        <v>1235040.189</v>
      </c>
      <c r="K2475" s="635"/>
      <c r="L2475" s="635"/>
      <c r="M2475" s="655">
        <f t="shared" ref="M2475:M2486" si="106">J2475-L2475</f>
        <v>1235040.189</v>
      </c>
      <c r="N2475" s="61"/>
    </row>
    <row r="2476" spans="1:14" s="242" customFormat="1" ht="14.25" customHeight="1">
      <c r="A2476" s="624">
        <v>314</v>
      </c>
      <c r="B2476" s="625" t="e">
        <f>VLOOKUP(D2476,'[1]DS CN MOI UP'!$B$11:$C$447,2,0)</f>
        <v>#N/A</v>
      </c>
      <c r="C2476" s="626"/>
      <c r="D2476" s="61" t="s">
        <v>851</v>
      </c>
      <c r="E2476" s="630" t="s">
        <v>15</v>
      </c>
      <c r="F2476" s="630"/>
      <c r="G2476" s="655"/>
      <c r="H2476" s="635">
        <v>1289194.0212002599</v>
      </c>
      <c r="I2476" s="655"/>
      <c r="J2476" s="635">
        <f t="shared" si="105"/>
        <v>1289194.0212002599</v>
      </c>
      <c r="K2476" s="635"/>
      <c r="L2476" s="635"/>
      <c r="M2476" s="655">
        <f t="shared" si="106"/>
        <v>1289194.0212002599</v>
      </c>
      <c r="N2476" s="61"/>
    </row>
    <row r="2477" spans="1:14" s="242" customFormat="1" ht="14.25" customHeight="1">
      <c r="A2477" s="624">
        <v>315</v>
      </c>
      <c r="B2477" s="625" t="e">
        <f>VLOOKUP(D2477,'[1]DS CN MOI UP'!$B$11:$C$447,2,0)</f>
        <v>#N/A</v>
      </c>
      <c r="C2477" s="626"/>
      <c r="D2477" s="61" t="s">
        <v>828</v>
      </c>
      <c r="E2477" s="630" t="s">
        <v>15</v>
      </c>
      <c r="F2477" s="630"/>
      <c r="G2477" s="655"/>
      <c r="H2477" s="635">
        <v>1174572.6629999999</v>
      </c>
      <c r="I2477" s="655"/>
      <c r="J2477" s="635">
        <f t="shared" si="105"/>
        <v>1174572.6629999999</v>
      </c>
      <c r="K2477" s="635"/>
      <c r="L2477" s="635"/>
      <c r="M2477" s="655">
        <f t="shared" si="106"/>
        <v>1174572.6629999999</v>
      </c>
      <c r="N2477" s="61"/>
    </row>
    <row r="2478" spans="1:14" s="242" customFormat="1" ht="14.25" customHeight="1">
      <c r="A2478" s="624">
        <v>316</v>
      </c>
      <c r="B2478" s="625" t="e">
        <f>VLOOKUP(D2478,'[1]DS CN MOI UP'!$B$11:$C$447,2,0)</f>
        <v>#N/A</v>
      </c>
      <c r="C2478" s="626"/>
      <c r="D2478" s="61" t="s">
        <v>1795</v>
      </c>
      <c r="E2478" s="630" t="s">
        <v>15</v>
      </c>
      <c r="F2478" s="630"/>
      <c r="G2478" s="655"/>
      <c r="H2478" s="635">
        <v>1124139.3359999999</v>
      </c>
      <c r="I2478" s="655"/>
      <c r="J2478" s="635">
        <f t="shared" si="105"/>
        <v>1124139.3359999999</v>
      </c>
      <c r="K2478" s="635"/>
      <c r="L2478" s="635"/>
      <c r="M2478" s="655">
        <f t="shared" si="106"/>
        <v>1124139.3359999999</v>
      </c>
      <c r="N2478" s="61"/>
    </row>
    <row r="2479" spans="1:14" s="242" customFormat="1" ht="14.25" customHeight="1">
      <c r="A2479" s="624">
        <v>317</v>
      </c>
      <c r="B2479" s="625" t="e">
        <f>VLOOKUP(D2479,'[1]DS CN MOI UP'!$B$11:$C$447,2,0)</f>
        <v>#N/A</v>
      </c>
      <c r="C2479" s="626"/>
      <c r="D2479" s="61" t="s">
        <v>830</v>
      </c>
      <c r="E2479" s="630" t="s">
        <v>15</v>
      </c>
      <c r="F2479" s="630"/>
      <c r="G2479" s="655"/>
      <c r="H2479" s="635">
        <v>1235040.189</v>
      </c>
      <c r="I2479" s="655"/>
      <c r="J2479" s="635">
        <f t="shared" si="105"/>
        <v>1235040.189</v>
      </c>
      <c r="K2479" s="635"/>
      <c r="L2479" s="635"/>
      <c r="M2479" s="655">
        <f t="shared" si="106"/>
        <v>1235040.189</v>
      </c>
      <c r="N2479" s="61"/>
    </row>
    <row r="2480" spans="1:14" s="242" customFormat="1" ht="14.25" customHeight="1">
      <c r="A2480" s="624">
        <v>318</v>
      </c>
      <c r="B2480" s="625" t="e">
        <f>VLOOKUP(D2480,'[1]DS CN MOI UP'!$B$11:$C$447,2,0)</f>
        <v>#N/A</v>
      </c>
      <c r="C2480" s="626"/>
      <c r="D2480" s="61" t="s">
        <v>1796</v>
      </c>
      <c r="E2480" s="630" t="s">
        <v>15</v>
      </c>
      <c r="F2480" s="630"/>
      <c r="G2480" s="655"/>
      <c r="H2480" s="635">
        <v>1235040.189</v>
      </c>
      <c r="I2480" s="655"/>
      <c r="J2480" s="635">
        <f t="shared" si="105"/>
        <v>1235040.189</v>
      </c>
      <c r="K2480" s="635"/>
      <c r="L2480" s="635"/>
      <c r="M2480" s="655">
        <f t="shared" si="106"/>
        <v>1235040.189</v>
      </c>
      <c r="N2480" s="61"/>
    </row>
    <row r="2481" spans="1:14" s="242" customFormat="1" ht="14.25" customHeight="1">
      <c r="A2481" s="624">
        <v>319</v>
      </c>
      <c r="B2481" s="625" t="e">
        <f>VLOOKUP(D2481,'[1]DS CN MOI UP'!$B$11:$C$447,2,0)</f>
        <v>#N/A</v>
      </c>
      <c r="C2481" s="626"/>
      <c r="D2481" s="61" t="s">
        <v>832</v>
      </c>
      <c r="E2481" s="630" t="s">
        <v>15</v>
      </c>
      <c r="F2481" s="630"/>
      <c r="G2481" s="655"/>
      <c r="H2481" s="635">
        <v>1235040.189</v>
      </c>
      <c r="I2481" s="655"/>
      <c r="J2481" s="635">
        <f t="shared" si="105"/>
        <v>1235040.189</v>
      </c>
      <c r="K2481" s="635"/>
      <c r="L2481" s="635"/>
      <c r="M2481" s="655">
        <f t="shared" si="106"/>
        <v>1235040.189</v>
      </c>
      <c r="N2481" s="61"/>
    </row>
    <row r="2482" spans="1:14" s="242" customFormat="1" ht="14.25" customHeight="1">
      <c r="A2482" s="624">
        <v>320</v>
      </c>
      <c r="B2482" s="625" t="e">
        <f>VLOOKUP(D2482,'[1]DS CN MOI UP'!$B$11:$C$447,2,0)</f>
        <v>#N/A</v>
      </c>
      <c r="C2482" s="626"/>
      <c r="D2482" s="61" t="s">
        <v>833</v>
      </c>
      <c r="E2482" s="630" t="s">
        <v>15</v>
      </c>
      <c r="F2482" s="630"/>
      <c r="G2482" s="655"/>
      <c r="H2482" s="635">
        <v>1289194.0212002599</v>
      </c>
      <c r="I2482" s="655"/>
      <c r="J2482" s="635">
        <f t="shared" si="105"/>
        <v>1289194.0212002599</v>
      </c>
      <c r="K2482" s="635"/>
      <c r="L2482" s="635"/>
      <c r="M2482" s="655">
        <f t="shared" si="106"/>
        <v>1289194.0212002599</v>
      </c>
      <c r="N2482" s="61"/>
    </row>
    <row r="2483" spans="1:14" s="242" customFormat="1" ht="14.25" customHeight="1">
      <c r="A2483" s="624">
        <v>321</v>
      </c>
      <c r="B2483" s="625" t="e">
        <f>VLOOKUP(D2483,'[1]DS CN MOI UP'!$B$11:$C$447,2,0)</f>
        <v>#N/A</v>
      </c>
      <c r="C2483" s="626"/>
      <c r="D2483" s="61" t="s">
        <v>834</v>
      </c>
      <c r="E2483" s="630" t="s">
        <v>15</v>
      </c>
      <c r="F2483" s="630"/>
      <c r="G2483" s="655"/>
      <c r="H2483" s="635">
        <v>1174572.6629999999</v>
      </c>
      <c r="I2483" s="655"/>
      <c r="J2483" s="635">
        <f t="shared" si="105"/>
        <v>1174572.6629999999</v>
      </c>
      <c r="K2483" s="635"/>
      <c r="L2483" s="635"/>
      <c r="M2483" s="655">
        <f t="shared" si="106"/>
        <v>1174572.6629999999</v>
      </c>
      <c r="N2483" s="61"/>
    </row>
    <row r="2484" spans="1:14" s="242" customFormat="1" ht="14.25" customHeight="1">
      <c r="A2484" s="624">
        <v>322</v>
      </c>
      <c r="B2484" s="625" t="e">
        <f>VLOOKUP(D2484,'[1]DS CN MOI UP'!$B$11:$C$447,2,0)</f>
        <v>#N/A</v>
      </c>
      <c r="C2484" s="626"/>
      <c r="D2484" s="61" t="s">
        <v>1797</v>
      </c>
      <c r="E2484" s="630" t="s">
        <v>15</v>
      </c>
      <c r="F2484" s="630"/>
      <c r="G2484" s="655"/>
      <c r="H2484" s="635">
        <v>894248.65995988704</v>
      </c>
      <c r="I2484" s="655"/>
      <c r="J2484" s="635">
        <f t="shared" si="105"/>
        <v>894248.65995988704</v>
      </c>
      <c r="K2484" s="635"/>
      <c r="L2484" s="635"/>
      <c r="M2484" s="655">
        <f t="shared" si="106"/>
        <v>894248.65995988704</v>
      </c>
      <c r="N2484" s="61"/>
    </row>
    <row r="2485" spans="1:14" s="242" customFormat="1" ht="14.25" customHeight="1">
      <c r="A2485" s="624">
        <v>323</v>
      </c>
      <c r="B2485" s="625" t="e">
        <f>VLOOKUP(D2485,'[1]DS CN MOI UP'!$B$11:$C$447,2,0)</f>
        <v>#N/A</v>
      </c>
      <c r="C2485" s="626"/>
      <c r="D2485" s="61" t="s">
        <v>1798</v>
      </c>
      <c r="E2485" s="630" t="s">
        <v>15</v>
      </c>
      <c r="F2485" s="630"/>
      <c r="G2485" s="655"/>
      <c r="H2485" s="635">
        <v>1235040.189</v>
      </c>
      <c r="I2485" s="655"/>
      <c r="J2485" s="635">
        <f t="shared" si="105"/>
        <v>1235040.189</v>
      </c>
      <c r="K2485" s="635"/>
      <c r="L2485" s="635"/>
      <c r="M2485" s="655">
        <f t="shared" si="106"/>
        <v>1235040.189</v>
      </c>
      <c r="N2485" s="61"/>
    </row>
    <row r="2486" spans="1:14" s="242" customFormat="1" ht="14.25" customHeight="1">
      <c r="A2486" s="624">
        <v>324</v>
      </c>
      <c r="B2486" s="625" t="e">
        <f>VLOOKUP(D2486,'[1]DS CN MOI UP'!$B$11:$C$447,2,0)</f>
        <v>#N/A</v>
      </c>
      <c r="C2486" s="626"/>
      <c r="D2486" s="61" t="s">
        <v>837</v>
      </c>
      <c r="E2486" s="630" t="s">
        <v>15</v>
      </c>
      <c r="F2486" s="630"/>
      <c r="G2486" s="655"/>
      <c r="H2486" s="635">
        <v>1235040.189</v>
      </c>
      <c r="I2486" s="655"/>
      <c r="J2486" s="635">
        <f t="shared" si="105"/>
        <v>1235040.189</v>
      </c>
      <c r="K2486" s="635"/>
      <c r="L2486" s="635"/>
      <c r="M2486" s="655">
        <f t="shared" si="106"/>
        <v>1235040.189</v>
      </c>
      <c r="N2486" s="61"/>
    </row>
    <row r="2487" spans="1:14" s="242" customFormat="1" ht="14.25" customHeight="1">
      <c r="A2487" s="624">
        <v>325</v>
      </c>
      <c r="B2487" s="625" t="e">
        <f>VLOOKUP(D2487,'[1]DS CN MOI UP'!$B$11:$C$447,2,0)</f>
        <v>#N/A</v>
      </c>
      <c r="C2487" s="626"/>
      <c r="D2487" s="61" t="s">
        <v>1799</v>
      </c>
      <c r="E2487" s="630" t="s">
        <v>15</v>
      </c>
      <c r="F2487" s="630"/>
      <c r="G2487" s="655"/>
      <c r="H2487" s="635">
        <v>1289194.0212002599</v>
      </c>
      <c r="I2487" s="655"/>
      <c r="J2487" s="635">
        <f t="shared" si="97"/>
        <v>1289194.0212002599</v>
      </c>
      <c r="K2487" s="635"/>
      <c r="L2487" s="635"/>
      <c r="M2487" s="655">
        <f t="shared" si="98"/>
        <v>1289194.0212002599</v>
      </c>
      <c r="N2487" s="61"/>
    </row>
    <row r="2488" spans="1:14" s="242" customFormat="1" ht="14.25" customHeight="1">
      <c r="A2488" s="624">
        <v>326</v>
      </c>
      <c r="B2488" s="625" t="e">
        <f>VLOOKUP(D2488,'[1]DS CN MOI UP'!$B$11:$C$447,2,0)</f>
        <v>#N/A</v>
      </c>
      <c r="C2488" s="626"/>
      <c r="D2488" s="61" t="s">
        <v>1800</v>
      </c>
      <c r="E2488" s="630" t="s">
        <v>15</v>
      </c>
      <c r="F2488" s="630"/>
      <c r="G2488" s="655"/>
      <c r="H2488" s="635">
        <v>1174572.6629999999</v>
      </c>
      <c r="I2488" s="655"/>
      <c r="J2488" s="635">
        <f t="shared" si="97"/>
        <v>1174572.6629999999</v>
      </c>
      <c r="K2488" s="635"/>
      <c r="L2488" s="635"/>
      <c r="M2488" s="655">
        <f t="shared" si="98"/>
        <v>1174572.6629999999</v>
      </c>
      <c r="N2488" s="61"/>
    </row>
    <row r="2489" spans="1:14" s="242" customFormat="1" ht="14.25" customHeight="1">
      <c r="A2489" s="624">
        <v>327</v>
      </c>
      <c r="B2489" s="625" t="e">
        <f>VLOOKUP(D2489,'[1]DS CN MOI UP'!$B$11:$C$447,2,0)</f>
        <v>#N/A</v>
      </c>
      <c r="C2489" s="626"/>
      <c r="D2489" s="61" t="s">
        <v>759</v>
      </c>
      <c r="E2489" s="630" t="s">
        <v>15</v>
      </c>
      <c r="F2489" s="630"/>
      <c r="G2489" s="655"/>
      <c r="H2489" s="635">
        <v>1124139.3359999999</v>
      </c>
      <c r="I2489" s="655"/>
      <c r="J2489" s="635">
        <f t="shared" si="97"/>
        <v>1124139.3359999999</v>
      </c>
      <c r="K2489" s="635"/>
      <c r="L2489" s="635"/>
      <c r="M2489" s="655">
        <f t="shared" si="98"/>
        <v>1124139.3359999999</v>
      </c>
      <c r="N2489" s="61"/>
    </row>
    <row r="2490" spans="1:14" s="242" customFormat="1" ht="14.25" customHeight="1">
      <c r="A2490" s="624">
        <v>328</v>
      </c>
      <c r="B2490" s="625" t="e">
        <f>VLOOKUP(D2490,'[1]DS CN MOI UP'!$B$11:$C$447,2,0)</f>
        <v>#N/A</v>
      </c>
      <c r="C2490" s="626"/>
      <c r="D2490" s="61" t="s">
        <v>840</v>
      </c>
      <c r="E2490" s="630" t="s">
        <v>15</v>
      </c>
      <c r="F2490" s="630"/>
      <c r="G2490" s="655"/>
      <c r="H2490" s="635">
        <v>1235040.189</v>
      </c>
      <c r="I2490" s="655"/>
      <c r="J2490" s="635">
        <f t="shared" si="97"/>
        <v>1235040.189</v>
      </c>
      <c r="K2490" s="635"/>
      <c r="L2490" s="635"/>
      <c r="M2490" s="655">
        <f t="shared" si="98"/>
        <v>1235040.189</v>
      </c>
      <c r="N2490" s="61"/>
    </row>
    <row r="2491" spans="1:14" s="242" customFormat="1" ht="14.25" customHeight="1">
      <c r="A2491" s="624">
        <v>329</v>
      </c>
      <c r="B2491" s="625" t="e">
        <f>VLOOKUP(D2491,'[1]DS CN MOI UP'!$B$11:$C$447,2,0)</f>
        <v>#N/A</v>
      </c>
      <c r="C2491" s="626"/>
      <c r="D2491" s="61" t="s">
        <v>1801</v>
      </c>
      <c r="E2491" s="630" t="s">
        <v>15</v>
      </c>
      <c r="F2491" s="630"/>
      <c r="G2491" s="655"/>
      <c r="H2491" s="635">
        <v>1235040.189</v>
      </c>
      <c r="I2491" s="655"/>
      <c r="J2491" s="635">
        <f t="shared" si="97"/>
        <v>1235040.189</v>
      </c>
      <c r="K2491" s="635"/>
      <c r="L2491" s="635"/>
      <c r="M2491" s="655">
        <f t="shared" si="98"/>
        <v>1235040.189</v>
      </c>
      <c r="N2491" s="61"/>
    </row>
    <row r="2492" spans="1:14" s="242" customFormat="1" ht="14.25" customHeight="1">
      <c r="A2492" s="624">
        <v>330</v>
      </c>
      <c r="B2492" s="625" t="e">
        <f>VLOOKUP(D2492,'[1]DS CN MOI UP'!$B$11:$C$447,2,0)</f>
        <v>#N/A</v>
      </c>
      <c r="C2492" s="626"/>
      <c r="D2492" s="61" t="s">
        <v>842</v>
      </c>
      <c r="E2492" s="630" t="s">
        <v>15</v>
      </c>
      <c r="F2492" s="630"/>
      <c r="G2492" s="655"/>
      <c r="H2492" s="635">
        <v>1235040.189</v>
      </c>
      <c r="I2492" s="655"/>
      <c r="J2492" s="635">
        <f t="shared" si="97"/>
        <v>1235040.189</v>
      </c>
      <c r="K2492" s="635"/>
      <c r="L2492" s="635"/>
      <c r="M2492" s="655">
        <f t="shared" si="98"/>
        <v>1235040.189</v>
      </c>
      <c r="N2492" s="61"/>
    </row>
    <row r="2493" spans="1:14" s="242" customFormat="1" ht="14.25" customHeight="1">
      <c r="A2493" s="624">
        <v>331</v>
      </c>
      <c r="B2493" s="625" t="e">
        <f>VLOOKUP(D2493,'[1]DS CN MOI UP'!$B$11:$C$447,2,0)</f>
        <v>#N/A</v>
      </c>
      <c r="C2493" s="626"/>
      <c r="D2493" s="61" t="s">
        <v>846</v>
      </c>
      <c r="E2493" s="630" t="s">
        <v>15</v>
      </c>
      <c r="F2493" s="630"/>
      <c r="G2493" s="655"/>
      <c r="H2493" s="635">
        <v>1289194.0212002599</v>
      </c>
      <c r="I2493" s="655"/>
      <c r="J2493" s="635">
        <f t="shared" si="97"/>
        <v>1289194.0212002599</v>
      </c>
      <c r="K2493" s="635"/>
      <c r="L2493" s="635"/>
      <c r="M2493" s="655">
        <f t="shared" si="98"/>
        <v>1289194.0212002599</v>
      </c>
      <c r="N2493" s="61"/>
    </row>
    <row r="2494" spans="1:14" s="242" customFormat="1" ht="14.25" customHeight="1">
      <c r="A2494" s="624">
        <v>332</v>
      </c>
      <c r="B2494" s="625" t="e">
        <f>VLOOKUP(D2494,'[1]DS CN MOI UP'!$B$11:$C$447,2,0)</f>
        <v>#N/A</v>
      </c>
      <c r="C2494" s="626"/>
      <c r="D2494" s="61" t="s">
        <v>844</v>
      </c>
      <c r="E2494" s="630" t="s">
        <v>15</v>
      </c>
      <c r="F2494" s="630"/>
      <c r="G2494" s="655"/>
      <c r="H2494" s="635">
        <v>1174572.6629999999</v>
      </c>
      <c r="I2494" s="655"/>
      <c r="J2494" s="635">
        <f t="shared" si="97"/>
        <v>1174572.6629999999</v>
      </c>
      <c r="K2494" s="635"/>
      <c r="L2494" s="635"/>
      <c r="M2494" s="655">
        <f t="shared" si="98"/>
        <v>1174572.6629999999</v>
      </c>
      <c r="N2494" s="61"/>
    </row>
    <row r="2495" spans="1:14" s="242" customFormat="1" ht="14.25" customHeight="1">
      <c r="A2495" s="624">
        <v>333</v>
      </c>
      <c r="B2495" s="625" t="e">
        <f>VLOOKUP(D2495,'[1]DS CN MOI UP'!$B$11:$C$447,2,0)</f>
        <v>#N/A</v>
      </c>
      <c r="C2495" s="626"/>
      <c r="D2495" s="61" t="s">
        <v>1802</v>
      </c>
      <c r="E2495" s="630" t="s">
        <v>15</v>
      </c>
      <c r="F2495" s="630"/>
      <c r="G2495" s="655"/>
      <c r="H2495" s="635">
        <v>1124139.3359999999</v>
      </c>
      <c r="I2495" s="655"/>
      <c r="J2495" s="635">
        <f t="shared" si="97"/>
        <v>1124139.3359999999</v>
      </c>
      <c r="K2495" s="635"/>
      <c r="L2495" s="635"/>
      <c r="M2495" s="655">
        <f t="shared" si="98"/>
        <v>1124139.3359999999</v>
      </c>
      <c r="N2495" s="61"/>
    </row>
    <row r="2496" spans="1:14" s="242" customFormat="1" ht="14.25" customHeight="1">
      <c r="A2496" s="624">
        <v>334</v>
      </c>
      <c r="B2496" s="625" t="e">
        <f>VLOOKUP(D2496,'[1]DS CN MOI UP'!$B$11:$C$447,2,0)</f>
        <v>#N/A</v>
      </c>
      <c r="C2496" s="626"/>
      <c r="D2496" s="61" t="s">
        <v>1803</v>
      </c>
      <c r="E2496" s="630" t="s">
        <v>15</v>
      </c>
      <c r="F2496" s="630"/>
      <c r="G2496" s="655"/>
      <c r="H2496" s="635">
        <v>1235040.189</v>
      </c>
      <c r="I2496" s="655"/>
      <c r="J2496" s="635">
        <f t="shared" si="97"/>
        <v>1235040.189</v>
      </c>
      <c r="K2496" s="635"/>
      <c r="L2496" s="635"/>
      <c r="M2496" s="655">
        <f t="shared" si="98"/>
        <v>1235040.189</v>
      </c>
      <c r="N2496" s="61"/>
    </row>
    <row r="2497" spans="1:14" s="242" customFormat="1" ht="14.25" customHeight="1">
      <c r="A2497" s="624">
        <v>335</v>
      </c>
      <c r="B2497" s="625" t="e">
        <f>VLOOKUP(D2497,'[1]DS CN MOI UP'!$B$11:$C$447,2,0)</f>
        <v>#N/A</v>
      </c>
      <c r="C2497" s="626"/>
      <c r="D2497" s="61" t="s">
        <v>1804</v>
      </c>
      <c r="E2497" s="630" t="s">
        <v>15</v>
      </c>
      <c r="F2497" s="630"/>
      <c r="G2497" s="655"/>
      <c r="H2497" s="635">
        <v>1235040.189</v>
      </c>
      <c r="I2497" s="655"/>
      <c r="J2497" s="635">
        <f t="shared" si="97"/>
        <v>1235040.189</v>
      </c>
      <c r="K2497" s="635"/>
      <c r="L2497" s="635"/>
      <c r="M2497" s="655">
        <f t="shared" si="98"/>
        <v>1235040.189</v>
      </c>
      <c r="N2497" s="61"/>
    </row>
    <row r="2498" spans="1:14" s="242" customFormat="1" ht="14.25" customHeight="1">
      <c r="A2498" s="624">
        <v>336</v>
      </c>
      <c r="B2498" s="625" t="e">
        <f>VLOOKUP(D2498,'[1]DS CN MOI UP'!$B$11:$C$447,2,0)</f>
        <v>#N/A</v>
      </c>
      <c r="C2498" s="626"/>
      <c r="D2498" s="61" t="s">
        <v>1805</v>
      </c>
      <c r="E2498" s="630" t="s">
        <v>15</v>
      </c>
      <c r="F2498" s="630"/>
      <c r="G2498" s="655"/>
      <c r="H2498" s="635">
        <v>1289194.0212002599</v>
      </c>
      <c r="I2498" s="655"/>
      <c r="J2498" s="635">
        <f t="shared" si="97"/>
        <v>1289194.0212002599</v>
      </c>
      <c r="K2498" s="635"/>
      <c r="L2498" s="635"/>
      <c r="M2498" s="655">
        <f t="shared" si="98"/>
        <v>1289194.0212002599</v>
      </c>
      <c r="N2498" s="61"/>
    </row>
    <row r="2499" spans="1:14" s="242" customFormat="1" ht="14.25" customHeight="1">
      <c r="A2499" s="624">
        <v>337</v>
      </c>
      <c r="B2499" s="625" t="e">
        <f>VLOOKUP(D2499,'[1]DS CN MOI UP'!$B$11:$C$447,2,0)</f>
        <v>#N/A</v>
      </c>
      <c r="C2499" s="626"/>
      <c r="D2499" s="61" t="s">
        <v>1070</v>
      </c>
      <c r="E2499" s="630" t="s">
        <v>15</v>
      </c>
      <c r="F2499" s="630"/>
      <c r="G2499" s="655"/>
      <c r="H2499" s="635">
        <v>1174572.6629999999</v>
      </c>
      <c r="I2499" s="655"/>
      <c r="J2499" s="635">
        <f t="shared" ref="J2499:J2548" si="107">SUM(G2499:I2499)</f>
        <v>1174572.6629999999</v>
      </c>
      <c r="K2499" s="635"/>
      <c r="L2499" s="635"/>
      <c r="M2499" s="655">
        <f t="shared" ref="M2499:M2548" si="108">J2499-L2499</f>
        <v>1174572.6629999999</v>
      </c>
      <c r="N2499" s="61"/>
    </row>
    <row r="2500" spans="1:14" s="242" customFormat="1" ht="14.25" customHeight="1">
      <c r="A2500" s="624">
        <v>338</v>
      </c>
      <c r="B2500" s="625" t="e">
        <f>VLOOKUP(D2500,'[1]DS CN MOI UP'!$B$11:$C$447,2,0)</f>
        <v>#N/A</v>
      </c>
      <c r="C2500" s="626"/>
      <c r="D2500" s="61" t="s">
        <v>1806</v>
      </c>
      <c r="E2500" s="630" t="s">
        <v>15</v>
      </c>
      <c r="F2500" s="630"/>
      <c r="G2500" s="655"/>
      <c r="H2500" s="635">
        <v>1124139.3359999999</v>
      </c>
      <c r="I2500" s="655"/>
      <c r="J2500" s="635">
        <f t="shared" si="107"/>
        <v>1124139.3359999999</v>
      </c>
      <c r="K2500" s="635"/>
      <c r="L2500" s="635"/>
      <c r="M2500" s="655">
        <f t="shared" si="108"/>
        <v>1124139.3359999999</v>
      </c>
      <c r="N2500" s="61"/>
    </row>
    <row r="2501" spans="1:14" s="242" customFormat="1" ht="14.25" customHeight="1">
      <c r="A2501" s="624">
        <v>339</v>
      </c>
      <c r="B2501" s="625" t="e">
        <f>VLOOKUP(D2501,'[1]DS CN MOI UP'!$B$11:$C$447,2,0)</f>
        <v>#N/A</v>
      </c>
      <c r="C2501" s="626"/>
      <c r="D2501" s="61" t="s">
        <v>1807</v>
      </c>
      <c r="E2501" s="630" t="s">
        <v>15</v>
      </c>
      <c r="F2501" s="630"/>
      <c r="G2501" s="655"/>
      <c r="H2501" s="635">
        <v>1235040.189</v>
      </c>
      <c r="I2501" s="655"/>
      <c r="J2501" s="635">
        <f t="shared" si="107"/>
        <v>1235040.189</v>
      </c>
      <c r="K2501" s="635"/>
      <c r="L2501" s="635"/>
      <c r="M2501" s="655">
        <f t="shared" si="108"/>
        <v>1235040.189</v>
      </c>
      <c r="N2501" s="61"/>
    </row>
    <row r="2502" spans="1:14" s="242" customFormat="1" ht="14.25" customHeight="1">
      <c r="A2502" s="624">
        <v>340</v>
      </c>
      <c r="B2502" s="625" t="e">
        <f>VLOOKUP(D2502,'[1]DS CN MOI UP'!$B$11:$C$447,2,0)</f>
        <v>#N/A</v>
      </c>
      <c r="C2502" s="626"/>
      <c r="D2502" s="61" t="s">
        <v>1808</v>
      </c>
      <c r="E2502" s="630" t="s">
        <v>15</v>
      </c>
      <c r="F2502" s="630"/>
      <c r="G2502" s="655"/>
      <c r="H2502" s="635">
        <v>1235040.189</v>
      </c>
      <c r="I2502" s="655"/>
      <c r="J2502" s="635">
        <f t="shared" si="107"/>
        <v>1235040.189</v>
      </c>
      <c r="K2502" s="635"/>
      <c r="L2502" s="635"/>
      <c r="M2502" s="655">
        <f t="shared" si="108"/>
        <v>1235040.189</v>
      </c>
      <c r="N2502" s="61"/>
    </row>
    <row r="2503" spans="1:14" s="242" customFormat="1" ht="14.25" customHeight="1">
      <c r="A2503" s="624">
        <v>341</v>
      </c>
      <c r="B2503" s="625" t="e">
        <f>VLOOKUP(D2503,'[1]DS CN MOI UP'!$B$11:$C$447,2,0)</f>
        <v>#N/A</v>
      </c>
      <c r="C2503" s="626"/>
      <c r="D2503" s="61" t="s">
        <v>1809</v>
      </c>
      <c r="E2503" s="630" t="s">
        <v>15</v>
      </c>
      <c r="F2503" s="630"/>
      <c r="G2503" s="655"/>
      <c r="H2503" s="635">
        <v>1235040.189</v>
      </c>
      <c r="I2503" s="655"/>
      <c r="J2503" s="635">
        <f t="shared" si="107"/>
        <v>1235040.189</v>
      </c>
      <c r="K2503" s="635"/>
      <c r="L2503" s="635"/>
      <c r="M2503" s="655">
        <f t="shared" si="108"/>
        <v>1235040.189</v>
      </c>
      <c r="N2503" s="61"/>
    </row>
    <row r="2504" spans="1:14" s="242" customFormat="1" ht="14.25" customHeight="1">
      <c r="A2504" s="624">
        <v>342</v>
      </c>
      <c r="B2504" s="625" t="e">
        <f>VLOOKUP(D2504,'[1]DS CN MOI UP'!$B$11:$C$447,2,0)</f>
        <v>#N/A</v>
      </c>
      <c r="C2504" s="626"/>
      <c r="D2504" s="61" t="s">
        <v>1810</v>
      </c>
      <c r="E2504" s="630" t="s">
        <v>15</v>
      </c>
      <c r="F2504" s="630"/>
      <c r="G2504" s="655"/>
      <c r="H2504" s="635">
        <v>1289194.0212002599</v>
      </c>
      <c r="I2504" s="655"/>
      <c r="J2504" s="635">
        <f t="shared" si="107"/>
        <v>1289194.0212002599</v>
      </c>
      <c r="K2504" s="635"/>
      <c r="L2504" s="635"/>
      <c r="M2504" s="655">
        <f t="shared" si="108"/>
        <v>1289194.0212002599</v>
      </c>
      <c r="N2504" s="61"/>
    </row>
    <row r="2505" spans="1:14" s="242" customFormat="1" ht="14.25" customHeight="1">
      <c r="A2505" s="624">
        <v>343</v>
      </c>
      <c r="B2505" s="625" t="e">
        <f>VLOOKUP(D2505,'[1]DS CN MOI UP'!$B$11:$C$447,2,0)</f>
        <v>#N/A</v>
      </c>
      <c r="C2505" s="626"/>
      <c r="D2505" s="61" t="s">
        <v>1811</v>
      </c>
      <c r="E2505" s="630" t="s">
        <v>15</v>
      </c>
      <c r="F2505" s="630"/>
      <c r="G2505" s="655"/>
      <c r="H2505" s="635">
        <v>1174572.6629999999</v>
      </c>
      <c r="I2505" s="655"/>
      <c r="J2505" s="635">
        <f t="shared" si="107"/>
        <v>1174572.6629999999</v>
      </c>
      <c r="K2505" s="635"/>
      <c r="L2505" s="635"/>
      <c r="M2505" s="655">
        <f t="shared" si="108"/>
        <v>1174572.6629999999</v>
      </c>
      <c r="N2505" s="61"/>
    </row>
    <row r="2506" spans="1:14" s="242" customFormat="1" ht="14.25" customHeight="1">
      <c r="A2506" s="624">
        <v>344</v>
      </c>
      <c r="B2506" s="625" t="e">
        <f>VLOOKUP(D2506,'[1]DS CN MOI UP'!$B$11:$C$447,2,0)</f>
        <v>#N/A</v>
      </c>
      <c r="C2506" s="626"/>
      <c r="D2506" s="61" t="s">
        <v>1812</v>
      </c>
      <c r="E2506" s="630" t="s">
        <v>15</v>
      </c>
      <c r="F2506" s="630"/>
      <c r="G2506" s="655"/>
      <c r="H2506" s="635">
        <v>1124139.3359999999</v>
      </c>
      <c r="I2506" s="655"/>
      <c r="J2506" s="635">
        <f t="shared" si="107"/>
        <v>1124139.3359999999</v>
      </c>
      <c r="K2506" s="635"/>
      <c r="L2506" s="635"/>
      <c r="M2506" s="655">
        <f t="shared" si="108"/>
        <v>1124139.3359999999</v>
      </c>
      <c r="N2506" s="61"/>
    </row>
    <row r="2507" spans="1:14" s="242" customFormat="1" ht="14.25" customHeight="1">
      <c r="A2507" s="624">
        <v>345</v>
      </c>
      <c r="B2507" s="625" t="e">
        <f>VLOOKUP(D2507,'[1]DS CN MOI UP'!$B$11:$C$447,2,0)</f>
        <v>#N/A</v>
      </c>
      <c r="C2507" s="626"/>
      <c r="D2507" s="61" t="s">
        <v>1813</v>
      </c>
      <c r="E2507" s="630" t="s">
        <v>15</v>
      </c>
      <c r="F2507" s="630"/>
      <c r="G2507" s="655"/>
      <c r="H2507" s="635">
        <v>1235040.189</v>
      </c>
      <c r="I2507" s="655"/>
      <c r="J2507" s="635">
        <f t="shared" ref="J2507:J2518" si="109">SUM(G2507:I2507)</f>
        <v>1235040.189</v>
      </c>
      <c r="K2507" s="635"/>
      <c r="L2507" s="635"/>
      <c r="M2507" s="655">
        <f t="shared" ref="M2507:M2518" si="110">J2507-L2507</f>
        <v>1235040.189</v>
      </c>
      <c r="N2507" s="61"/>
    </row>
    <row r="2508" spans="1:14" s="242" customFormat="1" ht="14.25" customHeight="1">
      <c r="A2508" s="624">
        <v>346</v>
      </c>
      <c r="B2508" s="625" t="e">
        <f>VLOOKUP(D2508,'[1]DS CN MOI UP'!$B$11:$C$447,2,0)</f>
        <v>#N/A</v>
      </c>
      <c r="C2508" s="626"/>
      <c r="D2508" s="61" t="s">
        <v>1814</v>
      </c>
      <c r="E2508" s="630" t="s">
        <v>15</v>
      </c>
      <c r="F2508" s="630"/>
      <c r="G2508" s="655"/>
      <c r="H2508" s="635">
        <v>1289194.0212002599</v>
      </c>
      <c r="I2508" s="655"/>
      <c r="J2508" s="635">
        <f t="shared" si="109"/>
        <v>1289194.0212002599</v>
      </c>
      <c r="K2508" s="635"/>
      <c r="L2508" s="635"/>
      <c r="M2508" s="655">
        <f t="shared" si="110"/>
        <v>1289194.0212002599</v>
      </c>
      <c r="N2508" s="61"/>
    </row>
    <row r="2509" spans="1:14" s="242" customFormat="1" ht="14.25" customHeight="1">
      <c r="A2509" s="624">
        <v>347</v>
      </c>
      <c r="B2509" s="625" t="str">
        <f>VLOOKUP(D2509,'[1]DS CN MOI UP'!$B$11:$C$447,2,0)</f>
        <v>02550</v>
      </c>
      <c r="C2509" s="626"/>
      <c r="D2509" s="61" t="s">
        <v>200</v>
      </c>
      <c r="E2509" s="630" t="s">
        <v>15</v>
      </c>
      <c r="F2509" s="630"/>
      <c r="G2509" s="655"/>
      <c r="H2509" s="635">
        <v>1174572.6629999999</v>
      </c>
      <c r="I2509" s="655"/>
      <c r="J2509" s="635">
        <f t="shared" si="109"/>
        <v>1174572.6629999999</v>
      </c>
      <c r="K2509" s="635"/>
      <c r="L2509" s="635"/>
      <c r="M2509" s="655">
        <f t="shared" si="110"/>
        <v>1174572.6629999999</v>
      </c>
      <c r="N2509" s="61"/>
    </row>
    <row r="2510" spans="1:14" s="242" customFormat="1" ht="14.25" customHeight="1">
      <c r="A2510" s="624">
        <v>348</v>
      </c>
      <c r="B2510" s="625" t="e">
        <f>VLOOKUP(D2510,'[1]DS CN MOI UP'!$B$11:$C$447,2,0)</f>
        <v>#N/A</v>
      </c>
      <c r="C2510" s="626"/>
      <c r="D2510" s="61" t="s">
        <v>1649</v>
      </c>
      <c r="E2510" s="630" t="s">
        <v>15</v>
      </c>
      <c r="F2510" s="630"/>
      <c r="G2510" s="655"/>
      <c r="H2510" s="635">
        <v>1124139.3359999999</v>
      </c>
      <c r="I2510" s="655"/>
      <c r="J2510" s="635">
        <f t="shared" si="109"/>
        <v>1124139.3359999999</v>
      </c>
      <c r="K2510" s="635"/>
      <c r="L2510" s="635"/>
      <c r="M2510" s="655">
        <f t="shared" si="110"/>
        <v>1124139.3359999999</v>
      </c>
      <c r="N2510" s="61"/>
    </row>
    <row r="2511" spans="1:14" s="242" customFormat="1" ht="14.25" customHeight="1">
      <c r="A2511" s="624">
        <v>349</v>
      </c>
      <c r="B2511" s="625" t="str">
        <f>VLOOKUP(D2511,'[1]DS CN MOI UP'!$B$11:$C$447,2,0)</f>
        <v>03342</v>
      </c>
      <c r="C2511" s="626"/>
      <c r="D2511" s="61" t="s">
        <v>489</v>
      </c>
      <c r="E2511" s="630" t="s">
        <v>15</v>
      </c>
      <c r="F2511" s="630"/>
      <c r="G2511" s="655"/>
      <c r="H2511" s="635">
        <v>1235040.189</v>
      </c>
      <c r="I2511" s="655"/>
      <c r="J2511" s="635">
        <f t="shared" si="109"/>
        <v>1235040.189</v>
      </c>
      <c r="K2511" s="635"/>
      <c r="L2511" s="635"/>
      <c r="M2511" s="655">
        <f t="shared" si="110"/>
        <v>1235040.189</v>
      </c>
      <c r="N2511" s="61"/>
    </row>
    <row r="2512" spans="1:14" s="242" customFormat="1" ht="14.25" customHeight="1">
      <c r="A2512" s="624">
        <v>350</v>
      </c>
      <c r="B2512" s="625" t="e">
        <f>VLOOKUP(D2512,'[1]DS CN MOI UP'!$B$11:$C$447,2,0)</f>
        <v>#N/A</v>
      </c>
      <c r="C2512" s="626"/>
      <c r="D2512" s="61" t="s">
        <v>1815</v>
      </c>
      <c r="E2512" s="630" t="s">
        <v>15</v>
      </c>
      <c r="F2512" s="630"/>
      <c r="G2512" s="655"/>
      <c r="H2512" s="635">
        <v>1235040.189</v>
      </c>
      <c r="I2512" s="655"/>
      <c r="J2512" s="635">
        <f t="shared" si="109"/>
        <v>1235040.189</v>
      </c>
      <c r="K2512" s="635"/>
      <c r="L2512" s="635"/>
      <c r="M2512" s="655">
        <f t="shared" si="110"/>
        <v>1235040.189</v>
      </c>
      <c r="N2512" s="61"/>
    </row>
    <row r="2513" spans="1:14" s="242" customFormat="1" ht="14.25" customHeight="1">
      <c r="A2513" s="624">
        <v>351</v>
      </c>
      <c r="B2513" s="625" t="e">
        <f>VLOOKUP(D2513,'[1]DS CN MOI UP'!$B$11:$C$447,2,0)</f>
        <v>#N/A</v>
      </c>
      <c r="C2513" s="626"/>
      <c r="D2513" s="61" t="s">
        <v>1816</v>
      </c>
      <c r="E2513" s="630" t="s">
        <v>15</v>
      </c>
      <c r="F2513" s="630"/>
      <c r="G2513" s="655"/>
      <c r="H2513" s="635">
        <v>1289194.0212002599</v>
      </c>
      <c r="I2513" s="655"/>
      <c r="J2513" s="635">
        <f t="shared" si="109"/>
        <v>1289194.0212002599</v>
      </c>
      <c r="K2513" s="635"/>
      <c r="L2513" s="635"/>
      <c r="M2513" s="655">
        <f t="shared" si="110"/>
        <v>1289194.0212002599</v>
      </c>
      <c r="N2513" s="61"/>
    </row>
    <row r="2514" spans="1:14" s="242" customFormat="1" ht="14.25" customHeight="1">
      <c r="A2514" s="624">
        <v>352</v>
      </c>
      <c r="B2514" s="625" t="e">
        <f>VLOOKUP(D2514,'[1]DS CN MOI UP'!$B$11:$C$447,2,0)</f>
        <v>#N/A</v>
      </c>
      <c r="C2514" s="626"/>
      <c r="D2514" s="61" t="s">
        <v>1817</v>
      </c>
      <c r="E2514" s="630" t="s">
        <v>15</v>
      </c>
      <c r="F2514" s="630"/>
      <c r="G2514" s="655"/>
      <c r="H2514" s="635">
        <v>1174572.6629999999</v>
      </c>
      <c r="I2514" s="655"/>
      <c r="J2514" s="635">
        <f t="shared" si="109"/>
        <v>1174572.6629999999</v>
      </c>
      <c r="K2514" s="635"/>
      <c r="L2514" s="635"/>
      <c r="M2514" s="655">
        <f t="shared" si="110"/>
        <v>1174572.6629999999</v>
      </c>
      <c r="N2514" s="61"/>
    </row>
    <row r="2515" spans="1:14" s="242" customFormat="1" ht="14.25" customHeight="1">
      <c r="A2515" s="624">
        <v>353</v>
      </c>
      <c r="B2515" s="625" t="str">
        <f>VLOOKUP(D2515,'[1]DS CN MOI UP'!$B$11:$C$447,2,0)</f>
        <v>02594</v>
      </c>
      <c r="C2515" s="626"/>
      <c r="D2515" s="61" t="s">
        <v>207</v>
      </c>
      <c r="E2515" s="630" t="s">
        <v>15</v>
      </c>
      <c r="F2515" s="630"/>
      <c r="G2515" s="655"/>
      <c r="H2515" s="635">
        <v>1124139.3359999999</v>
      </c>
      <c r="I2515" s="655"/>
      <c r="J2515" s="635">
        <f t="shared" si="109"/>
        <v>1124139.3359999999</v>
      </c>
      <c r="K2515" s="635"/>
      <c r="L2515" s="635"/>
      <c r="M2515" s="655">
        <f t="shared" si="110"/>
        <v>1124139.3359999999</v>
      </c>
      <c r="N2515" s="61"/>
    </row>
    <row r="2516" spans="1:14" s="242" customFormat="1" ht="14.25" customHeight="1">
      <c r="A2516" s="624">
        <v>354</v>
      </c>
      <c r="B2516" s="625" t="e">
        <f>VLOOKUP(D2516,'[1]DS CN MOI UP'!$B$11:$C$447,2,0)</f>
        <v>#N/A</v>
      </c>
      <c r="C2516" s="626"/>
      <c r="D2516" s="61" t="s">
        <v>1818</v>
      </c>
      <c r="E2516" s="630" t="s">
        <v>15</v>
      </c>
      <c r="F2516" s="630"/>
      <c r="G2516" s="655"/>
      <c r="H2516" s="635">
        <v>1235040.189</v>
      </c>
      <c r="I2516" s="655"/>
      <c r="J2516" s="635">
        <f t="shared" si="109"/>
        <v>1235040.189</v>
      </c>
      <c r="K2516" s="635"/>
      <c r="L2516" s="635"/>
      <c r="M2516" s="655">
        <f t="shared" si="110"/>
        <v>1235040.189</v>
      </c>
      <c r="N2516" s="61"/>
    </row>
    <row r="2517" spans="1:14" s="242" customFormat="1" ht="14.25" customHeight="1">
      <c r="A2517" s="624">
        <v>355</v>
      </c>
      <c r="B2517" s="625" t="e">
        <f>VLOOKUP(D2517,'[1]DS CN MOI UP'!$B$11:$C$447,2,0)</f>
        <v>#N/A</v>
      </c>
      <c r="C2517" s="626"/>
      <c r="D2517" s="61" t="s">
        <v>1819</v>
      </c>
      <c r="E2517" s="630" t="s">
        <v>15</v>
      </c>
      <c r="F2517" s="630"/>
      <c r="G2517" s="655"/>
      <c r="H2517" s="635">
        <v>1235040.189</v>
      </c>
      <c r="I2517" s="655"/>
      <c r="J2517" s="635">
        <f t="shared" si="109"/>
        <v>1235040.189</v>
      </c>
      <c r="K2517" s="635"/>
      <c r="L2517" s="635"/>
      <c r="M2517" s="655">
        <f t="shared" si="110"/>
        <v>1235040.189</v>
      </c>
      <c r="N2517" s="61"/>
    </row>
    <row r="2518" spans="1:14" s="242" customFormat="1" ht="14.25" customHeight="1">
      <c r="A2518" s="624">
        <v>356</v>
      </c>
      <c r="B2518" s="625" t="e">
        <f>VLOOKUP(D2518,'[1]DS CN MOI UP'!$B$11:$C$447,2,0)</f>
        <v>#N/A</v>
      </c>
      <c r="C2518" s="626"/>
      <c r="D2518" s="61" t="s">
        <v>1820</v>
      </c>
      <c r="E2518" s="630" t="s">
        <v>15</v>
      </c>
      <c r="F2518" s="630"/>
      <c r="G2518" s="655"/>
      <c r="H2518" s="635">
        <v>1235040.189</v>
      </c>
      <c r="I2518" s="655"/>
      <c r="J2518" s="635">
        <f t="shared" si="109"/>
        <v>1235040.189</v>
      </c>
      <c r="K2518" s="635"/>
      <c r="L2518" s="635"/>
      <c r="M2518" s="655">
        <f t="shared" si="110"/>
        <v>1235040.189</v>
      </c>
      <c r="N2518" s="61"/>
    </row>
    <row r="2519" spans="1:14" s="242" customFormat="1" ht="14.25" customHeight="1">
      <c r="A2519" s="624">
        <v>357</v>
      </c>
      <c r="B2519" s="625" t="e">
        <f>VLOOKUP(D2519,'[1]DS CN MOI UP'!$B$11:$C$447,2,0)</f>
        <v>#N/A</v>
      </c>
      <c r="C2519" s="626"/>
      <c r="D2519" s="61" t="s">
        <v>1821</v>
      </c>
      <c r="E2519" s="630" t="s">
        <v>15</v>
      </c>
      <c r="F2519" s="630"/>
      <c r="G2519" s="655"/>
      <c r="H2519" s="635">
        <v>1289194.0212002599</v>
      </c>
      <c r="I2519" s="655"/>
      <c r="J2519" s="635">
        <f t="shared" si="107"/>
        <v>1289194.0212002599</v>
      </c>
      <c r="K2519" s="635"/>
      <c r="L2519" s="635"/>
      <c r="M2519" s="655">
        <f t="shared" si="108"/>
        <v>1289194.0212002599</v>
      </c>
      <c r="N2519" s="61"/>
    </row>
    <row r="2520" spans="1:14" s="242" customFormat="1" ht="14.25" customHeight="1">
      <c r="A2520" s="624">
        <v>358</v>
      </c>
      <c r="B2520" s="625" t="e">
        <f>VLOOKUP(D2520,'[1]DS CN MOI UP'!$B$11:$C$447,2,0)</f>
        <v>#N/A</v>
      </c>
      <c r="C2520" s="626"/>
      <c r="D2520" s="61" t="s">
        <v>1822</v>
      </c>
      <c r="E2520" s="630" t="s">
        <v>15</v>
      </c>
      <c r="F2520" s="630"/>
      <c r="G2520" s="655"/>
      <c r="H2520" s="635">
        <v>1174572.6629999999</v>
      </c>
      <c r="I2520" s="655"/>
      <c r="J2520" s="635">
        <f t="shared" si="107"/>
        <v>1174572.6629999999</v>
      </c>
      <c r="K2520" s="635"/>
      <c r="L2520" s="635"/>
      <c r="M2520" s="655">
        <f t="shared" si="108"/>
        <v>1174572.6629999999</v>
      </c>
      <c r="N2520" s="61"/>
    </row>
    <row r="2521" spans="1:14" s="242" customFormat="1" ht="14.25" customHeight="1">
      <c r="A2521" s="624">
        <v>359</v>
      </c>
      <c r="B2521" s="625" t="e">
        <f>VLOOKUP(D2521,'[1]DS CN MOI UP'!$B$11:$C$447,2,0)</f>
        <v>#N/A</v>
      </c>
      <c r="C2521" s="626"/>
      <c r="D2521" s="61" t="s">
        <v>1823</v>
      </c>
      <c r="E2521" s="630" t="s">
        <v>15</v>
      </c>
      <c r="F2521" s="630"/>
      <c r="G2521" s="655"/>
      <c r="H2521" s="655">
        <v>1235040.189</v>
      </c>
      <c r="I2521" s="655"/>
      <c r="J2521" s="635">
        <f t="shared" si="107"/>
        <v>1235040.189</v>
      </c>
      <c r="K2521" s="635"/>
      <c r="L2521" s="635"/>
      <c r="M2521" s="655">
        <f t="shared" si="108"/>
        <v>1235040.189</v>
      </c>
      <c r="N2521" s="61"/>
    </row>
    <row r="2522" spans="1:14" s="242" customFormat="1" ht="14.25" customHeight="1">
      <c r="A2522" s="624">
        <v>360</v>
      </c>
      <c r="B2522" s="625" t="str">
        <f>VLOOKUP(D2522,'[1]DS CN MOI UP'!$B$11:$C$447,2,0)</f>
        <v>03403</v>
      </c>
      <c r="C2522" s="626"/>
      <c r="D2522" s="61" t="s">
        <v>1824</v>
      </c>
      <c r="E2522" s="630" t="s">
        <v>15</v>
      </c>
      <c r="F2522" s="630"/>
      <c r="G2522" s="655"/>
      <c r="H2522" s="655">
        <v>1289194.0212002599</v>
      </c>
      <c r="I2522" s="655"/>
      <c r="J2522" s="635">
        <f t="shared" si="107"/>
        <v>1289194.0212002599</v>
      </c>
      <c r="K2522" s="635"/>
      <c r="L2522" s="635"/>
      <c r="M2522" s="655">
        <f t="shared" si="108"/>
        <v>1289194.0212002599</v>
      </c>
      <c r="N2522" s="61"/>
    </row>
    <row r="2523" spans="1:14" s="242" customFormat="1" ht="14.25" customHeight="1">
      <c r="A2523" s="624">
        <v>361</v>
      </c>
      <c r="B2523" s="625" t="e">
        <f>VLOOKUP(D2523,'[1]DS CN MOI UP'!$B$11:$C$447,2,0)</f>
        <v>#N/A</v>
      </c>
      <c r="C2523" s="626"/>
      <c r="D2523" s="61" t="s">
        <v>1825</v>
      </c>
      <c r="E2523" s="630" t="s">
        <v>15</v>
      </c>
      <c r="F2523" s="630"/>
      <c r="G2523" s="655"/>
      <c r="H2523" s="655">
        <v>1174572.6629999999</v>
      </c>
      <c r="I2523" s="655"/>
      <c r="J2523" s="635">
        <f t="shared" si="107"/>
        <v>1174572.6629999999</v>
      </c>
      <c r="K2523" s="635"/>
      <c r="L2523" s="635"/>
      <c r="M2523" s="655">
        <f t="shared" si="108"/>
        <v>1174572.6629999999</v>
      </c>
      <c r="N2523" s="61"/>
    </row>
    <row r="2524" spans="1:14" s="242" customFormat="1" ht="14.25" customHeight="1">
      <c r="A2524" s="624">
        <v>362</v>
      </c>
      <c r="B2524" s="625" t="e">
        <f>VLOOKUP(D2524,'[1]DS CN MOI UP'!$B$11:$C$447,2,0)</f>
        <v>#N/A</v>
      </c>
      <c r="C2524" s="626"/>
      <c r="D2524" s="61" t="s">
        <v>1826</v>
      </c>
      <c r="E2524" s="630" t="s">
        <v>15</v>
      </c>
      <c r="F2524" s="630"/>
      <c r="G2524" s="655"/>
      <c r="H2524" s="655">
        <v>1124139.3359999999</v>
      </c>
      <c r="I2524" s="655"/>
      <c r="J2524" s="635">
        <f t="shared" si="107"/>
        <v>1124139.3359999999</v>
      </c>
      <c r="K2524" s="635"/>
      <c r="L2524" s="635"/>
      <c r="M2524" s="655">
        <f t="shared" si="108"/>
        <v>1124139.3359999999</v>
      </c>
      <c r="N2524" s="61"/>
    </row>
    <row r="2525" spans="1:14" s="242" customFormat="1" ht="14.25" customHeight="1">
      <c r="A2525" s="624">
        <v>363</v>
      </c>
      <c r="B2525" s="625" t="e">
        <f>VLOOKUP(D2525,'[1]DS CN MOI UP'!$B$11:$C$447,2,0)</f>
        <v>#N/A</v>
      </c>
      <c r="C2525" s="626"/>
      <c r="D2525" s="61" t="s">
        <v>1827</v>
      </c>
      <c r="E2525" s="630" t="s">
        <v>15</v>
      </c>
      <c r="F2525" s="630"/>
      <c r="G2525" s="655"/>
      <c r="H2525" s="655">
        <v>1235040.189</v>
      </c>
      <c r="I2525" s="655"/>
      <c r="J2525" s="635">
        <f t="shared" ref="J2525:J2530" si="111">SUM(G2525:I2525)</f>
        <v>1235040.189</v>
      </c>
      <c r="K2525" s="635"/>
      <c r="L2525" s="635"/>
      <c r="M2525" s="655">
        <f t="shared" ref="M2525:M2530" si="112">J2525-L2525</f>
        <v>1235040.189</v>
      </c>
      <c r="N2525" s="61"/>
    </row>
    <row r="2526" spans="1:14" s="242" customFormat="1" ht="14.25" customHeight="1">
      <c r="A2526" s="624">
        <v>364</v>
      </c>
      <c r="B2526" s="625" t="e">
        <f>VLOOKUP(D2526,'[1]DS CN MOI UP'!$B$11:$C$447,2,0)</f>
        <v>#N/A</v>
      </c>
      <c r="C2526" s="626"/>
      <c r="D2526" s="61" t="s">
        <v>1828</v>
      </c>
      <c r="E2526" s="630" t="s">
        <v>15</v>
      </c>
      <c r="F2526" s="630"/>
      <c r="G2526" s="655"/>
      <c r="H2526" s="655">
        <v>1235040.189</v>
      </c>
      <c r="I2526" s="655"/>
      <c r="J2526" s="635">
        <f t="shared" si="111"/>
        <v>1235040.189</v>
      </c>
      <c r="K2526" s="635"/>
      <c r="L2526" s="635"/>
      <c r="M2526" s="655">
        <f t="shared" si="112"/>
        <v>1235040.189</v>
      </c>
      <c r="N2526" s="61"/>
    </row>
    <row r="2527" spans="1:14" s="242" customFormat="1" ht="14.25" customHeight="1">
      <c r="A2527" s="624">
        <v>365</v>
      </c>
      <c r="B2527" s="625" t="str">
        <f>VLOOKUP(D2527,'[1]DS CN MOI UP'!$B$11:$C$447,2,0)</f>
        <v>02550</v>
      </c>
      <c r="C2527" s="626"/>
      <c r="D2527" s="61" t="s">
        <v>1829</v>
      </c>
      <c r="E2527" s="630" t="s">
        <v>15</v>
      </c>
      <c r="F2527" s="630"/>
      <c r="G2527" s="655"/>
      <c r="H2527" s="655">
        <v>1289194.0212002599</v>
      </c>
      <c r="I2527" s="655"/>
      <c r="J2527" s="635">
        <f t="shared" si="111"/>
        <v>1289194.0212002599</v>
      </c>
      <c r="K2527" s="635"/>
      <c r="L2527" s="635"/>
      <c r="M2527" s="655">
        <f t="shared" si="112"/>
        <v>1289194.0212002599</v>
      </c>
      <c r="N2527" s="61"/>
    </row>
    <row r="2528" spans="1:14" s="242" customFormat="1" ht="14.25" customHeight="1">
      <c r="A2528" s="624">
        <v>366</v>
      </c>
      <c r="B2528" s="625" t="e">
        <f>VLOOKUP(D2528,'[1]DS CN MOI UP'!$B$11:$C$447,2,0)</f>
        <v>#N/A</v>
      </c>
      <c r="C2528" s="626"/>
      <c r="D2528" s="61" t="s">
        <v>1830</v>
      </c>
      <c r="E2528" s="630" t="s">
        <v>15</v>
      </c>
      <c r="F2528" s="630"/>
      <c r="G2528" s="655"/>
      <c r="H2528" s="655">
        <v>1174572.6629999999</v>
      </c>
      <c r="I2528" s="655"/>
      <c r="J2528" s="635">
        <f t="shared" si="111"/>
        <v>1174572.6629999999</v>
      </c>
      <c r="K2528" s="635"/>
      <c r="L2528" s="635"/>
      <c r="M2528" s="655">
        <f t="shared" si="112"/>
        <v>1174572.6629999999</v>
      </c>
      <c r="N2528" s="61"/>
    </row>
    <row r="2529" spans="1:14" s="242" customFormat="1" ht="14.25" customHeight="1">
      <c r="A2529" s="624">
        <v>367</v>
      </c>
      <c r="B2529" s="625" t="e">
        <f>VLOOKUP(D2529,'[1]DS CN MOI UP'!$B$11:$C$447,2,0)</f>
        <v>#N/A</v>
      </c>
      <c r="C2529" s="626"/>
      <c r="D2529" s="61" t="s">
        <v>1831</v>
      </c>
      <c r="E2529" s="630" t="s">
        <v>15</v>
      </c>
      <c r="F2529" s="630"/>
      <c r="G2529" s="655"/>
      <c r="H2529" s="655">
        <v>1124139.3359999999</v>
      </c>
      <c r="I2529" s="655"/>
      <c r="J2529" s="635">
        <f t="shared" si="111"/>
        <v>1124139.3359999999</v>
      </c>
      <c r="K2529" s="635"/>
      <c r="L2529" s="635"/>
      <c r="M2529" s="655">
        <f t="shared" si="112"/>
        <v>1124139.3359999999</v>
      </c>
      <c r="N2529" s="61"/>
    </row>
    <row r="2530" spans="1:14" s="242" customFormat="1" ht="14.25" customHeight="1">
      <c r="A2530" s="624">
        <v>368</v>
      </c>
      <c r="B2530" s="625" t="e">
        <f>VLOOKUP(D2530,'[1]DS CN MOI UP'!$B$11:$C$447,2,0)</f>
        <v>#N/A</v>
      </c>
      <c r="C2530" s="626"/>
      <c r="D2530" s="61" t="s">
        <v>1815</v>
      </c>
      <c r="E2530" s="630" t="s">
        <v>15</v>
      </c>
      <c r="F2530" s="630"/>
      <c r="G2530" s="655"/>
      <c r="H2530" s="655">
        <v>1235040.189</v>
      </c>
      <c r="I2530" s="655"/>
      <c r="J2530" s="635">
        <f t="shared" si="111"/>
        <v>1235040.189</v>
      </c>
      <c r="K2530" s="635"/>
      <c r="L2530" s="635"/>
      <c r="M2530" s="655">
        <f t="shared" si="112"/>
        <v>1235040.189</v>
      </c>
      <c r="N2530" s="61"/>
    </row>
    <row r="2531" spans="1:14" s="242" customFormat="1" ht="14.25" customHeight="1">
      <c r="A2531" s="624">
        <v>369</v>
      </c>
      <c r="B2531" s="625" t="e">
        <f>VLOOKUP(D2531,'[1]DS CN MOI UP'!$B$11:$C$447,2,0)</f>
        <v>#N/A</v>
      </c>
      <c r="C2531" s="626"/>
      <c r="D2531" s="61" t="s">
        <v>1832</v>
      </c>
      <c r="E2531" s="630" t="s">
        <v>15</v>
      </c>
      <c r="F2531" s="630"/>
      <c r="G2531" s="655"/>
      <c r="H2531" s="655">
        <v>1235040.189</v>
      </c>
      <c r="I2531" s="655"/>
      <c r="J2531" s="635">
        <f t="shared" ref="J2531:J2544" si="113">SUM(G2531:I2531)</f>
        <v>1235040.189</v>
      </c>
      <c r="K2531" s="635"/>
      <c r="L2531" s="635"/>
      <c r="M2531" s="655">
        <f t="shared" ref="M2531:M2544" si="114">J2531-L2531</f>
        <v>1235040.189</v>
      </c>
      <c r="N2531" s="61"/>
    </row>
    <row r="2532" spans="1:14" s="242" customFormat="1" ht="14.25" customHeight="1">
      <c r="A2532" s="624">
        <v>370</v>
      </c>
      <c r="B2532" s="625" t="e">
        <f>VLOOKUP(D2532,'[1]DS CN MOI UP'!$B$11:$C$447,2,0)</f>
        <v>#N/A</v>
      </c>
      <c r="C2532" s="626"/>
      <c r="D2532" s="61" t="s">
        <v>1833</v>
      </c>
      <c r="E2532" s="630" t="s">
        <v>15</v>
      </c>
      <c r="F2532" s="630"/>
      <c r="G2532" s="655"/>
      <c r="H2532" s="655">
        <v>1235040.189</v>
      </c>
      <c r="I2532" s="655"/>
      <c r="J2532" s="635">
        <f t="shared" si="113"/>
        <v>1235040.189</v>
      </c>
      <c r="K2532" s="635"/>
      <c r="L2532" s="635"/>
      <c r="M2532" s="655">
        <f t="shared" si="114"/>
        <v>1235040.189</v>
      </c>
      <c r="N2532" s="61"/>
    </row>
    <row r="2533" spans="1:14" s="242" customFormat="1" ht="14.25" customHeight="1">
      <c r="A2533" s="624">
        <v>371</v>
      </c>
      <c r="B2533" s="625" t="e">
        <f>VLOOKUP(D2533,'[1]DS CN MOI UP'!$B$11:$C$447,2,0)</f>
        <v>#N/A</v>
      </c>
      <c r="C2533" s="626"/>
      <c r="D2533" s="61" t="s">
        <v>1834</v>
      </c>
      <c r="E2533" s="630" t="s">
        <v>15</v>
      </c>
      <c r="F2533" s="630"/>
      <c r="G2533" s="655"/>
      <c r="H2533" s="655">
        <v>1289194.0212002599</v>
      </c>
      <c r="I2533" s="655"/>
      <c r="J2533" s="635">
        <f t="shared" si="113"/>
        <v>1289194.0212002599</v>
      </c>
      <c r="K2533" s="635"/>
      <c r="L2533" s="635"/>
      <c r="M2533" s="655">
        <f t="shared" si="114"/>
        <v>1289194.0212002599</v>
      </c>
      <c r="N2533" s="61"/>
    </row>
    <row r="2534" spans="1:14" s="242" customFormat="1" ht="14.25" customHeight="1">
      <c r="A2534" s="624">
        <v>372</v>
      </c>
      <c r="B2534" s="625" t="e">
        <f>VLOOKUP(D2534,'[1]DS CN MOI UP'!$B$11:$C$447,2,0)</f>
        <v>#N/A</v>
      </c>
      <c r="C2534" s="626"/>
      <c r="D2534" s="61" t="s">
        <v>1835</v>
      </c>
      <c r="E2534" s="630" t="s">
        <v>15</v>
      </c>
      <c r="F2534" s="630"/>
      <c r="G2534" s="655"/>
      <c r="H2534" s="655">
        <v>1174572.6629999999</v>
      </c>
      <c r="I2534" s="655"/>
      <c r="J2534" s="635">
        <f t="shared" si="113"/>
        <v>1174572.6629999999</v>
      </c>
      <c r="K2534" s="635"/>
      <c r="L2534" s="635"/>
      <c r="M2534" s="655">
        <f t="shared" si="114"/>
        <v>1174572.6629999999</v>
      </c>
      <c r="N2534" s="61"/>
    </row>
    <row r="2535" spans="1:14" s="242" customFormat="1" ht="14.25" customHeight="1">
      <c r="A2535" s="624">
        <v>373</v>
      </c>
      <c r="B2535" s="625" t="e">
        <f>VLOOKUP(D2535,'[1]DS CN MOI UP'!$B$11:$C$447,2,0)</f>
        <v>#N/A</v>
      </c>
      <c r="C2535" s="626"/>
      <c r="D2535" s="61" t="s">
        <v>1836</v>
      </c>
      <c r="E2535" s="630" t="s">
        <v>15</v>
      </c>
      <c r="F2535" s="630"/>
      <c r="G2535" s="655"/>
      <c r="H2535" s="655">
        <v>1235040.189</v>
      </c>
      <c r="I2535" s="655"/>
      <c r="J2535" s="635">
        <f t="shared" ref="J2535:J2542" si="115">SUM(G2535:I2535)</f>
        <v>1235040.189</v>
      </c>
      <c r="K2535" s="635"/>
      <c r="L2535" s="635"/>
      <c r="M2535" s="655">
        <f t="shared" ref="M2535:M2542" si="116">J2535-L2535</f>
        <v>1235040.189</v>
      </c>
      <c r="N2535" s="61"/>
    </row>
    <row r="2536" spans="1:14" s="242" customFormat="1" ht="14.25" customHeight="1">
      <c r="A2536" s="624">
        <v>374</v>
      </c>
      <c r="B2536" s="625" t="e">
        <f>VLOOKUP(D2536,'[1]DS CN MOI UP'!$B$11:$C$447,2,0)</f>
        <v>#N/A</v>
      </c>
      <c r="C2536" s="626"/>
      <c r="D2536" s="61" t="s">
        <v>1837</v>
      </c>
      <c r="E2536" s="630" t="s">
        <v>15</v>
      </c>
      <c r="F2536" s="630"/>
      <c r="G2536" s="655"/>
      <c r="H2536" s="655">
        <v>1289194.0212002599</v>
      </c>
      <c r="I2536" s="655"/>
      <c r="J2536" s="635">
        <f t="shared" si="115"/>
        <v>1289194.0212002599</v>
      </c>
      <c r="K2536" s="635"/>
      <c r="L2536" s="635"/>
      <c r="M2536" s="655">
        <f t="shared" si="116"/>
        <v>1289194.0212002599</v>
      </c>
      <c r="N2536" s="61"/>
    </row>
    <row r="2537" spans="1:14" s="242" customFormat="1" ht="14.25" customHeight="1">
      <c r="A2537" s="624">
        <v>375</v>
      </c>
      <c r="B2537" s="625" t="e">
        <f>VLOOKUP(D2537,'[1]DS CN MOI UP'!$B$11:$C$447,2,0)</f>
        <v>#N/A</v>
      </c>
      <c r="C2537" s="626"/>
      <c r="D2537" s="61" t="s">
        <v>1024</v>
      </c>
      <c r="E2537" s="630" t="s">
        <v>15</v>
      </c>
      <c r="F2537" s="630"/>
      <c r="G2537" s="655"/>
      <c r="H2537" s="655">
        <v>1174572.6629999999</v>
      </c>
      <c r="I2537" s="655"/>
      <c r="J2537" s="635">
        <f t="shared" si="115"/>
        <v>1174572.6629999999</v>
      </c>
      <c r="K2537" s="635"/>
      <c r="L2537" s="635"/>
      <c r="M2537" s="655">
        <f t="shared" si="116"/>
        <v>1174572.6629999999</v>
      </c>
      <c r="N2537" s="61"/>
    </row>
    <row r="2538" spans="1:14" s="242" customFormat="1" ht="14.25" customHeight="1">
      <c r="A2538" s="624">
        <v>376</v>
      </c>
      <c r="B2538" s="625" t="str">
        <f>VLOOKUP(D2538,'[1]DS CN MOI UP'!$B$11:$C$447,2,0)</f>
        <v>02537</v>
      </c>
      <c r="C2538" s="626"/>
      <c r="D2538" s="61" t="s">
        <v>1838</v>
      </c>
      <c r="E2538" s="630" t="s">
        <v>15</v>
      </c>
      <c r="F2538" s="630"/>
      <c r="G2538" s="655"/>
      <c r="H2538" s="655">
        <v>1124139.3359999999</v>
      </c>
      <c r="I2538" s="655"/>
      <c r="J2538" s="635">
        <f t="shared" si="115"/>
        <v>1124139.3359999999</v>
      </c>
      <c r="K2538" s="635"/>
      <c r="L2538" s="635"/>
      <c r="M2538" s="655">
        <f t="shared" si="116"/>
        <v>1124139.3359999999</v>
      </c>
      <c r="N2538" s="61"/>
    </row>
    <row r="2539" spans="1:14" s="242" customFormat="1" ht="14.25" customHeight="1">
      <c r="A2539" s="624">
        <v>377</v>
      </c>
      <c r="B2539" s="625" t="str">
        <f>VLOOKUP(D2539,'[1]DS CN MOI UP'!$B$11:$C$447,2,0)</f>
        <v>02650</v>
      </c>
      <c r="C2539" s="626"/>
      <c r="D2539" s="61" t="s">
        <v>1839</v>
      </c>
      <c r="E2539" s="630" t="s">
        <v>15</v>
      </c>
      <c r="F2539" s="630"/>
      <c r="G2539" s="655"/>
      <c r="H2539" s="655">
        <v>1235040.189</v>
      </c>
      <c r="I2539" s="655"/>
      <c r="J2539" s="635">
        <f t="shared" si="115"/>
        <v>1235040.189</v>
      </c>
      <c r="K2539" s="635"/>
      <c r="L2539" s="635"/>
      <c r="M2539" s="655">
        <f t="shared" si="116"/>
        <v>1235040.189</v>
      </c>
      <c r="N2539" s="61"/>
    </row>
    <row r="2540" spans="1:14" s="242" customFormat="1" ht="14.25" customHeight="1">
      <c r="A2540" s="624">
        <v>378</v>
      </c>
      <c r="B2540" s="625" t="e">
        <f>VLOOKUP(D2540,'[1]DS CN MOI UP'!$B$11:$C$447,2,0)</f>
        <v>#N/A</v>
      </c>
      <c r="C2540" s="626"/>
      <c r="D2540" s="61" t="s">
        <v>1840</v>
      </c>
      <c r="E2540" s="630" t="s">
        <v>15</v>
      </c>
      <c r="F2540" s="630"/>
      <c r="G2540" s="655"/>
      <c r="H2540" s="655">
        <v>1235040.189</v>
      </c>
      <c r="I2540" s="655"/>
      <c r="J2540" s="635">
        <f t="shared" si="115"/>
        <v>1235040.189</v>
      </c>
      <c r="K2540" s="635"/>
      <c r="L2540" s="635"/>
      <c r="M2540" s="655">
        <f t="shared" si="116"/>
        <v>1235040.189</v>
      </c>
      <c r="N2540" s="61"/>
    </row>
    <row r="2541" spans="1:14" s="242" customFormat="1" ht="14.25" customHeight="1">
      <c r="A2541" s="624">
        <v>379</v>
      </c>
      <c r="B2541" s="625" t="e">
        <f>VLOOKUP(D2541,'[1]DS CN MOI UP'!$B$11:$C$447,2,0)</f>
        <v>#N/A</v>
      </c>
      <c r="C2541" s="626"/>
      <c r="D2541" s="61" t="s">
        <v>1841</v>
      </c>
      <c r="E2541" s="630" t="s">
        <v>15</v>
      </c>
      <c r="F2541" s="630"/>
      <c r="G2541" s="655"/>
      <c r="H2541" s="655">
        <v>1235040.189</v>
      </c>
      <c r="I2541" s="655"/>
      <c r="J2541" s="635">
        <f t="shared" si="115"/>
        <v>1235040.189</v>
      </c>
      <c r="K2541" s="635"/>
      <c r="L2541" s="635"/>
      <c r="M2541" s="655">
        <f t="shared" si="116"/>
        <v>1235040.189</v>
      </c>
      <c r="N2541" s="61"/>
    </row>
    <row r="2542" spans="1:14" s="242" customFormat="1" ht="14.25" customHeight="1">
      <c r="A2542" s="624">
        <v>380</v>
      </c>
      <c r="B2542" s="625" t="e">
        <f>VLOOKUP(D2542,'[1]DS CN MOI UP'!$B$11:$C$447,2,0)</f>
        <v>#N/A</v>
      </c>
      <c r="C2542" s="626"/>
      <c r="D2542" s="61" t="s">
        <v>913</v>
      </c>
      <c r="E2542" s="630" t="s">
        <v>15</v>
      </c>
      <c r="F2542" s="630"/>
      <c r="G2542" s="655"/>
      <c r="H2542" s="655">
        <v>1289194.0212002599</v>
      </c>
      <c r="I2542" s="655"/>
      <c r="J2542" s="635">
        <f t="shared" si="115"/>
        <v>1289194.0212002599</v>
      </c>
      <c r="K2542" s="635"/>
      <c r="L2542" s="635"/>
      <c r="M2542" s="655">
        <f t="shared" si="116"/>
        <v>1289194.0212002599</v>
      </c>
      <c r="N2542" s="61"/>
    </row>
    <row r="2543" spans="1:14" s="242" customFormat="1" ht="14.25" customHeight="1">
      <c r="A2543" s="624">
        <v>381</v>
      </c>
      <c r="B2543" s="625" t="e">
        <f>VLOOKUP(D2543,'[1]DS CN MOI UP'!$B$11:$C$447,2,0)</f>
        <v>#N/A</v>
      </c>
      <c r="C2543" s="626"/>
      <c r="D2543" s="61" t="s">
        <v>1842</v>
      </c>
      <c r="E2543" s="630" t="s">
        <v>15</v>
      </c>
      <c r="F2543" s="630"/>
      <c r="G2543" s="655"/>
      <c r="H2543" s="655">
        <v>1235040.189</v>
      </c>
      <c r="I2543" s="655"/>
      <c r="J2543" s="635">
        <f t="shared" si="113"/>
        <v>1235040.189</v>
      </c>
      <c r="K2543" s="635"/>
      <c r="L2543" s="635"/>
      <c r="M2543" s="655">
        <f t="shared" si="114"/>
        <v>1235040.189</v>
      </c>
      <c r="N2543" s="61"/>
    </row>
    <row r="2544" spans="1:14" s="242" customFormat="1" ht="14.25" customHeight="1">
      <c r="A2544" s="624">
        <v>382</v>
      </c>
      <c r="B2544" s="625" t="e">
        <f>VLOOKUP(D2544,'[1]DS CN MOI UP'!$B$11:$C$447,2,0)</f>
        <v>#N/A</v>
      </c>
      <c r="C2544" s="626"/>
      <c r="D2544" s="61" t="s">
        <v>1843</v>
      </c>
      <c r="E2544" s="630" t="s">
        <v>15</v>
      </c>
      <c r="F2544" s="630"/>
      <c r="G2544" s="655"/>
      <c r="H2544" s="655">
        <v>1289194.0212002599</v>
      </c>
      <c r="I2544" s="655"/>
      <c r="J2544" s="635">
        <f t="shared" si="113"/>
        <v>1289194.0212002599</v>
      </c>
      <c r="K2544" s="635"/>
      <c r="L2544" s="635"/>
      <c r="M2544" s="655">
        <f t="shared" si="114"/>
        <v>1289194.0212002599</v>
      </c>
      <c r="N2544" s="61"/>
    </row>
    <row r="2545" spans="1:17" s="242" customFormat="1" ht="14.25" customHeight="1">
      <c r="A2545" s="624">
        <v>383</v>
      </c>
      <c r="B2545" s="625" t="e">
        <f>VLOOKUP(D2545,'[1]DS CN MOI UP'!$B$11:$C$447,2,0)</f>
        <v>#N/A</v>
      </c>
      <c r="C2545" s="626"/>
      <c r="D2545" s="61" t="s">
        <v>1725</v>
      </c>
      <c r="E2545" s="630" t="s">
        <v>15</v>
      </c>
      <c r="F2545" s="630"/>
      <c r="G2545" s="655"/>
      <c r="H2545" s="655">
        <v>1174572.6629999999</v>
      </c>
      <c r="I2545" s="655"/>
      <c r="J2545" s="635">
        <f t="shared" si="107"/>
        <v>1174572.6629999999</v>
      </c>
      <c r="K2545" s="635"/>
      <c r="L2545" s="635"/>
      <c r="M2545" s="655">
        <f t="shared" si="108"/>
        <v>1174572.6629999999</v>
      </c>
      <c r="N2545" s="61"/>
    </row>
    <row r="2546" spans="1:17" s="242" customFormat="1" ht="14.25" customHeight="1">
      <c r="A2546" s="624">
        <v>384</v>
      </c>
      <c r="B2546" s="625" t="e">
        <f>VLOOKUP(D2546,'[1]DS CN MOI UP'!$B$11:$C$447,2,0)</f>
        <v>#N/A</v>
      </c>
      <c r="C2546" s="626"/>
      <c r="D2546" s="61" t="s">
        <v>1844</v>
      </c>
      <c r="E2546" s="630" t="s">
        <v>15</v>
      </c>
      <c r="F2546" s="630"/>
      <c r="G2546" s="655"/>
      <c r="H2546" s="655">
        <v>1124139.3359999999</v>
      </c>
      <c r="I2546" s="655"/>
      <c r="J2546" s="635">
        <f t="shared" si="107"/>
        <v>1124139.3359999999</v>
      </c>
      <c r="K2546" s="635"/>
      <c r="L2546" s="635"/>
      <c r="M2546" s="655">
        <f t="shared" si="108"/>
        <v>1124139.3359999999</v>
      </c>
      <c r="N2546" s="61"/>
    </row>
    <row r="2547" spans="1:17" s="242" customFormat="1" ht="14.25" customHeight="1">
      <c r="A2547" s="624">
        <v>385</v>
      </c>
      <c r="B2547" s="625" t="str">
        <f>VLOOKUP(D2547,'[1]DS CN MOI UP'!$B$11:$C$447,2,0)</f>
        <v>02535</v>
      </c>
      <c r="C2547" s="626"/>
      <c r="D2547" s="61" t="s">
        <v>1845</v>
      </c>
      <c r="E2547" s="630" t="s">
        <v>15</v>
      </c>
      <c r="F2547" s="630"/>
      <c r="G2547" s="655"/>
      <c r="H2547" s="655">
        <v>1235040.189</v>
      </c>
      <c r="I2547" s="655"/>
      <c r="J2547" s="635">
        <f t="shared" si="107"/>
        <v>1235040.189</v>
      </c>
      <c r="K2547" s="635"/>
      <c r="L2547" s="635"/>
      <c r="M2547" s="655">
        <f t="shared" si="108"/>
        <v>1235040.189</v>
      </c>
      <c r="N2547" s="61"/>
    </row>
    <row r="2548" spans="1:17" s="242" customFormat="1" ht="14.25" customHeight="1">
      <c r="A2548" s="624">
        <v>386</v>
      </c>
      <c r="B2548" s="625" t="e">
        <f>VLOOKUP(D2548,'[1]DS CN MOI UP'!$B$11:$C$447,2,0)</f>
        <v>#N/A</v>
      </c>
      <c r="C2548" s="626"/>
      <c r="D2548" s="61" t="s">
        <v>1846</v>
      </c>
      <c r="E2548" s="630" t="s">
        <v>15</v>
      </c>
      <c r="F2548" s="630"/>
      <c r="G2548" s="655"/>
      <c r="H2548" s="655">
        <v>1235040.189</v>
      </c>
      <c r="I2548" s="655"/>
      <c r="J2548" s="635">
        <f t="shared" si="107"/>
        <v>1235040.189</v>
      </c>
      <c r="K2548" s="635"/>
      <c r="L2548" s="635"/>
      <c r="M2548" s="655">
        <f t="shared" si="108"/>
        <v>1235040.189</v>
      </c>
      <c r="N2548" s="61"/>
    </row>
    <row r="2549" spans="1:17" s="242" customFormat="1" ht="14.25" customHeight="1">
      <c r="A2549" s="624">
        <v>387</v>
      </c>
      <c r="B2549" s="625" t="str">
        <f>VLOOKUP(D2549,'[1]DS CN MOI UP'!$B$11:$C$447,2,0)</f>
        <v>03305</v>
      </c>
      <c r="C2549" s="626"/>
      <c r="D2549" s="61" t="s">
        <v>1847</v>
      </c>
      <c r="E2549" s="630" t="s">
        <v>15</v>
      </c>
      <c r="F2549" s="630"/>
      <c r="G2549" s="655"/>
      <c r="H2549" s="655">
        <v>1235040.189</v>
      </c>
      <c r="I2549" s="655"/>
      <c r="J2549" s="635">
        <f t="shared" si="97"/>
        <v>1235040.189</v>
      </c>
      <c r="K2549" s="635"/>
      <c r="L2549" s="635"/>
      <c r="M2549" s="655">
        <f t="shared" si="98"/>
        <v>1235040.189</v>
      </c>
      <c r="N2549" s="61"/>
    </row>
    <row r="2550" spans="1:17" s="242" customFormat="1" ht="14.25" customHeight="1">
      <c r="A2550" s="624">
        <v>388</v>
      </c>
      <c r="B2550" s="625" t="e">
        <f>VLOOKUP(D2550,'[1]DS CN MOI UP'!$B$11:$C$447,2,0)</f>
        <v>#N/A</v>
      </c>
      <c r="C2550" s="626"/>
      <c r="D2550" s="61" t="s">
        <v>1848</v>
      </c>
      <c r="E2550" s="630" t="s">
        <v>15</v>
      </c>
      <c r="F2550" s="630"/>
      <c r="G2550" s="655"/>
      <c r="H2550" s="655">
        <v>1289194.0212002599</v>
      </c>
      <c r="I2550" s="655"/>
      <c r="J2550" s="635">
        <f t="shared" si="97"/>
        <v>1289194.0212002599</v>
      </c>
      <c r="K2550" s="635"/>
      <c r="L2550" s="635"/>
      <c r="M2550" s="655">
        <f t="shared" si="98"/>
        <v>1289194.0212002599</v>
      </c>
      <c r="N2550" s="61"/>
    </row>
    <row r="2551" spans="1:17" s="242" customFormat="1" ht="14.25" customHeight="1">
      <c r="A2551" s="624">
        <v>389</v>
      </c>
      <c r="B2551" s="625" t="e">
        <f>VLOOKUP(D2551,'[1]DS CN MOI UP'!$B$11:$C$447,2,0)</f>
        <v>#N/A</v>
      </c>
      <c r="C2551" s="626"/>
      <c r="D2551" s="61" t="s">
        <v>1849</v>
      </c>
      <c r="E2551" s="630" t="s">
        <v>15</v>
      </c>
      <c r="F2551" s="630"/>
      <c r="G2551" s="655"/>
      <c r="H2551" s="655">
        <v>1065337.7240895601</v>
      </c>
      <c r="I2551" s="655"/>
      <c r="J2551" s="635">
        <f t="shared" ref="J2551" si="117">SUM(G2551:I2551)</f>
        <v>1065337.7240895601</v>
      </c>
      <c r="K2551" s="635"/>
      <c r="L2551" s="635"/>
      <c r="M2551" s="655">
        <f>J2551-L2551</f>
        <v>1065337.7240895601</v>
      </c>
      <c r="N2551" s="61"/>
    </row>
    <row r="2552" spans="1:17" s="243" customFormat="1" ht="14.25" customHeight="1">
      <c r="A2552" s="628" t="s">
        <v>285</v>
      </c>
      <c r="B2552" s="628"/>
      <c r="C2552" s="628"/>
      <c r="D2552" s="628"/>
      <c r="E2552" s="628"/>
      <c r="F2552" s="620"/>
      <c r="G2552" s="651">
        <f t="shared" ref="G2552:M2552" si="118">SUM(G2163:G2551)</f>
        <v>77529000</v>
      </c>
      <c r="H2552" s="651">
        <f t="shared" si="118"/>
        <v>290294904.86811107</v>
      </c>
      <c r="I2552" s="651">
        <f t="shared" si="118"/>
        <v>89008599.999999985</v>
      </c>
      <c r="J2552" s="651">
        <f t="shared" si="118"/>
        <v>456832504.86811054</v>
      </c>
      <c r="K2552" s="651">
        <f t="shared" si="118"/>
        <v>0</v>
      </c>
      <c r="L2552" s="651">
        <f t="shared" si="118"/>
        <v>0</v>
      </c>
      <c r="M2552" s="651">
        <f t="shared" si="118"/>
        <v>456832504.86811054</v>
      </c>
      <c r="N2552" s="646"/>
      <c r="O2552" s="598" t="e">
        <f>#REF!</f>
        <v>#REF!</v>
      </c>
      <c r="P2552" s="598" t="e">
        <f>#REF!</f>
        <v>#REF!</v>
      </c>
      <c r="Q2552" s="598" t="e">
        <f>#REF!</f>
        <v>#REF!</v>
      </c>
    </row>
    <row r="2553" spans="1:17" s="242" customFormat="1" ht="14.25" customHeight="1">
      <c r="A2553" s="638">
        <v>1</v>
      </c>
      <c r="B2553" s="625"/>
      <c r="C2553" s="647" t="s">
        <v>1850</v>
      </c>
      <c r="D2553" s="61" t="s">
        <v>802</v>
      </c>
      <c r="E2553" s="61" t="s">
        <v>1851</v>
      </c>
      <c r="F2553" s="61"/>
      <c r="G2553" s="650"/>
      <c r="H2553" s="655"/>
      <c r="I2553" s="655"/>
      <c r="J2553" s="655">
        <v>1250000</v>
      </c>
      <c r="K2553" s="635">
        <f t="shared" ref="K2553:K2571" si="119">I2553</f>
        <v>0</v>
      </c>
      <c r="L2553" s="655"/>
      <c r="M2553" s="655">
        <f t="shared" ref="M2553:M2571" si="120">J2553-L2553</f>
        <v>1250000</v>
      </c>
      <c r="N2553" s="61"/>
      <c r="O2553" s="636" t="e">
        <f>+O2552-G2552</f>
        <v>#REF!</v>
      </c>
      <c r="P2553" s="636" t="e">
        <f>+P2552-H2552</f>
        <v>#REF!</v>
      </c>
      <c r="Q2553" s="636" t="e">
        <f>+Q2552-I2552</f>
        <v>#REF!</v>
      </c>
    </row>
    <row r="2554" spans="1:17" s="242" customFormat="1" ht="14.25" customHeight="1">
      <c r="A2554" s="638">
        <v>2</v>
      </c>
      <c r="B2554" s="625" t="s">
        <v>1852</v>
      </c>
      <c r="C2554" s="647"/>
      <c r="D2554" s="61" t="s">
        <v>803</v>
      </c>
      <c r="E2554" s="61" t="s">
        <v>1851</v>
      </c>
      <c r="F2554" s="61"/>
      <c r="G2554" s="650"/>
      <c r="H2554" s="655"/>
      <c r="I2554" s="655"/>
      <c r="J2554" s="655">
        <v>1250000</v>
      </c>
      <c r="K2554" s="635">
        <f t="shared" si="119"/>
        <v>0</v>
      </c>
      <c r="L2554" s="655"/>
      <c r="M2554" s="655">
        <f t="shared" si="120"/>
        <v>1250000</v>
      </c>
      <c r="N2554" s="61"/>
    </row>
    <row r="2555" spans="1:17" s="242" customFormat="1" ht="14.25" customHeight="1">
      <c r="A2555" s="638">
        <v>3</v>
      </c>
      <c r="B2555" s="625" t="s">
        <v>1853</v>
      </c>
      <c r="C2555" s="647"/>
      <c r="D2555" s="61" t="s">
        <v>804</v>
      </c>
      <c r="E2555" s="61" t="s">
        <v>1851</v>
      </c>
      <c r="F2555" s="61"/>
      <c r="G2555" s="650"/>
      <c r="H2555" s="655"/>
      <c r="I2555" s="655"/>
      <c r="J2555" s="655">
        <v>1250000</v>
      </c>
      <c r="K2555" s="635">
        <f t="shared" si="119"/>
        <v>0</v>
      </c>
      <c r="L2555" s="655"/>
      <c r="M2555" s="655">
        <f t="shared" si="120"/>
        <v>1250000</v>
      </c>
      <c r="N2555" s="61"/>
    </row>
    <row r="2556" spans="1:17" s="242" customFormat="1" ht="14.25" customHeight="1">
      <c r="A2556" s="638">
        <v>4</v>
      </c>
      <c r="B2556" s="625" t="s">
        <v>1854</v>
      </c>
      <c r="C2556" s="647"/>
      <c r="D2556" s="61" t="s">
        <v>805</v>
      </c>
      <c r="E2556" s="61" t="s">
        <v>1851</v>
      </c>
      <c r="F2556" s="61"/>
      <c r="G2556" s="650"/>
      <c r="H2556" s="655"/>
      <c r="I2556" s="655"/>
      <c r="J2556" s="655">
        <v>1250000</v>
      </c>
      <c r="K2556" s="635">
        <f t="shared" si="119"/>
        <v>0</v>
      </c>
      <c r="L2556" s="655"/>
      <c r="M2556" s="655">
        <f t="shared" si="120"/>
        <v>1250000</v>
      </c>
      <c r="N2556" s="61"/>
    </row>
    <row r="2557" spans="1:17" s="242" customFormat="1" ht="14.25" customHeight="1">
      <c r="A2557" s="638">
        <v>5</v>
      </c>
      <c r="B2557" s="625"/>
      <c r="C2557" s="647"/>
      <c r="D2557" s="61" t="s">
        <v>806</v>
      </c>
      <c r="E2557" s="61" t="s">
        <v>1851</v>
      </c>
      <c r="F2557" s="61"/>
      <c r="G2557" s="650"/>
      <c r="H2557" s="655"/>
      <c r="I2557" s="655"/>
      <c r="J2557" s="655">
        <v>1250000</v>
      </c>
      <c r="K2557" s="635">
        <f t="shared" si="119"/>
        <v>0</v>
      </c>
      <c r="L2557" s="655"/>
      <c r="M2557" s="655">
        <f t="shared" si="120"/>
        <v>1250000</v>
      </c>
      <c r="N2557" s="61"/>
    </row>
    <row r="2558" spans="1:17" s="242" customFormat="1" ht="14.25" customHeight="1">
      <c r="A2558" s="638">
        <v>6</v>
      </c>
      <c r="B2558" s="1202" t="s">
        <v>1855</v>
      </c>
      <c r="C2558" s="647" t="s">
        <v>1856</v>
      </c>
      <c r="D2558" s="61" t="s">
        <v>807</v>
      </c>
      <c r="E2558" s="61" t="s">
        <v>1851</v>
      </c>
      <c r="F2558" s="61"/>
      <c r="G2558" s="650"/>
      <c r="H2558" s="655"/>
      <c r="I2558" s="655"/>
      <c r="J2558" s="655">
        <v>1250000</v>
      </c>
      <c r="K2558" s="635">
        <f t="shared" si="119"/>
        <v>0</v>
      </c>
      <c r="L2558" s="655"/>
      <c r="M2558" s="655">
        <f t="shared" si="120"/>
        <v>1250000</v>
      </c>
      <c r="N2558" s="61"/>
    </row>
    <row r="2559" spans="1:17" s="242" customFormat="1" ht="14.25" customHeight="1">
      <c r="A2559" s="638">
        <v>7</v>
      </c>
      <c r="B2559" s="1202" t="s">
        <v>1857</v>
      </c>
      <c r="C2559" s="647" t="s">
        <v>1858</v>
      </c>
      <c r="D2559" s="630" t="s">
        <v>808</v>
      </c>
      <c r="E2559" s="61" t="s">
        <v>1851</v>
      </c>
      <c r="F2559" s="61"/>
      <c r="G2559" s="650"/>
      <c r="H2559" s="655"/>
      <c r="I2559" s="655"/>
      <c r="J2559" s="655">
        <v>1250000</v>
      </c>
      <c r="K2559" s="635">
        <f t="shared" si="119"/>
        <v>0</v>
      </c>
      <c r="L2559" s="655"/>
      <c r="M2559" s="655">
        <f t="shared" si="120"/>
        <v>1250000</v>
      </c>
      <c r="N2559" s="61"/>
    </row>
    <row r="2560" spans="1:17" s="242" customFormat="1" ht="14.25" customHeight="1">
      <c r="A2560" s="638">
        <v>8</v>
      </c>
      <c r="B2560" s="1202" t="s">
        <v>1859</v>
      </c>
      <c r="C2560" s="626" t="s">
        <v>1860</v>
      </c>
      <c r="D2560" s="61" t="s">
        <v>809</v>
      </c>
      <c r="E2560" s="61" t="s">
        <v>1851</v>
      </c>
      <c r="F2560" s="61"/>
      <c r="G2560" s="650"/>
      <c r="H2560" s="655"/>
      <c r="I2560" s="655"/>
      <c r="J2560" s="655">
        <v>1250000</v>
      </c>
      <c r="K2560" s="635">
        <f t="shared" si="119"/>
        <v>0</v>
      </c>
      <c r="L2560" s="655"/>
      <c r="M2560" s="655">
        <f t="shared" si="120"/>
        <v>1250000</v>
      </c>
      <c r="N2560" s="61"/>
    </row>
    <row r="2561" spans="1:16" s="242" customFormat="1" ht="14.25" customHeight="1">
      <c r="A2561" s="638">
        <v>9</v>
      </c>
      <c r="B2561" s="625"/>
      <c r="C2561" s="647"/>
      <c r="D2561" s="630" t="s">
        <v>1861</v>
      </c>
      <c r="E2561" s="61" t="s">
        <v>1851</v>
      </c>
      <c r="F2561" s="61"/>
      <c r="G2561" s="650"/>
      <c r="H2561" s="655"/>
      <c r="I2561" s="655"/>
      <c r="J2561" s="655">
        <v>1250000</v>
      </c>
      <c r="K2561" s="635">
        <f t="shared" si="119"/>
        <v>0</v>
      </c>
      <c r="L2561" s="655"/>
      <c r="M2561" s="655">
        <f t="shared" si="120"/>
        <v>1250000</v>
      </c>
      <c r="N2561" s="61"/>
    </row>
    <row r="2562" spans="1:16" s="242" customFormat="1" ht="14.25" customHeight="1">
      <c r="A2562" s="638">
        <v>10</v>
      </c>
      <c r="B2562" s="625"/>
      <c r="C2562" s="647"/>
      <c r="D2562" s="630" t="s">
        <v>811</v>
      </c>
      <c r="E2562" s="61" t="s">
        <v>1851</v>
      </c>
      <c r="F2562" s="61"/>
      <c r="G2562" s="650"/>
      <c r="H2562" s="655"/>
      <c r="I2562" s="655"/>
      <c r="J2562" s="655">
        <v>1250000</v>
      </c>
      <c r="K2562" s="635">
        <f t="shared" si="119"/>
        <v>0</v>
      </c>
      <c r="L2562" s="655"/>
      <c r="M2562" s="655">
        <f t="shared" si="120"/>
        <v>1250000</v>
      </c>
      <c r="N2562" s="61"/>
    </row>
    <row r="2563" spans="1:16" s="242" customFormat="1" ht="14.25" customHeight="1">
      <c r="A2563" s="638">
        <v>11</v>
      </c>
      <c r="B2563" s="625" t="s">
        <v>1852</v>
      </c>
      <c r="C2563" s="647"/>
      <c r="D2563" s="61" t="s">
        <v>810</v>
      </c>
      <c r="E2563" s="61" t="s">
        <v>1851</v>
      </c>
      <c r="F2563" s="61"/>
      <c r="G2563" s="650"/>
      <c r="H2563" s="655"/>
      <c r="I2563" s="655"/>
      <c r="J2563" s="655">
        <v>1250000</v>
      </c>
      <c r="K2563" s="635">
        <f t="shared" si="119"/>
        <v>0</v>
      </c>
      <c r="L2563" s="655"/>
      <c r="M2563" s="655">
        <f t="shared" si="120"/>
        <v>1250000</v>
      </c>
      <c r="N2563" s="61"/>
    </row>
    <row r="2564" spans="1:16" s="242" customFormat="1" ht="14.25" customHeight="1">
      <c r="A2564" s="638">
        <v>12</v>
      </c>
      <c r="B2564" s="625" t="s">
        <v>1853</v>
      </c>
      <c r="C2564" s="647"/>
      <c r="D2564" s="61" t="s">
        <v>813</v>
      </c>
      <c r="E2564" s="61" t="s">
        <v>1851</v>
      </c>
      <c r="F2564" s="61"/>
      <c r="G2564" s="650"/>
      <c r="H2564" s="655"/>
      <c r="I2564" s="655"/>
      <c r="J2564" s="655">
        <v>1250000</v>
      </c>
      <c r="K2564" s="635">
        <f t="shared" si="119"/>
        <v>0</v>
      </c>
      <c r="L2564" s="655"/>
      <c r="M2564" s="655">
        <f t="shared" si="120"/>
        <v>1250000</v>
      </c>
      <c r="N2564" s="61"/>
    </row>
    <row r="2565" spans="1:16" s="242" customFormat="1" ht="14.25" customHeight="1">
      <c r="A2565" s="638">
        <v>13</v>
      </c>
      <c r="B2565" s="625" t="s">
        <v>1854</v>
      </c>
      <c r="C2565" s="647"/>
      <c r="D2565" s="61" t="s">
        <v>814</v>
      </c>
      <c r="E2565" s="61" t="s">
        <v>1851</v>
      </c>
      <c r="F2565" s="61"/>
      <c r="G2565" s="650"/>
      <c r="H2565" s="655"/>
      <c r="I2565" s="655"/>
      <c r="J2565" s="655">
        <v>1250000</v>
      </c>
      <c r="K2565" s="635">
        <f t="shared" si="119"/>
        <v>0</v>
      </c>
      <c r="L2565" s="655"/>
      <c r="M2565" s="655">
        <f t="shared" si="120"/>
        <v>1250000</v>
      </c>
      <c r="N2565" s="61"/>
    </row>
    <row r="2566" spans="1:16" s="242" customFormat="1" ht="14.25" customHeight="1">
      <c r="A2566" s="638">
        <v>14</v>
      </c>
      <c r="B2566" s="625"/>
      <c r="C2566" s="647"/>
      <c r="D2566" s="61" t="s">
        <v>815</v>
      </c>
      <c r="E2566" s="61" t="s">
        <v>1851</v>
      </c>
      <c r="F2566" s="61"/>
      <c r="G2566" s="650"/>
      <c r="H2566" s="655"/>
      <c r="I2566" s="655"/>
      <c r="J2566" s="655">
        <v>1180000</v>
      </c>
      <c r="K2566" s="635">
        <f t="shared" si="119"/>
        <v>0</v>
      </c>
      <c r="L2566" s="655"/>
      <c r="M2566" s="655">
        <f t="shared" si="120"/>
        <v>1180000</v>
      </c>
      <c r="N2566" s="61"/>
    </row>
    <row r="2567" spans="1:16" s="242" customFormat="1" ht="14.25" customHeight="1">
      <c r="A2567" s="638">
        <v>15</v>
      </c>
      <c r="B2567" s="1202" t="s">
        <v>1855</v>
      </c>
      <c r="C2567" s="647" t="s">
        <v>1856</v>
      </c>
      <c r="D2567" s="61" t="s">
        <v>816</v>
      </c>
      <c r="E2567" s="61" t="s">
        <v>1851</v>
      </c>
      <c r="F2567" s="61"/>
      <c r="G2567" s="650"/>
      <c r="H2567" s="655"/>
      <c r="I2567" s="655"/>
      <c r="J2567" s="655">
        <v>1277419.35483871</v>
      </c>
      <c r="K2567" s="635">
        <f t="shared" ref="K2567:K2570" si="121">I2567</f>
        <v>0</v>
      </c>
      <c r="L2567" s="655"/>
      <c r="M2567" s="655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8">
        <v>16</v>
      </c>
      <c r="B2568" s="1202" t="s">
        <v>1857</v>
      </c>
      <c r="C2568" s="647" t="s">
        <v>1858</v>
      </c>
      <c r="D2568" s="630" t="s">
        <v>440</v>
      </c>
      <c r="E2568" s="61" t="s">
        <v>1851</v>
      </c>
      <c r="F2568" s="61"/>
      <c r="G2568" s="650"/>
      <c r="H2568" s="655"/>
      <c r="I2568" s="655"/>
      <c r="J2568" s="655">
        <v>1250000</v>
      </c>
      <c r="K2568" s="635">
        <f t="shared" si="121"/>
        <v>0</v>
      </c>
      <c r="L2568" s="655"/>
      <c r="M2568" s="655">
        <f t="shared" si="122"/>
        <v>1250000</v>
      </c>
      <c r="N2568" s="61"/>
    </row>
    <row r="2569" spans="1:16" s="242" customFormat="1" ht="14.25" customHeight="1">
      <c r="A2569" s="638">
        <v>17</v>
      </c>
      <c r="B2569" s="1202" t="s">
        <v>1859</v>
      </c>
      <c r="C2569" s="626" t="s">
        <v>1860</v>
      </c>
      <c r="D2569" s="61" t="s">
        <v>817</v>
      </c>
      <c r="E2569" s="61" t="s">
        <v>1851</v>
      </c>
      <c r="F2569" s="61"/>
      <c r="G2569" s="650"/>
      <c r="H2569" s="655"/>
      <c r="I2569" s="655"/>
      <c r="J2569" s="655">
        <v>1281290.32258064</v>
      </c>
      <c r="K2569" s="635">
        <f t="shared" si="121"/>
        <v>0</v>
      </c>
      <c r="L2569" s="655"/>
      <c r="M2569" s="655">
        <f t="shared" si="122"/>
        <v>1281290.32258064</v>
      </c>
      <c r="N2569" s="61"/>
    </row>
    <row r="2570" spans="1:16" s="242" customFormat="1" ht="14.25" customHeight="1">
      <c r="A2570" s="638">
        <v>18</v>
      </c>
      <c r="B2570" s="625"/>
      <c r="C2570" s="647"/>
      <c r="D2570" s="630" t="s">
        <v>1862</v>
      </c>
      <c r="E2570" s="61" t="s">
        <v>1851</v>
      </c>
      <c r="F2570" s="61"/>
      <c r="G2570" s="650"/>
      <c r="H2570" s="655"/>
      <c r="I2570" s="655"/>
      <c r="J2570" s="655">
        <v>1280000</v>
      </c>
      <c r="K2570" s="635">
        <f t="shared" si="121"/>
        <v>0</v>
      </c>
      <c r="L2570" s="655"/>
      <c r="M2570" s="655">
        <f t="shared" si="122"/>
        <v>1280000</v>
      </c>
      <c r="N2570" s="61"/>
    </row>
    <row r="2571" spans="1:16" s="242" customFormat="1" ht="14.25" customHeight="1">
      <c r="A2571" s="638">
        <v>21</v>
      </c>
      <c r="B2571" s="1202" t="s">
        <v>1859</v>
      </c>
      <c r="C2571" s="626" t="s">
        <v>1860</v>
      </c>
      <c r="D2571" s="61" t="s">
        <v>1863</v>
      </c>
      <c r="E2571" s="61" t="s">
        <v>1851</v>
      </c>
      <c r="F2571" s="61"/>
      <c r="G2571" s="650"/>
      <c r="H2571" s="655"/>
      <c r="I2571" s="655"/>
      <c r="J2571" s="655">
        <v>1281290.32258064</v>
      </c>
      <c r="K2571" s="635">
        <f t="shared" si="119"/>
        <v>0</v>
      </c>
      <c r="L2571" s="655"/>
      <c r="M2571" s="655">
        <f t="shared" si="120"/>
        <v>1281290.32258064</v>
      </c>
      <c r="N2571" s="61"/>
    </row>
    <row r="2572" spans="1:16" s="243" customFormat="1" ht="14.25" customHeight="1">
      <c r="A2572" s="628" t="s">
        <v>1864</v>
      </c>
      <c r="B2572" s="628"/>
      <c r="C2572" s="628"/>
      <c r="D2572" s="628"/>
      <c r="E2572" s="628"/>
      <c r="F2572" s="646"/>
      <c r="G2572" s="652">
        <v>0</v>
      </c>
      <c r="H2572" s="651">
        <v>0</v>
      </c>
      <c r="I2572" s="651">
        <v>0</v>
      </c>
      <c r="J2572" s="651">
        <f>SUM(J2553:J2571)</f>
        <v>23799999.999999989</v>
      </c>
      <c r="K2572" s="651">
        <f>SUM(K2553:K2571)</f>
        <v>0</v>
      </c>
      <c r="L2572" s="651">
        <f>SUM(L2553:L2571)</f>
        <v>0</v>
      </c>
      <c r="M2572" s="651">
        <f>SUM(M2553:M2571)</f>
        <v>23799999.999999989</v>
      </c>
      <c r="N2572" s="646"/>
      <c r="O2572" s="598" t="e">
        <f>#REF!</f>
        <v>#REF!</v>
      </c>
    </row>
    <row r="2573" spans="1:16" s="242" customFormat="1" ht="14.25" customHeight="1">
      <c r="A2573" s="638">
        <v>1</v>
      </c>
      <c r="B2573" s="1202" t="s">
        <v>1865</v>
      </c>
      <c r="C2573" s="648" t="s">
        <v>1866</v>
      </c>
      <c r="D2573" s="61" t="s">
        <v>1867</v>
      </c>
      <c r="E2573" s="61" t="s">
        <v>1868</v>
      </c>
      <c r="F2573" s="61"/>
      <c r="G2573" s="650"/>
      <c r="H2573" s="629"/>
      <c r="I2573" s="629"/>
      <c r="J2573" s="635" t="e">
        <f>VLOOKUP(D2573,#REF!,6,0)</f>
        <v>#REF!</v>
      </c>
      <c r="K2573" s="635" t="e">
        <f>VLOOKUP(E2573,#REF!,6,0)</f>
        <v>#REF!</v>
      </c>
      <c r="L2573" s="635" t="e">
        <f>VLOOKUP(D2573,#REF!,8,0)</f>
        <v>#REF!</v>
      </c>
      <c r="M2573" s="655" t="e">
        <f>J2573-L2573</f>
        <v>#REF!</v>
      </c>
      <c r="N2573" s="61"/>
      <c r="O2573" s="636" t="e">
        <f>+J2572-O2572</f>
        <v>#REF!</v>
      </c>
      <c r="P2573" s="636"/>
    </row>
    <row r="2574" spans="1:16" s="242" customFormat="1" ht="14.25" customHeight="1">
      <c r="A2574" s="638">
        <v>2</v>
      </c>
      <c r="B2574" s="1202" t="s">
        <v>1869</v>
      </c>
      <c r="C2574" s="648" t="s">
        <v>1870</v>
      </c>
      <c r="D2574" s="649" t="s">
        <v>1871</v>
      </c>
      <c r="E2574" s="61" t="s">
        <v>1868</v>
      </c>
      <c r="F2574" s="61"/>
      <c r="G2574" s="650"/>
      <c r="H2574" s="629"/>
      <c r="I2574" s="629"/>
      <c r="J2574" s="635" t="e">
        <f>VLOOKUP(D2574,#REF!,6,0)</f>
        <v>#REF!</v>
      </c>
      <c r="K2574" s="635" t="e">
        <f>VLOOKUP(E2574,#REF!,6,0)</f>
        <v>#REF!</v>
      </c>
      <c r="L2574" s="635" t="e">
        <f>VLOOKUP(D2574,#REF!,8,0)</f>
        <v>#REF!</v>
      </c>
      <c r="M2574" s="655" t="e">
        <f t="shared" ref="M2574:M2603" si="123">J2574-L2574</f>
        <v>#REF!</v>
      </c>
      <c r="N2574" s="649"/>
      <c r="P2574" s="636"/>
    </row>
    <row r="2575" spans="1:16" s="242" customFormat="1" ht="14.25" customHeight="1">
      <c r="A2575" s="638">
        <v>3</v>
      </c>
      <c r="B2575" s="1202" t="s">
        <v>1872</v>
      </c>
      <c r="C2575" s="647" t="s">
        <v>1873</v>
      </c>
      <c r="D2575" s="61" t="s">
        <v>1874</v>
      </c>
      <c r="E2575" s="61" t="s">
        <v>1868</v>
      </c>
      <c r="F2575" s="61"/>
      <c r="G2575" s="650"/>
      <c r="H2575" s="629"/>
      <c r="I2575" s="629"/>
      <c r="J2575" s="635" t="e">
        <f>VLOOKUP(D2575,#REF!,6,0)</f>
        <v>#REF!</v>
      </c>
      <c r="K2575" s="635" t="e">
        <f>VLOOKUP(E2575,#REF!,6,0)</f>
        <v>#REF!</v>
      </c>
      <c r="L2575" s="635" t="e">
        <f>VLOOKUP(D2575,#REF!,8,0)</f>
        <v>#REF!</v>
      </c>
      <c r="M2575" s="655" t="e">
        <f t="shared" si="123"/>
        <v>#REF!</v>
      </c>
      <c r="N2575" s="61"/>
      <c r="P2575" s="636"/>
    </row>
    <row r="2576" spans="1:16" s="242" customFormat="1" ht="14.25" customHeight="1">
      <c r="A2576" s="638">
        <v>4</v>
      </c>
      <c r="B2576" s="625"/>
      <c r="C2576" s="647"/>
      <c r="D2576" s="61" t="s">
        <v>1875</v>
      </c>
      <c r="E2576" s="61" t="s">
        <v>1868</v>
      </c>
      <c r="F2576" s="61"/>
      <c r="G2576" s="650"/>
      <c r="H2576" s="629"/>
      <c r="I2576" s="629"/>
      <c r="J2576" s="635" t="e">
        <f>VLOOKUP(D2576,#REF!,6,0)</f>
        <v>#REF!</v>
      </c>
      <c r="K2576" s="635" t="e">
        <f>VLOOKUP(E2576,#REF!,6,0)</f>
        <v>#REF!</v>
      </c>
      <c r="L2576" s="635" t="e">
        <f>VLOOKUP(D2576,#REF!,8,0)</f>
        <v>#REF!</v>
      </c>
      <c r="M2576" s="655" t="e">
        <f t="shared" si="123"/>
        <v>#REF!</v>
      </c>
      <c r="N2576" s="61"/>
      <c r="P2576" s="636"/>
    </row>
    <row r="2577" spans="1:16" s="242" customFormat="1" ht="14.25" customHeight="1">
      <c r="A2577" s="638">
        <v>5</v>
      </c>
      <c r="B2577" s="1202" t="s">
        <v>1876</v>
      </c>
      <c r="C2577" s="647" t="s">
        <v>1394</v>
      </c>
      <c r="D2577" s="61" t="s">
        <v>1877</v>
      </c>
      <c r="E2577" s="61" t="s">
        <v>1868</v>
      </c>
      <c r="F2577" s="61"/>
      <c r="G2577" s="650"/>
      <c r="H2577" s="629"/>
      <c r="I2577" s="629"/>
      <c r="J2577" s="635" t="e">
        <f>VLOOKUP(D2577,#REF!,6,0)</f>
        <v>#REF!</v>
      </c>
      <c r="K2577" s="635" t="e">
        <f>VLOOKUP(E2577,#REF!,6,0)</f>
        <v>#REF!</v>
      </c>
      <c r="L2577" s="635" t="e">
        <f>VLOOKUP(D2577,#REF!,8,0)</f>
        <v>#REF!</v>
      </c>
      <c r="M2577" s="655" t="e">
        <f t="shared" si="123"/>
        <v>#REF!</v>
      </c>
      <c r="N2577" s="61"/>
      <c r="P2577" s="636"/>
    </row>
    <row r="2578" spans="1:16" s="243" customFormat="1" ht="14.25" customHeight="1">
      <c r="A2578" s="646" t="s">
        <v>1878</v>
      </c>
      <c r="B2578" s="620"/>
      <c r="C2578" s="620"/>
      <c r="E2578" s="620"/>
      <c r="F2578" s="620"/>
      <c r="G2578" s="652"/>
      <c r="H2578" s="651"/>
      <c r="I2578" s="651"/>
      <c r="J2578" s="651" t="e">
        <f>SUM(J2573:J2577)</f>
        <v>#REF!</v>
      </c>
      <c r="K2578" s="651" t="e">
        <f t="shared" ref="K2578:M2578" si="124">SUM(K2573:K2577)</f>
        <v>#REF!</v>
      </c>
      <c r="L2578" s="651" t="e">
        <f t="shared" si="124"/>
        <v>#REF!</v>
      </c>
      <c r="M2578" s="651" t="e">
        <f t="shared" si="124"/>
        <v>#REF!</v>
      </c>
      <c r="N2578" s="646"/>
      <c r="O2578" s="598" t="e">
        <f>+#REF!</f>
        <v>#REF!</v>
      </c>
      <c r="P2578" s="598" t="e">
        <f>+#REF!</f>
        <v>#REF!</v>
      </c>
    </row>
    <row r="2579" spans="1:16" s="242" customFormat="1" ht="14.25" customHeight="1">
      <c r="A2579" s="638">
        <v>1</v>
      </c>
      <c r="B2579" s="1202" t="s">
        <v>1879</v>
      </c>
      <c r="C2579" s="647"/>
      <c r="D2579" s="61" t="s">
        <v>1792</v>
      </c>
      <c r="E2579" s="61" t="s">
        <v>1880</v>
      </c>
      <c r="F2579" s="61"/>
      <c r="G2579" s="650"/>
      <c r="H2579" s="629"/>
      <c r="I2579" s="629"/>
      <c r="J2579" s="635">
        <v>1128945.7620000001</v>
      </c>
      <c r="K2579" s="635">
        <f t="shared" ref="K2579:K2586" si="125">I2579</f>
        <v>0</v>
      </c>
      <c r="L2579" s="1037"/>
      <c r="M2579" s="655">
        <f t="shared" si="123"/>
        <v>1128945.7620000001</v>
      </c>
      <c r="N2579" s="61"/>
      <c r="O2579" s="636" t="e">
        <f>+J2578-O2578</f>
        <v>#REF!</v>
      </c>
      <c r="P2579" s="636"/>
    </row>
    <row r="2580" spans="1:16" s="242" customFormat="1" ht="14.25" customHeight="1">
      <c r="A2580" s="638">
        <v>2</v>
      </c>
      <c r="B2580" s="1202" t="s">
        <v>1881</v>
      </c>
      <c r="C2580" s="647" t="s">
        <v>1882</v>
      </c>
      <c r="D2580" s="61" t="s">
        <v>820</v>
      </c>
      <c r="E2580" s="61" t="s">
        <v>1883</v>
      </c>
      <c r="F2580" s="61"/>
      <c r="G2580" s="650"/>
      <c r="H2580" s="629"/>
      <c r="I2580" s="635"/>
      <c r="J2580" s="635">
        <v>1078512.4350000001</v>
      </c>
      <c r="K2580" s="635">
        <f t="shared" si="125"/>
        <v>0</v>
      </c>
      <c r="L2580" s="655"/>
      <c r="M2580" s="655">
        <f t="shared" si="123"/>
        <v>1078512.4350000001</v>
      </c>
      <c r="N2580" s="61"/>
      <c r="P2580" s="636"/>
    </row>
    <row r="2581" spans="1:16" s="242" customFormat="1" ht="14.25" customHeight="1">
      <c r="A2581" s="638">
        <v>3</v>
      </c>
      <c r="B2581" s="625"/>
      <c r="C2581" s="647"/>
      <c r="D2581" s="61" t="s">
        <v>1542</v>
      </c>
      <c r="E2581" s="61" t="s">
        <v>1883</v>
      </c>
      <c r="F2581" s="61"/>
      <c r="G2581" s="650"/>
      <c r="H2581" s="629"/>
      <c r="I2581" s="635"/>
      <c r="J2581" s="635">
        <v>1159179.5249999999</v>
      </c>
      <c r="K2581" s="635">
        <f t="shared" si="125"/>
        <v>0</v>
      </c>
      <c r="L2581" s="655"/>
      <c r="M2581" s="655">
        <f t="shared" si="123"/>
        <v>1159179.5249999999</v>
      </c>
      <c r="N2581" s="61"/>
      <c r="P2581" s="636"/>
    </row>
    <row r="2582" spans="1:16" s="242" customFormat="1" ht="14.25" customHeight="1">
      <c r="A2582" s="638">
        <v>4</v>
      </c>
      <c r="B2582" s="625"/>
      <c r="C2582" s="647"/>
      <c r="D2582" s="61" t="s">
        <v>827</v>
      </c>
      <c r="E2582" s="61" t="s">
        <v>1883</v>
      </c>
      <c r="F2582" s="61"/>
      <c r="G2582" s="650"/>
      <c r="H2582" s="629"/>
      <c r="I2582" s="635"/>
      <c r="J2582" s="635">
        <v>1068478.236</v>
      </c>
      <c r="K2582" s="635">
        <f t="shared" si="125"/>
        <v>0</v>
      </c>
      <c r="L2582" s="655"/>
      <c r="M2582" s="655">
        <f t="shared" si="123"/>
        <v>1068478.236</v>
      </c>
      <c r="N2582" s="61"/>
      <c r="P2582" s="636"/>
    </row>
    <row r="2583" spans="1:16" s="242" customFormat="1" ht="14.25" customHeight="1">
      <c r="A2583" s="638">
        <v>5</v>
      </c>
      <c r="B2583" s="625"/>
      <c r="C2583" s="647"/>
      <c r="D2583" s="61" t="s">
        <v>824</v>
      </c>
      <c r="E2583" s="61" t="s">
        <v>1883</v>
      </c>
      <c r="F2583" s="61"/>
      <c r="G2583" s="650"/>
      <c r="H2583" s="629"/>
      <c r="I2583" s="635"/>
      <c r="J2583" s="635">
        <v>1098711.9990000001</v>
      </c>
      <c r="K2583" s="635">
        <f t="shared" si="125"/>
        <v>0</v>
      </c>
      <c r="L2583" s="655"/>
      <c r="M2583" s="655">
        <f t="shared" si="123"/>
        <v>1098711.9990000001</v>
      </c>
      <c r="N2583" s="61"/>
      <c r="P2583" s="636"/>
    </row>
    <row r="2584" spans="1:16" s="242" customFormat="1" ht="14.25" customHeight="1">
      <c r="A2584" s="638">
        <v>6</v>
      </c>
      <c r="B2584" s="625"/>
      <c r="C2584" s="647"/>
      <c r="D2584" s="61" t="s">
        <v>1793</v>
      </c>
      <c r="E2584" s="61" t="s">
        <v>1883</v>
      </c>
      <c r="F2584" s="61"/>
      <c r="G2584" s="650"/>
      <c r="H2584" s="629"/>
      <c r="I2584" s="635"/>
      <c r="J2584" s="635">
        <v>1128945.7620000001</v>
      </c>
      <c r="K2584" s="635">
        <f t="shared" si="125"/>
        <v>0</v>
      </c>
      <c r="L2584" s="655"/>
      <c r="M2584" s="655">
        <f t="shared" si="123"/>
        <v>1128945.7620000001</v>
      </c>
      <c r="N2584" s="61"/>
      <c r="P2584" s="636"/>
    </row>
    <row r="2585" spans="1:16" s="242" customFormat="1" ht="14.25" customHeight="1">
      <c r="A2585" s="638">
        <v>7</v>
      </c>
      <c r="B2585" s="625"/>
      <c r="C2585" s="647"/>
      <c r="D2585" s="61" t="s">
        <v>1794</v>
      </c>
      <c r="E2585" s="61" t="s">
        <v>1883</v>
      </c>
      <c r="F2585" s="61"/>
      <c r="G2585" s="650"/>
      <c r="H2585" s="629"/>
      <c r="I2585" s="635"/>
      <c r="J2585" s="635">
        <v>1078512.4350000001</v>
      </c>
      <c r="K2585" s="635">
        <f t="shared" si="125"/>
        <v>0</v>
      </c>
      <c r="L2585" s="655"/>
      <c r="M2585" s="655">
        <f t="shared" si="123"/>
        <v>1078512.4350000001</v>
      </c>
      <c r="N2585" s="61"/>
      <c r="P2585" s="636"/>
    </row>
    <row r="2586" spans="1:16" s="242" customFormat="1" ht="14.25" customHeight="1">
      <c r="A2586" s="638">
        <v>8</v>
      </c>
      <c r="B2586" s="625"/>
      <c r="C2586" s="647"/>
      <c r="D2586" s="61" t="s">
        <v>851</v>
      </c>
      <c r="E2586" s="61" t="s">
        <v>1883</v>
      </c>
      <c r="F2586" s="61"/>
      <c r="G2586" s="650"/>
      <c r="H2586" s="629"/>
      <c r="I2586" s="635"/>
      <c r="J2586" s="635">
        <v>1128945.7620000001</v>
      </c>
      <c r="K2586" s="635">
        <f t="shared" si="125"/>
        <v>0</v>
      </c>
      <c r="L2586" s="655"/>
      <c r="M2586" s="655">
        <f t="shared" si="123"/>
        <v>1128945.7620000001</v>
      </c>
      <c r="N2586" s="61"/>
      <c r="P2586" s="636"/>
    </row>
    <row r="2587" spans="1:16" s="242" customFormat="1" ht="14.25" customHeight="1">
      <c r="A2587" s="638">
        <v>9</v>
      </c>
      <c r="B2587" s="625"/>
      <c r="C2587" s="647"/>
      <c r="D2587" s="61" t="s">
        <v>828</v>
      </c>
      <c r="E2587" s="61" t="s">
        <v>1883</v>
      </c>
      <c r="F2587" s="61"/>
      <c r="G2587" s="650"/>
      <c r="H2587" s="629"/>
      <c r="I2587" s="635"/>
      <c r="J2587" s="635">
        <v>1078512.4350000001</v>
      </c>
      <c r="K2587" s="635">
        <f t="shared" ref="K2587:K2595" si="126">I2587</f>
        <v>0</v>
      </c>
      <c r="L2587" s="655"/>
      <c r="M2587" s="655">
        <f t="shared" si="123"/>
        <v>1078512.4350000001</v>
      </c>
      <c r="N2587" s="61"/>
      <c r="P2587" s="636"/>
    </row>
    <row r="2588" spans="1:16" s="242" customFormat="1" ht="14.25" customHeight="1">
      <c r="A2588" s="638">
        <v>10</v>
      </c>
      <c r="B2588" s="625"/>
      <c r="C2588" s="647"/>
      <c r="D2588" s="61" t="s">
        <v>1795</v>
      </c>
      <c r="E2588" s="61" t="s">
        <v>1883</v>
      </c>
      <c r="F2588" s="61"/>
      <c r="G2588" s="650"/>
      <c r="H2588" s="629"/>
      <c r="I2588" s="635"/>
      <c r="J2588" s="635">
        <v>1159179.5249999999</v>
      </c>
      <c r="K2588" s="635">
        <f t="shared" si="126"/>
        <v>0</v>
      </c>
      <c r="L2588" s="655"/>
      <c r="M2588" s="655">
        <f t="shared" si="123"/>
        <v>1159179.5249999999</v>
      </c>
      <c r="N2588" s="61"/>
      <c r="P2588" s="636"/>
    </row>
    <row r="2589" spans="1:16" s="242" customFormat="1" ht="14.25" customHeight="1">
      <c r="A2589" s="638">
        <v>11</v>
      </c>
      <c r="B2589" s="1202" t="s">
        <v>1881</v>
      </c>
      <c r="C2589" s="647" t="s">
        <v>1882</v>
      </c>
      <c r="D2589" s="61" t="s">
        <v>830</v>
      </c>
      <c r="E2589" s="61" t="s">
        <v>1883</v>
      </c>
      <c r="F2589" s="61"/>
      <c r="G2589" s="650"/>
      <c r="H2589" s="629"/>
      <c r="I2589" s="635"/>
      <c r="J2589" s="635">
        <v>1068478.236</v>
      </c>
      <c r="K2589" s="635">
        <f t="shared" si="126"/>
        <v>0</v>
      </c>
      <c r="L2589" s="655"/>
      <c r="M2589" s="655">
        <f t="shared" si="123"/>
        <v>1068478.236</v>
      </c>
      <c r="N2589" s="61"/>
      <c r="P2589" s="636"/>
    </row>
    <row r="2590" spans="1:16" s="242" customFormat="1" ht="14.25" customHeight="1">
      <c r="A2590" s="638">
        <v>12</v>
      </c>
      <c r="B2590" s="625"/>
      <c r="C2590" s="647"/>
      <c r="D2590" s="61" t="s">
        <v>1796</v>
      </c>
      <c r="E2590" s="61" t="s">
        <v>1883</v>
      </c>
      <c r="F2590" s="61"/>
      <c r="G2590" s="650"/>
      <c r="H2590" s="629"/>
      <c r="I2590" s="635"/>
      <c r="J2590" s="635">
        <v>1098711.9990000001</v>
      </c>
      <c r="K2590" s="635">
        <f t="shared" si="126"/>
        <v>0</v>
      </c>
      <c r="L2590" s="655"/>
      <c r="M2590" s="655">
        <f t="shared" si="123"/>
        <v>1098711.9990000001</v>
      </c>
      <c r="N2590" s="61"/>
      <c r="P2590" s="636"/>
    </row>
    <row r="2591" spans="1:16" s="242" customFormat="1" ht="14.25" customHeight="1">
      <c r="A2591" s="638">
        <v>13</v>
      </c>
      <c r="B2591" s="625"/>
      <c r="C2591" s="647"/>
      <c r="D2591" s="61" t="s">
        <v>832</v>
      </c>
      <c r="E2591" s="61" t="s">
        <v>1883</v>
      </c>
      <c r="F2591" s="61"/>
      <c r="G2591" s="650"/>
      <c r="H2591" s="629"/>
      <c r="I2591" s="635"/>
      <c r="J2591" s="635">
        <v>1128945.7620000001</v>
      </c>
      <c r="K2591" s="635">
        <f t="shared" si="126"/>
        <v>0</v>
      </c>
      <c r="L2591" s="655"/>
      <c r="M2591" s="655">
        <f t="shared" si="123"/>
        <v>1128945.7620000001</v>
      </c>
      <c r="N2591" s="61"/>
      <c r="P2591" s="636"/>
    </row>
    <row r="2592" spans="1:16" s="242" customFormat="1" ht="14.25" customHeight="1">
      <c r="A2592" s="638">
        <v>14</v>
      </c>
      <c r="B2592" s="625"/>
      <c r="C2592" s="647"/>
      <c r="D2592" s="61" t="s">
        <v>833</v>
      </c>
      <c r="E2592" s="61" t="s">
        <v>1883</v>
      </c>
      <c r="F2592" s="61"/>
      <c r="G2592" s="650"/>
      <c r="H2592" s="629"/>
      <c r="I2592" s="635"/>
      <c r="J2592" s="635">
        <v>1078512.4350000001</v>
      </c>
      <c r="K2592" s="635">
        <f t="shared" si="126"/>
        <v>0</v>
      </c>
      <c r="L2592" s="655"/>
      <c r="M2592" s="655">
        <f t="shared" si="123"/>
        <v>1078512.4350000001</v>
      </c>
      <c r="N2592" s="61"/>
      <c r="P2592" s="636"/>
    </row>
    <row r="2593" spans="1:16" s="242" customFormat="1" ht="14.25" customHeight="1">
      <c r="A2593" s="638">
        <v>15</v>
      </c>
      <c r="B2593" s="625"/>
      <c r="C2593" s="647"/>
      <c r="D2593" s="61" t="s">
        <v>834</v>
      </c>
      <c r="E2593" s="61" t="s">
        <v>1883</v>
      </c>
      <c r="F2593" s="61"/>
      <c r="G2593" s="650"/>
      <c r="H2593" s="629"/>
      <c r="I2593" s="635"/>
      <c r="J2593" s="635">
        <v>1128945.7620000001</v>
      </c>
      <c r="K2593" s="635">
        <f t="shared" si="126"/>
        <v>0</v>
      </c>
      <c r="L2593" s="655"/>
      <c r="M2593" s="655">
        <f t="shared" si="123"/>
        <v>1128945.7620000001</v>
      </c>
      <c r="N2593" s="61"/>
      <c r="P2593" s="636"/>
    </row>
    <row r="2594" spans="1:16" s="242" customFormat="1" ht="14.25" customHeight="1">
      <c r="A2594" s="638">
        <v>16</v>
      </c>
      <c r="B2594" s="625"/>
      <c r="C2594" s="647"/>
      <c r="D2594" s="61" t="s">
        <v>1797</v>
      </c>
      <c r="E2594" s="61" t="s">
        <v>1883</v>
      </c>
      <c r="F2594" s="61"/>
      <c r="G2594" s="650"/>
      <c r="H2594" s="629"/>
      <c r="I2594" s="635"/>
      <c r="J2594" s="635">
        <v>1078512.4350000001</v>
      </c>
      <c r="K2594" s="635">
        <f t="shared" si="126"/>
        <v>0</v>
      </c>
      <c r="L2594" s="655"/>
      <c r="M2594" s="655">
        <f t="shared" si="123"/>
        <v>1078512.4350000001</v>
      </c>
      <c r="N2594" s="61"/>
      <c r="P2594" s="636"/>
    </row>
    <row r="2595" spans="1:16" s="242" customFormat="1" ht="14.25" customHeight="1">
      <c r="A2595" s="638">
        <v>17</v>
      </c>
      <c r="B2595" s="625"/>
      <c r="C2595" s="647"/>
      <c r="D2595" s="61" t="s">
        <v>1798</v>
      </c>
      <c r="E2595" s="61" t="s">
        <v>1883</v>
      </c>
      <c r="F2595" s="61"/>
      <c r="G2595" s="650"/>
      <c r="H2595" s="629"/>
      <c r="I2595" s="635"/>
      <c r="J2595" s="635">
        <v>1159179.5249999999</v>
      </c>
      <c r="K2595" s="635">
        <f t="shared" si="126"/>
        <v>0</v>
      </c>
      <c r="L2595" s="655"/>
      <c r="M2595" s="655">
        <f t="shared" si="123"/>
        <v>1159179.5249999999</v>
      </c>
      <c r="N2595" s="61"/>
      <c r="P2595" s="636"/>
    </row>
    <row r="2596" spans="1:16" s="242" customFormat="1" ht="14.25" customHeight="1">
      <c r="A2596" s="638">
        <v>18</v>
      </c>
      <c r="B2596" s="625"/>
      <c r="C2596" s="647"/>
      <c r="D2596" s="61" t="s">
        <v>837</v>
      </c>
      <c r="E2596" s="61" t="s">
        <v>1883</v>
      </c>
      <c r="F2596" s="61"/>
      <c r="G2596" s="650"/>
      <c r="H2596" s="629"/>
      <c r="I2596" s="635"/>
      <c r="J2596" s="635">
        <v>1068478.236</v>
      </c>
      <c r="K2596" s="635">
        <f t="shared" ref="K2596:K2603" si="127">I2596</f>
        <v>0</v>
      </c>
      <c r="L2596" s="655"/>
      <c r="M2596" s="655">
        <f t="shared" si="123"/>
        <v>1068478.236</v>
      </c>
      <c r="N2596" s="61"/>
      <c r="P2596" s="636"/>
    </row>
    <row r="2597" spans="1:16" s="242" customFormat="1" ht="14.25" customHeight="1">
      <c r="A2597" s="638">
        <v>19</v>
      </c>
      <c r="B2597" s="625"/>
      <c r="C2597" s="647"/>
      <c r="D2597" s="61" t="s">
        <v>1799</v>
      </c>
      <c r="E2597" s="61" t="s">
        <v>1883</v>
      </c>
      <c r="F2597" s="61"/>
      <c r="G2597" s="650"/>
      <c r="H2597" s="629"/>
      <c r="I2597" s="635"/>
      <c r="J2597" s="635">
        <v>1098711.9990000001</v>
      </c>
      <c r="K2597" s="635">
        <f t="shared" si="127"/>
        <v>0</v>
      </c>
      <c r="L2597" s="655"/>
      <c r="M2597" s="655">
        <f t="shared" si="123"/>
        <v>1098711.9990000001</v>
      </c>
      <c r="N2597" s="61"/>
      <c r="P2597" s="636"/>
    </row>
    <row r="2598" spans="1:16" s="242" customFormat="1" ht="14.25" customHeight="1">
      <c r="A2598" s="638">
        <v>20</v>
      </c>
      <c r="B2598" s="1202" t="s">
        <v>1881</v>
      </c>
      <c r="C2598" s="647" t="s">
        <v>1882</v>
      </c>
      <c r="D2598" s="61" t="s">
        <v>1800</v>
      </c>
      <c r="E2598" s="61" t="s">
        <v>1883</v>
      </c>
      <c r="F2598" s="61"/>
      <c r="G2598" s="650"/>
      <c r="H2598" s="629"/>
      <c r="I2598" s="635"/>
      <c r="J2598" s="635">
        <v>1128945.7620000001</v>
      </c>
      <c r="K2598" s="635">
        <f t="shared" si="127"/>
        <v>0</v>
      </c>
      <c r="L2598" s="655"/>
      <c r="M2598" s="655">
        <f t="shared" si="123"/>
        <v>1128945.7620000001</v>
      </c>
      <c r="N2598" s="61"/>
      <c r="P2598" s="636"/>
    </row>
    <row r="2599" spans="1:16" s="242" customFormat="1" ht="14.25" customHeight="1">
      <c r="A2599" s="638">
        <v>21</v>
      </c>
      <c r="B2599" s="625"/>
      <c r="C2599" s="647"/>
      <c r="D2599" s="61" t="s">
        <v>759</v>
      </c>
      <c r="E2599" s="61" t="s">
        <v>1883</v>
      </c>
      <c r="F2599" s="61"/>
      <c r="G2599" s="650"/>
      <c r="H2599" s="629"/>
      <c r="I2599" s="635"/>
      <c r="J2599" s="635">
        <v>1073549.03619999</v>
      </c>
      <c r="K2599" s="635">
        <f t="shared" si="127"/>
        <v>0</v>
      </c>
      <c r="L2599" s="655"/>
      <c r="M2599" s="655">
        <f t="shared" si="123"/>
        <v>1073549.03619999</v>
      </c>
      <c r="N2599" s="61"/>
      <c r="P2599" s="636"/>
    </row>
    <row r="2600" spans="1:16" s="242" customFormat="1" ht="14.25" customHeight="1">
      <c r="A2600" s="638">
        <v>22</v>
      </c>
      <c r="B2600" s="625"/>
      <c r="C2600" s="647"/>
      <c r="D2600" s="61" t="s">
        <v>1884</v>
      </c>
      <c r="E2600" s="61" t="s">
        <v>1883</v>
      </c>
      <c r="F2600" s="61"/>
      <c r="G2600" s="650"/>
      <c r="H2600" s="629"/>
      <c r="I2600" s="635"/>
      <c r="J2600" s="635">
        <v>1271320.46514001</v>
      </c>
      <c r="K2600" s="635">
        <f t="shared" si="127"/>
        <v>0</v>
      </c>
      <c r="L2600" s="655"/>
      <c r="M2600" s="655">
        <f t="shared" si="123"/>
        <v>1271320.46514001</v>
      </c>
      <c r="N2600" s="61"/>
      <c r="P2600" s="636"/>
    </row>
    <row r="2601" spans="1:16" s="242" customFormat="1" ht="14.25" customHeight="1">
      <c r="A2601" s="638">
        <v>23</v>
      </c>
      <c r="B2601" s="625"/>
      <c r="C2601" s="647"/>
      <c r="D2601" s="61" t="s">
        <v>1885</v>
      </c>
      <c r="E2601" s="61" t="s">
        <v>1883</v>
      </c>
      <c r="F2601" s="61"/>
      <c r="G2601" s="650"/>
      <c r="H2601" s="629"/>
      <c r="I2601" s="635"/>
      <c r="J2601" s="635">
        <v>1098711.9990000001</v>
      </c>
      <c r="K2601" s="635">
        <f t="shared" si="127"/>
        <v>0</v>
      </c>
      <c r="L2601" s="655"/>
      <c r="M2601" s="655">
        <f t="shared" si="123"/>
        <v>1098711.9990000001</v>
      </c>
      <c r="N2601" s="61"/>
      <c r="P2601" s="636"/>
    </row>
    <row r="2602" spans="1:16" s="242" customFormat="1" ht="14.25" customHeight="1">
      <c r="A2602" s="638">
        <v>24</v>
      </c>
      <c r="B2602" s="1202" t="s">
        <v>1881</v>
      </c>
      <c r="C2602" s="647" t="s">
        <v>1882</v>
      </c>
      <c r="D2602" s="61" t="s">
        <v>1886</v>
      </c>
      <c r="E2602" s="61" t="s">
        <v>1883</v>
      </c>
      <c r="F2602" s="61"/>
      <c r="G2602" s="650"/>
      <c r="H2602" s="629"/>
      <c r="I2602" s="635"/>
      <c r="J2602" s="635">
        <v>1128945.7620000001</v>
      </c>
      <c r="K2602" s="635">
        <f t="shared" si="127"/>
        <v>0</v>
      </c>
      <c r="L2602" s="655"/>
      <c r="M2602" s="655">
        <f t="shared" si="123"/>
        <v>1128945.7620000001</v>
      </c>
      <c r="N2602" s="61"/>
      <c r="P2602" s="636"/>
    </row>
    <row r="2603" spans="1:16" s="242" customFormat="1" ht="14.25" customHeight="1">
      <c r="A2603" s="638">
        <v>25</v>
      </c>
      <c r="B2603" s="625"/>
      <c r="C2603" s="647"/>
      <c r="D2603" s="61" t="s">
        <v>1887</v>
      </c>
      <c r="E2603" s="61" t="s">
        <v>1883</v>
      </c>
      <c r="F2603" s="61"/>
      <c r="G2603" s="650"/>
      <c r="H2603" s="629"/>
      <c r="I2603" s="635"/>
      <c r="J2603" s="635">
        <v>1073549.03619999</v>
      </c>
      <c r="K2603" s="635">
        <f t="shared" si="127"/>
        <v>0</v>
      </c>
      <c r="L2603" s="655"/>
      <c r="M2603" s="655">
        <f t="shared" si="123"/>
        <v>1073549.03619999</v>
      </c>
      <c r="N2603" s="61"/>
      <c r="P2603" s="636"/>
    </row>
    <row r="2604" spans="1:16" s="242" customFormat="1" ht="14.25" customHeight="1">
      <c r="A2604" s="638">
        <v>26</v>
      </c>
      <c r="B2604" s="625"/>
      <c r="C2604" s="647"/>
      <c r="D2604" s="61" t="s">
        <v>1888</v>
      </c>
      <c r="E2604" s="61" t="s">
        <v>1883</v>
      </c>
      <c r="F2604" s="61"/>
      <c r="G2604" s="650"/>
      <c r="H2604" s="629"/>
      <c r="I2604" s="635"/>
      <c r="J2604" s="635">
        <v>1073549.03619999</v>
      </c>
      <c r="K2604" s="635">
        <f t="shared" ref="K2604:K2620" si="128">I2604</f>
        <v>0</v>
      </c>
      <c r="L2604" s="655"/>
      <c r="M2604" s="655">
        <f t="shared" ref="M2604:M2620" si="129">J2604-L2604</f>
        <v>1073549.03619999</v>
      </c>
      <c r="N2604" s="61"/>
      <c r="P2604" s="636"/>
    </row>
    <row r="2605" spans="1:16" s="242" customFormat="1" ht="14.25" customHeight="1">
      <c r="A2605" s="638">
        <v>27</v>
      </c>
      <c r="B2605" s="625"/>
      <c r="C2605" s="647"/>
      <c r="D2605" s="61" t="s">
        <v>1889</v>
      </c>
      <c r="E2605" s="61" t="s">
        <v>1883</v>
      </c>
      <c r="F2605" s="61"/>
      <c r="G2605" s="650"/>
      <c r="H2605" s="629"/>
      <c r="I2605" s="635"/>
      <c r="J2605" s="635">
        <v>1068478.236</v>
      </c>
      <c r="K2605" s="635">
        <f t="shared" si="128"/>
        <v>0</v>
      </c>
      <c r="L2605" s="655"/>
      <c r="M2605" s="655">
        <f t="shared" si="129"/>
        <v>1068478.236</v>
      </c>
      <c r="N2605" s="61"/>
      <c r="P2605" s="636"/>
    </row>
    <row r="2606" spans="1:16" s="242" customFormat="1" ht="14.25" customHeight="1">
      <c r="A2606" s="638">
        <v>28</v>
      </c>
      <c r="B2606" s="625"/>
      <c r="C2606" s="647"/>
      <c r="D2606" s="61" t="s">
        <v>1890</v>
      </c>
      <c r="E2606" s="61" t="s">
        <v>1883</v>
      </c>
      <c r="F2606" s="61"/>
      <c r="G2606" s="650"/>
      <c r="H2606" s="629"/>
      <c r="I2606" s="635"/>
      <c r="J2606" s="635">
        <v>1098711.9990000001</v>
      </c>
      <c r="K2606" s="635">
        <f t="shared" si="128"/>
        <v>0</v>
      </c>
      <c r="L2606" s="655"/>
      <c r="M2606" s="655">
        <f t="shared" si="129"/>
        <v>1098711.9990000001</v>
      </c>
      <c r="N2606" s="61"/>
      <c r="P2606" s="636"/>
    </row>
    <row r="2607" spans="1:16" s="242" customFormat="1" ht="14.25" customHeight="1">
      <c r="A2607" s="638">
        <v>29</v>
      </c>
      <c r="B2607" s="625"/>
      <c r="C2607" s="647"/>
      <c r="D2607" s="61" t="s">
        <v>1319</v>
      </c>
      <c r="E2607" s="61" t="s">
        <v>1883</v>
      </c>
      <c r="F2607" s="61"/>
      <c r="G2607" s="650"/>
      <c r="H2607" s="629"/>
      <c r="I2607" s="635"/>
      <c r="J2607" s="635">
        <v>1128945.7620000001</v>
      </c>
      <c r="K2607" s="635">
        <f t="shared" si="128"/>
        <v>0</v>
      </c>
      <c r="L2607" s="655"/>
      <c r="M2607" s="655">
        <f t="shared" si="129"/>
        <v>1128945.7620000001</v>
      </c>
      <c r="N2607" s="61"/>
      <c r="P2607" s="636"/>
    </row>
    <row r="2608" spans="1:16" s="242" customFormat="1" ht="14.25" customHeight="1">
      <c r="A2608" s="638">
        <v>30</v>
      </c>
      <c r="B2608" s="625"/>
      <c r="C2608" s="647"/>
      <c r="D2608" s="61" t="s">
        <v>1891</v>
      </c>
      <c r="E2608" s="61" t="s">
        <v>1883</v>
      </c>
      <c r="F2608" s="61"/>
      <c r="G2608" s="650"/>
      <c r="H2608" s="629"/>
      <c r="I2608" s="635"/>
      <c r="J2608" s="635">
        <v>1073549.03619999</v>
      </c>
      <c r="K2608" s="635">
        <f t="shared" ref="K2608:K2616" si="130">I2608</f>
        <v>0</v>
      </c>
      <c r="L2608" s="655"/>
      <c r="M2608" s="655">
        <f t="shared" ref="M2608:M2616" si="131">J2608-L2608</f>
        <v>1073549.03619999</v>
      </c>
      <c r="N2608" s="61"/>
      <c r="P2608" s="636"/>
    </row>
    <row r="2609" spans="1:16" s="242" customFormat="1" ht="14.25" customHeight="1">
      <c r="A2609" s="638">
        <v>31</v>
      </c>
      <c r="B2609" s="625"/>
      <c r="C2609" s="647"/>
      <c r="D2609" s="61" t="s">
        <v>1892</v>
      </c>
      <c r="E2609" s="61" t="s">
        <v>1883</v>
      </c>
      <c r="F2609" s="61"/>
      <c r="G2609" s="650"/>
      <c r="H2609" s="629"/>
      <c r="I2609" s="635"/>
      <c r="J2609" s="635">
        <v>1271320.46514001</v>
      </c>
      <c r="K2609" s="635">
        <f t="shared" si="130"/>
        <v>0</v>
      </c>
      <c r="L2609" s="655"/>
      <c r="M2609" s="655">
        <f t="shared" si="131"/>
        <v>1271320.46514001</v>
      </c>
      <c r="N2609" s="61"/>
      <c r="P2609" s="636"/>
    </row>
    <row r="2610" spans="1:16" s="242" customFormat="1" ht="14.25" customHeight="1">
      <c r="A2610" s="638">
        <v>32</v>
      </c>
      <c r="B2610" s="625"/>
      <c r="C2610" s="647"/>
      <c r="D2610" s="61" t="s">
        <v>1893</v>
      </c>
      <c r="E2610" s="61" t="s">
        <v>1883</v>
      </c>
      <c r="F2610" s="61"/>
      <c r="G2610" s="650"/>
      <c r="H2610" s="629"/>
      <c r="I2610" s="635"/>
      <c r="J2610" s="635">
        <v>1098711.9990000001</v>
      </c>
      <c r="K2610" s="635">
        <f t="shared" si="130"/>
        <v>0</v>
      </c>
      <c r="L2610" s="655"/>
      <c r="M2610" s="655">
        <f t="shared" si="131"/>
        <v>1098711.9990000001</v>
      </c>
      <c r="N2610" s="61"/>
      <c r="P2610" s="636"/>
    </row>
    <row r="2611" spans="1:16" s="242" customFormat="1" ht="14.25" customHeight="1">
      <c r="A2611" s="638">
        <v>33</v>
      </c>
      <c r="B2611" s="625"/>
      <c r="C2611" s="647"/>
      <c r="D2611" s="61" t="s">
        <v>1894</v>
      </c>
      <c r="E2611" s="61" t="s">
        <v>1883</v>
      </c>
      <c r="F2611" s="61"/>
      <c r="G2611" s="650"/>
      <c r="H2611" s="629"/>
      <c r="I2611" s="635"/>
      <c r="J2611" s="635">
        <v>1128945.7620000001</v>
      </c>
      <c r="K2611" s="635">
        <f t="shared" si="130"/>
        <v>0</v>
      </c>
      <c r="L2611" s="655"/>
      <c r="M2611" s="655">
        <f t="shared" si="131"/>
        <v>1128945.7620000001</v>
      </c>
      <c r="N2611" s="61"/>
      <c r="P2611" s="636"/>
    </row>
    <row r="2612" spans="1:16" s="242" customFormat="1" ht="14.25" customHeight="1">
      <c r="A2612" s="638">
        <v>34</v>
      </c>
      <c r="B2612" s="625"/>
      <c r="C2612" s="647"/>
      <c r="D2612" s="61" t="s">
        <v>1895</v>
      </c>
      <c r="E2612" s="61" t="s">
        <v>1883</v>
      </c>
      <c r="F2612" s="61"/>
      <c r="G2612" s="650"/>
      <c r="H2612" s="629"/>
      <c r="I2612" s="635"/>
      <c r="J2612" s="635">
        <v>1073549.03619999</v>
      </c>
      <c r="K2612" s="635">
        <f t="shared" si="130"/>
        <v>0</v>
      </c>
      <c r="L2612" s="655"/>
      <c r="M2612" s="655">
        <f t="shared" si="131"/>
        <v>1073549.03619999</v>
      </c>
      <c r="N2612" s="61"/>
      <c r="P2612" s="636"/>
    </row>
    <row r="2613" spans="1:16" s="242" customFormat="1" ht="14.25" customHeight="1">
      <c r="A2613" s="638">
        <v>35</v>
      </c>
      <c r="B2613" s="625"/>
      <c r="C2613" s="647"/>
      <c r="D2613" s="61" t="s">
        <v>1896</v>
      </c>
      <c r="E2613" s="61" t="s">
        <v>1883</v>
      </c>
      <c r="F2613" s="61"/>
      <c r="G2613" s="650"/>
      <c r="H2613" s="629"/>
      <c r="I2613" s="635"/>
      <c r="J2613" s="635">
        <v>1073549.03619999</v>
      </c>
      <c r="K2613" s="635">
        <f t="shared" si="130"/>
        <v>0</v>
      </c>
      <c r="L2613" s="655"/>
      <c r="M2613" s="655">
        <f t="shared" si="131"/>
        <v>1073549.03619999</v>
      </c>
      <c r="N2613" s="61"/>
      <c r="P2613" s="636"/>
    </row>
    <row r="2614" spans="1:16" s="242" customFormat="1" ht="14.25" customHeight="1">
      <c r="A2614" s="638">
        <v>36</v>
      </c>
      <c r="B2614" s="625"/>
      <c r="C2614" s="647"/>
      <c r="D2614" s="61" t="s">
        <v>1897</v>
      </c>
      <c r="E2614" s="61" t="s">
        <v>1883</v>
      </c>
      <c r="F2614" s="61"/>
      <c r="G2614" s="650"/>
      <c r="H2614" s="629"/>
      <c r="I2614" s="635"/>
      <c r="J2614" s="635">
        <v>1271320.46514001</v>
      </c>
      <c r="K2614" s="635">
        <f t="shared" si="130"/>
        <v>0</v>
      </c>
      <c r="L2614" s="655"/>
      <c r="M2614" s="655">
        <f t="shared" si="131"/>
        <v>1271320.46514001</v>
      </c>
      <c r="N2614" s="61"/>
      <c r="P2614" s="636"/>
    </row>
    <row r="2615" spans="1:16" s="242" customFormat="1" ht="14.25" customHeight="1">
      <c r="A2615" s="638">
        <v>37</v>
      </c>
      <c r="B2615" s="625"/>
      <c r="C2615" s="647"/>
      <c r="D2615" s="61" t="s">
        <v>1898</v>
      </c>
      <c r="E2615" s="61" t="s">
        <v>1883</v>
      </c>
      <c r="F2615" s="61"/>
      <c r="G2615" s="650"/>
      <c r="H2615" s="629"/>
      <c r="I2615" s="635"/>
      <c r="J2615" s="635">
        <v>1098711.9990000001</v>
      </c>
      <c r="K2615" s="635">
        <f t="shared" si="130"/>
        <v>0</v>
      </c>
      <c r="L2615" s="655"/>
      <c r="M2615" s="655">
        <f t="shared" si="131"/>
        <v>1098711.9990000001</v>
      </c>
      <c r="N2615" s="61"/>
      <c r="P2615" s="636"/>
    </row>
    <row r="2616" spans="1:16" s="242" customFormat="1" ht="14.25" customHeight="1">
      <c r="A2616" s="638">
        <v>38</v>
      </c>
      <c r="B2616" s="625"/>
      <c r="C2616" s="647"/>
      <c r="D2616" s="61" t="s">
        <v>1899</v>
      </c>
      <c r="E2616" s="61" t="s">
        <v>1883</v>
      </c>
      <c r="F2616" s="61"/>
      <c r="G2616" s="650"/>
      <c r="H2616" s="629"/>
      <c r="I2616" s="635"/>
      <c r="J2616" s="635">
        <v>855520.62278003199</v>
      </c>
      <c r="K2616" s="635">
        <f t="shared" si="130"/>
        <v>0</v>
      </c>
      <c r="L2616" s="655"/>
      <c r="M2616" s="655">
        <f t="shared" si="131"/>
        <v>855520.62278003199</v>
      </c>
      <c r="N2616" s="61"/>
      <c r="P2616" s="636"/>
    </row>
    <row r="2617" spans="1:16" s="242" customFormat="1" ht="14.25" customHeight="1">
      <c r="A2617" s="638">
        <v>39</v>
      </c>
      <c r="B2617" s="625"/>
      <c r="C2617" s="647"/>
      <c r="D2617" s="61" t="s">
        <v>1900</v>
      </c>
      <c r="E2617" s="61" t="s">
        <v>1883</v>
      </c>
      <c r="F2617" s="61"/>
      <c r="G2617" s="650"/>
      <c r="H2617" s="629"/>
      <c r="I2617" s="635"/>
      <c r="J2617" s="635">
        <v>1073549.03619999</v>
      </c>
      <c r="K2617" s="635">
        <f t="shared" si="128"/>
        <v>0</v>
      </c>
      <c r="L2617" s="655"/>
      <c r="M2617" s="655">
        <f t="shared" si="129"/>
        <v>1073549.03619999</v>
      </c>
      <c r="N2617" s="61"/>
      <c r="P2617" s="636"/>
    </row>
    <row r="2618" spans="1:16" s="242" customFormat="1" ht="14.25" customHeight="1">
      <c r="A2618" s="638">
        <v>40</v>
      </c>
      <c r="B2618" s="625"/>
      <c r="C2618" s="647"/>
      <c r="D2618" s="61" t="s">
        <v>330</v>
      </c>
      <c r="E2618" s="61" t="s">
        <v>1883</v>
      </c>
      <c r="F2618" s="61"/>
      <c r="G2618" s="650"/>
      <c r="H2618" s="629"/>
      <c r="I2618" s="635"/>
      <c r="J2618" s="635">
        <v>1271320.46514001</v>
      </c>
      <c r="K2618" s="635">
        <f t="shared" si="128"/>
        <v>0</v>
      </c>
      <c r="L2618" s="655"/>
      <c r="M2618" s="655">
        <f t="shared" si="129"/>
        <v>1271320.46514001</v>
      </c>
      <c r="N2618" s="61"/>
      <c r="P2618" s="636"/>
    </row>
    <row r="2619" spans="1:16" s="242" customFormat="1" ht="14.25" customHeight="1">
      <c r="A2619" s="638">
        <v>41</v>
      </c>
      <c r="B2619" s="625"/>
      <c r="C2619" s="647"/>
      <c r="D2619" s="61" t="s">
        <v>1901</v>
      </c>
      <c r="E2619" s="61" t="s">
        <v>1883</v>
      </c>
      <c r="F2619" s="61"/>
      <c r="G2619" s="650"/>
      <c r="H2619" s="629"/>
      <c r="I2619" s="635"/>
      <c r="J2619" s="635">
        <v>1098711.9990000001</v>
      </c>
      <c r="K2619" s="635">
        <f t="shared" si="128"/>
        <v>0</v>
      </c>
      <c r="L2619" s="655"/>
      <c r="M2619" s="655">
        <f t="shared" si="129"/>
        <v>1098711.9990000001</v>
      </c>
      <c r="N2619" s="61"/>
      <c r="P2619" s="636"/>
    </row>
    <row r="2620" spans="1:16" s="242" customFormat="1" ht="14.25" customHeight="1">
      <c r="A2620" s="638">
        <v>42</v>
      </c>
      <c r="B2620" s="625"/>
      <c r="C2620" s="647"/>
      <c r="D2620" s="61" t="s">
        <v>1902</v>
      </c>
      <c r="E2620" s="61" t="s">
        <v>1883</v>
      </c>
      <c r="F2620" s="61"/>
      <c r="G2620" s="650"/>
      <c r="H2620" s="629"/>
      <c r="I2620" s="635"/>
      <c r="J2620" s="635">
        <v>970003.71926002204</v>
      </c>
      <c r="K2620" s="635">
        <f t="shared" si="128"/>
        <v>0</v>
      </c>
      <c r="L2620" s="655"/>
      <c r="M2620" s="655">
        <f t="shared" si="129"/>
        <v>970003.71926002204</v>
      </c>
      <c r="N2620" s="61"/>
      <c r="P2620" s="636"/>
    </row>
    <row r="2621" spans="1:16" s="243" customFormat="1" ht="14.25" customHeight="1">
      <c r="A2621" s="628" t="s">
        <v>1903</v>
      </c>
      <c r="B2621" s="628"/>
      <c r="C2621" s="628"/>
      <c r="D2621" s="628"/>
      <c r="E2621" s="628"/>
      <c r="F2621" s="628"/>
      <c r="G2621" s="652">
        <v>0</v>
      </c>
      <c r="H2621" s="651">
        <v>0</v>
      </c>
      <c r="I2621" s="651">
        <v>0</v>
      </c>
      <c r="J2621" s="651">
        <f>SUM(J2579:J2620)</f>
        <v>46519871.000000015</v>
      </c>
      <c r="K2621" s="651">
        <f>SUM(K2579:K2620)</f>
        <v>0</v>
      </c>
      <c r="L2621" s="651">
        <f>SUM(L2579:L2620)</f>
        <v>0</v>
      </c>
      <c r="M2621" s="651">
        <f>SUM(M2579:M2620)</f>
        <v>46519871.000000015</v>
      </c>
      <c r="N2621" s="646"/>
      <c r="O2621" s="598" t="e">
        <f>#REF!</f>
        <v>#REF!</v>
      </c>
      <c r="P2621" s="636"/>
    </row>
    <row r="2622" spans="1:16" s="243" customFormat="1" ht="15.75" customHeight="1">
      <c r="A2622" s="628" t="s">
        <v>1904</v>
      </c>
      <c r="B2622" s="628"/>
      <c r="C2622" s="628"/>
      <c r="D2622" s="628"/>
      <c r="E2622" s="628"/>
      <c r="F2622" s="628"/>
      <c r="G2622" s="652">
        <f>SUM(G2573:G2620)</f>
        <v>0</v>
      </c>
      <c r="H2622" s="651">
        <f>SUM(H2573:H2620)</f>
        <v>0</v>
      </c>
      <c r="I2622" s="651">
        <f>SUM(I2573:I2620)</f>
        <v>0</v>
      </c>
      <c r="J2622" s="651" t="e">
        <f>J2621+J2578</f>
        <v>#REF!</v>
      </c>
      <c r="K2622" s="651" t="e">
        <f>K2621+K2578</f>
        <v>#REF!</v>
      </c>
      <c r="L2622" s="651" t="e">
        <f>L2621+L2578</f>
        <v>#REF!</v>
      </c>
      <c r="M2622" s="651" t="e">
        <f>M2621+M2578</f>
        <v>#REF!</v>
      </c>
      <c r="N2622" s="646"/>
      <c r="O2622" s="598" t="e">
        <f>+O2621-J2621</f>
        <v>#REF!</v>
      </c>
      <c r="P2622" s="636"/>
    </row>
    <row r="2623" spans="1:16" s="243" customFormat="1" ht="15.75" customHeight="1">
      <c r="A2623" s="638">
        <v>1</v>
      </c>
      <c r="B2623" s="628"/>
      <c r="C2623" s="628"/>
      <c r="D2623" s="630" t="s">
        <v>1905</v>
      </c>
      <c r="E2623" s="630" t="s">
        <v>1906</v>
      </c>
      <c r="F2623" s="628"/>
      <c r="G2623" s="652"/>
      <c r="H2623" s="651"/>
      <c r="I2623" s="651"/>
      <c r="J2623" s="655" t="e">
        <f>VLOOKUP(D2623,#REF!,6,0)</f>
        <v>#REF!</v>
      </c>
      <c r="K2623" s="655" t="e">
        <f>VLOOKUP(E2623,#REF!,6,0)</f>
        <v>#REF!</v>
      </c>
      <c r="L2623" s="655" t="e">
        <f>VLOOKUP(D2623,#REF!,8,0)</f>
        <v>#REF!</v>
      </c>
      <c r="M2623" s="655" t="e">
        <f>J2623-L2623</f>
        <v>#REF!</v>
      </c>
      <c r="N2623" s="646"/>
      <c r="O2623" s="598"/>
      <c r="P2623" s="636"/>
    </row>
    <row r="2624" spans="1:16" s="243" customFormat="1" ht="15.75" customHeight="1">
      <c r="A2624" s="638">
        <v>2</v>
      </c>
      <c r="B2624" s="628"/>
      <c r="C2624" s="628"/>
      <c r="D2624" s="630" t="s">
        <v>1907</v>
      </c>
      <c r="E2624" s="630" t="s">
        <v>1908</v>
      </c>
      <c r="F2624" s="628"/>
      <c r="G2624" s="652"/>
      <c r="H2624" s="651"/>
      <c r="I2624" s="651"/>
      <c r="J2624" s="655" t="e">
        <f>VLOOKUP(D2624,#REF!,6,0)</f>
        <v>#REF!</v>
      </c>
      <c r="K2624" s="655" t="e">
        <f>VLOOKUP(E2624,#REF!,6,0)</f>
        <v>#REF!</v>
      </c>
      <c r="L2624" s="655" t="e">
        <f>VLOOKUP(D2624,#REF!,8,0)</f>
        <v>#REF!</v>
      </c>
      <c r="M2624" s="655" t="e">
        <f t="shared" ref="M2624:M2628" si="132">J2624-L2624</f>
        <v>#REF!</v>
      </c>
      <c r="N2624" s="646"/>
      <c r="O2624" s="598"/>
      <c r="P2624" s="636"/>
    </row>
    <row r="2625" spans="1:17" s="243" customFormat="1" ht="15.75" customHeight="1">
      <c r="A2625" s="638">
        <v>3</v>
      </c>
      <c r="B2625" s="628"/>
      <c r="C2625" s="628"/>
      <c r="D2625" s="630" t="s">
        <v>1909</v>
      </c>
      <c r="E2625" s="630" t="s">
        <v>1908</v>
      </c>
      <c r="F2625" s="628"/>
      <c r="G2625" s="652"/>
      <c r="H2625" s="651"/>
      <c r="I2625" s="651"/>
      <c r="J2625" s="655" t="e">
        <f>VLOOKUP(D2625,#REF!,6,0)</f>
        <v>#REF!</v>
      </c>
      <c r="K2625" s="655" t="e">
        <f>VLOOKUP(E2625,#REF!,6,0)</f>
        <v>#REF!</v>
      </c>
      <c r="L2625" s="655" t="e">
        <f>VLOOKUP(D2625,#REF!,8,0)</f>
        <v>#REF!</v>
      </c>
      <c r="M2625" s="655" t="e">
        <f t="shared" si="132"/>
        <v>#REF!</v>
      </c>
      <c r="N2625" s="646"/>
      <c r="O2625" s="598"/>
      <c r="P2625" s="636"/>
    </row>
    <row r="2626" spans="1:17" s="243" customFormat="1" ht="15.75" customHeight="1">
      <c r="A2626" s="638">
        <v>4</v>
      </c>
      <c r="B2626" s="628"/>
      <c r="C2626" s="628"/>
      <c r="D2626" s="630" t="s">
        <v>51</v>
      </c>
      <c r="E2626" s="630" t="s">
        <v>1908</v>
      </c>
      <c r="F2626" s="628"/>
      <c r="G2626" s="652"/>
      <c r="H2626" s="651"/>
      <c r="I2626" s="651"/>
      <c r="J2626" s="655" t="e">
        <f>VLOOKUP(D2626,#REF!,6,0)</f>
        <v>#REF!</v>
      </c>
      <c r="K2626" s="655" t="e">
        <f>VLOOKUP(E2626,#REF!,6,0)</f>
        <v>#REF!</v>
      </c>
      <c r="L2626" s="655" t="e">
        <f>VLOOKUP(D2626,#REF!,8,0)</f>
        <v>#REF!</v>
      </c>
      <c r="M2626" s="655" t="e">
        <f t="shared" si="132"/>
        <v>#REF!</v>
      </c>
      <c r="N2626" s="646"/>
      <c r="O2626" s="598">
        <f>MAX(M2579:M2620,M2553:M2571,M2163:M2551,M1695:M2161,M1184:M1693,M1142:M1182,M1098:M1140,M525:M1096,M194:M523,M13:M192,)</f>
        <v>1299846.615</v>
      </c>
      <c r="P2626" s="636"/>
    </row>
    <row r="2627" spans="1:17" s="243" customFormat="1" ht="15.75" customHeight="1">
      <c r="A2627" s="638">
        <v>5</v>
      </c>
      <c r="B2627" s="628"/>
      <c r="C2627" s="628"/>
      <c r="D2627" s="630" t="s">
        <v>1910</v>
      </c>
      <c r="E2627" s="630" t="s">
        <v>1908</v>
      </c>
      <c r="F2627" s="628"/>
      <c r="G2627" s="652"/>
      <c r="H2627" s="651"/>
      <c r="I2627" s="651"/>
      <c r="J2627" s="655" t="e">
        <f>VLOOKUP(D2627,#REF!,6,0)</f>
        <v>#REF!</v>
      </c>
      <c r="K2627" s="655" t="e">
        <f>VLOOKUP(E2627,#REF!,6,0)</f>
        <v>#REF!</v>
      </c>
      <c r="L2627" s="655" t="e">
        <f>VLOOKUP(D2627,#REF!,8,0)</f>
        <v>#REF!</v>
      </c>
      <c r="M2627" s="655" t="e">
        <f t="shared" si="132"/>
        <v>#REF!</v>
      </c>
      <c r="N2627" s="646"/>
      <c r="O2627" s="598"/>
      <c r="P2627" s="636"/>
    </row>
    <row r="2628" spans="1:17" s="243" customFormat="1" ht="15.75" customHeight="1">
      <c r="A2628" s="638">
        <v>6</v>
      </c>
      <c r="B2628" s="628"/>
      <c r="C2628" s="628"/>
      <c r="D2628" s="630" t="s">
        <v>1911</v>
      </c>
      <c r="E2628" s="630" t="s">
        <v>1908</v>
      </c>
      <c r="F2628" s="628"/>
      <c r="G2628" s="652"/>
      <c r="H2628" s="651"/>
      <c r="I2628" s="651"/>
      <c r="J2628" s="655" t="e">
        <f>VLOOKUP(D2628,#REF!,6,0)</f>
        <v>#REF!</v>
      </c>
      <c r="K2628" s="655" t="e">
        <f>VLOOKUP(E2628,#REF!,6,0)</f>
        <v>#REF!</v>
      </c>
      <c r="L2628" s="655" t="e">
        <f>VLOOKUP(D2628,#REF!,8,0)</f>
        <v>#REF!</v>
      </c>
      <c r="M2628" s="655" t="e">
        <f t="shared" si="132"/>
        <v>#REF!</v>
      </c>
      <c r="N2628" s="646"/>
      <c r="O2628" s="598"/>
      <c r="P2628" s="636"/>
    </row>
    <row r="2629" spans="1:17" s="243" customFormat="1" ht="15.75" customHeight="1">
      <c r="A2629" s="628" t="s">
        <v>1912</v>
      </c>
      <c r="B2629" s="628"/>
      <c r="C2629" s="628"/>
      <c r="D2629" s="628"/>
      <c r="E2629" s="628"/>
      <c r="F2629" s="646"/>
      <c r="G2629" s="652"/>
      <c r="H2629" s="651"/>
      <c r="I2629" s="651"/>
      <c r="J2629" s="651" t="e">
        <f>SUM(J2623:J2628)</f>
        <v>#REF!</v>
      </c>
      <c r="K2629" s="651" t="e">
        <f t="shared" ref="K2629:M2629" si="133">SUM(K2623:K2628)</f>
        <v>#REF!</v>
      </c>
      <c r="L2629" s="651" t="e">
        <f t="shared" si="133"/>
        <v>#REF!</v>
      </c>
      <c r="M2629" s="651" t="e">
        <f t="shared" si="133"/>
        <v>#REF!</v>
      </c>
      <c r="N2629" s="656"/>
    </row>
    <row r="2630" spans="1:17" s="619" customFormat="1" ht="15.75" customHeight="1">
      <c r="A2630" s="2397" t="s">
        <v>1913</v>
      </c>
      <c r="B2630" s="2397"/>
      <c r="C2630" s="2397"/>
      <c r="D2630" s="2397"/>
      <c r="E2630" s="2397"/>
      <c r="F2630" s="653"/>
      <c r="G2630" s="1131">
        <f t="shared" ref="G2630:M2630" si="134">+G2162+G1694+G1097+G524+G193+G2552+G1183+G1141</f>
        <v>435447999.99999994</v>
      </c>
      <c r="H2630" s="1131">
        <f t="shared" si="134"/>
        <v>1893201992.4829807</v>
      </c>
      <c r="I2630" s="1131">
        <f t="shared" si="134"/>
        <v>618045308</v>
      </c>
      <c r="J2630" s="1131">
        <f t="shared" si="134"/>
        <v>2946695300.482975</v>
      </c>
      <c r="K2630" s="1131">
        <f t="shared" si="134"/>
        <v>0</v>
      </c>
      <c r="L2630" s="1131">
        <f t="shared" si="134"/>
        <v>0</v>
      </c>
      <c r="M2630" s="1131">
        <f t="shared" si="134"/>
        <v>2946695300.482975</v>
      </c>
      <c r="N2630" s="653"/>
      <c r="O2630" s="657" t="e">
        <f>#REF!</f>
        <v>#REF!</v>
      </c>
      <c r="P2630" s="657" t="e">
        <f>+O2630-M2630</f>
        <v>#REF!</v>
      </c>
    </row>
    <row r="2631" spans="1:17" s="619" customFormat="1" ht="15.75" customHeight="1">
      <c r="A2631" s="2397" t="s">
        <v>1914</v>
      </c>
      <c r="B2631" s="2397"/>
      <c r="C2631" s="2397"/>
      <c r="D2631" s="2397"/>
      <c r="E2631" s="2397"/>
      <c r="F2631" s="653"/>
      <c r="G2631" s="1132"/>
      <c r="H2631" s="1131"/>
      <c r="I2631" s="1131"/>
      <c r="J2631" s="1131">
        <f>J2572</f>
        <v>23799999.999999989</v>
      </c>
      <c r="K2631" s="1131">
        <f>K2572</f>
        <v>0</v>
      </c>
      <c r="L2631" s="1131">
        <f>L2572</f>
        <v>0</v>
      </c>
      <c r="M2631" s="1131">
        <f>M2572</f>
        <v>23799999.999999989</v>
      </c>
      <c r="N2631" s="653"/>
      <c r="O2631" s="657" t="e">
        <f>#REF!</f>
        <v>#REF!</v>
      </c>
      <c r="P2631" s="657" t="e">
        <f t="shared" ref="P2631:P2634" si="135">+O2631-M2631</f>
        <v>#REF!</v>
      </c>
    </row>
    <row r="2632" spans="1:17" s="619" customFormat="1" ht="15.75" customHeight="1">
      <c r="A2632" s="2397" t="s">
        <v>1915</v>
      </c>
      <c r="B2632" s="2397"/>
      <c r="C2632" s="2397"/>
      <c r="D2632" s="2397"/>
      <c r="E2632" s="2397"/>
      <c r="F2632" s="653"/>
      <c r="G2632" s="1132">
        <f>G2622</f>
        <v>0</v>
      </c>
      <c r="H2632" s="1131">
        <f>+H2622</f>
        <v>0</v>
      </c>
      <c r="I2632" s="1131">
        <f>+I2622</f>
        <v>0</v>
      </c>
      <c r="J2632" s="1131" t="e">
        <f>+J2622</f>
        <v>#REF!</v>
      </c>
      <c r="K2632" s="1131" t="e">
        <f>+K2622</f>
        <v>#REF!</v>
      </c>
      <c r="L2632" s="1131" t="e">
        <f>L2622</f>
        <v>#REF!</v>
      </c>
      <c r="M2632" s="1131" t="e">
        <f>+M2622</f>
        <v>#REF!</v>
      </c>
      <c r="N2632" s="653"/>
      <c r="O2632" s="657" t="e">
        <f>#REF!</f>
        <v>#REF!</v>
      </c>
      <c r="P2632" s="657" t="e">
        <f t="shared" si="135"/>
        <v>#REF!</v>
      </c>
    </row>
    <row r="2633" spans="1:17" s="619" customFormat="1" ht="15.75" customHeight="1">
      <c r="A2633" s="1133" t="s">
        <v>1916</v>
      </c>
      <c r="B2633" s="1133"/>
      <c r="C2633" s="1133"/>
      <c r="D2633" s="1133"/>
      <c r="E2633" s="1133"/>
      <c r="F2633" s="653"/>
      <c r="G2633" s="1132">
        <f>G2629</f>
        <v>0</v>
      </c>
      <c r="H2633" s="1131"/>
      <c r="I2633" s="1131"/>
      <c r="J2633" s="1131" t="e">
        <f>J2629</f>
        <v>#REF!</v>
      </c>
      <c r="K2633" s="1131" t="e">
        <f>K2629</f>
        <v>#REF!</v>
      </c>
      <c r="L2633" s="1131" t="e">
        <f>L2629</f>
        <v>#REF!</v>
      </c>
      <c r="M2633" s="1131" t="e">
        <f>M2629</f>
        <v>#REF!</v>
      </c>
      <c r="N2633" s="653"/>
      <c r="O2633" s="657" t="e">
        <f>#REF!</f>
        <v>#REF!</v>
      </c>
      <c r="P2633" s="657" t="e">
        <f t="shared" si="135"/>
        <v>#REF!</v>
      </c>
    </row>
    <row r="2634" spans="1:17" s="619" customFormat="1" ht="15.75" customHeight="1">
      <c r="A2634" s="2398" t="s">
        <v>1917</v>
      </c>
      <c r="B2634" s="2398"/>
      <c r="C2634" s="2398"/>
      <c r="D2634" s="2398"/>
      <c r="E2634" s="2398"/>
      <c r="F2634" s="654"/>
      <c r="G2634" s="1134">
        <f t="shared" ref="G2634:M2634" si="136">SUM(G2630:G2633)</f>
        <v>435447999.99999994</v>
      </c>
      <c r="H2634" s="1134">
        <f t="shared" si="136"/>
        <v>1893201992.4829807</v>
      </c>
      <c r="I2634" s="1134">
        <f t="shared" si="136"/>
        <v>618045308</v>
      </c>
      <c r="J2634" s="1134" t="e">
        <f t="shared" si="136"/>
        <v>#REF!</v>
      </c>
      <c r="K2634" s="1134" t="e">
        <f t="shared" si="136"/>
        <v>#REF!</v>
      </c>
      <c r="L2634" s="1134" t="e">
        <f t="shared" si="136"/>
        <v>#REF!</v>
      </c>
      <c r="M2634" s="1134" t="e">
        <f t="shared" si="136"/>
        <v>#REF!</v>
      </c>
      <c r="N2634" s="658"/>
      <c r="O2634" s="659" t="e">
        <f>#REF!</f>
        <v>#REF!</v>
      </c>
      <c r="P2634" s="657" t="e">
        <f t="shared" si="135"/>
        <v>#REF!</v>
      </c>
      <c r="Q2634" s="657"/>
    </row>
    <row r="2635" spans="1:17" s="67" customFormat="1" ht="13.5" customHeight="1">
      <c r="A2635" s="2399" t="s">
        <v>1918</v>
      </c>
      <c r="B2635" s="2399"/>
      <c r="C2635" s="2399"/>
      <c r="D2635" s="2399"/>
      <c r="E2635" s="2399"/>
      <c r="F2635" s="2399"/>
      <c r="G2635" s="2399"/>
      <c r="H2635" s="2399"/>
      <c r="I2635" s="2399"/>
      <c r="J2635" s="2399"/>
      <c r="K2635" s="2399"/>
      <c r="L2635" s="2399"/>
      <c r="M2635" s="2399"/>
      <c r="N2635" s="2399"/>
      <c r="O2635" s="668" t="e">
        <f>+O2634-M2634</f>
        <v>#REF!</v>
      </c>
    </row>
    <row r="2636" spans="1:17" s="67" customFormat="1" ht="13.5" customHeight="1">
      <c r="A2636" s="660"/>
      <c r="B2636" s="660"/>
      <c r="C2636" s="660"/>
      <c r="D2636" s="660"/>
      <c r="E2636" s="660"/>
      <c r="F2636" s="660"/>
      <c r="G2636" s="660"/>
      <c r="H2636" s="660"/>
      <c r="I2636" s="660"/>
      <c r="J2636" s="660"/>
      <c r="K2636" s="660"/>
      <c r="L2636" s="660"/>
      <c r="M2636" s="660"/>
      <c r="N2636" s="660"/>
      <c r="O2636" s="668"/>
    </row>
    <row r="2637" spans="1:17">
      <c r="E2637" s="661"/>
      <c r="F2637" s="661"/>
      <c r="G2637" s="1135"/>
      <c r="H2637" s="662"/>
      <c r="I2637" s="662"/>
      <c r="J2637" s="661"/>
      <c r="K2637" s="661"/>
      <c r="L2637" s="2400" t="s">
        <v>1919</v>
      </c>
      <c r="M2637" s="2400"/>
      <c r="N2637" s="2400"/>
      <c r="O2637" s="66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401" t="s">
        <v>616</v>
      </c>
      <c r="G2638" s="2401"/>
      <c r="H2638" s="2401"/>
      <c r="I2638" s="2390" t="s">
        <v>1922</v>
      </c>
      <c r="J2638" s="2390"/>
      <c r="K2638" s="2390"/>
      <c r="L2638" s="2390"/>
      <c r="M2638" s="2390" t="s">
        <v>612</v>
      </c>
      <c r="N2638" s="2390"/>
      <c r="O2638" s="1136" t="e">
        <f>+O2635+J2634</f>
        <v>#REF!</v>
      </c>
    </row>
    <row r="2639" spans="1:17">
      <c r="G2639" s="663"/>
      <c r="I2639" s="664"/>
      <c r="M2639" s="670"/>
      <c r="O2639" s="671"/>
    </row>
    <row r="2640" spans="1:17">
      <c r="G2640" s="663"/>
      <c r="H2640" s="662"/>
      <c r="I2640" s="664"/>
      <c r="M2640" s="670"/>
    </row>
    <row r="2641" spans="4:16">
      <c r="G2641" s="665"/>
      <c r="H2641" s="592"/>
      <c r="I2641" s="569"/>
      <c r="J2641" s="569"/>
      <c r="K2641" s="592"/>
      <c r="L2641" s="569"/>
      <c r="M2641" s="569"/>
    </row>
    <row r="2642" spans="4:16">
      <c r="G2642" s="665"/>
      <c r="H2642" s="592"/>
      <c r="I2642" s="665"/>
      <c r="J2642" s="672"/>
      <c r="K2642" s="1137"/>
      <c r="L2642" s="1138"/>
      <c r="M2642" s="1139" t="s">
        <v>1923</v>
      </c>
      <c r="N2642" s="677"/>
    </row>
    <row r="2643" spans="4:16">
      <c r="D2643" s="27" t="s">
        <v>1924</v>
      </c>
      <c r="E2643" s="27"/>
      <c r="F2643" s="2390" t="s">
        <v>1925</v>
      </c>
      <c r="G2643" s="2390"/>
      <c r="H2643" s="27"/>
      <c r="I2643" s="27"/>
      <c r="J2643" s="672"/>
      <c r="L2643" s="2390" t="s">
        <v>1926</v>
      </c>
      <c r="M2643" s="2390"/>
      <c r="N2643" s="2390"/>
      <c r="O2643" s="673"/>
      <c r="P2643" s="673"/>
    </row>
    <row r="2644" spans="4:16">
      <c r="F2644" s="2391"/>
      <c r="G2644" s="2391"/>
      <c r="H2644" s="592"/>
      <c r="I2644" s="665"/>
      <c r="J2644" s="1140" t="e">
        <f>J2642+J2634</f>
        <v>#REF!</v>
      </c>
      <c r="K2644" s="1141"/>
      <c r="L2644" s="676"/>
      <c r="M2644" s="1140"/>
      <c r="N2644" s="677"/>
    </row>
    <row r="2645" spans="4:16">
      <c r="G2645" s="665"/>
      <c r="H2645" s="592"/>
      <c r="I2645" s="666"/>
      <c r="J2645" s="674"/>
      <c r="K2645" s="675"/>
      <c r="L2645" s="1142"/>
      <c r="M2645" s="1142"/>
      <c r="N2645" s="1142"/>
    </row>
    <row r="2646" spans="4:16">
      <c r="G2646" s="667"/>
      <c r="H2646" s="592"/>
      <c r="I2646" s="666"/>
      <c r="J2646" s="666"/>
      <c r="K2646" s="675" t="e">
        <f>[1]BV9THUC!H20+'[1]TRẠM CÁN'!S30+'[1]LƯƠNG KT'!#REF!</f>
        <v>#REF!</v>
      </c>
      <c r="L2646" s="676"/>
      <c r="M2646" s="676"/>
      <c r="N2646" s="677"/>
    </row>
    <row r="2647" spans="4:16">
      <c r="G2647" s="665"/>
      <c r="H2647" s="592"/>
      <c r="I2647" s="666"/>
      <c r="J2647" s="666"/>
      <c r="K2647" s="666"/>
      <c r="L2647" s="666"/>
      <c r="M2647" s="666"/>
      <c r="N2647" s="677"/>
    </row>
    <row r="2648" spans="4:16">
      <c r="D2648" s="571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1" customWidth="1"/>
    <col min="2" max="2" width="17.28515625" style="411" customWidth="1"/>
    <col min="3" max="3" width="11" style="411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417" t="s">
        <v>1927</v>
      </c>
      <c r="B1" s="2417"/>
      <c r="C1" s="2417"/>
      <c r="D1" s="2417"/>
      <c r="E1" s="2417"/>
      <c r="F1" s="2417"/>
      <c r="G1" s="2417"/>
      <c r="H1" s="2417"/>
      <c r="I1" s="2417"/>
      <c r="J1" s="2417"/>
      <c r="K1" s="2417"/>
      <c r="L1" s="1030"/>
      <c r="M1" s="1029"/>
      <c r="N1" s="1029"/>
      <c r="O1" s="1029"/>
      <c r="P1" s="1031"/>
      <c r="Q1" s="1029"/>
      <c r="R1" s="2418" t="s">
        <v>1928</v>
      </c>
      <c r="S1" s="2418"/>
      <c r="T1" s="2418"/>
      <c r="U1" s="2418"/>
      <c r="V1" s="2418"/>
      <c r="W1" s="2418"/>
      <c r="X1" s="2418"/>
      <c r="Y1" s="2418"/>
      <c r="Z1" s="2418"/>
      <c r="AA1" s="2418"/>
      <c r="AB1" s="2418"/>
      <c r="AC1" s="2418"/>
      <c r="AD1" s="2418"/>
      <c r="AE1" s="2418"/>
      <c r="AF1" s="2418"/>
      <c r="AG1" s="2418"/>
      <c r="AH1" s="2418"/>
      <c r="AI1" s="2418"/>
      <c r="AJ1" s="2418"/>
    </row>
    <row r="2" spans="1:37" ht="18.75">
      <c r="A2" s="2417" t="s">
        <v>1929</v>
      </c>
      <c r="B2" s="2417"/>
      <c r="C2" s="2417"/>
      <c r="D2" s="2417"/>
      <c r="E2" s="2417"/>
      <c r="F2" s="2417"/>
      <c r="G2" s="2417"/>
      <c r="H2" s="2417"/>
      <c r="I2" s="2417"/>
      <c r="J2" s="2417"/>
      <c r="K2" s="2417"/>
      <c r="L2" s="1030"/>
      <c r="M2" s="1029"/>
      <c r="N2" s="1029"/>
      <c r="O2" s="1029"/>
      <c r="P2" s="1031"/>
      <c r="Q2" s="1029"/>
      <c r="R2" s="2418" t="s">
        <v>1</v>
      </c>
      <c r="S2" s="2418"/>
      <c r="T2" s="2418"/>
      <c r="U2" s="2418"/>
      <c r="V2" s="2418"/>
      <c r="W2" s="2418"/>
      <c r="X2" s="2418"/>
      <c r="Y2" s="2418"/>
      <c r="Z2" s="2418"/>
      <c r="AA2" s="2418"/>
      <c r="AB2" s="2418"/>
      <c r="AC2" s="2418"/>
      <c r="AD2" s="2418"/>
      <c r="AE2" s="2418"/>
      <c r="AF2" s="2418"/>
      <c r="AG2" s="2418"/>
      <c r="AH2" s="2418"/>
      <c r="AI2" s="2418"/>
      <c r="AJ2" s="2418"/>
    </row>
    <row r="3" spans="1:37" ht="16.149999999999999" customHeight="1">
      <c r="A3" s="2419"/>
      <c r="B3" s="2419"/>
      <c r="C3" s="2419"/>
      <c r="D3" s="2419"/>
      <c r="E3" s="2419"/>
      <c r="F3" s="2419"/>
      <c r="G3" s="2419"/>
      <c r="H3" s="2419"/>
      <c r="I3" s="2419"/>
      <c r="J3" s="2419"/>
      <c r="K3" s="2419"/>
      <c r="L3" s="1030"/>
      <c r="M3" s="1029"/>
      <c r="N3" s="1029"/>
      <c r="O3" s="1029"/>
      <c r="P3" s="1031"/>
      <c r="Q3" s="1029"/>
      <c r="R3" s="2420" t="s">
        <v>619</v>
      </c>
      <c r="S3" s="2418"/>
      <c r="T3" s="2418"/>
      <c r="U3" s="2418"/>
      <c r="V3" s="2418"/>
      <c r="W3" s="2418"/>
      <c r="X3" s="2418"/>
      <c r="Y3" s="2418"/>
      <c r="Z3" s="2418"/>
      <c r="AA3" s="2418"/>
      <c r="AB3" s="2418"/>
      <c r="AC3" s="2418"/>
      <c r="AD3" s="2418"/>
      <c r="AE3" s="2418"/>
      <c r="AF3" s="2418"/>
      <c r="AG3" s="2418"/>
      <c r="AH3" s="2418"/>
      <c r="AI3" s="2418"/>
      <c r="AJ3" s="2418"/>
    </row>
    <row r="4" spans="1:37" ht="27.75" customHeight="1">
      <c r="A4" s="2413" t="s">
        <v>1930</v>
      </c>
      <c r="B4" s="2413"/>
      <c r="C4" s="2413"/>
      <c r="D4" s="2413"/>
      <c r="E4" s="2413"/>
      <c r="F4" s="2413"/>
      <c r="G4" s="2413"/>
      <c r="H4" s="2413"/>
      <c r="I4" s="2413"/>
      <c r="J4" s="2413"/>
      <c r="K4" s="2413"/>
      <c r="L4" s="2413"/>
      <c r="M4" s="2413"/>
      <c r="N4" s="2413"/>
      <c r="O4" s="2413"/>
      <c r="P4" s="2413"/>
      <c r="Q4" s="2413"/>
      <c r="R4" s="2413"/>
      <c r="S4" s="2413"/>
      <c r="T4" s="2413"/>
      <c r="U4" s="2413"/>
      <c r="V4" s="2413"/>
      <c r="W4" s="2413"/>
      <c r="X4" s="2413"/>
      <c r="Y4" s="2413"/>
      <c r="Z4" s="2413"/>
      <c r="AA4" s="2413"/>
      <c r="AB4" s="2413"/>
      <c r="AC4" s="2413"/>
      <c r="AD4" s="2413"/>
      <c r="AE4" s="2413"/>
      <c r="AF4" s="2413"/>
      <c r="AG4" s="2413"/>
      <c r="AH4" s="2413"/>
      <c r="AI4" s="1129"/>
      <c r="AJ4" s="1044"/>
    </row>
    <row r="5" spans="1:37" ht="18.75" customHeight="1">
      <c r="A5" s="2414" t="s">
        <v>1931</v>
      </c>
      <c r="B5" s="2414"/>
      <c r="C5" s="2414"/>
      <c r="D5" s="2414"/>
      <c r="E5" s="2414"/>
      <c r="F5" s="2414"/>
      <c r="G5" s="2414"/>
      <c r="H5" s="2414"/>
      <c r="I5" s="2414"/>
      <c r="J5" s="2414"/>
      <c r="K5" s="2414"/>
      <c r="L5" s="2414"/>
      <c r="M5" s="2414"/>
      <c r="N5" s="2414"/>
      <c r="O5" s="2414"/>
      <c r="P5" s="2414"/>
      <c r="Q5" s="2414"/>
      <c r="R5" s="2414"/>
      <c r="S5" s="2414"/>
      <c r="T5" s="2414"/>
      <c r="U5" s="2414"/>
      <c r="V5" s="2414"/>
      <c r="W5" s="2414"/>
      <c r="X5" s="2414"/>
      <c r="Y5" s="2414"/>
      <c r="Z5" s="2414"/>
      <c r="AA5" s="2414"/>
      <c r="AB5" s="2414"/>
      <c r="AC5" s="2414"/>
      <c r="AD5" s="2414"/>
      <c r="AE5" s="2414"/>
      <c r="AF5" s="2414"/>
      <c r="AG5" s="2414"/>
      <c r="AH5" s="2414"/>
      <c r="AI5" s="2414"/>
      <c r="AJ5" s="1044"/>
    </row>
    <row r="6" spans="1:37" s="51" customFormat="1" ht="15.75" customHeight="1">
      <c r="A6" s="2409" t="s">
        <v>623</v>
      </c>
      <c r="B6" s="2409" t="s">
        <v>1932</v>
      </c>
      <c r="C6" s="2409" t="s">
        <v>356</v>
      </c>
      <c r="D6" s="2409" t="s">
        <v>529</v>
      </c>
      <c r="E6" s="2409"/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2409"/>
      <c r="Q6" s="2409"/>
      <c r="R6" s="2409"/>
      <c r="S6" s="2409"/>
      <c r="T6" s="2409"/>
      <c r="U6" s="2409"/>
      <c r="V6" s="2409"/>
      <c r="W6" s="2409"/>
      <c r="X6" s="2409"/>
      <c r="Y6" s="2409"/>
      <c r="Z6" s="2409"/>
      <c r="AA6" s="2409"/>
      <c r="AB6" s="2409"/>
      <c r="AC6" s="2409"/>
      <c r="AD6" s="2409"/>
      <c r="AE6" s="2409"/>
      <c r="AF6" s="2409"/>
      <c r="AG6" s="2409"/>
      <c r="AH6" s="2409"/>
      <c r="AI6" s="2410" t="s">
        <v>1933</v>
      </c>
      <c r="AJ6" s="2411" t="s">
        <v>1934</v>
      </c>
    </row>
    <row r="7" spans="1:37" s="51" customFormat="1" ht="22.15" customHeight="1">
      <c r="A7" s="2409"/>
      <c r="B7" s="2409"/>
      <c r="C7" s="2409"/>
      <c r="D7" s="2409">
        <v>1</v>
      </c>
      <c r="E7" s="2409">
        <v>2</v>
      </c>
      <c r="F7" s="2409">
        <v>3</v>
      </c>
      <c r="G7" s="2409">
        <v>4</v>
      </c>
      <c r="H7" s="2409">
        <v>5</v>
      </c>
      <c r="I7" s="2409">
        <v>6</v>
      </c>
      <c r="J7" s="2409">
        <v>7</v>
      </c>
      <c r="K7" s="2409">
        <v>8</v>
      </c>
      <c r="L7" s="2409">
        <v>9</v>
      </c>
      <c r="M7" s="2409">
        <v>10</v>
      </c>
      <c r="N7" s="2409">
        <v>11</v>
      </c>
      <c r="O7" s="2409">
        <v>12</v>
      </c>
      <c r="P7" s="2409">
        <v>13</v>
      </c>
      <c r="Q7" s="2409">
        <v>14</v>
      </c>
      <c r="R7" s="2409">
        <v>15</v>
      </c>
      <c r="S7" s="2409">
        <v>16</v>
      </c>
      <c r="T7" s="2409">
        <v>17</v>
      </c>
      <c r="U7" s="2409">
        <v>18</v>
      </c>
      <c r="V7" s="2409">
        <v>19</v>
      </c>
      <c r="W7" s="2409">
        <v>20</v>
      </c>
      <c r="X7" s="2409">
        <v>21</v>
      </c>
      <c r="Y7" s="2409">
        <v>22</v>
      </c>
      <c r="Z7" s="2409">
        <v>23</v>
      </c>
      <c r="AA7" s="2409">
        <v>24</v>
      </c>
      <c r="AB7" s="2409">
        <v>25</v>
      </c>
      <c r="AC7" s="2409">
        <v>26</v>
      </c>
      <c r="AD7" s="2409">
        <v>27</v>
      </c>
      <c r="AE7" s="2409">
        <v>28</v>
      </c>
      <c r="AF7" s="2409">
        <v>29</v>
      </c>
      <c r="AG7" s="2409">
        <v>30</v>
      </c>
      <c r="AH7" s="2409">
        <v>31</v>
      </c>
      <c r="AI7" s="2410"/>
      <c r="AJ7" s="2411"/>
    </row>
    <row r="8" spans="1:37" s="51" customFormat="1" ht="10.15" customHeight="1">
      <c r="A8" s="2409"/>
      <c r="B8" s="2409"/>
      <c r="C8" s="1025" t="s">
        <v>1935</v>
      </c>
      <c r="D8" s="2409"/>
      <c r="E8" s="2409"/>
      <c r="F8" s="2409"/>
      <c r="G8" s="2409"/>
      <c r="H8" s="2409"/>
      <c r="I8" s="2409"/>
      <c r="J8" s="2409"/>
      <c r="K8" s="2409"/>
      <c r="L8" s="2409"/>
      <c r="M8" s="2409"/>
      <c r="N8" s="2409"/>
      <c r="O8" s="2409"/>
      <c r="P8" s="2409"/>
      <c r="Q8" s="2409"/>
      <c r="R8" s="2409"/>
      <c r="S8" s="2409"/>
      <c r="T8" s="2409"/>
      <c r="U8" s="2409"/>
      <c r="V8" s="2409"/>
      <c r="W8" s="2409"/>
      <c r="X8" s="2409"/>
      <c r="Y8" s="2409"/>
      <c r="Z8" s="2409"/>
      <c r="AA8" s="2409"/>
      <c r="AB8" s="2409"/>
      <c r="AC8" s="2409"/>
      <c r="AD8" s="2409"/>
      <c r="AE8" s="2409"/>
      <c r="AF8" s="2409"/>
      <c r="AG8" s="2409"/>
      <c r="AH8" s="2409"/>
      <c r="AI8" s="2410"/>
      <c r="AJ8" s="2411"/>
    </row>
    <row r="9" spans="1:37" s="1022" customFormat="1" ht="16.149999999999999" customHeight="1" outlineLevel="1">
      <c r="A9" s="2415" t="s">
        <v>427</v>
      </c>
      <c r="B9" s="2415"/>
      <c r="C9" s="2415"/>
      <c r="D9" s="1027">
        <f>COUNTIF(D10:D52,"X")+COUNTIF(D10:D52,"CN")</f>
        <v>0</v>
      </c>
      <c r="E9" s="1027">
        <f t="shared" ref="E9:AH9" si="0">COUNTIF(E10:E52,"X")+COUNTIF(E10:E52,"CN")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36">
        <f>SUM(AI10:AI52)</f>
        <v>0</v>
      </c>
      <c r="AJ9" s="1036"/>
      <c r="AK9" s="1038"/>
    </row>
    <row r="10" spans="1:37" s="51" customFormat="1" ht="16.149999999999999" customHeight="1" outlineLevel="1">
      <c r="A10" s="1025">
        <v>1</v>
      </c>
      <c r="B10" s="1025" t="e">
        <f>VLOOKUP(C10,'DS CN MOI UP'!$B$10:$C$347,2,0)</f>
        <v>#N/A</v>
      </c>
      <c r="C10" s="1028" t="s">
        <v>357</v>
      </c>
      <c r="D10" s="1062"/>
      <c r="E10" s="1062"/>
      <c r="F10" s="1062"/>
      <c r="G10" s="1062"/>
      <c r="H10" s="1062"/>
      <c r="I10" s="1062"/>
      <c r="J10" s="1062"/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/>
      <c r="AE10" s="1062"/>
      <c r="AF10" s="1062"/>
      <c r="AG10" s="1062"/>
      <c r="AH10" s="1062"/>
      <c r="AI10" s="1069">
        <f t="shared" ref="AI10:AI52" si="1">COUNTIF(D10:AH10,"X")</f>
        <v>0</v>
      </c>
      <c r="AJ10" s="635"/>
      <c r="AK10" s="1070"/>
    </row>
    <row r="11" spans="1:37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358</v>
      </c>
      <c r="D11" s="1062"/>
      <c r="E11" s="1062"/>
      <c r="F11" s="1062"/>
      <c r="G11" s="1062"/>
      <c r="H11" s="1062"/>
      <c r="I11" s="1062"/>
      <c r="J11" s="1062"/>
      <c r="K11" s="1062"/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/>
      <c r="W11" s="1062"/>
      <c r="X11" s="1062"/>
      <c r="Y11" s="1062"/>
      <c r="Z11" s="1062"/>
      <c r="AA11" s="1062"/>
      <c r="AB11" s="1062"/>
      <c r="AC11" s="1062"/>
      <c r="AD11" s="1062"/>
      <c r="AE11" s="1062"/>
      <c r="AF11" s="1062"/>
      <c r="AG11" s="1062"/>
      <c r="AH11" s="1062"/>
      <c r="AI11" s="1069">
        <f t="shared" si="1"/>
        <v>0</v>
      </c>
      <c r="AJ11" s="635"/>
      <c r="AK11" s="266"/>
    </row>
    <row r="12" spans="1:37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385</v>
      </c>
      <c r="D12" s="1062"/>
      <c r="E12" s="1062"/>
      <c r="F12" s="1062"/>
      <c r="G12" s="1062"/>
      <c r="H12" s="1062"/>
      <c r="I12" s="1062"/>
      <c r="J12" s="1062"/>
      <c r="K12" s="1062"/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/>
      <c r="W12" s="1062"/>
      <c r="X12" s="1062"/>
      <c r="Y12" s="1062"/>
      <c r="Z12" s="1062"/>
      <c r="AA12" s="1062"/>
      <c r="AB12" s="1062"/>
      <c r="AC12" s="1062"/>
      <c r="AD12" s="1062"/>
      <c r="AE12" s="1062"/>
      <c r="AF12" s="1062"/>
      <c r="AG12" s="1062"/>
      <c r="AH12" s="1062"/>
      <c r="AI12" s="1069">
        <f t="shared" si="1"/>
        <v>0</v>
      </c>
      <c r="AJ12" s="635"/>
      <c r="AK12" s="266"/>
    </row>
    <row r="13" spans="1:37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1936</v>
      </c>
      <c r="D13" s="1062"/>
      <c r="E13" s="1062"/>
      <c r="F13" s="1062"/>
      <c r="G13" s="1062"/>
      <c r="H13" s="1062"/>
      <c r="I13" s="1062"/>
      <c r="J13" s="1062"/>
      <c r="K13" s="1062"/>
      <c r="L13" s="1062"/>
      <c r="M13" s="1062"/>
      <c r="N13" s="1062"/>
      <c r="O13" s="1062"/>
      <c r="P13" s="1062"/>
      <c r="Q13" s="1062"/>
      <c r="R13" s="1062"/>
      <c r="S13" s="1062"/>
      <c r="T13" s="1062"/>
      <c r="U13" s="1062"/>
      <c r="V13" s="1062"/>
      <c r="W13" s="1062"/>
      <c r="X13" s="1062"/>
      <c r="Y13" s="1062"/>
      <c r="Z13" s="1062"/>
      <c r="AA13" s="1062"/>
      <c r="AB13" s="1062"/>
      <c r="AC13" s="1062"/>
      <c r="AD13" s="1062"/>
      <c r="AE13" s="1062"/>
      <c r="AF13" s="1062"/>
      <c r="AG13" s="1062"/>
      <c r="AH13" s="1062"/>
      <c r="AI13" s="1069">
        <f t="shared" si="1"/>
        <v>0</v>
      </c>
      <c r="AJ13" s="635"/>
      <c r="AK13" s="266"/>
    </row>
    <row r="14" spans="1:37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387</v>
      </c>
      <c r="D14" s="1062"/>
      <c r="E14" s="1062"/>
      <c r="F14" s="1062"/>
      <c r="G14" s="1062"/>
      <c r="H14" s="1062"/>
      <c r="I14" s="1062"/>
      <c r="J14" s="1062"/>
      <c r="K14" s="1062"/>
      <c r="L14" s="1062"/>
      <c r="M14" s="1062"/>
      <c r="N14" s="1062"/>
      <c r="O14" s="1062"/>
      <c r="P14" s="1062"/>
      <c r="Q14" s="1062"/>
      <c r="R14" s="1062"/>
      <c r="S14" s="1062"/>
      <c r="T14" s="1062"/>
      <c r="U14" s="1062"/>
      <c r="V14" s="1062"/>
      <c r="W14" s="1062"/>
      <c r="X14" s="1062"/>
      <c r="Y14" s="1062"/>
      <c r="Z14" s="1062"/>
      <c r="AA14" s="1062"/>
      <c r="AB14" s="1062"/>
      <c r="AC14" s="1062"/>
      <c r="AD14" s="1062"/>
      <c r="AE14" s="1062"/>
      <c r="AF14" s="1062"/>
      <c r="AG14" s="1062"/>
      <c r="AH14" s="1062"/>
      <c r="AI14" s="1069">
        <f t="shared" si="1"/>
        <v>0</v>
      </c>
      <c r="AJ14" s="635"/>
      <c r="AK14" s="266"/>
    </row>
    <row r="15" spans="1:37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388</v>
      </c>
      <c r="D15" s="1062"/>
      <c r="E15" s="1062"/>
      <c r="F15" s="1062"/>
      <c r="G15" s="1062"/>
      <c r="H15" s="1062"/>
      <c r="I15" s="1062"/>
      <c r="J15" s="1062"/>
      <c r="K15" s="1062"/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/>
      <c r="W15" s="1062"/>
      <c r="X15" s="1062"/>
      <c r="Y15" s="1062"/>
      <c r="Z15" s="1062"/>
      <c r="AA15" s="1062"/>
      <c r="AB15" s="1062"/>
      <c r="AC15" s="1062"/>
      <c r="AD15" s="1062"/>
      <c r="AE15" s="1062"/>
      <c r="AF15" s="1062"/>
      <c r="AG15" s="1062"/>
      <c r="AH15" s="1062"/>
      <c r="AI15" s="1069">
        <f t="shared" si="1"/>
        <v>0</v>
      </c>
      <c r="AJ15" s="635"/>
      <c r="AK15" s="266"/>
    </row>
    <row r="16" spans="1:37" s="51" customFormat="1" ht="16.149999999999999" customHeight="1" outlineLevel="1">
      <c r="A16" s="1025">
        <v>7</v>
      </c>
      <c r="B16" s="1025" t="e">
        <f>VLOOKUP(C16,'DS CN MOI UP'!$B$10:$C$347,2,0)</f>
        <v>#N/A</v>
      </c>
      <c r="C16" s="1028" t="s">
        <v>389</v>
      </c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69">
        <f t="shared" si="1"/>
        <v>0</v>
      </c>
      <c r="AJ16" s="635"/>
      <c r="AK16" s="266"/>
    </row>
    <row r="17" spans="1:37" s="51" customFormat="1" ht="16.149999999999999" customHeight="1" outlineLevel="1">
      <c r="A17" s="1025">
        <v>8</v>
      </c>
      <c r="B17" s="1025" t="e">
        <f>VLOOKUP(C17,'DS CN MOI UP'!$B$10:$C$347,2,0)</f>
        <v>#N/A</v>
      </c>
      <c r="C17" s="1028" t="s">
        <v>1937</v>
      </c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69">
        <f t="shared" si="1"/>
        <v>0</v>
      </c>
      <c r="AJ17" s="635"/>
      <c r="AK17" s="266"/>
    </row>
    <row r="18" spans="1:37" s="51" customFormat="1" ht="16.149999999999999" customHeight="1" outlineLevel="1">
      <c r="A18" s="1025">
        <v>9</v>
      </c>
      <c r="B18" s="1025" t="e">
        <f>VLOOKUP(C18,'DS CN MOI UP'!$B$10:$C$347,2,0)</f>
        <v>#N/A</v>
      </c>
      <c r="C18" s="1028" t="s">
        <v>391</v>
      </c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69">
        <f t="shared" si="1"/>
        <v>0</v>
      </c>
      <c r="AJ18" s="635"/>
      <c r="AK18" s="266"/>
    </row>
    <row r="19" spans="1:37" s="51" customFormat="1" ht="16.149999999999999" customHeight="1" outlineLevel="1">
      <c r="A19" s="1025">
        <v>10</v>
      </c>
      <c r="B19" s="1025" t="e">
        <f>VLOOKUP(C19,'DS CN MOI UP'!$B$10:$C$347,2,0)</f>
        <v>#N/A</v>
      </c>
      <c r="C19" s="1028" t="s">
        <v>392</v>
      </c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69">
        <f t="shared" si="1"/>
        <v>0</v>
      </c>
      <c r="AJ19" s="635"/>
      <c r="AK19" s="266"/>
    </row>
    <row r="20" spans="1:37" s="51" customFormat="1" ht="16.149999999999999" customHeight="1" outlineLevel="1">
      <c r="A20" s="1025">
        <v>11</v>
      </c>
      <c r="B20" s="1025" t="e">
        <f>VLOOKUP(C20,'DS CN MOI UP'!$B$10:$C$347,2,0)</f>
        <v>#N/A</v>
      </c>
      <c r="C20" s="1028" t="s">
        <v>393</v>
      </c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9">
        <f t="shared" si="1"/>
        <v>0</v>
      </c>
      <c r="AJ20" s="635"/>
      <c r="AK20" s="266"/>
    </row>
    <row r="21" spans="1:37" s="51" customFormat="1" ht="16.149999999999999" customHeight="1" outlineLevel="1">
      <c r="A21" s="1025">
        <v>12</v>
      </c>
      <c r="B21" s="1025" t="e">
        <f>VLOOKUP(C21,'DS CN MOI UP'!$B$10:$C$347,2,0)</f>
        <v>#N/A</v>
      </c>
      <c r="C21" s="1028" t="s">
        <v>394</v>
      </c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69">
        <f t="shared" si="1"/>
        <v>0</v>
      </c>
      <c r="AJ21" s="635"/>
      <c r="AK21" s="266"/>
    </row>
    <row r="22" spans="1:37" s="51" customFormat="1" ht="16.149999999999999" customHeight="1" outlineLevel="1">
      <c r="A22" s="1025">
        <v>13</v>
      </c>
      <c r="B22" s="1025" t="e">
        <f>VLOOKUP(C22,'DS CN MOI UP'!$B$10:$C$347,2,0)</f>
        <v>#N/A</v>
      </c>
      <c r="C22" s="1028" t="s">
        <v>537</v>
      </c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69">
        <f t="shared" si="1"/>
        <v>0</v>
      </c>
      <c r="AJ22" s="635"/>
      <c r="AK22" s="266"/>
    </row>
    <row r="23" spans="1:37" s="51" customFormat="1" ht="16.149999999999999" customHeight="1" outlineLevel="1">
      <c r="A23" s="1025">
        <v>14</v>
      </c>
      <c r="B23" s="1025" t="e">
        <f>VLOOKUP(C23,'DS CN MOI UP'!$B$10:$C$347,2,0)</f>
        <v>#N/A</v>
      </c>
      <c r="C23" s="1028" t="s">
        <v>396</v>
      </c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69">
        <f t="shared" si="1"/>
        <v>0</v>
      </c>
      <c r="AJ23" s="635"/>
      <c r="AK23" s="266"/>
    </row>
    <row r="24" spans="1:37" s="51" customFormat="1" ht="16.149999999999999" customHeight="1" outlineLevel="1">
      <c r="A24" s="1025">
        <v>15</v>
      </c>
      <c r="B24" s="1025" t="e">
        <f>VLOOKUP(C24,'DS CN MOI UP'!$B$10:$C$347,2,0)</f>
        <v>#N/A</v>
      </c>
      <c r="C24" s="1028" t="s">
        <v>397</v>
      </c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69">
        <f t="shared" si="1"/>
        <v>0</v>
      </c>
      <c r="AJ24" s="635"/>
      <c r="AK24" s="266"/>
    </row>
    <row r="25" spans="1:37" s="51" customFormat="1" ht="16.149999999999999" customHeight="1" outlineLevel="1">
      <c r="A25" s="1025">
        <v>16</v>
      </c>
      <c r="B25" s="1025" t="e">
        <f>VLOOKUP(C25,'DS CN MOI UP'!$B$10:$C$347,2,0)</f>
        <v>#N/A</v>
      </c>
      <c r="C25" s="1028" t="s">
        <v>1938</v>
      </c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69">
        <f t="shared" si="1"/>
        <v>0</v>
      </c>
      <c r="AJ25" s="635"/>
      <c r="AK25" s="266"/>
    </row>
    <row r="26" spans="1:37" s="51" customFormat="1" ht="16.149999999999999" customHeight="1" outlineLevel="1">
      <c r="A26" s="1025">
        <v>17</v>
      </c>
      <c r="B26" s="1025" t="e">
        <f>VLOOKUP(C26,'DS CN MOI UP'!$B$10:$C$347,2,0)</f>
        <v>#N/A</v>
      </c>
      <c r="C26" s="1028" t="s">
        <v>399</v>
      </c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69">
        <f t="shared" si="1"/>
        <v>0</v>
      </c>
      <c r="AJ26" s="635"/>
      <c r="AK26" s="266"/>
    </row>
    <row r="27" spans="1:37" s="51" customFormat="1" ht="16.149999999999999" customHeight="1" outlineLevel="1">
      <c r="A27" s="1025">
        <v>18</v>
      </c>
      <c r="B27" s="1025" t="e">
        <f>VLOOKUP(C27,'DS CN MOI UP'!$B$10:$C$347,2,0)</f>
        <v>#N/A</v>
      </c>
      <c r="C27" s="1028" t="s">
        <v>400</v>
      </c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69">
        <f t="shared" si="1"/>
        <v>0</v>
      </c>
      <c r="AJ27" s="635"/>
      <c r="AK27" s="266"/>
    </row>
    <row r="28" spans="1:37" s="51" customFormat="1" ht="16.149999999999999" customHeight="1" outlineLevel="1">
      <c r="A28" s="1025">
        <v>19</v>
      </c>
      <c r="B28" s="1025" t="e">
        <f>VLOOKUP(C28,'DS CN MOI UP'!$B$10:$C$347,2,0)</f>
        <v>#N/A</v>
      </c>
      <c r="C28" s="1028" t="s">
        <v>401</v>
      </c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69">
        <f t="shared" si="1"/>
        <v>0</v>
      </c>
      <c r="AJ28" s="635"/>
      <c r="AK28" s="266"/>
    </row>
    <row r="29" spans="1:37" s="51" customFormat="1" ht="16.149999999999999" customHeight="1" outlineLevel="1">
      <c r="A29" s="1025">
        <v>20</v>
      </c>
      <c r="B29" s="1025" t="e">
        <f>VLOOKUP(C29,'DS CN MOI UP'!$B$10:$C$347,2,0)</f>
        <v>#N/A</v>
      </c>
      <c r="C29" s="1028" t="s">
        <v>402</v>
      </c>
      <c r="D29" s="1062"/>
      <c r="E29" s="1062"/>
      <c r="F29" s="1062"/>
      <c r="G29" s="1062"/>
      <c r="H29" s="1062"/>
      <c r="I29" s="1062"/>
      <c r="J29" s="1062"/>
      <c r="K29" s="1062"/>
      <c r="L29" s="1062"/>
      <c r="M29" s="1062"/>
      <c r="N29" s="1062"/>
      <c r="O29" s="1062"/>
      <c r="P29" s="1062"/>
      <c r="Q29" s="1062"/>
      <c r="R29" s="1062"/>
      <c r="S29" s="1062"/>
      <c r="T29" s="1062"/>
      <c r="U29" s="1062"/>
      <c r="V29" s="1062"/>
      <c r="W29" s="1062"/>
      <c r="X29" s="1062"/>
      <c r="Y29" s="1062"/>
      <c r="Z29" s="1062"/>
      <c r="AA29" s="1062"/>
      <c r="AB29" s="1062"/>
      <c r="AC29" s="1062"/>
      <c r="AD29" s="1062"/>
      <c r="AE29" s="1062"/>
      <c r="AF29" s="1062"/>
      <c r="AG29" s="1062"/>
      <c r="AH29" s="1062"/>
      <c r="AI29" s="1069">
        <f t="shared" si="1"/>
        <v>0</v>
      </c>
      <c r="AJ29" s="635"/>
      <c r="AK29" s="266"/>
    </row>
    <row r="30" spans="1:37" s="51" customFormat="1" ht="16.149999999999999" customHeight="1" outlineLevel="1">
      <c r="A30" s="1025">
        <v>21</v>
      </c>
      <c r="B30" s="1025" t="e">
        <f>VLOOKUP(C30,'DS CN MOI UP'!$B$10:$C$347,2,0)</f>
        <v>#N/A</v>
      </c>
      <c r="C30" s="1028" t="s">
        <v>403</v>
      </c>
      <c r="D30" s="1062"/>
      <c r="E30" s="1062"/>
      <c r="F30" s="1062"/>
      <c r="G30" s="1062"/>
      <c r="H30" s="1062"/>
      <c r="I30" s="1062"/>
      <c r="J30" s="1062"/>
      <c r="K30" s="1062"/>
      <c r="L30" s="1062"/>
      <c r="M30" s="1062"/>
      <c r="N30" s="1062"/>
      <c r="O30" s="1062"/>
      <c r="P30" s="1062"/>
      <c r="Q30" s="1062"/>
      <c r="R30" s="1062"/>
      <c r="S30" s="1062"/>
      <c r="T30" s="1062"/>
      <c r="U30" s="1062"/>
      <c r="V30" s="1062"/>
      <c r="W30" s="1062"/>
      <c r="X30" s="1062"/>
      <c r="Y30" s="1062"/>
      <c r="Z30" s="1062"/>
      <c r="AA30" s="1062"/>
      <c r="AB30" s="1062"/>
      <c r="AC30" s="1062"/>
      <c r="AD30" s="1062"/>
      <c r="AE30" s="1062"/>
      <c r="AF30" s="1062"/>
      <c r="AG30" s="1062"/>
      <c r="AH30" s="1062"/>
      <c r="AI30" s="1069">
        <f t="shared" si="1"/>
        <v>0</v>
      </c>
      <c r="AJ30" s="635"/>
      <c r="AK30" s="266"/>
    </row>
    <row r="31" spans="1:37" s="51" customFormat="1" ht="16.149999999999999" customHeight="1" outlineLevel="1">
      <c r="A31" s="1025">
        <v>22</v>
      </c>
      <c r="B31" s="1025" t="e">
        <f>VLOOKUP(C31,'DS CN MOI UP'!$B$10:$C$347,2,0)</f>
        <v>#N/A</v>
      </c>
      <c r="C31" s="1028" t="s">
        <v>404</v>
      </c>
      <c r="D31" s="1062"/>
      <c r="E31" s="1062"/>
      <c r="F31" s="1062"/>
      <c r="G31" s="1062"/>
      <c r="H31" s="1062"/>
      <c r="I31" s="1062"/>
      <c r="J31" s="1062"/>
      <c r="K31" s="1062"/>
      <c r="L31" s="1062"/>
      <c r="M31" s="1062"/>
      <c r="N31" s="1062"/>
      <c r="O31" s="1062"/>
      <c r="P31" s="1062"/>
      <c r="Q31" s="1062"/>
      <c r="R31" s="1062"/>
      <c r="S31" s="1062"/>
      <c r="T31" s="1062"/>
      <c r="U31" s="1062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2"/>
      <c r="AH31" s="1062"/>
      <c r="AI31" s="1069">
        <f t="shared" si="1"/>
        <v>0</v>
      </c>
      <c r="AJ31" s="635"/>
      <c r="AK31" s="266"/>
    </row>
    <row r="32" spans="1:37" s="51" customFormat="1" ht="16.149999999999999" customHeight="1" outlineLevel="1">
      <c r="A32" s="1025">
        <v>23</v>
      </c>
      <c r="B32" s="1025" t="e">
        <f>VLOOKUP(C32,'DS CN MOI UP'!$B$10:$C$347,2,0)</f>
        <v>#N/A</v>
      </c>
      <c r="C32" s="1028" t="s">
        <v>405</v>
      </c>
      <c r="D32" s="1062"/>
      <c r="E32" s="1062"/>
      <c r="F32" s="1062"/>
      <c r="G32" s="1062"/>
      <c r="H32" s="1062"/>
      <c r="I32" s="1062"/>
      <c r="J32" s="1062"/>
      <c r="K32" s="1062"/>
      <c r="L32" s="1062"/>
      <c r="M32" s="1062"/>
      <c r="N32" s="1062"/>
      <c r="O32" s="1062"/>
      <c r="P32" s="1062"/>
      <c r="Q32" s="1062"/>
      <c r="R32" s="1062"/>
      <c r="S32" s="1062"/>
      <c r="T32" s="1062"/>
      <c r="U32" s="1062"/>
      <c r="V32" s="1062"/>
      <c r="W32" s="1062"/>
      <c r="X32" s="1062"/>
      <c r="Y32" s="1062"/>
      <c r="Z32" s="1062"/>
      <c r="AA32" s="1062"/>
      <c r="AB32" s="1062"/>
      <c r="AC32" s="1062"/>
      <c r="AD32" s="1062"/>
      <c r="AE32" s="1062"/>
      <c r="AF32" s="1062"/>
      <c r="AG32" s="1062"/>
      <c r="AH32" s="1062"/>
      <c r="AI32" s="1069">
        <f t="shared" si="1"/>
        <v>0</v>
      </c>
      <c r="AJ32" s="635"/>
      <c r="AK32" s="266"/>
    </row>
    <row r="33" spans="1:37" s="51" customFormat="1" ht="16.149999999999999" customHeight="1" outlineLevel="1">
      <c r="A33" s="1025">
        <v>24</v>
      </c>
      <c r="B33" s="1025" t="e">
        <f>VLOOKUP(C33,'DS CN MOI UP'!$B$10:$C$347,2,0)</f>
        <v>#N/A</v>
      </c>
      <c r="C33" s="1028" t="s">
        <v>406</v>
      </c>
      <c r="D33" s="1062"/>
      <c r="E33" s="1062"/>
      <c r="F33" s="1062"/>
      <c r="G33" s="1062"/>
      <c r="H33" s="1062"/>
      <c r="I33" s="1062"/>
      <c r="J33" s="1062"/>
      <c r="K33" s="1062"/>
      <c r="L33" s="1062"/>
      <c r="M33" s="1062"/>
      <c r="N33" s="1062"/>
      <c r="O33" s="1062"/>
      <c r="P33" s="1062"/>
      <c r="Q33" s="1062"/>
      <c r="R33" s="1062"/>
      <c r="S33" s="1062"/>
      <c r="T33" s="1062"/>
      <c r="U33" s="1062"/>
      <c r="V33" s="1062"/>
      <c r="W33" s="1062"/>
      <c r="X33" s="1062"/>
      <c r="Y33" s="1062"/>
      <c r="Z33" s="1062"/>
      <c r="AA33" s="1062"/>
      <c r="AB33" s="1062"/>
      <c r="AC33" s="1062"/>
      <c r="AD33" s="1062"/>
      <c r="AE33" s="1062"/>
      <c r="AF33" s="1062"/>
      <c r="AG33" s="1062"/>
      <c r="AH33" s="1062"/>
      <c r="AI33" s="1069">
        <f t="shared" si="1"/>
        <v>0</v>
      </c>
      <c r="AJ33" s="635"/>
      <c r="AK33" s="266"/>
    </row>
    <row r="34" spans="1:37" s="51" customFormat="1" ht="16.149999999999999" customHeight="1" outlineLevel="1">
      <c r="A34" s="1025">
        <v>25</v>
      </c>
      <c r="B34" s="1025" t="e">
        <f>VLOOKUP(C34,'DS CN MOI UP'!$B$10:$C$347,2,0)</f>
        <v>#N/A</v>
      </c>
      <c r="C34" s="1028" t="s">
        <v>407</v>
      </c>
      <c r="D34" s="1062"/>
      <c r="E34" s="1062"/>
      <c r="F34" s="1062"/>
      <c r="G34" s="1062"/>
      <c r="H34" s="1062"/>
      <c r="I34" s="1062"/>
      <c r="J34" s="1062"/>
      <c r="K34" s="1062"/>
      <c r="L34" s="1062"/>
      <c r="M34" s="1062"/>
      <c r="N34" s="1062"/>
      <c r="O34" s="1062"/>
      <c r="P34" s="1062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62"/>
      <c r="AD34" s="1062"/>
      <c r="AE34" s="1062"/>
      <c r="AF34" s="1062"/>
      <c r="AG34" s="1062"/>
      <c r="AH34" s="1062"/>
      <c r="AI34" s="1069">
        <f t="shared" si="1"/>
        <v>0</v>
      </c>
      <c r="AJ34" s="635"/>
      <c r="AK34" s="266"/>
    </row>
    <row r="35" spans="1:37" s="51" customFormat="1" ht="16.149999999999999" customHeight="1" outlineLevel="1">
      <c r="A35" s="1025">
        <v>26</v>
      </c>
      <c r="B35" s="1025" t="e">
        <f>VLOOKUP(C35,'DS CN MOI UP'!$B$10:$C$347,2,0)</f>
        <v>#N/A</v>
      </c>
      <c r="C35" s="1028" t="s">
        <v>408</v>
      </c>
      <c r="D35" s="1062"/>
      <c r="E35" s="1062"/>
      <c r="F35" s="1062"/>
      <c r="G35" s="1062"/>
      <c r="H35" s="1062"/>
      <c r="I35" s="1062"/>
      <c r="J35" s="1062"/>
      <c r="K35" s="1062"/>
      <c r="L35" s="1062"/>
      <c r="M35" s="1062"/>
      <c r="N35" s="1062"/>
      <c r="O35" s="1062"/>
      <c r="P35" s="1062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62"/>
      <c r="AD35" s="1062"/>
      <c r="AE35" s="1062"/>
      <c r="AF35" s="1062"/>
      <c r="AG35" s="1062"/>
      <c r="AH35" s="1062"/>
      <c r="AI35" s="1069">
        <f t="shared" si="1"/>
        <v>0</v>
      </c>
      <c r="AJ35" s="635"/>
      <c r="AK35" s="266"/>
    </row>
    <row r="36" spans="1:37" s="51" customFormat="1" ht="16.149999999999999" customHeight="1" outlineLevel="1">
      <c r="A36" s="1025">
        <v>27</v>
      </c>
      <c r="B36" s="1025" t="e">
        <f>VLOOKUP(C36,'DS CN MOI UP'!$B$10:$C$347,2,0)</f>
        <v>#N/A</v>
      </c>
      <c r="C36" s="1028" t="s">
        <v>1939</v>
      </c>
      <c r="D36" s="1062"/>
      <c r="E36" s="1062"/>
      <c r="F36" s="1062"/>
      <c r="G36" s="1062"/>
      <c r="H36" s="1062"/>
      <c r="I36" s="1062"/>
      <c r="J36" s="1062"/>
      <c r="K36" s="1062"/>
      <c r="L36" s="1062"/>
      <c r="M36" s="1062"/>
      <c r="N36" s="1062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2"/>
      <c r="AH36" s="1062"/>
      <c r="AI36" s="1069">
        <f t="shared" si="1"/>
        <v>0</v>
      </c>
      <c r="AJ36" s="635"/>
      <c r="AK36" s="266"/>
    </row>
    <row r="37" spans="1:37" s="51" customFormat="1" ht="16.149999999999999" customHeight="1" outlineLevel="1">
      <c r="A37" s="1025">
        <v>28</v>
      </c>
      <c r="B37" s="1025" t="e">
        <f>VLOOKUP(C37,'DS CN MOI UP'!$B$10:$C$347,2,0)</f>
        <v>#N/A</v>
      </c>
      <c r="C37" s="1028" t="s">
        <v>410</v>
      </c>
      <c r="D37" s="1062"/>
      <c r="E37" s="1062"/>
      <c r="F37" s="1062"/>
      <c r="G37" s="1062"/>
      <c r="H37" s="1062"/>
      <c r="I37" s="1062"/>
      <c r="J37" s="1062"/>
      <c r="K37" s="1062"/>
      <c r="L37" s="1062"/>
      <c r="M37" s="1062"/>
      <c r="N37" s="1062"/>
      <c r="O37" s="1062"/>
      <c r="P37" s="1062"/>
      <c r="Q37" s="1062"/>
      <c r="R37" s="1062"/>
      <c r="S37" s="1062"/>
      <c r="T37" s="1062"/>
      <c r="U37" s="1062"/>
      <c r="V37" s="1062"/>
      <c r="W37" s="1062"/>
      <c r="X37" s="1062"/>
      <c r="Y37" s="1062"/>
      <c r="Z37" s="1062"/>
      <c r="AA37" s="1062"/>
      <c r="AB37" s="1062"/>
      <c r="AC37" s="1062"/>
      <c r="AD37" s="1062"/>
      <c r="AE37" s="1062"/>
      <c r="AF37" s="1062"/>
      <c r="AG37" s="1062"/>
      <c r="AH37" s="1062"/>
      <c r="AI37" s="1069">
        <f t="shared" si="1"/>
        <v>0</v>
      </c>
      <c r="AJ37" s="635"/>
      <c r="AK37" s="266"/>
    </row>
    <row r="38" spans="1:37" s="51" customFormat="1" ht="16.149999999999999" customHeight="1" outlineLevel="1">
      <c r="A38" s="1025">
        <v>29</v>
      </c>
      <c r="B38" s="1025" t="e">
        <f>VLOOKUP(C38,'DS CN MOI UP'!$B$10:$C$347,2,0)</f>
        <v>#N/A</v>
      </c>
      <c r="C38" s="1028" t="s">
        <v>411</v>
      </c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9">
        <f t="shared" si="1"/>
        <v>0</v>
      </c>
      <c r="AJ38" s="635"/>
      <c r="AK38" s="266"/>
    </row>
    <row r="39" spans="1:37" s="51" customFormat="1" ht="16.149999999999999" customHeight="1" outlineLevel="1">
      <c r="A39" s="1025">
        <v>30</v>
      </c>
      <c r="B39" s="1025" t="e">
        <f>VLOOKUP(C39,'DS CN MOI UP'!$B$10:$C$347,2,0)</f>
        <v>#N/A</v>
      </c>
      <c r="C39" s="1028" t="s">
        <v>412</v>
      </c>
      <c r="D39" s="1062"/>
      <c r="E39" s="1062"/>
      <c r="F39" s="1062"/>
      <c r="G39" s="1062"/>
      <c r="H39" s="1062"/>
      <c r="I39" s="1062"/>
      <c r="J39" s="1062"/>
      <c r="K39" s="1062"/>
      <c r="L39" s="1062"/>
      <c r="M39" s="1062"/>
      <c r="N39" s="1062"/>
      <c r="O39" s="1062"/>
      <c r="P39" s="1062"/>
      <c r="Q39" s="1062"/>
      <c r="R39" s="1062"/>
      <c r="S39" s="1062"/>
      <c r="T39" s="1062"/>
      <c r="U39" s="1062"/>
      <c r="V39" s="1062"/>
      <c r="W39" s="1062"/>
      <c r="X39" s="1062"/>
      <c r="Y39" s="1062"/>
      <c r="Z39" s="1062"/>
      <c r="AA39" s="1062"/>
      <c r="AB39" s="1062"/>
      <c r="AC39" s="1062"/>
      <c r="AD39" s="1062"/>
      <c r="AE39" s="1062"/>
      <c r="AF39" s="1062"/>
      <c r="AG39" s="1062"/>
      <c r="AH39" s="1062"/>
      <c r="AI39" s="1069">
        <f t="shared" si="1"/>
        <v>0</v>
      </c>
      <c r="AJ39" s="635"/>
      <c r="AK39" s="266"/>
    </row>
    <row r="40" spans="1:37" s="51" customFormat="1" ht="16.149999999999999" customHeight="1" outlineLevel="1">
      <c r="A40" s="1025">
        <v>31</v>
      </c>
      <c r="B40" s="1025" t="e">
        <f>VLOOKUP(C40,'DS CN MOI UP'!$B$10:$C$347,2,0)</f>
        <v>#N/A</v>
      </c>
      <c r="C40" s="1028" t="s">
        <v>413</v>
      </c>
      <c r="D40" s="1062"/>
      <c r="E40" s="1062"/>
      <c r="F40" s="1062"/>
      <c r="G40" s="1062"/>
      <c r="H40" s="1062"/>
      <c r="I40" s="1062"/>
      <c r="J40" s="1062"/>
      <c r="K40" s="1062"/>
      <c r="L40" s="1062"/>
      <c r="M40" s="1062"/>
      <c r="N40" s="1062"/>
      <c r="O40" s="1062"/>
      <c r="P40" s="1062"/>
      <c r="Q40" s="1062"/>
      <c r="R40" s="1062"/>
      <c r="S40" s="1062"/>
      <c r="T40" s="1062"/>
      <c r="U40" s="1062"/>
      <c r="V40" s="1062"/>
      <c r="W40" s="1062"/>
      <c r="X40" s="1062"/>
      <c r="Y40" s="1062"/>
      <c r="Z40" s="1062"/>
      <c r="AA40" s="1062"/>
      <c r="AB40" s="1062"/>
      <c r="AC40" s="1062"/>
      <c r="AD40" s="1062"/>
      <c r="AE40" s="1062"/>
      <c r="AF40" s="1062"/>
      <c r="AG40" s="1062"/>
      <c r="AH40" s="1062"/>
      <c r="AI40" s="1069">
        <f t="shared" si="1"/>
        <v>0</v>
      </c>
      <c r="AJ40" s="635"/>
      <c r="AK40" s="266"/>
    </row>
    <row r="41" spans="1:37" s="51" customFormat="1" ht="16.149999999999999" customHeight="1" outlineLevel="1">
      <c r="A41" s="1025">
        <v>32</v>
      </c>
      <c r="B41" s="1025" t="e">
        <f>VLOOKUP(C41,'DS CN MOI UP'!$B$10:$C$347,2,0)</f>
        <v>#N/A</v>
      </c>
      <c r="C41" s="1028" t="s">
        <v>414</v>
      </c>
      <c r="D41" s="1062"/>
      <c r="E41" s="1062"/>
      <c r="F41" s="1062"/>
      <c r="G41" s="1062"/>
      <c r="H41" s="1062"/>
      <c r="I41" s="1062"/>
      <c r="J41" s="1062"/>
      <c r="K41" s="1062"/>
      <c r="L41" s="1062"/>
      <c r="M41" s="1062"/>
      <c r="N41" s="1062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2"/>
      <c r="AF41" s="1062"/>
      <c r="AG41" s="1062"/>
      <c r="AH41" s="1062"/>
      <c r="AI41" s="1069">
        <f t="shared" si="1"/>
        <v>0</v>
      </c>
      <c r="AJ41" s="635"/>
      <c r="AK41" s="266"/>
    </row>
    <row r="42" spans="1:37" s="51" customFormat="1" ht="16.149999999999999" customHeight="1" outlineLevel="1">
      <c r="A42" s="1025">
        <v>33</v>
      </c>
      <c r="B42" s="1025" t="e">
        <f>VLOOKUP(C42,'DS CN MOI UP'!$B$10:$C$347,2,0)</f>
        <v>#N/A</v>
      </c>
      <c r="C42" s="1028" t="s">
        <v>415</v>
      </c>
      <c r="D42" s="1062"/>
      <c r="E42" s="1062"/>
      <c r="F42" s="1062"/>
      <c r="G42" s="1062"/>
      <c r="H42" s="1062"/>
      <c r="I42" s="1062"/>
      <c r="J42" s="1062"/>
      <c r="K42" s="1062"/>
      <c r="L42" s="1062"/>
      <c r="M42" s="1062"/>
      <c r="N42" s="1062"/>
      <c r="O42" s="1062"/>
      <c r="P42" s="1062"/>
      <c r="Q42" s="1062"/>
      <c r="R42" s="1062"/>
      <c r="S42" s="1062"/>
      <c r="T42" s="1062"/>
      <c r="U42" s="1062"/>
      <c r="V42" s="1062"/>
      <c r="W42" s="1062"/>
      <c r="X42" s="1062"/>
      <c r="Y42" s="1062"/>
      <c r="Z42" s="1062"/>
      <c r="AA42" s="1062"/>
      <c r="AB42" s="1062"/>
      <c r="AC42" s="1062"/>
      <c r="AD42" s="1062"/>
      <c r="AE42" s="1062"/>
      <c r="AF42" s="1062"/>
      <c r="AG42" s="1062"/>
      <c r="AH42" s="1062"/>
      <c r="AI42" s="1069">
        <f t="shared" si="1"/>
        <v>0</v>
      </c>
      <c r="AJ42" s="635"/>
      <c r="AK42" s="266"/>
    </row>
    <row r="43" spans="1:37" s="51" customFormat="1" ht="16.149999999999999" customHeight="1" outlineLevel="1">
      <c r="A43" s="1025">
        <v>34</v>
      </c>
      <c r="B43" s="1025" t="e">
        <f>VLOOKUP(C43,'DS CN MOI UP'!$B$10:$C$347,2,0)</f>
        <v>#N/A</v>
      </c>
      <c r="C43" s="1028" t="s">
        <v>1940</v>
      </c>
      <c r="D43" s="1062"/>
      <c r="E43" s="1062"/>
      <c r="F43" s="1062"/>
      <c r="G43" s="1062"/>
      <c r="H43" s="1062"/>
      <c r="I43" s="1062"/>
      <c r="J43" s="1062"/>
      <c r="K43" s="1062"/>
      <c r="L43" s="1062"/>
      <c r="M43" s="1062"/>
      <c r="N43" s="1062"/>
      <c r="O43" s="1062"/>
      <c r="P43" s="1062"/>
      <c r="Q43" s="1062"/>
      <c r="R43" s="1062"/>
      <c r="S43" s="1062"/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AE43" s="1062"/>
      <c r="AF43" s="1062"/>
      <c r="AG43" s="1062"/>
      <c r="AH43" s="1062"/>
      <c r="AI43" s="1069">
        <f t="shared" si="1"/>
        <v>0</v>
      </c>
      <c r="AJ43" s="635"/>
      <c r="AK43" s="266"/>
    </row>
    <row r="44" spans="1:37" s="51" customFormat="1" ht="16.149999999999999" customHeight="1" outlineLevel="1">
      <c r="A44" s="1025">
        <v>35</v>
      </c>
      <c r="B44" s="1025" t="e">
        <f>VLOOKUP(C44,'DS CN MOI UP'!$B$10:$C$347,2,0)</f>
        <v>#N/A</v>
      </c>
      <c r="C44" s="1028" t="s">
        <v>417</v>
      </c>
      <c r="D44" s="1062"/>
      <c r="E44" s="1062"/>
      <c r="F44" s="1062"/>
      <c r="G44" s="1062"/>
      <c r="H44" s="1062"/>
      <c r="I44" s="1062"/>
      <c r="J44" s="1062"/>
      <c r="K44" s="1062"/>
      <c r="L44" s="1062"/>
      <c r="M44" s="1062"/>
      <c r="N44" s="1062"/>
      <c r="O44" s="1062"/>
      <c r="P44" s="1062"/>
      <c r="Q44" s="1062"/>
      <c r="R44" s="1062"/>
      <c r="S44" s="1062"/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AE44" s="1062"/>
      <c r="AF44" s="1062"/>
      <c r="AG44" s="1062"/>
      <c r="AH44" s="1062"/>
      <c r="AI44" s="1069">
        <f t="shared" si="1"/>
        <v>0</v>
      </c>
      <c r="AJ44" s="635"/>
      <c r="AK44" s="266"/>
    </row>
    <row r="45" spans="1:37" s="51" customFormat="1" ht="16.149999999999999" customHeight="1" outlineLevel="1">
      <c r="A45" s="1025">
        <v>36</v>
      </c>
      <c r="B45" s="1025" t="e">
        <f>VLOOKUP(C45,'DS CN MOI UP'!$B$10:$C$347,2,0)</f>
        <v>#N/A</v>
      </c>
      <c r="C45" s="1028" t="s">
        <v>418</v>
      </c>
      <c r="D45" s="1062"/>
      <c r="E45" s="1062"/>
      <c r="F45" s="1062"/>
      <c r="G45" s="1062"/>
      <c r="H45" s="1062"/>
      <c r="I45" s="1062"/>
      <c r="J45" s="1062"/>
      <c r="K45" s="1062"/>
      <c r="L45" s="1062"/>
      <c r="M45" s="1062"/>
      <c r="N45" s="1062"/>
      <c r="O45" s="1062"/>
      <c r="P45" s="1062"/>
      <c r="Q45" s="1062"/>
      <c r="R45" s="1062"/>
      <c r="S45" s="1062"/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AE45" s="1062"/>
      <c r="AF45" s="1062"/>
      <c r="AG45" s="1062"/>
      <c r="AH45" s="1062"/>
      <c r="AI45" s="1069">
        <f t="shared" si="1"/>
        <v>0</v>
      </c>
      <c r="AJ45" s="635"/>
      <c r="AK45" s="266"/>
    </row>
    <row r="46" spans="1:37" s="51" customFormat="1" ht="16.149999999999999" customHeight="1" outlineLevel="1">
      <c r="A46" s="1025">
        <v>37</v>
      </c>
      <c r="B46" s="1025" t="e">
        <f>VLOOKUP(C46,'DS CN MOI UP'!$B$10:$C$347,2,0)</f>
        <v>#N/A</v>
      </c>
      <c r="C46" s="1028" t="s">
        <v>419</v>
      </c>
      <c r="D46" s="1062"/>
      <c r="E46" s="1062"/>
      <c r="F46" s="1062"/>
      <c r="G46" s="1062"/>
      <c r="H46" s="1062"/>
      <c r="I46" s="1062"/>
      <c r="J46" s="1062"/>
      <c r="K46" s="1062"/>
      <c r="L46" s="1062"/>
      <c r="M46" s="1062"/>
      <c r="N46" s="1062"/>
      <c r="O46" s="1062"/>
      <c r="P46" s="1062"/>
      <c r="Q46" s="1062"/>
      <c r="R46" s="1062"/>
      <c r="S46" s="1062"/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AE46" s="1062"/>
      <c r="AF46" s="1062"/>
      <c r="AG46" s="1062"/>
      <c r="AH46" s="1062"/>
      <c r="AI46" s="1069">
        <f t="shared" si="1"/>
        <v>0</v>
      </c>
      <c r="AJ46" s="635"/>
      <c r="AK46" s="266"/>
    </row>
    <row r="47" spans="1:37" s="51" customFormat="1" ht="16.149999999999999" customHeight="1" outlineLevel="1">
      <c r="A47" s="1025">
        <v>38</v>
      </c>
      <c r="B47" s="1025" t="e">
        <f>VLOOKUP(C47,'DS CN MOI UP'!$B$10:$C$347,2,0)</f>
        <v>#N/A</v>
      </c>
      <c r="C47" s="1028" t="s">
        <v>420</v>
      </c>
      <c r="D47" s="1062"/>
      <c r="E47" s="1062"/>
      <c r="F47" s="1062"/>
      <c r="G47" s="1062"/>
      <c r="H47" s="1062"/>
      <c r="I47" s="1062"/>
      <c r="J47" s="1062"/>
      <c r="K47" s="1062"/>
      <c r="L47" s="1062"/>
      <c r="M47" s="1062"/>
      <c r="N47" s="1062"/>
      <c r="O47" s="1062"/>
      <c r="P47" s="1062"/>
      <c r="Q47" s="1062"/>
      <c r="R47" s="1062"/>
      <c r="S47" s="1062"/>
      <c r="T47" s="1062"/>
      <c r="U47" s="1062"/>
      <c r="V47" s="1062"/>
      <c r="W47" s="1062"/>
      <c r="X47" s="1062"/>
      <c r="Y47" s="1062"/>
      <c r="Z47" s="1062"/>
      <c r="AA47" s="1062"/>
      <c r="AB47" s="1062"/>
      <c r="AC47" s="1062"/>
      <c r="AD47" s="1062"/>
      <c r="AE47" s="1062"/>
      <c r="AF47" s="1062"/>
      <c r="AG47" s="1062"/>
      <c r="AH47" s="1062"/>
      <c r="AI47" s="1069">
        <f t="shared" si="1"/>
        <v>0</v>
      </c>
      <c r="AJ47" s="635"/>
      <c r="AK47" s="266"/>
    </row>
    <row r="48" spans="1:37" s="51" customFormat="1" ht="16.149999999999999" customHeight="1" outlineLevel="1">
      <c r="A48" s="1025">
        <v>39</v>
      </c>
      <c r="B48" s="1025" t="e">
        <f>VLOOKUP(C48,'DS CN MOI UP'!$B$10:$C$347,2,0)</f>
        <v>#N/A</v>
      </c>
      <c r="C48" s="1028" t="s">
        <v>421</v>
      </c>
      <c r="D48" s="1062"/>
      <c r="E48" s="1062"/>
      <c r="F48" s="1062"/>
      <c r="G48" s="1062"/>
      <c r="H48" s="1062"/>
      <c r="I48" s="1062"/>
      <c r="J48" s="1062"/>
      <c r="K48" s="1062"/>
      <c r="L48" s="1062"/>
      <c r="M48" s="1062"/>
      <c r="N48" s="1062"/>
      <c r="O48" s="1062"/>
      <c r="P48" s="1062"/>
      <c r="Q48" s="1062"/>
      <c r="R48" s="1062"/>
      <c r="S48" s="1062"/>
      <c r="T48" s="1062"/>
      <c r="U48" s="1062"/>
      <c r="V48" s="1062"/>
      <c r="W48" s="1062"/>
      <c r="X48" s="1062"/>
      <c r="Y48" s="1062"/>
      <c r="Z48" s="1062"/>
      <c r="AA48" s="1062"/>
      <c r="AB48" s="1062"/>
      <c r="AC48" s="1062"/>
      <c r="AD48" s="1062"/>
      <c r="AE48" s="1062"/>
      <c r="AF48" s="1062"/>
      <c r="AG48" s="1062"/>
      <c r="AH48" s="1062"/>
      <c r="AI48" s="1069">
        <f t="shared" si="1"/>
        <v>0</v>
      </c>
      <c r="AJ48" s="635"/>
      <c r="AK48" s="266"/>
    </row>
    <row r="49" spans="1:37" s="51" customFormat="1" ht="16.149999999999999" customHeight="1" outlineLevel="1">
      <c r="A49" s="1025">
        <v>40</v>
      </c>
      <c r="B49" s="1025" t="e">
        <f>VLOOKUP(C49,'DS CN MOI UP'!$B$10:$C$347,2,0)</f>
        <v>#N/A</v>
      </c>
      <c r="C49" s="1028" t="s">
        <v>422</v>
      </c>
      <c r="D49" s="1062"/>
      <c r="E49" s="1062"/>
      <c r="F49" s="1062"/>
      <c r="G49" s="1062"/>
      <c r="H49" s="1062"/>
      <c r="I49" s="1062"/>
      <c r="J49" s="1062"/>
      <c r="K49" s="1062"/>
      <c r="L49" s="1062"/>
      <c r="M49" s="1062"/>
      <c r="N49" s="1062"/>
      <c r="O49" s="1062"/>
      <c r="P49" s="1062"/>
      <c r="Q49" s="1062"/>
      <c r="R49" s="1062"/>
      <c r="S49" s="1062"/>
      <c r="T49" s="1062"/>
      <c r="U49" s="1062"/>
      <c r="V49" s="1062"/>
      <c r="W49" s="1062"/>
      <c r="X49" s="1062"/>
      <c r="Y49" s="1062"/>
      <c r="Z49" s="1062"/>
      <c r="AA49" s="1062"/>
      <c r="AB49" s="1062"/>
      <c r="AC49" s="1062"/>
      <c r="AD49" s="1062"/>
      <c r="AE49" s="1062"/>
      <c r="AF49" s="1062"/>
      <c r="AG49" s="1062"/>
      <c r="AH49" s="1062"/>
      <c r="AI49" s="1069">
        <f t="shared" si="1"/>
        <v>0</v>
      </c>
      <c r="AJ49" s="635"/>
      <c r="AK49" s="266"/>
    </row>
    <row r="50" spans="1:37" s="51" customFormat="1" ht="16.149999999999999" customHeight="1" outlineLevel="1">
      <c r="A50" s="1025">
        <v>41</v>
      </c>
      <c r="B50" s="1025" t="e">
        <f>VLOOKUP(C50,'DS CN MOI UP'!$B$10:$C$347,2,0)</f>
        <v>#N/A</v>
      </c>
      <c r="C50" s="1028" t="s">
        <v>423</v>
      </c>
      <c r="D50" s="1062"/>
      <c r="E50" s="1062"/>
      <c r="F50" s="1062"/>
      <c r="G50" s="1062"/>
      <c r="H50" s="1062"/>
      <c r="I50" s="1062"/>
      <c r="J50" s="1062"/>
      <c r="K50" s="1062"/>
      <c r="L50" s="1062"/>
      <c r="M50" s="1062"/>
      <c r="N50" s="1062"/>
      <c r="O50" s="1062"/>
      <c r="P50" s="1062"/>
      <c r="Q50" s="1062"/>
      <c r="R50" s="1062"/>
      <c r="S50" s="1062"/>
      <c r="T50" s="1062"/>
      <c r="U50" s="1062"/>
      <c r="V50" s="1062"/>
      <c r="W50" s="1062"/>
      <c r="X50" s="1062"/>
      <c r="Y50" s="1062"/>
      <c r="Z50" s="1062"/>
      <c r="AA50" s="1062"/>
      <c r="AB50" s="1062"/>
      <c r="AC50" s="1062"/>
      <c r="AD50" s="1062"/>
      <c r="AE50" s="1062"/>
      <c r="AF50" s="1062"/>
      <c r="AG50" s="1062"/>
      <c r="AH50" s="1062"/>
      <c r="AI50" s="1069">
        <f t="shared" si="1"/>
        <v>0</v>
      </c>
      <c r="AJ50" s="635"/>
      <c r="AK50" s="266"/>
    </row>
    <row r="51" spans="1:37" s="51" customFormat="1" ht="16.149999999999999" customHeight="1" outlineLevel="1">
      <c r="A51" s="1025">
        <v>42</v>
      </c>
      <c r="B51" s="1025" t="e">
        <f>VLOOKUP(C51,'DS CN MOI UP'!$B$10:$C$347,2,0)</f>
        <v>#N/A</v>
      </c>
      <c r="C51" s="1028" t="s">
        <v>424</v>
      </c>
      <c r="D51" s="1062"/>
      <c r="E51" s="1062"/>
      <c r="F51" s="1062"/>
      <c r="G51" s="1062"/>
      <c r="H51" s="1062"/>
      <c r="I51" s="1062"/>
      <c r="J51" s="1062"/>
      <c r="K51" s="1062"/>
      <c r="L51" s="1062"/>
      <c r="M51" s="1062"/>
      <c r="N51" s="1062"/>
      <c r="O51" s="1062"/>
      <c r="P51" s="1062"/>
      <c r="Q51" s="1062"/>
      <c r="R51" s="1062"/>
      <c r="S51" s="1062"/>
      <c r="T51" s="1062"/>
      <c r="U51" s="1062"/>
      <c r="V51" s="1062"/>
      <c r="W51" s="1062"/>
      <c r="X51" s="1062"/>
      <c r="Y51" s="1062"/>
      <c r="Z51" s="1062"/>
      <c r="AA51" s="1062"/>
      <c r="AB51" s="1062"/>
      <c r="AC51" s="1062"/>
      <c r="AD51" s="1062"/>
      <c r="AE51" s="1062"/>
      <c r="AF51" s="1062"/>
      <c r="AG51" s="1062"/>
      <c r="AH51" s="1062"/>
      <c r="AI51" s="1069">
        <f t="shared" si="1"/>
        <v>0</v>
      </c>
      <c r="AJ51" s="635"/>
      <c r="AK51" s="266"/>
    </row>
    <row r="52" spans="1:37" s="51" customFormat="1" ht="16.149999999999999" customHeight="1" outlineLevel="1">
      <c r="A52" s="1025">
        <v>43</v>
      </c>
      <c r="B52" s="1025" t="e">
        <f>VLOOKUP(C52,'DS CN MOI UP'!$B$10:$C$347,2,0)</f>
        <v>#N/A</v>
      </c>
      <c r="C52" s="1028" t="s">
        <v>425</v>
      </c>
      <c r="D52" s="1062"/>
      <c r="E52" s="1062"/>
      <c r="F52" s="1062"/>
      <c r="G52" s="1062"/>
      <c r="H52" s="1062"/>
      <c r="I52" s="1062"/>
      <c r="J52" s="1062"/>
      <c r="K52" s="1062"/>
      <c r="L52" s="1062"/>
      <c r="M52" s="1062"/>
      <c r="N52" s="1062"/>
      <c r="O52" s="1062"/>
      <c r="P52" s="1062"/>
      <c r="Q52" s="1062"/>
      <c r="R52" s="1062"/>
      <c r="S52" s="1062"/>
      <c r="T52" s="1062"/>
      <c r="U52" s="1062"/>
      <c r="V52" s="1062"/>
      <c r="W52" s="1062"/>
      <c r="X52" s="1062"/>
      <c r="Y52" s="1062"/>
      <c r="Z52" s="1062"/>
      <c r="AA52" s="1062"/>
      <c r="AB52" s="1062"/>
      <c r="AC52" s="1062"/>
      <c r="AD52" s="1062"/>
      <c r="AE52" s="1062"/>
      <c r="AF52" s="1062"/>
      <c r="AG52" s="1062"/>
      <c r="AH52" s="1062"/>
      <c r="AI52" s="1069">
        <f t="shared" si="1"/>
        <v>0</v>
      </c>
      <c r="AJ52" s="635"/>
      <c r="AK52" s="266"/>
    </row>
    <row r="53" spans="1:37" s="1022" customFormat="1" ht="16.149999999999999" customHeight="1" outlineLevel="1">
      <c r="A53" s="1026" t="s">
        <v>520</v>
      </c>
      <c r="B53" s="1025" t="e">
        <f>VLOOKUP(C53,'DS CN MOI UP'!$B$10:$C$347,2,0)</f>
        <v>#N/A</v>
      </c>
      <c r="C53" s="1026"/>
      <c r="D53" s="1027">
        <f>COUNTIF(D54:D108,"X")+COUNTIF(D54:D108,"CN")</f>
        <v>0</v>
      </c>
      <c r="E53" s="1027">
        <f t="shared" ref="E53:AH53" si="2">COUNTIF(E54:E108,"X")+COUNTIF(E54:E108,"CN")</f>
        <v>0</v>
      </c>
      <c r="F53" s="1027">
        <f t="shared" si="2"/>
        <v>12</v>
      </c>
      <c r="G53" s="1027">
        <f t="shared" si="2"/>
        <v>0</v>
      </c>
      <c r="H53" s="1027">
        <f t="shared" si="2"/>
        <v>15</v>
      </c>
      <c r="I53" s="1027">
        <f t="shared" si="2"/>
        <v>16</v>
      </c>
      <c r="J53" s="1027">
        <f t="shared" si="2"/>
        <v>12</v>
      </c>
      <c r="K53" s="1027">
        <f t="shared" si="2"/>
        <v>21</v>
      </c>
      <c r="L53" s="1027">
        <f t="shared" si="2"/>
        <v>0</v>
      </c>
      <c r="M53" s="1027">
        <f t="shared" si="2"/>
        <v>0</v>
      </c>
      <c r="N53" s="1027">
        <f t="shared" si="2"/>
        <v>0</v>
      </c>
      <c r="O53" s="1027">
        <f t="shared" si="2"/>
        <v>21</v>
      </c>
      <c r="P53" s="1027">
        <f t="shared" si="2"/>
        <v>8</v>
      </c>
      <c r="Q53" s="1027">
        <f t="shared" si="2"/>
        <v>20</v>
      </c>
      <c r="R53" s="1027">
        <f t="shared" si="2"/>
        <v>12</v>
      </c>
      <c r="S53" s="1027">
        <f t="shared" si="2"/>
        <v>0</v>
      </c>
      <c r="T53" s="1027">
        <f t="shared" si="2"/>
        <v>19</v>
      </c>
      <c r="U53" s="1027">
        <f t="shared" si="2"/>
        <v>17</v>
      </c>
      <c r="V53" s="1027">
        <f t="shared" si="2"/>
        <v>0</v>
      </c>
      <c r="W53" s="1027">
        <f t="shared" si="2"/>
        <v>0</v>
      </c>
      <c r="X53" s="1027">
        <f t="shared" si="2"/>
        <v>0</v>
      </c>
      <c r="Y53" s="1027">
        <f t="shared" si="2"/>
        <v>0</v>
      </c>
      <c r="Z53" s="1027">
        <f t="shared" si="2"/>
        <v>0</v>
      </c>
      <c r="AA53" s="1027">
        <f t="shared" si="2"/>
        <v>0</v>
      </c>
      <c r="AB53" s="1027">
        <f t="shared" si="2"/>
        <v>0</v>
      </c>
      <c r="AC53" s="1027">
        <f t="shared" si="2"/>
        <v>0</v>
      </c>
      <c r="AD53" s="1027">
        <f t="shared" si="2"/>
        <v>0</v>
      </c>
      <c r="AE53" s="1027">
        <f t="shared" si="2"/>
        <v>0</v>
      </c>
      <c r="AF53" s="1027">
        <f t="shared" si="2"/>
        <v>0</v>
      </c>
      <c r="AG53" s="1027">
        <f t="shared" si="2"/>
        <v>0</v>
      </c>
      <c r="AH53" s="1027">
        <f t="shared" si="2"/>
        <v>0</v>
      </c>
      <c r="AI53" s="1036">
        <f t="shared" ref="AI53" si="3">SUM(AI54:AI108)</f>
        <v>173</v>
      </c>
      <c r="AJ53" s="1036"/>
      <c r="AK53" s="1038"/>
    </row>
    <row r="54" spans="1:37" s="51" customFormat="1" ht="16.149999999999999" customHeight="1" outlineLevel="1">
      <c r="A54" s="1025">
        <v>1</v>
      </c>
      <c r="B54" s="1025" t="e">
        <f>VLOOKUP(C54,'DS CN MOI UP'!$B$10:$C$347,2,0)</f>
        <v>#N/A</v>
      </c>
      <c r="C54" s="1028" t="s">
        <v>430</v>
      </c>
      <c r="D54" s="1062"/>
      <c r="E54" s="1062"/>
      <c r="F54" s="1062"/>
      <c r="G54" s="1062"/>
      <c r="H54" s="1062"/>
      <c r="I54" s="1062"/>
      <c r="J54" s="1062"/>
      <c r="K54" s="1062"/>
      <c r="L54" s="1062"/>
      <c r="M54" s="1062"/>
      <c r="N54" s="1062"/>
      <c r="O54" s="1062"/>
      <c r="P54" s="1062"/>
      <c r="Q54" s="1062"/>
      <c r="R54" s="1062"/>
      <c r="S54" s="1062"/>
      <c r="T54" s="1062"/>
      <c r="U54" s="1062"/>
      <c r="V54" s="1062"/>
      <c r="W54" s="1062"/>
      <c r="X54" s="1062"/>
      <c r="Y54" s="1062"/>
      <c r="Z54" s="1062"/>
      <c r="AA54" s="1062"/>
      <c r="AB54" s="1062"/>
      <c r="AC54" s="1062"/>
      <c r="AD54" s="1062"/>
      <c r="AE54" s="1062"/>
      <c r="AF54" s="1062"/>
      <c r="AG54" s="1062"/>
      <c r="AH54" s="1062"/>
      <c r="AI54" s="1069">
        <f t="shared" ref="AI54:AI108" si="4">COUNTIF(D54:AH54,"X")</f>
        <v>0</v>
      </c>
      <c r="AJ54" s="635"/>
    </row>
    <row r="55" spans="1:37" s="51" customFormat="1" ht="16.149999999999999" customHeight="1" outlineLevel="1">
      <c r="A55" s="1025">
        <v>2</v>
      </c>
      <c r="B55" s="1025" t="e">
        <f>VLOOKUP(C55,'DS CN MOI UP'!$B$10:$C$347,2,0)</f>
        <v>#N/A</v>
      </c>
      <c r="C55" s="1028" t="s">
        <v>431</v>
      </c>
      <c r="D55" s="1062"/>
      <c r="E55" s="1062"/>
      <c r="F55" s="1062"/>
      <c r="G55" s="1062"/>
      <c r="H55" s="1062"/>
      <c r="I55" s="1062"/>
      <c r="J55" s="1062"/>
      <c r="K55" s="1062"/>
      <c r="L55" s="1062"/>
      <c r="M55" s="1062"/>
      <c r="N55" s="1062"/>
      <c r="O55" s="1062"/>
      <c r="P55" s="1062"/>
      <c r="Q55" s="1062"/>
      <c r="R55" s="1062" t="s">
        <v>536</v>
      </c>
      <c r="S55" s="1062"/>
      <c r="T55" s="1062" t="s">
        <v>536</v>
      </c>
      <c r="U55" s="1062"/>
      <c r="V55" s="1062"/>
      <c r="W55" s="1062"/>
      <c r="X55" s="1062"/>
      <c r="Y55" s="1062"/>
      <c r="Z55" s="1062"/>
      <c r="AA55" s="1062"/>
      <c r="AB55" s="1062"/>
      <c r="AC55" s="1062"/>
      <c r="AD55" s="1062"/>
      <c r="AE55" s="1062"/>
      <c r="AF55" s="1062"/>
      <c r="AG55" s="1062"/>
      <c r="AH55" s="1062"/>
      <c r="AI55" s="1069">
        <f t="shared" si="4"/>
        <v>2</v>
      </c>
      <c r="AJ55" s="635"/>
    </row>
    <row r="56" spans="1:37" s="51" customFormat="1" ht="16.149999999999999" customHeight="1" outlineLevel="1">
      <c r="A56" s="1025">
        <v>3</v>
      </c>
      <c r="B56" s="1025" t="e">
        <f>VLOOKUP(C56,'DS CN MOI UP'!$B$10:$C$347,2,0)</f>
        <v>#N/A</v>
      </c>
      <c r="C56" s="1028" t="s">
        <v>432</v>
      </c>
      <c r="D56" s="1062"/>
      <c r="E56" s="1062"/>
      <c r="F56" s="1062" t="s">
        <v>536</v>
      </c>
      <c r="G56" s="1062"/>
      <c r="H56" s="1062" t="s">
        <v>536</v>
      </c>
      <c r="I56" s="1062"/>
      <c r="J56" s="1062"/>
      <c r="K56" s="1062"/>
      <c r="L56" s="1062"/>
      <c r="M56" s="1062"/>
      <c r="N56" s="1062"/>
      <c r="O56" s="1062" t="s">
        <v>536</v>
      </c>
      <c r="P56" s="1062"/>
      <c r="Q56" s="1062"/>
      <c r="R56" s="1062"/>
      <c r="S56" s="1062"/>
      <c r="T56" s="1062" t="s">
        <v>536</v>
      </c>
      <c r="U56" s="1062"/>
      <c r="V56" s="1062"/>
      <c r="W56" s="1062"/>
      <c r="X56" s="1062"/>
      <c r="Y56" s="1062"/>
      <c r="Z56" s="1062"/>
      <c r="AA56" s="1062"/>
      <c r="AB56" s="1062"/>
      <c r="AC56" s="1062"/>
      <c r="AD56" s="1062"/>
      <c r="AE56" s="1062"/>
      <c r="AF56" s="1062"/>
      <c r="AG56" s="1062"/>
      <c r="AH56" s="1062"/>
      <c r="AI56" s="1069">
        <f t="shared" si="4"/>
        <v>4</v>
      </c>
      <c r="AJ56" s="635"/>
    </row>
    <row r="57" spans="1:37" s="51" customFormat="1" ht="16.149999999999999" customHeight="1" outlineLevel="1">
      <c r="A57" s="1025">
        <v>4</v>
      </c>
      <c r="B57" s="1025" t="e">
        <f>VLOOKUP(C57,'DS CN MOI UP'!$B$10:$C$347,2,0)</f>
        <v>#N/A</v>
      </c>
      <c r="C57" s="1028" t="s">
        <v>433</v>
      </c>
      <c r="D57" s="1062"/>
      <c r="E57" s="1062"/>
      <c r="F57" s="1062"/>
      <c r="G57" s="1062"/>
      <c r="H57" s="1062" t="s">
        <v>536</v>
      </c>
      <c r="I57" s="1062"/>
      <c r="J57" s="1062"/>
      <c r="K57" s="1062" t="s">
        <v>536</v>
      </c>
      <c r="L57" s="1062"/>
      <c r="M57" s="1062"/>
      <c r="N57" s="1062"/>
      <c r="O57" s="1062"/>
      <c r="P57" s="1062"/>
      <c r="Q57" s="1062" t="s">
        <v>536</v>
      </c>
      <c r="R57" s="1062" t="s">
        <v>536</v>
      </c>
      <c r="S57" s="1062"/>
      <c r="T57" s="1062"/>
      <c r="U57" s="1062"/>
      <c r="V57" s="1062"/>
      <c r="W57" s="1062"/>
      <c r="X57" s="1062"/>
      <c r="Y57" s="1062"/>
      <c r="Z57" s="1062"/>
      <c r="AA57" s="1062"/>
      <c r="AB57" s="1062"/>
      <c r="AC57" s="1062"/>
      <c r="AD57" s="1062"/>
      <c r="AE57" s="1062"/>
      <c r="AF57" s="1062"/>
      <c r="AG57" s="1062"/>
      <c r="AH57" s="1062"/>
      <c r="AI57" s="1069">
        <f t="shared" si="4"/>
        <v>4</v>
      </c>
      <c r="AJ57" s="635"/>
    </row>
    <row r="58" spans="1:37" s="51" customFormat="1" ht="16.149999999999999" customHeight="1" outlineLevel="1">
      <c r="A58" s="1025">
        <v>5</v>
      </c>
      <c r="B58" s="1025" t="e">
        <f>VLOOKUP(C58,'DS CN MOI UP'!$B$10:$C$347,2,0)</f>
        <v>#N/A</v>
      </c>
      <c r="C58" s="1028" t="s">
        <v>434</v>
      </c>
      <c r="D58" s="1062"/>
      <c r="E58" s="1062"/>
      <c r="F58" s="1062"/>
      <c r="G58" s="1062"/>
      <c r="H58" s="1062" t="s">
        <v>536</v>
      </c>
      <c r="I58" s="1062"/>
      <c r="J58" s="1062"/>
      <c r="K58" s="1062"/>
      <c r="L58" s="1062"/>
      <c r="M58" s="1062"/>
      <c r="N58" s="1062"/>
      <c r="O58" s="1062"/>
      <c r="P58" s="1062"/>
      <c r="Q58" s="1062" t="s">
        <v>536</v>
      </c>
      <c r="R58" s="1062"/>
      <c r="S58" s="1062"/>
      <c r="T58" s="1062"/>
      <c r="U58" s="1062" t="s">
        <v>536</v>
      </c>
      <c r="V58" s="1062"/>
      <c r="W58" s="1062"/>
      <c r="X58" s="1062"/>
      <c r="Y58" s="1062"/>
      <c r="Z58" s="1062"/>
      <c r="AA58" s="1062"/>
      <c r="AB58" s="1062"/>
      <c r="AC58" s="1062"/>
      <c r="AD58" s="1062"/>
      <c r="AE58" s="1062"/>
      <c r="AF58" s="1062"/>
      <c r="AG58" s="1062"/>
      <c r="AH58" s="1062"/>
      <c r="AI58" s="1069">
        <f t="shared" si="4"/>
        <v>3</v>
      </c>
      <c r="AJ58" s="635"/>
    </row>
    <row r="59" spans="1:37" s="51" customFormat="1" ht="16.149999999999999" customHeight="1" outlineLevel="1">
      <c r="A59" s="1025">
        <v>6</v>
      </c>
      <c r="B59" s="1025" t="e">
        <f>VLOOKUP(C59,'DS CN MOI UP'!$B$10:$C$347,2,0)</f>
        <v>#N/A</v>
      </c>
      <c r="C59" s="1028" t="s">
        <v>435</v>
      </c>
      <c r="D59" s="1062"/>
      <c r="E59" s="1062"/>
      <c r="F59" s="1062"/>
      <c r="G59" s="1062"/>
      <c r="H59" s="1062" t="s">
        <v>536</v>
      </c>
      <c r="I59" s="1062"/>
      <c r="J59" s="1062"/>
      <c r="K59" s="1062" t="s">
        <v>536</v>
      </c>
      <c r="L59" s="1062"/>
      <c r="M59" s="1062"/>
      <c r="N59" s="1062"/>
      <c r="O59" s="1062"/>
      <c r="P59" s="1062"/>
      <c r="Q59" s="1062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1062"/>
      <c r="AD59" s="1062"/>
      <c r="AE59" s="1062"/>
      <c r="AF59" s="1062"/>
      <c r="AG59" s="1062"/>
      <c r="AH59" s="1062"/>
      <c r="AI59" s="1069">
        <f t="shared" si="4"/>
        <v>2</v>
      </c>
      <c r="AJ59" s="635"/>
    </row>
    <row r="60" spans="1:37" s="51" customFormat="1" ht="16.149999999999999" customHeight="1" outlineLevel="1">
      <c r="A60" s="1025">
        <v>7</v>
      </c>
      <c r="B60" s="1025" t="e">
        <f>VLOOKUP(C60,'DS CN MOI UP'!$B$10:$C$347,2,0)</f>
        <v>#N/A</v>
      </c>
      <c r="C60" s="1028" t="s">
        <v>436</v>
      </c>
      <c r="D60" s="1062"/>
      <c r="E60" s="1062"/>
      <c r="F60" s="1062"/>
      <c r="G60" s="1062"/>
      <c r="H60" s="1062"/>
      <c r="I60" s="1062"/>
      <c r="J60" s="1062"/>
      <c r="K60" s="1062"/>
      <c r="L60" s="1062"/>
      <c r="M60" s="1062"/>
      <c r="N60" s="1062"/>
      <c r="O60" s="1062"/>
      <c r="P60" s="1062"/>
      <c r="Q60" s="1062"/>
      <c r="R60" s="1062"/>
      <c r="S60" s="1062"/>
      <c r="T60" s="1062"/>
      <c r="U60" s="1062"/>
      <c r="V60" s="1062"/>
      <c r="W60" s="1062"/>
      <c r="X60" s="1062"/>
      <c r="Y60" s="1062"/>
      <c r="Z60" s="1062"/>
      <c r="AA60" s="1062"/>
      <c r="AB60" s="1062"/>
      <c r="AC60" s="1062"/>
      <c r="AD60" s="1062"/>
      <c r="AE60" s="1062"/>
      <c r="AF60" s="1062"/>
      <c r="AG60" s="1062"/>
      <c r="AH60" s="1062"/>
      <c r="AI60" s="1069">
        <f t="shared" si="4"/>
        <v>0</v>
      </c>
      <c r="AJ60" s="635"/>
    </row>
    <row r="61" spans="1:37" s="51" customFormat="1" ht="16.149999999999999" customHeight="1" outlineLevel="1">
      <c r="A61" s="1025">
        <v>8</v>
      </c>
      <c r="B61" s="1025" t="e">
        <f>VLOOKUP(C61,'DS CN MOI UP'!$B$10:$C$347,2,0)</f>
        <v>#N/A</v>
      </c>
      <c r="C61" s="1028" t="s">
        <v>437</v>
      </c>
      <c r="D61" s="1062"/>
      <c r="E61" s="1062"/>
      <c r="F61" s="1062"/>
      <c r="G61" s="1062"/>
      <c r="H61" s="1062"/>
      <c r="I61" s="1062" t="s">
        <v>536</v>
      </c>
      <c r="J61" s="1062"/>
      <c r="K61" s="1062" t="s">
        <v>536</v>
      </c>
      <c r="L61" s="1062"/>
      <c r="M61" s="1062"/>
      <c r="N61" s="1062"/>
      <c r="O61" s="1062" t="s">
        <v>536</v>
      </c>
      <c r="P61" s="1062"/>
      <c r="Q61" s="1062"/>
      <c r="R61" s="1062"/>
      <c r="S61" s="1062"/>
      <c r="T61" s="1062"/>
      <c r="U61" s="1062"/>
      <c r="V61" s="1062"/>
      <c r="W61" s="1062"/>
      <c r="X61" s="1062"/>
      <c r="Y61" s="1062"/>
      <c r="Z61" s="1062"/>
      <c r="AA61" s="1062"/>
      <c r="AB61" s="1062"/>
      <c r="AC61" s="1062"/>
      <c r="AD61" s="1062"/>
      <c r="AE61" s="1062"/>
      <c r="AF61" s="1062"/>
      <c r="AG61" s="1062"/>
      <c r="AH61" s="1062"/>
      <c r="AI61" s="1069">
        <f t="shared" si="4"/>
        <v>3</v>
      </c>
      <c r="AJ61" s="635"/>
    </row>
    <row r="62" spans="1:37" s="51" customFormat="1" ht="16.149999999999999" customHeight="1" outlineLevel="1">
      <c r="A62" s="1025">
        <v>9</v>
      </c>
      <c r="B62" s="1025" t="e">
        <f>VLOOKUP(C62,'DS CN MOI UP'!$B$10:$C$347,2,0)</f>
        <v>#N/A</v>
      </c>
      <c r="C62" s="1028" t="s">
        <v>438</v>
      </c>
      <c r="D62" s="1062"/>
      <c r="E62" s="1062"/>
      <c r="F62" s="1062" t="s">
        <v>536</v>
      </c>
      <c r="G62" s="1062"/>
      <c r="H62" s="1062"/>
      <c r="I62" s="1062" t="s">
        <v>536</v>
      </c>
      <c r="J62" s="1062"/>
      <c r="K62" s="1062" t="s">
        <v>536</v>
      </c>
      <c r="L62" s="1062"/>
      <c r="M62" s="1062"/>
      <c r="N62" s="1062"/>
      <c r="O62" s="1062" t="s">
        <v>536</v>
      </c>
      <c r="P62" s="1062" t="s">
        <v>536</v>
      </c>
      <c r="Q62" s="1062" t="s">
        <v>536</v>
      </c>
      <c r="R62" s="1062"/>
      <c r="S62" s="1062"/>
      <c r="T62" s="1062" t="s">
        <v>536</v>
      </c>
      <c r="U62" s="1062" t="s">
        <v>536</v>
      </c>
      <c r="V62" s="1062"/>
      <c r="W62" s="1062"/>
      <c r="X62" s="1062"/>
      <c r="Y62" s="1062"/>
      <c r="Z62" s="1062"/>
      <c r="AA62" s="1062"/>
      <c r="AB62" s="1062"/>
      <c r="AC62" s="1062"/>
      <c r="AD62" s="1062"/>
      <c r="AE62" s="1062"/>
      <c r="AF62" s="1062"/>
      <c r="AG62" s="1062"/>
      <c r="AH62" s="1062"/>
      <c r="AI62" s="1069">
        <f t="shared" si="4"/>
        <v>8</v>
      </c>
      <c r="AJ62" s="635"/>
    </row>
    <row r="63" spans="1:37" s="51" customFormat="1" ht="16.149999999999999" customHeight="1" outlineLevel="1">
      <c r="A63" s="1025">
        <v>10</v>
      </c>
      <c r="B63" s="1025" t="e">
        <f>VLOOKUP(C63,'DS CN MOI UP'!$B$10:$C$347,2,0)</f>
        <v>#N/A</v>
      </c>
      <c r="C63" s="1028" t="s">
        <v>439</v>
      </c>
      <c r="D63" s="1062"/>
      <c r="E63" s="1062"/>
      <c r="F63" s="1062"/>
      <c r="G63" s="1062"/>
      <c r="H63" s="1062"/>
      <c r="I63" s="1062"/>
      <c r="J63" s="1062"/>
      <c r="K63" s="1062"/>
      <c r="L63" s="1062"/>
      <c r="M63" s="1062"/>
      <c r="N63" s="1062"/>
      <c r="O63" s="1062"/>
      <c r="P63" s="1062"/>
      <c r="Q63" s="1062"/>
      <c r="R63" s="1062"/>
      <c r="S63" s="1062"/>
      <c r="T63" s="1062"/>
      <c r="U63" s="1062"/>
      <c r="V63" s="1062"/>
      <c r="W63" s="1062"/>
      <c r="X63" s="1062"/>
      <c r="Y63" s="1062"/>
      <c r="Z63" s="1062"/>
      <c r="AA63" s="1062"/>
      <c r="AB63" s="1062"/>
      <c r="AC63" s="1062"/>
      <c r="AD63" s="1062"/>
      <c r="AE63" s="1062"/>
      <c r="AF63" s="1062"/>
      <c r="AG63" s="1062"/>
      <c r="AH63" s="1062"/>
      <c r="AI63" s="1069">
        <f t="shared" si="4"/>
        <v>0</v>
      </c>
      <c r="AJ63" s="635"/>
    </row>
    <row r="64" spans="1:37" s="51" customFormat="1" ht="16.149999999999999" customHeight="1" outlineLevel="1">
      <c r="A64" s="1025">
        <v>11</v>
      </c>
      <c r="B64" s="1025" t="e">
        <f>VLOOKUP(C64,'DS CN MOI UP'!$B$10:$C$347,2,0)</f>
        <v>#N/A</v>
      </c>
      <c r="C64" s="1028" t="s">
        <v>440</v>
      </c>
      <c r="D64" s="1062"/>
      <c r="E64" s="1062"/>
      <c r="F64" s="1062"/>
      <c r="G64" s="1062"/>
      <c r="H64" s="1062" t="s">
        <v>536</v>
      </c>
      <c r="I64" s="1062"/>
      <c r="J64" s="1062"/>
      <c r="K64" s="1062"/>
      <c r="L64" s="1062"/>
      <c r="M64" s="1062"/>
      <c r="N64" s="1062"/>
      <c r="O64" s="1062" t="s">
        <v>536</v>
      </c>
      <c r="P64" s="1062"/>
      <c r="Q64" s="1062"/>
      <c r="R64" s="1062"/>
      <c r="S64" s="1062"/>
      <c r="T64" s="1062"/>
      <c r="U64" s="1062"/>
      <c r="V64" s="1062"/>
      <c r="W64" s="1062"/>
      <c r="X64" s="1062"/>
      <c r="Y64" s="1062"/>
      <c r="Z64" s="1062"/>
      <c r="AA64" s="1062"/>
      <c r="AB64" s="1062"/>
      <c r="AC64" s="1062"/>
      <c r="AD64" s="1062"/>
      <c r="AE64" s="1062"/>
      <c r="AF64" s="1062"/>
      <c r="AG64" s="1062"/>
      <c r="AH64" s="1062"/>
      <c r="AI64" s="1069">
        <f t="shared" si="4"/>
        <v>2</v>
      </c>
      <c r="AJ64" s="635"/>
    </row>
    <row r="65" spans="1:36" s="51" customFormat="1" ht="16.149999999999999" customHeight="1" outlineLevel="1">
      <c r="A65" s="1025">
        <v>12</v>
      </c>
      <c r="B65" s="1025" t="e">
        <f>VLOOKUP(C65,'DS CN MOI UP'!$B$10:$C$347,2,0)</f>
        <v>#N/A</v>
      </c>
      <c r="C65" s="1028" t="s">
        <v>441</v>
      </c>
      <c r="D65" s="1062"/>
      <c r="E65" s="1062"/>
      <c r="F65" s="1062"/>
      <c r="G65" s="1062"/>
      <c r="H65" s="1062"/>
      <c r="I65" s="1062" t="s">
        <v>536</v>
      </c>
      <c r="J65" s="1062"/>
      <c r="K65" s="1062" t="s">
        <v>536</v>
      </c>
      <c r="L65" s="1062"/>
      <c r="M65" s="1062"/>
      <c r="N65" s="1062"/>
      <c r="O65" s="1062"/>
      <c r="P65" s="1062" t="s">
        <v>536</v>
      </c>
      <c r="Q65" s="1062"/>
      <c r="R65" s="1062" t="s">
        <v>536</v>
      </c>
      <c r="S65" s="1062"/>
      <c r="T65" s="1062" t="s">
        <v>536</v>
      </c>
      <c r="U65" s="1062" t="s">
        <v>536</v>
      </c>
      <c r="V65" s="1062"/>
      <c r="W65" s="1062"/>
      <c r="X65" s="1062"/>
      <c r="Y65" s="1062"/>
      <c r="Z65" s="1062"/>
      <c r="AA65" s="1062"/>
      <c r="AB65" s="1062"/>
      <c r="AC65" s="1062"/>
      <c r="AD65" s="1062"/>
      <c r="AE65" s="1062"/>
      <c r="AF65" s="1062"/>
      <c r="AG65" s="1062"/>
      <c r="AH65" s="1062"/>
      <c r="AI65" s="1069">
        <f t="shared" si="4"/>
        <v>6</v>
      </c>
      <c r="AJ65" s="635"/>
    </row>
    <row r="66" spans="1:36" s="51" customFormat="1" ht="16.149999999999999" customHeight="1" outlineLevel="1">
      <c r="A66" s="1025">
        <v>13</v>
      </c>
      <c r="B66" s="1025" t="e">
        <f>VLOOKUP(C66,'DS CN MOI UP'!$B$10:$C$347,2,0)</f>
        <v>#N/A</v>
      </c>
      <c r="C66" s="1028" t="s">
        <v>442</v>
      </c>
      <c r="D66" s="1062"/>
      <c r="E66" s="1062"/>
      <c r="F66" s="1062"/>
      <c r="G66" s="1062"/>
      <c r="H66" s="1062"/>
      <c r="I66" s="1062" t="s">
        <v>536</v>
      </c>
      <c r="J66" s="1062"/>
      <c r="K66" s="1062" t="s">
        <v>536</v>
      </c>
      <c r="L66" s="1062"/>
      <c r="M66" s="1062"/>
      <c r="N66" s="1062"/>
      <c r="O66" s="1062"/>
      <c r="P66" s="1062"/>
      <c r="Q66" s="1062" t="s">
        <v>536</v>
      </c>
      <c r="R66" s="1062"/>
      <c r="S66" s="1062"/>
      <c r="T66" s="1062"/>
      <c r="U66" s="1062"/>
      <c r="V66" s="1062"/>
      <c r="W66" s="1062"/>
      <c r="X66" s="1062"/>
      <c r="Y66" s="1062"/>
      <c r="Z66" s="1062"/>
      <c r="AA66" s="1062"/>
      <c r="AB66" s="1062"/>
      <c r="AC66" s="1062"/>
      <c r="AD66" s="1062"/>
      <c r="AE66" s="1062"/>
      <c r="AF66" s="1062"/>
      <c r="AG66" s="1062"/>
      <c r="AH66" s="1062"/>
      <c r="AI66" s="1069">
        <f t="shared" si="4"/>
        <v>3</v>
      </c>
      <c r="AJ66" s="635"/>
    </row>
    <row r="67" spans="1:36" s="51" customFormat="1" ht="16.149999999999999" customHeight="1" outlineLevel="1">
      <c r="A67" s="1025">
        <v>14</v>
      </c>
      <c r="B67" s="1025" t="e">
        <f>VLOOKUP(C67,'DS CN MOI UP'!$B$10:$C$347,2,0)</f>
        <v>#N/A</v>
      </c>
      <c r="C67" s="1028" t="s">
        <v>443</v>
      </c>
      <c r="D67" s="1062"/>
      <c r="E67" s="1062"/>
      <c r="F67" s="1062"/>
      <c r="G67" s="1062"/>
      <c r="H67" s="1062"/>
      <c r="I67" s="1062" t="s">
        <v>536</v>
      </c>
      <c r="J67" s="1062"/>
      <c r="K67" s="1062"/>
      <c r="L67" s="1062"/>
      <c r="M67" s="1062"/>
      <c r="N67" s="1062"/>
      <c r="O67" s="1062"/>
      <c r="P67" s="1062"/>
      <c r="Q67" s="1062"/>
      <c r="R67" s="1062" t="s">
        <v>536</v>
      </c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9">
        <f t="shared" si="4"/>
        <v>2</v>
      </c>
      <c r="AJ67" s="635"/>
    </row>
    <row r="68" spans="1:36" s="51" customFormat="1" ht="16.149999999999999" customHeight="1" outlineLevel="1">
      <c r="A68" s="1025">
        <v>15</v>
      </c>
      <c r="B68" s="1025" t="e">
        <f>VLOOKUP(C68,'DS CN MOI UP'!$B$10:$C$347,2,0)</f>
        <v>#N/A</v>
      </c>
      <c r="C68" s="1028" t="s">
        <v>444</v>
      </c>
      <c r="D68" s="1062"/>
      <c r="E68" s="1062"/>
      <c r="F68" s="1062"/>
      <c r="G68" s="1062"/>
      <c r="H68" s="1062"/>
      <c r="I68" s="1062"/>
      <c r="J68" s="1062"/>
      <c r="K68" s="1062"/>
      <c r="L68" s="1062"/>
      <c r="M68" s="1062"/>
      <c r="N68" s="1062"/>
      <c r="O68" s="1062"/>
      <c r="P68" s="1062" t="s">
        <v>536</v>
      </c>
      <c r="Q68" s="1062"/>
      <c r="R68" s="1062"/>
      <c r="S68" s="1062"/>
      <c r="T68" s="1062"/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62"/>
      <c r="AF68" s="1062"/>
      <c r="AG68" s="1062"/>
      <c r="AH68" s="1062"/>
      <c r="AI68" s="1069">
        <f t="shared" si="4"/>
        <v>1</v>
      </c>
      <c r="AJ68" s="635"/>
    </row>
    <row r="69" spans="1:36" s="51" customFormat="1" ht="16.149999999999999" customHeight="1" outlineLevel="1">
      <c r="A69" s="1025">
        <v>16</v>
      </c>
      <c r="B69" s="1025" t="e">
        <f>VLOOKUP(C69,'DS CN MOI UP'!$B$10:$C$347,2,0)</f>
        <v>#N/A</v>
      </c>
      <c r="C69" s="1028" t="s">
        <v>445</v>
      </c>
      <c r="D69" s="1062"/>
      <c r="E69" s="1062"/>
      <c r="F69" s="1062"/>
      <c r="G69" s="1062"/>
      <c r="H69" s="1062" t="s">
        <v>536</v>
      </c>
      <c r="I69" s="1062"/>
      <c r="J69" s="1062"/>
      <c r="K69" s="1062" t="s">
        <v>536</v>
      </c>
      <c r="L69" s="1062"/>
      <c r="M69" s="1062"/>
      <c r="N69" s="1062"/>
      <c r="O69" s="1062"/>
      <c r="P69" s="1062"/>
      <c r="Q69" s="1062" t="s">
        <v>536</v>
      </c>
      <c r="R69" s="1062"/>
      <c r="S69" s="1062"/>
      <c r="T69" s="1062" t="s">
        <v>536</v>
      </c>
      <c r="U69" s="1062"/>
      <c r="V69" s="1062"/>
      <c r="W69" s="1062"/>
      <c r="X69" s="1062"/>
      <c r="Y69" s="1062"/>
      <c r="Z69" s="1062"/>
      <c r="AA69" s="1062"/>
      <c r="AB69" s="1062"/>
      <c r="AC69" s="1062"/>
      <c r="AD69" s="1062"/>
      <c r="AE69" s="1062"/>
      <c r="AF69" s="1062"/>
      <c r="AG69" s="1062"/>
      <c r="AH69" s="1062"/>
      <c r="AI69" s="1069">
        <f t="shared" si="4"/>
        <v>4</v>
      </c>
      <c r="AJ69" s="635"/>
    </row>
    <row r="70" spans="1:36" s="51" customFormat="1" ht="16.149999999999999" customHeight="1" outlineLevel="1">
      <c r="A70" s="1025">
        <v>17</v>
      </c>
      <c r="B70" s="1025" t="e">
        <f>VLOOKUP(C70,'DS CN MOI UP'!$B$10:$C$347,2,0)</f>
        <v>#N/A</v>
      </c>
      <c r="C70" s="1028" t="s">
        <v>446</v>
      </c>
      <c r="D70" s="1062"/>
      <c r="E70" s="1062"/>
      <c r="F70" s="1062"/>
      <c r="G70" s="1062"/>
      <c r="H70" s="1062" t="s">
        <v>536</v>
      </c>
      <c r="I70" s="1062"/>
      <c r="J70" s="1062"/>
      <c r="K70" s="1062" t="s">
        <v>536</v>
      </c>
      <c r="L70" s="1062"/>
      <c r="M70" s="1062"/>
      <c r="N70" s="1062"/>
      <c r="O70" s="1062" t="s">
        <v>536</v>
      </c>
      <c r="P70" s="1062"/>
      <c r="Q70" s="1062" t="s">
        <v>536</v>
      </c>
      <c r="R70" s="1062"/>
      <c r="S70" s="1062"/>
      <c r="T70" s="1062" t="s">
        <v>536</v>
      </c>
      <c r="U70" s="1062"/>
      <c r="V70" s="1062"/>
      <c r="W70" s="1062"/>
      <c r="X70" s="1062"/>
      <c r="Y70" s="1062"/>
      <c r="Z70" s="1062"/>
      <c r="AA70" s="1062"/>
      <c r="AB70" s="1062"/>
      <c r="AC70" s="1062"/>
      <c r="AD70" s="1062"/>
      <c r="AE70" s="1062"/>
      <c r="AF70" s="1062"/>
      <c r="AG70" s="1062"/>
      <c r="AH70" s="1062"/>
      <c r="AI70" s="1069">
        <f t="shared" si="4"/>
        <v>5</v>
      </c>
      <c r="AJ70" s="635"/>
    </row>
    <row r="71" spans="1:36" s="51" customFormat="1" ht="16.149999999999999" customHeight="1" outlineLevel="1">
      <c r="A71" s="1025">
        <v>18</v>
      </c>
      <c r="B71" s="1025" t="e">
        <f>VLOOKUP(C71,'DS CN MOI UP'!$B$10:$C$347,2,0)</f>
        <v>#N/A</v>
      </c>
      <c r="C71" s="1028" t="s">
        <v>348</v>
      </c>
      <c r="D71" s="1062"/>
      <c r="E71" s="1062"/>
      <c r="F71" s="1062"/>
      <c r="G71" s="1062"/>
      <c r="H71" s="1062"/>
      <c r="I71" s="1062"/>
      <c r="J71" s="1062"/>
      <c r="K71" s="1062"/>
      <c r="L71" s="1062"/>
      <c r="M71" s="1062"/>
      <c r="N71" s="1062"/>
      <c r="O71" s="1062"/>
      <c r="P71" s="1062"/>
      <c r="Q71" s="1062"/>
      <c r="R71" s="1062"/>
      <c r="S71" s="1062"/>
      <c r="T71" s="1062"/>
      <c r="U71" s="1062"/>
      <c r="V71" s="1062"/>
      <c r="W71" s="1062"/>
      <c r="X71" s="1062"/>
      <c r="Y71" s="1062"/>
      <c r="Z71" s="1062"/>
      <c r="AA71" s="1062"/>
      <c r="AB71" s="1062"/>
      <c r="AC71" s="1062"/>
      <c r="AD71" s="1062"/>
      <c r="AE71" s="1062"/>
      <c r="AF71" s="1062"/>
      <c r="AG71" s="1062"/>
      <c r="AH71" s="1062"/>
      <c r="AI71" s="1069">
        <f t="shared" si="4"/>
        <v>0</v>
      </c>
      <c r="AJ71" s="635"/>
    </row>
    <row r="72" spans="1:36" s="51" customFormat="1" ht="16.149999999999999" customHeight="1" outlineLevel="1">
      <c r="A72" s="1025">
        <v>19</v>
      </c>
      <c r="B72" s="1025" t="e">
        <f>VLOOKUP(C72,'DS CN MOI UP'!$B$10:$C$347,2,0)</f>
        <v>#N/A</v>
      </c>
      <c r="C72" s="1028" t="s">
        <v>447</v>
      </c>
      <c r="D72" s="1062"/>
      <c r="E72" s="1062"/>
      <c r="F72" s="1062"/>
      <c r="G72" s="1062"/>
      <c r="H72" s="1062" t="s">
        <v>536</v>
      </c>
      <c r="I72" s="1062"/>
      <c r="J72" s="1062" t="s">
        <v>536</v>
      </c>
      <c r="K72" s="1062"/>
      <c r="L72" s="1062"/>
      <c r="M72" s="1062"/>
      <c r="N72" s="1062"/>
      <c r="O72" s="1062"/>
      <c r="P72" s="1062"/>
      <c r="Q72" s="1062" t="s">
        <v>536</v>
      </c>
      <c r="R72" s="1062"/>
      <c r="S72" s="1062"/>
      <c r="T72" s="1062"/>
      <c r="U72" s="1062"/>
      <c r="V72" s="1062"/>
      <c r="W72" s="1062"/>
      <c r="X72" s="1062"/>
      <c r="Y72" s="1062"/>
      <c r="Z72" s="1062"/>
      <c r="AA72" s="1062"/>
      <c r="AB72" s="1062"/>
      <c r="AC72" s="1062"/>
      <c r="AD72" s="1062"/>
      <c r="AE72" s="1062"/>
      <c r="AF72" s="1062"/>
      <c r="AG72" s="1062"/>
      <c r="AH72" s="1062"/>
      <c r="AI72" s="1069">
        <f t="shared" si="4"/>
        <v>3</v>
      </c>
      <c r="AJ72" s="635"/>
    </row>
    <row r="73" spans="1:36" s="51" customFormat="1" ht="16.149999999999999" customHeight="1" outlineLevel="1">
      <c r="A73" s="1025">
        <v>20</v>
      </c>
      <c r="B73" s="1025" t="e">
        <f>VLOOKUP(C73,'DS CN MOI UP'!$B$10:$C$347,2,0)</f>
        <v>#N/A</v>
      </c>
      <c r="C73" s="1028" t="s">
        <v>448</v>
      </c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2"/>
      <c r="AH73" s="1062"/>
      <c r="AI73" s="1069">
        <f t="shared" si="4"/>
        <v>0</v>
      </c>
      <c r="AJ73" s="635"/>
    </row>
    <row r="74" spans="1:36" s="51" customFormat="1" ht="16.149999999999999" customHeight="1" outlineLevel="1">
      <c r="A74" s="1025">
        <v>21</v>
      </c>
      <c r="B74" s="1025" t="e">
        <f>VLOOKUP(C74,'DS CN MOI UP'!$B$10:$C$347,2,0)</f>
        <v>#N/A</v>
      </c>
      <c r="C74" s="1028" t="s">
        <v>449</v>
      </c>
      <c r="D74" s="1062"/>
      <c r="E74" s="1062"/>
      <c r="F74" s="1062"/>
      <c r="G74" s="1062"/>
      <c r="H74" s="1062"/>
      <c r="I74" s="1062"/>
      <c r="J74" s="1062" t="s">
        <v>536</v>
      </c>
      <c r="K74" s="1062" t="s">
        <v>536</v>
      </c>
      <c r="L74" s="1062"/>
      <c r="M74" s="1062"/>
      <c r="N74" s="1062"/>
      <c r="O74" s="1062"/>
      <c r="P74" s="1062"/>
      <c r="Q74" s="1062" t="s">
        <v>536</v>
      </c>
      <c r="R74" s="1062"/>
      <c r="S74" s="1062"/>
      <c r="T74" s="1062"/>
      <c r="U74" s="1062"/>
      <c r="V74" s="1062"/>
      <c r="W74" s="1062"/>
      <c r="X74" s="1062"/>
      <c r="Y74" s="1062"/>
      <c r="Z74" s="1062"/>
      <c r="AA74" s="1062"/>
      <c r="AB74" s="1062"/>
      <c r="AC74" s="1062"/>
      <c r="AD74" s="1062"/>
      <c r="AE74" s="1062"/>
      <c r="AF74" s="1062"/>
      <c r="AG74" s="1062"/>
      <c r="AH74" s="1062"/>
      <c r="AI74" s="1069">
        <f t="shared" si="4"/>
        <v>3</v>
      </c>
      <c r="AJ74" s="635"/>
    </row>
    <row r="75" spans="1:36" s="51" customFormat="1" ht="16.149999999999999" customHeight="1" outlineLevel="1">
      <c r="A75" s="1025">
        <v>22</v>
      </c>
      <c r="B75" s="1025" t="e">
        <f>VLOOKUP(C75,'DS CN MOI UP'!$B$10:$C$347,2,0)</f>
        <v>#N/A</v>
      </c>
      <c r="C75" s="1028" t="s">
        <v>450</v>
      </c>
      <c r="D75" s="1062"/>
      <c r="E75" s="1062"/>
      <c r="F75" s="1062" t="s">
        <v>536</v>
      </c>
      <c r="G75" s="1062"/>
      <c r="H75" s="1062"/>
      <c r="I75" s="1062" t="s">
        <v>536</v>
      </c>
      <c r="J75" s="1062" t="s">
        <v>536</v>
      </c>
      <c r="K75" s="1062" t="s">
        <v>536</v>
      </c>
      <c r="L75" s="1062"/>
      <c r="M75" s="1062"/>
      <c r="N75" s="1062"/>
      <c r="O75" s="1062" t="s">
        <v>536</v>
      </c>
      <c r="P75" s="1062"/>
      <c r="Q75" s="1062" t="s">
        <v>536</v>
      </c>
      <c r="R75" s="1062"/>
      <c r="S75" s="1062"/>
      <c r="T75" s="1062" t="s">
        <v>536</v>
      </c>
      <c r="U75" s="1062"/>
      <c r="V75" s="1062"/>
      <c r="W75" s="1062"/>
      <c r="X75" s="1062"/>
      <c r="Y75" s="1062"/>
      <c r="Z75" s="1062"/>
      <c r="AA75" s="1062"/>
      <c r="AB75" s="1062"/>
      <c r="AC75" s="1062"/>
      <c r="AD75" s="1062"/>
      <c r="AE75" s="1062"/>
      <c r="AF75" s="1062"/>
      <c r="AG75" s="1062"/>
      <c r="AH75" s="1062"/>
      <c r="AI75" s="1069">
        <f t="shared" si="4"/>
        <v>7</v>
      </c>
      <c r="AJ75" s="635"/>
    </row>
    <row r="76" spans="1:36" s="51" customFormat="1" ht="16.149999999999999" customHeight="1" outlineLevel="1">
      <c r="A76" s="1025">
        <v>23</v>
      </c>
      <c r="B76" s="1025" t="e">
        <f>VLOOKUP(C76,'DS CN MOI UP'!$B$10:$C$347,2,0)</f>
        <v>#N/A</v>
      </c>
      <c r="C76" s="1028" t="s">
        <v>451</v>
      </c>
      <c r="D76" s="1062"/>
      <c r="E76" s="1062"/>
      <c r="F76" s="1062"/>
      <c r="G76" s="1062"/>
      <c r="H76" s="1062"/>
      <c r="I76" s="1062" t="s">
        <v>536</v>
      </c>
      <c r="J76" s="1062"/>
      <c r="K76" s="1062"/>
      <c r="L76" s="1062"/>
      <c r="M76" s="1062"/>
      <c r="N76" s="1062"/>
      <c r="O76" s="1062" t="s">
        <v>536</v>
      </c>
      <c r="P76" s="1062"/>
      <c r="Q76" s="1062" t="s">
        <v>536</v>
      </c>
      <c r="R76" s="1062"/>
      <c r="S76" s="1062"/>
      <c r="T76" s="1062"/>
      <c r="U76" s="1062"/>
      <c r="V76" s="1062"/>
      <c r="W76" s="1062"/>
      <c r="X76" s="1062"/>
      <c r="Y76" s="1062"/>
      <c r="Z76" s="1062"/>
      <c r="AA76" s="1062"/>
      <c r="AB76" s="1062"/>
      <c r="AC76" s="1062"/>
      <c r="AD76" s="1062"/>
      <c r="AE76" s="1062"/>
      <c r="AF76" s="1062"/>
      <c r="AG76" s="1062"/>
      <c r="AH76" s="1062"/>
      <c r="AI76" s="1069">
        <f t="shared" si="4"/>
        <v>3</v>
      </c>
      <c r="AJ76" s="635"/>
    </row>
    <row r="77" spans="1:36" s="51" customFormat="1" ht="16.149999999999999" customHeight="1" outlineLevel="1">
      <c r="A77" s="1025">
        <v>24</v>
      </c>
      <c r="B77" s="1025" t="e">
        <f>VLOOKUP(C77,'DS CN MOI UP'!$B$10:$C$347,2,0)</f>
        <v>#N/A</v>
      </c>
      <c r="C77" s="1028" t="s">
        <v>452</v>
      </c>
      <c r="D77" s="1062"/>
      <c r="E77" s="1062"/>
      <c r="F77" s="1062"/>
      <c r="G77" s="1062"/>
      <c r="H77" s="1062"/>
      <c r="I77" s="1062"/>
      <c r="J77" s="1062"/>
      <c r="K77" s="1062"/>
      <c r="L77" s="1062"/>
      <c r="M77" s="1062"/>
      <c r="N77" s="1062"/>
      <c r="O77" s="1062"/>
      <c r="P77" s="1062"/>
      <c r="Q77" s="1062" t="s">
        <v>536</v>
      </c>
      <c r="R77" s="1062"/>
      <c r="S77" s="1062"/>
      <c r="T77" s="1062"/>
      <c r="U77" s="1062" t="s">
        <v>536</v>
      </c>
      <c r="V77" s="1062"/>
      <c r="W77" s="1062"/>
      <c r="X77" s="1062"/>
      <c r="Y77" s="1062"/>
      <c r="Z77" s="1062"/>
      <c r="AA77" s="1062"/>
      <c r="AB77" s="1062"/>
      <c r="AC77" s="1062"/>
      <c r="AD77" s="1062"/>
      <c r="AE77" s="1062"/>
      <c r="AF77" s="1062"/>
      <c r="AG77" s="1062"/>
      <c r="AH77" s="1062"/>
      <c r="AI77" s="1069">
        <f t="shared" si="4"/>
        <v>2</v>
      </c>
      <c r="AJ77" s="635"/>
    </row>
    <row r="78" spans="1:36" s="51" customFormat="1" ht="16.149999999999999" customHeight="1" outlineLevel="1">
      <c r="A78" s="1025">
        <v>25</v>
      </c>
      <c r="B78" s="1025" t="e">
        <f>VLOOKUP(C78,'DS CN MOI UP'!$B$10:$C$347,2,0)</f>
        <v>#N/A</v>
      </c>
      <c r="C78" s="1028" t="s">
        <v>453</v>
      </c>
      <c r="D78" s="1062"/>
      <c r="E78" s="1062"/>
      <c r="F78" s="1062"/>
      <c r="G78" s="1062"/>
      <c r="H78" s="1062"/>
      <c r="I78" s="1062"/>
      <c r="J78" s="1062"/>
      <c r="K78" s="1062"/>
      <c r="L78" s="1062"/>
      <c r="M78" s="1062"/>
      <c r="N78" s="1062"/>
      <c r="O78" s="1062"/>
      <c r="P78" s="1062"/>
      <c r="Q78" s="1062"/>
      <c r="R78" s="1062"/>
      <c r="S78" s="1062"/>
      <c r="T78" s="1062" t="s">
        <v>536</v>
      </c>
      <c r="U78" s="1062" t="s">
        <v>536</v>
      </c>
      <c r="V78" s="1062"/>
      <c r="W78" s="1062"/>
      <c r="X78" s="1062"/>
      <c r="Y78" s="1062"/>
      <c r="Z78" s="1062"/>
      <c r="AA78" s="1062"/>
      <c r="AB78" s="1062"/>
      <c r="AC78" s="1062"/>
      <c r="AD78" s="1062"/>
      <c r="AE78" s="1062"/>
      <c r="AF78" s="1062"/>
      <c r="AG78" s="1062"/>
      <c r="AH78" s="1062"/>
      <c r="AI78" s="1069">
        <f t="shared" si="4"/>
        <v>2</v>
      </c>
      <c r="AJ78" s="635"/>
    </row>
    <row r="79" spans="1:36" s="51" customFormat="1" ht="16.149999999999999" customHeight="1" outlineLevel="1">
      <c r="A79" s="1025">
        <v>26</v>
      </c>
      <c r="B79" s="1025" t="e">
        <f>VLOOKUP(C79,'DS CN MOI UP'!$B$10:$C$347,2,0)</f>
        <v>#N/A</v>
      </c>
      <c r="C79" s="1028" t="s">
        <v>454</v>
      </c>
      <c r="D79" s="1062"/>
      <c r="E79" s="1062"/>
      <c r="F79" s="1062"/>
      <c r="G79" s="1062"/>
      <c r="H79" s="1062"/>
      <c r="I79" s="1062"/>
      <c r="J79" s="1062"/>
      <c r="K79" s="1062"/>
      <c r="L79" s="1062"/>
      <c r="M79" s="1062"/>
      <c r="N79" s="1062"/>
      <c r="O79" s="1062" t="s">
        <v>536</v>
      </c>
      <c r="P79" s="1062"/>
      <c r="Q79" s="1062"/>
      <c r="R79" s="1062"/>
      <c r="S79" s="1062"/>
      <c r="T79" s="1062" t="s">
        <v>536</v>
      </c>
      <c r="U79" s="1062" t="s">
        <v>536</v>
      </c>
      <c r="V79" s="1062"/>
      <c r="W79" s="1062"/>
      <c r="X79" s="1062"/>
      <c r="Y79" s="1062"/>
      <c r="Z79" s="1062"/>
      <c r="AA79" s="1062"/>
      <c r="AB79" s="1062"/>
      <c r="AC79" s="1062"/>
      <c r="AD79" s="1062"/>
      <c r="AE79" s="1062"/>
      <c r="AF79" s="1062"/>
      <c r="AG79" s="1062"/>
      <c r="AH79" s="1062"/>
      <c r="AI79" s="1069">
        <f t="shared" si="4"/>
        <v>3</v>
      </c>
      <c r="AJ79" s="635"/>
    </row>
    <row r="80" spans="1:36" s="51" customFormat="1" ht="16.149999999999999" customHeight="1" outlineLevel="1">
      <c r="A80" s="1025">
        <v>27</v>
      </c>
      <c r="B80" s="1025" t="e">
        <f>VLOOKUP(C80,'DS CN MOI UP'!$B$10:$C$347,2,0)</f>
        <v>#N/A</v>
      </c>
      <c r="C80" s="1028" t="s">
        <v>455</v>
      </c>
      <c r="D80" s="1062"/>
      <c r="E80" s="1062"/>
      <c r="F80" s="1062"/>
      <c r="G80" s="1062"/>
      <c r="H80" s="1062"/>
      <c r="I80" s="1062"/>
      <c r="J80" s="1062"/>
      <c r="K80" s="1062"/>
      <c r="L80" s="1062"/>
      <c r="M80" s="1062"/>
      <c r="N80" s="1062"/>
      <c r="O80" s="1062"/>
      <c r="P80" s="1062"/>
      <c r="Q80" s="1062"/>
      <c r="R80" s="1062"/>
      <c r="S80" s="1062"/>
      <c r="T80" s="1062"/>
      <c r="U80" s="1062"/>
      <c r="V80" s="1062"/>
      <c r="W80" s="1062"/>
      <c r="X80" s="1062"/>
      <c r="Y80" s="1062"/>
      <c r="Z80" s="1062"/>
      <c r="AA80" s="1062"/>
      <c r="AB80" s="1062"/>
      <c r="AC80" s="1062"/>
      <c r="AD80" s="1062"/>
      <c r="AE80" s="1062"/>
      <c r="AF80" s="1062"/>
      <c r="AG80" s="1062"/>
      <c r="AH80" s="1062"/>
      <c r="AI80" s="1069">
        <f t="shared" si="4"/>
        <v>0</v>
      </c>
      <c r="AJ80" s="635"/>
    </row>
    <row r="81" spans="1:36" s="51" customFormat="1" ht="16.149999999999999" customHeight="1" outlineLevel="1">
      <c r="A81" s="1025">
        <v>28</v>
      </c>
      <c r="B81" s="1025" t="e">
        <f>VLOOKUP(C81,'DS CN MOI UP'!$B$10:$C$347,2,0)</f>
        <v>#N/A</v>
      </c>
      <c r="C81" s="1028" t="s">
        <v>456</v>
      </c>
      <c r="D81" s="1062"/>
      <c r="E81" s="1062"/>
      <c r="F81" s="1062"/>
      <c r="G81" s="1062"/>
      <c r="H81" s="1062"/>
      <c r="I81" s="1062"/>
      <c r="J81" s="1062"/>
      <c r="K81" s="1062"/>
      <c r="L81" s="1062"/>
      <c r="M81" s="1062"/>
      <c r="N81" s="1062"/>
      <c r="O81" s="1062"/>
      <c r="P81" s="1062"/>
      <c r="Q81" s="1062"/>
      <c r="R81" s="1062"/>
      <c r="S81" s="1062"/>
      <c r="T81" s="1062"/>
      <c r="U81" s="1062"/>
      <c r="V81" s="1062"/>
      <c r="W81" s="1062"/>
      <c r="X81" s="1062"/>
      <c r="Y81" s="1062"/>
      <c r="Z81" s="1062"/>
      <c r="AA81" s="1062"/>
      <c r="AB81" s="1062"/>
      <c r="AC81" s="1062"/>
      <c r="AD81" s="1062"/>
      <c r="AE81" s="1062"/>
      <c r="AF81" s="1062"/>
      <c r="AG81" s="1062"/>
      <c r="AH81" s="1062"/>
      <c r="AI81" s="1069">
        <f t="shared" si="4"/>
        <v>0</v>
      </c>
      <c r="AJ81" s="635"/>
    </row>
    <row r="82" spans="1:36" s="51" customFormat="1" ht="16.5" customHeight="1" outlineLevel="1">
      <c r="A82" s="1025">
        <v>29</v>
      </c>
      <c r="B82" s="1025" t="e">
        <f>VLOOKUP(C82,'DS CN MOI UP'!$B$10:$C$347,2,0)</f>
        <v>#N/A</v>
      </c>
      <c r="C82" s="1028" t="s">
        <v>457</v>
      </c>
      <c r="D82" s="1062"/>
      <c r="E82" s="1062"/>
      <c r="F82" s="1062"/>
      <c r="G82" s="1062"/>
      <c r="H82" s="1062" t="s">
        <v>536</v>
      </c>
      <c r="I82" s="1062"/>
      <c r="J82" s="1062"/>
      <c r="K82" s="1062" t="s">
        <v>536</v>
      </c>
      <c r="L82" s="1062"/>
      <c r="M82" s="1062"/>
      <c r="N82" s="1062"/>
      <c r="O82" s="1062" t="s">
        <v>536</v>
      </c>
      <c r="P82" s="1062" t="s">
        <v>536</v>
      </c>
      <c r="Q82" s="1062"/>
      <c r="R82" s="1062"/>
      <c r="S82" s="1062"/>
      <c r="T82" s="1062" t="s">
        <v>536</v>
      </c>
      <c r="U82" s="1062" t="s">
        <v>536</v>
      </c>
      <c r="V82" s="1062"/>
      <c r="W82" s="1062"/>
      <c r="X82" s="1062"/>
      <c r="Y82" s="1062"/>
      <c r="Z82" s="1062"/>
      <c r="AA82" s="1062"/>
      <c r="AB82" s="1062"/>
      <c r="AC82" s="1062"/>
      <c r="AD82" s="1062"/>
      <c r="AE82" s="1062"/>
      <c r="AF82" s="1062"/>
      <c r="AG82" s="1062"/>
      <c r="AH82" s="1062"/>
      <c r="AI82" s="1069">
        <f t="shared" si="4"/>
        <v>6</v>
      </c>
      <c r="AJ82" s="635"/>
    </row>
    <row r="83" spans="1:36" s="51" customFormat="1" ht="16.5" customHeight="1" outlineLevel="1">
      <c r="A83" s="1025">
        <v>30</v>
      </c>
      <c r="B83" s="1025" t="e">
        <f>VLOOKUP(C83,'DS CN MOI UP'!$B$10:$C$347,2,0)</f>
        <v>#N/A</v>
      </c>
      <c r="C83" s="1028" t="s">
        <v>458</v>
      </c>
      <c r="D83" s="1062"/>
      <c r="E83" s="1062"/>
      <c r="F83" s="1062"/>
      <c r="G83" s="1062"/>
      <c r="H83" s="1062"/>
      <c r="I83" s="1062"/>
      <c r="J83" s="1062"/>
      <c r="K83" s="1062"/>
      <c r="L83" s="1062"/>
      <c r="M83" s="1062"/>
      <c r="N83" s="1062"/>
      <c r="O83" s="1062"/>
      <c r="P83" s="1062"/>
      <c r="Q83" s="1062"/>
      <c r="R83" s="1062"/>
      <c r="S83" s="1062"/>
      <c r="T83" s="1062"/>
      <c r="U83" s="1062"/>
      <c r="V83" s="1062"/>
      <c r="W83" s="1062"/>
      <c r="X83" s="1062"/>
      <c r="Y83" s="1062"/>
      <c r="Z83" s="1062"/>
      <c r="AA83" s="1062"/>
      <c r="AB83" s="1062"/>
      <c r="AC83" s="1062"/>
      <c r="AD83" s="1062"/>
      <c r="AE83" s="1062"/>
      <c r="AF83" s="1062"/>
      <c r="AG83" s="1062"/>
      <c r="AH83" s="1062"/>
      <c r="AI83" s="1069">
        <f t="shared" si="4"/>
        <v>0</v>
      </c>
      <c r="AJ83" s="635"/>
    </row>
    <row r="84" spans="1:36" s="51" customFormat="1" ht="16.5" customHeight="1" outlineLevel="1">
      <c r="A84" s="1025">
        <v>31</v>
      </c>
      <c r="B84" s="1025" t="e">
        <f>VLOOKUP(C84,'DS CN MOI UP'!$B$10:$C$347,2,0)</f>
        <v>#N/A</v>
      </c>
      <c r="C84" s="1028" t="s">
        <v>459</v>
      </c>
      <c r="D84" s="1062"/>
      <c r="E84" s="1062"/>
      <c r="F84" s="1062" t="s">
        <v>536</v>
      </c>
      <c r="G84" s="1062"/>
      <c r="H84" s="1062" t="s">
        <v>536</v>
      </c>
      <c r="I84" s="1062" t="s">
        <v>536</v>
      </c>
      <c r="J84" s="1062"/>
      <c r="K84" s="1062"/>
      <c r="L84" s="1062"/>
      <c r="M84" s="1062"/>
      <c r="N84" s="1062"/>
      <c r="O84" s="1062" t="s">
        <v>536</v>
      </c>
      <c r="P84" s="1062"/>
      <c r="Q84" s="1062" t="s">
        <v>536</v>
      </c>
      <c r="R84" s="1062" t="s">
        <v>536</v>
      </c>
      <c r="S84" s="1062"/>
      <c r="T84" s="1062"/>
      <c r="U84" s="1062" t="s">
        <v>536</v>
      </c>
      <c r="V84" s="1062"/>
      <c r="W84" s="1062"/>
      <c r="X84" s="1062"/>
      <c r="Y84" s="1062"/>
      <c r="Z84" s="1062"/>
      <c r="AA84" s="1062"/>
      <c r="AB84" s="1062"/>
      <c r="AC84" s="1062"/>
      <c r="AD84" s="1062"/>
      <c r="AE84" s="1062"/>
      <c r="AF84" s="1062"/>
      <c r="AG84" s="1062"/>
      <c r="AH84" s="1062"/>
      <c r="AI84" s="1069">
        <f t="shared" si="4"/>
        <v>7</v>
      </c>
      <c r="AJ84" s="635"/>
    </row>
    <row r="85" spans="1:36" s="51" customFormat="1" ht="16.5" customHeight="1" outlineLevel="1">
      <c r="A85" s="1025">
        <v>32</v>
      </c>
      <c r="B85" s="1025" t="e">
        <f>VLOOKUP(C85,'DS CN MOI UP'!$B$10:$C$347,2,0)</f>
        <v>#N/A</v>
      </c>
      <c r="C85" s="1028" t="s">
        <v>460</v>
      </c>
      <c r="D85" s="1062"/>
      <c r="E85" s="1062"/>
      <c r="F85" s="1062"/>
      <c r="G85" s="1062"/>
      <c r="H85" s="1062" t="s">
        <v>536</v>
      </c>
      <c r="I85" s="1062" t="s">
        <v>536</v>
      </c>
      <c r="J85" s="1062" t="s">
        <v>536</v>
      </c>
      <c r="K85" s="1062"/>
      <c r="L85" s="1062"/>
      <c r="M85" s="1062"/>
      <c r="N85" s="1062"/>
      <c r="O85" s="1062"/>
      <c r="P85" s="1062"/>
      <c r="Q85" s="1062"/>
      <c r="R85" s="1062" t="s">
        <v>536</v>
      </c>
      <c r="S85" s="1062"/>
      <c r="T85" s="1062"/>
      <c r="U85" s="1062"/>
      <c r="V85" s="1062"/>
      <c r="W85" s="1062"/>
      <c r="X85" s="1062"/>
      <c r="Y85" s="1062"/>
      <c r="Z85" s="1062"/>
      <c r="AA85" s="1062"/>
      <c r="AB85" s="1062"/>
      <c r="AC85" s="1062"/>
      <c r="AD85" s="1062"/>
      <c r="AE85" s="1062"/>
      <c r="AF85" s="1062"/>
      <c r="AG85" s="1062"/>
      <c r="AH85" s="1062"/>
      <c r="AI85" s="1069">
        <f t="shared" si="4"/>
        <v>4</v>
      </c>
      <c r="AJ85" s="635"/>
    </row>
    <row r="86" spans="1:36" s="51" customFormat="1" ht="16.5" customHeight="1" outlineLevel="1">
      <c r="A86" s="1025">
        <v>33</v>
      </c>
      <c r="B86" s="1025" t="e">
        <f>VLOOKUP(C86,'DS CN MOI UP'!$B$10:$C$347,2,0)</f>
        <v>#N/A</v>
      </c>
      <c r="C86" s="1028" t="s">
        <v>461</v>
      </c>
      <c r="D86" s="1062"/>
      <c r="E86" s="1062"/>
      <c r="F86" s="1062"/>
      <c r="G86" s="1062"/>
      <c r="H86" s="1062"/>
      <c r="I86" s="1062" t="s">
        <v>536</v>
      </c>
      <c r="J86" s="1062" t="s">
        <v>536</v>
      </c>
      <c r="K86" s="1062" t="s">
        <v>536</v>
      </c>
      <c r="L86" s="1062"/>
      <c r="M86" s="1062"/>
      <c r="N86" s="1062"/>
      <c r="O86" s="1062"/>
      <c r="P86" s="1062"/>
      <c r="Q86" s="1062"/>
      <c r="R86" s="1062"/>
      <c r="S86" s="1062"/>
      <c r="T86" s="1062" t="s">
        <v>536</v>
      </c>
      <c r="U86" s="1062"/>
      <c r="V86" s="1062"/>
      <c r="W86" s="1062"/>
      <c r="X86" s="1062"/>
      <c r="Y86" s="1062"/>
      <c r="Z86" s="1062"/>
      <c r="AA86" s="1062"/>
      <c r="AB86" s="1062"/>
      <c r="AC86" s="1062"/>
      <c r="AD86" s="1062"/>
      <c r="AE86" s="1062"/>
      <c r="AF86" s="1062"/>
      <c r="AG86" s="1062"/>
      <c r="AH86" s="1062"/>
      <c r="AI86" s="1069">
        <f t="shared" si="4"/>
        <v>4</v>
      </c>
      <c r="AJ86" s="635"/>
    </row>
    <row r="87" spans="1:36" s="51" customFormat="1" ht="16.5" customHeight="1" outlineLevel="1">
      <c r="A87" s="1025">
        <v>34</v>
      </c>
      <c r="B87" s="1025" t="e">
        <f>VLOOKUP(C87,'DS CN MOI UP'!$B$10:$C$347,2,0)</f>
        <v>#N/A</v>
      </c>
      <c r="C87" s="1028" t="s">
        <v>462</v>
      </c>
      <c r="D87" s="1062"/>
      <c r="E87" s="1062"/>
      <c r="F87" s="1062"/>
      <c r="G87" s="1062"/>
      <c r="H87" s="1062"/>
      <c r="I87" s="1062" t="s">
        <v>536</v>
      </c>
      <c r="J87" s="1062" t="s">
        <v>536</v>
      </c>
      <c r="K87" s="1062" t="s">
        <v>536</v>
      </c>
      <c r="L87" s="1062"/>
      <c r="M87" s="1062"/>
      <c r="N87" s="1062"/>
      <c r="O87" s="1062"/>
      <c r="P87" s="1062"/>
      <c r="Q87" s="1062"/>
      <c r="R87" s="1062" t="s">
        <v>536</v>
      </c>
      <c r="S87" s="1062"/>
      <c r="T87" s="1062"/>
      <c r="U87" s="1062"/>
      <c r="V87" s="1062"/>
      <c r="W87" s="1062"/>
      <c r="X87" s="1062"/>
      <c r="Y87" s="1062"/>
      <c r="Z87" s="1062"/>
      <c r="AA87" s="1062"/>
      <c r="AB87" s="1062"/>
      <c r="AC87" s="1062"/>
      <c r="AD87" s="1062"/>
      <c r="AE87" s="1062"/>
      <c r="AF87" s="1062"/>
      <c r="AG87" s="1062"/>
      <c r="AH87" s="1062"/>
      <c r="AI87" s="1069">
        <f t="shared" si="4"/>
        <v>4</v>
      </c>
      <c r="AJ87" s="635"/>
    </row>
    <row r="88" spans="1:36" s="51" customFormat="1" ht="16.5" customHeight="1" outlineLevel="1">
      <c r="A88" s="1025">
        <v>35</v>
      </c>
      <c r="B88" s="1025" t="e">
        <f>VLOOKUP(C88,'DS CN MOI UP'!$B$10:$C$347,2,0)</f>
        <v>#N/A</v>
      </c>
      <c r="C88" s="1028" t="s">
        <v>463</v>
      </c>
      <c r="D88" s="1062"/>
      <c r="E88" s="1062"/>
      <c r="F88" s="1062"/>
      <c r="G88" s="1062"/>
      <c r="H88" s="1062" t="s">
        <v>536</v>
      </c>
      <c r="I88" s="1062"/>
      <c r="J88" s="1062"/>
      <c r="K88" s="1062"/>
      <c r="L88" s="1062"/>
      <c r="M88" s="1062"/>
      <c r="N88" s="1062"/>
      <c r="O88" s="1062" t="s">
        <v>536</v>
      </c>
      <c r="P88" s="1062"/>
      <c r="Q88" s="1062"/>
      <c r="R88" s="1062"/>
      <c r="S88" s="1062"/>
      <c r="T88" s="1062"/>
      <c r="U88" s="1062" t="s">
        <v>536</v>
      </c>
      <c r="V88" s="1062"/>
      <c r="W88" s="1062"/>
      <c r="X88" s="1062"/>
      <c r="Y88" s="1062"/>
      <c r="Z88" s="1062"/>
      <c r="AA88" s="1062"/>
      <c r="AB88" s="1062"/>
      <c r="AC88" s="1062"/>
      <c r="AD88" s="1062"/>
      <c r="AE88" s="1062"/>
      <c r="AF88" s="1062"/>
      <c r="AG88" s="1062"/>
      <c r="AH88" s="1062"/>
      <c r="AI88" s="1069">
        <f t="shared" si="4"/>
        <v>3</v>
      </c>
      <c r="AJ88" s="635"/>
    </row>
    <row r="89" spans="1:36" s="51" customFormat="1" ht="16.5" customHeight="1" outlineLevel="1">
      <c r="A89" s="1025">
        <v>36</v>
      </c>
      <c r="B89" s="1025" t="e">
        <f>VLOOKUP(C89,'DS CN MOI UP'!$B$10:$C$347,2,0)</f>
        <v>#N/A</v>
      </c>
      <c r="C89" s="1028" t="s">
        <v>464</v>
      </c>
      <c r="D89" s="1062"/>
      <c r="E89" s="1062"/>
      <c r="F89" s="1062"/>
      <c r="G89" s="1062"/>
      <c r="H89" s="1062" t="s">
        <v>536</v>
      </c>
      <c r="I89" s="1062" t="s">
        <v>536</v>
      </c>
      <c r="J89" s="1062"/>
      <c r="K89" s="1062" t="s">
        <v>536</v>
      </c>
      <c r="L89" s="1062"/>
      <c r="M89" s="1062"/>
      <c r="N89" s="1062"/>
      <c r="O89" s="1062" t="s">
        <v>536</v>
      </c>
      <c r="P89" s="1062" t="s">
        <v>536</v>
      </c>
      <c r="Q89" s="1062" t="s">
        <v>536</v>
      </c>
      <c r="R89" s="1062"/>
      <c r="S89" s="1062"/>
      <c r="T89" s="1062"/>
      <c r="U89" s="1062"/>
      <c r="V89" s="1062"/>
      <c r="W89" s="1062"/>
      <c r="X89" s="1062"/>
      <c r="Y89" s="1062"/>
      <c r="Z89" s="1062"/>
      <c r="AA89" s="1062"/>
      <c r="AB89" s="1062"/>
      <c r="AC89" s="1062"/>
      <c r="AD89" s="1062"/>
      <c r="AE89" s="1062"/>
      <c r="AF89" s="1062"/>
      <c r="AG89" s="1062"/>
      <c r="AH89" s="1062"/>
      <c r="AI89" s="1069">
        <f t="shared" si="4"/>
        <v>6</v>
      </c>
      <c r="AJ89" s="635"/>
    </row>
    <row r="90" spans="1:36" s="51" customFormat="1" ht="16.5" customHeight="1" outlineLevel="1">
      <c r="A90" s="1025">
        <v>37</v>
      </c>
      <c r="B90" s="1025" t="e">
        <f>VLOOKUP(C90,'DS CN MOI UP'!$B$10:$C$347,2,0)</f>
        <v>#N/A</v>
      </c>
      <c r="C90" s="1028" t="s">
        <v>465</v>
      </c>
      <c r="D90" s="1062"/>
      <c r="E90" s="1062"/>
      <c r="F90" s="1062" t="s">
        <v>536</v>
      </c>
      <c r="G90" s="1062"/>
      <c r="H90" s="1062"/>
      <c r="I90" s="1062"/>
      <c r="J90" s="1062"/>
      <c r="K90" s="1062" t="s">
        <v>536</v>
      </c>
      <c r="L90" s="1062"/>
      <c r="M90" s="1062"/>
      <c r="N90" s="1062"/>
      <c r="O90" s="1062" t="s">
        <v>536</v>
      </c>
      <c r="P90" s="1062" t="s">
        <v>536</v>
      </c>
      <c r="Q90" s="1062" t="s">
        <v>536</v>
      </c>
      <c r="R90" s="1062"/>
      <c r="S90" s="1062"/>
      <c r="T90" s="1062" t="s">
        <v>536</v>
      </c>
      <c r="U90" s="1062" t="s">
        <v>536</v>
      </c>
      <c r="V90" s="1062"/>
      <c r="W90" s="1062"/>
      <c r="X90" s="1062"/>
      <c r="Y90" s="1062"/>
      <c r="Z90" s="1062"/>
      <c r="AA90" s="1062"/>
      <c r="AB90" s="1062"/>
      <c r="AC90" s="1062"/>
      <c r="AD90" s="1062"/>
      <c r="AE90" s="1062"/>
      <c r="AF90" s="1062"/>
      <c r="AG90" s="1062"/>
      <c r="AH90" s="1062"/>
      <c r="AI90" s="1069">
        <f t="shared" si="4"/>
        <v>7</v>
      </c>
      <c r="AJ90" s="635"/>
    </row>
    <row r="91" spans="1:36" s="51" customFormat="1" ht="16.5" customHeight="1" outlineLevel="1">
      <c r="A91" s="1025">
        <v>38</v>
      </c>
      <c r="B91" s="1025" t="e">
        <f>VLOOKUP(C91,'DS CN MOI UP'!$B$10:$C$347,2,0)</f>
        <v>#N/A</v>
      </c>
      <c r="C91" s="1028" t="s">
        <v>466</v>
      </c>
      <c r="D91" s="1062"/>
      <c r="E91" s="1062"/>
      <c r="F91" s="1062"/>
      <c r="G91" s="1062"/>
      <c r="H91" s="1062"/>
      <c r="I91" s="1062"/>
      <c r="J91" s="1062"/>
      <c r="K91" s="1062"/>
      <c r="L91" s="1062"/>
      <c r="M91" s="1062"/>
      <c r="N91" s="1062"/>
      <c r="O91" s="1062"/>
      <c r="P91" s="1062"/>
      <c r="Q91" s="1062" t="s">
        <v>536</v>
      </c>
      <c r="R91" s="1062"/>
      <c r="S91" s="1062"/>
      <c r="T91" s="1062"/>
      <c r="U91" s="1062"/>
      <c r="V91" s="1062"/>
      <c r="W91" s="1062"/>
      <c r="X91" s="1062"/>
      <c r="Y91" s="1062"/>
      <c r="Z91" s="1062"/>
      <c r="AA91" s="1062"/>
      <c r="AB91" s="1062"/>
      <c r="AC91" s="1062"/>
      <c r="AD91" s="1062"/>
      <c r="AE91" s="1062"/>
      <c r="AF91" s="1062"/>
      <c r="AG91" s="1062"/>
      <c r="AH91" s="1062"/>
      <c r="AI91" s="1069">
        <f t="shared" si="4"/>
        <v>1</v>
      </c>
      <c r="AJ91" s="635"/>
    </row>
    <row r="92" spans="1:36" s="51" customFormat="1" ht="16.5" customHeight="1" outlineLevel="1">
      <c r="A92" s="1025">
        <v>39</v>
      </c>
      <c r="B92" s="1025" t="e">
        <f>VLOOKUP(C92,'DS CN MOI UP'!$B$10:$C$347,2,0)</f>
        <v>#N/A</v>
      </c>
      <c r="C92" s="1028" t="s">
        <v>467</v>
      </c>
      <c r="D92" s="1062"/>
      <c r="E92" s="1062"/>
      <c r="F92" s="1062" t="s">
        <v>536</v>
      </c>
      <c r="G92" s="1062"/>
      <c r="H92" s="1062" t="s">
        <v>536</v>
      </c>
      <c r="I92" s="1062"/>
      <c r="J92" s="1062"/>
      <c r="K92" s="1062"/>
      <c r="L92" s="1062"/>
      <c r="M92" s="1062"/>
      <c r="N92" s="1062"/>
      <c r="O92" s="1062" t="s">
        <v>536</v>
      </c>
      <c r="P92" s="1062"/>
      <c r="Q92" s="1062" t="s">
        <v>536</v>
      </c>
      <c r="R92" s="1062" t="s">
        <v>536</v>
      </c>
      <c r="S92" s="1062"/>
      <c r="T92" s="1062" t="s">
        <v>536</v>
      </c>
      <c r="U92" s="1062" t="s">
        <v>536</v>
      </c>
      <c r="V92" s="1062"/>
      <c r="W92" s="1062"/>
      <c r="X92" s="1062"/>
      <c r="Y92" s="1062"/>
      <c r="Z92" s="1062"/>
      <c r="AA92" s="1062"/>
      <c r="AB92" s="1062"/>
      <c r="AC92" s="1062"/>
      <c r="AD92" s="1062"/>
      <c r="AE92" s="1062"/>
      <c r="AF92" s="1062"/>
      <c r="AG92" s="1062"/>
      <c r="AH92" s="1062"/>
      <c r="AI92" s="1069">
        <f t="shared" si="4"/>
        <v>7</v>
      </c>
      <c r="AJ92" s="635"/>
    </row>
    <row r="93" spans="1:36" s="51" customFormat="1" ht="16.5" customHeight="1" outlineLevel="1">
      <c r="A93" s="1025">
        <v>40</v>
      </c>
      <c r="B93" s="1025" t="e">
        <f>VLOOKUP(C93,'DS CN MOI UP'!$B$10:$C$347,2,0)</f>
        <v>#N/A</v>
      </c>
      <c r="C93" s="1028" t="s">
        <v>468</v>
      </c>
      <c r="D93" s="1062"/>
      <c r="E93" s="1062"/>
      <c r="F93" s="1062"/>
      <c r="G93" s="1062"/>
      <c r="H93" s="1062"/>
      <c r="I93" s="1062"/>
      <c r="J93" s="1062"/>
      <c r="K93" s="1062"/>
      <c r="L93" s="1062"/>
      <c r="M93" s="1062"/>
      <c r="N93" s="1062"/>
      <c r="O93" s="1062"/>
      <c r="P93" s="1062"/>
      <c r="Q93" s="1062"/>
      <c r="R93" s="1062"/>
      <c r="S93" s="1062"/>
      <c r="T93" s="1062"/>
      <c r="U93" s="1062"/>
      <c r="V93" s="1062"/>
      <c r="W93" s="1062"/>
      <c r="X93" s="1062"/>
      <c r="Y93" s="1062"/>
      <c r="Z93" s="1062"/>
      <c r="AA93" s="1062"/>
      <c r="AB93" s="1062"/>
      <c r="AC93" s="1062"/>
      <c r="AD93" s="1062"/>
      <c r="AE93" s="1062"/>
      <c r="AF93" s="1062"/>
      <c r="AG93" s="1062"/>
      <c r="AH93" s="1062"/>
      <c r="AI93" s="1069">
        <f t="shared" si="4"/>
        <v>0</v>
      </c>
      <c r="AJ93" s="635"/>
    </row>
    <row r="94" spans="1:36" s="51" customFormat="1" ht="16.5" customHeight="1" outlineLevel="1">
      <c r="A94" s="1025">
        <v>41</v>
      </c>
      <c r="B94" s="1025" t="e">
        <f>VLOOKUP(C94,'DS CN MOI UP'!$B$10:$C$347,2,0)</f>
        <v>#N/A</v>
      </c>
      <c r="C94" s="1028" t="s">
        <v>469</v>
      </c>
      <c r="D94" s="1062"/>
      <c r="E94" s="1062"/>
      <c r="F94" s="1062" t="s">
        <v>536</v>
      </c>
      <c r="G94" s="1062"/>
      <c r="H94" s="1062" t="s">
        <v>536</v>
      </c>
      <c r="I94" s="1062" t="s">
        <v>536</v>
      </c>
      <c r="J94" s="1062"/>
      <c r="K94" s="1062"/>
      <c r="L94" s="1062"/>
      <c r="M94" s="1062"/>
      <c r="N94" s="1062"/>
      <c r="O94" s="1062" t="s">
        <v>536</v>
      </c>
      <c r="P94" s="1062"/>
      <c r="Q94" s="1062"/>
      <c r="R94" s="1062" t="s">
        <v>536</v>
      </c>
      <c r="S94" s="1062"/>
      <c r="T94" s="1062"/>
      <c r="U94" s="1062" t="s">
        <v>536</v>
      </c>
      <c r="V94" s="1062"/>
      <c r="W94" s="1062"/>
      <c r="X94" s="1062"/>
      <c r="Y94" s="1062"/>
      <c r="Z94" s="1062"/>
      <c r="AA94" s="1062"/>
      <c r="AB94" s="1062"/>
      <c r="AC94" s="1062"/>
      <c r="AD94" s="1062"/>
      <c r="AE94" s="1062"/>
      <c r="AF94" s="1062"/>
      <c r="AG94" s="1062"/>
      <c r="AH94" s="1062"/>
      <c r="AI94" s="1069">
        <f t="shared" si="4"/>
        <v>6</v>
      </c>
      <c r="AJ94" s="635"/>
    </row>
    <row r="95" spans="1:36" s="51" customFormat="1" ht="16.5" customHeight="1" outlineLevel="1">
      <c r="A95" s="1025">
        <v>42</v>
      </c>
      <c r="B95" s="1025" t="e">
        <f>VLOOKUP(C95,'DS CN MOI UP'!$B$10:$C$347,2,0)</f>
        <v>#N/A</v>
      </c>
      <c r="C95" s="1028" t="s">
        <v>470</v>
      </c>
      <c r="D95" s="1062"/>
      <c r="E95" s="1062"/>
      <c r="F95" s="1062" t="s">
        <v>536</v>
      </c>
      <c r="G95" s="1062"/>
      <c r="H95" s="1062"/>
      <c r="I95" s="1062"/>
      <c r="J95" s="1062" t="s">
        <v>536</v>
      </c>
      <c r="K95" s="1062" t="s">
        <v>536</v>
      </c>
      <c r="L95" s="1062"/>
      <c r="M95" s="1062"/>
      <c r="N95" s="1062"/>
      <c r="O95" s="1062" t="s">
        <v>536</v>
      </c>
      <c r="P95" s="1062" t="s">
        <v>536</v>
      </c>
      <c r="Q95" s="1062"/>
      <c r="R95" s="1062"/>
      <c r="S95" s="1062"/>
      <c r="T95" s="1062"/>
      <c r="U95" s="1062"/>
      <c r="V95" s="1062"/>
      <c r="W95" s="1062"/>
      <c r="X95" s="1062"/>
      <c r="Y95" s="1062"/>
      <c r="Z95" s="1062"/>
      <c r="AA95" s="1062"/>
      <c r="AB95" s="1062"/>
      <c r="AC95" s="1062"/>
      <c r="AD95" s="1062"/>
      <c r="AE95" s="1062"/>
      <c r="AF95" s="1062"/>
      <c r="AG95" s="1062"/>
      <c r="AH95" s="1062"/>
      <c r="AI95" s="1069">
        <f t="shared" si="4"/>
        <v>5</v>
      </c>
      <c r="AJ95" s="635"/>
    </row>
    <row r="96" spans="1:36" s="51" customFormat="1" ht="16.5" customHeight="1" outlineLevel="1">
      <c r="A96" s="1025">
        <v>43</v>
      </c>
      <c r="B96" s="1025" t="e">
        <f>VLOOKUP(C96,'DS CN MOI UP'!$B$10:$C$347,2,0)</f>
        <v>#N/A</v>
      </c>
      <c r="C96" s="1028" t="s">
        <v>471</v>
      </c>
      <c r="D96" s="1062"/>
      <c r="E96" s="1062"/>
      <c r="F96" s="1062" t="s">
        <v>536</v>
      </c>
      <c r="G96" s="1062"/>
      <c r="H96" s="1062"/>
      <c r="I96" s="1062" t="s">
        <v>536</v>
      </c>
      <c r="J96" s="1062" t="s">
        <v>536</v>
      </c>
      <c r="K96" s="1062" t="s">
        <v>536</v>
      </c>
      <c r="L96" s="1062"/>
      <c r="M96" s="1062"/>
      <c r="N96" s="1062"/>
      <c r="O96" s="1062" t="s">
        <v>536</v>
      </c>
      <c r="P96" s="1062"/>
      <c r="Q96" s="1062" t="s">
        <v>536</v>
      </c>
      <c r="R96" s="1062" t="s">
        <v>536</v>
      </c>
      <c r="S96" s="1062"/>
      <c r="T96" s="1062" t="s">
        <v>536</v>
      </c>
      <c r="U96" s="1062" t="s">
        <v>536</v>
      </c>
      <c r="V96" s="1062"/>
      <c r="W96" s="1062"/>
      <c r="X96" s="1062"/>
      <c r="Y96" s="1062"/>
      <c r="Z96" s="1062"/>
      <c r="AA96" s="1062"/>
      <c r="AB96" s="1062"/>
      <c r="AC96" s="1062"/>
      <c r="AD96" s="1062"/>
      <c r="AE96" s="1062"/>
      <c r="AF96" s="1062"/>
      <c r="AG96" s="1062"/>
      <c r="AH96" s="1062"/>
      <c r="AI96" s="1069">
        <f t="shared" si="4"/>
        <v>9</v>
      </c>
      <c r="AJ96" s="635"/>
    </row>
    <row r="97" spans="1:39" s="51" customFormat="1" ht="16.5" customHeight="1" outlineLevel="1">
      <c r="A97" s="1025">
        <v>44</v>
      </c>
      <c r="B97" s="1025" t="e">
        <f>VLOOKUP(C97,'DS CN MOI UP'!$B$10:$C$347,2,0)</f>
        <v>#N/A</v>
      </c>
      <c r="C97" s="1028" t="s">
        <v>472</v>
      </c>
      <c r="D97" s="1062"/>
      <c r="E97" s="1062"/>
      <c r="F97" s="1062"/>
      <c r="G97" s="1062"/>
      <c r="H97" s="1062"/>
      <c r="I97" s="1062"/>
      <c r="J97" s="1062"/>
      <c r="K97" s="1062"/>
      <c r="L97" s="1062"/>
      <c r="M97" s="1062"/>
      <c r="N97" s="1062"/>
      <c r="O97" s="1062"/>
      <c r="P97" s="1062"/>
      <c r="Q97" s="1062"/>
      <c r="R97" s="1062"/>
      <c r="S97" s="1062"/>
      <c r="T97" s="1062"/>
      <c r="U97" s="1062" t="s">
        <v>536</v>
      </c>
      <c r="V97" s="1062"/>
      <c r="W97" s="1062"/>
      <c r="X97" s="1062"/>
      <c r="Y97" s="1062"/>
      <c r="Z97" s="1062"/>
      <c r="AA97" s="1062"/>
      <c r="AB97" s="1062"/>
      <c r="AC97" s="1062"/>
      <c r="AD97" s="1062"/>
      <c r="AE97" s="1062"/>
      <c r="AF97" s="1062"/>
      <c r="AG97" s="1062"/>
      <c r="AH97" s="1062"/>
      <c r="AI97" s="1069">
        <f t="shared" si="4"/>
        <v>1</v>
      </c>
      <c r="AJ97" s="635"/>
    </row>
    <row r="98" spans="1:39" s="51" customFormat="1" ht="16.5" customHeight="1" outlineLevel="1">
      <c r="A98" s="1025">
        <v>45</v>
      </c>
      <c r="B98" s="1025" t="e">
        <f>VLOOKUP(C98,'DS CN MOI UP'!$B$10:$C$347,2,0)</f>
        <v>#N/A</v>
      </c>
      <c r="C98" s="1028" t="s">
        <v>473</v>
      </c>
      <c r="D98" s="1062"/>
      <c r="E98" s="1062"/>
      <c r="F98" s="1062"/>
      <c r="G98" s="1062"/>
      <c r="H98" s="1062"/>
      <c r="I98" s="1062"/>
      <c r="J98" s="1062" t="s">
        <v>536</v>
      </c>
      <c r="K98" s="1062" t="s">
        <v>536</v>
      </c>
      <c r="L98" s="1062"/>
      <c r="M98" s="1062"/>
      <c r="N98" s="1062"/>
      <c r="O98" s="1062" t="s">
        <v>536</v>
      </c>
      <c r="P98" s="1062"/>
      <c r="Q98" s="1062"/>
      <c r="R98" s="1062"/>
      <c r="S98" s="1062"/>
      <c r="T98" s="1062" t="s">
        <v>536</v>
      </c>
      <c r="U98" s="1062"/>
      <c r="V98" s="1062"/>
      <c r="W98" s="1062"/>
      <c r="X98" s="1062"/>
      <c r="Y98" s="1062"/>
      <c r="Z98" s="1062"/>
      <c r="AA98" s="1062"/>
      <c r="AB98" s="1062"/>
      <c r="AC98" s="1062"/>
      <c r="AD98" s="1062"/>
      <c r="AE98" s="1062"/>
      <c r="AF98" s="1062"/>
      <c r="AG98" s="1062"/>
      <c r="AH98" s="1062"/>
      <c r="AI98" s="1069">
        <f t="shared" si="4"/>
        <v>4</v>
      </c>
      <c r="AJ98" s="635"/>
    </row>
    <row r="99" spans="1:39" s="51" customFormat="1" ht="16.5" customHeight="1" outlineLevel="1">
      <c r="A99" s="1025">
        <v>46</v>
      </c>
      <c r="B99" s="1025" t="e">
        <f>VLOOKUP(C99,'DS CN MOI UP'!$B$10:$C$347,2,0)</f>
        <v>#N/A</v>
      </c>
      <c r="C99" s="1028" t="s">
        <v>474</v>
      </c>
      <c r="D99" s="1062"/>
      <c r="E99" s="1062"/>
      <c r="F99" s="1062"/>
      <c r="G99" s="1062"/>
      <c r="H99" s="1062"/>
      <c r="I99" s="1062"/>
      <c r="J99" s="1062"/>
      <c r="K99" s="1062"/>
      <c r="L99" s="1062"/>
      <c r="M99" s="1062"/>
      <c r="N99" s="1062"/>
      <c r="O99" s="1062"/>
      <c r="P99" s="1062"/>
      <c r="Q99" s="1062"/>
      <c r="R99" s="1062"/>
      <c r="S99" s="1062"/>
      <c r="T99" s="1062"/>
      <c r="U99" s="1062"/>
      <c r="V99" s="1062"/>
      <c r="W99" s="1062"/>
      <c r="X99" s="1062"/>
      <c r="Y99" s="1062"/>
      <c r="Z99" s="1062"/>
      <c r="AA99" s="1062"/>
      <c r="AB99" s="1062"/>
      <c r="AC99" s="1062"/>
      <c r="AD99" s="1062"/>
      <c r="AE99" s="1062"/>
      <c r="AF99" s="1062"/>
      <c r="AG99" s="1062"/>
      <c r="AH99" s="1062"/>
      <c r="AI99" s="1069">
        <f t="shared" si="4"/>
        <v>0</v>
      </c>
      <c r="AJ99" s="635"/>
    </row>
    <row r="100" spans="1:39" s="51" customFormat="1" ht="16.5" customHeight="1" outlineLevel="1">
      <c r="A100" s="1025">
        <v>47</v>
      </c>
      <c r="B100" s="1025" t="e">
        <f>VLOOKUP(C100,'DS CN MOI UP'!$B$10:$C$347,2,0)</f>
        <v>#N/A</v>
      </c>
      <c r="C100" s="1028" t="s">
        <v>475</v>
      </c>
      <c r="D100" s="1062"/>
      <c r="E100" s="1062"/>
      <c r="F100" s="1062"/>
      <c r="G100" s="1062"/>
      <c r="H100" s="1062"/>
      <c r="I100" s="1062" t="s">
        <v>536</v>
      </c>
      <c r="J100" s="1062"/>
      <c r="K100" s="1062" t="s">
        <v>536</v>
      </c>
      <c r="L100" s="1062"/>
      <c r="M100" s="1062"/>
      <c r="N100" s="1062"/>
      <c r="O100" s="1062" t="s">
        <v>536</v>
      </c>
      <c r="P100" s="1062"/>
      <c r="Q100" s="1062"/>
      <c r="R100" s="1062" t="s">
        <v>536</v>
      </c>
      <c r="S100" s="1062"/>
      <c r="T100" s="1062"/>
      <c r="U100" s="1062"/>
      <c r="V100" s="1062"/>
      <c r="W100" s="1062"/>
      <c r="X100" s="1062"/>
      <c r="Y100" s="1062"/>
      <c r="Z100" s="1062"/>
      <c r="AA100" s="1062"/>
      <c r="AB100" s="1062"/>
      <c r="AC100" s="1062"/>
      <c r="AD100" s="1062"/>
      <c r="AE100" s="1062"/>
      <c r="AF100" s="1062"/>
      <c r="AG100" s="1062"/>
      <c r="AH100" s="1062"/>
      <c r="AI100" s="1069">
        <f t="shared" si="4"/>
        <v>4</v>
      </c>
      <c r="AJ100" s="635"/>
    </row>
    <row r="101" spans="1:39" s="51" customFormat="1" ht="16.5" customHeight="1" outlineLevel="1">
      <c r="A101" s="1025">
        <v>48</v>
      </c>
      <c r="B101" s="1025" t="e">
        <f>VLOOKUP(C101,'DS CN MOI UP'!$B$10:$C$347,2,0)</f>
        <v>#N/A</v>
      </c>
      <c r="C101" s="1028" t="s">
        <v>476</v>
      </c>
      <c r="D101" s="1062"/>
      <c r="E101" s="1062"/>
      <c r="F101" s="1062" t="s">
        <v>536</v>
      </c>
      <c r="G101" s="1062"/>
      <c r="H101" s="1062"/>
      <c r="I101" s="1062"/>
      <c r="J101" s="1062" t="s">
        <v>536</v>
      </c>
      <c r="K101" s="1062" t="s">
        <v>536</v>
      </c>
      <c r="L101" s="1062"/>
      <c r="M101" s="1062"/>
      <c r="N101" s="1062"/>
      <c r="O101" s="1062"/>
      <c r="P101" s="1062"/>
      <c r="Q101" s="1062"/>
      <c r="R101" s="1062"/>
      <c r="S101" s="1062"/>
      <c r="T101" s="1062"/>
      <c r="U101" s="1062"/>
      <c r="V101" s="1062"/>
      <c r="W101" s="1062"/>
      <c r="X101" s="1062"/>
      <c r="Y101" s="1062"/>
      <c r="Z101" s="1062"/>
      <c r="AA101" s="1062"/>
      <c r="AB101" s="1062"/>
      <c r="AC101" s="1062"/>
      <c r="AD101" s="1062"/>
      <c r="AE101" s="1062"/>
      <c r="AF101" s="1062"/>
      <c r="AG101" s="1062"/>
      <c r="AH101" s="1062"/>
      <c r="AI101" s="1069">
        <f t="shared" si="4"/>
        <v>3</v>
      </c>
      <c r="AJ101" s="635"/>
    </row>
    <row r="102" spans="1:39" s="51" customFormat="1" ht="16.5" customHeight="1" outlineLevel="1">
      <c r="A102" s="1025">
        <v>49</v>
      </c>
      <c r="B102" s="1025" t="e">
        <f>VLOOKUP(C102,'DS CN MOI UP'!$B$10:$C$347,2,0)</f>
        <v>#N/A</v>
      </c>
      <c r="C102" s="1028" t="s">
        <v>477</v>
      </c>
      <c r="D102" s="1062"/>
      <c r="E102" s="1062"/>
      <c r="F102" s="1062"/>
      <c r="G102" s="1062"/>
      <c r="H102" s="1062"/>
      <c r="I102" s="1062"/>
      <c r="J102" s="1062"/>
      <c r="K102" s="1062"/>
      <c r="L102" s="1062"/>
      <c r="M102" s="1062"/>
      <c r="N102" s="1062"/>
      <c r="O102" s="1062"/>
      <c r="P102" s="1062"/>
      <c r="Q102" s="1062"/>
      <c r="R102" s="1062"/>
      <c r="S102" s="1062"/>
      <c r="T102" s="1062" t="s">
        <v>536</v>
      </c>
      <c r="U102" s="1062" t="s">
        <v>536</v>
      </c>
      <c r="V102" s="1062"/>
      <c r="W102" s="1062"/>
      <c r="X102" s="1062"/>
      <c r="Y102" s="1062"/>
      <c r="Z102" s="1062"/>
      <c r="AA102" s="1062"/>
      <c r="AB102" s="1062"/>
      <c r="AC102" s="1062"/>
      <c r="AD102" s="1062"/>
      <c r="AE102" s="1062"/>
      <c r="AF102" s="1062"/>
      <c r="AG102" s="1062"/>
      <c r="AH102" s="1062"/>
      <c r="AI102" s="1069">
        <f t="shared" si="4"/>
        <v>2</v>
      </c>
      <c r="AJ102" s="635"/>
    </row>
    <row r="103" spans="1:39" s="51" customFormat="1" ht="16.5" customHeight="1" outlineLevel="1">
      <c r="A103" s="1025">
        <v>50</v>
      </c>
      <c r="B103" s="1025" t="e">
        <f>VLOOKUP(C103,'DS CN MOI UP'!$B$10:$C$347,2,0)</f>
        <v>#N/A</v>
      </c>
      <c r="C103" s="1028" t="s">
        <v>909</v>
      </c>
      <c r="D103" s="1062"/>
      <c r="E103" s="1062"/>
      <c r="F103" s="1062" t="s">
        <v>536</v>
      </c>
      <c r="G103" s="1062"/>
      <c r="H103" s="1062"/>
      <c r="I103" s="1062"/>
      <c r="J103" s="1062"/>
      <c r="K103" s="1062"/>
      <c r="L103" s="1062"/>
      <c r="M103" s="1062"/>
      <c r="N103" s="1062"/>
      <c r="O103" s="1062"/>
      <c r="P103" s="1062"/>
      <c r="Q103" s="1062" t="s">
        <v>536</v>
      </c>
      <c r="R103" s="1062"/>
      <c r="S103" s="1062"/>
      <c r="T103" s="1062" t="s">
        <v>536</v>
      </c>
      <c r="U103" s="1062"/>
      <c r="V103" s="1062"/>
      <c r="W103" s="1062"/>
      <c r="X103" s="1062"/>
      <c r="Y103" s="1062"/>
      <c r="Z103" s="1062"/>
      <c r="AA103" s="1062"/>
      <c r="AB103" s="1062"/>
      <c r="AC103" s="1062"/>
      <c r="AD103" s="1062"/>
      <c r="AE103" s="1062"/>
      <c r="AF103" s="1062"/>
      <c r="AG103" s="1062"/>
      <c r="AH103" s="1062"/>
      <c r="AI103" s="1069">
        <f t="shared" si="4"/>
        <v>3</v>
      </c>
      <c r="AJ103" s="635"/>
    </row>
    <row r="104" spans="1:39" s="51" customFormat="1" ht="16.5" customHeight="1" outlineLevel="1">
      <c r="A104" s="1025">
        <v>51</v>
      </c>
      <c r="B104" s="1025" t="e">
        <f>VLOOKUP(C104,'DS CN MOI UP'!$B$10:$C$347,2,0)</f>
        <v>#N/A</v>
      </c>
      <c r="C104" s="1028" t="s">
        <v>479</v>
      </c>
      <c r="D104" s="1062"/>
      <c r="E104" s="1062"/>
      <c r="F104" s="1062" t="s">
        <v>536</v>
      </c>
      <c r="G104" s="1062"/>
      <c r="H104" s="1062"/>
      <c r="I104" s="1062"/>
      <c r="J104" s="1062" t="s">
        <v>536</v>
      </c>
      <c r="K104" s="1062"/>
      <c r="L104" s="1062"/>
      <c r="M104" s="1062"/>
      <c r="N104" s="1062"/>
      <c r="O104" s="1062" t="s">
        <v>536</v>
      </c>
      <c r="P104" s="1062"/>
      <c r="Q104" s="1062"/>
      <c r="R104" s="1062" t="s">
        <v>536</v>
      </c>
      <c r="S104" s="1062"/>
      <c r="T104" s="1062"/>
      <c r="U104" s="1062"/>
      <c r="V104" s="1062"/>
      <c r="W104" s="1062"/>
      <c r="X104" s="1062"/>
      <c r="Y104" s="1062"/>
      <c r="Z104" s="1062"/>
      <c r="AA104" s="1062"/>
      <c r="AB104" s="1062"/>
      <c r="AC104" s="1062"/>
      <c r="AD104" s="1062"/>
      <c r="AE104" s="1062"/>
      <c r="AF104" s="1062"/>
      <c r="AG104" s="1062"/>
      <c r="AH104" s="1062"/>
      <c r="AI104" s="1069">
        <f t="shared" si="4"/>
        <v>4</v>
      </c>
      <c r="AJ104" s="635"/>
    </row>
    <row r="105" spans="1:39" s="51" customFormat="1" ht="16.5" customHeight="1" outlineLevel="1">
      <c r="A105" s="1025">
        <v>52</v>
      </c>
      <c r="B105" s="1025" t="e">
        <f>VLOOKUP(C105,'DS CN MOI UP'!$B$10:$C$347,2,0)</f>
        <v>#N/A</v>
      </c>
      <c r="C105" s="1028" t="s">
        <v>480</v>
      </c>
      <c r="D105" s="1062"/>
      <c r="E105" s="1062"/>
      <c r="F105" s="1062"/>
      <c r="G105" s="1062"/>
      <c r="H105" s="1062"/>
      <c r="I105" s="1062"/>
      <c r="J105" s="1062" t="s">
        <v>536</v>
      </c>
      <c r="K105" s="1062" t="s">
        <v>536</v>
      </c>
      <c r="L105" s="1062"/>
      <c r="M105" s="1062"/>
      <c r="N105" s="1062"/>
      <c r="O105" s="1062" t="s">
        <v>536</v>
      </c>
      <c r="P105" s="1062"/>
      <c r="Q105" s="1062" t="s">
        <v>536</v>
      </c>
      <c r="R105" s="1062"/>
      <c r="S105" s="1062"/>
      <c r="T105" s="1062" t="s">
        <v>536</v>
      </c>
      <c r="U105" s="1062" t="s">
        <v>536</v>
      </c>
      <c r="V105" s="1062"/>
      <c r="W105" s="1062"/>
      <c r="X105" s="1062"/>
      <c r="Y105" s="1062"/>
      <c r="Z105" s="1062"/>
      <c r="AA105" s="1062"/>
      <c r="AB105" s="1062"/>
      <c r="AC105" s="1062"/>
      <c r="AD105" s="1062"/>
      <c r="AE105" s="1062"/>
      <c r="AF105" s="1062"/>
      <c r="AG105" s="1062"/>
      <c r="AH105" s="1062"/>
      <c r="AI105" s="1069">
        <f t="shared" si="4"/>
        <v>6</v>
      </c>
      <c r="AJ105" s="635"/>
    </row>
    <row r="106" spans="1:39" s="51" customFormat="1" ht="16.5" customHeight="1" outlineLevel="1">
      <c r="A106" s="1025">
        <v>53</v>
      </c>
      <c r="B106" s="1025" t="e">
        <f>VLOOKUP(C106,'DS CN MOI UP'!$B$10:$C$347,2,0)</f>
        <v>#N/A</v>
      </c>
      <c r="C106" s="1028" t="s">
        <v>481</v>
      </c>
      <c r="D106" s="1062"/>
      <c r="E106" s="1062"/>
      <c r="F106" s="1062"/>
      <c r="G106" s="1062"/>
      <c r="H106" s="1062"/>
      <c r="I106" s="1062"/>
      <c r="J106" s="1062"/>
      <c r="K106" s="1062"/>
      <c r="L106" s="1062"/>
      <c r="M106" s="1062"/>
      <c r="N106" s="1062"/>
      <c r="O106" s="1062"/>
      <c r="P106" s="1062"/>
      <c r="Q106" s="1062"/>
      <c r="R106" s="1062"/>
      <c r="S106" s="1062"/>
      <c r="T106" s="1062"/>
      <c r="U106" s="1062"/>
      <c r="V106" s="1062"/>
      <c r="W106" s="1062"/>
      <c r="X106" s="1062"/>
      <c r="Y106" s="1062"/>
      <c r="Z106" s="1062"/>
      <c r="AA106" s="1062"/>
      <c r="AB106" s="1062"/>
      <c r="AC106" s="1062"/>
      <c r="AD106" s="1062"/>
      <c r="AE106" s="1062"/>
      <c r="AF106" s="1062"/>
      <c r="AG106" s="1062"/>
      <c r="AH106" s="1062"/>
      <c r="AI106" s="1069">
        <f t="shared" si="4"/>
        <v>0</v>
      </c>
      <c r="AJ106" s="635"/>
    </row>
    <row r="107" spans="1:39" s="51" customFormat="1" ht="16.5" customHeight="1" outlineLevel="1">
      <c r="A107" s="1025">
        <v>54</v>
      </c>
      <c r="B107" s="1025" t="e">
        <f>VLOOKUP(C107,'DS CN MOI UP'!$B$10:$C$347,2,0)</f>
        <v>#N/A</v>
      </c>
      <c r="C107" s="1028" t="s">
        <v>482</v>
      </c>
      <c r="D107" s="1062"/>
      <c r="E107" s="1062"/>
      <c r="F107" s="1062"/>
      <c r="G107" s="1062"/>
      <c r="H107" s="1062"/>
      <c r="I107" s="1062"/>
      <c r="J107" s="1062"/>
      <c r="K107" s="1062"/>
      <c r="L107" s="1062"/>
      <c r="M107" s="1062"/>
      <c r="N107" s="1062"/>
      <c r="O107" s="1062"/>
      <c r="P107" s="1062"/>
      <c r="Q107" s="1062"/>
      <c r="R107" s="1062"/>
      <c r="S107" s="1062"/>
      <c r="T107" s="1062" t="s">
        <v>536</v>
      </c>
      <c r="U107" s="1062"/>
      <c r="V107" s="1062"/>
      <c r="W107" s="1062"/>
      <c r="X107" s="1062"/>
      <c r="Y107" s="1062"/>
      <c r="Z107" s="1062"/>
      <c r="AA107" s="1062"/>
      <c r="AB107" s="1062"/>
      <c r="AC107" s="1062"/>
      <c r="AD107" s="1062"/>
      <c r="AE107" s="1062"/>
      <c r="AF107" s="1062"/>
      <c r="AG107" s="1062"/>
      <c r="AH107" s="1062"/>
      <c r="AI107" s="1069">
        <f t="shared" si="4"/>
        <v>1</v>
      </c>
      <c r="AJ107" s="635"/>
    </row>
    <row r="108" spans="1:39" s="51" customFormat="1" ht="16.5" customHeight="1" outlineLevel="1">
      <c r="A108" s="1025">
        <v>55</v>
      </c>
      <c r="B108" s="1025" t="e">
        <f>VLOOKUP(C108,'DS CN MOI UP'!$B$10:$C$347,2,0)</f>
        <v>#N/A</v>
      </c>
      <c r="C108" s="1028" t="s">
        <v>483</v>
      </c>
      <c r="D108" s="1062"/>
      <c r="E108" s="1062"/>
      <c r="F108" s="1062"/>
      <c r="G108" s="1062"/>
      <c r="H108" s="1062"/>
      <c r="I108" s="1062" t="s">
        <v>536</v>
      </c>
      <c r="J108" s="1062"/>
      <c r="K108" s="1062"/>
      <c r="L108" s="1062"/>
      <c r="M108" s="1062"/>
      <c r="N108" s="1062"/>
      <c r="O108" s="1062"/>
      <c r="P108" s="1062" t="s">
        <v>536</v>
      </c>
      <c r="Q108" s="1062" t="s">
        <v>536</v>
      </c>
      <c r="R108" s="1062"/>
      <c r="S108" s="1062"/>
      <c r="T108" s="1062"/>
      <c r="U108" s="1062" t="s">
        <v>536</v>
      </c>
      <c r="V108" s="1062"/>
      <c r="W108" s="1062"/>
      <c r="X108" s="1062"/>
      <c r="Y108" s="1062"/>
      <c r="Z108" s="1062"/>
      <c r="AA108" s="1062"/>
      <c r="AB108" s="1062"/>
      <c r="AC108" s="1062"/>
      <c r="AD108" s="1062"/>
      <c r="AE108" s="1062"/>
      <c r="AF108" s="1062"/>
      <c r="AG108" s="1062"/>
      <c r="AH108" s="1062"/>
      <c r="AI108" s="1069">
        <f t="shared" si="4"/>
        <v>4</v>
      </c>
      <c r="AJ108" s="635"/>
    </row>
    <row r="109" spans="1:39" s="1022" customFormat="1" ht="16.5" customHeight="1">
      <c r="A109" s="1026" t="s">
        <v>521</v>
      </c>
      <c r="B109" s="1025" t="e">
        <f>VLOOKUP(C109,'DS CN MOI UP'!$B$10:$C$347,2,0)</f>
        <v>#N/A</v>
      </c>
      <c r="C109" s="1026" t="s">
        <v>1941</v>
      </c>
      <c r="D109" s="1027">
        <f>COUNTIF(D110:D203,"X")+COUNTIF(D110:D203,"CN")</f>
        <v>0</v>
      </c>
      <c r="E109" s="1027">
        <f t="shared" ref="E109:AH109" si="5">COUNTIF(E110:E203,"X")+COUNTIF(E110:E203,"CN")</f>
        <v>29</v>
      </c>
      <c r="F109" s="1027">
        <f t="shared" si="5"/>
        <v>22</v>
      </c>
      <c r="G109" s="1027">
        <f t="shared" si="5"/>
        <v>51</v>
      </c>
      <c r="H109" s="1027">
        <f t="shared" si="5"/>
        <v>0</v>
      </c>
      <c r="I109" s="1027">
        <f t="shared" si="5"/>
        <v>0</v>
      </c>
      <c r="J109" s="1027">
        <f t="shared" si="5"/>
        <v>0</v>
      </c>
      <c r="K109" s="1027">
        <f t="shared" si="5"/>
        <v>0</v>
      </c>
      <c r="L109" s="1027">
        <f t="shared" si="5"/>
        <v>0</v>
      </c>
      <c r="M109" s="1027">
        <f t="shared" si="5"/>
        <v>0</v>
      </c>
      <c r="N109" s="1027">
        <f t="shared" si="5"/>
        <v>0</v>
      </c>
      <c r="O109" s="1027">
        <f t="shared" si="5"/>
        <v>0</v>
      </c>
      <c r="P109" s="1027">
        <f t="shared" si="5"/>
        <v>0</v>
      </c>
      <c r="Q109" s="1027">
        <f t="shared" si="5"/>
        <v>66</v>
      </c>
      <c r="R109" s="1027">
        <f t="shared" si="5"/>
        <v>84</v>
      </c>
      <c r="S109" s="1027">
        <f t="shared" si="5"/>
        <v>52</v>
      </c>
      <c r="T109" s="1027">
        <f t="shared" si="5"/>
        <v>41</v>
      </c>
      <c r="U109" s="1027">
        <f t="shared" si="5"/>
        <v>78</v>
      </c>
      <c r="V109" s="1027">
        <f t="shared" si="5"/>
        <v>28</v>
      </c>
      <c r="W109" s="1027">
        <f t="shared" si="5"/>
        <v>64</v>
      </c>
      <c r="X109" s="1027">
        <f t="shared" si="5"/>
        <v>72</v>
      </c>
      <c r="Y109" s="1027">
        <f t="shared" si="5"/>
        <v>0</v>
      </c>
      <c r="Z109" s="1027">
        <f t="shared" si="5"/>
        <v>0</v>
      </c>
      <c r="AA109" s="1027">
        <f t="shared" si="5"/>
        <v>29</v>
      </c>
      <c r="AB109" s="1027">
        <f t="shared" si="5"/>
        <v>0</v>
      </c>
      <c r="AC109" s="1027">
        <f t="shared" si="5"/>
        <v>0</v>
      </c>
      <c r="AD109" s="1027">
        <f t="shared" si="5"/>
        <v>0</v>
      </c>
      <c r="AE109" s="1027">
        <f t="shared" si="5"/>
        <v>0</v>
      </c>
      <c r="AF109" s="1027">
        <f t="shared" si="5"/>
        <v>67</v>
      </c>
      <c r="AG109" s="1027">
        <f t="shared" si="5"/>
        <v>75</v>
      </c>
      <c r="AH109" s="1027">
        <f t="shared" si="5"/>
        <v>0</v>
      </c>
      <c r="AI109" s="1036">
        <f>SUM(AI110:AI203)</f>
        <v>758</v>
      </c>
      <c r="AJ109" s="1036"/>
      <c r="AK109" s="1038"/>
      <c r="AL109" s="1038"/>
      <c r="AM109" s="1038"/>
    </row>
    <row r="110" spans="1:39" s="51" customFormat="1" ht="16.5" customHeight="1" outlineLevel="1">
      <c r="A110" s="1025">
        <v>1</v>
      </c>
      <c r="B110" s="1025" t="str">
        <f>VLOOKUP(C110,'DS CN MOI UP'!$B$10:$C$347,2,0)</f>
        <v>03319</v>
      </c>
      <c r="C110" s="845" t="s">
        <v>14</v>
      </c>
      <c r="D110" s="1062"/>
      <c r="E110" s="1062" t="s">
        <v>536</v>
      </c>
      <c r="F110" s="1062"/>
      <c r="G110" s="1062" t="s">
        <v>536</v>
      </c>
      <c r="H110" s="1062"/>
      <c r="I110" s="1062"/>
      <c r="J110" s="1062"/>
      <c r="K110" s="1062"/>
      <c r="L110" s="1062"/>
      <c r="M110" s="1062"/>
      <c r="N110" s="1062"/>
      <c r="O110" s="1062"/>
      <c r="P110" s="1062"/>
      <c r="Q110" s="1062" t="s">
        <v>536</v>
      </c>
      <c r="R110" s="1062" t="s">
        <v>536</v>
      </c>
      <c r="S110" s="1062" t="s">
        <v>536</v>
      </c>
      <c r="T110" s="1062" t="s">
        <v>536</v>
      </c>
      <c r="U110" s="1062" t="s">
        <v>536</v>
      </c>
      <c r="V110" s="1062"/>
      <c r="W110" s="1062"/>
      <c r="X110" s="1062" t="s">
        <v>536</v>
      </c>
      <c r="Y110" s="1062"/>
      <c r="Z110" s="1062"/>
      <c r="AA110" s="1062" t="s">
        <v>536</v>
      </c>
      <c r="AB110" s="1062"/>
      <c r="AC110" s="1062"/>
      <c r="AD110" s="1025"/>
      <c r="AE110" s="1025"/>
      <c r="AF110" s="1062" t="s">
        <v>536</v>
      </c>
      <c r="AG110" s="1062" t="s">
        <v>536</v>
      </c>
      <c r="AH110" s="1062"/>
      <c r="AI110" s="1069">
        <f t="shared" ref="AI110:AI173" si="6">COUNTIF(D110:AH110,"X")</f>
        <v>11</v>
      </c>
      <c r="AJ110" s="635"/>
      <c r="AK110" s="266"/>
      <c r="AM110" s="266"/>
    </row>
    <row r="111" spans="1:39" s="51" customFormat="1" ht="16.5" customHeight="1" outlineLevel="1">
      <c r="A111" s="1025">
        <v>2</v>
      </c>
      <c r="B111" s="1025" t="str">
        <f>VLOOKUP(C111,'DS CN MOI UP'!$B$10:$C$347,2,0)</f>
        <v>03320</v>
      </c>
      <c r="C111" s="845" t="s">
        <v>16</v>
      </c>
      <c r="D111" s="1062"/>
      <c r="E111" s="1062" t="s">
        <v>536</v>
      </c>
      <c r="F111" s="1062"/>
      <c r="G111" s="1062" t="s">
        <v>536</v>
      </c>
      <c r="H111" s="1062"/>
      <c r="I111" s="1062"/>
      <c r="J111" s="1062"/>
      <c r="K111" s="1062"/>
      <c r="L111" s="1062"/>
      <c r="M111" s="1062"/>
      <c r="N111" s="1062"/>
      <c r="O111" s="1062"/>
      <c r="P111" s="1062"/>
      <c r="Q111" s="1062" t="s">
        <v>536</v>
      </c>
      <c r="R111" s="1062" t="s">
        <v>536</v>
      </c>
      <c r="S111" s="1062" t="s">
        <v>536</v>
      </c>
      <c r="T111" s="1062" t="s">
        <v>536</v>
      </c>
      <c r="U111" s="1062" t="s">
        <v>536</v>
      </c>
      <c r="V111" s="1062" t="s">
        <v>536</v>
      </c>
      <c r="W111" s="1062"/>
      <c r="X111" s="1062" t="s">
        <v>536</v>
      </c>
      <c r="Y111" s="1062"/>
      <c r="Z111" s="1062"/>
      <c r="AA111" s="1062" t="s">
        <v>536</v>
      </c>
      <c r="AB111" s="1062"/>
      <c r="AC111" s="1062"/>
      <c r="AD111" s="1062"/>
      <c r="AE111" s="1062"/>
      <c r="AF111" s="1062" t="s">
        <v>536</v>
      </c>
      <c r="AG111" s="1062" t="s">
        <v>536</v>
      </c>
      <c r="AH111" s="1062"/>
      <c r="AI111" s="1069">
        <f t="shared" si="6"/>
        <v>12</v>
      </c>
      <c r="AJ111" s="635"/>
      <c r="AK111" s="266"/>
    </row>
    <row r="112" spans="1:39" s="51" customFormat="1" ht="16.5" customHeight="1" outlineLevel="1">
      <c r="A112" s="1025">
        <v>3</v>
      </c>
      <c r="B112" s="1025" t="str">
        <f>VLOOKUP(C112,'DS CN MOI UP'!$B$10:$C$347,2,0)</f>
        <v>02453</v>
      </c>
      <c r="C112" s="845" t="s">
        <v>17</v>
      </c>
      <c r="D112" s="1062"/>
      <c r="E112" s="1062" t="s">
        <v>536</v>
      </c>
      <c r="F112" s="1062"/>
      <c r="G112" s="1062" t="s">
        <v>536</v>
      </c>
      <c r="H112" s="1062"/>
      <c r="I112" s="1062"/>
      <c r="J112" s="1062"/>
      <c r="K112" s="1062"/>
      <c r="L112" s="1062"/>
      <c r="M112" s="1062"/>
      <c r="N112" s="1062"/>
      <c r="O112" s="1062"/>
      <c r="P112" s="1062"/>
      <c r="Q112" s="1062" t="s">
        <v>536</v>
      </c>
      <c r="R112" s="1062" t="s">
        <v>536</v>
      </c>
      <c r="S112" s="1062" t="s">
        <v>536</v>
      </c>
      <c r="T112" s="1062" t="s">
        <v>536</v>
      </c>
      <c r="U112" s="1062" t="s">
        <v>536</v>
      </c>
      <c r="V112" s="1062"/>
      <c r="W112" s="1062"/>
      <c r="X112" s="1062"/>
      <c r="Y112" s="1062"/>
      <c r="Z112" s="1062"/>
      <c r="AA112" s="1062"/>
      <c r="AB112" s="1062"/>
      <c r="AC112" s="1062"/>
      <c r="AD112" s="1062"/>
      <c r="AE112" s="1062"/>
      <c r="AF112" s="1062" t="s">
        <v>536</v>
      </c>
      <c r="AG112" s="1062" t="s">
        <v>536</v>
      </c>
      <c r="AH112" s="1062"/>
      <c r="AI112" s="1069">
        <f t="shared" si="6"/>
        <v>9</v>
      </c>
      <c r="AJ112" s="635"/>
      <c r="AK112" s="266"/>
    </row>
    <row r="113" spans="1:37" s="51" customFormat="1" ht="16.5" customHeight="1" outlineLevel="1">
      <c r="A113" s="1025">
        <v>4</v>
      </c>
      <c r="B113" s="1025" t="str">
        <f>VLOOKUP(C113,'DS CN MOI UP'!$B$10:$C$347,2,0)</f>
        <v>02471</v>
      </c>
      <c r="C113" s="818" t="s">
        <v>18</v>
      </c>
      <c r="D113" s="1062"/>
      <c r="E113" s="1062" t="s">
        <v>536</v>
      </c>
      <c r="F113" s="1062"/>
      <c r="G113" s="1062" t="s">
        <v>536</v>
      </c>
      <c r="H113" s="1062"/>
      <c r="I113" s="1062"/>
      <c r="J113" s="1062"/>
      <c r="K113" s="1062"/>
      <c r="L113" s="1062"/>
      <c r="M113" s="1062"/>
      <c r="N113" s="1062"/>
      <c r="O113" s="1062"/>
      <c r="P113" s="1062"/>
      <c r="Q113" s="1062" t="s">
        <v>536</v>
      </c>
      <c r="R113" s="1062" t="s">
        <v>536</v>
      </c>
      <c r="S113" s="1062"/>
      <c r="T113" s="1062" t="s">
        <v>536</v>
      </c>
      <c r="U113" s="1062" t="s">
        <v>536</v>
      </c>
      <c r="V113" s="1062" t="s">
        <v>536</v>
      </c>
      <c r="W113" s="1062"/>
      <c r="X113" s="1062" t="s">
        <v>536</v>
      </c>
      <c r="Y113" s="1062"/>
      <c r="Z113" s="1062"/>
      <c r="AA113" s="1062" t="s">
        <v>536</v>
      </c>
      <c r="AB113" s="1062"/>
      <c r="AC113" s="1062"/>
      <c r="AD113" s="1025"/>
      <c r="AE113" s="1025"/>
      <c r="AF113" s="1062" t="s">
        <v>536</v>
      </c>
      <c r="AG113" s="1062" t="s">
        <v>536</v>
      </c>
      <c r="AH113" s="1062"/>
      <c r="AI113" s="1069">
        <f t="shared" si="6"/>
        <v>11</v>
      </c>
      <c r="AJ113" s="635"/>
      <c r="AK113" s="266"/>
    </row>
    <row r="114" spans="1:37" s="51" customFormat="1" ht="16.5" customHeight="1" outlineLevel="1">
      <c r="A114" s="1025">
        <v>5</v>
      </c>
      <c r="B114" s="1025" t="e">
        <f>VLOOKUP(C114,'DS CN MOI UP'!$B$10:$C$347,2,0)</f>
        <v>#N/A</v>
      </c>
      <c r="C114" s="845" t="s">
        <v>556</v>
      </c>
      <c r="D114" s="1062"/>
      <c r="E114" s="1062" t="s">
        <v>536</v>
      </c>
      <c r="F114" s="1062"/>
      <c r="G114" s="1062" t="s">
        <v>536</v>
      </c>
      <c r="H114" s="1062"/>
      <c r="I114" s="1062"/>
      <c r="J114" s="1062"/>
      <c r="K114" s="1062"/>
      <c r="L114" s="1062"/>
      <c r="M114" s="1062"/>
      <c r="N114" s="1062"/>
      <c r="O114" s="1062"/>
      <c r="P114" s="1062"/>
      <c r="Q114" s="1062" t="s">
        <v>536</v>
      </c>
      <c r="R114" s="1062" t="s">
        <v>536</v>
      </c>
      <c r="S114" s="1062" t="s">
        <v>536</v>
      </c>
      <c r="T114" s="1062" t="s">
        <v>536</v>
      </c>
      <c r="U114" s="1062" t="s">
        <v>536</v>
      </c>
      <c r="V114" s="1062" t="s">
        <v>536</v>
      </c>
      <c r="W114" s="1062"/>
      <c r="X114" s="1062"/>
      <c r="Y114" s="1062"/>
      <c r="Z114" s="1062"/>
      <c r="AA114" s="1062"/>
      <c r="AB114" s="1062"/>
      <c r="AC114" s="1062"/>
      <c r="AD114" s="1025"/>
      <c r="AE114" s="1025"/>
      <c r="AF114" s="1062"/>
      <c r="AG114" s="1062" t="s">
        <v>536</v>
      </c>
      <c r="AH114" s="1062"/>
      <c r="AI114" s="1069">
        <f t="shared" si="6"/>
        <v>9</v>
      </c>
      <c r="AJ114" s="635"/>
      <c r="AK114" s="266"/>
    </row>
    <row r="115" spans="1:37" s="51" customFormat="1" ht="16.5" customHeight="1" outlineLevel="1">
      <c r="A115" s="1025">
        <v>6</v>
      </c>
      <c r="B115" s="1025" t="e">
        <f>VLOOKUP(C115,'DS CN MOI UP'!$B$10:$C$347,2,0)</f>
        <v>#N/A</v>
      </c>
      <c r="C115" s="845" t="s">
        <v>557</v>
      </c>
      <c r="D115" s="1062"/>
      <c r="E115" s="1062"/>
      <c r="F115" s="1062"/>
      <c r="G115" s="1062" t="s">
        <v>536</v>
      </c>
      <c r="H115" s="1062"/>
      <c r="I115" s="1062"/>
      <c r="J115" s="1062"/>
      <c r="K115" s="1062"/>
      <c r="L115" s="1062"/>
      <c r="M115" s="1062"/>
      <c r="N115" s="1062"/>
      <c r="O115" s="1062"/>
      <c r="P115" s="1062"/>
      <c r="Q115" s="1062" t="s">
        <v>536</v>
      </c>
      <c r="R115" s="1062" t="s">
        <v>536</v>
      </c>
      <c r="S115" s="1062" t="s">
        <v>536</v>
      </c>
      <c r="T115" s="1062" t="s">
        <v>536</v>
      </c>
      <c r="U115" s="1062" t="s">
        <v>536</v>
      </c>
      <c r="V115" s="1062"/>
      <c r="W115" s="1062" t="s">
        <v>536</v>
      </c>
      <c r="X115" s="1062" t="s">
        <v>536</v>
      </c>
      <c r="Y115" s="1062"/>
      <c r="Z115" s="1062"/>
      <c r="AA115" s="1062"/>
      <c r="AB115" s="1062"/>
      <c r="AC115" s="1062"/>
      <c r="AD115" s="1025"/>
      <c r="AE115" s="1025"/>
      <c r="AF115" s="1062"/>
      <c r="AG115" s="1062" t="s">
        <v>536</v>
      </c>
      <c r="AH115" s="1062"/>
      <c r="AI115" s="1069">
        <f t="shared" si="6"/>
        <v>9</v>
      </c>
      <c r="AJ115" s="635"/>
      <c r="AK115" s="266"/>
    </row>
    <row r="116" spans="1:37" s="51" customFormat="1" ht="16.149999999999999" customHeight="1" outlineLevel="1">
      <c r="A116" s="1025">
        <v>7</v>
      </c>
      <c r="B116" s="1025" t="str">
        <f>VLOOKUP(C116,'DS CN MOI UP'!$B$10:$C$347,2,0)</f>
        <v>03322</v>
      </c>
      <c r="C116" s="1028" t="s">
        <v>21</v>
      </c>
      <c r="D116" s="1062"/>
      <c r="E116" s="1062" t="s">
        <v>536</v>
      </c>
      <c r="F116" s="1062"/>
      <c r="G116" s="1062"/>
      <c r="H116" s="1062"/>
      <c r="I116" s="1062"/>
      <c r="J116" s="1062"/>
      <c r="K116" s="1062"/>
      <c r="L116" s="1062"/>
      <c r="M116" s="1062"/>
      <c r="N116" s="1062"/>
      <c r="O116" s="1062"/>
      <c r="P116" s="1062"/>
      <c r="Q116" s="1062"/>
      <c r="R116" s="1062" t="s">
        <v>536</v>
      </c>
      <c r="S116" s="1062"/>
      <c r="T116" s="1062" t="s">
        <v>536</v>
      </c>
      <c r="U116" s="1062"/>
      <c r="V116" s="1062"/>
      <c r="W116" s="1062"/>
      <c r="X116" s="1062" t="s">
        <v>536</v>
      </c>
      <c r="Y116" s="1062"/>
      <c r="Z116" s="1062"/>
      <c r="AA116" s="1062"/>
      <c r="AB116" s="1062"/>
      <c r="AC116" s="1062"/>
      <c r="AD116" s="1025"/>
      <c r="AE116" s="1062"/>
      <c r="AF116" s="1062" t="s">
        <v>536</v>
      </c>
      <c r="AG116" s="1062" t="s">
        <v>536</v>
      </c>
      <c r="AH116" s="1062"/>
      <c r="AI116" s="1069">
        <f t="shared" si="6"/>
        <v>6</v>
      </c>
      <c r="AJ116" s="635"/>
      <c r="AK116" s="266"/>
    </row>
    <row r="117" spans="1:37" s="51" customFormat="1" ht="16.149999999999999" customHeight="1" outlineLevel="1">
      <c r="A117" s="1025">
        <v>8</v>
      </c>
      <c r="B117" s="1025" t="str">
        <f>VLOOKUP(C117,'DS CN MOI UP'!$B$10:$C$347,2,0)</f>
        <v>02452</v>
      </c>
      <c r="C117" s="1028" t="s">
        <v>22</v>
      </c>
      <c r="D117" s="1062"/>
      <c r="E117" s="1062"/>
      <c r="F117" s="1062"/>
      <c r="G117" s="1062"/>
      <c r="H117" s="1062"/>
      <c r="I117" s="1062"/>
      <c r="J117" s="1062"/>
      <c r="K117" s="1062"/>
      <c r="L117" s="1062"/>
      <c r="M117" s="1062"/>
      <c r="N117" s="1062"/>
      <c r="O117" s="1062"/>
      <c r="P117" s="1062"/>
      <c r="Q117" s="1062" t="s">
        <v>536</v>
      </c>
      <c r="R117" s="1062" t="s">
        <v>536</v>
      </c>
      <c r="S117" s="1062" t="s">
        <v>536</v>
      </c>
      <c r="T117" s="1062" t="s">
        <v>536</v>
      </c>
      <c r="U117" s="1062" t="s">
        <v>536</v>
      </c>
      <c r="V117" s="1062"/>
      <c r="W117" s="1062" t="s">
        <v>536</v>
      </c>
      <c r="X117" s="1062" t="s">
        <v>536</v>
      </c>
      <c r="Y117" s="1062"/>
      <c r="Z117" s="1062"/>
      <c r="AA117" s="1062" t="s">
        <v>536</v>
      </c>
      <c r="AB117" s="1062"/>
      <c r="AC117" s="1062"/>
      <c r="AD117" s="1025"/>
      <c r="AE117" s="1025"/>
      <c r="AF117" s="1062" t="s">
        <v>536</v>
      </c>
      <c r="AG117" s="1062" t="s">
        <v>536</v>
      </c>
      <c r="AH117" s="1062"/>
      <c r="AI117" s="1069">
        <f t="shared" si="6"/>
        <v>10</v>
      </c>
      <c r="AJ117" s="635"/>
      <c r="AK117" s="266"/>
    </row>
    <row r="118" spans="1:37" s="51" customFormat="1" ht="16.149999999999999" customHeight="1" outlineLevel="1">
      <c r="A118" s="1025">
        <v>9</v>
      </c>
      <c r="B118" s="1025" t="str">
        <f>VLOOKUP(C118,'DS CN MOI UP'!$B$10:$C$347,2,0)</f>
        <v>02508</v>
      </c>
      <c r="C118" s="1028" t="s">
        <v>23</v>
      </c>
      <c r="D118" s="1062"/>
      <c r="E118" s="1062"/>
      <c r="F118" s="1062"/>
      <c r="G118" s="1062"/>
      <c r="H118" s="1062"/>
      <c r="I118" s="1062"/>
      <c r="J118" s="1062"/>
      <c r="K118" s="1062"/>
      <c r="L118" s="1062"/>
      <c r="M118" s="1062"/>
      <c r="N118" s="1062"/>
      <c r="O118" s="1062"/>
      <c r="P118" s="1062"/>
      <c r="Q118" s="1062" t="s">
        <v>536</v>
      </c>
      <c r="R118" s="1062" t="s">
        <v>536</v>
      </c>
      <c r="S118" s="1062" t="s">
        <v>536</v>
      </c>
      <c r="T118" s="1062" t="s">
        <v>536</v>
      </c>
      <c r="U118" s="1062" t="s">
        <v>536</v>
      </c>
      <c r="V118" s="1062"/>
      <c r="W118" s="1062" t="s">
        <v>536</v>
      </c>
      <c r="X118" s="1062" t="s">
        <v>536</v>
      </c>
      <c r="Y118" s="1062"/>
      <c r="Z118" s="1062"/>
      <c r="AA118" s="1062" t="s">
        <v>536</v>
      </c>
      <c r="AB118" s="1062"/>
      <c r="AC118" s="1062"/>
      <c r="AD118" s="1025"/>
      <c r="AE118" s="1025"/>
      <c r="AF118" s="1062" t="s">
        <v>536</v>
      </c>
      <c r="AG118" s="1062" t="s">
        <v>536</v>
      </c>
      <c r="AH118" s="1062"/>
      <c r="AI118" s="1069">
        <f t="shared" si="6"/>
        <v>10</v>
      </c>
      <c r="AJ118" s="635"/>
      <c r="AK118" s="266"/>
    </row>
    <row r="119" spans="1:37" s="51" customFormat="1" ht="16.149999999999999" customHeight="1" outlineLevel="1">
      <c r="A119" s="1025">
        <v>10</v>
      </c>
      <c r="B119" s="1025" t="str">
        <f>VLOOKUP(C119,'DS CN MOI UP'!$B$10:$C$347,2,0)</f>
        <v>03323</v>
      </c>
      <c r="C119" s="1028" t="s">
        <v>24</v>
      </c>
      <c r="D119" s="1062"/>
      <c r="E119" s="1062" t="s">
        <v>536</v>
      </c>
      <c r="F119" s="1062" t="s">
        <v>536</v>
      </c>
      <c r="G119" s="1062" t="s">
        <v>536</v>
      </c>
      <c r="H119" s="1062"/>
      <c r="I119" s="1062"/>
      <c r="J119" s="1062"/>
      <c r="K119" s="1062"/>
      <c r="L119" s="1062"/>
      <c r="M119" s="1062"/>
      <c r="N119" s="1062"/>
      <c r="O119" s="1062"/>
      <c r="P119" s="1062"/>
      <c r="Q119" s="1062" t="s">
        <v>536</v>
      </c>
      <c r="R119" s="1062" t="s">
        <v>536</v>
      </c>
      <c r="S119" s="1062" t="s">
        <v>536</v>
      </c>
      <c r="T119" s="1062"/>
      <c r="U119" s="1062" t="s">
        <v>536</v>
      </c>
      <c r="V119" s="1062"/>
      <c r="W119" s="1062" t="s">
        <v>536</v>
      </c>
      <c r="X119" s="1062" t="s">
        <v>536</v>
      </c>
      <c r="Y119" s="1062"/>
      <c r="Z119" s="1062"/>
      <c r="AA119" s="1062" t="s">
        <v>536</v>
      </c>
      <c r="AB119" s="1062"/>
      <c r="AC119" s="1062"/>
      <c r="AD119" s="1062"/>
      <c r="AE119" s="1062"/>
      <c r="AF119" s="1062" t="s">
        <v>536</v>
      </c>
      <c r="AG119" s="1062" t="s">
        <v>536</v>
      </c>
      <c r="AH119" s="1062"/>
      <c r="AI119" s="1069">
        <f t="shared" si="6"/>
        <v>12</v>
      </c>
      <c r="AJ119" s="635"/>
      <c r="AK119" s="266"/>
    </row>
    <row r="120" spans="1:37" s="51" customFormat="1" ht="16.149999999999999" customHeight="1" outlineLevel="1">
      <c r="A120" s="1025">
        <v>11</v>
      </c>
      <c r="B120" s="1025" t="str">
        <f>VLOOKUP(C120,'DS CN MOI UP'!$B$10:$C$347,2,0)</f>
        <v>02466</v>
      </c>
      <c r="C120" s="1028" t="s">
        <v>25</v>
      </c>
      <c r="D120" s="1062"/>
      <c r="E120" s="1062" t="s">
        <v>536</v>
      </c>
      <c r="F120" s="1062" t="s">
        <v>536</v>
      </c>
      <c r="G120" s="1062" t="s">
        <v>536</v>
      </c>
      <c r="H120" s="1062"/>
      <c r="I120" s="1062"/>
      <c r="J120" s="1062"/>
      <c r="K120" s="1062"/>
      <c r="L120" s="1062"/>
      <c r="M120" s="1062"/>
      <c r="N120" s="1062"/>
      <c r="O120" s="1062"/>
      <c r="P120" s="1062"/>
      <c r="Q120" s="1062" t="s">
        <v>536</v>
      </c>
      <c r="R120" s="1062"/>
      <c r="S120" s="1062"/>
      <c r="T120" s="1062"/>
      <c r="U120" s="1062" t="s">
        <v>536</v>
      </c>
      <c r="V120" s="1062"/>
      <c r="W120" s="1062"/>
      <c r="X120" s="1062" t="s">
        <v>536</v>
      </c>
      <c r="Y120" s="1062"/>
      <c r="Z120" s="1062"/>
      <c r="AA120" s="1062" t="s">
        <v>536</v>
      </c>
      <c r="AB120" s="1062"/>
      <c r="AC120" s="1062"/>
      <c r="AD120" s="1062"/>
      <c r="AE120" s="1025"/>
      <c r="AF120" s="1062" t="s">
        <v>536</v>
      </c>
      <c r="AG120" s="1062" t="s">
        <v>536</v>
      </c>
      <c r="AH120" s="1062"/>
      <c r="AI120" s="1069">
        <f t="shared" si="6"/>
        <v>9</v>
      </c>
      <c r="AJ120" s="635"/>
      <c r="AK120" s="266"/>
    </row>
    <row r="121" spans="1:37" s="51" customFormat="1" ht="16.149999999999999" customHeight="1" outlineLevel="1">
      <c r="A121" s="1025">
        <v>12</v>
      </c>
      <c r="B121" s="1025" t="str">
        <f>VLOOKUP(C121,'DS CN MOI UP'!$B$10:$C$347,2,0)</f>
        <v>02493</v>
      </c>
      <c r="C121" s="1028" t="s">
        <v>26</v>
      </c>
      <c r="D121" s="1062"/>
      <c r="E121" s="1062" t="s">
        <v>536</v>
      </c>
      <c r="F121" s="1062" t="s">
        <v>536</v>
      </c>
      <c r="G121" s="1062" t="s">
        <v>536</v>
      </c>
      <c r="H121" s="1062"/>
      <c r="I121" s="1062"/>
      <c r="J121" s="1062"/>
      <c r="K121" s="1062"/>
      <c r="L121" s="1062"/>
      <c r="M121" s="1062"/>
      <c r="N121" s="1062"/>
      <c r="O121" s="1062"/>
      <c r="P121" s="1062"/>
      <c r="Q121" s="1062"/>
      <c r="R121" s="1062"/>
      <c r="S121" s="1062" t="s">
        <v>536</v>
      </c>
      <c r="T121" s="1062" t="s">
        <v>536</v>
      </c>
      <c r="U121" s="1062" t="s">
        <v>536</v>
      </c>
      <c r="V121" s="1062"/>
      <c r="W121" s="1062"/>
      <c r="X121" s="1062" t="s">
        <v>536</v>
      </c>
      <c r="Y121" s="1062"/>
      <c r="Z121" s="1062"/>
      <c r="AA121" s="1062" t="s">
        <v>536</v>
      </c>
      <c r="AB121" s="1062"/>
      <c r="AC121" s="1062"/>
      <c r="AD121" s="1025"/>
      <c r="AE121" s="1062"/>
      <c r="AF121" s="1062" t="s">
        <v>536</v>
      </c>
      <c r="AG121" s="1062" t="s">
        <v>536</v>
      </c>
      <c r="AH121" s="1062"/>
      <c r="AI121" s="1069">
        <f t="shared" si="6"/>
        <v>10</v>
      </c>
      <c r="AJ121" s="635"/>
      <c r="AK121" s="266"/>
    </row>
    <row r="122" spans="1:37" s="51" customFormat="1" ht="16.149999999999999" customHeight="1" outlineLevel="1">
      <c r="A122" s="1025">
        <v>13</v>
      </c>
      <c r="B122" s="1025" t="str">
        <f>VLOOKUP(C122,'DS CN MOI UP'!$B$10:$C$347,2,0)</f>
        <v>03324</v>
      </c>
      <c r="C122" s="1028" t="s">
        <v>27</v>
      </c>
      <c r="D122" s="1062"/>
      <c r="E122" s="1062"/>
      <c r="F122" s="1062" t="s">
        <v>536</v>
      </c>
      <c r="G122" s="1062"/>
      <c r="H122" s="1062"/>
      <c r="I122" s="1062"/>
      <c r="J122" s="1062"/>
      <c r="K122" s="1062"/>
      <c r="L122" s="1062"/>
      <c r="M122" s="1062"/>
      <c r="N122" s="1062"/>
      <c r="O122" s="1062"/>
      <c r="P122" s="1062"/>
      <c r="Q122" s="1062" t="s">
        <v>536</v>
      </c>
      <c r="R122" s="1062"/>
      <c r="S122" s="1062"/>
      <c r="T122" s="1062"/>
      <c r="U122" s="1062" t="s">
        <v>536</v>
      </c>
      <c r="V122" s="1062" t="s">
        <v>536</v>
      </c>
      <c r="W122" s="1062"/>
      <c r="X122" s="1062" t="s">
        <v>536</v>
      </c>
      <c r="Y122" s="1062"/>
      <c r="Z122" s="1062"/>
      <c r="AA122" s="1062"/>
      <c r="AB122" s="1062"/>
      <c r="AC122" s="1062"/>
      <c r="AD122" s="1062"/>
      <c r="AE122" s="1062"/>
      <c r="AF122" s="1062" t="s">
        <v>536</v>
      </c>
      <c r="AG122" s="1062" t="s">
        <v>536</v>
      </c>
      <c r="AH122" s="1062"/>
      <c r="AI122" s="1069">
        <f t="shared" si="6"/>
        <v>7</v>
      </c>
      <c r="AJ122" s="635"/>
      <c r="AK122" s="266"/>
    </row>
    <row r="123" spans="1:37" s="51" customFormat="1" ht="16.149999999999999" customHeight="1" outlineLevel="1">
      <c r="A123" s="1025">
        <v>14</v>
      </c>
      <c r="B123" s="1025" t="str">
        <f>VLOOKUP(C123,'DS CN MOI UP'!$B$10:$C$347,2,0)</f>
        <v>03325</v>
      </c>
      <c r="C123" s="1028" t="s">
        <v>28</v>
      </c>
      <c r="D123" s="1062"/>
      <c r="E123" s="1062"/>
      <c r="F123" s="1062" t="s">
        <v>536</v>
      </c>
      <c r="G123" s="1062"/>
      <c r="H123" s="1062"/>
      <c r="I123" s="1062"/>
      <c r="J123" s="1062"/>
      <c r="K123" s="1062"/>
      <c r="L123" s="1062"/>
      <c r="M123" s="1062"/>
      <c r="N123" s="1062"/>
      <c r="O123" s="1062"/>
      <c r="P123" s="1062"/>
      <c r="Q123" s="1062" t="s">
        <v>536</v>
      </c>
      <c r="R123" s="1062"/>
      <c r="S123" s="1062"/>
      <c r="T123" s="1062"/>
      <c r="U123" s="1062" t="s">
        <v>536</v>
      </c>
      <c r="V123" s="1062" t="s">
        <v>536</v>
      </c>
      <c r="W123" s="1062"/>
      <c r="X123" s="1062" t="s">
        <v>536</v>
      </c>
      <c r="Y123" s="1062"/>
      <c r="Z123" s="1062"/>
      <c r="AA123" s="1062" t="s">
        <v>536</v>
      </c>
      <c r="AB123" s="1062"/>
      <c r="AC123" s="1062"/>
      <c r="AD123" s="1025"/>
      <c r="AE123" s="1025"/>
      <c r="AF123" s="1062" t="s">
        <v>536</v>
      </c>
      <c r="AG123" s="1062" t="s">
        <v>536</v>
      </c>
      <c r="AH123" s="1062"/>
      <c r="AI123" s="1069">
        <f t="shared" si="6"/>
        <v>8</v>
      </c>
      <c r="AJ123" s="635"/>
      <c r="AK123" s="266"/>
    </row>
    <row r="124" spans="1:37" s="51" customFormat="1" ht="16.149999999999999" customHeight="1" outlineLevel="1">
      <c r="A124" s="1025">
        <v>15</v>
      </c>
      <c r="B124" s="1025" t="str">
        <f>VLOOKUP(C124,'DS CN MOI UP'!$B$10:$C$347,2,0)</f>
        <v>03326</v>
      </c>
      <c r="C124" s="1028" t="s">
        <v>29</v>
      </c>
      <c r="D124" s="1062"/>
      <c r="E124" s="1062" t="s">
        <v>536</v>
      </c>
      <c r="F124" s="1062"/>
      <c r="G124" s="1062" t="s">
        <v>536</v>
      </c>
      <c r="H124" s="1062"/>
      <c r="I124" s="1062"/>
      <c r="J124" s="1062"/>
      <c r="K124" s="1062"/>
      <c r="L124" s="1062"/>
      <c r="M124" s="1062"/>
      <c r="N124" s="1062"/>
      <c r="O124" s="1062"/>
      <c r="P124" s="1062"/>
      <c r="Q124" s="1062"/>
      <c r="R124" s="1062"/>
      <c r="S124" s="1062"/>
      <c r="T124" s="1062"/>
      <c r="U124" s="1062"/>
      <c r="V124" s="1062" t="s">
        <v>536</v>
      </c>
      <c r="W124" s="1062"/>
      <c r="X124" s="1062"/>
      <c r="Y124" s="1062"/>
      <c r="Z124" s="1062"/>
      <c r="AA124" s="1062" t="s">
        <v>536</v>
      </c>
      <c r="AB124" s="1062"/>
      <c r="AC124" s="1062"/>
      <c r="AD124" s="1025"/>
      <c r="AE124" s="1025"/>
      <c r="AF124" s="1062"/>
      <c r="AG124" s="1062" t="s">
        <v>536</v>
      </c>
      <c r="AH124" s="1062"/>
      <c r="AI124" s="1069">
        <f t="shared" si="6"/>
        <v>5</v>
      </c>
      <c r="AJ124" s="635"/>
      <c r="AK124" s="266"/>
    </row>
    <row r="125" spans="1:37" s="51" customFormat="1" ht="16.149999999999999" customHeight="1" outlineLevel="1">
      <c r="A125" s="1025">
        <v>16</v>
      </c>
      <c r="B125" s="1025" t="str">
        <f>VLOOKUP(C125,'DS CN MOI UP'!$B$10:$C$347,2,0)</f>
        <v>02492</v>
      </c>
      <c r="C125" s="1028" t="s">
        <v>30</v>
      </c>
      <c r="D125" s="1062"/>
      <c r="E125" s="1062"/>
      <c r="F125" s="1062"/>
      <c r="G125" s="1062"/>
      <c r="H125" s="1062"/>
      <c r="I125" s="1062"/>
      <c r="J125" s="1062"/>
      <c r="K125" s="1062"/>
      <c r="L125" s="1062"/>
      <c r="M125" s="1062"/>
      <c r="N125" s="1062"/>
      <c r="O125" s="1062"/>
      <c r="P125" s="1062"/>
      <c r="Q125" s="1062"/>
      <c r="R125" s="1062" t="s">
        <v>536</v>
      </c>
      <c r="S125" s="1062"/>
      <c r="T125" s="1062"/>
      <c r="U125" s="1062" t="s">
        <v>536</v>
      </c>
      <c r="V125" s="1062"/>
      <c r="W125" s="1062" t="s">
        <v>536</v>
      </c>
      <c r="X125" s="1062"/>
      <c r="Y125" s="1062"/>
      <c r="Z125" s="1062"/>
      <c r="AA125" s="1062"/>
      <c r="AB125" s="1062"/>
      <c r="AC125" s="1062"/>
      <c r="AD125" s="1025"/>
      <c r="AE125" s="1062"/>
      <c r="AF125" s="1062" t="s">
        <v>536</v>
      </c>
      <c r="AG125" s="1062" t="s">
        <v>536</v>
      </c>
      <c r="AH125" s="1062"/>
      <c r="AI125" s="1069">
        <f t="shared" si="6"/>
        <v>5</v>
      </c>
      <c r="AJ125" s="635"/>
      <c r="AK125" s="266"/>
    </row>
    <row r="126" spans="1:37" s="51" customFormat="1" ht="16.149999999999999" customHeight="1" outlineLevel="1">
      <c r="A126" s="1025">
        <v>17</v>
      </c>
      <c r="B126" s="1025" t="str">
        <f>VLOOKUP(C126,'DS CN MOI UP'!$B$10:$C$347,2,0)</f>
        <v>02485</v>
      </c>
      <c r="C126" s="1028" t="s">
        <v>31</v>
      </c>
      <c r="D126" s="1062"/>
      <c r="E126" s="1062"/>
      <c r="F126" s="1062"/>
      <c r="G126" s="1062" t="s">
        <v>536</v>
      </c>
      <c r="H126" s="1062"/>
      <c r="I126" s="1062"/>
      <c r="J126" s="1062"/>
      <c r="K126" s="1062"/>
      <c r="L126" s="1062"/>
      <c r="M126" s="1062"/>
      <c r="N126" s="1062"/>
      <c r="O126" s="1062"/>
      <c r="P126" s="1062"/>
      <c r="Q126" s="1062" t="s">
        <v>536</v>
      </c>
      <c r="R126" s="1062" t="s">
        <v>536</v>
      </c>
      <c r="S126" s="1062" t="s">
        <v>536</v>
      </c>
      <c r="T126" s="1062" t="s">
        <v>536</v>
      </c>
      <c r="U126" s="1062" t="s">
        <v>536</v>
      </c>
      <c r="V126" s="1062"/>
      <c r="W126" s="1062" t="s">
        <v>536</v>
      </c>
      <c r="X126" s="1062" t="s">
        <v>536</v>
      </c>
      <c r="Y126" s="1062"/>
      <c r="Z126" s="1062"/>
      <c r="AA126" s="1062" t="s">
        <v>536</v>
      </c>
      <c r="AB126" s="1062"/>
      <c r="AC126" s="1062"/>
      <c r="AD126" s="1062"/>
      <c r="AE126" s="1062"/>
      <c r="AF126" s="1062" t="s">
        <v>536</v>
      </c>
      <c r="AG126" s="1062" t="s">
        <v>536</v>
      </c>
      <c r="AH126" s="1062"/>
      <c r="AI126" s="1069">
        <f t="shared" si="6"/>
        <v>11</v>
      </c>
      <c r="AJ126" s="635"/>
      <c r="AK126" s="266"/>
    </row>
    <row r="127" spans="1:37" s="51" customFormat="1" ht="16.149999999999999" customHeight="1" outlineLevel="1">
      <c r="A127" s="1025">
        <v>18</v>
      </c>
      <c r="B127" s="1025" t="str">
        <f>VLOOKUP(C127,'DS CN MOI UP'!$B$10:$C$347,2,0)</f>
        <v>02487</v>
      </c>
      <c r="C127" s="1028" t="s">
        <v>32</v>
      </c>
      <c r="D127" s="1062"/>
      <c r="E127" s="1062"/>
      <c r="F127" s="1062"/>
      <c r="G127" s="1062" t="s">
        <v>536</v>
      </c>
      <c r="H127" s="1062"/>
      <c r="I127" s="1062"/>
      <c r="J127" s="1062"/>
      <c r="K127" s="1062"/>
      <c r="L127" s="1062"/>
      <c r="M127" s="1062"/>
      <c r="N127" s="1062"/>
      <c r="O127" s="1062"/>
      <c r="P127" s="1062"/>
      <c r="Q127" s="1062" t="s">
        <v>536</v>
      </c>
      <c r="R127" s="1062" t="s">
        <v>536</v>
      </c>
      <c r="S127" s="1062" t="s">
        <v>536</v>
      </c>
      <c r="T127" s="1062" t="s">
        <v>536</v>
      </c>
      <c r="U127" s="1062" t="s">
        <v>536</v>
      </c>
      <c r="V127" s="1062"/>
      <c r="W127" s="1062" t="s">
        <v>536</v>
      </c>
      <c r="X127" s="1062" t="s">
        <v>536</v>
      </c>
      <c r="Y127" s="1062"/>
      <c r="Z127" s="1062"/>
      <c r="AA127" s="1062" t="s">
        <v>536</v>
      </c>
      <c r="AB127" s="1062"/>
      <c r="AC127" s="1062"/>
      <c r="AD127" s="1062"/>
      <c r="AE127" s="1025"/>
      <c r="AF127" s="1062" t="s">
        <v>536</v>
      </c>
      <c r="AG127" s="1062" t="s">
        <v>536</v>
      </c>
      <c r="AH127" s="1062"/>
      <c r="AI127" s="1069">
        <f t="shared" si="6"/>
        <v>11</v>
      </c>
      <c r="AJ127" s="635"/>
      <c r="AK127" s="266"/>
    </row>
    <row r="128" spans="1:37" s="51" customFormat="1" ht="16.149999999999999" customHeight="1" outlineLevel="1">
      <c r="A128" s="1025">
        <v>19</v>
      </c>
      <c r="B128" s="1025" t="str">
        <f>VLOOKUP(C128,'DS CN MOI UP'!$B$10:$C$347,2,0)</f>
        <v>03327</v>
      </c>
      <c r="C128" s="1028" t="s">
        <v>33</v>
      </c>
      <c r="D128" s="1062"/>
      <c r="E128" s="1062"/>
      <c r="F128" s="1062"/>
      <c r="G128" s="1062"/>
      <c r="H128" s="1062"/>
      <c r="I128" s="1062"/>
      <c r="J128" s="1062"/>
      <c r="K128" s="1062"/>
      <c r="L128" s="1062"/>
      <c r="M128" s="1062"/>
      <c r="N128" s="1062"/>
      <c r="O128" s="1062"/>
      <c r="P128" s="1062"/>
      <c r="Q128" s="1062" t="s">
        <v>536</v>
      </c>
      <c r="R128" s="1062" t="s">
        <v>536</v>
      </c>
      <c r="S128" s="1062" t="s">
        <v>536</v>
      </c>
      <c r="T128" s="1062" t="s">
        <v>536</v>
      </c>
      <c r="U128" s="1062" t="s">
        <v>536</v>
      </c>
      <c r="V128" s="1062" t="s">
        <v>536</v>
      </c>
      <c r="W128" s="1062"/>
      <c r="X128" s="1062" t="s">
        <v>536</v>
      </c>
      <c r="Y128" s="1062"/>
      <c r="Z128" s="1062"/>
      <c r="AA128" s="1062" t="s">
        <v>536</v>
      </c>
      <c r="AB128" s="1062"/>
      <c r="AC128" s="1062"/>
      <c r="AD128" s="1025"/>
      <c r="AE128" s="1025"/>
      <c r="AF128" s="1062" t="s">
        <v>536</v>
      </c>
      <c r="AG128" s="1062" t="s">
        <v>536</v>
      </c>
      <c r="AH128" s="1062"/>
      <c r="AI128" s="1069">
        <f t="shared" si="6"/>
        <v>10</v>
      </c>
      <c r="AJ128" s="635"/>
      <c r="AK128" s="266"/>
    </row>
    <row r="129" spans="1:37" s="51" customFormat="1" ht="16.149999999999999" customHeight="1" outlineLevel="1">
      <c r="A129" s="1025">
        <v>20</v>
      </c>
      <c r="B129" s="1025" t="str">
        <f>VLOOKUP(C129,'DS CN MOI UP'!$B$10:$C$347,2,0)</f>
        <v>02684</v>
      </c>
      <c r="C129" s="1028" t="s">
        <v>34</v>
      </c>
      <c r="D129" s="1062"/>
      <c r="E129" s="1062"/>
      <c r="F129" s="1062"/>
      <c r="G129" s="1062"/>
      <c r="H129" s="1062"/>
      <c r="I129" s="1062"/>
      <c r="J129" s="1062"/>
      <c r="K129" s="1062"/>
      <c r="L129" s="1062"/>
      <c r="M129" s="1062"/>
      <c r="N129" s="1062"/>
      <c r="O129" s="1062"/>
      <c r="P129" s="1062"/>
      <c r="Q129" s="1062" t="s">
        <v>536</v>
      </c>
      <c r="R129" s="1062" t="s">
        <v>536</v>
      </c>
      <c r="S129" s="1062" t="s">
        <v>536</v>
      </c>
      <c r="T129" s="1062" t="s">
        <v>536</v>
      </c>
      <c r="U129" s="1062" t="s">
        <v>536</v>
      </c>
      <c r="V129" s="1062"/>
      <c r="W129" s="1062" t="s">
        <v>536</v>
      </c>
      <c r="X129" s="1062" t="s">
        <v>536</v>
      </c>
      <c r="Y129" s="1062"/>
      <c r="Z129" s="1062"/>
      <c r="AA129" s="1062"/>
      <c r="AB129" s="1062"/>
      <c r="AC129" s="1062"/>
      <c r="AD129" s="1025"/>
      <c r="AE129" s="1025"/>
      <c r="AF129" s="1062" t="s">
        <v>536</v>
      </c>
      <c r="AG129" s="1062" t="s">
        <v>536</v>
      </c>
      <c r="AH129" s="1062"/>
      <c r="AI129" s="1069">
        <f t="shared" si="6"/>
        <v>9</v>
      </c>
      <c r="AJ129" s="635"/>
      <c r="AK129" s="266"/>
    </row>
    <row r="130" spans="1:37" s="51" customFormat="1" ht="16.149999999999999" customHeight="1" outlineLevel="1">
      <c r="A130" s="1025">
        <v>21</v>
      </c>
      <c r="B130" s="1025" t="str">
        <f>VLOOKUP(C130,'DS CN MOI UP'!$B$10:$C$347,2,0)</f>
        <v>02488</v>
      </c>
      <c r="C130" s="1028" t="s">
        <v>35</v>
      </c>
      <c r="D130" s="1062"/>
      <c r="E130" s="1062"/>
      <c r="F130" s="1062"/>
      <c r="G130" s="1062"/>
      <c r="H130" s="1062"/>
      <c r="I130" s="1062"/>
      <c r="J130" s="1062"/>
      <c r="K130" s="1062"/>
      <c r="L130" s="1062"/>
      <c r="M130" s="1062"/>
      <c r="N130" s="1062"/>
      <c r="O130" s="1062"/>
      <c r="P130" s="1062"/>
      <c r="Q130" s="1062" t="s">
        <v>536</v>
      </c>
      <c r="R130" s="1062" t="s">
        <v>536</v>
      </c>
      <c r="S130" s="1062" t="s">
        <v>536</v>
      </c>
      <c r="T130" s="1062" t="s">
        <v>536</v>
      </c>
      <c r="U130" s="1062" t="s">
        <v>536</v>
      </c>
      <c r="V130" s="1062"/>
      <c r="W130" s="1062"/>
      <c r="X130" s="1062" t="s">
        <v>536</v>
      </c>
      <c r="Y130" s="1062"/>
      <c r="Z130" s="1062"/>
      <c r="AA130" s="1062"/>
      <c r="AB130" s="1062"/>
      <c r="AC130" s="1062"/>
      <c r="AD130" s="1062"/>
      <c r="AE130" s="1062"/>
      <c r="AF130" s="1062" t="s">
        <v>536</v>
      </c>
      <c r="AG130" s="1062"/>
      <c r="AH130" s="1062"/>
      <c r="AI130" s="1069">
        <f t="shared" si="6"/>
        <v>7</v>
      </c>
      <c r="AJ130" s="635"/>
      <c r="AK130" s="266"/>
    </row>
    <row r="131" spans="1:37" s="51" customFormat="1" ht="16.149999999999999" customHeight="1" outlineLevel="1">
      <c r="A131" s="1025">
        <v>22</v>
      </c>
      <c r="B131" s="1025" t="str">
        <f>VLOOKUP(C131,'DS CN MOI UP'!$B$10:$C$347,2,0)</f>
        <v>02679</v>
      </c>
      <c r="C131" s="1028" t="s">
        <v>36</v>
      </c>
      <c r="D131" s="1062"/>
      <c r="E131" s="1062"/>
      <c r="F131" s="1062"/>
      <c r="G131" s="1062" t="s">
        <v>536</v>
      </c>
      <c r="H131" s="1062"/>
      <c r="I131" s="1062"/>
      <c r="J131" s="1062"/>
      <c r="K131" s="1062"/>
      <c r="L131" s="1062"/>
      <c r="M131" s="1062"/>
      <c r="N131" s="1062"/>
      <c r="O131" s="1062"/>
      <c r="P131" s="1062"/>
      <c r="Q131" s="1062" t="s">
        <v>536</v>
      </c>
      <c r="R131" s="1062" t="s">
        <v>536</v>
      </c>
      <c r="S131" s="1062" t="s">
        <v>536</v>
      </c>
      <c r="T131" s="1062" t="s">
        <v>536</v>
      </c>
      <c r="U131" s="1062" t="s">
        <v>536</v>
      </c>
      <c r="V131" s="1062" t="s">
        <v>536</v>
      </c>
      <c r="W131" s="1062" t="s">
        <v>536</v>
      </c>
      <c r="X131" s="1062" t="s">
        <v>536</v>
      </c>
      <c r="Y131" s="1062"/>
      <c r="Z131" s="1062"/>
      <c r="AA131" s="1062" t="s">
        <v>536</v>
      </c>
      <c r="AB131" s="1062"/>
      <c r="AC131" s="1062"/>
      <c r="AD131" s="1025"/>
      <c r="AE131" s="1025"/>
      <c r="AF131" s="1062" t="s">
        <v>536</v>
      </c>
      <c r="AG131" s="1062" t="s">
        <v>536</v>
      </c>
      <c r="AH131" s="1062"/>
      <c r="AI131" s="1069">
        <f t="shared" si="6"/>
        <v>12</v>
      </c>
      <c r="AJ131" s="635"/>
      <c r="AK131" s="266"/>
    </row>
    <row r="132" spans="1:37" s="51" customFormat="1" ht="16.149999999999999" customHeight="1" outlineLevel="1">
      <c r="A132" s="1025">
        <v>23</v>
      </c>
      <c r="B132" s="1025" t="str">
        <f>VLOOKUP(C132,'DS CN MOI UP'!$B$10:$C$347,2,0)</f>
        <v>03328</v>
      </c>
      <c r="C132" s="1028" t="s">
        <v>37</v>
      </c>
      <c r="D132" s="1062"/>
      <c r="E132" s="1062"/>
      <c r="F132" s="1062"/>
      <c r="G132" s="1062"/>
      <c r="H132" s="1062"/>
      <c r="I132" s="1062"/>
      <c r="J132" s="1062"/>
      <c r="K132" s="1062"/>
      <c r="L132" s="1062"/>
      <c r="M132" s="1062"/>
      <c r="N132" s="1062"/>
      <c r="O132" s="1062"/>
      <c r="P132" s="1062"/>
      <c r="Q132" s="1062" t="s">
        <v>536</v>
      </c>
      <c r="R132" s="1062" t="s">
        <v>536</v>
      </c>
      <c r="S132" s="1062" t="s">
        <v>536</v>
      </c>
      <c r="T132" s="1062" t="s">
        <v>536</v>
      </c>
      <c r="U132" s="1062" t="s">
        <v>536</v>
      </c>
      <c r="V132" s="1062"/>
      <c r="W132" s="1062" t="s">
        <v>536</v>
      </c>
      <c r="X132" s="1062" t="s">
        <v>536</v>
      </c>
      <c r="Y132" s="1062"/>
      <c r="Z132" s="1062"/>
      <c r="AA132" s="1062"/>
      <c r="AB132" s="1062"/>
      <c r="AC132" s="1062"/>
      <c r="AD132" s="1025"/>
      <c r="AE132" s="1025"/>
      <c r="AF132" s="1062" t="s">
        <v>536</v>
      </c>
      <c r="AG132" s="1062"/>
      <c r="AH132" s="1062"/>
      <c r="AI132" s="1069">
        <f t="shared" si="6"/>
        <v>8</v>
      </c>
      <c r="AJ132" s="635"/>
      <c r="AK132" s="266"/>
    </row>
    <row r="133" spans="1:37" s="51" customFormat="1" ht="16.149999999999999" customHeight="1" outlineLevel="1">
      <c r="A133" s="1025">
        <v>24</v>
      </c>
      <c r="B133" s="1025" t="str">
        <f>VLOOKUP(C133,'DS CN MOI UP'!$B$10:$C$347,2,0)</f>
        <v>02469</v>
      </c>
      <c r="C133" s="1028" t="s">
        <v>38</v>
      </c>
      <c r="D133" s="1062"/>
      <c r="E133" s="1062"/>
      <c r="F133" s="1062" t="s">
        <v>536</v>
      </c>
      <c r="G133" s="1062" t="s">
        <v>536</v>
      </c>
      <c r="H133" s="1062"/>
      <c r="I133" s="1062"/>
      <c r="J133" s="1062"/>
      <c r="K133" s="1062"/>
      <c r="L133" s="1062"/>
      <c r="M133" s="1062"/>
      <c r="N133" s="1062"/>
      <c r="O133" s="1062"/>
      <c r="P133" s="1062"/>
      <c r="Q133" s="1062"/>
      <c r="R133" s="1062" t="s">
        <v>536</v>
      </c>
      <c r="S133" s="1062" t="s">
        <v>536</v>
      </c>
      <c r="T133" s="1062"/>
      <c r="U133" s="1062" t="s">
        <v>536</v>
      </c>
      <c r="V133" s="1062" t="s">
        <v>536</v>
      </c>
      <c r="W133" s="1062" t="s">
        <v>536</v>
      </c>
      <c r="X133" s="1062" t="s">
        <v>536</v>
      </c>
      <c r="Y133" s="1062"/>
      <c r="Z133" s="1062"/>
      <c r="AA133" s="1062" t="s">
        <v>536</v>
      </c>
      <c r="AB133" s="1062"/>
      <c r="AC133" s="1062"/>
      <c r="AD133" s="1062"/>
      <c r="AE133" s="1025"/>
      <c r="AF133" s="1062" t="s">
        <v>536</v>
      </c>
      <c r="AG133" s="1062" t="s">
        <v>536</v>
      </c>
      <c r="AH133" s="1062"/>
      <c r="AI133" s="1069">
        <f t="shared" si="6"/>
        <v>11</v>
      </c>
      <c r="AJ133" s="635"/>
      <c r="AK133" s="266"/>
    </row>
    <row r="134" spans="1:37" s="51" customFormat="1" ht="16.149999999999999" customHeight="1" outlineLevel="1">
      <c r="A134" s="1025">
        <v>25</v>
      </c>
      <c r="B134" s="1025" t="str">
        <f>VLOOKUP(C134,'DS CN MOI UP'!$B$10:$C$347,2,0)</f>
        <v>02475</v>
      </c>
      <c r="C134" s="1028" t="s">
        <v>39</v>
      </c>
      <c r="D134" s="1062"/>
      <c r="E134" s="1062"/>
      <c r="F134" s="1062" t="s">
        <v>536</v>
      </c>
      <c r="G134" s="1062" t="s">
        <v>536</v>
      </c>
      <c r="H134" s="1062"/>
      <c r="I134" s="1062"/>
      <c r="J134" s="1062"/>
      <c r="K134" s="1062"/>
      <c r="L134" s="1062"/>
      <c r="M134" s="1062"/>
      <c r="N134" s="1062"/>
      <c r="O134" s="1062"/>
      <c r="P134" s="1062"/>
      <c r="Q134" s="1062"/>
      <c r="R134" s="1062" t="s">
        <v>536</v>
      </c>
      <c r="S134" s="1062" t="s">
        <v>536</v>
      </c>
      <c r="T134" s="1062"/>
      <c r="U134" s="1062"/>
      <c r="V134" s="1062" t="s">
        <v>536</v>
      </c>
      <c r="W134" s="1062" t="s">
        <v>536</v>
      </c>
      <c r="X134" s="1062" t="s">
        <v>536</v>
      </c>
      <c r="Y134" s="1062"/>
      <c r="Z134" s="1062"/>
      <c r="AA134" s="1062" t="s">
        <v>536</v>
      </c>
      <c r="AB134" s="1062"/>
      <c r="AC134" s="1062"/>
      <c r="AD134" s="1025"/>
      <c r="AE134" s="1025"/>
      <c r="AF134" s="1062" t="s">
        <v>536</v>
      </c>
      <c r="AG134" s="1062" t="s">
        <v>536</v>
      </c>
      <c r="AH134" s="1062"/>
      <c r="AI134" s="1069">
        <f t="shared" si="6"/>
        <v>10</v>
      </c>
      <c r="AJ134" s="635"/>
      <c r="AK134" s="266"/>
    </row>
    <row r="135" spans="1:37" s="51" customFormat="1" ht="16.149999999999999" customHeight="1" outlineLevel="1">
      <c r="A135" s="1025">
        <v>26</v>
      </c>
      <c r="B135" s="1025" t="str">
        <f>VLOOKUP(C135,'DS CN MOI UP'!$B$10:$C$347,2,0)</f>
        <v>02473</v>
      </c>
      <c r="C135" s="1028" t="s">
        <v>40</v>
      </c>
      <c r="D135" s="1062"/>
      <c r="E135" s="1062" t="s">
        <v>536</v>
      </c>
      <c r="F135" s="1062"/>
      <c r="G135" s="1062"/>
      <c r="H135" s="1062"/>
      <c r="I135" s="1062"/>
      <c r="J135" s="1062"/>
      <c r="K135" s="1062"/>
      <c r="L135" s="1062"/>
      <c r="M135" s="1062"/>
      <c r="N135" s="1062"/>
      <c r="O135" s="1062"/>
      <c r="P135" s="1062"/>
      <c r="Q135" s="1062"/>
      <c r="R135" s="1062" t="s">
        <v>536</v>
      </c>
      <c r="S135" s="1062"/>
      <c r="T135" s="1062" t="s">
        <v>536</v>
      </c>
      <c r="U135" s="1062" t="s">
        <v>536</v>
      </c>
      <c r="V135" s="1062"/>
      <c r="W135" s="1062" t="s">
        <v>536</v>
      </c>
      <c r="X135" s="1062" t="s">
        <v>536</v>
      </c>
      <c r="Y135" s="1062"/>
      <c r="Z135" s="1062"/>
      <c r="AA135" s="1062" t="s">
        <v>536</v>
      </c>
      <c r="AB135" s="1062"/>
      <c r="AC135" s="1062"/>
      <c r="AD135" s="1025"/>
      <c r="AE135" s="1025"/>
      <c r="AF135" s="1062" t="s">
        <v>536</v>
      </c>
      <c r="AG135" s="1062" t="s">
        <v>536</v>
      </c>
      <c r="AH135" s="1062"/>
      <c r="AI135" s="1069">
        <f t="shared" si="6"/>
        <v>9</v>
      </c>
      <c r="AJ135" s="635"/>
      <c r="AK135" s="266"/>
    </row>
    <row r="136" spans="1:37" s="51" customFormat="1" ht="16.149999999999999" customHeight="1" outlineLevel="1">
      <c r="A136" s="1025">
        <v>27</v>
      </c>
      <c r="B136" s="1025" t="str">
        <f>VLOOKUP(C136,'DS CN MOI UP'!$B$10:$C$347,2,0)</f>
        <v>02510</v>
      </c>
      <c r="C136" s="1028" t="s">
        <v>41</v>
      </c>
      <c r="D136" s="1062"/>
      <c r="E136" s="1062" t="s">
        <v>536</v>
      </c>
      <c r="F136" s="1062"/>
      <c r="G136" s="1062" t="s">
        <v>536</v>
      </c>
      <c r="H136" s="1062"/>
      <c r="I136" s="1062"/>
      <c r="J136" s="1062"/>
      <c r="K136" s="1062"/>
      <c r="L136" s="1062"/>
      <c r="M136" s="1062"/>
      <c r="N136" s="1062"/>
      <c r="O136" s="1062"/>
      <c r="P136" s="1062"/>
      <c r="Q136" s="1062" t="s">
        <v>536</v>
      </c>
      <c r="R136" s="1062" t="s">
        <v>536</v>
      </c>
      <c r="S136" s="1062" t="s">
        <v>536</v>
      </c>
      <c r="T136" s="1062" t="s">
        <v>536</v>
      </c>
      <c r="U136" s="1062" t="s">
        <v>536</v>
      </c>
      <c r="V136" s="1062"/>
      <c r="W136" s="1062" t="s">
        <v>536</v>
      </c>
      <c r="X136" s="1062" t="s">
        <v>536</v>
      </c>
      <c r="Y136" s="1062"/>
      <c r="Z136" s="1062"/>
      <c r="AA136" s="1062"/>
      <c r="AB136" s="1062"/>
      <c r="AC136" s="1062"/>
      <c r="AD136" s="1062"/>
      <c r="AE136" s="1062"/>
      <c r="AF136" s="1062" t="s">
        <v>536</v>
      </c>
      <c r="AG136" s="1062" t="s">
        <v>536</v>
      </c>
      <c r="AH136" s="1062"/>
      <c r="AI136" s="1069">
        <f t="shared" si="6"/>
        <v>11</v>
      </c>
      <c r="AJ136" s="635"/>
      <c r="AK136" s="266"/>
    </row>
    <row r="137" spans="1:37" s="51" customFormat="1" ht="16.149999999999999" customHeight="1" outlineLevel="1">
      <c r="A137" s="1025">
        <v>28</v>
      </c>
      <c r="B137" s="1025" t="str">
        <f>VLOOKUP(C137,'DS CN MOI UP'!$B$10:$C$347,2,0)</f>
        <v>02513</v>
      </c>
      <c r="C137" s="1028" t="s">
        <v>42</v>
      </c>
      <c r="D137" s="1062"/>
      <c r="E137" s="1062"/>
      <c r="F137" s="1062" t="s">
        <v>536</v>
      </c>
      <c r="G137" s="1062" t="s">
        <v>536</v>
      </c>
      <c r="H137" s="1062"/>
      <c r="I137" s="1062"/>
      <c r="J137" s="1062"/>
      <c r="K137" s="1062"/>
      <c r="L137" s="1062"/>
      <c r="M137" s="1062"/>
      <c r="N137" s="1062"/>
      <c r="O137" s="1062"/>
      <c r="P137" s="1062"/>
      <c r="Q137" s="1062"/>
      <c r="R137" s="1062" t="s">
        <v>536</v>
      </c>
      <c r="S137" s="1062" t="s">
        <v>536</v>
      </c>
      <c r="T137" s="1062" t="s">
        <v>536</v>
      </c>
      <c r="U137" s="1062" t="s">
        <v>536</v>
      </c>
      <c r="V137" s="1062" t="s">
        <v>536</v>
      </c>
      <c r="W137" s="1062" t="s">
        <v>536</v>
      </c>
      <c r="X137" s="1062" t="s">
        <v>536</v>
      </c>
      <c r="Y137" s="1062"/>
      <c r="Z137" s="1062"/>
      <c r="AA137" s="1062" t="s">
        <v>536</v>
      </c>
      <c r="AB137" s="1062"/>
      <c r="AC137" s="1062"/>
      <c r="AD137" s="1025"/>
      <c r="AE137" s="1025"/>
      <c r="AF137" s="1062" t="s">
        <v>536</v>
      </c>
      <c r="AG137" s="1062" t="s">
        <v>536</v>
      </c>
      <c r="AH137" s="1062"/>
      <c r="AI137" s="1069">
        <f t="shared" si="6"/>
        <v>12</v>
      </c>
      <c r="AJ137" s="635"/>
      <c r="AK137" s="266"/>
    </row>
    <row r="138" spans="1:37" s="51" customFormat="1" ht="16.149999999999999" customHeight="1" outlineLevel="1">
      <c r="A138" s="1025">
        <v>29</v>
      </c>
      <c r="B138" s="1025" t="str">
        <f>VLOOKUP(C138,'DS CN MOI UP'!$B$10:$C$347,2,0)</f>
        <v>02510</v>
      </c>
      <c r="C138" s="1028" t="s">
        <v>43</v>
      </c>
      <c r="D138" s="1062"/>
      <c r="E138" s="1062"/>
      <c r="F138" s="1062"/>
      <c r="G138" s="1062"/>
      <c r="H138" s="1062"/>
      <c r="I138" s="1062"/>
      <c r="J138" s="1062"/>
      <c r="K138" s="1062"/>
      <c r="L138" s="1062"/>
      <c r="M138" s="1062"/>
      <c r="N138" s="1062"/>
      <c r="O138" s="1062"/>
      <c r="P138" s="1062"/>
      <c r="Q138" s="1062"/>
      <c r="R138" s="1062" t="s">
        <v>536</v>
      </c>
      <c r="S138" s="1062" t="s">
        <v>536</v>
      </c>
      <c r="T138" s="1062"/>
      <c r="U138" s="1062" t="s">
        <v>536</v>
      </c>
      <c r="V138" s="1062"/>
      <c r="W138" s="1062" t="s">
        <v>536</v>
      </c>
      <c r="X138" s="1062" t="s">
        <v>536</v>
      </c>
      <c r="Y138" s="1062"/>
      <c r="Z138" s="1062"/>
      <c r="AA138" s="1062"/>
      <c r="AB138" s="1062"/>
      <c r="AC138" s="1062"/>
      <c r="AD138" s="1025"/>
      <c r="AE138" s="1025"/>
      <c r="AF138" s="1062" t="s">
        <v>536</v>
      </c>
      <c r="AG138" s="1062" t="s">
        <v>536</v>
      </c>
      <c r="AH138" s="1062"/>
      <c r="AI138" s="1069">
        <f t="shared" si="6"/>
        <v>7</v>
      </c>
      <c r="AJ138" s="635"/>
      <c r="AK138" s="266"/>
    </row>
    <row r="139" spans="1:37" s="51" customFormat="1" ht="16.149999999999999" customHeight="1" outlineLevel="1">
      <c r="A139" s="1025">
        <v>30</v>
      </c>
      <c r="B139" s="1025" t="str">
        <f>VLOOKUP(C139,'DS CN MOI UP'!$B$10:$C$347,2,0)</f>
        <v>02470</v>
      </c>
      <c r="C139" s="1028" t="s">
        <v>44</v>
      </c>
      <c r="D139" s="1062"/>
      <c r="E139" s="1062"/>
      <c r="F139" s="1062"/>
      <c r="G139" s="1062"/>
      <c r="H139" s="1062"/>
      <c r="I139" s="1062"/>
      <c r="J139" s="1062"/>
      <c r="K139" s="1062"/>
      <c r="L139" s="1062"/>
      <c r="M139" s="1062"/>
      <c r="N139" s="1062"/>
      <c r="O139" s="1062"/>
      <c r="P139" s="1062"/>
      <c r="Q139" s="1062" t="s">
        <v>536</v>
      </c>
      <c r="R139" s="1062" t="s">
        <v>536</v>
      </c>
      <c r="S139" s="1062" t="s">
        <v>536</v>
      </c>
      <c r="T139" s="1062"/>
      <c r="U139" s="1062" t="s">
        <v>536</v>
      </c>
      <c r="V139" s="1062"/>
      <c r="W139" s="1062" t="s">
        <v>536</v>
      </c>
      <c r="X139" s="1062" t="s">
        <v>536</v>
      </c>
      <c r="Y139" s="1062"/>
      <c r="Z139" s="1062"/>
      <c r="AA139" s="1062"/>
      <c r="AB139" s="1062"/>
      <c r="AC139" s="1062"/>
      <c r="AD139" s="1025"/>
      <c r="AE139" s="1025"/>
      <c r="AF139" s="1062" t="s">
        <v>536</v>
      </c>
      <c r="AG139" s="1062"/>
      <c r="AH139" s="1062"/>
      <c r="AI139" s="1069">
        <f t="shared" si="6"/>
        <v>7</v>
      </c>
      <c r="AJ139" s="635"/>
      <c r="AK139" s="266"/>
    </row>
    <row r="140" spans="1:37" s="51" customFormat="1" ht="16.149999999999999" customHeight="1" outlineLevel="1">
      <c r="A140" s="1025">
        <v>31</v>
      </c>
      <c r="B140" s="1025" t="str">
        <f>VLOOKUP(C140,'DS CN MOI UP'!$B$10:$C$347,2,0)</f>
        <v>03329</v>
      </c>
      <c r="C140" s="1028" t="s">
        <v>45</v>
      </c>
      <c r="D140" s="1062"/>
      <c r="E140" s="1062"/>
      <c r="F140" s="1062"/>
      <c r="G140" s="1062" t="s">
        <v>536</v>
      </c>
      <c r="H140" s="1062"/>
      <c r="I140" s="1062"/>
      <c r="J140" s="1062"/>
      <c r="K140" s="1062"/>
      <c r="L140" s="1062"/>
      <c r="M140" s="1062"/>
      <c r="N140" s="1062"/>
      <c r="O140" s="1062"/>
      <c r="P140" s="1062"/>
      <c r="Q140" s="1062" t="s">
        <v>536</v>
      </c>
      <c r="R140" s="1062" t="s">
        <v>536</v>
      </c>
      <c r="S140" s="1062" t="s">
        <v>536</v>
      </c>
      <c r="T140" s="1062"/>
      <c r="U140" s="1062" t="s">
        <v>536</v>
      </c>
      <c r="V140" s="1062"/>
      <c r="W140" s="1062" t="s">
        <v>536</v>
      </c>
      <c r="X140" s="1062" t="s">
        <v>536</v>
      </c>
      <c r="Y140" s="1062"/>
      <c r="Z140" s="1062"/>
      <c r="AA140" s="1062"/>
      <c r="AB140" s="1062"/>
      <c r="AC140" s="1062"/>
      <c r="AD140" s="1062"/>
      <c r="AE140" s="1062"/>
      <c r="AF140" s="1062" t="s">
        <v>536</v>
      </c>
      <c r="AG140" s="1062" t="s">
        <v>536</v>
      </c>
      <c r="AH140" s="1062"/>
      <c r="AI140" s="1069">
        <f t="shared" si="6"/>
        <v>9</v>
      </c>
      <c r="AJ140" s="635"/>
      <c r="AK140" s="266"/>
    </row>
    <row r="141" spans="1:37" s="51" customFormat="1" ht="16.149999999999999" customHeight="1" outlineLevel="1">
      <c r="A141" s="1025">
        <v>32</v>
      </c>
      <c r="B141" s="1025" t="str">
        <f>VLOOKUP(C141,'DS CN MOI UP'!$B$10:$C$347,2,0)</f>
        <v>03330</v>
      </c>
      <c r="C141" s="1028" t="s">
        <v>46</v>
      </c>
      <c r="D141" s="1062"/>
      <c r="E141" s="1062"/>
      <c r="F141" s="1062"/>
      <c r="G141" s="1062"/>
      <c r="H141" s="1062"/>
      <c r="I141" s="1062"/>
      <c r="J141" s="1062"/>
      <c r="K141" s="1062"/>
      <c r="L141" s="1062"/>
      <c r="M141" s="1062"/>
      <c r="N141" s="1062"/>
      <c r="O141" s="1062"/>
      <c r="P141" s="1062"/>
      <c r="Q141" s="1062" t="s">
        <v>536</v>
      </c>
      <c r="R141" s="1062" t="s">
        <v>536</v>
      </c>
      <c r="S141" s="1062"/>
      <c r="T141" s="1062"/>
      <c r="U141" s="1062" t="s">
        <v>536</v>
      </c>
      <c r="V141" s="1062" t="s">
        <v>536</v>
      </c>
      <c r="W141" s="1062" t="s">
        <v>536</v>
      </c>
      <c r="X141" s="1062"/>
      <c r="Y141" s="1062"/>
      <c r="Z141" s="1062"/>
      <c r="AA141" s="1062"/>
      <c r="AB141" s="1062"/>
      <c r="AC141" s="1062"/>
      <c r="AD141" s="1062"/>
      <c r="AE141" s="1025"/>
      <c r="AF141" s="1062" t="s">
        <v>536</v>
      </c>
      <c r="AG141" s="1062"/>
      <c r="AH141" s="1062"/>
      <c r="AI141" s="1069">
        <f t="shared" si="6"/>
        <v>6</v>
      </c>
      <c r="AJ141" s="635"/>
      <c r="AK141" s="266"/>
    </row>
    <row r="142" spans="1:37" s="51" customFormat="1" ht="16.149999999999999" customHeight="1" outlineLevel="1">
      <c r="A142" s="1025">
        <v>33</v>
      </c>
      <c r="B142" s="1025" t="str">
        <f>VLOOKUP(C142,'DS CN MOI UP'!$B$10:$C$347,2,0)</f>
        <v>02455</v>
      </c>
      <c r="C142" s="1028" t="s">
        <v>47</v>
      </c>
      <c r="D142" s="1062"/>
      <c r="E142" s="1062"/>
      <c r="F142" s="1062"/>
      <c r="G142" s="1062" t="s">
        <v>536</v>
      </c>
      <c r="H142" s="1062"/>
      <c r="I142" s="1062"/>
      <c r="J142" s="1062"/>
      <c r="K142" s="1062"/>
      <c r="L142" s="1062"/>
      <c r="M142" s="1062"/>
      <c r="N142" s="1062"/>
      <c r="O142" s="1062"/>
      <c r="P142" s="1062"/>
      <c r="Q142" s="1062" t="s">
        <v>536</v>
      </c>
      <c r="R142" s="1062" t="s">
        <v>536</v>
      </c>
      <c r="S142" s="1062"/>
      <c r="T142" s="1062"/>
      <c r="U142" s="1062" t="s">
        <v>536</v>
      </c>
      <c r="V142" s="1062" t="s">
        <v>536</v>
      </c>
      <c r="W142" s="1062" t="s">
        <v>536</v>
      </c>
      <c r="X142" s="1062" t="s">
        <v>536</v>
      </c>
      <c r="Y142" s="1062"/>
      <c r="Z142" s="1062"/>
      <c r="AA142" s="1062" t="s">
        <v>536</v>
      </c>
      <c r="AB142" s="1062"/>
      <c r="AC142" s="1062"/>
      <c r="AD142" s="1025"/>
      <c r="AE142" s="1062"/>
      <c r="AF142" s="1062" t="s">
        <v>536</v>
      </c>
      <c r="AG142" s="1062" t="s">
        <v>536</v>
      </c>
      <c r="AH142" s="1062"/>
      <c r="AI142" s="1069">
        <f t="shared" si="6"/>
        <v>10</v>
      </c>
      <c r="AJ142" s="635"/>
      <c r="AK142" s="266"/>
    </row>
    <row r="143" spans="1:37" s="51" customFormat="1" ht="16.149999999999999" customHeight="1" outlineLevel="1">
      <c r="A143" s="1025">
        <v>34</v>
      </c>
      <c r="B143" s="1025" t="str">
        <f>VLOOKUP(C143,'DS CN MOI UP'!$B$10:$C$347,2,0)</f>
        <v>02459</v>
      </c>
      <c r="C143" s="1028" t="s">
        <v>48</v>
      </c>
      <c r="D143" s="1062"/>
      <c r="E143" s="1062"/>
      <c r="F143" s="1062"/>
      <c r="G143" s="1062" t="s">
        <v>536</v>
      </c>
      <c r="H143" s="1062"/>
      <c r="I143" s="1062"/>
      <c r="J143" s="1062"/>
      <c r="K143" s="1062"/>
      <c r="L143" s="1062"/>
      <c r="M143" s="1062"/>
      <c r="N143" s="1062"/>
      <c r="O143" s="1062"/>
      <c r="P143" s="1062"/>
      <c r="Q143" s="1062"/>
      <c r="R143" s="1062" t="s">
        <v>536</v>
      </c>
      <c r="S143" s="1062" t="s">
        <v>536</v>
      </c>
      <c r="T143" s="1062" t="s">
        <v>536</v>
      </c>
      <c r="U143" s="1062" t="s">
        <v>536</v>
      </c>
      <c r="V143" s="1062"/>
      <c r="W143" s="1062"/>
      <c r="X143" s="1062"/>
      <c r="Y143" s="1062"/>
      <c r="Z143" s="1062"/>
      <c r="AA143" s="1062"/>
      <c r="AB143" s="1062"/>
      <c r="AC143" s="1062"/>
      <c r="AD143" s="1062"/>
      <c r="AE143" s="1062"/>
      <c r="AF143" s="1062"/>
      <c r="AG143" s="1062"/>
      <c r="AH143" s="1062"/>
      <c r="AI143" s="1069">
        <f t="shared" si="6"/>
        <v>5</v>
      </c>
      <c r="AJ143" s="635"/>
      <c r="AK143" s="266"/>
    </row>
    <row r="144" spans="1:37" s="51" customFormat="1" ht="16.149999999999999" customHeight="1" outlineLevel="1">
      <c r="A144" s="1025">
        <v>35</v>
      </c>
      <c r="B144" s="1025" t="str">
        <f>VLOOKUP(C144,'DS CN MOI UP'!$B$10:$C$347,2,0)</f>
        <v>02506</v>
      </c>
      <c r="C144" s="1028" t="s">
        <v>49</v>
      </c>
      <c r="D144" s="1062"/>
      <c r="E144" s="1062" t="s">
        <v>536</v>
      </c>
      <c r="F144" s="1062"/>
      <c r="G144" s="1062" t="s">
        <v>536</v>
      </c>
      <c r="H144" s="1062"/>
      <c r="I144" s="1062"/>
      <c r="J144" s="1062"/>
      <c r="K144" s="1062"/>
      <c r="L144" s="1062"/>
      <c r="M144" s="1062"/>
      <c r="N144" s="1062"/>
      <c r="O144" s="1062"/>
      <c r="P144" s="1062"/>
      <c r="Q144" s="1062" t="s">
        <v>536</v>
      </c>
      <c r="R144" s="1062" t="s">
        <v>536</v>
      </c>
      <c r="S144" s="1062" t="s">
        <v>536</v>
      </c>
      <c r="T144" s="1062" t="s">
        <v>536</v>
      </c>
      <c r="U144" s="1062"/>
      <c r="V144" s="1062"/>
      <c r="W144" s="1062" t="s">
        <v>536</v>
      </c>
      <c r="X144" s="1062" t="s">
        <v>536</v>
      </c>
      <c r="Y144" s="1062"/>
      <c r="Z144" s="1062"/>
      <c r="AA144" s="1062"/>
      <c r="AB144" s="1062"/>
      <c r="AC144" s="1062"/>
      <c r="AD144" s="1062"/>
      <c r="AE144" s="1062"/>
      <c r="AF144" s="1062" t="s">
        <v>536</v>
      </c>
      <c r="AG144" s="1062" t="s">
        <v>536</v>
      </c>
      <c r="AH144" s="1062"/>
      <c r="AI144" s="1069">
        <f t="shared" si="6"/>
        <v>10</v>
      </c>
      <c r="AJ144" s="635"/>
      <c r="AK144" s="266"/>
    </row>
    <row r="145" spans="1:37" s="51" customFormat="1" ht="16.149999999999999" customHeight="1" outlineLevel="1">
      <c r="A145" s="1025">
        <v>36</v>
      </c>
      <c r="B145" s="1025" t="str">
        <f>VLOOKUP(C145,'DS CN MOI UP'!$B$10:$C$347,2,0)</f>
        <v>02507</v>
      </c>
      <c r="C145" s="1028" t="s">
        <v>50</v>
      </c>
      <c r="D145" s="1062"/>
      <c r="E145" s="1062" t="s">
        <v>536</v>
      </c>
      <c r="F145" s="1062"/>
      <c r="G145" s="1062" t="s">
        <v>536</v>
      </c>
      <c r="H145" s="1062"/>
      <c r="I145" s="1062"/>
      <c r="J145" s="1062"/>
      <c r="K145" s="1062"/>
      <c r="L145" s="1062"/>
      <c r="M145" s="1062"/>
      <c r="N145" s="1062"/>
      <c r="O145" s="1062"/>
      <c r="P145" s="1062"/>
      <c r="Q145" s="1062" t="s">
        <v>536</v>
      </c>
      <c r="R145" s="1062" t="s">
        <v>536</v>
      </c>
      <c r="S145" s="1062" t="s">
        <v>536</v>
      </c>
      <c r="T145" s="1062" t="s">
        <v>536</v>
      </c>
      <c r="U145" s="1062" t="s">
        <v>536</v>
      </c>
      <c r="V145" s="1062"/>
      <c r="W145" s="1062" t="s">
        <v>536</v>
      </c>
      <c r="X145" s="1062"/>
      <c r="Y145" s="1062"/>
      <c r="Z145" s="1062"/>
      <c r="AA145" s="1062" t="s">
        <v>536</v>
      </c>
      <c r="AB145" s="1062"/>
      <c r="AC145" s="1062"/>
      <c r="AD145" s="1062"/>
      <c r="AE145" s="1062"/>
      <c r="AF145" s="1062" t="s">
        <v>536</v>
      </c>
      <c r="AG145" s="1062" t="s">
        <v>536</v>
      </c>
      <c r="AH145" s="1062"/>
      <c r="AI145" s="1069">
        <f t="shared" si="6"/>
        <v>11</v>
      </c>
      <c r="AJ145" s="635"/>
      <c r="AK145" s="266"/>
    </row>
    <row r="146" spans="1:37" s="51" customFormat="1" ht="16.149999999999999" customHeight="1" outlineLevel="1">
      <c r="A146" s="1025">
        <v>37</v>
      </c>
      <c r="B146" s="1025" t="str">
        <f>VLOOKUP(C146,'DS CN MOI UP'!$B$10:$C$347,2,0)</f>
        <v>03331</v>
      </c>
      <c r="C146" s="1028" t="s">
        <v>486</v>
      </c>
      <c r="D146" s="1062"/>
      <c r="E146" s="1062"/>
      <c r="F146" s="1062"/>
      <c r="G146" s="1062" t="s">
        <v>536</v>
      </c>
      <c r="H146" s="1062"/>
      <c r="I146" s="1062"/>
      <c r="J146" s="1062"/>
      <c r="K146" s="1062"/>
      <c r="L146" s="1062"/>
      <c r="M146" s="1062"/>
      <c r="N146" s="1062"/>
      <c r="O146" s="1062"/>
      <c r="P146" s="1062"/>
      <c r="Q146" s="1062" t="s">
        <v>536</v>
      </c>
      <c r="R146" s="1062" t="s">
        <v>536</v>
      </c>
      <c r="S146" s="1062"/>
      <c r="T146" s="1062" t="s">
        <v>536</v>
      </c>
      <c r="U146" s="1062" t="s">
        <v>536</v>
      </c>
      <c r="V146" s="1062" t="s">
        <v>536</v>
      </c>
      <c r="W146" s="1062" t="s">
        <v>536</v>
      </c>
      <c r="X146" s="1062" t="s">
        <v>536</v>
      </c>
      <c r="Y146" s="1062"/>
      <c r="Z146" s="1062"/>
      <c r="AA146" s="1062" t="s">
        <v>536</v>
      </c>
      <c r="AB146" s="1062"/>
      <c r="AC146" s="1062"/>
      <c r="AD146" s="1025"/>
      <c r="AE146" s="1025"/>
      <c r="AF146" s="1062" t="s">
        <v>536</v>
      </c>
      <c r="AG146" s="1062" t="s">
        <v>536</v>
      </c>
      <c r="AH146" s="1062"/>
      <c r="AI146" s="1069">
        <f t="shared" si="6"/>
        <v>11</v>
      </c>
      <c r="AJ146" s="635"/>
      <c r="AK146" s="266"/>
    </row>
    <row r="147" spans="1:37" s="51" customFormat="1" ht="16.149999999999999" customHeight="1" outlineLevel="1">
      <c r="A147" s="1025">
        <v>38</v>
      </c>
      <c r="B147" s="1025" t="str">
        <f>VLOOKUP(C147,'DS CN MOI UP'!$B$10:$C$347,2,0)</f>
        <v>02467</v>
      </c>
      <c r="C147" s="1028" t="s">
        <v>52</v>
      </c>
      <c r="D147" s="1062"/>
      <c r="E147" s="1062"/>
      <c r="F147" s="1062"/>
      <c r="G147" s="1062"/>
      <c r="H147" s="1062"/>
      <c r="I147" s="1062"/>
      <c r="J147" s="1062"/>
      <c r="K147" s="1062"/>
      <c r="L147" s="1062"/>
      <c r="M147" s="1062"/>
      <c r="N147" s="1062"/>
      <c r="O147" s="1062"/>
      <c r="P147" s="1062"/>
      <c r="Q147" s="1062" t="s">
        <v>536</v>
      </c>
      <c r="R147" s="1062" t="s">
        <v>536</v>
      </c>
      <c r="S147" s="1062" t="s">
        <v>536</v>
      </c>
      <c r="T147" s="1062"/>
      <c r="U147" s="1062" t="s">
        <v>536</v>
      </c>
      <c r="V147" s="1062"/>
      <c r="W147" s="1062" t="s">
        <v>536</v>
      </c>
      <c r="X147" s="1062"/>
      <c r="Y147" s="1062"/>
      <c r="Z147" s="1062"/>
      <c r="AA147" s="1062" t="s">
        <v>536</v>
      </c>
      <c r="AB147" s="1062"/>
      <c r="AC147" s="1062"/>
      <c r="AD147" s="1062"/>
      <c r="AE147" s="1062"/>
      <c r="AF147" s="1062"/>
      <c r="AG147" s="1062"/>
      <c r="AH147" s="1062"/>
      <c r="AI147" s="1069">
        <f t="shared" si="6"/>
        <v>6</v>
      </c>
      <c r="AJ147" s="635"/>
      <c r="AK147" s="266"/>
    </row>
    <row r="148" spans="1:37" s="51" customFormat="1" ht="16.149999999999999" customHeight="1" outlineLevel="1">
      <c r="A148" s="1025">
        <v>39</v>
      </c>
      <c r="B148" s="1025" t="str">
        <f>VLOOKUP(C148,'DS CN MOI UP'!$B$10:$C$347,2,0)</f>
        <v>02483</v>
      </c>
      <c r="C148" s="1028" t="s">
        <v>53</v>
      </c>
      <c r="D148" s="1062"/>
      <c r="E148" s="1062"/>
      <c r="F148" s="1062"/>
      <c r="G148" s="1062"/>
      <c r="H148" s="1062"/>
      <c r="I148" s="1062"/>
      <c r="J148" s="1062"/>
      <c r="K148" s="1062"/>
      <c r="L148" s="1062"/>
      <c r="M148" s="1062"/>
      <c r="N148" s="1062"/>
      <c r="O148" s="1062"/>
      <c r="P148" s="1062"/>
      <c r="Q148" s="1062" t="s">
        <v>536</v>
      </c>
      <c r="R148" s="1062" t="s">
        <v>536</v>
      </c>
      <c r="S148" s="1062" t="s">
        <v>536</v>
      </c>
      <c r="T148" s="1062"/>
      <c r="U148" s="1062" t="s">
        <v>536</v>
      </c>
      <c r="V148" s="1062"/>
      <c r="W148" s="1062" t="s">
        <v>536</v>
      </c>
      <c r="X148" s="1062" t="s">
        <v>536</v>
      </c>
      <c r="Y148" s="1062"/>
      <c r="Z148" s="1062"/>
      <c r="AA148" s="1062" t="s">
        <v>536</v>
      </c>
      <c r="AB148" s="1062"/>
      <c r="AC148" s="1062"/>
      <c r="AD148" s="1025"/>
      <c r="AE148" s="1062"/>
      <c r="AF148" s="1062"/>
      <c r="AG148" s="1062"/>
      <c r="AH148" s="1062"/>
      <c r="AI148" s="1069">
        <f t="shared" si="6"/>
        <v>7</v>
      </c>
      <c r="AJ148" s="635"/>
      <c r="AK148" s="266"/>
    </row>
    <row r="149" spans="1:37" s="51" customFormat="1" ht="16.149999999999999" customHeight="1" outlineLevel="1">
      <c r="A149" s="1025">
        <v>40</v>
      </c>
      <c r="B149" s="1025" t="str">
        <f>VLOOKUP(C149,'DS CN MOI UP'!$B$10:$C$347,2,0)</f>
        <v>02512</v>
      </c>
      <c r="C149" s="1028" t="s">
        <v>54</v>
      </c>
      <c r="D149" s="1062"/>
      <c r="E149" s="1062" t="s">
        <v>536</v>
      </c>
      <c r="F149" s="1062"/>
      <c r="G149" s="1062" t="s">
        <v>536</v>
      </c>
      <c r="H149" s="1062"/>
      <c r="I149" s="1062"/>
      <c r="J149" s="1062"/>
      <c r="K149" s="1062"/>
      <c r="L149" s="1062"/>
      <c r="M149" s="1062"/>
      <c r="N149" s="1062"/>
      <c r="O149" s="1062"/>
      <c r="P149" s="1062"/>
      <c r="Q149" s="1062" t="s">
        <v>536</v>
      </c>
      <c r="R149" s="1062" t="s">
        <v>536</v>
      </c>
      <c r="S149" s="1062" t="s">
        <v>536</v>
      </c>
      <c r="T149" s="1062"/>
      <c r="U149" s="1062" t="s">
        <v>536</v>
      </c>
      <c r="V149" s="1062" t="s">
        <v>536</v>
      </c>
      <c r="W149" s="1062" t="s">
        <v>536</v>
      </c>
      <c r="X149" s="1062" t="s">
        <v>536</v>
      </c>
      <c r="Y149" s="1062"/>
      <c r="Z149" s="1062"/>
      <c r="AA149" s="1062"/>
      <c r="AB149" s="1062"/>
      <c r="AC149" s="1062"/>
      <c r="AD149" s="1062"/>
      <c r="AE149" s="1025"/>
      <c r="AF149" s="1062" t="s">
        <v>536</v>
      </c>
      <c r="AG149" s="1062" t="s">
        <v>536</v>
      </c>
      <c r="AH149" s="1062"/>
      <c r="AI149" s="1069">
        <f t="shared" si="6"/>
        <v>11</v>
      </c>
      <c r="AJ149" s="635"/>
      <c r="AK149" s="266"/>
    </row>
    <row r="150" spans="1:37" s="51" customFormat="1" ht="16.149999999999999" customHeight="1" outlineLevel="1">
      <c r="A150" s="1025">
        <v>41</v>
      </c>
      <c r="B150" s="1025" t="str">
        <f>VLOOKUP(C150,'DS CN MOI UP'!$B$10:$C$347,2,0)</f>
        <v>03332</v>
      </c>
      <c r="C150" s="1028" t="s">
        <v>55</v>
      </c>
      <c r="D150" s="1062"/>
      <c r="E150" s="1062" t="s">
        <v>536</v>
      </c>
      <c r="F150" s="1062"/>
      <c r="G150" s="1062" t="s">
        <v>536</v>
      </c>
      <c r="H150" s="1062"/>
      <c r="I150" s="1062"/>
      <c r="J150" s="1062"/>
      <c r="K150" s="1062"/>
      <c r="L150" s="1062"/>
      <c r="M150" s="1062"/>
      <c r="N150" s="1062"/>
      <c r="O150" s="1062"/>
      <c r="P150" s="1062"/>
      <c r="Q150" s="1062" t="s">
        <v>536</v>
      </c>
      <c r="R150" s="1062" t="s">
        <v>536</v>
      </c>
      <c r="S150" s="1062" t="s">
        <v>536</v>
      </c>
      <c r="T150" s="1062"/>
      <c r="U150" s="1062" t="s">
        <v>536</v>
      </c>
      <c r="V150" s="1062" t="s">
        <v>536</v>
      </c>
      <c r="W150" s="1062" t="s">
        <v>536</v>
      </c>
      <c r="X150" s="1062"/>
      <c r="Y150" s="1062"/>
      <c r="Z150" s="1062"/>
      <c r="AA150" s="1062"/>
      <c r="AB150" s="1062"/>
      <c r="AC150" s="1062"/>
      <c r="AD150" s="1062"/>
      <c r="AE150" s="1062"/>
      <c r="AF150" s="1062" t="s">
        <v>536</v>
      </c>
      <c r="AG150" s="1062" t="s">
        <v>536</v>
      </c>
      <c r="AH150" s="1062"/>
      <c r="AI150" s="1069">
        <f t="shared" si="6"/>
        <v>10</v>
      </c>
      <c r="AJ150" s="635"/>
      <c r="AK150" s="266"/>
    </row>
    <row r="151" spans="1:37" s="51" customFormat="1" ht="16.149999999999999" customHeight="1" outlineLevel="1">
      <c r="A151" s="1025">
        <v>42</v>
      </c>
      <c r="B151" s="1025" t="str">
        <f>VLOOKUP(C151,'DS CN MOI UP'!$B$10:$C$347,2,0)</f>
        <v>03333</v>
      </c>
      <c r="C151" s="1028" t="s">
        <v>56</v>
      </c>
      <c r="D151" s="1062"/>
      <c r="E151" s="1062" t="s">
        <v>536</v>
      </c>
      <c r="F151" s="1062" t="s">
        <v>536</v>
      </c>
      <c r="G151" s="1062" t="s">
        <v>536</v>
      </c>
      <c r="H151" s="1062"/>
      <c r="I151" s="1062"/>
      <c r="J151" s="1062"/>
      <c r="K151" s="1062"/>
      <c r="L151" s="1062"/>
      <c r="M151" s="1062"/>
      <c r="N151" s="1062"/>
      <c r="O151" s="1062"/>
      <c r="P151" s="1062"/>
      <c r="Q151" s="1062"/>
      <c r="R151" s="1062" t="s">
        <v>536</v>
      </c>
      <c r="S151" s="1062"/>
      <c r="T151" s="1062"/>
      <c r="U151" s="1062"/>
      <c r="V151" s="1062"/>
      <c r="W151" s="1062"/>
      <c r="X151" s="1062" t="s">
        <v>536</v>
      </c>
      <c r="Y151" s="1062"/>
      <c r="Z151" s="1062"/>
      <c r="AA151" s="1062"/>
      <c r="AB151" s="1062"/>
      <c r="AC151" s="1062"/>
      <c r="AD151" s="1062"/>
      <c r="AE151" s="1025"/>
      <c r="AF151" s="1062"/>
      <c r="AG151" s="1062" t="s">
        <v>536</v>
      </c>
      <c r="AH151" s="1062"/>
      <c r="AI151" s="1069">
        <f t="shared" si="6"/>
        <v>6</v>
      </c>
      <c r="AJ151" s="635"/>
      <c r="AK151" s="266"/>
    </row>
    <row r="152" spans="1:37" s="51" customFormat="1" ht="16.149999999999999" customHeight="1" outlineLevel="1">
      <c r="A152" s="1025">
        <v>43</v>
      </c>
      <c r="B152" s="1025" t="str">
        <f>VLOOKUP(C152,'DS CN MOI UP'!$B$10:$C$347,2,0)</f>
        <v>02474</v>
      </c>
      <c r="C152" s="1028" t="s">
        <v>57</v>
      </c>
      <c r="D152" s="1062"/>
      <c r="E152" s="1062" t="s">
        <v>536</v>
      </c>
      <c r="F152" s="1062"/>
      <c r="G152" s="1062" t="s">
        <v>536</v>
      </c>
      <c r="H152" s="1062"/>
      <c r="I152" s="1062"/>
      <c r="J152" s="1062"/>
      <c r="K152" s="1062"/>
      <c r="L152" s="1062"/>
      <c r="M152" s="1062"/>
      <c r="N152" s="1062"/>
      <c r="O152" s="1062"/>
      <c r="P152" s="1062"/>
      <c r="Q152" s="1062"/>
      <c r="R152" s="1062" t="s">
        <v>536</v>
      </c>
      <c r="S152" s="1062"/>
      <c r="T152" s="1062" t="s">
        <v>536</v>
      </c>
      <c r="U152" s="1062" t="s">
        <v>536</v>
      </c>
      <c r="V152" s="1062"/>
      <c r="W152" s="1062" t="s">
        <v>536</v>
      </c>
      <c r="X152" s="1062" t="s">
        <v>536</v>
      </c>
      <c r="Y152" s="1062"/>
      <c r="Z152" s="1062"/>
      <c r="AA152" s="1062"/>
      <c r="AB152" s="1062"/>
      <c r="AC152" s="1062"/>
      <c r="AD152" s="1025"/>
      <c r="AE152" s="1025"/>
      <c r="AF152" s="1062" t="s">
        <v>536</v>
      </c>
      <c r="AG152" s="1062" t="s">
        <v>536</v>
      </c>
      <c r="AH152" s="1062"/>
      <c r="AI152" s="1069">
        <f t="shared" si="6"/>
        <v>9</v>
      </c>
      <c r="AJ152" s="635"/>
      <c r="AK152" s="266"/>
    </row>
    <row r="153" spans="1:37" s="51" customFormat="1" ht="16.149999999999999" customHeight="1" outlineLevel="1">
      <c r="A153" s="1025">
        <v>44</v>
      </c>
      <c r="B153" s="1025" t="str">
        <f>VLOOKUP(C153,'DS CN MOI UP'!$B$10:$C$347,2,0)</f>
        <v>02500</v>
      </c>
      <c r="C153" s="1028" t="s">
        <v>59</v>
      </c>
      <c r="D153" s="1062"/>
      <c r="E153" s="1062" t="s">
        <v>536</v>
      </c>
      <c r="F153" s="1062"/>
      <c r="G153" s="1062" t="s">
        <v>536</v>
      </c>
      <c r="H153" s="1062"/>
      <c r="I153" s="1062"/>
      <c r="J153" s="1062"/>
      <c r="K153" s="1062"/>
      <c r="L153" s="1062"/>
      <c r="M153" s="1062"/>
      <c r="N153" s="1062"/>
      <c r="O153" s="1062"/>
      <c r="P153" s="1062"/>
      <c r="Q153" s="1062" t="s">
        <v>536</v>
      </c>
      <c r="R153" s="1062" t="s">
        <v>536</v>
      </c>
      <c r="S153" s="1062" t="s">
        <v>536</v>
      </c>
      <c r="T153" s="1062" t="s">
        <v>536</v>
      </c>
      <c r="U153" s="1062" t="s">
        <v>536</v>
      </c>
      <c r="V153" s="1062" t="s">
        <v>536</v>
      </c>
      <c r="W153" s="1062"/>
      <c r="X153" s="1062" t="s">
        <v>536</v>
      </c>
      <c r="Y153" s="1062"/>
      <c r="Z153" s="1062"/>
      <c r="AA153" s="1062"/>
      <c r="AB153" s="1062"/>
      <c r="AC153" s="1062"/>
      <c r="AD153" s="1025"/>
      <c r="AE153" s="1025"/>
      <c r="AF153" s="1062" t="s">
        <v>536</v>
      </c>
      <c r="AG153" s="1062" t="s">
        <v>536</v>
      </c>
      <c r="AH153" s="1062"/>
      <c r="AI153" s="1069">
        <f t="shared" si="6"/>
        <v>11</v>
      </c>
      <c r="AJ153" s="635"/>
      <c r="AK153" s="266"/>
    </row>
    <row r="154" spans="1:37" s="51" customFormat="1" ht="16.149999999999999" customHeight="1" outlineLevel="1">
      <c r="A154" s="1025">
        <v>45</v>
      </c>
      <c r="B154" s="1025" t="str">
        <f>VLOOKUP(C154,'DS CN MOI UP'!$B$10:$C$347,2,0)</f>
        <v>02451</v>
      </c>
      <c r="C154" s="1028" t="s">
        <v>60</v>
      </c>
      <c r="D154" s="1062"/>
      <c r="E154" s="1062" t="s">
        <v>536</v>
      </c>
      <c r="F154" s="1062"/>
      <c r="G154" s="1062" t="s">
        <v>536</v>
      </c>
      <c r="H154" s="1062"/>
      <c r="I154" s="1062"/>
      <c r="J154" s="1062"/>
      <c r="K154" s="1062"/>
      <c r="L154" s="1062"/>
      <c r="M154" s="1062"/>
      <c r="N154" s="1062"/>
      <c r="O154" s="1062"/>
      <c r="P154" s="1062"/>
      <c r="Q154" s="1062"/>
      <c r="R154" s="1062" t="s">
        <v>536</v>
      </c>
      <c r="S154" s="1062" t="s">
        <v>536</v>
      </c>
      <c r="T154" s="1062" t="s">
        <v>536</v>
      </c>
      <c r="U154" s="1062" t="s">
        <v>536</v>
      </c>
      <c r="V154" s="1062" t="s">
        <v>536</v>
      </c>
      <c r="W154" s="1062"/>
      <c r="X154" s="1062" t="s">
        <v>536</v>
      </c>
      <c r="Y154" s="1062"/>
      <c r="Z154" s="1062"/>
      <c r="AA154" s="1062"/>
      <c r="AB154" s="1062"/>
      <c r="AC154" s="1062"/>
      <c r="AD154" s="1062"/>
      <c r="AE154" s="1025"/>
      <c r="AF154" s="1062" t="s">
        <v>536</v>
      </c>
      <c r="AG154" s="1062"/>
      <c r="AH154" s="1062"/>
      <c r="AI154" s="1069">
        <f t="shared" si="6"/>
        <v>9</v>
      </c>
      <c r="AJ154" s="635"/>
      <c r="AK154" s="266"/>
    </row>
    <row r="155" spans="1:37" s="51" customFormat="1" ht="16.149999999999999" customHeight="1" outlineLevel="1">
      <c r="A155" s="1025">
        <v>46</v>
      </c>
      <c r="B155" s="1025" t="e">
        <f>VLOOKUP(C155,'DS CN MOI UP'!$B$10:$C$347,2,0)</f>
        <v>#N/A</v>
      </c>
      <c r="C155" s="1028" t="s">
        <v>61</v>
      </c>
      <c r="D155" s="1062"/>
      <c r="E155" s="1062" t="s">
        <v>536</v>
      </c>
      <c r="F155" s="1062"/>
      <c r="G155" s="1062" t="s">
        <v>536</v>
      </c>
      <c r="H155" s="1062"/>
      <c r="I155" s="1062"/>
      <c r="J155" s="1062"/>
      <c r="K155" s="1062"/>
      <c r="L155" s="1062"/>
      <c r="M155" s="1062"/>
      <c r="N155" s="1062"/>
      <c r="O155" s="1062"/>
      <c r="P155" s="1062"/>
      <c r="Q155" s="1062"/>
      <c r="R155" s="1062" t="s">
        <v>536</v>
      </c>
      <c r="S155" s="1062" t="s">
        <v>536</v>
      </c>
      <c r="T155" s="1062" t="s">
        <v>536</v>
      </c>
      <c r="U155" s="1062" t="s">
        <v>536</v>
      </c>
      <c r="V155" s="1062" t="s">
        <v>536</v>
      </c>
      <c r="W155" s="1062"/>
      <c r="X155" s="1062"/>
      <c r="Y155" s="1062"/>
      <c r="Z155" s="1062"/>
      <c r="AA155" s="1062"/>
      <c r="AB155" s="1062"/>
      <c r="AC155" s="1062"/>
      <c r="AD155" s="1062"/>
      <c r="AE155" s="1062"/>
      <c r="AF155" s="1062" t="s">
        <v>536</v>
      </c>
      <c r="AG155" s="1062"/>
      <c r="AH155" s="1062"/>
      <c r="AI155" s="1069">
        <f t="shared" si="6"/>
        <v>8</v>
      </c>
      <c r="AJ155" s="635"/>
      <c r="AK155" s="266"/>
    </row>
    <row r="156" spans="1:37" s="51" customFormat="1" ht="16.149999999999999" customHeight="1" outlineLevel="1">
      <c r="A156" s="1025">
        <v>47</v>
      </c>
      <c r="B156" s="1025" t="str">
        <f>VLOOKUP(C156,'DS CN MOI UP'!$B$10:$C$347,2,0)</f>
        <v>02491</v>
      </c>
      <c r="C156" s="1028" t="s">
        <v>62</v>
      </c>
      <c r="D156" s="1062"/>
      <c r="E156" s="1062" t="s">
        <v>536</v>
      </c>
      <c r="F156" s="1062" t="s">
        <v>536</v>
      </c>
      <c r="G156" s="1062" t="s">
        <v>536</v>
      </c>
      <c r="H156" s="1062"/>
      <c r="I156" s="1062"/>
      <c r="J156" s="1062"/>
      <c r="K156" s="1062"/>
      <c r="L156" s="1062"/>
      <c r="M156" s="1062"/>
      <c r="N156" s="1062"/>
      <c r="O156" s="1062"/>
      <c r="P156" s="1062"/>
      <c r="Q156" s="1062" t="s">
        <v>536</v>
      </c>
      <c r="R156" s="1062"/>
      <c r="S156" s="1062" t="s">
        <v>536</v>
      </c>
      <c r="T156" s="1062"/>
      <c r="U156" s="1062" t="s">
        <v>536</v>
      </c>
      <c r="V156" s="1062"/>
      <c r="W156" s="1062" t="s">
        <v>536</v>
      </c>
      <c r="X156" s="1062" t="s">
        <v>536</v>
      </c>
      <c r="Y156" s="1062"/>
      <c r="Z156" s="1062"/>
      <c r="AA156" s="1062" t="s">
        <v>536</v>
      </c>
      <c r="AB156" s="1062"/>
      <c r="AC156" s="1062"/>
      <c r="AD156" s="1062"/>
      <c r="AE156" s="1062"/>
      <c r="AF156" s="1062" t="s">
        <v>536</v>
      </c>
      <c r="AG156" s="1062"/>
      <c r="AH156" s="1062"/>
      <c r="AI156" s="1069">
        <f t="shared" si="6"/>
        <v>10</v>
      </c>
      <c r="AJ156" s="635"/>
      <c r="AK156" s="266"/>
    </row>
    <row r="157" spans="1:37" s="51" customFormat="1" ht="16.149999999999999" customHeight="1" outlineLevel="1">
      <c r="A157" s="1025">
        <v>48</v>
      </c>
      <c r="B157" s="1025" t="str">
        <f>VLOOKUP(C157,'DS CN MOI UP'!$B$10:$C$347,2,0)</f>
        <v>02457</v>
      </c>
      <c r="C157" s="1028" t="s">
        <v>63</v>
      </c>
      <c r="D157" s="1062"/>
      <c r="E157" s="1062"/>
      <c r="F157" s="1062" t="s">
        <v>536</v>
      </c>
      <c r="G157" s="1062"/>
      <c r="H157" s="1062"/>
      <c r="I157" s="1062"/>
      <c r="J157" s="1062"/>
      <c r="K157" s="1062"/>
      <c r="L157" s="1062"/>
      <c r="M157" s="1062"/>
      <c r="N157" s="1062"/>
      <c r="O157" s="1062"/>
      <c r="P157" s="1062"/>
      <c r="Q157" s="1062" t="s">
        <v>536</v>
      </c>
      <c r="R157" s="1062" t="s">
        <v>536</v>
      </c>
      <c r="S157" s="1062" t="s">
        <v>536</v>
      </c>
      <c r="T157" s="1062"/>
      <c r="U157" s="1062" t="s">
        <v>536</v>
      </c>
      <c r="V157" s="1062" t="s">
        <v>536</v>
      </c>
      <c r="W157" s="1062"/>
      <c r="X157" s="1062" t="s">
        <v>536</v>
      </c>
      <c r="Y157" s="1062"/>
      <c r="Z157" s="1062"/>
      <c r="AA157" s="1062"/>
      <c r="AB157" s="1062"/>
      <c r="AC157" s="1062"/>
      <c r="AD157" s="1062"/>
      <c r="AE157" s="1025"/>
      <c r="AF157" s="1062" t="s">
        <v>536</v>
      </c>
      <c r="AG157" s="1062" t="s">
        <v>536</v>
      </c>
      <c r="AH157" s="1062"/>
      <c r="AI157" s="1069">
        <f t="shared" si="6"/>
        <v>9</v>
      </c>
      <c r="AJ157" s="635"/>
      <c r="AK157" s="266"/>
    </row>
    <row r="158" spans="1:37" s="51" customFormat="1" ht="16.149999999999999" customHeight="1" outlineLevel="1">
      <c r="A158" s="1025">
        <v>49</v>
      </c>
      <c r="B158" s="1025" t="str">
        <f>VLOOKUP(C158,'DS CN MOI UP'!$B$10:$C$347,2,0)</f>
        <v>03334</v>
      </c>
      <c r="C158" s="1028" t="s">
        <v>64</v>
      </c>
      <c r="D158" s="1062"/>
      <c r="E158" s="1062"/>
      <c r="F158" s="1062"/>
      <c r="G158" s="1062" t="s">
        <v>536</v>
      </c>
      <c r="H158" s="1062"/>
      <c r="I158" s="1062"/>
      <c r="J158" s="1062"/>
      <c r="K158" s="1062"/>
      <c r="L158" s="1062"/>
      <c r="M158" s="1062"/>
      <c r="N158" s="1062"/>
      <c r="O158" s="1062"/>
      <c r="P158" s="1062"/>
      <c r="Q158" s="1062" t="s">
        <v>536</v>
      </c>
      <c r="R158" s="1062" t="s">
        <v>536</v>
      </c>
      <c r="S158" s="1062"/>
      <c r="T158" s="1062" t="s">
        <v>536</v>
      </c>
      <c r="U158" s="1062" t="s">
        <v>536</v>
      </c>
      <c r="V158" s="1062" t="s">
        <v>536</v>
      </c>
      <c r="W158" s="1062" t="s">
        <v>536</v>
      </c>
      <c r="X158" s="1062" t="s">
        <v>536</v>
      </c>
      <c r="Y158" s="1062"/>
      <c r="Z158" s="1062"/>
      <c r="AA158" s="1062"/>
      <c r="AB158" s="1062"/>
      <c r="AC158" s="1062"/>
      <c r="AD158" s="1025"/>
      <c r="AE158" s="1025"/>
      <c r="AF158" s="1062" t="s">
        <v>536</v>
      </c>
      <c r="AG158" s="1062"/>
      <c r="AH158" s="1062"/>
      <c r="AI158" s="1069">
        <f t="shared" si="6"/>
        <v>9</v>
      </c>
      <c r="AJ158" s="635"/>
      <c r="AK158" s="266"/>
    </row>
    <row r="159" spans="1:37" s="51" customFormat="1" ht="16.149999999999999" customHeight="1" outlineLevel="1">
      <c r="A159" s="1025">
        <v>50</v>
      </c>
      <c r="B159" s="1025" t="str">
        <f>VLOOKUP(C159,'DS CN MOI UP'!$B$10:$C$347,2,0)</f>
        <v>02486</v>
      </c>
      <c r="C159" s="1028" t="s">
        <v>65</v>
      </c>
      <c r="D159" s="1062"/>
      <c r="E159" s="1062"/>
      <c r="F159" s="1062"/>
      <c r="G159" s="1062" t="s">
        <v>536</v>
      </c>
      <c r="H159" s="1062"/>
      <c r="I159" s="1062"/>
      <c r="J159" s="1062"/>
      <c r="K159" s="1062"/>
      <c r="L159" s="1062"/>
      <c r="M159" s="1062"/>
      <c r="N159" s="1062"/>
      <c r="O159" s="1062"/>
      <c r="P159" s="1062"/>
      <c r="Q159" s="1062" t="s">
        <v>536</v>
      </c>
      <c r="R159" s="1062" t="s">
        <v>536</v>
      </c>
      <c r="S159" s="1062"/>
      <c r="T159" s="1062" t="s">
        <v>536</v>
      </c>
      <c r="U159" s="1062" t="s">
        <v>536</v>
      </c>
      <c r="V159" s="1062" t="s">
        <v>536</v>
      </c>
      <c r="W159" s="1062" t="s">
        <v>536</v>
      </c>
      <c r="X159" s="1062"/>
      <c r="Y159" s="1062"/>
      <c r="Z159" s="1062"/>
      <c r="AA159" s="1062"/>
      <c r="AB159" s="1062"/>
      <c r="AC159" s="1062"/>
      <c r="AD159" s="1025"/>
      <c r="AE159" s="1025"/>
      <c r="AF159" s="1062" t="s">
        <v>536</v>
      </c>
      <c r="AG159" s="1062"/>
      <c r="AH159" s="1062"/>
      <c r="AI159" s="1069">
        <f t="shared" si="6"/>
        <v>8</v>
      </c>
      <c r="AJ159" s="635"/>
      <c r="AK159" s="266"/>
    </row>
    <row r="160" spans="1:37" s="51" customFormat="1" ht="16.149999999999999" customHeight="1" outlineLevel="1">
      <c r="A160" s="1025">
        <v>51</v>
      </c>
      <c r="B160" s="1025" t="str">
        <f>VLOOKUP(C160,'DS CN MOI UP'!$B$10:$C$347,2,0)</f>
        <v>02479</v>
      </c>
      <c r="C160" s="1028" t="s">
        <v>66</v>
      </c>
      <c r="D160" s="1062"/>
      <c r="E160" s="1062"/>
      <c r="F160" s="1062"/>
      <c r="G160" s="1062"/>
      <c r="H160" s="1062"/>
      <c r="I160" s="1062"/>
      <c r="J160" s="1062"/>
      <c r="K160" s="1062"/>
      <c r="L160" s="1062"/>
      <c r="M160" s="1062"/>
      <c r="N160" s="1062"/>
      <c r="O160" s="1062"/>
      <c r="P160" s="1062"/>
      <c r="Q160" s="1062" t="s">
        <v>536</v>
      </c>
      <c r="R160" s="1062" t="s">
        <v>536</v>
      </c>
      <c r="S160" s="1062"/>
      <c r="T160" s="1062" t="s">
        <v>536</v>
      </c>
      <c r="U160" s="1062" t="s">
        <v>536</v>
      </c>
      <c r="V160" s="1062"/>
      <c r="W160" s="1062" t="s">
        <v>536</v>
      </c>
      <c r="X160" s="1062"/>
      <c r="Y160" s="1062"/>
      <c r="Z160" s="1062"/>
      <c r="AA160" s="1062"/>
      <c r="AB160" s="1062"/>
      <c r="AC160" s="1062"/>
      <c r="AD160" s="1025"/>
      <c r="AE160" s="1025"/>
      <c r="AF160" s="1062" t="s">
        <v>536</v>
      </c>
      <c r="AG160" s="1062" t="s">
        <v>536</v>
      </c>
      <c r="AH160" s="1062"/>
      <c r="AI160" s="1069">
        <f t="shared" si="6"/>
        <v>7</v>
      </c>
      <c r="AJ160" s="635"/>
      <c r="AK160" s="266"/>
    </row>
    <row r="161" spans="1:37" s="51" customFormat="1" ht="16.149999999999999" customHeight="1" outlineLevel="1">
      <c r="A161" s="1025">
        <v>52</v>
      </c>
      <c r="B161" s="1025" t="str">
        <f>VLOOKUP(C161,'DS CN MOI UP'!$B$10:$C$347,2,0)</f>
        <v>02515</v>
      </c>
      <c r="C161" s="630" t="s">
        <v>67</v>
      </c>
      <c r="D161" s="1062"/>
      <c r="E161" s="1062"/>
      <c r="F161" s="1062" t="s">
        <v>536</v>
      </c>
      <c r="G161" s="1062"/>
      <c r="H161" s="1062"/>
      <c r="I161" s="1062"/>
      <c r="J161" s="1062"/>
      <c r="K161" s="1062"/>
      <c r="L161" s="1062"/>
      <c r="M161" s="1062"/>
      <c r="N161" s="1062"/>
      <c r="O161" s="1062"/>
      <c r="P161" s="1062"/>
      <c r="Q161" s="1062" t="s">
        <v>536</v>
      </c>
      <c r="R161" s="1062" t="s">
        <v>536</v>
      </c>
      <c r="S161" s="1062" t="s">
        <v>536</v>
      </c>
      <c r="T161" s="1062"/>
      <c r="U161" s="1062"/>
      <c r="V161" s="1062"/>
      <c r="W161" s="1062" t="s">
        <v>536</v>
      </c>
      <c r="X161" s="1062" t="s">
        <v>536</v>
      </c>
      <c r="Y161" s="1062"/>
      <c r="Z161" s="1062"/>
      <c r="AA161" s="1062"/>
      <c r="AB161" s="1062"/>
      <c r="AC161" s="1062"/>
      <c r="AD161" s="1025"/>
      <c r="AE161" s="1025"/>
      <c r="AF161" s="1062" t="s">
        <v>536</v>
      </c>
      <c r="AG161" s="1062" t="s">
        <v>536</v>
      </c>
      <c r="AH161" s="1062"/>
      <c r="AI161" s="1069">
        <f t="shared" si="6"/>
        <v>8</v>
      </c>
      <c r="AJ161" s="635"/>
      <c r="AK161" s="266"/>
    </row>
    <row r="162" spans="1:37" s="51" customFormat="1" ht="16.149999999999999" customHeight="1" outlineLevel="1">
      <c r="A162" s="1025">
        <v>53</v>
      </c>
      <c r="B162" s="1025" t="str">
        <f>VLOOKUP(C162,'DS CN MOI UP'!$B$10:$C$347,2,0)</f>
        <v>02498</v>
      </c>
      <c r="C162" s="630" t="s">
        <v>68</v>
      </c>
      <c r="D162" s="1062"/>
      <c r="E162" s="1062"/>
      <c r="F162" s="1062"/>
      <c r="G162" s="1062"/>
      <c r="H162" s="1062"/>
      <c r="I162" s="1062"/>
      <c r="J162" s="1062"/>
      <c r="K162" s="1062"/>
      <c r="L162" s="1062"/>
      <c r="M162" s="1062"/>
      <c r="N162" s="1062"/>
      <c r="O162" s="1062"/>
      <c r="P162" s="1062"/>
      <c r="Q162" s="1062"/>
      <c r="R162" s="1062" t="s">
        <v>536</v>
      </c>
      <c r="S162" s="1062"/>
      <c r="T162" s="1062"/>
      <c r="U162" s="1062"/>
      <c r="V162" s="1062"/>
      <c r="W162" s="1062" t="s">
        <v>536</v>
      </c>
      <c r="X162" s="1062" t="s">
        <v>536</v>
      </c>
      <c r="Y162" s="1062"/>
      <c r="Z162" s="1062"/>
      <c r="AA162" s="1062"/>
      <c r="AB162" s="1062"/>
      <c r="AC162" s="1062"/>
      <c r="AD162" s="1025"/>
      <c r="AE162" s="1025"/>
      <c r="AF162" s="1062"/>
      <c r="AG162" s="1062"/>
      <c r="AH162" s="1062"/>
      <c r="AI162" s="1069">
        <f t="shared" si="6"/>
        <v>3</v>
      </c>
      <c r="AJ162" s="635"/>
      <c r="AK162" s="266"/>
    </row>
    <row r="163" spans="1:37" s="51" customFormat="1" ht="16.149999999999999" customHeight="1" outlineLevel="1">
      <c r="A163" s="1025">
        <v>54</v>
      </c>
      <c r="B163" s="1025" t="str">
        <f>VLOOKUP(C163,'DS CN MOI UP'!$B$10:$C$347,2,0)</f>
        <v>02685</v>
      </c>
      <c r="C163" s="630" t="s">
        <v>69</v>
      </c>
      <c r="D163" s="1062"/>
      <c r="E163" s="1062"/>
      <c r="F163" s="1062"/>
      <c r="G163" s="1062"/>
      <c r="H163" s="1062"/>
      <c r="I163" s="1062"/>
      <c r="J163" s="1062"/>
      <c r="K163" s="1062"/>
      <c r="L163" s="1062"/>
      <c r="M163" s="1062"/>
      <c r="N163" s="1062"/>
      <c r="O163" s="1062"/>
      <c r="P163" s="1062"/>
      <c r="Q163" s="1062"/>
      <c r="R163" s="1062" t="s">
        <v>536</v>
      </c>
      <c r="S163" s="1062"/>
      <c r="T163" s="1062"/>
      <c r="U163" s="1062"/>
      <c r="V163" s="1062"/>
      <c r="W163" s="1062" t="s">
        <v>536</v>
      </c>
      <c r="X163" s="1062" t="s">
        <v>536</v>
      </c>
      <c r="Y163" s="1062"/>
      <c r="Z163" s="1062"/>
      <c r="AA163" s="1062"/>
      <c r="AB163" s="1062"/>
      <c r="AC163" s="1062"/>
      <c r="AD163" s="1025"/>
      <c r="AE163" s="1025"/>
      <c r="AF163" s="1062"/>
      <c r="AG163" s="1062"/>
      <c r="AH163" s="1062"/>
      <c r="AI163" s="1069">
        <f t="shared" si="6"/>
        <v>3</v>
      </c>
      <c r="AJ163" s="635"/>
      <c r="AK163" s="266"/>
    </row>
    <row r="164" spans="1:37" s="51" customFormat="1" ht="16.149999999999999" customHeight="1" outlineLevel="1">
      <c r="A164" s="1025">
        <v>55</v>
      </c>
      <c r="B164" s="1025" t="str">
        <f>VLOOKUP(C164,'DS CN MOI UP'!$B$10:$C$347,2,0)</f>
        <v>02450</v>
      </c>
      <c r="C164" s="630" t="s">
        <v>70</v>
      </c>
      <c r="D164" s="1062"/>
      <c r="E164" s="1062"/>
      <c r="F164" s="1062"/>
      <c r="G164" s="1062" t="s">
        <v>536</v>
      </c>
      <c r="H164" s="1062"/>
      <c r="I164" s="1062"/>
      <c r="J164" s="1062"/>
      <c r="K164" s="1062"/>
      <c r="L164" s="1062"/>
      <c r="M164" s="1062"/>
      <c r="N164" s="1062"/>
      <c r="O164" s="1062"/>
      <c r="P164" s="1062"/>
      <c r="Q164" s="1062" t="s">
        <v>536</v>
      </c>
      <c r="R164" s="1062" t="s">
        <v>536</v>
      </c>
      <c r="S164" s="1062" t="s">
        <v>536</v>
      </c>
      <c r="T164" s="1062" t="s">
        <v>536</v>
      </c>
      <c r="U164" s="1062" t="s">
        <v>536</v>
      </c>
      <c r="V164" s="1062"/>
      <c r="W164" s="1062" t="s">
        <v>536</v>
      </c>
      <c r="X164" s="1062" t="s">
        <v>536</v>
      </c>
      <c r="Y164" s="1062"/>
      <c r="Z164" s="1062"/>
      <c r="AA164" s="1062"/>
      <c r="AB164" s="1062"/>
      <c r="AC164" s="1062"/>
      <c r="AD164" s="1062"/>
      <c r="AE164" s="1062"/>
      <c r="AF164" s="1062" t="s">
        <v>536</v>
      </c>
      <c r="AG164" s="1062" t="s">
        <v>536</v>
      </c>
      <c r="AH164" s="1062"/>
      <c r="AI164" s="1069">
        <f t="shared" si="6"/>
        <v>10</v>
      </c>
      <c r="AJ164" s="635"/>
      <c r="AK164" s="266"/>
    </row>
    <row r="165" spans="1:37" s="51" customFormat="1" ht="16.149999999999999" customHeight="1" outlineLevel="1">
      <c r="A165" s="1025">
        <v>56</v>
      </c>
      <c r="B165" s="1025" t="str">
        <f>VLOOKUP(C165,'DS CN MOI UP'!$B$10:$C$347,2,0)</f>
        <v>02454</v>
      </c>
      <c r="C165" s="630" t="s">
        <v>71</v>
      </c>
      <c r="D165" s="1062"/>
      <c r="E165" s="1062"/>
      <c r="F165" s="1062"/>
      <c r="G165" s="1062" t="s">
        <v>536</v>
      </c>
      <c r="H165" s="1062"/>
      <c r="I165" s="1062"/>
      <c r="J165" s="1062"/>
      <c r="K165" s="1062"/>
      <c r="L165" s="1062"/>
      <c r="M165" s="1062"/>
      <c r="N165" s="1062"/>
      <c r="O165" s="1062"/>
      <c r="P165" s="1062"/>
      <c r="Q165" s="1062" t="s">
        <v>536</v>
      </c>
      <c r="R165" s="1062" t="s">
        <v>536</v>
      </c>
      <c r="S165" s="1062"/>
      <c r="T165" s="1062" t="s">
        <v>536</v>
      </c>
      <c r="U165" s="1062" t="s">
        <v>536</v>
      </c>
      <c r="V165" s="1062"/>
      <c r="W165" s="1062" t="s">
        <v>536</v>
      </c>
      <c r="X165" s="1062" t="s">
        <v>536</v>
      </c>
      <c r="Y165" s="1062"/>
      <c r="Z165" s="1062"/>
      <c r="AA165" s="1062"/>
      <c r="AB165" s="1062"/>
      <c r="AC165" s="1062"/>
      <c r="AD165" s="1025"/>
      <c r="AE165" s="1025"/>
      <c r="AF165" s="1062" t="s">
        <v>536</v>
      </c>
      <c r="AG165" s="1062" t="s">
        <v>536</v>
      </c>
      <c r="AH165" s="1062"/>
      <c r="AI165" s="1069">
        <f t="shared" si="6"/>
        <v>9</v>
      </c>
      <c r="AJ165" s="635"/>
      <c r="AK165" s="266"/>
    </row>
    <row r="166" spans="1:37" s="51" customFormat="1" ht="16.149999999999999" customHeight="1" outlineLevel="1">
      <c r="A166" s="1025">
        <v>57</v>
      </c>
      <c r="B166" s="1025" t="str">
        <f>VLOOKUP(C166,'DS CN MOI UP'!$B$10:$C$347,2,0)</f>
        <v>03335</v>
      </c>
      <c r="C166" s="641" t="s">
        <v>72</v>
      </c>
      <c r="D166" s="1062"/>
      <c r="E166" s="1062"/>
      <c r="F166" s="1062"/>
      <c r="G166" s="1062" t="s">
        <v>536</v>
      </c>
      <c r="H166" s="1062"/>
      <c r="I166" s="1062"/>
      <c r="J166" s="1062"/>
      <c r="K166" s="1062"/>
      <c r="L166" s="1062"/>
      <c r="M166" s="1062"/>
      <c r="N166" s="1062"/>
      <c r="O166" s="1062"/>
      <c r="P166" s="1062"/>
      <c r="Q166" s="1062" t="s">
        <v>536</v>
      </c>
      <c r="R166" s="1062" t="s">
        <v>536</v>
      </c>
      <c r="S166" s="1062" t="s">
        <v>536</v>
      </c>
      <c r="T166" s="1062" t="s">
        <v>536</v>
      </c>
      <c r="U166" s="1062" t="s">
        <v>536</v>
      </c>
      <c r="V166" s="1062"/>
      <c r="W166" s="1062" t="s">
        <v>536</v>
      </c>
      <c r="X166" s="1062"/>
      <c r="Y166" s="1062"/>
      <c r="Z166" s="1062"/>
      <c r="AA166" s="1062"/>
      <c r="AB166" s="1062"/>
      <c r="AC166" s="1062"/>
      <c r="AD166" s="1062"/>
      <c r="AE166" s="1062"/>
      <c r="AF166" s="1062" t="s">
        <v>536</v>
      </c>
      <c r="AG166" s="1062" t="s">
        <v>536</v>
      </c>
      <c r="AH166" s="1062"/>
      <c r="AI166" s="1069">
        <f t="shared" si="6"/>
        <v>9</v>
      </c>
      <c r="AJ166" s="635"/>
      <c r="AK166" s="266"/>
    </row>
    <row r="167" spans="1:37" s="51" customFormat="1" ht="16.149999999999999" customHeight="1" outlineLevel="1">
      <c r="A167" s="1025">
        <v>58</v>
      </c>
      <c r="B167" s="1025" t="str">
        <f>VLOOKUP(C167,'DS CN MOI UP'!$B$10:$C$347,2,0)</f>
        <v>02460</v>
      </c>
      <c r="C167" s="641" t="s">
        <v>74</v>
      </c>
      <c r="D167" s="1062"/>
      <c r="E167" s="1062"/>
      <c r="F167" s="1062"/>
      <c r="G167" s="1062"/>
      <c r="H167" s="1062"/>
      <c r="I167" s="1062"/>
      <c r="J167" s="1062"/>
      <c r="K167" s="1062"/>
      <c r="L167" s="1062"/>
      <c r="M167" s="1062"/>
      <c r="N167" s="1062"/>
      <c r="O167" s="1062"/>
      <c r="P167" s="1062"/>
      <c r="Q167" s="1062" t="s">
        <v>536</v>
      </c>
      <c r="R167" s="1062" t="s">
        <v>536</v>
      </c>
      <c r="S167" s="1062"/>
      <c r="T167" s="1062"/>
      <c r="U167" s="1062"/>
      <c r="V167" s="1062"/>
      <c r="W167" s="1062"/>
      <c r="X167" s="1062" t="s">
        <v>536</v>
      </c>
      <c r="Y167" s="1062"/>
      <c r="Z167" s="1062"/>
      <c r="AA167" s="1062" t="s">
        <v>536</v>
      </c>
      <c r="AB167" s="1062"/>
      <c r="AC167" s="1062"/>
      <c r="AD167" s="1062"/>
      <c r="AE167" s="1025"/>
      <c r="AF167" s="1062" t="s">
        <v>536</v>
      </c>
      <c r="AG167" s="1062" t="s">
        <v>536</v>
      </c>
      <c r="AH167" s="1062"/>
      <c r="AI167" s="1069">
        <f t="shared" si="6"/>
        <v>6</v>
      </c>
      <c r="AJ167" s="635"/>
      <c r="AK167" s="266"/>
    </row>
    <row r="168" spans="1:37" s="51" customFormat="1" ht="16.149999999999999" customHeight="1" outlineLevel="1">
      <c r="A168" s="1025">
        <v>59</v>
      </c>
      <c r="B168" s="1025" t="str">
        <f>VLOOKUP(C168,'DS CN MOI UP'!$B$10:$C$347,2,0)</f>
        <v>02683</v>
      </c>
      <c r="C168" s="641" t="s">
        <v>75</v>
      </c>
      <c r="D168" s="1062"/>
      <c r="E168" s="1062"/>
      <c r="F168" s="1062"/>
      <c r="G168" s="1062"/>
      <c r="H168" s="1062"/>
      <c r="I168" s="1062"/>
      <c r="J168" s="1062"/>
      <c r="K168" s="1062"/>
      <c r="L168" s="1062"/>
      <c r="M168" s="1062"/>
      <c r="N168" s="1062"/>
      <c r="O168" s="1062"/>
      <c r="P168" s="1062"/>
      <c r="Q168" s="1062" t="s">
        <v>536</v>
      </c>
      <c r="R168" s="1062"/>
      <c r="S168" s="1062"/>
      <c r="T168" s="1062"/>
      <c r="U168" s="1062"/>
      <c r="V168" s="1062"/>
      <c r="W168" s="1062" t="s">
        <v>536</v>
      </c>
      <c r="X168" s="1062" t="s">
        <v>536</v>
      </c>
      <c r="Y168" s="1062"/>
      <c r="Z168" s="1062"/>
      <c r="AA168" s="1062"/>
      <c r="AB168" s="1062"/>
      <c r="AC168" s="1062"/>
      <c r="AD168" s="1025"/>
      <c r="AE168" s="1025"/>
      <c r="AF168" s="1062"/>
      <c r="AG168" s="1062" t="s">
        <v>536</v>
      </c>
      <c r="AH168" s="1062"/>
      <c r="AI168" s="1069">
        <f t="shared" si="6"/>
        <v>4</v>
      </c>
      <c r="AJ168" s="635"/>
      <c r="AK168" s="266"/>
    </row>
    <row r="169" spans="1:37" s="51" customFormat="1" ht="16.149999999999999" customHeight="1" outlineLevel="1">
      <c r="A169" s="1025">
        <v>60</v>
      </c>
      <c r="B169" s="1025" t="str">
        <f>VLOOKUP(C169,'DS CN MOI UP'!$B$10:$C$347,2,0)</f>
        <v>02681</v>
      </c>
      <c r="C169" s="641" t="s">
        <v>76</v>
      </c>
      <c r="D169" s="1062"/>
      <c r="E169" s="1062"/>
      <c r="F169" s="1062"/>
      <c r="G169" s="1062" t="s">
        <v>536</v>
      </c>
      <c r="H169" s="1062"/>
      <c r="I169" s="1062"/>
      <c r="J169" s="1062"/>
      <c r="K169" s="1062"/>
      <c r="L169" s="1062"/>
      <c r="M169" s="1062"/>
      <c r="N169" s="1062"/>
      <c r="O169" s="1062"/>
      <c r="P169" s="1062"/>
      <c r="Q169" s="1062"/>
      <c r="R169" s="1062" t="s">
        <v>536</v>
      </c>
      <c r="S169" s="1062" t="s">
        <v>536</v>
      </c>
      <c r="T169" s="1062"/>
      <c r="U169" s="1062" t="s">
        <v>536</v>
      </c>
      <c r="V169" s="1062"/>
      <c r="W169" s="1062" t="s">
        <v>536</v>
      </c>
      <c r="X169" s="1062" t="s">
        <v>536</v>
      </c>
      <c r="Y169" s="1062"/>
      <c r="Z169" s="1062"/>
      <c r="AA169" s="1062"/>
      <c r="AB169" s="1062"/>
      <c r="AC169" s="1062"/>
      <c r="AD169" s="1025"/>
      <c r="AE169" s="1025"/>
      <c r="AF169" s="1062" t="s">
        <v>536</v>
      </c>
      <c r="AG169" s="1062" t="s">
        <v>536</v>
      </c>
      <c r="AH169" s="1062"/>
      <c r="AI169" s="1069">
        <f t="shared" si="6"/>
        <v>8</v>
      </c>
      <c r="AJ169" s="635"/>
      <c r="AK169" s="266"/>
    </row>
    <row r="170" spans="1:37" s="51" customFormat="1" ht="16.149999999999999" customHeight="1" outlineLevel="1">
      <c r="A170" s="1025">
        <v>61</v>
      </c>
      <c r="B170" s="1025" t="str">
        <f>VLOOKUP(C170,'DS CN MOI UP'!$B$10:$C$347,2,0)</f>
        <v>02504</v>
      </c>
      <c r="C170" s="641" t="s">
        <v>77</v>
      </c>
      <c r="D170" s="1062"/>
      <c r="E170" s="1062"/>
      <c r="F170" s="1062"/>
      <c r="G170" s="1062"/>
      <c r="H170" s="1062"/>
      <c r="I170" s="1062"/>
      <c r="J170" s="1062"/>
      <c r="K170" s="1062"/>
      <c r="L170" s="1062"/>
      <c r="M170" s="1062"/>
      <c r="N170" s="1062"/>
      <c r="O170" s="1062"/>
      <c r="P170" s="1062"/>
      <c r="Q170" s="1062" t="s">
        <v>536</v>
      </c>
      <c r="R170" s="1062" t="s">
        <v>536</v>
      </c>
      <c r="S170" s="1062"/>
      <c r="T170" s="1062" t="s">
        <v>536</v>
      </c>
      <c r="U170" s="1062" t="s">
        <v>536</v>
      </c>
      <c r="V170" s="1062"/>
      <c r="W170" s="1062" t="s">
        <v>536</v>
      </c>
      <c r="X170" s="1062" t="s">
        <v>536</v>
      </c>
      <c r="Y170" s="1062"/>
      <c r="Z170" s="1062"/>
      <c r="AA170" s="1062"/>
      <c r="AB170" s="1062"/>
      <c r="AC170" s="1062"/>
      <c r="AD170" s="1025"/>
      <c r="AE170" s="1025"/>
      <c r="AF170" s="1062" t="s">
        <v>536</v>
      </c>
      <c r="AG170" s="1062" t="s">
        <v>536</v>
      </c>
      <c r="AH170" s="1062"/>
      <c r="AI170" s="1069">
        <f t="shared" si="6"/>
        <v>8</v>
      </c>
      <c r="AJ170" s="635"/>
      <c r="AK170" s="266"/>
    </row>
    <row r="171" spans="1:37" s="51" customFormat="1" ht="16.149999999999999" customHeight="1" outlineLevel="1">
      <c r="A171" s="1025">
        <v>62</v>
      </c>
      <c r="B171" s="1025" t="str">
        <f>VLOOKUP(C171,'DS CN MOI UP'!$B$10:$C$347,2,0)</f>
        <v>02686</v>
      </c>
      <c r="C171" s="641" t="s">
        <v>78</v>
      </c>
      <c r="D171" s="1062"/>
      <c r="E171" s="1062" t="s">
        <v>536</v>
      </c>
      <c r="F171" s="1062" t="s">
        <v>536</v>
      </c>
      <c r="G171" s="1062"/>
      <c r="H171" s="1062"/>
      <c r="I171" s="1062"/>
      <c r="J171" s="1062"/>
      <c r="K171" s="1062"/>
      <c r="L171" s="1062"/>
      <c r="M171" s="1062"/>
      <c r="N171" s="1062"/>
      <c r="O171" s="1062"/>
      <c r="P171" s="1062"/>
      <c r="Q171" s="1062" t="s">
        <v>536</v>
      </c>
      <c r="R171" s="1062" t="s">
        <v>536</v>
      </c>
      <c r="S171" s="1062" t="s">
        <v>536</v>
      </c>
      <c r="T171" s="1062"/>
      <c r="U171" s="1062"/>
      <c r="V171" s="1062"/>
      <c r="W171" s="1062" t="s">
        <v>536</v>
      </c>
      <c r="X171" s="1062"/>
      <c r="Y171" s="1062"/>
      <c r="Z171" s="1062"/>
      <c r="AA171" s="1062"/>
      <c r="AB171" s="1062"/>
      <c r="AC171" s="1062"/>
      <c r="AD171" s="1062"/>
      <c r="AE171" s="1062"/>
      <c r="AF171" s="1062"/>
      <c r="AG171" s="1062"/>
      <c r="AH171" s="1062"/>
      <c r="AI171" s="1069">
        <f t="shared" si="6"/>
        <v>6</v>
      </c>
      <c r="AJ171" s="635"/>
      <c r="AK171" s="266"/>
    </row>
    <row r="172" spans="1:37" s="51" customFormat="1" ht="16.149999999999999" customHeight="1" outlineLevel="1">
      <c r="A172" s="1025">
        <v>63</v>
      </c>
      <c r="B172" s="1025" t="str">
        <f>VLOOKUP(C172,'DS CN MOI UP'!$B$10:$C$347,2,0)</f>
        <v>02478</v>
      </c>
      <c r="C172" s="641" t="s">
        <v>79</v>
      </c>
      <c r="D172" s="1062"/>
      <c r="E172" s="1062"/>
      <c r="F172" s="1062"/>
      <c r="G172" s="1062"/>
      <c r="H172" s="1062"/>
      <c r="I172" s="1062"/>
      <c r="J172" s="1062"/>
      <c r="K172" s="1062"/>
      <c r="L172" s="1062"/>
      <c r="M172" s="1062"/>
      <c r="N172" s="1062"/>
      <c r="O172" s="1062"/>
      <c r="P172" s="1062"/>
      <c r="Q172" s="1062"/>
      <c r="R172" s="1062" t="s">
        <v>536</v>
      </c>
      <c r="S172" s="1062"/>
      <c r="T172" s="1062"/>
      <c r="U172" s="1062" t="s">
        <v>536</v>
      </c>
      <c r="V172" s="1062"/>
      <c r="W172" s="1062" t="s">
        <v>536</v>
      </c>
      <c r="X172" s="1062" t="s">
        <v>536</v>
      </c>
      <c r="Y172" s="1062"/>
      <c r="Z172" s="1062"/>
      <c r="AA172" s="1062"/>
      <c r="AB172" s="1062"/>
      <c r="AC172" s="1062"/>
      <c r="AD172" s="1025"/>
      <c r="AE172" s="1025"/>
      <c r="AF172" s="1062"/>
      <c r="AG172" s="1062" t="s">
        <v>536</v>
      </c>
      <c r="AH172" s="1062"/>
      <c r="AI172" s="1069">
        <f t="shared" si="6"/>
        <v>5</v>
      </c>
      <c r="AJ172" s="635"/>
      <c r="AK172" s="266"/>
    </row>
    <row r="173" spans="1:37" s="51" customFormat="1" ht="16.149999999999999" customHeight="1" outlineLevel="1">
      <c r="A173" s="1025">
        <v>64</v>
      </c>
      <c r="B173" s="1025" t="str">
        <f>VLOOKUP(C173,'DS CN MOI UP'!$B$10:$C$347,2,0)</f>
        <v>02499</v>
      </c>
      <c r="C173" s="641" t="s">
        <v>80</v>
      </c>
      <c r="D173" s="1062"/>
      <c r="E173" s="1062"/>
      <c r="F173" s="1062"/>
      <c r="G173" s="1062"/>
      <c r="H173" s="1062"/>
      <c r="I173" s="1062"/>
      <c r="J173" s="1062"/>
      <c r="K173" s="1062"/>
      <c r="L173" s="1062"/>
      <c r="M173" s="1062"/>
      <c r="N173" s="1062"/>
      <c r="O173" s="1062"/>
      <c r="P173" s="1062"/>
      <c r="Q173" s="1062"/>
      <c r="R173" s="1062" t="s">
        <v>536</v>
      </c>
      <c r="S173" s="1062"/>
      <c r="T173" s="1062"/>
      <c r="U173" s="1062"/>
      <c r="V173" s="1062"/>
      <c r="W173" s="1062"/>
      <c r="X173" s="1062" t="s">
        <v>536</v>
      </c>
      <c r="Y173" s="1062"/>
      <c r="Z173" s="1062"/>
      <c r="AA173" s="1062"/>
      <c r="AB173" s="1062"/>
      <c r="AC173" s="1062"/>
      <c r="AD173" s="1025"/>
      <c r="AE173" s="1025"/>
      <c r="AF173" s="1062" t="s">
        <v>536</v>
      </c>
      <c r="AG173" s="1062" t="s">
        <v>536</v>
      </c>
      <c r="AH173" s="1062"/>
      <c r="AI173" s="1069">
        <f t="shared" si="6"/>
        <v>4</v>
      </c>
      <c r="AJ173" s="635"/>
      <c r="AK173" s="266"/>
    </row>
    <row r="174" spans="1:37" s="51" customFormat="1" ht="16.149999999999999" customHeight="1" outlineLevel="1">
      <c r="A174" s="1025">
        <v>65</v>
      </c>
      <c r="B174" s="1025" t="str">
        <f>VLOOKUP(C174,'DS CN MOI UP'!$B$10:$C$347,2,0)</f>
        <v>03336</v>
      </c>
      <c r="C174" s="641" t="s">
        <v>81</v>
      </c>
      <c r="D174" s="1062"/>
      <c r="E174" s="1062"/>
      <c r="F174" s="1062"/>
      <c r="G174" s="1062"/>
      <c r="H174" s="1062"/>
      <c r="I174" s="1062"/>
      <c r="J174" s="1062"/>
      <c r="K174" s="1062"/>
      <c r="L174" s="1062"/>
      <c r="M174" s="1062"/>
      <c r="N174" s="1062"/>
      <c r="O174" s="1062"/>
      <c r="P174" s="1062"/>
      <c r="Q174" s="1062"/>
      <c r="R174" s="1062"/>
      <c r="S174" s="1062" t="s">
        <v>536</v>
      </c>
      <c r="T174" s="1062"/>
      <c r="U174" s="1062" t="s">
        <v>536</v>
      </c>
      <c r="V174" s="1062"/>
      <c r="W174" s="1062"/>
      <c r="X174" s="1062"/>
      <c r="Y174" s="1062"/>
      <c r="Z174" s="1062"/>
      <c r="AA174" s="1062"/>
      <c r="AB174" s="1062"/>
      <c r="AC174" s="1062"/>
      <c r="AD174" s="1062"/>
      <c r="AE174" s="1062"/>
      <c r="AF174" s="1062"/>
      <c r="AG174" s="1062" t="s">
        <v>536</v>
      </c>
      <c r="AH174" s="1062"/>
      <c r="AI174" s="1069">
        <f t="shared" ref="AI174:AI223" si="7">COUNTIF(D174:AH174,"X")</f>
        <v>3</v>
      </c>
      <c r="AJ174" s="635"/>
      <c r="AK174" s="266"/>
    </row>
    <row r="175" spans="1:37" s="51" customFormat="1" ht="16.149999999999999" customHeight="1" outlineLevel="1">
      <c r="A175" s="1025">
        <v>66</v>
      </c>
      <c r="B175" s="1025" t="str">
        <f>VLOOKUP(C175,'DS CN MOI UP'!$B$10:$C$347,2,0)</f>
        <v>02682</v>
      </c>
      <c r="C175" s="641" t="s">
        <v>82</v>
      </c>
      <c r="D175" s="1062"/>
      <c r="E175" s="1062"/>
      <c r="F175" s="1062"/>
      <c r="G175" s="1062"/>
      <c r="H175" s="1062"/>
      <c r="I175" s="1062"/>
      <c r="J175" s="1062"/>
      <c r="K175" s="1062"/>
      <c r="L175" s="1062"/>
      <c r="M175" s="1062"/>
      <c r="N175" s="1062"/>
      <c r="O175" s="1062"/>
      <c r="P175" s="1062"/>
      <c r="Q175" s="1062"/>
      <c r="R175" s="1062"/>
      <c r="S175" s="1062"/>
      <c r="T175" s="1062"/>
      <c r="U175" s="1062" t="s">
        <v>536</v>
      </c>
      <c r="V175" s="1062"/>
      <c r="W175" s="1062"/>
      <c r="X175" s="1062"/>
      <c r="Y175" s="1062"/>
      <c r="Z175" s="1062"/>
      <c r="AA175" s="1062"/>
      <c r="AB175" s="1062"/>
      <c r="AC175" s="1062"/>
      <c r="AD175" s="1062"/>
      <c r="AE175" s="1062"/>
      <c r="AF175" s="1062"/>
      <c r="AG175" s="1062" t="s">
        <v>536</v>
      </c>
      <c r="AH175" s="1062"/>
      <c r="AI175" s="1069">
        <f t="shared" si="7"/>
        <v>2</v>
      </c>
      <c r="AJ175" s="635"/>
      <c r="AK175" s="266"/>
    </row>
    <row r="176" spans="1:37" s="51" customFormat="1" ht="16.149999999999999" customHeight="1" outlineLevel="1">
      <c r="A176" s="1025">
        <v>67</v>
      </c>
      <c r="B176" s="1025" t="str">
        <f>VLOOKUP(C176,'DS CN MOI UP'!$B$10:$C$347,2,0)</f>
        <v>02482</v>
      </c>
      <c r="C176" s="641" t="s">
        <v>83</v>
      </c>
      <c r="D176" s="1062"/>
      <c r="E176" s="1062"/>
      <c r="F176" s="1062"/>
      <c r="G176" s="1062" t="s">
        <v>536</v>
      </c>
      <c r="H176" s="1062"/>
      <c r="I176" s="1062"/>
      <c r="J176" s="1062"/>
      <c r="K176" s="1062"/>
      <c r="L176" s="1062"/>
      <c r="M176" s="1062"/>
      <c r="N176" s="1062"/>
      <c r="O176" s="1062"/>
      <c r="P176" s="1062"/>
      <c r="Q176" s="1062" t="s">
        <v>536</v>
      </c>
      <c r="R176" s="1062" t="s">
        <v>536</v>
      </c>
      <c r="S176" s="1062"/>
      <c r="T176" s="1062"/>
      <c r="U176" s="1062"/>
      <c r="V176" s="1062"/>
      <c r="W176" s="1062" t="s">
        <v>536</v>
      </c>
      <c r="X176" s="1062" t="s">
        <v>536</v>
      </c>
      <c r="Y176" s="1062"/>
      <c r="Z176" s="1062"/>
      <c r="AA176" s="1062"/>
      <c r="AB176" s="1062"/>
      <c r="AC176" s="1062"/>
      <c r="AD176" s="1062"/>
      <c r="AE176" s="1025"/>
      <c r="AF176" s="1062"/>
      <c r="AG176" s="1062" t="s">
        <v>536</v>
      </c>
      <c r="AH176" s="1062"/>
      <c r="AI176" s="1069">
        <f t="shared" si="7"/>
        <v>6</v>
      </c>
      <c r="AJ176" s="635"/>
      <c r="AK176" s="266"/>
    </row>
    <row r="177" spans="1:37" s="51" customFormat="1" ht="16.149999999999999" customHeight="1" outlineLevel="1">
      <c r="A177" s="1025">
        <v>68</v>
      </c>
      <c r="B177" s="1025" t="str">
        <f>VLOOKUP(C177,'DS CN MOI UP'!$B$10:$C$347,2,0)</f>
        <v>03337</v>
      </c>
      <c r="C177" s="641" t="s">
        <v>84</v>
      </c>
      <c r="D177" s="1062"/>
      <c r="E177" s="1062"/>
      <c r="F177" s="1062" t="s">
        <v>536</v>
      </c>
      <c r="G177" s="1062" t="s">
        <v>536</v>
      </c>
      <c r="H177" s="1062"/>
      <c r="I177" s="1062"/>
      <c r="J177" s="1062"/>
      <c r="K177" s="1062"/>
      <c r="L177" s="1062"/>
      <c r="M177" s="1062"/>
      <c r="N177" s="1062"/>
      <c r="O177" s="1062"/>
      <c r="P177" s="1062"/>
      <c r="Q177" s="1062" t="s">
        <v>536</v>
      </c>
      <c r="R177" s="1062" t="s">
        <v>536</v>
      </c>
      <c r="S177" s="1062"/>
      <c r="T177" s="1062"/>
      <c r="U177" s="1062" t="s">
        <v>536</v>
      </c>
      <c r="V177" s="1062"/>
      <c r="W177" s="1062" t="s">
        <v>536</v>
      </c>
      <c r="X177" s="1062" t="s">
        <v>536</v>
      </c>
      <c r="Y177" s="1062"/>
      <c r="Z177" s="1062"/>
      <c r="AA177" s="1062"/>
      <c r="AB177" s="1062"/>
      <c r="AC177" s="1062"/>
      <c r="AD177" s="1025"/>
      <c r="AE177" s="1025"/>
      <c r="AF177" s="1062" t="s">
        <v>536</v>
      </c>
      <c r="AG177" s="1062" t="s">
        <v>536</v>
      </c>
      <c r="AH177" s="1062"/>
      <c r="AI177" s="1069">
        <f t="shared" si="7"/>
        <v>9</v>
      </c>
      <c r="AJ177" s="635"/>
      <c r="AK177" s="266"/>
    </row>
    <row r="178" spans="1:37" s="51" customFormat="1" ht="16.149999999999999" customHeight="1" outlineLevel="1">
      <c r="A178" s="1025">
        <v>69</v>
      </c>
      <c r="B178" s="1025" t="str">
        <f>VLOOKUP(C178,'DS CN MOI UP'!$B$10:$C$347,2,0)</f>
        <v>03338</v>
      </c>
      <c r="C178" s="641" t="s">
        <v>85</v>
      </c>
      <c r="D178" s="1062"/>
      <c r="E178" s="1062"/>
      <c r="F178" s="1062"/>
      <c r="G178" s="1062" t="s">
        <v>536</v>
      </c>
      <c r="H178" s="1062"/>
      <c r="I178" s="1062"/>
      <c r="J178" s="1062"/>
      <c r="K178" s="1062"/>
      <c r="L178" s="1062"/>
      <c r="M178" s="1062"/>
      <c r="N178" s="1062"/>
      <c r="O178" s="1062"/>
      <c r="P178" s="1062"/>
      <c r="Q178" s="1062" t="s">
        <v>536</v>
      </c>
      <c r="R178" s="1062" t="s">
        <v>536</v>
      </c>
      <c r="S178" s="1062" t="s">
        <v>536</v>
      </c>
      <c r="T178" s="1062" t="s">
        <v>536</v>
      </c>
      <c r="U178" s="1062" t="s">
        <v>536</v>
      </c>
      <c r="V178" s="1062"/>
      <c r="W178" s="1062" t="s">
        <v>536</v>
      </c>
      <c r="X178" s="1062" t="s">
        <v>536</v>
      </c>
      <c r="Y178" s="1062"/>
      <c r="Z178" s="1062"/>
      <c r="AA178" s="1062"/>
      <c r="AB178" s="1062"/>
      <c r="AC178" s="1062"/>
      <c r="AD178" s="1025"/>
      <c r="AE178" s="1025"/>
      <c r="AF178" s="1062"/>
      <c r="AG178" s="1062" t="s">
        <v>536</v>
      </c>
      <c r="AH178" s="1062"/>
      <c r="AI178" s="1069">
        <f t="shared" si="7"/>
        <v>9</v>
      </c>
      <c r="AJ178" s="635"/>
      <c r="AK178" s="266"/>
    </row>
    <row r="179" spans="1:37" s="51" customFormat="1" ht="16.149999999999999" customHeight="1" outlineLevel="1">
      <c r="A179" s="1025">
        <v>70</v>
      </c>
      <c r="B179" s="1025" t="str">
        <f>VLOOKUP(C179,'DS CN MOI UP'!$B$10:$C$347,2,0)</f>
        <v>02481</v>
      </c>
      <c r="C179" s="641" t="s">
        <v>86</v>
      </c>
      <c r="D179" s="1062"/>
      <c r="E179" s="1062"/>
      <c r="F179" s="1062"/>
      <c r="G179" s="1062"/>
      <c r="H179" s="1062"/>
      <c r="I179" s="1062"/>
      <c r="J179" s="1062"/>
      <c r="K179" s="1062"/>
      <c r="L179" s="1062"/>
      <c r="M179" s="1062"/>
      <c r="N179" s="1062"/>
      <c r="O179" s="1062"/>
      <c r="P179" s="1062"/>
      <c r="Q179" s="1062"/>
      <c r="R179" s="1062" t="s">
        <v>536</v>
      </c>
      <c r="S179" s="1062" t="s">
        <v>536</v>
      </c>
      <c r="T179" s="1062"/>
      <c r="U179" s="1062" t="s">
        <v>536</v>
      </c>
      <c r="V179" s="1062"/>
      <c r="W179" s="1062" t="s">
        <v>536</v>
      </c>
      <c r="X179" s="1062" t="s">
        <v>536</v>
      </c>
      <c r="Y179" s="1062"/>
      <c r="Z179" s="1062"/>
      <c r="AA179" s="1062"/>
      <c r="AB179" s="1062"/>
      <c r="AC179" s="1062"/>
      <c r="AD179" s="1062"/>
      <c r="AE179" s="1062"/>
      <c r="AF179" s="1062"/>
      <c r="AG179" s="1062"/>
      <c r="AH179" s="1062"/>
      <c r="AI179" s="1069">
        <f t="shared" si="7"/>
        <v>5</v>
      </c>
      <c r="AJ179" s="635"/>
      <c r="AK179" s="266"/>
    </row>
    <row r="180" spans="1:37" s="51" customFormat="1" ht="16.149999999999999" customHeight="1" outlineLevel="1">
      <c r="A180" s="1025">
        <v>71</v>
      </c>
      <c r="B180" s="1025" t="str">
        <f>VLOOKUP(C180,'DS CN MOI UP'!$B$10:$C$347,2,0)</f>
        <v>02463</v>
      </c>
      <c r="C180" s="641" t="s">
        <v>87</v>
      </c>
      <c r="D180" s="1062"/>
      <c r="E180" s="1062"/>
      <c r="F180" s="1062" t="s">
        <v>536</v>
      </c>
      <c r="G180" s="1062" t="s">
        <v>536</v>
      </c>
      <c r="H180" s="1062"/>
      <c r="I180" s="1062"/>
      <c r="J180" s="1062"/>
      <c r="K180" s="1062"/>
      <c r="L180" s="1062"/>
      <c r="M180" s="1062"/>
      <c r="N180" s="1062"/>
      <c r="O180" s="1062"/>
      <c r="P180" s="1062"/>
      <c r="Q180" s="1062" t="s">
        <v>536</v>
      </c>
      <c r="R180" s="1062" t="s">
        <v>536</v>
      </c>
      <c r="S180" s="1062" t="s">
        <v>536</v>
      </c>
      <c r="T180" s="1062" t="s">
        <v>536</v>
      </c>
      <c r="U180" s="1062" t="s">
        <v>536</v>
      </c>
      <c r="V180" s="1062"/>
      <c r="W180" s="1062"/>
      <c r="X180" s="1062" t="s">
        <v>536</v>
      </c>
      <c r="Y180" s="1062"/>
      <c r="Z180" s="1062"/>
      <c r="AA180" s="1062" t="s">
        <v>536</v>
      </c>
      <c r="AB180" s="1062"/>
      <c r="AC180" s="1062"/>
      <c r="AD180" s="1025"/>
      <c r="AE180" s="1062"/>
      <c r="AF180" s="1062"/>
      <c r="AG180" s="1062" t="s">
        <v>536</v>
      </c>
      <c r="AH180" s="1062"/>
      <c r="AI180" s="1069">
        <f t="shared" si="7"/>
        <v>10</v>
      </c>
      <c r="AJ180" s="635"/>
      <c r="AK180" s="266"/>
    </row>
    <row r="181" spans="1:37" s="51" customFormat="1" ht="16.149999999999999" customHeight="1" outlineLevel="1">
      <c r="A181" s="1025">
        <v>72</v>
      </c>
      <c r="B181" s="1025" t="str">
        <f>VLOOKUP(C181,'DS CN MOI UP'!$B$10:$C$347,2,0)</f>
        <v>02464</v>
      </c>
      <c r="C181" s="641" t="s">
        <v>88</v>
      </c>
      <c r="D181" s="1062"/>
      <c r="E181" s="1062"/>
      <c r="F181" s="1062" t="s">
        <v>536</v>
      </c>
      <c r="G181" s="1062" t="s">
        <v>536</v>
      </c>
      <c r="H181" s="1062"/>
      <c r="I181" s="1062"/>
      <c r="J181" s="1062"/>
      <c r="K181" s="1062"/>
      <c r="L181" s="1062"/>
      <c r="M181" s="1062"/>
      <c r="N181" s="1062"/>
      <c r="O181" s="1062"/>
      <c r="P181" s="1062"/>
      <c r="Q181" s="1062" t="s">
        <v>536</v>
      </c>
      <c r="R181" s="1062" t="s">
        <v>536</v>
      </c>
      <c r="S181" s="1062" t="s">
        <v>536</v>
      </c>
      <c r="T181" s="1062" t="s">
        <v>536</v>
      </c>
      <c r="U181" s="1062" t="s">
        <v>536</v>
      </c>
      <c r="V181" s="1062"/>
      <c r="W181" s="1062"/>
      <c r="X181" s="1062"/>
      <c r="Y181" s="1062"/>
      <c r="Z181" s="1062"/>
      <c r="AA181" s="1062" t="s">
        <v>536</v>
      </c>
      <c r="AB181" s="1062"/>
      <c r="AC181" s="1062"/>
      <c r="AD181" s="1062"/>
      <c r="AE181" s="1062"/>
      <c r="AF181" s="1062"/>
      <c r="AG181" s="1062" t="s">
        <v>536</v>
      </c>
      <c r="AH181" s="1062"/>
      <c r="AI181" s="1069">
        <f t="shared" si="7"/>
        <v>9</v>
      </c>
      <c r="AJ181" s="635"/>
      <c r="AK181" s="266"/>
    </row>
    <row r="182" spans="1:37" s="51" customFormat="1" ht="16.149999999999999" customHeight="1" outlineLevel="1">
      <c r="A182" s="1025">
        <v>73</v>
      </c>
      <c r="B182" s="1025" t="str">
        <f>VLOOKUP(C182,'DS CN MOI UP'!$B$10:$C$347,2,0)</f>
        <v>02456</v>
      </c>
      <c r="C182" s="641" t="s">
        <v>89</v>
      </c>
      <c r="D182" s="1062"/>
      <c r="E182" s="1062"/>
      <c r="F182" s="1062"/>
      <c r="G182" s="1062"/>
      <c r="H182" s="1062"/>
      <c r="I182" s="1062"/>
      <c r="J182" s="1062"/>
      <c r="K182" s="1062"/>
      <c r="L182" s="1062"/>
      <c r="M182" s="1062"/>
      <c r="N182" s="1062"/>
      <c r="O182" s="1062"/>
      <c r="P182" s="1062"/>
      <c r="Q182" s="1062"/>
      <c r="R182" s="1062" t="s">
        <v>536</v>
      </c>
      <c r="S182" s="1062"/>
      <c r="T182" s="1062"/>
      <c r="U182" s="1062"/>
      <c r="V182" s="1062"/>
      <c r="W182" s="1062"/>
      <c r="X182" s="1062" t="s">
        <v>536</v>
      </c>
      <c r="Y182" s="1062"/>
      <c r="Z182" s="1062"/>
      <c r="AA182" s="1062"/>
      <c r="AB182" s="1062"/>
      <c r="AC182" s="1062"/>
      <c r="AD182" s="1025"/>
      <c r="AE182" s="1025"/>
      <c r="AF182" s="1062"/>
      <c r="AG182" s="1062" t="s">
        <v>536</v>
      </c>
      <c r="AH182" s="1062"/>
      <c r="AI182" s="1069">
        <f t="shared" si="7"/>
        <v>3</v>
      </c>
      <c r="AJ182" s="635"/>
      <c r="AK182" s="266"/>
    </row>
    <row r="183" spans="1:37" s="51" customFormat="1" ht="16.149999999999999" customHeight="1" outlineLevel="1">
      <c r="A183" s="1025">
        <v>74</v>
      </c>
      <c r="B183" s="1025" t="str">
        <f>VLOOKUP(C183,'DS CN MOI UP'!$B$10:$C$347,2,0)</f>
        <v>02461</v>
      </c>
      <c r="C183" s="641" t="s">
        <v>90</v>
      </c>
      <c r="D183" s="1062"/>
      <c r="E183" s="1062"/>
      <c r="F183" s="1062"/>
      <c r="G183" s="1062"/>
      <c r="H183" s="1062"/>
      <c r="I183" s="1062"/>
      <c r="J183" s="1062"/>
      <c r="K183" s="1062"/>
      <c r="L183" s="1062"/>
      <c r="M183" s="1062"/>
      <c r="N183" s="1062"/>
      <c r="O183" s="1062"/>
      <c r="P183" s="1062"/>
      <c r="Q183" s="1062"/>
      <c r="R183" s="1062" t="s">
        <v>536</v>
      </c>
      <c r="S183" s="1062"/>
      <c r="T183" s="1062"/>
      <c r="U183" s="1062"/>
      <c r="V183" s="1062"/>
      <c r="W183" s="1062"/>
      <c r="X183" s="1062" t="s">
        <v>536</v>
      </c>
      <c r="Y183" s="1062"/>
      <c r="Z183" s="1062"/>
      <c r="AA183" s="1062"/>
      <c r="AB183" s="1062"/>
      <c r="AC183" s="1062"/>
      <c r="AD183" s="1025"/>
      <c r="AE183" s="1025"/>
      <c r="AF183" s="1062" t="s">
        <v>536</v>
      </c>
      <c r="AG183" s="1062" t="s">
        <v>536</v>
      </c>
      <c r="AH183" s="1062"/>
      <c r="AI183" s="1069">
        <f t="shared" si="7"/>
        <v>4</v>
      </c>
      <c r="AJ183" s="635"/>
      <c r="AK183" s="266"/>
    </row>
    <row r="184" spans="1:37" s="51" customFormat="1" ht="16.149999999999999" customHeight="1" outlineLevel="1">
      <c r="A184" s="1025">
        <v>75</v>
      </c>
      <c r="B184" s="1025" t="str">
        <f>VLOOKUP(C184,'DS CN MOI UP'!$B$10:$C$347,2,0)</f>
        <v>02680</v>
      </c>
      <c r="C184" s="641" t="s">
        <v>91</v>
      </c>
      <c r="D184" s="1062"/>
      <c r="E184" s="1062"/>
      <c r="F184" s="1062"/>
      <c r="G184" s="1062" t="s">
        <v>536</v>
      </c>
      <c r="H184" s="1062"/>
      <c r="I184" s="1062"/>
      <c r="J184" s="1062"/>
      <c r="K184" s="1062"/>
      <c r="L184" s="1062"/>
      <c r="M184" s="1062"/>
      <c r="N184" s="1062"/>
      <c r="O184" s="1062"/>
      <c r="P184" s="1062"/>
      <c r="Q184" s="1062" t="s">
        <v>536</v>
      </c>
      <c r="R184" s="1062" t="s">
        <v>536</v>
      </c>
      <c r="S184" s="1062" t="s">
        <v>536</v>
      </c>
      <c r="T184" s="1062" t="s">
        <v>536</v>
      </c>
      <c r="U184" s="1062" t="s">
        <v>536</v>
      </c>
      <c r="V184" s="1062"/>
      <c r="W184" s="1062" t="s">
        <v>536</v>
      </c>
      <c r="X184" s="1062" t="s">
        <v>536</v>
      </c>
      <c r="Y184" s="1062"/>
      <c r="Z184" s="1062"/>
      <c r="AA184" s="1062" t="s">
        <v>536</v>
      </c>
      <c r="AB184" s="1062"/>
      <c r="AC184" s="1062"/>
      <c r="AD184" s="1062"/>
      <c r="AE184" s="1025"/>
      <c r="AF184" s="1062" t="s">
        <v>536</v>
      </c>
      <c r="AG184" s="1062" t="s">
        <v>536</v>
      </c>
      <c r="AH184" s="1062"/>
      <c r="AI184" s="1069">
        <f t="shared" si="7"/>
        <v>11</v>
      </c>
      <c r="AJ184" s="635"/>
      <c r="AK184" s="266"/>
    </row>
    <row r="185" spans="1:37" s="51" customFormat="1" ht="16.149999999999999" customHeight="1" outlineLevel="1">
      <c r="A185" s="1025">
        <v>76</v>
      </c>
      <c r="B185" s="1025" t="str">
        <f>VLOOKUP(C185,'DS CN MOI UP'!$B$10:$C$347,2,0)</f>
        <v>02501</v>
      </c>
      <c r="C185" s="641" t="s">
        <v>92</v>
      </c>
      <c r="D185" s="1062"/>
      <c r="E185" s="1062"/>
      <c r="F185" s="1062" t="s">
        <v>536</v>
      </c>
      <c r="G185" s="1062" t="s">
        <v>536</v>
      </c>
      <c r="H185" s="1062"/>
      <c r="I185" s="1062"/>
      <c r="J185" s="1062"/>
      <c r="K185" s="1062"/>
      <c r="L185" s="1062"/>
      <c r="M185" s="1062"/>
      <c r="N185" s="1062"/>
      <c r="O185" s="1062"/>
      <c r="P185" s="1062"/>
      <c r="Q185" s="1062" t="s">
        <v>536</v>
      </c>
      <c r="R185" s="1062" t="s">
        <v>536</v>
      </c>
      <c r="S185" s="1062" t="s">
        <v>536</v>
      </c>
      <c r="T185" s="1062" t="s">
        <v>536</v>
      </c>
      <c r="U185" s="1062" t="s">
        <v>536</v>
      </c>
      <c r="V185" s="1062"/>
      <c r="W185" s="1062" t="s">
        <v>536</v>
      </c>
      <c r="X185" s="1062"/>
      <c r="Y185" s="1062"/>
      <c r="Z185" s="1062"/>
      <c r="AA185" s="1062"/>
      <c r="AB185" s="1062"/>
      <c r="AC185" s="1062"/>
      <c r="AD185" s="1025"/>
      <c r="AE185" s="1025"/>
      <c r="AF185" s="1062" t="s">
        <v>536</v>
      </c>
      <c r="AG185" s="1062" t="s">
        <v>536</v>
      </c>
      <c r="AH185" s="1062"/>
      <c r="AI185" s="1069">
        <f t="shared" si="7"/>
        <v>10</v>
      </c>
      <c r="AJ185" s="635"/>
      <c r="AK185" s="266"/>
    </row>
    <row r="186" spans="1:37" s="51" customFormat="1" ht="16.149999999999999" customHeight="1" outlineLevel="1">
      <c r="A186" s="1025">
        <v>77</v>
      </c>
      <c r="B186" s="1025" t="str">
        <f>VLOOKUP(C186,'DS CN MOI UP'!$B$10:$C$347,2,0)</f>
        <v>02503</v>
      </c>
      <c r="C186" s="641" t="s">
        <v>93</v>
      </c>
      <c r="D186" s="1062"/>
      <c r="E186" s="1062"/>
      <c r="F186" s="1062" t="s">
        <v>536</v>
      </c>
      <c r="G186" s="1062" t="s">
        <v>536</v>
      </c>
      <c r="H186" s="1062"/>
      <c r="I186" s="1062"/>
      <c r="J186" s="1062"/>
      <c r="K186" s="1062"/>
      <c r="L186" s="1062"/>
      <c r="M186" s="1062"/>
      <c r="N186" s="1062"/>
      <c r="O186" s="1062"/>
      <c r="P186" s="1062"/>
      <c r="Q186" s="1062" t="s">
        <v>536</v>
      </c>
      <c r="R186" s="1062" t="s">
        <v>536</v>
      </c>
      <c r="S186" s="1062" t="s">
        <v>536</v>
      </c>
      <c r="T186" s="1062"/>
      <c r="U186" s="1062" t="s">
        <v>536</v>
      </c>
      <c r="V186" s="1062"/>
      <c r="W186" s="1062" t="s">
        <v>536</v>
      </c>
      <c r="X186" s="1062" t="s">
        <v>536</v>
      </c>
      <c r="Y186" s="1062"/>
      <c r="Z186" s="1062"/>
      <c r="AA186" s="1062"/>
      <c r="AB186" s="1062"/>
      <c r="AC186" s="1062"/>
      <c r="AD186" s="1025"/>
      <c r="AE186" s="1025"/>
      <c r="AF186" s="1062"/>
      <c r="AG186" s="1062" t="s">
        <v>536</v>
      </c>
      <c r="AH186" s="1062"/>
      <c r="AI186" s="1069">
        <f t="shared" si="7"/>
        <v>9</v>
      </c>
      <c r="AJ186" s="635"/>
      <c r="AK186" s="266"/>
    </row>
    <row r="187" spans="1:37" s="51" customFormat="1" ht="16.149999999999999" customHeight="1" outlineLevel="1">
      <c r="A187" s="1025">
        <v>78</v>
      </c>
      <c r="B187" s="1025" t="str">
        <f>VLOOKUP(C187,'DS CN MOI UP'!$B$10:$C$347,2,0)</f>
        <v>02468</v>
      </c>
      <c r="C187" s="641" t="s">
        <v>94</v>
      </c>
      <c r="D187" s="1062"/>
      <c r="E187" s="1062"/>
      <c r="F187" s="1062" t="s">
        <v>536</v>
      </c>
      <c r="G187" s="1062" t="s">
        <v>536</v>
      </c>
      <c r="H187" s="1062"/>
      <c r="I187" s="1062"/>
      <c r="J187" s="1062"/>
      <c r="K187" s="1062"/>
      <c r="L187" s="1062"/>
      <c r="M187" s="1062"/>
      <c r="N187" s="1062"/>
      <c r="O187" s="1062"/>
      <c r="P187" s="1062"/>
      <c r="Q187" s="1062" t="s">
        <v>536</v>
      </c>
      <c r="R187" s="1062" t="s">
        <v>536</v>
      </c>
      <c r="S187" s="1062"/>
      <c r="T187" s="1062"/>
      <c r="U187" s="1062" t="s">
        <v>536</v>
      </c>
      <c r="V187" s="1062"/>
      <c r="W187" s="1062" t="s">
        <v>536</v>
      </c>
      <c r="X187" s="1062" t="s">
        <v>536</v>
      </c>
      <c r="Y187" s="1062"/>
      <c r="Z187" s="1062"/>
      <c r="AA187" s="1062"/>
      <c r="AB187" s="1062"/>
      <c r="AC187" s="1062"/>
      <c r="AD187" s="1062"/>
      <c r="AE187" s="1025"/>
      <c r="AF187" s="1062"/>
      <c r="AG187" s="1062" t="s">
        <v>536</v>
      </c>
      <c r="AH187" s="1062"/>
      <c r="AI187" s="1069">
        <f t="shared" si="7"/>
        <v>8</v>
      </c>
      <c r="AJ187" s="635"/>
      <c r="AK187" s="266"/>
    </row>
    <row r="188" spans="1:37" s="51" customFormat="1" ht="16.149999999999999" customHeight="1" outlineLevel="1">
      <c r="A188" s="1025">
        <v>79</v>
      </c>
      <c r="B188" s="1025" t="str">
        <f>VLOOKUP(C188,'DS CN MOI UP'!$B$10:$C$347,2,0)</f>
        <v>03339</v>
      </c>
      <c r="C188" s="641" t="s">
        <v>95</v>
      </c>
      <c r="D188" s="1062"/>
      <c r="E188" s="1062"/>
      <c r="F188" s="1062" t="s">
        <v>536</v>
      </c>
      <c r="G188" s="1062" t="s">
        <v>536</v>
      </c>
      <c r="H188" s="1062"/>
      <c r="I188" s="1062"/>
      <c r="J188" s="1062"/>
      <c r="K188" s="1062"/>
      <c r="L188" s="1062"/>
      <c r="M188" s="1062"/>
      <c r="N188" s="1062"/>
      <c r="O188" s="1062"/>
      <c r="P188" s="1062"/>
      <c r="Q188" s="1062" t="s">
        <v>536</v>
      </c>
      <c r="R188" s="1062" t="s">
        <v>536</v>
      </c>
      <c r="S188" s="1062"/>
      <c r="T188" s="1062" t="s">
        <v>536</v>
      </c>
      <c r="U188" s="1062" t="s">
        <v>536</v>
      </c>
      <c r="V188" s="1062"/>
      <c r="W188" s="1062" t="s">
        <v>536</v>
      </c>
      <c r="X188" s="1062" t="s">
        <v>536</v>
      </c>
      <c r="Y188" s="1062"/>
      <c r="Z188" s="1062"/>
      <c r="AA188" s="1062"/>
      <c r="AB188" s="1062"/>
      <c r="AC188" s="1062"/>
      <c r="AD188" s="1025"/>
      <c r="AE188" s="1062"/>
      <c r="AF188" s="1062"/>
      <c r="AG188" s="1062" t="s">
        <v>536</v>
      </c>
      <c r="AH188" s="1062"/>
      <c r="AI188" s="1069">
        <f t="shared" si="7"/>
        <v>9</v>
      </c>
      <c r="AJ188" s="635"/>
      <c r="AK188" s="266"/>
    </row>
    <row r="189" spans="1:37" s="51" customFormat="1" ht="16.149999999999999" customHeight="1" outlineLevel="1">
      <c r="A189" s="1025">
        <v>80</v>
      </c>
      <c r="B189" s="1025" t="str">
        <f>VLOOKUP(C189,'DS CN MOI UP'!$B$10:$C$347,2,0)</f>
        <v>02494</v>
      </c>
      <c r="C189" s="641" t="s">
        <v>96</v>
      </c>
      <c r="D189" s="1062"/>
      <c r="E189" s="1062"/>
      <c r="F189" s="1062"/>
      <c r="G189" s="1062" t="s">
        <v>536</v>
      </c>
      <c r="H189" s="1062"/>
      <c r="I189" s="1062"/>
      <c r="J189" s="1062"/>
      <c r="K189" s="1062"/>
      <c r="L189" s="1062"/>
      <c r="M189" s="1062"/>
      <c r="N189" s="1062"/>
      <c r="O189" s="1062"/>
      <c r="P189" s="1062"/>
      <c r="Q189" s="1062" t="s">
        <v>536</v>
      </c>
      <c r="R189" s="1062" t="s">
        <v>536</v>
      </c>
      <c r="S189" s="1062" t="s">
        <v>536</v>
      </c>
      <c r="T189" s="1062"/>
      <c r="U189" s="1062" t="s">
        <v>536</v>
      </c>
      <c r="V189" s="1062"/>
      <c r="W189" s="1062" t="s">
        <v>536</v>
      </c>
      <c r="X189" s="1062" t="s">
        <v>536</v>
      </c>
      <c r="Y189" s="1062"/>
      <c r="Z189" s="1062"/>
      <c r="AA189" s="1062"/>
      <c r="AB189" s="1062"/>
      <c r="AC189" s="1062"/>
      <c r="AD189" s="1062"/>
      <c r="AE189" s="1062"/>
      <c r="AF189" s="1062"/>
      <c r="AG189" s="1062" t="s">
        <v>536</v>
      </c>
      <c r="AH189" s="1062"/>
      <c r="AI189" s="1069">
        <f t="shared" si="7"/>
        <v>8</v>
      </c>
      <c r="AJ189" s="635"/>
      <c r="AK189" s="266"/>
    </row>
    <row r="190" spans="1:37" s="51" customFormat="1" ht="16.149999999999999" customHeight="1" outlineLevel="1">
      <c r="A190" s="1025">
        <v>81</v>
      </c>
      <c r="B190" s="1025" t="str">
        <f>VLOOKUP(C190,'DS CN MOI UP'!$B$10:$C$347,2,0)</f>
        <v>02476</v>
      </c>
      <c r="C190" s="641" t="s">
        <v>97</v>
      </c>
      <c r="D190" s="1062"/>
      <c r="E190" s="1062"/>
      <c r="F190" s="1062"/>
      <c r="G190" s="1062" t="s">
        <v>536</v>
      </c>
      <c r="H190" s="1062"/>
      <c r="I190" s="1062"/>
      <c r="J190" s="1062"/>
      <c r="K190" s="1062"/>
      <c r="L190" s="1062"/>
      <c r="M190" s="1062"/>
      <c r="N190" s="1062"/>
      <c r="O190" s="1062"/>
      <c r="P190" s="1062"/>
      <c r="Q190" s="1062" t="s">
        <v>536</v>
      </c>
      <c r="R190" s="1062" t="s">
        <v>536</v>
      </c>
      <c r="S190" s="1062" t="s">
        <v>536</v>
      </c>
      <c r="T190" s="1062"/>
      <c r="U190" s="1062" t="s">
        <v>536</v>
      </c>
      <c r="V190" s="1062"/>
      <c r="W190" s="1062" t="s">
        <v>536</v>
      </c>
      <c r="X190" s="1062" t="s">
        <v>536</v>
      </c>
      <c r="Y190" s="1062"/>
      <c r="Z190" s="1062"/>
      <c r="AA190" s="1062"/>
      <c r="AB190" s="1062"/>
      <c r="AC190" s="1062"/>
      <c r="AD190" s="1062"/>
      <c r="AE190" s="1062"/>
      <c r="AF190" s="1062"/>
      <c r="AG190" s="1062" t="s">
        <v>536</v>
      </c>
      <c r="AH190" s="1062"/>
      <c r="AI190" s="1069">
        <f t="shared" si="7"/>
        <v>8</v>
      </c>
      <c r="AJ190" s="635"/>
      <c r="AK190" s="266"/>
    </row>
    <row r="191" spans="1:37" s="51" customFormat="1" ht="16.149999999999999" customHeight="1" outlineLevel="1">
      <c r="A191" s="1025">
        <v>82</v>
      </c>
      <c r="B191" s="1025" t="str">
        <f>VLOOKUP(C191,'DS CN MOI UP'!$B$10:$C$347,2,0)</f>
        <v>02496</v>
      </c>
      <c r="C191" s="641" t="s">
        <v>98</v>
      </c>
      <c r="D191" s="1062"/>
      <c r="E191" s="1062"/>
      <c r="F191" s="1062"/>
      <c r="G191" s="1062"/>
      <c r="H191" s="1062"/>
      <c r="I191" s="1062"/>
      <c r="J191" s="1062"/>
      <c r="K191" s="1062"/>
      <c r="L191" s="1062"/>
      <c r="M191" s="1062"/>
      <c r="N191" s="1062"/>
      <c r="O191" s="1062"/>
      <c r="P191" s="1062"/>
      <c r="Q191" s="1062" t="s">
        <v>536</v>
      </c>
      <c r="R191" s="1062" t="s">
        <v>536</v>
      </c>
      <c r="S191" s="1062"/>
      <c r="T191" s="1062"/>
      <c r="U191" s="1062" t="s">
        <v>536</v>
      </c>
      <c r="V191" s="1062"/>
      <c r="W191" s="1062" t="s">
        <v>536</v>
      </c>
      <c r="X191" s="1062" t="s">
        <v>536</v>
      </c>
      <c r="Y191" s="1062"/>
      <c r="Z191" s="1062"/>
      <c r="AA191" s="1062"/>
      <c r="AB191" s="1062"/>
      <c r="AC191" s="1062"/>
      <c r="AD191" s="1025"/>
      <c r="AE191" s="1025"/>
      <c r="AF191" s="1062"/>
      <c r="AG191" s="1062" t="s">
        <v>536</v>
      </c>
      <c r="AH191" s="1062"/>
      <c r="AI191" s="1069">
        <f t="shared" si="7"/>
        <v>6</v>
      </c>
      <c r="AJ191" s="635"/>
      <c r="AK191" s="266"/>
    </row>
    <row r="192" spans="1:37" s="51" customFormat="1" ht="16.149999999999999" customHeight="1" outlineLevel="1">
      <c r="A192" s="1025">
        <v>83</v>
      </c>
      <c r="B192" s="1025" t="e">
        <f>VLOOKUP(C192,'DS CN MOI UP'!$B$10:$C$347,2,0)</f>
        <v>#N/A</v>
      </c>
      <c r="C192" s="641" t="s">
        <v>99</v>
      </c>
      <c r="D192" s="1062"/>
      <c r="E192" s="1062" t="s">
        <v>536</v>
      </c>
      <c r="F192" s="1062" t="s">
        <v>536</v>
      </c>
      <c r="G192" s="1062"/>
      <c r="H192" s="1062"/>
      <c r="I192" s="1062"/>
      <c r="J192" s="1062"/>
      <c r="K192" s="1062"/>
      <c r="L192" s="1062"/>
      <c r="M192" s="1062"/>
      <c r="N192" s="1062"/>
      <c r="O192" s="1062"/>
      <c r="P192" s="1062"/>
      <c r="Q192" s="1062" t="s">
        <v>536</v>
      </c>
      <c r="R192" s="1062" t="s">
        <v>536</v>
      </c>
      <c r="S192" s="1062" t="s">
        <v>536</v>
      </c>
      <c r="T192" s="1062"/>
      <c r="U192" s="1062" t="s">
        <v>536</v>
      </c>
      <c r="V192" s="1062"/>
      <c r="W192" s="1062" t="s">
        <v>536</v>
      </c>
      <c r="X192" s="1062"/>
      <c r="Y192" s="1062"/>
      <c r="Z192" s="1062"/>
      <c r="AA192" s="1062"/>
      <c r="AB192" s="1062"/>
      <c r="AC192" s="1062"/>
      <c r="AD192" s="1025"/>
      <c r="AE192" s="1025"/>
      <c r="AF192" s="1062" t="s">
        <v>536</v>
      </c>
      <c r="AG192" s="1062"/>
      <c r="AH192" s="1062"/>
      <c r="AI192" s="1069">
        <f t="shared" si="7"/>
        <v>8</v>
      </c>
      <c r="AJ192" s="635"/>
      <c r="AK192" s="266"/>
    </row>
    <row r="193" spans="1:39" s="51" customFormat="1" ht="16.149999999999999" customHeight="1" outlineLevel="1">
      <c r="A193" s="1025">
        <v>84</v>
      </c>
      <c r="B193" s="1025" t="str">
        <f>VLOOKUP(C193,'DS CN MOI UP'!$B$10:$C$347,2,0)</f>
        <v>02514</v>
      </c>
      <c r="C193" s="641" t="s">
        <v>100</v>
      </c>
      <c r="D193" s="1062"/>
      <c r="E193" s="1062" t="s">
        <v>536</v>
      </c>
      <c r="F193" s="1062" t="s">
        <v>536</v>
      </c>
      <c r="G193" s="1062"/>
      <c r="H193" s="1062"/>
      <c r="I193" s="1062"/>
      <c r="J193" s="1062"/>
      <c r="K193" s="1062"/>
      <c r="L193" s="1062"/>
      <c r="M193" s="1062"/>
      <c r="N193" s="1062"/>
      <c r="O193" s="1062"/>
      <c r="P193" s="1062"/>
      <c r="Q193" s="1062" t="s">
        <v>536</v>
      </c>
      <c r="R193" s="1062" t="s">
        <v>536</v>
      </c>
      <c r="S193" s="1062" t="s">
        <v>536</v>
      </c>
      <c r="T193" s="1062"/>
      <c r="U193" s="1062" t="s">
        <v>536</v>
      </c>
      <c r="V193" s="1062"/>
      <c r="W193" s="1062" t="s">
        <v>536</v>
      </c>
      <c r="X193" s="1062" t="s">
        <v>536</v>
      </c>
      <c r="Y193" s="1062"/>
      <c r="Z193" s="1062"/>
      <c r="AA193" s="1062"/>
      <c r="AB193" s="1062"/>
      <c r="AC193" s="1062"/>
      <c r="AD193" s="1062"/>
      <c r="AE193" s="1062"/>
      <c r="AF193" s="1062" t="s">
        <v>536</v>
      </c>
      <c r="AG193" s="1062"/>
      <c r="AH193" s="1062"/>
      <c r="AI193" s="1069">
        <f t="shared" si="7"/>
        <v>9</v>
      </c>
      <c r="AJ193" s="635"/>
      <c r="AK193" s="266"/>
    </row>
    <row r="194" spans="1:39" s="51" customFormat="1" ht="16.149999999999999" customHeight="1" outlineLevel="1">
      <c r="A194" s="1025">
        <v>85</v>
      </c>
      <c r="B194" s="1025" t="str">
        <f>VLOOKUP(C194,'DS CN MOI UP'!$B$10:$C$347,2,0)</f>
        <v>03340</v>
      </c>
      <c r="C194" s="641" t="s">
        <v>101</v>
      </c>
      <c r="D194" s="1062"/>
      <c r="E194" s="1062"/>
      <c r="F194" s="1062"/>
      <c r="G194" s="1062"/>
      <c r="H194" s="1062"/>
      <c r="I194" s="1062"/>
      <c r="J194" s="1062"/>
      <c r="K194" s="1062"/>
      <c r="L194" s="1062"/>
      <c r="M194" s="1062"/>
      <c r="N194" s="1062"/>
      <c r="O194" s="1062"/>
      <c r="P194" s="1062"/>
      <c r="Q194" s="1062" t="s">
        <v>536</v>
      </c>
      <c r="R194" s="1062" t="s">
        <v>536</v>
      </c>
      <c r="S194" s="1062"/>
      <c r="T194" s="1062"/>
      <c r="U194" s="1062" t="s">
        <v>536</v>
      </c>
      <c r="V194" s="1062"/>
      <c r="W194" s="1062" t="s">
        <v>536</v>
      </c>
      <c r="X194" s="1062" t="s">
        <v>536</v>
      </c>
      <c r="Y194" s="1062"/>
      <c r="Z194" s="1062"/>
      <c r="AA194" s="1062"/>
      <c r="AB194" s="1062"/>
      <c r="AC194" s="1062"/>
      <c r="AD194" s="1025"/>
      <c r="AE194" s="1025"/>
      <c r="AF194" s="1062" t="s">
        <v>536</v>
      </c>
      <c r="AG194" s="1062" t="s">
        <v>536</v>
      </c>
      <c r="AH194" s="1062"/>
      <c r="AI194" s="1069">
        <f t="shared" si="7"/>
        <v>7</v>
      </c>
      <c r="AJ194" s="635"/>
      <c r="AK194" s="266"/>
    </row>
    <row r="195" spans="1:39" s="51" customFormat="1" ht="16.149999999999999" customHeight="1" outlineLevel="1">
      <c r="A195" s="1025">
        <v>86</v>
      </c>
      <c r="B195" s="1025" t="str">
        <f>VLOOKUP(C195,'DS CN MOI UP'!$B$10:$C$347,2,0)</f>
        <v>02497</v>
      </c>
      <c r="C195" s="641" t="s">
        <v>102</v>
      </c>
      <c r="D195" s="1062"/>
      <c r="E195" s="1062"/>
      <c r="F195" s="1062"/>
      <c r="G195" s="1062" t="s">
        <v>536</v>
      </c>
      <c r="H195" s="1062"/>
      <c r="I195" s="1062"/>
      <c r="J195" s="1062"/>
      <c r="K195" s="1062"/>
      <c r="L195" s="1062"/>
      <c r="M195" s="1062"/>
      <c r="N195" s="1062"/>
      <c r="O195" s="1062"/>
      <c r="P195" s="1062"/>
      <c r="Q195" s="1062" t="s">
        <v>536</v>
      </c>
      <c r="R195" s="1062" t="s">
        <v>536</v>
      </c>
      <c r="S195" s="1062"/>
      <c r="T195" s="1062"/>
      <c r="U195" s="1062" t="s">
        <v>536</v>
      </c>
      <c r="V195" s="1062" t="s">
        <v>536</v>
      </c>
      <c r="W195" s="1062" t="s">
        <v>536</v>
      </c>
      <c r="X195" s="1062"/>
      <c r="Y195" s="1062"/>
      <c r="Z195" s="1062"/>
      <c r="AA195" s="1062" t="s">
        <v>536</v>
      </c>
      <c r="AB195" s="1062"/>
      <c r="AC195" s="1062"/>
      <c r="AD195" s="1025"/>
      <c r="AE195" s="1062"/>
      <c r="AF195" s="1062" t="s">
        <v>536</v>
      </c>
      <c r="AG195" s="1062" t="s">
        <v>536</v>
      </c>
      <c r="AH195" s="1062"/>
      <c r="AI195" s="1069">
        <f t="shared" si="7"/>
        <v>9</v>
      </c>
      <c r="AJ195" s="635"/>
      <c r="AK195" s="266"/>
    </row>
    <row r="196" spans="1:39" s="51" customFormat="1" ht="16.5" customHeight="1" outlineLevel="1">
      <c r="A196" s="1025">
        <v>87</v>
      </c>
      <c r="B196" s="1025" t="str">
        <f>VLOOKUP(C196,'DS CN MOI UP'!$B$10:$C$347,2,0)</f>
        <v>03341</v>
      </c>
      <c r="C196" s="641" t="s">
        <v>487</v>
      </c>
      <c r="D196" s="1062"/>
      <c r="E196" s="1062"/>
      <c r="F196" s="1062"/>
      <c r="G196" s="1062"/>
      <c r="H196" s="1062"/>
      <c r="I196" s="1062"/>
      <c r="J196" s="1062"/>
      <c r="K196" s="1062"/>
      <c r="L196" s="1062"/>
      <c r="M196" s="1062"/>
      <c r="N196" s="1062"/>
      <c r="O196" s="1062"/>
      <c r="P196" s="1062"/>
      <c r="Q196" s="1062" t="s">
        <v>536</v>
      </c>
      <c r="R196" s="1062" t="s">
        <v>536</v>
      </c>
      <c r="S196" s="1062"/>
      <c r="T196" s="1062"/>
      <c r="U196" s="1062" t="s">
        <v>536</v>
      </c>
      <c r="V196" s="1062" t="s">
        <v>536</v>
      </c>
      <c r="W196" s="1062" t="s">
        <v>536</v>
      </c>
      <c r="X196" s="1062" t="s">
        <v>536</v>
      </c>
      <c r="Y196" s="1062"/>
      <c r="Z196" s="1062"/>
      <c r="AA196" s="1062"/>
      <c r="AB196" s="1062"/>
      <c r="AC196" s="1062"/>
      <c r="AD196" s="1025"/>
      <c r="AE196" s="1025"/>
      <c r="AF196" s="1062" t="s">
        <v>536</v>
      </c>
      <c r="AG196" s="1062" t="s">
        <v>536</v>
      </c>
      <c r="AH196" s="1062"/>
      <c r="AI196" s="1069">
        <f t="shared" si="7"/>
        <v>8</v>
      </c>
      <c r="AJ196" s="635"/>
      <c r="AK196" s="266"/>
    </row>
    <row r="197" spans="1:39" s="51" customFormat="1" ht="16.5" customHeight="1" outlineLevel="1">
      <c r="A197" s="1025">
        <v>88</v>
      </c>
      <c r="B197" s="1025" t="str">
        <f>VLOOKUP(C197,'DS CN MOI UP'!$B$10:$C$347,2,0)</f>
        <v>02511</v>
      </c>
      <c r="C197" s="641" t="s">
        <v>488</v>
      </c>
      <c r="D197" s="1062"/>
      <c r="E197" s="1062"/>
      <c r="F197" s="1062"/>
      <c r="G197" s="1062" t="s">
        <v>536</v>
      </c>
      <c r="H197" s="1062"/>
      <c r="I197" s="1062"/>
      <c r="J197" s="1062"/>
      <c r="K197" s="1062"/>
      <c r="L197" s="1062"/>
      <c r="M197" s="1062"/>
      <c r="N197" s="1062"/>
      <c r="O197" s="1062"/>
      <c r="P197" s="1062"/>
      <c r="Q197" s="1062" t="s">
        <v>536</v>
      </c>
      <c r="R197" s="1062" t="s">
        <v>536</v>
      </c>
      <c r="S197" s="1062"/>
      <c r="T197" s="1062"/>
      <c r="U197" s="1062" t="s">
        <v>536</v>
      </c>
      <c r="V197" s="1062" t="s">
        <v>536</v>
      </c>
      <c r="W197" s="1062" t="s">
        <v>536</v>
      </c>
      <c r="X197" s="1062" t="s">
        <v>536</v>
      </c>
      <c r="Y197" s="1062"/>
      <c r="Z197" s="1062"/>
      <c r="AA197" s="1062"/>
      <c r="AB197" s="1062"/>
      <c r="AC197" s="1062"/>
      <c r="AD197" s="1062"/>
      <c r="AE197" s="1062"/>
      <c r="AF197" s="1062" t="s">
        <v>536</v>
      </c>
      <c r="AG197" s="1062" t="s">
        <v>536</v>
      </c>
      <c r="AH197" s="1062"/>
      <c r="AI197" s="1069">
        <f t="shared" si="7"/>
        <v>9</v>
      </c>
      <c r="AJ197" s="635"/>
      <c r="AK197" s="266"/>
    </row>
    <row r="198" spans="1:39" s="51" customFormat="1" ht="16.5" customHeight="1" outlineLevel="1">
      <c r="A198" s="1025">
        <v>89</v>
      </c>
      <c r="B198" s="1025" t="str">
        <f>VLOOKUP(C198,'DS CN MOI UP'!$B$10:$C$347,2,0)</f>
        <v>03342</v>
      </c>
      <c r="C198" s="641" t="s">
        <v>489</v>
      </c>
      <c r="D198" s="1062"/>
      <c r="E198" s="1062" t="s">
        <v>536</v>
      </c>
      <c r="F198" s="1062"/>
      <c r="G198" s="1062"/>
      <c r="H198" s="1062"/>
      <c r="I198" s="1062"/>
      <c r="J198" s="1062"/>
      <c r="K198" s="1062"/>
      <c r="L198" s="1062"/>
      <c r="M198" s="1062"/>
      <c r="N198" s="1062"/>
      <c r="O198" s="1062"/>
      <c r="P198" s="1062"/>
      <c r="Q198" s="1062" t="s">
        <v>536</v>
      </c>
      <c r="R198" s="1062" t="s">
        <v>536</v>
      </c>
      <c r="S198" s="1062"/>
      <c r="T198" s="1062"/>
      <c r="U198" s="1062" t="s">
        <v>536</v>
      </c>
      <c r="V198" s="1062" t="s">
        <v>536</v>
      </c>
      <c r="W198" s="1062" t="s">
        <v>536</v>
      </c>
      <c r="X198" s="1062"/>
      <c r="Y198" s="1062"/>
      <c r="Z198" s="1062"/>
      <c r="AA198" s="1062"/>
      <c r="AB198" s="1062"/>
      <c r="AC198" s="1062"/>
      <c r="AD198" s="1025"/>
      <c r="AE198" s="1025"/>
      <c r="AF198" s="1062" t="s">
        <v>536</v>
      </c>
      <c r="AG198" s="1062" t="s">
        <v>536</v>
      </c>
      <c r="AH198" s="1062"/>
      <c r="AI198" s="1069">
        <f t="shared" si="7"/>
        <v>8</v>
      </c>
      <c r="AJ198" s="635"/>
      <c r="AK198" s="266"/>
    </row>
    <row r="199" spans="1:39" s="51" customFormat="1" ht="16.5" customHeight="1" outlineLevel="1">
      <c r="A199" s="1025">
        <v>90</v>
      </c>
      <c r="B199" s="1025" t="str">
        <f>VLOOKUP(C199,'DS CN MOI UP'!$B$10:$C$347,2,0)</f>
        <v>02484</v>
      </c>
      <c r="C199" s="641" t="s">
        <v>490</v>
      </c>
      <c r="D199" s="1062"/>
      <c r="E199" s="1062" t="s">
        <v>536</v>
      </c>
      <c r="F199" s="1062"/>
      <c r="G199" s="1062"/>
      <c r="H199" s="1062"/>
      <c r="I199" s="1062"/>
      <c r="J199" s="1062"/>
      <c r="K199" s="1062"/>
      <c r="L199" s="1062"/>
      <c r="M199" s="1062"/>
      <c r="N199" s="1062"/>
      <c r="O199" s="1062"/>
      <c r="P199" s="1062"/>
      <c r="Q199" s="1062" t="s">
        <v>536</v>
      </c>
      <c r="R199" s="1062" t="s">
        <v>536</v>
      </c>
      <c r="S199" s="1062"/>
      <c r="T199" s="1062"/>
      <c r="U199" s="1062" t="s">
        <v>536</v>
      </c>
      <c r="V199" s="1062" t="s">
        <v>536</v>
      </c>
      <c r="W199" s="1062" t="s">
        <v>536</v>
      </c>
      <c r="X199" s="1062" t="s">
        <v>536</v>
      </c>
      <c r="Y199" s="1062"/>
      <c r="Z199" s="1062"/>
      <c r="AA199" s="1062"/>
      <c r="AB199" s="1062"/>
      <c r="AC199" s="1062"/>
      <c r="AD199" s="1062"/>
      <c r="AE199" s="1062"/>
      <c r="AF199" s="1062" t="s">
        <v>536</v>
      </c>
      <c r="AG199" s="1062" t="s">
        <v>536</v>
      </c>
      <c r="AH199" s="1062"/>
      <c r="AI199" s="1069">
        <f t="shared" si="7"/>
        <v>9</v>
      </c>
      <c r="AJ199" s="635"/>
      <c r="AK199" s="266"/>
    </row>
    <row r="200" spans="1:39" s="51" customFormat="1" ht="16.5" customHeight="1" outlineLevel="1">
      <c r="A200" s="1025">
        <v>91</v>
      </c>
      <c r="B200" s="1025" t="str">
        <f>VLOOKUP(C200,'DS CN MOI UP'!$B$10:$C$347,2,0)</f>
        <v>02509</v>
      </c>
      <c r="C200" s="641" t="s">
        <v>491</v>
      </c>
      <c r="D200" s="1062"/>
      <c r="E200" s="1062"/>
      <c r="F200" s="1062"/>
      <c r="G200" s="1062"/>
      <c r="H200" s="1062"/>
      <c r="I200" s="1062"/>
      <c r="J200" s="1062"/>
      <c r="K200" s="1062"/>
      <c r="L200" s="1062"/>
      <c r="M200" s="1062"/>
      <c r="N200" s="1062"/>
      <c r="O200" s="1062"/>
      <c r="P200" s="1062"/>
      <c r="Q200" s="1062"/>
      <c r="R200" s="1062" t="s">
        <v>536</v>
      </c>
      <c r="S200" s="1062"/>
      <c r="T200" s="1062"/>
      <c r="U200" s="1062" t="s">
        <v>536</v>
      </c>
      <c r="V200" s="1062" t="s">
        <v>536</v>
      </c>
      <c r="W200" s="1062" t="s">
        <v>536</v>
      </c>
      <c r="X200" s="1062" t="s">
        <v>536</v>
      </c>
      <c r="Y200" s="1062"/>
      <c r="Z200" s="1062"/>
      <c r="AA200" s="1062"/>
      <c r="AB200" s="1062"/>
      <c r="AC200" s="1062"/>
      <c r="AD200" s="1062"/>
      <c r="AE200" s="1062"/>
      <c r="AF200" s="1062" t="s">
        <v>536</v>
      </c>
      <c r="AG200" s="1062" t="s">
        <v>536</v>
      </c>
      <c r="AH200" s="1062"/>
      <c r="AI200" s="1069">
        <f t="shared" si="7"/>
        <v>7</v>
      </c>
      <c r="AJ200" s="635"/>
      <c r="AK200" s="266"/>
    </row>
    <row r="201" spans="1:39" s="51" customFormat="1" ht="16.5" customHeight="1" outlineLevel="1">
      <c r="A201" s="1025">
        <v>92</v>
      </c>
      <c r="B201" s="1025" t="str">
        <f>VLOOKUP(C201,'DS CN MOI UP'!$B$10:$C$347,2,0)</f>
        <v>02458</v>
      </c>
      <c r="C201" s="641" t="s">
        <v>492</v>
      </c>
      <c r="D201" s="1062"/>
      <c r="E201" s="1062" t="s">
        <v>536</v>
      </c>
      <c r="F201" s="1062"/>
      <c r="G201" s="1062"/>
      <c r="H201" s="1062"/>
      <c r="I201" s="1062"/>
      <c r="J201" s="1062"/>
      <c r="K201" s="1062"/>
      <c r="L201" s="1062"/>
      <c r="M201" s="1062"/>
      <c r="N201" s="1062"/>
      <c r="O201" s="1062"/>
      <c r="P201" s="1062"/>
      <c r="Q201" s="1062"/>
      <c r="R201" s="1062" t="s">
        <v>536</v>
      </c>
      <c r="S201" s="1062"/>
      <c r="T201" s="1062"/>
      <c r="U201" s="1062" t="s">
        <v>536</v>
      </c>
      <c r="V201" s="1062"/>
      <c r="W201" s="1062"/>
      <c r="X201" s="1062" t="s">
        <v>536</v>
      </c>
      <c r="Y201" s="1062"/>
      <c r="Z201" s="1062"/>
      <c r="AA201" s="1062"/>
      <c r="AB201" s="1062"/>
      <c r="AC201" s="1062"/>
      <c r="AD201" s="1062"/>
      <c r="AE201" s="1062"/>
      <c r="AF201" s="1062" t="s">
        <v>536</v>
      </c>
      <c r="AG201" s="1062" t="s">
        <v>536</v>
      </c>
      <c r="AH201" s="1062"/>
      <c r="AI201" s="1069">
        <f t="shared" si="7"/>
        <v>6</v>
      </c>
      <c r="AJ201" s="635"/>
      <c r="AK201" s="266"/>
    </row>
    <row r="202" spans="1:39" s="51" customFormat="1" ht="16.5" customHeight="1" outlineLevel="1">
      <c r="A202" s="1025">
        <v>93</v>
      </c>
      <c r="B202" s="1025" t="str">
        <f>VLOOKUP(C202,'DS CN MOI UP'!$B$10:$C$347,2,0)</f>
        <v>02480</v>
      </c>
      <c r="C202" s="641" t="s">
        <v>493</v>
      </c>
      <c r="D202" s="1062"/>
      <c r="E202" s="1062" t="s">
        <v>536</v>
      </c>
      <c r="F202" s="1062"/>
      <c r="G202" s="1062"/>
      <c r="H202" s="1062"/>
      <c r="I202" s="1062"/>
      <c r="J202" s="1062"/>
      <c r="K202" s="1062"/>
      <c r="L202" s="1062"/>
      <c r="M202" s="1062"/>
      <c r="N202" s="1062"/>
      <c r="O202" s="1062"/>
      <c r="P202" s="1062"/>
      <c r="Q202" s="1062"/>
      <c r="R202" s="1062" t="s">
        <v>536</v>
      </c>
      <c r="S202" s="1062"/>
      <c r="T202" s="1062"/>
      <c r="U202" s="1062" t="s">
        <v>536</v>
      </c>
      <c r="V202" s="1062"/>
      <c r="W202" s="1062"/>
      <c r="X202" s="1062" t="s">
        <v>536</v>
      </c>
      <c r="Y202" s="1062"/>
      <c r="Z202" s="1062"/>
      <c r="AA202" s="1062"/>
      <c r="AB202" s="1062"/>
      <c r="AC202" s="1062"/>
      <c r="AD202" s="1062"/>
      <c r="AE202" s="1062"/>
      <c r="AF202" s="1062" t="s">
        <v>536</v>
      </c>
      <c r="AG202" s="1062" t="s">
        <v>536</v>
      </c>
      <c r="AH202" s="1062"/>
      <c r="AI202" s="1069">
        <f t="shared" si="7"/>
        <v>6</v>
      </c>
      <c r="AJ202" s="635"/>
      <c r="AK202" s="266"/>
    </row>
    <row r="203" spans="1:39" s="51" customFormat="1" ht="16.5" customHeight="1" outlineLevel="1">
      <c r="A203" s="1025">
        <v>94</v>
      </c>
      <c r="B203" s="1025" t="e">
        <f>VLOOKUP(C203,'DS CN MOI UP'!$B$10:$C$347,2,0)</f>
        <v>#N/A</v>
      </c>
      <c r="C203" s="641" t="s">
        <v>494</v>
      </c>
      <c r="D203" s="1062"/>
      <c r="E203" s="1062"/>
      <c r="F203" s="1062"/>
      <c r="G203" s="1062"/>
      <c r="H203" s="1062"/>
      <c r="I203" s="1062"/>
      <c r="J203" s="1062"/>
      <c r="K203" s="1062"/>
      <c r="L203" s="1062"/>
      <c r="M203" s="1062"/>
      <c r="N203" s="1062"/>
      <c r="O203" s="1062"/>
      <c r="P203" s="1062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062"/>
      <c r="AC203" s="1062"/>
      <c r="AD203" s="1062"/>
      <c r="AE203" s="1062"/>
      <c r="AF203" s="1062"/>
      <c r="AG203" s="1062"/>
      <c r="AH203" s="1062"/>
      <c r="AI203" s="1069">
        <f t="shared" si="7"/>
        <v>0</v>
      </c>
      <c r="AJ203" s="635"/>
      <c r="AK203" s="266"/>
    </row>
    <row r="204" spans="1:39" s="1022" customFormat="1" ht="16.5" customHeight="1">
      <c r="A204" s="1026" t="s">
        <v>1942</v>
      </c>
      <c r="B204" s="1025" t="e">
        <f>VLOOKUP(C204,'DS CN MOI UP'!$B$10:$C$347,2,0)</f>
        <v>#N/A</v>
      </c>
      <c r="C204" s="1026"/>
      <c r="D204" s="1027">
        <f>COUNTIF(D205:D215,"X")+COUNTIF(D205:D215,"CN")</f>
        <v>0</v>
      </c>
      <c r="E204" s="1027">
        <f t="shared" ref="E204:AH204" si="8">COUNTIF(E205:E215,"X")+COUNTIF(E205:E215,"CN")</f>
        <v>0</v>
      </c>
      <c r="F204" s="1027">
        <f t="shared" si="8"/>
        <v>0</v>
      </c>
      <c r="G204" s="1027">
        <f t="shared" si="8"/>
        <v>0</v>
      </c>
      <c r="H204" s="1027">
        <f t="shared" si="8"/>
        <v>0</v>
      </c>
      <c r="I204" s="1027">
        <f t="shared" si="8"/>
        <v>0</v>
      </c>
      <c r="J204" s="1027">
        <f t="shared" si="8"/>
        <v>0</v>
      </c>
      <c r="K204" s="1027">
        <f t="shared" si="8"/>
        <v>0</v>
      </c>
      <c r="L204" s="1027">
        <f t="shared" si="8"/>
        <v>0</v>
      </c>
      <c r="M204" s="1027">
        <f t="shared" si="8"/>
        <v>0</v>
      </c>
      <c r="N204" s="1027">
        <f t="shared" si="8"/>
        <v>0</v>
      </c>
      <c r="O204" s="1027">
        <f t="shared" si="8"/>
        <v>0</v>
      </c>
      <c r="P204" s="1027">
        <f t="shared" si="8"/>
        <v>0</v>
      </c>
      <c r="Q204" s="1027">
        <f t="shared" si="8"/>
        <v>0</v>
      </c>
      <c r="R204" s="1027">
        <f t="shared" si="8"/>
        <v>0</v>
      </c>
      <c r="S204" s="1027">
        <f t="shared" si="8"/>
        <v>0</v>
      </c>
      <c r="T204" s="1027">
        <f t="shared" si="8"/>
        <v>0</v>
      </c>
      <c r="U204" s="1027">
        <f t="shared" si="8"/>
        <v>0</v>
      </c>
      <c r="V204" s="1027">
        <f t="shared" si="8"/>
        <v>0</v>
      </c>
      <c r="W204" s="1027">
        <f t="shared" si="8"/>
        <v>0</v>
      </c>
      <c r="X204" s="1027">
        <f t="shared" si="8"/>
        <v>0</v>
      </c>
      <c r="Y204" s="1027">
        <f t="shared" si="8"/>
        <v>0</v>
      </c>
      <c r="Z204" s="1027">
        <f t="shared" si="8"/>
        <v>0</v>
      </c>
      <c r="AA204" s="1027">
        <f t="shared" si="8"/>
        <v>0</v>
      </c>
      <c r="AB204" s="1027">
        <f t="shared" si="8"/>
        <v>0</v>
      </c>
      <c r="AC204" s="1027">
        <f t="shared" si="8"/>
        <v>0</v>
      </c>
      <c r="AD204" s="1027">
        <f t="shared" si="8"/>
        <v>0</v>
      </c>
      <c r="AE204" s="1027">
        <f t="shared" si="8"/>
        <v>0</v>
      </c>
      <c r="AF204" s="1027">
        <f t="shared" si="8"/>
        <v>0</v>
      </c>
      <c r="AG204" s="1027">
        <f t="shared" si="8"/>
        <v>0</v>
      </c>
      <c r="AH204" s="1027">
        <f t="shared" si="8"/>
        <v>0</v>
      </c>
      <c r="AI204" s="1036">
        <f>SUM(AI205:AI215)</f>
        <v>0</v>
      </c>
      <c r="AJ204" s="1036"/>
      <c r="AK204" s="1038"/>
      <c r="AL204" s="1038"/>
      <c r="AM204" s="1038"/>
    </row>
    <row r="205" spans="1:39" s="51" customFormat="1" ht="16.5" customHeight="1" outlineLevel="1">
      <c r="A205" s="1025">
        <v>1</v>
      </c>
      <c r="B205" s="1025" t="str">
        <f>VLOOKUP(C205,'DS CN MOI UP'!$B$10:$C$347,2,0)</f>
        <v>03343</v>
      </c>
      <c r="C205" s="641" t="s">
        <v>496</v>
      </c>
      <c r="D205" s="1062"/>
      <c r="E205" s="1062"/>
      <c r="F205" s="1062"/>
      <c r="G205" s="1062"/>
      <c r="H205" s="1062"/>
      <c r="I205" s="1062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62"/>
      <c r="AF205" s="1062"/>
      <c r="AG205" s="1062"/>
      <c r="AH205" s="1062"/>
      <c r="AI205" s="1069">
        <f t="shared" si="7"/>
        <v>0</v>
      </c>
      <c r="AJ205" s="635"/>
    </row>
    <row r="206" spans="1:39" s="51" customFormat="1" ht="16.5" customHeight="1" outlineLevel="1">
      <c r="A206" s="1025">
        <v>2</v>
      </c>
      <c r="B206" s="1025" t="str">
        <f>VLOOKUP(C206,'DS CN MOI UP'!$B$10:$C$347,2,0)</f>
        <v>02444</v>
      </c>
      <c r="C206" s="641" t="s">
        <v>105</v>
      </c>
      <c r="D206" s="1062"/>
      <c r="E206" s="1062"/>
      <c r="F206" s="1062"/>
      <c r="G206" s="1062"/>
      <c r="H206" s="1062"/>
      <c r="I206" s="1062"/>
      <c r="J206" s="1062"/>
      <c r="K206" s="1062"/>
      <c r="L206" s="1062"/>
      <c r="M206" s="1062"/>
      <c r="N206" s="1062"/>
      <c r="O206" s="1062"/>
      <c r="P206" s="1062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062"/>
      <c r="AC206" s="1062"/>
      <c r="AD206" s="1062"/>
      <c r="AE206" s="1062"/>
      <c r="AF206" s="1062"/>
      <c r="AG206" s="1062"/>
      <c r="AH206" s="1062"/>
      <c r="AI206" s="1069">
        <f t="shared" si="7"/>
        <v>0</v>
      </c>
      <c r="AJ206" s="635"/>
    </row>
    <row r="207" spans="1:39" s="51" customFormat="1" ht="16.5" customHeight="1" outlineLevel="1">
      <c r="A207" s="1025">
        <v>3</v>
      </c>
      <c r="B207" s="1025" t="str">
        <f>VLOOKUP(C207,'DS CN MOI UP'!$B$10:$C$347,2,0)</f>
        <v>02447</v>
      </c>
      <c r="C207" s="641" t="s">
        <v>497</v>
      </c>
      <c r="D207" s="1062"/>
      <c r="E207" s="1062"/>
      <c r="F207" s="1062"/>
      <c r="G207" s="1062"/>
      <c r="H207" s="1062"/>
      <c r="I207" s="1062"/>
      <c r="J207" s="1062"/>
      <c r="K207" s="1062"/>
      <c r="L207" s="1062"/>
      <c r="M207" s="1062"/>
      <c r="N207" s="1062"/>
      <c r="O207" s="1062"/>
      <c r="P207" s="1062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062"/>
      <c r="AC207" s="1062"/>
      <c r="AD207" s="1062"/>
      <c r="AE207" s="1062"/>
      <c r="AF207" s="1062"/>
      <c r="AG207" s="1062"/>
      <c r="AH207" s="1062"/>
      <c r="AI207" s="1069">
        <f t="shared" si="7"/>
        <v>0</v>
      </c>
      <c r="AJ207" s="635"/>
    </row>
    <row r="208" spans="1:39" s="51" customFormat="1" ht="16.5" customHeight="1" outlineLevel="1">
      <c r="A208" s="1025">
        <v>4</v>
      </c>
      <c r="B208" s="1025" t="str">
        <f>VLOOKUP(C208,'DS CN MOI UP'!$B$10:$C$347,2,0)</f>
        <v>03344</v>
      </c>
      <c r="C208" s="641" t="s">
        <v>498</v>
      </c>
      <c r="D208" s="1062"/>
      <c r="E208" s="1062"/>
      <c r="F208" s="1062"/>
      <c r="G208" s="1062"/>
      <c r="H208" s="1062"/>
      <c r="I208" s="1062"/>
      <c r="J208" s="1062"/>
      <c r="K208" s="1062"/>
      <c r="L208" s="1062"/>
      <c r="M208" s="1062"/>
      <c r="N208" s="1062"/>
      <c r="O208" s="1062"/>
      <c r="P208" s="1062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062"/>
      <c r="AC208" s="1062"/>
      <c r="AD208" s="1062"/>
      <c r="AE208" s="1062"/>
      <c r="AF208" s="1062"/>
      <c r="AG208" s="1062"/>
      <c r="AH208" s="1062"/>
      <c r="AI208" s="1069">
        <f t="shared" si="7"/>
        <v>0</v>
      </c>
      <c r="AJ208" s="635"/>
    </row>
    <row r="209" spans="1:39" s="51" customFormat="1" ht="16.5" customHeight="1" outlineLevel="1">
      <c r="A209" s="1025">
        <v>5</v>
      </c>
      <c r="B209" s="1025" t="str">
        <f>VLOOKUP(C209,'DS CN MOI UP'!$B$10:$C$347,2,0)</f>
        <v>02449</v>
      </c>
      <c r="C209" s="641" t="s">
        <v>108</v>
      </c>
      <c r="D209" s="1062"/>
      <c r="E209" s="1062"/>
      <c r="F209" s="1062"/>
      <c r="G209" s="1062"/>
      <c r="H209" s="1062"/>
      <c r="I209" s="1062"/>
      <c r="J209" s="1062"/>
      <c r="K209" s="1062"/>
      <c r="L209" s="1062"/>
      <c r="M209" s="1062"/>
      <c r="N209" s="1062"/>
      <c r="O209" s="1062"/>
      <c r="P209" s="1062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062"/>
      <c r="AC209" s="1062"/>
      <c r="AD209" s="1062"/>
      <c r="AE209" s="1062"/>
      <c r="AF209" s="1062"/>
      <c r="AG209" s="1062"/>
      <c r="AH209" s="1062"/>
      <c r="AI209" s="1069">
        <f t="shared" si="7"/>
        <v>0</v>
      </c>
      <c r="AJ209" s="635"/>
    </row>
    <row r="210" spans="1:39" s="51" customFormat="1" ht="16.5" customHeight="1" outlineLevel="1">
      <c r="A210" s="1025">
        <v>6</v>
      </c>
      <c r="B210" s="1025" t="str">
        <f>VLOOKUP(C210,'DS CN MOI UP'!$B$10:$C$347,2,0)</f>
        <v>02445</v>
      </c>
      <c r="C210" s="641" t="s">
        <v>109</v>
      </c>
      <c r="D210" s="1062"/>
      <c r="E210" s="1062"/>
      <c r="F210" s="1062"/>
      <c r="G210" s="1062"/>
      <c r="H210" s="1062"/>
      <c r="I210" s="1062"/>
      <c r="J210" s="1062"/>
      <c r="K210" s="1062"/>
      <c r="L210" s="1062"/>
      <c r="M210" s="1062"/>
      <c r="N210" s="1062"/>
      <c r="O210" s="1062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2"/>
      <c r="AB210" s="1062"/>
      <c r="AC210" s="1062"/>
      <c r="AD210" s="1062"/>
      <c r="AE210" s="1062"/>
      <c r="AF210" s="1062"/>
      <c r="AG210" s="1062"/>
      <c r="AH210" s="1062"/>
      <c r="AI210" s="1069">
        <f t="shared" si="7"/>
        <v>0</v>
      </c>
      <c r="AJ210" s="635"/>
    </row>
    <row r="211" spans="1:39" s="51" customFormat="1" ht="16.5" customHeight="1" outlineLevel="1">
      <c r="A211" s="1025">
        <v>7</v>
      </c>
      <c r="B211" s="1025" t="str">
        <f>VLOOKUP(C211,'DS CN MOI UP'!$B$10:$C$347,2,0)</f>
        <v>02446</v>
      </c>
      <c r="C211" s="641" t="s">
        <v>110</v>
      </c>
      <c r="D211" s="1062"/>
      <c r="E211" s="1062"/>
      <c r="F211" s="1062"/>
      <c r="G211" s="1062"/>
      <c r="H211" s="1062"/>
      <c r="I211" s="1062"/>
      <c r="J211" s="1062"/>
      <c r="K211" s="1062"/>
      <c r="L211" s="1062"/>
      <c r="M211" s="1062"/>
      <c r="N211" s="1062"/>
      <c r="O211" s="1062"/>
      <c r="P211" s="1062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062"/>
      <c r="AC211" s="1062"/>
      <c r="AD211" s="1062"/>
      <c r="AE211" s="1062"/>
      <c r="AF211" s="1062"/>
      <c r="AG211" s="1062"/>
      <c r="AH211" s="1062"/>
      <c r="AI211" s="1069">
        <f t="shared" si="7"/>
        <v>0</v>
      </c>
      <c r="AJ211" s="635"/>
    </row>
    <row r="212" spans="1:39" s="51" customFormat="1" ht="16.5" customHeight="1" outlineLevel="1">
      <c r="A212" s="1025">
        <v>8</v>
      </c>
      <c r="B212" s="1025" t="str">
        <f>VLOOKUP(C212,'DS CN MOI UP'!$B$10:$C$347,2,0)</f>
        <v>03345</v>
      </c>
      <c r="C212" s="641" t="s">
        <v>111</v>
      </c>
      <c r="D212" s="1062"/>
      <c r="E212" s="1062"/>
      <c r="F212" s="1062"/>
      <c r="G212" s="1062"/>
      <c r="H212" s="1062"/>
      <c r="I212" s="1062"/>
      <c r="J212" s="1062"/>
      <c r="K212" s="1062"/>
      <c r="L212" s="1062"/>
      <c r="M212" s="1062"/>
      <c r="N212" s="1062"/>
      <c r="O212" s="1062"/>
      <c r="P212" s="1062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062"/>
      <c r="AC212" s="1062"/>
      <c r="AD212" s="1062"/>
      <c r="AE212" s="1062"/>
      <c r="AF212" s="1062"/>
      <c r="AG212" s="1062"/>
      <c r="AH212" s="1062"/>
      <c r="AI212" s="1069">
        <f t="shared" si="7"/>
        <v>0</v>
      </c>
      <c r="AJ212" s="635"/>
    </row>
    <row r="213" spans="1:39" s="51" customFormat="1" ht="16.5" customHeight="1" outlineLevel="1">
      <c r="A213" s="1025">
        <v>9</v>
      </c>
      <c r="B213" s="1025" t="str">
        <f>VLOOKUP(C213,'DS CN MOI UP'!$B$10:$C$347,2,0)</f>
        <v>03854</v>
      </c>
      <c r="C213" s="641" t="s">
        <v>112</v>
      </c>
      <c r="D213" s="1062"/>
      <c r="E213" s="1062"/>
      <c r="F213" s="1062"/>
      <c r="G213" s="1062"/>
      <c r="H213" s="1062"/>
      <c r="I213" s="1062"/>
      <c r="J213" s="1062"/>
      <c r="K213" s="1062"/>
      <c r="L213" s="1062"/>
      <c r="M213" s="1062"/>
      <c r="N213" s="1062"/>
      <c r="O213" s="1062"/>
      <c r="P213" s="1062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062"/>
      <c r="AC213" s="1062"/>
      <c r="AD213" s="1062"/>
      <c r="AE213" s="1062"/>
      <c r="AF213" s="1062"/>
      <c r="AG213" s="1062"/>
      <c r="AH213" s="1062"/>
      <c r="AI213" s="1069">
        <f t="shared" si="7"/>
        <v>0</v>
      </c>
      <c r="AJ213" s="635"/>
    </row>
    <row r="214" spans="1:39" s="51" customFormat="1" ht="16.5" customHeight="1" outlineLevel="1">
      <c r="A214" s="1025">
        <v>9</v>
      </c>
      <c r="B214" s="1025" t="str">
        <f>VLOOKUP(C214,'DS CN MOI UP'!$B$10:$C$347,2,0)</f>
        <v>03855</v>
      </c>
      <c r="C214" s="641" t="s">
        <v>113</v>
      </c>
      <c r="D214" s="1062"/>
      <c r="E214" s="1062"/>
      <c r="F214" s="1062"/>
      <c r="G214" s="1062"/>
      <c r="H214" s="1062"/>
      <c r="I214" s="1062"/>
      <c r="J214" s="1062"/>
      <c r="K214" s="1062"/>
      <c r="L214" s="1062"/>
      <c r="M214" s="1062"/>
      <c r="N214" s="1062"/>
      <c r="O214" s="1062"/>
      <c r="P214" s="1062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062"/>
      <c r="AC214" s="1062"/>
      <c r="AD214" s="1062"/>
      <c r="AE214" s="1062"/>
      <c r="AF214" s="1062"/>
      <c r="AG214" s="1062"/>
      <c r="AH214" s="1062"/>
      <c r="AI214" s="1069">
        <f t="shared" si="7"/>
        <v>0</v>
      </c>
      <c r="AJ214" s="635"/>
    </row>
    <row r="215" spans="1:39" s="51" customFormat="1" ht="16.5" customHeight="1" outlineLevel="1">
      <c r="A215" s="1025">
        <v>9</v>
      </c>
      <c r="B215" s="1025" t="str">
        <f>VLOOKUP(C215,'DS CN MOI UP'!$B$10:$C$347,2,0)</f>
        <v>03856</v>
      </c>
      <c r="C215" s="641" t="s">
        <v>499</v>
      </c>
      <c r="D215" s="1062"/>
      <c r="E215" s="1062"/>
      <c r="F215" s="1062"/>
      <c r="G215" s="1062"/>
      <c r="H215" s="1062"/>
      <c r="I215" s="1062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062"/>
      <c r="AC215" s="1062"/>
      <c r="AD215" s="1062"/>
      <c r="AE215" s="1062"/>
      <c r="AF215" s="1062"/>
      <c r="AG215" s="1062"/>
      <c r="AH215" s="1062"/>
      <c r="AI215" s="1069">
        <f t="shared" si="7"/>
        <v>0</v>
      </c>
      <c r="AJ215" s="635"/>
    </row>
    <row r="216" spans="1:39" s="1022" customFormat="1" ht="16.5" customHeight="1">
      <c r="A216" s="1026" t="s">
        <v>1371</v>
      </c>
      <c r="B216" s="1025" t="e">
        <f>VLOOKUP(C216,'DS CN MOI UP'!$B$10:$C$347,2,0)</f>
        <v>#N/A</v>
      </c>
      <c r="C216" s="1026"/>
      <c r="D216" s="1027">
        <f>COUNTIF(D217:D223,"X")+COUNTIF(D217:D223,"CN")</f>
        <v>0</v>
      </c>
      <c r="E216" s="1027">
        <f t="shared" ref="E216:AH216" si="9">COUNTIF(E217:E223,"X")+COUNTIF(E217:E223,"CN")</f>
        <v>0</v>
      </c>
      <c r="F216" s="1027">
        <f t="shared" si="9"/>
        <v>0</v>
      </c>
      <c r="G216" s="1027">
        <f t="shared" si="9"/>
        <v>0</v>
      </c>
      <c r="H216" s="1027">
        <f t="shared" si="9"/>
        <v>0</v>
      </c>
      <c r="I216" s="1027">
        <f t="shared" si="9"/>
        <v>0</v>
      </c>
      <c r="J216" s="1027">
        <f t="shared" si="9"/>
        <v>0</v>
      </c>
      <c r="K216" s="1027">
        <f t="shared" si="9"/>
        <v>0</v>
      </c>
      <c r="L216" s="1027">
        <f t="shared" si="9"/>
        <v>0</v>
      </c>
      <c r="M216" s="1027">
        <f t="shared" si="9"/>
        <v>0</v>
      </c>
      <c r="N216" s="1027">
        <f t="shared" si="9"/>
        <v>0</v>
      </c>
      <c r="O216" s="1027">
        <f t="shared" si="9"/>
        <v>0</v>
      </c>
      <c r="P216" s="1027">
        <f t="shared" si="9"/>
        <v>0</v>
      </c>
      <c r="Q216" s="1027">
        <f t="shared" si="9"/>
        <v>0</v>
      </c>
      <c r="R216" s="1027">
        <f t="shared" si="9"/>
        <v>0</v>
      </c>
      <c r="S216" s="1027">
        <f t="shared" si="9"/>
        <v>0</v>
      </c>
      <c r="T216" s="1027">
        <f t="shared" si="9"/>
        <v>0</v>
      </c>
      <c r="U216" s="1027">
        <f t="shared" si="9"/>
        <v>0</v>
      </c>
      <c r="V216" s="1027">
        <f t="shared" si="9"/>
        <v>0</v>
      </c>
      <c r="W216" s="1027">
        <f t="shared" si="9"/>
        <v>0</v>
      </c>
      <c r="X216" s="1027">
        <f t="shared" si="9"/>
        <v>0</v>
      </c>
      <c r="Y216" s="1027">
        <f t="shared" si="9"/>
        <v>0</v>
      </c>
      <c r="Z216" s="1027">
        <f t="shared" si="9"/>
        <v>0</v>
      </c>
      <c r="AA216" s="1027">
        <f t="shared" si="9"/>
        <v>0</v>
      </c>
      <c r="AB216" s="1027">
        <f t="shared" si="9"/>
        <v>0</v>
      </c>
      <c r="AC216" s="1027">
        <f t="shared" si="9"/>
        <v>0</v>
      </c>
      <c r="AD216" s="1027">
        <f t="shared" si="9"/>
        <v>0</v>
      </c>
      <c r="AE216" s="1027">
        <f t="shared" si="9"/>
        <v>0</v>
      </c>
      <c r="AF216" s="1027">
        <f t="shared" si="9"/>
        <v>0</v>
      </c>
      <c r="AG216" s="1027">
        <f t="shared" si="9"/>
        <v>0</v>
      </c>
      <c r="AH216" s="1027">
        <f t="shared" si="9"/>
        <v>0</v>
      </c>
      <c r="AI216" s="1036">
        <f>SUM(AI217:AI223)</f>
        <v>0</v>
      </c>
      <c r="AJ216" s="1036"/>
      <c r="AK216" s="1038"/>
      <c r="AL216" s="1038"/>
      <c r="AM216" s="1038"/>
    </row>
    <row r="217" spans="1:39" s="51" customFormat="1" ht="16.5" customHeight="1" outlineLevel="1">
      <c r="A217" s="1025">
        <v>1</v>
      </c>
      <c r="B217" s="1025" t="str">
        <f>VLOOKUP(C217,'DS CN MOI UP'!$B$10:$C$347,2,0)</f>
        <v>03346</v>
      </c>
      <c r="C217" s="641" t="s">
        <v>500</v>
      </c>
      <c r="D217" s="1062"/>
      <c r="E217" s="1062"/>
      <c r="F217" s="1062"/>
      <c r="G217" s="1062"/>
      <c r="H217" s="1062"/>
      <c r="I217" s="1062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062"/>
      <c r="AC217" s="1062"/>
      <c r="AD217" s="1062"/>
      <c r="AE217" s="1062"/>
      <c r="AF217" s="1062"/>
      <c r="AG217" s="1062"/>
      <c r="AH217" s="1062"/>
      <c r="AI217" s="1069">
        <f t="shared" si="7"/>
        <v>0</v>
      </c>
      <c r="AJ217" s="635"/>
    </row>
    <row r="218" spans="1:39" s="51" customFormat="1" ht="16.5" customHeight="1" outlineLevel="1">
      <c r="A218" s="1025">
        <v>2</v>
      </c>
      <c r="B218" s="1025" t="e">
        <f>VLOOKUP(C218,'DS CN MOI UP'!$B$10:$C$347,2,0)</f>
        <v>#N/A</v>
      </c>
      <c r="C218" s="641" t="s">
        <v>501</v>
      </c>
      <c r="D218" s="1062"/>
      <c r="E218" s="1062"/>
      <c r="F218" s="1062"/>
      <c r="G218" s="1062"/>
      <c r="H218" s="1062"/>
      <c r="I218" s="1062"/>
      <c r="J218" s="1062"/>
      <c r="K218" s="1062"/>
      <c r="L218" s="1062"/>
      <c r="M218" s="1062"/>
      <c r="N218" s="1062"/>
      <c r="O218" s="1062"/>
      <c r="P218" s="1062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/>
      <c r="AA218" s="1062"/>
      <c r="AB218" s="1062"/>
      <c r="AC218" s="1062"/>
      <c r="AD218" s="1062"/>
      <c r="AE218" s="1062"/>
      <c r="AF218" s="1062"/>
      <c r="AG218" s="1062"/>
      <c r="AH218" s="1062"/>
      <c r="AI218" s="1069">
        <f t="shared" si="7"/>
        <v>0</v>
      </c>
      <c r="AJ218" s="635"/>
    </row>
    <row r="219" spans="1:39" s="51" customFormat="1" ht="16.5" customHeight="1" outlineLevel="1">
      <c r="A219" s="1025">
        <v>3</v>
      </c>
      <c r="B219" s="1025" t="str">
        <f>VLOOKUP(C219,'DS CN MOI UP'!$B$10:$C$347,2,0)</f>
        <v>02477</v>
      </c>
      <c r="C219" s="641" t="s">
        <v>119</v>
      </c>
      <c r="D219" s="1062"/>
      <c r="E219" s="1062"/>
      <c r="F219" s="1062"/>
      <c r="G219" s="1062"/>
      <c r="H219" s="1062"/>
      <c r="I219" s="1062"/>
      <c r="J219" s="1062"/>
      <c r="K219" s="1062"/>
      <c r="L219" s="1062"/>
      <c r="M219" s="1062"/>
      <c r="N219" s="1062"/>
      <c r="O219" s="1062"/>
      <c r="P219" s="1062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/>
      <c r="AA219" s="1062"/>
      <c r="AB219" s="1062"/>
      <c r="AC219" s="1062"/>
      <c r="AD219" s="1062"/>
      <c r="AE219" s="1062"/>
      <c r="AF219" s="1062"/>
      <c r="AG219" s="1062"/>
      <c r="AH219" s="1062"/>
      <c r="AI219" s="1069">
        <f t="shared" si="7"/>
        <v>0</v>
      </c>
      <c r="AJ219" s="635"/>
    </row>
    <row r="220" spans="1:39" s="51" customFormat="1" ht="16.5" customHeight="1" outlineLevel="1">
      <c r="A220" s="1025">
        <v>4</v>
      </c>
      <c r="B220" s="1025" t="str">
        <f>VLOOKUP(C220,'DS CN MOI UP'!$B$10:$C$347,2,0)</f>
        <v>02495</v>
      </c>
      <c r="C220" s="641" t="s">
        <v>120</v>
      </c>
      <c r="D220" s="1062"/>
      <c r="E220" s="1062"/>
      <c r="F220" s="1062"/>
      <c r="G220" s="1062"/>
      <c r="H220" s="1062"/>
      <c r="I220" s="1062"/>
      <c r="J220" s="1062"/>
      <c r="K220" s="1062"/>
      <c r="L220" s="1062"/>
      <c r="M220" s="1062"/>
      <c r="N220" s="1062"/>
      <c r="O220" s="1062"/>
      <c r="P220" s="1062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/>
      <c r="AA220" s="1062"/>
      <c r="AB220" s="1062"/>
      <c r="AC220" s="1062"/>
      <c r="AD220" s="1062"/>
      <c r="AE220" s="1062"/>
      <c r="AF220" s="1062"/>
      <c r="AG220" s="1062"/>
      <c r="AH220" s="1062"/>
      <c r="AI220" s="1069">
        <f t="shared" si="7"/>
        <v>0</v>
      </c>
      <c r="AJ220" s="635"/>
    </row>
    <row r="221" spans="1:39" s="51" customFormat="1" ht="16.5" customHeight="1" outlineLevel="1">
      <c r="A221" s="1025">
        <v>5</v>
      </c>
      <c r="B221" s="1025" t="str">
        <f>VLOOKUP(C221,'DS CN MOI UP'!$B$10:$C$347,2,0)</f>
        <v>02505</v>
      </c>
      <c r="C221" s="641" t="s">
        <v>117</v>
      </c>
      <c r="D221" s="1062"/>
      <c r="E221" s="1062"/>
      <c r="F221" s="1062"/>
      <c r="G221" s="1062"/>
      <c r="H221" s="1062"/>
      <c r="I221" s="1062"/>
      <c r="J221" s="1062"/>
      <c r="K221" s="1062"/>
      <c r="L221" s="1062"/>
      <c r="M221" s="1062"/>
      <c r="N221" s="1062"/>
      <c r="O221" s="1062"/>
      <c r="P221" s="1062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/>
      <c r="AA221" s="1062"/>
      <c r="AB221" s="1062"/>
      <c r="AC221" s="1062"/>
      <c r="AD221" s="1062"/>
      <c r="AE221" s="1062"/>
      <c r="AF221" s="1062"/>
      <c r="AG221" s="1062"/>
      <c r="AH221" s="1062"/>
      <c r="AI221" s="1069">
        <f t="shared" si="7"/>
        <v>0</v>
      </c>
      <c r="AJ221" s="635"/>
    </row>
    <row r="222" spans="1:39" s="51" customFormat="1" ht="16.5" customHeight="1" outlineLevel="1">
      <c r="A222" s="1025">
        <v>6</v>
      </c>
      <c r="B222" s="1025" t="str">
        <f>VLOOKUP(C222,'DS CN MOI UP'!$B$10:$C$347,2,0)</f>
        <v>02516</v>
      </c>
      <c r="C222" s="641" t="s">
        <v>122</v>
      </c>
      <c r="D222" s="1062"/>
      <c r="E222" s="1062"/>
      <c r="F222" s="1062"/>
      <c r="G222" s="1062"/>
      <c r="H222" s="1062"/>
      <c r="I222" s="1062"/>
      <c r="J222" s="1062"/>
      <c r="K222" s="1062"/>
      <c r="L222" s="1062"/>
      <c r="M222" s="1062"/>
      <c r="N222" s="1062"/>
      <c r="O222" s="1062"/>
      <c r="P222" s="1062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/>
      <c r="AA222" s="1062"/>
      <c r="AB222" s="1062"/>
      <c r="AC222" s="1062"/>
      <c r="AD222" s="1062"/>
      <c r="AE222" s="1062"/>
      <c r="AF222" s="1062"/>
      <c r="AG222" s="1062"/>
      <c r="AH222" s="1062"/>
      <c r="AI222" s="1069">
        <f t="shared" si="7"/>
        <v>0</v>
      </c>
      <c r="AJ222" s="635"/>
    </row>
    <row r="223" spans="1:39" s="51" customFormat="1" ht="16.5" customHeight="1" outlineLevel="1">
      <c r="A223" s="1025">
        <v>7</v>
      </c>
      <c r="B223" s="1025" t="str">
        <f>VLOOKUP(C223,'DS CN MOI UP'!$B$10:$C$347,2,0)</f>
        <v>03347</v>
      </c>
      <c r="C223" s="641" t="s">
        <v>121</v>
      </c>
      <c r="D223" s="1062"/>
      <c r="E223" s="1062"/>
      <c r="F223" s="1062"/>
      <c r="G223" s="1062"/>
      <c r="H223" s="1062"/>
      <c r="I223" s="1062"/>
      <c r="J223" s="1062"/>
      <c r="K223" s="1062"/>
      <c r="L223" s="1062"/>
      <c r="M223" s="1062"/>
      <c r="N223" s="1062"/>
      <c r="O223" s="1062"/>
      <c r="P223" s="1062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/>
      <c r="AA223" s="1062"/>
      <c r="AB223" s="1062"/>
      <c r="AC223" s="1062"/>
      <c r="AD223" s="1062"/>
      <c r="AE223" s="1062"/>
      <c r="AF223" s="1062"/>
      <c r="AG223" s="1062"/>
      <c r="AH223" s="1062"/>
      <c r="AI223" s="1069">
        <f t="shared" si="7"/>
        <v>0</v>
      </c>
      <c r="AJ223" s="635"/>
    </row>
    <row r="224" spans="1:39" s="1022" customFormat="1" ht="16.5" customHeight="1">
      <c r="A224" s="1026" t="s">
        <v>123</v>
      </c>
      <c r="B224" s="1025" t="e">
        <f>VLOOKUP(C224,'DS CN MOI UP'!$B$10:$C$347,2,0)</f>
        <v>#N/A</v>
      </c>
      <c r="C224" s="1026"/>
      <c r="D224" s="1039">
        <f>COUNTIF(D225:D308,"X")+COUNTIF(D225:D308,"CN")</f>
        <v>0</v>
      </c>
      <c r="E224" s="1039">
        <f t="shared" ref="E224:AH224" si="10">COUNTIF(E225:E308,"X")+COUNTIF(E225:E308,"CN")</f>
        <v>0</v>
      </c>
      <c r="F224" s="1039">
        <f t="shared" si="10"/>
        <v>0</v>
      </c>
      <c r="G224" s="1039">
        <f t="shared" si="10"/>
        <v>0</v>
      </c>
      <c r="H224" s="1039">
        <f t="shared" si="10"/>
        <v>0</v>
      </c>
      <c r="I224" s="1039">
        <f t="shared" si="10"/>
        <v>0</v>
      </c>
      <c r="J224" s="1039">
        <f t="shared" si="10"/>
        <v>0</v>
      </c>
      <c r="K224" s="1039">
        <f t="shared" si="10"/>
        <v>0</v>
      </c>
      <c r="L224" s="1039">
        <f t="shared" si="10"/>
        <v>0</v>
      </c>
      <c r="M224" s="1039">
        <f t="shared" si="10"/>
        <v>0</v>
      </c>
      <c r="N224" s="1039">
        <f t="shared" si="10"/>
        <v>0</v>
      </c>
      <c r="O224" s="1039">
        <f t="shared" si="10"/>
        <v>0</v>
      </c>
      <c r="P224" s="1039">
        <f t="shared" si="10"/>
        <v>0</v>
      </c>
      <c r="Q224" s="1039">
        <f t="shared" si="10"/>
        <v>0</v>
      </c>
      <c r="R224" s="1039">
        <f t="shared" si="10"/>
        <v>0</v>
      </c>
      <c r="S224" s="1039">
        <f t="shared" si="10"/>
        <v>0</v>
      </c>
      <c r="T224" s="1039">
        <f t="shared" si="10"/>
        <v>0</v>
      </c>
      <c r="U224" s="1039">
        <f t="shared" si="10"/>
        <v>0</v>
      </c>
      <c r="V224" s="1039">
        <f t="shared" si="10"/>
        <v>0</v>
      </c>
      <c r="W224" s="1039">
        <f t="shared" si="10"/>
        <v>0</v>
      </c>
      <c r="X224" s="1039">
        <f t="shared" si="10"/>
        <v>0</v>
      </c>
      <c r="Y224" s="1039">
        <f t="shared" si="10"/>
        <v>0</v>
      </c>
      <c r="Z224" s="1039">
        <f t="shared" si="10"/>
        <v>0</v>
      </c>
      <c r="AA224" s="1039">
        <f t="shared" si="10"/>
        <v>0</v>
      </c>
      <c r="AB224" s="1039">
        <f t="shared" si="10"/>
        <v>0</v>
      </c>
      <c r="AC224" s="1039">
        <f t="shared" si="10"/>
        <v>0</v>
      </c>
      <c r="AD224" s="1039">
        <f t="shared" si="10"/>
        <v>0</v>
      </c>
      <c r="AE224" s="1039">
        <f t="shared" si="10"/>
        <v>0</v>
      </c>
      <c r="AF224" s="1039">
        <f t="shared" si="10"/>
        <v>0</v>
      </c>
      <c r="AG224" s="1039">
        <f t="shared" si="10"/>
        <v>0</v>
      </c>
      <c r="AH224" s="1039">
        <f t="shared" si="10"/>
        <v>0</v>
      </c>
      <c r="AI224" s="1036">
        <f>SUM(AI225:AI308)</f>
        <v>0</v>
      </c>
      <c r="AJ224" s="1036"/>
      <c r="AK224" s="1038"/>
    </row>
    <row r="225" spans="1:37" s="51" customFormat="1" ht="16.5" customHeight="1" outlineLevel="1">
      <c r="A225" s="1025">
        <v>1</v>
      </c>
      <c r="B225" s="1025" t="str">
        <f>VLOOKUP(C225,'DS CN MOI UP'!$B$10:$C$347,2,0)</f>
        <v>03348</v>
      </c>
      <c r="C225" s="1028" t="s">
        <v>124</v>
      </c>
      <c r="D225" s="1062"/>
      <c r="E225" s="1062"/>
      <c r="F225" s="1062"/>
      <c r="G225" s="1062"/>
      <c r="H225" s="1062"/>
      <c r="I225" s="1062"/>
      <c r="J225" s="1062"/>
      <c r="K225" s="1062"/>
      <c r="L225" s="1062"/>
      <c r="M225" s="1062"/>
      <c r="N225" s="1062"/>
      <c r="O225" s="1062"/>
      <c r="P225" s="1062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/>
      <c r="AA225" s="1062"/>
      <c r="AB225" s="1062"/>
      <c r="AC225" s="1062"/>
      <c r="AD225" s="1062"/>
      <c r="AE225" s="1062"/>
      <c r="AF225" s="1062"/>
      <c r="AG225" s="1062"/>
      <c r="AH225" s="1062"/>
      <c r="AI225" s="1069">
        <f t="shared" ref="AI225:AI288" si="11">COUNTIF(D225:AH225,"X")</f>
        <v>0</v>
      </c>
      <c r="AJ225" s="635"/>
      <c r="AK225" s="266"/>
    </row>
    <row r="226" spans="1:37" s="51" customFormat="1" ht="16.5" customHeight="1" outlineLevel="1">
      <c r="A226" s="1025">
        <v>2</v>
      </c>
      <c r="B226" s="1025" t="str">
        <f>VLOOKUP(C226,'DS CN MOI UP'!$B$10:$C$347,2,0)</f>
        <v>03349</v>
      </c>
      <c r="C226" s="1028" t="s">
        <v>125</v>
      </c>
      <c r="D226" s="1062"/>
      <c r="E226" s="1062"/>
      <c r="F226" s="1062"/>
      <c r="G226" s="1062"/>
      <c r="H226" s="1062"/>
      <c r="I226" s="1062"/>
      <c r="J226" s="1062"/>
      <c r="K226" s="1062"/>
      <c r="L226" s="1062"/>
      <c r="M226" s="1062"/>
      <c r="N226" s="1062"/>
      <c r="O226" s="1062"/>
      <c r="P226" s="1062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/>
      <c r="AA226" s="1062"/>
      <c r="AB226" s="1062"/>
      <c r="AC226" s="1062"/>
      <c r="AD226" s="1062"/>
      <c r="AE226" s="1062"/>
      <c r="AF226" s="1062"/>
      <c r="AG226" s="1062"/>
      <c r="AH226" s="1062"/>
      <c r="AI226" s="1069">
        <f t="shared" si="11"/>
        <v>0</v>
      </c>
      <c r="AJ226" s="635"/>
      <c r="AK226" s="266"/>
    </row>
    <row r="227" spans="1:37" s="51" customFormat="1" ht="16.5" customHeight="1" outlineLevel="1">
      <c r="A227" s="1025">
        <v>3</v>
      </c>
      <c r="B227" s="1025" t="str">
        <f>VLOOKUP(C227,'DS CN MOI UP'!$B$10:$C$347,2,0)</f>
        <v>02545</v>
      </c>
      <c r="C227" s="1028" t="s">
        <v>126</v>
      </c>
      <c r="D227" s="1062"/>
      <c r="E227" s="1062"/>
      <c r="F227" s="1062"/>
      <c r="G227" s="1062"/>
      <c r="H227" s="1062"/>
      <c r="I227" s="1062"/>
      <c r="J227" s="1062"/>
      <c r="K227" s="1062"/>
      <c r="L227" s="1062"/>
      <c r="M227" s="1062"/>
      <c r="N227" s="1062"/>
      <c r="O227" s="1062"/>
      <c r="P227" s="1062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/>
      <c r="AA227" s="1062"/>
      <c r="AB227" s="1062"/>
      <c r="AC227" s="1062"/>
      <c r="AD227" s="1062"/>
      <c r="AE227" s="1062"/>
      <c r="AF227" s="1062"/>
      <c r="AG227" s="1062"/>
      <c r="AH227" s="1062"/>
      <c r="AI227" s="1069">
        <f t="shared" si="11"/>
        <v>0</v>
      </c>
      <c r="AJ227" s="635"/>
      <c r="AK227" s="266"/>
    </row>
    <row r="228" spans="1:37" s="51" customFormat="1" ht="16.5" customHeight="1" outlineLevel="1">
      <c r="A228" s="1025">
        <v>4</v>
      </c>
      <c r="B228" s="1025" t="str">
        <f>VLOOKUP(C228,'DS CN MOI UP'!$B$10:$C$347,2,0)</f>
        <v>02693</v>
      </c>
      <c r="C228" s="1028" t="s">
        <v>127</v>
      </c>
      <c r="D228" s="1062"/>
      <c r="E228" s="1062"/>
      <c r="F228" s="1062"/>
      <c r="G228" s="1062"/>
      <c r="H228" s="1062"/>
      <c r="I228" s="1062"/>
      <c r="J228" s="1062"/>
      <c r="K228" s="1062"/>
      <c r="L228" s="1062"/>
      <c r="M228" s="1062"/>
      <c r="N228" s="1062"/>
      <c r="O228" s="1062"/>
      <c r="P228" s="1062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/>
      <c r="AA228" s="1062"/>
      <c r="AB228" s="1062"/>
      <c r="AC228" s="1062"/>
      <c r="AD228" s="1062"/>
      <c r="AE228" s="1062"/>
      <c r="AF228" s="1062"/>
      <c r="AG228" s="1062"/>
      <c r="AH228" s="1062"/>
      <c r="AI228" s="1069">
        <f t="shared" si="11"/>
        <v>0</v>
      </c>
      <c r="AJ228" s="635"/>
      <c r="AK228" s="266"/>
    </row>
    <row r="229" spans="1:37" s="51" customFormat="1" ht="16.5" customHeight="1" outlineLevel="1">
      <c r="A229" s="1025">
        <v>5</v>
      </c>
      <c r="B229" s="1025" t="str">
        <f>VLOOKUP(C229,'DS CN MOI UP'!$B$10:$C$347,2,0)</f>
        <v>03350</v>
      </c>
      <c r="C229" s="1028" t="s">
        <v>128</v>
      </c>
      <c r="D229" s="1062"/>
      <c r="E229" s="1062"/>
      <c r="F229" s="1062"/>
      <c r="G229" s="1062"/>
      <c r="H229" s="1062"/>
      <c r="I229" s="1062"/>
      <c r="J229" s="1062"/>
      <c r="K229" s="1062"/>
      <c r="L229" s="1062"/>
      <c r="M229" s="1062"/>
      <c r="N229" s="1062"/>
      <c r="O229" s="1062"/>
      <c r="P229" s="1062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/>
      <c r="AA229" s="1062"/>
      <c r="AB229" s="1062"/>
      <c r="AC229" s="1062"/>
      <c r="AD229" s="1062"/>
      <c r="AE229" s="1062"/>
      <c r="AF229" s="1062"/>
      <c r="AG229" s="1062"/>
      <c r="AH229" s="1062"/>
      <c r="AI229" s="1069">
        <f t="shared" si="11"/>
        <v>0</v>
      </c>
      <c r="AJ229" s="635"/>
      <c r="AK229" s="266"/>
    </row>
    <row r="230" spans="1:37" s="51" customFormat="1" ht="16.5" customHeight="1" outlineLevel="1">
      <c r="A230" s="1025">
        <v>6</v>
      </c>
      <c r="B230" s="1025" t="str">
        <f>VLOOKUP(C230,'DS CN MOI UP'!$B$10:$C$347,2,0)</f>
        <v>02526</v>
      </c>
      <c r="C230" s="1028" t="s">
        <v>129</v>
      </c>
      <c r="D230" s="1062"/>
      <c r="E230" s="1062"/>
      <c r="F230" s="1062"/>
      <c r="G230" s="1062"/>
      <c r="H230" s="1062"/>
      <c r="I230" s="1062"/>
      <c r="J230" s="1062"/>
      <c r="K230" s="1062"/>
      <c r="L230" s="1062"/>
      <c r="M230" s="1062"/>
      <c r="N230" s="1062"/>
      <c r="O230" s="1062"/>
      <c r="P230" s="1062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/>
      <c r="AA230" s="1062"/>
      <c r="AB230" s="1062"/>
      <c r="AC230" s="1062"/>
      <c r="AD230" s="1062"/>
      <c r="AE230" s="1062"/>
      <c r="AF230" s="1062"/>
      <c r="AG230" s="1062"/>
      <c r="AH230" s="1062"/>
      <c r="AI230" s="1069">
        <f t="shared" si="11"/>
        <v>0</v>
      </c>
      <c r="AJ230" s="635"/>
      <c r="AK230" s="266"/>
    </row>
    <row r="231" spans="1:37" s="51" customFormat="1" ht="16.5" customHeight="1" outlineLevel="1">
      <c r="A231" s="1025">
        <v>7</v>
      </c>
      <c r="B231" s="1025" t="str">
        <f>VLOOKUP(C231,'DS CN MOI UP'!$B$10:$C$347,2,0)</f>
        <v>03351</v>
      </c>
      <c r="C231" s="1028" t="s">
        <v>130</v>
      </c>
      <c r="D231" s="1062"/>
      <c r="E231" s="1062"/>
      <c r="F231" s="1062"/>
      <c r="G231" s="1062"/>
      <c r="H231" s="1062"/>
      <c r="I231" s="1062"/>
      <c r="J231" s="1062"/>
      <c r="K231" s="1062"/>
      <c r="L231" s="1062"/>
      <c r="M231" s="1062"/>
      <c r="N231" s="1062"/>
      <c r="O231" s="1062"/>
      <c r="P231" s="1062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/>
      <c r="AA231" s="1062"/>
      <c r="AB231" s="1062"/>
      <c r="AC231" s="1062"/>
      <c r="AD231" s="1062"/>
      <c r="AE231" s="1062"/>
      <c r="AF231" s="1062"/>
      <c r="AG231" s="1062"/>
      <c r="AH231" s="1062"/>
      <c r="AI231" s="1069">
        <f t="shared" si="11"/>
        <v>0</v>
      </c>
      <c r="AJ231" s="635"/>
      <c r="AK231" s="266"/>
    </row>
    <row r="232" spans="1:37" s="51" customFormat="1" ht="16.5" customHeight="1" outlineLevel="1">
      <c r="A232" s="1025">
        <v>8</v>
      </c>
      <c r="B232" s="1025" t="str">
        <f>VLOOKUP(C232,'DS CN MOI UP'!$B$10:$C$347,2,0)</f>
        <v>03352</v>
      </c>
      <c r="C232" s="1028" t="s">
        <v>131</v>
      </c>
      <c r="D232" s="1062"/>
      <c r="E232" s="1062"/>
      <c r="F232" s="1062"/>
      <c r="G232" s="1062"/>
      <c r="H232" s="1062"/>
      <c r="I232" s="1062"/>
      <c r="J232" s="1062"/>
      <c r="K232" s="1062"/>
      <c r="L232" s="1062"/>
      <c r="M232" s="1062"/>
      <c r="N232" s="1062"/>
      <c r="O232" s="1062"/>
      <c r="P232" s="1062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/>
      <c r="AA232" s="1062"/>
      <c r="AB232" s="1062"/>
      <c r="AC232" s="1062"/>
      <c r="AD232" s="1025"/>
      <c r="AE232" s="1062"/>
      <c r="AF232" s="1062"/>
      <c r="AG232" s="1062"/>
      <c r="AH232" s="1062"/>
      <c r="AI232" s="1069">
        <f t="shared" si="11"/>
        <v>0</v>
      </c>
      <c r="AJ232" s="635"/>
      <c r="AK232" s="266"/>
    </row>
    <row r="233" spans="1:37" s="51" customFormat="1" ht="16.5" customHeight="1" outlineLevel="1">
      <c r="A233" s="1025">
        <v>9</v>
      </c>
      <c r="B233" s="1025" t="str">
        <f>VLOOKUP(C233,'DS CN MOI UP'!$B$10:$C$347,2,0)</f>
        <v>02567</v>
      </c>
      <c r="C233" s="1028" t="s">
        <v>132</v>
      </c>
      <c r="D233" s="1062"/>
      <c r="E233" s="1062"/>
      <c r="F233" s="1062"/>
      <c r="G233" s="1062"/>
      <c r="H233" s="1062"/>
      <c r="I233" s="1062"/>
      <c r="J233" s="1062"/>
      <c r="K233" s="1062"/>
      <c r="L233" s="1062"/>
      <c r="M233" s="1062"/>
      <c r="N233" s="1062"/>
      <c r="O233" s="1062"/>
      <c r="P233" s="1062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/>
      <c r="AA233" s="1062"/>
      <c r="AB233" s="1062"/>
      <c r="AC233" s="1062"/>
      <c r="AD233" s="1062"/>
      <c r="AE233" s="1062"/>
      <c r="AF233" s="1062"/>
      <c r="AG233" s="1062"/>
      <c r="AH233" s="1062"/>
      <c r="AI233" s="1069">
        <f t="shared" si="11"/>
        <v>0</v>
      </c>
      <c r="AJ233" s="635"/>
      <c r="AK233" s="266"/>
    </row>
    <row r="234" spans="1:37" s="51" customFormat="1" ht="16.5" customHeight="1" outlineLevel="1">
      <c r="A234" s="1025">
        <v>10</v>
      </c>
      <c r="B234" s="1025" t="str">
        <f>VLOOKUP(C234,'DS CN MOI UP'!$B$10:$C$347,2,0)</f>
        <v>02564</v>
      </c>
      <c r="C234" s="1028" t="s">
        <v>133</v>
      </c>
      <c r="D234" s="1062"/>
      <c r="E234" s="1062"/>
      <c r="F234" s="1062"/>
      <c r="G234" s="1062"/>
      <c r="H234" s="1062"/>
      <c r="I234" s="1062"/>
      <c r="J234" s="1062"/>
      <c r="K234" s="1062"/>
      <c r="L234" s="1062"/>
      <c r="M234" s="1062"/>
      <c r="N234" s="1062"/>
      <c r="O234" s="1062"/>
      <c r="P234" s="1062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/>
      <c r="AA234" s="1062"/>
      <c r="AB234" s="1062"/>
      <c r="AC234" s="1062"/>
      <c r="AD234" s="1062"/>
      <c r="AE234" s="1062"/>
      <c r="AF234" s="1062"/>
      <c r="AG234" s="1062"/>
      <c r="AH234" s="1062"/>
      <c r="AI234" s="1069">
        <f t="shared" si="11"/>
        <v>0</v>
      </c>
      <c r="AJ234" s="635"/>
      <c r="AK234" s="266"/>
    </row>
    <row r="235" spans="1:37" s="51" customFormat="1" ht="16.5" customHeight="1" outlineLevel="1">
      <c r="A235" s="1025">
        <v>11</v>
      </c>
      <c r="B235" s="1025" t="str">
        <f>VLOOKUP(C235,'DS CN MOI UP'!$B$10:$C$347,2,0)</f>
        <v>03353</v>
      </c>
      <c r="C235" s="1028" t="s">
        <v>134</v>
      </c>
      <c r="D235" s="1062"/>
      <c r="E235" s="1062"/>
      <c r="F235" s="1062"/>
      <c r="G235" s="1062"/>
      <c r="H235" s="1062"/>
      <c r="I235" s="1062"/>
      <c r="J235" s="1062"/>
      <c r="K235" s="1062"/>
      <c r="L235" s="1062"/>
      <c r="M235" s="1062"/>
      <c r="N235" s="1062"/>
      <c r="O235" s="1062"/>
      <c r="P235" s="1062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/>
      <c r="AA235" s="1062"/>
      <c r="AB235" s="1062"/>
      <c r="AC235" s="1062"/>
      <c r="AD235" s="1062"/>
      <c r="AE235" s="1062"/>
      <c r="AF235" s="1062"/>
      <c r="AG235" s="1062"/>
      <c r="AH235" s="1062"/>
      <c r="AI235" s="1069">
        <f t="shared" si="11"/>
        <v>0</v>
      </c>
      <c r="AJ235" s="635"/>
      <c r="AK235" s="266"/>
    </row>
    <row r="236" spans="1:37" s="51" customFormat="1" ht="16.5" customHeight="1" outlineLevel="1">
      <c r="A236" s="1025">
        <v>12</v>
      </c>
      <c r="B236" s="1025" t="str">
        <f>VLOOKUP(C236,'DS CN MOI UP'!$B$10:$C$347,2,0)</f>
        <v>02518</v>
      </c>
      <c r="C236" s="1028" t="s">
        <v>135</v>
      </c>
      <c r="D236" s="1062"/>
      <c r="E236" s="1062"/>
      <c r="F236" s="1062"/>
      <c r="G236" s="1062"/>
      <c r="H236" s="1062"/>
      <c r="I236" s="1062"/>
      <c r="J236" s="1062"/>
      <c r="K236" s="1062"/>
      <c r="L236" s="1062"/>
      <c r="M236" s="1062"/>
      <c r="N236" s="1062"/>
      <c r="O236" s="1062"/>
      <c r="P236" s="1062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/>
      <c r="AA236" s="1062"/>
      <c r="AB236" s="1062"/>
      <c r="AC236" s="1062"/>
      <c r="AD236" s="1062"/>
      <c r="AE236" s="1062"/>
      <c r="AF236" s="1062"/>
      <c r="AG236" s="1062"/>
      <c r="AH236" s="1062"/>
      <c r="AI236" s="1069">
        <f t="shared" si="11"/>
        <v>0</v>
      </c>
      <c r="AJ236" s="635"/>
      <c r="AK236" s="266"/>
    </row>
    <row r="237" spans="1:37" s="51" customFormat="1" ht="16.5" customHeight="1" outlineLevel="1">
      <c r="A237" s="1025">
        <v>13</v>
      </c>
      <c r="B237" s="1025" t="str">
        <f>VLOOKUP(C237,'DS CN MOI UP'!$B$10:$C$347,2,0)</f>
        <v>03355</v>
      </c>
      <c r="C237" s="1028" t="s">
        <v>136</v>
      </c>
      <c r="D237" s="1062"/>
      <c r="E237" s="1062"/>
      <c r="F237" s="1062"/>
      <c r="G237" s="1062"/>
      <c r="H237" s="1062"/>
      <c r="I237" s="1062"/>
      <c r="J237" s="1062"/>
      <c r="K237" s="1062"/>
      <c r="L237" s="1062"/>
      <c r="M237" s="1062"/>
      <c r="N237" s="1062"/>
      <c r="O237" s="1062"/>
      <c r="P237" s="1062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/>
      <c r="AA237" s="1062"/>
      <c r="AB237" s="1062"/>
      <c r="AC237" s="1062"/>
      <c r="AD237" s="1025"/>
      <c r="AE237" s="1062"/>
      <c r="AF237" s="1062"/>
      <c r="AG237" s="1062"/>
      <c r="AH237" s="1062"/>
      <c r="AI237" s="1069">
        <f t="shared" si="11"/>
        <v>0</v>
      </c>
      <c r="AJ237" s="635"/>
      <c r="AK237" s="266"/>
    </row>
    <row r="238" spans="1:37" s="51" customFormat="1" ht="16.5" customHeight="1" outlineLevel="1">
      <c r="A238" s="1025">
        <v>14</v>
      </c>
      <c r="B238" s="1025" t="str">
        <f>VLOOKUP(C238,'DS CN MOI UP'!$B$10:$C$347,2,0)</f>
        <v>02521</v>
      </c>
      <c r="C238" s="1028" t="s">
        <v>137</v>
      </c>
      <c r="D238" s="1062"/>
      <c r="E238" s="1062"/>
      <c r="F238" s="1062"/>
      <c r="G238" s="1062"/>
      <c r="H238" s="1062"/>
      <c r="I238" s="1062"/>
      <c r="J238" s="1062"/>
      <c r="K238" s="1062"/>
      <c r="L238" s="1062"/>
      <c r="M238" s="1062"/>
      <c r="N238" s="1062"/>
      <c r="O238" s="1062"/>
      <c r="P238" s="1062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/>
      <c r="AA238" s="1062"/>
      <c r="AB238" s="1062"/>
      <c r="AC238" s="1062"/>
      <c r="AD238" s="1062"/>
      <c r="AE238" s="1062"/>
      <c r="AF238" s="1062"/>
      <c r="AG238" s="1062"/>
      <c r="AH238" s="1062"/>
      <c r="AI238" s="1069">
        <f t="shared" si="11"/>
        <v>0</v>
      </c>
      <c r="AJ238" s="635"/>
      <c r="AK238" s="266"/>
    </row>
    <row r="239" spans="1:37" s="51" customFormat="1" ht="16.5" customHeight="1" outlineLevel="1">
      <c r="A239" s="1025">
        <v>15</v>
      </c>
      <c r="B239" s="1025" t="str">
        <f>VLOOKUP(C239,'DS CN MOI UP'!$B$10:$C$347,2,0)</f>
        <v>03356</v>
      </c>
      <c r="C239" s="1028" t="s">
        <v>138</v>
      </c>
      <c r="D239" s="1062"/>
      <c r="E239" s="1062"/>
      <c r="F239" s="1062"/>
      <c r="G239" s="1062"/>
      <c r="H239" s="1062"/>
      <c r="I239" s="1062"/>
      <c r="J239" s="1062"/>
      <c r="K239" s="1062"/>
      <c r="L239" s="1062"/>
      <c r="M239" s="1062"/>
      <c r="N239" s="1062"/>
      <c r="O239" s="1062"/>
      <c r="P239" s="1062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/>
      <c r="AA239" s="1062"/>
      <c r="AB239" s="1062"/>
      <c r="AC239" s="1062"/>
      <c r="AD239" s="1062"/>
      <c r="AE239" s="1062"/>
      <c r="AF239" s="1062"/>
      <c r="AG239" s="1062"/>
      <c r="AH239" s="1062"/>
      <c r="AI239" s="1069">
        <f t="shared" si="11"/>
        <v>0</v>
      </c>
      <c r="AJ239" s="635"/>
      <c r="AK239" s="266"/>
    </row>
    <row r="240" spans="1:37" s="51" customFormat="1" ht="16.5" customHeight="1" outlineLevel="1">
      <c r="A240" s="1025">
        <v>16</v>
      </c>
      <c r="B240" s="1025" t="str">
        <f>VLOOKUP(C240,'DS CN MOI UP'!$B$10:$C$347,2,0)</f>
        <v>02524</v>
      </c>
      <c r="C240" s="1028" t="s">
        <v>139</v>
      </c>
      <c r="D240" s="1062"/>
      <c r="E240" s="1062"/>
      <c r="F240" s="1062"/>
      <c r="G240" s="1062"/>
      <c r="H240" s="1062"/>
      <c r="I240" s="1062"/>
      <c r="J240" s="1062"/>
      <c r="K240" s="1062"/>
      <c r="L240" s="1062"/>
      <c r="M240" s="1062"/>
      <c r="N240" s="1062"/>
      <c r="O240" s="1062"/>
      <c r="P240" s="1062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/>
      <c r="AA240" s="1062"/>
      <c r="AB240" s="1062"/>
      <c r="AC240" s="1062"/>
      <c r="AD240" s="1062"/>
      <c r="AE240" s="1062"/>
      <c r="AF240" s="1062"/>
      <c r="AG240" s="1062"/>
      <c r="AH240" s="1062"/>
      <c r="AI240" s="1069">
        <f t="shared" si="11"/>
        <v>0</v>
      </c>
      <c r="AJ240" s="635"/>
      <c r="AK240" s="266"/>
    </row>
    <row r="241" spans="1:37" s="51" customFormat="1" ht="16.5" customHeight="1" outlineLevel="1">
      <c r="A241" s="1025">
        <v>17</v>
      </c>
      <c r="B241" s="1025" t="str">
        <f>VLOOKUP(C241,'DS CN MOI UP'!$B$10:$C$347,2,0)</f>
        <v>03357</v>
      </c>
      <c r="C241" s="1028" t="s">
        <v>140</v>
      </c>
      <c r="D241" s="1062"/>
      <c r="E241" s="1062"/>
      <c r="F241" s="1062"/>
      <c r="G241" s="1062"/>
      <c r="H241" s="1062"/>
      <c r="I241" s="1062"/>
      <c r="J241" s="1062"/>
      <c r="K241" s="1062"/>
      <c r="L241" s="1062"/>
      <c r="M241" s="1062"/>
      <c r="N241" s="1062"/>
      <c r="O241" s="1062"/>
      <c r="P241" s="1062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062"/>
      <c r="AC241" s="1062"/>
      <c r="AD241" s="1025"/>
      <c r="AE241" s="1062"/>
      <c r="AF241" s="1062"/>
      <c r="AG241" s="1062"/>
      <c r="AH241" s="1062"/>
      <c r="AI241" s="1069">
        <f t="shared" si="11"/>
        <v>0</v>
      </c>
      <c r="AJ241" s="635"/>
      <c r="AK241" s="266"/>
    </row>
    <row r="242" spans="1:37" s="51" customFormat="1" ht="16.5" customHeight="1" outlineLevel="1">
      <c r="A242" s="1025">
        <v>18</v>
      </c>
      <c r="B242" s="1025" t="str">
        <f>VLOOKUP(C242,'DS CN MOI UP'!$B$10:$C$347,2,0)</f>
        <v>03358</v>
      </c>
      <c r="C242" s="1028" t="s">
        <v>141</v>
      </c>
      <c r="D242" s="1062"/>
      <c r="E242" s="1062"/>
      <c r="F242" s="1062"/>
      <c r="G242" s="1062"/>
      <c r="H242" s="1062"/>
      <c r="I242" s="1062"/>
      <c r="J242" s="1062"/>
      <c r="K242" s="1062"/>
      <c r="L242" s="1062"/>
      <c r="M242" s="1062"/>
      <c r="N242" s="1062"/>
      <c r="O242" s="1062"/>
      <c r="P242" s="1062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062"/>
      <c r="AC242" s="1062"/>
      <c r="AD242" s="1025"/>
      <c r="AE242" s="1062"/>
      <c r="AF242" s="1062"/>
      <c r="AG242" s="1062"/>
      <c r="AH242" s="1062"/>
      <c r="AI242" s="1069">
        <f t="shared" si="11"/>
        <v>0</v>
      </c>
      <c r="AJ242" s="635"/>
      <c r="AK242" s="266"/>
    </row>
    <row r="243" spans="1:37" s="51" customFormat="1" ht="16.5" customHeight="1" outlineLevel="1">
      <c r="A243" s="1025">
        <v>19</v>
      </c>
      <c r="B243" s="1025" t="str">
        <f>VLOOKUP(C243,'DS CN MOI UP'!$B$10:$C$347,2,0)</f>
        <v>02556</v>
      </c>
      <c r="C243" s="1028" t="s">
        <v>142</v>
      </c>
      <c r="D243" s="1062"/>
      <c r="E243" s="1062"/>
      <c r="F243" s="1062"/>
      <c r="G243" s="1062"/>
      <c r="H243" s="1062"/>
      <c r="I243" s="1062"/>
      <c r="J243" s="1062"/>
      <c r="K243" s="1062"/>
      <c r="L243" s="1062"/>
      <c r="M243" s="1062"/>
      <c r="N243" s="1062"/>
      <c r="O243" s="1062"/>
      <c r="P243" s="1062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062"/>
      <c r="AC243" s="1062"/>
      <c r="AD243" s="1062"/>
      <c r="AE243" s="1062"/>
      <c r="AF243" s="1062"/>
      <c r="AG243" s="1062"/>
      <c r="AH243" s="1062"/>
      <c r="AI243" s="1069">
        <f t="shared" si="11"/>
        <v>0</v>
      </c>
      <c r="AJ243" s="635"/>
      <c r="AK243" s="266"/>
    </row>
    <row r="244" spans="1:37" s="51" customFormat="1" ht="16.149999999999999" customHeight="1" outlineLevel="1">
      <c r="A244" s="1025">
        <v>20</v>
      </c>
      <c r="B244" s="1025" t="str">
        <f>VLOOKUP(C244,'DS CN MOI UP'!$B$10:$C$347,2,0)</f>
        <v>02537</v>
      </c>
      <c r="C244" s="1028" t="s">
        <v>143</v>
      </c>
      <c r="D244" s="1062"/>
      <c r="E244" s="1062"/>
      <c r="F244" s="1062"/>
      <c r="G244" s="1062"/>
      <c r="H244" s="1062"/>
      <c r="I244" s="1062"/>
      <c r="J244" s="1062"/>
      <c r="K244" s="1062"/>
      <c r="L244" s="1062"/>
      <c r="M244" s="1062"/>
      <c r="N244" s="1062"/>
      <c r="O244" s="1062"/>
      <c r="P244" s="1062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062"/>
      <c r="AC244" s="1062"/>
      <c r="AD244" s="1062"/>
      <c r="AE244" s="1062"/>
      <c r="AF244" s="1062"/>
      <c r="AG244" s="1062"/>
      <c r="AH244" s="1062"/>
      <c r="AI244" s="1069">
        <f t="shared" si="11"/>
        <v>0</v>
      </c>
      <c r="AJ244" s="635"/>
      <c r="AK244" s="266"/>
    </row>
    <row r="245" spans="1:37" s="51" customFormat="1" ht="16.149999999999999" customHeight="1" outlineLevel="1">
      <c r="A245" s="1025">
        <v>21</v>
      </c>
      <c r="B245" s="1025" t="str">
        <f>VLOOKUP(C245,'DS CN MOI UP'!$B$10:$C$347,2,0)</f>
        <v>03359</v>
      </c>
      <c r="C245" s="1028" t="s">
        <v>144</v>
      </c>
      <c r="D245" s="1062"/>
      <c r="E245" s="1062"/>
      <c r="F245" s="1062"/>
      <c r="G245" s="1062"/>
      <c r="H245" s="1062"/>
      <c r="I245" s="1062"/>
      <c r="J245" s="1062"/>
      <c r="K245" s="1062"/>
      <c r="L245" s="1062"/>
      <c r="M245" s="1062"/>
      <c r="N245" s="1062"/>
      <c r="O245" s="1062"/>
      <c r="P245" s="1062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062"/>
      <c r="AC245" s="1062"/>
      <c r="AD245" s="1025"/>
      <c r="AE245" s="1025"/>
      <c r="AF245" s="1062"/>
      <c r="AG245" s="1062"/>
      <c r="AH245" s="1062"/>
      <c r="AI245" s="1069">
        <f t="shared" si="11"/>
        <v>0</v>
      </c>
      <c r="AJ245" s="635"/>
      <c r="AK245" s="266"/>
    </row>
    <row r="246" spans="1:37" s="51" customFormat="1" ht="16.149999999999999" customHeight="1" outlineLevel="1">
      <c r="A246" s="1025">
        <v>22</v>
      </c>
      <c r="B246" s="1025" t="str">
        <f>VLOOKUP(C246,'DS CN MOI UP'!$B$10:$C$347,2,0)</f>
        <v>03360</v>
      </c>
      <c r="C246" s="1028" t="s">
        <v>145</v>
      </c>
      <c r="D246" s="1062"/>
      <c r="E246" s="1062"/>
      <c r="F246" s="1062"/>
      <c r="G246" s="1062"/>
      <c r="H246" s="1062"/>
      <c r="I246" s="1062"/>
      <c r="J246" s="1062"/>
      <c r="K246" s="1062"/>
      <c r="L246" s="1062"/>
      <c r="M246" s="1062"/>
      <c r="N246" s="1062"/>
      <c r="O246" s="1062"/>
      <c r="P246" s="1062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062"/>
      <c r="AC246" s="1062"/>
      <c r="AD246" s="1025"/>
      <c r="AE246" s="1025"/>
      <c r="AF246" s="1062"/>
      <c r="AG246" s="1062"/>
      <c r="AH246" s="1062"/>
      <c r="AI246" s="1069">
        <f t="shared" si="11"/>
        <v>0</v>
      </c>
      <c r="AJ246" s="635"/>
      <c r="AK246" s="266"/>
    </row>
    <row r="247" spans="1:37" s="51" customFormat="1" ht="16.149999999999999" customHeight="1" outlineLevel="1">
      <c r="A247" s="1025">
        <v>23</v>
      </c>
      <c r="B247" s="1025" t="str">
        <f>VLOOKUP(C247,'DS CN MOI UP'!$B$10:$C$347,2,0)</f>
        <v>03413</v>
      </c>
      <c r="C247" s="1028" t="s">
        <v>146</v>
      </c>
      <c r="D247" s="1062"/>
      <c r="E247" s="1062"/>
      <c r="F247" s="1062"/>
      <c r="G247" s="1062"/>
      <c r="H247" s="1062"/>
      <c r="I247" s="1062"/>
      <c r="J247" s="1062"/>
      <c r="K247" s="1062"/>
      <c r="L247" s="1062"/>
      <c r="M247" s="1062"/>
      <c r="N247" s="1062"/>
      <c r="O247" s="1062"/>
      <c r="P247" s="1062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062"/>
      <c r="AC247" s="1062"/>
      <c r="AD247" s="1025"/>
      <c r="AE247" s="1025"/>
      <c r="AF247" s="1062"/>
      <c r="AG247" s="1062"/>
      <c r="AH247" s="1062"/>
      <c r="AI247" s="1069">
        <f t="shared" si="11"/>
        <v>0</v>
      </c>
      <c r="AJ247" s="635"/>
      <c r="AK247" s="266"/>
    </row>
    <row r="248" spans="1:37" s="51" customFormat="1" ht="16.149999999999999" customHeight="1" outlineLevel="1">
      <c r="A248" s="1025">
        <v>24</v>
      </c>
      <c r="B248" s="1025" t="str">
        <f>VLOOKUP(C248,'DS CN MOI UP'!$B$10:$C$347,2,0)</f>
        <v>03361</v>
      </c>
      <c r="C248" s="1028" t="s">
        <v>147</v>
      </c>
      <c r="D248" s="1062"/>
      <c r="E248" s="1062"/>
      <c r="F248" s="1062"/>
      <c r="G248" s="1062"/>
      <c r="H248" s="1062"/>
      <c r="I248" s="1062"/>
      <c r="J248" s="1062"/>
      <c r="K248" s="1062"/>
      <c r="L248" s="1062"/>
      <c r="M248" s="1062"/>
      <c r="N248" s="1062"/>
      <c r="O248" s="1062"/>
      <c r="P248" s="1062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062"/>
      <c r="AC248" s="1062"/>
      <c r="AD248" s="1062"/>
      <c r="AE248" s="1062"/>
      <c r="AF248" s="1062"/>
      <c r="AG248" s="1062"/>
      <c r="AH248" s="1062"/>
      <c r="AI248" s="1069">
        <f t="shared" si="11"/>
        <v>0</v>
      </c>
      <c r="AJ248" s="635"/>
      <c r="AK248" s="266"/>
    </row>
    <row r="249" spans="1:37" s="51" customFormat="1" ht="16.149999999999999" customHeight="1" outlineLevel="1">
      <c r="A249" s="1025">
        <v>25</v>
      </c>
      <c r="B249" s="1025" t="str">
        <f>VLOOKUP(C249,'DS CN MOI UP'!$B$10:$C$347,2,0)</f>
        <v>02554</v>
      </c>
      <c r="C249" s="1028" t="s">
        <v>148</v>
      </c>
      <c r="D249" s="1062"/>
      <c r="E249" s="1062"/>
      <c r="F249" s="1062"/>
      <c r="G249" s="1062"/>
      <c r="H249" s="1062"/>
      <c r="I249" s="1062"/>
      <c r="J249" s="1062"/>
      <c r="K249" s="1062"/>
      <c r="L249" s="1062"/>
      <c r="M249" s="1062"/>
      <c r="N249" s="1062"/>
      <c r="O249" s="1062"/>
      <c r="P249" s="1062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062"/>
      <c r="AC249" s="1062"/>
      <c r="AD249" s="1062"/>
      <c r="AE249" s="1025"/>
      <c r="AF249" s="1062"/>
      <c r="AG249" s="1062"/>
      <c r="AH249" s="1062"/>
      <c r="AI249" s="1069">
        <f t="shared" si="11"/>
        <v>0</v>
      </c>
      <c r="AJ249" s="635"/>
      <c r="AK249" s="266"/>
    </row>
    <row r="250" spans="1:37" s="51" customFormat="1" ht="16.149999999999999" customHeight="1" outlineLevel="1">
      <c r="A250" s="1025">
        <v>26</v>
      </c>
      <c r="B250" s="1025" t="str">
        <f>VLOOKUP(C250,'DS CN MOI UP'!$B$10:$C$347,2,0)</f>
        <v>02534</v>
      </c>
      <c r="C250" s="1028" t="s">
        <v>149</v>
      </c>
      <c r="D250" s="1062"/>
      <c r="E250" s="1062"/>
      <c r="F250" s="1062"/>
      <c r="G250" s="1062"/>
      <c r="H250" s="1062"/>
      <c r="I250" s="1062"/>
      <c r="J250" s="1062"/>
      <c r="K250" s="1062"/>
      <c r="L250" s="1062"/>
      <c r="M250" s="1062"/>
      <c r="N250" s="1062"/>
      <c r="O250" s="1062"/>
      <c r="P250" s="1062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062"/>
      <c r="AC250" s="1062"/>
      <c r="AD250" s="1062"/>
      <c r="AE250" s="1025"/>
      <c r="AF250" s="1062"/>
      <c r="AG250" s="1062"/>
      <c r="AH250" s="1062"/>
      <c r="AI250" s="1069">
        <f t="shared" si="11"/>
        <v>0</v>
      </c>
      <c r="AJ250" s="635"/>
      <c r="AK250" s="266"/>
    </row>
    <row r="251" spans="1:37" s="51" customFormat="1" ht="16.149999999999999" customHeight="1" outlineLevel="1">
      <c r="A251" s="1025">
        <v>27</v>
      </c>
      <c r="B251" s="1025" t="str">
        <f>VLOOKUP(C251,'DS CN MOI UP'!$B$10:$C$347,2,0)</f>
        <v>02538</v>
      </c>
      <c r="C251" s="1028" t="s">
        <v>150</v>
      </c>
      <c r="D251" s="1062"/>
      <c r="E251" s="1062"/>
      <c r="F251" s="1062"/>
      <c r="G251" s="1062"/>
      <c r="H251" s="1062"/>
      <c r="I251" s="1062"/>
      <c r="J251" s="1062"/>
      <c r="K251" s="1062"/>
      <c r="L251" s="1062"/>
      <c r="M251" s="1062"/>
      <c r="N251" s="1062"/>
      <c r="O251" s="1062"/>
      <c r="P251" s="1062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062"/>
      <c r="AC251" s="1062"/>
      <c r="AD251" s="1062"/>
      <c r="AE251" s="1025"/>
      <c r="AF251" s="1062"/>
      <c r="AG251" s="1062"/>
      <c r="AH251" s="1062"/>
      <c r="AI251" s="1069">
        <f t="shared" si="11"/>
        <v>0</v>
      </c>
      <c r="AJ251" s="635"/>
      <c r="AK251" s="266"/>
    </row>
    <row r="252" spans="1:37" s="51" customFormat="1" ht="16.149999999999999" customHeight="1" outlineLevel="1">
      <c r="A252" s="1025">
        <v>28</v>
      </c>
      <c r="B252" s="1025" t="str">
        <f>VLOOKUP(C252,'DS CN MOI UP'!$B$10:$C$347,2,0)</f>
        <v>03362</v>
      </c>
      <c r="C252" s="1028" t="s">
        <v>151</v>
      </c>
      <c r="D252" s="1062"/>
      <c r="E252" s="1062"/>
      <c r="F252" s="1062"/>
      <c r="G252" s="1062"/>
      <c r="H252" s="1062"/>
      <c r="I252" s="1062"/>
      <c r="J252" s="1062"/>
      <c r="K252" s="1062"/>
      <c r="L252" s="1062"/>
      <c r="M252" s="1062"/>
      <c r="N252" s="1062"/>
      <c r="O252" s="1062"/>
      <c r="P252" s="1062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062"/>
      <c r="AC252" s="1062"/>
      <c r="AD252" s="1025"/>
      <c r="AE252" s="1025"/>
      <c r="AF252" s="1062"/>
      <c r="AG252" s="1062"/>
      <c r="AH252" s="1062"/>
      <c r="AI252" s="1069">
        <f t="shared" si="11"/>
        <v>0</v>
      </c>
      <c r="AJ252" s="635"/>
      <c r="AK252" s="266"/>
    </row>
    <row r="253" spans="1:37" s="51" customFormat="1" ht="16.149999999999999" customHeight="1" outlineLevel="1">
      <c r="A253" s="1025">
        <v>29</v>
      </c>
      <c r="B253" s="1025" t="str">
        <f>VLOOKUP(C253,'DS CN MOI UP'!$B$10:$C$347,2,0)</f>
        <v>02530</v>
      </c>
      <c r="C253" s="1028" t="s">
        <v>152</v>
      </c>
      <c r="D253" s="1062"/>
      <c r="E253" s="1062"/>
      <c r="F253" s="1062"/>
      <c r="G253" s="1062"/>
      <c r="H253" s="1062"/>
      <c r="I253" s="1062"/>
      <c r="J253" s="1062"/>
      <c r="K253" s="1062"/>
      <c r="L253" s="1062"/>
      <c r="M253" s="1062"/>
      <c r="N253" s="1062"/>
      <c r="O253" s="1062"/>
      <c r="P253" s="1062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062"/>
      <c r="AC253" s="1062"/>
      <c r="AD253" s="1062"/>
      <c r="AE253" s="1025"/>
      <c r="AF253" s="1062"/>
      <c r="AG253" s="1062"/>
      <c r="AH253" s="1062"/>
      <c r="AI253" s="1069">
        <f t="shared" si="11"/>
        <v>0</v>
      </c>
      <c r="AJ253" s="635"/>
      <c r="AK253" s="266"/>
    </row>
    <row r="254" spans="1:37" s="51" customFormat="1" ht="16.149999999999999" customHeight="1" outlineLevel="1">
      <c r="A254" s="1025">
        <v>30</v>
      </c>
      <c r="B254" s="1025" t="str">
        <f>VLOOKUP(C254,'DS CN MOI UP'!$B$10:$C$347,2,0)</f>
        <v>03363</v>
      </c>
      <c r="C254" s="1028" t="s">
        <v>153</v>
      </c>
      <c r="D254" s="1062"/>
      <c r="E254" s="1062"/>
      <c r="F254" s="1062"/>
      <c r="G254" s="1062"/>
      <c r="H254" s="1062"/>
      <c r="I254" s="1062"/>
      <c r="J254" s="1062"/>
      <c r="K254" s="1062"/>
      <c r="L254" s="1062"/>
      <c r="M254" s="1062"/>
      <c r="N254" s="1062"/>
      <c r="O254" s="1062"/>
      <c r="P254" s="1062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062"/>
      <c r="AC254" s="1062"/>
      <c r="AD254" s="1062"/>
      <c r="AE254" s="1062"/>
      <c r="AF254" s="1062"/>
      <c r="AG254" s="1062"/>
      <c r="AH254" s="1062"/>
      <c r="AI254" s="1069">
        <f t="shared" si="11"/>
        <v>0</v>
      </c>
      <c r="AJ254" s="635"/>
      <c r="AK254" s="266"/>
    </row>
    <row r="255" spans="1:37" s="51" customFormat="1" ht="16.149999999999999" customHeight="1" outlineLevel="1">
      <c r="A255" s="1025">
        <v>31</v>
      </c>
      <c r="B255" s="1025" t="str">
        <f>VLOOKUP(C255,'DS CN MOI UP'!$B$10:$C$347,2,0)</f>
        <v>03364</v>
      </c>
      <c r="C255" s="1028" t="s">
        <v>154</v>
      </c>
      <c r="D255" s="1062"/>
      <c r="E255" s="1062"/>
      <c r="F255" s="1062"/>
      <c r="G255" s="1062"/>
      <c r="H255" s="1062"/>
      <c r="I255" s="1062"/>
      <c r="J255" s="1062"/>
      <c r="K255" s="1062"/>
      <c r="L255" s="1062"/>
      <c r="M255" s="1062"/>
      <c r="N255" s="1062"/>
      <c r="O255" s="1062"/>
      <c r="P255" s="1062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062"/>
      <c r="AC255" s="1062"/>
      <c r="AD255" s="1062"/>
      <c r="AE255" s="1062"/>
      <c r="AF255" s="1062"/>
      <c r="AG255" s="1062"/>
      <c r="AH255" s="1062"/>
      <c r="AI255" s="1069">
        <f t="shared" si="11"/>
        <v>0</v>
      </c>
      <c r="AJ255" s="635"/>
      <c r="AK255" s="266"/>
    </row>
    <row r="256" spans="1:37" s="51" customFormat="1" ht="16.149999999999999" customHeight="1" outlineLevel="1">
      <c r="A256" s="1025">
        <v>32</v>
      </c>
      <c r="B256" s="1025" t="str">
        <f>VLOOKUP(C256,'DS CN MOI UP'!$B$10:$C$347,2,0)</f>
        <v>02536</v>
      </c>
      <c r="C256" s="1028" t="s">
        <v>155</v>
      </c>
      <c r="D256" s="1062"/>
      <c r="E256" s="1062"/>
      <c r="F256" s="1062"/>
      <c r="G256" s="1062"/>
      <c r="H256" s="1062"/>
      <c r="I256" s="1062"/>
      <c r="J256" s="1062"/>
      <c r="K256" s="1062"/>
      <c r="L256" s="1062"/>
      <c r="M256" s="1062"/>
      <c r="N256" s="1062"/>
      <c r="O256" s="1062"/>
      <c r="P256" s="1062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062"/>
      <c r="AC256" s="1062"/>
      <c r="AD256" s="1062"/>
      <c r="AE256" s="1062"/>
      <c r="AF256" s="1062"/>
      <c r="AG256" s="1062"/>
      <c r="AH256" s="1062"/>
      <c r="AI256" s="1069">
        <f t="shared" si="11"/>
        <v>0</v>
      </c>
      <c r="AJ256" s="635"/>
    </row>
    <row r="257" spans="1:36" s="51" customFormat="1" ht="16.149999999999999" customHeight="1" outlineLevel="1">
      <c r="A257" s="1025">
        <v>33</v>
      </c>
      <c r="B257" s="1025" t="str">
        <f>VLOOKUP(C257,'DS CN MOI UP'!$B$10:$C$347,2,0)</f>
        <v>02527</v>
      </c>
      <c r="C257" s="1028" t="s">
        <v>156</v>
      </c>
      <c r="D257" s="1062"/>
      <c r="E257" s="1062"/>
      <c r="F257" s="1062"/>
      <c r="G257" s="1062"/>
      <c r="H257" s="1062"/>
      <c r="I257" s="1062"/>
      <c r="J257" s="1062"/>
      <c r="K257" s="1062"/>
      <c r="L257" s="1062"/>
      <c r="M257" s="1062"/>
      <c r="N257" s="1062"/>
      <c r="O257" s="1062"/>
      <c r="P257" s="1062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062"/>
      <c r="AC257" s="1062"/>
      <c r="AD257" s="1062"/>
      <c r="AE257" s="1062"/>
      <c r="AF257" s="1062"/>
      <c r="AG257" s="1062"/>
      <c r="AH257" s="1062"/>
      <c r="AI257" s="1069">
        <f t="shared" si="11"/>
        <v>0</v>
      </c>
      <c r="AJ257" s="635"/>
    </row>
    <row r="258" spans="1:36" s="51" customFormat="1" ht="16.149999999999999" customHeight="1" outlineLevel="1">
      <c r="A258" s="1025">
        <v>34</v>
      </c>
      <c r="B258" s="1025" t="str">
        <f>VLOOKUP(C258,'DS CN MOI UP'!$B$10:$C$347,2,0)</f>
        <v>03366</v>
      </c>
      <c r="C258" s="1028" t="s">
        <v>157</v>
      </c>
      <c r="D258" s="1062"/>
      <c r="E258" s="1062"/>
      <c r="F258" s="1062"/>
      <c r="G258" s="1062"/>
      <c r="H258" s="1062"/>
      <c r="I258" s="1062"/>
      <c r="J258" s="1062"/>
      <c r="K258" s="1062"/>
      <c r="L258" s="1062"/>
      <c r="M258" s="1062"/>
      <c r="N258" s="1062"/>
      <c r="O258" s="1062"/>
      <c r="P258" s="1062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062"/>
      <c r="AC258" s="1062"/>
      <c r="AD258" s="1062"/>
      <c r="AE258" s="1062"/>
      <c r="AF258" s="1062"/>
      <c r="AG258" s="1062"/>
      <c r="AH258" s="1062"/>
      <c r="AI258" s="1069">
        <f t="shared" si="11"/>
        <v>0</v>
      </c>
      <c r="AJ258" s="635"/>
    </row>
    <row r="259" spans="1:36" s="51" customFormat="1" ht="16.149999999999999" customHeight="1" outlineLevel="1">
      <c r="A259" s="1025">
        <v>35</v>
      </c>
      <c r="B259" s="1025" t="str">
        <f>VLOOKUP(C259,'DS CN MOI UP'!$B$10:$C$347,2,0)</f>
        <v>02532</v>
      </c>
      <c r="C259" s="1028" t="s">
        <v>158</v>
      </c>
      <c r="D259" s="1062"/>
      <c r="E259" s="1062"/>
      <c r="F259" s="1062"/>
      <c r="G259" s="1062"/>
      <c r="H259" s="1062"/>
      <c r="I259" s="1062"/>
      <c r="J259" s="1062"/>
      <c r="K259" s="1062"/>
      <c r="L259" s="1062"/>
      <c r="M259" s="1062"/>
      <c r="N259" s="1062"/>
      <c r="O259" s="1062"/>
      <c r="P259" s="1062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062"/>
      <c r="AC259" s="1062"/>
      <c r="AD259" s="1062"/>
      <c r="AE259" s="1062"/>
      <c r="AF259" s="1062"/>
      <c r="AG259" s="1062"/>
      <c r="AH259" s="1062"/>
      <c r="AI259" s="1069">
        <f t="shared" si="11"/>
        <v>0</v>
      </c>
      <c r="AJ259" s="635"/>
    </row>
    <row r="260" spans="1:36" s="51" customFormat="1" ht="16.149999999999999" customHeight="1" outlineLevel="1">
      <c r="A260" s="1025">
        <v>36</v>
      </c>
      <c r="B260" s="1025" t="str">
        <f>VLOOKUP(C260,'DS CN MOI UP'!$B$10:$C$347,2,0)</f>
        <v>02528</v>
      </c>
      <c r="C260" s="1028" t="s">
        <v>159</v>
      </c>
      <c r="D260" s="1062"/>
      <c r="E260" s="1062"/>
      <c r="F260" s="1062"/>
      <c r="G260" s="1062"/>
      <c r="H260" s="1062"/>
      <c r="I260" s="1062"/>
      <c r="J260" s="1062"/>
      <c r="K260" s="1062"/>
      <c r="L260" s="1062"/>
      <c r="M260" s="1062"/>
      <c r="N260" s="1062"/>
      <c r="O260" s="1062"/>
      <c r="P260" s="1062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062"/>
      <c r="AC260" s="1062"/>
      <c r="AD260" s="1025"/>
      <c r="AE260" s="1062"/>
      <c r="AF260" s="1062"/>
      <c r="AG260" s="1062"/>
      <c r="AH260" s="1062"/>
      <c r="AI260" s="1069">
        <f t="shared" si="11"/>
        <v>0</v>
      </c>
      <c r="AJ260" s="635"/>
    </row>
    <row r="261" spans="1:36" s="51" customFormat="1" ht="16.149999999999999" customHeight="1" outlineLevel="1">
      <c r="A261" s="1025">
        <v>37</v>
      </c>
      <c r="B261" s="1025" t="str">
        <f>VLOOKUP(C261,'DS CN MOI UP'!$B$10:$C$347,2,0)</f>
        <v>03367</v>
      </c>
      <c r="C261" s="1028" t="s">
        <v>160</v>
      </c>
      <c r="D261" s="1062"/>
      <c r="E261" s="1062"/>
      <c r="F261" s="1062"/>
      <c r="G261" s="1062"/>
      <c r="H261" s="1062"/>
      <c r="I261" s="1062"/>
      <c r="J261" s="1062"/>
      <c r="K261" s="1062"/>
      <c r="L261" s="1062"/>
      <c r="M261" s="1062"/>
      <c r="N261" s="1062"/>
      <c r="O261" s="1062"/>
      <c r="P261" s="1062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062"/>
      <c r="AC261" s="1062"/>
      <c r="AD261" s="1062"/>
      <c r="AE261" s="1062"/>
      <c r="AF261" s="1062"/>
      <c r="AG261" s="1062"/>
      <c r="AH261" s="1062"/>
      <c r="AI261" s="1069">
        <f t="shared" si="11"/>
        <v>0</v>
      </c>
      <c r="AJ261" s="635"/>
    </row>
    <row r="262" spans="1:36" s="51" customFormat="1" ht="16.149999999999999" customHeight="1" outlineLevel="1">
      <c r="A262" s="1025">
        <v>38</v>
      </c>
      <c r="B262" s="1025" t="str">
        <f>VLOOKUP(C262,'DS CN MOI UP'!$B$10:$C$347,2,0)</f>
        <v>02517</v>
      </c>
      <c r="C262" s="1028" t="s">
        <v>161</v>
      </c>
      <c r="D262" s="1062"/>
      <c r="E262" s="1062"/>
      <c r="F262" s="1062"/>
      <c r="G262" s="1062"/>
      <c r="H262" s="1062"/>
      <c r="I262" s="1062"/>
      <c r="J262" s="1062"/>
      <c r="K262" s="1062"/>
      <c r="L262" s="1062"/>
      <c r="M262" s="1062"/>
      <c r="N262" s="1062"/>
      <c r="O262" s="1062"/>
      <c r="P262" s="1062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062"/>
      <c r="AC262" s="1062"/>
      <c r="AD262" s="1025"/>
      <c r="AE262" s="1025"/>
      <c r="AF262" s="1062"/>
      <c r="AG262" s="1062"/>
      <c r="AH262" s="1062"/>
      <c r="AI262" s="1069">
        <f t="shared" si="11"/>
        <v>0</v>
      </c>
      <c r="AJ262" s="635"/>
    </row>
    <row r="263" spans="1:36" s="51" customFormat="1" ht="16.149999999999999" customHeight="1" outlineLevel="1">
      <c r="A263" s="1025">
        <v>39</v>
      </c>
      <c r="B263" s="1025" t="str">
        <f>VLOOKUP(C263,'DS CN MOI UP'!$B$10:$C$347,2,0)</f>
        <v>02522</v>
      </c>
      <c r="C263" s="1028" t="s">
        <v>162</v>
      </c>
      <c r="D263" s="1062"/>
      <c r="E263" s="1062"/>
      <c r="F263" s="1062"/>
      <c r="G263" s="1062"/>
      <c r="H263" s="1062"/>
      <c r="I263" s="1062"/>
      <c r="J263" s="1062"/>
      <c r="K263" s="1062"/>
      <c r="L263" s="1062"/>
      <c r="M263" s="1062"/>
      <c r="N263" s="1062"/>
      <c r="O263" s="1062"/>
      <c r="P263" s="1062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062"/>
      <c r="AC263" s="1062"/>
      <c r="AD263" s="1062"/>
      <c r="AE263" s="1025"/>
      <c r="AF263" s="1062"/>
      <c r="AG263" s="1062"/>
      <c r="AH263" s="1062"/>
      <c r="AI263" s="1069">
        <f t="shared" si="11"/>
        <v>0</v>
      </c>
      <c r="AJ263" s="635"/>
    </row>
    <row r="264" spans="1:36" s="51" customFormat="1" ht="16.149999999999999" customHeight="1" outlineLevel="1">
      <c r="A264" s="1025">
        <v>40</v>
      </c>
      <c r="B264" s="1025" t="str">
        <f>VLOOKUP(C264,'DS CN MOI UP'!$B$10:$C$347,2,0)</f>
        <v>02565</v>
      </c>
      <c r="C264" s="1028" t="s">
        <v>163</v>
      </c>
      <c r="D264" s="1062"/>
      <c r="E264" s="1062"/>
      <c r="F264" s="1062"/>
      <c r="G264" s="1062"/>
      <c r="H264" s="1062"/>
      <c r="I264" s="1062"/>
      <c r="J264" s="1062"/>
      <c r="K264" s="1062"/>
      <c r="L264" s="1062"/>
      <c r="M264" s="1062"/>
      <c r="N264" s="1062"/>
      <c r="O264" s="1062"/>
      <c r="P264" s="1062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062"/>
      <c r="AC264" s="1062"/>
      <c r="AD264" s="1025"/>
      <c r="AE264" s="1062"/>
      <c r="AF264" s="1062"/>
      <c r="AG264" s="1062"/>
      <c r="AH264" s="1062"/>
      <c r="AI264" s="1069">
        <f t="shared" si="11"/>
        <v>0</v>
      </c>
      <c r="AJ264" s="635"/>
    </row>
    <row r="265" spans="1:36" s="51" customFormat="1" ht="16.149999999999999" customHeight="1" outlineLevel="1">
      <c r="A265" s="1025">
        <v>41</v>
      </c>
      <c r="B265" s="1025" t="str">
        <f>VLOOKUP(C265,'DS CN MOI UP'!$B$10:$C$347,2,0)</f>
        <v>03368</v>
      </c>
      <c r="C265" s="1028" t="s">
        <v>164</v>
      </c>
      <c r="D265" s="1062"/>
      <c r="E265" s="1062"/>
      <c r="F265" s="1062"/>
      <c r="G265" s="1062"/>
      <c r="H265" s="1062"/>
      <c r="I265" s="1062"/>
      <c r="J265" s="1062"/>
      <c r="K265" s="1062"/>
      <c r="L265" s="1062"/>
      <c r="M265" s="1062"/>
      <c r="N265" s="1062"/>
      <c r="O265" s="1062"/>
      <c r="P265" s="1062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062"/>
      <c r="AC265" s="1062"/>
      <c r="AD265" s="1062"/>
      <c r="AE265" s="1062"/>
      <c r="AF265" s="1062"/>
      <c r="AG265" s="1062"/>
      <c r="AH265" s="1062"/>
      <c r="AI265" s="1069">
        <f t="shared" si="11"/>
        <v>0</v>
      </c>
      <c r="AJ265" s="635"/>
    </row>
    <row r="266" spans="1:36" s="51" customFormat="1" ht="16.149999999999999" customHeight="1" outlineLevel="1">
      <c r="A266" s="1025">
        <v>42</v>
      </c>
      <c r="B266" s="1025" t="str">
        <f>VLOOKUP(C266,'DS CN MOI UP'!$B$10:$C$347,2,0)</f>
        <v>02535</v>
      </c>
      <c r="C266" s="1028" t="s">
        <v>165</v>
      </c>
      <c r="D266" s="1062"/>
      <c r="E266" s="1062"/>
      <c r="F266" s="1062"/>
      <c r="G266" s="1062"/>
      <c r="H266" s="1062"/>
      <c r="I266" s="1062"/>
      <c r="J266" s="1062"/>
      <c r="K266" s="1062"/>
      <c r="L266" s="1062"/>
      <c r="M266" s="1062"/>
      <c r="N266" s="1062"/>
      <c r="O266" s="1062"/>
      <c r="P266" s="1062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062"/>
      <c r="AC266" s="1062"/>
      <c r="AD266" s="1025"/>
      <c r="AE266" s="1025"/>
      <c r="AF266" s="1062"/>
      <c r="AG266" s="1062"/>
      <c r="AH266" s="1062"/>
      <c r="AI266" s="1069">
        <f t="shared" si="11"/>
        <v>0</v>
      </c>
      <c r="AJ266" s="635"/>
    </row>
    <row r="267" spans="1:36" s="51" customFormat="1" ht="16.149999999999999" customHeight="1" outlineLevel="1">
      <c r="A267" s="1025">
        <v>43</v>
      </c>
      <c r="B267" s="1025" t="str">
        <f>VLOOKUP(C267,'DS CN MOI UP'!$B$10:$C$347,2,0)</f>
        <v>02563</v>
      </c>
      <c r="C267" s="1028" t="s">
        <v>166</v>
      </c>
      <c r="D267" s="1062"/>
      <c r="E267" s="1062"/>
      <c r="F267" s="1062"/>
      <c r="G267" s="1062"/>
      <c r="H267" s="1062"/>
      <c r="I267" s="1062"/>
      <c r="J267" s="1062"/>
      <c r="K267" s="1062"/>
      <c r="L267" s="1062"/>
      <c r="M267" s="1062"/>
      <c r="N267" s="1062"/>
      <c r="O267" s="1062"/>
      <c r="P267" s="1062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062"/>
      <c r="AC267" s="1062"/>
      <c r="AD267" s="1062"/>
      <c r="AE267" s="1062"/>
      <c r="AF267" s="1062"/>
      <c r="AG267" s="1062"/>
      <c r="AH267" s="1062"/>
      <c r="AI267" s="1069">
        <f t="shared" si="11"/>
        <v>0</v>
      </c>
      <c r="AJ267" s="635"/>
    </row>
    <row r="268" spans="1:36" s="51" customFormat="1" ht="16.149999999999999" customHeight="1" outlineLevel="1">
      <c r="A268" s="1025">
        <v>44</v>
      </c>
      <c r="B268" s="1025" t="str">
        <f>VLOOKUP(C268,'DS CN MOI UP'!$B$10:$C$347,2,0)</f>
        <v>02688</v>
      </c>
      <c r="C268" s="1028" t="s">
        <v>167</v>
      </c>
      <c r="D268" s="1062"/>
      <c r="E268" s="1062"/>
      <c r="F268" s="1062"/>
      <c r="G268" s="1062"/>
      <c r="H268" s="1062"/>
      <c r="I268" s="1062"/>
      <c r="J268" s="1062"/>
      <c r="K268" s="1062"/>
      <c r="L268" s="1062"/>
      <c r="M268" s="1062"/>
      <c r="N268" s="1062"/>
      <c r="O268" s="1062"/>
      <c r="P268" s="1062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062"/>
      <c r="AC268" s="1062"/>
      <c r="AD268" s="1062"/>
      <c r="AE268" s="1062"/>
      <c r="AF268" s="1062"/>
      <c r="AG268" s="1062"/>
      <c r="AH268" s="1062"/>
      <c r="AI268" s="1069">
        <f t="shared" si="11"/>
        <v>0</v>
      </c>
      <c r="AJ268" s="635"/>
    </row>
    <row r="269" spans="1:36" s="51" customFormat="1" ht="16.149999999999999" customHeight="1" outlineLevel="1">
      <c r="A269" s="1025">
        <v>45</v>
      </c>
      <c r="B269" s="1025" t="str">
        <f>VLOOKUP(C269,'DS CN MOI UP'!$B$10:$C$347,2,0)</f>
        <v>02551</v>
      </c>
      <c r="C269" s="1028" t="s">
        <v>168</v>
      </c>
      <c r="D269" s="1062"/>
      <c r="E269" s="1062"/>
      <c r="F269" s="1062"/>
      <c r="G269" s="1062"/>
      <c r="H269" s="1062"/>
      <c r="I269" s="1062"/>
      <c r="J269" s="1062"/>
      <c r="K269" s="1062"/>
      <c r="L269" s="1062"/>
      <c r="M269" s="1062"/>
      <c r="N269" s="1062"/>
      <c r="O269" s="1062"/>
      <c r="P269" s="1062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062"/>
      <c r="AC269" s="1062"/>
      <c r="AD269" s="1062"/>
      <c r="AE269" s="1025"/>
      <c r="AF269" s="1062"/>
      <c r="AG269" s="1062"/>
      <c r="AH269" s="1062"/>
      <c r="AI269" s="1069">
        <f t="shared" si="11"/>
        <v>0</v>
      </c>
      <c r="AJ269" s="635"/>
    </row>
    <row r="270" spans="1:36" s="51" customFormat="1" ht="16.149999999999999" customHeight="1" outlineLevel="1">
      <c r="A270" s="1025">
        <v>46</v>
      </c>
      <c r="B270" s="1025" t="str">
        <f>VLOOKUP(C270,'DS CN MOI UP'!$B$10:$C$347,2,0)</f>
        <v>02523</v>
      </c>
      <c r="C270" s="1028" t="s">
        <v>169</v>
      </c>
      <c r="D270" s="1062"/>
      <c r="E270" s="1062"/>
      <c r="F270" s="1062"/>
      <c r="G270" s="1062"/>
      <c r="H270" s="1062"/>
      <c r="I270" s="1062"/>
      <c r="J270" s="1062"/>
      <c r="K270" s="1062"/>
      <c r="L270" s="1062"/>
      <c r="M270" s="1062"/>
      <c r="N270" s="1062"/>
      <c r="O270" s="1062"/>
      <c r="P270" s="1062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062"/>
      <c r="AC270" s="1062"/>
      <c r="AD270" s="1062"/>
      <c r="AE270" s="1062"/>
      <c r="AF270" s="1062"/>
      <c r="AG270" s="1062"/>
      <c r="AH270" s="1062"/>
      <c r="AI270" s="1069">
        <f t="shared" si="11"/>
        <v>0</v>
      </c>
      <c r="AJ270" s="635"/>
    </row>
    <row r="271" spans="1:36" s="51" customFormat="1" ht="16.149999999999999" customHeight="1" outlineLevel="1">
      <c r="A271" s="1025">
        <v>47</v>
      </c>
      <c r="B271" s="1025" t="str">
        <f>VLOOKUP(C271,'DS CN MOI UP'!$B$10:$C$347,2,0)</f>
        <v>03369</v>
      </c>
      <c r="C271" s="1028" t="s">
        <v>170</v>
      </c>
      <c r="D271" s="1062"/>
      <c r="E271" s="1062"/>
      <c r="F271" s="1062"/>
      <c r="G271" s="1062"/>
      <c r="H271" s="1062"/>
      <c r="I271" s="1062"/>
      <c r="J271" s="1062"/>
      <c r="K271" s="1062"/>
      <c r="L271" s="1062"/>
      <c r="M271" s="1062"/>
      <c r="N271" s="1062"/>
      <c r="O271" s="1062"/>
      <c r="P271" s="1062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062"/>
      <c r="AC271" s="1062"/>
      <c r="AD271" s="1062"/>
      <c r="AE271" s="1062"/>
      <c r="AF271" s="1062"/>
      <c r="AG271" s="1062"/>
      <c r="AH271" s="1062"/>
      <c r="AI271" s="1069">
        <f t="shared" si="11"/>
        <v>0</v>
      </c>
      <c r="AJ271" s="635"/>
    </row>
    <row r="272" spans="1:36" s="51" customFormat="1" ht="16.149999999999999" customHeight="1" outlineLevel="1">
      <c r="A272" s="1025">
        <v>48</v>
      </c>
      <c r="B272" s="1025" t="str">
        <f>VLOOKUP(C272,'DS CN MOI UP'!$B$10:$C$347,2,0)</f>
        <v>03345</v>
      </c>
      <c r="C272" s="1028" t="s">
        <v>171</v>
      </c>
      <c r="D272" s="1062"/>
      <c r="E272" s="1062"/>
      <c r="F272" s="1062"/>
      <c r="G272" s="1062"/>
      <c r="H272" s="1062"/>
      <c r="I272" s="1062"/>
      <c r="J272" s="1062"/>
      <c r="K272" s="1062"/>
      <c r="L272" s="1062"/>
      <c r="M272" s="1062"/>
      <c r="N272" s="1062"/>
      <c r="O272" s="1062"/>
      <c r="P272" s="1062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062"/>
      <c r="AC272" s="1062"/>
      <c r="AD272" s="1025"/>
      <c r="AE272" s="1062"/>
      <c r="AF272" s="1062"/>
      <c r="AG272" s="1062"/>
      <c r="AH272" s="1062"/>
      <c r="AI272" s="1069">
        <f t="shared" si="11"/>
        <v>0</v>
      </c>
      <c r="AJ272" s="635"/>
    </row>
    <row r="273" spans="1:36" s="51" customFormat="1" ht="16.149999999999999" customHeight="1" outlineLevel="1">
      <c r="A273" s="1025">
        <v>49</v>
      </c>
      <c r="B273" s="1025" t="str">
        <f>VLOOKUP(C273,'DS CN MOI UP'!$B$10:$C$347,2,0)</f>
        <v>03371</v>
      </c>
      <c r="C273" s="1028" t="s">
        <v>172</v>
      </c>
      <c r="D273" s="1062"/>
      <c r="E273" s="1062"/>
      <c r="F273" s="1062"/>
      <c r="G273" s="1062"/>
      <c r="H273" s="1062"/>
      <c r="I273" s="1062"/>
      <c r="J273" s="1062"/>
      <c r="K273" s="1062"/>
      <c r="L273" s="1062"/>
      <c r="M273" s="1062"/>
      <c r="N273" s="1062"/>
      <c r="O273" s="1062"/>
      <c r="P273" s="1062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062"/>
      <c r="AC273" s="1062"/>
      <c r="AD273" s="1062"/>
      <c r="AE273" s="1062"/>
      <c r="AF273" s="1062"/>
      <c r="AG273" s="1062"/>
      <c r="AH273" s="1062"/>
      <c r="AI273" s="1069">
        <f t="shared" si="11"/>
        <v>0</v>
      </c>
      <c r="AJ273" s="635"/>
    </row>
    <row r="274" spans="1:36" s="51" customFormat="1" ht="16.149999999999999" customHeight="1" outlineLevel="1">
      <c r="A274" s="1025">
        <v>50</v>
      </c>
      <c r="B274" s="1025" t="str">
        <f>VLOOKUP(C274,'DS CN MOI UP'!$B$10:$C$347,2,0)</f>
        <v>02519</v>
      </c>
      <c r="C274" s="1028" t="s">
        <v>173</v>
      </c>
      <c r="D274" s="1062"/>
      <c r="E274" s="1062"/>
      <c r="F274" s="1062"/>
      <c r="G274" s="1062"/>
      <c r="H274" s="1062"/>
      <c r="I274" s="1062"/>
      <c r="J274" s="1062"/>
      <c r="K274" s="1062"/>
      <c r="L274" s="1062"/>
      <c r="M274" s="1062"/>
      <c r="N274" s="1062"/>
      <c r="O274" s="1062"/>
      <c r="P274" s="1062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062"/>
      <c r="AC274" s="1062"/>
      <c r="AD274" s="1025"/>
      <c r="AE274" s="1025"/>
      <c r="AF274" s="1062"/>
      <c r="AG274" s="1062"/>
      <c r="AH274" s="1062"/>
      <c r="AI274" s="1069">
        <f t="shared" si="11"/>
        <v>0</v>
      </c>
      <c r="AJ274" s="635"/>
    </row>
    <row r="275" spans="1:36" s="51" customFormat="1" ht="16.149999999999999" customHeight="1" outlineLevel="1">
      <c r="A275" s="1025">
        <v>51</v>
      </c>
      <c r="B275" s="1025" t="str">
        <f>VLOOKUP(C275,'DS CN MOI UP'!$B$10:$C$347,2,0)</f>
        <v>02692</v>
      </c>
      <c r="C275" s="1028" t="s">
        <v>174</v>
      </c>
      <c r="D275" s="1062"/>
      <c r="E275" s="1062"/>
      <c r="F275" s="1062"/>
      <c r="G275" s="1062"/>
      <c r="H275" s="1062"/>
      <c r="I275" s="1062"/>
      <c r="J275" s="1062"/>
      <c r="K275" s="1062"/>
      <c r="L275" s="1062"/>
      <c r="M275" s="1062"/>
      <c r="N275" s="1062"/>
      <c r="O275" s="1062"/>
      <c r="P275" s="1062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062"/>
      <c r="AC275" s="1062"/>
      <c r="AD275" s="1062"/>
      <c r="AE275" s="1062"/>
      <c r="AF275" s="1062"/>
      <c r="AG275" s="1062"/>
      <c r="AH275" s="1062"/>
      <c r="AI275" s="1069">
        <f t="shared" si="11"/>
        <v>0</v>
      </c>
      <c r="AJ275" s="635"/>
    </row>
    <row r="276" spans="1:36" s="1022" customFormat="1" ht="16.149999999999999" customHeight="1" outlineLevel="1">
      <c r="A276" s="1025">
        <v>52</v>
      </c>
      <c r="B276" s="1025" t="str">
        <f>VLOOKUP(C276,'DS CN MOI UP'!$B$10:$C$347,2,0)</f>
        <v>03372</v>
      </c>
      <c r="C276" s="1071" t="s">
        <v>175</v>
      </c>
      <c r="D276" s="1062"/>
      <c r="E276" s="1062"/>
      <c r="F276" s="1062"/>
      <c r="G276" s="1062"/>
      <c r="H276" s="1062"/>
      <c r="I276" s="1062"/>
      <c r="J276" s="1062"/>
      <c r="K276" s="1062"/>
      <c r="L276" s="1062"/>
      <c r="M276" s="1062"/>
      <c r="N276" s="1062"/>
      <c r="O276" s="1062"/>
      <c r="P276" s="1062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062"/>
      <c r="AC276" s="1062"/>
      <c r="AD276" s="1025"/>
      <c r="AE276" s="1062"/>
      <c r="AF276" s="1062"/>
      <c r="AG276" s="1062"/>
      <c r="AH276" s="1062"/>
      <c r="AI276" s="1069">
        <f t="shared" si="11"/>
        <v>0</v>
      </c>
      <c r="AJ276" s="635"/>
    </row>
    <row r="277" spans="1:36" s="1022" customFormat="1" ht="16.149999999999999" customHeight="1" outlineLevel="1">
      <c r="A277" s="1025">
        <v>53</v>
      </c>
      <c r="B277" s="1025" t="str">
        <f>VLOOKUP(C277,'DS CN MOI UP'!$B$10:$C$347,2,0)</f>
        <v>03365</v>
      </c>
      <c r="C277" s="1071" t="s">
        <v>176</v>
      </c>
      <c r="D277" s="1062"/>
      <c r="E277" s="1062"/>
      <c r="F277" s="1062"/>
      <c r="G277" s="1062"/>
      <c r="H277" s="1062"/>
      <c r="I277" s="1062"/>
      <c r="J277" s="1062"/>
      <c r="K277" s="1062"/>
      <c r="L277" s="1062"/>
      <c r="M277" s="1062"/>
      <c r="N277" s="1062"/>
      <c r="O277" s="1062"/>
      <c r="P277" s="1062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062"/>
      <c r="AC277" s="1062"/>
      <c r="AD277" s="1062"/>
      <c r="AE277" s="1062"/>
      <c r="AF277" s="1062"/>
      <c r="AG277" s="1062"/>
      <c r="AH277" s="1062"/>
      <c r="AI277" s="1069">
        <f t="shared" si="11"/>
        <v>0</v>
      </c>
      <c r="AJ277" s="635"/>
    </row>
    <row r="278" spans="1:36" s="1022" customFormat="1" ht="16.149999999999999" customHeight="1" outlineLevel="1">
      <c r="A278" s="1025">
        <v>54</v>
      </c>
      <c r="B278" s="1025" t="str">
        <f>VLOOKUP(C278,'DS CN MOI UP'!$B$10:$C$347,2,0)</f>
        <v>03373</v>
      </c>
      <c r="C278" s="1071" t="s">
        <v>177</v>
      </c>
      <c r="D278" s="1062"/>
      <c r="E278" s="1062"/>
      <c r="F278" s="1062"/>
      <c r="G278" s="1062"/>
      <c r="H278" s="1062"/>
      <c r="I278" s="1062"/>
      <c r="J278" s="1062"/>
      <c r="K278" s="1062"/>
      <c r="L278" s="1062"/>
      <c r="M278" s="1062"/>
      <c r="N278" s="1062"/>
      <c r="O278" s="1062"/>
      <c r="P278" s="1062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062"/>
      <c r="AC278" s="1062"/>
      <c r="AD278" s="1025"/>
      <c r="AE278" s="1062"/>
      <c r="AF278" s="1062"/>
      <c r="AG278" s="1062"/>
      <c r="AH278" s="1062"/>
      <c r="AI278" s="1069">
        <f t="shared" si="11"/>
        <v>0</v>
      </c>
      <c r="AJ278" s="635"/>
    </row>
    <row r="279" spans="1:36" s="1022" customFormat="1" ht="16.149999999999999" customHeight="1" outlineLevel="1">
      <c r="A279" s="1025">
        <v>55</v>
      </c>
      <c r="B279" s="1025" t="str">
        <f>VLOOKUP(C279,'DS CN MOI UP'!$B$10:$C$347,2,0)</f>
        <v>03374</v>
      </c>
      <c r="C279" s="1071" t="s">
        <v>178</v>
      </c>
      <c r="D279" s="1062"/>
      <c r="E279" s="1062"/>
      <c r="F279" s="1062"/>
      <c r="G279" s="1062"/>
      <c r="H279" s="1062"/>
      <c r="I279" s="1062"/>
      <c r="J279" s="1062"/>
      <c r="K279" s="1062"/>
      <c r="L279" s="1062"/>
      <c r="M279" s="1062"/>
      <c r="N279" s="1062"/>
      <c r="O279" s="1062"/>
      <c r="P279" s="1062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062"/>
      <c r="AC279" s="1062"/>
      <c r="AD279" s="1062"/>
      <c r="AE279" s="1025"/>
      <c r="AF279" s="1062"/>
      <c r="AG279" s="1062"/>
      <c r="AH279" s="1062"/>
      <c r="AI279" s="1069">
        <f t="shared" si="11"/>
        <v>0</v>
      </c>
      <c r="AJ279" s="635"/>
    </row>
    <row r="280" spans="1:36" s="1022" customFormat="1" ht="16.149999999999999" customHeight="1" outlineLevel="1">
      <c r="A280" s="1025">
        <v>56</v>
      </c>
      <c r="B280" s="1025" t="str">
        <f>VLOOKUP(C280,'DS CN MOI UP'!$B$10:$C$347,2,0)</f>
        <v>02557</v>
      </c>
      <c r="C280" s="1071" t="s">
        <v>179</v>
      </c>
      <c r="D280" s="1062"/>
      <c r="E280" s="1062"/>
      <c r="F280" s="1062"/>
      <c r="G280" s="1062"/>
      <c r="H280" s="1062"/>
      <c r="I280" s="1062"/>
      <c r="J280" s="1062"/>
      <c r="K280" s="1062"/>
      <c r="L280" s="1062"/>
      <c r="M280" s="1062"/>
      <c r="N280" s="1062"/>
      <c r="O280" s="1062"/>
      <c r="P280" s="1062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062"/>
      <c r="AC280" s="1062"/>
      <c r="AD280" s="1062"/>
      <c r="AE280" s="1062"/>
      <c r="AF280" s="1062"/>
      <c r="AG280" s="1062"/>
      <c r="AH280" s="1062"/>
      <c r="AI280" s="1069">
        <f t="shared" si="11"/>
        <v>0</v>
      </c>
      <c r="AJ280" s="635"/>
    </row>
    <row r="281" spans="1:36" s="1022" customFormat="1" ht="16.149999999999999" customHeight="1" outlineLevel="1">
      <c r="A281" s="1025">
        <v>57</v>
      </c>
      <c r="B281" s="1025" t="str">
        <f>VLOOKUP(C281,'DS CN MOI UP'!$B$10:$C$347,2,0)</f>
        <v>02525</v>
      </c>
      <c r="C281" s="1071" t="s">
        <v>180</v>
      </c>
      <c r="D281" s="1062"/>
      <c r="E281" s="1062"/>
      <c r="F281" s="1062"/>
      <c r="G281" s="1062"/>
      <c r="H281" s="1062"/>
      <c r="I281" s="1062"/>
      <c r="J281" s="1062"/>
      <c r="K281" s="1062"/>
      <c r="L281" s="1062"/>
      <c r="M281" s="1062"/>
      <c r="N281" s="1062"/>
      <c r="O281" s="1062"/>
      <c r="P281" s="1062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062"/>
      <c r="AC281" s="1062"/>
      <c r="AD281" s="1025"/>
      <c r="AE281" s="1025"/>
      <c r="AF281" s="1062"/>
      <c r="AG281" s="1062"/>
      <c r="AH281" s="1062"/>
      <c r="AI281" s="1069">
        <f t="shared" si="11"/>
        <v>0</v>
      </c>
      <c r="AJ281" s="635"/>
    </row>
    <row r="282" spans="1:36" s="1022" customFormat="1" ht="16.149999999999999" customHeight="1" outlineLevel="1">
      <c r="A282" s="1025">
        <v>58</v>
      </c>
      <c r="B282" s="1025" t="str">
        <f>VLOOKUP(C282,'DS CN MOI UP'!$B$10:$C$347,2,0)</f>
        <v>03375</v>
      </c>
      <c r="C282" s="1071" t="s">
        <v>181</v>
      </c>
      <c r="D282" s="1062"/>
      <c r="E282" s="1062"/>
      <c r="F282" s="1062"/>
      <c r="G282" s="1062"/>
      <c r="H282" s="1062"/>
      <c r="I282" s="1062"/>
      <c r="J282" s="1062"/>
      <c r="K282" s="1062"/>
      <c r="L282" s="1062"/>
      <c r="M282" s="1062"/>
      <c r="N282" s="1062"/>
      <c r="O282" s="1062"/>
      <c r="P282" s="1062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062"/>
      <c r="AC282" s="1062"/>
      <c r="AD282" s="1062"/>
      <c r="AE282" s="1025"/>
      <c r="AF282" s="1062"/>
      <c r="AG282" s="1062"/>
      <c r="AH282" s="1062"/>
      <c r="AI282" s="1069">
        <f t="shared" si="11"/>
        <v>0</v>
      </c>
      <c r="AJ282" s="635"/>
    </row>
    <row r="283" spans="1:36" s="1022" customFormat="1" ht="16.149999999999999" customHeight="1" outlineLevel="1">
      <c r="A283" s="1025">
        <v>59</v>
      </c>
      <c r="B283" s="1025" t="str">
        <f>VLOOKUP(C283,'DS CN MOI UP'!$B$10:$C$347,2,0)</f>
        <v>02691</v>
      </c>
      <c r="C283" s="1071" t="s">
        <v>182</v>
      </c>
      <c r="D283" s="1062"/>
      <c r="E283" s="1062"/>
      <c r="F283" s="1062"/>
      <c r="G283" s="1062"/>
      <c r="H283" s="1062"/>
      <c r="I283" s="1062"/>
      <c r="J283" s="1062"/>
      <c r="K283" s="1062"/>
      <c r="L283" s="1062"/>
      <c r="M283" s="1062"/>
      <c r="N283" s="1062"/>
      <c r="O283" s="1062"/>
      <c r="P283" s="1062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062"/>
      <c r="AC283" s="1062"/>
      <c r="AD283" s="1062"/>
      <c r="AE283" s="1025"/>
      <c r="AF283" s="1025"/>
      <c r="AG283" s="1062"/>
      <c r="AH283" s="1062"/>
      <c r="AI283" s="1069">
        <f t="shared" si="11"/>
        <v>0</v>
      </c>
      <c r="AJ283" s="635"/>
    </row>
    <row r="284" spans="1:36" s="1022" customFormat="1" ht="16.149999999999999" customHeight="1" outlineLevel="1">
      <c r="A284" s="1025">
        <v>60</v>
      </c>
      <c r="B284" s="1025" t="str">
        <f>VLOOKUP(C284,'DS CN MOI UP'!$B$10:$C$347,2,0)</f>
        <v>03376</v>
      </c>
      <c r="C284" s="1071" t="s">
        <v>183</v>
      </c>
      <c r="D284" s="1062"/>
      <c r="E284" s="1062"/>
      <c r="F284" s="1062"/>
      <c r="G284" s="1062"/>
      <c r="H284" s="1062"/>
      <c r="I284" s="1062"/>
      <c r="J284" s="1062"/>
      <c r="K284" s="1062"/>
      <c r="L284" s="1062"/>
      <c r="M284" s="1062"/>
      <c r="N284" s="1062"/>
      <c r="O284" s="1062"/>
      <c r="P284" s="1062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062"/>
      <c r="AC284" s="1062"/>
      <c r="AD284" s="1025"/>
      <c r="AE284" s="1062"/>
      <c r="AF284" s="1062"/>
      <c r="AG284" s="1062"/>
      <c r="AH284" s="1062"/>
      <c r="AI284" s="1069">
        <f t="shared" si="11"/>
        <v>0</v>
      </c>
      <c r="AJ284" s="635"/>
    </row>
    <row r="285" spans="1:36" s="1022" customFormat="1" ht="16.149999999999999" customHeight="1" outlineLevel="1">
      <c r="A285" s="1025">
        <v>61</v>
      </c>
      <c r="B285" s="1025" t="str">
        <f>VLOOKUP(C285,'DS CN MOI UP'!$B$10:$C$347,2,0)</f>
        <v>03377</v>
      </c>
      <c r="C285" s="1071" t="s">
        <v>184</v>
      </c>
      <c r="D285" s="1062"/>
      <c r="E285" s="1062"/>
      <c r="F285" s="1062"/>
      <c r="G285" s="1062"/>
      <c r="H285" s="1062"/>
      <c r="I285" s="1062"/>
      <c r="J285" s="1062"/>
      <c r="K285" s="1062"/>
      <c r="L285" s="1062"/>
      <c r="M285" s="1062"/>
      <c r="N285" s="1062"/>
      <c r="O285" s="1062"/>
      <c r="P285" s="1062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062"/>
      <c r="AC285" s="1062"/>
      <c r="AD285" s="1062"/>
      <c r="AE285" s="1062"/>
      <c r="AF285" s="1062"/>
      <c r="AG285" s="1062"/>
      <c r="AH285" s="1062"/>
      <c r="AI285" s="1069">
        <f t="shared" si="11"/>
        <v>0</v>
      </c>
      <c r="AJ285" s="635"/>
    </row>
    <row r="286" spans="1:36" s="1022" customFormat="1" ht="16.149999999999999" customHeight="1" outlineLevel="1">
      <c r="A286" s="1025">
        <v>62</v>
      </c>
      <c r="B286" s="1025" t="str">
        <f>VLOOKUP(C286,'DS CN MOI UP'!$B$10:$C$347,2,0)</f>
        <v>02541</v>
      </c>
      <c r="C286" s="1071" t="s">
        <v>185</v>
      </c>
      <c r="D286" s="1062"/>
      <c r="E286" s="1062"/>
      <c r="F286" s="1062"/>
      <c r="G286" s="1062"/>
      <c r="H286" s="1062"/>
      <c r="I286" s="1062"/>
      <c r="J286" s="1062"/>
      <c r="K286" s="1062"/>
      <c r="L286" s="1062"/>
      <c r="M286" s="1062"/>
      <c r="N286" s="1062"/>
      <c r="O286" s="1062"/>
      <c r="P286" s="1062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062"/>
      <c r="AC286" s="1062"/>
      <c r="AD286" s="1025"/>
      <c r="AE286" s="1062"/>
      <c r="AF286" s="1062"/>
      <c r="AG286" s="1062"/>
      <c r="AH286" s="1062"/>
      <c r="AI286" s="1069">
        <f t="shared" si="11"/>
        <v>0</v>
      </c>
      <c r="AJ286" s="635"/>
    </row>
    <row r="287" spans="1:36" s="1022" customFormat="1" ht="16.149999999999999" customHeight="1" outlineLevel="1">
      <c r="A287" s="1025">
        <v>63</v>
      </c>
      <c r="B287" s="1025" t="str">
        <f>VLOOKUP(C287,'DS CN MOI UP'!$B$10:$C$347,2,0)</f>
        <v>02690</v>
      </c>
      <c r="C287" s="1071" t="s">
        <v>186</v>
      </c>
      <c r="D287" s="1062"/>
      <c r="E287" s="1062"/>
      <c r="F287" s="1062"/>
      <c r="G287" s="1062"/>
      <c r="H287" s="1062"/>
      <c r="I287" s="1062"/>
      <c r="J287" s="1062"/>
      <c r="K287" s="1062"/>
      <c r="L287" s="1062"/>
      <c r="M287" s="1062"/>
      <c r="N287" s="1062"/>
      <c r="O287" s="1062"/>
      <c r="P287" s="1062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062"/>
      <c r="AC287" s="1062"/>
      <c r="AD287" s="1062"/>
      <c r="AE287" s="1062"/>
      <c r="AF287" s="1062"/>
      <c r="AG287" s="1062"/>
      <c r="AH287" s="1062"/>
      <c r="AI287" s="1069">
        <f t="shared" si="11"/>
        <v>0</v>
      </c>
      <c r="AJ287" s="635"/>
    </row>
    <row r="288" spans="1:36" s="1022" customFormat="1" ht="16.149999999999999" customHeight="1" outlineLevel="1">
      <c r="A288" s="1025">
        <v>64</v>
      </c>
      <c r="B288" s="1025" t="str">
        <f>VLOOKUP(C288,'DS CN MOI UP'!$B$10:$C$347,2,0)</f>
        <v>03378</v>
      </c>
      <c r="C288" s="1071" t="s">
        <v>187</v>
      </c>
      <c r="D288" s="1062"/>
      <c r="E288" s="1062"/>
      <c r="F288" s="1062"/>
      <c r="G288" s="1062"/>
      <c r="H288" s="1062"/>
      <c r="I288" s="1062"/>
      <c r="J288" s="1062"/>
      <c r="K288" s="1062"/>
      <c r="L288" s="1062"/>
      <c r="M288" s="1062"/>
      <c r="N288" s="1062"/>
      <c r="O288" s="1062"/>
      <c r="P288" s="1062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062"/>
      <c r="AC288" s="1062"/>
      <c r="AD288" s="1062"/>
      <c r="AE288" s="1025"/>
      <c r="AF288" s="1062"/>
      <c r="AG288" s="1062"/>
      <c r="AH288" s="1062"/>
      <c r="AI288" s="1069">
        <f t="shared" si="11"/>
        <v>0</v>
      </c>
      <c r="AJ288" s="635"/>
    </row>
    <row r="289" spans="1:36" s="1022" customFormat="1" ht="16.149999999999999" customHeight="1" outlineLevel="1">
      <c r="A289" s="1025">
        <v>65</v>
      </c>
      <c r="B289" s="1025" t="str">
        <f>VLOOKUP(C289,'DS CN MOI UP'!$B$10:$C$347,2,0)</f>
        <v>02520</v>
      </c>
      <c r="C289" s="1071" t="s">
        <v>188</v>
      </c>
      <c r="D289" s="1062"/>
      <c r="E289" s="1062"/>
      <c r="F289" s="1062"/>
      <c r="G289" s="1062"/>
      <c r="H289" s="1062"/>
      <c r="I289" s="1062"/>
      <c r="J289" s="1062"/>
      <c r="K289" s="1062"/>
      <c r="L289" s="1062"/>
      <c r="M289" s="1062"/>
      <c r="N289" s="1062"/>
      <c r="O289" s="1062"/>
      <c r="P289" s="1062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062"/>
      <c r="AC289" s="1062"/>
      <c r="AD289" s="1062"/>
      <c r="AE289" s="1062"/>
      <c r="AF289" s="1062"/>
      <c r="AG289" s="1062"/>
      <c r="AH289" s="1062"/>
      <c r="AI289" s="1069">
        <f t="shared" ref="AI289:AI308" si="12">COUNTIF(D289:AH289,"X")</f>
        <v>0</v>
      </c>
      <c r="AJ289" s="635"/>
    </row>
    <row r="290" spans="1:36" s="1022" customFormat="1" ht="16.149999999999999" customHeight="1" outlineLevel="1">
      <c r="A290" s="1025">
        <v>66</v>
      </c>
      <c r="B290" s="1025" t="str">
        <f>VLOOKUP(C290,'DS CN MOI UP'!$B$10:$C$347,2,0)</f>
        <v>02543</v>
      </c>
      <c r="C290" s="1071" t="s">
        <v>189</v>
      </c>
      <c r="D290" s="1062"/>
      <c r="E290" s="1062"/>
      <c r="F290" s="1062"/>
      <c r="G290" s="1062"/>
      <c r="H290" s="1062"/>
      <c r="I290" s="1062"/>
      <c r="J290" s="1062"/>
      <c r="K290" s="1062"/>
      <c r="L290" s="1062"/>
      <c r="M290" s="1062"/>
      <c r="N290" s="1062"/>
      <c r="O290" s="1062"/>
      <c r="P290" s="1062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062"/>
      <c r="AC290" s="1062"/>
      <c r="AD290" s="1062"/>
      <c r="AE290" s="1062"/>
      <c r="AF290" s="1062"/>
      <c r="AG290" s="1062"/>
      <c r="AH290" s="1062"/>
      <c r="AI290" s="1069">
        <f t="shared" si="12"/>
        <v>0</v>
      </c>
      <c r="AJ290" s="635"/>
    </row>
    <row r="291" spans="1:36" s="1022" customFormat="1" ht="16.149999999999999" customHeight="1" outlineLevel="1">
      <c r="A291" s="1025">
        <v>67</v>
      </c>
      <c r="B291" s="1025" t="str">
        <f>VLOOKUP(C291,'DS CN MOI UP'!$B$10:$C$347,2,0)</f>
        <v>03379</v>
      </c>
      <c r="C291" s="1071" t="s">
        <v>190</v>
      </c>
      <c r="D291" s="1062"/>
      <c r="E291" s="1062"/>
      <c r="F291" s="1062"/>
      <c r="G291" s="1062"/>
      <c r="H291" s="1062"/>
      <c r="I291" s="1062"/>
      <c r="J291" s="1062"/>
      <c r="K291" s="1062"/>
      <c r="L291" s="1062"/>
      <c r="M291" s="1062"/>
      <c r="N291" s="1062"/>
      <c r="O291" s="1062"/>
      <c r="P291" s="1062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062"/>
      <c r="AC291" s="1062"/>
      <c r="AD291" s="1062"/>
      <c r="AE291" s="1062"/>
      <c r="AF291" s="1062"/>
      <c r="AG291" s="1062"/>
      <c r="AH291" s="1062"/>
      <c r="AI291" s="1069">
        <f t="shared" si="12"/>
        <v>0</v>
      </c>
      <c r="AJ291" s="635"/>
    </row>
    <row r="292" spans="1:36" s="1022" customFormat="1" ht="16.149999999999999" customHeight="1" outlineLevel="1">
      <c r="A292" s="1025">
        <v>68</v>
      </c>
      <c r="B292" s="1025" t="str">
        <f>VLOOKUP(C292,'DS CN MOI UP'!$B$10:$C$347,2,0)</f>
        <v>03354</v>
      </c>
      <c r="C292" s="1071" t="s">
        <v>191</v>
      </c>
      <c r="D292" s="1062"/>
      <c r="E292" s="1062"/>
      <c r="F292" s="1062"/>
      <c r="G292" s="1062"/>
      <c r="H292" s="1062"/>
      <c r="I292" s="1062"/>
      <c r="J292" s="1062"/>
      <c r="K292" s="1062"/>
      <c r="L292" s="1062"/>
      <c r="M292" s="1062"/>
      <c r="N292" s="1062"/>
      <c r="O292" s="1062"/>
      <c r="P292" s="1062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062"/>
      <c r="AC292" s="1062"/>
      <c r="AD292" s="1062"/>
      <c r="AE292" s="1062"/>
      <c r="AF292" s="1062"/>
      <c r="AG292" s="1062"/>
      <c r="AH292" s="1062"/>
      <c r="AI292" s="1069">
        <f t="shared" si="12"/>
        <v>0</v>
      </c>
      <c r="AJ292" s="635"/>
    </row>
    <row r="293" spans="1:36" s="1022" customFormat="1" ht="16.149999999999999" customHeight="1" outlineLevel="1">
      <c r="A293" s="1025">
        <v>69</v>
      </c>
      <c r="B293" s="1025" t="e">
        <f>VLOOKUP(C293,'DS CN MOI UP'!$B$10:$C$347,2,0)</f>
        <v>#N/A</v>
      </c>
      <c r="C293" s="1071" t="s">
        <v>192</v>
      </c>
      <c r="D293" s="1062"/>
      <c r="E293" s="1062"/>
      <c r="F293" s="1062"/>
      <c r="G293" s="1062"/>
      <c r="H293" s="1062"/>
      <c r="I293" s="1062"/>
      <c r="J293" s="1062"/>
      <c r="K293" s="1062"/>
      <c r="L293" s="1062"/>
      <c r="M293" s="1062"/>
      <c r="N293" s="1062"/>
      <c r="O293" s="1062"/>
      <c r="P293" s="1062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062"/>
      <c r="AC293" s="1062"/>
      <c r="AD293" s="1062"/>
      <c r="AE293" s="1062"/>
      <c r="AF293" s="1062"/>
      <c r="AG293" s="1062"/>
      <c r="AH293" s="1062"/>
      <c r="AI293" s="1069">
        <f t="shared" si="12"/>
        <v>0</v>
      </c>
      <c r="AJ293" s="635"/>
    </row>
    <row r="294" spans="1:36" s="1022" customFormat="1" ht="16.149999999999999" customHeight="1" outlineLevel="1">
      <c r="A294" s="1025">
        <v>70</v>
      </c>
      <c r="B294" s="1025" t="str">
        <f>VLOOKUP(C294,'DS CN MOI UP'!$B$10:$C$347,2,0)</f>
        <v>02529</v>
      </c>
      <c r="C294" s="1071" t="s">
        <v>193</v>
      </c>
      <c r="D294" s="1062"/>
      <c r="E294" s="1062"/>
      <c r="F294" s="1062"/>
      <c r="G294" s="1062"/>
      <c r="H294" s="1062"/>
      <c r="I294" s="1062"/>
      <c r="J294" s="1062"/>
      <c r="K294" s="1062"/>
      <c r="L294" s="1062"/>
      <c r="M294" s="1062"/>
      <c r="N294" s="1062"/>
      <c r="O294" s="1062"/>
      <c r="P294" s="1062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062"/>
      <c r="AC294" s="1062"/>
      <c r="AD294" s="1062"/>
      <c r="AE294" s="1062"/>
      <c r="AF294" s="1062"/>
      <c r="AG294" s="1062"/>
      <c r="AH294" s="1062"/>
      <c r="AI294" s="1069">
        <f t="shared" si="12"/>
        <v>0</v>
      </c>
      <c r="AJ294" s="635"/>
    </row>
    <row r="295" spans="1:36" s="1022" customFormat="1" ht="16.149999999999999" customHeight="1" outlineLevel="1">
      <c r="A295" s="1025">
        <v>71</v>
      </c>
      <c r="B295" s="1025" t="str">
        <f>VLOOKUP(C295,'DS CN MOI UP'!$B$10:$C$347,2,0)</f>
        <v>02531</v>
      </c>
      <c r="C295" s="1071" t="s">
        <v>194</v>
      </c>
      <c r="D295" s="1062"/>
      <c r="E295" s="1062"/>
      <c r="F295" s="1062"/>
      <c r="G295" s="1062"/>
      <c r="H295" s="1062"/>
      <c r="I295" s="1062"/>
      <c r="J295" s="1062"/>
      <c r="K295" s="1062"/>
      <c r="L295" s="1062"/>
      <c r="M295" s="1062"/>
      <c r="N295" s="1062"/>
      <c r="O295" s="1062"/>
      <c r="P295" s="1062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062"/>
      <c r="AC295" s="1062"/>
      <c r="AD295" s="1062"/>
      <c r="AE295" s="1062"/>
      <c r="AF295" s="1062"/>
      <c r="AG295" s="1062"/>
      <c r="AH295" s="1062"/>
      <c r="AI295" s="1069">
        <f t="shared" si="12"/>
        <v>0</v>
      </c>
      <c r="AJ295" s="635"/>
    </row>
    <row r="296" spans="1:36" s="1022" customFormat="1" ht="16.149999999999999" customHeight="1" outlineLevel="1">
      <c r="A296" s="1025">
        <v>72</v>
      </c>
      <c r="B296" s="1025" t="str">
        <f>VLOOKUP(C296,'DS CN MOI UP'!$B$10:$C$347,2,0)</f>
        <v>02539</v>
      </c>
      <c r="C296" s="1071" t="s">
        <v>195</v>
      </c>
      <c r="D296" s="1062"/>
      <c r="E296" s="1062"/>
      <c r="F296" s="1062"/>
      <c r="G296" s="1062"/>
      <c r="H296" s="1062"/>
      <c r="I296" s="1062"/>
      <c r="J296" s="1062"/>
      <c r="K296" s="1062"/>
      <c r="L296" s="1062"/>
      <c r="M296" s="1062"/>
      <c r="N296" s="1062"/>
      <c r="O296" s="1062"/>
      <c r="P296" s="1062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062"/>
      <c r="AC296" s="1062"/>
      <c r="AD296" s="1062"/>
      <c r="AE296" s="1062"/>
      <c r="AF296" s="1062"/>
      <c r="AG296" s="1062"/>
      <c r="AH296" s="1062"/>
      <c r="AI296" s="1069">
        <f t="shared" si="12"/>
        <v>0</v>
      </c>
      <c r="AJ296" s="635"/>
    </row>
    <row r="297" spans="1:36" s="1022" customFormat="1" ht="16.149999999999999" customHeight="1" outlineLevel="1">
      <c r="A297" s="1025">
        <v>73</v>
      </c>
      <c r="B297" s="1025" t="str">
        <f>VLOOKUP(C297,'DS CN MOI UP'!$B$10:$C$347,2,0)</f>
        <v>03380</v>
      </c>
      <c r="C297" s="1071" t="s">
        <v>196</v>
      </c>
      <c r="D297" s="1062"/>
      <c r="E297" s="1062"/>
      <c r="F297" s="1062"/>
      <c r="G297" s="1062"/>
      <c r="H297" s="1062"/>
      <c r="I297" s="1062"/>
      <c r="J297" s="1062"/>
      <c r="K297" s="1062"/>
      <c r="L297" s="1062"/>
      <c r="M297" s="1062"/>
      <c r="N297" s="1062"/>
      <c r="O297" s="1062"/>
      <c r="P297" s="1062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062"/>
      <c r="AC297" s="1062"/>
      <c r="AD297" s="1025"/>
      <c r="AE297" s="1025"/>
      <c r="AF297" s="1062"/>
      <c r="AG297" s="1062"/>
      <c r="AH297" s="1062"/>
      <c r="AI297" s="1069">
        <f t="shared" si="12"/>
        <v>0</v>
      </c>
      <c r="AJ297" s="635"/>
    </row>
    <row r="298" spans="1:36" s="1022" customFormat="1" ht="16.149999999999999" customHeight="1" outlineLevel="1">
      <c r="A298" s="1025">
        <v>74</v>
      </c>
      <c r="B298" s="1025" t="str">
        <f>VLOOKUP(C298,'DS CN MOI UP'!$B$10:$C$347,2,0)</f>
        <v>02561</v>
      </c>
      <c r="C298" s="1071" t="s">
        <v>197</v>
      </c>
      <c r="D298" s="1062"/>
      <c r="E298" s="1062"/>
      <c r="F298" s="1062"/>
      <c r="G298" s="1062"/>
      <c r="H298" s="1062"/>
      <c r="I298" s="1062"/>
      <c r="J298" s="1062"/>
      <c r="K298" s="1062"/>
      <c r="L298" s="1062"/>
      <c r="M298" s="1062"/>
      <c r="N298" s="1062"/>
      <c r="O298" s="1062"/>
      <c r="P298" s="1062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062"/>
      <c r="AC298" s="1062"/>
      <c r="AD298" s="1062"/>
      <c r="AE298" s="1025"/>
      <c r="AF298" s="1062"/>
      <c r="AG298" s="1062"/>
      <c r="AH298" s="1062"/>
      <c r="AI298" s="1069">
        <f t="shared" si="12"/>
        <v>0</v>
      </c>
      <c r="AJ298" s="635"/>
    </row>
    <row r="299" spans="1:36" s="1022" customFormat="1" ht="16.149999999999999" customHeight="1" outlineLevel="1">
      <c r="A299" s="1025">
        <v>75</v>
      </c>
      <c r="B299" s="1025" t="str">
        <f>VLOOKUP(C299,'DS CN MOI UP'!$B$10:$C$347,2,0)</f>
        <v>02533</v>
      </c>
      <c r="C299" s="1071" t="s">
        <v>198</v>
      </c>
      <c r="D299" s="1062"/>
      <c r="E299" s="1062"/>
      <c r="F299" s="1062"/>
      <c r="G299" s="1062"/>
      <c r="H299" s="1062"/>
      <c r="I299" s="1062"/>
      <c r="J299" s="1062"/>
      <c r="K299" s="1062"/>
      <c r="L299" s="1062"/>
      <c r="M299" s="1062"/>
      <c r="N299" s="1062"/>
      <c r="O299" s="1062"/>
      <c r="P299" s="1062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062"/>
      <c r="AC299" s="1062"/>
      <c r="AD299" s="1062"/>
      <c r="AE299" s="1025"/>
      <c r="AF299" s="1062"/>
      <c r="AG299" s="1062"/>
      <c r="AH299" s="1062"/>
      <c r="AI299" s="1069">
        <f t="shared" si="12"/>
        <v>0</v>
      </c>
      <c r="AJ299" s="635"/>
    </row>
    <row r="300" spans="1:36" s="1022" customFormat="1" ht="16.149999999999999" customHeight="1" outlineLevel="1">
      <c r="A300" s="1025">
        <v>76</v>
      </c>
      <c r="B300" s="1025" t="str">
        <f>VLOOKUP(C300,'DS CN MOI UP'!$B$10:$C$347,2,0)</f>
        <v>02547</v>
      </c>
      <c r="C300" s="1071" t="s">
        <v>199</v>
      </c>
      <c r="D300" s="1062"/>
      <c r="E300" s="1062"/>
      <c r="F300" s="1062"/>
      <c r="G300" s="1062"/>
      <c r="H300" s="1062"/>
      <c r="I300" s="1062"/>
      <c r="J300" s="1062"/>
      <c r="K300" s="1062"/>
      <c r="L300" s="1062"/>
      <c r="M300" s="1062"/>
      <c r="N300" s="1062"/>
      <c r="O300" s="1062"/>
      <c r="P300" s="1062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062"/>
      <c r="AC300" s="1062"/>
      <c r="AD300" s="1062"/>
      <c r="AE300" s="1062"/>
      <c r="AF300" s="1062"/>
      <c r="AG300" s="1062"/>
      <c r="AH300" s="1062"/>
      <c r="AI300" s="1069">
        <f t="shared" si="12"/>
        <v>0</v>
      </c>
      <c r="AJ300" s="635"/>
    </row>
    <row r="301" spans="1:36" s="1022" customFormat="1" ht="16.149999999999999" customHeight="1" outlineLevel="1">
      <c r="A301" s="1025">
        <v>77</v>
      </c>
      <c r="B301" s="1025" t="str">
        <f>VLOOKUP(C301,'DS CN MOI UP'!$B$10:$C$347,2,0)</f>
        <v>02550</v>
      </c>
      <c r="C301" s="1071" t="s">
        <v>200</v>
      </c>
      <c r="D301" s="1062"/>
      <c r="E301" s="1062"/>
      <c r="F301" s="1062"/>
      <c r="G301" s="1062"/>
      <c r="H301" s="1062"/>
      <c r="I301" s="1062"/>
      <c r="J301" s="1062"/>
      <c r="K301" s="1062"/>
      <c r="L301" s="1062"/>
      <c r="M301" s="1062"/>
      <c r="N301" s="1062"/>
      <c r="O301" s="1062"/>
      <c r="P301" s="1062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062"/>
      <c r="AC301" s="1062"/>
      <c r="AD301" s="1062"/>
      <c r="AE301" s="1062"/>
      <c r="AF301" s="1062"/>
      <c r="AG301" s="1062"/>
      <c r="AH301" s="1062"/>
      <c r="AI301" s="1069">
        <f t="shared" si="12"/>
        <v>0</v>
      </c>
      <c r="AJ301" s="635"/>
    </row>
    <row r="302" spans="1:36" s="1022" customFormat="1" ht="16.149999999999999" customHeight="1" outlineLevel="1">
      <c r="A302" s="1025">
        <v>78</v>
      </c>
      <c r="B302" s="1025" t="str">
        <f>VLOOKUP(C302,'DS CN MOI UP'!$B$10:$C$347,2,0)</f>
        <v>02566</v>
      </c>
      <c r="C302" s="1071" t="s">
        <v>201</v>
      </c>
      <c r="D302" s="1062"/>
      <c r="E302" s="1062"/>
      <c r="F302" s="1062"/>
      <c r="G302" s="1062"/>
      <c r="H302" s="1062"/>
      <c r="I302" s="1062"/>
      <c r="J302" s="1062"/>
      <c r="K302" s="1062"/>
      <c r="L302" s="1062"/>
      <c r="M302" s="1062"/>
      <c r="N302" s="1062"/>
      <c r="O302" s="1062"/>
      <c r="P302" s="1062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062"/>
      <c r="AC302" s="1062"/>
      <c r="AD302" s="1062"/>
      <c r="AE302" s="1062"/>
      <c r="AF302" s="1062"/>
      <c r="AG302" s="1062"/>
      <c r="AH302" s="1062"/>
      <c r="AI302" s="1069">
        <f t="shared" si="12"/>
        <v>0</v>
      </c>
      <c r="AJ302" s="635"/>
    </row>
    <row r="303" spans="1:36" s="1022" customFormat="1" ht="16.149999999999999" customHeight="1" outlineLevel="1">
      <c r="A303" s="1025">
        <v>79</v>
      </c>
      <c r="B303" s="1025" t="str">
        <f>VLOOKUP(C303,'DS CN MOI UP'!$B$10:$C$347,2,0)</f>
        <v>03381</v>
      </c>
      <c r="C303" s="1071" t="s">
        <v>202</v>
      </c>
      <c r="D303" s="1062"/>
      <c r="E303" s="1062"/>
      <c r="F303" s="1062"/>
      <c r="G303" s="1062"/>
      <c r="H303" s="1062"/>
      <c r="I303" s="1062"/>
      <c r="J303" s="1062"/>
      <c r="K303" s="1062"/>
      <c r="L303" s="1062"/>
      <c r="M303" s="1062"/>
      <c r="N303" s="1062"/>
      <c r="O303" s="1062"/>
      <c r="P303" s="1062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062"/>
      <c r="AC303" s="1062"/>
      <c r="AD303" s="1062"/>
      <c r="AE303" s="1062"/>
      <c r="AF303" s="1062"/>
      <c r="AG303" s="1062"/>
      <c r="AH303" s="1062"/>
      <c r="AI303" s="1069">
        <f t="shared" si="12"/>
        <v>0</v>
      </c>
      <c r="AJ303" s="635"/>
    </row>
    <row r="304" spans="1:36" s="1022" customFormat="1" ht="16.149999999999999" customHeight="1" outlineLevel="1">
      <c r="A304" s="1025">
        <v>80</v>
      </c>
      <c r="B304" s="1025" t="str">
        <f>VLOOKUP(C304,'DS CN MOI UP'!$B$10:$C$347,2,0)</f>
        <v>02689</v>
      </c>
      <c r="C304" s="1071" t="s">
        <v>203</v>
      </c>
      <c r="D304" s="1062"/>
      <c r="E304" s="1062"/>
      <c r="F304" s="1062"/>
      <c r="G304" s="1062"/>
      <c r="H304" s="1062"/>
      <c r="I304" s="1062"/>
      <c r="J304" s="1062"/>
      <c r="K304" s="1062"/>
      <c r="L304" s="1062"/>
      <c r="M304" s="1062"/>
      <c r="N304" s="1062"/>
      <c r="O304" s="1062"/>
      <c r="P304" s="1062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062"/>
      <c r="AC304" s="1062"/>
      <c r="AD304" s="1062"/>
      <c r="AE304" s="1062"/>
      <c r="AF304" s="1062"/>
      <c r="AG304" s="1062"/>
      <c r="AH304" s="1062"/>
      <c r="AI304" s="1069">
        <f t="shared" si="12"/>
        <v>0</v>
      </c>
      <c r="AJ304" s="635"/>
    </row>
    <row r="305" spans="1:37" s="1022" customFormat="1" ht="16.149999999999999" customHeight="1" outlineLevel="1">
      <c r="A305" s="1025">
        <v>81</v>
      </c>
      <c r="B305" s="1025" t="str">
        <f>VLOOKUP(C305,'DS CN MOI UP'!$B$10:$C$347,2,0)</f>
        <v>02546</v>
      </c>
      <c r="C305" s="1071" t="s">
        <v>204</v>
      </c>
      <c r="D305" s="1062"/>
      <c r="E305" s="1062"/>
      <c r="F305" s="1062"/>
      <c r="G305" s="1062"/>
      <c r="H305" s="1062"/>
      <c r="I305" s="1062"/>
      <c r="J305" s="1062"/>
      <c r="K305" s="1062"/>
      <c r="L305" s="1062"/>
      <c r="M305" s="1062"/>
      <c r="N305" s="1062"/>
      <c r="O305" s="1062"/>
      <c r="P305" s="1062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062"/>
      <c r="AC305" s="1062"/>
      <c r="AD305" s="1062"/>
      <c r="AE305" s="1062"/>
      <c r="AF305" s="1062"/>
      <c r="AG305" s="1062"/>
      <c r="AH305" s="1062"/>
      <c r="AI305" s="1069">
        <f t="shared" si="12"/>
        <v>0</v>
      </c>
      <c r="AJ305" s="635"/>
    </row>
    <row r="306" spans="1:37" s="1022" customFormat="1" ht="16.149999999999999" customHeight="1" outlineLevel="1">
      <c r="A306" s="1025">
        <v>82</v>
      </c>
      <c r="B306" s="1025" t="str">
        <f>VLOOKUP(C306,'DS CN MOI UP'!$B$10:$C$347,2,0)</f>
        <v>02559</v>
      </c>
      <c r="C306" s="1071" t="s">
        <v>205</v>
      </c>
      <c r="D306" s="1062"/>
      <c r="E306" s="1062"/>
      <c r="F306" s="1062"/>
      <c r="G306" s="1062"/>
      <c r="H306" s="1062"/>
      <c r="I306" s="1062"/>
      <c r="J306" s="1062"/>
      <c r="K306" s="1062"/>
      <c r="L306" s="1062"/>
      <c r="M306" s="1062"/>
      <c r="N306" s="1062"/>
      <c r="O306" s="1062"/>
      <c r="P306" s="1062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062"/>
      <c r="AC306" s="1062"/>
      <c r="AD306" s="1062"/>
      <c r="AE306" s="1062"/>
      <c r="AF306" s="1062"/>
      <c r="AG306" s="1062"/>
      <c r="AH306" s="1062"/>
      <c r="AI306" s="1069">
        <f t="shared" si="12"/>
        <v>0</v>
      </c>
      <c r="AJ306" s="635"/>
    </row>
    <row r="307" spans="1:37" s="1022" customFormat="1" ht="16.149999999999999" customHeight="1">
      <c r="A307" s="1025">
        <v>83</v>
      </c>
      <c r="B307" s="1025" t="e">
        <f>VLOOKUP(C307,'DS CN MOI UP'!$B$10:$C$347,2,0)</f>
        <v>#N/A</v>
      </c>
      <c r="C307" s="1071" t="s">
        <v>505</v>
      </c>
      <c r="D307" s="1062"/>
      <c r="E307" s="1062"/>
      <c r="F307" s="1062"/>
      <c r="G307" s="1062"/>
      <c r="H307" s="1062"/>
      <c r="I307" s="1062"/>
      <c r="J307" s="1062"/>
      <c r="K307" s="1062"/>
      <c r="L307" s="1062"/>
      <c r="M307" s="1062"/>
      <c r="N307" s="1062"/>
      <c r="O307" s="1062"/>
      <c r="P307" s="1062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062"/>
      <c r="AC307" s="1062"/>
      <c r="AD307" s="1062"/>
      <c r="AE307" s="1062"/>
      <c r="AF307" s="1062"/>
      <c r="AG307" s="1062"/>
      <c r="AH307" s="1062"/>
      <c r="AI307" s="1069">
        <f t="shared" si="12"/>
        <v>0</v>
      </c>
      <c r="AJ307" s="635"/>
    </row>
    <row r="308" spans="1:37" s="51" customFormat="1" ht="16.149999999999999" customHeight="1" outlineLevel="1">
      <c r="A308" s="1025">
        <v>84</v>
      </c>
      <c r="B308" s="1025" t="e">
        <f>VLOOKUP(C308,'DS CN MOI UP'!$B$10:$C$347,2,0)</f>
        <v>#N/A</v>
      </c>
      <c r="C308" s="1071" t="s">
        <v>506</v>
      </c>
      <c r="D308" s="1062"/>
      <c r="E308" s="1062"/>
      <c r="F308" s="1062"/>
      <c r="G308" s="1062"/>
      <c r="H308" s="1062"/>
      <c r="I308" s="1062"/>
      <c r="J308" s="1062"/>
      <c r="K308" s="1062"/>
      <c r="L308" s="1062"/>
      <c r="M308" s="1062"/>
      <c r="N308" s="1062"/>
      <c r="O308" s="1062"/>
      <c r="P308" s="1062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062"/>
      <c r="AC308" s="1062"/>
      <c r="AD308" s="1062"/>
      <c r="AE308" s="1062"/>
      <c r="AF308" s="1062"/>
      <c r="AG308" s="1062"/>
      <c r="AH308" s="1062"/>
      <c r="AI308" s="1069">
        <f t="shared" si="12"/>
        <v>0</v>
      </c>
      <c r="AJ308" s="635"/>
    </row>
    <row r="309" spans="1:37" s="51" customFormat="1" ht="16.149999999999999" customHeight="1" outlineLevel="1">
      <c r="A309" s="1026" t="s">
        <v>522</v>
      </c>
      <c r="B309" s="1025" t="e">
        <f>VLOOKUP(C309,'DS CN MOI UP'!$B$10:$C$347,2,0)</f>
        <v>#N/A</v>
      </c>
      <c r="C309" s="1026"/>
      <c r="D309" s="1039">
        <f t="shared" ref="D309:AH309" si="13">COUNTIF(D310:D381,"X")+COUNTIF(D310:D381,"CN")</f>
        <v>0</v>
      </c>
      <c r="E309" s="1039">
        <f t="shared" si="13"/>
        <v>0</v>
      </c>
      <c r="F309" s="1039">
        <f t="shared" si="13"/>
        <v>0</v>
      </c>
      <c r="G309" s="1039">
        <f t="shared" si="13"/>
        <v>0</v>
      </c>
      <c r="H309" s="1039">
        <f t="shared" si="13"/>
        <v>0</v>
      </c>
      <c r="I309" s="1039">
        <f t="shared" si="13"/>
        <v>0</v>
      </c>
      <c r="J309" s="1039">
        <f t="shared" si="13"/>
        <v>0</v>
      </c>
      <c r="K309" s="1039">
        <f t="shared" si="13"/>
        <v>0</v>
      </c>
      <c r="L309" s="1039">
        <f t="shared" si="13"/>
        <v>0</v>
      </c>
      <c r="M309" s="1039">
        <f t="shared" si="13"/>
        <v>0</v>
      </c>
      <c r="N309" s="1039">
        <f t="shared" si="13"/>
        <v>0</v>
      </c>
      <c r="O309" s="1039">
        <f t="shared" si="13"/>
        <v>0</v>
      </c>
      <c r="P309" s="1039">
        <f t="shared" si="13"/>
        <v>0</v>
      </c>
      <c r="Q309" s="1039">
        <f t="shared" si="13"/>
        <v>0</v>
      </c>
      <c r="R309" s="1039">
        <f t="shared" si="13"/>
        <v>0</v>
      </c>
      <c r="S309" s="1039">
        <f t="shared" si="13"/>
        <v>0</v>
      </c>
      <c r="T309" s="1039">
        <f t="shared" si="13"/>
        <v>0</v>
      </c>
      <c r="U309" s="1039">
        <f t="shared" si="13"/>
        <v>0</v>
      </c>
      <c r="V309" s="1039">
        <f t="shared" si="13"/>
        <v>0</v>
      </c>
      <c r="W309" s="1039">
        <f t="shared" si="13"/>
        <v>0</v>
      </c>
      <c r="X309" s="1039">
        <f t="shared" si="13"/>
        <v>0</v>
      </c>
      <c r="Y309" s="1039">
        <f t="shared" si="13"/>
        <v>0</v>
      </c>
      <c r="Z309" s="1039">
        <f t="shared" si="13"/>
        <v>0</v>
      </c>
      <c r="AA309" s="1039">
        <f t="shared" si="13"/>
        <v>0</v>
      </c>
      <c r="AB309" s="1039">
        <f t="shared" si="13"/>
        <v>0</v>
      </c>
      <c r="AC309" s="1039">
        <f t="shared" si="13"/>
        <v>0</v>
      </c>
      <c r="AD309" s="1039">
        <f t="shared" si="13"/>
        <v>0</v>
      </c>
      <c r="AE309" s="1039">
        <f t="shared" si="13"/>
        <v>0</v>
      </c>
      <c r="AF309" s="1039">
        <f t="shared" si="13"/>
        <v>0</v>
      </c>
      <c r="AG309" s="1039">
        <f t="shared" si="13"/>
        <v>0</v>
      </c>
      <c r="AH309" s="1039">
        <f t="shared" si="13"/>
        <v>0</v>
      </c>
      <c r="AI309" s="1036">
        <f>SUM(AI310:AI381)</f>
        <v>0</v>
      </c>
      <c r="AJ309" s="1036"/>
      <c r="AK309" s="266"/>
    </row>
    <row r="310" spans="1:37" s="51" customFormat="1" ht="16.149999999999999" customHeight="1" outlineLevel="1">
      <c r="A310" s="1025">
        <v>1</v>
      </c>
      <c r="B310" s="1025" t="str">
        <f>VLOOKUP(C310,'DS CN MOI UP'!$B$10:$C$347,2,0)</f>
        <v>02615</v>
      </c>
      <c r="C310" s="1028" t="s">
        <v>206</v>
      </c>
      <c r="D310" s="545"/>
      <c r="E310" s="545"/>
      <c r="F310" s="545"/>
      <c r="G310" s="545"/>
      <c r="H310" s="545"/>
      <c r="I310" s="545"/>
      <c r="J310" s="545"/>
      <c r="K310" s="545"/>
      <c r="L310" s="545"/>
      <c r="M310" s="1062"/>
      <c r="N310" s="1062"/>
      <c r="O310" s="1062"/>
      <c r="P310" s="1062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062"/>
      <c r="AC310" s="1062"/>
      <c r="AD310" s="1062"/>
      <c r="AE310" s="1062"/>
      <c r="AF310" s="1062"/>
      <c r="AG310" s="1062"/>
      <c r="AH310" s="1062"/>
      <c r="AI310" s="1069">
        <f t="shared" ref="AI310:AI373" si="14">COUNTIF(D310:AH310,"X")</f>
        <v>0</v>
      </c>
      <c r="AJ310" s="635"/>
    </row>
    <row r="311" spans="1:37" s="51" customFormat="1" ht="16.149999999999999" customHeight="1" outlineLevel="1">
      <c r="A311" s="1025">
        <v>2</v>
      </c>
      <c r="B311" s="1025" t="str">
        <f>VLOOKUP(C311,'DS CN MOI UP'!$B$10:$C$347,2,0)</f>
        <v>02594</v>
      </c>
      <c r="C311" s="1028" t="s">
        <v>207</v>
      </c>
      <c r="D311" s="545"/>
      <c r="E311" s="545"/>
      <c r="F311" s="545"/>
      <c r="G311" s="545"/>
      <c r="H311" s="545"/>
      <c r="I311" s="545"/>
      <c r="J311" s="545"/>
      <c r="K311" s="545"/>
      <c r="L311" s="545"/>
      <c r="M311" s="1062"/>
      <c r="N311" s="1062"/>
      <c r="O311" s="1062"/>
      <c r="P311" s="1062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062"/>
      <c r="AC311" s="1062"/>
      <c r="AD311" s="1025"/>
      <c r="AE311" s="1062"/>
      <c r="AF311" s="1062"/>
      <c r="AG311" s="1062"/>
      <c r="AH311" s="1062"/>
      <c r="AI311" s="1069">
        <f t="shared" si="14"/>
        <v>0</v>
      </c>
      <c r="AJ311" s="635"/>
    </row>
    <row r="312" spans="1:37" s="51" customFormat="1" ht="16.149999999999999" customHeight="1" outlineLevel="1">
      <c r="A312" s="1025">
        <v>3</v>
      </c>
      <c r="B312" s="1025" t="str">
        <f>VLOOKUP(C312,'DS CN MOI UP'!$B$10:$C$347,2,0)</f>
        <v>02596</v>
      </c>
      <c r="C312" s="1028" t="s">
        <v>208</v>
      </c>
      <c r="D312" s="545"/>
      <c r="E312" s="545"/>
      <c r="F312" s="545"/>
      <c r="G312" s="545"/>
      <c r="H312" s="545"/>
      <c r="I312" s="545"/>
      <c r="J312" s="545"/>
      <c r="K312" s="545"/>
      <c r="L312" s="545"/>
      <c r="M312" s="1062"/>
      <c r="N312" s="1062"/>
      <c r="O312" s="1062"/>
      <c r="P312" s="1062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062"/>
      <c r="AC312" s="1062"/>
      <c r="AD312" s="1062"/>
      <c r="AE312" s="1062"/>
      <c r="AF312" s="1062"/>
      <c r="AG312" s="1062"/>
      <c r="AH312" s="1062"/>
      <c r="AI312" s="1069">
        <f t="shared" si="14"/>
        <v>0</v>
      </c>
      <c r="AJ312" s="635"/>
    </row>
    <row r="313" spans="1:37" s="51" customFormat="1" ht="16.149999999999999" customHeight="1" outlineLevel="1">
      <c r="A313" s="1025">
        <v>4</v>
      </c>
      <c r="B313" s="1025" t="str">
        <f>VLOOKUP(C313,'DS CN MOI UP'!$B$10:$C$347,2,0)</f>
        <v>02601</v>
      </c>
      <c r="C313" s="1028" t="s">
        <v>209</v>
      </c>
      <c r="D313" s="545"/>
      <c r="E313" s="545"/>
      <c r="F313" s="545"/>
      <c r="G313" s="545"/>
      <c r="H313" s="545"/>
      <c r="I313" s="545"/>
      <c r="J313" s="545"/>
      <c r="K313" s="545"/>
      <c r="L313" s="545"/>
      <c r="M313" s="1062"/>
      <c r="N313" s="1062"/>
      <c r="O313" s="1062"/>
      <c r="P313" s="1062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062"/>
      <c r="AC313" s="1062"/>
      <c r="AD313" s="1062"/>
      <c r="AE313" s="1062"/>
      <c r="AF313" s="1062"/>
      <c r="AG313" s="1062"/>
      <c r="AH313" s="1062"/>
      <c r="AI313" s="1069">
        <f t="shared" si="14"/>
        <v>0</v>
      </c>
      <c r="AJ313" s="635"/>
    </row>
    <row r="314" spans="1:37" s="51" customFormat="1" ht="16.149999999999999" customHeight="1" outlineLevel="1">
      <c r="A314" s="1025">
        <v>5</v>
      </c>
      <c r="B314" s="1025" t="str">
        <f>VLOOKUP(C314,'DS CN MOI UP'!$B$10:$C$347,2,0)</f>
        <v>02697</v>
      </c>
      <c r="C314" s="1028" t="s">
        <v>210</v>
      </c>
      <c r="D314" s="545"/>
      <c r="E314" s="545"/>
      <c r="F314" s="545"/>
      <c r="G314" s="545"/>
      <c r="H314" s="545"/>
      <c r="I314" s="545"/>
      <c r="J314" s="545"/>
      <c r="K314" s="545"/>
      <c r="L314" s="545"/>
      <c r="M314" s="1062"/>
      <c r="N314" s="1062"/>
      <c r="O314" s="1062"/>
      <c r="P314" s="1062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062"/>
      <c r="AC314" s="1062"/>
      <c r="AD314" s="1062"/>
      <c r="AE314" s="1062"/>
      <c r="AF314" s="1062"/>
      <c r="AG314" s="1062"/>
      <c r="AH314" s="1062"/>
      <c r="AI314" s="1069">
        <f t="shared" si="14"/>
        <v>0</v>
      </c>
      <c r="AJ314" s="635"/>
    </row>
    <row r="315" spans="1:37" s="51" customFormat="1" ht="16.149999999999999" customHeight="1" outlineLevel="1">
      <c r="A315" s="1025">
        <v>6</v>
      </c>
      <c r="B315" s="1025" t="str">
        <f>VLOOKUP(C315,'DS CN MOI UP'!$B$10:$C$347,2,0)</f>
        <v>02610</v>
      </c>
      <c r="C315" s="1028" t="s">
        <v>211</v>
      </c>
      <c r="D315" s="545"/>
      <c r="E315" s="545"/>
      <c r="F315" s="545"/>
      <c r="G315" s="545"/>
      <c r="H315" s="545"/>
      <c r="I315" s="545"/>
      <c r="J315" s="545"/>
      <c r="K315" s="545"/>
      <c r="L315" s="545"/>
      <c r="M315" s="1062"/>
      <c r="N315" s="1062"/>
      <c r="O315" s="1062"/>
      <c r="P315" s="1062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062"/>
      <c r="AC315" s="1062"/>
      <c r="AD315" s="1062"/>
      <c r="AE315" s="1062"/>
      <c r="AF315" s="1062"/>
      <c r="AG315" s="1062"/>
      <c r="AH315" s="1062"/>
      <c r="AI315" s="1069">
        <f t="shared" si="14"/>
        <v>0</v>
      </c>
      <c r="AJ315" s="635"/>
    </row>
    <row r="316" spans="1:37" s="51" customFormat="1" ht="16.149999999999999" customHeight="1" outlineLevel="1">
      <c r="A316" s="1025">
        <v>7</v>
      </c>
      <c r="B316" s="1025" t="str">
        <f>VLOOKUP(C316,'DS CN MOI UP'!$B$10:$C$347,2,0)</f>
        <v>02611</v>
      </c>
      <c r="C316" s="1028" t="s">
        <v>212</v>
      </c>
      <c r="D316" s="545"/>
      <c r="E316" s="545"/>
      <c r="F316" s="545"/>
      <c r="G316" s="545"/>
      <c r="H316" s="545"/>
      <c r="I316" s="545"/>
      <c r="J316" s="545"/>
      <c r="K316" s="545"/>
      <c r="L316" s="545"/>
      <c r="M316" s="1062"/>
      <c r="N316" s="1062"/>
      <c r="O316" s="1062"/>
      <c r="P316" s="1062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062"/>
      <c r="AC316" s="1062"/>
      <c r="AD316" s="1062"/>
      <c r="AE316" s="1062"/>
      <c r="AF316" s="1062"/>
      <c r="AG316" s="1062"/>
      <c r="AH316" s="1062"/>
      <c r="AI316" s="1069">
        <f t="shared" si="14"/>
        <v>0</v>
      </c>
      <c r="AJ316" s="635"/>
    </row>
    <row r="317" spans="1:37" s="51" customFormat="1" ht="16.149999999999999" customHeight="1" outlineLevel="1">
      <c r="A317" s="1025">
        <v>8</v>
      </c>
      <c r="B317" s="1025" t="str">
        <f>VLOOKUP(C317,'DS CN MOI UP'!$B$10:$C$347,2,0)</f>
        <v>02602</v>
      </c>
      <c r="C317" s="1028" t="s">
        <v>213</v>
      </c>
      <c r="D317" s="545"/>
      <c r="E317" s="545"/>
      <c r="F317" s="545"/>
      <c r="G317" s="545"/>
      <c r="H317" s="545"/>
      <c r="I317" s="545"/>
      <c r="J317" s="545"/>
      <c r="K317" s="545"/>
      <c r="L317" s="545"/>
      <c r="M317" s="1062"/>
      <c r="N317" s="1062"/>
      <c r="O317" s="1062"/>
      <c r="P317" s="1062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062"/>
      <c r="AC317" s="1062"/>
      <c r="AD317" s="1062"/>
      <c r="AE317" s="1062"/>
      <c r="AF317" s="1062"/>
      <c r="AG317" s="1062"/>
      <c r="AH317" s="1062"/>
      <c r="AI317" s="1069">
        <f t="shared" si="14"/>
        <v>0</v>
      </c>
      <c r="AJ317" s="635"/>
    </row>
    <row r="318" spans="1:37" s="51" customFormat="1" ht="16.149999999999999" customHeight="1" outlineLevel="1">
      <c r="A318" s="1025">
        <v>9</v>
      </c>
      <c r="B318" s="1025" t="str">
        <f>VLOOKUP(C318,'DS CN MOI UP'!$B$10:$C$347,2,0)</f>
        <v>02609</v>
      </c>
      <c r="C318" s="1028" t="s">
        <v>214</v>
      </c>
      <c r="D318" s="545"/>
      <c r="E318" s="545"/>
      <c r="F318" s="545"/>
      <c r="G318" s="545"/>
      <c r="H318" s="545"/>
      <c r="I318" s="545"/>
      <c r="J318" s="545"/>
      <c r="K318" s="545"/>
      <c r="L318" s="545"/>
      <c r="M318" s="1062"/>
      <c r="N318" s="1062"/>
      <c r="O318" s="1062"/>
      <c r="P318" s="1062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062"/>
      <c r="AC318" s="1062"/>
      <c r="AD318" s="1062"/>
      <c r="AE318" s="1062"/>
      <c r="AF318" s="1062"/>
      <c r="AG318" s="1062"/>
      <c r="AH318" s="1062"/>
      <c r="AI318" s="1069">
        <f t="shared" si="14"/>
        <v>0</v>
      </c>
      <c r="AJ318" s="635"/>
    </row>
    <row r="319" spans="1:37" s="51" customFormat="1" ht="16.149999999999999" customHeight="1" outlineLevel="1">
      <c r="A319" s="1025">
        <v>10</v>
      </c>
      <c r="B319" s="1025" t="str">
        <f>VLOOKUP(C319,'DS CN MOI UP'!$B$10:$C$347,2,0)</f>
        <v>02569</v>
      </c>
      <c r="C319" s="1028" t="s">
        <v>215</v>
      </c>
      <c r="D319" s="545"/>
      <c r="E319" s="545"/>
      <c r="F319" s="545"/>
      <c r="G319" s="545"/>
      <c r="H319" s="545"/>
      <c r="I319" s="545"/>
      <c r="J319" s="545"/>
      <c r="K319" s="545"/>
      <c r="L319" s="545"/>
      <c r="M319" s="1062"/>
      <c r="N319" s="1062"/>
      <c r="O319" s="1062"/>
      <c r="P319" s="1062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062"/>
      <c r="AC319" s="1062"/>
      <c r="AD319" s="1062"/>
      <c r="AE319" s="1062"/>
      <c r="AF319" s="1062"/>
      <c r="AG319" s="1062"/>
      <c r="AH319" s="1062"/>
      <c r="AI319" s="1069">
        <f t="shared" si="14"/>
        <v>0</v>
      </c>
      <c r="AJ319" s="635"/>
    </row>
    <row r="320" spans="1:37" s="51" customFormat="1" ht="16.149999999999999" customHeight="1" outlineLevel="1">
      <c r="A320" s="1025">
        <v>11</v>
      </c>
      <c r="B320" s="1025" t="str">
        <f>VLOOKUP(C320,'DS CN MOI UP'!$B$10:$C$347,2,0)</f>
        <v>02583</v>
      </c>
      <c r="C320" s="1028" t="s">
        <v>216</v>
      </c>
      <c r="D320" s="545"/>
      <c r="E320" s="545"/>
      <c r="F320" s="545"/>
      <c r="G320" s="545"/>
      <c r="H320" s="545"/>
      <c r="I320" s="545"/>
      <c r="J320" s="545"/>
      <c r="K320" s="545"/>
      <c r="L320" s="545"/>
      <c r="M320" s="1062"/>
      <c r="N320" s="1062"/>
      <c r="O320" s="1062"/>
      <c r="P320" s="1062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062"/>
      <c r="AE320" s="1062"/>
      <c r="AF320" s="1062"/>
      <c r="AG320" s="1062"/>
      <c r="AH320" s="1062"/>
      <c r="AI320" s="1069">
        <f t="shared" si="14"/>
        <v>0</v>
      </c>
      <c r="AJ320" s="635"/>
    </row>
    <row r="321" spans="1:36" s="51" customFormat="1" ht="16.149999999999999" customHeight="1" outlineLevel="1">
      <c r="A321" s="1025">
        <v>12</v>
      </c>
      <c r="B321" s="1025" t="str">
        <f>VLOOKUP(C321,'DS CN MOI UP'!$B$10:$C$347,2,0)</f>
        <v>02604</v>
      </c>
      <c r="C321" s="1028" t="s">
        <v>217</v>
      </c>
      <c r="D321" s="545"/>
      <c r="E321" s="545"/>
      <c r="F321" s="545"/>
      <c r="G321" s="545"/>
      <c r="H321" s="545"/>
      <c r="I321" s="545"/>
      <c r="J321" s="545"/>
      <c r="K321" s="545"/>
      <c r="L321" s="545"/>
      <c r="M321" s="1062"/>
      <c r="N321" s="1062"/>
      <c r="O321" s="1062"/>
      <c r="P321" s="1062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062"/>
      <c r="AE321" s="1062"/>
      <c r="AF321" s="1062"/>
      <c r="AG321" s="1062"/>
      <c r="AH321" s="1062"/>
      <c r="AI321" s="1069">
        <f t="shared" si="14"/>
        <v>0</v>
      </c>
      <c r="AJ321" s="635"/>
    </row>
    <row r="322" spans="1:36" s="51" customFormat="1" ht="16.149999999999999" customHeight="1" outlineLevel="1">
      <c r="A322" s="1025">
        <v>13</v>
      </c>
      <c r="B322" s="1025" t="str">
        <f>VLOOKUP(C322,'DS CN MOI UP'!$B$10:$C$347,2,0)</f>
        <v>02600</v>
      </c>
      <c r="C322" s="1028" t="s">
        <v>218</v>
      </c>
      <c r="D322" s="545"/>
      <c r="E322" s="545"/>
      <c r="F322" s="545"/>
      <c r="G322" s="545"/>
      <c r="H322" s="545"/>
      <c r="I322" s="545"/>
      <c r="J322" s="545"/>
      <c r="K322" s="545"/>
      <c r="L322" s="545"/>
      <c r="M322" s="1062"/>
      <c r="N322" s="1062"/>
      <c r="O322" s="1062"/>
      <c r="P322" s="1062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062"/>
      <c r="AE322" s="1062"/>
      <c r="AF322" s="1062"/>
      <c r="AG322" s="1062"/>
      <c r="AH322" s="1062"/>
      <c r="AI322" s="1069">
        <f t="shared" si="14"/>
        <v>0</v>
      </c>
      <c r="AJ322" s="635"/>
    </row>
    <row r="323" spans="1:36" s="51" customFormat="1" ht="16.149999999999999" customHeight="1" outlineLevel="1">
      <c r="A323" s="1025">
        <v>14</v>
      </c>
      <c r="B323" s="1025" t="str">
        <f>VLOOKUP(C323,'DS CN MOI UP'!$B$10:$C$347,2,0)</f>
        <v>03382</v>
      </c>
      <c r="C323" s="1028" t="s">
        <v>219</v>
      </c>
      <c r="D323" s="545"/>
      <c r="E323" s="545"/>
      <c r="F323" s="545"/>
      <c r="G323" s="545"/>
      <c r="H323" s="545"/>
      <c r="I323" s="545"/>
      <c r="J323" s="545"/>
      <c r="K323" s="545"/>
      <c r="L323" s="545"/>
      <c r="M323" s="1062"/>
      <c r="N323" s="1062"/>
      <c r="O323" s="1062"/>
      <c r="P323" s="1062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062"/>
      <c r="AE323" s="1062"/>
      <c r="AF323" s="1062"/>
      <c r="AG323" s="1062"/>
      <c r="AH323" s="1062"/>
      <c r="AI323" s="1069">
        <f t="shared" si="14"/>
        <v>0</v>
      </c>
      <c r="AJ323" s="635"/>
    </row>
    <row r="324" spans="1:36" s="51" customFormat="1" ht="16.149999999999999" customHeight="1" outlineLevel="1">
      <c r="A324" s="1025">
        <v>15</v>
      </c>
      <c r="B324" s="1025" t="str">
        <f>VLOOKUP(C324,'DS CN MOI UP'!$B$10:$C$347,2,0)</f>
        <v>02571</v>
      </c>
      <c r="C324" s="1028" t="s">
        <v>220</v>
      </c>
      <c r="D324" s="545"/>
      <c r="E324" s="545"/>
      <c r="F324" s="545"/>
      <c r="G324" s="545"/>
      <c r="H324" s="545"/>
      <c r="I324" s="545"/>
      <c r="J324" s="545"/>
      <c r="K324" s="545"/>
      <c r="L324" s="545"/>
      <c r="M324" s="1062"/>
      <c r="N324" s="1062"/>
      <c r="O324" s="1062"/>
      <c r="P324" s="1062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062"/>
      <c r="AE324" s="1062"/>
      <c r="AF324" s="1062"/>
      <c r="AG324" s="1062"/>
      <c r="AH324" s="1062"/>
      <c r="AI324" s="1069">
        <f t="shared" si="14"/>
        <v>0</v>
      </c>
      <c r="AJ324" s="635"/>
    </row>
    <row r="325" spans="1:36" s="51" customFormat="1" ht="16.149999999999999" customHeight="1" outlineLevel="1">
      <c r="A325" s="1025">
        <v>16</v>
      </c>
      <c r="B325" s="1025" t="str">
        <f>VLOOKUP(C325,'DS CN MOI UP'!$B$10:$C$347,2,0)</f>
        <v>02570</v>
      </c>
      <c r="C325" s="1028" t="s">
        <v>221</v>
      </c>
      <c r="D325" s="545"/>
      <c r="E325" s="545"/>
      <c r="F325" s="545"/>
      <c r="G325" s="545"/>
      <c r="H325" s="545"/>
      <c r="I325" s="545"/>
      <c r="J325" s="545"/>
      <c r="K325" s="545"/>
      <c r="L325" s="545"/>
      <c r="M325" s="1062"/>
      <c r="N325" s="1062"/>
      <c r="O325" s="1062"/>
      <c r="P325" s="1062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025"/>
      <c r="AE325" s="1062"/>
      <c r="AF325" s="1062"/>
      <c r="AG325" s="1062"/>
      <c r="AH325" s="1062"/>
      <c r="AI325" s="1069">
        <f t="shared" si="14"/>
        <v>0</v>
      </c>
      <c r="AJ325" s="635"/>
    </row>
    <row r="326" spans="1:36" s="51" customFormat="1" ht="16.149999999999999" customHeight="1" outlineLevel="1">
      <c r="A326" s="1025">
        <v>17</v>
      </c>
      <c r="B326" s="1025" t="str">
        <f>VLOOKUP(C326,'DS CN MOI UP'!$B$10:$C$347,2,0)</f>
        <v>02573</v>
      </c>
      <c r="C326" s="1028" t="s">
        <v>222</v>
      </c>
      <c r="D326" s="545"/>
      <c r="E326" s="545"/>
      <c r="F326" s="545"/>
      <c r="G326" s="545"/>
      <c r="H326" s="545"/>
      <c r="I326" s="545"/>
      <c r="J326" s="545"/>
      <c r="K326" s="545"/>
      <c r="L326" s="545"/>
      <c r="M326" s="1062"/>
      <c r="N326" s="1062"/>
      <c r="O326" s="1062"/>
      <c r="P326" s="1062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062"/>
      <c r="AE326" s="1062"/>
      <c r="AF326" s="1062"/>
      <c r="AG326" s="1062"/>
      <c r="AH326" s="1062"/>
      <c r="AI326" s="1069">
        <f t="shared" si="14"/>
        <v>0</v>
      </c>
      <c r="AJ326" s="635"/>
    </row>
    <row r="327" spans="1:36" s="51" customFormat="1" ht="16.149999999999999" customHeight="1" outlineLevel="1">
      <c r="A327" s="1025">
        <v>18</v>
      </c>
      <c r="B327" s="1025" t="str">
        <f>VLOOKUP(C327,'DS CN MOI UP'!$B$10:$C$347,2,0)</f>
        <v>02695</v>
      </c>
      <c r="C327" s="1028" t="s">
        <v>223</v>
      </c>
      <c r="D327" s="545"/>
      <c r="E327" s="545"/>
      <c r="F327" s="545"/>
      <c r="G327" s="545"/>
      <c r="H327" s="545"/>
      <c r="I327" s="545"/>
      <c r="J327" s="545"/>
      <c r="K327" s="545"/>
      <c r="L327" s="545"/>
      <c r="M327" s="1062"/>
      <c r="N327" s="1062"/>
      <c r="O327" s="1062"/>
      <c r="P327" s="1062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062"/>
      <c r="AE327" s="1062"/>
      <c r="AF327" s="1062"/>
      <c r="AG327" s="1062"/>
      <c r="AH327" s="1062"/>
      <c r="AI327" s="1069">
        <f t="shared" si="14"/>
        <v>0</v>
      </c>
      <c r="AJ327" s="635"/>
    </row>
    <row r="328" spans="1:36" s="51" customFormat="1" ht="16.149999999999999" customHeight="1" outlineLevel="1">
      <c r="A328" s="1025">
        <v>19</v>
      </c>
      <c r="B328" s="1025" t="str">
        <f>VLOOKUP(C328,'DS CN MOI UP'!$B$10:$C$347,2,0)</f>
        <v>02599</v>
      </c>
      <c r="C328" s="1028" t="s">
        <v>224</v>
      </c>
      <c r="D328" s="545"/>
      <c r="E328" s="545"/>
      <c r="F328" s="545"/>
      <c r="G328" s="545"/>
      <c r="H328" s="545"/>
      <c r="I328" s="545"/>
      <c r="J328" s="545"/>
      <c r="K328" s="545"/>
      <c r="L328" s="545"/>
      <c r="M328" s="1062"/>
      <c r="N328" s="1062"/>
      <c r="O328" s="1062"/>
      <c r="P328" s="1062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062"/>
      <c r="AE328" s="1062"/>
      <c r="AF328" s="1062"/>
      <c r="AG328" s="1062"/>
      <c r="AH328" s="1062"/>
      <c r="AI328" s="1069">
        <f t="shared" si="14"/>
        <v>0</v>
      </c>
      <c r="AJ328" s="635"/>
    </row>
    <row r="329" spans="1:36" s="51" customFormat="1" ht="16.149999999999999" customHeight="1" outlineLevel="1">
      <c r="A329" s="1025">
        <v>20</v>
      </c>
      <c r="B329" s="1025" t="str">
        <f>VLOOKUP(C329,'DS CN MOI UP'!$B$10:$C$347,2,0)</f>
        <v>03383</v>
      </c>
      <c r="C329" s="1028" t="s">
        <v>225</v>
      </c>
      <c r="D329" s="545"/>
      <c r="E329" s="545"/>
      <c r="F329" s="545"/>
      <c r="G329" s="545"/>
      <c r="H329" s="545"/>
      <c r="I329" s="545"/>
      <c r="J329" s="545"/>
      <c r="K329" s="545"/>
      <c r="L329" s="545"/>
      <c r="M329" s="1062"/>
      <c r="N329" s="1062"/>
      <c r="O329" s="1062"/>
      <c r="P329" s="1062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062"/>
      <c r="AE329" s="1062"/>
      <c r="AF329" s="1062"/>
      <c r="AG329" s="1062"/>
      <c r="AH329" s="1062"/>
      <c r="AI329" s="1069">
        <f t="shared" si="14"/>
        <v>0</v>
      </c>
      <c r="AJ329" s="635"/>
    </row>
    <row r="330" spans="1:36" s="51" customFormat="1" ht="16.149999999999999" customHeight="1" outlineLevel="1">
      <c r="A330" s="1025">
        <v>21</v>
      </c>
      <c r="B330" s="1025" t="str">
        <f>VLOOKUP(C330,'DS CN MOI UP'!$B$10:$C$347,2,0)</f>
        <v>03384</v>
      </c>
      <c r="C330" s="1028" t="s">
        <v>226</v>
      </c>
      <c r="D330" s="545"/>
      <c r="E330" s="545"/>
      <c r="F330" s="545"/>
      <c r="G330" s="545"/>
      <c r="H330" s="545"/>
      <c r="I330" s="545"/>
      <c r="J330" s="545"/>
      <c r="K330" s="545"/>
      <c r="L330" s="545"/>
      <c r="M330" s="1062"/>
      <c r="N330" s="1062"/>
      <c r="O330" s="1062"/>
      <c r="P330" s="1062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062"/>
      <c r="AE330" s="1062"/>
      <c r="AF330" s="1062"/>
      <c r="AG330" s="1062"/>
      <c r="AH330" s="1062"/>
      <c r="AI330" s="1069">
        <f t="shared" si="14"/>
        <v>0</v>
      </c>
      <c r="AJ330" s="635"/>
    </row>
    <row r="331" spans="1:36" s="51" customFormat="1" ht="16.149999999999999" customHeight="1" outlineLevel="1">
      <c r="A331" s="1025">
        <v>22</v>
      </c>
      <c r="B331" s="1025" t="str">
        <f>VLOOKUP(C331,'DS CN MOI UP'!$B$10:$C$347,2,0)</f>
        <v>02608</v>
      </c>
      <c r="C331" s="1028" t="s">
        <v>227</v>
      </c>
      <c r="D331" s="545"/>
      <c r="E331" s="545"/>
      <c r="F331" s="545"/>
      <c r="G331" s="545"/>
      <c r="H331" s="545"/>
      <c r="I331" s="545"/>
      <c r="J331" s="545"/>
      <c r="K331" s="545"/>
      <c r="L331" s="545"/>
      <c r="M331" s="1062"/>
      <c r="N331" s="1062"/>
      <c r="O331" s="1062"/>
      <c r="P331" s="1062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062"/>
      <c r="AE331" s="1062"/>
      <c r="AF331" s="1062"/>
      <c r="AG331" s="1062"/>
      <c r="AH331" s="1062"/>
      <c r="AI331" s="1069">
        <f t="shared" si="14"/>
        <v>0</v>
      </c>
      <c r="AJ331" s="635"/>
    </row>
    <row r="332" spans="1:36" s="51" customFormat="1" ht="16.149999999999999" customHeight="1" outlineLevel="1">
      <c r="A332" s="1025">
        <v>23</v>
      </c>
      <c r="B332" s="1025" t="str">
        <f>VLOOKUP(C332,'DS CN MOI UP'!$B$10:$C$347,2,0)</f>
        <v>02603</v>
      </c>
      <c r="C332" s="1028" t="s">
        <v>228</v>
      </c>
      <c r="D332" s="545"/>
      <c r="E332" s="545"/>
      <c r="F332" s="545"/>
      <c r="G332" s="545"/>
      <c r="H332" s="545"/>
      <c r="I332" s="545"/>
      <c r="J332" s="545"/>
      <c r="K332" s="545"/>
      <c r="L332" s="545"/>
      <c r="M332" s="1062"/>
      <c r="N332" s="1062"/>
      <c r="O332" s="1062"/>
      <c r="P332" s="1062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062"/>
      <c r="AE332" s="1062"/>
      <c r="AF332" s="1062"/>
      <c r="AG332" s="1062"/>
      <c r="AH332" s="1062"/>
      <c r="AI332" s="1069">
        <f t="shared" si="14"/>
        <v>0</v>
      </c>
      <c r="AJ332" s="635"/>
    </row>
    <row r="333" spans="1:36" s="51" customFormat="1" ht="16.149999999999999" customHeight="1" outlineLevel="1">
      <c r="A333" s="1025">
        <v>24</v>
      </c>
      <c r="B333" s="1025" t="str">
        <f>VLOOKUP(C333,'DS CN MOI UP'!$B$10:$C$347,2,0)</f>
        <v>03385</v>
      </c>
      <c r="C333" s="1028" t="s">
        <v>229</v>
      </c>
      <c r="D333" s="545"/>
      <c r="E333" s="545"/>
      <c r="F333" s="545"/>
      <c r="G333" s="545"/>
      <c r="H333" s="545"/>
      <c r="I333" s="545"/>
      <c r="J333" s="545"/>
      <c r="K333" s="545"/>
      <c r="L333" s="545"/>
      <c r="M333" s="1062"/>
      <c r="N333" s="1062"/>
      <c r="O333" s="1062"/>
      <c r="P333" s="1062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062"/>
      <c r="AE333" s="1062"/>
      <c r="AF333" s="1062"/>
      <c r="AG333" s="1062"/>
      <c r="AH333" s="1062"/>
      <c r="AI333" s="1069">
        <f t="shared" si="14"/>
        <v>0</v>
      </c>
      <c r="AJ333" s="635"/>
    </row>
    <row r="334" spans="1:36" s="51" customFormat="1" ht="16.149999999999999" customHeight="1" outlineLevel="1">
      <c r="A334" s="1025">
        <v>25</v>
      </c>
      <c r="B334" s="1025" t="str">
        <f>VLOOKUP(C334,'DS CN MOI UP'!$B$10:$C$347,2,0)</f>
        <v>02586</v>
      </c>
      <c r="C334" s="1028" t="s">
        <v>230</v>
      </c>
      <c r="D334" s="545"/>
      <c r="E334" s="545"/>
      <c r="F334" s="545"/>
      <c r="G334" s="545"/>
      <c r="H334" s="545"/>
      <c r="I334" s="545"/>
      <c r="J334" s="545"/>
      <c r="K334" s="545"/>
      <c r="L334" s="545"/>
      <c r="M334" s="1062"/>
      <c r="N334" s="1062"/>
      <c r="O334" s="1062"/>
      <c r="P334" s="1062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062"/>
      <c r="AE334" s="1062"/>
      <c r="AF334" s="1062"/>
      <c r="AG334" s="1062"/>
      <c r="AH334" s="1062"/>
      <c r="AI334" s="1069">
        <f t="shared" si="14"/>
        <v>0</v>
      </c>
      <c r="AJ334" s="635"/>
    </row>
    <row r="335" spans="1:36" s="51" customFormat="1" ht="16.149999999999999" customHeight="1" outlineLevel="1">
      <c r="A335" s="1025">
        <v>26</v>
      </c>
      <c r="B335" s="1025" t="str">
        <f>VLOOKUP(C335,'DS CN MOI UP'!$B$10:$C$347,2,0)</f>
        <v>02614</v>
      </c>
      <c r="C335" s="1028" t="s">
        <v>231</v>
      </c>
      <c r="D335" s="545"/>
      <c r="E335" s="545"/>
      <c r="F335" s="545"/>
      <c r="G335" s="545"/>
      <c r="H335" s="545"/>
      <c r="I335" s="545"/>
      <c r="J335" s="545"/>
      <c r="K335" s="545"/>
      <c r="L335" s="545"/>
      <c r="M335" s="1062"/>
      <c r="N335" s="1062"/>
      <c r="O335" s="1062"/>
      <c r="P335" s="1062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062"/>
      <c r="AE335" s="1062"/>
      <c r="AF335" s="1062"/>
      <c r="AG335" s="1062"/>
      <c r="AH335" s="1062"/>
      <c r="AI335" s="1069">
        <f t="shared" si="14"/>
        <v>0</v>
      </c>
      <c r="AJ335" s="635"/>
    </row>
    <row r="336" spans="1:36" s="51" customFormat="1" ht="16.149999999999999" customHeight="1" outlineLevel="1">
      <c r="A336" s="1025">
        <v>27</v>
      </c>
      <c r="B336" s="1025" t="str">
        <f>VLOOKUP(C336,'DS CN MOI UP'!$B$10:$C$347,2,0)</f>
        <v>02581</v>
      </c>
      <c r="C336" s="1028" t="s">
        <v>232</v>
      </c>
      <c r="D336" s="545"/>
      <c r="E336" s="545"/>
      <c r="F336" s="545"/>
      <c r="G336" s="545"/>
      <c r="H336" s="545"/>
      <c r="I336" s="545"/>
      <c r="J336" s="545"/>
      <c r="K336" s="545"/>
      <c r="L336" s="545"/>
      <c r="M336" s="1062"/>
      <c r="N336" s="1062"/>
      <c r="O336" s="1062"/>
      <c r="P336" s="1062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062"/>
      <c r="AE336" s="1062"/>
      <c r="AF336" s="1062"/>
      <c r="AG336" s="1062"/>
      <c r="AH336" s="1062"/>
      <c r="AI336" s="1069">
        <f t="shared" si="14"/>
        <v>0</v>
      </c>
      <c r="AJ336" s="635"/>
    </row>
    <row r="337" spans="1:36" s="51" customFormat="1" ht="16.149999999999999" customHeight="1" outlineLevel="1">
      <c r="A337" s="1025">
        <v>28</v>
      </c>
      <c r="B337" s="1025" t="str">
        <f>VLOOKUP(C337,'DS CN MOI UP'!$B$10:$C$347,2,0)</f>
        <v>02613</v>
      </c>
      <c r="C337" s="1028" t="s">
        <v>233</v>
      </c>
      <c r="D337" s="545"/>
      <c r="E337" s="545"/>
      <c r="F337" s="545"/>
      <c r="G337" s="545"/>
      <c r="H337" s="545"/>
      <c r="I337" s="545"/>
      <c r="J337" s="545"/>
      <c r="K337" s="545"/>
      <c r="L337" s="545"/>
      <c r="M337" s="1062"/>
      <c r="N337" s="1062"/>
      <c r="O337" s="1062"/>
      <c r="P337" s="1062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062"/>
      <c r="AE337" s="1062"/>
      <c r="AF337" s="1062"/>
      <c r="AG337" s="1062"/>
      <c r="AH337" s="1062"/>
      <c r="AI337" s="1069">
        <f t="shared" si="14"/>
        <v>0</v>
      </c>
      <c r="AJ337" s="635"/>
    </row>
    <row r="338" spans="1:36" s="51" customFormat="1" ht="16.149999999999999" customHeight="1" outlineLevel="1">
      <c r="A338" s="1025">
        <v>29</v>
      </c>
      <c r="B338" s="1025" t="str">
        <f>VLOOKUP(C338,'DS CN MOI UP'!$B$10:$C$347,2,0)</f>
        <v>03386</v>
      </c>
      <c r="C338" s="1028" t="s">
        <v>234</v>
      </c>
      <c r="D338" s="545"/>
      <c r="E338" s="545"/>
      <c r="F338" s="545"/>
      <c r="G338" s="545"/>
      <c r="H338" s="545"/>
      <c r="I338" s="545"/>
      <c r="J338" s="545"/>
      <c r="K338" s="545"/>
      <c r="L338" s="545"/>
      <c r="M338" s="1062"/>
      <c r="N338" s="1062"/>
      <c r="O338" s="1062"/>
      <c r="P338" s="1062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062"/>
      <c r="AE338" s="1062"/>
      <c r="AF338" s="1062"/>
      <c r="AG338" s="1062"/>
      <c r="AH338" s="1062"/>
      <c r="AI338" s="1069">
        <f t="shared" si="14"/>
        <v>0</v>
      </c>
      <c r="AJ338" s="635"/>
    </row>
    <row r="339" spans="1:36" s="51" customFormat="1" ht="16.149999999999999" customHeight="1" outlineLevel="1">
      <c r="A339" s="1025">
        <v>30</v>
      </c>
      <c r="B339" s="1025" t="str">
        <f>VLOOKUP(C339,'DS CN MOI UP'!$B$10:$C$347,2,0)</f>
        <v>03387</v>
      </c>
      <c r="C339" s="1028" t="s">
        <v>235</v>
      </c>
      <c r="D339" s="545"/>
      <c r="E339" s="545"/>
      <c r="F339" s="545"/>
      <c r="G339" s="545"/>
      <c r="H339" s="545"/>
      <c r="I339" s="545"/>
      <c r="J339" s="545"/>
      <c r="K339" s="545"/>
      <c r="L339" s="545"/>
      <c r="M339" s="1062"/>
      <c r="N339" s="1062"/>
      <c r="O339" s="1062"/>
      <c r="P339" s="1062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062"/>
      <c r="AE339" s="1062"/>
      <c r="AF339" s="1062"/>
      <c r="AG339" s="1062"/>
      <c r="AH339" s="1062"/>
      <c r="AI339" s="1069">
        <f t="shared" si="14"/>
        <v>0</v>
      </c>
      <c r="AJ339" s="635"/>
    </row>
    <row r="340" spans="1:36" s="51" customFormat="1" ht="16.149999999999999" customHeight="1" outlineLevel="1">
      <c r="A340" s="1025">
        <v>31</v>
      </c>
      <c r="B340" s="1025" t="str">
        <f>VLOOKUP(C340,'DS CN MOI UP'!$B$10:$C$347,2,0)</f>
        <v>03388</v>
      </c>
      <c r="C340" s="1028" t="s">
        <v>236</v>
      </c>
      <c r="D340" s="545"/>
      <c r="E340" s="545"/>
      <c r="F340" s="545"/>
      <c r="G340" s="545"/>
      <c r="H340" s="545"/>
      <c r="I340" s="545"/>
      <c r="J340" s="545"/>
      <c r="K340" s="545"/>
      <c r="L340" s="545"/>
      <c r="M340" s="1062"/>
      <c r="N340" s="1062"/>
      <c r="O340" s="1062"/>
      <c r="P340" s="1062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062"/>
      <c r="AE340" s="1062"/>
      <c r="AF340" s="1062"/>
      <c r="AG340" s="1062"/>
      <c r="AH340" s="1062"/>
      <c r="AI340" s="1069">
        <f t="shared" si="14"/>
        <v>0</v>
      </c>
      <c r="AJ340" s="635"/>
    </row>
    <row r="341" spans="1:36" s="51" customFormat="1" ht="16.149999999999999" customHeight="1" outlineLevel="1">
      <c r="A341" s="1025">
        <v>32</v>
      </c>
      <c r="B341" s="1025" t="str">
        <f>VLOOKUP(C341,'DS CN MOI UP'!$B$10:$C$347,2,0)</f>
        <v>03389</v>
      </c>
      <c r="C341" s="1028" t="s">
        <v>237</v>
      </c>
      <c r="D341" s="545"/>
      <c r="E341" s="545"/>
      <c r="F341" s="545"/>
      <c r="G341" s="545"/>
      <c r="H341" s="545"/>
      <c r="I341" s="545"/>
      <c r="J341" s="545"/>
      <c r="K341" s="545"/>
      <c r="L341" s="545"/>
      <c r="M341" s="1062"/>
      <c r="N341" s="1062"/>
      <c r="O341" s="1062"/>
      <c r="P341" s="1062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062"/>
      <c r="AE341" s="1062"/>
      <c r="AF341" s="1062"/>
      <c r="AG341" s="1062"/>
      <c r="AH341" s="1062"/>
      <c r="AI341" s="1069">
        <f t="shared" si="14"/>
        <v>0</v>
      </c>
      <c r="AJ341" s="635"/>
    </row>
    <row r="342" spans="1:36" s="51" customFormat="1" ht="16.149999999999999" customHeight="1" outlineLevel="1">
      <c r="A342" s="1025">
        <v>33</v>
      </c>
      <c r="B342" s="1025" t="str">
        <f>VLOOKUP(C342,'DS CN MOI UP'!$B$10:$C$347,2,0)</f>
        <v>03390</v>
      </c>
      <c r="C342" s="1028" t="s">
        <v>238</v>
      </c>
      <c r="D342" s="545"/>
      <c r="E342" s="545"/>
      <c r="F342" s="545"/>
      <c r="G342" s="545"/>
      <c r="H342" s="545"/>
      <c r="I342" s="545"/>
      <c r="J342" s="545"/>
      <c r="K342" s="545"/>
      <c r="L342" s="545"/>
      <c r="M342" s="1062"/>
      <c r="N342" s="1062"/>
      <c r="O342" s="1062"/>
      <c r="P342" s="1062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062"/>
      <c r="AE342" s="1062"/>
      <c r="AF342" s="1062"/>
      <c r="AG342" s="1062"/>
      <c r="AH342" s="1062"/>
      <c r="AI342" s="1069">
        <f t="shared" si="14"/>
        <v>0</v>
      </c>
      <c r="AJ342" s="635"/>
    </row>
    <row r="343" spans="1:36" s="51" customFormat="1" ht="16.149999999999999" customHeight="1" outlineLevel="1">
      <c r="A343" s="1025">
        <v>34</v>
      </c>
      <c r="B343" s="1025" t="str">
        <f>VLOOKUP(C343,'DS CN MOI UP'!$B$10:$C$347,2,0)</f>
        <v>03391</v>
      </c>
      <c r="C343" s="1028" t="s">
        <v>239</v>
      </c>
      <c r="D343" s="545"/>
      <c r="E343" s="545"/>
      <c r="F343" s="545"/>
      <c r="G343" s="545"/>
      <c r="H343" s="545"/>
      <c r="I343" s="545"/>
      <c r="J343" s="545"/>
      <c r="K343" s="545"/>
      <c r="L343" s="545"/>
      <c r="M343" s="1062"/>
      <c r="N343" s="1062"/>
      <c r="O343" s="1062"/>
      <c r="P343" s="1062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062"/>
      <c r="AE343" s="1062"/>
      <c r="AF343" s="1062"/>
      <c r="AG343" s="1062"/>
      <c r="AH343" s="1062"/>
      <c r="AI343" s="1069">
        <f t="shared" si="14"/>
        <v>0</v>
      </c>
      <c r="AJ343" s="635"/>
    </row>
    <row r="344" spans="1:36" s="51" customFormat="1" ht="16.149999999999999" customHeight="1" outlineLevel="1">
      <c r="A344" s="1025">
        <v>35</v>
      </c>
      <c r="B344" s="1025" t="str">
        <f>VLOOKUP(C344,'DS CN MOI UP'!$B$10:$C$347,2,0)</f>
        <v>02589</v>
      </c>
      <c r="C344" s="1028" t="s">
        <v>240</v>
      </c>
      <c r="D344" s="545"/>
      <c r="E344" s="545"/>
      <c r="F344" s="545"/>
      <c r="G344" s="545"/>
      <c r="H344" s="545"/>
      <c r="I344" s="545"/>
      <c r="J344" s="545"/>
      <c r="K344" s="545"/>
      <c r="L344" s="545"/>
      <c r="M344" s="1062"/>
      <c r="N344" s="1062"/>
      <c r="O344" s="1062"/>
      <c r="P344" s="1062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062"/>
      <c r="AE344" s="1062"/>
      <c r="AF344" s="1062"/>
      <c r="AG344" s="1062"/>
      <c r="AH344" s="1062"/>
      <c r="AI344" s="1069">
        <f t="shared" si="14"/>
        <v>0</v>
      </c>
      <c r="AJ344" s="635"/>
    </row>
    <row r="345" spans="1:36" s="51" customFormat="1" ht="16.149999999999999" customHeight="1" outlineLevel="1">
      <c r="A345" s="1025">
        <v>36</v>
      </c>
      <c r="B345" s="1025" t="str">
        <f>VLOOKUP(C345,'DS CN MOI UP'!$B$10:$C$347,2,0)</f>
        <v>03392</v>
      </c>
      <c r="C345" s="1028" t="s">
        <v>241</v>
      </c>
      <c r="D345" s="545"/>
      <c r="E345" s="545"/>
      <c r="F345" s="545"/>
      <c r="G345" s="545"/>
      <c r="H345" s="545"/>
      <c r="I345" s="545"/>
      <c r="J345" s="545"/>
      <c r="K345" s="545"/>
      <c r="L345" s="545"/>
      <c r="M345" s="1062"/>
      <c r="N345" s="1062"/>
      <c r="O345" s="1062"/>
      <c r="P345" s="1062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062"/>
      <c r="AE345" s="1062"/>
      <c r="AF345" s="1062"/>
      <c r="AG345" s="1062"/>
      <c r="AH345" s="1062"/>
      <c r="AI345" s="1069">
        <f t="shared" si="14"/>
        <v>0</v>
      </c>
      <c r="AJ345" s="635"/>
    </row>
    <row r="346" spans="1:36" s="51" customFormat="1" ht="16.149999999999999" customHeight="1" outlineLevel="1">
      <c r="A346" s="1025">
        <v>37</v>
      </c>
      <c r="B346" s="1025" t="str">
        <f>VLOOKUP(C346,'DS CN MOI UP'!$B$10:$C$347,2,0)</f>
        <v>03393</v>
      </c>
      <c r="C346" s="1028" t="s">
        <v>242</v>
      </c>
      <c r="D346" s="545"/>
      <c r="E346" s="545"/>
      <c r="F346" s="545"/>
      <c r="G346" s="545"/>
      <c r="H346" s="545"/>
      <c r="I346" s="545"/>
      <c r="J346" s="545"/>
      <c r="K346" s="545"/>
      <c r="L346" s="545"/>
      <c r="M346" s="1062"/>
      <c r="N346" s="1062"/>
      <c r="O346" s="1062"/>
      <c r="P346" s="1062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062"/>
      <c r="AE346" s="1062"/>
      <c r="AF346" s="1062"/>
      <c r="AG346" s="1062"/>
      <c r="AH346" s="1062"/>
      <c r="AI346" s="1069">
        <f t="shared" si="14"/>
        <v>0</v>
      </c>
      <c r="AJ346" s="635"/>
    </row>
    <row r="347" spans="1:36" s="51" customFormat="1" ht="16.149999999999999" customHeight="1" outlineLevel="1">
      <c r="A347" s="1025">
        <v>38</v>
      </c>
      <c r="B347" s="1025" t="str">
        <f>VLOOKUP(C347,'DS CN MOI UP'!$B$10:$C$347,2,0)</f>
        <v>03394</v>
      </c>
      <c r="C347" s="1028" t="s">
        <v>243</v>
      </c>
      <c r="D347" s="545"/>
      <c r="E347" s="545"/>
      <c r="F347" s="545"/>
      <c r="G347" s="545"/>
      <c r="H347" s="545"/>
      <c r="I347" s="545"/>
      <c r="J347" s="545"/>
      <c r="K347" s="545"/>
      <c r="L347" s="545"/>
      <c r="M347" s="1062"/>
      <c r="N347" s="1062"/>
      <c r="O347" s="1062"/>
      <c r="P347" s="1062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062"/>
      <c r="AE347" s="1062"/>
      <c r="AF347" s="1062"/>
      <c r="AG347" s="1062"/>
      <c r="AH347" s="1062"/>
      <c r="AI347" s="1069">
        <f t="shared" si="14"/>
        <v>0</v>
      </c>
      <c r="AJ347" s="635"/>
    </row>
    <row r="348" spans="1:36" s="51" customFormat="1" ht="16.149999999999999" customHeight="1" outlineLevel="1">
      <c r="A348" s="1025">
        <v>39</v>
      </c>
      <c r="B348" s="1025" t="str">
        <f>VLOOKUP(C348,'DS CN MOI UP'!$B$10:$C$347,2,0)</f>
        <v>03395</v>
      </c>
      <c r="C348" s="1028" t="s">
        <v>244</v>
      </c>
      <c r="D348" s="545"/>
      <c r="E348" s="545"/>
      <c r="F348" s="545"/>
      <c r="G348" s="545"/>
      <c r="H348" s="545"/>
      <c r="I348" s="545"/>
      <c r="J348" s="545"/>
      <c r="K348" s="545"/>
      <c r="L348" s="545"/>
      <c r="M348" s="1062"/>
      <c r="N348" s="1062"/>
      <c r="O348" s="1062"/>
      <c r="P348" s="1062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062"/>
      <c r="AE348" s="1062"/>
      <c r="AF348" s="1062"/>
      <c r="AG348" s="1062"/>
      <c r="AH348" s="1062"/>
      <c r="AI348" s="1069">
        <f t="shared" si="14"/>
        <v>0</v>
      </c>
      <c r="AJ348" s="635"/>
    </row>
    <row r="349" spans="1:36" s="51" customFormat="1" ht="16.149999999999999" customHeight="1" outlineLevel="1">
      <c r="A349" s="1025">
        <v>40</v>
      </c>
      <c r="B349" s="1025" t="str">
        <f>VLOOKUP(C349,'DS CN MOI UP'!$B$10:$C$347,2,0)</f>
        <v>03396</v>
      </c>
      <c r="C349" s="1028" t="s">
        <v>245</v>
      </c>
      <c r="D349" s="545"/>
      <c r="E349" s="545"/>
      <c r="F349" s="545"/>
      <c r="G349" s="545"/>
      <c r="H349" s="545"/>
      <c r="I349" s="545"/>
      <c r="J349" s="545"/>
      <c r="K349" s="545"/>
      <c r="L349" s="545"/>
      <c r="M349" s="1062"/>
      <c r="N349" s="1062"/>
      <c r="O349" s="1062"/>
      <c r="P349" s="1062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062"/>
      <c r="AE349" s="1062"/>
      <c r="AF349" s="1062"/>
      <c r="AG349" s="1062"/>
      <c r="AH349" s="1062"/>
      <c r="AI349" s="1069">
        <f t="shared" si="14"/>
        <v>0</v>
      </c>
      <c r="AJ349" s="635"/>
    </row>
    <row r="350" spans="1:36" s="51" customFormat="1" ht="16.149999999999999" customHeight="1" outlineLevel="1">
      <c r="A350" s="1025">
        <v>41</v>
      </c>
      <c r="B350" s="1025" t="str">
        <f>VLOOKUP(C350,'DS CN MOI UP'!$B$10:$C$347,2,0)</f>
        <v>02593</v>
      </c>
      <c r="C350" s="1028" t="s">
        <v>246</v>
      </c>
      <c r="D350" s="545"/>
      <c r="E350" s="545"/>
      <c r="F350" s="545"/>
      <c r="G350" s="545"/>
      <c r="H350" s="545"/>
      <c r="I350" s="545"/>
      <c r="J350" s="545"/>
      <c r="K350" s="545"/>
      <c r="L350" s="545"/>
      <c r="M350" s="1062"/>
      <c r="N350" s="1062"/>
      <c r="O350" s="1062"/>
      <c r="P350" s="1062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062"/>
      <c r="AE350" s="1062"/>
      <c r="AF350" s="1062"/>
      <c r="AG350" s="1062"/>
      <c r="AH350" s="1062"/>
      <c r="AI350" s="1069">
        <f t="shared" si="14"/>
        <v>0</v>
      </c>
      <c r="AJ350" s="635"/>
    </row>
    <row r="351" spans="1:36" s="51" customFormat="1" ht="16.149999999999999" customHeight="1" outlineLevel="1">
      <c r="A351" s="1025">
        <v>42</v>
      </c>
      <c r="B351" s="1025" t="str">
        <f>VLOOKUP(C351,'DS CN MOI UP'!$B$10:$C$347,2,0)</f>
        <v>02696</v>
      </c>
      <c r="C351" s="1028" t="s">
        <v>247</v>
      </c>
      <c r="D351" s="545"/>
      <c r="E351" s="545"/>
      <c r="F351" s="545"/>
      <c r="G351" s="545"/>
      <c r="H351" s="545"/>
      <c r="I351" s="545"/>
      <c r="J351" s="545"/>
      <c r="K351" s="545"/>
      <c r="L351" s="545"/>
      <c r="M351" s="1062"/>
      <c r="N351" s="1062"/>
      <c r="O351" s="1062"/>
      <c r="P351" s="1062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062"/>
      <c r="AE351" s="1025"/>
      <c r="AF351" s="1062"/>
      <c r="AG351" s="1062"/>
      <c r="AH351" s="1062"/>
      <c r="AI351" s="1069">
        <f t="shared" si="14"/>
        <v>0</v>
      </c>
      <c r="AJ351" s="635"/>
    </row>
    <row r="352" spans="1:36" s="51" customFormat="1" ht="16.149999999999999" customHeight="1" outlineLevel="1">
      <c r="A352" s="1025">
        <v>43</v>
      </c>
      <c r="B352" s="1025" t="str">
        <f>VLOOKUP(C352,'DS CN MOI UP'!$B$10:$C$347,2,0)</f>
        <v>03397</v>
      </c>
      <c r="C352" s="1028" t="s">
        <v>248</v>
      </c>
      <c r="D352" s="545"/>
      <c r="E352" s="545"/>
      <c r="F352" s="545"/>
      <c r="G352" s="545"/>
      <c r="H352" s="545"/>
      <c r="I352" s="545"/>
      <c r="J352" s="545"/>
      <c r="K352" s="545"/>
      <c r="L352" s="545"/>
      <c r="M352" s="1062"/>
      <c r="N352" s="1062"/>
      <c r="O352" s="1062"/>
      <c r="P352" s="1062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062"/>
      <c r="AE352" s="1062"/>
      <c r="AF352" s="1062"/>
      <c r="AG352" s="1062"/>
      <c r="AH352" s="1062"/>
      <c r="AI352" s="1069">
        <f t="shared" si="14"/>
        <v>0</v>
      </c>
      <c r="AJ352" s="635"/>
    </row>
    <row r="353" spans="1:37" s="51" customFormat="1" ht="16.149999999999999" customHeight="1" outlineLevel="1">
      <c r="A353" s="1025">
        <v>44</v>
      </c>
      <c r="B353" s="1025" t="str">
        <f>VLOOKUP(C353,'DS CN MOI UP'!$B$10:$C$347,2,0)</f>
        <v>03398</v>
      </c>
      <c r="C353" s="1028" t="s">
        <v>249</v>
      </c>
      <c r="D353" s="545"/>
      <c r="E353" s="545"/>
      <c r="F353" s="545"/>
      <c r="G353" s="545"/>
      <c r="H353" s="545"/>
      <c r="I353" s="545"/>
      <c r="J353" s="545"/>
      <c r="K353" s="545"/>
      <c r="L353" s="545"/>
      <c r="M353" s="1062"/>
      <c r="N353" s="1062"/>
      <c r="O353" s="1062"/>
      <c r="P353" s="1062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025"/>
      <c r="AE353" s="1025"/>
      <c r="AF353" s="1062"/>
      <c r="AG353" s="1062"/>
      <c r="AH353" s="1062"/>
      <c r="AI353" s="1069">
        <f t="shared" si="14"/>
        <v>0</v>
      </c>
      <c r="AJ353" s="635"/>
    </row>
    <row r="354" spans="1:37" s="51" customFormat="1" ht="16.149999999999999" customHeight="1" outlineLevel="1">
      <c r="A354" s="1025">
        <v>45</v>
      </c>
      <c r="B354" s="1025" t="str">
        <f>VLOOKUP(C354,'DS CN MOI UP'!$B$10:$C$347,2,0)</f>
        <v>02592</v>
      </c>
      <c r="C354" s="1028" t="s">
        <v>250</v>
      </c>
      <c r="D354" s="545"/>
      <c r="E354" s="545"/>
      <c r="F354" s="545"/>
      <c r="G354" s="545"/>
      <c r="H354" s="545"/>
      <c r="I354" s="545"/>
      <c r="J354" s="545"/>
      <c r="K354" s="545"/>
      <c r="L354" s="545"/>
      <c r="M354" s="1062"/>
      <c r="N354" s="1062"/>
      <c r="O354" s="1062"/>
      <c r="P354" s="1062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062"/>
      <c r="AE354" s="1062"/>
      <c r="AF354" s="1062"/>
      <c r="AG354" s="1062"/>
      <c r="AH354" s="1062"/>
      <c r="AI354" s="1069">
        <f t="shared" si="14"/>
        <v>0</v>
      </c>
      <c r="AJ354" s="635"/>
    </row>
    <row r="355" spans="1:37" s="1022" customFormat="1" ht="16.149999999999999" customHeight="1" outlineLevel="1">
      <c r="A355" s="1025">
        <v>46</v>
      </c>
      <c r="B355" s="1025" t="str">
        <f>VLOOKUP(C355,'DS CN MOI UP'!$B$10:$C$347,2,0)</f>
        <v>02598</v>
      </c>
      <c r="C355" s="1028" t="s">
        <v>251</v>
      </c>
      <c r="D355" s="545"/>
      <c r="E355" s="545"/>
      <c r="F355" s="545"/>
      <c r="G355" s="545"/>
      <c r="H355" s="545"/>
      <c r="I355" s="545"/>
      <c r="J355" s="545"/>
      <c r="K355" s="545"/>
      <c r="L355" s="545"/>
      <c r="M355" s="1062"/>
      <c r="N355" s="1062"/>
      <c r="O355" s="1062"/>
      <c r="P355" s="1062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062"/>
      <c r="AE355" s="1062"/>
      <c r="AF355" s="1062"/>
      <c r="AG355" s="1062"/>
      <c r="AH355" s="1062"/>
      <c r="AI355" s="1069">
        <f t="shared" si="14"/>
        <v>0</v>
      </c>
      <c r="AJ355" s="635"/>
      <c r="AK355" s="51"/>
    </row>
    <row r="356" spans="1:37" s="51" customFormat="1" ht="16.149999999999999" customHeight="1" outlineLevel="1">
      <c r="A356" s="1025">
        <v>47</v>
      </c>
      <c r="B356" s="1025" t="str">
        <f>VLOOKUP(C356,'DS CN MOI UP'!$B$10:$C$347,2,0)</f>
        <v>02575</v>
      </c>
      <c r="C356" s="1028" t="s">
        <v>252</v>
      </c>
      <c r="D356" s="545"/>
      <c r="E356" s="545"/>
      <c r="F356" s="545"/>
      <c r="G356" s="545"/>
      <c r="H356" s="545"/>
      <c r="I356" s="545"/>
      <c r="J356" s="545"/>
      <c r="K356" s="545"/>
      <c r="L356" s="545"/>
      <c r="M356" s="1062"/>
      <c r="N356" s="1062"/>
      <c r="O356" s="1062"/>
      <c r="P356" s="1062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062"/>
      <c r="AE356" s="1062"/>
      <c r="AF356" s="1062"/>
      <c r="AG356" s="1062"/>
      <c r="AH356" s="1062"/>
      <c r="AI356" s="1069">
        <f t="shared" si="14"/>
        <v>0</v>
      </c>
      <c r="AJ356" s="635"/>
    </row>
    <row r="357" spans="1:37" s="51" customFormat="1" ht="16.149999999999999" customHeight="1" outlineLevel="1">
      <c r="A357" s="1025">
        <v>48</v>
      </c>
      <c r="B357" s="1025" t="str">
        <f>VLOOKUP(C357,'DS CN MOI UP'!$B$10:$C$347,2,0)</f>
        <v>02606</v>
      </c>
      <c r="C357" s="1028" t="s">
        <v>253</v>
      </c>
      <c r="D357" s="545"/>
      <c r="E357" s="545"/>
      <c r="F357" s="545"/>
      <c r="G357" s="545"/>
      <c r="H357" s="545"/>
      <c r="I357" s="545"/>
      <c r="J357" s="545"/>
      <c r="K357" s="545"/>
      <c r="L357" s="545"/>
      <c r="M357" s="1062"/>
      <c r="N357" s="1062"/>
      <c r="O357" s="1062"/>
      <c r="P357" s="1062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062"/>
      <c r="AE357" s="1062"/>
      <c r="AF357" s="1062"/>
      <c r="AG357" s="1062"/>
      <c r="AH357" s="1062"/>
      <c r="AI357" s="1069">
        <f t="shared" si="14"/>
        <v>0</v>
      </c>
      <c r="AJ357" s="635"/>
    </row>
    <row r="358" spans="1:37" s="51" customFormat="1" ht="16.149999999999999" customHeight="1" outlineLevel="1">
      <c r="A358" s="1025">
        <v>49</v>
      </c>
      <c r="B358" s="1025" t="str">
        <f>VLOOKUP(C358,'DS CN MOI UP'!$B$10:$C$347,2,0)</f>
        <v>02607</v>
      </c>
      <c r="C358" s="1028" t="s">
        <v>254</v>
      </c>
      <c r="D358" s="545"/>
      <c r="E358" s="545"/>
      <c r="F358" s="545"/>
      <c r="G358" s="545"/>
      <c r="H358" s="545"/>
      <c r="I358" s="545"/>
      <c r="J358" s="545"/>
      <c r="K358" s="545"/>
      <c r="L358" s="545"/>
      <c r="M358" s="1062"/>
      <c r="N358" s="1062"/>
      <c r="O358" s="1062"/>
      <c r="P358" s="1062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062"/>
      <c r="AE358" s="1062"/>
      <c r="AF358" s="1062"/>
      <c r="AG358" s="1062"/>
      <c r="AH358" s="1062"/>
      <c r="AI358" s="1069">
        <f t="shared" si="14"/>
        <v>0</v>
      </c>
      <c r="AJ358" s="635"/>
    </row>
    <row r="359" spans="1:37" s="51" customFormat="1" ht="16.149999999999999" customHeight="1" outlineLevel="1">
      <c r="A359" s="1025">
        <v>50</v>
      </c>
      <c r="B359" s="1025" t="str">
        <f>VLOOKUP(C359,'DS CN MOI UP'!$B$10:$C$347,2,0)</f>
        <v>02612</v>
      </c>
      <c r="C359" s="1028" t="s">
        <v>255</v>
      </c>
      <c r="D359" s="545"/>
      <c r="E359" s="545"/>
      <c r="F359" s="545"/>
      <c r="G359" s="545"/>
      <c r="H359" s="545"/>
      <c r="I359" s="545"/>
      <c r="J359" s="545"/>
      <c r="K359" s="545"/>
      <c r="L359" s="545"/>
      <c r="M359" s="1062"/>
      <c r="N359" s="1062"/>
      <c r="O359" s="1062"/>
      <c r="P359" s="1062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062"/>
      <c r="AE359" s="1062"/>
      <c r="AF359" s="1062"/>
      <c r="AG359" s="1062"/>
      <c r="AH359" s="1062"/>
      <c r="AI359" s="1069">
        <f t="shared" si="14"/>
        <v>0</v>
      </c>
      <c r="AJ359" s="635"/>
    </row>
    <row r="360" spans="1:37" s="51" customFormat="1" ht="16.149999999999999" customHeight="1" outlineLevel="1">
      <c r="A360" s="1025">
        <v>51</v>
      </c>
      <c r="B360" s="1025" t="str">
        <f>VLOOKUP(C360,'DS CN MOI UP'!$B$10:$C$347,2,0)</f>
        <v>02574</v>
      </c>
      <c r="C360" s="1028" t="s">
        <v>256</v>
      </c>
      <c r="D360" s="545"/>
      <c r="E360" s="545"/>
      <c r="F360" s="545"/>
      <c r="G360" s="545"/>
      <c r="H360" s="545"/>
      <c r="I360" s="545"/>
      <c r="J360" s="545"/>
      <c r="K360" s="545"/>
      <c r="L360" s="545"/>
      <c r="M360" s="1062"/>
      <c r="N360" s="1062"/>
      <c r="O360" s="1062"/>
      <c r="P360" s="1062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062"/>
      <c r="AE360" s="1062"/>
      <c r="AF360" s="1062"/>
      <c r="AG360" s="1062"/>
      <c r="AH360" s="1062"/>
      <c r="AI360" s="1069">
        <f t="shared" si="14"/>
        <v>0</v>
      </c>
      <c r="AJ360" s="635"/>
    </row>
    <row r="361" spans="1:37" s="51" customFormat="1" ht="16.149999999999999" customHeight="1" outlineLevel="1">
      <c r="A361" s="1025">
        <v>52</v>
      </c>
      <c r="B361" s="1025" t="str">
        <f>VLOOKUP(C361,'DS CN MOI UP'!$B$10:$C$347,2,0)</f>
        <v>02605</v>
      </c>
      <c r="C361" s="1028" t="s">
        <v>258</v>
      </c>
      <c r="D361" s="545"/>
      <c r="E361" s="545"/>
      <c r="F361" s="545"/>
      <c r="G361" s="545"/>
      <c r="H361" s="545"/>
      <c r="I361" s="545"/>
      <c r="J361" s="545"/>
      <c r="K361" s="545"/>
      <c r="L361" s="545"/>
      <c r="M361" s="1062"/>
      <c r="N361" s="1062"/>
      <c r="O361" s="1062"/>
      <c r="P361" s="1062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062"/>
      <c r="AE361" s="1062"/>
      <c r="AF361" s="1062"/>
      <c r="AG361" s="1062"/>
      <c r="AH361" s="1062"/>
      <c r="AI361" s="1069">
        <f t="shared" si="14"/>
        <v>0</v>
      </c>
      <c r="AJ361" s="635"/>
    </row>
    <row r="362" spans="1:37" s="51" customFormat="1" ht="16.149999999999999" customHeight="1" outlineLevel="1">
      <c r="A362" s="1025">
        <v>53</v>
      </c>
      <c r="B362" s="1025" t="str">
        <f>VLOOKUP(C362,'DS CN MOI UP'!$B$10:$C$347,2,0)</f>
        <v>02588</v>
      </c>
      <c r="C362" s="1028" t="s">
        <v>259</v>
      </c>
      <c r="D362" s="545"/>
      <c r="E362" s="545"/>
      <c r="F362" s="545"/>
      <c r="G362" s="545"/>
      <c r="H362" s="545"/>
      <c r="I362" s="545"/>
      <c r="J362" s="545"/>
      <c r="K362" s="545"/>
      <c r="L362" s="545"/>
      <c r="M362" s="1062"/>
      <c r="N362" s="1062"/>
      <c r="O362" s="1062"/>
      <c r="P362" s="1062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062"/>
      <c r="AE362" s="1062"/>
      <c r="AF362" s="1062"/>
      <c r="AG362" s="1062"/>
      <c r="AH362" s="1062"/>
      <c r="AI362" s="1069">
        <f t="shared" si="14"/>
        <v>0</v>
      </c>
      <c r="AJ362" s="635"/>
    </row>
    <row r="363" spans="1:37" s="51" customFormat="1" ht="16.149999999999999" customHeight="1" outlineLevel="1">
      <c r="A363" s="1025">
        <v>54</v>
      </c>
      <c r="B363" s="1025" t="str">
        <f>VLOOKUP(C363,'DS CN MOI UP'!$B$10:$C$347,2,0)</f>
        <v>02577</v>
      </c>
      <c r="C363" s="1028" t="s">
        <v>257</v>
      </c>
      <c r="D363" s="545"/>
      <c r="E363" s="545"/>
      <c r="F363" s="545"/>
      <c r="G363" s="545"/>
      <c r="H363" s="545"/>
      <c r="I363" s="545"/>
      <c r="J363" s="545"/>
      <c r="K363" s="545"/>
      <c r="L363" s="545"/>
      <c r="M363" s="1062"/>
      <c r="N363" s="1062"/>
      <c r="O363" s="1062"/>
      <c r="P363" s="1062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062"/>
      <c r="AE363" s="1062"/>
      <c r="AF363" s="1062"/>
      <c r="AG363" s="1062"/>
      <c r="AH363" s="1062"/>
      <c r="AI363" s="1069">
        <f t="shared" si="14"/>
        <v>0</v>
      </c>
      <c r="AJ363" s="635"/>
    </row>
    <row r="364" spans="1:37" s="51" customFormat="1" ht="16.149999999999999" customHeight="1" outlineLevel="1">
      <c r="A364" s="1025">
        <v>55</v>
      </c>
      <c r="B364" s="1025" t="str">
        <f>VLOOKUP(C364,'DS CN MOI UP'!$B$10:$C$347,2,0)</f>
        <v>03857</v>
      </c>
      <c r="C364" s="1028" t="s">
        <v>260</v>
      </c>
      <c r="D364" s="545"/>
      <c r="E364" s="545"/>
      <c r="F364" s="545"/>
      <c r="G364" s="545"/>
      <c r="H364" s="545"/>
      <c r="I364" s="545"/>
      <c r="J364" s="545"/>
      <c r="K364" s="545"/>
      <c r="L364" s="545"/>
      <c r="M364" s="1062"/>
      <c r="N364" s="1062"/>
      <c r="O364" s="1062"/>
      <c r="P364" s="1062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062"/>
      <c r="AE364" s="1062"/>
      <c r="AF364" s="1062"/>
      <c r="AG364" s="1062"/>
      <c r="AH364" s="1062"/>
      <c r="AI364" s="1069">
        <f t="shared" si="14"/>
        <v>0</v>
      </c>
      <c r="AJ364" s="635"/>
    </row>
    <row r="365" spans="1:37" s="51" customFormat="1" ht="16.149999999999999" customHeight="1" outlineLevel="1">
      <c r="A365" s="1025">
        <v>56</v>
      </c>
      <c r="B365" s="1025" t="str">
        <f>VLOOKUP(C365,'DS CN MOI UP'!$B$10:$C$347,2,0)</f>
        <v>02597</v>
      </c>
      <c r="C365" s="1028" t="s">
        <v>261</v>
      </c>
      <c r="D365" s="545"/>
      <c r="E365" s="545"/>
      <c r="F365" s="545"/>
      <c r="G365" s="545"/>
      <c r="H365" s="545"/>
      <c r="I365" s="545"/>
      <c r="J365" s="545"/>
      <c r="K365" s="545"/>
      <c r="L365" s="545"/>
      <c r="M365" s="1062"/>
      <c r="N365" s="1062"/>
      <c r="O365" s="1062"/>
      <c r="P365" s="1062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062"/>
      <c r="AE365" s="1062"/>
      <c r="AF365" s="1062"/>
      <c r="AG365" s="1062"/>
      <c r="AH365" s="1062"/>
      <c r="AI365" s="1069">
        <f t="shared" si="14"/>
        <v>0</v>
      </c>
      <c r="AJ365" s="635"/>
    </row>
    <row r="366" spans="1:37" s="51" customFormat="1" ht="16.149999999999999" customHeight="1" outlineLevel="1">
      <c r="A366" s="1025">
        <v>57</v>
      </c>
      <c r="B366" s="1025" t="str">
        <f>VLOOKUP(C366,'DS CN MOI UP'!$B$10:$C$347,2,0)</f>
        <v>02590</v>
      </c>
      <c r="C366" s="1028" t="s">
        <v>262</v>
      </c>
      <c r="D366" s="545"/>
      <c r="E366" s="545"/>
      <c r="F366" s="545"/>
      <c r="G366" s="545"/>
      <c r="H366" s="545"/>
      <c r="I366" s="545"/>
      <c r="J366" s="545"/>
      <c r="K366" s="545"/>
      <c r="L366" s="545"/>
      <c r="M366" s="1062"/>
      <c r="N366" s="1062"/>
      <c r="O366" s="1062"/>
      <c r="P366" s="1062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062"/>
      <c r="AE366" s="1062"/>
      <c r="AF366" s="1062"/>
      <c r="AG366" s="1062"/>
      <c r="AH366" s="1062"/>
      <c r="AI366" s="1069">
        <f t="shared" si="14"/>
        <v>0</v>
      </c>
      <c r="AJ366" s="635"/>
    </row>
    <row r="367" spans="1:37" s="51" customFormat="1" ht="16.149999999999999" customHeight="1" outlineLevel="1">
      <c r="A367" s="1025">
        <v>58</v>
      </c>
      <c r="B367" s="1025" t="str">
        <f>VLOOKUP(C367,'DS CN MOI UP'!$B$10:$C$347,2,0)</f>
        <v>02585</v>
      </c>
      <c r="C367" s="1028" t="s">
        <v>263</v>
      </c>
      <c r="D367" s="545"/>
      <c r="E367" s="545"/>
      <c r="F367" s="545"/>
      <c r="G367" s="545"/>
      <c r="H367" s="545"/>
      <c r="I367" s="545"/>
      <c r="J367" s="545"/>
      <c r="K367" s="545"/>
      <c r="L367" s="545"/>
      <c r="M367" s="1062"/>
      <c r="N367" s="1062"/>
      <c r="O367" s="1062"/>
      <c r="P367" s="1062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062"/>
      <c r="AE367" s="1062"/>
      <c r="AF367" s="1062"/>
      <c r="AG367" s="1062"/>
      <c r="AH367" s="1062"/>
      <c r="AI367" s="1069">
        <f t="shared" si="14"/>
        <v>0</v>
      </c>
      <c r="AJ367" s="635"/>
    </row>
    <row r="368" spans="1:37" s="51" customFormat="1" ht="16.149999999999999" customHeight="1" outlineLevel="1">
      <c r="A368" s="1025">
        <v>59</v>
      </c>
      <c r="B368" s="1025" t="str">
        <f>VLOOKUP(C368,'DS CN MOI UP'!$B$10:$C$347,2,0)</f>
        <v>03399</v>
      </c>
      <c r="C368" s="1028" t="s">
        <v>264</v>
      </c>
      <c r="D368" s="545"/>
      <c r="E368" s="545"/>
      <c r="F368" s="545"/>
      <c r="G368" s="545"/>
      <c r="H368" s="545"/>
      <c r="I368" s="545"/>
      <c r="J368" s="545"/>
      <c r="K368" s="545"/>
      <c r="L368" s="545"/>
      <c r="M368" s="1062"/>
      <c r="N368" s="1062"/>
      <c r="O368" s="1062"/>
      <c r="P368" s="1062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062"/>
      <c r="AE368" s="1025"/>
      <c r="AF368" s="1062"/>
      <c r="AG368" s="1062"/>
      <c r="AH368" s="1062"/>
      <c r="AI368" s="1069">
        <f t="shared" si="14"/>
        <v>0</v>
      </c>
      <c r="AJ368" s="635"/>
    </row>
    <row r="369" spans="1:38" s="51" customFormat="1" ht="16.149999999999999" customHeight="1" outlineLevel="1">
      <c r="A369" s="1025">
        <v>60</v>
      </c>
      <c r="B369" s="1025" t="str">
        <f>VLOOKUP(C369,'DS CN MOI UP'!$B$10:$C$347,2,0)</f>
        <v>02584</v>
      </c>
      <c r="C369" s="1028" t="s">
        <v>265</v>
      </c>
      <c r="D369" s="545"/>
      <c r="E369" s="545"/>
      <c r="F369" s="545"/>
      <c r="G369" s="545"/>
      <c r="H369" s="545"/>
      <c r="I369" s="545"/>
      <c r="J369" s="545"/>
      <c r="K369" s="545"/>
      <c r="L369" s="545"/>
      <c r="M369" s="1062"/>
      <c r="N369" s="1062"/>
      <c r="O369" s="1062"/>
      <c r="P369" s="1062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062"/>
      <c r="AE369" s="1062"/>
      <c r="AF369" s="1062"/>
      <c r="AG369" s="1062"/>
      <c r="AH369" s="1062"/>
      <c r="AI369" s="1069">
        <f t="shared" si="14"/>
        <v>0</v>
      </c>
      <c r="AJ369" s="635"/>
    </row>
    <row r="370" spans="1:38" s="51" customFormat="1" ht="16.149999999999999" customHeight="1" outlineLevel="1">
      <c r="A370" s="1025">
        <v>61</v>
      </c>
      <c r="B370" s="1025" t="str">
        <f>VLOOKUP(C370,'DS CN MOI UP'!$B$10:$C$347,2,0)</f>
        <v>02698</v>
      </c>
      <c r="C370" s="1028" t="s">
        <v>266</v>
      </c>
      <c r="D370" s="545"/>
      <c r="E370" s="545"/>
      <c r="F370" s="545"/>
      <c r="G370" s="545"/>
      <c r="H370" s="545"/>
      <c r="I370" s="545"/>
      <c r="J370" s="545"/>
      <c r="K370" s="545"/>
      <c r="L370" s="545"/>
      <c r="M370" s="1062"/>
      <c r="N370" s="1062"/>
      <c r="O370" s="1062"/>
      <c r="P370" s="1062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062"/>
      <c r="AE370" s="1062"/>
      <c r="AF370" s="1062"/>
      <c r="AG370" s="1062"/>
      <c r="AH370" s="1062"/>
      <c r="AI370" s="1069">
        <f t="shared" si="14"/>
        <v>0</v>
      </c>
      <c r="AJ370" s="635"/>
    </row>
    <row r="371" spans="1:38" s="51" customFormat="1" ht="16.149999999999999" customHeight="1" outlineLevel="1">
      <c r="A371" s="1025">
        <v>62</v>
      </c>
      <c r="B371" s="1025" t="str">
        <f>VLOOKUP(C371,'DS CN MOI UP'!$B$10:$C$347,2,0)</f>
        <v>03858</v>
      </c>
      <c r="C371" s="1028" t="s">
        <v>267</v>
      </c>
      <c r="D371" s="545"/>
      <c r="E371" s="545"/>
      <c r="F371" s="545"/>
      <c r="G371" s="545"/>
      <c r="H371" s="545"/>
      <c r="I371" s="545"/>
      <c r="J371" s="545"/>
      <c r="K371" s="545"/>
      <c r="L371" s="545"/>
      <c r="M371" s="1062"/>
      <c r="N371" s="1062"/>
      <c r="O371" s="1062"/>
      <c r="P371" s="1062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025"/>
      <c r="AE371" s="1062"/>
      <c r="AF371" s="1062"/>
      <c r="AG371" s="1062"/>
      <c r="AH371" s="1062"/>
      <c r="AI371" s="1069">
        <f t="shared" si="14"/>
        <v>0</v>
      </c>
      <c r="AJ371" s="635"/>
    </row>
    <row r="372" spans="1:38" s="51" customFormat="1" ht="16.149999999999999" customHeight="1" outlineLevel="1">
      <c r="A372" s="1025">
        <v>63</v>
      </c>
      <c r="B372" s="1025" t="str">
        <f>VLOOKUP(C372,'DS CN MOI UP'!$B$10:$C$347,2,0)</f>
        <v>02591</v>
      </c>
      <c r="C372" s="1028" t="s">
        <v>268</v>
      </c>
      <c r="D372" s="545"/>
      <c r="E372" s="545"/>
      <c r="F372" s="545"/>
      <c r="G372" s="545"/>
      <c r="H372" s="545"/>
      <c r="I372" s="545"/>
      <c r="J372" s="545"/>
      <c r="K372" s="545"/>
      <c r="L372" s="545"/>
      <c r="M372" s="1062"/>
      <c r="N372" s="1062"/>
      <c r="O372" s="1062"/>
      <c r="P372" s="1062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062"/>
      <c r="AE372" s="1062"/>
      <c r="AF372" s="1062"/>
      <c r="AG372" s="1062"/>
      <c r="AH372" s="1062"/>
      <c r="AI372" s="1069">
        <f t="shared" si="14"/>
        <v>0</v>
      </c>
      <c r="AJ372" s="635"/>
    </row>
    <row r="373" spans="1:38" s="51" customFormat="1" ht="16.149999999999999" customHeight="1" outlineLevel="1">
      <c r="A373" s="1025">
        <v>64</v>
      </c>
      <c r="B373" s="1025" t="str">
        <f>VLOOKUP(C373,'DS CN MOI UP'!$B$10:$C$347,2,0)</f>
        <v>02595</v>
      </c>
      <c r="C373" s="1028" t="s">
        <v>269</v>
      </c>
      <c r="D373" s="545"/>
      <c r="E373" s="545"/>
      <c r="F373" s="545"/>
      <c r="G373" s="545"/>
      <c r="H373" s="545"/>
      <c r="I373" s="545"/>
      <c r="J373" s="545"/>
      <c r="K373" s="545"/>
      <c r="L373" s="545"/>
      <c r="M373" s="1062"/>
      <c r="N373" s="1062"/>
      <c r="O373" s="1062"/>
      <c r="P373" s="1062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062"/>
      <c r="AE373" s="1062"/>
      <c r="AF373" s="1062"/>
      <c r="AG373" s="1062"/>
      <c r="AH373" s="1062"/>
      <c r="AI373" s="1069">
        <f t="shared" si="14"/>
        <v>0</v>
      </c>
      <c r="AJ373" s="635"/>
    </row>
    <row r="374" spans="1:38" s="51" customFormat="1" ht="16.149999999999999" customHeight="1" outlineLevel="1">
      <c r="A374" s="1025">
        <v>65</v>
      </c>
      <c r="B374" s="1025" t="str">
        <f>VLOOKUP(C374,'DS CN MOI UP'!$B$10:$C$347,2,0)</f>
        <v>02582</v>
      </c>
      <c r="C374" s="1028" t="s">
        <v>270</v>
      </c>
      <c r="D374" s="545"/>
      <c r="E374" s="545"/>
      <c r="F374" s="545"/>
      <c r="G374" s="545"/>
      <c r="H374" s="545"/>
      <c r="I374" s="545"/>
      <c r="J374" s="545"/>
      <c r="K374" s="545"/>
      <c r="L374" s="545"/>
      <c r="M374" s="1062"/>
      <c r="N374" s="1062"/>
      <c r="O374" s="1062"/>
      <c r="P374" s="1062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062"/>
      <c r="AE374" s="1062"/>
      <c r="AF374" s="1062"/>
      <c r="AG374" s="1062"/>
      <c r="AH374" s="1062"/>
      <c r="AI374" s="1069">
        <f t="shared" ref="AI374:AI381" si="15">COUNTIF(D374:AH374,"X")</f>
        <v>0</v>
      </c>
      <c r="AJ374" s="635"/>
    </row>
    <row r="375" spans="1:38" s="51" customFormat="1" ht="16.149999999999999" customHeight="1" outlineLevel="1">
      <c r="A375" s="1025">
        <v>66</v>
      </c>
      <c r="B375" s="1025" t="str">
        <f>VLOOKUP(C375,'DS CN MOI UP'!$B$10:$C$347,2,0)</f>
        <v>02572</v>
      </c>
      <c r="C375" s="1028" t="s">
        <v>271</v>
      </c>
      <c r="D375" s="545"/>
      <c r="E375" s="545"/>
      <c r="F375" s="545"/>
      <c r="G375" s="545"/>
      <c r="H375" s="545"/>
      <c r="I375" s="545"/>
      <c r="J375" s="545"/>
      <c r="K375" s="545"/>
      <c r="L375" s="545"/>
      <c r="M375" s="1062"/>
      <c r="N375" s="1062"/>
      <c r="O375" s="1062"/>
      <c r="P375" s="1062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025"/>
      <c r="AE375" s="1025"/>
      <c r="AF375" s="1062"/>
      <c r="AG375" s="1062"/>
      <c r="AH375" s="1062"/>
      <c r="AI375" s="1069">
        <f t="shared" si="15"/>
        <v>0</v>
      </c>
      <c r="AJ375" s="635"/>
    </row>
    <row r="376" spans="1:38" s="51" customFormat="1" ht="16.149999999999999" customHeight="1" outlineLevel="1">
      <c r="A376" s="1025">
        <v>67</v>
      </c>
      <c r="B376" s="1025" t="str">
        <f>VLOOKUP(C376,'DS CN MOI UP'!$B$10:$C$347,2,0)</f>
        <v>02694</v>
      </c>
      <c r="C376" s="1028" t="s">
        <v>272</v>
      </c>
      <c r="D376" s="545"/>
      <c r="E376" s="545"/>
      <c r="F376" s="545"/>
      <c r="G376" s="545"/>
      <c r="H376" s="545"/>
      <c r="I376" s="545"/>
      <c r="J376" s="545"/>
      <c r="K376" s="545"/>
      <c r="L376" s="545"/>
      <c r="M376" s="1062"/>
      <c r="N376" s="1062"/>
      <c r="O376" s="1062"/>
      <c r="P376" s="1062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062"/>
      <c r="AE376" s="1062"/>
      <c r="AF376" s="1062"/>
      <c r="AG376" s="1062"/>
      <c r="AH376" s="1062"/>
      <c r="AI376" s="1069">
        <f t="shared" si="15"/>
        <v>0</v>
      </c>
      <c r="AJ376" s="635"/>
    </row>
    <row r="377" spans="1:38" s="51" customFormat="1" ht="16.149999999999999" customHeight="1" outlineLevel="1">
      <c r="A377" s="1025">
        <v>68</v>
      </c>
      <c r="B377" s="1025" t="str">
        <f>VLOOKUP(C377,'DS CN MOI UP'!$B$10:$C$347,2,0)</f>
        <v>02699</v>
      </c>
      <c r="C377" s="1028" t="s">
        <v>273</v>
      </c>
      <c r="D377" s="545"/>
      <c r="E377" s="545"/>
      <c r="F377" s="545"/>
      <c r="G377" s="545"/>
      <c r="H377" s="545"/>
      <c r="I377" s="545"/>
      <c r="J377" s="545"/>
      <c r="K377" s="545"/>
      <c r="L377" s="545"/>
      <c r="M377" s="1062"/>
      <c r="N377" s="1062"/>
      <c r="O377" s="1062"/>
      <c r="P377" s="1062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062"/>
      <c r="AE377" s="1062"/>
      <c r="AF377" s="1062"/>
      <c r="AG377" s="1062"/>
      <c r="AH377" s="1062"/>
      <c r="AI377" s="1069">
        <f t="shared" si="15"/>
        <v>0</v>
      </c>
      <c r="AJ377" s="635"/>
    </row>
    <row r="378" spans="1:38" s="51" customFormat="1" ht="16.149999999999999" customHeight="1" outlineLevel="1">
      <c r="A378" s="1025">
        <v>69</v>
      </c>
      <c r="B378" s="1025" t="str">
        <f>VLOOKUP(C378,'DS CN MOI UP'!$B$10:$C$347,2,0)</f>
        <v>03400</v>
      </c>
      <c r="C378" s="1028" t="s">
        <v>274</v>
      </c>
      <c r="D378" s="545"/>
      <c r="E378" s="545"/>
      <c r="F378" s="545"/>
      <c r="G378" s="545"/>
      <c r="H378" s="545"/>
      <c r="I378" s="545"/>
      <c r="J378" s="545"/>
      <c r="K378" s="545"/>
      <c r="L378" s="545"/>
      <c r="M378" s="1062"/>
      <c r="N378" s="1062"/>
      <c r="O378" s="1062"/>
      <c r="P378" s="1062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062"/>
      <c r="AE378" s="1062"/>
      <c r="AF378" s="1062"/>
      <c r="AG378" s="1062"/>
      <c r="AH378" s="1062"/>
      <c r="AI378" s="1069">
        <f t="shared" si="15"/>
        <v>0</v>
      </c>
      <c r="AJ378" s="635"/>
    </row>
    <row r="379" spans="1:38" s="51" customFormat="1" ht="16.149999999999999" customHeight="1" outlineLevel="1">
      <c r="A379" s="1025">
        <v>70</v>
      </c>
      <c r="B379" s="1025" t="e">
        <f>VLOOKUP(C379,'DS CN MOI UP'!$B$10:$C$347,2,0)</f>
        <v>#N/A</v>
      </c>
      <c r="C379" s="1028" t="s">
        <v>510</v>
      </c>
      <c r="D379" s="545"/>
      <c r="E379" s="545"/>
      <c r="F379" s="545"/>
      <c r="G379" s="545"/>
      <c r="H379" s="545"/>
      <c r="I379" s="545"/>
      <c r="J379" s="545"/>
      <c r="K379" s="545"/>
      <c r="L379" s="545"/>
      <c r="M379" s="1062"/>
      <c r="N379" s="1062"/>
      <c r="O379" s="1062"/>
      <c r="P379" s="1062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062"/>
      <c r="AE379" s="1062"/>
      <c r="AF379" s="1062"/>
      <c r="AG379" s="1062"/>
      <c r="AH379" s="1062"/>
      <c r="AI379" s="1069">
        <f t="shared" si="15"/>
        <v>0</v>
      </c>
      <c r="AJ379" s="635"/>
    </row>
    <row r="380" spans="1:38" s="51" customFormat="1" ht="16.149999999999999" customHeight="1" outlineLevel="1">
      <c r="A380" s="1025">
        <v>71</v>
      </c>
      <c r="B380" s="1025" t="e">
        <f>VLOOKUP(C380,'DS CN MOI UP'!$B$10:$C$347,2,0)</f>
        <v>#N/A</v>
      </c>
      <c r="C380" s="1028" t="s">
        <v>511</v>
      </c>
      <c r="D380" s="545"/>
      <c r="E380" s="545"/>
      <c r="F380" s="545"/>
      <c r="G380" s="545"/>
      <c r="H380" s="545"/>
      <c r="I380" s="545"/>
      <c r="J380" s="545"/>
      <c r="K380" s="545"/>
      <c r="L380" s="545"/>
      <c r="M380" s="1062"/>
      <c r="N380" s="1062"/>
      <c r="O380" s="1062"/>
      <c r="P380" s="1062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062"/>
      <c r="AE380" s="1062"/>
      <c r="AF380" s="1062"/>
      <c r="AG380" s="1062"/>
      <c r="AH380" s="1062"/>
      <c r="AI380" s="1069">
        <f t="shared" si="15"/>
        <v>0</v>
      </c>
      <c r="AJ380" s="635"/>
    </row>
    <row r="381" spans="1:38" s="51" customFormat="1" ht="16.149999999999999" customHeight="1" outlineLevel="1">
      <c r="A381" s="1025">
        <v>72</v>
      </c>
      <c r="B381" s="1025" t="e">
        <f>VLOOKUP(C381,'DS CN MOI UP'!$B$10:$C$347,2,0)</f>
        <v>#N/A</v>
      </c>
      <c r="C381" s="1028" t="s">
        <v>512</v>
      </c>
      <c r="D381" s="545"/>
      <c r="E381" s="545"/>
      <c r="F381" s="545"/>
      <c r="G381" s="545"/>
      <c r="H381" s="545"/>
      <c r="I381" s="545"/>
      <c r="J381" s="545"/>
      <c r="K381" s="545"/>
      <c r="L381" s="545"/>
      <c r="M381" s="1062"/>
      <c r="N381" s="1062"/>
      <c r="O381" s="1062"/>
      <c r="P381" s="1062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062"/>
      <c r="AE381" s="1062"/>
      <c r="AF381" s="1062"/>
      <c r="AG381" s="1062"/>
      <c r="AH381" s="1062"/>
      <c r="AI381" s="1069">
        <f t="shared" si="15"/>
        <v>0</v>
      </c>
      <c r="AJ381" s="635"/>
    </row>
    <row r="382" spans="1:38" s="51" customFormat="1" ht="16.149999999999999" customHeight="1" outlineLevel="1">
      <c r="A382" s="1026" t="s">
        <v>285</v>
      </c>
      <c r="B382" s="1025" t="e">
        <f>VLOOKUP(C382,'DS CN MOI UP'!$B$10:$C$347,2,0)</f>
        <v>#N/A</v>
      </c>
      <c r="C382" s="1026"/>
      <c r="D382" s="1039">
        <f t="shared" ref="D382:AG382" si="16">COUNTIF(D383:D439,"X")+COUNTIF(D383:D439,"CN")</f>
        <v>0</v>
      </c>
      <c r="E382" s="1039">
        <f t="shared" si="16"/>
        <v>0</v>
      </c>
      <c r="F382" s="1039">
        <f t="shared" si="16"/>
        <v>0</v>
      </c>
      <c r="G382" s="1039">
        <f t="shared" si="16"/>
        <v>0</v>
      </c>
      <c r="H382" s="1039">
        <f t="shared" si="16"/>
        <v>0</v>
      </c>
      <c r="I382" s="1039">
        <f t="shared" si="16"/>
        <v>0</v>
      </c>
      <c r="J382" s="1039">
        <f t="shared" si="16"/>
        <v>0</v>
      </c>
      <c r="K382" s="1039">
        <f t="shared" si="16"/>
        <v>0</v>
      </c>
      <c r="L382" s="1039">
        <f t="shared" si="16"/>
        <v>0</v>
      </c>
      <c r="M382" s="1039">
        <f t="shared" si="16"/>
        <v>0</v>
      </c>
      <c r="N382" s="1039">
        <f t="shared" si="16"/>
        <v>0</v>
      </c>
      <c r="O382" s="1039">
        <f t="shared" si="16"/>
        <v>0</v>
      </c>
      <c r="P382" s="1039">
        <f t="shared" si="16"/>
        <v>0</v>
      </c>
      <c r="Q382" s="1039">
        <f t="shared" si="16"/>
        <v>0</v>
      </c>
      <c r="R382" s="1039">
        <f t="shared" si="16"/>
        <v>0</v>
      </c>
      <c r="S382" s="1039">
        <f t="shared" si="16"/>
        <v>0</v>
      </c>
      <c r="T382" s="1039">
        <f t="shared" si="16"/>
        <v>0</v>
      </c>
      <c r="U382" s="1039">
        <f t="shared" si="16"/>
        <v>0</v>
      </c>
      <c r="V382" s="1039">
        <f t="shared" si="16"/>
        <v>0</v>
      </c>
      <c r="W382" s="1039">
        <f t="shared" si="16"/>
        <v>0</v>
      </c>
      <c r="X382" s="1039">
        <f t="shared" si="16"/>
        <v>0</v>
      </c>
      <c r="Y382" s="1039">
        <f t="shared" si="16"/>
        <v>0</v>
      </c>
      <c r="Z382" s="1039">
        <f t="shared" si="16"/>
        <v>0</v>
      </c>
      <c r="AA382" s="1039">
        <f t="shared" si="16"/>
        <v>0</v>
      </c>
      <c r="AB382" s="1039">
        <f t="shared" si="16"/>
        <v>0</v>
      </c>
      <c r="AC382" s="1039">
        <f t="shared" si="16"/>
        <v>0</v>
      </c>
      <c r="AD382" s="1039">
        <f t="shared" si="16"/>
        <v>0</v>
      </c>
      <c r="AE382" s="1039">
        <f t="shared" si="16"/>
        <v>0</v>
      </c>
      <c r="AF382" s="1039">
        <f t="shared" si="16"/>
        <v>0</v>
      </c>
      <c r="AG382" s="1039">
        <f t="shared" si="16"/>
        <v>0</v>
      </c>
      <c r="AH382" s="1039">
        <v>0</v>
      </c>
      <c r="AI382" s="1036">
        <f>SUM(AI383:AI439)</f>
        <v>0</v>
      </c>
      <c r="AJ382" s="1036"/>
      <c r="AK382" s="266"/>
    </row>
    <row r="383" spans="1:38" s="51" customFormat="1" ht="16.149999999999999" customHeight="1" outlineLevel="1">
      <c r="A383" s="1025">
        <v>1</v>
      </c>
      <c r="B383" s="1025" t="str">
        <f>VLOOKUP(C383,'DS CN MOI UP'!$B$10:$C$347,2,0)</f>
        <v>02616</v>
      </c>
      <c r="C383" s="1028" t="s">
        <v>308</v>
      </c>
      <c r="D383" s="1062"/>
      <c r="E383" s="1062"/>
      <c r="F383" s="1062"/>
      <c r="G383" s="1062"/>
      <c r="H383" s="1062"/>
      <c r="I383" s="1062"/>
      <c r="J383" s="1062"/>
      <c r="K383" s="1062"/>
      <c r="L383" s="1062"/>
      <c r="M383" s="1062"/>
      <c r="N383" s="1062"/>
      <c r="O383" s="1062"/>
      <c r="P383" s="1062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062"/>
      <c r="AE383" s="1062"/>
      <c r="AF383" s="1062"/>
      <c r="AG383" s="1062"/>
      <c r="AH383" s="1062"/>
      <c r="AI383" s="1069">
        <f t="shared" ref="AI383:AI439" si="17">COUNTIF(D383:AH383,"X")</f>
        <v>0</v>
      </c>
      <c r="AJ383" s="635"/>
      <c r="AK383" s="266"/>
      <c r="AL383" s="266"/>
    </row>
    <row r="384" spans="1:38" s="51" customFormat="1" ht="16.149999999999999" customHeight="1" outlineLevel="1">
      <c r="A384" s="1025">
        <v>2</v>
      </c>
      <c r="B384" s="1025" t="str">
        <f>VLOOKUP(C384,'DS CN MOI UP'!$B$10:$C$347,2,0)</f>
        <v>02617</v>
      </c>
      <c r="C384" s="1028" t="s">
        <v>309</v>
      </c>
      <c r="D384" s="1062"/>
      <c r="E384" s="1062"/>
      <c r="F384" s="1062"/>
      <c r="G384" s="1062"/>
      <c r="H384" s="1062"/>
      <c r="I384" s="1062"/>
      <c r="J384" s="1062"/>
      <c r="K384" s="1062"/>
      <c r="L384" s="1062"/>
      <c r="M384" s="1062"/>
      <c r="N384" s="1062"/>
      <c r="O384" s="1062"/>
      <c r="P384" s="1062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062"/>
      <c r="AE384" s="1062"/>
      <c r="AF384" s="1062"/>
      <c r="AG384" s="1062"/>
      <c r="AH384" s="1062"/>
      <c r="AI384" s="1069">
        <f t="shared" si="17"/>
        <v>0</v>
      </c>
      <c r="AJ384" s="635"/>
      <c r="AK384" s="266"/>
    </row>
    <row r="385" spans="1:37" s="51" customFormat="1" ht="16.149999999999999" customHeight="1" outlineLevel="1">
      <c r="A385" s="1025">
        <v>3</v>
      </c>
      <c r="B385" s="1025" t="str">
        <f>VLOOKUP(C385,'DS CN MOI UP'!$B$10:$C$347,2,0)</f>
        <v>02618</v>
      </c>
      <c r="C385" s="1028" t="s">
        <v>310</v>
      </c>
      <c r="D385" s="1062"/>
      <c r="E385" s="1062"/>
      <c r="F385" s="1062"/>
      <c r="G385" s="1062"/>
      <c r="H385" s="1062"/>
      <c r="I385" s="1062"/>
      <c r="J385" s="1062"/>
      <c r="K385" s="1062"/>
      <c r="L385" s="1062"/>
      <c r="M385" s="1062"/>
      <c r="N385" s="1062"/>
      <c r="O385" s="1062"/>
      <c r="P385" s="1062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062"/>
      <c r="AE385" s="1062"/>
      <c r="AF385" s="1062"/>
      <c r="AG385" s="1062"/>
      <c r="AH385" s="1062"/>
      <c r="AI385" s="1069">
        <f t="shared" si="17"/>
        <v>0</v>
      </c>
      <c r="AJ385" s="635"/>
      <c r="AK385" s="266"/>
    </row>
    <row r="386" spans="1:37" s="51" customFormat="1" ht="16.149999999999999" customHeight="1" outlineLevel="1">
      <c r="A386" s="1025">
        <v>4</v>
      </c>
      <c r="B386" s="1025" t="str">
        <f>VLOOKUP(C386,'DS CN MOI UP'!$B$10:$C$347,2,0)</f>
        <v>03401</v>
      </c>
      <c r="C386" s="1028" t="s">
        <v>311</v>
      </c>
      <c r="D386" s="1062"/>
      <c r="E386" s="1062"/>
      <c r="F386" s="1062"/>
      <c r="G386" s="1062"/>
      <c r="H386" s="1062"/>
      <c r="I386" s="1062"/>
      <c r="J386" s="1062"/>
      <c r="K386" s="1062"/>
      <c r="L386" s="1062"/>
      <c r="M386" s="1062"/>
      <c r="N386" s="1062"/>
      <c r="O386" s="1062"/>
      <c r="P386" s="1062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062"/>
      <c r="AE386" s="1062"/>
      <c r="AF386" s="1062"/>
      <c r="AG386" s="1062"/>
      <c r="AH386" s="1062"/>
      <c r="AI386" s="1069">
        <f t="shared" si="17"/>
        <v>0</v>
      </c>
      <c r="AJ386" s="635"/>
      <c r="AK386" s="266"/>
    </row>
    <row r="387" spans="1:37" s="51" customFormat="1" ht="16.149999999999999" customHeight="1" outlineLevel="1">
      <c r="A387" s="1025">
        <v>5</v>
      </c>
      <c r="B387" s="1025" t="str">
        <f>VLOOKUP(C387,'DS CN MOI UP'!$B$10:$C$347,2,0)</f>
        <v>03402</v>
      </c>
      <c r="C387" s="1028" t="s">
        <v>312</v>
      </c>
      <c r="D387" s="1062"/>
      <c r="E387" s="1062"/>
      <c r="F387" s="1062"/>
      <c r="G387" s="1062"/>
      <c r="H387" s="1062"/>
      <c r="I387" s="1062"/>
      <c r="J387" s="1062"/>
      <c r="K387" s="1062"/>
      <c r="L387" s="1062"/>
      <c r="M387" s="1062"/>
      <c r="N387" s="1062"/>
      <c r="O387" s="1062"/>
      <c r="P387" s="1062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062"/>
      <c r="AE387" s="1062"/>
      <c r="AF387" s="1062"/>
      <c r="AG387" s="1062"/>
      <c r="AH387" s="1062"/>
      <c r="AI387" s="1069">
        <f t="shared" si="17"/>
        <v>0</v>
      </c>
      <c r="AJ387" s="635"/>
      <c r="AK387" s="266"/>
    </row>
    <row r="388" spans="1:37" s="51" customFormat="1" ht="16.149999999999999" customHeight="1" outlineLevel="1">
      <c r="A388" s="1025">
        <v>6</v>
      </c>
      <c r="B388" s="1025" t="str">
        <f>VLOOKUP(C388,'DS CN MOI UP'!$B$10:$C$347,2,0)</f>
        <v>02621</v>
      </c>
      <c r="C388" s="1028" t="s">
        <v>313</v>
      </c>
      <c r="D388" s="1062"/>
      <c r="E388" s="1062"/>
      <c r="F388" s="1062"/>
      <c r="G388" s="1062"/>
      <c r="H388" s="1062"/>
      <c r="I388" s="1062"/>
      <c r="J388" s="1062"/>
      <c r="K388" s="1062"/>
      <c r="L388" s="1062"/>
      <c r="M388" s="1062"/>
      <c r="N388" s="1062"/>
      <c r="O388" s="1062"/>
      <c r="P388" s="1062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062"/>
      <c r="AE388" s="1062"/>
      <c r="AF388" s="1062"/>
      <c r="AG388" s="1062"/>
      <c r="AH388" s="1062"/>
      <c r="AI388" s="1069">
        <f t="shared" si="17"/>
        <v>0</v>
      </c>
      <c r="AJ388" s="635"/>
      <c r="AK388" s="266"/>
    </row>
    <row r="389" spans="1:37" s="51" customFormat="1" ht="16.149999999999999" customHeight="1" outlineLevel="1">
      <c r="A389" s="1025">
        <v>7</v>
      </c>
      <c r="B389" s="1025" t="str">
        <f>VLOOKUP(C389,'DS CN MOI UP'!$B$10:$C$347,2,0)</f>
        <v>02622</v>
      </c>
      <c r="C389" s="1028" t="s">
        <v>314</v>
      </c>
      <c r="D389" s="1062"/>
      <c r="E389" s="1062"/>
      <c r="F389" s="1062"/>
      <c r="G389" s="1062"/>
      <c r="H389" s="1062"/>
      <c r="I389" s="1062"/>
      <c r="J389" s="1062"/>
      <c r="K389" s="1062"/>
      <c r="L389" s="1062"/>
      <c r="M389" s="1062"/>
      <c r="N389" s="1062"/>
      <c r="O389" s="1062"/>
      <c r="P389" s="1062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062"/>
      <c r="AE389" s="1062"/>
      <c r="AF389" s="1062"/>
      <c r="AG389" s="1062"/>
      <c r="AH389" s="1062"/>
      <c r="AI389" s="1069">
        <f t="shared" si="17"/>
        <v>0</v>
      </c>
      <c r="AJ389" s="635"/>
      <c r="AK389" s="266"/>
    </row>
    <row r="390" spans="1:37" s="51" customFormat="1" ht="16.149999999999999" customHeight="1" outlineLevel="1">
      <c r="A390" s="1025">
        <v>8</v>
      </c>
      <c r="B390" s="1025" t="e">
        <f>VLOOKUP(C390,'DS CN MOI UP'!$B$10:$C$347,2,0)</f>
        <v>#N/A</v>
      </c>
      <c r="C390" s="1028" t="s">
        <v>315</v>
      </c>
      <c r="D390" s="1062"/>
      <c r="E390" s="1062"/>
      <c r="F390" s="1062"/>
      <c r="G390" s="1062"/>
      <c r="H390" s="1062"/>
      <c r="I390" s="1062"/>
      <c r="J390" s="1062"/>
      <c r="K390" s="1062"/>
      <c r="L390" s="1062"/>
      <c r="M390" s="1062"/>
      <c r="N390" s="1062"/>
      <c r="O390" s="1062"/>
      <c r="P390" s="1062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062"/>
      <c r="AE390" s="1062"/>
      <c r="AF390" s="1062"/>
      <c r="AG390" s="1062"/>
      <c r="AH390" s="1062"/>
      <c r="AI390" s="1069">
        <f t="shared" si="17"/>
        <v>0</v>
      </c>
      <c r="AJ390" s="635"/>
      <c r="AK390" s="266"/>
    </row>
    <row r="391" spans="1:37" s="51" customFormat="1" ht="16.149999999999999" customHeight="1" outlineLevel="1">
      <c r="A391" s="1025">
        <v>9</v>
      </c>
      <c r="B391" s="1025" t="str">
        <f>VLOOKUP(C391,'DS CN MOI UP'!$B$10:$C$347,2,0)</f>
        <v>02623</v>
      </c>
      <c r="C391" s="1028" t="s">
        <v>316</v>
      </c>
      <c r="D391" s="1062"/>
      <c r="E391" s="1062"/>
      <c r="F391" s="1062"/>
      <c r="G391" s="1062"/>
      <c r="H391" s="1062"/>
      <c r="I391" s="1062"/>
      <c r="J391" s="1062"/>
      <c r="K391" s="1062"/>
      <c r="L391" s="1062"/>
      <c r="M391" s="1062"/>
      <c r="N391" s="1062"/>
      <c r="O391" s="1062"/>
      <c r="P391" s="1062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062"/>
      <c r="AE391" s="1062"/>
      <c r="AF391" s="1062"/>
      <c r="AG391" s="1062"/>
      <c r="AH391" s="1062"/>
      <c r="AI391" s="1069">
        <f t="shared" si="17"/>
        <v>0</v>
      </c>
      <c r="AJ391" s="635"/>
      <c r="AK391" s="266"/>
    </row>
    <row r="392" spans="1:37" s="51" customFormat="1" ht="16.149999999999999" customHeight="1" outlineLevel="1">
      <c r="A392" s="1025">
        <v>10</v>
      </c>
      <c r="B392" s="1025" t="str">
        <f>VLOOKUP(C392,'DS CN MOI UP'!$B$10:$C$347,2,0)</f>
        <v>02624</v>
      </c>
      <c r="C392" s="1028" t="s">
        <v>317</v>
      </c>
      <c r="D392" s="1062"/>
      <c r="E392" s="1062"/>
      <c r="F392" s="1062"/>
      <c r="G392" s="1062"/>
      <c r="H392" s="1062"/>
      <c r="I392" s="1062"/>
      <c r="J392" s="1062"/>
      <c r="K392" s="1062"/>
      <c r="L392" s="1062"/>
      <c r="M392" s="1062"/>
      <c r="N392" s="1062"/>
      <c r="O392" s="1062"/>
      <c r="P392" s="1062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062"/>
      <c r="AE392" s="1062"/>
      <c r="AF392" s="1062"/>
      <c r="AG392" s="1062"/>
      <c r="AH392" s="1062"/>
      <c r="AI392" s="1069">
        <f t="shared" si="17"/>
        <v>0</v>
      </c>
      <c r="AJ392" s="635"/>
      <c r="AK392" s="266"/>
    </row>
    <row r="393" spans="1:37" s="51" customFormat="1" ht="16.149999999999999" customHeight="1" outlineLevel="1">
      <c r="A393" s="1025">
        <v>11</v>
      </c>
      <c r="B393" s="1025" t="str">
        <f>VLOOKUP(C393,'DS CN MOI UP'!$B$10:$C$347,2,0)</f>
        <v>03404</v>
      </c>
      <c r="C393" s="1028" t="s">
        <v>318</v>
      </c>
      <c r="D393" s="1062"/>
      <c r="E393" s="1062"/>
      <c r="F393" s="1062"/>
      <c r="G393" s="1062"/>
      <c r="H393" s="1062"/>
      <c r="I393" s="1062"/>
      <c r="J393" s="1062"/>
      <c r="K393" s="1062"/>
      <c r="L393" s="1062"/>
      <c r="M393" s="1062"/>
      <c r="N393" s="1062"/>
      <c r="O393" s="1062"/>
      <c r="P393" s="1062"/>
      <c r="Q393" s="1062"/>
      <c r="R393" s="1062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062"/>
      <c r="AC393" s="1062"/>
      <c r="AD393" s="1062"/>
      <c r="AE393" s="1062"/>
      <c r="AF393" s="1062"/>
      <c r="AG393" s="1062"/>
      <c r="AH393" s="1062"/>
      <c r="AI393" s="1069">
        <f t="shared" si="17"/>
        <v>0</v>
      </c>
      <c r="AJ393" s="635"/>
      <c r="AK393" s="266"/>
    </row>
    <row r="394" spans="1:37" s="51" customFormat="1" ht="16.149999999999999" customHeight="1" outlineLevel="1">
      <c r="A394" s="1025">
        <v>12</v>
      </c>
      <c r="B394" s="1025" t="str">
        <f>VLOOKUP(C394,'DS CN MOI UP'!$B$10:$C$347,2,0)</f>
        <v>02626</v>
      </c>
      <c r="C394" s="1028" t="s">
        <v>319</v>
      </c>
      <c r="D394" s="1062"/>
      <c r="E394" s="1062"/>
      <c r="F394" s="1062"/>
      <c r="G394" s="1062"/>
      <c r="H394" s="1062"/>
      <c r="I394" s="1062"/>
      <c r="J394" s="1062"/>
      <c r="K394" s="1062"/>
      <c r="L394" s="1062"/>
      <c r="M394" s="1062"/>
      <c r="N394" s="1062"/>
      <c r="O394" s="1062"/>
      <c r="P394" s="1062"/>
      <c r="Q394" s="1062"/>
      <c r="R394" s="1062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062"/>
      <c r="AC394" s="1062"/>
      <c r="AD394" s="1062"/>
      <c r="AE394" s="1062"/>
      <c r="AF394" s="1062"/>
      <c r="AG394" s="1062"/>
      <c r="AH394" s="1062"/>
      <c r="AI394" s="1069">
        <f t="shared" si="17"/>
        <v>0</v>
      </c>
      <c r="AJ394" s="635"/>
      <c r="AK394" s="266"/>
    </row>
    <row r="395" spans="1:37" s="51" customFormat="1" ht="16.149999999999999" customHeight="1" outlineLevel="1">
      <c r="A395" s="1025">
        <v>13</v>
      </c>
      <c r="B395" s="1025" t="str">
        <f>VLOOKUP(C395,'DS CN MOI UP'!$B$10:$C$347,2,0)</f>
        <v>02627</v>
      </c>
      <c r="C395" s="1028" t="s">
        <v>320</v>
      </c>
      <c r="D395" s="1062"/>
      <c r="E395" s="1062"/>
      <c r="F395" s="1062"/>
      <c r="G395" s="1062"/>
      <c r="H395" s="1062"/>
      <c r="I395" s="1062"/>
      <c r="J395" s="1062"/>
      <c r="K395" s="1062"/>
      <c r="L395" s="1062"/>
      <c r="M395" s="1062"/>
      <c r="N395" s="1062"/>
      <c r="O395" s="1062"/>
      <c r="P395" s="1062"/>
      <c r="Q395" s="1062"/>
      <c r="R395" s="1062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062"/>
      <c r="AC395" s="1062"/>
      <c r="AD395" s="1062"/>
      <c r="AE395" s="1062"/>
      <c r="AF395" s="1062"/>
      <c r="AG395" s="1062"/>
      <c r="AH395" s="1062"/>
      <c r="AI395" s="1069">
        <f t="shared" si="17"/>
        <v>0</v>
      </c>
      <c r="AJ395" s="635"/>
      <c r="AK395" s="266"/>
    </row>
    <row r="396" spans="1:37" s="51" customFormat="1" ht="16.149999999999999" customHeight="1" outlineLevel="1">
      <c r="A396" s="1025">
        <v>14</v>
      </c>
      <c r="B396" s="1025" t="str">
        <f>VLOOKUP(C396,'DS CN MOI UP'!$B$10:$C$347,2,0)</f>
        <v>02628</v>
      </c>
      <c r="C396" s="1028" t="s">
        <v>321</v>
      </c>
      <c r="D396" s="1062"/>
      <c r="E396" s="1062"/>
      <c r="F396" s="1062"/>
      <c r="G396" s="1062"/>
      <c r="H396" s="1062"/>
      <c r="I396" s="1062"/>
      <c r="J396" s="1062"/>
      <c r="K396" s="1062"/>
      <c r="L396" s="1062"/>
      <c r="M396" s="1062"/>
      <c r="N396" s="1062"/>
      <c r="O396" s="1062"/>
      <c r="P396" s="1062"/>
      <c r="Q396" s="1062"/>
      <c r="R396" s="1062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062"/>
      <c r="AC396" s="1062"/>
      <c r="AD396" s="1062"/>
      <c r="AE396" s="1062"/>
      <c r="AF396" s="1062"/>
      <c r="AG396" s="1062"/>
      <c r="AH396" s="1062"/>
      <c r="AI396" s="1069">
        <f t="shared" si="17"/>
        <v>0</v>
      </c>
      <c r="AJ396" s="635"/>
      <c r="AK396" s="266"/>
    </row>
    <row r="397" spans="1:37" s="51" customFormat="1" ht="16.149999999999999" customHeight="1" outlineLevel="1">
      <c r="A397" s="1025">
        <v>15</v>
      </c>
      <c r="B397" s="1025" t="str">
        <f>VLOOKUP(C397,'DS CN MOI UP'!$B$10:$C$347,2,0)</f>
        <v>03405</v>
      </c>
      <c r="C397" s="1028" t="s">
        <v>322</v>
      </c>
      <c r="D397" s="1062"/>
      <c r="E397" s="1062"/>
      <c r="F397" s="1062"/>
      <c r="G397" s="1062"/>
      <c r="H397" s="1062"/>
      <c r="I397" s="1062"/>
      <c r="J397" s="1062"/>
      <c r="K397" s="1062"/>
      <c r="L397" s="1062"/>
      <c r="M397" s="1062"/>
      <c r="N397" s="1062"/>
      <c r="O397" s="1062"/>
      <c r="P397" s="1062"/>
      <c r="Q397" s="1062"/>
      <c r="R397" s="1062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062"/>
      <c r="AC397" s="1062"/>
      <c r="AD397" s="1062"/>
      <c r="AE397" s="1062"/>
      <c r="AF397" s="1062"/>
      <c r="AG397" s="1062"/>
      <c r="AH397" s="1062"/>
      <c r="AI397" s="1069">
        <f t="shared" si="17"/>
        <v>0</v>
      </c>
      <c r="AJ397" s="635"/>
      <c r="AK397" s="266"/>
    </row>
    <row r="398" spans="1:37" s="51" customFormat="1" ht="16.149999999999999" customHeight="1" outlineLevel="1">
      <c r="A398" s="1025">
        <v>16</v>
      </c>
      <c r="B398" s="1025" t="str">
        <f>VLOOKUP(C398,'DS CN MOI UP'!$B$10:$C$347,2,0)</f>
        <v>02629</v>
      </c>
      <c r="C398" s="1028" t="s">
        <v>323</v>
      </c>
      <c r="D398" s="1062"/>
      <c r="E398" s="1062"/>
      <c r="F398" s="1062"/>
      <c r="G398" s="1062"/>
      <c r="H398" s="1062"/>
      <c r="I398" s="1062"/>
      <c r="J398" s="1062"/>
      <c r="K398" s="1062"/>
      <c r="L398" s="1062"/>
      <c r="M398" s="1062"/>
      <c r="N398" s="1062"/>
      <c r="O398" s="1062"/>
      <c r="P398" s="1062"/>
      <c r="Q398" s="1062"/>
      <c r="R398" s="1062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062"/>
      <c r="AC398" s="1062"/>
      <c r="AD398" s="1062"/>
      <c r="AE398" s="1062"/>
      <c r="AF398" s="1062"/>
      <c r="AG398" s="1062"/>
      <c r="AH398" s="1062"/>
      <c r="AI398" s="1069">
        <f t="shared" si="17"/>
        <v>0</v>
      </c>
      <c r="AJ398" s="635"/>
      <c r="AK398" s="266"/>
    </row>
    <row r="399" spans="1:37" s="51" customFormat="1" ht="16.149999999999999" customHeight="1" outlineLevel="1">
      <c r="A399" s="1025">
        <v>17</v>
      </c>
      <c r="B399" s="1025" t="str">
        <f>VLOOKUP(C399,'DS CN MOI UP'!$B$10:$C$347,2,0)</f>
        <v>02630</v>
      </c>
      <c r="C399" s="1028" t="s">
        <v>324</v>
      </c>
      <c r="D399" s="1062"/>
      <c r="E399" s="1062"/>
      <c r="F399" s="1062"/>
      <c r="G399" s="1062"/>
      <c r="H399" s="1062"/>
      <c r="I399" s="1062"/>
      <c r="J399" s="1062"/>
      <c r="K399" s="1062"/>
      <c r="L399" s="1062"/>
      <c r="M399" s="1062"/>
      <c r="N399" s="1062"/>
      <c r="O399" s="1062"/>
      <c r="P399" s="1062"/>
      <c r="Q399" s="1062"/>
      <c r="R399" s="1062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062"/>
      <c r="AC399" s="1062"/>
      <c r="AD399" s="1062"/>
      <c r="AE399" s="1062"/>
      <c r="AF399" s="1062"/>
      <c r="AG399" s="1062"/>
      <c r="AH399" s="1062"/>
      <c r="AI399" s="1069">
        <f t="shared" si="17"/>
        <v>0</v>
      </c>
      <c r="AJ399" s="635"/>
      <c r="AK399" s="266"/>
    </row>
    <row r="400" spans="1:37" s="51" customFormat="1" ht="16.149999999999999" customHeight="1" outlineLevel="1">
      <c r="A400" s="1025">
        <v>18</v>
      </c>
      <c r="B400" s="1025" t="str">
        <f>VLOOKUP(C400,'DS CN MOI UP'!$B$10:$C$347,2,0)</f>
        <v>02631</v>
      </c>
      <c r="C400" s="1028" t="s">
        <v>325</v>
      </c>
      <c r="D400" s="1062"/>
      <c r="E400" s="1062"/>
      <c r="F400" s="1062"/>
      <c r="G400" s="1062"/>
      <c r="H400" s="1062"/>
      <c r="I400" s="1062"/>
      <c r="J400" s="1062"/>
      <c r="K400" s="1062"/>
      <c r="L400" s="1062"/>
      <c r="M400" s="1062"/>
      <c r="N400" s="1062"/>
      <c r="O400" s="1062"/>
      <c r="P400" s="1062"/>
      <c r="Q400" s="1062"/>
      <c r="R400" s="1062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062"/>
      <c r="AC400" s="1062"/>
      <c r="AD400" s="1062"/>
      <c r="AE400" s="1062"/>
      <c r="AF400" s="1062"/>
      <c r="AG400" s="1062"/>
      <c r="AH400" s="1062"/>
      <c r="AI400" s="1069">
        <f t="shared" si="17"/>
        <v>0</v>
      </c>
      <c r="AJ400" s="635"/>
      <c r="AK400" s="266"/>
    </row>
    <row r="401" spans="1:37" s="51" customFormat="1" ht="16.149999999999999" customHeight="1" outlineLevel="1">
      <c r="A401" s="1025">
        <v>19</v>
      </c>
      <c r="B401" s="1025" t="str">
        <f>VLOOKUP(C401,'DS CN MOI UP'!$B$10:$C$347,2,0)</f>
        <v>02632</v>
      </c>
      <c r="C401" s="1028" t="s">
        <v>326</v>
      </c>
      <c r="D401" s="1062"/>
      <c r="E401" s="1062"/>
      <c r="F401" s="1062"/>
      <c r="G401" s="1062"/>
      <c r="H401" s="1062"/>
      <c r="I401" s="1062"/>
      <c r="J401" s="1062"/>
      <c r="K401" s="1062"/>
      <c r="L401" s="1062"/>
      <c r="M401" s="1062"/>
      <c r="N401" s="1062"/>
      <c r="O401" s="1062"/>
      <c r="P401" s="1062"/>
      <c r="Q401" s="1062"/>
      <c r="R401" s="1062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062"/>
      <c r="AC401" s="1062"/>
      <c r="AD401" s="1062"/>
      <c r="AE401" s="1062"/>
      <c r="AF401" s="1062"/>
      <c r="AG401" s="1062"/>
      <c r="AH401" s="1062"/>
      <c r="AI401" s="1069">
        <f t="shared" si="17"/>
        <v>0</v>
      </c>
      <c r="AJ401" s="635"/>
      <c r="AK401" s="266"/>
    </row>
    <row r="402" spans="1:37" s="51" customFormat="1" ht="16.149999999999999" customHeight="1" outlineLevel="1">
      <c r="A402" s="1025">
        <v>20</v>
      </c>
      <c r="B402" s="1025" t="str">
        <f>VLOOKUP(C402,'DS CN MOI UP'!$B$10:$C$347,2,0)</f>
        <v>02633</v>
      </c>
      <c r="C402" s="1028" t="s">
        <v>327</v>
      </c>
      <c r="D402" s="1062"/>
      <c r="E402" s="1062"/>
      <c r="F402" s="1062"/>
      <c r="G402" s="1062"/>
      <c r="H402" s="1062"/>
      <c r="I402" s="1062"/>
      <c r="J402" s="1062"/>
      <c r="K402" s="1062"/>
      <c r="L402" s="1062"/>
      <c r="M402" s="1062"/>
      <c r="N402" s="1062"/>
      <c r="O402" s="1062"/>
      <c r="P402" s="1062"/>
      <c r="Q402" s="1062"/>
      <c r="R402" s="1062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062"/>
      <c r="AC402" s="1062"/>
      <c r="AD402" s="1062"/>
      <c r="AE402" s="1062"/>
      <c r="AF402" s="1062"/>
      <c r="AG402" s="1062"/>
      <c r="AH402" s="1062"/>
      <c r="AI402" s="1069">
        <f t="shared" si="17"/>
        <v>0</v>
      </c>
      <c r="AJ402" s="635"/>
      <c r="AK402" s="266"/>
    </row>
    <row r="403" spans="1:37" s="51" customFormat="1" ht="16.149999999999999" customHeight="1" outlineLevel="1">
      <c r="A403" s="1025">
        <v>21</v>
      </c>
      <c r="B403" s="1025">
        <f>VLOOKUP(C403,'DS CN MOI UP'!$B$10:$C$347,2,0)</f>
        <v>3863</v>
      </c>
      <c r="C403" s="1028" t="s">
        <v>328</v>
      </c>
      <c r="D403" s="1062"/>
      <c r="E403" s="1062"/>
      <c r="F403" s="1062"/>
      <c r="G403" s="1062"/>
      <c r="H403" s="1062"/>
      <c r="I403" s="1062"/>
      <c r="J403" s="1062"/>
      <c r="K403" s="1062"/>
      <c r="L403" s="1062"/>
      <c r="M403" s="1062"/>
      <c r="N403" s="1062"/>
      <c r="O403" s="1062"/>
      <c r="P403" s="1062"/>
      <c r="Q403" s="1062"/>
      <c r="R403" s="1062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062"/>
      <c r="AC403" s="1062"/>
      <c r="AD403" s="1062"/>
      <c r="AE403" s="1062"/>
      <c r="AF403" s="1062"/>
      <c r="AG403" s="1062"/>
      <c r="AH403" s="1062"/>
      <c r="AI403" s="1069">
        <f t="shared" si="17"/>
        <v>0</v>
      </c>
      <c r="AJ403" s="635"/>
      <c r="AK403" s="266"/>
    </row>
    <row r="404" spans="1:37" s="51" customFormat="1" ht="16.149999999999999" customHeight="1" outlineLevel="1">
      <c r="A404" s="1025">
        <v>22</v>
      </c>
      <c r="B404" s="1025" t="str">
        <f>VLOOKUP(C404,'DS CN MOI UP'!$B$10:$C$347,2,0)</f>
        <v>02635</v>
      </c>
      <c r="C404" s="1028" t="s">
        <v>329</v>
      </c>
      <c r="D404" s="1062"/>
      <c r="E404" s="1062"/>
      <c r="F404" s="1062"/>
      <c r="G404" s="1062"/>
      <c r="H404" s="1062"/>
      <c r="I404" s="1062"/>
      <c r="J404" s="1062"/>
      <c r="K404" s="1062"/>
      <c r="L404" s="1062"/>
      <c r="M404" s="1062"/>
      <c r="N404" s="1062"/>
      <c r="O404" s="1062"/>
      <c r="P404" s="1062"/>
      <c r="Q404" s="1062"/>
      <c r="R404" s="1062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062"/>
      <c r="AC404" s="1062"/>
      <c r="AD404" s="1062"/>
      <c r="AE404" s="1062"/>
      <c r="AF404" s="1062"/>
      <c r="AG404" s="1062"/>
      <c r="AH404" s="1062"/>
      <c r="AI404" s="1069">
        <f t="shared" si="17"/>
        <v>0</v>
      </c>
      <c r="AJ404" s="635"/>
      <c r="AK404" s="266"/>
    </row>
    <row r="405" spans="1:37" s="51" customFormat="1" ht="16.149999999999999" customHeight="1" outlineLevel="1">
      <c r="A405" s="1025">
        <v>23</v>
      </c>
      <c r="B405" s="1025" t="e">
        <f>VLOOKUP(C405,'DS CN MOI UP'!$B$10:$C$347,2,0)</f>
        <v>#N/A</v>
      </c>
      <c r="C405" s="1028" t="s">
        <v>286</v>
      </c>
      <c r="D405" s="1062"/>
      <c r="E405" s="1062"/>
      <c r="F405" s="1062"/>
      <c r="G405" s="1062"/>
      <c r="H405" s="1062"/>
      <c r="I405" s="1062"/>
      <c r="J405" s="1062"/>
      <c r="K405" s="1062"/>
      <c r="L405" s="1062"/>
      <c r="M405" s="1062"/>
      <c r="N405" s="1062"/>
      <c r="O405" s="1062"/>
      <c r="P405" s="1062"/>
      <c r="Q405" s="1062"/>
      <c r="R405" s="1062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062"/>
      <c r="AC405" s="1062"/>
      <c r="AD405" s="1062"/>
      <c r="AE405" s="1062"/>
      <c r="AF405" s="1062"/>
      <c r="AG405" s="1062"/>
      <c r="AH405" s="1062"/>
      <c r="AI405" s="1069">
        <f t="shared" si="17"/>
        <v>0</v>
      </c>
      <c r="AJ405" s="635"/>
      <c r="AK405" s="266"/>
    </row>
    <row r="406" spans="1:37" s="51" customFormat="1" ht="16.149999999999999" customHeight="1" outlineLevel="1">
      <c r="A406" s="1025">
        <v>24</v>
      </c>
      <c r="B406" s="1025" t="str">
        <f>VLOOKUP(C406,'DS CN MOI UP'!$B$10:$C$347,2,0)</f>
        <v>02637</v>
      </c>
      <c r="C406" s="1028" t="s">
        <v>287</v>
      </c>
      <c r="D406" s="1062"/>
      <c r="E406" s="1062"/>
      <c r="F406" s="1062"/>
      <c r="G406" s="1062"/>
      <c r="H406" s="1062"/>
      <c r="I406" s="1062"/>
      <c r="J406" s="1062"/>
      <c r="K406" s="1062"/>
      <c r="L406" s="1062"/>
      <c r="M406" s="1062"/>
      <c r="N406" s="1062"/>
      <c r="O406" s="1062"/>
      <c r="P406" s="1062"/>
      <c r="Q406" s="1062"/>
      <c r="R406" s="1062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062"/>
      <c r="AC406" s="1062"/>
      <c r="AD406" s="1062"/>
      <c r="AE406" s="1062"/>
      <c r="AF406" s="1062"/>
      <c r="AG406" s="1062"/>
      <c r="AH406" s="1062"/>
      <c r="AI406" s="1069">
        <f t="shared" si="17"/>
        <v>0</v>
      </c>
      <c r="AJ406" s="635"/>
      <c r="AK406" s="266"/>
    </row>
    <row r="407" spans="1:37" s="51" customFormat="1" ht="16.149999999999999" customHeight="1" outlineLevel="1">
      <c r="A407" s="1025">
        <v>25</v>
      </c>
      <c r="B407" s="1025" t="str">
        <f>VLOOKUP(C407,'DS CN MOI UP'!$B$10:$C$347,2,0)</f>
        <v>02638</v>
      </c>
      <c r="C407" s="1028" t="s">
        <v>288</v>
      </c>
      <c r="D407" s="1062"/>
      <c r="E407" s="1062"/>
      <c r="F407" s="1062"/>
      <c r="G407" s="1062"/>
      <c r="H407" s="1062"/>
      <c r="I407" s="1062"/>
      <c r="J407" s="1062"/>
      <c r="K407" s="1062"/>
      <c r="L407" s="1062"/>
      <c r="M407" s="1062"/>
      <c r="N407" s="1062"/>
      <c r="O407" s="1062"/>
      <c r="P407" s="1062"/>
      <c r="Q407" s="1062"/>
      <c r="R407" s="1062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062"/>
      <c r="AC407" s="1062"/>
      <c r="AD407" s="1062"/>
      <c r="AE407" s="1062"/>
      <c r="AF407" s="1062"/>
      <c r="AG407" s="1062"/>
      <c r="AH407" s="1062"/>
      <c r="AI407" s="1069">
        <f t="shared" si="17"/>
        <v>0</v>
      </c>
      <c r="AJ407" s="635"/>
      <c r="AK407" s="266"/>
    </row>
    <row r="408" spans="1:37" s="51" customFormat="1" ht="16.149999999999999" customHeight="1" outlineLevel="1">
      <c r="A408" s="1025">
        <v>26</v>
      </c>
      <c r="B408" s="1025" t="str">
        <f>VLOOKUP(C408,'DS CN MOI UP'!$B$10:$C$347,2,0)</f>
        <v>02639</v>
      </c>
      <c r="C408" s="1028" t="s">
        <v>289</v>
      </c>
      <c r="D408" s="1062"/>
      <c r="E408" s="1062"/>
      <c r="F408" s="1062"/>
      <c r="G408" s="1062"/>
      <c r="H408" s="1062"/>
      <c r="I408" s="1062"/>
      <c r="J408" s="1062"/>
      <c r="K408" s="1062"/>
      <c r="L408" s="1062"/>
      <c r="M408" s="1062"/>
      <c r="N408" s="1062"/>
      <c r="O408" s="1062"/>
      <c r="P408" s="1062"/>
      <c r="Q408" s="1062"/>
      <c r="R408" s="1062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062"/>
      <c r="AC408" s="1062"/>
      <c r="AD408" s="1062"/>
      <c r="AE408" s="1062"/>
      <c r="AF408" s="1062"/>
      <c r="AG408" s="1062"/>
      <c r="AH408" s="1062"/>
      <c r="AI408" s="1069">
        <f t="shared" si="17"/>
        <v>0</v>
      </c>
      <c r="AJ408" s="635"/>
      <c r="AK408" s="266"/>
    </row>
    <row r="409" spans="1:37" s="51" customFormat="1" ht="16.149999999999999" customHeight="1" outlineLevel="1">
      <c r="A409" s="1025">
        <v>27</v>
      </c>
      <c r="B409" s="1025" t="e">
        <f>VLOOKUP(C409,'DS CN MOI UP'!$B$10:$C$347,2,0)</f>
        <v>#N/A</v>
      </c>
      <c r="C409" s="1028" t="s">
        <v>290</v>
      </c>
      <c r="D409" s="1062"/>
      <c r="E409" s="1062"/>
      <c r="F409" s="1062"/>
      <c r="G409" s="1062"/>
      <c r="H409" s="1062"/>
      <c r="I409" s="1062"/>
      <c r="J409" s="1062"/>
      <c r="K409" s="1062"/>
      <c r="L409" s="1062"/>
      <c r="M409" s="1062"/>
      <c r="N409" s="1062"/>
      <c r="O409" s="1062"/>
      <c r="P409" s="1062"/>
      <c r="Q409" s="1062"/>
      <c r="R409" s="1062"/>
      <c r="S409" s="1062"/>
      <c r="T409" s="1062"/>
      <c r="U409" s="1062"/>
      <c r="V409" s="1062"/>
      <c r="W409" s="1062"/>
      <c r="X409" s="1062"/>
      <c r="Y409" s="1062"/>
      <c r="Z409" s="1062"/>
      <c r="AA409" s="1062"/>
      <c r="AB409" s="1062"/>
      <c r="AC409" s="1062"/>
      <c r="AD409" s="1062"/>
      <c r="AE409" s="1062"/>
      <c r="AF409" s="1062"/>
      <c r="AG409" s="1062"/>
      <c r="AH409" s="1062"/>
      <c r="AI409" s="1069">
        <f t="shared" si="17"/>
        <v>0</v>
      </c>
      <c r="AJ409" s="635"/>
      <c r="AK409" s="266"/>
    </row>
    <row r="410" spans="1:37" s="51" customFormat="1" ht="16.149999999999999" customHeight="1" outlineLevel="1">
      <c r="A410" s="1025">
        <v>28</v>
      </c>
      <c r="B410" s="1025" t="str">
        <f>VLOOKUP(C410,'DS CN MOI UP'!$B$10:$C$347,2,0)</f>
        <v>02641</v>
      </c>
      <c r="C410" s="1028" t="s">
        <v>291</v>
      </c>
      <c r="D410" s="1062"/>
      <c r="E410" s="1062"/>
      <c r="F410" s="1062"/>
      <c r="G410" s="1062"/>
      <c r="H410" s="1062"/>
      <c r="I410" s="1062"/>
      <c r="J410" s="1062"/>
      <c r="K410" s="1062"/>
      <c r="L410" s="1062"/>
      <c r="M410" s="1062"/>
      <c r="N410" s="1062"/>
      <c r="O410" s="1062"/>
      <c r="P410" s="1062"/>
      <c r="Q410" s="1062"/>
      <c r="R410" s="1062"/>
      <c r="S410" s="1062"/>
      <c r="T410" s="1062"/>
      <c r="U410" s="1062"/>
      <c r="V410" s="1062"/>
      <c r="W410" s="1062"/>
      <c r="X410" s="1062"/>
      <c r="Y410" s="1062"/>
      <c r="Z410" s="1062"/>
      <c r="AA410" s="1062"/>
      <c r="AB410" s="1062"/>
      <c r="AC410" s="1062"/>
      <c r="AD410" s="1062"/>
      <c r="AE410" s="1062"/>
      <c r="AF410" s="1062"/>
      <c r="AG410" s="1062"/>
      <c r="AH410" s="1062"/>
      <c r="AI410" s="1069">
        <f t="shared" si="17"/>
        <v>0</v>
      </c>
      <c r="AJ410" s="635"/>
      <c r="AK410" s="266"/>
    </row>
    <row r="411" spans="1:37" s="51" customFormat="1" ht="16.149999999999999" customHeight="1" outlineLevel="1">
      <c r="A411" s="1025">
        <v>29</v>
      </c>
      <c r="B411" s="1025" t="str">
        <f>VLOOKUP(C411,'DS CN MOI UP'!$B$10:$C$347,2,0)</f>
        <v>03406</v>
      </c>
      <c r="C411" s="1028" t="s">
        <v>292</v>
      </c>
      <c r="D411" s="1062"/>
      <c r="E411" s="1062"/>
      <c r="F411" s="1062"/>
      <c r="G411" s="1062"/>
      <c r="H411" s="1062"/>
      <c r="I411" s="1062"/>
      <c r="J411" s="1062"/>
      <c r="K411" s="1062"/>
      <c r="L411" s="1062"/>
      <c r="M411" s="1062"/>
      <c r="N411" s="1062"/>
      <c r="O411" s="1062"/>
      <c r="P411" s="1062"/>
      <c r="Q411" s="1062"/>
      <c r="R411" s="1062"/>
      <c r="S411" s="1062"/>
      <c r="T411" s="1062"/>
      <c r="U411" s="1062"/>
      <c r="V411" s="1062"/>
      <c r="W411" s="1062"/>
      <c r="X411" s="1062"/>
      <c r="Y411" s="1062"/>
      <c r="Z411" s="1062"/>
      <c r="AA411" s="1062"/>
      <c r="AB411" s="1062"/>
      <c r="AC411" s="1062"/>
      <c r="AD411" s="1062"/>
      <c r="AE411" s="1062"/>
      <c r="AF411" s="1062"/>
      <c r="AG411" s="1062"/>
      <c r="AH411" s="1062"/>
      <c r="AI411" s="1069">
        <f t="shared" si="17"/>
        <v>0</v>
      </c>
      <c r="AJ411" s="635"/>
      <c r="AK411" s="266"/>
    </row>
    <row r="412" spans="1:37" s="51" customFormat="1" ht="16.149999999999999" customHeight="1" outlineLevel="1">
      <c r="A412" s="1025">
        <v>30</v>
      </c>
      <c r="B412" s="1025" t="str">
        <f>VLOOKUP(C412,'DS CN MOI UP'!$B$10:$C$347,2,0)</f>
        <v>02643</v>
      </c>
      <c r="C412" s="1028" t="s">
        <v>293</v>
      </c>
      <c r="D412" s="1062"/>
      <c r="E412" s="1062"/>
      <c r="F412" s="1062"/>
      <c r="G412" s="1062"/>
      <c r="H412" s="1062"/>
      <c r="I412" s="1062"/>
      <c r="J412" s="1062"/>
      <c r="K412" s="1062"/>
      <c r="L412" s="1062"/>
      <c r="M412" s="1062"/>
      <c r="N412" s="1062"/>
      <c r="O412" s="1062"/>
      <c r="P412" s="1062"/>
      <c r="Q412" s="1062"/>
      <c r="R412" s="1062"/>
      <c r="S412" s="1062"/>
      <c r="T412" s="1062"/>
      <c r="U412" s="1062"/>
      <c r="V412" s="1062"/>
      <c r="W412" s="1062"/>
      <c r="X412" s="1062"/>
      <c r="Y412" s="1062"/>
      <c r="Z412" s="1062"/>
      <c r="AA412" s="1062"/>
      <c r="AB412" s="1062"/>
      <c r="AC412" s="1062"/>
      <c r="AD412" s="1062"/>
      <c r="AE412" s="1062"/>
      <c r="AF412" s="1062"/>
      <c r="AG412" s="1062"/>
      <c r="AH412" s="1062"/>
      <c r="AI412" s="1069">
        <f t="shared" si="17"/>
        <v>0</v>
      </c>
      <c r="AJ412" s="635"/>
      <c r="AK412" s="266"/>
    </row>
    <row r="413" spans="1:37" s="51" customFormat="1" ht="16.149999999999999" customHeight="1" outlineLevel="1">
      <c r="A413" s="1025">
        <v>31</v>
      </c>
      <c r="B413" s="1025" t="str">
        <f>VLOOKUP(C413,'DS CN MOI UP'!$B$10:$C$347,2,0)</f>
        <v>03407</v>
      </c>
      <c r="C413" s="1028" t="s">
        <v>294</v>
      </c>
      <c r="D413" s="1062"/>
      <c r="E413" s="1062"/>
      <c r="F413" s="1062"/>
      <c r="G413" s="1062"/>
      <c r="H413" s="1062"/>
      <c r="I413" s="1062"/>
      <c r="J413" s="1062"/>
      <c r="K413" s="1062"/>
      <c r="L413" s="1062"/>
      <c r="M413" s="1062"/>
      <c r="N413" s="1062"/>
      <c r="O413" s="1062"/>
      <c r="P413" s="1062"/>
      <c r="Q413" s="1062"/>
      <c r="R413" s="1062"/>
      <c r="S413" s="1062"/>
      <c r="T413" s="1062"/>
      <c r="U413" s="1062"/>
      <c r="V413" s="1062"/>
      <c r="W413" s="1062"/>
      <c r="X413" s="1062"/>
      <c r="Y413" s="1062"/>
      <c r="Z413" s="1062"/>
      <c r="AA413" s="1062"/>
      <c r="AB413" s="1062"/>
      <c r="AC413" s="1062"/>
      <c r="AD413" s="1062"/>
      <c r="AE413" s="1062"/>
      <c r="AF413" s="1062"/>
      <c r="AG413" s="1062"/>
      <c r="AH413" s="1062"/>
      <c r="AI413" s="1069">
        <f t="shared" si="17"/>
        <v>0</v>
      </c>
      <c r="AJ413" s="635"/>
      <c r="AK413" s="266"/>
    </row>
    <row r="414" spans="1:37" s="51" customFormat="1" ht="16.149999999999999" customHeight="1" outlineLevel="1">
      <c r="A414" s="1025">
        <v>32</v>
      </c>
      <c r="B414" s="1025" t="str">
        <f>VLOOKUP(C414,'DS CN MOI UP'!$B$10:$C$347,2,0)</f>
        <v>03408</v>
      </c>
      <c r="C414" s="1028" t="s">
        <v>295</v>
      </c>
      <c r="D414" s="1062"/>
      <c r="E414" s="1062"/>
      <c r="F414" s="1062"/>
      <c r="G414" s="1062"/>
      <c r="H414" s="1062"/>
      <c r="I414" s="1062"/>
      <c r="J414" s="1062"/>
      <c r="K414" s="1062"/>
      <c r="L414" s="1062"/>
      <c r="M414" s="1062"/>
      <c r="N414" s="1062"/>
      <c r="O414" s="1062"/>
      <c r="P414" s="1062"/>
      <c r="Q414" s="1062"/>
      <c r="R414" s="1062"/>
      <c r="S414" s="1062"/>
      <c r="T414" s="1062"/>
      <c r="U414" s="1062"/>
      <c r="V414" s="1062"/>
      <c r="W414" s="1062"/>
      <c r="X414" s="1062"/>
      <c r="Y414" s="1062"/>
      <c r="Z414" s="1062"/>
      <c r="AA414" s="1062"/>
      <c r="AB414" s="1062"/>
      <c r="AC414" s="1062"/>
      <c r="AD414" s="1062"/>
      <c r="AE414" s="1062"/>
      <c r="AF414" s="1062"/>
      <c r="AG414" s="1062"/>
      <c r="AH414" s="1062"/>
      <c r="AI414" s="1069">
        <f t="shared" si="17"/>
        <v>0</v>
      </c>
      <c r="AJ414" s="635"/>
      <c r="AK414" s="266"/>
    </row>
    <row r="415" spans="1:37" s="51" customFormat="1" ht="16.149999999999999" customHeight="1" outlineLevel="1">
      <c r="A415" s="1025">
        <v>33</v>
      </c>
      <c r="B415" s="1025" t="str">
        <f>VLOOKUP(C415,'DS CN MOI UP'!$B$10:$C$347,2,0)</f>
        <v>02646</v>
      </c>
      <c r="C415" s="1028" t="s">
        <v>296</v>
      </c>
      <c r="D415" s="1062"/>
      <c r="E415" s="1062"/>
      <c r="F415" s="1062"/>
      <c r="G415" s="1062"/>
      <c r="H415" s="1062"/>
      <c r="I415" s="1062"/>
      <c r="J415" s="1062"/>
      <c r="K415" s="1062"/>
      <c r="L415" s="1062"/>
      <c r="M415" s="1062"/>
      <c r="N415" s="1062"/>
      <c r="O415" s="1062"/>
      <c r="P415" s="1062"/>
      <c r="Q415" s="1062"/>
      <c r="R415" s="1062"/>
      <c r="S415" s="1062"/>
      <c r="T415" s="1062"/>
      <c r="U415" s="1062"/>
      <c r="V415" s="1062"/>
      <c r="W415" s="1062"/>
      <c r="X415" s="1062"/>
      <c r="Y415" s="1062"/>
      <c r="Z415" s="1062"/>
      <c r="AA415" s="1062"/>
      <c r="AB415" s="1062"/>
      <c r="AC415" s="1062"/>
      <c r="AD415" s="1062"/>
      <c r="AE415" s="1062"/>
      <c r="AF415" s="1062"/>
      <c r="AG415" s="1062"/>
      <c r="AH415" s="1062"/>
      <c r="AI415" s="1069">
        <f t="shared" si="17"/>
        <v>0</v>
      </c>
      <c r="AJ415" s="635"/>
      <c r="AK415" s="266"/>
    </row>
    <row r="416" spans="1:37" s="51" customFormat="1" ht="16.149999999999999" customHeight="1" outlineLevel="1">
      <c r="A416" s="1025">
        <v>34</v>
      </c>
      <c r="B416" s="1025" t="str">
        <f>VLOOKUP(C416,'DS CN MOI UP'!$B$10:$C$347,2,0)</f>
        <v>02647</v>
      </c>
      <c r="C416" s="1028" t="s">
        <v>297</v>
      </c>
      <c r="D416" s="1062"/>
      <c r="E416" s="1062"/>
      <c r="F416" s="1062"/>
      <c r="G416" s="1062"/>
      <c r="H416" s="1062"/>
      <c r="I416" s="1062"/>
      <c r="J416" s="1062"/>
      <c r="K416" s="1062"/>
      <c r="L416" s="1062"/>
      <c r="M416" s="1062"/>
      <c r="N416" s="1062"/>
      <c r="O416" s="1062"/>
      <c r="P416" s="1062"/>
      <c r="Q416" s="1062"/>
      <c r="R416" s="1062"/>
      <c r="S416" s="1062"/>
      <c r="T416" s="1062"/>
      <c r="U416" s="1062"/>
      <c r="V416" s="1062"/>
      <c r="W416" s="1062"/>
      <c r="X416" s="1062"/>
      <c r="Y416" s="1062"/>
      <c r="Z416" s="1062"/>
      <c r="AA416" s="1062"/>
      <c r="AB416" s="1062"/>
      <c r="AC416" s="1062"/>
      <c r="AD416" s="1062"/>
      <c r="AE416" s="1062"/>
      <c r="AF416" s="1062"/>
      <c r="AG416" s="1062"/>
      <c r="AH416" s="1062"/>
      <c r="AI416" s="1069">
        <f t="shared" si="17"/>
        <v>0</v>
      </c>
      <c r="AJ416" s="635"/>
      <c r="AK416" s="266"/>
    </row>
    <row r="417" spans="1:37" s="51" customFormat="1" ht="16.149999999999999" customHeight="1" outlineLevel="1">
      <c r="A417" s="1025">
        <v>35</v>
      </c>
      <c r="B417" s="1025" t="str">
        <f>VLOOKUP(C417,'DS CN MOI UP'!$B$10:$C$347,2,0)</f>
        <v>02648</v>
      </c>
      <c r="C417" s="1028" t="s">
        <v>298</v>
      </c>
      <c r="D417" s="1062"/>
      <c r="E417" s="1062"/>
      <c r="F417" s="1062"/>
      <c r="G417" s="1062"/>
      <c r="H417" s="1062"/>
      <c r="I417" s="1062"/>
      <c r="J417" s="1062"/>
      <c r="K417" s="1062"/>
      <c r="L417" s="1062"/>
      <c r="M417" s="1062"/>
      <c r="N417" s="1062"/>
      <c r="O417" s="1062"/>
      <c r="P417" s="1062"/>
      <c r="Q417" s="1062"/>
      <c r="R417" s="1062"/>
      <c r="S417" s="1062"/>
      <c r="T417" s="1062"/>
      <c r="U417" s="1062"/>
      <c r="V417" s="1062"/>
      <c r="W417" s="1062"/>
      <c r="X417" s="1062"/>
      <c r="Y417" s="1062"/>
      <c r="Z417" s="1062"/>
      <c r="AA417" s="1062"/>
      <c r="AB417" s="1062"/>
      <c r="AC417" s="1062"/>
      <c r="AD417" s="1062"/>
      <c r="AE417" s="1062"/>
      <c r="AF417" s="1062"/>
      <c r="AG417" s="1062"/>
      <c r="AH417" s="1062"/>
      <c r="AI417" s="1069">
        <f t="shared" si="17"/>
        <v>0</v>
      </c>
      <c r="AJ417" s="635"/>
      <c r="AK417" s="266"/>
    </row>
    <row r="418" spans="1:37" s="51" customFormat="1" ht="16.149999999999999" customHeight="1" outlineLevel="1">
      <c r="A418" s="1025">
        <v>36</v>
      </c>
      <c r="B418" s="1025" t="str">
        <f>VLOOKUP(C418,'DS CN MOI UP'!$B$10:$C$347,2,0)</f>
        <v>02649</v>
      </c>
      <c r="C418" s="1028" t="s">
        <v>299</v>
      </c>
      <c r="D418" s="1062"/>
      <c r="E418" s="1062"/>
      <c r="F418" s="1062"/>
      <c r="G418" s="1062"/>
      <c r="H418" s="1062"/>
      <c r="I418" s="1062"/>
      <c r="J418" s="1062"/>
      <c r="K418" s="1062"/>
      <c r="L418" s="1062"/>
      <c r="M418" s="1062"/>
      <c r="N418" s="1062"/>
      <c r="O418" s="1062"/>
      <c r="P418" s="1062"/>
      <c r="Q418" s="1062"/>
      <c r="R418" s="1062"/>
      <c r="S418" s="1062"/>
      <c r="T418" s="1062"/>
      <c r="U418" s="1062"/>
      <c r="V418" s="1062"/>
      <c r="W418" s="1062"/>
      <c r="X418" s="1062"/>
      <c r="Y418" s="1062"/>
      <c r="Z418" s="1062"/>
      <c r="AA418" s="1062"/>
      <c r="AB418" s="1062"/>
      <c r="AC418" s="1062"/>
      <c r="AD418" s="1062"/>
      <c r="AE418" s="1062"/>
      <c r="AF418" s="1062"/>
      <c r="AG418" s="1062"/>
      <c r="AH418" s="1062"/>
      <c r="AI418" s="1069">
        <f t="shared" si="17"/>
        <v>0</v>
      </c>
      <c r="AJ418" s="635"/>
      <c r="AK418" s="266"/>
    </row>
    <row r="419" spans="1:37" s="51" customFormat="1" ht="16.149999999999999" customHeight="1" outlineLevel="1">
      <c r="A419" s="1025">
        <v>37</v>
      </c>
      <c r="B419" s="1025" t="str">
        <f>VLOOKUP(C419,'DS CN MOI UP'!$B$10:$C$347,2,0)</f>
        <v>02650</v>
      </c>
      <c r="C419" s="1028" t="s">
        <v>300</v>
      </c>
      <c r="D419" s="1062"/>
      <c r="E419" s="1062"/>
      <c r="F419" s="1062"/>
      <c r="G419" s="1062"/>
      <c r="H419" s="1062"/>
      <c r="I419" s="1062"/>
      <c r="J419" s="1062"/>
      <c r="K419" s="1062"/>
      <c r="L419" s="1062"/>
      <c r="M419" s="1062"/>
      <c r="N419" s="1062"/>
      <c r="O419" s="1062"/>
      <c r="P419" s="1062"/>
      <c r="Q419" s="1062"/>
      <c r="R419" s="1062"/>
      <c r="S419" s="1062"/>
      <c r="T419" s="1062"/>
      <c r="U419" s="1062"/>
      <c r="V419" s="1062"/>
      <c r="W419" s="1062"/>
      <c r="X419" s="1062"/>
      <c r="Y419" s="1062"/>
      <c r="Z419" s="1062"/>
      <c r="AA419" s="1062"/>
      <c r="AB419" s="1062"/>
      <c r="AC419" s="1062"/>
      <c r="AD419" s="1062"/>
      <c r="AE419" s="1062"/>
      <c r="AF419" s="1062"/>
      <c r="AG419" s="1062"/>
      <c r="AH419" s="1062"/>
      <c r="AI419" s="1069">
        <f t="shared" si="17"/>
        <v>0</v>
      </c>
      <c r="AJ419" s="635"/>
      <c r="AK419" s="266"/>
    </row>
    <row r="420" spans="1:37" s="51" customFormat="1" ht="16.149999999999999" customHeight="1" outlineLevel="1">
      <c r="A420" s="1025">
        <v>38</v>
      </c>
      <c r="B420" s="1025" t="str">
        <f>VLOOKUP(C420,'DS CN MOI UP'!$B$10:$C$347,2,0)</f>
        <v>02651</v>
      </c>
      <c r="C420" s="1028" t="s">
        <v>301</v>
      </c>
      <c r="D420" s="1062"/>
      <c r="E420" s="1062"/>
      <c r="F420" s="1062"/>
      <c r="G420" s="1062"/>
      <c r="H420" s="1062"/>
      <c r="I420" s="1062"/>
      <c r="J420" s="1062"/>
      <c r="K420" s="1062"/>
      <c r="L420" s="1062"/>
      <c r="M420" s="1062"/>
      <c r="N420" s="1062"/>
      <c r="O420" s="1062"/>
      <c r="P420" s="1062"/>
      <c r="Q420" s="1062"/>
      <c r="R420" s="1062"/>
      <c r="S420" s="1062"/>
      <c r="T420" s="1062"/>
      <c r="U420" s="1062"/>
      <c r="V420" s="1062"/>
      <c r="W420" s="1062"/>
      <c r="X420" s="1062"/>
      <c r="Y420" s="1062"/>
      <c r="Z420" s="1062"/>
      <c r="AA420" s="1062"/>
      <c r="AB420" s="1062"/>
      <c r="AC420" s="1062"/>
      <c r="AD420" s="1062"/>
      <c r="AE420" s="1062"/>
      <c r="AF420" s="1062"/>
      <c r="AG420" s="1062"/>
      <c r="AH420" s="1062"/>
      <c r="AI420" s="1069">
        <f t="shared" si="17"/>
        <v>0</v>
      </c>
      <c r="AJ420" s="635"/>
      <c r="AK420" s="266"/>
    </row>
    <row r="421" spans="1:37" s="51" customFormat="1" ht="16.149999999999999" customHeight="1" outlineLevel="1">
      <c r="A421" s="1025">
        <v>39</v>
      </c>
      <c r="B421" s="1025" t="str">
        <f>VLOOKUP(C421,'DS CN MOI UP'!$B$10:$C$347,2,0)</f>
        <v>02652</v>
      </c>
      <c r="C421" s="1028" t="s">
        <v>302</v>
      </c>
      <c r="D421" s="1062"/>
      <c r="E421" s="1062"/>
      <c r="F421" s="1062"/>
      <c r="G421" s="1062"/>
      <c r="H421" s="1062"/>
      <c r="I421" s="1062"/>
      <c r="J421" s="1062"/>
      <c r="K421" s="1062"/>
      <c r="L421" s="1062"/>
      <c r="M421" s="1062"/>
      <c r="N421" s="1062"/>
      <c r="O421" s="1062"/>
      <c r="P421" s="1062"/>
      <c r="Q421" s="1062"/>
      <c r="R421" s="1062"/>
      <c r="S421" s="1062"/>
      <c r="T421" s="1062"/>
      <c r="U421" s="1062"/>
      <c r="V421" s="1062"/>
      <c r="W421" s="1062"/>
      <c r="X421" s="1062"/>
      <c r="Y421" s="1062"/>
      <c r="Z421" s="1062"/>
      <c r="AA421" s="1062"/>
      <c r="AB421" s="1062"/>
      <c r="AC421" s="1062"/>
      <c r="AD421" s="1062"/>
      <c r="AE421" s="1062"/>
      <c r="AF421" s="1062"/>
      <c r="AG421" s="1062"/>
      <c r="AH421" s="1062"/>
      <c r="AI421" s="1069">
        <f t="shared" si="17"/>
        <v>0</v>
      </c>
      <c r="AJ421" s="635"/>
      <c r="AK421" s="266"/>
    </row>
    <row r="422" spans="1:37" s="51" customFormat="1" ht="16.149999999999999" customHeight="1" outlineLevel="1">
      <c r="A422" s="1025">
        <v>40</v>
      </c>
      <c r="B422" s="1025" t="e">
        <f>VLOOKUP(C422,'DS CN MOI UP'!$B$10:$C$347,2,0)</f>
        <v>#N/A</v>
      </c>
      <c r="C422" s="1028" t="s">
        <v>303</v>
      </c>
      <c r="D422" s="1062"/>
      <c r="E422" s="1062"/>
      <c r="F422" s="1062"/>
      <c r="G422" s="1062"/>
      <c r="H422" s="1062"/>
      <c r="I422" s="1062"/>
      <c r="J422" s="1062"/>
      <c r="K422" s="1062"/>
      <c r="L422" s="1062"/>
      <c r="M422" s="1062"/>
      <c r="N422" s="1062"/>
      <c r="O422" s="1062"/>
      <c r="P422" s="1062"/>
      <c r="Q422" s="1062"/>
      <c r="R422" s="1062"/>
      <c r="S422" s="1062"/>
      <c r="T422" s="1062"/>
      <c r="U422" s="1062"/>
      <c r="V422" s="1062"/>
      <c r="W422" s="1062"/>
      <c r="X422" s="1062"/>
      <c r="Y422" s="1062"/>
      <c r="Z422" s="1062"/>
      <c r="AA422" s="1062"/>
      <c r="AB422" s="1062"/>
      <c r="AC422" s="1062"/>
      <c r="AD422" s="1062"/>
      <c r="AE422" s="1062"/>
      <c r="AF422" s="1062"/>
      <c r="AG422" s="1062"/>
      <c r="AH422" s="1062"/>
      <c r="AI422" s="1069">
        <f t="shared" si="17"/>
        <v>0</v>
      </c>
      <c r="AJ422" s="635"/>
      <c r="AK422" s="266"/>
    </row>
    <row r="423" spans="1:37" s="51" customFormat="1" ht="16.149999999999999" customHeight="1" outlineLevel="1">
      <c r="A423" s="1025">
        <v>41</v>
      </c>
      <c r="B423" s="1025" t="str">
        <f>VLOOKUP(C423,'DS CN MOI UP'!$B$10:$C$347,2,0)</f>
        <v>02654</v>
      </c>
      <c r="C423" s="1028" t="s">
        <v>304</v>
      </c>
      <c r="D423" s="1062"/>
      <c r="E423" s="1062"/>
      <c r="F423" s="1062"/>
      <c r="G423" s="1062"/>
      <c r="H423" s="1062"/>
      <c r="I423" s="1062"/>
      <c r="J423" s="1062"/>
      <c r="K423" s="1062"/>
      <c r="L423" s="1062"/>
      <c r="M423" s="1062"/>
      <c r="N423" s="1062"/>
      <c r="O423" s="1062"/>
      <c r="P423" s="1062"/>
      <c r="Q423" s="1062"/>
      <c r="R423" s="1062"/>
      <c r="S423" s="1062"/>
      <c r="T423" s="1062"/>
      <c r="U423" s="1062"/>
      <c r="V423" s="1062"/>
      <c r="W423" s="1062"/>
      <c r="X423" s="1062"/>
      <c r="Y423" s="1062"/>
      <c r="Z423" s="1062"/>
      <c r="AA423" s="1062"/>
      <c r="AB423" s="1062"/>
      <c r="AC423" s="1062"/>
      <c r="AD423" s="1062"/>
      <c r="AE423" s="1062"/>
      <c r="AF423" s="1062"/>
      <c r="AG423" s="1062"/>
      <c r="AH423" s="1062"/>
      <c r="AI423" s="1069">
        <f t="shared" si="17"/>
        <v>0</v>
      </c>
      <c r="AJ423" s="635"/>
      <c r="AK423" s="266"/>
    </row>
    <row r="424" spans="1:37" s="1022" customFormat="1" ht="16.149999999999999" customHeight="1" outlineLevel="1">
      <c r="A424" s="1025">
        <v>42</v>
      </c>
      <c r="B424" s="1025" t="str">
        <f>VLOOKUP(C424,'DS CN MOI UP'!$B$10:$C$347,2,0)</f>
        <v>03859</v>
      </c>
      <c r="C424" s="1028" t="s">
        <v>331</v>
      </c>
      <c r="D424" s="1062"/>
      <c r="E424" s="1062"/>
      <c r="F424" s="1062"/>
      <c r="G424" s="1062"/>
      <c r="H424" s="1062"/>
      <c r="I424" s="1062"/>
      <c r="J424" s="1062"/>
      <c r="K424" s="1062"/>
      <c r="L424" s="1062"/>
      <c r="M424" s="1062"/>
      <c r="N424" s="1062"/>
      <c r="O424" s="1062"/>
      <c r="P424" s="1062"/>
      <c r="Q424" s="1062"/>
      <c r="R424" s="1062"/>
      <c r="S424" s="1062"/>
      <c r="T424" s="1062"/>
      <c r="U424" s="1062"/>
      <c r="V424" s="1062"/>
      <c r="W424" s="1062"/>
      <c r="X424" s="1062"/>
      <c r="Y424" s="1062"/>
      <c r="Z424" s="1062"/>
      <c r="AA424" s="1062"/>
      <c r="AB424" s="1062"/>
      <c r="AC424" s="1062"/>
      <c r="AD424" s="1062"/>
      <c r="AE424" s="1062"/>
      <c r="AF424" s="1062"/>
      <c r="AG424" s="1062"/>
      <c r="AH424" s="1062"/>
      <c r="AI424" s="1069">
        <f t="shared" si="17"/>
        <v>0</v>
      </c>
      <c r="AJ424" s="635"/>
      <c r="AK424" s="266"/>
    </row>
    <row r="425" spans="1:37" s="51" customFormat="1" ht="16.149999999999999" customHeight="1" outlineLevel="1">
      <c r="A425" s="1025">
        <v>43</v>
      </c>
      <c r="B425" s="1025" t="str">
        <f>VLOOKUP(C425,'DS CN MOI UP'!$B$10:$C$347,2,0)</f>
        <v>03411</v>
      </c>
      <c r="C425" s="1028" t="s">
        <v>332</v>
      </c>
      <c r="D425" s="1062"/>
      <c r="E425" s="1062"/>
      <c r="F425" s="1062"/>
      <c r="G425" s="1062"/>
      <c r="H425" s="1062"/>
      <c r="I425" s="1062"/>
      <c r="J425" s="1062"/>
      <c r="K425" s="1062"/>
      <c r="L425" s="1062"/>
      <c r="M425" s="1062"/>
      <c r="N425" s="1062"/>
      <c r="O425" s="1062"/>
      <c r="P425" s="1062"/>
      <c r="Q425" s="1062"/>
      <c r="R425" s="1062"/>
      <c r="S425" s="1062"/>
      <c r="T425" s="1062"/>
      <c r="U425" s="1062"/>
      <c r="V425" s="1062"/>
      <c r="W425" s="1062"/>
      <c r="X425" s="1062"/>
      <c r="Y425" s="1062"/>
      <c r="Z425" s="1062"/>
      <c r="AA425" s="1062"/>
      <c r="AB425" s="1062"/>
      <c r="AC425" s="1062"/>
      <c r="AD425" s="1062"/>
      <c r="AE425" s="1062"/>
      <c r="AF425" s="1062"/>
      <c r="AG425" s="1062"/>
      <c r="AH425" s="1062"/>
      <c r="AI425" s="1069">
        <f t="shared" si="17"/>
        <v>0</v>
      </c>
      <c r="AJ425" s="635"/>
      <c r="AK425" s="266"/>
    </row>
    <row r="426" spans="1:37" s="51" customFormat="1" ht="16.149999999999999" customHeight="1" outlineLevel="1">
      <c r="A426" s="1025">
        <v>44</v>
      </c>
      <c r="B426" s="1025" t="e">
        <f>VLOOKUP(C426,'DS CN MOI UP'!$B$10:$C$347,2,0)</f>
        <v>#N/A</v>
      </c>
      <c r="C426" s="1028" t="s">
        <v>333</v>
      </c>
      <c r="D426" s="1062"/>
      <c r="E426" s="1062"/>
      <c r="F426" s="1062"/>
      <c r="G426" s="1062"/>
      <c r="H426" s="1062"/>
      <c r="I426" s="1062"/>
      <c r="J426" s="1062"/>
      <c r="K426" s="1062"/>
      <c r="L426" s="1062"/>
      <c r="M426" s="1062"/>
      <c r="N426" s="1062"/>
      <c r="O426" s="1062"/>
      <c r="P426" s="1062"/>
      <c r="Q426" s="1062"/>
      <c r="R426" s="1062"/>
      <c r="S426" s="1062"/>
      <c r="T426" s="1062"/>
      <c r="U426" s="1062"/>
      <c r="V426" s="1062"/>
      <c r="W426" s="1062"/>
      <c r="X426" s="1062"/>
      <c r="Y426" s="1062"/>
      <c r="Z426" s="1062"/>
      <c r="AA426" s="1062"/>
      <c r="AB426" s="1062"/>
      <c r="AC426" s="1062"/>
      <c r="AD426" s="1062"/>
      <c r="AE426" s="1062"/>
      <c r="AF426" s="1062"/>
      <c r="AG426" s="1062"/>
      <c r="AH426" s="1062"/>
      <c r="AI426" s="1069">
        <f t="shared" si="17"/>
        <v>0</v>
      </c>
      <c r="AJ426" s="635"/>
      <c r="AK426" s="266"/>
    </row>
    <row r="427" spans="1:37" s="51" customFormat="1" ht="16.149999999999999" customHeight="1" outlineLevel="1">
      <c r="A427" s="1025">
        <v>45</v>
      </c>
      <c r="B427" s="1025" t="str">
        <f>VLOOKUP(C427,'DS CN MOI UP'!$B$10:$C$347,2,0)</f>
        <v>02625</v>
      </c>
      <c r="C427" s="1028" t="s">
        <v>334</v>
      </c>
      <c r="D427" s="1062"/>
      <c r="E427" s="1062"/>
      <c r="F427" s="1062"/>
      <c r="G427" s="1062"/>
      <c r="H427" s="1062"/>
      <c r="I427" s="1062"/>
      <c r="J427" s="1062"/>
      <c r="K427" s="1062"/>
      <c r="L427" s="1062"/>
      <c r="M427" s="1062"/>
      <c r="N427" s="1062"/>
      <c r="O427" s="1062"/>
      <c r="P427" s="1062"/>
      <c r="Q427" s="1062"/>
      <c r="R427" s="1062"/>
      <c r="S427" s="1062"/>
      <c r="T427" s="1062"/>
      <c r="U427" s="1062"/>
      <c r="V427" s="1062"/>
      <c r="W427" s="1062"/>
      <c r="X427" s="1062"/>
      <c r="Y427" s="1062"/>
      <c r="Z427" s="1062"/>
      <c r="AA427" s="1062"/>
      <c r="AB427" s="1062"/>
      <c r="AC427" s="1062"/>
      <c r="AD427" s="1062"/>
      <c r="AE427" s="1062"/>
      <c r="AF427" s="1062"/>
      <c r="AG427" s="1062"/>
      <c r="AH427" s="1062"/>
      <c r="AI427" s="1069">
        <f t="shared" si="17"/>
        <v>0</v>
      </c>
      <c r="AJ427" s="635"/>
      <c r="AK427" s="266"/>
    </row>
    <row r="428" spans="1:37" s="51" customFormat="1" ht="16.149999999999999" customHeight="1" outlineLevel="1">
      <c r="A428" s="1025">
        <v>46</v>
      </c>
      <c r="B428" s="1025" t="str">
        <f>VLOOKUP(C428,'DS CN MOI UP'!$B$10:$C$347,2,0)</f>
        <v>03861</v>
      </c>
      <c r="C428" s="1028" t="s">
        <v>305</v>
      </c>
      <c r="D428" s="1062"/>
      <c r="E428" s="1062"/>
      <c r="F428" s="1062"/>
      <c r="G428" s="1062"/>
      <c r="H428" s="1062"/>
      <c r="I428" s="1062"/>
      <c r="J428" s="1062"/>
      <c r="K428" s="1062"/>
      <c r="L428" s="1062"/>
      <c r="M428" s="1062"/>
      <c r="N428" s="1062"/>
      <c r="O428" s="1062"/>
      <c r="P428" s="1062"/>
      <c r="Q428" s="1062"/>
      <c r="R428" s="1062"/>
      <c r="S428" s="1062"/>
      <c r="T428" s="1062"/>
      <c r="U428" s="1062"/>
      <c r="V428" s="1062"/>
      <c r="W428" s="1062"/>
      <c r="X428" s="1062"/>
      <c r="Y428" s="1062"/>
      <c r="Z428" s="1062"/>
      <c r="AA428" s="1062"/>
      <c r="AB428" s="1062"/>
      <c r="AC428" s="1062"/>
      <c r="AD428" s="1062"/>
      <c r="AE428" s="1062"/>
      <c r="AF428" s="1062"/>
      <c r="AG428" s="1062"/>
      <c r="AH428" s="1062"/>
      <c r="AI428" s="1069">
        <f t="shared" si="17"/>
        <v>0</v>
      </c>
      <c r="AJ428" s="635"/>
      <c r="AK428" s="266"/>
    </row>
    <row r="429" spans="1:37" s="51" customFormat="1" ht="16.149999999999999" customHeight="1">
      <c r="A429" s="1025">
        <v>47</v>
      </c>
      <c r="B429" s="1025" t="str">
        <f>VLOOKUP(C429,'DS CN MOI UP'!$B$10:$C$347,2,0)</f>
        <v>03862</v>
      </c>
      <c r="C429" s="1028" t="s">
        <v>335</v>
      </c>
      <c r="D429" s="1062"/>
      <c r="E429" s="1062"/>
      <c r="F429" s="1062"/>
      <c r="G429" s="1062"/>
      <c r="H429" s="1062"/>
      <c r="I429" s="1062"/>
      <c r="J429" s="1062"/>
      <c r="K429" s="1062"/>
      <c r="L429" s="1062"/>
      <c r="M429" s="1062"/>
      <c r="N429" s="1062"/>
      <c r="O429" s="1062"/>
      <c r="P429" s="1062"/>
      <c r="Q429" s="1062"/>
      <c r="R429" s="1062"/>
      <c r="S429" s="1062"/>
      <c r="T429" s="1062"/>
      <c r="U429" s="1062"/>
      <c r="V429" s="1062"/>
      <c r="W429" s="1062"/>
      <c r="X429" s="1062"/>
      <c r="Y429" s="1062"/>
      <c r="Z429" s="1062"/>
      <c r="AA429" s="1062"/>
      <c r="AB429" s="1062"/>
      <c r="AC429" s="1062"/>
      <c r="AD429" s="1062"/>
      <c r="AE429" s="1062"/>
      <c r="AF429" s="1062"/>
      <c r="AG429" s="1062"/>
      <c r="AH429" s="1062"/>
      <c r="AI429" s="1069">
        <f t="shared" si="17"/>
        <v>0</v>
      </c>
      <c r="AJ429" s="635"/>
      <c r="AK429" s="266"/>
    </row>
    <row r="430" spans="1:37" s="51" customFormat="1" ht="16.149999999999999" customHeight="1">
      <c r="A430" s="1025">
        <v>47</v>
      </c>
      <c r="B430" s="1025" t="str">
        <f>VLOOKUP(C430,'DS CN MOI UP'!$B$10:$C$347,2,0)</f>
        <v>03413</v>
      </c>
      <c r="C430" s="1028" t="s">
        <v>336</v>
      </c>
      <c r="D430" s="1062"/>
      <c r="E430" s="1062"/>
      <c r="F430" s="1062"/>
      <c r="G430" s="1062"/>
      <c r="H430" s="1062"/>
      <c r="I430" s="1062"/>
      <c r="J430" s="1062"/>
      <c r="K430" s="1062"/>
      <c r="L430" s="1062"/>
      <c r="M430" s="1062"/>
      <c r="N430" s="1062"/>
      <c r="O430" s="1062"/>
      <c r="P430" s="1062"/>
      <c r="Q430" s="1062"/>
      <c r="R430" s="1062"/>
      <c r="S430" s="1062"/>
      <c r="T430" s="1062"/>
      <c r="U430" s="1062"/>
      <c r="V430" s="1062"/>
      <c r="W430" s="1062"/>
      <c r="X430" s="1062"/>
      <c r="Y430" s="1062"/>
      <c r="Z430" s="1062"/>
      <c r="AA430" s="1062"/>
      <c r="AB430" s="1062"/>
      <c r="AC430" s="1062"/>
      <c r="AD430" s="1062"/>
      <c r="AE430" s="1062"/>
      <c r="AF430" s="1062"/>
      <c r="AG430" s="1062"/>
      <c r="AH430" s="1062"/>
      <c r="AI430" s="1069">
        <f t="shared" si="17"/>
        <v>0</v>
      </c>
      <c r="AJ430" s="635"/>
      <c r="AK430" s="266"/>
    </row>
    <row r="431" spans="1:37" s="51" customFormat="1" ht="16.149999999999999" customHeight="1" outlineLevel="1">
      <c r="A431" s="1025">
        <v>48</v>
      </c>
      <c r="B431" s="1025" t="str">
        <f>VLOOKUP(C431,'DS CN MOI UP'!$B$10:$C$347,2,0)</f>
        <v>03414</v>
      </c>
      <c r="C431" s="1028" t="s">
        <v>337</v>
      </c>
      <c r="D431" s="1062"/>
      <c r="E431" s="1062"/>
      <c r="F431" s="1062"/>
      <c r="G431" s="1062"/>
      <c r="H431" s="1062"/>
      <c r="I431" s="1062"/>
      <c r="J431" s="1062"/>
      <c r="K431" s="1062"/>
      <c r="L431" s="1062"/>
      <c r="M431" s="1062"/>
      <c r="N431" s="1062"/>
      <c r="O431" s="1062"/>
      <c r="P431" s="1062"/>
      <c r="Q431" s="1062"/>
      <c r="R431" s="1062"/>
      <c r="S431" s="1062"/>
      <c r="T431" s="1062"/>
      <c r="U431" s="1062"/>
      <c r="V431" s="1062"/>
      <c r="W431" s="1062"/>
      <c r="X431" s="1062"/>
      <c r="Y431" s="1062"/>
      <c r="Z431" s="1062"/>
      <c r="AA431" s="1062"/>
      <c r="AB431" s="1062"/>
      <c r="AC431" s="1062"/>
      <c r="AD431" s="1062"/>
      <c r="AE431" s="1062"/>
      <c r="AF431" s="1062"/>
      <c r="AG431" s="1062"/>
      <c r="AH431" s="1062"/>
      <c r="AI431" s="1069">
        <f t="shared" si="17"/>
        <v>0</v>
      </c>
      <c r="AJ431" s="635"/>
      <c r="AK431" s="266"/>
    </row>
    <row r="432" spans="1:37" s="51" customFormat="1" ht="16.149999999999999" customHeight="1" outlineLevel="1">
      <c r="A432" s="1025">
        <v>49</v>
      </c>
      <c r="B432" s="1025" t="str">
        <f>VLOOKUP(C432,'DS CN MOI UP'!$B$10:$C$347,2,0)</f>
        <v>03415</v>
      </c>
      <c r="C432" s="1028" t="s">
        <v>338</v>
      </c>
      <c r="D432" s="1062"/>
      <c r="E432" s="1062"/>
      <c r="F432" s="1062"/>
      <c r="G432" s="1062"/>
      <c r="H432" s="1062"/>
      <c r="I432" s="1062"/>
      <c r="J432" s="1062"/>
      <c r="K432" s="1062"/>
      <c r="L432" s="1062"/>
      <c r="M432" s="1062"/>
      <c r="N432" s="1062"/>
      <c r="O432" s="1062"/>
      <c r="P432" s="1062"/>
      <c r="Q432" s="1062"/>
      <c r="R432" s="1062"/>
      <c r="S432" s="1062"/>
      <c r="T432" s="1062"/>
      <c r="U432" s="1062"/>
      <c r="V432" s="1062"/>
      <c r="W432" s="1062"/>
      <c r="X432" s="1062"/>
      <c r="Y432" s="1062"/>
      <c r="Z432" s="1062"/>
      <c r="AA432" s="1062"/>
      <c r="AB432" s="1062"/>
      <c r="AC432" s="1062"/>
      <c r="AD432" s="1062"/>
      <c r="AE432" s="1062"/>
      <c r="AF432" s="1062"/>
      <c r="AG432" s="1062"/>
      <c r="AH432" s="1062"/>
      <c r="AI432" s="1069">
        <f t="shared" si="17"/>
        <v>0</v>
      </c>
      <c r="AJ432" s="635"/>
      <c r="AK432" s="266"/>
    </row>
    <row r="433" spans="1:37" s="51" customFormat="1" ht="16.149999999999999" customHeight="1" outlineLevel="1">
      <c r="A433" s="1025">
        <v>50</v>
      </c>
      <c r="B433" s="1025" t="e">
        <f>VLOOKUP(C433,'DS CN MOI UP'!$B$10:$C$347,2,0)</f>
        <v>#N/A</v>
      </c>
      <c r="C433" s="1028" t="s">
        <v>339</v>
      </c>
      <c r="D433" s="1062"/>
      <c r="E433" s="1062"/>
      <c r="F433" s="1062"/>
      <c r="G433" s="1062"/>
      <c r="H433" s="1062"/>
      <c r="I433" s="1062"/>
      <c r="J433" s="1062"/>
      <c r="K433" s="1062"/>
      <c r="L433" s="1062"/>
      <c r="M433" s="1062"/>
      <c r="N433" s="1062"/>
      <c r="O433" s="1062"/>
      <c r="P433" s="1062"/>
      <c r="Q433" s="1062"/>
      <c r="R433" s="1062"/>
      <c r="S433" s="1062"/>
      <c r="T433" s="1062"/>
      <c r="U433" s="1062"/>
      <c r="V433" s="1062"/>
      <c r="W433" s="1062"/>
      <c r="X433" s="1062"/>
      <c r="Y433" s="1062"/>
      <c r="Z433" s="1062"/>
      <c r="AA433" s="1062"/>
      <c r="AB433" s="1062"/>
      <c r="AC433" s="1062"/>
      <c r="AD433" s="1062"/>
      <c r="AE433" s="1062"/>
      <c r="AF433" s="1062"/>
      <c r="AG433" s="1062"/>
      <c r="AH433" s="1062"/>
      <c r="AI433" s="1069">
        <f t="shared" si="17"/>
        <v>0</v>
      </c>
      <c r="AJ433" s="635"/>
      <c r="AK433" s="266"/>
    </row>
    <row r="434" spans="1:37" s="51" customFormat="1" ht="16.149999999999999" customHeight="1" outlineLevel="1">
      <c r="A434" s="1025">
        <v>51</v>
      </c>
      <c r="B434" s="1025" t="str">
        <f>VLOOKUP(C434,'DS CN MOI UP'!$B$10:$C$347,2,0)</f>
        <v>03417</v>
      </c>
      <c r="C434" s="1028" t="s">
        <v>340</v>
      </c>
      <c r="D434" s="1062"/>
      <c r="E434" s="1062"/>
      <c r="F434" s="1062"/>
      <c r="G434" s="1062"/>
      <c r="H434" s="1062"/>
      <c r="I434" s="1062"/>
      <c r="J434" s="1062"/>
      <c r="K434" s="1062"/>
      <c r="L434" s="1062"/>
      <c r="M434" s="1062"/>
      <c r="N434" s="1062"/>
      <c r="O434" s="1062"/>
      <c r="P434" s="1062"/>
      <c r="Q434" s="1062"/>
      <c r="R434" s="1062"/>
      <c r="S434" s="1062"/>
      <c r="T434" s="1062"/>
      <c r="U434" s="1062"/>
      <c r="V434" s="1062"/>
      <c r="W434" s="1062"/>
      <c r="X434" s="1062"/>
      <c r="Y434" s="1062"/>
      <c r="Z434" s="1062"/>
      <c r="AA434" s="1062"/>
      <c r="AB434" s="1062"/>
      <c r="AC434" s="1062"/>
      <c r="AD434" s="1062"/>
      <c r="AE434" s="1062"/>
      <c r="AF434" s="1062"/>
      <c r="AG434" s="1062"/>
      <c r="AH434" s="1062"/>
      <c r="AI434" s="1069">
        <f t="shared" si="17"/>
        <v>0</v>
      </c>
      <c r="AJ434" s="635"/>
      <c r="AK434" s="266"/>
    </row>
    <row r="435" spans="1:37" s="51" customFormat="1" ht="16.149999999999999" customHeight="1" outlineLevel="1">
      <c r="A435" s="1025">
        <v>52</v>
      </c>
      <c r="B435" s="1025" t="str">
        <f>VLOOKUP(C435,'DS CN MOI UP'!$B$10:$C$347,2,0)</f>
        <v>03418</v>
      </c>
      <c r="C435" s="1028" t="s">
        <v>341</v>
      </c>
      <c r="D435" s="1062"/>
      <c r="E435" s="1062"/>
      <c r="F435" s="1062"/>
      <c r="G435" s="1062"/>
      <c r="H435" s="1062"/>
      <c r="I435" s="1062"/>
      <c r="J435" s="1062"/>
      <c r="K435" s="1062"/>
      <c r="L435" s="1062"/>
      <c r="M435" s="1062"/>
      <c r="N435" s="1062"/>
      <c r="O435" s="1062"/>
      <c r="P435" s="1062"/>
      <c r="Q435" s="1062"/>
      <c r="R435" s="1062"/>
      <c r="S435" s="1062"/>
      <c r="T435" s="1062"/>
      <c r="U435" s="1062"/>
      <c r="V435" s="1062"/>
      <c r="W435" s="1062"/>
      <c r="X435" s="1062"/>
      <c r="Y435" s="1062"/>
      <c r="Z435" s="1062"/>
      <c r="AA435" s="1062"/>
      <c r="AB435" s="1062"/>
      <c r="AC435" s="1062"/>
      <c r="AD435" s="1062"/>
      <c r="AE435" s="1062"/>
      <c r="AF435" s="1062"/>
      <c r="AG435" s="1062"/>
      <c r="AH435" s="1062"/>
      <c r="AI435" s="1069">
        <f t="shared" si="17"/>
        <v>0</v>
      </c>
      <c r="AJ435" s="635"/>
      <c r="AK435" s="266"/>
    </row>
    <row r="436" spans="1:37" s="51" customFormat="1" ht="16.149999999999999" customHeight="1" outlineLevel="1">
      <c r="A436" s="1025">
        <v>53</v>
      </c>
      <c r="B436" s="1025" t="str">
        <f>VLOOKUP(C436,'DS CN MOI UP'!$B$10:$C$347,2,0)</f>
        <v>03419</v>
      </c>
      <c r="C436" s="1028" t="s">
        <v>342</v>
      </c>
      <c r="D436" s="1062"/>
      <c r="E436" s="1062"/>
      <c r="F436" s="1062"/>
      <c r="G436" s="1062"/>
      <c r="H436" s="1062"/>
      <c r="I436" s="1062"/>
      <c r="J436" s="1062"/>
      <c r="K436" s="1062"/>
      <c r="L436" s="1062"/>
      <c r="M436" s="1062"/>
      <c r="N436" s="1062"/>
      <c r="O436" s="1062"/>
      <c r="P436" s="1062"/>
      <c r="Q436" s="1062"/>
      <c r="R436" s="1062"/>
      <c r="S436" s="1062"/>
      <c r="T436" s="1062"/>
      <c r="U436" s="1062"/>
      <c r="V436" s="1062"/>
      <c r="W436" s="1062"/>
      <c r="X436" s="1062"/>
      <c r="Y436" s="1062"/>
      <c r="Z436" s="1062"/>
      <c r="AA436" s="1062"/>
      <c r="AB436" s="1062"/>
      <c r="AC436" s="1062"/>
      <c r="AD436" s="1062"/>
      <c r="AE436" s="1062"/>
      <c r="AF436" s="1062"/>
      <c r="AG436" s="1062"/>
      <c r="AH436" s="1062"/>
      <c r="AI436" s="1069">
        <f t="shared" si="17"/>
        <v>0</v>
      </c>
      <c r="AJ436" s="635"/>
      <c r="AK436" s="266"/>
    </row>
    <row r="437" spans="1:37" s="51" customFormat="1" ht="16.149999999999999" customHeight="1" outlineLevel="1">
      <c r="A437" s="1025">
        <v>54</v>
      </c>
      <c r="B437" s="1025" t="str">
        <f>VLOOKUP(C437,'DS CN MOI UP'!$B$10:$C$347,2,0)</f>
        <v>03420</v>
      </c>
      <c r="C437" s="1028" t="s">
        <v>343</v>
      </c>
      <c r="D437" s="1062"/>
      <c r="E437" s="1062"/>
      <c r="F437" s="1062"/>
      <c r="G437" s="1062"/>
      <c r="H437" s="1062"/>
      <c r="I437" s="1062"/>
      <c r="J437" s="1062"/>
      <c r="K437" s="1062"/>
      <c r="L437" s="1062"/>
      <c r="M437" s="1062"/>
      <c r="N437" s="1062"/>
      <c r="O437" s="1062"/>
      <c r="P437" s="1062"/>
      <c r="Q437" s="1062"/>
      <c r="R437" s="1062"/>
      <c r="S437" s="1062"/>
      <c r="T437" s="1062"/>
      <c r="U437" s="1062"/>
      <c r="V437" s="1062"/>
      <c r="W437" s="1062"/>
      <c r="X437" s="1062"/>
      <c r="Y437" s="1062"/>
      <c r="Z437" s="1062"/>
      <c r="AA437" s="1062"/>
      <c r="AB437" s="1062"/>
      <c r="AC437" s="1062"/>
      <c r="AD437" s="1062"/>
      <c r="AE437" s="1062"/>
      <c r="AF437" s="1062"/>
      <c r="AG437" s="1062"/>
      <c r="AH437" s="1062"/>
      <c r="AI437" s="1069">
        <f t="shared" si="17"/>
        <v>0</v>
      </c>
      <c r="AJ437" s="635"/>
      <c r="AK437" s="266"/>
    </row>
    <row r="438" spans="1:37" s="51" customFormat="1" ht="16.149999999999999" customHeight="1" outlineLevel="1">
      <c r="A438" s="1025">
        <v>55</v>
      </c>
      <c r="B438" s="1025" t="str">
        <f>VLOOKUP(C438,'DS CN MOI UP'!$B$10:$C$347,2,0)</f>
        <v>03385</v>
      </c>
      <c r="C438" s="1028" t="s">
        <v>344</v>
      </c>
      <c r="D438" s="1062"/>
      <c r="E438" s="1062"/>
      <c r="F438" s="1062"/>
      <c r="G438" s="1062"/>
      <c r="H438" s="1062"/>
      <c r="I438" s="1062"/>
      <c r="J438" s="1062"/>
      <c r="K438" s="1062"/>
      <c r="L438" s="1062"/>
      <c r="M438" s="1062"/>
      <c r="N438" s="1062"/>
      <c r="O438" s="1062"/>
      <c r="P438" s="1062"/>
      <c r="Q438" s="1062"/>
      <c r="R438" s="1062"/>
      <c r="S438" s="1062"/>
      <c r="T438" s="1062"/>
      <c r="U438" s="1062"/>
      <c r="V438" s="1062"/>
      <c r="W438" s="1062"/>
      <c r="X438" s="1062"/>
      <c r="Y438" s="1062"/>
      <c r="Z438" s="1062"/>
      <c r="AA438" s="1062"/>
      <c r="AB438" s="1062"/>
      <c r="AC438" s="1062"/>
      <c r="AD438" s="1062"/>
      <c r="AE438" s="1062"/>
      <c r="AF438" s="1062"/>
      <c r="AG438" s="1062"/>
      <c r="AH438" s="1062"/>
      <c r="AI438" s="1069">
        <f t="shared" si="17"/>
        <v>0</v>
      </c>
      <c r="AJ438" s="635"/>
      <c r="AK438" s="266"/>
    </row>
    <row r="439" spans="1:37" s="51" customFormat="1" ht="16.149999999999999" customHeight="1" outlineLevel="1">
      <c r="A439" s="1025">
        <v>56</v>
      </c>
      <c r="B439" s="1025" t="str">
        <f>VLOOKUP(C439,'DS CN MOI UP'!$B$10:$C$347,2,0)</f>
        <v>03422</v>
      </c>
      <c r="C439" s="1028" t="s">
        <v>345</v>
      </c>
      <c r="D439" s="1062"/>
      <c r="E439" s="1062"/>
      <c r="F439" s="1062"/>
      <c r="G439" s="1062"/>
      <c r="H439" s="1062"/>
      <c r="I439" s="1062"/>
      <c r="J439" s="1062"/>
      <c r="K439" s="1062"/>
      <c r="L439" s="1062"/>
      <c r="M439" s="1062"/>
      <c r="N439" s="1062"/>
      <c r="O439" s="1062"/>
      <c r="P439" s="1062"/>
      <c r="Q439" s="1062"/>
      <c r="R439" s="1062"/>
      <c r="S439" s="1062"/>
      <c r="T439" s="1062"/>
      <c r="U439" s="1062"/>
      <c r="V439" s="1062"/>
      <c r="W439" s="1062"/>
      <c r="X439" s="1062"/>
      <c r="Y439" s="1062"/>
      <c r="Z439" s="1062"/>
      <c r="AA439" s="1062"/>
      <c r="AB439" s="1062"/>
      <c r="AC439" s="1062"/>
      <c r="AD439" s="1062"/>
      <c r="AE439" s="1062"/>
      <c r="AF439" s="1062"/>
      <c r="AG439" s="1062"/>
      <c r="AH439" s="1062"/>
      <c r="AI439" s="1069">
        <f t="shared" si="17"/>
        <v>0</v>
      </c>
      <c r="AJ439" s="635"/>
      <c r="AK439" s="266"/>
    </row>
    <row r="440" spans="1:37" s="51" customFormat="1" ht="16.149999999999999" customHeight="1" outlineLevel="1">
      <c r="A440" s="1026" t="s">
        <v>1943</v>
      </c>
      <c r="B440" s="1025" t="e">
        <f>VLOOKUP(C440,'DS CN MOI UP'!$B$10:$C$347,2,0)</f>
        <v>#N/A</v>
      </c>
      <c r="C440" s="1026" t="s">
        <v>346</v>
      </c>
      <c r="D440" s="1039">
        <f>COUNTIF(D441:D447,"X")+COUNTIF(D441:D447,"CN")</f>
        <v>0</v>
      </c>
      <c r="E440" s="1039">
        <f t="shared" ref="E440:AH440" si="18">COUNTIF(E441:E447,"X")+COUNTIF(E441:E447,"CN")</f>
        <v>0</v>
      </c>
      <c r="F440" s="1039">
        <f t="shared" si="18"/>
        <v>0</v>
      </c>
      <c r="G440" s="1039">
        <f t="shared" si="18"/>
        <v>0</v>
      </c>
      <c r="H440" s="1039">
        <f t="shared" si="18"/>
        <v>0</v>
      </c>
      <c r="I440" s="1039">
        <f t="shared" si="18"/>
        <v>0</v>
      </c>
      <c r="J440" s="1039">
        <f t="shared" si="18"/>
        <v>0</v>
      </c>
      <c r="K440" s="1039">
        <f t="shared" si="18"/>
        <v>0</v>
      </c>
      <c r="L440" s="1039">
        <f t="shared" si="18"/>
        <v>0</v>
      </c>
      <c r="M440" s="1039">
        <f t="shared" si="18"/>
        <v>0</v>
      </c>
      <c r="N440" s="1039">
        <f t="shared" si="18"/>
        <v>0</v>
      </c>
      <c r="O440" s="1039">
        <f t="shared" si="18"/>
        <v>0</v>
      </c>
      <c r="P440" s="1039">
        <f t="shared" si="18"/>
        <v>0</v>
      </c>
      <c r="Q440" s="1039">
        <f t="shared" si="18"/>
        <v>0</v>
      </c>
      <c r="R440" s="1039">
        <f t="shared" si="18"/>
        <v>0</v>
      </c>
      <c r="S440" s="1039">
        <f t="shared" si="18"/>
        <v>0</v>
      </c>
      <c r="T440" s="1039">
        <f t="shared" si="18"/>
        <v>0</v>
      </c>
      <c r="U440" s="1039">
        <f t="shared" si="18"/>
        <v>0</v>
      </c>
      <c r="V440" s="1039">
        <f t="shared" si="18"/>
        <v>0</v>
      </c>
      <c r="W440" s="1039">
        <f t="shared" si="18"/>
        <v>0</v>
      </c>
      <c r="X440" s="1039">
        <f t="shared" si="18"/>
        <v>0</v>
      </c>
      <c r="Y440" s="1039">
        <f t="shared" si="18"/>
        <v>0</v>
      </c>
      <c r="Z440" s="1039">
        <f t="shared" si="18"/>
        <v>0</v>
      </c>
      <c r="AA440" s="1039">
        <f t="shared" si="18"/>
        <v>0</v>
      </c>
      <c r="AB440" s="1039">
        <f t="shared" si="18"/>
        <v>0</v>
      </c>
      <c r="AC440" s="1039">
        <f t="shared" si="18"/>
        <v>0</v>
      </c>
      <c r="AD440" s="1039">
        <f t="shared" si="18"/>
        <v>0</v>
      </c>
      <c r="AE440" s="1039">
        <f t="shared" si="18"/>
        <v>0</v>
      </c>
      <c r="AF440" s="1039">
        <f t="shared" si="18"/>
        <v>0</v>
      </c>
      <c r="AG440" s="1039">
        <f t="shared" si="18"/>
        <v>0</v>
      </c>
      <c r="AH440" s="1039">
        <f t="shared" si="18"/>
        <v>0</v>
      </c>
      <c r="AI440" s="1036">
        <f>SUM(AI441:AI447)</f>
        <v>0</v>
      </c>
      <c r="AJ440" s="1036"/>
    </row>
    <row r="441" spans="1:37" s="51" customFormat="1" ht="16.149999999999999" customHeight="1" outlineLevel="1">
      <c r="A441" s="1025">
        <v>1</v>
      </c>
      <c r="B441" s="1025" t="str">
        <f>VLOOKUP(C441,'DS CN MOI UP'!$B$10:$C$347,2,0)</f>
        <v>02658</v>
      </c>
      <c r="C441" s="1028" t="s">
        <v>278</v>
      </c>
      <c r="D441" s="1062"/>
      <c r="E441" s="1062"/>
      <c r="F441" s="1062"/>
      <c r="G441" s="1062"/>
      <c r="H441" s="1062"/>
      <c r="I441" s="1062"/>
      <c r="J441" s="1062"/>
      <c r="K441" s="1062"/>
      <c r="L441" s="1062"/>
      <c r="M441" s="1062"/>
      <c r="N441" s="1062"/>
      <c r="O441" s="1062"/>
      <c r="P441" s="1062"/>
      <c r="Q441" s="1062"/>
      <c r="R441" s="1062"/>
      <c r="S441" s="1062"/>
      <c r="T441" s="1062"/>
      <c r="U441" s="1062"/>
      <c r="V441" s="1062"/>
      <c r="W441" s="1062"/>
      <c r="X441" s="1062"/>
      <c r="Y441" s="1062"/>
      <c r="Z441" s="1062"/>
      <c r="AA441" s="1062"/>
      <c r="AB441" s="1062"/>
      <c r="AC441" s="1025"/>
      <c r="AD441" s="1025"/>
      <c r="AE441" s="1062"/>
      <c r="AF441" s="1062"/>
      <c r="AG441" s="1062"/>
      <c r="AH441" s="1062"/>
      <c r="AI441" s="1069">
        <f>COUNTIF(D441:AH441,"X")</f>
        <v>0</v>
      </c>
      <c r="AJ441" s="635"/>
    </row>
    <row r="442" spans="1:37" s="51" customFormat="1" ht="16.149999999999999" customHeight="1" outlineLevel="1">
      <c r="A442" s="1025">
        <v>2</v>
      </c>
      <c r="B442" s="1025" t="str">
        <f>VLOOKUP(C442,'DS CN MOI UP'!$B$10:$C$347,2,0)</f>
        <v>02660</v>
      </c>
      <c r="C442" s="1028" t="s">
        <v>281</v>
      </c>
      <c r="D442" s="1062"/>
      <c r="E442" s="1062"/>
      <c r="F442" s="1062"/>
      <c r="G442" s="1062"/>
      <c r="H442" s="1062"/>
      <c r="I442" s="1062"/>
      <c r="J442" s="1062"/>
      <c r="K442" s="1062"/>
      <c r="L442" s="1062"/>
      <c r="M442" s="1062"/>
      <c r="N442" s="1062"/>
      <c r="O442" s="1062"/>
      <c r="P442" s="1062"/>
      <c r="Q442" s="1062"/>
      <c r="R442" s="1062"/>
      <c r="S442" s="1062"/>
      <c r="T442" s="1062"/>
      <c r="U442" s="1062"/>
      <c r="V442" s="1062"/>
      <c r="W442" s="1062"/>
      <c r="X442" s="1062"/>
      <c r="Y442" s="1062"/>
      <c r="Z442" s="1062"/>
      <c r="AA442" s="1062"/>
      <c r="AB442" s="1062"/>
      <c r="AC442" s="1025"/>
      <c r="AD442" s="1025"/>
      <c r="AE442" s="1025"/>
      <c r="AF442" s="1062"/>
      <c r="AG442" s="1062"/>
      <c r="AH442" s="1062"/>
      <c r="AI442" s="1069">
        <f t="shared" ref="AI442:AI447" si="19">COUNTIF(D442:AH442,"X")</f>
        <v>0</v>
      </c>
      <c r="AJ442" s="635"/>
    </row>
    <row r="443" spans="1:37" s="51" customFormat="1" ht="16.149999999999999" customHeight="1" outlineLevel="1">
      <c r="A443" s="1025">
        <v>3</v>
      </c>
      <c r="B443" s="1025" t="str">
        <f>VLOOKUP(C443,'DS CN MOI UP'!$B$10:$C$347,2,0)</f>
        <v>02657</v>
      </c>
      <c r="C443" s="1028" t="s">
        <v>283</v>
      </c>
      <c r="D443" s="1062"/>
      <c r="E443" s="1062"/>
      <c r="F443" s="1062"/>
      <c r="G443" s="1062"/>
      <c r="H443" s="1062"/>
      <c r="I443" s="1062"/>
      <c r="J443" s="1062"/>
      <c r="K443" s="1062"/>
      <c r="L443" s="1062"/>
      <c r="M443" s="1062"/>
      <c r="N443" s="1062"/>
      <c r="O443" s="1062"/>
      <c r="P443" s="1062"/>
      <c r="Q443" s="1062"/>
      <c r="R443" s="1062"/>
      <c r="S443" s="1062"/>
      <c r="T443" s="1062"/>
      <c r="U443" s="1062"/>
      <c r="V443" s="1062"/>
      <c r="W443" s="1062"/>
      <c r="X443" s="1062"/>
      <c r="Y443" s="1062"/>
      <c r="Z443" s="1062"/>
      <c r="AA443" s="1062"/>
      <c r="AB443" s="1062"/>
      <c r="AC443" s="1025"/>
      <c r="AD443" s="1025"/>
      <c r="AE443" s="1062"/>
      <c r="AF443" s="1062"/>
      <c r="AG443" s="1062"/>
      <c r="AH443" s="1062"/>
      <c r="AI443" s="1069">
        <f t="shared" si="19"/>
        <v>0</v>
      </c>
      <c r="AJ443" s="635"/>
    </row>
    <row r="444" spans="1:37" s="1022" customFormat="1" ht="16.149999999999999" customHeight="1" outlineLevel="1">
      <c r="A444" s="1025">
        <v>4</v>
      </c>
      <c r="B444" s="1025" t="str">
        <f>VLOOKUP(C444,'DS CN MOI UP'!$B$10:$C$347,2,0)</f>
        <v>02659</v>
      </c>
      <c r="C444" s="1028" t="s">
        <v>280</v>
      </c>
      <c r="D444" s="1062"/>
      <c r="E444" s="1062"/>
      <c r="F444" s="1062"/>
      <c r="G444" s="1062"/>
      <c r="H444" s="1062"/>
      <c r="I444" s="1062"/>
      <c r="J444" s="1062"/>
      <c r="K444" s="1062"/>
      <c r="L444" s="1062"/>
      <c r="M444" s="1062"/>
      <c r="N444" s="1062"/>
      <c r="O444" s="1062"/>
      <c r="P444" s="1062"/>
      <c r="Q444" s="1062"/>
      <c r="R444" s="1062"/>
      <c r="S444" s="1062"/>
      <c r="T444" s="1062"/>
      <c r="U444" s="1062"/>
      <c r="V444" s="1062"/>
      <c r="W444" s="1062"/>
      <c r="X444" s="1062"/>
      <c r="Y444" s="1062"/>
      <c r="Z444" s="1062"/>
      <c r="AA444" s="1062"/>
      <c r="AB444" s="1062"/>
      <c r="AC444" s="1025"/>
      <c r="AD444" s="1025"/>
      <c r="AE444" s="1062"/>
      <c r="AF444" s="1062"/>
      <c r="AG444" s="1062"/>
      <c r="AH444" s="1062"/>
      <c r="AI444" s="1069">
        <f t="shared" si="19"/>
        <v>0</v>
      </c>
      <c r="AJ444" s="635"/>
    </row>
    <row r="445" spans="1:37" s="1022" customFormat="1" ht="17.25" customHeight="1">
      <c r="A445" s="1025">
        <v>5</v>
      </c>
      <c r="B445" s="1025" t="str">
        <f>VLOOKUP(C445,'DS CN MOI UP'!$B$10:$C$347,2,0)</f>
        <v>02662</v>
      </c>
      <c r="C445" s="1028" t="s">
        <v>282</v>
      </c>
      <c r="D445" s="1062"/>
      <c r="E445" s="1062"/>
      <c r="F445" s="1062"/>
      <c r="G445" s="1062"/>
      <c r="H445" s="1062"/>
      <c r="I445" s="1062"/>
      <c r="J445" s="1062"/>
      <c r="K445" s="1062"/>
      <c r="L445" s="1062"/>
      <c r="M445" s="1062"/>
      <c r="N445" s="1062"/>
      <c r="O445" s="1062"/>
      <c r="P445" s="1062"/>
      <c r="Q445" s="1062"/>
      <c r="R445" s="1062"/>
      <c r="S445" s="1062"/>
      <c r="T445" s="1062"/>
      <c r="U445" s="1062"/>
      <c r="V445" s="1062"/>
      <c r="W445" s="1062"/>
      <c r="X445" s="1062"/>
      <c r="Y445" s="1062"/>
      <c r="Z445" s="1062"/>
      <c r="AA445" s="1062"/>
      <c r="AB445" s="1062"/>
      <c r="AC445" s="1025"/>
      <c r="AD445" s="1025"/>
      <c r="AE445" s="1062"/>
      <c r="AF445" s="1062"/>
      <c r="AG445" s="1062"/>
      <c r="AH445" s="1062"/>
      <c r="AI445" s="1069">
        <f t="shared" si="19"/>
        <v>0</v>
      </c>
      <c r="AJ445" s="635"/>
    </row>
    <row r="446" spans="1:37" s="1022" customFormat="1" ht="18.75" customHeight="1">
      <c r="A446" s="1025">
        <v>6</v>
      </c>
      <c r="B446" s="1025" t="str">
        <f>VLOOKUP(C446,'DS CN MOI UP'!$B$10:$C$347,2,0)</f>
        <v>02661</v>
      </c>
      <c r="C446" s="1028" t="s">
        <v>284</v>
      </c>
      <c r="D446" s="1062"/>
      <c r="E446" s="1062"/>
      <c r="F446" s="1062"/>
      <c r="G446" s="1062"/>
      <c r="H446" s="1062"/>
      <c r="I446" s="1062"/>
      <c r="J446" s="1062"/>
      <c r="K446" s="1062"/>
      <c r="L446" s="1062"/>
      <c r="M446" s="1062"/>
      <c r="N446" s="1062"/>
      <c r="O446" s="1062"/>
      <c r="P446" s="1062"/>
      <c r="Q446" s="1062"/>
      <c r="R446" s="1062"/>
      <c r="S446" s="1062"/>
      <c r="T446" s="1062"/>
      <c r="U446" s="1062"/>
      <c r="V446" s="1062"/>
      <c r="W446" s="1062"/>
      <c r="X446" s="1062"/>
      <c r="Y446" s="1062"/>
      <c r="Z446" s="1062"/>
      <c r="AA446" s="1062"/>
      <c r="AB446" s="1062"/>
      <c r="AC446" s="1025"/>
      <c r="AD446" s="1025"/>
      <c r="AE446" s="1025"/>
      <c r="AF446" s="1062"/>
      <c r="AG446" s="1062"/>
      <c r="AH446" s="1062"/>
      <c r="AI446" s="1069">
        <f t="shared" si="19"/>
        <v>0</v>
      </c>
      <c r="AJ446" s="635"/>
    </row>
    <row r="447" spans="1:37" s="51" customFormat="1" ht="12">
      <c r="A447" s="1025">
        <v>7</v>
      </c>
      <c r="B447" s="1025" t="str">
        <f>VLOOKUP(C447,'DS CN MOI UP'!$B$10:$C$347,2,0)</f>
        <v>02705</v>
      </c>
      <c r="C447" s="1028" t="s">
        <v>279</v>
      </c>
      <c r="D447" s="1062"/>
      <c r="E447" s="1062"/>
      <c r="F447" s="1062"/>
      <c r="G447" s="1062"/>
      <c r="H447" s="1062"/>
      <c r="I447" s="1062"/>
      <c r="J447" s="1062"/>
      <c r="K447" s="1062"/>
      <c r="L447" s="1062"/>
      <c r="M447" s="1062"/>
      <c r="N447" s="1062"/>
      <c r="O447" s="1062"/>
      <c r="P447" s="1062"/>
      <c r="Q447" s="1062"/>
      <c r="R447" s="1062"/>
      <c r="S447" s="1062"/>
      <c r="T447" s="1062"/>
      <c r="U447" s="1062"/>
      <c r="V447" s="1062"/>
      <c r="W447" s="1062"/>
      <c r="X447" s="1062"/>
      <c r="Y447" s="1062"/>
      <c r="Z447" s="1062"/>
      <c r="AA447" s="1062"/>
      <c r="AB447" s="1062"/>
      <c r="AC447" s="1025"/>
      <c r="AD447" s="1025"/>
      <c r="AE447" s="1025"/>
      <c r="AF447" s="1062"/>
      <c r="AG447" s="1062"/>
      <c r="AH447" s="1062"/>
      <c r="AI447" s="1069">
        <f t="shared" si="19"/>
        <v>0</v>
      </c>
      <c r="AJ447" s="635"/>
    </row>
    <row r="448" spans="1:37" s="51" customFormat="1" ht="16.899999999999999" customHeight="1">
      <c r="A448" s="2416" t="s">
        <v>525</v>
      </c>
      <c r="B448" s="2416"/>
      <c r="C448" s="2416"/>
      <c r="D448" s="1063">
        <f t="shared" ref="D448:AI448" si="20">D309+D224+D109+D53+D9+D440+D382+D216+D204</f>
        <v>0</v>
      </c>
      <c r="E448" s="1063">
        <f t="shared" si="20"/>
        <v>29</v>
      </c>
      <c r="F448" s="1063">
        <f t="shared" si="20"/>
        <v>34</v>
      </c>
      <c r="G448" s="1063">
        <f t="shared" si="20"/>
        <v>51</v>
      </c>
      <c r="H448" s="1063">
        <f t="shared" si="20"/>
        <v>15</v>
      </c>
      <c r="I448" s="1063">
        <f t="shared" si="20"/>
        <v>16</v>
      </c>
      <c r="J448" s="1063">
        <f t="shared" si="20"/>
        <v>12</v>
      </c>
      <c r="K448" s="1063">
        <f t="shared" si="20"/>
        <v>21</v>
      </c>
      <c r="L448" s="1063">
        <f t="shared" si="20"/>
        <v>0</v>
      </c>
      <c r="M448" s="1063">
        <f t="shared" si="20"/>
        <v>0</v>
      </c>
      <c r="N448" s="1063">
        <f t="shared" si="20"/>
        <v>0</v>
      </c>
      <c r="O448" s="1063">
        <f t="shared" si="20"/>
        <v>21</v>
      </c>
      <c r="P448" s="1063">
        <f t="shared" si="20"/>
        <v>8</v>
      </c>
      <c r="Q448" s="1063">
        <f t="shared" si="20"/>
        <v>86</v>
      </c>
      <c r="R448" s="1063">
        <f t="shared" si="20"/>
        <v>96</v>
      </c>
      <c r="S448" s="1063">
        <f t="shared" si="20"/>
        <v>52</v>
      </c>
      <c r="T448" s="1063">
        <f t="shared" si="20"/>
        <v>60</v>
      </c>
      <c r="U448" s="1063">
        <f t="shared" si="20"/>
        <v>95</v>
      </c>
      <c r="V448" s="1063">
        <f t="shared" si="20"/>
        <v>28</v>
      </c>
      <c r="W448" s="1063">
        <f t="shared" si="20"/>
        <v>64</v>
      </c>
      <c r="X448" s="1063">
        <f t="shared" si="20"/>
        <v>72</v>
      </c>
      <c r="Y448" s="1063">
        <f t="shared" si="20"/>
        <v>0</v>
      </c>
      <c r="Z448" s="1063">
        <f t="shared" si="20"/>
        <v>0</v>
      </c>
      <c r="AA448" s="1063">
        <f t="shared" si="20"/>
        <v>29</v>
      </c>
      <c r="AB448" s="1063">
        <f t="shared" si="20"/>
        <v>0</v>
      </c>
      <c r="AC448" s="1063">
        <f t="shared" si="20"/>
        <v>0</v>
      </c>
      <c r="AD448" s="1063">
        <f t="shared" si="20"/>
        <v>0</v>
      </c>
      <c r="AE448" s="1063">
        <f t="shared" si="20"/>
        <v>0</v>
      </c>
      <c r="AF448" s="1063">
        <f t="shared" si="20"/>
        <v>67</v>
      </c>
      <c r="AG448" s="1063">
        <f t="shared" si="20"/>
        <v>75</v>
      </c>
      <c r="AH448" s="1063">
        <f t="shared" si="20"/>
        <v>0</v>
      </c>
      <c r="AI448" s="1063">
        <f t="shared" si="20"/>
        <v>931</v>
      </c>
      <c r="AJ448" s="1063"/>
    </row>
    <row r="449" spans="1:44" ht="15.75">
      <c r="A449" s="1044"/>
      <c r="B449" s="1044"/>
      <c r="C449" s="1045"/>
      <c r="D449" s="1046"/>
      <c r="E449" s="1046"/>
      <c r="F449" s="1047"/>
      <c r="G449" s="1047"/>
      <c r="H449" s="1047"/>
      <c r="I449" s="1053"/>
      <c r="J449" s="1047"/>
      <c r="K449" s="1047"/>
      <c r="L449" s="1047"/>
      <c r="M449" s="1054"/>
      <c r="N449" s="1054"/>
      <c r="O449" s="1054"/>
      <c r="P449" s="1054"/>
      <c r="Q449" s="1047"/>
      <c r="R449" s="1047"/>
      <c r="S449" s="1047"/>
      <c r="T449" s="1047"/>
      <c r="U449" s="1047"/>
      <c r="V449" s="1056"/>
      <c r="W449" s="1056"/>
      <c r="X449" s="2412"/>
      <c r="Y449" s="2412"/>
      <c r="Z449" s="2412"/>
      <c r="AA449" s="2412"/>
      <c r="AB449" s="2412"/>
      <c r="AC449" s="2412"/>
      <c r="AD449" s="2412"/>
      <c r="AE449" s="2412"/>
      <c r="AF449" s="2412"/>
      <c r="AG449" s="2412"/>
      <c r="AH449" s="2412"/>
      <c r="AI449" s="2412"/>
      <c r="AJ449" s="2412"/>
    </row>
    <row r="450" spans="1:44" ht="22.9" customHeight="1">
      <c r="A450" s="1044"/>
      <c r="B450" s="1044"/>
      <c r="C450" s="1044"/>
      <c r="D450" s="1045"/>
      <c r="E450" s="1046"/>
      <c r="F450" s="1046"/>
      <c r="G450" s="1047"/>
      <c r="H450" s="1047"/>
      <c r="I450" s="1047"/>
      <c r="J450" s="1053"/>
      <c r="K450" s="1047"/>
      <c r="L450" s="1047"/>
      <c r="M450" s="1047"/>
      <c r="N450" s="1054"/>
      <c r="O450" s="1054"/>
      <c r="P450" s="1054"/>
      <c r="Q450" s="1054"/>
      <c r="R450" s="1047"/>
      <c r="S450" s="1047"/>
      <c r="T450" s="1047"/>
      <c r="U450" s="1047"/>
      <c r="V450" s="1047"/>
      <c r="W450" s="1056"/>
      <c r="X450" s="1056"/>
      <c r="Z450" s="1056"/>
      <c r="AA450" s="1056"/>
      <c r="AB450" s="1056" t="s">
        <v>1944</v>
      </c>
      <c r="AI450" s="1056"/>
      <c r="AK450" s="1056"/>
      <c r="AL450" s="1056"/>
      <c r="AM450" s="1056"/>
      <c r="AN450" s="1056"/>
      <c r="AO450" s="1056"/>
      <c r="AP450" s="1056"/>
      <c r="AR450" s="1061">
        <f>+AM441-AR441</f>
        <v>0</v>
      </c>
    </row>
    <row r="451" spans="1:44" s="410" customFormat="1" ht="12.75">
      <c r="B451" s="1048"/>
      <c r="C451" s="1048" t="s">
        <v>614</v>
      </c>
      <c r="D451" s="1048"/>
      <c r="E451" s="1048"/>
      <c r="H451" s="410" t="s">
        <v>1945</v>
      </c>
      <c r="P451" s="1048" t="s">
        <v>1946</v>
      </c>
      <c r="R451" s="1048"/>
      <c r="S451" s="1048"/>
      <c r="T451" s="1048"/>
      <c r="U451" s="1048"/>
      <c r="X451" s="1048" t="s">
        <v>1947</v>
      </c>
      <c r="AA451" s="1048"/>
      <c r="AE451" s="410" t="s">
        <v>1948</v>
      </c>
    </row>
    <row r="452" spans="1:44" s="51" customFormat="1" ht="11.25">
      <c r="A452" s="1051"/>
      <c r="B452" s="1051"/>
      <c r="C452" s="1051"/>
      <c r="D452" s="1051"/>
      <c r="E452" s="1052"/>
      <c r="F452" s="1052"/>
      <c r="G452" s="1052"/>
      <c r="H452" s="1052"/>
      <c r="I452" s="1052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52"/>
      <c r="AF452" s="1052"/>
      <c r="AG452" s="1052"/>
      <c r="AH452" s="1052"/>
      <c r="AI452" s="1052"/>
      <c r="AJ452" s="1052"/>
      <c r="AK452" s="1052"/>
      <c r="AL452" s="1051"/>
      <c r="AM452" s="1051"/>
    </row>
    <row r="453" spans="1:44">
      <c r="A453" s="1044"/>
      <c r="B453" s="1044"/>
      <c r="C453" s="1044"/>
      <c r="D453" s="1047"/>
      <c r="E453" s="1047"/>
      <c r="F453" s="1047"/>
      <c r="G453" s="1047"/>
      <c r="H453" s="1047"/>
      <c r="I453" s="1031"/>
      <c r="J453" s="1047"/>
      <c r="K453" s="1047"/>
      <c r="L453" s="1047"/>
      <c r="M453" s="1047"/>
      <c r="N453" s="1047"/>
      <c r="O453" s="1047"/>
      <c r="P453" s="1053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58"/>
      <c r="AD453" s="1058"/>
      <c r="AE453" s="1058"/>
      <c r="AF453" s="1058"/>
      <c r="AG453" s="1058"/>
      <c r="AH453" s="1058"/>
      <c r="AI453" s="1055"/>
      <c r="AJ453" s="1055"/>
    </row>
    <row r="454" spans="1:44" ht="18" customHeight="1">
      <c r="A454" s="1044"/>
      <c r="B454" s="1044"/>
      <c r="C454" s="1044"/>
      <c r="D454" s="1047"/>
      <c r="E454" s="1047"/>
      <c r="F454" s="1047"/>
      <c r="G454" s="1047"/>
      <c r="H454" s="1047"/>
      <c r="I454" s="1031"/>
      <c r="J454" s="1047"/>
      <c r="K454" s="1047"/>
      <c r="L454" s="1047"/>
      <c r="M454" s="1047"/>
      <c r="N454" s="1047"/>
      <c r="O454" s="1047"/>
      <c r="P454" s="1053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58"/>
      <c r="AD454" s="1058"/>
      <c r="AE454" s="1058"/>
      <c r="AF454" s="1058"/>
      <c r="AG454" s="1058"/>
      <c r="AH454" s="1058"/>
      <c r="AI454" s="1055"/>
      <c r="AJ454" s="1055"/>
    </row>
    <row r="455" spans="1:44" s="51" customFormat="1" ht="12.75">
      <c r="A455" s="1051"/>
      <c r="B455" s="1051"/>
      <c r="C455" s="1051"/>
      <c r="D455" s="1047"/>
      <c r="E455" s="1047"/>
      <c r="F455" s="1047"/>
      <c r="G455" s="1047"/>
      <c r="H455" s="1047"/>
      <c r="I455" s="1047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7"/>
      <c r="AF455" s="1047"/>
      <c r="AG455" s="1047"/>
      <c r="AH455" s="1047"/>
      <c r="AI455" s="1047"/>
      <c r="AJ455" s="1044"/>
    </row>
    <row r="456" spans="1:44" s="51" customFormat="1" ht="11.25">
      <c r="A456" s="1051"/>
      <c r="B456" s="1051"/>
      <c r="C456" s="1051"/>
      <c r="D456" s="1052"/>
      <c r="E456" s="1052"/>
      <c r="F456" s="1052"/>
      <c r="G456" s="1052"/>
      <c r="H456" s="1052"/>
      <c r="I456" s="1052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52"/>
      <c r="AF456" s="1052"/>
      <c r="AG456" s="1052"/>
      <c r="AH456" s="1052"/>
      <c r="AI456" s="1052"/>
      <c r="AJ456" s="1051"/>
    </row>
    <row r="457" spans="1:44" s="51" customFormat="1" ht="11.25">
      <c r="A457" s="1051"/>
      <c r="B457" s="1051"/>
      <c r="C457" s="1051"/>
      <c r="D457" s="1052"/>
      <c r="E457" s="1052"/>
      <c r="F457" s="1052"/>
      <c r="G457" s="1052"/>
      <c r="H457" s="1052"/>
      <c r="I457" s="1052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52"/>
      <c r="AF457" s="1052"/>
      <c r="AG457" s="1052"/>
      <c r="AH457" s="1052"/>
      <c r="AI457" s="1052"/>
      <c r="AJ457" s="1051"/>
    </row>
    <row r="458" spans="1:44" s="51" customFormat="1" ht="11.25">
      <c r="A458" s="1051"/>
      <c r="B458" s="1051"/>
      <c r="C458" s="1051"/>
      <c r="D458" s="1052"/>
      <c r="E458" s="1052"/>
      <c r="F458" s="1052"/>
      <c r="G458" s="1052"/>
      <c r="H458" s="1052"/>
      <c r="I458" s="1052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52"/>
      <c r="AF458" s="1052"/>
      <c r="AG458" s="1052"/>
      <c r="AH458" s="1052"/>
      <c r="AI458" s="1052"/>
      <c r="AJ458" s="1051"/>
    </row>
    <row r="459" spans="1:44" s="51" customFormat="1" ht="11.25">
      <c r="A459" s="1051"/>
      <c r="B459" s="1051"/>
      <c r="C459" s="1051"/>
      <c r="D459" s="1052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51"/>
    </row>
    <row r="460" spans="1:44" s="51" customFormat="1" ht="11.25">
      <c r="A460" s="1051"/>
      <c r="B460" s="1051"/>
      <c r="C460" s="1051"/>
      <c r="D460" s="1052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</row>
    <row r="461" spans="1:44" s="51" customFormat="1" ht="11.25">
      <c r="A461" s="1051"/>
      <c r="B461" s="1051"/>
      <c r="C461" s="1051"/>
      <c r="D461" s="1052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</row>
    <row r="462" spans="1:44" s="51" customFormat="1" ht="11.25">
      <c r="A462" s="1051"/>
      <c r="B462" s="1051"/>
      <c r="C462" s="1051"/>
      <c r="D462" s="1052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</row>
    <row r="463" spans="1:44" s="51" customFormat="1" ht="11.25">
      <c r="A463" s="1051"/>
      <c r="B463" s="1051"/>
      <c r="C463" s="1051"/>
      <c r="D463" s="1052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</row>
    <row r="464" spans="1:44" s="51" customFormat="1" ht="11.25">
      <c r="A464" s="1051"/>
      <c r="B464" s="1051"/>
      <c r="C464" s="1051"/>
      <c r="D464" s="1052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</row>
    <row r="465" spans="1:36" s="51" customFormat="1" ht="11.25">
      <c r="A465" s="1051"/>
      <c r="B465" s="1051"/>
      <c r="C465" s="1051"/>
      <c r="D465" s="1052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</row>
    <row r="466" spans="1:36" s="51" customFormat="1" ht="11.25">
      <c r="A466" s="1051"/>
      <c r="B466" s="1051"/>
      <c r="C466" s="1051"/>
      <c r="D466" s="1051"/>
      <c r="E466" s="1051"/>
      <c r="F466" s="1051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</row>
    <row r="467" spans="1:36" s="51" customFormat="1" ht="11.25">
      <c r="A467" s="1051"/>
      <c r="B467" s="1051"/>
      <c r="C467" s="1051"/>
      <c r="D467" s="1051"/>
      <c r="E467" s="1051"/>
      <c r="F467" s="1051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</row>
    <row r="468" spans="1:36" s="51" customFormat="1" ht="11.25">
      <c r="A468" s="1051"/>
      <c r="B468" s="1051"/>
      <c r="C468" s="1051"/>
      <c r="D468" s="1051"/>
      <c r="E468" s="1051"/>
      <c r="F468" s="1051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</row>
    <row r="469" spans="1:36" s="51" customFormat="1" ht="11.25">
      <c r="A469" s="1051"/>
      <c r="B469" s="1051"/>
      <c r="C469" s="1051"/>
      <c r="D469" s="1051"/>
      <c r="E469" s="1051"/>
      <c r="F469" s="1051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</row>
    <row r="470" spans="1:36" s="51" customFormat="1" ht="11.25">
      <c r="A470" s="1051"/>
      <c r="B470" s="1051"/>
      <c r="C470" s="1051"/>
      <c r="D470" s="1051"/>
      <c r="E470" s="1051"/>
      <c r="F470" s="1051"/>
      <c r="G470" s="1052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</row>
    <row r="471" spans="1:36" s="51" customFormat="1" ht="11.25">
      <c r="A471" s="1051"/>
      <c r="B471" s="1051"/>
      <c r="C471" s="1051"/>
      <c r="D471" s="1051"/>
      <c r="E471" s="1051"/>
      <c r="F471" s="1051"/>
      <c r="G471" s="1052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</row>
    <row r="472" spans="1:36" s="51" customFormat="1" ht="11.25">
      <c r="A472" s="1051"/>
      <c r="B472" s="1051"/>
      <c r="C472" s="1051"/>
      <c r="D472" s="1051"/>
      <c r="E472" s="1051"/>
      <c r="F472" s="1051"/>
      <c r="G472" s="1052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</row>
    <row r="473" spans="1:36" s="51" customFormat="1" ht="11.25">
      <c r="A473" s="1051"/>
      <c r="B473" s="1051"/>
      <c r="C473" s="1051"/>
      <c r="D473" s="1051"/>
      <c r="E473" s="1051"/>
      <c r="F473" s="1051"/>
      <c r="G473" s="1052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</row>
    <row r="474" spans="1:36" s="51" customFormat="1" ht="11.25">
      <c r="A474" s="1051"/>
      <c r="B474" s="1051"/>
      <c r="C474" s="1051"/>
      <c r="D474" s="1051"/>
      <c r="E474" s="1051"/>
      <c r="F474" s="1051"/>
      <c r="G474" s="1052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</row>
    <row r="475" spans="1:36" s="51" customFormat="1" ht="11.25">
      <c r="A475" s="1051"/>
      <c r="B475" s="1051"/>
      <c r="C475" s="1051"/>
      <c r="D475" s="1051"/>
      <c r="E475" s="1051"/>
      <c r="F475" s="1051"/>
      <c r="G475" s="1052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</row>
    <row r="476" spans="1:36" s="51" customFormat="1" ht="11.25">
      <c r="A476" s="1051"/>
      <c r="B476" s="1051"/>
      <c r="C476" s="1051"/>
      <c r="D476" s="1051"/>
      <c r="E476" s="1051"/>
      <c r="F476" s="1051"/>
      <c r="G476" s="1052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</row>
    <row r="477" spans="1:36" s="51" customFormat="1" ht="11.25">
      <c r="A477" s="1051"/>
      <c r="B477" s="1051"/>
      <c r="C477" s="1051"/>
      <c r="D477" s="1051"/>
      <c r="E477" s="1051"/>
      <c r="F477" s="1051"/>
      <c r="G477" s="1052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</row>
    <row r="478" spans="1:36" s="51" customFormat="1" ht="11.25">
      <c r="A478" s="1051"/>
      <c r="B478" s="1051"/>
      <c r="C478" s="1051"/>
      <c r="D478" s="1051"/>
      <c r="E478" s="1051"/>
      <c r="F478" s="1051"/>
      <c r="G478" s="1052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</row>
    <row r="479" spans="1:36" s="51" customFormat="1" ht="11.25">
      <c r="A479" s="1051"/>
      <c r="B479" s="1051"/>
      <c r="C479" s="1051"/>
      <c r="D479" s="1051"/>
      <c r="E479" s="1051"/>
      <c r="F479" s="1051"/>
      <c r="G479" s="1052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</row>
    <row r="480" spans="1:36" s="51" customFormat="1" ht="11.25">
      <c r="A480" s="1051"/>
      <c r="B480" s="1051"/>
      <c r="C480" s="1051"/>
      <c r="D480" s="1051"/>
      <c r="E480" s="1051"/>
      <c r="F480" s="1051"/>
      <c r="G480" s="1052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</row>
    <row r="481" spans="1:36" s="51" customFormat="1" ht="11.25">
      <c r="A481" s="1051"/>
      <c r="B481" s="1051"/>
      <c r="C481" s="1051"/>
      <c r="D481" s="1051"/>
      <c r="E481" s="1051"/>
      <c r="F481" s="1051"/>
      <c r="G481" s="1052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</row>
    <row r="482" spans="1:36" s="51" customFormat="1" ht="11.25">
      <c r="A482" s="1051"/>
      <c r="B482" s="1051"/>
      <c r="C482" s="1051"/>
      <c r="D482" s="1051"/>
      <c r="E482" s="1051"/>
      <c r="F482" s="1051"/>
      <c r="G482" s="1052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</row>
    <row r="483" spans="1:36" s="51" customFormat="1" ht="11.25">
      <c r="A483" s="1051"/>
      <c r="B483" s="1051"/>
      <c r="C483" s="1051"/>
      <c r="D483" s="1051"/>
      <c r="E483" s="1051"/>
      <c r="F483" s="1051"/>
      <c r="G483" s="1052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</row>
    <row r="484" spans="1:36" s="51" customFormat="1" ht="11.25">
      <c r="A484" s="1051"/>
      <c r="B484" s="1051"/>
      <c r="C484" s="1051"/>
      <c r="D484" s="1051"/>
      <c r="E484" s="1051"/>
      <c r="F484" s="1051"/>
      <c r="G484" s="1052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</row>
    <row r="485" spans="1:36" s="51" customFormat="1" ht="11.25">
      <c r="A485" s="1051"/>
      <c r="B485" s="1051"/>
      <c r="C485" s="1051"/>
      <c r="D485" s="1051"/>
      <c r="E485" s="1051"/>
      <c r="F485" s="1051"/>
      <c r="G485" s="1052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</row>
    <row r="486" spans="1:36" s="51" customFormat="1" ht="11.25">
      <c r="A486" s="1051"/>
      <c r="B486" s="1051"/>
      <c r="C486" s="1051"/>
      <c r="D486" s="1051"/>
      <c r="E486" s="1051"/>
      <c r="F486" s="1051"/>
      <c r="G486" s="1052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</row>
    <row r="487" spans="1:36" s="51" customFormat="1" ht="11.25">
      <c r="A487" s="1051"/>
      <c r="B487" s="1051"/>
      <c r="C487" s="1051"/>
      <c r="D487" s="1051"/>
      <c r="E487" s="1051"/>
      <c r="F487" s="1051"/>
      <c r="G487" s="1052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</row>
    <row r="488" spans="1:36" s="51" customFormat="1" ht="11.25">
      <c r="A488" s="1051"/>
      <c r="B488" s="1051"/>
      <c r="C488" s="1051"/>
      <c r="D488" s="1051"/>
      <c r="E488" s="1051"/>
      <c r="F488" s="1051"/>
      <c r="G488" s="1052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</row>
    <row r="489" spans="1:36" s="51" customFormat="1" ht="11.25">
      <c r="A489" s="1051"/>
      <c r="B489" s="1051"/>
      <c r="C489" s="1051"/>
      <c r="D489" s="1051"/>
      <c r="E489" s="1051"/>
      <c r="F489" s="1051"/>
      <c r="G489" s="1052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</row>
    <row r="490" spans="1:36" s="51" customFormat="1" ht="11.25">
      <c r="A490" s="1051"/>
      <c r="B490" s="1051"/>
      <c r="C490" s="1051"/>
      <c r="D490" s="1051"/>
      <c r="E490" s="1051"/>
      <c r="F490" s="1051"/>
      <c r="G490" s="1052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</row>
    <row r="491" spans="1:36" s="51" customFormat="1" ht="11.25">
      <c r="A491" s="1051"/>
      <c r="B491" s="1051"/>
      <c r="C491" s="1051"/>
      <c r="D491" s="1051"/>
      <c r="E491" s="1051"/>
      <c r="F491" s="1051"/>
      <c r="G491" s="1052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</row>
    <row r="492" spans="1:36" s="51" customFormat="1" ht="11.25">
      <c r="A492" s="1051"/>
      <c r="B492" s="1051"/>
      <c r="C492" s="1051"/>
      <c r="D492" s="1051"/>
      <c r="E492" s="1051"/>
      <c r="F492" s="1051"/>
      <c r="G492" s="1052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1"/>
      <c r="AC492" s="1051"/>
      <c r="AD492" s="1051"/>
      <c r="AE492" s="1051"/>
      <c r="AF492" s="1051"/>
      <c r="AG492" s="1051"/>
      <c r="AH492" s="1051"/>
      <c r="AI492" s="1051"/>
      <c r="AJ492" s="1051"/>
    </row>
    <row r="493" spans="1:36" s="51" customFormat="1" ht="11.25">
      <c r="A493" s="1051"/>
      <c r="B493" s="1051"/>
      <c r="C493" s="1051"/>
      <c r="D493" s="1051"/>
      <c r="E493" s="1051"/>
      <c r="F493" s="1051"/>
      <c r="G493" s="1052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1"/>
      <c r="AC493" s="1051"/>
      <c r="AD493" s="1051"/>
      <c r="AE493" s="1051"/>
      <c r="AF493" s="1051"/>
      <c r="AG493" s="1051"/>
      <c r="AH493" s="1051"/>
      <c r="AI493" s="1051"/>
      <c r="AJ493" s="1051"/>
    </row>
    <row r="494" spans="1:36" s="51" customFormat="1" ht="11.25">
      <c r="A494" s="1051"/>
      <c r="B494" s="1051"/>
      <c r="C494" s="1051"/>
      <c r="D494" s="1051"/>
      <c r="E494" s="1051"/>
      <c r="F494" s="1051"/>
      <c r="G494" s="1052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1"/>
      <c r="AC494" s="1051"/>
      <c r="AD494" s="1051"/>
      <c r="AE494" s="1051"/>
      <c r="AF494" s="1051"/>
      <c r="AG494" s="1051"/>
      <c r="AH494" s="1051"/>
      <c r="AI494" s="1051"/>
      <c r="AJ494" s="1051"/>
    </row>
    <row r="495" spans="1:36" s="51" customFormat="1" ht="11.25">
      <c r="A495" s="1051"/>
      <c r="B495" s="1051"/>
      <c r="C495" s="1051"/>
      <c r="D495" s="1051"/>
      <c r="E495" s="1051"/>
      <c r="F495" s="1051"/>
      <c r="G495" s="1052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1"/>
      <c r="AC495" s="1051"/>
      <c r="AD495" s="1051"/>
      <c r="AE495" s="1051"/>
      <c r="AF495" s="1051"/>
      <c r="AG495" s="1051"/>
      <c r="AH495" s="1051"/>
      <c r="AI495" s="1051"/>
      <c r="AJ495" s="1051"/>
    </row>
    <row r="496" spans="1:36" s="51" customFormat="1" ht="11.25">
      <c r="A496" s="1051"/>
      <c r="B496" s="1051"/>
      <c r="C496" s="1051"/>
      <c r="D496" s="1051"/>
      <c r="E496" s="1051"/>
      <c r="F496" s="1051"/>
      <c r="G496" s="1052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1"/>
      <c r="AC496" s="1051"/>
      <c r="AD496" s="1051"/>
      <c r="AE496" s="1051"/>
      <c r="AF496" s="1051"/>
      <c r="AG496" s="1051"/>
      <c r="AH496" s="1051"/>
      <c r="AI496" s="1051"/>
      <c r="AJ496" s="1051"/>
    </row>
    <row r="497" spans="1:36" s="51" customFormat="1" ht="11.25">
      <c r="A497" s="1051"/>
      <c r="B497" s="1051"/>
      <c r="C497" s="1051"/>
      <c r="D497" s="1051"/>
      <c r="E497" s="1051"/>
      <c r="F497" s="1051"/>
      <c r="G497" s="1052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1"/>
      <c r="AC497" s="1051"/>
      <c r="AD497" s="1051"/>
      <c r="AE497" s="1051"/>
      <c r="AF497" s="1051"/>
      <c r="AG497" s="1051"/>
      <c r="AH497" s="1051"/>
      <c r="AI497" s="1051"/>
      <c r="AJ497" s="1051"/>
    </row>
    <row r="498" spans="1:36" s="51" customFormat="1" ht="11.25">
      <c r="A498" s="1051"/>
      <c r="B498" s="1051"/>
      <c r="C498" s="1051"/>
      <c r="D498" s="1051"/>
      <c r="E498" s="1051"/>
      <c r="F498" s="1051"/>
      <c r="G498" s="1052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1"/>
      <c r="AC498" s="1051"/>
      <c r="AD498" s="1051"/>
      <c r="AE498" s="1051"/>
      <c r="AF498" s="1051"/>
      <c r="AG498" s="1051"/>
      <c r="AH498" s="1051"/>
      <c r="AI498" s="1051"/>
      <c r="AJ498" s="1051"/>
    </row>
    <row r="499" spans="1:36" s="51" customFormat="1" ht="11.25">
      <c r="A499" s="1051"/>
      <c r="B499" s="1051"/>
      <c r="C499" s="1051"/>
      <c r="D499" s="1051"/>
      <c r="E499" s="1051"/>
      <c r="F499" s="1051"/>
      <c r="G499" s="1052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1"/>
      <c r="AC499" s="1051"/>
      <c r="AD499" s="1051"/>
      <c r="AE499" s="1051"/>
      <c r="AF499" s="1051"/>
      <c r="AG499" s="1051"/>
      <c r="AH499" s="1051"/>
      <c r="AI499" s="1051"/>
      <c r="AJ499" s="1051"/>
    </row>
    <row r="500" spans="1:36" s="51" customFormat="1" ht="11.25">
      <c r="A500" s="1051"/>
      <c r="B500" s="1051"/>
      <c r="C500" s="1051"/>
      <c r="D500" s="1051"/>
      <c r="E500" s="1051"/>
      <c r="F500" s="1051"/>
      <c r="G500" s="1052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1"/>
      <c r="AC500" s="1051"/>
      <c r="AD500" s="1051"/>
      <c r="AE500" s="1051"/>
      <c r="AF500" s="1051"/>
      <c r="AG500" s="1051"/>
      <c r="AH500" s="1051"/>
      <c r="AI500" s="1051"/>
      <c r="AJ500" s="1051"/>
    </row>
    <row r="501" spans="1:36" s="51" customFormat="1" ht="11.25">
      <c r="A501" s="1051"/>
      <c r="B501" s="1051"/>
      <c r="C501" s="1051"/>
      <c r="D501" s="1051"/>
      <c r="E501" s="1051"/>
      <c r="F501" s="1051"/>
      <c r="G501" s="1052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1"/>
      <c r="AC501" s="1051"/>
      <c r="AD501" s="1051"/>
      <c r="AE501" s="1051"/>
      <c r="AF501" s="1051"/>
      <c r="AG501" s="1051"/>
      <c r="AH501" s="1051"/>
      <c r="AI501" s="1051"/>
      <c r="AJ501" s="1051"/>
    </row>
    <row r="502" spans="1:36" s="51" customFormat="1" ht="11.25">
      <c r="A502" s="1051"/>
      <c r="B502" s="1051"/>
      <c r="C502" s="1051"/>
      <c r="D502" s="1051"/>
      <c r="E502" s="1051"/>
      <c r="F502" s="1051"/>
      <c r="G502" s="1052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1"/>
      <c r="AC502" s="1051"/>
      <c r="AD502" s="1051"/>
      <c r="AE502" s="1051"/>
      <c r="AF502" s="1051"/>
      <c r="AG502" s="1051"/>
      <c r="AH502" s="1051"/>
      <c r="AI502" s="1051"/>
      <c r="AJ502" s="1051"/>
    </row>
    <row r="503" spans="1:36" s="51" customFormat="1" ht="11.25">
      <c r="A503" s="1051"/>
      <c r="B503" s="1051"/>
      <c r="C503" s="1051"/>
      <c r="D503" s="1051"/>
      <c r="E503" s="1051"/>
      <c r="F503" s="1051"/>
      <c r="G503" s="1052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1"/>
      <c r="AC503" s="1051"/>
      <c r="AD503" s="1051"/>
      <c r="AE503" s="1051"/>
      <c r="AF503" s="1051"/>
      <c r="AG503" s="1051"/>
      <c r="AH503" s="1051"/>
      <c r="AI503" s="1051"/>
      <c r="AJ503" s="1051"/>
    </row>
    <row r="504" spans="1:36" s="51" customFormat="1" ht="11.25">
      <c r="A504" s="1051"/>
      <c r="B504" s="1051"/>
      <c r="C504" s="1051"/>
      <c r="D504" s="1051"/>
      <c r="E504" s="1051"/>
      <c r="F504" s="1051"/>
      <c r="G504" s="1052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1"/>
      <c r="AC504" s="1051"/>
      <c r="AD504" s="1051"/>
      <c r="AE504" s="1051"/>
      <c r="AF504" s="1051"/>
      <c r="AG504" s="1051"/>
      <c r="AH504" s="1051"/>
      <c r="AI504" s="1051"/>
      <c r="AJ504" s="1051"/>
    </row>
    <row r="505" spans="1:36" s="51" customFormat="1" ht="11.25">
      <c r="A505" s="1051"/>
      <c r="B505" s="1051"/>
      <c r="C505" s="1051"/>
      <c r="D505" s="1051"/>
      <c r="E505" s="1051"/>
      <c r="F505" s="1051"/>
      <c r="G505" s="1052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1"/>
      <c r="AC505" s="1051"/>
      <c r="AD505" s="1051"/>
      <c r="AE505" s="1051"/>
      <c r="AF505" s="1051"/>
      <c r="AG505" s="1051"/>
      <c r="AH505" s="1051"/>
      <c r="AI505" s="1051"/>
      <c r="AJ505" s="1051"/>
    </row>
    <row r="506" spans="1:36" s="51" customFormat="1" ht="11.25">
      <c r="A506" s="1051"/>
      <c r="B506" s="1051"/>
      <c r="C506" s="1051"/>
      <c r="D506" s="1051"/>
      <c r="E506" s="1051"/>
      <c r="F506" s="1051"/>
      <c r="G506" s="1052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1"/>
      <c r="AC506" s="1051"/>
      <c r="AD506" s="1051"/>
      <c r="AE506" s="1051"/>
      <c r="AF506" s="1051"/>
      <c r="AG506" s="1051"/>
      <c r="AH506" s="1051"/>
      <c r="AI506" s="1051"/>
      <c r="AJ506" s="1051"/>
    </row>
    <row r="507" spans="1:36" s="51" customFormat="1" ht="11.25">
      <c r="A507" s="1051"/>
      <c r="B507" s="1051"/>
      <c r="C507" s="1051"/>
      <c r="D507" s="1051"/>
      <c r="E507" s="1051"/>
      <c r="F507" s="1051"/>
      <c r="G507" s="1052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1"/>
      <c r="AC507" s="1051"/>
      <c r="AD507" s="1051"/>
      <c r="AE507" s="1051"/>
      <c r="AF507" s="1051"/>
      <c r="AG507" s="1051"/>
      <c r="AH507" s="1051"/>
      <c r="AI507" s="1051"/>
      <c r="AJ507" s="1051"/>
    </row>
    <row r="508" spans="1:36" s="51" customFormat="1" ht="11.25">
      <c r="A508" s="1051"/>
      <c r="B508" s="1051"/>
      <c r="C508" s="1051"/>
      <c r="D508" s="1051"/>
      <c r="E508" s="1051"/>
      <c r="F508" s="1051"/>
      <c r="G508" s="1052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1"/>
      <c r="AC508" s="1051"/>
      <c r="AD508" s="1051"/>
      <c r="AE508" s="1051"/>
      <c r="AF508" s="1051"/>
      <c r="AG508" s="1051"/>
      <c r="AH508" s="1051"/>
      <c r="AI508" s="1051"/>
      <c r="AJ508" s="1051"/>
    </row>
    <row r="509" spans="1:36" s="51" customFormat="1" ht="11.25">
      <c r="A509" s="1051"/>
      <c r="B509" s="1051"/>
      <c r="C509" s="1051"/>
      <c r="D509" s="1051"/>
      <c r="E509" s="1051"/>
      <c r="F509" s="1051"/>
      <c r="G509" s="1052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1"/>
      <c r="AC509" s="1051"/>
      <c r="AD509" s="1051"/>
      <c r="AE509" s="1051"/>
      <c r="AF509" s="1051"/>
      <c r="AG509" s="1051"/>
      <c r="AH509" s="1051"/>
      <c r="AI509" s="1051"/>
      <c r="AJ509" s="1051"/>
    </row>
    <row r="510" spans="1:36" s="51" customFormat="1" ht="11.25">
      <c r="A510" s="1051"/>
      <c r="B510" s="1051"/>
      <c r="C510" s="1051"/>
      <c r="D510" s="1051"/>
      <c r="E510" s="1051"/>
      <c r="F510" s="1051"/>
      <c r="G510" s="1052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1"/>
      <c r="AC510" s="1051"/>
      <c r="AD510" s="1051"/>
      <c r="AE510" s="1051"/>
      <c r="AF510" s="1051"/>
      <c r="AG510" s="1051"/>
      <c r="AH510" s="1051"/>
      <c r="AI510" s="1051"/>
      <c r="AJ510" s="1051"/>
    </row>
    <row r="511" spans="1:36" s="51" customFormat="1" ht="11.25">
      <c r="A511" s="1051"/>
      <c r="B511" s="1051"/>
      <c r="C511" s="1051"/>
      <c r="D511" s="1051"/>
      <c r="E511" s="1051"/>
      <c r="F511" s="1051"/>
      <c r="G511" s="1052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1"/>
      <c r="AC511" s="1051"/>
      <c r="AD511" s="1051"/>
      <c r="AE511" s="1051"/>
      <c r="AF511" s="1051"/>
      <c r="AG511" s="1051"/>
      <c r="AH511" s="1051"/>
      <c r="AI511" s="1051"/>
      <c r="AJ511" s="1051"/>
    </row>
    <row r="512" spans="1:36" s="51" customFormat="1" ht="11.25">
      <c r="A512" s="1051"/>
      <c r="B512" s="1051"/>
      <c r="C512" s="1051"/>
      <c r="D512" s="1051"/>
      <c r="E512" s="1051"/>
      <c r="F512" s="1051"/>
      <c r="G512" s="1052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1"/>
      <c r="AC512" s="1051"/>
      <c r="AD512" s="1051"/>
      <c r="AE512" s="1051"/>
      <c r="AF512" s="1051"/>
      <c r="AG512" s="1051"/>
      <c r="AH512" s="1051"/>
      <c r="AI512" s="1051"/>
      <c r="AJ512" s="1051"/>
    </row>
    <row r="513" spans="1:36" s="51" customFormat="1" ht="11.25">
      <c r="A513" s="1051"/>
      <c r="B513" s="1051"/>
      <c r="C513" s="1051"/>
      <c r="D513" s="1051"/>
      <c r="E513" s="1051"/>
      <c r="F513" s="1051"/>
      <c r="G513" s="1052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1"/>
      <c r="AC513" s="1051"/>
      <c r="AD513" s="1051"/>
      <c r="AE513" s="1051"/>
      <c r="AF513" s="1051"/>
      <c r="AG513" s="1051"/>
      <c r="AH513" s="1051"/>
      <c r="AI513" s="1051"/>
      <c r="AJ513" s="1051"/>
    </row>
    <row r="514" spans="1:36" s="51" customFormat="1" ht="11.25">
      <c r="A514" s="1051"/>
      <c r="B514" s="1051"/>
      <c r="C514" s="1051"/>
      <c r="D514" s="1051"/>
      <c r="E514" s="1051"/>
      <c r="F514" s="1051"/>
      <c r="G514" s="1052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1"/>
      <c r="AC514" s="1051"/>
      <c r="AD514" s="1051"/>
      <c r="AE514" s="1051"/>
      <c r="AF514" s="1051"/>
      <c r="AG514" s="1051"/>
      <c r="AH514" s="1051"/>
      <c r="AI514" s="1051"/>
      <c r="AJ514" s="1051"/>
    </row>
    <row r="515" spans="1:36" s="51" customFormat="1" ht="11.25">
      <c r="A515" s="1051"/>
      <c r="B515" s="1051"/>
      <c r="C515" s="1051"/>
      <c r="D515" s="1051"/>
      <c r="E515" s="1051"/>
      <c r="F515" s="1051"/>
      <c r="G515" s="1052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1"/>
      <c r="AC515" s="1051"/>
      <c r="AD515" s="1051"/>
      <c r="AE515" s="1051"/>
      <c r="AF515" s="1051"/>
      <c r="AG515" s="1051"/>
      <c r="AH515" s="1051"/>
      <c r="AI515" s="1051"/>
      <c r="AJ515" s="1051"/>
    </row>
    <row r="516" spans="1:36" s="51" customFormat="1" ht="11.25">
      <c r="A516" s="1051"/>
      <c r="B516" s="1051"/>
      <c r="C516" s="1051"/>
      <c r="D516" s="1051"/>
      <c r="E516" s="1051"/>
      <c r="F516" s="1051"/>
      <c r="G516" s="1052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1"/>
      <c r="AC516" s="1051"/>
      <c r="AD516" s="1051"/>
      <c r="AE516" s="1051"/>
      <c r="AF516" s="1051"/>
      <c r="AG516" s="1051"/>
      <c r="AH516" s="1051"/>
      <c r="AI516" s="1051"/>
      <c r="AJ516" s="1051"/>
    </row>
    <row r="517" spans="1:36" s="51" customFormat="1" ht="11.25">
      <c r="A517" s="1051"/>
      <c r="B517" s="1051"/>
      <c r="C517" s="1051"/>
      <c r="D517" s="1051"/>
      <c r="E517" s="1051"/>
      <c r="F517" s="1051"/>
      <c r="G517" s="1052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1"/>
      <c r="AC517" s="1051"/>
      <c r="AD517" s="1051"/>
      <c r="AE517" s="1051"/>
      <c r="AF517" s="1051"/>
      <c r="AG517" s="1051"/>
      <c r="AH517" s="1051"/>
      <c r="AI517" s="1051"/>
      <c r="AJ517" s="1051"/>
    </row>
    <row r="518" spans="1:36" s="51" customFormat="1" ht="11.25">
      <c r="A518" s="1051"/>
      <c r="B518" s="1051"/>
      <c r="C518" s="1051"/>
      <c r="D518" s="1051"/>
      <c r="E518" s="1051"/>
      <c r="F518" s="1051"/>
      <c r="G518" s="1052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1"/>
      <c r="AC518" s="1051"/>
      <c r="AD518" s="1051"/>
      <c r="AE518" s="1051"/>
      <c r="AF518" s="1051"/>
      <c r="AG518" s="1051"/>
      <c r="AH518" s="1051"/>
      <c r="AI518" s="1051"/>
      <c r="AJ518" s="1051"/>
    </row>
    <row r="519" spans="1:36" s="51" customFormat="1" ht="11.25">
      <c r="A519" s="1051"/>
      <c r="B519" s="1051"/>
      <c r="C519" s="1051"/>
      <c r="D519" s="1051"/>
      <c r="E519" s="1051"/>
      <c r="F519" s="1051"/>
      <c r="G519" s="1052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1"/>
      <c r="AC519" s="1051"/>
      <c r="AD519" s="1051"/>
      <c r="AE519" s="1051"/>
      <c r="AF519" s="1051"/>
      <c r="AG519" s="1051"/>
      <c r="AH519" s="1051"/>
      <c r="AI519" s="1051"/>
      <c r="AJ519" s="1051"/>
    </row>
    <row r="520" spans="1:36" s="51" customFormat="1" ht="11.25">
      <c r="A520" s="1051"/>
      <c r="B520" s="1051"/>
      <c r="C520" s="1051"/>
      <c r="D520" s="1051"/>
      <c r="E520" s="1051"/>
      <c r="F520" s="1051"/>
      <c r="G520" s="1052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1"/>
      <c r="AC520" s="1051"/>
      <c r="AD520" s="1051"/>
      <c r="AE520" s="1051"/>
      <c r="AF520" s="1051"/>
      <c r="AG520" s="1051"/>
      <c r="AH520" s="1051"/>
      <c r="AI520" s="1051"/>
      <c r="AJ520" s="1051"/>
    </row>
    <row r="521" spans="1:36" s="51" customFormat="1" ht="11.25">
      <c r="A521" s="1051"/>
      <c r="B521" s="1051"/>
      <c r="C521" s="1051"/>
      <c r="D521" s="1051"/>
      <c r="E521" s="1051"/>
      <c r="F521" s="1051"/>
      <c r="G521" s="1052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1"/>
      <c r="AC521" s="1051"/>
      <c r="AD521" s="1051"/>
      <c r="AE521" s="1051"/>
      <c r="AF521" s="1051"/>
      <c r="AG521" s="1051"/>
      <c r="AH521" s="1051"/>
      <c r="AI521" s="1051"/>
      <c r="AJ521" s="1051"/>
    </row>
    <row r="522" spans="1:36" s="51" customFormat="1" ht="11.25">
      <c r="A522" s="1051"/>
      <c r="B522" s="1051"/>
      <c r="C522" s="1051"/>
      <c r="D522" s="1051"/>
      <c r="E522" s="1051"/>
      <c r="F522" s="1051"/>
      <c r="G522" s="1052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1"/>
      <c r="AC522" s="1051"/>
      <c r="AD522" s="1051"/>
      <c r="AE522" s="1051"/>
      <c r="AF522" s="1051"/>
      <c r="AG522" s="1051"/>
      <c r="AH522" s="1051"/>
      <c r="AI522" s="1051"/>
      <c r="AJ522" s="1051"/>
    </row>
    <row r="523" spans="1:36" s="51" customFormat="1" ht="11.25">
      <c r="A523" s="1051"/>
      <c r="B523" s="1051"/>
      <c r="C523" s="1051"/>
      <c r="D523" s="1051"/>
      <c r="E523" s="1051"/>
      <c r="F523" s="1051"/>
      <c r="G523" s="1052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1"/>
      <c r="AC523" s="1051"/>
      <c r="AD523" s="1051"/>
      <c r="AE523" s="1051"/>
      <c r="AF523" s="1051"/>
      <c r="AG523" s="1051"/>
      <c r="AH523" s="1051"/>
      <c r="AI523" s="1051"/>
      <c r="AJ523" s="1051"/>
    </row>
    <row r="524" spans="1:36" s="51" customFormat="1" ht="11.25">
      <c r="A524" s="1051"/>
      <c r="B524" s="1051"/>
      <c r="C524" s="1051"/>
      <c r="D524" s="1051"/>
      <c r="E524" s="1051"/>
      <c r="F524" s="1051"/>
      <c r="G524" s="1052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1"/>
      <c r="AC524" s="1051"/>
      <c r="AD524" s="1051"/>
      <c r="AE524" s="1051"/>
      <c r="AF524" s="1051"/>
      <c r="AG524" s="1051"/>
      <c r="AH524" s="1051"/>
      <c r="AI524" s="1051"/>
      <c r="AJ524" s="1051"/>
    </row>
    <row r="525" spans="1:36" s="51" customFormat="1" ht="11.25">
      <c r="A525" s="1051"/>
      <c r="B525" s="1051"/>
      <c r="C525" s="1051"/>
      <c r="D525" s="1051"/>
      <c r="E525" s="1051"/>
      <c r="F525" s="1051"/>
      <c r="G525" s="1052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1"/>
      <c r="AC525" s="1051"/>
      <c r="AD525" s="1051"/>
      <c r="AE525" s="1051"/>
      <c r="AF525" s="1051"/>
      <c r="AG525" s="1051"/>
      <c r="AH525" s="1051"/>
      <c r="AI525" s="1051"/>
      <c r="AJ525" s="1051"/>
    </row>
    <row r="526" spans="1:36" s="51" customFormat="1" ht="11.25">
      <c r="A526" s="1051"/>
      <c r="B526" s="1051"/>
      <c r="C526" s="1051"/>
      <c r="D526" s="1051"/>
      <c r="E526" s="1051"/>
      <c r="F526" s="1051"/>
      <c r="G526" s="1052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1"/>
      <c r="AC526" s="1051"/>
      <c r="AD526" s="1051"/>
      <c r="AE526" s="1051"/>
      <c r="AF526" s="1051"/>
      <c r="AG526" s="1051"/>
      <c r="AH526" s="1051"/>
      <c r="AI526" s="1051"/>
      <c r="AJ526" s="1051"/>
    </row>
    <row r="527" spans="1:36" s="51" customFormat="1" ht="11.25">
      <c r="A527" s="1051"/>
      <c r="B527" s="1051"/>
      <c r="C527" s="1051"/>
      <c r="D527" s="1051"/>
      <c r="E527" s="1051"/>
      <c r="F527" s="1051"/>
      <c r="G527" s="1052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1"/>
      <c r="AC527" s="1051"/>
      <c r="AD527" s="1051"/>
      <c r="AE527" s="1051"/>
      <c r="AF527" s="1051"/>
      <c r="AG527" s="1051"/>
      <c r="AH527" s="1051"/>
      <c r="AI527" s="1051"/>
      <c r="AJ527" s="1051"/>
    </row>
    <row r="528" spans="1:36" s="51" customFormat="1" ht="11.25">
      <c r="A528" s="1051"/>
      <c r="B528" s="1051"/>
      <c r="C528" s="1051"/>
      <c r="D528" s="1051"/>
      <c r="E528" s="1051"/>
      <c r="F528" s="1051"/>
      <c r="G528" s="1052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1"/>
      <c r="AC528" s="1051"/>
      <c r="AD528" s="1051"/>
      <c r="AE528" s="1051"/>
      <c r="AF528" s="1051"/>
      <c r="AG528" s="1051"/>
      <c r="AH528" s="1051"/>
      <c r="AI528" s="1051"/>
      <c r="AJ528" s="1051"/>
    </row>
    <row r="529" spans="1:36" s="51" customFormat="1" ht="11.25">
      <c r="A529" s="1051"/>
      <c r="B529" s="1051"/>
      <c r="C529" s="1051"/>
      <c r="D529" s="1051"/>
      <c r="E529" s="1051"/>
      <c r="F529" s="1051"/>
      <c r="G529" s="1052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1"/>
      <c r="AC529" s="1051"/>
      <c r="AD529" s="1051"/>
      <c r="AE529" s="1051"/>
      <c r="AF529" s="1051"/>
      <c r="AG529" s="1051"/>
      <c r="AH529" s="1051"/>
      <c r="AI529" s="1051"/>
      <c r="AJ529" s="1051"/>
    </row>
    <row r="530" spans="1:36" s="51" customFormat="1" ht="11.25">
      <c r="A530" s="1051"/>
      <c r="B530" s="1051"/>
      <c r="C530" s="1051"/>
      <c r="D530" s="1051"/>
      <c r="E530" s="1051"/>
      <c r="F530" s="1051"/>
      <c r="G530" s="1052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1"/>
      <c r="AC530" s="1051"/>
      <c r="AD530" s="1051"/>
      <c r="AE530" s="1051"/>
      <c r="AF530" s="1051"/>
      <c r="AG530" s="1051"/>
      <c r="AH530" s="1051"/>
      <c r="AI530" s="1051"/>
      <c r="AJ530" s="1051"/>
    </row>
    <row r="531" spans="1:36" s="51" customFormat="1" ht="11.25">
      <c r="A531" s="1051"/>
      <c r="B531" s="1051"/>
      <c r="C531" s="1051"/>
      <c r="D531" s="1051"/>
      <c r="E531" s="1051"/>
      <c r="F531" s="1051"/>
      <c r="G531" s="1052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1"/>
      <c r="AC531" s="1051"/>
      <c r="AD531" s="1051"/>
      <c r="AE531" s="1051"/>
      <c r="AF531" s="1051"/>
      <c r="AG531" s="1051"/>
      <c r="AH531" s="1051"/>
      <c r="AI531" s="1051"/>
      <c r="AJ531" s="1051"/>
    </row>
    <row r="532" spans="1:36" s="51" customFormat="1" ht="11.25">
      <c r="A532" s="1051"/>
      <c r="B532" s="1051"/>
      <c r="C532" s="1051"/>
      <c r="D532" s="1051"/>
      <c r="E532" s="1051"/>
      <c r="F532" s="1051"/>
      <c r="G532" s="1052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1"/>
      <c r="AC532" s="1051"/>
      <c r="AD532" s="1051"/>
      <c r="AE532" s="1051"/>
      <c r="AF532" s="1051"/>
      <c r="AG532" s="1051"/>
      <c r="AH532" s="1051"/>
      <c r="AI532" s="1051"/>
      <c r="AJ532" s="1051"/>
    </row>
    <row r="533" spans="1:36" s="51" customFormat="1" ht="11.25">
      <c r="A533" s="1051"/>
      <c r="B533" s="1051"/>
      <c r="C533" s="1051"/>
      <c r="D533" s="1051"/>
      <c r="E533" s="1051"/>
      <c r="F533" s="1051"/>
      <c r="G533" s="1052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1"/>
      <c r="AC533" s="1051"/>
      <c r="AD533" s="1051"/>
      <c r="AE533" s="1051"/>
      <c r="AF533" s="1051"/>
      <c r="AG533" s="1051"/>
      <c r="AH533" s="1051"/>
      <c r="AI533" s="1051"/>
      <c r="AJ533" s="1051"/>
    </row>
    <row r="534" spans="1:36" s="51" customFormat="1" ht="11.25">
      <c r="A534" s="1051"/>
      <c r="B534" s="1051"/>
      <c r="C534" s="1051"/>
      <c r="D534" s="1051"/>
      <c r="E534" s="1051"/>
      <c r="F534" s="1051"/>
      <c r="G534" s="1052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1"/>
      <c r="AC534" s="1051"/>
      <c r="AD534" s="1051"/>
      <c r="AE534" s="1051"/>
      <c r="AF534" s="1051"/>
      <c r="AG534" s="1051"/>
      <c r="AH534" s="1051"/>
      <c r="AI534" s="1051"/>
      <c r="AJ534" s="1051"/>
    </row>
    <row r="535" spans="1:36" s="51" customFormat="1" ht="11.25">
      <c r="A535" s="1051"/>
      <c r="B535" s="1051"/>
      <c r="C535" s="1051"/>
      <c r="D535" s="1051"/>
      <c r="E535" s="1051"/>
      <c r="F535" s="1051"/>
      <c r="G535" s="1052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1"/>
      <c r="AC535" s="1051"/>
      <c r="AD535" s="1051"/>
      <c r="AE535" s="1051"/>
      <c r="AF535" s="1051"/>
      <c r="AG535" s="1051"/>
      <c r="AH535" s="1051"/>
      <c r="AI535" s="1051"/>
      <c r="AJ535" s="1051"/>
    </row>
    <row r="536" spans="1:36" s="51" customFormat="1" ht="11.25">
      <c r="A536" s="1051"/>
      <c r="B536" s="1051"/>
      <c r="C536" s="1051"/>
      <c r="D536" s="1051"/>
      <c r="E536" s="1051"/>
      <c r="F536" s="1051"/>
      <c r="G536" s="1052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1"/>
      <c r="AC536" s="1051"/>
      <c r="AD536" s="1051"/>
      <c r="AE536" s="1051"/>
      <c r="AF536" s="1051"/>
      <c r="AG536" s="1051"/>
      <c r="AH536" s="1051"/>
      <c r="AI536" s="1051"/>
      <c r="AJ536" s="1051"/>
    </row>
    <row r="537" spans="1:36" s="51" customFormat="1" ht="11.25">
      <c r="A537" s="1051"/>
      <c r="B537" s="1051"/>
      <c r="C537" s="1051"/>
      <c r="D537" s="1051"/>
      <c r="E537" s="1051"/>
      <c r="F537" s="1051"/>
      <c r="G537" s="1052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1"/>
      <c r="AC537" s="1051"/>
      <c r="AD537" s="1051"/>
      <c r="AE537" s="1051"/>
      <c r="AF537" s="1051"/>
      <c r="AG537" s="1051"/>
      <c r="AH537" s="1051"/>
      <c r="AI537" s="1051"/>
      <c r="AJ537" s="1051"/>
    </row>
    <row r="538" spans="1:36" s="51" customFormat="1" ht="11.25">
      <c r="A538" s="1051"/>
      <c r="B538" s="1051"/>
      <c r="C538" s="1051"/>
      <c r="D538" s="1051"/>
      <c r="E538" s="1051"/>
      <c r="F538" s="1051"/>
      <c r="G538" s="1052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1"/>
      <c r="AC538" s="1051"/>
      <c r="AD538" s="1051"/>
      <c r="AE538" s="1051"/>
      <c r="AF538" s="1051"/>
      <c r="AG538" s="1051"/>
      <c r="AH538" s="1051"/>
      <c r="AI538" s="1051"/>
      <c r="AJ538" s="1051"/>
    </row>
    <row r="539" spans="1:36" s="51" customFormat="1" ht="11.25">
      <c r="A539" s="1051"/>
      <c r="B539" s="1051"/>
      <c r="C539" s="1051"/>
      <c r="D539" s="1051"/>
      <c r="E539" s="1051"/>
      <c r="F539" s="1051"/>
      <c r="G539" s="1052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1"/>
      <c r="AC539" s="1051"/>
      <c r="AD539" s="1051"/>
      <c r="AE539" s="1051"/>
      <c r="AF539" s="1051"/>
      <c r="AG539" s="1051"/>
      <c r="AH539" s="1051"/>
      <c r="AI539" s="1051"/>
      <c r="AJ539" s="1051"/>
    </row>
    <row r="540" spans="1:36" s="51" customFormat="1" ht="11.25">
      <c r="A540" s="1051"/>
      <c r="B540" s="1051"/>
      <c r="C540" s="1051"/>
      <c r="D540" s="1051"/>
      <c r="E540" s="1051"/>
      <c r="F540" s="1051"/>
      <c r="G540" s="1052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1"/>
      <c r="AC540" s="1051"/>
      <c r="AD540" s="1051"/>
      <c r="AE540" s="1051"/>
      <c r="AF540" s="1051"/>
      <c r="AG540" s="1051"/>
      <c r="AH540" s="1051"/>
      <c r="AI540" s="1051"/>
      <c r="AJ540" s="1051"/>
    </row>
    <row r="541" spans="1:36" s="51" customFormat="1" ht="11.25">
      <c r="A541" s="1051"/>
      <c r="B541" s="1051"/>
      <c r="C541" s="1051"/>
      <c r="D541" s="1051"/>
      <c r="E541" s="1051"/>
      <c r="F541" s="1051"/>
      <c r="G541" s="1052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1"/>
      <c r="AC541" s="1051"/>
      <c r="AD541" s="1051"/>
      <c r="AE541" s="1051"/>
      <c r="AF541" s="1051"/>
      <c r="AG541" s="1051"/>
      <c r="AH541" s="1051"/>
      <c r="AI541" s="1051"/>
      <c r="AJ541" s="1051"/>
    </row>
    <row r="542" spans="1:36" s="51" customFormat="1" ht="11.25">
      <c r="A542" s="1051"/>
      <c r="B542" s="1051"/>
      <c r="C542" s="1051"/>
      <c r="D542" s="1051"/>
      <c r="E542" s="1051"/>
      <c r="F542" s="1051"/>
      <c r="G542" s="1052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1"/>
      <c r="AC542" s="1051"/>
      <c r="AD542" s="1051"/>
      <c r="AE542" s="1051"/>
      <c r="AF542" s="1051"/>
      <c r="AG542" s="1051"/>
      <c r="AH542" s="1051"/>
      <c r="AI542" s="1051"/>
      <c r="AJ542" s="1051"/>
    </row>
    <row r="543" spans="1:36" s="51" customFormat="1" ht="11.25">
      <c r="A543" s="1051"/>
      <c r="B543" s="1051"/>
      <c r="C543" s="1051"/>
      <c r="D543" s="1051"/>
      <c r="E543" s="1051"/>
      <c r="F543" s="1051"/>
      <c r="G543" s="1052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1"/>
      <c r="AC543" s="1051"/>
      <c r="AD543" s="1051"/>
      <c r="AE543" s="1051"/>
      <c r="AF543" s="1051"/>
      <c r="AG543" s="1051"/>
      <c r="AH543" s="1051"/>
      <c r="AI543" s="1051"/>
      <c r="AJ543" s="1051"/>
    </row>
    <row r="544" spans="1:36" s="51" customFormat="1" ht="11.25">
      <c r="A544" s="1051"/>
      <c r="B544" s="1051"/>
      <c r="C544" s="1051"/>
      <c r="D544" s="1051"/>
      <c r="E544" s="1051"/>
      <c r="F544" s="1051"/>
      <c r="G544" s="1052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1"/>
      <c r="AC544" s="1051"/>
      <c r="AD544" s="1051"/>
      <c r="AE544" s="1051"/>
      <c r="AF544" s="1051"/>
      <c r="AG544" s="1051"/>
      <c r="AH544" s="1051"/>
      <c r="AI544" s="1051"/>
      <c r="AJ544" s="1051"/>
    </row>
    <row r="545" spans="1:36" s="51" customFormat="1" ht="11.25">
      <c r="A545" s="1051"/>
      <c r="B545" s="1051"/>
      <c r="C545" s="1051"/>
      <c r="D545" s="1051"/>
      <c r="E545" s="1051"/>
      <c r="F545" s="1051"/>
      <c r="G545" s="1052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1"/>
      <c r="AC545" s="1051"/>
      <c r="AD545" s="1051"/>
      <c r="AE545" s="1051"/>
      <c r="AF545" s="1051"/>
      <c r="AG545" s="1051"/>
      <c r="AH545" s="1051"/>
      <c r="AI545" s="1051"/>
      <c r="AJ545" s="1051"/>
    </row>
    <row r="546" spans="1:36" s="51" customFormat="1" ht="11.25">
      <c r="A546" s="1051"/>
      <c r="B546" s="1051"/>
      <c r="C546" s="1051"/>
      <c r="D546" s="1051"/>
      <c r="E546" s="1051"/>
      <c r="F546" s="1051"/>
      <c r="G546" s="1052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1"/>
      <c r="AC546" s="1051"/>
      <c r="AD546" s="1051"/>
      <c r="AE546" s="1051"/>
      <c r="AF546" s="1051"/>
      <c r="AG546" s="1051"/>
      <c r="AH546" s="1051"/>
      <c r="AI546" s="1051"/>
      <c r="AJ546" s="1051"/>
    </row>
    <row r="547" spans="1:36" s="51" customFormat="1" ht="11.25">
      <c r="A547" s="1051"/>
      <c r="B547" s="1051"/>
      <c r="C547" s="1051"/>
      <c r="D547" s="1051"/>
      <c r="E547" s="1051"/>
      <c r="F547" s="1051"/>
      <c r="G547" s="1052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1"/>
      <c r="AC547" s="1051"/>
      <c r="AD547" s="1051"/>
      <c r="AE547" s="1051"/>
      <c r="AF547" s="1051"/>
      <c r="AG547" s="1051"/>
      <c r="AH547" s="1051"/>
      <c r="AI547" s="1051"/>
      <c r="AJ547" s="1051"/>
    </row>
    <row r="548" spans="1:36" s="51" customFormat="1" ht="11.25">
      <c r="A548" s="1051"/>
      <c r="B548" s="1051"/>
      <c r="C548" s="1051"/>
      <c r="D548" s="1051"/>
      <c r="E548" s="1051"/>
      <c r="F548" s="1051"/>
      <c r="G548" s="1052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1"/>
      <c r="AC548" s="1051"/>
      <c r="AD548" s="1051"/>
      <c r="AE548" s="1051"/>
      <c r="AF548" s="1051"/>
      <c r="AG548" s="1051"/>
      <c r="AH548" s="1051"/>
      <c r="AI548" s="1051"/>
      <c r="AJ548" s="1051"/>
    </row>
    <row r="549" spans="1:36" s="51" customFormat="1" ht="11.25">
      <c r="A549" s="1051"/>
      <c r="B549" s="1051"/>
      <c r="C549" s="1051"/>
      <c r="D549" s="1051"/>
      <c r="E549" s="1051"/>
      <c r="F549" s="1051"/>
      <c r="G549" s="1052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1"/>
      <c r="AC549" s="1051"/>
      <c r="AD549" s="1051"/>
      <c r="AE549" s="1051"/>
      <c r="AF549" s="1051"/>
      <c r="AG549" s="1051"/>
      <c r="AH549" s="1051"/>
      <c r="AI549" s="1051"/>
      <c r="AJ549" s="1051"/>
    </row>
    <row r="550" spans="1:36" s="51" customFormat="1" ht="11.25">
      <c r="A550" s="1051"/>
      <c r="B550" s="1051"/>
      <c r="C550" s="1051"/>
      <c r="D550" s="1051"/>
      <c r="E550" s="1051"/>
      <c r="F550" s="1051"/>
      <c r="G550" s="1052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1"/>
      <c r="AC550" s="1051"/>
      <c r="AD550" s="1051"/>
      <c r="AE550" s="1051"/>
      <c r="AF550" s="1051"/>
      <c r="AG550" s="1051"/>
      <c r="AH550" s="1051"/>
      <c r="AI550" s="1051"/>
      <c r="AJ550" s="1051"/>
    </row>
    <row r="551" spans="1:36" s="51" customFormat="1" ht="11.25">
      <c r="A551" s="1051"/>
      <c r="B551" s="1051"/>
      <c r="C551" s="1051"/>
      <c r="D551" s="1051"/>
      <c r="E551" s="1051"/>
      <c r="F551" s="1051"/>
      <c r="G551" s="1052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1"/>
      <c r="AC551" s="1051"/>
      <c r="AD551" s="1051"/>
      <c r="AE551" s="1051"/>
      <c r="AF551" s="1051"/>
      <c r="AG551" s="1051"/>
      <c r="AH551" s="1051"/>
      <c r="AI551" s="1051"/>
      <c r="AJ551" s="1051"/>
    </row>
    <row r="552" spans="1:36" s="51" customFormat="1" ht="11.25">
      <c r="A552" s="1051"/>
      <c r="B552" s="1051"/>
      <c r="C552" s="1051"/>
      <c r="D552" s="1051"/>
      <c r="E552" s="1051"/>
      <c r="F552" s="1051"/>
      <c r="G552" s="1052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1"/>
      <c r="AC552" s="1051"/>
      <c r="AD552" s="1051"/>
      <c r="AE552" s="1051"/>
      <c r="AF552" s="1051"/>
      <c r="AG552" s="1051"/>
      <c r="AH552" s="1051"/>
      <c r="AI552" s="1051"/>
      <c r="AJ552" s="1051"/>
    </row>
    <row r="553" spans="1:36" s="51" customFormat="1" ht="11.25">
      <c r="A553" s="1051"/>
      <c r="B553" s="1051"/>
      <c r="C553" s="1051"/>
      <c r="D553" s="1051"/>
      <c r="E553" s="1051"/>
      <c r="F553" s="1051"/>
      <c r="G553" s="1052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1"/>
      <c r="AC553" s="1051"/>
      <c r="AD553" s="1051"/>
      <c r="AE553" s="1051"/>
      <c r="AF553" s="1051"/>
      <c r="AG553" s="1051"/>
      <c r="AH553" s="1051"/>
      <c r="AI553" s="1051"/>
      <c r="AJ553" s="1051"/>
    </row>
    <row r="554" spans="1:36" s="51" customFormat="1" ht="11.25">
      <c r="A554" s="1051"/>
      <c r="B554" s="1051"/>
      <c r="C554" s="1051"/>
      <c r="D554" s="1051"/>
      <c r="E554" s="1051"/>
      <c r="F554" s="1051"/>
      <c r="G554" s="1052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1"/>
      <c r="AC554" s="1051"/>
      <c r="AD554" s="1051"/>
      <c r="AE554" s="1051"/>
      <c r="AF554" s="1051"/>
      <c r="AG554" s="1051"/>
      <c r="AH554" s="1051"/>
      <c r="AI554" s="1051"/>
      <c r="AJ554" s="1051"/>
    </row>
    <row r="555" spans="1:36" s="51" customFormat="1" ht="11.25">
      <c r="A555" s="1051"/>
      <c r="B555" s="1051"/>
      <c r="C555" s="1051"/>
      <c r="D555" s="1051"/>
      <c r="E555" s="1051"/>
      <c r="F555" s="1051"/>
      <c r="G555" s="1052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1"/>
      <c r="AC555" s="1051"/>
      <c r="AD555" s="1051"/>
      <c r="AE555" s="1051"/>
      <c r="AF555" s="1051"/>
      <c r="AG555" s="1051"/>
      <c r="AH555" s="1051"/>
      <c r="AI555" s="1051"/>
      <c r="AJ555" s="1051"/>
    </row>
    <row r="556" spans="1:36" s="51" customFormat="1" ht="11.25">
      <c r="A556" s="1051"/>
      <c r="B556" s="1051"/>
      <c r="C556" s="1051"/>
      <c r="D556" s="1051"/>
      <c r="E556" s="1051"/>
      <c r="F556" s="1051"/>
      <c r="G556" s="1052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1"/>
      <c r="AC556" s="1051"/>
      <c r="AD556" s="1051"/>
      <c r="AE556" s="1051"/>
      <c r="AF556" s="1051"/>
      <c r="AG556" s="1051"/>
      <c r="AH556" s="1051"/>
      <c r="AI556" s="1051"/>
      <c r="AJ556" s="1051"/>
    </row>
    <row r="557" spans="1:36">
      <c r="A557" s="1051"/>
      <c r="B557" s="1051"/>
      <c r="C557" s="1051"/>
      <c r="D557" s="1051"/>
      <c r="E557" s="1051"/>
      <c r="F557" s="1051"/>
      <c r="G557" s="1052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1"/>
      <c r="AC557" s="1051"/>
      <c r="AD557" s="1051"/>
      <c r="AE557" s="1051"/>
      <c r="AF557" s="1051"/>
      <c r="AG557" s="1051"/>
      <c r="AH557" s="1051"/>
      <c r="AI557" s="1051"/>
      <c r="AJ557" s="1051"/>
    </row>
    <row r="558" spans="1:36">
      <c r="A558" s="1051"/>
      <c r="B558" s="1051"/>
      <c r="C558" s="1051"/>
      <c r="D558" s="1051"/>
      <c r="E558" s="1051"/>
      <c r="F558" s="1051"/>
      <c r="G558" s="1052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1"/>
      <c r="AC558" s="1051"/>
      <c r="AD558" s="1051"/>
      <c r="AE558" s="1051"/>
      <c r="AF558" s="1051"/>
      <c r="AG558" s="1051"/>
      <c r="AH558" s="1051"/>
      <c r="AI558" s="1051"/>
      <c r="AJ558" s="1051"/>
    </row>
    <row r="559" spans="1:36">
      <c r="A559" s="1051"/>
      <c r="B559" s="1051"/>
      <c r="C559" s="1051"/>
      <c r="D559" s="1051"/>
      <c r="E559" s="1051"/>
      <c r="F559" s="1051"/>
      <c r="G559" s="1052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1"/>
      <c r="AC559" s="1051"/>
      <c r="AD559" s="1051"/>
      <c r="AE559" s="1051"/>
      <c r="AF559" s="1051"/>
      <c r="AG559" s="1051"/>
      <c r="AH559" s="1051"/>
      <c r="AI559" s="1051"/>
      <c r="AJ559" s="1051"/>
    </row>
    <row r="560" spans="1:36">
      <c r="A560" s="1044"/>
      <c r="B560" s="1044"/>
      <c r="C560" s="1044"/>
      <c r="D560" s="142"/>
      <c r="E560" s="142"/>
      <c r="F560" s="142"/>
      <c r="G560" s="1047"/>
      <c r="H560" s="1047"/>
      <c r="I560" s="1053"/>
      <c r="J560" s="1047"/>
      <c r="K560" s="1047"/>
      <c r="L560" s="1047"/>
      <c r="M560" s="1047"/>
      <c r="N560" s="1047"/>
      <c r="O560" s="1047"/>
      <c r="P560" s="1053"/>
      <c r="Q560" s="1047"/>
      <c r="R560" s="1047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4"/>
      <c r="B561" s="1044"/>
      <c r="C561" s="1044"/>
      <c r="D561" s="142"/>
      <c r="E561" s="142"/>
      <c r="F561" s="142"/>
      <c r="G561" s="1047"/>
      <c r="H561" s="1047"/>
      <c r="I561" s="1053"/>
      <c r="J561" s="1047"/>
      <c r="K561" s="1047"/>
      <c r="L561" s="1047"/>
      <c r="M561" s="1047"/>
      <c r="N561" s="1047"/>
      <c r="O561" s="1047"/>
      <c r="P561" s="1053"/>
      <c r="Q561" s="1047"/>
      <c r="R561" s="1047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4"/>
      <c r="B562" s="1044"/>
      <c r="C562" s="1044"/>
      <c r="D562" s="142"/>
      <c r="E562" s="142"/>
      <c r="F562" s="142"/>
      <c r="G562" s="1047"/>
      <c r="H562" s="1047"/>
      <c r="I562" s="1053"/>
      <c r="J562" s="1047"/>
      <c r="K562" s="1047"/>
      <c r="L562" s="1047"/>
      <c r="M562" s="1047"/>
      <c r="N562" s="1047"/>
      <c r="O562" s="1047"/>
      <c r="P562" s="1053"/>
      <c r="Q562" s="1047"/>
      <c r="R562" s="1047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4"/>
      <c r="B563" s="1044"/>
      <c r="C563" s="1044"/>
      <c r="D563" s="142"/>
      <c r="E563" s="142"/>
      <c r="F563" s="142"/>
      <c r="G563" s="1047"/>
      <c r="H563" s="1047"/>
      <c r="I563" s="1053"/>
      <c r="J563" s="1047"/>
      <c r="K563" s="1047"/>
      <c r="L563" s="1047"/>
      <c r="M563" s="1047"/>
      <c r="N563" s="1047"/>
      <c r="O563" s="1047"/>
      <c r="P563" s="1053"/>
      <c r="Q563" s="1047"/>
      <c r="R563" s="1047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4"/>
      <c r="B564" s="1044"/>
      <c r="C564" s="1044"/>
      <c r="D564" s="142"/>
      <c r="E564" s="142"/>
      <c r="F564" s="142"/>
      <c r="G564" s="1047"/>
      <c r="H564" s="1047"/>
      <c r="I564" s="1053"/>
      <c r="J564" s="1047"/>
      <c r="K564" s="1047"/>
      <c r="L564" s="1047"/>
      <c r="M564" s="1047"/>
      <c r="N564" s="1047"/>
      <c r="O564" s="1047"/>
      <c r="P564" s="1053"/>
      <c r="Q564" s="1047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4"/>
      <c r="B565" s="1044"/>
      <c r="C565" s="1044"/>
      <c r="D565" s="142"/>
      <c r="E565" s="142"/>
      <c r="F565" s="142"/>
      <c r="G565" s="1047"/>
      <c r="H565" s="1047"/>
      <c r="I565" s="1053"/>
      <c r="J565" s="1047"/>
      <c r="K565" s="1047"/>
      <c r="L565" s="1047"/>
      <c r="M565" s="1047"/>
      <c r="N565" s="1047"/>
      <c r="O565" s="1047"/>
      <c r="P565" s="1053"/>
      <c r="Q565" s="1047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4"/>
      <c r="B566" s="1044"/>
      <c r="C566" s="1044"/>
      <c r="D566" s="142"/>
      <c r="E566" s="142"/>
      <c r="F566" s="142"/>
      <c r="G566" s="1047"/>
      <c r="H566" s="1047"/>
      <c r="I566" s="1053"/>
      <c r="J566" s="1047"/>
      <c r="K566" s="1047"/>
      <c r="L566" s="1047"/>
      <c r="M566" s="1047"/>
      <c r="N566" s="1047"/>
      <c r="O566" s="1047"/>
      <c r="P566" s="1053"/>
      <c r="Q566" s="1047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4"/>
      <c r="B567" s="1044"/>
      <c r="C567" s="1044"/>
      <c r="D567" s="142"/>
      <c r="E567" s="142"/>
      <c r="F567" s="142"/>
      <c r="G567" s="1047"/>
      <c r="H567" s="1047"/>
      <c r="I567" s="1053"/>
      <c r="J567" s="1047"/>
      <c r="K567" s="1047"/>
      <c r="L567" s="1047"/>
      <c r="M567" s="1047"/>
      <c r="N567" s="1047"/>
      <c r="O567" s="1047"/>
      <c r="P567" s="1053"/>
      <c r="Q567" s="1047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4"/>
      <c r="B568" s="1044"/>
      <c r="C568" s="1044"/>
      <c r="D568" s="142"/>
      <c r="E568" s="142"/>
      <c r="F568" s="142"/>
      <c r="G568" s="1047"/>
      <c r="H568" s="1047"/>
      <c r="I568" s="1053"/>
      <c r="J568" s="1047"/>
      <c r="K568" s="1047"/>
      <c r="L568" s="1047"/>
      <c r="M568" s="1047"/>
      <c r="N568" s="1047"/>
      <c r="O568" s="1047"/>
      <c r="P568" s="1053"/>
      <c r="Q568" s="1047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4"/>
      <c r="B569" s="1044"/>
      <c r="C569" s="1044"/>
      <c r="D569" s="142"/>
      <c r="E569" s="142"/>
      <c r="F569" s="142"/>
      <c r="G569" s="1047"/>
      <c r="H569" s="1047"/>
      <c r="I569" s="1053"/>
      <c r="J569" s="1047"/>
      <c r="K569" s="1047"/>
      <c r="L569" s="1047"/>
      <c r="M569" s="1047"/>
      <c r="N569" s="1047"/>
      <c r="O569" s="1047"/>
      <c r="P569" s="1053"/>
      <c r="Q569" s="1047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4"/>
      <c r="B570" s="1044"/>
      <c r="C570" s="1044"/>
      <c r="D570" s="142"/>
      <c r="E570" s="142"/>
      <c r="F570" s="142"/>
      <c r="G570" s="1047"/>
      <c r="H570" s="1047"/>
      <c r="I570" s="1053"/>
      <c r="J570" s="1047"/>
      <c r="K570" s="1047"/>
      <c r="L570" s="1047"/>
      <c r="M570" s="1047"/>
      <c r="N570" s="1047"/>
      <c r="O570" s="1047"/>
      <c r="P570" s="1053"/>
      <c r="Q570" s="1047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4"/>
      <c r="B571" s="1044"/>
      <c r="C571" s="1044"/>
      <c r="D571" s="142"/>
      <c r="E571" s="142"/>
      <c r="F571" s="142"/>
      <c r="G571" s="1047"/>
      <c r="H571" s="1047"/>
      <c r="I571" s="1053"/>
      <c r="J571" s="1047"/>
      <c r="K571" s="1047"/>
      <c r="L571" s="1047"/>
      <c r="M571" s="1047"/>
      <c r="N571" s="1047"/>
      <c r="O571" s="1047"/>
      <c r="P571" s="1053"/>
      <c r="Q571" s="1047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4"/>
      <c r="B572" s="1044"/>
      <c r="C572" s="1044"/>
      <c r="D572" s="142"/>
      <c r="E572" s="142"/>
      <c r="F572" s="142"/>
      <c r="G572" s="1047"/>
      <c r="H572" s="1047"/>
      <c r="I572" s="1053"/>
      <c r="J572" s="1047"/>
      <c r="K572" s="1047"/>
      <c r="L572" s="1047"/>
      <c r="M572" s="1047"/>
      <c r="N572" s="1047"/>
      <c r="O572" s="1047"/>
      <c r="P572" s="1053"/>
      <c r="Q572" s="1047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4"/>
      <c r="B573" s="1044"/>
      <c r="C573" s="1044"/>
      <c r="D573" s="142"/>
      <c r="E573" s="142"/>
      <c r="F573" s="142"/>
      <c r="G573" s="1047"/>
      <c r="H573" s="1047"/>
      <c r="I573" s="1053"/>
      <c r="J573" s="1047"/>
      <c r="K573" s="1047"/>
      <c r="L573" s="1047"/>
      <c r="M573" s="1047"/>
      <c r="N573" s="1047"/>
      <c r="O573" s="1047"/>
      <c r="P573" s="1053"/>
      <c r="Q573" s="1047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4"/>
      <c r="B574" s="1044"/>
      <c r="C574" s="1044"/>
      <c r="D574" s="142"/>
      <c r="E574" s="142"/>
      <c r="F574" s="142"/>
      <c r="G574" s="1047"/>
      <c r="H574" s="1047"/>
      <c r="I574" s="1053"/>
      <c r="J574" s="1047"/>
      <c r="K574" s="1047"/>
      <c r="L574" s="1047"/>
      <c r="M574" s="1047"/>
      <c r="N574" s="1047"/>
      <c r="O574" s="1047"/>
      <c r="P574" s="1053"/>
      <c r="Q574" s="1047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4" customFormat="1">
      <c r="A575" s="1044"/>
      <c r="B575" s="1044"/>
      <c r="C575" s="1044"/>
      <c r="D575" s="142"/>
      <c r="E575" s="142"/>
      <c r="F575" s="142"/>
      <c r="G575" s="1047"/>
      <c r="H575" s="1047"/>
      <c r="I575" s="1053"/>
      <c r="J575" s="1047"/>
      <c r="K575" s="1047"/>
      <c r="L575" s="1047"/>
      <c r="M575" s="1047"/>
      <c r="N575" s="1047"/>
      <c r="O575" s="1047"/>
      <c r="P575" s="1053"/>
      <c r="Q575" s="1047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4" customFormat="1">
      <c r="A576" s="1044"/>
      <c r="B576" s="1044"/>
      <c r="C576" s="1044"/>
      <c r="D576" s="142"/>
      <c r="E576" s="142"/>
      <c r="F576" s="142"/>
      <c r="G576" s="1047"/>
      <c r="H576" s="1047"/>
      <c r="I576" s="1053"/>
      <c r="J576" s="1047"/>
      <c r="K576" s="1047"/>
      <c r="L576" s="1047"/>
      <c r="M576" s="1047"/>
      <c r="N576" s="1047"/>
      <c r="O576" s="1047"/>
      <c r="P576" s="1053"/>
      <c r="Q576" s="1047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4" customFormat="1">
      <c r="A577" s="1044"/>
      <c r="B577" s="1044"/>
      <c r="C577" s="1044"/>
      <c r="D577" s="142"/>
      <c r="E577" s="142"/>
      <c r="F577" s="142"/>
      <c r="G577" s="1047"/>
      <c r="H577" s="1047"/>
      <c r="I577" s="1053"/>
      <c r="J577" s="1047"/>
      <c r="K577" s="1047"/>
      <c r="L577" s="1047"/>
      <c r="M577" s="1047"/>
      <c r="N577" s="1047"/>
      <c r="O577" s="1047"/>
      <c r="P577" s="1053"/>
      <c r="Q577" s="1047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4" customFormat="1">
      <c r="A578" s="1044"/>
      <c r="B578" s="1044"/>
      <c r="C578" s="1044"/>
      <c r="D578" s="142"/>
      <c r="E578" s="142"/>
      <c r="F578" s="142"/>
      <c r="G578" s="1047"/>
      <c r="H578" s="1047"/>
      <c r="I578" s="1053"/>
      <c r="J578" s="1047"/>
      <c r="K578" s="1047"/>
      <c r="L578" s="1047"/>
      <c r="M578" s="1047"/>
      <c r="N578" s="1047"/>
      <c r="O578" s="1047"/>
      <c r="P578" s="1053"/>
      <c r="Q578" s="1047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4" customFormat="1">
      <c r="A579" s="1044"/>
      <c r="B579" s="1044"/>
      <c r="C579" s="1044"/>
      <c r="D579" s="142"/>
      <c r="E579" s="142"/>
      <c r="F579" s="142"/>
      <c r="G579" s="1047"/>
      <c r="H579" s="1047"/>
      <c r="I579" s="1053"/>
      <c r="J579" s="1047"/>
      <c r="K579" s="1047"/>
      <c r="L579" s="1047"/>
      <c r="M579" s="1047"/>
      <c r="N579" s="1047"/>
      <c r="O579" s="1047"/>
      <c r="P579" s="1053"/>
      <c r="Q579" s="1047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4" customFormat="1">
      <c r="A580" s="1044"/>
      <c r="B580" s="1044"/>
      <c r="C580" s="1044"/>
      <c r="D580" s="142"/>
      <c r="E580" s="142"/>
      <c r="F580" s="142"/>
      <c r="G580" s="1047"/>
      <c r="H580" s="1047"/>
      <c r="I580" s="1053"/>
      <c r="J580" s="1047"/>
      <c r="K580" s="1047"/>
      <c r="L580" s="1047"/>
      <c r="M580" s="1047"/>
      <c r="N580" s="1047"/>
      <c r="O580" s="1047"/>
      <c r="P580" s="1053"/>
      <c r="Q580" s="1047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4" customFormat="1">
      <c r="A581" s="1044"/>
      <c r="B581" s="1044"/>
      <c r="C581" s="1044"/>
      <c r="D581" s="142"/>
      <c r="E581" s="142"/>
      <c r="F581" s="142"/>
      <c r="G581" s="1047"/>
      <c r="H581" s="1047"/>
      <c r="I581" s="1053"/>
      <c r="J581" s="1047"/>
      <c r="K581" s="1047"/>
      <c r="L581" s="1047"/>
      <c r="M581" s="1047"/>
      <c r="N581" s="1047"/>
      <c r="O581" s="1047"/>
      <c r="P581" s="1053"/>
      <c r="Q581" s="1047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4" customFormat="1">
      <c r="A582" s="1044"/>
      <c r="B582" s="1044"/>
      <c r="C582" s="1044"/>
      <c r="D582" s="142"/>
      <c r="E582" s="142"/>
      <c r="F582" s="142"/>
      <c r="G582" s="1047"/>
      <c r="H582" s="1047"/>
      <c r="I582" s="1053"/>
      <c r="J582" s="1047"/>
      <c r="K582" s="1047"/>
      <c r="L582" s="1047"/>
      <c r="M582" s="1047"/>
      <c r="N582" s="1047"/>
      <c r="O582" s="1047"/>
      <c r="P582" s="1053"/>
      <c r="Q582" s="1047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4" customFormat="1">
      <c r="A583" s="1044"/>
      <c r="B583" s="1044"/>
      <c r="C583" s="1044"/>
      <c r="D583" s="142"/>
      <c r="E583" s="142"/>
      <c r="F583" s="142"/>
      <c r="G583" s="1047"/>
      <c r="H583" s="1047"/>
      <c r="I583" s="1053"/>
      <c r="J583" s="1047"/>
      <c r="K583" s="1047"/>
      <c r="L583" s="1047"/>
      <c r="M583" s="1047"/>
      <c r="N583" s="1047"/>
      <c r="O583" s="1047"/>
      <c r="P583" s="1053"/>
      <c r="Q583" s="1047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4" customFormat="1">
      <c r="A584" s="1044"/>
      <c r="B584" s="1044"/>
      <c r="C584" s="1044"/>
      <c r="D584" s="142"/>
      <c r="E584" s="142"/>
      <c r="F584" s="142"/>
      <c r="G584" s="1047"/>
      <c r="H584" s="1047"/>
      <c r="I584" s="1053"/>
      <c r="J584" s="1047"/>
      <c r="K584" s="1047"/>
      <c r="L584" s="1047"/>
      <c r="M584" s="1047"/>
      <c r="N584" s="1047"/>
      <c r="O584" s="1047"/>
      <c r="P584" s="1053"/>
      <c r="Q584" s="1047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4" customFormat="1">
      <c r="A585" s="1044"/>
      <c r="B585" s="1044"/>
      <c r="C585" s="1044"/>
      <c r="D585" s="142"/>
      <c r="E585" s="142"/>
      <c r="F585" s="142"/>
      <c r="G585" s="1047"/>
      <c r="H585" s="1047"/>
      <c r="I585" s="1053"/>
      <c r="J585" s="1047"/>
      <c r="K585" s="1047"/>
      <c r="L585" s="1047"/>
      <c r="M585" s="1047"/>
      <c r="N585" s="1047"/>
      <c r="O585" s="1047"/>
      <c r="P585" s="1053"/>
      <c r="Q585" s="1047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4" customFormat="1">
      <c r="A586" s="1044"/>
      <c r="B586" s="1044"/>
      <c r="C586" s="1044"/>
      <c r="D586" s="142"/>
      <c r="E586" s="142"/>
      <c r="F586" s="142"/>
      <c r="G586" s="1047"/>
      <c r="H586" s="1047"/>
      <c r="I586" s="1053"/>
      <c r="J586" s="1047"/>
      <c r="K586" s="1047"/>
      <c r="L586" s="1047"/>
      <c r="M586" s="1047"/>
      <c r="N586" s="1047"/>
      <c r="O586" s="1047"/>
      <c r="P586" s="1053"/>
      <c r="Q586" s="1047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4" customFormat="1">
      <c r="A587" s="1044"/>
      <c r="B587" s="1044"/>
      <c r="C587" s="1044"/>
      <c r="D587" s="142"/>
      <c r="E587" s="142"/>
      <c r="F587" s="142"/>
      <c r="G587" s="1047"/>
      <c r="H587" s="1047"/>
      <c r="I587" s="1053"/>
      <c r="J587" s="1047"/>
      <c r="K587" s="1047"/>
      <c r="L587" s="1047"/>
      <c r="M587" s="1047"/>
      <c r="N587" s="1047"/>
      <c r="O587" s="1047"/>
      <c r="P587" s="1053"/>
      <c r="Q587" s="1047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4" customFormat="1">
      <c r="A588" s="1044"/>
      <c r="B588" s="1044"/>
      <c r="C588" s="1044"/>
      <c r="D588" s="142"/>
      <c r="E588" s="142"/>
      <c r="F588" s="142"/>
      <c r="G588" s="1047"/>
      <c r="H588" s="1047"/>
      <c r="I588" s="1053"/>
      <c r="J588" s="1047"/>
      <c r="K588" s="1047"/>
      <c r="L588" s="1047"/>
      <c r="M588" s="1047"/>
      <c r="N588" s="1047"/>
      <c r="O588" s="1047"/>
      <c r="P588" s="1053"/>
      <c r="Q588" s="1047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4" customFormat="1">
      <c r="A589" s="1044"/>
      <c r="B589" s="1044"/>
      <c r="C589" s="1044"/>
      <c r="D589" s="142"/>
      <c r="E589" s="142"/>
      <c r="F589" s="142"/>
      <c r="G589" s="1047"/>
      <c r="H589" s="1047"/>
      <c r="I589" s="1053"/>
      <c r="J589" s="1047"/>
      <c r="K589" s="1047"/>
      <c r="L589" s="1047"/>
      <c r="M589" s="1047"/>
      <c r="N589" s="1047"/>
      <c r="O589" s="1047"/>
      <c r="P589" s="1053"/>
      <c r="Q589" s="1047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4" customFormat="1">
      <c r="A590" s="1044"/>
      <c r="B590" s="1044"/>
      <c r="C590" s="1044"/>
      <c r="D590" s="142"/>
      <c r="E590" s="142"/>
      <c r="F590" s="142"/>
      <c r="G590" s="1047"/>
      <c r="H590" s="1047"/>
      <c r="I590" s="1053"/>
      <c r="J590" s="1047"/>
      <c r="K590" s="1047"/>
      <c r="L590" s="1047"/>
      <c r="M590" s="1047"/>
      <c r="N590" s="1047"/>
      <c r="O590" s="1047"/>
      <c r="P590" s="1053"/>
      <c r="Q590" s="1047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4" customFormat="1">
      <c r="A591" s="1044"/>
      <c r="B591" s="1044"/>
      <c r="C591" s="1044"/>
      <c r="D591" s="142"/>
      <c r="E591" s="142"/>
      <c r="F591" s="142"/>
      <c r="G591" s="1047"/>
      <c r="H591" s="1047"/>
      <c r="I591" s="1053"/>
      <c r="J591" s="1047"/>
      <c r="K591" s="1047"/>
      <c r="L591" s="1047"/>
      <c r="M591" s="1047"/>
      <c r="N591" s="1047"/>
      <c r="O591" s="1047"/>
      <c r="P591" s="1053"/>
      <c r="Q591" s="1047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4" customFormat="1">
      <c r="A592" s="1044"/>
      <c r="B592" s="1044"/>
      <c r="C592" s="1044"/>
      <c r="D592" s="142"/>
      <c r="E592" s="142"/>
      <c r="F592" s="142"/>
      <c r="G592" s="1047"/>
      <c r="H592" s="1047"/>
      <c r="I592" s="1053"/>
      <c r="J592" s="1047"/>
      <c r="K592" s="1047"/>
      <c r="L592" s="1047"/>
      <c r="M592" s="1047"/>
      <c r="N592" s="1047"/>
      <c r="O592" s="1047"/>
      <c r="P592" s="1053"/>
      <c r="Q592" s="1047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4" customFormat="1">
      <c r="A593" s="1044"/>
      <c r="B593" s="1044"/>
      <c r="C593" s="1044"/>
      <c r="D593" s="142"/>
      <c r="E593" s="142"/>
      <c r="F593" s="142"/>
      <c r="G593" s="1047"/>
      <c r="H593" s="1047"/>
      <c r="I593" s="1053"/>
      <c r="J593" s="1047"/>
      <c r="K593" s="1047"/>
      <c r="L593" s="1047"/>
      <c r="M593" s="1047"/>
      <c r="N593" s="1047"/>
      <c r="O593" s="1047"/>
      <c r="P593" s="1053"/>
      <c r="Q593" s="1047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4" customFormat="1">
      <c r="A594" s="1044"/>
      <c r="B594" s="1044"/>
      <c r="C594" s="1044"/>
      <c r="D594" s="142"/>
      <c r="E594" s="142"/>
      <c r="F594" s="142"/>
      <c r="G594" s="1047"/>
      <c r="H594" s="1047"/>
      <c r="I594" s="1053"/>
      <c r="J594" s="1047"/>
      <c r="K594" s="1047"/>
      <c r="L594" s="1047"/>
      <c r="M594" s="1047"/>
      <c r="N594" s="1047"/>
      <c r="O594" s="1047"/>
      <c r="P594" s="1053"/>
      <c r="Q594" s="1047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4" customFormat="1">
      <c r="A595" s="1044"/>
      <c r="B595" s="1044"/>
      <c r="C595" s="1044"/>
      <c r="D595" s="142"/>
      <c r="E595" s="142"/>
      <c r="F595" s="142"/>
      <c r="G595" s="1047"/>
      <c r="H595" s="1047"/>
      <c r="I595" s="1053"/>
      <c r="J595" s="1047"/>
      <c r="K595" s="1047"/>
      <c r="L595" s="1047"/>
      <c r="M595" s="1047"/>
      <c r="N595" s="1047"/>
      <c r="O595" s="1047"/>
      <c r="P595" s="1053"/>
      <c r="Q595" s="1047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4" customFormat="1">
      <c r="A596" s="1044"/>
      <c r="B596" s="1044"/>
      <c r="C596" s="1044"/>
      <c r="D596" s="142"/>
      <c r="E596" s="142"/>
      <c r="F596" s="142"/>
      <c r="G596" s="1047"/>
      <c r="H596" s="1047"/>
      <c r="I596" s="1053"/>
      <c r="J596" s="1047"/>
      <c r="K596" s="1047"/>
      <c r="L596" s="1047"/>
      <c r="M596" s="1047"/>
      <c r="N596" s="1047"/>
      <c r="O596" s="1047"/>
      <c r="P596" s="1053"/>
      <c r="Q596" s="1047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4" customFormat="1">
      <c r="A597" s="1044"/>
      <c r="B597" s="1044"/>
      <c r="C597" s="1044"/>
      <c r="D597" s="142"/>
      <c r="E597" s="142"/>
      <c r="F597" s="142"/>
      <c r="G597" s="1047"/>
      <c r="H597" s="1047"/>
      <c r="I597" s="1053"/>
      <c r="J597" s="1047"/>
      <c r="K597" s="1047"/>
      <c r="L597" s="1047"/>
      <c r="M597" s="1047"/>
      <c r="N597" s="1047"/>
      <c r="O597" s="1047"/>
      <c r="P597" s="1053"/>
      <c r="Q597" s="1047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4" customFormat="1">
      <c r="A598" s="1044"/>
      <c r="B598" s="1044"/>
      <c r="C598" s="1044"/>
      <c r="D598" s="142"/>
      <c r="E598" s="142"/>
      <c r="F598" s="142"/>
      <c r="G598" s="1047"/>
      <c r="H598" s="1047"/>
      <c r="I598" s="1053"/>
      <c r="J598" s="1047"/>
      <c r="K598" s="1047"/>
      <c r="L598" s="1047"/>
      <c r="M598" s="1047"/>
      <c r="N598" s="1047"/>
      <c r="O598" s="1047"/>
      <c r="P598" s="1053"/>
      <c r="Q598" s="1047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4" customFormat="1">
      <c r="A599" s="1044"/>
      <c r="B599" s="1044"/>
      <c r="C599" s="1044"/>
      <c r="D599" s="142"/>
      <c r="E599" s="142"/>
      <c r="F599" s="142"/>
      <c r="G599" s="1047"/>
      <c r="H599" s="1047"/>
      <c r="I599" s="1053"/>
      <c r="J599" s="1047"/>
      <c r="K599" s="1047"/>
      <c r="L599" s="1047"/>
      <c r="M599" s="1047"/>
      <c r="N599" s="1047"/>
      <c r="O599" s="1047"/>
      <c r="P599" s="1053"/>
      <c r="Q599" s="1047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4" customFormat="1">
      <c r="A600" s="1044"/>
      <c r="B600" s="1044"/>
      <c r="C600" s="1044"/>
      <c r="D600" s="142"/>
      <c r="E600" s="142"/>
      <c r="F600" s="142"/>
      <c r="G600" s="1047"/>
      <c r="H600" s="1047"/>
      <c r="I600" s="1053"/>
      <c r="J600" s="1047"/>
      <c r="K600" s="1047"/>
      <c r="L600" s="1047"/>
      <c r="M600" s="1047"/>
      <c r="N600" s="1047"/>
      <c r="O600" s="1047"/>
      <c r="P600" s="1053"/>
      <c r="Q600" s="1047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4" customFormat="1">
      <c r="A601" s="1044"/>
      <c r="B601" s="1044"/>
      <c r="C601" s="1044"/>
      <c r="D601" s="142"/>
      <c r="E601" s="142"/>
      <c r="F601" s="142"/>
      <c r="G601" s="1047"/>
      <c r="H601" s="1047"/>
      <c r="I601" s="1053"/>
      <c r="J601" s="1047"/>
      <c r="K601" s="1047"/>
      <c r="L601" s="1047"/>
      <c r="M601" s="1047"/>
      <c r="N601" s="1047"/>
      <c r="O601" s="1047"/>
      <c r="P601" s="1053"/>
      <c r="Q601" s="1047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4" customFormat="1">
      <c r="A602" s="1044"/>
      <c r="B602" s="1044"/>
      <c r="C602" s="1044"/>
      <c r="D602" s="142"/>
      <c r="E602" s="142"/>
      <c r="F602" s="142"/>
      <c r="G602" s="1047"/>
      <c r="H602" s="1047"/>
      <c r="I602" s="1053"/>
      <c r="J602" s="1047"/>
      <c r="K602" s="1047"/>
      <c r="L602" s="1047"/>
      <c r="M602" s="1047"/>
      <c r="N602" s="1047"/>
      <c r="O602" s="1047"/>
      <c r="P602" s="1053"/>
      <c r="Q602" s="1047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4" customFormat="1">
      <c r="A603" s="1044"/>
      <c r="B603" s="1044"/>
      <c r="C603" s="1044"/>
      <c r="D603" s="142"/>
      <c r="E603" s="142"/>
      <c r="F603" s="142"/>
      <c r="G603" s="1047"/>
      <c r="H603" s="1047"/>
      <c r="I603" s="1053"/>
      <c r="J603" s="1047"/>
      <c r="K603" s="1047"/>
      <c r="L603" s="1047"/>
      <c r="M603" s="1047"/>
      <c r="N603" s="1047"/>
      <c r="O603" s="1047"/>
      <c r="P603" s="1053"/>
      <c r="Q603" s="1047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4" customFormat="1">
      <c r="A604" s="1044"/>
      <c r="B604" s="1044"/>
      <c r="C604" s="1044"/>
      <c r="D604" s="142"/>
      <c r="E604" s="142"/>
      <c r="F604" s="142"/>
      <c r="G604" s="1047"/>
      <c r="H604" s="1047"/>
      <c r="I604" s="1053"/>
      <c r="J604" s="1047"/>
      <c r="K604" s="1047"/>
      <c r="L604" s="1047"/>
      <c r="M604" s="1047"/>
      <c r="N604" s="1047"/>
      <c r="O604" s="1047"/>
      <c r="P604" s="1053"/>
      <c r="Q604" s="1047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4" customFormat="1">
      <c r="A605" s="1044"/>
      <c r="B605" s="1044"/>
      <c r="C605" s="1044"/>
      <c r="D605" s="142"/>
      <c r="E605" s="142"/>
      <c r="F605" s="142"/>
      <c r="G605" s="1047"/>
      <c r="H605" s="1047"/>
      <c r="I605" s="1053"/>
      <c r="J605" s="1047"/>
      <c r="K605" s="1047"/>
      <c r="L605" s="1047"/>
      <c r="M605" s="1047"/>
      <c r="N605" s="1047"/>
      <c r="O605" s="1047"/>
      <c r="P605" s="1053"/>
      <c r="Q605" s="1047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4" customFormat="1">
      <c r="A606" s="1044"/>
      <c r="B606" s="1044"/>
      <c r="C606" s="1044"/>
      <c r="D606" s="142"/>
      <c r="E606" s="142"/>
      <c r="F606" s="142"/>
      <c r="G606" s="1047"/>
      <c r="H606" s="1047"/>
      <c r="I606" s="1053"/>
      <c r="J606" s="1047"/>
      <c r="K606" s="1047"/>
      <c r="L606" s="1047"/>
      <c r="M606" s="1047"/>
      <c r="N606" s="1047"/>
      <c r="O606" s="1047"/>
      <c r="P606" s="1053"/>
      <c r="Q606" s="1047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4" customFormat="1">
      <c r="A607" s="1044"/>
      <c r="B607" s="1044"/>
      <c r="C607" s="1044"/>
      <c r="D607" s="142"/>
      <c r="E607" s="142"/>
      <c r="F607" s="142"/>
      <c r="G607" s="1047"/>
      <c r="H607" s="1047"/>
      <c r="I607" s="1053"/>
      <c r="J607" s="1047"/>
      <c r="K607" s="1047"/>
      <c r="L607" s="1047"/>
      <c r="M607" s="1047"/>
      <c r="N607" s="1047"/>
      <c r="O607" s="1047"/>
      <c r="P607" s="1053"/>
      <c r="Q607" s="1047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4" customFormat="1">
      <c r="A608" s="1044"/>
      <c r="B608" s="1044"/>
      <c r="C608" s="1044"/>
      <c r="D608" s="142"/>
      <c r="E608" s="142"/>
      <c r="F608" s="142"/>
      <c r="G608" s="1047"/>
      <c r="H608" s="1047"/>
      <c r="I608" s="1053"/>
      <c r="J608" s="1047"/>
      <c r="K608" s="1047"/>
      <c r="L608" s="1047"/>
      <c r="M608" s="1047"/>
      <c r="N608" s="1047"/>
      <c r="O608" s="1047"/>
      <c r="P608" s="1053"/>
      <c r="Q608" s="1047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4" customFormat="1">
      <c r="A609" s="1044"/>
      <c r="B609" s="1044"/>
      <c r="C609" s="1044"/>
      <c r="D609" s="142"/>
      <c r="E609" s="142"/>
      <c r="F609" s="142"/>
      <c r="G609" s="1047"/>
      <c r="H609" s="1047"/>
      <c r="I609" s="1053"/>
      <c r="J609" s="1047"/>
      <c r="K609" s="1047"/>
      <c r="L609" s="1047"/>
      <c r="M609" s="1047"/>
      <c r="N609" s="1047"/>
      <c r="O609" s="1047"/>
      <c r="P609" s="1053"/>
      <c r="Q609" s="1047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4" customFormat="1">
      <c r="A610" s="1044"/>
      <c r="B610" s="1044"/>
      <c r="C610" s="1044"/>
      <c r="D610" s="142"/>
      <c r="E610" s="142"/>
      <c r="F610" s="142"/>
      <c r="G610" s="1047"/>
      <c r="H610" s="1047"/>
      <c r="I610" s="1053"/>
      <c r="J610" s="1047"/>
      <c r="K610" s="1047"/>
      <c r="L610" s="1047"/>
      <c r="M610" s="1047"/>
      <c r="N610" s="1047"/>
      <c r="O610" s="1047"/>
      <c r="P610" s="1053"/>
      <c r="Q610" s="1047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4" customFormat="1">
      <c r="A611" s="1044"/>
      <c r="B611" s="1044"/>
      <c r="C611" s="1044"/>
      <c r="D611" s="142"/>
      <c r="E611" s="142"/>
      <c r="F611" s="142"/>
      <c r="G611" s="1047"/>
      <c r="H611" s="1047"/>
      <c r="I611" s="1053"/>
      <c r="J611" s="1047"/>
      <c r="K611" s="1047"/>
      <c r="L611" s="1047"/>
      <c r="M611" s="1047"/>
      <c r="N611" s="1047"/>
      <c r="O611" s="1047"/>
      <c r="P611" s="1053"/>
      <c r="Q611" s="1047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4" customFormat="1">
      <c r="A612" s="1044"/>
      <c r="B612" s="1044"/>
      <c r="C612" s="1044"/>
      <c r="D612" s="142"/>
      <c r="E612" s="142"/>
      <c r="F612" s="142"/>
      <c r="G612" s="1047"/>
      <c r="H612" s="1047"/>
      <c r="I612" s="1053"/>
      <c r="J612" s="1047"/>
      <c r="K612" s="1047"/>
      <c r="L612" s="1047"/>
      <c r="M612" s="1047"/>
      <c r="N612" s="1047"/>
      <c r="O612" s="1047"/>
      <c r="P612" s="1053"/>
      <c r="Q612" s="1047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4" customFormat="1">
      <c r="A613" s="1044"/>
      <c r="B613" s="1044"/>
      <c r="C613" s="1044"/>
      <c r="D613" s="142"/>
      <c r="E613" s="142"/>
      <c r="F613" s="142"/>
      <c r="G613" s="1047"/>
      <c r="H613" s="1047"/>
      <c r="I613" s="1053"/>
      <c r="J613" s="1047"/>
      <c r="K613" s="1047"/>
      <c r="L613" s="1047"/>
      <c r="M613" s="1047"/>
      <c r="N613" s="1047"/>
      <c r="O613" s="1047"/>
      <c r="P613" s="1053"/>
      <c r="Q613" s="1047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4" customFormat="1">
      <c r="A614" s="1044"/>
      <c r="B614" s="1044"/>
      <c r="C614" s="1044"/>
      <c r="D614" s="142"/>
      <c r="E614" s="142"/>
      <c r="F614" s="142"/>
      <c r="G614" s="1047"/>
      <c r="H614" s="1047"/>
      <c r="I614" s="1053"/>
      <c r="J614" s="1047"/>
      <c r="K614" s="1047"/>
      <c r="L614" s="1047"/>
      <c r="M614" s="1047"/>
      <c r="N614" s="1047"/>
      <c r="O614" s="1047"/>
      <c r="P614" s="1053"/>
      <c r="Q614" s="1047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4" customFormat="1">
      <c r="A615" s="1044"/>
      <c r="B615" s="1044"/>
      <c r="C615" s="1044"/>
      <c r="D615" s="142"/>
      <c r="E615" s="142"/>
      <c r="F615" s="142"/>
      <c r="G615" s="1047"/>
      <c r="H615" s="1047"/>
      <c r="I615" s="1053"/>
      <c r="J615" s="1047"/>
      <c r="K615" s="1047"/>
      <c r="L615" s="1047"/>
      <c r="M615" s="1047"/>
      <c r="N615" s="1047"/>
      <c r="O615" s="1047"/>
      <c r="P615" s="1053"/>
      <c r="Q615" s="1047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4" customFormat="1">
      <c r="A616" s="1044"/>
      <c r="B616" s="1044"/>
      <c r="C616" s="1044"/>
      <c r="D616" s="142"/>
      <c r="E616" s="142"/>
      <c r="F616" s="142"/>
      <c r="G616" s="1047"/>
      <c r="H616" s="1047"/>
      <c r="I616" s="1053"/>
      <c r="J616" s="1047"/>
      <c r="K616" s="1047"/>
      <c r="L616" s="1047"/>
      <c r="M616" s="1047"/>
      <c r="N616" s="1047"/>
      <c r="O616" s="1047"/>
      <c r="P616" s="1053"/>
      <c r="Q616" s="1047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4" customFormat="1">
      <c r="A617" s="1044"/>
      <c r="B617" s="1044"/>
      <c r="C617" s="1044"/>
      <c r="D617" s="142"/>
      <c r="E617" s="142"/>
      <c r="F617" s="142"/>
      <c r="G617" s="1047"/>
      <c r="H617" s="1047"/>
      <c r="I617" s="1053"/>
      <c r="J617" s="1047"/>
      <c r="K617" s="1047"/>
      <c r="L617" s="1047"/>
      <c r="M617" s="1047"/>
      <c r="N617" s="1047"/>
      <c r="O617" s="1047"/>
      <c r="P617" s="1053"/>
      <c r="Q617" s="1047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4" customFormat="1">
      <c r="A618" s="1044"/>
      <c r="B618" s="1044"/>
      <c r="C618" s="1044"/>
      <c r="D618" s="142"/>
      <c r="E618" s="142"/>
      <c r="F618" s="142"/>
      <c r="G618" s="1047"/>
      <c r="H618" s="1047"/>
      <c r="I618" s="1053"/>
      <c r="J618" s="1047"/>
      <c r="K618" s="1047"/>
      <c r="L618" s="1047"/>
      <c r="M618" s="1047"/>
      <c r="N618" s="1047"/>
      <c r="O618" s="1047"/>
      <c r="P618" s="1053"/>
      <c r="Q618" s="1047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4" customFormat="1">
      <c r="A619" s="1044"/>
      <c r="B619" s="1044"/>
      <c r="C619" s="1044"/>
      <c r="D619" s="142"/>
      <c r="E619" s="142"/>
      <c r="F619" s="142"/>
      <c r="G619" s="1047"/>
      <c r="H619" s="1047"/>
      <c r="I619" s="1053"/>
      <c r="J619" s="1047"/>
      <c r="K619" s="1047"/>
      <c r="L619" s="1047"/>
      <c r="M619" s="1047"/>
      <c r="N619" s="1047"/>
      <c r="O619" s="1047"/>
      <c r="P619" s="1053"/>
      <c r="Q619" s="1047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4" customFormat="1">
      <c r="A620" s="1044"/>
      <c r="B620" s="1044"/>
      <c r="C620" s="1044"/>
      <c r="D620" s="142"/>
      <c r="E620" s="142"/>
      <c r="F620" s="142"/>
      <c r="G620" s="1047"/>
      <c r="H620" s="1047"/>
      <c r="I620" s="1053"/>
      <c r="J620" s="1047"/>
      <c r="K620" s="1047"/>
      <c r="L620" s="1047"/>
      <c r="M620" s="1047"/>
      <c r="N620" s="1047"/>
      <c r="O620" s="1047"/>
      <c r="P620" s="1053"/>
      <c r="Q620" s="1047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4" customFormat="1">
      <c r="A621" s="1044"/>
      <c r="B621" s="1044"/>
      <c r="C621" s="1044"/>
      <c r="D621" s="142"/>
      <c r="E621" s="142"/>
      <c r="F621" s="142"/>
      <c r="G621" s="1047"/>
      <c r="H621" s="1047"/>
      <c r="I621" s="1053"/>
      <c r="J621" s="1047"/>
      <c r="K621" s="1047"/>
      <c r="L621" s="1047"/>
      <c r="M621" s="1047"/>
      <c r="N621" s="1047"/>
      <c r="O621" s="1047"/>
      <c r="P621" s="1053"/>
      <c r="Q621" s="1047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4" customFormat="1">
      <c r="A622" s="1044"/>
      <c r="B622" s="1044"/>
      <c r="C622" s="1044"/>
      <c r="D622" s="142"/>
      <c r="E622" s="142"/>
      <c r="F622" s="142"/>
      <c r="G622" s="1047"/>
      <c r="H622" s="1047"/>
      <c r="I622" s="1053"/>
      <c r="J622" s="1047"/>
      <c r="K622" s="1047"/>
      <c r="L622" s="1047"/>
      <c r="M622" s="1047"/>
      <c r="N622" s="1047"/>
      <c r="O622" s="1047"/>
      <c r="P622" s="1053"/>
      <c r="Q622" s="1047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4" customFormat="1">
      <c r="A623" s="1044"/>
      <c r="B623" s="1044"/>
      <c r="C623" s="1044"/>
      <c r="D623" s="142"/>
      <c r="E623" s="142"/>
      <c r="F623" s="142"/>
      <c r="G623" s="1047"/>
      <c r="H623" s="1047"/>
      <c r="I623" s="1053"/>
      <c r="J623" s="1047"/>
      <c r="K623" s="1047"/>
      <c r="L623" s="1047"/>
      <c r="M623" s="1047"/>
      <c r="N623" s="1047"/>
      <c r="O623" s="1047"/>
      <c r="P623" s="1053"/>
      <c r="Q623" s="1047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4" customFormat="1">
      <c r="A624" s="1044"/>
      <c r="B624" s="1044"/>
      <c r="C624" s="1044"/>
      <c r="D624" s="142"/>
      <c r="E624" s="142"/>
      <c r="F624" s="142"/>
      <c r="G624" s="1047"/>
      <c r="H624" s="1047"/>
      <c r="I624" s="1053"/>
      <c r="J624" s="1047"/>
      <c r="K624" s="1047"/>
      <c r="L624" s="1047"/>
      <c r="M624" s="1047"/>
      <c r="N624" s="1047"/>
      <c r="O624" s="1047"/>
      <c r="P624" s="1053"/>
      <c r="Q624" s="1047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4" customFormat="1">
      <c r="A625" s="1044"/>
      <c r="B625" s="1044"/>
      <c r="C625" s="1044"/>
      <c r="D625" s="142"/>
      <c r="E625" s="142"/>
      <c r="F625" s="142"/>
      <c r="G625" s="1047"/>
      <c r="H625" s="1047"/>
      <c r="I625" s="1053"/>
      <c r="J625" s="1047"/>
      <c r="K625" s="1047"/>
      <c r="L625" s="1047"/>
      <c r="M625" s="1047"/>
      <c r="N625" s="1047"/>
      <c r="O625" s="1047"/>
      <c r="P625" s="1053"/>
      <c r="Q625" s="1047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4" customFormat="1">
      <c r="A626" s="1044"/>
      <c r="B626" s="1044"/>
      <c r="C626" s="1044"/>
      <c r="D626" s="142"/>
      <c r="E626" s="142"/>
      <c r="F626" s="142"/>
      <c r="G626" s="1047"/>
      <c r="H626" s="1047"/>
      <c r="I626" s="1053"/>
      <c r="J626" s="1047"/>
      <c r="K626" s="1047"/>
      <c r="L626" s="1047"/>
      <c r="M626" s="1047"/>
      <c r="N626" s="1047"/>
      <c r="O626" s="1047"/>
      <c r="P626" s="1053"/>
      <c r="Q626" s="1047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4" customFormat="1">
      <c r="A627" s="1044"/>
      <c r="B627" s="1044"/>
      <c r="C627" s="1044"/>
      <c r="D627" s="142"/>
      <c r="E627" s="142"/>
      <c r="F627" s="142"/>
      <c r="G627" s="1047"/>
      <c r="H627" s="1047"/>
      <c r="I627" s="1053"/>
      <c r="J627" s="1047"/>
      <c r="K627" s="1047"/>
      <c r="L627" s="1047"/>
      <c r="M627" s="1047"/>
      <c r="N627" s="1047"/>
      <c r="O627" s="1047"/>
      <c r="P627" s="1053"/>
      <c r="Q627" s="1047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4" customFormat="1">
      <c r="A628" s="1044"/>
      <c r="B628" s="1044"/>
      <c r="C628" s="1044"/>
      <c r="D628" s="142"/>
      <c r="E628" s="142"/>
      <c r="F628" s="142"/>
      <c r="G628" s="1047"/>
      <c r="H628" s="1047"/>
      <c r="I628" s="1053"/>
      <c r="J628" s="1047"/>
      <c r="K628" s="1047"/>
      <c r="L628" s="1047"/>
      <c r="M628" s="1047"/>
      <c r="N628" s="1047"/>
      <c r="O628" s="1047"/>
      <c r="P628" s="1053"/>
      <c r="Q628" s="1047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4" customFormat="1">
      <c r="A629" s="1044"/>
      <c r="B629" s="1044"/>
      <c r="C629" s="1044"/>
      <c r="D629" s="142"/>
      <c r="E629" s="142"/>
      <c r="F629" s="142"/>
      <c r="G629" s="1047"/>
      <c r="H629" s="1047"/>
      <c r="I629" s="1053"/>
      <c r="J629" s="1047"/>
      <c r="K629" s="1047"/>
      <c r="L629" s="1047"/>
      <c r="M629" s="1047"/>
      <c r="N629" s="1047"/>
      <c r="O629" s="1047"/>
      <c r="P629" s="1053"/>
      <c r="Q629" s="1047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4" customFormat="1">
      <c r="A630" s="1044"/>
      <c r="B630" s="1044"/>
      <c r="C630" s="1044"/>
      <c r="D630" s="142"/>
      <c r="E630" s="142"/>
      <c r="F630" s="142"/>
      <c r="G630" s="1047"/>
      <c r="H630" s="1047"/>
      <c r="I630" s="1053"/>
      <c r="J630" s="1047"/>
      <c r="K630" s="1047"/>
      <c r="L630" s="1047"/>
      <c r="M630" s="1047"/>
      <c r="N630" s="1047"/>
      <c r="O630" s="1047"/>
      <c r="P630" s="1053"/>
      <c r="Q630" s="1047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4" customFormat="1">
      <c r="A631" s="1044"/>
      <c r="B631" s="1044"/>
      <c r="C631" s="1044"/>
      <c r="D631" s="142"/>
      <c r="E631" s="142"/>
      <c r="F631" s="142"/>
      <c r="G631" s="1047"/>
      <c r="H631" s="1047"/>
      <c r="I631" s="1053"/>
      <c r="J631" s="1047"/>
      <c r="K631" s="1047"/>
      <c r="L631" s="1047"/>
      <c r="M631" s="1047"/>
      <c r="N631" s="1047"/>
      <c r="O631" s="1047"/>
      <c r="P631" s="1053"/>
      <c r="Q631" s="1047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4" customFormat="1">
      <c r="A632" s="1044"/>
      <c r="B632" s="1044"/>
      <c r="C632" s="1044"/>
      <c r="D632" s="142"/>
      <c r="E632" s="142"/>
      <c r="F632" s="142"/>
      <c r="G632" s="1047"/>
      <c r="H632" s="1047"/>
      <c r="I632" s="1053"/>
      <c r="J632" s="1047"/>
      <c r="K632" s="1047"/>
      <c r="L632" s="1047"/>
      <c r="M632" s="1047"/>
      <c r="N632" s="1047"/>
      <c r="O632" s="1047"/>
      <c r="P632" s="1053"/>
      <c r="Q632" s="1047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4" customFormat="1">
      <c r="A633" s="1044"/>
      <c r="B633" s="1044"/>
      <c r="C633" s="1044"/>
      <c r="D633" s="142"/>
      <c r="E633" s="142"/>
      <c r="F633" s="142"/>
      <c r="G633" s="1047"/>
      <c r="H633" s="1047"/>
      <c r="I633" s="1053"/>
      <c r="J633" s="1047"/>
      <c r="K633" s="1047"/>
      <c r="L633" s="1047"/>
      <c r="M633" s="1047"/>
      <c r="N633" s="1047"/>
      <c r="O633" s="1047"/>
      <c r="P633" s="1053"/>
      <c r="Q633" s="1047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4" customFormat="1">
      <c r="A634" s="1044"/>
      <c r="B634" s="1044"/>
      <c r="C634" s="1044"/>
      <c r="D634" s="142"/>
      <c r="E634" s="142"/>
      <c r="F634" s="142"/>
      <c r="G634" s="1047"/>
      <c r="H634" s="1047"/>
      <c r="I634" s="1053"/>
      <c r="J634" s="1047"/>
      <c r="K634" s="1047"/>
      <c r="L634" s="1047"/>
      <c r="M634" s="1047"/>
      <c r="N634" s="1047"/>
      <c r="O634" s="1047"/>
      <c r="P634" s="1053"/>
      <c r="Q634" s="1047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4" customFormat="1">
      <c r="A635" s="1044"/>
      <c r="B635" s="1044"/>
      <c r="C635" s="1044"/>
      <c r="D635" s="142"/>
      <c r="E635" s="142"/>
      <c r="F635" s="142"/>
      <c r="G635" s="1047"/>
      <c r="H635" s="1047"/>
      <c r="I635" s="1053"/>
      <c r="J635" s="1047"/>
      <c r="K635" s="1047"/>
      <c r="L635" s="1047"/>
      <c r="M635" s="1047"/>
      <c r="N635" s="1047"/>
      <c r="O635" s="1047"/>
      <c r="P635" s="1053"/>
      <c r="Q635" s="1047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4" customFormat="1">
      <c r="A636" s="1044"/>
      <c r="B636" s="1044"/>
      <c r="C636" s="1044"/>
      <c r="D636" s="142"/>
      <c r="E636" s="142"/>
      <c r="F636" s="142"/>
      <c r="G636" s="1047"/>
      <c r="H636" s="1047"/>
      <c r="I636" s="1053"/>
      <c r="J636" s="1047"/>
      <c r="K636" s="1047"/>
      <c r="L636" s="1047"/>
      <c r="M636" s="1047"/>
      <c r="N636" s="1047"/>
      <c r="O636" s="1047"/>
      <c r="P636" s="1053"/>
      <c r="Q636" s="1047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4" customFormat="1">
      <c r="A637" s="1044"/>
      <c r="B637" s="1044"/>
      <c r="C637" s="1044"/>
      <c r="D637" s="142"/>
      <c r="E637" s="142"/>
      <c r="F637" s="142"/>
      <c r="G637" s="1047"/>
      <c r="H637" s="1047"/>
      <c r="I637" s="1053"/>
      <c r="J637" s="1047"/>
      <c r="K637" s="1047"/>
      <c r="L637" s="1047"/>
      <c r="M637" s="1047"/>
      <c r="N637" s="1047"/>
      <c r="O637" s="1047"/>
      <c r="P637" s="1053"/>
      <c r="Q637" s="1047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4" customFormat="1">
      <c r="A638" s="1044"/>
      <c r="B638" s="1044"/>
      <c r="C638" s="1044"/>
      <c r="D638" s="142"/>
      <c r="E638" s="142"/>
      <c r="F638" s="142"/>
      <c r="G638" s="1047"/>
      <c r="H638" s="1047"/>
      <c r="I638" s="1053"/>
      <c r="J638" s="1047"/>
      <c r="K638" s="1047"/>
      <c r="L638" s="1047"/>
      <c r="M638" s="1047"/>
      <c r="N638" s="1047"/>
      <c r="O638" s="1047"/>
      <c r="P638" s="1053"/>
      <c r="Q638" s="1047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4" customFormat="1">
      <c r="A639" s="1044"/>
      <c r="B639" s="1044"/>
      <c r="C639" s="1044"/>
      <c r="D639" s="142"/>
      <c r="E639" s="142"/>
      <c r="F639" s="142"/>
      <c r="G639" s="1047"/>
      <c r="H639" s="1047"/>
      <c r="I639" s="1053"/>
      <c r="J639" s="1047"/>
      <c r="K639" s="1047"/>
      <c r="L639" s="1047"/>
      <c r="M639" s="1047"/>
      <c r="N639" s="1047"/>
      <c r="O639" s="1047"/>
      <c r="P639" s="1053"/>
      <c r="Q639" s="1047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4" customFormat="1">
      <c r="A640" s="1044"/>
      <c r="B640" s="1044"/>
      <c r="C640" s="1044"/>
      <c r="D640" s="142"/>
      <c r="E640" s="142"/>
      <c r="F640" s="142"/>
      <c r="G640" s="1047"/>
      <c r="H640" s="1047"/>
      <c r="I640" s="1053"/>
      <c r="J640" s="1047"/>
      <c r="K640" s="1047"/>
      <c r="L640" s="1047"/>
      <c r="M640" s="1047"/>
      <c r="N640" s="1047"/>
      <c r="O640" s="1047"/>
      <c r="P640" s="1053"/>
      <c r="Q640" s="1047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4" customFormat="1">
      <c r="A641" s="1044"/>
      <c r="B641" s="1044"/>
      <c r="C641" s="1044"/>
      <c r="D641" s="142"/>
      <c r="E641" s="142"/>
      <c r="F641" s="142"/>
      <c r="G641" s="1047"/>
      <c r="H641" s="1047"/>
      <c r="I641" s="1053"/>
      <c r="J641" s="1047"/>
      <c r="K641" s="1047"/>
      <c r="L641" s="1047"/>
      <c r="M641" s="1047"/>
      <c r="N641" s="1047"/>
      <c r="O641" s="1047"/>
      <c r="P641" s="1053"/>
      <c r="Q641" s="1047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4" customFormat="1">
      <c r="A642" s="1044"/>
      <c r="B642" s="1044"/>
      <c r="C642" s="1044"/>
      <c r="D642" s="142"/>
      <c r="E642" s="142"/>
      <c r="F642" s="142"/>
      <c r="G642" s="1047"/>
      <c r="H642" s="1047"/>
      <c r="I642" s="1053"/>
      <c r="J642" s="1047"/>
      <c r="K642" s="1047"/>
      <c r="L642" s="1047"/>
      <c r="M642" s="1047"/>
      <c r="N642" s="1047"/>
      <c r="O642" s="1047"/>
      <c r="P642" s="1053"/>
      <c r="Q642" s="1047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4" customFormat="1">
      <c r="A643" s="1044"/>
      <c r="B643" s="1044"/>
      <c r="C643" s="1044"/>
      <c r="D643" s="142"/>
      <c r="E643" s="142"/>
      <c r="F643" s="142"/>
      <c r="G643" s="1047"/>
      <c r="H643" s="1047"/>
      <c r="I643" s="1053"/>
      <c r="J643" s="1047"/>
      <c r="K643" s="1047"/>
      <c r="L643" s="1047"/>
      <c r="M643" s="1047"/>
      <c r="N643" s="1047"/>
      <c r="O643" s="1047"/>
      <c r="P643" s="1053"/>
      <c r="Q643" s="1047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4" customFormat="1">
      <c r="A644" s="1044"/>
      <c r="B644" s="1044"/>
      <c r="C644" s="1044"/>
      <c r="D644" s="142"/>
      <c r="E644" s="142"/>
      <c r="F644" s="142"/>
      <c r="G644" s="1047"/>
      <c r="H644" s="1047"/>
      <c r="I644" s="1053"/>
      <c r="J644" s="1047"/>
      <c r="K644" s="1047"/>
      <c r="L644" s="1047"/>
      <c r="M644" s="1047"/>
      <c r="N644" s="1047"/>
      <c r="O644" s="1047"/>
      <c r="P644" s="1053"/>
      <c r="Q644" s="1047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4" customFormat="1">
      <c r="A645" s="1044"/>
      <c r="B645" s="1044"/>
      <c r="C645" s="1044"/>
      <c r="D645" s="142"/>
      <c r="E645" s="142"/>
      <c r="F645" s="142"/>
      <c r="G645" s="1047"/>
      <c r="H645" s="1047"/>
      <c r="I645" s="1053"/>
      <c r="J645" s="1047"/>
      <c r="K645" s="1047"/>
      <c r="L645" s="1047"/>
      <c r="M645" s="1047"/>
      <c r="N645" s="1047"/>
      <c r="O645" s="1047"/>
      <c r="P645" s="1053"/>
      <c r="Q645" s="1047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4" customFormat="1">
      <c r="A646" s="1044"/>
      <c r="B646" s="1044"/>
      <c r="C646" s="1044"/>
      <c r="D646" s="142"/>
      <c r="E646" s="142"/>
      <c r="F646" s="142"/>
      <c r="G646" s="1047"/>
      <c r="H646" s="1047"/>
      <c r="I646" s="1053"/>
      <c r="J646" s="1047"/>
      <c r="K646" s="1047"/>
      <c r="L646" s="1047"/>
      <c r="M646" s="1047"/>
      <c r="N646" s="1047"/>
      <c r="O646" s="1047"/>
      <c r="P646" s="1053"/>
      <c r="Q646" s="1047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4" customFormat="1">
      <c r="A647" s="1044"/>
      <c r="B647" s="1044"/>
      <c r="C647" s="1044"/>
      <c r="D647" s="142"/>
      <c r="E647" s="142"/>
      <c r="F647" s="142"/>
      <c r="G647" s="1047"/>
      <c r="H647" s="1047"/>
      <c r="I647" s="1053"/>
      <c r="J647" s="1047"/>
      <c r="K647" s="1047"/>
      <c r="L647" s="1047"/>
      <c r="M647" s="1047"/>
      <c r="N647" s="1047"/>
      <c r="O647" s="1047"/>
      <c r="P647" s="1053"/>
      <c r="Q647" s="1047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4" customFormat="1">
      <c r="A648" s="1044"/>
      <c r="B648" s="1044"/>
      <c r="C648" s="1044"/>
      <c r="D648" s="142"/>
      <c r="E648" s="142"/>
      <c r="F648" s="142"/>
      <c r="G648" s="1047"/>
      <c r="H648" s="1047"/>
      <c r="I648" s="1053"/>
      <c r="J648" s="1047"/>
      <c r="K648" s="1047"/>
      <c r="L648" s="1047"/>
      <c r="M648" s="1047"/>
      <c r="N648" s="1047"/>
      <c r="O648" s="1047"/>
      <c r="P648" s="1053"/>
      <c r="Q648" s="1047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4" customFormat="1">
      <c r="A649" s="1044"/>
      <c r="B649" s="1044"/>
      <c r="C649" s="1044"/>
      <c r="D649" s="142"/>
      <c r="E649" s="142"/>
      <c r="F649" s="142"/>
      <c r="G649" s="1047"/>
      <c r="H649" s="1047"/>
      <c r="I649" s="1053"/>
      <c r="J649" s="1047"/>
      <c r="K649" s="1047"/>
      <c r="L649" s="1047"/>
      <c r="M649" s="1047"/>
      <c r="N649" s="1047"/>
      <c r="O649" s="1047"/>
      <c r="P649" s="1053"/>
      <c r="Q649" s="1047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4" customFormat="1">
      <c r="A650" s="1044"/>
      <c r="B650" s="1044"/>
      <c r="C650" s="1044"/>
      <c r="D650" s="142"/>
      <c r="E650" s="142"/>
      <c r="F650" s="142"/>
      <c r="G650" s="1047"/>
      <c r="H650" s="1047"/>
      <c r="I650" s="1053"/>
      <c r="J650" s="1047"/>
      <c r="K650" s="1047"/>
      <c r="L650" s="1047"/>
      <c r="M650" s="1047"/>
      <c r="N650" s="1047"/>
      <c r="O650" s="1047"/>
      <c r="P650" s="1053"/>
      <c r="Q650" s="1047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4" customFormat="1">
      <c r="A651" s="1044"/>
      <c r="B651" s="1044"/>
      <c r="C651" s="1044"/>
      <c r="D651" s="142"/>
      <c r="E651" s="142"/>
      <c r="F651" s="142"/>
      <c r="G651" s="1047"/>
      <c r="H651" s="1047"/>
      <c r="I651" s="1053"/>
      <c r="J651" s="1047"/>
      <c r="K651" s="1047"/>
      <c r="L651" s="1047"/>
      <c r="M651" s="1047"/>
      <c r="N651" s="1047"/>
      <c r="O651" s="1047"/>
      <c r="P651" s="1053"/>
      <c r="Q651" s="1047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4" customFormat="1">
      <c r="A652" s="1044"/>
      <c r="B652" s="1044"/>
      <c r="C652" s="1044"/>
      <c r="D652" s="142"/>
      <c r="E652" s="142"/>
      <c r="F652" s="142"/>
      <c r="G652" s="1047"/>
      <c r="H652" s="1047"/>
      <c r="I652" s="1053"/>
      <c r="J652" s="1047"/>
      <c r="K652" s="1047"/>
      <c r="L652" s="1047"/>
      <c r="M652" s="1047"/>
      <c r="N652" s="1047"/>
      <c r="O652" s="1047"/>
      <c r="P652" s="1053"/>
      <c r="Q652" s="1047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4" customFormat="1">
      <c r="A653" s="1044"/>
      <c r="B653" s="1044"/>
      <c r="C653" s="1044"/>
      <c r="D653" s="142"/>
      <c r="E653" s="142"/>
      <c r="F653" s="142"/>
      <c r="G653" s="1047"/>
      <c r="H653" s="1047"/>
      <c r="I653" s="1053"/>
      <c r="J653" s="1047"/>
      <c r="K653" s="1047"/>
      <c r="L653" s="1047"/>
      <c r="M653" s="1047"/>
      <c r="N653" s="1047"/>
      <c r="O653" s="1047"/>
      <c r="P653" s="1053"/>
      <c r="Q653" s="1047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4" customFormat="1">
      <c r="A654" s="1044"/>
      <c r="B654" s="1044"/>
      <c r="C654" s="1044"/>
      <c r="D654" s="142"/>
      <c r="E654" s="142"/>
      <c r="F654" s="142"/>
      <c r="G654" s="1047"/>
      <c r="H654" s="1047"/>
      <c r="I654" s="1053"/>
      <c r="J654" s="1047"/>
      <c r="K654" s="1047"/>
      <c r="L654" s="1047"/>
      <c r="M654" s="1047"/>
      <c r="N654" s="1047"/>
      <c r="O654" s="1047"/>
      <c r="P654" s="1053"/>
      <c r="Q654" s="1047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4" customFormat="1">
      <c r="A655" s="1044"/>
      <c r="B655" s="1044"/>
      <c r="C655" s="1044"/>
      <c r="D655" s="142"/>
      <c r="E655" s="142"/>
      <c r="F655" s="142"/>
      <c r="G655" s="1047"/>
      <c r="H655" s="1047"/>
      <c r="I655" s="1053"/>
      <c r="J655" s="1047"/>
      <c r="K655" s="1047"/>
      <c r="L655" s="1047"/>
      <c r="M655" s="1047"/>
      <c r="N655" s="1047"/>
      <c r="O655" s="1047"/>
      <c r="P655" s="1053"/>
      <c r="Q655" s="1047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4" customFormat="1">
      <c r="A656" s="1044"/>
      <c r="B656" s="1044"/>
      <c r="C656" s="1044"/>
      <c r="D656" s="142"/>
      <c r="E656" s="142"/>
      <c r="F656" s="142"/>
      <c r="G656" s="1047"/>
      <c r="H656" s="1047"/>
      <c r="I656" s="1053"/>
      <c r="J656" s="1047"/>
      <c r="K656" s="1047"/>
      <c r="L656" s="1047"/>
      <c r="M656" s="1047"/>
      <c r="N656" s="1047"/>
      <c r="O656" s="1047"/>
      <c r="P656" s="1053"/>
      <c r="Q656" s="1047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4" customFormat="1">
      <c r="A657" s="1044"/>
      <c r="B657" s="1044"/>
      <c r="C657" s="1044"/>
      <c r="D657" s="142"/>
      <c r="E657" s="142"/>
      <c r="F657" s="142"/>
      <c r="G657" s="1047"/>
      <c r="H657" s="1047"/>
      <c r="I657" s="1053"/>
      <c r="J657" s="1047"/>
      <c r="K657" s="1047"/>
      <c r="L657" s="1047"/>
      <c r="M657" s="1047"/>
      <c r="N657" s="1047"/>
      <c r="O657" s="1047"/>
      <c r="P657" s="1053"/>
      <c r="Q657" s="1047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4" customFormat="1">
      <c r="A658" s="1044"/>
      <c r="B658" s="1044"/>
      <c r="C658" s="1044"/>
      <c r="D658" s="142"/>
      <c r="E658" s="142"/>
      <c r="F658" s="142"/>
      <c r="G658" s="1047"/>
      <c r="H658" s="1047"/>
      <c r="I658" s="1053"/>
      <c r="J658" s="1047"/>
      <c r="K658" s="1047"/>
      <c r="L658" s="1047"/>
      <c r="M658" s="1047"/>
      <c r="N658" s="1047"/>
      <c r="O658" s="1047"/>
      <c r="P658" s="1053"/>
      <c r="Q658" s="1047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4" customFormat="1">
      <c r="A659" s="1044"/>
      <c r="B659" s="1044"/>
      <c r="C659" s="1044"/>
      <c r="D659" s="142"/>
      <c r="E659" s="142"/>
      <c r="F659" s="142"/>
      <c r="G659" s="1047"/>
      <c r="H659" s="1047"/>
      <c r="I659" s="1053"/>
      <c r="J659" s="1047"/>
      <c r="K659" s="1047"/>
      <c r="L659" s="1047"/>
      <c r="M659" s="1047"/>
      <c r="N659" s="1047"/>
      <c r="O659" s="1047"/>
      <c r="P659" s="1053"/>
      <c r="Q659" s="1047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4" customFormat="1">
      <c r="A660" s="1044"/>
      <c r="B660" s="1044"/>
      <c r="C660" s="1044"/>
      <c r="D660" s="142"/>
      <c r="E660" s="142"/>
      <c r="F660" s="142"/>
      <c r="G660" s="1047"/>
      <c r="H660" s="1047"/>
      <c r="I660" s="1053"/>
      <c r="J660" s="1047"/>
      <c r="K660" s="1047"/>
      <c r="L660" s="1047"/>
      <c r="M660" s="1047"/>
      <c r="N660" s="1047"/>
      <c r="O660" s="1047"/>
      <c r="P660" s="1053"/>
      <c r="Q660" s="1047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4" customFormat="1">
      <c r="A661" s="1044"/>
      <c r="B661" s="1044"/>
      <c r="C661" s="1044"/>
      <c r="D661" s="142"/>
      <c r="E661" s="142"/>
      <c r="F661" s="142"/>
      <c r="G661" s="1047"/>
      <c r="H661" s="1047"/>
      <c r="I661" s="1053"/>
      <c r="J661" s="1047"/>
      <c r="K661" s="1047"/>
      <c r="L661" s="1047"/>
      <c r="M661" s="1047"/>
      <c r="N661" s="1047"/>
      <c r="O661" s="1047"/>
      <c r="P661" s="1053"/>
      <c r="Q661" s="1047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4" customFormat="1">
      <c r="A662" s="1044"/>
      <c r="B662" s="1044"/>
      <c r="C662" s="1044"/>
      <c r="D662" s="142"/>
      <c r="E662" s="142"/>
      <c r="F662" s="142"/>
      <c r="G662" s="1047"/>
      <c r="H662" s="1047"/>
      <c r="I662" s="1053"/>
      <c r="J662" s="1047"/>
      <c r="K662" s="1047"/>
      <c r="L662" s="1047"/>
      <c r="M662" s="1047"/>
      <c r="N662" s="1047"/>
      <c r="O662" s="1047"/>
      <c r="P662" s="1053"/>
      <c r="Q662" s="1047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4" customFormat="1">
      <c r="A663" s="1044"/>
      <c r="B663" s="1044"/>
      <c r="C663" s="1044"/>
      <c r="D663" s="142"/>
      <c r="E663" s="142"/>
      <c r="F663" s="142"/>
      <c r="G663" s="1047"/>
      <c r="H663" s="1047"/>
      <c r="I663" s="1053"/>
      <c r="J663" s="1047"/>
      <c r="K663" s="1047"/>
      <c r="L663" s="1047"/>
      <c r="M663" s="1047"/>
      <c r="N663" s="1047"/>
      <c r="O663" s="1047"/>
      <c r="P663" s="1053"/>
      <c r="Q663" s="1047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4" customFormat="1">
      <c r="A664" s="1044"/>
      <c r="B664" s="1044"/>
      <c r="C664" s="1044"/>
      <c r="D664" s="142"/>
      <c r="E664" s="142"/>
      <c r="F664" s="142"/>
      <c r="G664" s="1047"/>
      <c r="H664" s="1047"/>
      <c r="I664" s="1053"/>
      <c r="J664" s="1047"/>
      <c r="K664" s="1047"/>
      <c r="L664" s="1047"/>
      <c r="M664" s="1047"/>
      <c r="N664" s="1047"/>
      <c r="O664" s="1047"/>
      <c r="P664" s="1053"/>
      <c r="Q664" s="1047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4" customFormat="1">
      <c r="A665" s="1044"/>
      <c r="B665" s="1044"/>
      <c r="C665" s="1044"/>
      <c r="D665" s="142"/>
      <c r="E665" s="142"/>
      <c r="F665" s="142"/>
      <c r="G665" s="1047"/>
      <c r="H665" s="1047"/>
      <c r="I665" s="1053"/>
      <c r="J665" s="1047"/>
      <c r="K665" s="1047"/>
      <c r="L665" s="1047"/>
      <c r="M665" s="1047"/>
      <c r="N665" s="1047"/>
      <c r="O665" s="1047"/>
      <c r="P665" s="1053"/>
      <c r="Q665" s="1047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4" customFormat="1">
      <c r="A666" s="1044"/>
      <c r="B666" s="1044"/>
      <c r="C666" s="1044"/>
      <c r="D666" s="142"/>
      <c r="E666" s="142"/>
      <c r="F666" s="142"/>
      <c r="G666" s="1047"/>
      <c r="H666" s="1047"/>
      <c r="I666" s="1053"/>
      <c r="J666" s="1047"/>
      <c r="K666" s="1047"/>
      <c r="L666" s="1047"/>
      <c r="M666" s="1047"/>
      <c r="N666" s="1047"/>
      <c r="O666" s="1047"/>
      <c r="P666" s="1053"/>
      <c r="Q666" s="1047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4" customFormat="1">
      <c r="A667" s="1044"/>
      <c r="B667" s="1044"/>
      <c r="C667" s="1044"/>
      <c r="D667" s="142"/>
      <c r="E667" s="142"/>
      <c r="F667" s="142"/>
      <c r="G667" s="1047"/>
      <c r="H667" s="1047"/>
      <c r="I667" s="1053"/>
      <c r="J667" s="1047"/>
      <c r="K667" s="1047"/>
      <c r="L667" s="1047"/>
      <c r="M667" s="1047"/>
      <c r="N667" s="1047"/>
      <c r="O667" s="1047"/>
      <c r="P667" s="1053"/>
      <c r="Q667" s="1047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4" customFormat="1">
      <c r="A668" s="1044"/>
      <c r="B668" s="1044"/>
      <c r="C668" s="1044"/>
      <c r="D668" s="142"/>
      <c r="E668" s="142"/>
      <c r="F668" s="142"/>
      <c r="G668" s="1047"/>
      <c r="H668" s="1047"/>
      <c r="I668" s="1053"/>
      <c r="J668" s="1047"/>
      <c r="K668" s="1047"/>
      <c r="L668" s="1047"/>
      <c r="M668" s="1047"/>
      <c r="N668" s="1047"/>
      <c r="O668" s="1047"/>
      <c r="P668" s="1053"/>
      <c r="Q668" s="1047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4" customFormat="1">
      <c r="A669" s="1044"/>
      <c r="B669" s="1044"/>
      <c r="C669" s="1044"/>
      <c r="D669" s="142"/>
      <c r="E669" s="142"/>
      <c r="F669" s="142"/>
      <c r="G669" s="1047"/>
      <c r="H669" s="1047"/>
      <c r="I669" s="1053"/>
      <c r="J669" s="1047"/>
      <c r="K669" s="1047"/>
      <c r="L669" s="1047"/>
      <c r="M669" s="1047"/>
      <c r="N669" s="1047"/>
      <c r="O669" s="1047"/>
      <c r="P669" s="1053"/>
      <c r="Q669" s="1047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4" customFormat="1">
      <c r="A670" s="1044"/>
      <c r="B670" s="1044"/>
      <c r="C670" s="1044"/>
      <c r="D670" s="142"/>
      <c r="E670" s="142"/>
      <c r="F670" s="142"/>
      <c r="G670" s="1047"/>
      <c r="H670" s="1047"/>
      <c r="I670" s="1053"/>
      <c r="J670" s="1047"/>
      <c r="K670" s="1047"/>
      <c r="L670" s="1047"/>
      <c r="M670" s="1047"/>
      <c r="N670" s="1047"/>
      <c r="O670" s="1047"/>
      <c r="P670" s="1053"/>
      <c r="Q670" s="1047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4" customFormat="1">
      <c r="A671" s="1044"/>
      <c r="B671" s="1044"/>
      <c r="C671" s="1044"/>
      <c r="D671" s="142"/>
      <c r="E671" s="142"/>
      <c r="F671" s="142"/>
      <c r="G671" s="1047"/>
      <c r="H671" s="1047"/>
      <c r="I671" s="1053"/>
      <c r="J671" s="1047"/>
      <c r="K671" s="1047"/>
      <c r="L671" s="1047"/>
      <c r="M671" s="1047"/>
      <c r="N671" s="1047"/>
      <c r="O671" s="1047"/>
      <c r="P671" s="1053"/>
      <c r="Q671" s="1047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4" customFormat="1">
      <c r="A672" s="1044"/>
      <c r="B672" s="1044"/>
      <c r="C672" s="1044"/>
      <c r="D672" s="142"/>
      <c r="E672" s="142"/>
      <c r="F672" s="142"/>
      <c r="G672" s="1047"/>
      <c r="H672" s="1047"/>
      <c r="I672" s="1053"/>
      <c r="J672" s="1047"/>
      <c r="K672" s="1047"/>
      <c r="L672" s="1047"/>
      <c r="M672" s="1047"/>
      <c r="N672" s="1047"/>
      <c r="O672" s="1047"/>
      <c r="P672" s="1053"/>
      <c r="Q672" s="1047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4" customFormat="1">
      <c r="A673" s="1044"/>
      <c r="B673" s="1044"/>
      <c r="C673" s="1044"/>
      <c r="D673" s="142"/>
      <c r="E673" s="142"/>
      <c r="F673" s="142"/>
      <c r="G673" s="1047"/>
      <c r="H673" s="1047"/>
      <c r="I673" s="1053"/>
      <c r="J673" s="1047"/>
      <c r="K673" s="1047"/>
      <c r="L673" s="1047"/>
      <c r="M673" s="1047"/>
      <c r="N673" s="1047"/>
      <c r="O673" s="1047"/>
      <c r="P673" s="1053"/>
      <c r="Q673" s="1047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4" customFormat="1">
      <c r="A674" s="1044"/>
      <c r="B674" s="1044"/>
      <c r="C674" s="1044"/>
      <c r="D674" s="142"/>
      <c r="E674" s="142"/>
      <c r="F674" s="142"/>
      <c r="G674" s="1047"/>
      <c r="H674" s="1047"/>
      <c r="I674" s="1053"/>
      <c r="J674" s="1047"/>
      <c r="K674" s="1047"/>
      <c r="L674" s="1047"/>
      <c r="M674" s="1047"/>
      <c r="N674" s="1047"/>
      <c r="O674" s="1047"/>
      <c r="P674" s="1053"/>
      <c r="Q674" s="1047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4" customFormat="1">
      <c r="A675" s="1044"/>
      <c r="B675" s="1044"/>
      <c r="C675" s="1044"/>
      <c r="D675" s="142"/>
      <c r="E675" s="142"/>
      <c r="F675" s="142"/>
      <c r="G675" s="1047"/>
      <c r="H675" s="1047"/>
      <c r="I675" s="1053"/>
      <c r="J675" s="1047"/>
      <c r="K675" s="1047"/>
      <c r="L675" s="1047"/>
      <c r="M675" s="1047"/>
      <c r="N675" s="1047"/>
      <c r="O675" s="1047"/>
      <c r="P675" s="1053"/>
      <c r="Q675" s="1047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4" customFormat="1">
      <c r="A676" s="1044"/>
      <c r="B676" s="1044"/>
      <c r="C676" s="1044"/>
      <c r="D676" s="142"/>
      <c r="E676" s="142"/>
      <c r="F676" s="142"/>
      <c r="G676" s="1047"/>
      <c r="H676" s="1047"/>
      <c r="I676" s="1053"/>
      <c r="J676" s="1047"/>
      <c r="K676" s="1047"/>
      <c r="L676" s="1047"/>
      <c r="M676" s="1047"/>
      <c r="N676" s="1047"/>
      <c r="O676" s="1047"/>
      <c r="P676" s="1053"/>
      <c r="Q676" s="1047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4" customFormat="1">
      <c r="A677" s="1044"/>
      <c r="B677" s="1044"/>
      <c r="C677" s="1044"/>
      <c r="D677" s="142"/>
      <c r="E677" s="142"/>
      <c r="F677" s="142"/>
      <c r="G677" s="1047"/>
      <c r="H677" s="1047"/>
      <c r="I677" s="1053"/>
      <c r="J677" s="1047"/>
      <c r="K677" s="1047"/>
      <c r="L677" s="1047"/>
      <c r="M677" s="1047"/>
      <c r="N677" s="1047"/>
      <c r="O677" s="1047"/>
      <c r="P677" s="1053"/>
      <c r="Q677" s="1047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4" customFormat="1">
      <c r="A678" s="1044"/>
      <c r="B678" s="1044"/>
      <c r="C678" s="1044"/>
      <c r="D678" s="142"/>
      <c r="E678" s="142"/>
      <c r="F678" s="142"/>
      <c r="G678" s="1047"/>
      <c r="H678" s="1047"/>
      <c r="I678" s="1053"/>
      <c r="J678" s="1047"/>
      <c r="K678" s="1047"/>
      <c r="L678" s="1047"/>
      <c r="M678" s="1047"/>
      <c r="N678" s="1047"/>
      <c r="O678" s="1047"/>
      <c r="P678" s="1053"/>
      <c r="Q678" s="1047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4" customFormat="1">
      <c r="A679" s="1044"/>
      <c r="B679" s="1044"/>
      <c r="C679" s="1044"/>
      <c r="D679" s="142"/>
      <c r="E679" s="142"/>
      <c r="F679" s="142"/>
      <c r="G679" s="1047"/>
      <c r="H679" s="1047"/>
      <c r="I679" s="1053"/>
      <c r="J679" s="1047"/>
      <c r="K679" s="1047"/>
      <c r="L679" s="1047"/>
      <c r="M679" s="1047"/>
      <c r="N679" s="1047"/>
      <c r="O679" s="1047"/>
      <c r="P679" s="1053"/>
      <c r="Q679" s="1047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4" customFormat="1">
      <c r="A680" s="1044"/>
      <c r="B680" s="1044"/>
      <c r="C680" s="1044"/>
      <c r="D680" s="142"/>
      <c r="E680" s="142"/>
      <c r="F680" s="142"/>
      <c r="G680" s="1047"/>
      <c r="H680" s="1047"/>
      <c r="I680" s="1053"/>
      <c r="J680" s="1047"/>
      <c r="K680" s="1047"/>
      <c r="L680" s="1047"/>
      <c r="M680" s="1047"/>
      <c r="N680" s="1047"/>
      <c r="O680" s="1047"/>
      <c r="P680" s="1053"/>
      <c r="Q680" s="1047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4" customFormat="1">
      <c r="A681" s="1044"/>
      <c r="B681" s="1044"/>
      <c r="C681" s="1044"/>
      <c r="D681" s="142"/>
      <c r="E681" s="142"/>
      <c r="F681" s="142"/>
      <c r="G681" s="1047"/>
      <c r="H681" s="1047"/>
      <c r="I681" s="1053"/>
      <c r="J681" s="1047"/>
      <c r="K681" s="1047"/>
      <c r="L681" s="1047"/>
      <c r="M681" s="1047"/>
      <c r="N681" s="1047"/>
      <c r="O681" s="1047"/>
      <c r="P681" s="1053"/>
      <c r="Q681" s="1047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4" customFormat="1">
      <c r="A682" s="1044"/>
      <c r="B682" s="1044"/>
      <c r="C682" s="1044"/>
      <c r="D682" s="142"/>
      <c r="E682" s="142"/>
      <c r="F682" s="142"/>
      <c r="G682" s="1047"/>
      <c r="H682" s="1047"/>
      <c r="I682" s="1053"/>
      <c r="J682" s="1047"/>
      <c r="K682" s="1047"/>
      <c r="L682" s="1047"/>
      <c r="M682" s="1047"/>
      <c r="N682" s="1047"/>
      <c r="O682" s="1047"/>
      <c r="P682" s="1053"/>
      <c r="Q682" s="1047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4" customFormat="1">
      <c r="A683" s="1044"/>
      <c r="B683" s="1044"/>
      <c r="C683" s="1044"/>
      <c r="D683" s="142"/>
      <c r="E683" s="142"/>
      <c r="F683" s="142"/>
      <c r="G683" s="1047"/>
      <c r="H683" s="1047"/>
      <c r="I683" s="1053"/>
      <c r="J683" s="1047"/>
      <c r="K683" s="1047"/>
      <c r="L683" s="1047"/>
      <c r="M683" s="1047"/>
      <c r="N683" s="1047"/>
      <c r="O683" s="1047"/>
      <c r="P683" s="1053"/>
      <c r="Q683" s="1047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4" customFormat="1">
      <c r="A684" s="1044"/>
      <c r="B684" s="1044"/>
      <c r="C684" s="1044"/>
      <c r="D684" s="142"/>
      <c r="E684" s="142"/>
      <c r="F684" s="142"/>
      <c r="G684" s="1047"/>
      <c r="H684" s="1047"/>
      <c r="I684" s="1053"/>
      <c r="J684" s="1047"/>
      <c r="K684" s="1047"/>
      <c r="L684" s="1047"/>
      <c r="M684" s="1047"/>
      <c r="N684" s="1047"/>
      <c r="O684" s="1047"/>
      <c r="P684" s="1053"/>
      <c r="Q684" s="1047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4" customFormat="1">
      <c r="A685" s="1044"/>
      <c r="B685" s="1044"/>
      <c r="C685" s="1044"/>
      <c r="D685" s="142"/>
      <c r="E685" s="142"/>
      <c r="F685" s="142"/>
      <c r="G685" s="1047"/>
      <c r="H685" s="1047"/>
      <c r="I685" s="1053"/>
      <c r="J685" s="1047"/>
      <c r="K685" s="1047"/>
      <c r="L685" s="1047"/>
      <c r="M685" s="1047"/>
      <c r="N685" s="1047"/>
      <c r="O685" s="1047"/>
      <c r="P685" s="1053"/>
      <c r="Q685" s="1047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4" customFormat="1">
      <c r="A686" s="1044"/>
      <c r="B686" s="1044"/>
      <c r="C686" s="1044"/>
      <c r="D686" s="142"/>
      <c r="E686" s="142"/>
      <c r="F686" s="142"/>
      <c r="G686" s="1047"/>
      <c r="H686" s="1047"/>
      <c r="I686" s="1053"/>
      <c r="J686" s="1047"/>
      <c r="K686" s="1047"/>
      <c r="L686" s="1047"/>
      <c r="M686" s="1047"/>
      <c r="N686" s="1047"/>
      <c r="O686" s="1047"/>
      <c r="P686" s="1053"/>
      <c r="Q686" s="1047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4" customFormat="1">
      <c r="A687" s="1044"/>
      <c r="B687" s="1044"/>
      <c r="C687" s="1044"/>
      <c r="D687" s="142"/>
      <c r="E687" s="142"/>
      <c r="F687" s="142"/>
      <c r="G687" s="1047"/>
      <c r="H687" s="1047"/>
      <c r="I687" s="1053"/>
      <c r="J687" s="1047"/>
      <c r="K687" s="1047"/>
      <c r="L687" s="1047"/>
      <c r="M687" s="1047"/>
      <c r="N687" s="1047"/>
      <c r="O687" s="1047"/>
      <c r="P687" s="1053"/>
      <c r="Q687" s="1047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4" customFormat="1">
      <c r="A688" s="1044"/>
      <c r="B688" s="1044"/>
      <c r="C688" s="1044"/>
      <c r="D688" s="142"/>
      <c r="E688" s="142"/>
      <c r="F688" s="142"/>
      <c r="G688" s="1047"/>
      <c r="H688" s="1047"/>
      <c r="I688" s="1053"/>
      <c r="J688" s="1047"/>
      <c r="K688" s="1047"/>
      <c r="L688" s="1047"/>
      <c r="M688" s="1047"/>
      <c r="N688" s="1047"/>
      <c r="O688" s="1047"/>
      <c r="P688" s="1053"/>
      <c r="Q688" s="1047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4" customFormat="1">
      <c r="A689" s="1044"/>
      <c r="B689" s="1044"/>
      <c r="C689" s="1044"/>
      <c r="D689" s="142"/>
      <c r="E689" s="142"/>
      <c r="F689" s="142"/>
      <c r="G689" s="1047"/>
      <c r="H689" s="1047"/>
      <c r="I689" s="1053"/>
      <c r="J689" s="1047"/>
      <c r="K689" s="1047"/>
      <c r="L689" s="1047"/>
      <c r="M689" s="1047"/>
      <c r="N689" s="1047"/>
      <c r="O689" s="1047"/>
      <c r="P689" s="1053"/>
      <c r="Q689" s="1047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4" customFormat="1">
      <c r="A690" s="1044"/>
      <c r="B690" s="1044"/>
      <c r="C690" s="1044"/>
      <c r="D690" s="142"/>
      <c r="E690" s="142"/>
      <c r="F690" s="142"/>
      <c r="G690" s="1047"/>
      <c r="H690" s="1047"/>
      <c r="I690" s="1053"/>
      <c r="J690" s="1047"/>
      <c r="K690" s="1047"/>
      <c r="L690" s="1047"/>
      <c r="M690" s="1047"/>
      <c r="N690" s="1047"/>
      <c r="O690" s="1047"/>
      <c r="P690" s="1053"/>
      <c r="Q690" s="1047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4" customFormat="1">
      <c r="A691" s="1044"/>
      <c r="B691" s="1044"/>
      <c r="C691" s="1044"/>
      <c r="D691" s="142"/>
      <c r="E691" s="142"/>
      <c r="F691" s="142"/>
      <c r="G691" s="1047"/>
      <c r="H691" s="1047"/>
      <c r="I691" s="1053"/>
      <c r="J691" s="1047"/>
      <c r="K691" s="1047"/>
      <c r="L691" s="1047"/>
      <c r="M691" s="1047"/>
      <c r="N691" s="1047"/>
      <c r="O691" s="1047"/>
      <c r="P691" s="1053"/>
      <c r="Q691" s="1047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4" customFormat="1">
      <c r="A692" s="1044"/>
      <c r="B692" s="1044"/>
      <c r="C692" s="1044"/>
      <c r="D692" s="142"/>
      <c r="E692" s="142"/>
      <c r="F692" s="142"/>
      <c r="G692" s="1047"/>
      <c r="H692" s="1047"/>
      <c r="I692" s="1053"/>
      <c r="J692" s="1047"/>
      <c r="K692" s="1047"/>
      <c r="L692" s="1047"/>
      <c r="M692" s="1047"/>
      <c r="N692" s="1047"/>
      <c r="O692" s="1047"/>
      <c r="P692" s="1053"/>
      <c r="Q692" s="1047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4" customFormat="1">
      <c r="A693" s="1044"/>
      <c r="B693" s="1044"/>
      <c r="C693" s="1044"/>
      <c r="D693" s="142"/>
      <c r="E693" s="142"/>
      <c r="F693" s="142"/>
      <c r="G693" s="1047"/>
      <c r="H693" s="1047"/>
      <c r="I693" s="1053"/>
      <c r="J693" s="1047"/>
      <c r="K693" s="1047"/>
      <c r="L693" s="1047"/>
      <c r="M693" s="1047"/>
      <c r="N693" s="1047"/>
      <c r="O693" s="1047"/>
      <c r="P693" s="1053"/>
      <c r="Q693" s="1047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4" customFormat="1">
      <c r="A694" s="1044"/>
      <c r="B694" s="1044"/>
      <c r="C694" s="1044"/>
      <c r="D694" s="142"/>
      <c r="E694" s="142"/>
      <c r="F694" s="142"/>
      <c r="G694" s="1047"/>
      <c r="H694" s="1047"/>
      <c r="I694" s="1053"/>
      <c r="J694" s="1047"/>
      <c r="K694" s="1047"/>
      <c r="L694" s="1047"/>
      <c r="M694" s="1047"/>
      <c r="N694" s="1047"/>
      <c r="O694" s="1047"/>
      <c r="P694" s="1053"/>
      <c r="Q694" s="1047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4" customFormat="1">
      <c r="A695" s="1044"/>
      <c r="B695" s="1044"/>
      <c r="C695" s="1044"/>
      <c r="D695" s="142"/>
      <c r="E695" s="142"/>
      <c r="F695" s="142"/>
      <c r="G695" s="1047"/>
      <c r="H695" s="1047"/>
      <c r="I695" s="1053"/>
      <c r="J695" s="1047"/>
      <c r="K695" s="1047"/>
      <c r="L695" s="1047"/>
      <c r="M695" s="1047"/>
      <c r="N695" s="1047"/>
      <c r="O695" s="1047"/>
      <c r="P695" s="1053"/>
      <c r="Q695" s="1047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4" customFormat="1">
      <c r="A696" s="1044"/>
      <c r="B696" s="1044"/>
      <c r="C696" s="1044"/>
      <c r="D696" s="142"/>
      <c r="E696" s="142"/>
      <c r="F696" s="142"/>
      <c r="G696" s="1047"/>
      <c r="H696" s="1047"/>
      <c r="I696" s="1053"/>
      <c r="J696" s="1047"/>
      <c r="K696" s="1047"/>
      <c r="L696" s="1047"/>
      <c r="M696" s="1047"/>
      <c r="N696" s="1047"/>
      <c r="O696" s="1047"/>
      <c r="P696" s="1053"/>
      <c r="Q696" s="1047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4" customFormat="1">
      <c r="A697" s="1044"/>
      <c r="B697" s="1044"/>
      <c r="C697" s="1044"/>
      <c r="D697" s="142"/>
      <c r="E697" s="142"/>
      <c r="F697" s="142"/>
      <c r="G697" s="1047"/>
      <c r="H697" s="1047"/>
      <c r="I697" s="1053"/>
      <c r="J697" s="1047"/>
      <c r="K697" s="1047"/>
      <c r="L697" s="1047"/>
      <c r="M697" s="1047"/>
      <c r="N697" s="1047"/>
      <c r="O697" s="1047"/>
      <c r="P697" s="1053"/>
      <c r="Q697" s="1047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4" customFormat="1">
      <c r="A698" s="1044"/>
      <c r="B698" s="1044"/>
      <c r="C698" s="1044"/>
      <c r="D698" s="142"/>
      <c r="E698" s="142"/>
      <c r="F698" s="142"/>
      <c r="G698" s="1047"/>
      <c r="H698" s="1047"/>
      <c r="I698" s="1053"/>
      <c r="J698" s="1047"/>
      <c r="K698" s="1047"/>
      <c r="L698" s="1047"/>
      <c r="M698" s="1047"/>
      <c r="N698" s="1047"/>
      <c r="O698" s="1047"/>
      <c r="P698" s="1053"/>
      <c r="Q698" s="1047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4" customFormat="1">
      <c r="A699" s="1044"/>
      <c r="B699" s="1044"/>
      <c r="C699" s="1044"/>
      <c r="D699" s="142"/>
      <c r="E699" s="142"/>
      <c r="F699" s="142"/>
      <c r="G699" s="1047"/>
      <c r="H699" s="1047"/>
      <c r="I699" s="1053"/>
      <c r="J699" s="1047"/>
      <c r="K699" s="1047"/>
      <c r="L699" s="1047"/>
      <c r="M699" s="1047"/>
      <c r="N699" s="1047"/>
      <c r="O699" s="1047"/>
      <c r="P699" s="1053"/>
      <c r="Q699" s="1047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4" customFormat="1">
      <c r="A700" s="1044"/>
      <c r="B700" s="1044"/>
      <c r="C700" s="1044"/>
      <c r="D700" s="142"/>
      <c r="E700" s="142"/>
      <c r="F700" s="142"/>
      <c r="G700" s="1047"/>
      <c r="H700" s="1047"/>
      <c r="I700" s="1053"/>
      <c r="J700" s="1047"/>
      <c r="K700" s="1047"/>
      <c r="L700" s="1047"/>
      <c r="M700" s="1047"/>
      <c r="N700" s="1047"/>
      <c r="O700" s="1047"/>
      <c r="P700" s="1053"/>
      <c r="Q700" s="1047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4" customFormat="1">
      <c r="A701" s="1044"/>
      <c r="B701" s="1044"/>
      <c r="C701" s="1044"/>
      <c r="D701" s="142"/>
      <c r="E701" s="142"/>
      <c r="F701" s="142"/>
      <c r="G701" s="1047"/>
      <c r="H701" s="1047"/>
      <c r="I701" s="1053"/>
      <c r="J701" s="1047"/>
      <c r="K701" s="1047"/>
      <c r="L701" s="1047"/>
      <c r="M701" s="1047"/>
      <c r="N701" s="1047"/>
      <c r="O701" s="1047"/>
      <c r="P701" s="1053"/>
      <c r="Q701" s="1047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4" customFormat="1">
      <c r="A702" s="1044"/>
      <c r="B702" s="1044"/>
      <c r="C702" s="1044"/>
      <c r="D702" s="142"/>
      <c r="E702" s="142"/>
      <c r="F702" s="142"/>
      <c r="G702" s="1047"/>
      <c r="H702" s="1047"/>
      <c r="I702" s="1053"/>
      <c r="J702" s="1047"/>
      <c r="K702" s="1047"/>
      <c r="L702" s="1047"/>
      <c r="M702" s="1047"/>
      <c r="N702" s="1047"/>
      <c r="O702" s="1047"/>
      <c r="P702" s="1053"/>
      <c r="Q702" s="1047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4" customFormat="1">
      <c r="A703" s="1044"/>
      <c r="B703" s="1044"/>
      <c r="C703" s="1044"/>
      <c r="D703" s="142"/>
      <c r="E703" s="142"/>
      <c r="F703" s="142"/>
      <c r="G703" s="1047"/>
      <c r="H703" s="1047"/>
      <c r="I703" s="1053"/>
      <c r="J703" s="1047"/>
      <c r="K703" s="1047"/>
      <c r="L703" s="1047"/>
      <c r="M703" s="1047"/>
      <c r="N703" s="1047"/>
      <c r="O703" s="1047"/>
      <c r="P703" s="1053"/>
      <c r="Q703" s="1047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4" customFormat="1">
      <c r="A704" s="1044"/>
      <c r="B704" s="1044"/>
      <c r="C704" s="1044"/>
      <c r="D704" s="142"/>
      <c r="E704" s="142"/>
      <c r="F704" s="142"/>
      <c r="G704" s="1047"/>
      <c r="H704" s="1047"/>
      <c r="I704" s="1053"/>
      <c r="J704" s="1047"/>
      <c r="K704" s="1047"/>
      <c r="L704" s="1047"/>
      <c r="M704" s="1047"/>
      <c r="N704" s="1047"/>
      <c r="O704" s="1047"/>
      <c r="P704" s="1053"/>
      <c r="Q704" s="1047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4" customFormat="1">
      <c r="A705" s="1044"/>
      <c r="B705" s="1044"/>
      <c r="C705" s="1044"/>
      <c r="D705" s="142"/>
      <c r="E705" s="142"/>
      <c r="F705" s="142"/>
      <c r="G705" s="1047"/>
      <c r="H705" s="1047"/>
      <c r="I705" s="1053"/>
      <c r="J705" s="1047"/>
      <c r="K705" s="1047"/>
      <c r="L705" s="1047"/>
      <c r="M705" s="1047"/>
      <c r="N705" s="1047"/>
      <c r="O705" s="1047"/>
      <c r="P705" s="1053"/>
      <c r="Q705" s="1047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4" customFormat="1">
      <c r="A706" s="1044"/>
      <c r="B706" s="1044"/>
      <c r="C706" s="1044"/>
      <c r="D706" s="142"/>
      <c r="E706" s="142"/>
      <c r="F706" s="142"/>
      <c r="G706" s="1047"/>
      <c r="H706" s="1047"/>
      <c r="I706" s="1053"/>
      <c r="J706" s="1047"/>
      <c r="K706" s="1047"/>
      <c r="L706" s="1047"/>
      <c r="M706" s="1047"/>
      <c r="N706" s="1047"/>
      <c r="O706" s="1047"/>
      <c r="P706" s="1053"/>
      <c r="Q706" s="1047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4" customFormat="1">
      <c r="A707" s="1044"/>
      <c r="B707" s="1044"/>
      <c r="C707" s="1044"/>
      <c r="D707" s="142"/>
      <c r="E707" s="142"/>
      <c r="F707" s="142"/>
      <c r="G707" s="1047"/>
      <c r="H707" s="1047"/>
      <c r="I707" s="1053"/>
      <c r="J707" s="1047"/>
      <c r="K707" s="1047"/>
      <c r="L707" s="1047"/>
      <c r="M707" s="1047"/>
      <c r="N707" s="1047"/>
      <c r="O707" s="1047"/>
      <c r="P707" s="1053"/>
      <c r="Q707" s="1047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4" customFormat="1">
      <c r="A708" s="1044"/>
      <c r="B708" s="1044"/>
      <c r="C708" s="1044"/>
      <c r="D708" s="142"/>
      <c r="E708" s="142"/>
      <c r="F708" s="142"/>
      <c r="G708" s="1047"/>
      <c r="H708" s="1047"/>
      <c r="I708" s="1053"/>
      <c r="J708" s="1047"/>
      <c r="K708" s="1047"/>
      <c r="L708" s="1047"/>
      <c r="M708" s="1047"/>
      <c r="N708" s="1047"/>
      <c r="O708" s="1047"/>
      <c r="P708" s="1053"/>
      <c r="Q708" s="1047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4" customFormat="1">
      <c r="A709" s="1044"/>
      <c r="B709" s="1044"/>
      <c r="C709" s="1044"/>
      <c r="D709" s="142"/>
      <c r="E709" s="142"/>
      <c r="F709" s="142"/>
      <c r="G709" s="1047"/>
      <c r="H709" s="1047"/>
      <c r="I709" s="1053"/>
      <c r="J709" s="1047"/>
      <c r="K709" s="1047"/>
      <c r="L709" s="1047"/>
      <c r="M709" s="1047"/>
      <c r="N709" s="1047"/>
      <c r="O709" s="1047"/>
      <c r="P709" s="1053"/>
      <c r="Q709" s="1047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4" customFormat="1">
      <c r="A710" s="1044"/>
      <c r="B710" s="1044"/>
      <c r="C710" s="1044"/>
      <c r="D710" s="142"/>
      <c r="E710" s="142"/>
      <c r="F710" s="142"/>
      <c r="G710" s="1047"/>
      <c r="H710" s="1047"/>
      <c r="I710" s="1053"/>
      <c r="J710" s="1047"/>
      <c r="K710" s="1047"/>
      <c r="L710" s="1047"/>
      <c r="M710" s="1047"/>
      <c r="N710" s="1047"/>
      <c r="O710" s="1047"/>
      <c r="P710" s="1053"/>
      <c r="Q710" s="1047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4" customFormat="1">
      <c r="A711" s="1044"/>
      <c r="B711" s="1044"/>
      <c r="C711" s="1044"/>
      <c r="D711" s="142"/>
      <c r="E711" s="142"/>
      <c r="F711" s="142"/>
      <c r="G711" s="1047"/>
      <c r="H711" s="1047"/>
      <c r="I711" s="1053"/>
      <c r="J711" s="1047"/>
      <c r="K711" s="1047"/>
      <c r="L711" s="1047"/>
      <c r="M711" s="1047"/>
      <c r="N711" s="1047"/>
      <c r="O711" s="1047"/>
      <c r="P711" s="1053"/>
      <c r="Q711" s="1047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4" customFormat="1">
      <c r="A712" s="1044"/>
      <c r="B712" s="1044"/>
      <c r="C712" s="1044"/>
      <c r="D712" s="142"/>
      <c r="E712" s="142"/>
      <c r="F712" s="142"/>
      <c r="G712" s="1047"/>
      <c r="H712" s="1047"/>
      <c r="I712" s="1053"/>
      <c r="J712" s="1047"/>
      <c r="K712" s="1047"/>
      <c r="L712" s="1047"/>
      <c r="M712" s="1047"/>
      <c r="N712" s="1047"/>
      <c r="O712" s="1047"/>
      <c r="P712" s="1053"/>
      <c r="Q712" s="1047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4" customFormat="1">
      <c r="A713" s="1044"/>
      <c r="B713" s="1044"/>
      <c r="C713" s="1044"/>
      <c r="D713" s="142"/>
      <c r="E713" s="142"/>
      <c r="F713" s="142"/>
      <c r="G713" s="1047"/>
      <c r="H713" s="1047"/>
      <c r="I713" s="1053"/>
      <c r="J713" s="1047"/>
      <c r="K713" s="1047"/>
      <c r="L713" s="1047"/>
      <c r="M713" s="1047"/>
      <c r="N713" s="1047"/>
      <c r="O713" s="1047"/>
      <c r="P713" s="1053"/>
      <c r="Q713" s="1047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4" customFormat="1">
      <c r="A714" s="1044"/>
      <c r="B714" s="1044"/>
      <c r="C714" s="1044"/>
      <c r="D714" s="142"/>
      <c r="E714" s="142"/>
      <c r="F714" s="142"/>
      <c r="G714" s="1047"/>
      <c r="H714" s="1047"/>
      <c r="I714" s="1053"/>
      <c r="J714" s="1047"/>
      <c r="K714" s="1047"/>
      <c r="L714" s="1047"/>
      <c r="M714" s="1047"/>
      <c r="N714" s="1047"/>
      <c r="O714" s="1047"/>
      <c r="P714" s="1053"/>
      <c r="Q714" s="1047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4" customFormat="1">
      <c r="A715" s="1044"/>
      <c r="B715" s="1044"/>
      <c r="C715" s="1044"/>
      <c r="D715" s="142"/>
      <c r="E715" s="142"/>
      <c r="F715" s="142"/>
      <c r="G715" s="1047"/>
      <c r="H715" s="1047"/>
      <c r="I715" s="1053"/>
      <c r="J715" s="1047"/>
      <c r="K715" s="1047"/>
      <c r="L715" s="1047"/>
      <c r="M715" s="1047"/>
      <c r="N715" s="1047"/>
      <c r="O715" s="1047"/>
      <c r="P715" s="1053"/>
      <c r="Q715" s="1047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4" customFormat="1">
      <c r="A716" s="1044"/>
      <c r="B716" s="1044"/>
      <c r="C716" s="1044"/>
      <c r="D716" s="142"/>
      <c r="E716" s="142"/>
      <c r="F716" s="142"/>
      <c r="G716" s="1047"/>
      <c r="H716" s="1047"/>
      <c r="I716" s="1053"/>
      <c r="J716" s="1047"/>
      <c r="K716" s="1047"/>
      <c r="L716" s="1047"/>
      <c r="M716" s="1047"/>
      <c r="N716" s="1047"/>
      <c r="O716" s="1047"/>
      <c r="P716" s="1053"/>
      <c r="Q716" s="1047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4" customFormat="1">
      <c r="A717" s="1044"/>
      <c r="B717" s="1044"/>
      <c r="C717" s="1044"/>
      <c r="D717" s="142"/>
      <c r="E717" s="142"/>
      <c r="F717" s="142"/>
      <c r="G717" s="1047"/>
      <c r="H717" s="1047"/>
      <c r="I717" s="1053"/>
      <c r="J717" s="1047"/>
      <c r="K717" s="1047"/>
      <c r="L717" s="1047"/>
      <c r="M717" s="1047"/>
      <c r="N717" s="1047"/>
      <c r="O717" s="1047"/>
      <c r="P717" s="1053"/>
      <c r="Q717" s="1047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4" customFormat="1">
      <c r="A718" s="1044"/>
      <c r="B718" s="1044"/>
      <c r="C718" s="1044"/>
      <c r="D718" s="142"/>
      <c r="E718" s="142"/>
      <c r="F718" s="142"/>
      <c r="G718" s="1047"/>
      <c r="H718" s="1047"/>
      <c r="I718" s="1053"/>
      <c r="J718" s="1047"/>
      <c r="K718" s="1047"/>
      <c r="L718" s="1047"/>
      <c r="M718" s="1047"/>
      <c r="N718" s="1047"/>
      <c r="O718" s="1047"/>
      <c r="P718" s="1053"/>
      <c r="Q718" s="1047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4" customFormat="1">
      <c r="A719" s="1044"/>
      <c r="B719" s="1044"/>
      <c r="C719" s="1044"/>
      <c r="D719" s="142"/>
      <c r="E719" s="142"/>
      <c r="F719" s="142"/>
      <c r="G719" s="1047"/>
      <c r="H719" s="1047"/>
      <c r="I719" s="1053"/>
      <c r="J719" s="1047"/>
      <c r="K719" s="1047"/>
      <c r="L719" s="1047"/>
      <c r="M719" s="1047"/>
      <c r="N719" s="1047"/>
      <c r="O719" s="1047"/>
      <c r="P719" s="1053"/>
      <c r="Q719" s="1047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4" customFormat="1">
      <c r="A720" s="1044"/>
      <c r="B720" s="1044"/>
      <c r="C720" s="1044"/>
      <c r="D720" s="142"/>
      <c r="E720" s="142"/>
      <c r="F720" s="142"/>
      <c r="G720" s="1047"/>
      <c r="H720" s="1047"/>
      <c r="I720" s="1053"/>
      <c r="J720" s="1047"/>
      <c r="K720" s="1047"/>
      <c r="L720" s="1047"/>
      <c r="M720" s="1047"/>
      <c r="N720" s="1047"/>
      <c r="O720" s="1047"/>
      <c r="P720" s="1053"/>
      <c r="Q720" s="1047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4" customFormat="1">
      <c r="A721" s="1044"/>
      <c r="B721" s="1044"/>
      <c r="C721" s="1044"/>
      <c r="D721" s="142"/>
      <c r="E721" s="142"/>
      <c r="F721" s="142"/>
      <c r="G721" s="1047"/>
      <c r="H721" s="1047"/>
      <c r="I721" s="1053"/>
      <c r="J721" s="1047"/>
      <c r="K721" s="1047"/>
      <c r="L721" s="1047"/>
      <c r="M721" s="1047"/>
      <c r="N721" s="1047"/>
      <c r="O721" s="1047"/>
      <c r="P721" s="1053"/>
      <c r="Q721" s="1047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4" customFormat="1">
      <c r="A722" s="1044"/>
      <c r="B722" s="1044"/>
      <c r="C722" s="1044"/>
      <c r="D722" s="142"/>
      <c r="E722" s="142"/>
      <c r="F722" s="142"/>
      <c r="G722" s="1047"/>
      <c r="H722" s="1047"/>
      <c r="I722" s="1053"/>
      <c r="J722" s="1047"/>
      <c r="K722" s="1047"/>
      <c r="L722" s="1047"/>
      <c r="M722" s="1047"/>
      <c r="N722" s="1047"/>
      <c r="O722" s="1047"/>
      <c r="P722" s="1053"/>
      <c r="Q722" s="1047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4" customFormat="1">
      <c r="A723" s="1044"/>
      <c r="B723" s="1044"/>
      <c r="C723" s="1044"/>
      <c r="D723" s="142"/>
      <c r="E723" s="142"/>
      <c r="F723" s="142"/>
      <c r="G723" s="1047"/>
      <c r="H723" s="1047"/>
      <c r="I723" s="1053"/>
      <c r="J723" s="1047"/>
      <c r="K723" s="1047"/>
      <c r="L723" s="1047"/>
      <c r="M723" s="1047"/>
      <c r="N723" s="1047"/>
      <c r="O723" s="1047"/>
      <c r="P723" s="1053"/>
      <c r="Q723" s="1047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4" customFormat="1">
      <c r="A724" s="1044"/>
      <c r="B724" s="1044"/>
      <c r="C724" s="1044"/>
      <c r="D724" s="142"/>
      <c r="E724" s="142"/>
      <c r="F724" s="142"/>
      <c r="G724" s="1047"/>
      <c r="H724" s="1047"/>
      <c r="I724" s="1053"/>
      <c r="J724" s="1047"/>
      <c r="K724" s="1047"/>
      <c r="L724" s="1047"/>
      <c r="M724" s="1047"/>
      <c r="N724" s="1047"/>
      <c r="O724" s="1047"/>
      <c r="P724" s="1053"/>
      <c r="Q724" s="1047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4" customFormat="1">
      <c r="A725" s="1044"/>
      <c r="B725" s="1044"/>
      <c r="C725" s="1044"/>
      <c r="D725" s="142"/>
      <c r="E725" s="142"/>
      <c r="F725" s="142"/>
      <c r="G725" s="1047"/>
      <c r="H725" s="1047"/>
      <c r="I725" s="1053"/>
      <c r="J725" s="1047"/>
      <c r="K725" s="1047"/>
      <c r="L725" s="1047"/>
      <c r="M725" s="1047"/>
      <c r="N725" s="1047"/>
      <c r="O725" s="1047"/>
      <c r="P725" s="1053"/>
      <c r="Q725" s="1047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4" customFormat="1">
      <c r="A726" s="1044"/>
      <c r="B726" s="1044"/>
      <c r="C726" s="1044"/>
      <c r="D726" s="142"/>
      <c r="E726" s="142"/>
      <c r="F726" s="142"/>
      <c r="G726" s="1047"/>
      <c r="H726" s="1047"/>
      <c r="I726" s="1053"/>
      <c r="J726" s="1047"/>
      <c r="K726" s="1047"/>
      <c r="L726" s="1047"/>
      <c r="M726" s="1047"/>
      <c r="N726" s="1047"/>
      <c r="O726" s="1047"/>
      <c r="P726" s="1053"/>
      <c r="Q726" s="1047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4" customFormat="1">
      <c r="A727" s="1044"/>
      <c r="B727" s="1044"/>
      <c r="C727" s="1044"/>
      <c r="D727" s="142"/>
      <c r="E727" s="142"/>
      <c r="F727" s="142"/>
      <c r="G727" s="1047"/>
      <c r="H727" s="1047"/>
      <c r="I727" s="1053"/>
      <c r="J727" s="1047"/>
      <c r="K727" s="1047"/>
      <c r="L727" s="1047"/>
      <c r="M727" s="1047"/>
      <c r="N727" s="1047"/>
      <c r="O727" s="1047"/>
      <c r="P727" s="1053"/>
      <c r="Q727" s="1047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4" customFormat="1">
      <c r="A728" s="1044"/>
      <c r="B728" s="1044"/>
      <c r="C728" s="1044"/>
      <c r="D728" s="142"/>
      <c r="E728" s="142"/>
      <c r="F728" s="142"/>
      <c r="G728" s="1047"/>
      <c r="H728" s="1047"/>
      <c r="I728" s="1053"/>
      <c r="J728" s="1047"/>
      <c r="K728" s="1047"/>
      <c r="L728" s="1047"/>
      <c r="M728" s="1047"/>
      <c r="N728" s="1047"/>
      <c r="O728" s="1047"/>
      <c r="P728" s="1053"/>
      <c r="Q728" s="1047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4" customFormat="1">
      <c r="A729" s="1044"/>
      <c r="B729" s="1044"/>
      <c r="C729" s="1044"/>
      <c r="D729" s="142"/>
      <c r="E729" s="142"/>
      <c r="F729" s="142"/>
      <c r="G729" s="1047"/>
      <c r="H729" s="1047"/>
      <c r="I729" s="1053"/>
      <c r="J729" s="1047"/>
      <c r="K729" s="1047"/>
      <c r="L729" s="1047"/>
      <c r="M729" s="1047"/>
      <c r="N729" s="1047"/>
      <c r="O729" s="1047"/>
      <c r="P729" s="1053"/>
      <c r="Q729" s="1047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4" customFormat="1">
      <c r="A730" s="1044"/>
      <c r="B730" s="1044"/>
      <c r="C730" s="1044"/>
      <c r="D730" s="142"/>
      <c r="E730" s="142"/>
      <c r="F730" s="142"/>
      <c r="G730" s="1047"/>
      <c r="H730" s="1047"/>
      <c r="I730" s="1053"/>
      <c r="J730" s="1047"/>
      <c r="K730" s="1047"/>
      <c r="L730" s="1047"/>
      <c r="M730" s="1047"/>
      <c r="N730" s="1047"/>
      <c r="O730" s="1047"/>
      <c r="P730" s="1053"/>
      <c r="Q730" s="1047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4" customFormat="1">
      <c r="A731" s="1044"/>
      <c r="B731" s="1044"/>
      <c r="C731" s="1044"/>
      <c r="D731" s="142"/>
      <c r="E731" s="142"/>
      <c r="F731" s="142"/>
      <c r="G731" s="1047"/>
      <c r="H731" s="1047"/>
      <c r="I731" s="1053"/>
      <c r="J731" s="1047"/>
      <c r="K731" s="1047"/>
      <c r="L731" s="1047"/>
      <c r="M731" s="1047"/>
      <c r="N731" s="1047"/>
      <c r="O731" s="1047"/>
      <c r="P731" s="1053"/>
      <c r="Q731" s="1047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4" customFormat="1">
      <c r="A732" s="1044"/>
      <c r="B732" s="1044"/>
      <c r="C732" s="1044"/>
      <c r="D732" s="142"/>
      <c r="E732" s="142"/>
      <c r="F732" s="142"/>
      <c r="G732" s="1047"/>
      <c r="H732" s="1047"/>
      <c r="I732" s="1053"/>
      <c r="J732" s="1047"/>
      <c r="K732" s="1047"/>
      <c r="L732" s="1047"/>
      <c r="M732" s="1047"/>
      <c r="N732" s="1047"/>
      <c r="O732" s="1047"/>
      <c r="P732" s="1053"/>
      <c r="Q732" s="1047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4" customFormat="1">
      <c r="A733" s="1044"/>
      <c r="B733" s="1044"/>
      <c r="C733" s="1044"/>
      <c r="D733" s="142"/>
      <c r="E733" s="142"/>
      <c r="F733" s="142"/>
      <c r="G733" s="1047"/>
      <c r="H733" s="1047"/>
      <c r="I733" s="1053"/>
      <c r="J733" s="1047"/>
      <c r="K733" s="1047"/>
      <c r="L733" s="1047"/>
      <c r="M733" s="1047"/>
      <c r="N733" s="1047"/>
      <c r="O733" s="1047"/>
      <c r="P733" s="1053"/>
      <c r="Q733" s="1047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4" customFormat="1">
      <c r="A734" s="1044"/>
      <c r="B734" s="1044"/>
      <c r="C734" s="1044"/>
      <c r="D734" s="142"/>
      <c r="E734" s="142"/>
      <c r="F734" s="142"/>
      <c r="G734" s="1047"/>
      <c r="H734" s="1047"/>
      <c r="I734" s="1053"/>
      <c r="J734" s="1047"/>
      <c r="K734" s="1047"/>
      <c r="L734" s="1047"/>
      <c r="M734" s="1047"/>
      <c r="N734" s="1047"/>
      <c r="O734" s="1047"/>
      <c r="P734" s="1053"/>
      <c r="Q734" s="1047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4" customFormat="1">
      <c r="A735" s="1044"/>
      <c r="B735" s="1044"/>
      <c r="C735" s="1044"/>
      <c r="D735" s="142"/>
      <c r="E735" s="142"/>
      <c r="F735" s="142"/>
      <c r="G735" s="1047"/>
      <c r="H735" s="1047"/>
      <c r="I735" s="1053"/>
      <c r="J735" s="1047"/>
      <c r="K735" s="1047"/>
      <c r="L735" s="1047"/>
      <c r="M735" s="1047"/>
      <c r="N735" s="1047"/>
      <c r="O735" s="1047"/>
      <c r="P735" s="1053"/>
      <c r="Q735" s="1047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4" customFormat="1">
      <c r="A736" s="1044"/>
      <c r="B736" s="1044"/>
      <c r="C736" s="1044"/>
      <c r="D736" s="142"/>
      <c r="E736" s="142"/>
      <c r="F736" s="142"/>
      <c r="G736" s="1047"/>
      <c r="H736" s="1047"/>
      <c r="I736" s="1053"/>
      <c r="J736" s="1047"/>
      <c r="K736" s="1047"/>
      <c r="L736" s="1047"/>
      <c r="M736" s="1047"/>
      <c r="N736" s="1047"/>
      <c r="O736" s="1047"/>
      <c r="P736" s="1053"/>
      <c r="Q736" s="1047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4" customFormat="1">
      <c r="A737" s="1044"/>
      <c r="B737" s="1044"/>
      <c r="C737" s="1044"/>
      <c r="D737" s="142"/>
      <c r="E737" s="142"/>
      <c r="F737" s="142"/>
      <c r="G737" s="1047"/>
      <c r="H737" s="1047"/>
      <c r="I737" s="1053"/>
      <c r="J737" s="1047"/>
      <c r="K737" s="1047"/>
      <c r="L737" s="1047"/>
      <c r="M737" s="1047"/>
      <c r="N737" s="1047"/>
      <c r="O737" s="1047"/>
      <c r="P737" s="1053"/>
      <c r="Q737" s="1047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4" customFormat="1">
      <c r="A738" s="1044"/>
      <c r="B738" s="1044"/>
      <c r="C738" s="1044"/>
      <c r="D738" s="142"/>
      <c r="E738" s="142"/>
      <c r="F738" s="142"/>
      <c r="G738" s="1047"/>
      <c r="H738" s="1047"/>
      <c r="I738" s="1053"/>
      <c r="J738" s="1047"/>
      <c r="K738" s="1047"/>
      <c r="L738" s="1047"/>
      <c r="M738" s="1047"/>
      <c r="N738" s="1047"/>
      <c r="O738" s="1047"/>
      <c r="P738" s="1053"/>
      <c r="Q738" s="1047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4" customFormat="1">
      <c r="A739" s="1044"/>
      <c r="B739" s="1044"/>
      <c r="C739" s="1044"/>
      <c r="D739" s="142"/>
      <c r="E739" s="142"/>
      <c r="F739" s="142"/>
      <c r="G739" s="1047"/>
      <c r="H739" s="1047"/>
      <c r="I739" s="1053"/>
      <c r="J739" s="1047"/>
      <c r="K739" s="1047"/>
      <c r="L739" s="1047"/>
      <c r="M739" s="1047"/>
      <c r="N739" s="1047"/>
      <c r="O739" s="1047"/>
      <c r="P739" s="1053"/>
      <c r="Q739" s="1047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4" customFormat="1">
      <c r="A740" s="1044"/>
      <c r="B740" s="1044"/>
      <c r="C740" s="1044"/>
      <c r="D740" s="142"/>
      <c r="E740" s="142"/>
      <c r="F740" s="142"/>
      <c r="G740" s="1047"/>
      <c r="H740" s="1047"/>
      <c r="I740" s="1053"/>
      <c r="J740" s="1047"/>
      <c r="K740" s="1047"/>
      <c r="L740" s="1047"/>
      <c r="M740" s="1047"/>
      <c r="N740" s="1047"/>
      <c r="O740" s="1047"/>
      <c r="P740" s="1053"/>
      <c r="Q740" s="1047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4" customFormat="1">
      <c r="A741" s="1044"/>
      <c r="B741" s="1044"/>
      <c r="C741" s="1044"/>
      <c r="D741" s="142"/>
      <c r="E741" s="142"/>
      <c r="F741" s="142"/>
      <c r="G741" s="1047"/>
      <c r="H741" s="1047"/>
      <c r="I741" s="1053"/>
      <c r="J741" s="1047"/>
      <c r="K741" s="1047"/>
      <c r="L741" s="1047"/>
      <c r="M741" s="1047"/>
      <c r="N741" s="1047"/>
      <c r="O741" s="1047"/>
      <c r="P741" s="1053"/>
      <c r="Q741" s="1047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4" customFormat="1">
      <c r="A742" s="1044"/>
      <c r="B742" s="1044"/>
      <c r="C742" s="1044"/>
      <c r="D742" s="142"/>
      <c r="E742" s="142"/>
      <c r="F742" s="142"/>
      <c r="G742" s="1047"/>
      <c r="H742" s="1047"/>
      <c r="I742" s="1053"/>
      <c r="J742" s="1047"/>
      <c r="K742" s="1047"/>
      <c r="L742" s="1047"/>
      <c r="M742" s="1047"/>
      <c r="N742" s="1047"/>
      <c r="O742" s="1047"/>
      <c r="P742" s="1053"/>
      <c r="Q742" s="1047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4" customFormat="1">
      <c r="A743" s="1044"/>
      <c r="B743" s="1044"/>
      <c r="C743" s="1044"/>
      <c r="D743" s="142"/>
      <c r="E743" s="142"/>
      <c r="F743" s="142"/>
      <c r="G743" s="1047"/>
      <c r="H743" s="1047"/>
      <c r="I743" s="1053"/>
      <c r="J743" s="1047"/>
      <c r="K743" s="1047"/>
      <c r="L743" s="1047"/>
      <c r="M743" s="1047"/>
      <c r="N743" s="1047"/>
      <c r="O743" s="1047"/>
      <c r="P743" s="1053"/>
      <c r="Q743" s="1047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4" customFormat="1">
      <c r="A744" s="1044"/>
      <c r="B744" s="1044"/>
      <c r="C744" s="1044"/>
      <c r="D744" s="142"/>
      <c r="E744" s="142"/>
      <c r="F744" s="142"/>
      <c r="G744" s="1047"/>
      <c r="H744" s="1047"/>
      <c r="I744" s="1053"/>
      <c r="J744" s="1047"/>
      <c r="K744" s="1047"/>
      <c r="L744" s="1047"/>
      <c r="M744" s="1047"/>
      <c r="N744" s="1047"/>
      <c r="O744" s="1047"/>
      <c r="P744" s="1053"/>
      <c r="Q744" s="1047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4" customFormat="1">
      <c r="A745" s="1044"/>
      <c r="B745" s="1044"/>
      <c r="C745" s="1044"/>
      <c r="D745" s="142"/>
      <c r="E745" s="142"/>
      <c r="F745" s="142"/>
      <c r="G745" s="1047"/>
      <c r="H745" s="1047"/>
      <c r="I745" s="1053"/>
      <c r="J745" s="1047"/>
      <c r="K745" s="1047"/>
      <c r="L745" s="1047"/>
      <c r="M745" s="1047"/>
      <c r="N745" s="1047"/>
      <c r="O745" s="1047"/>
      <c r="P745" s="1053"/>
      <c r="Q745" s="1047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4" customFormat="1">
      <c r="A746" s="1044"/>
      <c r="B746" s="1044"/>
      <c r="C746" s="1044"/>
      <c r="D746" s="142"/>
      <c r="E746" s="142"/>
      <c r="F746" s="142"/>
      <c r="G746" s="1047"/>
      <c r="H746" s="1047"/>
      <c r="I746" s="1053"/>
      <c r="J746" s="1047"/>
      <c r="K746" s="1047"/>
      <c r="L746" s="1047"/>
      <c r="M746" s="1047"/>
      <c r="N746" s="1047"/>
      <c r="O746" s="1047"/>
      <c r="P746" s="1053"/>
      <c r="Q746" s="1047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4" customFormat="1">
      <c r="A747" s="1044"/>
      <c r="B747" s="1044"/>
      <c r="C747" s="1044"/>
      <c r="D747" s="142"/>
      <c r="E747" s="142"/>
      <c r="F747" s="142"/>
      <c r="G747" s="1047"/>
      <c r="H747" s="1047"/>
      <c r="I747" s="1053"/>
      <c r="J747" s="1047"/>
      <c r="K747" s="1047"/>
      <c r="L747" s="1047"/>
      <c r="M747" s="1047"/>
      <c r="N747" s="1047"/>
      <c r="O747" s="1047"/>
      <c r="P747" s="1053"/>
      <c r="Q747" s="1047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4" customFormat="1">
      <c r="A748" s="1044"/>
      <c r="B748" s="1044"/>
      <c r="C748" s="1044"/>
      <c r="D748" s="142"/>
      <c r="E748" s="142"/>
      <c r="F748" s="142"/>
      <c r="G748" s="1047"/>
      <c r="H748" s="1047"/>
      <c r="I748" s="1053"/>
      <c r="J748" s="1047"/>
      <c r="K748" s="1047"/>
      <c r="L748" s="1047"/>
      <c r="M748" s="1047"/>
      <c r="N748" s="1047"/>
      <c r="O748" s="1047"/>
      <c r="P748" s="1053"/>
      <c r="Q748" s="1047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4" customFormat="1">
      <c r="A749" s="1044"/>
      <c r="B749" s="1044"/>
      <c r="C749" s="1044"/>
      <c r="D749" s="142"/>
      <c r="E749" s="142"/>
      <c r="F749" s="142"/>
      <c r="G749" s="1047"/>
      <c r="H749" s="1047"/>
      <c r="I749" s="1053"/>
      <c r="J749" s="1047"/>
      <c r="K749" s="1047"/>
      <c r="L749" s="1047"/>
      <c r="M749" s="1047"/>
      <c r="N749" s="1047"/>
      <c r="O749" s="1047"/>
      <c r="P749" s="1053"/>
      <c r="Q749" s="1047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4" customFormat="1">
      <c r="A750" s="1044"/>
      <c r="B750" s="1044"/>
      <c r="C750" s="1044"/>
      <c r="D750" s="142"/>
      <c r="E750" s="142"/>
      <c r="F750" s="142"/>
      <c r="G750" s="1047"/>
      <c r="H750" s="1047"/>
      <c r="I750" s="1053"/>
      <c r="J750" s="1047"/>
      <c r="K750" s="1047"/>
      <c r="L750" s="1047"/>
      <c r="M750" s="1047"/>
      <c r="N750" s="1047"/>
      <c r="O750" s="1047"/>
      <c r="P750" s="1053"/>
      <c r="Q750" s="1047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4" customFormat="1">
      <c r="A751" s="1044"/>
      <c r="B751" s="1044"/>
      <c r="C751" s="1044"/>
      <c r="D751" s="142"/>
      <c r="E751" s="142"/>
      <c r="F751" s="142"/>
      <c r="G751" s="1047"/>
      <c r="H751" s="1047"/>
      <c r="I751" s="1053"/>
      <c r="J751" s="1047"/>
      <c r="K751" s="1047"/>
      <c r="L751" s="1047"/>
      <c r="M751" s="1047"/>
      <c r="N751" s="1047"/>
      <c r="O751" s="1047"/>
      <c r="P751" s="1053"/>
      <c r="Q751" s="1047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4" customFormat="1">
      <c r="A752" s="1044"/>
      <c r="B752" s="1044"/>
      <c r="C752" s="1044"/>
      <c r="D752" s="142"/>
      <c r="E752" s="142"/>
      <c r="F752" s="142"/>
      <c r="G752" s="1047"/>
      <c r="H752" s="1047"/>
      <c r="I752" s="1053"/>
      <c r="J752" s="1047"/>
      <c r="K752" s="1047"/>
      <c r="L752" s="1047"/>
      <c r="M752" s="1047"/>
      <c r="N752" s="1047"/>
      <c r="O752" s="1047"/>
      <c r="P752" s="1053"/>
      <c r="Q752" s="1047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4" customFormat="1">
      <c r="A753" s="1044"/>
      <c r="B753" s="1044"/>
      <c r="C753" s="1044"/>
      <c r="D753" s="142"/>
      <c r="E753" s="142"/>
      <c r="F753" s="142"/>
      <c r="G753" s="1047"/>
      <c r="H753" s="1047"/>
      <c r="I753" s="1053"/>
      <c r="J753" s="1047"/>
      <c r="K753" s="1047"/>
      <c r="L753" s="1047"/>
      <c r="M753" s="1047"/>
      <c r="N753" s="1047"/>
      <c r="O753" s="1047"/>
      <c r="P753" s="1053"/>
      <c r="Q753" s="1047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4" customFormat="1">
      <c r="A754" s="1044"/>
      <c r="B754" s="1044"/>
      <c r="C754" s="1044"/>
      <c r="D754" s="142"/>
      <c r="E754" s="142"/>
      <c r="F754" s="142"/>
      <c r="G754" s="1047"/>
      <c r="H754" s="1047"/>
      <c r="I754" s="1053"/>
      <c r="J754" s="1047"/>
      <c r="K754" s="1047"/>
      <c r="L754" s="1047"/>
      <c r="M754" s="1047"/>
      <c r="N754" s="1047"/>
      <c r="O754" s="1047"/>
      <c r="P754" s="1053"/>
      <c r="Q754" s="1047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4" customFormat="1">
      <c r="A755" s="1044"/>
      <c r="B755" s="1044"/>
      <c r="C755" s="1044"/>
      <c r="D755" s="142"/>
      <c r="E755" s="142"/>
      <c r="F755" s="142"/>
      <c r="G755" s="1047"/>
      <c r="H755" s="1047"/>
      <c r="I755" s="1053"/>
      <c r="J755" s="1047"/>
      <c r="K755" s="1047"/>
      <c r="L755" s="1047"/>
      <c r="M755" s="1047"/>
      <c r="N755" s="1047"/>
      <c r="O755" s="1047"/>
      <c r="P755" s="1053"/>
      <c r="Q755" s="1047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4" customFormat="1">
      <c r="A756" s="1044"/>
      <c r="B756" s="1044"/>
      <c r="C756" s="1044"/>
      <c r="D756" s="142"/>
      <c r="E756" s="142"/>
      <c r="F756" s="142"/>
      <c r="G756" s="1047"/>
      <c r="H756" s="1047"/>
      <c r="I756" s="1053"/>
      <c r="J756" s="1047"/>
      <c r="K756" s="1047"/>
      <c r="L756" s="1047"/>
      <c r="M756" s="1047"/>
      <c r="N756" s="1047"/>
      <c r="O756" s="1047"/>
      <c r="P756" s="1053"/>
      <c r="Q756" s="1047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4" customFormat="1">
      <c r="A757" s="1044"/>
      <c r="B757" s="1044"/>
      <c r="C757" s="1044"/>
      <c r="D757" s="142"/>
      <c r="E757" s="142"/>
      <c r="F757" s="142"/>
      <c r="G757" s="1047"/>
      <c r="H757" s="1047"/>
      <c r="I757" s="1053"/>
      <c r="J757" s="1047"/>
      <c r="K757" s="1047"/>
      <c r="L757" s="1047"/>
      <c r="M757" s="1047"/>
      <c r="N757" s="1047"/>
      <c r="O757" s="1047"/>
      <c r="P757" s="1053"/>
      <c r="Q757" s="1047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4" customFormat="1">
      <c r="A758" s="1044"/>
      <c r="B758" s="1044"/>
      <c r="C758" s="1044"/>
      <c r="D758" s="142"/>
      <c r="E758" s="142"/>
      <c r="F758" s="142"/>
      <c r="G758" s="1047"/>
      <c r="H758" s="1047"/>
      <c r="I758" s="1053"/>
      <c r="J758" s="1047"/>
      <c r="K758" s="1047"/>
      <c r="L758" s="1047"/>
      <c r="M758" s="1047"/>
      <c r="N758" s="1047"/>
      <c r="O758" s="1047"/>
      <c r="P758" s="1053"/>
      <c r="Q758" s="1047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4" customFormat="1">
      <c r="A759" s="1044"/>
      <c r="B759" s="1044"/>
      <c r="C759" s="1044"/>
      <c r="D759" s="142"/>
      <c r="E759" s="142"/>
      <c r="F759" s="142"/>
      <c r="G759" s="1047"/>
      <c r="H759" s="1047"/>
      <c r="I759" s="1053"/>
      <c r="J759" s="1047"/>
      <c r="K759" s="1047"/>
      <c r="L759" s="1047"/>
      <c r="M759" s="1047"/>
      <c r="N759" s="1047"/>
      <c r="O759" s="1047"/>
      <c r="P759" s="1053"/>
      <c r="Q759" s="1047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4" customFormat="1">
      <c r="A760" s="1044"/>
      <c r="B760" s="1044"/>
      <c r="C760" s="1044"/>
      <c r="D760" s="142"/>
      <c r="E760" s="142"/>
      <c r="F760" s="142"/>
      <c r="G760" s="1047"/>
      <c r="H760" s="1047"/>
      <c r="I760" s="1053"/>
      <c r="J760" s="1047"/>
      <c r="K760" s="1047"/>
      <c r="L760" s="1047"/>
      <c r="M760" s="1047"/>
      <c r="N760" s="1047"/>
      <c r="O760" s="1047"/>
      <c r="P760" s="1053"/>
      <c r="Q760" s="1047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4" customFormat="1">
      <c r="A761" s="1044"/>
      <c r="B761" s="1044"/>
      <c r="C761" s="1044"/>
      <c r="D761" s="142"/>
      <c r="E761" s="142"/>
      <c r="F761" s="142"/>
      <c r="G761" s="1047"/>
      <c r="H761" s="1047"/>
      <c r="I761" s="1053"/>
      <c r="J761" s="1047"/>
      <c r="K761" s="1047"/>
      <c r="L761" s="1047"/>
      <c r="M761" s="1047"/>
      <c r="N761" s="1047"/>
      <c r="O761" s="1047"/>
      <c r="P761" s="1053"/>
      <c r="Q761" s="1047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4" customFormat="1">
      <c r="A762" s="1044"/>
      <c r="B762" s="1044"/>
      <c r="C762" s="1044"/>
      <c r="D762" s="142"/>
      <c r="E762" s="142"/>
      <c r="F762" s="142"/>
      <c r="G762" s="1047"/>
      <c r="H762" s="1047"/>
      <c r="I762" s="1053"/>
      <c r="J762" s="1047"/>
      <c r="K762" s="1047"/>
      <c r="L762" s="1047"/>
      <c r="M762" s="1047"/>
      <c r="N762" s="1047"/>
      <c r="O762" s="1047"/>
      <c r="P762" s="1053"/>
      <c r="Q762" s="1047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4" customFormat="1">
      <c r="A763" s="1044"/>
      <c r="B763" s="1044"/>
      <c r="C763" s="1044"/>
      <c r="D763" s="142"/>
      <c r="E763" s="142"/>
      <c r="F763" s="142"/>
      <c r="G763" s="1047"/>
      <c r="H763" s="1047"/>
      <c r="I763" s="1053"/>
      <c r="J763" s="1047"/>
      <c r="K763" s="1047"/>
      <c r="L763" s="1047"/>
      <c r="M763" s="1047"/>
      <c r="N763" s="1047"/>
      <c r="O763" s="1047"/>
      <c r="P763" s="1053"/>
      <c r="Q763" s="1047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4" customFormat="1">
      <c r="A764" s="1044"/>
      <c r="B764" s="1044"/>
      <c r="C764" s="1044"/>
      <c r="D764" s="142"/>
      <c r="E764" s="142"/>
      <c r="F764" s="142"/>
      <c r="G764" s="1047"/>
      <c r="H764" s="1047"/>
      <c r="I764" s="1053"/>
      <c r="J764" s="1047"/>
      <c r="K764" s="1047"/>
      <c r="L764" s="1047"/>
      <c r="M764" s="1047"/>
      <c r="N764" s="1047"/>
      <c r="O764" s="1047"/>
      <c r="P764" s="1053"/>
      <c r="Q764" s="1047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4" customFormat="1">
      <c r="A765" s="1044"/>
      <c r="B765" s="1044"/>
      <c r="C765" s="1044"/>
      <c r="D765" s="142"/>
      <c r="E765" s="142"/>
      <c r="F765" s="142"/>
      <c r="G765" s="1047"/>
      <c r="H765" s="1047"/>
      <c r="I765" s="1053"/>
      <c r="J765" s="1047"/>
      <c r="K765" s="1047"/>
      <c r="L765" s="1047"/>
      <c r="M765" s="1047"/>
      <c r="N765" s="1047"/>
      <c r="O765" s="1047"/>
      <c r="P765" s="1053"/>
      <c r="Q765" s="1047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4" customFormat="1">
      <c r="A766" s="1044"/>
      <c r="B766" s="1044"/>
      <c r="C766" s="1044"/>
      <c r="D766" s="142"/>
      <c r="E766" s="142"/>
      <c r="F766" s="142"/>
      <c r="G766" s="1047"/>
      <c r="H766" s="1047"/>
      <c r="I766" s="1053"/>
      <c r="J766" s="1047"/>
      <c r="K766" s="1047"/>
      <c r="L766" s="1047"/>
      <c r="M766" s="1047"/>
      <c r="N766" s="1047"/>
      <c r="O766" s="1047"/>
      <c r="P766" s="1053"/>
      <c r="Q766" s="1047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4" customFormat="1">
      <c r="A767" s="1044"/>
      <c r="B767" s="1044"/>
      <c r="C767" s="1044"/>
      <c r="D767" s="142"/>
      <c r="E767" s="142"/>
      <c r="F767" s="142"/>
      <c r="G767" s="1047"/>
      <c r="H767" s="1047"/>
      <c r="I767" s="1053"/>
      <c r="J767" s="1047"/>
      <c r="K767" s="1047"/>
      <c r="L767" s="1047"/>
      <c r="M767" s="1047"/>
      <c r="N767" s="1047"/>
      <c r="O767" s="1047"/>
      <c r="P767" s="1053"/>
      <c r="Q767" s="1047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4" customFormat="1">
      <c r="A768" s="1044"/>
      <c r="B768" s="1044"/>
      <c r="C768" s="1044"/>
      <c r="D768" s="142"/>
      <c r="E768" s="142"/>
      <c r="F768" s="142"/>
      <c r="G768" s="1047"/>
      <c r="H768" s="1047"/>
      <c r="I768" s="1053"/>
      <c r="J768" s="1047"/>
      <c r="K768" s="1047"/>
      <c r="L768" s="1047"/>
      <c r="M768" s="1047"/>
      <c r="N768" s="1047"/>
      <c r="O768" s="1047"/>
      <c r="P768" s="1053"/>
      <c r="Q768" s="1047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4" customFormat="1">
      <c r="A769" s="1044"/>
      <c r="B769" s="1044"/>
      <c r="C769" s="1044"/>
      <c r="D769" s="142"/>
      <c r="E769" s="142"/>
      <c r="F769" s="142"/>
      <c r="G769" s="1047"/>
      <c r="H769" s="1047"/>
      <c r="I769" s="1053"/>
      <c r="J769" s="1047"/>
      <c r="K769" s="1047"/>
      <c r="L769" s="1047"/>
      <c r="M769" s="1047"/>
      <c r="N769" s="1047"/>
      <c r="O769" s="1047"/>
      <c r="P769" s="1053"/>
      <c r="Q769" s="1047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4" customFormat="1">
      <c r="A770" s="1044"/>
      <c r="B770" s="1044"/>
      <c r="C770" s="1044"/>
      <c r="D770" s="142"/>
      <c r="E770" s="142"/>
      <c r="F770" s="142"/>
      <c r="G770" s="1047"/>
      <c r="H770" s="1047"/>
      <c r="I770" s="1053"/>
      <c r="J770" s="1047"/>
      <c r="K770" s="1047"/>
      <c r="L770" s="1047"/>
      <c r="M770" s="1047"/>
      <c r="N770" s="1047"/>
      <c r="O770" s="1047"/>
      <c r="P770" s="1053"/>
      <c r="Q770" s="1047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4" customFormat="1">
      <c r="A771" s="1044"/>
      <c r="B771" s="1044"/>
      <c r="C771" s="1044"/>
      <c r="D771" s="142"/>
      <c r="E771" s="142"/>
      <c r="F771" s="142"/>
      <c r="G771" s="1047"/>
      <c r="H771" s="1047"/>
      <c r="I771" s="1053"/>
      <c r="J771" s="1047"/>
      <c r="K771" s="1047"/>
      <c r="L771" s="1047"/>
      <c r="M771" s="1047"/>
      <c r="N771" s="1047"/>
      <c r="O771" s="1047"/>
      <c r="P771" s="1053"/>
      <c r="Q771" s="1047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4" customFormat="1">
      <c r="A772" s="1044"/>
      <c r="B772" s="1044"/>
      <c r="C772" s="1044"/>
      <c r="D772" s="142"/>
      <c r="E772" s="142"/>
      <c r="F772" s="142"/>
      <c r="G772" s="1047"/>
      <c r="H772" s="1047"/>
      <c r="I772" s="1053"/>
      <c r="J772" s="1047"/>
      <c r="K772" s="1047"/>
      <c r="L772" s="1047"/>
      <c r="M772" s="1047"/>
      <c r="N772" s="1047"/>
      <c r="O772" s="1047"/>
      <c r="P772" s="1053"/>
      <c r="Q772" s="1047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4" customFormat="1">
      <c r="A773" s="1044"/>
      <c r="B773" s="1044"/>
      <c r="C773" s="1044"/>
      <c r="D773" s="142"/>
      <c r="E773" s="142"/>
      <c r="F773" s="142"/>
      <c r="G773" s="1047"/>
      <c r="H773" s="1047"/>
      <c r="I773" s="1053"/>
      <c r="J773" s="1047"/>
      <c r="K773" s="1047"/>
      <c r="L773" s="1047"/>
      <c r="M773" s="1047"/>
      <c r="N773" s="1047"/>
      <c r="O773" s="1047"/>
      <c r="P773" s="1053"/>
      <c r="Q773" s="1047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4" customFormat="1">
      <c r="A774" s="1044"/>
      <c r="B774" s="1044"/>
      <c r="C774" s="1044"/>
      <c r="D774" s="142"/>
      <c r="E774" s="142"/>
      <c r="F774" s="142"/>
      <c r="G774" s="1047"/>
      <c r="H774" s="1047"/>
      <c r="I774" s="1053"/>
      <c r="J774" s="1047"/>
      <c r="K774" s="1047"/>
      <c r="L774" s="1047"/>
      <c r="M774" s="1047"/>
      <c r="N774" s="1047"/>
      <c r="O774" s="1047"/>
      <c r="P774" s="1053"/>
      <c r="Q774" s="1047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4" customFormat="1">
      <c r="A775" s="1044"/>
      <c r="B775" s="1044"/>
      <c r="C775" s="1044"/>
      <c r="D775" s="142"/>
      <c r="E775" s="142"/>
      <c r="F775" s="142"/>
      <c r="G775" s="1047"/>
      <c r="H775" s="1047"/>
      <c r="I775" s="1053"/>
      <c r="J775" s="1047"/>
      <c r="K775" s="1047"/>
      <c r="L775" s="1047"/>
      <c r="M775" s="1047"/>
      <c r="N775" s="1047"/>
      <c r="O775" s="1047"/>
      <c r="P775" s="1053"/>
      <c r="Q775" s="1047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4" customFormat="1">
      <c r="A776" s="1044"/>
      <c r="B776" s="1044"/>
      <c r="C776" s="1044"/>
      <c r="D776" s="142"/>
      <c r="E776" s="142"/>
      <c r="F776" s="142"/>
      <c r="G776" s="1047"/>
      <c r="H776" s="1047"/>
      <c r="I776" s="1053"/>
      <c r="J776" s="1047"/>
      <c r="K776" s="1047"/>
      <c r="L776" s="1047"/>
      <c r="M776" s="1047"/>
      <c r="N776" s="1047"/>
      <c r="O776" s="1047"/>
      <c r="P776" s="1053"/>
      <c r="Q776" s="1047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4" customFormat="1">
      <c r="A777" s="1044"/>
      <c r="B777" s="1044"/>
      <c r="C777" s="1044"/>
      <c r="D777" s="142"/>
      <c r="E777" s="142"/>
      <c r="F777" s="142"/>
      <c r="G777" s="1047"/>
      <c r="H777" s="1047"/>
      <c r="I777" s="1053"/>
      <c r="J777" s="1047"/>
      <c r="K777" s="1047"/>
      <c r="L777" s="1047"/>
      <c r="M777" s="1047"/>
      <c r="N777" s="1047"/>
      <c r="O777" s="1047"/>
      <c r="P777" s="1053"/>
      <c r="Q777" s="1047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4" customFormat="1">
      <c r="A778" s="1044"/>
      <c r="B778" s="1044"/>
      <c r="C778" s="1044"/>
      <c r="D778" s="142"/>
      <c r="E778" s="142"/>
      <c r="F778" s="142"/>
      <c r="G778" s="1047"/>
      <c r="H778" s="1047"/>
      <c r="I778" s="1053"/>
      <c r="J778" s="1047"/>
      <c r="K778" s="1047"/>
      <c r="L778" s="1047"/>
      <c r="M778" s="1047"/>
      <c r="N778" s="1047"/>
      <c r="O778" s="1047"/>
      <c r="P778" s="1053"/>
      <c r="Q778" s="1047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4" customFormat="1">
      <c r="A779" s="1044"/>
      <c r="B779" s="1044"/>
      <c r="C779" s="1044"/>
      <c r="D779" s="142"/>
      <c r="E779" s="142"/>
      <c r="F779" s="142"/>
      <c r="G779" s="1047"/>
      <c r="H779" s="1047"/>
      <c r="I779" s="1053"/>
      <c r="J779" s="1047"/>
      <c r="K779" s="1047"/>
      <c r="L779" s="1047"/>
      <c r="M779" s="1047"/>
      <c r="N779" s="1047"/>
      <c r="O779" s="1047"/>
      <c r="P779" s="1053"/>
      <c r="Q779" s="1047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4" customFormat="1">
      <c r="A780" s="1044"/>
      <c r="B780" s="1044"/>
      <c r="C780" s="1044"/>
      <c r="D780" s="142"/>
      <c r="E780" s="142"/>
      <c r="F780" s="142"/>
      <c r="G780" s="1047"/>
      <c r="H780" s="1047"/>
      <c r="I780" s="1053"/>
      <c r="J780" s="1047"/>
      <c r="K780" s="1047"/>
      <c r="L780" s="1047"/>
      <c r="M780" s="1047"/>
      <c r="N780" s="1047"/>
      <c r="O780" s="1047"/>
      <c r="P780" s="1053"/>
      <c r="Q780" s="1047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4" customFormat="1">
      <c r="A781" s="1044"/>
      <c r="B781" s="1044"/>
      <c r="C781" s="1044"/>
      <c r="D781" s="142"/>
      <c r="E781" s="142"/>
      <c r="F781" s="142"/>
      <c r="G781" s="1047"/>
      <c r="H781" s="1047"/>
      <c r="I781" s="1053"/>
      <c r="J781" s="1047"/>
      <c r="K781" s="1047"/>
      <c r="L781" s="1047"/>
      <c r="M781" s="1047"/>
      <c r="N781" s="1047"/>
      <c r="O781" s="1047"/>
      <c r="P781" s="1053"/>
      <c r="Q781" s="1047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4" customFormat="1">
      <c r="A782" s="1044"/>
      <c r="B782" s="1044"/>
      <c r="C782" s="1044"/>
      <c r="D782" s="142"/>
      <c r="E782" s="142"/>
      <c r="F782" s="142"/>
      <c r="G782" s="1047"/>
      <c r="H782" s="1047"/>
      <c r="I782" s="1053"/>
      <c r="J782" s="1047"/>
      <c r="K782" s="1047"/>
      <c r="L782" s="1047"/>
      <c r="M782" s="1047"/>
      <c r="N782" s="1047"/>
      <c r="O782" s="1047"/>
      <c r="P782" s="1053"/>
      <c r="Q782" s="1047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4" customFormat="1">
      <c r="A783" s="1044"/>
      <c r="B783" s="1044"/>
      <c r="C783" s="1044"/>
      <c r="D783" s="142"/>
      <c r="E783" s="142"/>
      <c r="F783" s="142"/>
      <c r="G783" s="1047"/>
      <c r="H783" s="1047"/>
      <c r="I783" s="1053"/>
      <c r="J783" s="1047"/>
      <c r="K783" s="1047"/>
      <c r="L783" s="1047"/>
      <c r="M783" s="1047"/>
      <c r="N783" s="1047"/>
      <c r="O783" s="1047"/>
      <c r="P783" s="1053"/>
      <c r="Q783" s="1047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4" customFormat="1">
      <c r="A784" s="1044"/>
      <c r="B784" s="1044"/>
      <c r="C784" s="1044"/>
      <c r="D784" s="142"/>
      <c r="E784" s="142"/>
      <c r="F784" s="142"/>
      <c r="G784" s="1047"/>
      <c r="H784" s="1047"/>
      <c r="I784" s="1053"/>
      <c r="J784" s="1047"/>
      <c r="K784" s="1047"/>
      <c r="L784" s="1047"/>
      <c r="M784" s="1047"/>
      <c r="N784" s="1047"/>
      <c r="O784" s="1047"/>
      <c r="P784" s="1053"/>
      <c r="Q784" s="1047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4" customFormat="1">
      <c r="A785" s="1044"/>
      <c r="B785" s="1044"/>
      <c r="C785" s="1044"/>
      <c r="D785" s="142"/>
      <c r="E785" s="142"/>
      <c r="F785" s="142"/>
      <c r="G785" s="1047"/>
      <c r="H785" s="1047"/>
      <c r="I785" s="1053"/>
      <c r="J785" s="1047"/>
      <c r="K785" s="1047"/>
      <c r="L785" s="1047"/>
      <c r="M785" s="1047"/>
      <c r="N785" s="1047"/>
      <c r="O785" s="1047"/>
      <c r="P785" s="1053"/>
      <c r="Q785" s="1047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4" customFormat="1">
      <c r="A786" s="1044"/>
      <c r="B786" s="1044"/>
      <c r="C786" s="1044"/>
      <c r="D786" s="142"/>
      <c r="E786" s="142"/>
      <c r="F786" s="142"/>
      <c r="G786" s="1047"/>
      <c r="H786" s="1047"/>
      <c r="I786" s="1053"/>
      <c r="J786" s="1047"/>
      <c r="K786" s="1047"/>
      <c r="L786" s="1047"/>
      <c r="M786" s="1047"/>
      <c r="N786" s="1047"/>
      <c r="O786" s="1047"/>
      <c r="P786" s="1053"/>
      <c r="Q786" s="1047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4" customFormat="1">
      <c r="A787" s="1044"/>
      <c r="B787" s="1044"/>
      <c r="C787" s="1044"/>
      <c r="D787" s="142"/>
      <c r="E787" s="142"/>
      <c r="F787" s="142"/>
      <c r="G787" s="1047"/>
      <c r="H787" s="1047"/>
      <c r="I787" s="1053"/>
      <c r="J787" s="1047"/>
      <c r="K787" s="1047"/>
      <c r="L787" s="1047"/>
      <c r="M787" s="1047"/>
      <c r="N787" s="1047"/>
      <c r="O787" s="1047"/>
      <c r="P787" s="1053"/>
      <c r="Q787" s="1047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4" customFormat="1">
      <c r="A788" s="1044"/>
      <c r="B788" s="1044"/>
      <c r="C788" s="1044"/>
      <c r="D788" s="142"/>
      <c r="E788" s="142"/>
      <c r="F788" s="142"/>
      <c r="G788" s="1047"/>
      <c r="H788" s="1047"/>
      <c r="I788" s="1053"/>
      <c r="J788" s="1047"/>
      <c r="K788" s="1047"/>
      <c r="L788" s="1047"/>
      <c r="M788" s="1047"/>
      <c r="N788" s="1047"/>
      <c r="O788" s="1047"/>
      <c r="P788" s="1053"/>
      <c r="Q788" s="1047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4" customFormat="1">
      <c r="A789" s="1044"/>
      <c r="B789" s="1044"/>
      <c r="C789" s="1044"/>
      <c r="D789" s="142"/>
      <c r="E789" s="142"/>
      <c r="F789" s="142"/>
      <c r="G789" s="1047"/>
      <c r="H789" s="1047"/>
      <c r="I789" s="1053"/>
      <c r="J789" s="1047"/>
      <c r="K789" s="1047"/>
      <c r="L789" s="1047"/>
      <c r="M789" s="1047"/>
      <c r="N789" s="1047"/>
      <c r="O789" s="1047"/>
      <c r="P789" s="1053"/>
      <c r="Q789" s="1047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4" customFormat="1">
      <c r="A790" s="1044"/>
      <c r="B790" s="1044"/>
      <c r="C790" s="1044"/>
      <c r="D790" s="142"/>
      <c r="E790" s="142"/>
      <c r="F790" s="142"/>
      <c r="G790" s="1047"/>
      <c r="H790" s="1047"/>
      <c r="I790" s="1053"/>
      <c r="J790" s="1047"/>
      <c r="K790" s="1047"/>
      <c r="L790" s="1047"/>
      <c r="M790" s="1047"/>
      <c r="N790" s="1047"/>
      <c r="O790" s="1047"/>
      <c r="P790" s="1053"/>
      <c r="Q790" s="1047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4" customFormat="1">
      <c r="A791" s="1044"/>
      <c r="B791" s="1044"/>
      <c r="C791" s="1044"/>
      <c r="D791" s="142"/>
      <c r="E791" s="142"/>
      <c r="F791" s="142"/>
      <c r="G791" s="1047"/>
      <c r="H791" s="1047"/>
      <c r="I791" s="1053"/>
      <c r="J791" s="1047"/>
      <c r="K791" s="1047"/>
      <c r="L791" s="1047"/>
      <c r="M791" s="1047"/>
      <c r="N791" s="1047"/>
      <c r="O791" s="1047"/>
      <c r="P791" s="1053"/>
      <c r="Q791" s="1047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4" customFormat="1">
      <c r="A792" s="1044"/>
      <c r="B792" s="1044"/>
      <c r="C792" s="1044"/>
      <c r="D792" s="142"/>
      <c r="E792" s="142"/>
      <c r="F792" s="142"/>
      <c r="G792" s="1047"/>
      <c r="H792" s="1047"/>
      <c r="I792" s="1053"/>
      <c r="J792" s="1047"/>
      <c r="K792" s="1047"/>
      <c r="L792" s="1047"/>
      <c r="M792" s="1047"/>
      <c r="N792" s="1047"/>
      <c r="O792" s="1047"/>
      <c r="P792" s="1053"/>
      <c r="Q792" s="1047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4" customFormat="1">
      <c r="A793" s="1044"/>
      <c r="B793" s="1044"/>
      <c r="C793" s="1044"/>
      <c r="D793" s="142"/>
      <c r="E793" s="142"/>
      <c r="F793" s="142"/>
      <c r="G793" s="1047"/>
      <c r="H793" s="1047"/>
      <c r="I793" s="1053"/>
      <c r="J793" s="1047"/>
      <c r="K793" s="1047"/>
      <c r="L793" s="1047"/>
      <c r="M793" s="1047"/>
      <c r="N793" s="1047"/>
      <c r="O793" s="1047"/>
      <c r="P793" s="1053"/>
      <c r="Q793" s="1047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4" customFormat="1">
      <c r="A794" s="1044"/>
      <c r="B794" s="1044"/>
      <c r="C794" s="1044"/>
      <c r="D794" s="142"/>
      <c r="E794" s="142"/>
      <c r="F794" s="142"/>
      <c r="G794" s="1047"/>
      <c r="H794" s="1047"/>
      <c r="I794" s="1053"/>
      <c r="J794" s="1047"/>
      <c r="K794" s="1047"/>
      <c r="L794" s="1047"/>
      <c r="M794" s="1047"/>
      <c r="N794" s="1047"/>
      <c r="O794" s="1047"/>
      <c r="P794" s="1053"/>
      <c r="Q794" s="1047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4" customFormat="1">
      <c r="A795" s="1044"/>
      <c r="B795" s="1044"/>
      <c r="C795" s="1044"/>
      <c r="D795" s="142"/>
      <c r="E795" s="142"/>
      <c r="F795" s="142"/>
      <c r="G795" s="1047"/>
      <c r="H795" s="1047"/>
      <c r="I795" s="1053"/>
      <c r="J795" s="1047"/>
      <c r="K795" s="1047"/>
      <c r="L795" s="1047"/>
      <c r="M795" s="1047"/>
      <c r="N795" s="1047"/>
      <c r="O795" s="1047"/>
      <c r="P795" s="1053"/>
      <c r="Q795" s="1047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4" customFormat="1">
      <c r="A796" s="1044"/>
      <c r="B796" s="1044"/>
      <c r="C796" s="1044"/>
      <c r="D796" s="142"/>
      <c r="E796" s="142"/>
      <c r="F796" s="142"/>
      <c r="G796" s="1047"/>
      <c r="H796" s="1047"/>
      <c r="I796" s="1053"/>
      <c r="J796" s="1047"/>
      <c r="K796" s="1047"/>
      <c r="L796" s="1047"/>
      <c r="M796" s="1047"/>
      <c r="N796" s="1047"/>
      <c r="O796" s="1047"/>
      <c r="P796" s="1053"/>
      <c r="Q796" s="1047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4" customFormat="1">
      <c r="A797" s="1044"/>
      <c r="B797" s="1044"/>
      <c r="C797" s="1044"/>
      <c r="D797" s="142"/>
      <c r="E797" s="142"/>
      <c r="F797" s="142"/>
      <c r="G797" s="1047"/>
      <c r="H797" s="1047"/>
      <c r="I797" s="1053"/>
      <c r="J797" s="1047"/>
      <c r="K797" s="1047"/>
      <c r="L797" s="1047"/>
      <c r="M797" s="1047"/>
      <c r="N797" s="1047"/>
      <c r="O797" s="1047"/>
      <c r="P797" s="1053"/>
      <c r="Q797" s="1047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4" customFormat="1">
      <c r="A798" s="1044"/>
      <c r="B798" s="1044"/>
      <c r="C798" s="1044"/>
      <c r="D798" s="142"/>
      <c r="E798" s="142"/>
      <c r="F798" s="142"/>
      <c r="G798" s="1047"/>
      <c r="H798" s="1047"/>
      <c r="I798" s="1053"/>
      <c r="J798" s="1047"/>
      <c r="K798" s="1047"/>
      <c r="L798" s="1047"/>
      <c r="M798" s="1047"/>
      <c r="N798" s="1047"/>
      <c r="O798" s="1047"/>
      <c r="P798" s="1053"/>
      <c r="Q798" s="1047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4" customFormat="1">
      <c r="A799" s="1044"/>
      <c r="B799" s="1044"/>
      <c r="C799" s="1044"/>
      <c r="D799" s="142"/>
      <c r="E799" s="142"/>
      <c r="F799" s="142"/>
      <c r="G799" s="1047"/>
      <c r="H799" s="1047"/>
      <c r="I799" s="1053"/>
      <c r="J799" s="1047"/>
      <c r="K799" s="1047"/>
      <c r="L799" s="1047"/>
      <c r="M799" s="1047"/>
      <c r="N799" s="1047"/>
      <c r="O799" s="1047"/>
      <c r="P799" s="1053"/>
      <c r="Q799" s="1047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4" customFormat="1">
      <c r="A800" s="1044"/>
      <c r="B800" s="1044"/>
      <c r="C800" s="1044"/>
      <c r="D800" s="142"/>
      <c r="E800" s="142"/>
      <c r="F800" s="142"/>
      <c r="G800" s="1047"/>
      <c r="H800" s="1047"/>
      <c r="I800" s="1053"/>
      <c r="J800" s="1047"/>
      <c r="K800" s="1047"/>
      <c r="L800" s="1047"/>
      <c r="M800" s="1047"/>
      <c r="N800" s="1047"/>
      <c r="O800" s="1047"/>
      <c r="P800" s="1053"/>
      <c r="Q800" s="1047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4" customFormat="1">
      <c r="A801" s="1044"/>
      <c r="B801" s="1044"/>
      <c r="C801" s="1044"/>
      <c r="D801" s="142"/>
      <c r="E801" s="142"/>
      <c r="F801" s="142"/>
      <c r="G801" s="1047"/>
      <c r="H801" s="1047"/>
      <c r="I801" s="1053"/>
      <c r="J801" s="1047"/>
      <c r="K801" s="1047"/>
      <c r="L801" s="1047"/>
      <c r="M801" s="1047"/>
      <c r="N801" s="1047"/>
      <c r="O801" s="1047"/>
      <c r="P801" s="1053"/>
      <c r="Q801" s="1047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4" customFormat="1">
      <c r="A802" s="1044"/>
      <c r="B802" s="1044"/>
      <c r="C802" s="1044"/>
      <c r="D802" s="142"/>
      <c r="E802" s="142"/>
      <c r="F802" s="142"/>
      <c r="G802" s="1047"/>
      <c r="H802" s="1047"/>
      <c r="I802" s="1053"/>
      <c r="J802" s="1047"/>
      <c r="K802" s="1047"/>
      <c r="L802" s="1047"/>
      <c r="M802" s="1047"/>
      <c r="N802" s="1047"/>
      <c r="O802" s="1047"/>
      <c r="P802" s="1053"/>
      <c r="Q802" s="1047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4" customFormat="1">
      <c r="A803" s="1044"/>
      <c r="B803" s="1044"/>
      <c r="C803" s="1044"/>
      <c r="D803" s="142"/>
      <c r="E803" s="142"/>
      <c r="F803" s="142"/>
      <c r="G803" s="1047"/>
      <c r="H803" s="1047"/>
      <c r="I803" s="1053"/>
      <c r="J803" s="1047"/>
      <c r="K803" s="1047"/>
      <c r="L803" s="1047"/>
      <c r="M803" s="1047"/>
      <c r="N803" s="1047"/>
      <c r="O803" s="1047"/>
      <c r="P803" s="1053"/>
      <c r="Q803" s="1047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4" customFormat="1">
      <c r="A804" s="1044"/>
      <c r="B804" s="1044"/>
      <c r="C804" s="1044"/>
      <c r="D804" s="142"/>
      <c r="E804" s="142"/>
      <c r="F804" s="142"/>
      <c r="G804" s="1047"/>
      <c r="H804" s="1047"/>
      <c r="I804" s="1053"/>
      <c r="J804" s="1047"/>
      <c r="K804" s="1047"/>
      <c r="L804" s="1047"/>
      <c r="M804" s="1047"/>
      <c r="N804" s="1047"/>
      <c r="O804" s="1047"/>
      <c r="P804" s="1053"/>
      <c r="Q804" s="1047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4" customFormat="1">
      <c r="A805" s="1044"/>
      <c r="B805" s="1044"/>
      <c r="C805" s="1044"/>
      <c r="D805" s="142"/>
      <c r="E805" s="142"/>
      <c r="F805" s="142"/>
      <c r="G805" s="1047"/>
      <c r="H805" s="1047"/>
      <c r="I805" s="1053"/>
      <c r="J805" s="1047"/>
      <c r="K805" s="1047"/>
      <c r="L805" s="1047"/>
      <c r="M805" s="1047"/>
      <c r="N805" s="1047"/>
      <c r="O805" s="1047"/>
      <c r="P805" s="1053"/>
      <c r="Q805" s="1047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4" customFormat="1">
      <c r="A806" s="1044"/>
      <c r="B806" s="1044"/>
      <c r="C806" s="1044"/>
      <c r="D806" s="142"/>
      <c r="E806" s="142"/>
      <c r="F806" s="142"/>
      <c r="G806" s="1047"/>
      <c r="H806" s="1047"/>
      <c r="I806" s="1053"/>
      <c r="J806" s="1047"/>
      <c r="K806" s="1047"/>
      <c r="L806" s="1047"/>
      <c r="M806" s="1047"/>
      <c r="N806" s="1047"/>
      <c r="O806" s="1047"/>
      <c r="P806" s="1053"/>
      <c r="Q806" s="1047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4" customFormat="1">
      <c r="A807" s="1044"/>
      <c r="B807" s="1044"/>
      <c r="C807" s="1044"/>
      <c r="D807" s="142"/>
      <c r="E807" s="142"/>
      <c r="F807" s="142"/>
      <c r="G807" s="1047"/>
      <c r="H807" s="1047"/>
      <c r="I807" s="1053"/>
      <c r="J807" s="1047"/>
      <c r="K807" s="1047"/>
      <c r="L807" s="1047"/>
      <c r="M807" s="1047"/>
      <c r="N807" s="1047"/>
      <c r="O807" s="1047"/>
      <c r="P807" s="1053"/>
      <c r="Q807" s="1047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4" customFormat="1">
      <c r="A808" s="1044"/>
      <c r="B808" s="1044"/>
      <c r="C808" s="1044"/>
      <c r="D808" s="142"/>
      <c r="E808" s="142"/>
      <c r="F808" s="142"/>
      <c r="G808" s="1047"/>
      <c r="H808" s="1047"/>
      <c r="I808" s="1053"/>
      <c r="J808" s="1047"/>
      <c r="K808" s="1047"/>
      <c r="L808" s="1047"/>
      <c r="M808" s="1047"/>
      <c r="N808" s="1047"/>
      <c r="O808" s="1047"/>
      <c r="P808" s="1053"/>
      <c r="Q808" s="1047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4" customFormat="1">
      <c r="A809" s="1044"/>
      <c r="B809" s="1044"/>
      <c r="C809" s="1044"/>
      <c r="D809" s="142"/>
      <c r="E809" s="142"/>
      <c r="F809" s="142"/>
      <c r="G809" s="1047"/>
      <c r="H809" s="1047"/>
      <c r="I809" s="1053"/>
      <c r="J809" s="1047"/>
      <c r="K809" s="1047"/>
      <c r="L809" s="1047"/>
      <c r="M809" s="1047"/>
      <c r="N809" s="1047"/>
      <c r="O809" s="1047"/>
      <c r="P809" s="1053"/>
      <c r="Q809" s="1047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4" customFormat="1">
      <c r="A810" s="1044"/>
      <c r="B810" s="1044"/>
      <c r="C810" s="1044"/>
      <c r="D810" s="142"/>
      <c r="E810" s="142"/>
      <c r="F810" s="142"/>
      <c r="G810" s="1047"/>
      <c r="H810" s="1047"/>
      <c r="I810" s="1053"/>
      <c r="J810" s="1047"/>
      <c r="K810" s="1047"/>
      <c r="L810" s="1047"/>
      <c r="M810" s="1047"/>
      <c r="N810" s="1047"/>
      <c r="O810" s="1047"/>
      <c r="P810" s="1053"/>
      <c r="Q810" s="1047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4" customFormat="1">
      <c r="A811" s="1044"/>
      <c r="B811" s="1044"/>
      <c r="C811" s="1044"/>
      <c r="D811" s="142"/>
      <c r="E811" s="142"/>
      <c r="F811" s="142"/>
      <c r="G811" s="1047"/>
      <c r="H811" s="1047"/>
      <c r="I811" s="1053"/>
      <c r="J811" s="1047"/>
      <c r="K811" s="1047"/>
      <c r="L811" s="1047"/>
      <c r="M811" s="1047"/>
      <c r="N811" s="1047"/>
      <c r="O811" s="1047"/>
      <c r="P811" s="1053"/>
      <c r="Q811" s="1047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4" customFormat="1">
      <c r="A812" s="1044"/>
      <c r="B812" s="1044"/>
      <c r="C812" s="1044"/>
      <c r="D812" s="142"/>
      <c r="E812" s="142"/>
      <c r="F812" s="142"/>
      <c r="G812" s="1047"/>
      <c r="H812" s="1047"/>
      <c r="I812" s="1053"/>
      <c r="J812" s="1047"/>
      <c r="K812" s="1047"/>
      <c r="L812" s="1047"/>
      <c r="M812" s="1047"/>
      <c r="N812" s="1047"/>
      <c r="O812" s="1047"/>
      <c r="P812" s="1053"/>
      <c r="Q812" s="1047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4" customFormat="1">
      <c r="A813" s="1044"/>
      <c r="B813" s="1044"/>
      <c r="C813" s="1044"/>
      <c r="D813" s="142"/>
      <c r="E813" s="142"/>
      <c r="F813" s="142"/>
      <c r="G813" s="1047"/>
      <c r="H813" s="1047"/>
      <c r="I813" s="1053"/>
      <c r="J813" s="1047"/>
      <c r="K813" s="1047"/>
      <c r="L813" s="1047"/>
      <c r="M813" s="1047"/>
      <c r="N813" s="1047"/>
      <c r="O813" s="1047"/>
      <c r="P813" s="1053"/>
      <c r="Q813" s="1047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4" customFormat="1">
      <c r="A814" s="1044"/>
      <c r="B814" s="1044"/>
      <c r="C814" s="1044"/>
      <c r="D814" s="142"/>
      <c r="E814" s="142"/>
      <c r="F814" s="142"/>
      <c r="G814" s="1047"/>
      <c r="H814" s="1047"/>
      <c r="I814" s="1053"/>
      <c r="J814" s="1047"/>
      <c r="K814" s="1047"/>
      <c r="L814" s="1047"/>
      <c r="M814" s="1047"/>
      <c r="N814" s="1047"/>
      <c r="O814" s="1047"/>
      <c r="P814" s="1053"/>
      <c r="Q814" s="1047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4" customFormat="1">
      <c r="A815" s="1044"/>
      <c r="B815" s="1044"/>
      <c r="C815" s="1044"/>
      <c r="D815" s="142"/>
      <c r="E815" s="142"/>
      <c r="F815" s="142"/>
      <c r="G815" s="1047"/>
      <c r="H815" s="1047"/>
      <c r="I815" s="1053"/>
      <c r="J815" s="1047"/>
      <c r="K815" s="1047"/>
      <c r="L815" s="1047"/>
      <c r="M815" s="1047"/>
      <c r="N815" s="1047"/>
      <c r="O815" s="1047"/>
      <c r="P815" s="1053"/>
      <c r="Q815" s="1047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4" customFormat="1">
      <c r="A816" s="1044"/>
      <c r="B816" s="1044"/>
      <c r="C816" s="1044"/>
      <c r="D816" s="142"/>
      <c r="E816" s="142"/>
      <c r="F816" s="142"/>
      <c r="G816" s="1047"/>
      <c r="H816" s="1047"/>
      <c r="I816" s="1053"/>
      <c r="J816" s="1047"/>
      <c r="K816" s="1047"/>
      <c r="L816" s="1047"/>
      <c r="M816" s="1047"/>
      <c r="N816" s="1047"/>
      <c r="O816" s="1047"/>
      <c r="P816" s="1053"/>
      <c r="Q816" s="1047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4" customFormat="1">
      <c r="A817" s="1044"/>
      <c r="B817" s="1044"/>
      <c r="C817" s="1044"/>
      <c r="D817" s="142"/>
      <c r="E817" s="142"/>
      <c r="F817" s="142"/>
      <c r="G817" s="1047"/>
      <c r="H817" s="1047"/>
      <c r="I817" s="1053"/>
      <c r="J817" s="1047"/>
      <c r="K817" s="1047"/>
      <c r="L817" s="1047"/>
      <c r="M817" s="1047"/>
      <c r="N817" s="1047"/>
      <c r="O817" s="1047"/>
      <c r="P817" s="1053"/>
      <c r="Q817" s="1047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4" customFormat="1">
      <c r="A818" s="1044"/>
      <c r="B818" s="1044"/>
      <c r="C818" s="1044"/>
      <c r="D818" s="142"/>
      <c r="E818" s="142"/>
      <c r="F818" s="142"/>
      <c r="G818" s="1047"/>
      <c r="H818" s="1047"/>
      <c r="I818" s="1053"/>
      <c r="J818" s="1047"/>
      <c r="K818" s="1047"/>
      <c r="L818" s="1047"/>
      <c r="M818" s="1047"/>
      <c r="N818" s="1047"/>
      <c r="O818" s="1047"/>
      <c r="P818" s="1053"/>
      <c r="Q818" s="1047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4" customFormat="1">
      <c r="A819" s="1044"/>
      <c r="B819" s="1044"/>
      <c r="C819" s="1044"/>
      <c r="D819" s="142"/>
      <c r="E819" s="142"/>
      <c r="F819" s="142"/>
      <c r="G819" s="1047"/>
      <c r="H819" s="1047"/>
      <c r="I819" s="1053"/>
      <c r="J819" s="1047"/>
      <c r="K819" s="1047"/>
      <c r="L819" s="1047"/>
      <c r="M819" s="1047"/>
      <c r="N819" s="1047"/>
      <c r="O819" s="1047"/>
      <c r="P819" s="1053"/>
      <c r="Q819" s="1047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4" customFormat="1">
      <c r="A820" s="1044"/>
      <c r="B820" s="1044"/>
      <c r="C820" s="1044"/>
      <c r="D820" s="142"/>
      <c r="E820" s="142"/>
      <c r="F820" s="142"/>
      <c r="G820" s="1047"/>
      <c r="H820" s="1047"/>
      <c r="I820" s="1053"/>
      <c r="J820" s="1047"/>
      <c r="K820" s="1047"/>
      <c r="L820" s="1047"/>
      <c r="M820" s="1047"/>
      <c r="N820" s="1047"/>
      <c r="O820" s="1047"/>
      <c r="P820" s="1053"/>
      <c r="Q820" s="1047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4" customFormat="1">
      <c r="A821" s="1044"/>
      <c r="B821" s="1044"/>
      <c r="C821" s="1044"/>
      <c r="D821" s="142"/>
      <c r="E821" s="142"/>
      <c r="F821" s="142"/>
      <c r="G821" s="1047"/>
      <c r="H821" s="1047"/>
      <c r="I821" s="1053"/>
      <c r="J821" s="1047"/>
      <c r="K821" s="1047"/>
      <c r="L821" s="1047"/>
      <c r="M821" s="1047"/>
      <c r="N821" s="1047"/>
      <c r="O821" s="1047"/>
      <c r="P821" s="1053"/>
      <c r="Q821" s="1047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4" customFormat="1">
      <c r="A822" s="1044"/>
      <c r="B822" s="1044"/>
      <c r="C822" s="1044"/>
      <c r="D822" s="142"/>
      <c r="E822" s="142"/>
      <c r="F822" s="142"/>
      <c r="G822" s="1047"/>
      <c r="H822" s="1047"/>
      <c r="I822" s="1053"/>
      <c r="J822" s="1047"/>
      <c r="K822" s="1047"/>
      <c r="L822" s="1047"/>
      <c r="M822" s="1047"/>
      <c r="N822" s="1047"/>
      <c r="O822" s="1047"/>
      <c r="P822" s="1053"/>
      <c r="Q822" s="1047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4" customFormat="1">
      <c r="A823" s="1044"/>
      <c r="B823" s="1044"/>
      <c r="C823" s="1044"/>
      <c r="D823" s="142"/>
      <c r="E823" s="142"/>
      <c r="F823" s="142"/>
      <c r="G823" s="1047"/>
      <c r="H823" s="1047"/>
      <c r="I823" s="1053"/>
      <c r="J823" s="1047"/>
      <c r="K823" s="1047"/>
      <c r="L823" s="1047"/>
      <c r="M823" s="1047"/>
      <c r="N823" s="1047"/>
      <c r="O823" s="1047"/>
      <c r="P823" s="1053"/>
      <c r="Q823" s="1047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4" customFormat="1">
      <c r="A824" s="1044"/>
      <c r="B824" s="1044"/>
      <c r="C824" s="1044"/>
      <c r="D824" s="142"/>
      <c r="E824" s="142"/>
      <c r="F824" s="142"/>
      <c r="G824" s="1047"/>
      <c r="H824" s="1047"/>
      <c r="I824" s="1053"/>
      <c r="J824" s="1047"/>
      <c r="K824" s="1047"/>
      <c r="L824" s="1047"/>
      <c r="M824" s="1047"/>
      <c r="N824" s="1047"/>
      <c r="O824" s="1047"/>
      <c r="P824" s="1053"/>
      <c r="Q824" s="1047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4" customFormat="1">
      <c r="A825" s="1044"/>
      <c r="B825" s="1044"/>
      <c r="C825" s="1044"/>
      <c r="D825" s="142"/>
      <c r="E825" s="142"/>
      <c r="F825" s="142"/>
      <c r="G825" s="1047"/>
      <c r="H825" s="1047"/>
      <c r="I825" s="1053"/>
      <c r="J825" s="1047"/>
      <c r="K825" s="1047"/>
      <c r="L825" s="1047"/>
      <c r="M825" s="1047"/>
      <c r="N825" s="1047"/>
      <c r="O825" s="1047"/>
      <c r="P825" s="1053"/>
      <c r="Q825" s="1047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4" customFormat="1">
      <c r="A826" s="1044"/>
      <c r="B826" s="1044"/>
      <c r="C826" s="1044"/>
      <c r="D826" s="142"/>
      <c r="E826" s="142"/>
      <c r="F826" s="142"/>
      <c r="G826" s="1047"/>
      <c r="H826" s="1047"/>
      <c r="I826" s="1053"/>
      <c r="J826" s="1047"/>
      <c r="K826" s="1047"/>
      <c r="L826" s="1047"/>
      <c r="M826" s="1047"/>
      <c r="N826" s="1047"/>
      <c r="O826" s="1047"/>
      <c r="P826" s="1053"/>
      <c r="Q826" s="1047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4" customFormat="1">
      <c r="A827" s="1044"/>
      <c r="B827" s="1044"/>
      <c r="C827" s="1044"/>
      <c r="D827" s="142"/>
      <c r="E827" s="142"/>
      <c r="F827" s="142"/>
      <c r="G827" s="1047"/>
      <c r="H827" s="1047"/>
      <c r="I827" s="1053"/>
      <c r="J827" s="1047"/>
      <c r="K827" s="1047"/>
      <c r="L827" s="1047"/>
      <c r="M827" s="1047"/>
      <c r="N827" s="1047"/>
      <c r="O827" s="1047"/>
      <c r="P827" s="1053"/>
      <c r="Q827" s="1047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7" customWidth="1"/>
    <col min="3" max="3" width="11.5703125" style="1087" hidden="1" customWidth="1"/>
    <col min="4" max="4" width="10.5703125" style="1087" customWidth="1"/>
    <col min="5" max="5" width="4.42578125" style="1088" customWidth="1"/>
    <col min="6" max="15" width="3.42578125" style="1088" customWidth="1"/>
    <col min="16" max="16" width="4" style="1088" customWidth="1"/>
    <col min="17" max="30" width="3.42578125" style="1088" customWidth="1"/>
    <col min="31" max="31" width="3.7109375" style="1088" customWidth="1"/>
    <col min="32" max="35" width="3.42578125" style="1088" customWidth="1"/>
    <col min="36" max="36" width="11.42578125" style="1088" customWidth="1"/>
    <col min="37" max="37" width="10.42578125" style="1088" customWidth="1"/>
    <col min="38" max="38" width="11.140625" style="1088" customWidth="1"/>
    <col min="39" max="39" width="9.140625" style="1088" customWidth="1"/>
    <col min="40" max="16384" width="9" style="1088"/>
  </cols>
  <sheetData>
    <row r="1" spans="1:41" ht="18.75">
      <c r="A1" s="2433" t="s">
        <v>1949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1105"/>
      <c r="Q1" s="1109"/>
      <c r="R1" s="1105"/>
      <c r="S1" s="2434" t="s">
        <v>1928</v>
      </c>
      <c r="T1" s="2434"/>
      <c r="U1" s="2434"/>
      <c r="V1" s="2434"/>
      <c r="W1" s="2434"/>
      <c r="X1" s="2434"/>
      <c r="Y1" s="2434"/>
      <c r="Z1" s="2434"/>
      <c r="AA1" s="2434"/>
      <c r="AB1" s="2434"/>
      <c r="AC1" s="2434"/>
      <c r="AD1" s="2434"/>
      <c r="AE1" s="2434"/>
      <c r="AF1" s="2434"/>
      <c r="AG1" s="2434"/>
      <c r="AH1" s="2434"/>
      <c r="AI1" s="2434"/>
      <c r="AJ1" s="2434"/>
      <c r="AK1" s="2434"/>
      <c r="AL1" s="2434"/>
    </row>
    <row r="2" spans="1:41" ht="18.75">
      <c r="A2" s="2433" t="s">
        <v>1929</v>
      </c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1105"/>
      <c r="Q2" s="1109"/>
      <c r="R2" s="1105"/>
      <c r="S2" s="2434" t="s">
        <v>1</v>
      </c>
      <c r="T2" s="2434"/>
      <c r="U2" s="2434"/>
      <c r="V2" s="2434"/>
      <c r="W2" s="2434"/>
      <c r="X2" s="2434"/>
      <c r="Y2" s="2434"/>
      <c r="Z2" s="2434"/>
      <c r="AA2" s="2434"/>
      <c r="AB2" s="2434"/>
      <c r="AC2" s="2434"/>
      <c r="AD2" s="2434"/>
      <c r="AE2" s="2434"/>
      <c r="AF2" s="2434"/>
      <c r="AG2" s="2434"/>
      <c r="AH2" s="2434"/>
      <c r="AI2" s="2434"/>
      <c r="AJ2" s="2434"/>
      <c r="AK2" s="2434"/>
      <c r="AL2" s="2434"/>
    </row>
    <row r="3" spans="1:41" ht="15" customHeight="1">
      <c r="A3" s="2435"/>
      <c r="B3" s="2435"/>
      <c r="C3" s="2435"/>
      <c r="D3" s="2435"/>
      <c r="E3" s="2435"/>
      <c r="F3" s="2435"/>
      <c r="G3" s="2435"/>
      <c r="H3" s="2435"/>
      <c r="I3" s="2435"/>
      <c r="J3" s="2435"/>
      <c r="K3" s="2435"/>
      <c r="L3" s="2435"/>
      <c r="M3" s="1106"/>
      <c r="N3" s="1105"/>
      <c r="O3" s="1105"/>
      <c r="P3" s="1105"/>
      <c r="Q3" s="1109"/>
      <c r="R3" s="1105"/>
      <c r="S3" s="2436" t="s">
        <v>619</v>
      </c>
      <c r="T3" s="2434"/>
      <c r="U3" s="2434"/>
      <c r="V3" s="2434"/>
      <c r="W3" s="2434"/>
      <c r="X3" s="2434"/>
      <c r="Y3" s="2434"/>
      <c r="Z3" s="2434"/>
      <c r="AA3" s="2434"/>
      <c r="AB3" s="2434"/>
      <c r="AC3" s="2434"/>
      <c r="AD3" s="2434"/>
      <c r="AE3" s="2434"/>
      <c r="AF3" s="2434"/>
      <c r="AG3" s="2434"/>
      <c r="AH3" s="2434"/>
      <c r="AI3" s="2434"/>
      <c r="AJ3" s="2434"/>
      <c r="AK3" s="2434"/>
      <c r="AL3" s="2434"/>
    </row>
    <row r="4" spans="1:41" ht="27.75" customHeight="1">
      <c r="A4" s="2421" t="s">
        <v>1950</v>
      </c>
      <c r="B4" s="2421"/>
      <c r="C4" s="2421"/>
      <c r="D4" s="2421"/>
      <c r="E4" s="2421"/>
      <c r="F4" s="2421"/>
      <c r="G4" s="2421"/>
      <c r="H4" s="2421"/>
      <c r="I4" s="2421"/>
      <c r="J4" s="2421"/>
      <c r="K4" s="2421"/>
      <c r="L4" s="2421"/>
      <c r="M4" s="2421"/>
      <c r="N4" s="2421"/>
      <c r="O4" s="2421"/>
      <c r="P4" s="2421"/>
      <c r="Q4" s="2421"/>
      <c r="R4" s="2421"/>
      <c r="S4" s="2421"/>
      <c r="T4" s="2421"/>
      <c r="U4" s="2421"/>
      <c r="V4" s="2421"/>
      <c r="W4" s="2421"/>
      <c r="X4" s="2421"/>
      <c r="Y4" s="2421"/>
      <c r="Z4" s="2421"/>
      <c r="AA4" s="2421"/>
      <c r="AB4" s="2421"/>
      <c r="AC4" s="2421"/>
      <c r="AD4" s="2421"/>
      <c r="AE4" s="2421"/>
      <c r="AF4" s="2421"/>
      <c r="AG4" s="2421"/>
      <c r="AH4" s="2421"/>
      <c r="AI4" s="2421"/>
      <c r="AJ4" s="2421"/>
      <c r="AK4" s="2421"/>
      <c r="AL4" s="2421"/>
    </row>
    <row r="5" spans="1:41" ht="18.75" customHeight="1">
      <c r="A5" s="2422" t="s">
        <v>1951</v>
      </c>
      <c r="B5" s="2422"/>
      <c r="C5" s="2422"/>
      <c r="D5" s="2422"/>
      <c r="E5" s="2422"/>
      <c r="F5" s="2422"/>
      <c r="G5" s="2422"/>
      <c r="H5" s="2422"/>
      <c r="I5" s="2422"/>
      <c r="J5" s="2422"/>
      <c r="K5" s="2422"/>
      <c r="L5" s="2422"/>
      <c r="M5" s="2422"/>
      <c r="N5" s="2422"/>
      <c r="O5" s="2422"/>
      <c r="P5" s="2422"/>
      <c r="Q5" s="2422"/>
      <c r="R5" s="2422"/>
      <c r="S5" s="2422"/>
      <c r="T5" s="2422"/>
      <c r="U5" s="2422"/>
      <c r="V5" s="2422"/>
      <c r="W5" s="2422"/>
      <c r="X5" s="2422"/>
      <c r="Y5" s="2422"/>
      <c r="Z5" s="2422"/>
      <c r="AA5" s="2422"/>
      <c r="AB5" s="2422"/>
      <c r="AC5" s="2422"/>
      <c r="AD5" s="2422"/>
      <c r="AE5" s="2422"/>
      <c r="AF5" s="2422"/>
      <c r="AG5" s="2422"/>
      <c r="AH5" s="2422"/>
      <c r="AI5" s="2422"/>
      <c r="AJ5" s="2422"/>
      <c r="AK5" s="1082" t="s">
        <v>1952</v>
      </c>
      <c r="AL5" s="1075">
        <v>0.49859999999999999</v>
      </c>
    </row>
    <row r="6" spans="1:41" s="1082" customFormat="1" ht="20.45" customHeight="1">
      <c r="A6" s="2423" t="s">
        <v>623</v>
      </c>
      <c r="B6" s="2423" t="s">
        <v>623</v>
      </c>
      <c r="C6" s="2423" t="s">
        <v>1932</v>
      </c>
      <c r="D6" s="2428" t="s">
        <v>356</v>
      </c>
      <c r="E6" s="2423" t="s">
        <v>1953</v>
      </c>
      <c r="F6" s="2423"/>
      <c r="G6" s="2423"/>
      <c r="H6" s="2423"/>
      <c r="I6" s="2423"/>
      <c r="J6" s="2423"/>
      <c r="K6" s="2423"/>
      <c r="L6" s="2423"/>
      <c r="M6" s="2423"/>
      <c r="N6" s="2423"/>
      <c r="O6" s="2423"/>
      <c r="P6" s="2423"/>
      <c r="Q6" s="2423"/>
      <c r="R6" s="2423"/>
      <c r="S6" s="2423"/>
      <c r="T6" s="2423"/>
      <c r="U6" s="2423"/>
      <c r="V6" s="2423"/>
      <c r="W6" s="2423"/>
      <c r="X6" s="2423"/>
      <c r="Y6" s="2423"/>
      <c r="Z6" s="2423"/>
      <c r="AA6" s="2423"/>
      <c r="AB6" s="2423"/>
      <c r="AC6" s="2423"/>
      <c r="AD6" s="2423"/>
      <c r="AE6" s="2423"/>
      <c r="AF6" s="2423"/>
      <c r="AG6" s="2423"/>
      <c r="AH6" s="2423"/>
      <c r="AI6" s="2423"/>
      <c r="AJ6" s="1115"/>
      <c r="AK6" s="1116"/>
      <c r="AL6" s="2430" t="s">
        <v>627</v>
      </c>
    </row>
    <row r="7" spans="1:41" s="1082" customFormat="1" ht="17.45" customHeight="1">
      <c r="A7" s="2423"/>
      <c r="B7" s="2423"/>
      <c r="C7" s="2423"/>
      <c r="D7" s="2429"/>
      <c r="E7" s="1089">
        <v>1</v>
      </c>
      <c r="F7" s="1089">
        <v>2</v>
      </c>
      <c r="G7" s="1089">
        <v>3</v>
      </c>
      <c r="H7" s="1089">
        <v>4</v>
      </c>
      <c r="I7" s="1089">
        <v>5</v>
      </c>
      <c r="J7" s="1089">
        <v>6</v>
      </c>
      <c r="K7" s="1089">
        <v>7</v>
      </c>
      <c r="L7" s="1089">
        <v>8</v>
      </c>
      <c r="M7" s="1089">
        <v>9</v>
      </c>
      <c r="N7" s="1089">
        <v>10</v>
      </c>
      <c r="O7" s="1089">
        <v>11</v>
      </c>
      <c r="P7" s="1089">
        <v>12</v>
      </c>
      <c r="Q7" s="1089">
        <v>13</v>
      </c>
      <c r="R7" s="1089">
        <v>14</v>
      </c>
      <c r="S7" s="1089">
        <v>15</v>
      </c>
      <c r="T7" s="1089">
        <v>16</v>
      </c>
      <c r="U7" s="1089">
        <v>17</v>
      </c>
      <c r="V7" s="1089">
        <v>18</v>
      </c>
      <c r="W7" s="1089">
        <v>19</v>
      </c>
      <c r="X7" s="1089">
        <v>20</v>
      </c>
      <c r="Y7" s="1089">
        <v>21</v>
      </c>
      <c r="Z7" s="1089">
        <v>22</v>
      </c>
      <c r="AA7" s="1089">
        <v>23</v>
      </c>
      <c r="AB7" s="1089">
        <v>24</v>
      </c>
      <c r="AC7" s="1089">
        <v>25</v>
      </c>
      <c r="AD7" s="1089">
        <v>26</v>
      </c>
      <c r="AE7" s="1089">
        <v>27</v>
      </c>
      <c r="AF7" s="1089">
        <v>28</v>
      </c>
      <c r="AG7" s="1089">
        <v>29</v>
      </c>
      <c r="AH7" s="1089">
        <v>30</v>
      </c>
      <c r="AI7" s="1089">
        <v>31</v>
      </c>
      <c r="AJ7" s="2430" t="s">
        <v>1954</v>
      </c>
      <c r="AK7" s="2430" t="s">
        <v>1955</v>
      </c>
      <c r="AL7" s="2432"/>
    </row>
    <row r="8" spans="1:41" s="1082" customFormat="1" ht="35.450000000000003" customHeight="1">
      <c r="A8" s="2424" t="s">
        <v>1956</v>
      </c>
      <c r="B8" s="2425"/>
      <c r="C8" s="2425"/>
      <c r="D8" s="2426"/>
      <c r="E8" s="1089" t="s">
        <v>1957</v>
      </c>
      <c r="F8" s="1089" t="s">
        <v>1958</v>
      </c>
      <c r="G8" s="1089" t="s">
        <v>1959</v>
      </c>
      <c r="H8" s="1089" t="s">
        <v>1957</v>
      </c>
      <c r="I8" s="1089" t="s">
        <v>1958</v>
      </c>
      <c r="J8" s="1089" t="s">
        <v>1959</v>
      </c>
      <c r="K8" s="1089" t="s">
        <v>1957</v>
      </c>
      <c r="L8" s="1089" t="s">
        <v>1958</v>
      </c>
      <c r="M8" s="1089" t="s">
        <v>1959</v>
      </c>
      <c r="N8" s="1089" t="s">
        <v>1957</v>
      </c>
      <c r="O8" s="1089" t="s">
        <v>1958</v>
      </c>
      <c r="P8" s="1089" t="s">
        <v>1959</v>
      </c>
      <c r="Q8" s="1089" t="s">
        <v>1957</v>
      </c>
      <c r="R8" s="1089" t="s">
        <v>1958</v>
      </c>
      <c r="S8" s="1089" t="s">
        <v>1959</v>
      </c>
      <c r="T8" s="1089" t="s">
        <v>1957</v>
      </c>
      <c r="U8" s="1089" t="s">
        <v>1958</v>
      </c>
      <c r="V8" s="1089" t="s">
        <v>1959</v>
      </c>
      <c r="W8" s="1089" t="s">
        <v>1957</v>
      </c>
      <c r="X8" s="1089" t="s">
        <v>1958</v>
      </c>
      <c r="Y8" s="1089" t="s">
        <v>1959</v>
      </c>
      <c r="Z8" s="1089" t="s">
        <v>1957</v>
      </c>
      <c r="AA8" s="1089" t="s">
        <v>1958</v>
      </c>
      <c r="AB8" s="1089" t="s">
        <v>1959</v>
      </c>
      <c r="AC8" s="1089" t="s">
        <v>1957</v>
      </c>
      <c r="AD8" s="1089" t="s">
        <v>1958</v>
      </c>
      <c r="AE8" s="1089" t="s">
        <v>1959</v>
      </c>
      <c r="AF8" s="1089" t="s">
        <v>1957</v>
      </c>
      <c r="AG8" s="1089" t="s">
        <v>1958</v>
      </c>
      <c r="AH8" s="1089" t="s">
        <v>1959</v>
      </c>
      <c r="AI8" s="1089" t="s">
        <v>1957</v>
      </c>
      <c r="AJ8" s="2431"/>
      <c r="AK8" s="2431"/>
      <c r="AL8" s="2431"/>
      <c r="AM8" s="1082" t="s">
        <v>1952</v>
      </c>
      <c r="AN8" s="1075">
        <v>0.42315993895981302</v>
      </c>
    </row>
    <row r="9" spans="1:41" s="1083" customFormat="1" ht="19.149999999999999" customHeight="1" outlineLevel="1">
      <c r="A9" s="1090" t="s">
        <v>427</v>
      </c>
      <c r="B9" s="1090"/>
      <c r="C9" s="1090"/>
      <c r="D9" s="1090"/>
      <c r="E9" s="1027">
        <f t="shared" ref="E9:AI11" si="0">SUM(E10:E10)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27">
        <f t="shared" si="0"/>
        <v>0</v>
      </c>
      <c r="AJ9" s="1033">
        <f>AJ10</f>
        <v>0</v>
      </c>
      <c r="AK9" s="1117">
        <f>AK10</f>
        <v>0</v>
      </c>
      <c r="AL9" s="1036"/>
      <c r="AM9" s="1118"/>
    </row>
    <row r="10" spans="1:41" s="1082" customFormat="1" ht="19.149999999999999" customHeight="1" outlineLevel="1">
      <c r="A10" s="1091">
        <v>1</v>
      </c>
      <c r="B10" s="1091">
        <v>1</v>
      </c>
      <c r="C10" s="1092" t="s">
        <v>1941</v>
      </c>
      <c r="D10" s="1092" t="s">
        <v>1960</v>
      </c>
      <c r="E10" s="1091"/>
      <c r="F10" s="1091"/>
      <c r="G10" s="1091"/>
      <c r="H10" s="1091"/>
      <c r="I10" s="1091"/>
      <c r="J10" s="1091"/>
      <c r="K10" s="1091"/>
      <c r="L10" s="1091"/>
      <c r="M10" s="1091"/>
      <c r="N10" s="1091"/>
      <c r="O10" s="1091"/>
      <c r="P10" s="1091"/>
      <c r="Q10" s="1091"/>
      <c r="R10" s="1091"/>
      <c r="S10" s="1091"/>
      <c r="T10" s="1091"/>
      <c r="U10" s="1091"/>
      <c r="V10" s="1091"/>
      <c r="W10" s="1091"/>
      <c r="X10" s="1091"/>
      <c r="Y10" s="1112"/>
      <c r="Z10" s="1112"/>
      <c r="AA10" s="1113"/>
      <c r="AB10" s="1113"/>
      <c r="AC10" s="1113"/>
      <c r="AD10" s="1113"/>
      <c r="AE10" s="1113"/>
      <c r="AF10" s="1113"/>
      <c r="AG10" s="1113"/>
      <c r="AH10" s="1113"/>
      <c r="AI10" s="1113"/>
      <c r="AJ10" s="1119">
        <f t="shared" ref="AJ10" si="1">SUM(E10:AI10)</f>
        <v>0</v>
      </c>
      <c r="AK10" s="1120">
        <f>+AJ10*$AL$5</f>
        <v>0</v>
      </c>
      <c r="AL10" s="1121"/>
      <c r="AM10" s="1082">
        <f>SUM(E10:AI10)</f>
        <v>0</v>
      </c>
      <c r="AN10" s="1122" t="s">
        <v>1961</v>
      </c>
      <c r="AO10" s="1082">
        <v>0.175047445255474</v>
      </c>
    </row>
    <row r="11" spans="1:41" s="1083" customFormat="1" ht="19.149999999999999" customHeight="1" outlineLevel="1">
      <c r="A11" s="1090" t="s">
        <v>520</v>
      </c>
      <c r="B11" s="1090"/>
      <c r="C11" s="1090"/>
      <c r="D11" s="1090"/>
      <c r="E11" s="1027">
        <f t="shared" si="0"/>
        <v>0</v>
      </c>
      <c r="F11" s="1027">
        <f t="shared" si="0"/>
        <v>0</v>
      </c>
      <c r="G11" s="1027">
        <f t="shared" si="0"/>
        <v>0</v>
      </c>
      <c r="H11" s="1027">
        <f t="shared" si="0"/>
        <v>0</v>
      </c>
      <c r="I11" s="1027">
        <f t="shared" si="0"/>
        <v>0</v>
      </c>
      <c r="J11" s="1027">
        <f t="shared" si="0"/>
        <v>0</v>
      </c>
      <c r="K11" s="1027">
        <f t="shared" si="0"/>
        <v>0</v>
      </c>
      <c r="L11" s="1027">
        <f t="shared" si="0"/>
        <v>0</v>
      </c>
      <c r="M11" s="1027">
        <f t="shared" si="0"/>
        <v>0</v>
      </c>
      <c r="N11" s="1027">
        <f t="shared" si="0"/>
        <v>0</v>
      </c>
      <c r="O11" s="1027">
        <f t="shared" si="0"/>
        <v>0</v>
      </c>
      <c r="P11" s="1027">
        <f t="shared" si="0"/>
        <v>0</v>
      </c>
      <c r="Q11" s="1027">
        <f t="shared" si="0"/>
        <v>0</v>
      </c>
      <c r="R11" s="1027">
        <f t="shared" si="0"/>
        <v>0</v>
      </c>
      <c r="S11" s="1027">
        <f t="shared" si="0"/>
        <v>0</v>
      </c>
      <c r="T11" s="1027">
        <f t="shared" si="0"/>
        <v>0</v>
      </c>
      <c r="U11" s="1027">
        <f t="shared" si="0"/>
        <v>0</v>
      </c>
      <c r="V11" s="1027">
        <f t="shared" si="0"/>
        <v>0</v>
      </c>
      <c r="W11" s="1027">
        <f t="shared" si="0"/>
        <v>0</v>
      </c>
      <c r="X11" s="1027">
        <f t="shared" si="0"/>
        <v>0</v>
      </c>
      <c r="Y11" s="1027">
        <f t="shared" si="0"/>
        <v>0</v>
      </c>
      <c r="Z11" s="1027">
        <f t="shared" si="0"/>
        <v>0</v>
      </c>
      <c r="AA11" s="1027">
        <f t="shared" si="0"/>
        <v>0</v>
      </c>
      <c r="AB11" s="1027">
        <f t="shared" si="0"/>
        <v>0</v>
      </c>
      <c r="AC11" s="1027">
        <f t="shared" si="0"/>
        <v>0</v>
      </c>
      <c r="AD11" s="1027">
        <f t="shared" si="0"/>
        <v>0</v>
      </c>
      <c r="AE11" s="1027">
        <f t="shared" si="0"/>
        <v>0</v>
      </c>
      <c r="AF11" s="1027">
        <f t="shared" si="0"/>
        <v>0</v>
      </c>
      <c r="AG11" s="1027">
        <f t="shared" si="0"/>
        <v>0</v>
      </c>
      <c r="AH11" s="1027">
        <f t="shared" si="0"/>
        <v>290</v>
      </c>
      <c r="AI11" s="1027">
        <f t="shared" si="0"/>
        <v>0</v>
      </c>
      <c r="AJ11" s="1033">
        <f>AJ12</f>
        <v>290</v>
      </c>
      <c r="AK11" s="1117">
        <f>AK12</f>
        <v>144.59399999999999</v>
      </c>
      <c r="AL11" s="1036"/>
      <c r="AM11" s="1118"/>
      <c r="AN11" s="1083" t="s">
        <v>1962</v>
      </c>
      <c r="AO11" s="1083">
        <v>0.31672614503816798</v>
      </c>
    </row>
    <row r="12" spans="1:41" s="1082" customFormat="1" ht="19.149999999999999" customHeight="1" outlineLevel="1">
      <c r="A12" s="1091">
        <v>1</v>
      </c>
      <c r="B12" s="1091">
        <v>1</v>
      </c>
      <c r="C12" s="1092" t="s">
        <v>1941</v>
      </c>
      <c r="D12" s="1092" t="s">
        <v>484</v>
      </c>
      <c r="E12" s="1091"/>
      <c r="F12" s="1091"/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112"/>
      <c r="Z12" s="1112"/>
      <c r="AA12" s="1113"/>
      <c r="AB12" s="1113"/>
      <c r="AC12" s="1113"/>
      <c r="AD12" s="1113"/>
      <c r="AE12" s="1113"/>
      <c r="AF12" s="1113"/>
      <c r="AG12" s="1113"/>
      <c r="AH12" s="1113">
        <v>290</v>
      </c>
      <c r="AI12" s="1113"/>
      <c r="AJ12" s="1119">
        <f t="shared" ref="AJ12:AJ18" si="2">SUM(E12:AI12)</f>
        <v>290</v>
      </c>
      <c r="AK12" s="1121">
        <f>+AJ12*$AL$5</f>
        <v>144.59399999999999</v>
      </c>
      <c r="AL12" s="1121"/>
      <c r="AM12" s="1082">
        <f>SUM(E12:AI12)</f>
        <v>290</v>
      </c>
      <c r="AN12" s="1122" t="s">
        <v>1963</v>
      </c>
      <c r="AO12" s="1082">
        <v>0.49859999999999999</v>
      </c>
    </row>
    <row r="13" spans="1:41" s="1083" customFormat="1" ht="19.149999999999999" customHeight="1">
      <c r="A13" s="1090" t="s">
        <v>521</v>
      </c>
      <c r="B13" s="1090"/>
      <c r="C13" s="1090"/>
      <c r="D13" s="1090"/>
      <c r="E13" s="1089">
        <f t="shared" ref="E13:AI15" si="3">SUM(E14:E14)</f>
        <v>0</v>
      </c>
      <c r="F13" s="1089">
        <f t="shared" si="3"/>
        <v>0</v>
      </c>
      <c r="G13" s="1089">
        <f t="shared" si="3"/>
        <v>0</v>
      </c>
      <c r="H13" s="1089">
        <f t="shared" si="3"/>
        <v>0</v>
      </c>
      <c r="I13" s="1089">
        <f t="shared" si="3"/>
        <v>0</v>
      </c>
      <c r="J13" s="1089">
        <f t="shared" si="3"/>
        <v>0</v>
      </c>
      <c r="K13" s="1089">
        <f t="shared" si="3"/>
        <v>0</v>
      </c>
      <c r="L13" s="1089">
        <f t="shared" si="3"/>
        <v>0</v>
      </c>
      <c r="M13" s="1089">
        <f t="shared" si="3"/>
        <v>0</v>
      </c>
      <c r="N13" s="1089">
        <f t="shared" si="3"/>
        <v>0</v>
      </c>
      <c r="O13" s="1089">
        <f t="shared" si="3"/>
        <v>0</v>
      </c>
      <c r="P13" s="1089">
        <f t="shared" si="3"/>
        <v>0</v>
      </c>
      <c r="Q13" s="1089">
        <f t="shared" si="3"/>
        <v>0</v>
      </c>
      <c r="R13" s="1089">
        <f t="shared" si="3"/>
        <v>0</v>
      </c>
      <c r="S13" s="1089">
        <f t="shared" si="3"/>
        <v>0</v>
      </c>
      <c r="T13" s="1089">
        <f t="shared" si="3"/>
        <v>0</v>
      </c>
      <c r="U13" s="1089">
        <f t="shared" si="3"/>
        <v>0</v>
      </c>
      <c r="V13" s="1089">
        <f t="shared" si="3"/>
        <v>0</v>
      </c>
      <c r="W13" s="1089">
        <f t="shared" si="3"/>
        <v>0</v>
      </c>
      <c r="X13" s="1089">
        <f t="shared" si="3"/>
        <v>0</v>
      </c>
      <c r="Y13" s="1089">
        <f t="shared" si="3"/>
        <v>0</v>
      </c>
      <c r="Z13" s="1089">
        <f t="shared" si="3"/>
        <v>0</v>
      </c>
      <c r="AA13" s="1089">
        <f t="shared" si="3"/>
        <v>0</v>
      </c>
      <c r="AB13" s="1089">
        <f t="shared" si="3"/>
        <v>0</v>
      </c>
      <c r="AC13" s="1089">
        <f t="shared" si="3"/>
        <v>0</v>
      </c>
      <c r="AD13" s="1089">
        <f t="shared" si="3"/>
        <v>0</v>
      </c>
      <c r="AE13" s="1089">
        <f t="shared" si="3"/>
        <v>0</v>
      </c>
      <c r="AF13" s="1089">
        <f t="shared" si="3"/>
        <v>0</v>
      </c>
      <c r="AG13" s="1089">
        <f t="shared" si="3"/>
        <v>0</v>
      </c>
      <c r="AH13" s="1089">
        <f t="shared" si="3"/>
        <v>0</v>
      </c>
      <c r="AI13" s="1089">
        <f t="shared" si="3"/>
        <v>0</v>
      </c>
      <c r="AJ13" s="1033">
        <f>AJ14</f>
        <v>0</v>
      </c>
      <c r="AK13" s="1117">
        <f>AK14</f>
        <v>0</v>
      </c>
      <c r="AL13" s="1036"/>
      <c r="AM13" s="1118"/>
    </row>
    <row r="14" spans="1:41" s="1082" customFormat="1" ht="19.149999999999999" customHeight="1" outlineLevel="1">
      <c r="A14" s="1091">
        <v>2</v>
      </c>
      <c r="B14" s="1091">
        <v>1</v>
      </c>
      <c r="C14" s="1091" t="s">
        <v>505</v>
      </c>
      <c r="D14" s="1093" t="s">
        <v>495</v>
      </c>
      <c r="E14" s="1091"/>
      <c r="F14" s="1091"/>
      <c r="G14" s="1091"/>
      <c r="H14" s="1091"/>
      <c r="I14" s="1091"/>
      <c r="J14" s="1091"/>
      <c r="K14" s="1091"/>
      <c r="L14" s="1091"/>
      <c r="M14" s="1091"/>
      <c r="N14" s="1091"/>
      <c r="O14" s="1091"/>
      <c r="P14" s="1091"/>
      <c r="Q14" s="1091"/>
      <c r="R14" s="1091"/>
      <c r="S14" s="1091"/>
      <c r="T14" s="1091"/>
      <c r="U14" s="1091"/>
      <c r="V14" s="1091"/>
      <c r="W14" s="1091"/>
      <c r="X14" s="1091"/>
      <c r="Y14" s="1091"/>
      <c r="Z14" s="1091"/>
      <c r="AA14" s="1091"/>
      <c r="AB14" s="1091"/>
      <c r="AC14" s="1091"/>
      <c r="AD14" s="1091"/>
      <c r="AE14" s="1091"/>
      <c r="AF14" s="1091"/>
      <c r="AG14" s="1091"/>
      <c r="AH14" s="1091"/>
      <c r="AI14" s="1091"/>
      <c r="AJ14" s="1119">
        <f t="shared" ref="AJ14" si="4">SUM(E14:AI14)</f>
        <v>0</v>
      </c>
      <c r="AK14" s="1120">
        <f>+AJ14*$AO$10</f>
        <v>0</v>
      </c>
      <c r="AL14" s="1121"/>
    </row>
    <row r="15" spans="1:41" s="1083" customFormat="1" ht="19.149999999999999" customHeight="1">
      <c r="A15" s="1090" t="s">
        <v>123</v>
      </c>
      <c r="B15" s="1090"/>
      <c r="C15" s="1090"/>
      <c r="D15" s="1090"/>
      <c r="E15" s="1089">
        <f t="shared" si="3"/>
        <v>0</v>
      </c>
      <c r="F15" s="1089">
        <f t="shared" si="3"/>
        <v>0</v>
      </c>
      <c r="G15" s="1089">
        <f t="shared" si="3"/>
        <v>0</v>
      </c>
      <c r="H15" s="1089">
        <f t="shared" si="3"/>
        <v>0</v>
      </c>
      <c r="I15" s="1089">
        <f t="shared" si="3"/>
        <v>0</v>
      </c>
      <c r="J15" s="1089">
        <f t="shared" si="3"/>
        <v>0</v>
      </c>
      <c r="K15" s="1089">
        <f t="shared" si="3"/>
        <v>0</v>
      </c>
      <c r="L15" s="1089">
        <f t="shared" si="3"/>
        <v>0</v>
      </c>
      <c r="M15" s="1089">
        <f t="shared" si="3"/>
        <v>0</v>
      </c>
      <c r="N15" s="1089">
        <f t="shared" si="3"/>
        <v>0</v>
      </c>
      <c r="O15" s="1089">
        <f t="shared" si="3"/>
        <v>0</v>
      </c>
      <c r="P15" s="1089">
        <f t="shared" si="3"/>
        <v>0</v>
      </c>
      <c r="Q15" s="1089">
        <f t="shared" si="3"/>
        <v>0</v>
      </c>
      <c r="R15" s="1089">
        <f t="shared" si="3"/>
        <v>0</v>
      </c>
      <c r="S15" s="1089">
        <f t="shared" si="3"/>
        <v>0</v>
      </c>
      <c r="T15" s="1089">
        <f t="shared" si="3"/>
        <v>0</v>
      </c>
      <c r="U15" s="1089">
        <f t="shared" si="3"/>
        <v>0</v>
      </c>
      <c r="V15" s="1089">
        <f t="shared" si="3"/>
        <v>0</v>
      </c>
      <c r="W15" s="1089">
        <f t="shared" si="3"/>
        <v>0</v>
      </c>
      <c r="X15" s="1089">
        <f t="shared" si="3"/>
        <v>0</v>
      </c>
      <c r="Y15" s="1089">
        <f t="shared" si="3"/>
        <v>0</v>
      </c>
      <c r="Z15" s="1089">
        <f t="shared" si="3"/>
        <v>0</v>
      </c>
      <c r="AA15" s="1089">
        <f t="shared" si="3"/>
        <v>0</v>
      </c>
      <c r="AB15" s="1089">
        <f t="shared" si="3"/>
        <v>0</v>
      </c>
      <c r="AC15" s="1089">
        <f t="shared" si="3"/>
        <v>0</v>
      </c>
      <c r="AD15" s="1089">
        <f t="shared" si="3"/>
        <v>0</v>
      </c>
      <c r="AE15" s="1089">
        <f t="shared" si="3"/>
        <v>0</v>
      </c>
      <c r="AF15" s="1089">
        <f t="shared" si="3"/>
        <v>0</v>
      </c>
      <c r="AG15" s="1089">
        <f t="shared" si="3"/>
        <v>0</v>
      </c>
      <c r="AH15" s="1089">
        <f t="shared" si="3"/>
        <v>0</v>
      </c>
      <c r="AI15" s="1089">
        <f t="shared" si="3"/>
        <v>0</v>
      </c>
      <c r="AJ15" s="1033">
        <f>AJ16</f>
        <v>0</v>
      </c>
      <c r="AK15" s="1117">
        <f>AK16</f>
        <v>0</v>
      </c>
      <c r="AL15" s="1036"/>
      <c r="AM15" s="1118">
        <f>SUM(AK9,AK11,AK13,AK15)</f>
        <v>144.59399999999999</v>
      </c>
    </row>
    <row r="16" spans="1:41" s="1082" customFormat="1" ht="19.149999999999999" customHeight="1" outlineLevel="1">
      <c r="A16" s="1091">
        <v>2</v>
      </c>
      <c r="B16" s="1091">
        <v>1</v>
      </c>
      <c r="C16" s="1091" t="s">
        <v>505</v>
      </c>
      <c r="D16" s="1093" t="s">
        <v>507</v>
      </c>
      <c r="E16" s="1091"/>
      <c r="F16" s="1091"/>
      <c r="G16" s="1091"/>
      <c r="H16" s="1091"/>
      <c r="I16" s="1091"/>
      <c r="J16" s="1091"/>
      <c r="K16" s="1091"/>
      <c r="L16" s="1091"/>
      <c r="M16" s="1091"/>
      <c r="N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091"/>
      <c r="AA16" s="1091"/>
      <c r="AB16" s="1091"/>
      <c r="AC16" s="1091"/>
      <c r="AD16" s="1091"/>
      <c r="AE16" s="1091"/>
      <c r="AF16" s="1091"/>
      <c r="AG16" s="1091"/>
      <c r="AH16" s="1091"/>
      <c r="AI16" s="1091"/>
      <c r="AJ16" s="1119">
        <f t="shared" si="2"/>
        <v>0</v>
      </c>
      <c r="AK16" s="1120">
        <f>+AJ16*$AO$11</f>
        <v>0</v>
      </c>
      <c r="AL16" s="1121"/>
    </row>
    <row r="17" spans="1:40" s="1082" customFormat="1" ht="19.149999999999999" customHeight="1" outlineLevel="1">
      <c r="A17" s="1090" t="s">
        <v>522</v>
      </c>
      <c r="B17" s="1090"/>
      <c r="C17" s="1090"/>
      <c r="D17" s="1090"/>
      <c r="E17" s="1089">
        <f t="shared" ref="E17:AI17" si="5">SUM(E18:E18)</f>
        <v>0</v>
      </c>
      <c r="F17" s="1089">
        <f t="shared" si="5"/>
        <v>0</v>
      </c>
      <c r="G17" s="1089">
        <f t="shared" si="5"/>
        <v>0</v>
      </c>
      <c r="H17" s="1089">
        <f t="shared" si="5"/>
        <v>0</v>
      </c>
      <c r="I17" s="1089">
        <f t="shared" si="5"/>
        <v>0</v>
      </c>
      <c r="J17" s="1089">
        <f t="shared" si="5"/>
        <v>0</v>
      </c>
      <c r="K17" s="1089">
        <f t="shared" si="5"/>
        <v>0</v>
      </c>
      <c r="L17" s="1089">
        <f t="shared" si="5"/>
        <v>0</v>
      </c>
      <c r="M17" s="1089">
        <f t="shared" si="5"/>
        <v>0</v>
      </c>
      <c r="N17" s="1089">
        <f t="shared" si="5"/>
        <v>0</v>
      </c>
      <c r="O17" s="1089">
        <f t="shared" si="5"/>
        <v>0</v>
      </c>
      <c r="P17" s="1089">
        <f t="shared" si="5"/>
        <v>0</v>
      </c>
      <c r="Q17" s="1089">
        <f t="shared" si="5"/>
        <v>0</v>
      </c>
      <c r="R17" s="1089">
        <f t="shared" si="5"/>
        <v>0</v>
      </c>
      <c r="S17" s="1089">
        <f t="shared" si="5"/>
        <v>0</v>
      </c>
      <c r="T17" s="1089">
        <f t="shared" si="5"/>
        <v>0</v>
      </c>
      <c r="U17" s="1089">
        <f t="shared" si="5"/>
        <v>0</v>
      </c>
      <c r="V17" s="1089">
        <f t="shared" si="5"/>
        <v>0</v>
      </c>
      <c r="W17" s="1089">
        <f t="shared" si="5"/>
        <v>0</v>
      </c>
      <c r="X17" s="1089">
        <f t="shared" si="5"/>
        <v>0</v>
      </c>
      <c r="Y17" s="1089">
        <f t="shared" si="5"/>
        <v>0</v>
      </c>
      <c r="Z17" s="1089">
        <f t="shared" si="5"/>
        <v>0</v>
      </c>
      <c r="AA17" s="1089">
        <f t="shared" si="5"/>
        <v>0</v>
      </c>
      <c r="AB17" s="1089">
        <f t="shared" si="5"/>
        <v>0</v>
      </c>
      <c r="AC17" s="1089">
        <f t="shared" si="5"/>
        <v>0</v>
      </c>
      <c r="AD17" s="1089">
        <f t="shared" si="5"/>
        <v>0</v>
      </c>
      <c r="AE17" s="1089">
        <f t="shared" si="5"/>
        <v>0</v>
      </c>
      <c r="AF17" s="1089">
        <f t="shared" si="5"/>
        <v>0</v>
      </c>
      <c r="AG17" s="1089">
        <f t="shared" si="5"/>
        <v>0</v>
      </c>
      <c r="AH17" s="1089">
        <f t="shared" si="5"/>
        <v>0</v>
      </c>
      <c r="AI17" s="1089">
        <f t="shared" si="5"/>
        <v>0</v>
      </c>
      <c r="AJ17" s="1033">
        <f t="shared" si="2"/>
        <v>0</v>
      </c>
      <c r="AK17" s="1123">
        <f>SUM(AK18:AK18)</f>
        <v>0</v>
      </c>
      <c r="AL17" s="1036"/>
      <c r="AM17" s="1122"/>
    </row>
    <row r="18" spans="1:40" s="1082" customFormat="1" ht="19.149999999999999" customHeight="1" outlineLevel="1">
      <c r="A18" s="1091">
        <v>3</v>
      </c>
      <c r="B18" s="1091">
        <v>1</v>
      </c>
      <c r="C18" s="1091" t="s">
        <v>206</v>
      </c>
      <c r="D18" s="1093" t="s">
        <v>513</v>
      </c>
      <c r="E18" s="1094"/>
      <c r="F18" s="1094"/>
      <c r="G18" s="1094"/>
      <c r="H18" s="1094"/>
      <c r="I18" s="1094"/>
      <c r="J18" s="1094"/>
      <c r="K18" s="1094"/>
      <c r="L18" s="1094"/>
      <c r="M18" s="1094"/>
      <c r="N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91"/>
      <c r="Y18" s="1091"/>
      <c r="Z18" s="1091"/>
      <c r="AA18" s="1091"/>
      <c r="AB18" s="1091"/>
      <c r="AC18" s="1091"/>
      <c r="AD18" s="1091"/>
      <c r="AE18" s="1091"/>
      <c r="AF18" s="1091"/>
      <c r="AG18" s="1091"/>
      <c r="AH18" s="1091"/>
      <c r="AI18" s="1091"/>
      <c r="AJ18" s="1119">
        <f t="shared" si="2"/>
        <v>0</v>
      </c>
      <c r="AK18" s="1120">
        <f>+AJ18*$AO$12</f>
        <v>0</v>
      </c>
      <c r="AL18" s="1121"/>
    </row>
    <row r="19" spans="1:40" s="1084" customFormat="1" ht="19.149999999999999" customHeight="1">
      <c r="A19" s="2427" t="s">
        <v>525</v>
      </c>
      <c r="B19" s="2427"/>
      <c r="C19" s="2427"/>
      <c r="D19" s="2427"/>
      <c r="E19" s="1041">
        <f>E11+E13+E15</f>
        <v>0</v>
      </c>
      <c r="F19" s="1041">
        <f t="shared" ref="F19:AI19" si="6">F11+F13+F15</f>
        <v>0</v>
      </c>
      <c r="G19" s="1041">
        <f t="shared" si="6"/>
        <v>0</v>
      </c>
      <c r="H19" s="1041">
        <f t="shared" si="6"/>
        <v>0</v>
      </c>
      <c r="I19" s="1041">
        <f t="shared" si="6"/>
        <v>0</v>
      </c>
      <c r="J19" s="1041">
        <f t="shared" si="6"/>
        <v>0</v>
      </c>
      <c r="K19" s="1041">
        <f t="shared" si="6"/>
        <v>0</v>
      </c>
      <c r="L19" s="1041">
        <f t="shared" si="6"/>
        <v>0</v>
      </c>
      <c r="M19" s="1041">
        <f t="shared" si="6"/>
        <v>0</v>
      </c>
      <c r="N19" s="1041">
        <f t="shared" si="6"/>
        <v>0</v>
      </c>
      <c r="O19" s="1041">
        <f t="shared" si="6"/>
        <v>0</v>
      </c>
      <c r="P19" s="1041">
        <f t="shared" si="6"/>
        <v>0</v>
      </c>
      <c r="Q19" s="1041">
        <f t="shared" si="6"/>
        <v>0</v>
      </c>
      <c r="R19" s="1041">
        <f t="shared" si="6"/>
        <v>0</v>
      </c>
      <c r="S19" s="1041">
        <f t="shared" si="6"/>
        <v>0</v>
      </c>
      <c r="T19" s="1041">
        <f t="shared" si="6"/>
        <v>0</v>
      </c>
      <c r="U19" s="1041">
        <f t="shared" si="6"/>
        <v>0</v>
      </c>
      <c r="V19" s="1041">
        <f t="shared" si="6"/>
        <v>0</v>
      </c>
      <c r="W19" s="1041">
        <f t="shared" si="6"/>
        <v>0</v>
      </c>
      <c r="X19" s="1041">
        <f t="shared" si="6"/>
        <v>0</v>
      </c>
      <c r="Y19" s="1041">
        <f t="shared" si="6"/>
        <v>0</v>
      </c>
      <c r="Z19" s="1041">
        <f t="shared" si="6"/>
        <v>0</v>
      </c>
      <c r="AA19" s="1041">
        <f t="shared" si="6"/>
        <v>0</v>
      </c>
      <c r="AB19" s="1041">
        <f t="shared" si="6"/>
        <v>0</v>
      </c>
      <c r="AC19" s="1041">
        <f t="shared" si="6"/>
        <v>0</v>
      </c>
      <c r="AD19" s="1041">
        <f t="shared" si="6"/>
        <v>0</v>
      </c>
      <c r="AE19" s="1041">
        <f t="shared" si="6"/>
        <v>0</v>
      </c>
      <c r="AF19" s="1041">
        <f t="shared" si="6"/>
        <v>0</v>
      </c>
      <c r="AG19" s="1041">
        <f t="shared" si="6"/>
        <v>0</v>
      </c>
      <c r="AH19" s="1041">
        <f t="shared" si="6"/>
        <v>290</v>
      </c>
      <c r="AI19" s="1041">
        <f t="shared" si="6"/>
        <v>0</v>
      </c>
      <c r="AJ19" s="1124">
        <f>AJ11+AJ13+AJ15+AJ9+AJ18</f>
        <v>290</v>
      </c>
      <c r="AK19" s="1124">
        <f>AK11+AK13+AK15+AK9+AK18</f>
        <v>144.59399999999999</v>
      </c>
      <c r="AL19" s="1041"/>
      <c r="AM19" s="1125">
        <f>+AK19+'sản lượng'!AL170</f>
        <v>221555.43200000009</v>
      </c>
      <c r="AN19" s="1126"/>
    </row>
    <row r="20" spans="1:40" s="1084" customFormat="1" ht="13.9" customHeight="1">
      <c r="A20" s="1095"/>
      <c r="B20" s="1095"/>
      <c r="C20" s="1095"/>
      <c r="D20" s="1095"/>
      <c r="E20" s="1043"/>
      <c r="F20" s="1043"/>
      <c r="G20" s="1043"/>
      <c r="H20" s="1043"/>
      <c r="I20" s="1043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57"/>
      <c r="Z20" s="1057"/>
      <c r="AA20" s="1057"/>
      <c r="AB20" s="1057"/>
      <c r="AC20" s="1057"/>
      <c r="AD20" s="1057"/>
      <c r="AE20" s="1057"/>
      <c r="AF20" s="1057"/>
      <c r="AG20" s="1057"/>
      <c r="AH20" s="1057"/>
      <c r="AI20" s="1057"/>
      <c r="AJ20" s="1059"/>
      <c r="AK20" s="1059"/>
      <c r="AL20" s="1057"/>
      <c r="AN20" s="1126"/>
    </row>
    <row r="21" spans="1:40" ht="22.9" customHeight="1">
      <c r="A21" s="1096"/>
      <c r="B21" s="1096"/>
      <c r="C21" s="1096"/>
      <c r="D21" s="1097"/>
      <c r="E21" s="1098"/>
      <c r="F21" s="1098"/>
      <c r="G21" s="1099"/>
      <c r="H21" s="1099"/>
      <c r="I21" s="1099"/>
      <c r="J21" s="1107"/>
      <c r="K21" s="1099"/>
      <c r="L21" s="1099"/>
      <c r="M21" s="1099"/>
      <c r="N21" s="1108"/>
      <c r="O21" s="1108"/>
      <c r="P21" s="1108"/>
      <c r="Q21" s="1108"/>
      <c r="R21" s="1099"/>
      <c r="T21" s="1099"/>
      <c r="U21" s="1099"/>
      <c r="V21" s="1099"/>
      <c r="W21" s="1111"/>
      <c r="X21" s="1111"/>
      <c r="Z21" s="1111"/>
      <c r="AA21" s="1111"/>
      <c r="AB21" s="1111"/>
      <c r="AC21" s="1111"/>
      <c r="AD21" s="1111"/>
      <c r="AE21" s="1111"/>
      <c r="AF21" s="1111"/>
      <c r="AG21" s="1111"/>
      <c r="AI21" s="1111"/>
      <c r="AJ21" s="1111"/>
      <c r="AK21" s="1111"/>
      <c r="AL21" s="1111"/>
      <c r="AN21" s="1127"/>
    </row>
    <row r="22" spans="1:40" s="1085" customFormat="1" ht="12.75">
      <c r="A22" s="1100" t="s">
        <v>614</v>
      </c>
      <c r="B22" s="1101"/>
      <c r="C22" s="1101"/>
      <c r="D22" s="1100"/>
      <c r="E22" s="1100"/>
      <c r="F22" s="1100"/>
      <c r="J22" s="1085" t="s">
        <v>1945</v>
      </c>
      <c r="Q22" s="1100" t="s">
        <v>1946</v>
      </c>
      <c r="R22" s="1100"/>
      <c r="S22" s="1100"/>
      <c r="U22" s="1100"/>
      <c r="V22" s="1100"/>
      <c r="W22" s="1100"/>
      <c r="X22" s="1100"/>
      <c r="Z22" s="1100" t="s">
        <v>1947</v>
      </c>
      <c r="AA22" s="1100"/>
      <c r="AB22" s="1100"/>
      <c r="AG22" s="1085" t="s">
        <v>1948</v>
      </c>
      <c r="AJ22" s="1085" t="s">
        <v>1964</v>
      </c>
    </row>
    <row r="23" spans="1:40">
      <c r="A23" s="1096"/>
      <c r="B23" s="1096"/>
      <c r="C23" s="1096"/>
      <c r="D23" s="1096"/>
      <c r="E23" s="1096"/>
      <c r="F23" s="1096"/>
      <c r="G23" s="1096"/>
      <c r="H23" s="1096"/>
      <c r="I23" s="1096"/>
      <c r="J23" s="1109"/>
      <c r="K23" s="1099"/>
      <c r="L23" s="1099"/>
      <c r="M23" s="1099"/>
      <c r="N23" s="1099"/>
      <c r="O23" s="1099"/>
      <c r="P23" s="1099"/>
      <c r="Q23" s="1107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  <c r="AB23" s="1099"/>
      <c r="AC23" s="1099"/>
      <c r="AD23" s="1114"/>
      <c r="AE23" s="1114"/>
      <c r="AF23" s="1114"/>
      <c r="AG23" s="1114"/>
      <c r="AH23" s="1114"/>
      <c r="AI23" s="1114"/>
      <c r="AJ23" s="1128"/>
      <c r="AK23" s="1128"/>
      <c r="AL23" s="1128"/>
    </row>
    <row r="24" spans="1:40" ht="15.75">
      <c r="A24" s="1096"/>
      <c r="B24" s="1096"/>
      <c r="C24" s="1096"/>
      <c r="D24" s="1096"/>
      <c r="E24" s="1102"/>
      <c r="F24" s="1096"/>
      <c r="G24" s="1102"/>
      <c r="H24" s="1102"/>
      <c r="I24" s="1102"/>
      <c r="J24" s="1109"/>
      <c r="K24" s="1099"/>
      <c r="L24" s="1099"/>
      <c r="M24" s="1110"/>
      <c r="N24" s="1099"/>
      <c r="O24" s="1099"/>
      <c r="P24" s="1099"/>
      <c r="Q24" s="1107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  <c r="AB24" s="1099"/>
      <c r="AC24" s="1099"/>
      <c r="AD24" s="1114"/>
      <c r="AE24" s="1114"/>
      <c r="AF24" s="1114"/>
      <c r="AG24" s="1114"/>
      <c r="AH24" s="1114"/>
      <c r="AI24" s="1114"/>
      <c r="AJ24" s="1128"/>
      <c r="AK24" s="1128"/>
      <c r="AL24" s="1128"/>
    </row>
    <row r="25" spans="1:40">
      <c r="A25" s="1096"/>
      <c r="B25" s="1096"/>
      <c r="C25" s="1096"/>
      <c r="D25" s="1096"/>
      <c r="E25" s="1099"/>
      <c r="F25" s="1099"/>
      <c r="G25" s="1099"/>
      <c r="H25" s="1099"/>
      <c r="I25" s="1099"/>
      <c r="J25" s="1109"/>
      <c r="K25" s="1099"/>
      <c r="L25" s="1099"/>
      <c r="M25" s="1099"/>
      <c r="N25" s="1099"/>
      <c r="O25" s="1099"/>
      <c r="P25" s="1099"/>
      <c r="Q25" s="1107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  <c r="AB25" s="1099"/>
      <c r="AC25" s="1099"/>
      <c r="AD25" s="1114"/>
      <c r="AE25" s="1114"/>
      <c r="AF25" s="1114"/>
      <c r="AG25" s="1114"/>
      <c r="AH25" s="1114"/>
      <c r="AI25" s="1114"/>
      <c r="AJ25" s="1110"/>
      <c r="AK25" s="1110"/>
      <c r="AL25" s="1110"/>
    </row>
    <row r="26" spans="1:40" ht="18" customHeight="1">
      <c r="A26" s="1096"/>
      <c r="B26" s="1096"/>
      <c r="C26" s="1096"/>
      <c r="D26" s="1096"/>
      <c r="E26" s="1099"/>
      <c r="F26" s="1099"/>
      <c r="G26" s="1099"/>
      <c r="H26" s="1099"/>
      <c r="I26" s="1099"/>
      <c r="J26" s="1109"/>
      <c r="K26" s="1099"/>
      <c r="L26" s="1099"/>
      <c r="M26" s="1099"/>
      <c r="N26" s="1099"/>
      <c r="O26" s="1099"/>
      <c r="P26" s="1099"/>
      <c r="Q26" s="1107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  <c r="AB26" s="1099"/>
      <c r="AC26" s="1099"/>
      <c r="AD26" s="1114"/>
      <c r="AE26" s="1114"/>
      <c r="AF26" s="1114"/>
      <c r="AG26" s="1114"/>
      <c r="AH26" s="1114"/>
      <c r="AI26" s="1114"/>
      <c r="AJ26" s="1110"/>
      <c r="AK26" s="1110"/>
      <c r="AL26" s="1110"/>
    </row>
    <row r="27" spans="1:40" s="1082" customFormat="1" ht="12.75">
      <c r="A27" s="1103"/>
      <c r="B27" s="1103"/>
      <c r="C27" s="1103"/>
      <c r="D27" s="1103"/>
      <c r="E27" s="1099"/>
      <c r="F27" s="1099"/>
      <c r="G27" s="1099"/>
      <c r="H27" s="1099"/>
      <c r="I27" s="1099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  <c r="AB27" s="1099"/>
      <c r="AC27" s="1099"/>
      <c r="AD27" s="1099"/>
      <c r="AE27" s="1099"/>
      <c r="AF27" s="1099"/>
      <c r="AG27" s="1099"/>
      <c r="AH27" s="1099"/>
      <c r="AI27" s="1099"/>
      <c r="AJ27" s="1096"/>
      <c r="AK27" s="1096"/>
      <c r="AL27" s="1096"/>
    </row>
    <row r="28" spans="1:40" s="1082" customFormat="1" ht="11.25">
      <c r="A28" s="1103"/>
      <c r="B28" s="1103"/>
      <c r="C28" s="1103"/>
      <c r="D28" s="1103"/>
      <c r="E28" s="1104"/>
      <c r="F28" s="1104"/>
      <c r="G28" s="1104"/>
      <c r="H28" s="1104"/>
      <c r="I28" s="1104"/>
      <c r="J28" s="1104"/>
      <c r="K28" s="1104"/>
      <c r="L28" s="1104"/>
      <c r="M28" s="1104"/>
      <c r="N28" s="1104"/>
      <c r="O28" s="1104"/>
      <c r="P28" s="1104"/>
      <c r="Q28" s="1104"/>
      <c r="R28" s="1104"/>
      <c r="S28" s="1104"/>
      <c r="T28" s="1104"/>
      <c r="U28" s="1104"/>
      <c r="V28" s="1104"/>
      <c r="W28" s="1104"/>
      <c r="X28" s="1104"/>
      <c r="Y28" s="1104"/>
      <c r="Z28" s="1104"/>
      <c r="AA28" s="1104"/>
      <c r="AB28" s="1104"/>
      <c r="AC28" s="1104"/>
      <c r="AD28" s="1104"/>
      <c r="AE28" s="1104"/>
      <c r="AF28" s="1104"/>
      <c r="AG28" s="1104"/>
      <c r="AH28" s="1104"/>
      <c r="AI28" s="1104"/>
      <c r="AJ28" s="1103"/>
      <c r="AK28" s="1103"/>
      <c r="AL28" s="1103"/>
    </row>
    <row r="29" spans="1:40" s="1082" customFormat="1" ht="11.25">
      <c r="A29" s="1103"/>
      <c r="B29" s="1103"/>
      <c r="C29" s="1103"/>
      <c r="D29" s="1103"/>
      <c r="E29" s="1104"/>
      <c r="F29" s="1104"/>
      <c r="G29" s="1104"/>
      <c r="H29" s="1104"/>
      <c r="I29" s="1104"/>
      <c r="J29" s="1104"/>
      <c r="K29" s="1104"/>
      <c r="L29" s="1104"/>
      <c r="M29" s="1104"/>
      <c r="N29" s="1104"/>
      <c r="O29" s="1104"/>
      <c r="P29" s="1104"/>
      <c r="Q29" s="1104"/>
      <c r="R29" s="1104"/>
      <c r="S29" s="1104"/>
      <c r="T29" s="1104"/>
      <c r="U29" s="1104"/>
      <c r="V29" s="1104"/>
      <c r="W29" s="1104"/>
      <c r="X29" s="1104"/>
      <c r="Y29" s="1104"/>
      <c r="Z29" s="1104"/>
      <c r="AA29" s="1104"/>
      <c r="AB29" s="1104"/>
      <c r="AC29" s="1104"/>
      <c r="AD29" s="1104"/>
      <c r="AE29" s="1104"/>
      <c r="AF29" s="1104"/>
      <c r="AG29" s="1104"/>
      <c r="AH29" s="1104"/>
      <c r="AI29" s="1104"/>
      <c r="AJ29" s="1103"/>
      <c r="AK29" s="1103"/>
      <c r="AL29" s="1103"/>
    </row>
    <row r="30" spans="1:40" s="1082" customFormat="1" ht="11.25">
      <c r="A30" s="1103"/>
      <c r="B30" s="1103"/>
      <c r="C30" s="1103"/>
      <c r="D30" s="1103"/>
      <c r="E30" s="1104"/>
      <c r="F30" s="1104"/>
      <c r="G30" s="1104"/>
      <c r="H30" s="1104"/>
      <c r="I30" s="1104"/>
      <c r="J30" s="1104"/>
      <c r="K30" s="1104"/>
      <c r="L30" s="1104"/>
      <c r="M30" s="1104"/>
      <c r="N30" s="1104"/>
      <c r="O30" s="1104"/>
      <c r="P30" s="1104"/>
      <c r="Q30" s="1104"/>
      <c r="R30" s="1104"/>
      <c r="S30" s="1104"/>
      <c r="T30" s="1104"/>
      <c r="U30" s="1104"/>
      <c r="V30" s="1104"/>
      <c r="W30" s="1104"/>
      <c r="X30" s="1104"/>
      <c r="Y30" s="1104"/>
      <c r="Z30" s="1104"/>
      <c r="AA30" s="1104"/>
      <c r="AB30" s="1104"/>
      <c r="AC30" s="1104"/>
      <c r="AD30" s="1104"/>
      <c r="AE30" s="1104"/>
      <c r="AF30" s="1104"/>
      <c r="AG30" s="1104"/>
      <c r="AH30" s="1104"/>
      <c r="AI30" s="1104"/>
      <c r="AJ30" s="1103"/>
      <c r="AK30" s="1103"/>
      <c r="AL30" s="1103"/>
    </row>
    <row r="31" spans="1:40" s="1082" customFormat="1" ht="11.25">
      <c r="A31" s="1103"/>
      <c r="B31" s="1103"/>
      <c r="C31" s="1103"/>
      <c r="D31" s="1103"/>
      <c r="E31" s="1104"/>
      <c r="F31" s="1104"/>
      <c r="G31" s="1104"/>
      <c r="H31" s="1104"/>
      <c r="I31" s="1104"/>
      <c r="J31" s="1104"/>
      <c r="K31" s="1104"/>
      <c r="L31" s="1104"/>
      <c r="M31" s="1104"/>
      <c r="N31" s="1104"/>
      <c r="O31" s="1104"/>
      <c r="P31" s="1104"/>
      <c r="Q31" s="1104"/>
      <c r="R31" s="1104"/>
      <c r="S31" s="1104"/>
      <c r="T31" s="1104"/>
      <c r="U31" s="1104"/>
      <c r="V31" s="1104"/>
      <c r="W31" s="1104"/>
      <c r="X31" s="1104"/>
      <c r="Y31" s="1104"/>
      <c r="Z31" s="1104"/>
      <c r="AA31" s="1104"/>
      <c r="AB31" s="1104"/>
      <c r="AC31" s="1104"/>
      <c r="AD31" s="1104"/>
      <c r="AE31" s="1104"/>
      <c r="AF31" s="1104"/>
      <c r="AG31" s="1104"/>
      <c r="AH31" s="1104"/>
      <c r="AI31" s="1104"/>
      <c r="AJ31" s="1103"/>
      <c r="AK31" s="1103"/>
      <c r="AL31" s="1103"/>
    </row>
    <row r="32" spans="1:40" s="1082" customFormat="1" ht="11.25">
      <c r="A32" s="1103"/>
      <c r="B32" s="1103"/>
      <c r="C32" s="1103"/>
      <c r="D32" s="1103"/>
      <c r="E32" s="1104"/>
      <c r="F32" s="1104"/>
      <c r="G32" s="1104"/>
      <c r="H32" s="1104"/>
      <c r="I32" s="1104"/>
      <c r="J32" s="1104"/>
      <c r="K32" s="1104"/>
      <c r="L32" s="1104"/>
      <c r="M32" s="1104"/>
      <c r="N32" s="1104"/>
      <c r="O32" s="1104"/>
      <c r="P32" s="1104"/>
      <c r="Q32" s="1104"/>
      <c r="R32" s="1104"/>
      <c r="S32" s="1104"/>
      <c r="T32" s="1104"/>
      <c r="U32" s="1104"/>
      <c r="V32" s="1104"/>
      <c r="W32" s="1104"/>
      <c r="X32" s="1104"/>
      <c r="Y32" s="1104"/>
      <c r="Z32" s="1104"/>
      <c r="AA32" s="1104"/>
      <c r="AB32" s="1104"/>
      <c r="AC32" s="1104"/>
      <c r="AD32" s="1104"/>
      <c r="AE32" s="1104"/>
      <c r="AF32" s="1104"/>
      <c r="AG32" s="1104"/>
      <c r="AH32" s="1104"/>
      <c r="AI32" s="1104"/>
      <c r="AJ32" s="1103"/>
      <c r="AK32" s="1103"/>
      <c r="AL32" s="1103"/>
    </row>
    <row r="33" spans="1:38" s="1082" customFormat="1" ht="11.25">
      <c r="A33" s="1103"/>
      <c r="B33" s="1103"/>
      <c r="C33" s="1103"/>
      <c r="D33" s="1103"/>
      <c r="E33" s="1104"/>
      <c r="F33" s="1104"/>
      <c r="G33" s="1104"/>
      <c r="H33" s="1104"/>
      <c r="I33" s="1104"/>
      <c r="J33" s="1104"/>
      <c r="K33" s="1104"/>
      <c r="L33" s="1104"/>
      <c r="M33" s="1104"/>
      <c r="N33" s="1104"/>
      <c r="O33" s="1104"/>
      <c r="P33" s="1104"/>
      <c r="Q33" s="1104"/>
      <c r="R33" s="1104"/>
      <c r="S33" s="1104"/>
      <c r="T33" s="1104"/>
      <c r="U33" s="1104"/>
      <c r="V33" s="1104"/>
      <c r="W33" s="1104"/>
      <c r="X33" s="1104"/>
      <c r="Y33" s="1104"/>
      <c r="Z33" s="1104"/>
      <c r="AA33" s="1104"/>
      <c r="AB33" s="1104"/>
      <c r="AC33" s="1104"/>
      <c r="AD33" s="1104"/>
      <c r="AE33" s="1104"/>
      <c r="AF33" s="1104"/>
      <c r="AG33" s="1104"/>
      <c r="AH33" s="1104"/>
      <c r="AI33" s="1104"/>
      <c r="AJ33" s="1103"/>
      <c r="AK33" s="1103"/>
      <c r="AL33" s="1103"/>
    </row>
    <row r="34" spans="1:38" s="1082" customFormat="1" ht="11.25">
      <c r="A34" s="1103"/>
      <c r="B34" s="1103"/>
      <c r="C34" s="1103"/>
      <c r="D34" s="1103"/>
      <c r="E34" s="1104"/>
      <c r="F34" s="1104"/>
      <c r="G34" s="1104"/>
      <c r="H34" s="1104"/>
      <c r="I34" s="1104"/>
      <c r="J34" s="1104"/>
      <c r="K34" s="1104"/>
      <c r="L34" s="1104"/>
      <c r="M34" s="1104"/>
      <c r="N34" s="1104"/>
      <c r="O34" s="1104"/>
      <c r="P34" s="1104"/>
      <c r="Q34" s="1104"/>
      <c r="R34" s="1104"/>
      <c r="S34" s="1104"/>
      <c r="T34" s="1104"/>
      <c r="U34" s="1104"/>
      <c r="V34" s="1104"/>
      <c r="W34" s="1104"/>
      <c r="X34" s="1104"/>
      <c r="Y34" s="1104"/>
      <c r="Z34" s="1104"/>
      <c r="AA34" s="1104"/>
      <c r="AB34" s="1104"/>
      <c r="AC34" s="1104"/>
      <c r="AD34" s="1104"/>
      <c r="AE34" s="1104"/>
      <c r="AF34" s="1104"/>
      <c r="AG34" s="1104"/>
      <c r="AH34" s="1104"/>
      <c r="AI34" s="1104"/>
      <c r="AJ34" s="1103"/>
      <c r="AK34" s="1103"/>
      <c r="AL34" s="1103"/>
    </row>
    <row r="35" spans="1:38" s="1082" customFormat="1" ht="11.25">
      <c r="A35" s="1103"/>
      <c r="B35" s="1103"/>
      <c r="C35" s="1103"/>
      <c r="D35" s="1103"/>
      <c r="E35" s="1104"/>
      <c r="F35" s="1104"/>
      <c r="G35" s="1104"/>
      <c r="H35" s="1104"/>
      <c r="I35" s="1104"/>
      <c r="J35" s="1104"/>
      <c r="K35" s="1104"/>
      <c r="L35" s="1104"/>
      <c r="M35" s="1104"/>
      <c r="N35" s="1104"/>
      <c r="O35" s="1104"/>
      <c r="P35" s="1104"/>
      <c r="Q35" s="1104"/>
      <c r="R35" s="1104"/>
      <c r="S35" s="1104"/>
      <c r="T35" s="1104"/>
      <c r="U35" s="1104"/>
      <c r="V35" s="1104"/>
      <c r="W35" s="1104"/>
      <c r="X35" s="1104"/>
      <c r="Y35" s="1104"/>
      <c r="Z35" s="1104"/>
      <c r="AA35" s="1104"/>
      <c r="AB35" s="1104"/>
      <c r="AC35" s="1104"/>
      <c r="AD35" s="1104"/>
      <c r="AE35" s="1104"/>
      <c r="AF35" s="1104"/>
      <c r="AG35" s="1104"/>
      <c r="AH35" s="1104"/>
      <c r="AI35" s="1104"/>
      <c r="AJ35" s="1103"/>
      <c r="AK35" s="1103"/>
      <c r="AL35" s="1103"/>
    </row>
    <row r="36" spans="1:38" s="1082" customFormat="1" ht="11.25">
      <c r="A36" s="1103"/>
      <c r="B36" s="1103"/>
      <c r="C36" s="1103"/>
      <c r="D36" s="1103"/>
      <c r="E36" s="1104"/>
      <c r="F36" s="1104"/>
      <c r="G36" s="1104"/>
      <c r="H36" s="1104"/>
      <c r="I36" s="1104"/>
      <c r="J36" s="1104"/>
      <c r="K36" s="1104"/>
      <c r="L36" s="1104"/>
      <c r="M36" s="1104"/>
      <c r="N36" s="1104"/>
      <c r="O36" s="1104"/>
      <c r="P36" s="1104"/>
      <c r="Q36" s="1104"/>
      <c r="R36" s="1104"/>
      <c r="S36" s="1104"/>
      <c r="T36" s="1104"/>
      <c r="U36" s="1104"/>
      <c r="V36" s="1104"/>
      <c r="W36" s="1104"/>
      <c r="X36" s="1104"/>
      <c r="Y36" s="1104"/>
      <c r="Z36" s="1104"/>
      <c r="AA36" s="1104"/>
      <c r="AB36" s="1104"/>
      <c r="AC36" s="1104"/>
      <c r="AD36" s="1104"/>
      <c r="AE36" s="1104"/>
      <c r="AF36" s="1104"/>
      <c r="AG36" s="1104"/>
      <c r="AH36" s="1104"/>
      <c r="AI36" s="1104"/>
      <c r="AJ36" s="1103"/>
      <c r="AK36" s="1103"/>
      <c r="AL36" s="1103"/>
    </row>
    <row r="37" spans="1:38" s="1082" customFormat="1" ht="11.25">
      <c r="A37" s="1103"/>
      <c r="B37" s="1103"/>
      <c r="C37" s="1103"/>
      <c r="D37" s="1103"/>
      <c r="E37" s="1104"/>
      <c r="F37" s="1104"/>
      <c r="G37" s="1104"/>
      <c r="H37" s="1104"/>
      <c r="I37" s="1104"/>
      <c r="J37" s="1104"/>
      <c r="K37" s="1104"/>
      <c r="L37" s="1104"/>
      <c r="M37" s="1104"/>
      <c r="N37" s="1104"/>
      <c r="O37" s="1104"/>
      <c r="P37" s="1104"/>
      <c r="Q37" s="1104"/>
      <c r="R37" s="1104"/>
      <c r="S37" s="1104"/>
      <c r="T37" s="1104"/>
      <c r="U37" s="1104"/>
      <c r="V37" s="1104"/>
      <c r="W37" s="1104"/>
      <c r="X37" s="1104"/>
      <c r="Y37" s="1104"/>
      <c r="Z37" s="1104"/>
      <c r="AA37" s="1104"/>
      <c r="AB37" s="1104"/>
      <c r="AC37" s="1104"/>
      <c r="AD37" s="1104"/>
      <c r="AE37" s="1104"/>
      <c r="AF37" s="1104"/>
      <c r="AG37" s="1104"/>
      <c r="AH37" s="1104"/>
      <c r="AI37" s="1104"/>
      <c r="AJ37" s="1103"/>
      <c r="AK37" s="1103"/>
      <c r="AL37" s="1103"/>
    </row>
    <row r="38" spans="1:38" s="1082" customFormat="1" ht="11.25">
      <c r="A38" s="1103"/>
      <c r="B38" s="1103"/>
      <c r="C38" s="1103"/>
      <c r="D38" s="1103"/>
      <c r="E38" s="1103"/>
      <c r="F38" s="1103"/>
      <c r="G38" s="1103"/>
      <c r="H38" s="1104"/>
      <c r="I38" s="1104"/>
      <c r="J38" s="1104"/>
      <c r="K38" s="1104"/>
      <c r="L38" s="1104"/>
      <c r="M38" s="1104"/>
      <c r="N38" s="1104"/>
      <c r="O38" s="1104"/>
      <c r="P38" s="1104"/>
      <c r="Q38" s="1104"/>
      <c r="R38" s="1104"/>
      <c r="S38" s="1104"/>
      <c r="T38" s="1104"/>
      <c r="U38" s="1104"/>
      <c r="V38" s="1104"/>
      <c r="W38" s="1104"/>
      <c r="X38" s="1104"/>
      <c r="Y38" s="1104"/>
      <c r="Z38" s="1104"/>
      <c r="AA38" s="1104"/>
      <c r="AB38" s="1104"/>
      <c r="AC38" s="1104"/>
      <c r="AD38" s="1104"/>
      <c r="AE38" s="1104"/>
      <c r="AF38" s="1104"/>
      <c r="AG38" s="1104"/>
      <c r="AH38" s="1104"/>
      <c r="AI38" s="1104"/>
      <c r="AJ38" s="1103"/>
      <c r="AK38" s="1103"/>
      <c r="AL38" s="1103"/>
    </row>
    <row r="39" spans="1:38" s="1082" customFormat="1" ht="11.25">
      <c r="A39" s="1103"/>
      <c r="B39" s="1103"/>
      <c r="C39" s="1103"/>
      <c r="D39" s="1103"/>
      <c r="E39" s="1103"/>
      <c r="F39" s="1103"/>
      <c r="G39" s="1103"/>
      <c r="H39" s="1104"/>
      <c r="I39" s="1104"/>
      <c r="J39" s="1104"/>
      <c r="K39" s="1104"/>
      <c r="L39" s="1104"/>
      <c r="M39" s="1104"/>
      <c r="N39" s="1104"/>
      <c r="O39" s="1104"/>
      <c r="P39" s="1104"/>
      <c r="Q39" s="1104"/>
      <c r="R39" s="1104"/>
      <c r="S39" s="1104"/>
      <c r="T39" s="1104"/>
      <c r="U39" s="1104"/>
      <c r="V39" s="1104"/>
      <c r="W39" s="1104"/>
      <c r="X39" s="1104"/>
      <c r="Y39" s="1104"/>
      <c r="Z39" s="1104"/>
      <c r="AA39" s="1104"/>
      <c r="AB39" s="1104"/>
      <c r="AC39" s="1104"/>
      <c r="AD39" s="1104"/>
      <c r="AE39" s="1104"/>
      <c r="AF39" s="1104"/>
      <c r="AG39" s="1104"/>
      <c r="AH39" s="1104"/>
      <c r="AI39" s="1104"/>
      <c r="AJ39" s="1103"/>
      <c r="AK39" s="1103"/>
      <c r="AL39" s="1103"/>
    </row>
    <row r="40" spans="1:38" s="1082" customFormat="1" ht="11.25">
      <c r="A40" s="1103"/>
      <c r="B40" s="1103"/>
      <c r="C40" s="1103"/>
      <c r="D40" s="1103"/>
      <c r="E40" s="1103"/>
      <c r="F40" s="1103"/>
      <c r="G40" s="1103"/>
      <c r="H40" s="1104"/>
      <c r="I40" s="1104"/>
      <c r="J40" s="1104"/>
      <c r="K40" s="1104"/>
      <c r="L40" s="1104"/>
      <c r="M40" s="1104"/>
      <c r="N40" s="1104"/>
      <c r="O40" s="1104"/>
      <c r="P40" s="1104"/>
      <c r="Q40" s="1104"/>
      <c r="R40" s="1104"/>
      <c r="S40" s="1104"/>
      <c r="T40" s="1104"/>
      <c r="U40" s="1104"/>
      <c r="V40" s="1104"/>
      <c r="W40" s="1104"/>
      <c r="X40" s="1104"/>
      <c r="Y40" s="1104"/>
      <c r="Z40" s="1104"/>
      <c r="AA40" s="1104"/>
      <c r="AB40" s="1104"/>
      <c r="AC40" s="1104"/>
      <c r="AD40" s="1104"/>
      <c r="AE40" s="1104"/>
      <c r="AF40" s="1104"/>
      <c r="AG40" s="1104"/>
      <c r="AH40" s="1104"/>
      <c r="AI40" s="1104"/>
      <c r="AJ40" s="1103"/>
      <c r="AK40" s="1103"/>
      <c r="AL40" s="1103"/>
    </row>
    <row r="41" spans="1:38" s="1082" customFormat="1" ht="11.25">
      <c r="A41" s="1103"/>
      <c r="B41" s="1103"/>
      <c r="C41" s="1103"/>
      <c r="D41" s="1103"/>
      <c r="E41" s="1103"/>
      <c r="F41" s="1103"/>
      <c r="G41" s="1103"/>
      <c r="H41" s="1104"/>
      <c r="I41" s="1104"/>
      <c r="J41" s="1104"/>
      <c r="K41" s="1104"/>
      <c r="L41" s="1104"/>
      <c r="M41" s="1104"/>
      <c r="N41" s="1104"/>
      <c r="O41" s="1104"/>
      <c r="P41" s="1104"/>
      <c r="Q41" s="1104"/>
      <c r="R41" s="1104"/>
      <c r="S41" s="1104"/>
      <c r="T41" s="1104"/>
      <c r="U41" s="1104"/>
      <c r="V41" s="1104"/>
      <c r="W41" s="1104"/>
      <c r="X41" s="1104"/>
      <c r="Y41" s="1104"/>
      <c r="Z41" s="1104"/>
      <c r="AA41" s="1104"/>
      <c r="AB41" s="1104"/>
      <c r="AC41" s="1104"/>
      <c r="AD41" s="1104"/>
      <c r="AE41" s="1104"/>
      <c r="AF41" s="1104"/>
      <c r="AG41" s="1104"/>
      <c r="AH41" s="1104"/>
      <c r="AI41" s="1104"/>
      <c r="AJ41" s="1103"/>
      <c r="AK41" s="1103"/>
      <c r="AL41" s="1103"/>
    </row>
    <row r="42" spans="1:38" s="1082" customFormat="1" ht="11.25">
      <c r="A42" s="1103"/>
      <c r="B42" s="1103"/>
      <c r="C42" s="1103"/>
      <c r="D42" s="1103"/>
      <c r="E42" s="1103"/>
      <c r="F42" s="1103"/>
      <c r="G42" s="1103"/>
      <c r="H42" s="1104"/>
      <c r="I42" s="1104"/>
      <c r="J42" s="1104"/>
      <c r="K42" s="1104"/>
      <c r="L42" s="1104"/>
      <c r="M42" s="1104"/>
      <c r="N42" s="1104"/>
      <c r="O42" s="1104"/>
      <c r="P42" s="1104"/>
      <c r="Q42" s="1104"/>
      <c r="R42" s="1104"/>
      <c r="S42" s="1104"/>
      <c r="T42" s="1104"/>
      <c r="U42" s="1104"/>
      <c r="V42" s="1104"/>
      <c r="W42" s="1104"/>
      <c r="X42" s="1104"/>
      <c r="Y42" s="1104"/>
      <c r="Z42" s="1104"/>
      <c r="AA42" s="1104"/>
      <c r="AB42" s="1104"/>
      <c r="AC42" s="1104"/>
      <c r="AD42" s="1104"/>
      <c r="AE42" s="1104"/>
      <c r="AF42" s="1104"/>
      <c r="AG42" s="1104"/>
      <c r="AH42" s="1104"/>
      <c r="AI42" s="1104"/>
      <c r="AJ42" s="1103"/>
      <c r="AK42" s="1103"/>
      <c r="AL42" s="1103"/>
    </row>
    <row r="43" spans="1:38" s="1082" customFormat="1" ht="11.25">
      <c r="A43" s="1103"/>
      <c r="B43" s="1103"/>
      <c r="C43" s="1103"/>
      <c r="D43" s="1103"/>
      <c r="E43" s="1103"/>
      <c r="F43" s="1103"/>
      <c r="G43" s="1103"/>
      <c r="H43" s="1104"/>
      <c r="I43" s="1104"/>
      <c r="J43" s="1104"/>
      <c r="K43" s="1104"/>
      <c r="L43" s="1104"/>
      <c r="M43" s="1104"/>
      <c r="N43" s="1104"/>
      <c r="O43" s="1104"/>
      <c r="P43" s="1104"/>
      <c r="Q43" s="1104"/>
      <c r="R43" s="1104"/>
      <c r="S43" s="1104"/>
      <c r="T43" s="1104"/>
      <c r="U43" s="1104"/>
      <c r="V43" s="1104"/>
      <c r="W43" s="1104"/>
      <c r="X43" s="1104"/>
      <c r="Y43" s="1104"/>
      <c r="Z43" s="1104"/>
      <c r="AA43" s="1104"/>
      <c r="AB43" s="1104"/>
      <c r="AC43" s="1104"/>
      <c r="AD43" s="1104"/>
      <c r="AE43" s="1104"/>
      <c r="AF43" s="1104"/>
      <c r="AG43" s="1104"/>
      <c r="AH43" s="1104"/>
      <c r="AI43" s="1104"/>
      <c r="AJ43" s="1103"/>
      <c r="AK43" s="1103"/>
      <c r="AL43" s="1103"/>
    </row>
    <row r="44" spans="1:38" s="1082" customFormat="1" ht="11.25">
      <c r="A44" s="1103"/>
      <c r="B44" s="1103"/>
      <c r="C44" s="1103"/>
      <c r="D44" s="1103"/>
      <c r="E44" s="1103"/>
      <c r="F44" s="1103"/>
      <c r="G44" s="1103"/>
      <c r="H44" s="1104"/>
      <c r="I44" s="1104"/>
      <c r="J44" s="1104"/>
      <c r="K44" s="1104"/>
      <c r="L44" s="1104"/>
      <c r="M44" s="1104"/>
      <c r="N44" s="1104"/>
      <c r="O44" s="1104"/>
      <c r="P44" s="1104"/>
      <c r="Q44" s="1104"/>
      <c r="R44" s="1104"/>
      <c r="S44" s="1104"/>
      <c r="T44" s="1104"/>
      <c r="U44" s="1104"/>
      <c r="V44" s="1104"/>
      <c r="W44" s="1104"/>
      <c r="X44" s="1104"/>
      <c r="Y44" s="1104"/>
      <c r="Z44" s="1104"/>
      <c r="AA44" s="1104"/>
      <c r="AB44" s="1104"/>
      <c r="AC44" s="1104"/>
      <c r="AD44" s="1104"/>
      <c r="AE44" s="1104"/>
      <c r="AF44" s="1104"/>
      <c r="AG44" s="1104"/>
      <c r="AH44" s="1104"/>
      <c r="AI44" s="1104"/>
      <c r="AJ44" s="1103"/>
      <c r="AK44" s="1103"/>
      <c r="AL44" s="1103"/>
    </row>
    <row r="45" spans="1:38" s="1082" customFormat="1" ht="11.25">
      <c r="A45" s="1103"/>
      <c r="B45" s="1103"/>
      <c r="C45" s="1103"/>
      <c r="D45" s="1103"/>
      <c r="E45" s="1103"/>
      <c r="F45" s="1103"/>
      <c r="G45" s="1103"/>
      <c r="H45" s="1104"/>
      <c r="I45" s="1104"/>
      <c r="J45" s="1104"/>
      <c r="K45" s="1104"/>
      <c r="L45" s="1104"/>
      <c r="M45" s="1104"/>
      <c r="N45" s="1104"/>
      <c r="O45" s="1104"/>
      <c r="P45" s="1104"/>
      <c r="Q45" s="1104"/>
      <c r="R45" s="1104"/>
      <c r="S45" s="1104"/>
      <c r="T45" s="1104"/>
      <c r="U45" s="1104"/>
      <c r="V45" s="1104"/>
      <c r="W45" s="1104"/>
      <c r="X45" s="1104"/>
      <c r="Y45" s="1104"/>
      <c r="Z45" s="1104"/>
      <c r="AA45" s="1104"/>
      <c r="AB45" s="1104"/>
      <c r="AC45" s="1104"/>
      <c r="AD45" s="1104"/>
      <c r="AE45" s="1104"/>
      <c r="AF45" s="1104"/>
      <c r="AG45" s="1104"/>
      <c r="AH45" s="1104"/>
      <c r="AI45" s="1104"/>
      <c r="AJ45" s="1103"/>
      <c r="AK45" s="1103"/>
      <c r="AL45" s="1103"/>
    </row>
    <row r="46" spans="1:38" s="1082" customFormat="1" ht="11.25">
      <c r="A46" s="1103"/>
      <c r="B46" s="1103"/>
      <c r="C46" s="1103"/>
      <c r="D46" s="1103"/>
      <c r="E46" s="1103"/>
      <c r="F46" s="1103"/>
      <c r="G46" s="1103"/>
      <c r="H46" s="1104"/>
      <c r="I46" s="1104"/>
      <c r="J46" s="1104"/>
      <c r="K46" s="1104"/>
      <c r="L46" s="1104"/>
      <c r="M46" s="1104"/>
      <c r="N46" s="1104"/>
      <c r="O46" s="1104"/>
      <c r="P46" s="1104"/>
      <c r="Q46" s="1104"/>
      <c r="R46" s="1104"/>
      <c r="S46" s="1104"/>
      <c r="T46" s="1104"/>
      <c r="U46" s="1104"/>
      <c r="V46" s="1104"/>
      <c r="W46" s="1104"/>
      <c r="X46" s="1104"/>
      <c r="Y46" s="1104"/>
      <c r="Z46" s="1104"/>
      <c r="AA46" s="1104"/>
      <c r="AB46" s="1104"/>
      <c r="AC46" s="1104"/>
      <c r="AD46" s="1104"/>
      <c r="AE46" s="1104"/>
      <c r="AF46" s="1104"/>
      <c r="AG46" s="1104"/>
      <c r="AH46" s="1104"/>
      <c r="AI46" s="1104"/>
      <c r="AJ46" s="1103"/>
      <c r="AK46" s="1103"/>
      <c r="AL46" s="1103"/>
    </row>
    <row r="47" spans="1:38" s="1082" customFormat="1" ht="11.25">
      <c r="A47" s="1103"/>
      <c r="B47" s="1103"/>
      <c r="C47" s="1103"/>
      <c r="D47" s="1103"/>
      <c r="E47" s="1103"/>
      <c r="F47" s="1103"/>
      <c r="G47" s="1103"/>
      <c r="H47" s="1104"/>
      <c r="I47" s="1104"/>
      <c r="J47" s="1104"/>
      <c r="K47" s="1104"/>
      <c r="L47" s="1104"/>
      <c r="M47" s="1104"/>
      <c r="N47" s="1104"/>
      <c r="O47" s="1104"/>
      <c r="P47" s="1104"/>
      <c r="Q47" s="1104"/>
      <c r="R47" s="1104"/>
      <c r="S47" s="1104"/>
      <c r="T47" s="1104"/>
      <c r="U47" s="1104"/>
      <c r="V47" s="1104"/>
      <c r="W47" s="1104"/>
      <c r="X47" s="1104"/>
      <c r="Y47" s="1104"/>
      <c r="Z47" s="1104"/>
      <c r="AA47" s="1104"/>
      <c r="AB47" s="1104"/>
      <c r="AC47" s="1104"/>
      <c r="AD47" s="1104"/>
      <c r="AE47" s="1104"/>
      <c r="AF47" s="1104"/>
      <c r="AG47" s="1104"/>
      <c r="AH47" s="1104"/>
      <c r="AI47" s="1104"/>
      <c r="AJ47" s="1103"/>
      <c r="AK47" s="1103"/>
      <c r="AL47" s="1103"/>
    </row>
    <row r="48" spans="1:38" s="1082" customFormat="1" ht="11.25">
      <c r="A48" s="1103"/>
      <c r="B48" s="1103"/>
      <c r="C48" s="1103"/>
      <c r="D48" s="1103"/>
      <c r="E48" s="1103"/>
      <c r="F48" s="1103"/>
      <c r="G48" s="1103"/>
      <c r="H48" s="1104"/>
      <c r="I48" s="1104"/>
      <c r="J48" s="1104"/>
      <c r="K48" s="1104"/>
      <c r="L48" s="1104"/>
      <c r="M48" s="1104"/>
      <c r="N48" s="1104"/>
      <c r="O48" s="1104"/>
      <c r="P48" s="1104"/>
      <c r="Q48" s="1104"/>
      <c r="R48" s="1104"/>
      <c r="S48" s="1104"/>
      <c r="T48" s="1104"/>
      <c r="U48" s="1104"/>
      <c r="V48" s="1104"/>
      <c r="W48" s="1104"/>
      <c r="X48" s="1104"/>
      <c r="Y48" s="1104"/>
      <c r="Z48" s="1104"/>
      <c r="AA48" s="1104"/>
      <c r="AB48" s="1104"/>
      <c r="AC48" s="1104"/>
      <c r="AD48" s="1104"/>
      <c r="AE48" s="1104"/>
      <c r="AF48" s="1104"/>
      <c r="AG48" s="1104"/>
      <c r="AH48" s="1104"/>
      <c r="AI48" s="1104"/>
      <c r="AJ48" s="1103"/>
      <c r="AK48" s="1103"/>
      <c r="AL48" s="1103"/>
    </row>
    <row r="49" spans="1:38" s="1082" customFormat="1" ht="11.25">
      <c r="A49" s="1103"/>
      <c r="B49" s="1103"/>
      <c r="C49" s="1103"/>
      <c r="D49" s="1103"/>
      <c r="E49" s="1103"/>
      <c r="F49" s="1103"/>
      <c r="G49" s="1103"/>
      <c r="H49" s="1104"/>
      <c r="I49" s="1104"/>
      <c r="J49" s="1104"/>
      <c r="K49" s="1104"/>
      <c r="L49" s="1104"/>
      <c r="M49" s="1104"/>
      <c r="N49" s="1104"/>
      <c r="O49" s="1104"/>
      <c r="P49" s="1104"/>
      <c r="Q49" s="1104"/>
      <c r="R49" s="1104"/>
      <c r="S49" s="1104"/>
      <c r="T49" s="1104"/>
      <c r="U49" s="1104"/>
      <c r="V49" s="1104"/>
      <c r="W49" s="1104"/>
      <c r="X49" s="1104"/>
      <c r="Y49" s="1104"/>
      <c r="Z49" s="1104"/>
      <c r="AA49" s="1104"/>
      <c r="AB49" s="1104"/>
      <c r="AC49" s="1104"/>
      <c r="AD49" s="1104"/>
      <c r="AE49" s="1104"/>
      <c r="AF49" s="1104"/>
      <c r="AG49" s="1104"/>
      <c r="AH49" s="1104"/>
      <c r="AI49" s="1104"/>
      <c r="AJ49" s="1103"/>
      <c r="AK49" s="1103"/>
      <c r="AL49" s="1103"/>
    </row>
    <row r="50" spans="1:38" s="1082" customFormat="1" ht="11.25">
      <c r="A50" s="1103"/>
      <c r="B50" s="1103"/>
      <c r="C50" s="1103"/>
      <c r="D50" s="1103"/>
      <c r="E50" s="1103"/>
      <c r="F50" s="1103"/>
      <c r="G50" s="1103"/>
      <c r="H50" s="1104"/>
      <c r="I50" s="1104"/>
      <c r="J50" s="1104"/>
      <c r="K50" s="1104"/>
      <c r="L50" s="1104"/>
      <c r="M50" s="1104"/>
      <c r="N50" s="1104"/>
      <c r="O50" s="1104"/>
      <c r="P50" s="1104"/>
      <c r="Q50" s="1104"/>
      <c r="R50" s="1104"/>
      <c r="S50" s="1104"/>
      <c r="T50" s="1104"/>
      <c r="U50" s="1104"/>
      <c r="V50" s="1104"/>
      <c r="W50" s="1104"/>
      <c r="X50" s="1104"/>
      <c r="Y50" s="1104"/>
      <c r="Z50" s="1104"/>
      <c r="AA50" s="1104"/>
      <c r="AB50" s="1104"/>
      <c r="AC50" s="1104"/>
      <c r="AD50" s="1104"/>
      <c r="AE50" s="1104"/>
      <c r="AF50" s="1104"/>
      <c r="AG50" s="1104"/>
      <c r="AH50" s="1104"/>
      <c r="AI50" s="1104"/>
      <c r="AJ50" s="1103"/>
      <c r="AK50" s="1103"/>
      <c r="AL50" s="1103"/>
    </row>
    <row r="51" spans="1:38" s="1082" customFormat="1" ht="11.25">
      <c r="A51" s="1103"/>
      <c r="B51" s="1103"/>
      <c r="C51" s="1103"/>
      <c r="D51" s="1103"/>
      <c r="E51" s="1103"/>
      <c r="F51" s="1103"/>
      <c r="G51" s="1103"/>
      <c r="H51" s="1104"/>
      <c r="I51" s="1104"/>
      <c r="J51" s="1104"/>
      <c r="K51" s="1104"/>
      <c r="L51" s="1104"/>
      <c r="M51" s="1104"/>
      <c r="N51" s="1104"/>
      <c r="O51" s="1104"/>
      <c r="P51" s="1104"/>
      <c r="Q51" s="1104"/>
      <c r="R51" s="1104"/>
      <c r="S51" s="1104"/>
      <c r="T51" s="1104"/>
      <c r="U51" s="1104"/>
      <c r="V51" s="1104"/>
      <c r="W51" s="1104"/>
      <c r="X51" s="1104"/>
      <c r="Y51" s="1104"/>
      <c r="Z51" s="1104"/>
      <c r="AA51" s="1104"/>
      <c r="AB51" s="1104"/>
      <c r="AC51" s="1104"/>
      <c r="AD51" s="1104"/>
      <c r="AE51" s="1104"/>
      <c r="AF51" s="1104"/>
      <c r="AG51" s="1104"/>
      <c r="AH51" s="1104"/>
      <c r="AI51" s="1104"/>
      <c r="AJ51" s="1103"/>
      <c r="AK51" s="1103"/>
      <c r="AL51" s="1103"/>
    </row>
    <row r="52" spans="1:38" s="1082" customFormat="1" ht="11.25">
      <c r="A52" s="1103"/>
      <c r="B52" s="1103"/>
      <c r="C52" s="1103"/>
      <c r="D52" s="1103"/>
      <c r="E52" s="1103"/>
      <c r="F52" s="1103"/>
      <c r="G52" s="1103"/>
      <c r="H52" s="1104"/>
      <c r="I52" s="1104"/>
      <c r="J52" s="1104"/>
      <c r="K52" s="1104"/>
      <c r="L52" s="1104"/>
      <c r="M52" s="1104"/>
      <c r="N52" s="1104"/>
      <c r="O52" s="1104"/>
      <c r="P52" s="1104"/>
      <c r="Q52" s="1104"/>
      <c r="R52" s="1104"/>
      <c r="S52" s="1104"/>
      <c r="T52" s="1104"/>
      <c r="U52" s="1104"/>
      <c r="V52" s="1104"/>
      <c r="W52" s="1104"/>
      <c r="X52" s="1104"/>
      <c r="Y52" s="1104"/>
      <c r="Z52" s="1104"/>
      <c r="AA52" s="1104"/>
      <c r="AB52" s="1104"/>
      <c r="AC52" s="1104"/>
      <c r="AD52" s="1104"/>
      <c r="AE52" s="1104"/>
      <c r="AF52" s="1104"/>
      <c r="AG52" s="1104"/>
      <c r="AH52" s="1104"/>
      <c r="AI52" s="1104"/>
      <c r="AJ52" s="1103"/>
      <c r="AK52" s="1103"/>
      <c r="AL52" s="1103"/>
    </row>
    <row r="53" spans="1:38" s="1082" customFormat="1" ht="11.25">
      <c r="A53" s="1103"/>
      <c r="B53" s="1103"/>
      <c r="C53" s="1103"/>
      <c r="D53" s="1103"/>
      <c r="E53" s="1103"/>
      <c r="F53" s="1103"/>
      <c r="G53" s="1103"/>
      <c r="H53" s="1104"/>
      <c r="I53" s="1104"/>
      <c r="J53" s="1104"/>
      <c r="K53" s="1104"/>
      <c r="L53" s="1104"/>
      <c r="M53" s="1104"/>
      <c r="N53" s="1104"/>
      <c r="O53" s="1104"/>
      <c r="P53" s="1104"/>
      <c r="Q53" s="1104"/>
      <c r="R53" s="1104"/>
      <c r="S53" s="1104"/>
      <c r="T53" s="1104"/>
      <c r="U53" s="1104"/>
      <c r="V53" s="1104"/>
      <c r="W53" s="1104"/>
      <c r="X53" s="1104"/>
      <c r="Y53" s="1104"/>
      <c r="Z53" s="1104"/>
      <c r="AA53" s="1104"/>
      <c r="AB53" s="1104"/>
      <c r="AC53" s="1104"/>
      <c r="AD53" s="1104"/>
      <c r="AE53" s="1104"/>
      <c r="AF53" s="1104"/>
      <c r="AG53" s="1104"/>
      <c r="AH53" s="1104"/>
      <c r="AI53" s="1104"/>
      <c r="AJ53" s="1103"/>
      <c r="AK53" s="1103"/>
      <c r="AL53" s="1103"/>
    </row>
    <row r="54" spans="1:38" s="1082" customFormat="1" ht="11.25">
      <c r="A54" s="1103"/>
      <c r="B54" s="1103"/>
      <c r="C54" s="1103"/>
      <c r="D54" s="1103"/>
      <c r="E54" s="1103"/>
      <c r="F54" s="1103"/>
      <c r="G54" s="1103"/>
      <c r="H54" s="1104"/>
      <c r="I54" s="1104"/>
      <c r="J54" s="1104"/>
      <c r="K54" s="1104"/>
      <c r="L54" s="1104"/>
      <c r="M54" s="1104"/>
      <c r="N54" s="1104"/>
      <c r="O54" s="1104"/>
      <c r="P54" s="1104"/>
      <c r="Q54" s="1104"/>
      <c r="R54" s="1104"/>
      <c r="S54" s="1104"/>
      <c r="T54" s="1104"/>
      <c r="U54" s="1104"/>
      <c r="V54" s="1104"/>
      <c r="W54" s="1104"/>
      <c r="X54" s="1104"/>
      <c r="Y54" s="1104"/>
      <c r="Z54" s="1104"/>
      <c r="AA54" s="1104"/>
      <c r="AB54" s="1104"/>
      <c r="AC54" s="1104"/>
      <c r="AD54" s="1104"/>
      <c r="AE54" s="1104"/>
      <c r="AF54" s="1104"/>
      <c r="AG54" s="1104"/>
      <c r="AH54" s="1104"/>
      <c r="AI54" s="1104"/>
      <c r="AJ54" s="1103"/>
      <c r="AK54" s="1103"/>
      <c r="AL54" s="1103"/>
    </row>
    <row r="55" spans="1:38" s="1082" customFormat="1" ht="11.25">
      <c r="A55" s="1103"/>
      <c r="B55" s="1103"/>
      <c r="C55" s="1103"/>
      <c r="D55" s="1103"/>
      <c r="E55" s="1103"/>
      <c r="F55" s="1103"/>
      <c r="G55" s="1103"/>
      <c r="H55" s="1104"/>
      <c r="I55" s="1104"/>
      <c r="J55" s="1104"/>
      <c r="K55" s="1104"/>
      <c r="L55" s="1104"/>
      <c r="M55" s="1104"/>
      <c r="N55" s="1104"/>
      <c r="O55" s="1104"/>
      <c r="P55" s="1104"/>
      <c r="Q55" s="1104"/>
      <c r="R55" s="1104"/>
      <c r="S55" s="1104"/>
      <c r="T55" s="1104"/>
      <c r="U55" s="1104"/>
      <c r="V55" s="1104"/>
      <c r="W55" s="1104"/>
      <c r="X55" s="1104"/>
      <c r="Y55" s="1104"/>
      <c r="Z55" s="1104"/>
      <c r="AA55" s="1104"/>
      <c r="AB55" s="1104"/>
      <c r="AC55" s="1104"/>
      <c r="AD55" s="1104"/>
      <c r="AE55" s="1104"/>
      <c r="AF55" s="1104"/>
      <c r="AG55" s="1104"/>
      <c r="AH55" s="1104"/>
      <c r="AI55" s="1104"/>
      <c r="AJ55" s="1103"/>
      <c r="AK55" s="1103"/>
      <c r="AL55" s="1103"/>
    </row>
    <row r="56" spans="1:38" s="1082" customFormat="1" ht="11.25">
      <c r="A56" s="1103"/>
      <c r="B56" s="1103"/>
      <c r="C56" s="1103"/>
      <c r="D56" s="1103"/>
      <c r="E56" s="1103"/>
      <c r="F56" s="1103"/>
      <c r="G56" s="1103"/>
      <c r="H56" s="1104"/>
      <c r="I56" s="1104"/>
      <c r="J56" s="1104"/>
      <c r="K56" s="1104"/>
      <c r="L56" s="1104"/>
      <c r="M56" s="1104"/>
      <c r="N56" s="1104"/>
      <c r="O56" s="1104"/>
      <c r="P56" s="1104"/>
      <c r="Q56" s="1104"/>
      <c r="R56" s="1104"/>
      <c r="S56" s="1104"/>
      <c r="T56" s="1104"/>
      <c r="U56" s="1104"/>
      <c r="V56" s="1104"/>
      <c r="W56" s="1104"/>
      <c r="X56" s="1104"/>
      <c r="Y56" s="1104"/>
      <c r="Z56" s="1104"/>
      <c r="AA56" s="1104"/>
      <c r="AB56" s="1104"/>
      <c r="AC56" s="1104"/>
      <c r="AD56" s="1104"/>
      <c r="AE56" s="1104"/>
      <c r="AF56" s="1104"/>
      <c r="AG56" s="1104"/>
      <c r="AH56" s="1104"/>
      <c r="AI56" s="1104"/>
      <c r="AJ56" s="1103"/>
      <c r="AK56" s="1103"/>
      <c r="AL56" s="1103"/>
    </row>
    <row r="57" spans="1:38" s="1082" customFormat="1" ht="11.25">
      <c r="A57" s="1103"/>
      <c r="B57" s="1103"/>
      <c r="C57" s="1103"/>
      <c r="D57" s="1103"/>
      <c r="E57" s="1103"/>
      <c r="F57" s="1103"/>
      <c r="G57" s="1103"/>
      <c r="H57" s="1104"/>
      <c r="I57" s="1104"/>
      <c r="J57" s="1104"/>
      <c r="K57" s="1104"/>
      <c r="L57" s="1104"/>
      <c r="M57" s="1104"/>
      <c r="N57" s="1104"/>
      <c r="O57" s="1104"/>
      <c r="P57" s="1104"/>
      <c r="Q57" s="1104"/>
      <c r="R57" s="1104"/>
      <c r="S57" s="1104"/>
      <c r="T57" s="1104"/>
      <c r="U57" s="1104"/>
      <c r="V57" s="1104"/>
      <c r="W57" s="1104"/>
      <c r="X57" s="1104"/>
      <c r="Y57" s="1104"/>
      <c r="Z57" s="1104"/>
      <c r="AA57" s="1104"/>
      <c r="AB57" s="1104"/>
      <c r="AC57" s="1104"/>
      <c r="AD57" s="1104"/>
      <c r="AE57" s="1104"/>
      <c r="AF57" s="1104"/>
      <c r="AG57" s="1104"/>
      <c r="AH57" s="1104"/>
      <c r="AI57" s="1104"/>
      <c r="AJ57" s="1103"/>
      <c r="AK57" s="1103"/>
      <c r="AL57" s="1103"/>
    </row>
    <row r="58" spans="1:38" s="1082" customFormat="1" ht="11.25">
      <c r="A58" s="1103"/>
      <c r="B58" s="1103"/>
      <c r="C58" s="1103"/>
      <c r="D58" s="1103"/>
      <c r="E58" s="1103"/>
      <c r="F58" s="1103"/>
      <c r="G58" s="1103"/>
      <c r="H58" s="1104"/>
      <c r="I58" s="1104"/>
      <c r="J58" s="1104"/>
      <c r="K58" s="1104"/>
      <c r="L58" s="1104"/>
      <c r="M58" s="1104"/>
      <c r="N58" s="1104"/>
      <c r="O58" s="1104"/>
      <c r="P58" s="1104"/>
      <c r="Q58" s="1104"/>
      <c r="R58" s="1104"/>
      <c r="S58" s="1104"/>
      <c r="T58" s="1104"/>
      <c r="U58" s="1104"/>
      <c r="V58" s="1104"/>
      <c r="W58" s="1104"/>
      <c r="X58" s="1104"/>
      <c r="Y58" s="1104"/>
      <c r="Z58" s="1104"/>
      <c r="AA58" s="1104"/>
      <c r="AB58" s="1104"/>
      <c r="AC58" s="1104"/>
      <c r="AD58" s="1104"/>
      <c r="AE58" s="1104"/>
      <c r="AF58" s="1104"/>
      <c r="AG58" s="1104"/>
      <c r="AH58" s="1104"/>
      <c r="AI58" s="1104"/>
      <c r="AJ58" s="1103"/>
      <c r="AK58" s="1103"/>
      <c r="AL58" s="1103"/>
    </row>
    <row r="59" spans="1:38" s="1082" customFormat="1" ht="11.25">
      <c r="A59" s="1103"/>
      <c r="B59" s="1103"/>
      <c r="C59" s="1103"/>
      <c r="D59" s="1103"/>
      <c r="E59" s="1103"/>
      <c r="F59" s="1103"/>
      <c r="G59" s="1103"/>
      <c r="H59" s="1104"/>
      <c r="I59" s="1104"/>
      <c r="J59" s="1104"/>
      <c r="K59" s="1104"/>
      <c r="L59" s="1104"/>
      <c r="M59" s="1104"/>
      <c r="N59" s="1104"/>
      <c r="O59" s="1104"/>
      <c r="P59" s="1104"/>
      <c r="Q59" s="1104"/>
      <c r="R59" s="1104"/>
      <c r="S59" s="1104"/>
      <c r="T59" s="1104"/>
      <c r="U59" s="1104"/>
      <c r="V59" s="1104"/>
      <c r="W59" s="1104"/>
      <c r="X59" s="1104"/>
      <c r="Y59" s="1104"/>
      <c r="Z59" s="1104"/>
      <c r="AA59" s="1104"/>
      <c r="AB59" s="1104"/>
      <c r="AC59" s="1104"/>
      <c r="AD59" s="1104"/>
      <c r="AE59" s="1104"/>
      <c r="AF59" s="1104"/>
      <c r="AG59" s="1104"/>
      <c r="AH59" s="1104"/>
      <c r="AI59" s="1104"/>
      <c r="AJ59" s="1103"/>
      <c r="AK59" s="1103"/>
      <c r="AL59" s="1103"/>
    </row>
    <row r="60" spans="1:38" s="1082" customFormat="1" ht="11.25">
      <c r="A60" s="1103"/>
      <c r="B60" s="1103"/>
      <c r="C60" s="1103"/>
      <c r="D60" s="1103"/>
      <c r="E60" s="1103"/>
      <c r="F60" s="1103"/>
      <c r="G60" s="1103"/>
      <c r="H60" s="1104"/>
      <c r="I60" s="1104"/>
      <c r="J60" s="1104"/>
      <c r="K60" s="1104"/>
      <c r="L60" s="1104"/>
      <c r="M60" s="1104"/>
      <c r="N60" s="1104"/>
      <c r="O60" s="1104"/>
      <c r="P60" s="1104"/>
      <c r="Q60" s="1104"/>
      <c r="R60" s="1104"/>
      <c r="S60" s="1104"/>
      <c r="T60" s="1104"/>
      <c r="U60" s="1104"/>
      <c r="V60" s="1104"/>
      <c r="W60" s="1104"/>
      <c r="X60" s="1104"/>
      <c r="Y60" s="1104"/>
      <c r="Z60" s="1104"/>
      <c r="AA60" s="1104"/>
      <c r="AB60" s="1104"/>
      <c r="AC60" s="1104"/>
      <c r="AD60" s="1104"/>
      <c r="AE60" s="1104"/>
      <c r="AF60" s="1104"/>
      <c r="AG60" s="1104"/>
      <c r="AH60" s="1104"/>
      <c r="AI60" s="1104"/>
      <c r="AJ60" s="1103"/>
      <c r="AK60" s="1103"/>
      <c r="AL60" s="1103"/>
    </row>
    <row r="61" spans="1:38" s="1082" customFormat="1" ht="11.25">
      <c r="A61" s="1103"/>
      <c r="B61" s="1103"/>
      <c r="C61" s="1103"/>
      <c r="D61" s="1103"/>
      <c r="E61" s="1103"/>
      <c r="F61" s="1103"/>
      <c r="G61" s="1103"/>
      <c r="H61" s="1104"/>
      <c r="I61" s="1104"/>
      <c r="J61" s="1104"/>
      <c r="K61" s="1104"/>
      <c r="L61" s="1104"/>
      <c r="M61" s="1104"/>
      <c r="N61" s="1104"/>
      <c r="O61" s="1104"/>
      <c r="P61" s="1104"/>
      <c r="Q61" s="1104"/>
      <c r="R61" s="1104"/>
      <c r="S61" s="1104"/>
      <c r="T61" s="1104"/>
      <c r="U61" s="1104"/>
      <c r="V61" s="1104"/>
      <c r="W61" s="1104"/>
      <c r="X61" s="1104"/>
      <c r="Y61" s="1104"/>
      <c r="Z61" s="1104"/>
      <c r="AA61" s="1104"/>
      <c r="AB61" s="1104"/>
      <c r="AC61" s="1104"/>
      <c r="AD61" s="1104"/>
      <c r="AE61" s="1104"/>
      <c r="AF61" s="1104"/>
      <c r="AG61" s="1104"/>
      <c r="AH61" s="1104"/>
      <c r="AI61" s="1104"/>
      <c r="AJ61" s="1103"/>
      <c r="AK61" s="1103"/>
      <c r="AL61" s="1103"/>
    </row>
    <row r="62" spans="1:38" s="1082" customFormat="1" ht="11.25">
      <c r="A62" s="1103"/>
      <c r="B62" s="1103"/>
      <c r="C62" s="1103"/>
      <c r="D62" s="1103"/>
      <c r="E62" s="1103"/>
      <c r="F62" s="1103"/>
      <c r="G62" s="1103"/>
      <c r="H62" s="1104"/>
      <c r="I62" s="1104"/>
      <c r="J62" s="1104"/>
      <c r="K62" s="1104"/>
      <c r="L62" s="1104"/>
      <c r="M62" s="1104"/>
      <c r="N62" s="1104"/>
      <c r="O62" s="1104"/>
      <c r="P62" s="1104"/>
      <c r="Q62" s="1104"/>
      <c r="R62" s="1104"/>
      <c r="S62" s="1104"/>
      <c r="T62" s="1104"/>
      <c r="U62" s="1104"/>
      <c r="V62" s="1104"/>
      <c r="W62" s="1104"/>
      <c r="X62" s="1104"/>
      <c r="Y62" s="1104"/>
      <c r="Z62" s="1104"/>
      <c r="AA62" s="1104"/>
      <c r="AB62" s="1104"/>
      <c r="AC62" s="1104"/>
      <c r="AD62" s="1104"/>
      <c r="AE62" s="1104"/>
      <c r="AF62" s="1104"/>
      <c r="AG62" s="1104"/>
      <c r="AH62" s="1104"/>
      <c r="AI62" s="1104"/>
      <c r="AJ62" s="1103"/>
      <c r="AK62" s="1103"/>
      <c r="AL62" s="1103"/>
    </row>
    <row r="63" spans="1:38" s="1082" customFormat="1" ht="11.25">
      <c r="A63" s="1103"/>
      <c r="B63" s="1103"/>
      <c r="C63" s="1103"/>
      <c r="D63" s="1103"/>
      <c r="E63" s="1103"/>
      <c r="F63" s="1103"/>
      <c r="G63" s="1103"/>
      <c r="H63" s="1104"/>
      <c r="I63" s="1104"/>
      <c r="J63" s="1104"/>
      <c r="K63" s="1104"/>
      <c r="L63" s="1104"/>
      <c r="M63" s="1104"/>
      <c r="N63" s="1104"/>
      <c r="O63" s="1104"/>
      <c r="P63" s="1104"/>
      <c r="Q63" s="1104"/>
      <c r="R63" s="1104"/>
      <c r="S63" s="1104"/>
      <c r="T63" s="1104"/>
      <c r="U63" s="1104"/>
      <c r="V63" s="1104"/>
      <c r="W63" s="1104"/>
      <c r="X63" s="1104"/>
      <c r="Y63" s="1104"/>
      <c r="Z63" s="1104"/>
      <c r="AA63" s="1104"/>
      <c r="AB63" s="1104"/>
      <c r="AC63" s="1104"/>
      <c r="AD63" s="1104"/>
      <c r="AE63" s="1104"/>
      <c r="AF63" s="1104"/>
      <c r="AG63" s="1104"/>
      <c r="AH63" s="1104"/>
      <c r="AI63" s="1104"/>
      <c r="AJ63" s="1103"/>
      <c r="AK63" s="1103"/>
      <c r="AL63" s="1103"/>
    </row>
    <row r="64" spans="1:38" s="1082" customFormat="1" ht="11.25">
      <c r="A64" s="1103"/>
      <c r="B64" s="1103"/>
      <c r="C64" s="1103"/>
      <c r="D64" s="1103"/>
      <c r="E64" s="1103"/>
      <c r="F64" s="1103"/>
      <c r="G64" s="1103"/>
      <c r="H64" s="1104"/>
      <c r="I64" s="1104"/>
      <c r="J64" s="1104"/>
      <c r="K64" s="1104"/>
      <c r="L64" s="1104"/>
      <c r="M64" s="1104"/>
      <c r="N64" s="1104"/>
      <c r="O64" s="1104"/>
      <c r="P64" s="1104"/>
      <c r="Q64" s="1104"/>
      <c r="R64" s="1104"/>
      <c r="S64" s="1104"/>
      <c r="T64" s="1104"/>
      <c r="U64" s="1104"/>
      <c r="V64" s="1104"/>
      <c r="W64" s="1104"/>
      <c r="X64" s="1104"/>
      <c r="Y64" s="1104"/>
      <c r="Z64" s="1104"/>
      <c r="AA64" s="1104"/>
      <c r="AB64" s="1104"/>
      <c r="AC64" s="1103"/>
      <c r="AD64" s="1103"/>
      <c r="AE64" s="1103"/>
      <c r="AF64" s="1103"/>
      <c r="AG64" s="1103"/>
      <c r="AH64" s="1103"/>
      <c r="AI64" s="1103"/>
      <c r="AJ64" s="1103"/>
      <c r="AK64" s="1103"/>
      <c r="AL64" s="1103"/>
    </row>
    <row r="65" spans="1:38" s="1082" customFormat="1" ht="11.25">
      <c r="A65" s="1103"/>
      <c r="B65" s="1103"/>
      <c r="C65" s="1103"/>
      <c r="D65" s="1103"/>
      <c r="E65" s="1103"/>
      <c r="F65" s="1103"/>
      <c r="G65" s="1103"/>
      <c r="H65" s="1104"/>
      <c r="I65" s="1104"/>
      <c r="J65" s="1104"/>
      <c r="K65" s="1104"/>
      <c r="L65" s="1104"/>
      <c r="M65" s="1104"/>
      <c r="N65" s="1104"/>
      <c r="O65" s="1104"/>
      <c r="P65" s="1104"/>
      <c r="Q65" s="1104"/>
      <c r="R65" s="1104"/>
      <c r="S65" s="1104"/>
      <c r="T65" s="1104"/>
      <c r="U65" s="1104"/>
      <c r="V65" s="1104"/>
      <c r="W65" s="1104"/>
      <c r="X65" s="1104"/>
      <c r="Y65" s="1104"/>
      <c r="Z65" s="1104"/>
      <c r="AA65" s="1104"/>
      <c r="AB65" s="1104"/>
      <c r="AC65" s="1103"/>
      <c r="AD65" s="1103"/>
      <c r="AE65" s="1103"/>
      <c r="AF65" s="1103"/>
      <c r="AG65" s="1103"/>
      <c r="AH65" s="1103"/>
      <c r="AI65" s="1103"/>
      <c r="AJ65" s="1103"/>
      <c r="AK65" s="1103"/>
      <c r="AL65" s="1103"/>
    </row>
    <row r="66" spans="1:38" s="1082" customFormat="1" ht="11.25">
      <c r="A66" s="1103"/>
      <c r="B66" s="1103"/>
      <c r="C66" s="1103"/>
      <c r="D66" s="1103"/>
      <c r="E66" s="1103"/>
      <c r="F66" s="1103"/>
      <c r="G66" s="1103"/>
      <c r="H66" s="1104"/>
      <c r="I66" s="1104"/>
      <c r="J66" s="1104"/>
      <c r="K66" s="1104"/>
      <c r="L66" s="1104"/>
      <c r="M66" s="1104"/>
      <c r="N66" s="1104"/>
      <c r="O66" s="1104"/>
      <c r="P66" s="1104"/>
      <c r="Q66" s="1104"/>
      <c r="R66" s="1104"/>
      <c r="S66" s="1104"/>
      <c r="T66" s="1104"/>
      <c r="U66" s="1104"/>
      <c r="V66" s="1104"/>
      <c r="W66" s="1104"/>
      <c r="X66" s="1104"/>
      <c r="Y66" s="1104"/>
      <c r="Z66" s="1104"/>
      <c r="AA66" s="1104"/>
      <c r="AB66" s="1104"/>
      <c r="AC66" s="1103"/>
      <c r="AD66" s="1103"/>
      <c r="AE66" s="1103"/>
      <c r="AF66" s="1103"/>
      <c r="AG66" s="1103"/>
      <c r="AH66" s="1103"/>
      <c r="AI66" s="1103"/>
      <c r="AJ66" s="1103"/>
      <c r="AK66" s="1103"/>
      <c r="AL66" s="1103"/>
    </row>
    <row r="67" spans="1:38" s="1082" customFormat="1" ht="11.25">
      <c r="A67" s="1103"/>
      <c r="B67" s="1103"/>
      <c r="C67" s="1103"/>
      <c r="D67" s="1103"/>
      <c r="E67" s="1103"/>
      <c r="F67" s="1103"/>
      <c r="G67" s="1103"/>
      <c r="H67" s="1104"/>
      <c r="I67" s="1104"/>
      <c r="J67" s="1104"/>
      <c r="K67" s="1104"/>
      <c r="L67" s="1104"/>
      <c r="M67" s="1104"/>
      <c r="N67" s="1104"/>
      <c r="O67" s="1104"/>
      <c r="P67" s="1104"/>
      <c r="Q67" s="1104"/>
      <c r="R67" s="1104"/>
      <c r="S67" s="1104"/>
      <c r="T67" s="1104"/>
      <c r="U67" s="1104"/>
      <c r="V67" s="1104"/>
      <c r="W67" s="1104"/>
      <c r="X67" s="1104"/>
      <c r="Y67" s="1104"/>
      <c r="Z67" s="1104"/>
      <c r="AA67" s="1104"/>
      <c r="AB67" s="1104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3"/>
    </row>
    <row r="68" spans="1:38" s="1082" customFormat="1" ht="11.25">
      <c r="A68" s="1103"/>
      <c r="B68" s="1103"/>
      <c r="C68" s="1103"/>
      <c r="D68" s="1103"/>
      <c r="E68" s="1103"/>
      <c r="F68" s="1103"/>
      <c r="G68" s="1103"/>
      <c r="H68" s="1104"/>
      <c r="I68" s="1104"/>
      <c r="J68" s="1104"/>
      <c r="K68" s="1104"/>
      <c r="L68" s="1104"/>
      <c r="M68" s="1104"/>
      <c r="N68" s="1104"/>
      <c r="O68" s="1104"/>
      <c r="P68" s="1104"/>
      <c r="Q68" s="1104"/>
      <c r="R68" s="1104"/>
      <c r="S68" s="1104"/>
      <c r="T68" s="1104"/>
      <c r="U68" s="1104"/>
      <c r="V68" s="1104"/>
      <c r="W68" s="1104"/>
      <c r="X68" s="1104"/>
      <c r="Y68" s="1104"/>
      <c r="Z68" s="1104"/>
      <c r="AA68" s="1104"/>
      <c r="AB68" s="1104"/>
      <c r="AC68" s="1103"/>
      <c r="AD68" s="1103"/>
      <c r="AE68" s="1103"/>
      <c r="AF68" s="1103"/>
      <c r="AG68" s="1103"/>
      <c r="AH68" s="1103"/>
      <c r="AI68" s="1103"/>
      <c r="AJ68" s="1103"/>
      <c r="AK68" s="1103"/>
      <c r="AL68" s="1103"/>
    </row>
    <row r="69" spans="1:38" s="1082" customFormat="1" ht="11.25">
      <c r="A69" s="1103"/>
      <c r="B69" s="1103"/>
      <c r="C69" s="1103"/>
      <c r="D69" s="1103"/>
      <c r="E69" s="1103"/>
      <c r="F69" s="1103"/>
      <c r="G69" s="1103"/>
      <c r="H69" s="1104"/>
      <c r="I69" s="1104"/>
      <c r="J69" s="1104"/>
      <c r="K69" s="1104"/>
      <c r="L69" s="1104"/>
      <c r="M69" s="1104"/>
      <c r="N69" s="1104"/>
      <c r="O69" s="1104"/>
      <c r="P69" s="1104"/>
      <c r="Q69" s="1104"/>
      <c r="R69" s="1104"/>
      <c r="S69" s="1104"/>
      <c r="T69" s="1104"/>
      <c r="U69" s="1104"/>
      <c r="V69" s="1104"/>
      <c r="W69" s="1104"/>
      <c r="X69" s="1104"/>
      <c r="Y69" s="1104"/>
      <c r="Z69" s="1104"/>
      <c r="AA69" s="1104"/>
      <c r="AB69" s="1104"/>
      <c r="AC69" s="1103"/>
      <c r="AD69" s="1103"/>
      <c r="AE69" s="1103"/>
      <c r="AF69" s="1103"/>
      <c r="AG69" s="1103"/>
      <c r="AH69" s="1103"/>
      <c r="AI69" s="1103"/>
      <c r="AJ69" s="1103"/>
      <c r="AK69" s="1103"/>
      <c r="AL69" s="1103"/>
    </row>
    <row r="70" spans="1:38" s="1082" customFormat="1" ht="11.25">
      <c r="A70" s="1103"/>
      <c r="B70" s="1103"/>
      <c r="C70" s="1103"/>
      <c r="D70" s="1103"/>
      <c r="E70" s="1103"/>
      <c r="F70" s="1103"/>
      <c r="G70" s="1103"/>
      <c r="H70" s="1104"/>
      <c r="I70" s="1104"/>
      <c r="J70" s="1104"/>
      <c r="K70" s="1104"/>
      <c r="L70" s="1104"/>
      <c r="M70" s="1104"/>
      <c r="N70" s="1104"/>
      <c r="O70" s="1104"/>
      <c r="P70" s="1104"/>
      <c r="Q70" s="1104"/>
      <c r="R70" s="1104"/>
      <c r="S70" s="1104"/>
      <c r="T70" s="1104"/>
      <c r="U70" s="1104"/>
      <c r="V70" s="1104"/>
      <c r="W70" s="1104"/>
      <c r="X70" s="1104"/>
      <c r="Y70" s="1104"/>
      <c r="Z70" s="1104"/>
      <c r="AA70" s="1104"/>
      <c r="AB70" s="1104"/>
      <c r="AC70" s="1103"/>
      <c r="AD70" s="1103"/>
      <c r="AE70" s="1103"/>
      <c r="AF70" s="1103"/>
      <c r="AG70" s="1103"/>
      <c r="AH70" s="1103"/>
      <c r="AI70" s="1103"/>
      <c r="AJ70" s="1103"/>
      <c r="AK70" s="1103"/>
      <c r="AL70" s="1103"/>
    </row>
    <row r="71" spans="1:38" s="1082" customFormat="1" ht="11.25">
      <c r="A71" s="1103"/>
      <c r="B71" s="1103"/>
      <c r="C71" s="1103"/>
      <c r="D71" s="1103"/>
      <c r="E71" s="1103"/>
      <c r="F71" s="1103"/>
      <c r="G71" s="1103"/>
      <c r="H71" s="1104"/>
      <c r="I71" s="1104"/>
      <c r="J71" s="1104"/>
      <c r="K71" s="1104"/>
      <c r="L71" s="1104"/>
      <c r="M71" s="1104"/>
      <c r="N71" s="1104"/>
      <c r="O71" s="1104"/>
      <c r="P71" s="1104"/>
      <c r="Q71" s="1104"/>
      <c r="R71" s="1104"/>
      <c r="S71" s="1104"/>
      <c r="T71" s="1104"/>
      <c r="U71" s="1104"/>
      <c r="V71" s="1104"/>
      <c r="W71" s="1104"/>
      <c r="X71" s="1104"/>
      <c r="Y71" s="1104"/>
      <c r="Z71" s="1104"/>
      <c r="AA71" s="1104"/>
      <c r="AB71" s="1104"/>
      <c r="AC71" s="1103"/>
      <c r="AD71" s="1103"/>
      <c r="AE71" s="1103"/>
      <c r="AF71" s="1103"/>
      <c r="AG71" s="1103"/>
      <c r="AH71" s="1103"/>
      <c r="AI71" s="1103"/>
      <c r="AJ71" s="1103"/>
      <c r="AK71" s="1103"/>
      <c r="AL71" s="1103"/>
    </row>
    <row r="72" spans="1:38" s="1082" customFormat="1" ht="11.25">
      <c r="A72" s="1103"/>
      <c r="B72" s="1103"/>
      <c r="C72" s="1103"/>
      <c r="D72" s="1103"/>
      <c r="E72" s="1103"/>
      <c r="F72" s="1103"/>
      <c r="G72" s="1103"/>
      <c r="H72" s="1104"/>
      <c r="I72" s="1104"/>
      <c r="J72" s="1104"/>
      <c r="K72" s="1104"/>
      <c r="L72" s="1104"/>
      <c r="M72" s="1104"/>
      <c r="N72" s="1104"/>
      <c r="O72" s="1104"/>
      <c r="P72" s="1104"/>
      <c r="Q72" s="1104"/>
      <c r="R72" s="1104"/>
      <c r="S72" s="1104"/>
      <c r="T72" s="1104"/>
      <c r="U72" s="1104"/>
      <c r="V72" s="1104"/>
      <c r="W72" s="1104"/>
      <c r="X72" s="1104"/>
      <c r="Y72" s="1104"/>
      <c r="Z72" s="1104"/>
      <c r="AA72" s="1104"/>
      <c r="AB72" s="1104"/>
      <c r="AC72" s="1103"/>
      <c r="AD72" s="1103"/>
      <c r="AE72" s="1103"/>
      <c r="AF72" s="1103"/>
      <c r="AG72" s="1103"/>
      <c r="AH72" s="1103"/>
      <c r="AI72" s="1103"/>
      <c r="AJ72" s="1103"/>
      <c r="AK72" s="1103"/>
      <c r="AL72" s="1103"/>
    </row>
    <row r="73" spans="1:38" s="1082" customFormat="1" ht="11.25">
      <c r="A73" s="1103"/>
      <c r="B73" s="1103"/>
      <c r="C73" s="1103"/>
      <c r="D73" s="1103"/>
      <c r="E73" s="1103"/>
      <c r="F73" s="1103"/>
      <c r="G73" s="1103"/>
      <c r="H73" s="1104"/>
      <c r="I73" s="1104"/>
      <c r="J73" s="1104"/>
      <c r="K73" s="1104"/>
      <c r="L73" s="1104"/>
      <c r="M73" s="1104"/>
      <c r="N73" s="1104"/>
      <c r="O73" s="1104"/>
      <c r="P73" s="1104"/>
      <c r="Q73" s="1104"/>
      <c r="R73" s="1104"/>
      <c r="S73" s="1104"/>
      <c r="T73" s="1104"/>
      <c r="U73" s="1104"/>
      <c r="V73" s="1104"/>
      <c r="W73" s="1104"/>
      <c r="X73" s="1104"/>
      <c r="Y73" s="1104"/>
      <c r="Z73" s="1104"/>
      <c r="AA73" s="1104"/>
      <c r="AB73" s="1104"/>
      <c r="AC73" s="1103"/>
      <c r="AD73" s="1103"/>
      <c r="AE73" s="1103"/>
      <c r="AF73" s="1103"/>
      <c r="AG73" s="1103"/>
      <c r="AH73" s="1103"/>
      <c r="AI73" s="1103"/>
      <c r="AJ73" s="1103"/>
      <c r="AK73" s="1103"/>
      <c r="AL73" s="1103"/>
    </row>
    <row r="74" spans="1:38" s="1082" customFormat="1" ht="11.25">
      <c r="A74" s="1103"/>
      <c r="B74" s="1103"/>
      <c r="C74" s="1103"/>
      <c r="D74" s="1103"/>
      <c r="E74" s="1103"/>
      <c r="F74" s="1103"/>
      <c r="G74" s="1103"/>
      <c r="H74" s="1104"/>
      <c r="I74" s="1104"/>
      <c r="J74" s="1104"/>
      <c r="K74" s="1104"/>
      <c r="L74" s="1104"/>
      <c r="M74" s="1104"/>
      <c r="N74" s="1104"/>
      <c r="O74" s="1104"/>
      <c r="P74" s="1104"/>
      <c r="Q74" s="1104"/>
      <c r="R74" s="1104"/>
      <c r="S74" s="1104"/>
      <c r="T74" s="1104"/>
      <c r="U74" s="1104"/>
      <c r="V74" s="1104"/>
      <c r="W74" s="1104"/>
      <c r="X74" s="1104"/>
      <c r="Y74" s="1104"/>
      <c r="Z74" s="1104"/>
      <c r="AA74" s="1104"/>
      <c r="AB74" s="1104"/>
      <c r="AC74" s="1103"/>
      <c r="AD74" s="1103"/>
      <c r="AE74" s="1103"/>
      <c r="AF74" s="1103"/>
      <c r="AG74" s="1103"/>
      <c r="AH74" s="1103"/>
      <c r="AI74" s="1103"/>
      <c r="AJ74" s="1103"/>
      <c r="AK74" s="1103"/>
      <c r="AL74" s="1103"/>
    </row>
    <row r="75" spans="1:38" s="1082" customFormat="1" ht="11.25">
      <c r="A75" s="1103"/>
      <c r="B75" s="1103"/>
      <c r="C75" s="1103"/>
      <c r="D75" s="1103"/>
      <c r="E75" s="1103"/>
      <c r="F75" s="1103"/>
      <c r="G75" s="1103"/>
      <c r="H75" s="1104"/>
      <c r="I75" s="1104"/>
      <c r="J75" s="1104"/>
      <c r="K75" s="1104"/>
      <c r="L75" s="1104"/>
      <c r="M75" s="1104"/>
      <c r="N75" s="1104"/>
      <c r="O75" s="1104"/>
      <c r="P75" s="1104"/>
      <c r="Q75" s="1104"/>
      <c r="R75" s="1104"/>
      <c r="S75" s="1104"/>
      <c r="T75" s="1104"/>
      <c r="U75" s="1104"/>
      <c r="V75" s="1104"/>
      <c r="W75" s="1104"/>
      <c r="X75" s="1104"/>
      <c r="Y75" s="1104"/>
      <c r="Z75" s="1104"/>
      <c r="AA75" s="1104"/>
      <c r="AB75" s="1104"/>
      <c r="AC75" s="1103"/>
      <c r="AD75" s="1103"/>
      <c r="AE75" s="1103"/>
      <c r="AF75" s="1103"/>
      <c r="AG75" s="1103"/>
      <c r="AH75" s="1103"/>
      <c r="AI75" s="1103"/>
      <c r="AJ75" s="1103"/>
      <c r="AK75" s="1103"/>
      <c r="AL75" s="1103"/>
    </row>
    <row r="76" spans="1:38" s="1082" customFormat="1" ht="11.25">
      <c r="A76" s="1103"/>
      <c r="B76" s="1103"/>
      <c r="C76" s="1103"/>
      <c r="D76" s="1103"/>
      <c r="E76" s="1103"/>
      <c r="F76" s="1103"/>
      <c r="G76" s="1103"/>
      <c r="H76" s="1104"/>
      <c r="I76" s="1104"/>
      <c r="J76" s="1104"/>
      <c r="K76" s="1104"/>
      <c r="L76" s="1104"/>
      <c r="M76" s="1104"/>
      <c r="N76" s="1104"/>
      <c r="O76" s="1104"/>
      <c r="P76" s="1104"/>
      <c r="Q76" s="1104"/>
      <c r="R76" s="1104"/>
      <c r="S76" s="1104"/>
      <c r="T76" s="1104"/>
      <c r="U76" s="1104"/>
      <c r="V76" s="1104"/>
      <c r="W76" s="1104"/>
      <c r="X76" s="1104"/>
      <c r="Y76" s="1104"/>
      <c r="Z76" s="1104"/>
      <c r="AA76" s="1104"/>
      <c r="AB76" s="1104"/>
      <c r="AC76" s="1103"/>
      <c r="AD76" s="1103"/>
      <c r="AE76" s="1103"/>
      <c r="AF76" s="1103"/>
      <c r="AG76" s="1103"/>
      <c r="AH76" s="1103"/>
      <c r="AI76" s="1103"/>
      <c r="AJ76" s="1103"/>
      <c r="AK76" s="1103"/>
      <c r="AL76" s="1103"/>
    </row>
    <row r="77" spans="1:38" s="1082" customFormat="1" ht="11.25">
      <c r="A77" s="1103"/>
      <c r="B77" s="1103"/>
      <c r="C77" s="1103"/>
      <c r="D77" s="1103"/>
      <c r="E77" s="1103"/>
      <c r="F77" s="1103"/>
      <c r="G77" s="1103"/>
      <c r="H77" s="1104"/>
      <c r="I77" s="1104"/>
      <c r="J77" s="1104"/>
      <c r="K77" s="1104"/>
      <c r="L77" s="1104"/>
      <c r="M77" s="1104"/>
      <c r="N77" s="1104"/>
      <c r="O77" s="1104"/>
      <c r="P77" s="1104"/>
      <c r="Q77" s="1104"/>
      <c r="R77" s="1104"/>
      <c r="S77" s="1104"/>
      <c r="T77" s="1104"/>
      <c r="U77" s="1104"/>
      <c r="V77" s="1104"/>
      <c r="W77" s="1104"/>
      <c r="X77" s="1104"/>
      <c r="Y77" s="1104"/>
      <c r="Z77" s="1104"/>
      <c r="AA77" s="1104"/>
      <c r="AB77" s="1104"/>
      <c r="AC77" s="1103"/>
      <c r="AD77" s="1103"/>
      <c r="AE77" s="1103"/>
      <c r="AF77" s="1103"/>
      <c r="AG77" s="1103"/>
      <c r="AH77" s="1103"/>
      <c r="AI77" s="1103"/>
      <c r="AJ77" s="1103"/>
      <c r="AK77" s="1103"/>
      <c r="AL77" s="1103"/>
    </row>
    <row r="78" spans="1:38" s="1082" customFormat="1" ht="11.25">
      <c r="A78" s="1103"/>
      <c r="B78" s="1103"/>
      <c r="C78" s="1103"/>
      <c r="D78" s="1103"/>
      <c r="E78" s="1103"/>
      <c r="F78" s="1103"/>
      <c r="G78" s="1103"/>
      <c r="H78" s="1104"/>
      <c r="I78" s="1104"/>
      <c r="J78" s="1104"/>
      <c r="K78" s="1104"/>
      <c r="L78" s="1104"/>
      <c r="M78" s="1104"/>
      <c r="N78" s="1104"/>
      <c r="O78" s="1104"/>
      <c r="P78" s="1104"/>
      <c r="Q78" s="1104"/>
      <c r="R78" s="1104"/>
      <c r="S78" s="1104"/>
      <c r="T78" s="1104"/>
      <c r="U78" s="1104"/>
      <c r="V78" s="1104"/>
      <c r="W78" s="1104"/>
      <c r="X78" s="1104"/>
      <c r="Y78" s="1104"/>
      <c r="Z78" s="1104"/>
      <c r="AA78" s="1104"/>
      <c r="AB78" s="1104"/>
      <c r="AC78" s="1103"/>
      <c r="AD78" s="1103"/>
      <c r="AE78" s="1103"/>
      <c r="AF78" s="1103"/>
      <c r="AG78" s="1103"/>
      <c r="AH78" s="1103"/>
      <c r="AI78" s="1103"/>
      <c r="AJ78" s="1103"/>
      <c r="AK78" s="1103"/>
      <c r="AL78" s="1103"/>
    </row>
    <row r="79" spans="1:38" s="1082" customFormat="1" ht="11.25">
      <c r="A79" s="1103"/>
      <c r="B79" s="1103"/>
      <c r="C79" s="1103"/>
      <c r="D79" s="1103"/>
      <c r="E79" s="1103"/>
      <c r="F79" s="1103"/>
      <c r="G79" s="1103"/>
      <c r="H79" s="1104"/>
      <c r="I79" s="1104"/>
      <c r="J79" s="1104"/>
      <c r="K79" s="1104"/>
      <c r="L79" s="1104"/>
      <c r="M79" s="1104"/>
      <c r="N79" s="1104"/>
      <c r="O79" s="1104"/>
      <c r="P79" s="1104"/>
      <c r="Q79" s="1104"/>
      <c r="R79" s="1104"/>
      <c r="S79" s="1104"/>
      <c r="T79" s="1104"/>
      <c r="U79" s="1104"/>
      <c r="V79" s="1104"/>
      <c r="W79" s="1104"/>
      <c r="X79" s="1104"/>
      <c r="Y79" s="1104"/>
      <c r="Z79" s="1104"/>
      <c r="AA79" s="1104"/>
      <c r="AB79" s="1104"/>
      <c r="AC79" s="1103"/>
      <c r="AD79" s="1103"/>
      <c r="AE79" s="1103"/>
      <c r="AF79" s="1103"/>
      <c r="AG79" s="1103"/>
      <c r="AH79" s="1103"/>
      <c r="AI79" s="1103"/>
      <c r="AJ79" s="1103"/>
      <c r="AK79" s="1103"/>
      <c r="AL79" s="1103"/>
    </row>
    <row r="80" spans="1:38" s="1082" customFormat="1" ht="11.25">
      <c r="A80" s="1103"/>
      <c r="B80" s="1103"/>
      <c r="C80" s="1103"/>
      <c r="D80" s="1103"/>
      <c r="E80" s="1103"/>
      <c r="F80" s="1103"/>
      <c r="G80" s="1103"/>
      <c r="H80" s="1104"/>
      <c r="I80" s="1104"/>
      <c r="J80" s="1104"/>
      <c r="K80" s="1104"/>
      <c r="L80" s="1104"/>
      <c r="M80" s="1104"/>
      <c r="N80" s="1104"/>
      <c r="O80" s="1104"/>
      <c r="P80" s="1104"/>
      <c r="Q80" s="1104"/>
      <c r="R80" s="1104"/>
      <c r="S80" s="1104"/>
      <c r="T80" s="1104"/>
      <c r="U80" s="1104"/>
      <c r="V80" s="1104"/>
      <c r="W80" s="1104"/>
      <c r="X80" s="1104"/>
      <c r="Y80" s="1104"/>
      <c r="Z80" s="1104"/>
      <c r="AA80" s="1104"/>
      <c r="AB80" s="1104"/>
      <c r="AC80" s="1103"/>
      <c r="AD80" s="1103"/>
      <c r="AE80" s="1103"/>
      <c r="AF80" s="1103"/>
      <c r="AG80" s="1103"/>
      <c r="AH80" s="1103"/>
      <c r="AI80" s="1103"/>
      <c r="AJ80" s="1103"/>
      <c r="AK80" s="1103"/>
      <c r="AL80" s="1103"/>
    </row>
    <row r="81" spans="1:38" s="1082" customFormat="1" ht="11.25">
      <c r="A81" s="1103"/>
      <c r="B81" s="1103"/>
      <c r="C81" s="1103"/>
      <c r="D81" s="1103"/>
      <c r="E81" s="1103"/>
      <c r="F81" s="1103"/>
      <c r="G81" s="1103"/>
      <c r="H81" s="1104"/>
      <c r="I81" s="1104"/>
      <c r="J81" s="1104"/>
      <c r="K81" s="1104"/>
      <c r="L81" s="1104"/>
      <c r="M81" s="1104"/>
      <c r="N81" s="1104"/>
      <c r="O81" s="1104"/>
      <c r="P81" s="1104"/>
      <c r="Q81" s="1104"/>
      <c r="R81" s="1104"/>
      <c r="S81" s="1104"/>
      <c r="T81" s="1104"/>
      <c r="U81" s="1104"/>
      <c r="V81" s="1104"/>
      <c r="W81" s="1104"/>
      <c r="X81" s="1104"/>
      <c r="Y81" s="1104"/>
      <c r="Z81" s="1104"/>
      <c r="AA81" s="1104"/>
      <c r="AB81" s="1104"/>
      <c r="AC81" s="1103"/>
      <c r="AD81" s="1103"/>
      <c r="AE81" s="1103"/>
      <c r="AF81" s="1103"/>
      <c r="AG81" s="1103"/>
      <c r="AH81" s="1103"/>
      <c r="AI81" s="1103"/>
      <c r="AJ81" s="1103"/>
      <c r="AK81" s="1103"/>
      <c r="AL81" s="1103"/>
    </row>
    <row r="82" spans="1:38" s="1082" customFormat="1" ht="11.25">
      <c r="A82" s="1103"/>
      <c r="B82" s="1103"/>
      <c r="C82" s="1103"/>
      <c r="D82" s="1103"/>
      <c r="E82" s="1103"/>
      <c r="F82" s="1103"/>
      <c r="G82" s="1103"/>
      <c r="H82" s="1104"/>
      <c r="I82" s="1104"/>
      <c r="J82" s="1104"/>
      <c r="K82" s="1104"/>
      <c r="L82" s="1104"/>
      <c r="M82" s="1104"/>
      <c r="N82" s="1104"/>
      <c r="O82" s="1104"/>
      <c r="P82" s="1104"/>
      <c r="Q82" s="1104"/>
      <c r="R82" s="1104"/>
      <c r="S82" s="1104"/>
      <c r="T82" s="1104"/>
      <c r="U82" s="1104"/>
      <c r="V82" s="1104"/>
      <c r="W82" s="1104"/>
      <c r="X82" s="1104"/>
      <c r="Y82" s="1104"/>
      <c r="Z82" s="1104"/>
      <c r="AA82" s="1104"/>
      <c r="AB82" s="1104"/>
      <c r="AC82" s="1103"/>
      <c r="AD82" s="1103"/>
      <c r="AE82" s="1103"/>
      <c r="AF82" s="1103"/>
      <c r="AG82" s="1103"/>
      <c r="AH82" s="1103"/>
      <c r="AI82" s="1103"/>
      <c r="AJ82" s="1103"/>
      <c r="AK82" s="1103"/>
      <c r="AL82" s="1103"/>
    </row>
    <row r="83" spans="1:38" s="1082" customFormat="1" ht="11.25">
      <c r="A83" s="1103"/>
      <c r="B83" s="1103"/>
      <c r="C83" s="1103"/>
      <c r="D83" s="1103"/>
      <c r="E83" s="1103"/>
      <c r="F83" s="1103"/>
      <c r="G83" s="1103"/>
      <c r="H83" s="1104"/>
      <c r="I83" s="1104"/>
      <c r="J83" s="1104"/>
      <c r="K83" s="1104"/>
      <c r="L83" s="1104"/>
      <c r="M83" s="1104"/>
      <c r="N83" s="1104"/>
      <c r="O83" s="1104"/>
      <c r="P83" s="1104"/>
      <c r="Q83" s="1104"/>
      <c r="R83" s="1104"/>
      <c r="S83" s="1104"/>
      <c r="T83" s="1104"/>
      <c r="U83" s="1104"/>
      <c r="V83" s="1104"/>
      <c r="W83" s="1104"/>
      <c r="X83" s="1104"/>
      <c r="Y83" s="1104"/>
      <c r="Z83" s="1104"/>
      <c r="AA83" s="1104"/>
      <c r="AB83" s="1104"/>
      <c r="AC83" s="1103"/>
      <c r="AD83" s="1103"/>
      <c r="AE83" s="1103"/>
      <c r="AF83" s="1103"/>
      <c r="AG83" s="1103"/>
      <c r="AH83" s="1103"/>
      <c r="AI83" s="1103"/>
      <c r="AJ83" s="1103"/>
      <c r="AK83" s="1103"/>
      <c r="AL83" s="1103"/>
    </row>
    <row r="84" spans="1:38" s="1082" customFormat="1" ht="11.25">
      <c r="A84" s="1103"/>
      <c r="B84" s="1103"/>
      <c r="C84" s="1103"/>
      <c r="D84" s="1103"/>
      <c r="E84" s="1103"/>
      <c r="F84" s="1103"/>
      <c r="G84" s="1103"/>
      <c r="H84" s="1104"/>
      <c r="I84" s="1104"/>
      <c r="J84" s="1104"/>
      <c r="K84" s="1104"/>
      <c r="L84" s="1104"/>
      <c r="M84" s="1104"/>
      <c r="N84" s="1104"/>
      <c r="O84" s="1104"/>
      <c r="P84" s="1104"/>
      <c r="Q84" s="1104"/>
      <c r="R84" s="1104"/>
      <c r="S84" s="1104"/>
      <c r="T84" s="1104"/>
      <c r="U84" s="1104"/>
      <c r="V84" s="1104"/>
      <c r="W84" s="1104"/>
      <c r="X84" s="1104"/>
      <c r="Y84" s="1104"/>
      <c r="Z84" s="1104"/>
      <c r="AA84" s="1104"/>
      <c r="AB84" s="1104"/>
      <c r="AC84" s="1103"/>
      <c r="AD84" s="1103"/>
      <c r="AE84" s="1103"/>
      <c r="AF84" s="1103"/>
      <c r="AG84" s="1103"/>
      <c r="AH84" s="1103"/>
      <c r="AI84" s="1103"/>
      <c r="AJ84" s="1103"/>
      <c r="AK84" s="1103"/>
      <c r="AL84" s="1103"/>
    </row>
    <row r="85" spans="1:38" s="1082" customFormat="1" ht="11.25">
      <c r="A85" s="1103"/>
      <c r="B85" s="1103"/>
      <c r="C85" s="1103"/>
      <c r="D85" s="1103"/>
      <c r="E85" s="1103"/>
      <c r="F85" s="1103"/>
      <c r="G85" s="1103"/>
      <c r="H85" s="1104"/>
      <c r="I85" s="1104"/>
      <c r="J85" s="1104"/>
      <c r="K85" s="1104"/>
      <c r="L85" s="1104"/>
      <c r="M85" s="1104"/>
      <c r="N85" s="1104"/>
      <c r="O85" s="1104"/>
      <c r="P85" s="1104"/>
      <c r="Q85" s="1104"/>
      <c r="R85" s="1104"/>
      <c r="S85" s="1104"/>
      <c r="T85" s="1104"/>
      <c r="U85" s="1104"/>
      <c r="V85" s="1104"/>
      <c r="W85" s="1104"/>
      <c r="X85" s="1104"/>
      <c r="Y85" s="1104"/>
      <c r="Z85" s="1104"/>
      <c r="AA85" s="1104"/>
      <c r="AB85" s="1104"/>
      <c r="AC85" s="1103"/>
      <c r="AD85" s="1103"/>
      <c r="AE85" s="1103"/>
      <c r="AF85" s="1103"/>
      <c r="AG85" s="1103"/>
      <c r="AH85" s="1103"/>
      <c r="AI85" s="1103"/>
      <c r="AJ85" s="1103"/>
      <c r="AK85" s="1103"/>
      <c r="AL85" s="1103"/>
    </row>
    <row r="86" spans="1:38" s="1082" customFormat="1" ht="11.25">
      <c r="A86" s="1103"/>
      <c r="B86" s="1103"/>
      <c r="C86" s="1103"/>
      <c r="D86" s="1103"/>
      <c r="E86" s="1103"/>
      <c r="F86" s="1103"/>
      <c r="G86" s="1103"/>
      <c r="H86" s="1104"/>
      <c r="I86" s="1104"/>
      <c r="J86" s="1104"/>
      <c r="K86" s="1104"/>
      <c r="L86" s="1104"/>
      <c r="M86" s="1104"/>
      <c r="N86" s="1104"/>
      <c r="O86" s="1104"/>
      <c r="P86" s="1104"/>
      <c r="Q86" s="1104"/>
      <c r="R86" s="1104"/>
      <c r="S86" s="1104"/>
      <c r="T86" s="1104"/>
      <c r="U86" s="1104"/>
      <c r="V86" s="1104"/>
      <c r="W86" s="1104"/>
      <c r="X86" s="1104"/>
      <c r="Y86" s="1104"/>
      <c r="Z86" s="1104"/>
      <c r="AA86" s="1104"/>
      <c r="AB86" s="1104"/>
      <c r="AC86" s="1103"/>
      <c r="AD86" s="1103"/>
      <c r="AE86" s="1103"/>
      <c r="AF86" s="1103"/>
      <c r="AG86" s="1103"/>
      <c r="AH86" s="1103"/>
      <c r="AI86" s="1103"/>
      <c r="AJ86" s="1103"/>
      <c r="AK86" s="1103"/>
      <c r="AL86" s="1103"/>
    </row>
    <row r="87" spans="1:38" s="1082" customFormat="1" ht="11.25">
      <c r="A87" s="1103"/>
      <c r="B87" s="1103"/>
      <c r="C87" s="1103"/>
      <c r="D87" s="1103"/>
      <c r="E87" s="1103"/>
      <c r="F87" s="1103"/>
      <c r="G87" s="1103"/>
      <c r="H87" s="1104"/>
      <c r="I87" s="1104"/>
      <c r="J87" s="1104"/>
      <c r="K87" s="1104"/>
      <c r="L87" s="1104"/>
      <c r="M87" s="1104"/>
      <c r="N87" s="1104"/>
      <c r="O87" s="1104"/>
      <c r="P87" s="1104"/>
      <c r="Q87" s="1104"/>
      <c r="R87" s="1104"/>
      <c r="S87" s="1104"/>
      <c r="T87" s="1104"/>
      <c r="U87" s="1104"/>
      <c r="V87" s="1104"/>
      <c r="W87" s="1104"/>
      <c r="X87" s="1104"/>
      <c r="Y87" s="1104"/>
      <c r="Z87" s="1104"/>
      <c r="AA87" s="1104"/>
      <c r="AB87" s="1104"/>
      <c r="AC87" s="1103"/>
      <c r="AD87" s="1103"/>
      <c r="AE87" s="1103"/>
      <c r="AF87" s="1103"/>
      <c r="AG87" s="1103"/>
      <c r="AH87" s="1103"/>
      <c r="AI87" s="1103"/>
      <c r="AJ87" s="1103"/>
      <c r="AK87" s="1103"/>
      <c r="AL87" s="1103"/>
    </row>
    <row r="88" spans="1:38" s="1082" customFormat="1" ht="11.25">
      <c r="A88" s="1103"/>
      <c r="B88" s="1103"/>
      <c r="C88" s="1103"/>
      <c r="D88" s="1103"/>
      <c r="E88" s="1103"/>
      <c r="F88" s="1103"/>
      <c r="G88" s="1103"/>
      <c r="H88" s="1104"/>
      <c r="I88" s="1104"/>
      <c r="J88" s="1104"/>
      <c r="K88" s="1104"/>
      <c r="L88" s="1104"/>
      <c r="M88" s="1104"/>
      <c r="N88" s="1104"/>
      <c r="O88" s="1104"/>
      <c r="P88" s="1104"/>
      <c r="Q88" s="1104"/>
      <c r="R88" s="1104"/>
      <c r="S88" s="1104"/>
      <c r="T88" s="1104"/>
      <c r="U88" s="1104"/>
      <c r="V88" s="1104"/>
      <c r="W88" s="1104"/>
      <c r="X88" s="1104"/>
      <c r="Y88" s="1104"/>
      <c r="Z88" s="1104"/>
      <c r="AA88" s="1104"/>
      <c r="AB88" s="1104"/>
      <c r="AC88" s="1103"/>
      <c r="AD88" s="1103"/>
      <c r="AE88" s="1103"/>
      <c r="AF88" s="1103"/>
      <c r="AG88" s="1103"/>
      <c r="AH88" s="1103"/>
      <c r="AI88" s="1103"/>
      <c r="AJ88" s="1103"/>
      <c r="AK88" s="1103"/>
      <c r="AL88" s="1103"/>
    </row>
    <row r="89" spans="1:38" s="1082" customFormat="1" ht="11.25">
      <c r="A89" s="1103"/>
      <c r="B89" s="1103"/>
      <c r="C89" s="1103"/>
      <c r="D89" s="1103"/>
      <c r="E89" s="1103"/>
      <c r="F89" s="1103"/>
      <c r="G89" s="1103"/>
      <c r="H89" s="1104"/>
      <c r="I89" s="1104"/>
      <c r="J89" s="1104"/>
      <c r="K89" s="1104"/>
      <c r="L89" s="1104"/>
      <c r="M89" s="1104"/>
      <c r="N89" s="1104"/>
      <c r="O89" s="1104"/>
      <c r="P89" s="1104"/>
      <c r="Q89" s="1104"/>
      <c r="R89" s="1104"/>
      <c r="S89" s="1104"/>
      <c r="T89" s="1104"/>
      <c r="U89" s="1104"/>
      <c r="V89" s="1104"/>
      <c r="W89" s="1104"/>
      <c r="X89" s="1104"/>
      <c r="Y89" s="1104"/>
      <c r="Z89" s="1104"/>
      <c r="AA89" s="1104"/>
      <c r="AB89" s="1104"/>
      <c r="AC89" s="1103"/>
      <c r="AD89" s="1103"/>
      <c r="AE89" s="1103"/>
      <c r="AF89" s="1103"/>
      <c r="AG89" s="1103"/>
      <c r="AH89" s="1103"/>
      <c r="AI89" s="1103"/>
      <c r="AJ89" s="1103"/>
      <c r="AK89" s="1103"/>
      <c r="AL89" s="1103"/>
    </row>
    <row r="90" spans="1:38" s="1082" customFormat="1" ht="11.25">
      <c r="A90" s="1103"/>
      <c r="B90" s="1103"/>
      <c r="C90" s="1103"/>
      <c r="D90" s="1103"/>
      <c r="E90" s="1103"/>
      <c r="F90" s="1103"/>
      <c r="G90" s="1103"/>
      <c r="H90" s="1104"/>
      <c r="I90" s="1104"/>
      <c r="J90" s="1104"/>
      <c r="K90" s="1104"/>
      <c r="L90" s="1104"/>
      <c r="M90" s="1104"/>
      <c r="N90" s="1104"/>
      <c r="O90" s="1104"/>
      <c r="P90" s="1104"/>
      <c r="Q90" s="1104"/>
      <c r="R90" s="1104"/>
      <c r="S90" s="1104"/>
      <c r="T90" s="1104"/>
      <c r="U90" s="1104"/>
      <c r="V90" s="1104"/>
      <c r="W90" s="1104"/>
      <c r="X90" s="1104"/>
      <c r="Y90" s="1104"/>
      <c r="Z90" s="1104"/>
      <c r="AA90" s="1104"/>
      <c r="AB90" s="1104"/>
      <c r="AC90" s="1103"/>
      <c r="AD90" s="1103"/>
      <c r="AE90" s="1103"/>
      <c r="AF90" s="1103"/>
      <c r="AG90" s="1103"/>
      <c r="AH90" s="1103"/>
      <c r="AI90" s="1103"/>
      <c r="AJ90" s="1103"/>
      <c r="AK90" s="1103"/>
      <c r="AL90" s="1103"/>
    </row>
    <row r="91" spans="1:38" s="1082" customFormat="1" ht="11.25">
      <c r="A91" s="1103"/>
      <c r="B91" s="1103"/>
      <c r="C91" s="1103"/>
      <c r="D91" s="1103"/>
      <c r="E91" s="1103"/>
      <c r="F91" s="1103"/>
      <c r="G91" s="1103"/>
      <c r="H91" s="1104"/>
      <c r="I91" s="1104"/>
      <c r="J91" s="1104"/>
      <c r="K91" s="1104"/>
      <c r="L91" s="1104"/>
      <c r="M91" s="1104"/>
      <c r="N91" s="1104"/>
      <c r="O91" s="1104"/>
      <c r="P91" s="1104"/>
      <c r="Q91" s="1104"/>
      <c r="R91" s="1104"/>
      <c r="S91" s="1104"/>
      <c r="T91" s="1104"/>
      <c r="U91" s="1104"/>
      <c r="V91" s="1104"/>
      <c r="W91" s="1104"/>
      <c r="X91" s="1104"/>
      <c r="Y91" s="1104"/>
      <c r="Z91" s="1104"/>
      <c r="AA91" s="1104"/>
      <c r="AB91" s="1104"/>
      <c r="AC91" s="1103"/>
      <c r="AD91" s="1103"/>
      <c r="AE91" s="1103"/>
      <c r="AF91" s="1103"/>
      <c r="AG91" s="1103"/>
      <c r="AH91" s="1103"/>
      <c r="AI91" s="1103"/>
      <c r="AJ91" s="1103"/>
      <c r="AK91" s="1103"/>
      <c r="AL91" s="1103"/>
    </row>
    <row r="92" spans="1:38" s="1082" customFormat="1" ht="11.25">
      <c r="A92" s="1103"/>
      <c r="B92" s="1103"/>
      <c r="C92" s="1103"/>
      <c r="D92" s="1103"/>
      <c r="E92" s="1103"/>
      <c r="F92" s="1103"/>
      <c r="G92" s="1103"/>
      <c r="H92" s="1104"/>
      <c r="I92" s="1104"/>
      <c r="J92" s="1104"/>
      <c r="K92" s="1104"/>
      <c r="L92" s="1104"/>
      <c r="M92" s="1104"/>
      <c r="N92" s="1104"/>
      <c r="O92" s="1104"/>
      <c r="P92" s="1104"/>
      <c r="Q92" s="1104"/>
      <c r="R92" s="1104"/>
      <c r="S92" s="1104"/>
      <c r="T92" s="1104"/>
      <c r="U92" s="1104"/>
      <c r="V92" s="1104"/>
      <c r="W92" s="1104"/>
      <c r="X92" s="1104"/>
      <c r="Y92" s="1104"/>
      <c r="Z92" s="1104"/>
      <c r="AA92" s="1104"/>
      <c r="AB92" s="1104"/>
      <c r="AC92" s="1103"/>
      <c r="AD92" s="1103"/>
      <c r="AE92" s="1103"/>
      <c r="AF92" s="1103"/>
      <c r="AG92" s="1103"/>
      <c r="AH92" s="1103"/>
      <c r="AI92" s="1103"/>
      <c r="AJ92" s="1103"/>
      <c r="AK92" s="1103"/>
      <c r="AL92" s="1103"/>
    </row>
    <row r="93" spans="1:38" s="1082" customFormat="1" ht="11.25">
      <c r="A93" s="1103"/>
      <c r="B93" s="1103"/>
      <c r="C93" s="1103"/>
      <c r="D93" s="1103"/>
      <c r="E93" s="1103"/>
      <c r="F93" s="1103"/>
      <c r="G93" s="1103"/>
      <c r="H93" s="1104"/>
      <c r="I93" s="1104"/>
      <c r="J93" s="1104"/>
      <c r="K93" s="1104"/>
      <c r="L93" s="1104"/>
      <c r="M93" s="1104"/>
      <c r="N93" s="1104"/>
      <c r="O93" s="1104"/>
      <c r="P93" s="1104"/>
      <c r="Q93" s="1104"/>
      <c r="R93" s="1104"/>
      <c r="S93" s="1104"/>
      <c r="T93" s="1104"/>
      <c r="U93" s="1104"/>
      <c r="V93" s="1104"/>
      <c r="W93" s="1104"/>
      <c r="X93" s="1104"/>
      <c r="Y93" s="1104"/>
      <c r="Z93" s="1104"/>
      <c r="AA93" s="1104"/>
      <c r="AB93" s="1104"/>
      <c r="AC93" s="1103"/>
      <c r="AD93" s="1103"/>
      <c r="AE93" s="1103"/>
      <c r="AF93" s="1103"/>
      <c r="AG93" s="1103"/>
      <c r="AH93" s="1103"/>
      <c r="AI93" s="1103"/>
      <c r="AJ93" s="1103"/>
      <c r="AK93" s="1103"/>
      <c r="AL93" s="1103"/>
    </row>
    <row r="94" spans="1:38" s="1082" customFormat="1" ht="11.25">
      <c r="A94" s="1103"/>
      <c r="B94" s="1103"/>
      <c r="C94" s="1103"/>
      <c r="D94" s="1103"/>
      <c r="E94" s="1103"/>
      <c r="F94" s="1103"/>
      <c r="G94" s="1103"/>
      <c r="H94" s="1104"/>
      <c r="I94" s="1104"/>
      <c r="J94" s="1104"/>
      <c r="K94" s="1104"/>
      <c r="L94" s="1104"/>
      <c r="M94" s="1104"/>
      <c r="N94" s="1104"/>
      <c r="O94" s="1104"/>
      <c r="P94" s="1104"/>
      <c r="Q94" s="1104"/>
      <c r="R94" s="1104"/>
      <c r="S94" s="1104"/>
      <c r="T94" s="1104"/>
      <c r="U94" s="1104"/>
      <c r="V94" s="1104"/>
      <c r="W94" s="1104"/>
      <c r="X94" s="1104"/>
      <c r="Y94" s="1104"/>
      <c r="Z94" s="1104"/>
      <c r="AA94" s="1104"/>
      <c r="AB94" s="1104"/>
      <c r="AC94" s="1103"/>
      <c r="AD94" s="1103"/>
      <c r="AE94" s="1103"/>
      <c r="AF94" s="1103"/>
      <c r="AG94" s="1103"/>
      <c r="AH94" s="1103"/>
      <c r="AI94" s="1103"/>
      <c r="AJ94" s="1103"/>
      <c r="AK94" s="1103"/>
      <c r="AL94" s="1103"/>
    </row>
    <row r="95" spans="1:38" s="1082" customFormat="1" ht="11.25">
      <c r="A95" s="1103"/>
      <c r="B95" s="1103"/>
      <c r="C95" s="1103"/>
      <c r="D95" s="1103"/>
      <c r="E95" s="1103"/>
      <c r="F95" s="1103"/>
      <c r="G95" s="1103"/>
      <c r="H95" s="1104"/>
      <c r="I95" s="1104"/>
      <c r="J95" s="1104"/>
      <c r="K95" s="1104"/>
      <c r="L95" s="1104"/>
      <c r="M95" s="1104"/>
      <c r="N95" s="1104"/>
      <c r="O95" s="1104"/>
      <c r="P95" s="1104"/>
      <c r="Q95" s="1104"/>
      <c r="R95" s="1104"/>
      <c r="S95" s="1104"/>
      <c r="T95" s="1104"/>
      <c r="U95" s="1104"/>
      <c r="V95" s="1104"/>
      <c r="W95" s="1104"/>
      <c r="X95" s="1104"/>
      <c r="Y95" s="1104"/>
      <c r="Z95" s="1104"/>
      <c r="AA95" s="1104"/>
      <c r="AB95" s="1104"/>
      <c r="AC95" s="1103"/>
      <c r="AD95" s="1103"/>
      <c r="AE95" s="1103"/>
      <c r="AF95" s="1103"/>
      <c r="AG95" s="1103"/>
      <c r="AH95" s="1103"/>
      <c r="AI95" s="1103"/>
      <c r="AJ95" s="1103"/>
      <c r="AK95" s="1103"/>
      <c r="AL95" s="1103"/>
    </row>
    <row r="96" spans="1:38" s="1082" customFormat="1" ht="11.25">
      <c r="A96" s="1103"/>
      <c r="B96" s="1103"/>
      <c r="C96" s="1103"/>
      <c r="D96" s="1103"/>
      <c r="E96" s="1103"/>
      <c r="F96" s="1103"/>
      <c r="G96" s="1103"/>
      <c r="H96" s="1104"/>
      <c r="I96" s="1104"/>
      <c r="J96" s="1104"/>
      <c r="K96" s="1104"/>
      <c r="L96" s="1104"/>
      <c r="M96" s="1104"/>
      <c r="N96" s="1104"/>
      <c r="O96" s="1104"/>
      <c r="P96" s="1104"/>
      <c r="Q96" s="1104"/>
      <c r="R96" s="1104"/>
      <c r="S96" s="1104"/>
      <c r="T96" s="1104"/>
      <c r="U96" s="1104"/>
      <c r="V96" s="1104"/>
      <c r="W96" s="1104"/>
      <c r="X96" s="1104"/>
      <c r="Y96" s="1104"/>
      <c r="Z96" s="1104"/>
      <c r="AA96" s="1104"/>
      <c r="AB96" s="1104"/>
      <c r="AC96" s="1103"/>
      <c r="AD96" s="1103"/>
      <c r="AE96" s="1103"/>
      <c r="AF96" s="1103"/>
      <c r="AG96" s="1103"/>
      <c r="AH96" s="1103"/>
      <c r="AI96" s="1103"/>
      <c r="AJ96" s="1103"/>
      <c r="AK96" s="1103"/>
      <c r="AL96" s="1103"/>
    </row>
    <row r="97" spans="1:38" s="1082" customFormat="1" ht="11.25">
      <c r="A97" s="1103"/>
      <c r="B97" s="1103"/>
      <c r="C97" s="1103"/>
      <c r="D97" s="1103"/>
      <c r="E97" s="1103"/>
      <c r="F97" s="1103"/>
      <c r="G97" s="1103"/>
      <c r="H97" s="1104"/>
      <c r="I97" s="1104"/>
      <c r="J97" s="1104"/>
      <c r="K97" s="1104"/>
      <c r="L97" s="1104"/>
      <c r="M97" s="1104"/>
      <c r="N97" s="1104"/>
      <c r="O97" s="1104"/>
      <c r="P97" s="1104"/>
      <c r="Q97" s="1104"/>
      <c r="R97" s="1104"/>
      <c r="S97" s="1104"/>
      <c r="T97" s="1104"/>
      <c r="U97" s="1104"/>
      <c r="V97" s="1104"/>
      <c r="W97" s="1104"/>
      <c r="X97" s="1104"/>
      <c r="Y97" s="1104"/>
      <c r="Z97" s="1104"/>
      <c r="AA97" s="1104"/>
      <c r="AB97" s="1104"/>
      <c r="AC97" s="1103"/>
      <c r="AD97" s="1103"/>
      <c r="AE97" s="1103"/>
      <c r="AF97" s="1103"/>
      <c r="AG97" s="1103"/>
      <c r="AH97" s="1103"/>
      <c r="AI97" s="1103"/>
      <c r="AJ97" s="1103"/>
      <c r="AK97" s="1103"/>
      <c r="AL97" s="1103"/>
    </row>
    <row r="98" spans="1:38" s="1082" customFormat="1" ht="11.25">
      <c r="A98" s="1103"/>
      <c r="B98" s="1103"/>
      <c r="C98" s="1103"/>
      <c r="D98" s="1103"/>
      <c r="E98" s="1103"/>
      <c r="F98" s="1103"/>
      <c r="G98" s="1103"/>
      <c r="H98" s="1104"/>
      <c r="I98" s="1104"/>
      <c r="J98" s="1104"/>
      <c r="K98" s="1104"/>
      <c r="L98" s="1104"/>
      <c r="M98" s="1104"/>
      <c r="N98" s="1104"/>
      <c r="O98" s="1104"/>
      <c r="P98" s="1104"/>
      <c r="Q98" s="1104"/>
      <c r="R98" s="1104"/>
      <c r="S98" s="1104"/>
      <c r="T98" s="1104"/>
      <c r="U98" s="1104"/>
      <c r="V98" s="1104"/>
      <c r="W98" s="1104"/>
      <c r="X98" s="1104"/>
      <c r="Y98" s="1104"/>
      <c r="Z98" s="1104"/>
      <c r="AA98" s="1104"/>
      <c r="AB98" s="1104"/>
      <c r="AC98" s="1103"/>
      <c r="AD98" s="1103"/>
      <c r="AE98" s="1103"/>
      <c r="AF98" s="1103"/>
      <c r="AG98" s="1103"/>
      <c r="AH98" s="1103"/>
      <c r="AI98" s="1103"/>
      <c r="AJ98" s="1103"/>
      <c r="AK98" s="1103"/>
      <c r="AL98" s="1103"/>
    </row>
    <row r="99" spans="1:38" s="1082" customFormat="1" ht="11.25">
      <c r="A99" s="1103"/>
      <c r="B99" s="1103"/>
      <c r="C99" s="1103"/>
      <c r="D99" s="1103"/>
      <c r="E99" s="1103"/>
      <c r="F99" s="1103"/>
      <c r="G99" s="1103"/>
      <c r="H99" s="1104"/>
      <c r="I99" s="1104"/>
      <c r="J99" s="1104"/>
      <c r="K99" s="1104"/>
      <c r="L99" s="1104"/>
      <c r="M99" s="1104"/>
      <c r="N99" s="1104"/>
      <c r="O99" s="1104"/>
      <c r="P99" s="1104"/>
      <c r="Q99" s="1104"/>
      <c r="R99" s="1104"/>
      <c r="S99" s="1104"/>
      <c r="T99" s="1104"/>
      <c r="U99" s="1104"/>
      <c r="V99" s="1104"/>
      <c r="W99" s="1104"/>
      <c r="X99" s="1104"/>
      <c r="Y99" s="1104"/>
      <c r="Z99" s="1104"/>
      <c r="AA99" s="1104"/>
      <c r="AB99" s="1104"/>
      <c r="AC99" s="1103"/>
      <c r="AD99" s="1103"/>
      <c r="AE99" s="1103"/>
      <c r="AF99" s="1103"/>
      <c r="AG99" s="1103"/>
      <c r="AH99" s="1103"/>
      <c r="AI99" s="1103"/>
      <c r="AJ99" s="1103"/>
      <c r="AK99" s="1103"/>
      <c r="AL99" s="1103"/>
    </row>
    <row r="100" spans="1:38" s="1082" customFormat="1" ht="11.25">
      <c r="A100" s="1103"/>
      <c r="B100" s="1103"/>
      <c r="C100" s="1103"/>
      <c r="D100" s="1103"/>
      <c r="E100" s="1103"/>
      <c r="F100" s="1103"/>
      <c r="G100" s="1103"/>
      <c r="H100" s="1104"/>
      <c r="I100" s="1104"/>
      <c r="J100" s="1104"/>
      <c r="K100" s="1104"/>
      <c r="L100" s="1104"/>
      <c r="M100" s="1104"/>
      <c r="N100" s="1104"/>
      <c r="O100" s="1104"/>
      <c r="P100" s="1104"/>
      <c r="Q100" s="1104"/>
      <c r="R100" s="1104"/>
      <c r="S100" s="1104"/>
      <c r="T100" s="1104"/>
      <c r="U100" s="1104"/>
      <c r="V100" s="1104"/>
      <c r="W100" s="1104"/>
      <c r="X100" s="1104"/>
      <c r="Y100" s="1104"/>
      <c r="Z100" s="1104"/>
      <c r="AA100" s="1104"/>
      <c r="AB100" s="1104"/>
      <c r="AC100" s="1103"/>
      <c r="AD100" s="1103"/>
      <c r="AE100" s="1103"/>
      <c r="AF100" s="1103"/>
      <c r="AG100" s="1103"/>
      <c r="AH100" s="1103"/>
      <c r="AI100" s="1103"/>
      <c r="AJ100" s="1103"/>
      <c r="AK100" s="1103"/>
      <c r="AL100" s="1103"/>
    </row>
    <row r="101" spans="1:38" s="1082" customFormat="1" ht="11.25">
      <c r="A101" s="1103"/>
      <c r="B101" s="1103"/>
      <c r="C101" s="1103"/>
      <c r="D101" s="1103"/>
      <c r="E101" s="1103"/>
      <c r="F101" s="1103"/>
      <c r="G101" s="1103"/>
      <c r="H101" s="1104"/>
      <c r="I101" s="1104"/>
      <c r="J101" s="1104"/>
      <c r="K101" s="1104"/>
      <c r="L101" s="1104"/>
      <c r="M101" s="1104"/>
      <c r="N101" s="1104"/>
      <c r="O101" s="1104"/>
      <c r="P101" s="1104"/>
      <c r="Q101" s="1104"/>
      <c r="R101" s="1104"/>
      <c r="S101" s="1104"/>
      <c r="T101" s="1104"/>
      <c r="U101" s="1104"/>
      <c r="V101" s="1104"/>
      <c r="W101" s="1104"/>
      <c r="X101" s="1104"/>
      <c r="Y101" s="1104"/>
      <c r="Z101" s="1104"/>
      <c r="AA101" s="1104"/>
      <c r="AB101" s="1104"/>
      <c r="AC101" s="1103"/>
      <c r="AD101" s="1103"/>
      <c r="AE101" s="1103"/>
      <c r="AF101" s="1103"/>
      <c r="AG101" s="1103"/>
      <c r="AH101" s="1103"/>
      <c r="AI101" s="1103"/>
      <c r="AJ101" s="1103"/>
      <c r="AK101" s="1103"/>
      <c r="AL101" s="1103"/>
    </row>
    <row r="102" spans="1:38" s="1082" customFormat="1" ht="11.25">
      <c r="A102" s="1103"/>
      <c r="B102" s="1103"/>
      <c r="C102" s="1103"/>
      <c r="D102" s="1103"/>
      <c r="E102" s="1103"/>
      <c r="F102" s="1103"/>
      <c r="G102" s="1103"/>
      <c r="H102" s="1104"/>
      <c r="I102" s="1104"/>
      <c r="J102" s="1104"/>
      <c r="K102" s="1104"/>
      <c r="L102" s="1104"/>
      <c r="M102" s="1104"/>
      <c r="N102" s="1104"/>
      <c r="O102" s="1104"/>
      <c r="P102" s="1104"/>
      <c r="Q102" s="1104"/>
      <c r="R102" s="1104"/>
      <c r="S102" s="1104"/>
      <c r="T102" s="1104"/>
      <c r="U102" s="1104"/>
      <c r="V102" s="1104"/>
      <c r="W102" s="1104"/>
      <c r="X102" s="1104"/>
      <c r="Y102" s="1104"/>
      <c r="Z102" s="1104"/>
      <c r="AA102" s="1104"/>
      <c r="AB102" s="1104"/>
      <c r="AC102" s="1103"/>
      <c r="AD102" s="1103"/>
      <c r="AE102" s="1103"/>
      <c r="AF102" s="1103"/>
      <c r="AG102" s="1103"/>
      <c r="AH102" s="1103"/>
      <c r="AI102" s="1103"/>
      <c r="AJ102" s="1103"/>
      <c r="AK102" s="1103"/>
      <c r="AL102" s="1103"/>
    </row>
    <row r="103" spans="1:38" s="1082" customFormat="1" ht="11.25">
      <c r="A103" s="1103"/>
      <c r="B103" s="1103"/>
      <c r="C103" s="1103"/>
      <c r="D103" s="1103"/>
      <c r="E103" s="1103"/>
      <c r="F103" s="1103"/>
      <c r="G103" s="1103"/>
      <c r="H103" s="1104"/>
      <c r="I103" s="1104"/>
      <c r="J103" s="1104"/>
      <c r="K103" s="1104"/>
      <c r="L103" s="1104"/>
      <c r="M103" s="1104"/>
      <c r="N103" s="1104"/>
      <c r="O103" s="1104"/>
      <c r="P103" s="1104"/>
      <c r="Q103" s="1104"/>
      <c r="R103" s="1104"/>
      <c r="S103" s="1104"/>
      <c r="T103" s="1104"/>
      <c r="U103" s="1104"/>
      <c r="V103" s="1104"/>
      <c r="W103" s="1104"/>
      <c r="X103" s="1104"/>
      <c r="Y103" s="1104"/>
      <c r="Z103" s="1104"/>
      <c r="AA103" s="1104"/>
      <c r="AB103" s="1104"/>
      <c r="AC103" s="1103"/>
      <c r="AD103" s="1103"/>
      <c r="AE103" s="1103"/>
      <c r="AF103" s="1103"/>
      <c r="AG103" s="1103"/>
      <c r="AH103" s="1103"/>
      <c r="AI103" s="1103"/>
      <c r="AJ103" s="1103"/>
      <c r="AK103" s="1103"/>
      <c r="AL103" s="1103"/>
    </row>
    <row r="104" spans="1:38" s="1082" customFormat="1" ht="11.25">
      <c r="A104" s="1103"/>
      <c r="B104" s="1103"/>
      <c r="C104" s="1103"/>
      <c r="D104" s="1103"/>
      <c r="E104" s="1103"/>
      <c r="F104" s="1103"/>
      <c r="G104" s="1103"/>
      <c r="H104" s="1104"/>
      <c r="I104" s="1104"/>
      <c r="J104" s="1104"/>
      <c r="K104" s="1104"/>
      <c r="L104" s="1104"/>
      <c r="M104" s="1104"/>
      <c r="N104" s="1104"/>
      <c r="O104" s="1104"/>
      <c r="P104" s="1104"/>
      <c r="Q104" s="1104"/>
      <c r="R104" s="1104"/>
      <c r="S104" s="1104"/>
      <c r="T104" s="1104"/>
      <c r="U104" s="1104"/>
      <c r="V104" s="1104"/>
      <c r="W104" s="1104"/>
      <c r="X104" s="1104"/>
      <c r="Y104" s="1104"/>
      <c r="Z104" s="1104"/>
      <c r="AA104" s="1104"/>
      <c r="AB104" s="1104"/>
      <c r="AC104" s="1103"/>
      <c r="AD104" s="1103"/>
      <c r="AE104" s="1103"/>
      <c r="AF104" s="1103"/>
      <c r="AG104" s="1103"/>
      <c r="AH104" s="1103"/>
      <c r="AI104" s="1103"/>
      <c r="AJ104" s="1103"/>
      <c r="AK104" s="1103"/>
      <c r="AL104" s="1103"/>
    </row>
    <row r="105" spans="1:38" s="1082" customFormat="1" ht="11.25">
      <c r="A105" s="1103"/>
      <c r="B105" s="1103"/>
      <c r="C105" s="1103"/>
      <c r="D105" s="1103"/>
      <c r="E105" s="1103"/>
      <c r="F105" s="1103"/>
      <c r="G105" s="1103"/>
      <c r="H105" s="1104"/>
      <c r="I105" s="1104"/>
      <c r="J105" s="1104"/>
      <c r="K105" s="1104"/>
      <c r="L105" s="1104"/>
      <c r="M105" s="1104"/>
      <c r="N105" s="1104"/>
      <c r="O105" s="1104"/>
      <c r="P105" s="1104"/>
      <c r="Q105" s="1104"/>
      <c r="R105" s="1104"/>
      <c r="S105" s="1104"/>
      <c r="T105" s="1104"/>
      <c r="U105" s="1104"/>
      <c r="V105" s="1104"/>
      <c r="W105" s="1104"/>
      <c r="X105" s="1104"/>
      <c r="Y105" s="1104"/>
      <c r="Z105" s="1104"/>
      <c r="AA105" s="1104"/>
      <c r="AB105" s="1104"/>
      <c r="AC105" s="1103"/>
      <c r="AD105" s="1103"/>
      <c r="AE105" s="1103"/>
      <c r="AF105" s="1103"/>
      <c r="AG105" s="1103"/>
      <c r="AH105" s="1103"/>
      <c r="AI105" s="1103"/>
      <c r="AJ105" s="1103"/>
      <c r="AK105" s="1103"/>
      <c r="AL105" s="1103"/>
    </row>
    <row r="106" spans="1:38" s="1082" customFormat="1" ht="11.25">
      <c r="A106" s="1103"/>
      <c r="B106" s="1103"/>
      <c r="C106" s="1103"/>
      <c r="D106" s="1103"/>
      <c r="E106" s="1103"/>
      <c r="F106" s="1103"/>
      <c r="G106" s="1103"/>
      <c r="H106" s="1104"/>
      <c r="I106" s="1104"/>
      <c r="J106" s="1104"/>
      <c r="K106" s="1104"/>
      <c r="L106" s="1104"/>
      <c r="M106" s="1104"/>
      <c r="N106" s="1104"/>
      <c r="O106" s="1104"/>
      <c r="P106" s="1104"/>
      <c r="Q106" s="1104"/>
      <c r="R106" s="1104"/>
      <c r="S106" s="1104"/>
      <c r="T106" s="1104"/>
      <c r="U106" s="1104"/>
      <c r="V106" s="1104"/>
      <c r="W106" s="1104"/>
      <c r="X106" s="1104"/>
      <c r="Y106" s="1104"/>
      <c r="Z106" s="1104"/>
      <c r="AA106" s="1104"/>
      <c r="AB106" s="1104"/>
      <c r="AC106" s="1103"/>
      <c r="AD106" s="1103"/>
      <c r="AE106" s="1103"/>
      <c r="AF106" s="1103"/>
      <c r="AG106" s="1103"/>
      <c r="AH106" s="1103"/>
      <c r="AI106" s="1103"/>
      <c r="AJ106" s="1103"/>
      <c r="AK106" s="1103"/>
      <c r="AL106" s="1103"/>
    </row>
    <row r="107" spans="1:38" s="1082" customFormat="1" ht="11.25">
      <c r="A107" s="1103"/>
      <c r="B107" s="1103"/>
      <c r="C107" s="1103"/>
      <c r="D107" s="1103"/>
      <c r="E107" s="1103"/>
      <c r="F107" s="1103"/>
      <c r="G107" s="1103"/>
      <c r="H107" s="1104"/>
      <c r="I107" s="1104"/>
      <c r="J107" s="1104"/>
      <c r="K107" s="1104"/>
      <c r="L107" s="1104"/>
      <c r="M107" s="1104"/>
      <c r="N107" s="1104"/>
      <c r="O107" s="1104"/>
      <c r="P107" s="1104"/>
      <c r="Q107" s="1104"/>
      <c r="R107" s="1104"/>
      <c r="S107" s="1104"/>
      <c r="T107" s="1104"/>
      <c r="U107" s="1104"/>
      <c r="V107" s="1104"/>
      <c r="W107" s="1104"/>
      <c r="X107" s="1104"/>
      <c r="Y107" s="1104"/>
      <c r="Z107" s="1104"/>
      <c r="AA107" s="1104"/>
      <c r="AB107" s="1104"/>
      <c r="AC107" s="1103"/>
      <c r="AD107" s="1103"/>
      <c r="AE107" s="1103"/>
      <c r="AF107" s="1103"/>
      <c r="AG107" s="1103"/>
      <c r="AH107" s="1103"/>
      <c r="AI107" s="1103"/>
      <c r="AJ107" s="1103"/>
      <c r="AK107" s="1103"/>
      <c r="AL107" s="1103"/>
    </row>
    <row r="108" spans="1:38" s="1082" customFormat="1" ht="11.25">
      <c r="A108" s="1103"/>
      <c r="B108" s="1103"/>
      <c r="C108" s="1103"/>
      <c r="D108" s="1103"/>
      <c r="E108" s="1103"/>
      <c r="F108" s="1103"/>
      <c r="G108" s="1103"/>
      <c r="H108" s="1104"/>
      <c r="I108" s="1104"/>
      <c r="J108" s="1104"/>
      <c r="K108" s="1104"/>
      <c r="L108" s="1104"/>
      <c r="M108" s="1104"/>
      <c r="N108" s="1104"/>
      <c r="O108" s="1104"/>
      <c r="P108" s="1104"/>
      <c r="Q108" s="1104"/>
      <c r="R108" s="1104"/>
      <c r="S108" s="1104"/>
      <c r="T108" s="1104"/>
      <c r="U108" s="1104"/>
      <c r="V108" s="1104"/>
      <c r="W108" s="1104"/>
      <c r="X108" s="1104"/>
      <c r="Y108" s="1104"/>
      <c r="Z108" s="1104"/>
      <c r="AA108" s="1104"/>
      <c r="AB108" s="1104"/>
      <c r="AC108" s="1103"/>
      <c r="AD108" s="1103"/>
      <c r="AE108" s="1103"/>
      <c r="AF108" s="1103"/>
      <c r="AG108" s="1103"/>
      <c r="AH108" s="1103"/>
      <c r="AI108" s="1103"/>
      <c r="AJ108" s="1103"/>
      <c r="AK108" s="1103"/>
      <c r="AL108" s="1103"/>
    </row>
    <row r="109" spans="1:38" s="1082" customFormat="1" ht="11.25">
      <c r="A109" s="1103"/>
      <c r="B109" s="1103"/>
      <c r="C109" s="1103"/>
      <c r="D109" s="1103"/>
      <c r="E109" s="1103"/>
      <c r="F109" s="1103"/>
      <c r="G109" s="1103"/>
      <c r="H109" s="1104"/>
      <c r="I109" s="1104"/>
      <c r="J109" s="1104"/>
      <c r="K109" s="1104"/>
      <c r="L109" s="1104"/>
      <c r="M109" s="1104"/>
      <c r="N109" s="1104"/>
      <c r="O109" s="1104"/>
      <c r="P109" s="1104"/>
      <c r="Q109" s="1104"/>
      <c r="R109" s="1104"/>
      <c r="S109" s="1104"/>
      <c r="T109" s="1104"/>
      <c r="U109" s="1104"/>
      <c r="V109" s="1104"/>
      <c r="W109" s="1104"/>
      <c r="X109" s="1104"/>
      <c r="Y109" s="1104"/>
      <c r="Z109" s="1104"/>
      <c r="AA109" s="1104"/>
      <c r="AB109" s="1104"/>
      <c r="AC109" s="1103"/>
      <c r="AD109" s="1103"/>
      <c r="AE109" s="1103"/>
      <c r="AF109" s="1103"/>
      <c r="AG109" s="1103"/>
      <c r="AH109" s="1103"/>
      <c r="AI109" s="1103"/>
      <c r="AJ109" s="1103"/>
      <c r="AK109" s="1103"/>
      <c r="AL109" s="1103"/>
    </row>
    <row r="110" spans="1:38" s="1082" customFormat="1" ht="11.25">
      <c r="A110" s="1103"/>
      <c r="B110" s="1103"/>
      <c r="C110" s="1103"/>
      <c r="D110" s="1103"/>
      <c r="E110" s="1103"/>
      <c r="F110" s="1103"/>
      <c r="G110" s="1103"/>
      <c r="H110" s="1104"/>
      <c r="I110" s="1104"/>
      <c r="J110" s="1104"/>
      <c r="K110" s="1104"/>
      <c r="L110" s="1104"/>
      <c r="M110" s="1104"/>
      <c r="N110" s="1104"/>
      <c r="O110" s="1104"/>
      <c r="P110" s="1104"/>
      <c r="Q110" s="1104"/>
      <c r="R110" s="1104"/>
      <c r="S110" s="1104"/>
      <c r="T110" s="1104"/>
      <c r="U110" s="1104"/>
      <c r="V110" s="1104"/>
      <c r="W110" s="1104"/>
      <c r="X110" s="1104"/>
      <c r="Y110" s="1104"/>
      <c r="Z110" s="1104"/>
      <c r="AA110" s="1104"/>
      <c r="AB110" s="1104"/>
      <c r="AC110" s="1103"/>
      <c r="AD110" s="1103"/>
      <c r="AE110" s="1103"/>
      <c r="AF110" s="1103"/>
      <c r="AG110" s="1103"/>
      <c r="AH110" s="1103"/>
      <c r="AI110" s="1103"/>
      <c r="AJ110" s="1103"/>
      <c r="AK110" s="1103"/>
      <c r="AL110" s="1103"/>
    </row>
    <row r="111" spans="1:38" s="1082" customFormat="1" ht="11.25">
      <c r="A111" s="1103"/>
      <c r="B111" s="1103"/>
      <c r="C111" s="1103"/>
      <c r="D111" s="1103"/>
      <c r="E111" s="1103"/>
      <c r="F111" s="1103"/>
      <c r="G111" s="1103"/>
      <c r="H111" s="1104"/>
      <c r="I111" s="1104"/>
      <c r="J111" s="1104"/>
      <c r="K111" s="1104"/>
      <c r="L111" s="1104"/>
      <c r="M111" s="1104"/>
      <c r="N111" s="1104"/>
      <c r="O111" s="1104"/>
      <c r="P111" s="1104"/>
      <c r="Q111" s="1104"/>
      <c r="R111" s="1104"/>
      <c r="S111" s="1104"/>
      <c r="T111" s="1104"/>
      <c r="U111" s="1104"/>
      <c r="V111" s="1104"/>
      <c r="W111" s="1104"/>
      <c r="X111" s="1104"/>
      <c r="Y111" s="1104"/>
      <c r="Z111" s="1104"/>
      <c r="AA111" s="1104"/>
      <c r="AB111" s="1104"/>
      <c r="AC111" s="1103"/>
      <c r="AD111" s="1103"/>
      <c r="AE111" s="1103"/>
      <c r="AF111" s="1103"/>
      <c r="AG111" s="1103"/>
      <c r="AH111" s="1103"/>
      <c r="AI111" s="1103"/>
      <c r="AJ111" s="1103"/>
      <c r="AK111" s="1103"/>
      <c r="AL111" s="1103"/>
    </row>
    <row r="112" spans="1:38" s="1082" customFormat="1" ht="11.25">
      <c r="A112" s="1103"/>
      <c r="B112" s="1103"/>
      <c r="C112" s="1103"/>
      <c r="D112" s="1103"/>
      <c r="E112" s="1103"/>
      <c r="F112" s="1103"/>
      <c r="G112" s="1103"/>
      <c r="H112" s="1104"/>
      <c r="I112" s="1104"/>
      <c r="J112" s="1104"/>
      <c r="K112" s="1104"/>
      <c r="L112" s="1104"/>
      <c r="M112" s="1104"/>
      <c r="N112" s="1104"/>
      <c r="O112" s="1104"/>
      <c r="P112" s="1104"/>
      <c r="Q112" s="1104"/>
      <c r="R112" s="1104"/>
      <c r="S112" s="1104"/>
      <c r="T112" s="1104"/>
      <c r="U112" s="1104"/>
      <c r="V112" s="1104"/>
      <c r="W112" s="1104"/>
      <c r="X112" s="1104"/>
      <c r="Y112" s="1104"/>
      <c r="Z112" s="1104"/>
      <c r="AA112" s="1104"/>
      <c r="AB112" s="1104"/>
      <c r="AC112" s="1103"/>
      <c r="AD112" s="1103"/>
      <c r="AE112" s="1103"/>
      <c r="AF112" s="1103"/>
      <c r="AG112" s="1103"/>
      <c r="AH112" s="1103"/>
      <c r="AI112" s="1103"/>
      <c r="AJ112" s="1103"/>
      <c r="AK112" s="1103"/>
      <c r="AL112" s="1103"/>
    </row>
    <row r="113" spans="1:38" s="1082" customFormat="1" ht="11.25">
      <c r="A113" s="1103"/>
      <c r="B113" s="1103"/>
      <c r="C113" s="1103"/>
      <c r="D113" s="1103"/>
      <c r="E113" s="1103"/>
      <c r="F113" s="1103"/>
      <c r="G113" s="1103"/>
      <c r="H113" s="1104"/>
      <c r="I113" s="1104"/>
      <c r="J113" s="1104"/>
      <c r="K113" s="1104"/>
      <c r="L113" s="1104"/>
      <c r="M113" s="1104"/>
      <c r="N113" s="1104"/>
      <c r="O113" s="1104"/>
      <c r="P113" s="1104"/>
      <c r="Q113" s="1104"/>
      <c r="R113" s="1104"/>
      <c r="S113" s="1104"/>
      <c r="T113" s="1104"/>
      <c r="U113" s="1104"/>
      <c r="V113" s="1104"/>
      <c r="W113" s="1104"/>
      <c r="X113" s="1104"/>
      <c r="Y113" s="1104"/>
      <c r="Z113" s="1104"/>
      <c r="AA113" s="1104"/>
      <c r="AB113" s="1104"/>
      <c r="AC113" s="1103"/>
      <c r="AD113" s="1103"/>
      <c r="AE113" s="1103"/>
      <c r="AF113" s="1103"/>
      <c r="AG113" s="1103"/>
      <c r="AH113" s="1103"/>
      <c r="AI113" s="1103"/>
      <c r="AJ113" s="1103"/>
      <c r="AK113" s="1103"/>
      <c r="AL113" s="1103"/>
    </row>
    <row r="114" spans="1:38" s="1082" customFormat="1" ht="11.25">
      <c r="A114" s="1103"/>
      <c r="B114" s="1103"/>
      <c r="C114" s="1103"/>
      <c r="D114" s="1103"/>
      <c r="E114" s="1103"/>
      <c r="F114" s="1103"/>
      <c r="G114" s="1103"/>
      <c r="H114" s="1104"/>
      <c r="I114" s="1104"/>
      <c r="J114" s="1104"/>
      <c r="K114" s="1104"/>
      <c r="L114" s="1104"/>
      <c r="M114" s="1104"/>
      <c r="N114" s="1104"/>
      <c r="O114" s="1104"/>
      <c r="P114" s="1104"/>
      <c r="Q114" s="1104"/>
      <c r="R114" s="1104"/>
      <c r="S114" s="1104"/>
      <c r="T114" s="1104"/>
      <c r="U114" s="1104"/>
      <c r="V114" s="1104"/>
      <c r="W114" s="1104"/>
      <c r="X114" s="1104"/>
      <c r="Y114" s="1104"/>
      <c r="Z114" s="1104"/>
      <c r="AA114" s="1104"/>
      <c r="AB114" s="1104"/>
      <c r="AC114" s="1103"/>
      <c r="AD114" s="1103"/>
      <c r="AE114" s="1103"/>
      <c r="AF114" s="1103"/>
      <c r="AG114" s="1103"/>
      <c r="AH114" s="1103"/>
      <c r="AI114" s="1103"/>
      <c r="AJ114" s="1103"/>
      <c r="AK114" s="1103"/>
      <c r="AL114" s="1103"/>
    </row>
    <row r="115" spans="1:38" s="1082" customFormat="1" ht="11.25">
      <c r="A115" s="1103"/>
      <c r="B115" s="1103"/>
      <c r="C115" s="1103"/>
      <c r="D115" s="1103"/>
      <c r="E115" s="1103"/>
      <c r="F115" s="1103"/>
      <c r="G115" s="1103"/>
      <c r="H115" s="1104"/>
      <c r="I115" s="1104"/>
      <c r="J115" s="1104"/>
      <c r="K115" s="1104"/>
      <c r="L115" s="1104"/>
      <c r="M115" s="1104"/>
      <c r="N115" s="1104"/>
      <c r="O115" s="1104"/>
      <c r="P115" s="1104"/>
      <c r="Q115" s="1104"/>
      <c r="R115" s="1104"/>
      <c r="S115" s="1104"/>
      <c r="T115" s="1104"/>
      <c r="U115" s="1104"/>
      <c r="V115" s="1104"/>
      <c r="W115" s="1104"/>
      <c r="X115" s="1104"/>
      <c r="Y115" s="1104"/>
      <c r="Z115" s="1104"/>
      <c r="AA115" s="1104"/>
      <c r="AB115" s="1104"/>
      <c r="AC115" s="1103"/>
      <c r="AD115" s="1103"/>
      <c r="AE115" s="1103"/>
      <c r="AF115" s="1103"/>
      <c r="AG115" s="1103"/>
      <c r="AH115" s="1103"/>
      <c r="AI115" s="1103"/>
      <c r="AJ115" s="1103"/>
      <c r="AK115" s="1103"/>
      <c r="AL115" s="1103"/>
    </row>
    <row r="116" spans="1:38" s="1082" customFormat="1" ht="11.25">
      <c r="A116" s="1103"/>
      <c r="B116" s="1103"/>
      <c r="C116" s="1103"/>
      <c r="D116" s="1103"/>
      <c r="E116" s="1103"/>
      <c r="F116" s="1103"/>
      <c r="G116" s="1103"/>
      <c r="H116" s="1104"/>
      <c r="I116" s="1104"/>
      <c r="J116" s="1104"/>
      <c r="K116" s="1104"/>
      <c r="L116" s="1104"/>
      <c r="M116" s="1104"/>
      <c r="N116" s="1104"/>
      <c r="O116" s="1104"/>
      <c r="P116" s="1104"/>
      <c r="Q116" s="1104"/>
      <c r="R116" s="1104"/>
      <c r="S116" s="1104"/>
      <c r="T116" s="1104"/>
      <c r="U116" s="1104"/>
      <c r="V116" s="1104"/>
      <c r="W116" s="1104"/>
      <c r="X116" s="1104"/>
      <c r="Y116" s="1104"/>
      <c r="Z116" s="1104"/>
      <c r="AA116" s="1104"/>
      <c r="AB116" s="1104"/>
      <c r="AC116" s="1103"/>
      <c r="AD116" s="1103"/>
      <c r="AE116" s="1103"/>
      <c r="AF116" s="1103"/>
      <c r="AG116" s="1103"/>
      <c r="AH116" s="1103"/>
      <c r="AI116" s="1103"/>
      <c r="AJ116" s="1103"/>
      <c r="AK116" s="1103"/>
      <c r="AL116" s="1103"/>
    </row>
    <row r="117" spans="1:38" s="1082" customFormat="1" ht="11.25">
      <c r="A117" s="1103"/>
      <c r="B117" s="1103"/>
      <c r="C117" s="1103"/>
      <c r="D117" s="1103"/>
      <c r="E117" s="1103"/>
      <c r="F117" s="1103"/>
      <c r="G117" s="1103"/>
      <c r="H117" s="1104"/>
      <c r="I117" s="1104"/>
      <c r="J117" s="1104"/>
      <c r="K117" s="1104"/>
      <c r="L117" s="1104"/>
      <c r="M117" s="1104"/>
      <c r="N117" s="1104"/>
      <c r="O117" s="1104"/>
      <c r="P117" s="1104"/>
      <c r="Q117" s="1104"/>
      <c r="R117" s="1104"/>
      <c r="S117" s="1104"/>
      <c r="T117" s="1104"/>
      <c r="U117" s="1104"/>
      <c r="V117" s="1104"/>
      <c r="W117" s="1104"/>
      <c r="X117" s="1104"/>
      <c r="Y117" s="1104"/>
      <c r="Z117" s="1104"/>
      <c r="AA117" s="1104"/>
      <c r="AB117" s="1104"/>
      <c r="AC117" s="1103"/>
      <c r="AD117" s="1103"/>
      <c r="AE117" s="1103"/>
      <c r="AF117" s="1103"/>
      <c r="AG117" s="1103"/>
      <c r="AH117" s="1103"/>
      <c r="AI117" s="1103"/>
      <c r="AJ117" s="1103"/>
      <c r="AK117" s="1103"/>
      <c r="AL117" s="1103"/>
    </row>
    <row r="118" spans="1:38" s="1082" customFormat="1" ht="11.25">
      <c r="A118" s="1103"/>
      <c r="B118" s="1103"/>
      <c r="C118" s="1103"/>
      <c r="D118" s="1103"/>
      <c r="E118" s="1103"/>
      <c r="F118" s="1103"/>
      <c r="G118" s="1103"/>
      <c r="H118" s="1104"/>
      <c r="I118" s="1104"/>
      <c r="J118" s="1104"/>
      <c r="K118" s="1104"/>
      <c r="L118" s="1104"/>
      <c r="M118" s="1104"/>
      <c r="N118" s="1104"/>
      <c r="O118" s="1104"/>
      <c r="P118" s="1104"/>
      <c r="Q118" s="1104"/>
      <c r="R118" s="1104"/>
      <c r="S118" s="1104"/>
      <c r="T118" s="1104"/>
      <c r="U118" s="1104"/>
      <c r="V118" s="1104"/>
      <c r="W118" s="1104"/>
      <c r="X118" s="1104"/>
      <c r="Y118" s="1104"/>
      <c r="Z118" s="1104"/>
      <c r="AA118" s="1104"/>
      <c r="AB118" s="1104"/>
      <c r="AC118" s="1103"/>
      <c r="AD118" s="1103"/>
      <c r="AE118" s="1103"/>
      <c r="AF118" s="1103"/>
      <c r="AG118" s="1103"/>
      <c r="AH118" s="1103"/>
      <c r="AI118" s="1103"/>
      <c r="AJ118" s="1103"/>
      <c r="AK118" s="1103"/>
      <c r="AL118" s="1103"/>
    </row>
    <row r="119" spans="1:38" s="1082" customFormat="1" ht="11.25">
      <c r="A119" s="1103"/>
      <c r="B119" s="1103"/>
      <c r="C119" s="1103"/>
      <c r="D119" s="1103"/>
      <c r="E119" s="1103"/>
      <c r="F119" s="1103"/>
      <c r="G119" s="1103"/>
      <c r="H119" s="1104"/>
      <c r="I119" s="1104"/>
      <c r="J119" s="1104"/>
      <c r="K119" s="1104"/>
      <c r="L119" s="1104"/>
      <c r="M119" s="1104"/>
      <c r="N119" s="1104"/>
      <c r="O119" s="1104"/>
      <c r="P119" s="1104"/>
      <c r="Q119" s="1104"/>
      <c r="R119" s="1104"/>
      <c r="S119" s="1104"/>
      <c r="T119" s="1104"/>
      <c r="U119" s="1104"/>
      <c r="V119" s="1104"/>
      <c r="W119" s="1104"/>
      <c r="X119" s="1104"/>
      <c r="Y119" s="1104"/>
      <c r="Z119" s="1104"/>
      <c r="AA119" s="1104"/>
      <c r="AB119" s="1104"/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</row>
    <row r="120" spans="1:38" s="1082" customFormat="1" ht="11.25">
      <c r="A120" s="1103"/>
      <c r="B120" s="1103"/>
      <c r="C120" s="1103"/>
      <c r="D120" s="1103"/>
      <c r="E120" s="1103"/>
      <c r="F120" s="1103"/>
      <c r="G120" s="1103"/>
      <c r="H120" s="1104"/>
      <c r="I120" s="1104"/>
      <c r="J120" s="1104"/>
      <c r="K120" s="1104"/>
      <c r="L120" s="1104"/>
      <c r="M120" s="1104"/>
      <c r="N120" s="1104"/>
      <c r="O120" s="1104"/>
      <c r="P120" s="1104"/>
      <c r="Q120" s="1104"/>
      <c r="R120" s="1104"/>
      <c r="S120" s="1104"/>
      <c r="T120" s="1104"/>
      <c r="U120" s="1104"/>
      <c r="V120" s="1104"/>
      <c r="W120" s="1104"/>
      <c r="X120" s="1104"/>
      <c r="Y120" s="1104"/>
      <c r="Z120" s="1104"/>
      <c r="AA120" s="1104"/>
      <c r="AB120" s="1104"/>
      <c r="AC120" s="1103"/>
      <c r="AD120" s="1103"/>
      <c r="AE120" s="1103"/>
      <c r="AF120" s="1103"/>
      <c r="AG120" s="1103"/>
      <c r="AH120" s="1103"/>
      <c r="AI120" s="1103"/>
      <c r="AJ120" s="1103"/>
      <c r="AK120" s="1103"/>
      <c r="AL120" s="1103"/>
    </row>
    <row r="121" spans="1:38" s="1082" customFormat="1" ht="11.25">
      <c r="A121" s="1103"/>
      <c r="B121" s="1103"/>
      <c r="C121" s="1103"/>
      <c r="D121" s="1103"/>
      <c r="E121" s="1103"/>
      <c r="F121" s="1103"/>
      <c r="G121" s="1103"/>
      <c r="H121" s="1104"/>
      <c r="I121" s="1104"/>
      <c r="J121" s="1104"/>
      <c r="K121" s="1104"/>
      <c r="L121" s="1104"/>
      <c r="M121" s="1104"/>
      <c r="N121" s="1104"/>
      <c r="O121" s="1104"/>
      <c r="P121" s="1104"/>
      <c r="Q121" s="1104"/>
      <c r="R121" s="1104"/>
      <c r="S121" s="1104"/>
      <c r="T121" s="1104"/>
      <c r="U121" s="1104"/>
      <c r="V121" s="1104"/>
      <c r="W121" s="1104"/>
      <c r="X121" s="1104"/>
      <c r="Y121" s="1104"/>
      <c r="Z121" s="1104"/>
      <c r="AA121" s="1104"/>
      <c r="AB121" s="1104"/>
      <c r="AC121" s="1103"/>
      <c r="AD121" s="1103"/>
      <c r="AE121" s="1103"/>
      <c r="AF121" s="1103"/>
      <c r="AG121" s="1103"/>
      <c r="AH121" s="1103"/>
      <c r="AI121" s="1103"/>
      <c r="AJ121" s="1103"/>
      <c r="AK121" s="1103"/>
      <c r="AL121" s="1103"/>
    </row>
    <row r="122" spans="1:38" s="1082" customFormat="1" ht="11.25">
      <c r="A122" s="1103"/>
      <c r="B122" s="1103"/>
      <c r="C122" s="1103"/>
      <c r="D122" s="1103"/>
      <c r="E122" s="1103"/>
      <c r="F122" s="1103"/>
      <c r="G122" s="1103"/>
      <c r="H122" s="1104"/>
      <c r="I122" s="1104"/>
      <c r="J122" s="1104"/>
      <c r="K122" s="1104"/>
      <c r="L122" s="1104"/>
      <c r="M122" s="1104"/>
      <c r="N122" s="1104"/>
      <c r="O122" s="1104"/>
      <c r="P122" s="1104"/>
      <c r="Q122" s="1104"/>
      <c r="R122" s="1104"/>
      <c r="S122" s="1104"/>
      <c r="T122" s="1104"/>
      <c r="U122" s="1104"/>
      <c r="V122" s="1104"/>
      <c r="W122" s="1104"/>
      <c r="X122" s="1104"/>
      <c r="Y122" s="1104"/>
      <c r="Z122" s="1104"/>
      <c r="AA122" s="1104"/>
      <c r="AB122" s="1104"/>
      <c r="AC122" s="1103"/>
      <c r="AD122" s="1103"/>
      <c r="AE122" s="1103"/>
      <c r="AF122" s="1103"/>
      <c r="AG122" s="1103"/>
      <c r="AH122" s="1103"/>
      <c r="AI122" s="1103"/>
      <c r="AJ122" s="1103"/>
      <c r="AK122" s="1103"/>
      <c r="AL122" s="1103"/>
    </row>
    <row r="123" spans="1:38" s="1082" customFormat="1" ht="11.25">
      <c r="A123" s="1103"/>
      <c r="B123" s="1103"/>
      <c r="C123" s="1103"/>
      <c r="D123" s="1103"/>
      <c r="E123" s="1103"/>
      <c r="F123" s="1103"/>
      <c r="G123" s="1103"/>
      <c r="H123" s="1104"/>
      <c r="I123" s="1104"/>
      <c r="J123" s="1104"/>
      <c r="K123" s="1104"/>
      <c r="L123" s="1104"/>
      <c r="M123" s="1104"/>
      <c r="N123" s="1104"/>
      <c r="O123" s="1104"/>
      <c r="P123" s="1104"/>
      <c r="Q123" s="1104"/>
      <c r="R123" s="1104"/>
      <c r="S123" s="1104"/>
      <c r="T123" s="1104"/>
      <c r="U123" s="1104"/>
      <c r="V123" s="1104"/>
      <c r="W123" s="1104"/>
      <c r="X123" s="1104"/>
      <c r="Y123" s="1104"/>
      <c r="Z123" s="1104"/>
      <c r="AA123" s="1104"/>
      <c r="AB123" s="1104"/>
      <c r="AC123" s="1103"/>
      <c r="AD123" s="1103"/>
      <c r="AE123" s="1103"/>
      <c r="AF123" s="1103"/>
      <c r="AG123" s="1103"/>
      <c r="AH123" s="1103"/>
      <c r="AI123" s="1103"/>
      <c r="AJ123" s="1103"/>
      <c r="AK123" s="1103"/>
      <c r="AL123" s="1103"/>
    </row>
    <row r="124" spans="1:38" s="1082" customFormat="1" ht="11.25">
      <c r="A124" s="1103"/>
      <c r="B124" s="1103"/>
      <c r="C124" s="1103"/>
      <c r="D124" s="1103"/>
      <c r="E124" s="1103"/>
      <c r="F124" s="1103"/>
      <c r="G124" s="1103"/>
      <c r="H124" s="1104"/>
      <c r="I124" s="1104"/>
      <c r="J124" s="1104"/>
      <c r="K124" s="1104"/>
      <c r="L124" s="1104"/>
      <c r="M124" s="1104"/>
      <c r="N124" s="1104"/>
      <c r="O124" s="1104"/>
      <c r="P124" s="1104"/>
      <c r="Q124" s="1104"/>
      <c r="R124" s="1104"/>
      <c r="S124" s="1104"/>
      <c r="T124" s="1104"/>
      <c r="U124" s="1104"/>
      <c r="V124" s="1104"/>
      <c r="W124" s="1104"/>
      <c r="X124" s="1104"/>
      <c r="Y124" s="1104"/>
      <c r="Z124" s="1104"/>
      <c r="AA124" s="1104"/>
      <c r="AB124" s="1104"/>
      <c r="AC124" s="1103"/>
      <c r="AD124" s="1103"/>
      <c r="AE124" s="1103"/>
      <c r="AF124" s="1103"/>
      <c r="AG124" s="1103"/>
      <c r="AH124" s="1103"/>
      <c r="AI124" s="1103"/>
      <c r="AJ124" s="1103"/>
      <c r="AK124" s="1103"/>
      <c r="AL124" s="1103"/>
    </row>
    <row r="125" spans="1:38" s="1082" customFormat="1" ht="11.25">
      <c r="A125" s="1103"/>
      <c r="B125" s="1103"/>
      <c r="C125" s="1103"/>
      <c r="D125" s="1103"/>
      <c r="E125" s="1103"/>
      <c r="F125" s="1103"/>
      <c r="G125" s="1103"/>
      <c r="H125" s="1104"/>
      <c r="I125" s="1104"/>
      <c r="J125" s="1104"/>
      <c r="K125" s="1104"/>
      <c r="L125" s="1104"/>
      <c r="M125" s="1104"/>
      <c r="N125" s="1104"/>
      <c r="O125" s="1104"/>
      <c r="P125" s="1104"/>
      <c r="Q125" s="1104"/>
      <c r="R125" s="1104"/>
      <c r="S125" s="1104"/>
      <c r="T125" s="1104"/>
      <c r="U125" s="1104"/>
      <c r="V125" s="1104"/>
      <c r="W125" s="1104"/>
      <c r="X125" s="1104"/>
      <c r="Y125" s="1104"/>
      <c r="Z125" s="1104"/>
      <c r="AA125" s="1104"/>
      <c r="AB125" s="1104"/>
      <c r="AC125" s="1103"/>
      <c r="AD125" s="1103"/>
      <c r="AE125" s="1103"/>
      <c r="AF125" s="1103"/>
      <c r="AG125" s="1103"/>
      <c r="AH125" s="1103"/>
      <c r="AI125" s="1103"/>
      <c r="AJ125" s="1103"/>
      <c r="AK125" s="1103"/>
      <c r="AL125" s="1103"/>
    </row>
    <row r="126" spans="1:38" s="1082" customFormat="1" ht="11.25">
      <c r="A126" s="1103"/>
      <c r="B126" s="1103"/>
      <c r="C126" s="1103"/>
      <c r="D126" s="1103"/>
      <c r="E126" s="1103"/>
      <c r="F126" s="1103"/>
      <c r="G126" s="1103"/>
      <c r="H126" s="1104"/>
      <c r="I126" s="1104"/>
      <c r="J126" s="1104"/>
      <c r="K126" s="1104"/>
      <c r="L126" s="1104"/>
      <c r="M126" s="1104"/>
      <c r="N126" s="1104"/>
      <c r="O126" s="1104"/>
      <c r="P126" s="1104"/>
      <c r="Q126" s="1104"/>
      <c r="R126" s="1104"/>
      <c r="S126" s="1104"/>
      <c r="T126" s="1104"/>
      <c r="U126" s="1104"/>
      <c r="V126" s="1104"/>
      <c r="W126" s="1104"/>
      <c r="X126" s="1104"/>
      <c r="Y126" s="1104"/>
      <c r="Z126" s="1104"/>
      <c r="AA126" s="1104"/>
      <c r="AB126" s="1104"/>
      <c r="AC126" s="1103"/>
      <c r="AD126" s="1103"/>
      <c r="AE126" s="1103"/>
      <c r="AF126" s="1103"/>
      <c r="AG126" s="1103"/>
      <c r="AH126" s="1103"/>
      <c r="AI126" s="1103"/>
      <c r="AJ126" s="1103"/>
      <c r="AK126" s="1103"/>
      <c r="AL126" s="1103"/>
    </row>
    <row r="127" spans="1:38" s="1082" customFormat="1" ht="11.25">
      <c r="A127" s="1103"/>
      <c r="B127" s="1103"/>
      <c r="C127" s="1103"/>
      <c r="D127" s="1103"/>
      <c r="E127" s="1103"/>
      <c r="F127" s="1103"/>
      <c r="G127" s="1103"/>
      <c r="H127" s="1104"/>
      <c r="I127" s="1104"/>
      <c r="J127" s="1104"/>
      <c r="K127" s="1104"/>
      <c r="L127" s="1104"/>
      <c r="M127" s="1104"/>
      <c r="N127" s="1104"/>
      <c r="O127" s="1104"/>
      <c r="P127" s="1104"/>
      <c r="Q127" s="1104"/>
      <c r="R127" s="1104"/>
      <c r="S127" s="1104"/>
      <c r="T127" s="1104"/>
      <c r="U127" s="1104"/>
      <c r="V127" s="1104"/>
      <c r="W127" s="1104"/>
      <c r="X127" s="1104"/>
      <c r="Y127" s="1104"/>
      <c r="Z127" s="1104"/>
      <c r="AA127" s="1104"/>
      <c r="AB127" s="1104"/>
      <c r="AC127" s="1103"/>
      <c r="AD127" s="1103"/>
      <c r="AE127" s="1103"/>
      <c r="AF127" s="1103"/>
      <c r="AG127" s="1103"/>
      <c r="AH127" s="1103"/>
      <c r="AI127" s="1103"/>
      <c r="AJ127" s="1103"/>
      <c r="AK127" s="1103"/>
      <c r="AL127" s="1103"/>
    </row>
    <row r="128" spans="1:38" s="1082" customFormat="1" ht="11.25">
      <c r="A128" s="1103"/>
      <c r="B128" s="1103"/>
      <c r="C128" s="1103"/>
      <c r="D128" s="1103"/>
      <c r="E128" s="1103"/>
      <c r="F128" s="1103"/>
      <c r="G128" s="1103"/>
      <c r="H128" s="1104"/>
      <c r="I128" s="1104"/>
      <c r="J128" s="1104"/>
      <c r="K128" s="1104"/>
      <c r="L128" s="1104"/>
      <c r="M128" s="1104"/>
      <c r="N128" s="1104"/>
      <c r="O128" s="1104"/>
      <c r="P128" s="1104"/>
      <c r="Q128" s="1104"/>
      <c r="R128" s="1104"/>
      <c r="S128" s="1104"/>
      <c r="T128" s="1104"/>
      <c r="U128" s="1104"/>
      <c r="V128" s="1104"/>
      <c r="W128" s="1104"/>
      <c r="X128" s="1104"/>
      <c r="Y128" s="1104"/>
      <c r="Z128" s="1104"/>
      <c r="AA128" s="1104"/>
      <c r="AB128" s="1104"/>
      <c r="AC128" s="1103"/>
      <c r="AD128" s="1103"/>
      <c r="AE128" s="1103"/>
      <c r="AF128" s="1103"/>
      <c r="AG128" s="1103"/>
      <c r="AH128" s="1103"/>
      <c r="AI128" s="1103"/>
      <c r="AJ128" s="1103"/>
      <c r="AK128" s="1103"/>
      <c r="AL128" s="1103"/>
    </row>
    <row r="129" spans="1:38">
      <c r="A129" s="1103"/>
      <c r="B129" s="1103"/>
      <c r="C129" s="1103"/>
      <c r="D129" s="1103"/>
      <c r="E129" s="1103"/>
      <c r="F129" s="1103"/>
      <c r="G129" s="1103"/>
      <c r="H129" s="1104"/>
      <c r="I129" s="1104"/>
      <c r="J129" s="1104"/>
      <c r="K129" s="1104"/>
      <c r="L129" s="1104"/>
      <c r="M129" s="1104"/>
      <c r="N129" s="1104"/>
      <c r="O129" s="1104"/>
      <c r="P129" s="1104"/>
      <c r="Q129" s="1104"/>
      <c r="R129" s="1104"/>
      <c r="S129" s="1104"/>
      <c r="T129" s="1104"/>
      <c r="U129" s="1104"/>
      <c r="V129" s="1104"/>
      <c r="W129" s="1104"/>
      <c r="X129" s="1104"/>
      <c r="Y129" s="1104"/>
      <c r="Z129" s="1104"/>
      <c r="AA129" s="1104"/>
      <c r="AB129" s="1104"/>
      <c r="AC129" s="1103"/>
      <c r="AD129" s="1103"/>
      <c r="AE129" s="1103"/>
      <c r="AF129" s="1103"/>
      <c r="AG129" s="1103"/>
      <c r="AH129" s="1103"/>
      <c r="AI129" s="1103"/>
      <c r="AJ129" s="1103"/>
      <c r="AK129" s="1103"/>
      <c r="AL129" s="1103"/>
    </row>
    <row r="130" spans="1:38">
      <c r="A130" s="1103"/>
      <c r="B130" s="1103"/>
      <c r="C130" s="1103"/>
      <c r="D130" s="1103"/>
      <c r="E130" s="1103"/>
      <c r="F130" s="1103"/>
      <c r="G130" s="1103"/>
      <c r="H130" s="1104"/>
      <c r="I130" s="1104"/>
      <c r="J130" s="1104"/>
      <c r="K130" s="1104"/>
      <c r="L130" s="1104"/>
      <c r="M130" s="1104"/>
      <c r="N130" s="1104"/>
      <c r="O130" s="1104"/>
      <c r="P130" s="1104"/>
      <c r="Q130" s="1104"/>
      <c r="R130" s="1104"/>
      <c r="S130" s="1104"/>
      <c r="T130" s="1104"/>
      <c r="U130" s="1104"/>
      <c r="V130" s="1104"/>
      <c r="W130" s="1104"/>
      <c r="X130" s="1104"/>
      <c r="Y130" s="1104"/>
      <c r="Z130" s="1104"/>
      <c r="AA130" s="1104"/>
      <c r="AB130" s="1104"/>
      <c r="AC130" s="1103"/>
      <c r="AD130" s="1103"/>
      <c r="AE130" s="1103"/>
      <c r="AF130" s="1103"/>
      <c r="AG130" s="1103"/>
      <c r="AH130" s="1103"/>
      <c r="AI130" s="1103"/>
      <c r="AJ130" s="1103"/>
      <c r="AK130" s="1103"/>
      <c r="AL130" s="1103"/>
    </row>
    <row r="131" spans="1:38">
      <c r="A131" s="1103"/>
      <c r="B131" s="1103"/>
      <c r="C131" s="1103"/>
      <c r="D131" s="1103"/>
      <c r="E131" s="1103"/>
      <c r="F131" s="1103"/>
      <c r="G131" s="1103"/>
      <c r="H131" s="1104"/>
      <c r="I131" s="1104"/>
      <c r="J131" s="1104"/>
      <c r="K131" s="1104"/>
      <c r="L131" s="1104"/>
      <c r="M131" s="1104"/>
      <c r="N131" s="1104"/>
      <c r="O131" s="1104"/>
      <c r="P131" s="1104"/>
      <c r="Q131" s="1104"/>
      <c r="R131" s="1104"/>
      <c r="S131" s="1104"/>
      <c r="T131" s="1104"/>
      <c r="U131" s="1104"/>
      <c r="V131" s="1104"/>
      <c r="W131" s="1104"/>
      <c r="X131" s="1104"/>
      <c r="Y131" s="1104"/>
      <c r="Z131" s="1104"/>
      <c r="AA131" s="1104"/>
      <c r="AB131" s="1104"/>
      <c r="AC131" s="1103"/>
      <c r="AD131" s="1103"/>
      <c r="AE131" s="1103"/>
      <c r="AF131" s="1103"/>
      <c r="AG131" s="1103"/>
      <c r="AH131" s="1103"/>
      <c r="AI131" s="1103"/>
      <c r="AJ131" s="1103"/>
      <c r="AK131" s="1103"/>
      <c r="AL131" s="1103"/>
    </row>
    <row r="132" spans="1:38">
      <c r="A132" s="1096"/>
      <c r="B132" s="1096"/>
      <c r="C132" s="1096"/>
      <c r="D132" s="1096"/>
      <c r="E132" s="1128"/>
      <c r="F132" s="1128"/>
      <c r="G132" s="1128"/>
      <c r="H132" s="1099"/>
      <c r="I132" s="1099"/>
      <c r="J132" s="1107"/>
      <c r="K132" s="1099"/>
      <c r="L132" s="1099"/>
      <c r="M132" s="1099"/>
      <c r="N132" s="1099"/>
      <c r="O132" s="1099"/>
      <c r="P132" s="1099"/>
      <c r="Q132" s="1107"/>
      <c r="R132" s="1099"/>
      <c r="S132" s="1099"/>
      <c r="T132" s="1099"/>
      <c r="U132" s="1099"/>
      <c r="V132" s="1099"/>
      <c r="W132" s="1099"/>
      <c r="X132" s="1099"/>
      <c r="Y132" s="1099"/>
      <c r="Z132" s="1099"/>
      <c r="AA132" s="1099"/>
      <c r="AB132" s="1099"/>
      <c r="AC132" s="1128"/>
      <c r="AD132" s="1128"/>
      <c r="AE132" s="1128"/>
      <c r="AF132" s="1128"/>
      <c r="AG132" s="1128"/>
      <c r="AH132" s="1128"/>
      <c r="AI132" s="1128"/>
      <c r="AJ132" s="1128"/>
      <c r="AK132" s="1128"/>
      <c r="AL132" s="1128"/>
    </row>
    <row r="133" spans="1:38">
      <c r="A133" s="1096"/>
      <c r="B133" s="1096"/>
      <c r="C133" s="1096"/>
      <c r="D133" s="1096"/>
      <c r="E133" s="1128"/>
      <c r="F133" s="1128"/>
      <c r="G133" s="1128"/>
      <c r="H133" s="1099"/>
      <c r="I133" s="1099"/>
      <c r="J133" s="1107"/>
      <c r="K133" s="1099"/>
      <c r="L133" s="1099"/>
      <c r="M133" s="1099"/>
      <c r="N133" s="1099"/>
      <c r="O133" s="1099"/>
      <c r="P133" s="1099"/>
      <c r="Q133" s="1107"/>
      <c r="R133" s="1099"/>
      <c r="S133" s="1099"/>
      <c r="T133" s="1099"/>
      <c r="U133" s="1099"/>
      <c r="V133" s="1099"/>
      <c r="W133" s="1099"/>
      <c r="X133" s="1099"/>
      <c r="Y133" s="1099"/>
      <c r="Z133" s="1099"/>
      <c r="AA133" s="1099"/>
      <c r="AB133" s="1099"/>
      <c r="AC133" s="1128"/>
      <c r="AD133" s="1128"/>
      <c r="AE133" s="1128"/>
      <c r="AF133" s="1128"/>
      <c r="AG133" s="1128"/>
      <c r="AH133" s="1128"/>
      <c r="AI133" s="1128"/>
      <c r="AJ133" s="1128"/>
      <c r="AK133" s="1128"/>
      <c r="AL133" s="1128"/>
    </row>
    <row r="134" spans="1:38">
      <c r="A134" s="1096"/>
      <c r="B134" s="1096"/>
      <c r="C134" s="1096"/>
      <c r="D134" s="1096"/>
      <c r="E134" s="1128"/>
      <c r="F134" s="1128"/>
      <c r="G134" s="1128"/>
      <c r="H134" s="1099"/>
      <c r="I134" s="1099"/>
      <c r="J134" s="1107"/>
      <c r="K134" s="1099"/>
      <c r="L134" s="1099"/>
      <c r="M134" s="1099"/>
      <c r="N134" s="1099"/>
      <c r="O134" s="1099"/>
      <c r="P134" s="1099"/>
      <c r="Q134" s="1107"/>
      <c r="R134" s="1099"/>
      <c r="S134" s="1099"/>
      <c r="T134" s="1099"/>
      <c r="U134" s="1099"/>
      <c r="V134" s="1099"/>
      <c r="W134" s="1099"/>
      <c r="X134" s="1099"/>
      <c r="Y134" s="1099"/>
      <c r="Z134" s="1099"/>
      <c r="AA134" s="1099"/>
      <c r="AB134" s="1099"/>
      <c r="AC134" s="1128"/>
      <c r="AD134" s="1128"/>
      <c r="AE134" s="1128"/>
      <c r="AF134" s="1128"/>
      <c r="AG134" s="1128"/>
      <c r="AH134" s="1128"/>
      <c r="AI134" s="1128"/>
      <c r="AJ134" s="1128"/>
      <c r="AK134" s="1128"/>
      <c r="AL134" s="1128"/>
    </row>
    <row r="135" spans="1:38">
      <c r="A135" s="1096"/>
      <c r="B135" s="1096"/>
      <c r="C135" s="1096"/>
      <c r="D135" s="1096"/>
      <c r="E135" s="1128"/>
      <c r="F135" s="1128"/>
      <c r="G135" s="1128"/>
      <c r="H135" s="1099"/>
      <c r="I135" s="1099"/>
      <c r="J135" s="1107"/>
      <c r="K135" s="1099"/>
      <c r="L135" s="1099"/>
      <c r="M135" s="1099"/>
      <c r="N135" s="1099"/>
      <c r="O135" s="1099"/>
      <c r="P135" s="1099"/>
      <c r="Q135" s="1107"/>
      <c r="R135" s="1099"/>
      <c r="S135" s="1099"/>
      <c r="T135" s="1099"/>
      <c r="U135" s="1099"/>
      <c r="V135" s="1099"/>
      <c r="W135" s="1099"/>
      <c r="X135" s="1099"/>
      <c r="Y135" s="1099"/>
      <c r="Z135" s="1099"/>
      <c r="AA135" s="1099"/>
      <c r="AB135" s="1099"/>
      <c r="AC135" s="1128"/>
      <c r="AD135" s="1128"/>
      <c r="AE135" s="1128"/>
      <c r="AF135" s="1128"/>
      <c r="AG135" s="1128"/>
      <c r="AH135" s="1128"/>
      <c r="AI135" s="1128"/>
      <c r="AJ135" s="1128"/>
      <c r="AK135" s="1128"/>
      <c r="AL135" s="1128"/>
    </row>
    <row r="136" spans="1:38">
      <c r="A136" s="1096"/>
      <c r="B136" s="1096"/>
      <c r="C136" s="1096"/>
      <c r="D136" s="1096"/>
      <c r="E136" s="1128"/>
      <c r="F136" s="1128"/>
      <c r="G136" s="1128"/>
      <c r="H136" s="1099"/>
      <c r="I136" s="1099"/>
      <c r="J136" s="1107"/>
      <c r="K136" s="1099"/>
      <c r="L136" s="1099"/>
      <c r="M136" s="1099"/>
      <c r="N136" s="1099"/>
      <c r="O136" s="1099"/>
      <c r="P136" s="1099"/>
      <c r="Q136" s="1107"/>
      <c r="R136" s="1099"/>
      <c r="S136" s="1099"/>
      <c r="T136" s="1099"/>
      <c r="U136" s="1099"/>
      <c r="V136" s="1099"/>
      <c r="W136" s="1099"/>
      <c r="X136" s="1099"/>
      <c r="Y136" s="1099"/>
      <c r="Z136" s="1099"/>
      <c r="AA136" s="1099"/>
      <c r="AB136" s="1099"/>
      <c r="AC136" s="1128"/>
      <c r="AD136" s="1128"/>
      <c r="AE136" s="1128"/>
      <c r="AF136" s="1128"/>
      <c r="AG136" s="1128"/>
      <c r="AH136" s="1128"/>
      <c r="AI136" s="1128"/>
      <c r="AJ136" s="1128"/>
      <c r="AK136" s="1128"/>
      <c r="AL136" s="1128"/>
    </row>
    <row r="137" spans="1:38">
      <c r="A137" s="1096"/>
      <c r="B137" s="1096"/>
      <c r="C137" s="1096"/>
      <c r="D137" s="1096"/>
      <c r="E137" s="1128"/>
      <c r="F137" s="1128"/>
      <c r="G137" s="1128"/>
      <c r="H137" s="1099"/>
      <c r="I137" s="1099"/>
      <c r="J137" s="1107"/>
      <c r="K137" s="1099"/>
      <c r="L137" s="1099"/>
      <c r="M137" s="1099"/>
      <c r="N137" s="1099"/>
      <c r="O137" s="1099"/>
      <c r="P137" s="1099"/>
      <c r="Q137" s="1107"/>
      <c r="R137" s="1099"/>
      <c r="S137" s="1099"/>
      <c r="T137" s="1099"/>
      <c r="U137" s="1099"/>
      <c r="V137" s="1099"/>
      <c r="W137" s="1099"/>
      <c r="X137" s="1099"/>
      <c r="Y137" s="1099"/>
      <c r="Z137" s="1099"/>
      <c r="AA137" s="1099"/>
      <c r="AB137" s="1099"/>
      <c r="AC137" s="1128"/>
      <c r="AD137" s="1128"/>
      <c r="AE137" s="1128"/>
      <c r="AF137" s="1128"/>
      <c r="AG137" s="1128"/>
      <c r="AH137" s="1128"/>
      <c r="AI137" s="1128"/>
      <c r="AJ137" s="1128"/>
      <c r="AK137" s="1128"/>
      <c r="AL137" s="1128"/>
    </row>
    <row r="138" spans="1:38">
      <c r="A138" s="1096"/>
      <c r="B138" s="1096"/>
      <c r="C138" s="1096"/>
      <c r="D138" s="1096"/>
      <c r="E138" s="1128"/>
      <c r="F138" s="1128"/>
      <c r="G138" s="1128"/>
      <c r="H138" s="1099"/>
      <c r="I138" s="1099"/>
      <c r="J138" s="1107"/>
      <c r="K138" s="1099"/>
      <c r="L138" s="1099"/>
      <c r="M138" s="1099"/>
      <c r="N138" s="1099"/>
      <c r="O138" s="1099"/>
      <c r="P138" s="1099"/>
      <c r="Q138" s="1107"/>
      <c r="R138" s="1099"/>
      <c r="S138" s="1099"/>
      <c r="T138" s="1099"/>
      <c r="U138" s="1099"/>
      <c r="V138" s="1099"/>
      <c r="W138" s="1099"/>
      <c r="X138" s="1099"/>
      <c r="Y138" s="1099"/>
      <c r="Z138" s="1099"/>
      <c r="AA138" s="1099"/>
      <c r="AB138" s="1099"/>
      <c r="AC138" s="1128"/>
      <c r="AD138" s="1128"/>
      <c r="AE138" s="1128"/>
      <c r="AF138" s="1128"/>
      <c r="AG138" s="1128"/>
      <c r="AH138" s="1128"/>
      <c r="AI138" s="1128"/>
      <c r="AJ138" s="1128"/>
      <c r="AK138" s="1128"/>
      <c r="AL138" s="1128"/>
    </row>
    <row r="139" spans="1:38">
      <c r="A139" s="1096"/>
      <c r="B139" s="1096"/>
      <c r="C139" s="1096"/>
      <c r="D139" s="1096"/>
      <c r="E139" s="1128"/>
      <c r="F139" s="1128"/>
      <c r="G139" s="1128"/>
      <c r="H139" s="1099"/>
      <c r="I139" s="1099"/>
      <c r="J139" s="1107"/>
      <c r="K139" s="1099"/>
      <c r="L139" s="1099"/>
      <c r="M139" s="1099"/>
      <c r="N139" s="1099"/>
      <c r="O139" s="1099"/>
      <c r="P139" s="1099"/>
      <c r="Q139" s="1107"/>
      <c r="R139" s="1099"/>
      <c r="S139" s="1099"/>
      <c r="T139" s="1099"/>
      <c r="U139" s="1099"/>
      <c r="V139" s="1099"/>
      <c r="W139" s="1099"/>
      <c r="X139" s="1099"/>
      <c r="Y139" s="1099"/>
      <c r="Z139" s="1099"/>
      <c r="AA139" s="1099"/>
      <c r="AB139" s="1099"/>
      <c r="AC139" s="1128"/>
      <c r="AD139" s="1128"/>
      <c r="AE139" s="1128"/>
      <c r="AF139" s="1128"/>
      <c r="AG139" s="1128"/>
      <c r="AH139" s="1128"/>
      <c r="AI139" s="1128"/>
      <c r="AJ139" s="1128"/>
      <c r="AK139" s="1128"/>
      <c r="AL139" s="1128"/>
    </row>
    <row r="140" spans="1:38">
      <c r="A140" s="1096"/>
      <c r="B140" s="1096"/>
      <c r="C140" s="1096"/>
      <c r="D140" s="1096"/>
      <c r="E140" s="1128"/>
      <c r="F140" s="1128"/>
      <c r="G140" s="1128"/>
      <c r="H140" s="1099"/>
      <c r="I140" s="1099"/>
      <c r="J140" s="1107"/>
      <c r="K140" s="1099"/>
      <c r="L140" s="1099"/>
      <c r="M140" s="1099"/>
      <c r="N140" s="1099"/>
      <c r="O140" s="1099"/>
      <c r="P140" s="1099"/>
      <c r="Q140" s="1107"/>
      <c r="R140" s="1099"/>
      <c r="S140" s="1099"/>
      <c r="T140" s="1099"/>
      <c r="U140" s="1099"/>
      <c r="V140" s="1099"/>
      <c r="W140" s="1099"/>
      <c r="X140" s="1099"/>
      <c r="Y140" s="1099"/>
      <c r="Z140" s="1099"/>
      <c r="AA140" s="1099"/>
      <c r="AB140" s="1099"/>
      <c r="AC140" s="1128"/>
      <c r="AD140" s="1128"/>
      <c r="AE140" s="1128"/>
      <c r="AF140" s="1128"/>
      <c r="AG140" s="1128"/>
      <c r="AH140" s="1128"/>
      <c r="AI140" s="1128"/>
      <c r="AJ140" s="1128"/>
      <c r="AK140" s="1128"/>
      <c r="AL140" s="1128"/>
    </row>
    <row r="141" spans="1:38">
      <c r="A141" s="1096"/>
      <c r="B141" s="1096"/>
      <c r="C141" s="1096"/>
      <c r="D141" s="1096"/>
      <c r="E141" s="1128"/>
      <c r="F141" s="1128"/>
      <c r="G141" s="1128"/>
      <c r="H141" s="1099"/>
      <c r="I141" s="1099"/>
      <c r="J141" s="1107"/>
      <c r="K141" s="1099"/>
      <c r="L141" s="1099"/>
      <c r="M141" s="1099"/>
      <c r="N141" s="1099"/>
      <c r="O141" s="1099"/>
      <c r="P141" s="1099"/>
      <c r="Q141" s="1107"/>
      <c r="R141" s="1099"/>
      <c r="S141" s="1099"/>
      <c r="T141" s="1099"/>
      <c r="U141" s="1099"/>
      <c r="V141" s="1099"/>
      <c r="W141" s="1099"/>
      <c r="X141" s="1099"/>
      <c r="Y141" s="1099"/>
      <c r="Z141" s="1099"/>
      <c r="AA141" s="1099"/>
      <c r="AB141" s="1099"/>
      <c r="AC141" s="1128"/>
      <c r="AD141" s="1128"/>
      <c r="AE141" s="1128"/>
      <c r="AF141" s="1128"/>
      <c r="AG141" s="1128"/>
      <c r="AH141" s="1128"/>
      <c r="AI141" s="1128"/>
      <c r="AJ141" s="1128"/>
      <c r="AK141" s="1128"/>
      <c r="AL141" s="1128"/>
    </row>
    <row r="142" spans="1:38">
      <c r="A142" s="1096"/>
      <c r="B142" s="1096"/>
      <c r="C142" s="1096"/>
      <c r="D142" s="1096"/>
      <c r="E142" s="1128"/>
      <c r="F142" s="1128"/>
      <c r="G142" s="1128"/>
      <c r="H142" s="1099"/>
      <c r="I142" s="1099"/>
      <c r="J142" s="1107"/>
      <c r="K142" s="1099"/>
      <c r="L142" s="1099"/>
      <c r="M142" s="1099"/>
      <c r="N142" s="1099"/>
      <c r="O142" s="1099"/>
      <c r="P142" s="1099"/>
      <c r="Q142" s="1107"/>
      <c r="R142" s="1099"/>
      <c r="S142" s="1099"/>
      <c r="T142" s="1099"/>
      <c r="U142" s="1099"/>
      <c r="V142" s="1099"/>
      <c r="W142" s="1099"/>
      <c r="X142" s="1099"/>
      <c r="Y142" s="1099"/>
      <c r="Z142" s="1099"/>
      <c r="AA142" s="1099"/>
      <c r="AB142" s="1099"/>
      <c r="AC142" s="1128"/>
      <c r="AD142" s="1128"/>
      <c r="AE142" s="1128"/>
      <c r="AF142" s="1128"/>
      <c r="AG142" s="1128"/>
      <c r="AH142" s="1128"/>
      <c r="AI142" s="1128"/>
      <c r="AJ142" s="1128"/>
      <c r="AK142" s="1128"/>
      <c r="AL142" s="1128"/>
    </row>
    <row r="143" spans="1:38">
      <c r="A143" s="1096"/>
      <c r="B143" s="1096"/>
      <c r="C143" s="1096"/>
      <c r="D143" s="1096"/>
      <c r="E143" s="1128"/>
      <c r="F143" s="1128"/>
      <c r="G143" s="1128"/>
      <c r="H143" s="1099"/>
      <c r="I143" s="1099"/>
      <c r="J143" s="1107"/>
      <c r="K143" s="1099"/>
      <c r="L143" s="1099"/>
      <c r="M143" s="1099"/>
      <c r="N143" s="1099"/>
      <c r="O143" s="1099"/>
      <c r="P143" s="1099"/>
      <c r="Q143" s="1107"/>
      <c r="R143" s="1099"/>
      <c r="S143" s="1099"/>
      <c r="T143" s="1099"/>
      <c r="U143" s="1099"/>
      <c r="V143" s="1099"/>
      <c r="W143" s="1099"/>
      <c r="X143" s="1099"/>
      <c r="Y143" s="1099"/>
      <c r="Z143" s="1099"/>
      <c r="AA143" s="1099"/>
      <c r="AB143" s="1099"/>
      <c r="AC143" s="1128"/>
      <c r="AD143" s="1128"/>
      <c r="AE143" s="1128"/>
      <c r="AF143" s="1128"/>
      <c r="AG143" s="1128"/>
      <c r="AH143" s="1128"/>
      <c r="AI143" s="1128"/>
      <c r="AJ143" s="1128"/>
      <c r="AK143" s="1128"/>
      <c r="AL143" s="1128"/>
    </row>
    <row r="144" spans="1:38">
      <c r="A144" s="1096"/>
      <c r="B144" s="1096"/>
      <c r="C144" s="1096"/>
      <c r="D144" s="1096"/>
      <c r="E144" s="1128"/>
      <c r="F144" s="1128"/>
      <c r="G144" s="1128"/>
      <c r="H144" s="1099"/>
      <c r="I144" s="1099"/>
      <c r="J144" s="1107"/>
      <c r="K144" s="1099"/>
      <c r="L144" s="1099"/>
      <c r="M144" s="1099"/>
      <c r="N144" s="1099"/>
      <c r="O144" s="1099"/>
      <c r="P144" s="1099"/>
      <c r="Q144" s="1107"/>
      <c r="R144" s="1099"/>
      <c r="S144" s="1099"/>
      <c r="T144" s="1099"/>
      <c r="U144" s="1099"/>
      <c r="V144" s="1099"/>
      <c r="W144" s="1099"/>
      <c r="X144" s="1099"/>
      <c r="Y144" s="1099"/>
      <c r="Z144" s="1099"/>
      <c r="AA144" s="1099"/>
      <c r="AB144" s="1099"/>
      <c r="AC144" s="1128"/>
      <c r="AD144" s="1128"/>
      <c r="AE144" s="1128"/>
      <c r="AF144" s="1128"/>
      <c r="AG144" s="1128"/>
      <c r="AH144" s="1128"/>
      <c r="AI144" s="1128"/>
      <c r="AJ144" s="1128"/>
      <c r="AK144" s="1128"/>
      <c r="AL144" s="1128"/>
    </row>
    <row r="145" spans="1:38">
      <c r="A145" s="1096"/>
      <c r="B145" s="1096"/>
      <c r="C145" s="1096"/>
      <c r="D145" s="1096"/>
      <c r="E145" s="1128"/>
      <c r="F145" s="1128"/>
      <c r="G145" s="1128"/>
      <c r="H145" s="1099"/>
      <c r="I145" s="1099"/>
      <c r="J145" s="1107"/>
      <c r="K145" s="1099"/>
      <c r="L145" s="1099"/>
      <c r="M145" s="1099"/>
      <c r="N145" s="1099"/>
      <c r="O145" s="1099"/>
      <c r="P145" s="1099"/>
      <c r="Q145" s="1107"/>
      <c r="R145" s="1099"/>
      <c r="S145" s="1099"/>
      <c r="T145" s="1099"/>
      <c r="U145" s="1099"/>
      <c r="V145" s="1099"/>
      <c r="W145" s="1099"/>
      <c r="X145" s="1099"/>
      <c r="Y145" s="1099"/>
      <c r="Z145" s="1099"/>
      <c r="AA145" s="1099"/>
      <c r="AB145" s="1099"/>
      <c r="AC145" s="1128"/>
      <c r="AD145" s="1128"/>
      <c r="AE145" s="1128"/>
      <c r="AF145" s="1128"/>
      <c r="AG145" s="1128"/>
      <c r="AH145" s="1128"/>
      <c r="AI145" s="1128"/>
      <c r="AJ145" s="1128"/>
      <c r="AK145" s="1128"/>
      <c r="AL145" s="1128"/>
    </row>
    <row r="146" spans="1:38">
      <c r="A146" s="1096"/>
      <c r="B146" s="1096"/>
      <c r="C146" s="1096"/>
      <c r="D146" s="1096"/>
      <c r="E146" s="1128"/>
      <c r="F146" s="1128"/>
      <c r="G146" s="1128"/>
      <c r="H146" s="1099"/>
      <c r="I146" s="1099"/>
      <c r="J146" s="1107"/>
      <c r="K146" s="1099"/>
      <c r="L146" s="1099"/>
      <c r="M146" s="1099"/>
      <c r="N146" s="1099"/>
      <c r="O146" s="1099"/>
      <c r="P146" s="1099"/>
      <c r="Q146" s="1107"/>
      <c r="R146" s="1099"/>
      <c r="S146" s="1099"/>
      <c r="T146" s="1099"/>
      <c r="U146" s="1099"/>
      <c r="V146" s="1099"/>
      <c r="W146" s="1099"/>
      <c r="X146" s="1099"/>
      <c r="Y146" s="1099"/>
      <c r="Z146" s="1099"/>
      <c r="AA146" s="1099"/>
      <c r="AB146" s="1099"/>
      <c r="AC146" s="1128"/>
      <c r="AD146" s="1128"/>
      <c r="AE146" s="1128"/>
      <c r="AF146" s="1128"/>
      <c r="AG146" s="1128"/>
      <c r="AH146" s="1128"/>
      <c r="AI146" s="1128"/>
      <c r="AJ146" s="1128"/>
      <c r="AK146" s="1128"/>
      <c r="AL146" s="1128"/>
    </row>
    <row r="147" spans="1:38" s="1086" customFormat="1">
      <c r="A147" s="1096"/>
      <c r="B147" s="1096"/>
      <c r="C147" s="1096"/>
      <c r="D147" s="1096"/>
      <c r="E147" s="1128"/>
      <c r="F147" s="1128"/>
      <c r="G147" s="1128"/>
      <c r="H147" s="1099"/>
      <c r="I147" s="1099"/>
      <c r="J147" s="1107"/>
      <c r="K147" s="1099"/>
      <c r="L147" s="1099"/>
      <c r="M147" s="1099"/>
      <c r="N147" s="1099"/>
      <c r="O147" s="1099"/>
      <c r="P147" s="1099"/>
      <c r="Q147" s="1107"/>
      <c r="R147" s="1099"/>
      <c r="S147" s="1099"/>
      <c r="T147" s="1099"/>
      <c r="U147" s="1099"/>
      <c r="V147" s="1099"/>
      <c r="W147" s="1099"/>
      <c r="X147" s="1099"/>
      <c r="Y147" s="1099"/>
      <c r="Z147" s="1099"/>
      <c r="AA147" s="1099"/>
      <c r="AB147" s="1099"/>
      <c r="AC147" s="1128"/>
      <c r="AD147" s="1128"/>
      <c r="AE147" s="1128"/>
      <c r="AF147" s="1128"/>
      <c r="AG147" s="1128"/>
      <c r="AH147" s="1128"/>
      <c r="AI147" s="1128"/>
      <c r="AJ147" s="1128"/>
      <c r="AK147" s="1128"/>
      <c r="AL147" s="1128"/>
    </row>
    <row r="148" spans="1:38" s="1086" customFormat="1">
      <c r="A148" s="1096"/>
      <c r="B148" s="1096"/>
      <c r="C148" s="1096"/>
      <c r="D148" s="1096"/>
      <c r="E148" s="1128"/>
      <c r="F148" s="1128"/>
      <c r="G148" s="1128"/>
      <c r="H148" s="1099"/>
      <c r="I148" s="1099"/>
      <c r="J148" s="1107"/>
      <c r="K148" s="1099"/>
      <c r="L148" s="1099"/>
      <c r="M148" s="1099"/>
      <c r="N148" s="1099"/>
      <c r="O148" s="1099"/>
      <c r="P148" s="1099"/>
      <c r="Q148" s="1107"/>
      <c r="R148" s="1099"/>
      <c r="S148" s="1099"/>
      <c r="T148" s="1099"/>
      <c r="U148" s="1099"/>
      <c r="V148" s="1099"/>
      <c r="W148" s="1099"/>
      <c r="X148" s="1099"/>
      <c r="Y148" s="1099"/>
      <c r="Z148" s="1099"/>
      <c r="AA148" s="1099"/>
      <c r="AB148" s="1099"/>
      <c r="AC148" s="1128"/>
      <c r="AD148" s="1128"/>
      <c r="AE148" s="1128"/>
      <c r="AF148" s="1128"/>
      <c r="AG148" s="1128"/>
      <c r="AH148" s="1128"/>
      <c r="AI148" s="1128"/>
      <c r="AJ148" s="1128"/>
      <c r="AK148" s="1128"/>
      <c r="AL148" s="1128"/>
    </row>
    <row r="149" spans="1:38" s="1086" customFormat="1">
      <c r="A149" s="1096"/>
      <c r="B149" s="1096"/>
      <c r="C149" s="1096"/>
      <c r="D149" s="1096"/>
      <c r="E149" s="1128"/>
      <c r="F149" s="1128"/>
      <c r="G149" s="1128"/>
      <c r="H149" s="1099"/>
      <c r="I149" s="1099"/>
      <c r="J149" s="1107"/>
      <c r="K149" s="1099"/>
      <c r="L149" s="1099"/>
      <c r="M149" s="1099"/>
      <c r="N149" s="1099"/>
      <c r="O149" s="1099"/>
      <c r="P149" s="1099"/>
      <c r="Q149" s="1107"/>
      <c r="R149" s="1099"/>
      <c r="S149" s="1099"/>
      <c r="T149" s="1099"/>
      <c r="U149" s="1099"/>
      <c r="V149" s="1099"/>
      <c r="W149" s="1099"/>
      <c r="X149" s="1099"/>
      <c r="Y149" s="1099"/>
      <c r="Z149" s="1099"/>
      <c r="AA149" s="1099"/>
      <c r="AB149" s="1099"/>
      <c r="AC149" s="1128"/>
      <c r="AD149" s="1128"/>
      <c r="AE149" s="1128"/>
      <c r="AF149" s="1128"/>
      <c r="AG149" s="1128"/>
      <c r="AH149" s="1128"/>
      <c r="AI149" s="1128"/>
      <c r="AJ149" s="1128"/>
      <c r="AK149" s="1128"/>
      <c r="AL149" s="1128"/>
    </row>
    <row r="150" spans="1:38" s="1086" customFormat="1">
      <c r="A150" s="1096"/>
      <c r="B150" s="1096"/>
      <c r="C150" s="1096"/>
      <c r="D150" s="1096"/>
      <c r="E150" s="1128"/>
      <c r="F150" s="1128"/>
      <c r="G150" s="1128"/>
      <c r="H150" s="1099"/>
      <c r="I150" s="1099"/>
      <c r="J150" s="1107"/>
      <c r="K150" s="1099"/>
      <c r="L150" s="1099"/>
      <c r="M150" s="1099"/>
      <c r="N150" s="1099"/>
      <c r="O150" s="1099"/>
      <c r="P150" s="1099"/>
      <c r="Q150" s="1107"/>
      <c r="R150" s="1099"/>
      <c r="S150" s="1099"/>
      <c r="T150" s="1099"/>
      <c r="U150" s="1099"/>
      <c r="V150" s="1099"/>
      <c r="W150" s="1099"/>
      <c r="X150" s="1099"/>
      <c r="Y150" s="1099"/>
      <c r="Z150" s="1099"/>
      <c r="AA150" s="1099"/>
      <c r="AB150" s="1099"/>
      <c r="AC150" s="1128"/>
      <c r="AD150" s="1128"/>
      <c r="AE150" s="1128"/>
      <c r="AF150" s="1128"/>
      <c r="AG150" s="1128"/>
      <c r="AH150" s="1128"/>
      <c r="AI150" s="1128"/>
      <c r="AJ150" s="1128"/>
      <c r="AK150" s="1128"/>
      <c r="AL150" s="1128"/>
    </row>
    <row r="151" spans="1:38" s="1086" customFormat="1">
      <c r="A151" s="1096"/>
      <c r="B151" s="1096"/>
      <c r="C151" s="1096"/>
      <c r="D151" s="1096"/>
      <c r="E151" s="1128"/>
      <c r="F151" s="1128"/>
      <c r="G151" s="1128"/>
      <c r="H151" s="1099"/>
      <c r="I151" s="1099"/>
      <c r="J151" s="1107"/>
      <c r="K151" s="1099"/>
      <c r="L151" s="1099"/>
      <c r="M151" s="1099"/>
      <c r="N151" s="1099"/>
      <c r="O151" s="1099"/>
      <c r="P151" s="1099"/>
      <c r="Q151" s="1107"/>
      <c r="R151" s="1099"/>
      <c r="S151" s="1099"/>
      <c r="T151" s="1099"/>
      <c r="U151" s="1099"/>
      <c r="V151" s="1099"/>
      <c r="W151" s="1099"/>
      <c r="X151" s="1099"/>
      <c r="Y151" s="1099"/>
      <c r="Z151" s="1099"/>
      <c r="AA151" s="1099"/>
      <c r="AB151" s="1099"/>
      <c r="AC151" s="1128"/>
      <c r="AD151" s="1128"/>
      <c r="AE151" s="1128"/>
      <c r="AF151" s="1128"/>
      <c r="AG151" s="1128"/>
      <c r="AH151" s="1128"/>
      <c r="AI151" s="1128"/>
      <c r="AJ151" s="1128"/>
      <c r="AK151" s="1128"/>
      <c r="AL151" s="1128"/>
    </row>
    <row r="152" spans="1:38" s="1086" customFormat="1">
      <c r="A152" s="1096"/>
      <c r="B152" s="1096"/>
      <c r="C152" s="1096"/>
      <c r="D152" s="1096"/>
      <c r="E152" s="1128"/>
      <c r="F152" s="1128"/>
      <c r="G152" s="1128"/>
      <c r="H152" s="1099"/>
      <c r="I152" s="1099"/>
      <c r="J152" s="1107"/>
      <c r="K152" s="1099"/>
      <c r="L152" s="1099"/>
      <c r="M152" s="1099"/>
      <c r="N152" s="1099"/>
      <c r="O152" s="1099"/>
      <c r="P152" s="1099"/>
      <c r="Q152" s="1107"/>
      <c r="R152" s="1099"/>
      <c r="S152" s="1099"/>
      <c r="T152" s="1099"/>
      <c r="U152" s="1099"/>
      <c r="V152" s="1099"/>
      <c r="W152" s="1099"/>
      <c r="X152" s="1099"/>
      <c r="Y152" s="1099"/>
      <c r="Z152" s="1099"/>
      <c r="AA152" s="1099"/>
      <c r="AB152" s="1099"/>
      <c r="AC152" s="1128"/>
      <c r="AD152" s="1128"/>
      <c r="AE152" s="1128"/>
      <c r="AF152" s="1128"/>
      <c r="AG152" s="1128"/>
      <c r="AH152" s="1128"/>
      <c r="AI152" s="1128"/>
      <c r="AJ152" s="1128"/>
      <c r="AK152" s="1128"/>
      <c r="AL152" s="1128"/>
    </row>
    <row r="153" spans="1:38" s="1086" customFormat="1">
      <c r="A153" s="1096"/>
      <c r="B153" s="1096"/>
      <c r="C153" s="1096"/>
      <c r="D153" s="1096"/>
      <c r="E153" s="1128"/>
      <c r="F153" s="1128"/>
      <c r="G153" s="1128"/>
      <c r="H153" s="1099"/>
      <c r="I153" s="1099"/>
      <c r="J153" s="1107"/>
      <c r="K153" s="1099"/>
      <c r="L153" s="1099"/>
      <c r="M153" s="1099"/>
      <c r="N153" s="1099"/>
      <c r="O153" s="1099"/>
      <c r="P153" s="1099"/>
      <c r="Q153" s="1107"/>
      <c r="R153" s="1099"/>
      <c r="S153" s="1099"/>
      <c r="T153" s="1099"/>
      <c r="U153" s="1099"/>
      <c r="V153" s="1099"/>
      <c r="W153" s="1099"/>
      <c r="X153" s="1099"/>
      <c r="Y153" s="1099"/>
      <c r="Z153" s="1099"/>
      <c r="AA153" s="1099"/>
      <c r="AB153" s="1099"/>
      <c r="AC153" s="1128"/>
      <c r="AD153" s="1128"/>
      <c r="AE153" s="1128"/>
      <c r="AF153" s="1128"/>
      <c r="AG153" s="1128"/>
      <c r="AH153" s="1128"/>
      <c r="AI153" s="1128"/>
      <c r="AJ153" s="1128"/>
      <c r="AK153" s="1128"/>
      <c r="AL153" s="1128"/>
    </row>
    <row r="154" spans="1:38" s="1086" customFormat="1">
      <c r="A154" s="1096"/>
      <c r="B154" s="1096"/>
      <c r="C154" s="1096"/>
      <c r="D154" s="1096"/>
      <c r="E154" s="1128"/>
      <c r="F154" s="1128"/>
      <c r="G154" s="1128"/>
      <c r="H154" s="1099"/>
      <c r="I154" s="1099"/>
      <c r="J154" s="1107"/>
      <c r="K154" s="1099"/>
      <c r="L154" s="1099"/>
      <c r="M154" s="1099"/>
      <c r="N154" s="1099"/>
      <c r="O154" s="1099"/>
      <c r="P154" s="1099"/>
      <c r="Q154" s="1107"/>
      <c r="R154" s="1099"/>
      <c r="S154" s="1099"/>
      <c r="T154" s="1099"/>
      <c r="U154" s="1099"/>
      <c r="V154" s="1099"/>
      <c r="W154" s="1099"/>
      <c r="X154" s="1099"/>
      <c r="Y154" s="1099"/>
      <c r="Z154" s="1099"/>
      <c r="AA154" s="1099"/>
      <c r="AB154" s="1099"/>
      <c r="AC154" s="1128"/>
      <c r="AD154" s="1128"/>
      <c r="AE154" s="1128"/>
      <c r="AF154" s="1128"/>
      <c r="AG154" s="1128"/>
      <c r="AH154" s="1128"/>
      <c r="AI154" s="1128"/>
      <c r="AJ154" s="1128"/>
      <c r="AK154" s="1128"/>
      <c r="AL154" s="1128"/>
    </row>
    <row r="155" spans="1:38" s="1086" customFormat="1">
      <c r="A155" s="1096"/>
      <c r="B155" s="1096"/>
      <c r="C155" s="1096"/>
      <c r="D155" s="1096"/>
      <c r="E155" s="1128"/>
      <c r="F155" s="1128"/>
      <c r="G155" s="1128"/>
      <c r="H155" s="1099"/>
      <c r="I155" s="1099"/>
      <c r="J155" s="1107"/>
      <c r="K155" s="1099"/>
      <c r="L155" s="1099"/>
      <c r="M155" s="1099"/>
      <c r="N155" s="1099"/>
      <c r="O155" s="1099"/>
      <c r="P155" s="1099"/>
      <c r="Q155" s="1107"/>
      <c r="R155" s="1099"/>
      <c r="S155" s="1099"/>
      <c r="T155" s="1099"/>
      <c r="U155" s="1099"/>
      <c r="V155" s="1099"/>
      <c r="W155" s="1099"/>
      <c r="X155" s="1099"/>
      <c r="Y155" s="1099"/>
      <c r="Z155" s="1099"/>
      <c r="AA155" s="1099"/>
      <c r="AB155" s="1099"/>
      <c r="AC155" s="1128"/>
      <c r="AD155" s="1128"/>
      <c r="AE155" s="1128"/>
      <c r="AF155" s="1128"/>
      <c r="AG155" s="1128"/>
      <c r="AH155" s="1128"/>
      <c r="AI155" s="1128"/>
      <c r="AJ155" s="1128"/>
      <c r="AK155" s="1128"/>
      <c r="AL155" s="1128"/>
    </row>
    <row r="156" spans="1:38" s="1086" customFormat="1">
      <c r="A156" s="1096"/>
      <c r="B156" s="1096"/>
      <c r="C156" s="1096"/>
      <c r="D156" s="1096"/>
      <c r="E156" s="1128"/>
      <c r="F156" s="1128"/>
      <c r="G156" s="1128"/>
      <c r="H156" s="1099"/>
      <c r="I156" s="1099"/>
      <c r="J156" s="1107"/>
      <c r="K156" s="1099"/>
      <c r="L156" s="1099"/>
      <c r="M156" s="1099"/>
      <c r="N156" s="1099"/>
      <c r="O156" s="1099"/>
      <c r="P156" s="1099"/>
      <c r="Q156" s="1107"/>
      <c r="R156" s="1099"/>
      <c r="S156" s="1099"/>
      <c r="T156" s="1099"/>
      <c r="U156" s="1099"/>
      <c r="V156" s="1099"/>
      <c r="W156" s="1099"/>
      <c r="X156" s="1099"/>
      <c r="Y156" s="1099"/>
      <c r="Z156" s="1099"/>
      <c r="AA156" s="1099"/>
      <c r="AB156" s="1099"/>
      <c r="AC156" s="1128"/>
      <c r="AD156" s="1128"/>
      <c r="AE156" s="1128"/>
      <c r="AF156" s="1128"/>
      <c r="AG156" s="1128"/>
      <c r="AH156" s="1128"/>
      <c r="AI156" s="1128"/>
      <c r="AJ156" s="1128"/>
      <c r="AK156" s="1128"/>
      <c r="AL156" s="1128"/>
    </row>
    <row r="157" spans="1:38" s="1086" customFormat="1">
      <c r="A157" s="1096"/>
      <c r="B157" s="1096"/>
      <c r="C157" s="1096"/>
      <c r="D157" s="1096"/>
      <c r="E157" s="1128"/>
      <c r="F157" s="1128"/>
      <c r="G157" s="1128"/>
      <c r="H157" s="1099"/>
      <c r="I157" s="1099"/>
      <c r="J157" s="1107"/>
      <c r="K157" s="1099"/>
      <c r="L157" s="1099"/>
      <c r="M157" s="1099"/>
      <c r="N157" s="1099"/>
      <c r="O157" s="1099"/>
      <c r="P157" s="1099"/>
      <c r="Q157" s="1107"/>
      <c r="R157" s="1099"/>
      <c r="S157" s="1099"/>
      <c r="T157" s="1099"/>
      <c r="U157" s="1099"/>
      <c r="V157" s="1099"/>
      <c r="W157" s="1099"/>
      <c r="X157" s="1099"/>
      <c r="Y157" s="1099"/>
      <c r="Z157" s="1099"/>
      <c r="AA157" s="1099"/>
      <c r="AB157" s="1099"/>
      <c r="AC157" s="1128"/>
      <c r="AD157" s="1128"/>
      <c r="AE157" s="1128"/>
      <c r="AF157" s="1128"/>
      <c r="AG157" s="1128"/>
      <c r="AH157" s="1128"/>
      <c r="AI157" s="1128"/>
      <c r="AJ157" s="1128"/>
      <c r="AK157" s="1128"/>
      <c r="AL157" s="1128"/>
    </row>
    <row r="158" spans="1:38" s="1086" customFormat="1">
      <c r="A158" s="1096"/>
      <c r="B158" s="1096"/>
      <c r="C158" s="1096"/>
      <c r="D158" s="1096"/>
      <c r="E158" s="1128"/>
      <c r="F158" s="1128"/>
      <c r="G158" s="1128"/>
      <c r="H158" s="1099"/>
      <c r="I158" s="1099"/>
      <c r="J158" s="1107"/>
      <c r="K158" s="1099"/>
      <c r="L158" s="1099"/>
      <c r="M158" s="1099"/>
      <c r="N158" s="1099"/>
      <c r="O158" s="1099"/>
      <c r="P158" s="1099"/>
      <c r="Q158" s="1107"/>
      <c r="R158" s="1099"/>
      <c r="S158" s="1099"/>
      <c r="T158" s="1099"/>
      <c r="U158" s="1099"/>
      <c r="V158" s="1099"/>
      <c r="W158" s="1099"/>
      <c r="X158" s="1099"/>
      <c r="Y158" s="1099"/>
      <c r="Z158" s="1099"/>
      <c r="AA158" s="1099"/>
      <c r="AB158" s="1099"/>
      <c r="AC158" s="1128"/>
      <c r="AD158" s="1128"/>
      <c r="AE158" s="1128"/>
      <c r="AF158" s="1128"/>
      <c r="AG158" s="1128"/>
      <c r="AH158" s="1128"/>
      <c r="AI158" s="1128"/>
      <c r="AJ158" s="1128"/>
      <c r="AK158" s="1128"/>
      <c r="AL158" s="1128"/>
    </row>
    <row r="159" spans="1:38" s="1086" customFormat="1">
      <c r="A159" s="1096"/>
      <c r="B159" s="1096"/>
      <c r="C159" s="1096"/>
      <c r="D159" s="1096"/>
      <c r="E159" s="1128"/>
      <c r="F159" s="1128"/>
      <c r="G159" s="1128"/>
      <c r="H159" s="1099"/>
      <c r="I159" s="1099"/>
      <c r="J159" s="1107"/>
      <c r="K159" s="1099"/>
      <c r="L159" s="1099"/>
      <c r="M159" s="1099"/>
      <c r="N159" s="1099"/>
      <c r="O159" s="1099"/>
      <c r="P159" s="1099"/>
      <c r="Q159" s="1107"/>
      <c r="R159" s="1099"/>
      <c r="S159" s="1099"/>
      <c r="T159" s="1099"/>
      <c r="U159" s="1099"/>
      <c r="V159" s="1099"/>
      <c r="W159" s="1099"/>
      <c r="X159" s="1099"/>
      <c r="Y159" s="1099"/>
      <c r="Z159" s="1099"/>
      <c r="AA159" s="1099"/>
      <c r="AB159" s="1099"/>
      <c r="AC159" s="1128"/>
      <c r="AD159" s="1128"/>
      <c r="AE159" s="1128"/>
      <c r="AF159" s="1128"/>
      <c r="AG159" s="1128"/>
      <c r="AH159" s="1128"/>
      <c r="AI159" s="1128"/>
      <c r="AJ159" s="1128"/>
      <c r="AK159" s="1128"/>
      <c r="AL159" s="1128"/>
    </row>
    <row r="160" spans="1:38" s="1086" customFormat="1">
      <c r="A160" s="1096"/>
      <c r="B160" s="1096"/>
      <c r="C160" s="1096"/>
      <c r="D160" s="1096"/>
      <c r="E160" s="1128"/>
      <c r="F160" s="1128"/>
      <c r="G160" s="1128"/>
      <c r="H160" s="1099"/>
      <c r="I160" s="1099"/>
      <c r="J160" s="1107"/>
      <c r="K160" s="1099"/>
      <c r="L160" s="1099"/>
      <c r="M160" s="1099"/>
      <c r="N160" s="1099"/>
      <c r="O160" s="1099"/>
      <c r="P160" s="1099"/>
      <c r="Q160" s="1107"/>
      <c r="R160" s="1099"/>
      <c r="S160" s="1099"/>
      <c r="T160" s="1099"/>
      <c r="U160" s="1099"/>
      <c r="V160" s="1099"/>
      <c r="W160" s="1099"/>
      <c r="X160" s="1099"/>
      <c r="Y160" s="1099"/>
      <c r="Z160" s="1099"/>
      <c r="AA160" s="1099"/>
      <c r="AB160" s="1099"/>
      <c r="AC160" s="1128"/>
      <c r="AD160" s="1128"/>
      <c r="AE160" s="1128"/>
      <c r="AF160" s="1128"/>
      <c r="AG160" s="1128"/>
      <c r="AH160" s="1128"/>
      <c r="AI160" s="1128"/>
      <c r="AJ160" s="1128"/>
      <c r="AK160" s="1128"/>
      <c r="AL160" s="1128"/>
    </row>
    <row r="161" spans="1:38" s="1086" customFormat="1">
      <c r="A161" s="1096"/>
      <c r="B161" s="1096"/>
      <c r="C161" s="1096"/>
      <c r="D161" s="1096"/>
      <c r="E161" s="1128"/>
      <c r="F161" s="1128"/>
      <c r="G161" s="1128"/>
      <c r="H161" s="1099"/>
      <c r="I161" s="1099"/>
      <c r="J161" s="1107"/>
      <c r="K161" s="1099"/>
      <c r="L161" s="1099"/>
      <c r="M161" s="1099"/>
      <c r="N161" s="1099"/>
      <c r="O161" s="1099"/>
      <c r="P161" s="1099"/>
      <c r="Q161" s="1107"/>
      <c r="R161" s="1099"/>
      <c r="S161" s="1099"/>
      <c r="T161" s="1099"/>
      <c r="U161" s="1099"/>
      <c r="V161" s="1099"/>
      <c r="W161" s="1099"/>
      <c r="X161" s="1099"/>
      <c r="Y161" s="1099"/>
      <c r="Z161" s="1099"/>
      <c r="AA161" s="1099"/>
      <c r="AB161" s="1099"/>
      <c r="AC161" s="1128"/>
      <c r="AD161" s="1128"/>
      <c r="AE161" s="1128"/>
      <c r="AF161" s="1128"/>
      <c r="AG161" s="1128"/>
      <c r="AH161" s="1128"/>
      <c r="AI161" s="1128"/>
      <c r="AJ161" s="1128"/>
      <c r="AK161" s="1128"/>
      <c r="AL161" s="1128"/>
    </row>
    <row r="162" spans="1:38" s="1086" customFormat="1">
      <c r="A162" s="1096"/>
      <c r="B162" s="1096"/>
      <c r="C162" s="1096"/>
      <c r="D162" s="1096"/>
      <c r="E162" s="1128"/>
      <c r="F162" s="1128"/>
      <c r="G162" s="1128"/>
      <c r="H162" s="1099"/>
      <c r="I162" s="1099"/>
      <c r="J162" s="1107"/>
      <c r="K162" s="1099"/>
      <c r="L162" s="1099"/>
      <c r="M162" s="1099"/>
      <c r="N162" s="1099"/>
      <c r="O162" s="1099"/>
      <c r="P162" s="1099"/>
      <c r="Q162" s="1107"/>
      <c r="R162" s="1099"/>
      <c r="S162" s="1099"/>
      <c r="T162" s="1099"/>
      <c r="U162" s="1099"/>
      <c r="V162" s="1099"/>
      <c r="W162" s="1099"/>
      <c r="X162" s="1099"/>
      <c r="Y162" s="1099"/>
      <c r="Z162" s="1099"/>
      <c r="AA162" s="1099"/>
      <c r="AB162" s="1099"/>
      <c r="AC162" s="1128"/>
      <c r="AD162" s="1128"/>
      <c r="AE162" s="1128"/>
      <c r="AF162" s="1128"/>
      <c r="AG162" s="1128"/>
      <c r="AH162" s="1128"/>
      <c r="AI162" s="1128"/>
      <c r="AJ162" s="1128"/>
      <c r="AK162" s="1128"/>
      <c r="AL162" s="1128"/>
    </row>
    <row r="163" spans="1:38" s="1086" customFormat="1">
      <c r="A163" s="1096"/>
      <c r="B163" s="1096"/>
      <c r="C163" s="1096"/>
      <c r="D163" s="1096"/>
      <c r="E163" s="1128"/>
      <c r="F163" s="1128"/>
      <c r="G163" s="1128"/>
      <c r="H163" s="1099"/>
      <c r="I163" s="1099"/>
      <c r="J163" s="1107"/>
      <c r="K163" s="1099"/>
      <c r="L163" s="1099"/>
      <c r="M163" s="1099"/>
      <c r="N163" s="1099"/>
      <c r="O163" s="1099"/>
      <c r="P163" s="1099"/>
      <c r="Q163" s="1107"/>
      <c r="R163" s="1099"/>
      <c r="S163" s="1099"/>
      <c r="T163" s="1099"/>
      <c r="U163" s="1099"/>
      <c r="V163" s="1099"/>
      <c r="W163" s="1099"/>
      <c r="X163" s="1099"/>
      <c r="Y163" s="1099"/>
      <c r="Z163" s="1099"/>
      <c r="AA163" s="1099"/>
      <c r="AB163" s="1099"/>
      <c r="AC163" s="1128"/>
      <c r="AD163" s="1128"/>
      <c r="AE163" s="1128"/>
      <c r="AF163" s="1128"/>
      <c r="AG163" s="1128"/>
      <c r="AH163" s="1128"/>
      <c r="AI163" s="1128"/>
      <c r="AJ163" s="1128"/>
      <c r="AK163" s="1128"/>
      <c r="AL163" s="1128"/>
    </row>
    <row r="164" spans="1:38" s="1086" customFormat="1">
      <c r="A164" s="1096"/>
      <c r="B164" s="1096"/>
      <c r="C164" s="1096"/>
      <c r="D164" s="1096"/>
      <c r="E164" s="1128"/>
      <c r="F164" s="1128"/>
      <c r="G164" s="1128"/>
      <c r="H164" s="1099"/>
      <c r="I164" s="1099"/>
      <c r="J164" s="1107"/>
      <c r="K164" s="1099"/>
      <c r="L164" s="1099"/>
      <c r="M164" s="1099"/>
      <c r="N164" s="1099"/>
      <c r="O164" s="1099"/>
      <c r="P164" s="1099"/>
      <c r="Q164" s="1107"/>
      <c r="R164" s="1099"/>
      <c r="S164" s="1099"/>
      <c r="T164" s="1099"/>
      <c r="U164" s="1099"/>
      <c r="V164" s="1099"/>
      <c r="W164" s="1099"/>
      <c r="X164" s="1099"/>
      <c r="Y164" s="1099"/>
      <c r="Z164" s="1099"/>
      <c r="AA164" s="1099"/>
      <c r="AB164" s="1099"/>
      <c r="AC164" s="1128"/>
      <c r="AD164" s="1128"/>
      <c r="AE164" s="1128"/>
      <c r="AF164" s="1128"/>
      <c r="AG164" s="1128"/>
      <c r="AH164" s="1128"/>
      <c r="AI164" s="1128"/>
      <c r="AJ164" s="1128"/>
      <c r="AK164" s="1128"/>
      <c r="AL164" s="1128"/>
    </row>
    <row r="165" spans="1:38" s="1086" customFormat="1">
      <c r="A165" s="1096"/>
      <c r="B165" s="1096"/>
      <c r="C165" s="1096"/>
      <c r="D165" s="1096"/>
      <c r="E165" s="1128"/>
      <c r="F165" s="1128"/>
      <c r="G165" s="1128"/>
      <c r="H165" s="1099"/>
      <c r="I165" s="1099"/>
      <c r="J165" s="1107"/>
      <c r="K165" s="1099"/>
      <c r="L165" s="1099"/>
      <c r="M165" s="1099"/>
      <c r="N165" s="1099"/>
      <c r="O165" s="1099"/>
      <c r="P165" s="1099"/>
      <c r="Q165" s="1107"/>
      <c r="R165" s="1099"/>
      <c r="S165" s="1099"/>
      <c r="T165" s="1099"/>
      <c r="U165" s="1099"/>
      <c r="V165" s="1099"/>
      <c r="W165" s="1099"/>
      <c r="X165" s="1099"/>
      <c r="Y165" s="1099"/>
      <c r="Z165" s="1099"/>
      <c r="AA165" s="1099"/>
      <c r="AB165" s="1099"/>
      <c r="AC165" s="1128"/>
      <c r="AD165" s="1128"/>
      <c r="AE165" s="1128"/>
      <c r="AF165" s="1128"/>
      <c r="AG165" s="1128"/>
      <c r="AH165" s="1128"/>
      <c r="AI165" s="1128"/>
      <c r="AJ165" s="1128"/>
      <c r="AK165" s="1128"/>
      <c r="AL165" s="1128"/>
    </row>
    <row r="166" spans="1:38" s="1086" customFormat="1">
      <c r="A166" s="1096"/>
      <c r="B166" s="1096"/>
      <c r="C166" s="1096"/>
      <c r="D166" s="1096"/>
      <c r="E166" s="1128"/>
      <c r="F166" s="1128"/>
      <c r="G166" s="1128"/>
      <c r="H166" s="1099"/>
      <c r="I166" s="1099"/>
      <c r="J166" s="1107"/>
      <c r="K166" s="1099"/>
      <c r="L166" s="1099"/>
      <c r="M166" s="1099"/>
      <c r="N166" s="1099"/>
      <c r="O166" s="1099"/>
      <c r="P166" s="1099"/>
      <c r="Q166" s="1107"/>
      <c r="R166" s="1099"/>
      <c r="S166" s="1099"/>
      <c r="T166" s="1099"/>
      <c r="U166" s="1099"/>
      <c r="V166" s="1099"/>
      <c r="W166" s="1099"/>
      <c r="X166" s="1099"/>
      <c r="Y166" s="1099"/>
      <c r="Z166" s="1099"/>
      <c r="AA166" s="1099"/>
      <c r="AB166" s="1099"/>
      <c r="AC166" s="1128"/>
      <c r="AD166" s="1128"/>
      <c r="AE166" s="1128"/>
      <c r="AF166" s="1128"/>
      <c r="AG166" s="1128"/>
      <c r="AH166" s="1128"/>
      <c r="AI166" s="1128"/>
      <c r="AJ166" s="1128"/>
      <c r="AK166" s="1128"/>
      <c r="AL166" s="1128"/>
    </row>
    <row r="167" spans="1:38" s="1086" customFormat="1">
      <c r="A167" s="1096"/>
      <c r="B167" s="1096"/>
      <c r="C167" s="1096"/>
      <c r="D167" s="1096"/>
      <c r="E167" s="1128"/>
      <c r="F167" s="1128"/>
      <c r="G167" s="1128"/>
      <c r="H167" s="1099"/>
      <c r="I167" s="1099"/>
      <c r="J167" s="1107"/>
      <c r="K167" s="1099"/>
      <c r="L167" s="1099"/>
      <c r="M167" s="1099"/>
      <c r="N167" s="1099"/>
      <c r="O167" s="1099"/>
      <c r="P167" s="1099"/>
      <c r="Q167" s="1107"/>
      <c r="R167" s="1099"/>
      <c r="S167" s="1099"/>
      <c r="T167" s="1099"/>
      <c r="U167" s="1099"/>
      <c r="V167" s="1099"/>
      <c r="W167" s="1099"/>
      <c r="X167" s="1099"/>
      <c r="Y167" s="1099"/>
      <c r="Z167" s="1099"/>
      <c r="AA167" s="1099"/>
      <c r="AB167" s="1099"/>
      <c r="AC167" s="1128"/>
      <c r="AD167" s="1128"/>
      <c r="AE167" s="1128"/>
      <c r="AF167" s="1128"/>
      <c r="AG167" s="1128"/>
      <c r="AH167" s="1128"/>
      <c r="AI167" s="1128"/>
      <c r="AJ167" s="1128"/>
      <c r="AK167" s="1128"/>
      <c r="AL167" s="1128"/>
    </row>
    <row r="168" spans="1:38" s="1086" customFormat="1">
      <c r="A168" s="1096"/>
      <c r="B168" s="1096"/>
      <c r="C168" s="1096"/>
      <c r="D168" s="1096"/>
      <c r="E168" s="1128"/>
      <c r="F168" s="1128"/>
      <c r="G168" s="1128"/>
      <c r="H168" s="1099"/>
      <c r="I168" s="1099"/>
      <c r="J168" s="1107"/>
      <c r="K168" s="1099"/>
      <c r="L168" s="1099"/>
      <c r="M168" s="1099"/>
      <c r="N168" s="1099"/>
      <c r="O168" s="1099"/>
      <c r="P168" s="1099"/>
      <c r="Q168" s="1107"/>
      <c r="R168" s="1099"/>
      <c r="S168" s="1099"/>
      <c r="T168" s="1099"/>
      <c r="U168" s="1099"/>
      <c r="V168" s="1099"/>
      <c r="W168" s="1099"/>
      <c r="X168" s="1099"/>
      <c r="Y168" s="1099"/>
      <c r="Z168" s="1099"/>
      <c r="AA168" s="1099"/>
      <c r="AB168" s="1099"/>
      <c r="AC168" s="1128"/>
      <c r="AD168" s="1128"/>
      <c r="AE168" s="1128"/>
      <c r="AF168" s="1128"/>
      <c r="AG168" s="1128"/>
      <c r="AH168" s="1128"/>
      <c r="AI168" s="1128"/>
      <c r="AJ168" s="1128"/>
      <c r="AK168" s="1128"/>
      <c r="AL168" s="1128"/>
    </row>
    <row r="169" spans="1:38" s="1086" customFormat="1">
      <c r="A169" s="1096"/>
      <c r="B169" s="1096"/>
      <c r="C169" s="1096"/>
      <c r="D169" s="1096"/>
      <c r="E169" s="1128"/>
      <c r="F169" s="1128"/>
      <c r="G169" s="1128"/>
      <c r="H169" s="1099"/>
      <c r="I169" s="1099"/>
      <c r="J169" s="1107"/>
      <c r="K169" s="1099"/>
      <c r="L169" s="1099"/>
      <c r="M169" s="1099"/>
      <c r="N169" s="1099"/>
      <c r="O169" s="1099"/>
      <c r="P169" s="1099"/>
      <c r="Q169" s="1107"/>
      <c r="R169" s="1099"/>
      <c r="S169" s="1099"/>
      <c r="T169" s="1099"/>
      <c r="U169" s="1099"/>
      <c r="V169" s="1099"/>
      <c r="W169" s="1099"/>
      <c r="X169" s="1099"/>
      <c r="Y169" s="1099"/>
      <c r="Z169" s="1099"/>
      <c r="AA169" s="1099"/>
      <c r="AB169" s="1099"/>
      <c r="AC169" s="1128"/>
      <c r="AD169" s="1128"/>
      <c r="AE169" s="1128"/>
      <c r="AF169" s="1128"/>
      <c r="AG169" s="1128"/>
      <c r="AH169" s="1128"/>
      <c r="AI169" s="1128"/>
      <c r="AJ169" s="1128"/>
      <c r="AK169" s="1128"/>
      <c r="AL169" s="1128"/>
    </row>
    <row r="170" spans="1:38" s="1086" customFormat="1">
      <c r="A170" s="1096"/>
      <c r="B170" s="1096"/>
      <c r="C170" s="1096"/>
      <c r="D170" s="1096"/>
      <c r="E170" s="1128"/>
      <c r="F170" s="1128"/>
      <c r="G170" s="1128"/>
      <c r="H170" s="1099"/>
      <c r="I170" s="1099"/>
      <c r="J170" s="1107"/>
      <c r="K170" s="1099"/>
      <c r="L170" s="1099"/>
      <c r="M170" s="1099"/>
      <c r="N170" s="1099"/>
      <c r="O170" s="1099"/>
      <c r="P170" s="1099"/>
      <c r="Q170" s="1107"/>
      <c r="R170" s="1099"/>
      <c r="S170" s="1099"/>
      <c r="T170" s="1099"/>
      <c r="U170" s="1099"/>
      <c r="V170" s="1099"/>
      <c r="W170" s="1099"/>
      <c r="X170" s="1099"/>
      <c r="Y170" s="1099"/>
      <c r="Z170" s="1099"/>
      <c r="AA170" s="1099"/>
      <c r="AB170" s="1099"/>
      <c r="AC170" s="1128"/>
      <c r="AD170" s="1128"/>
      <c r="AE170" s="1128"/>
      <c r="AF170" s="1128"/>
      <c r="AG170" s="1128"/>
      <c r="AH170" s="1128"/>
      <c r="AI170" s="1128"/>
      <c r="AJ170" s="1128"/>
      <c r="AK170" s="1128"/>
      <c r="AL170" s="1128"/>
    </row>
    <row r="171" spans="1:38" s="1086" customFormat="1">
      <c r="A171" s="1096"/>
      <c r="B171" s="1096"/>
      <c r="C171" s="1096"/>
      <c r="D171" s="1096"/>
      <c r="E171" s="1128"/>
      <c r="F171" s="1128"/>
      <c r="G171" s="1128"/>
      <c r="H171" s="1099"/>
      <c r="I171" s="1099"/>
      <c r="J171" s="1107"/>
      <c r="K171" s="1099"/>
      <c r="L171" s="1099"/>
      <c r="M171" s="1099"/>
      <c r="N171" s="1099"/>
      <c r="O171" s="1099"/>
      <c r="P171" s="1099"/>
      <c r="Q171" s="1107"/>
      <c r="R171" s="1099"/>
      <c r="S171" s="1099"/>
      <c r="T171" s="1099"/>
      <c r="U171" s="1099"/>
      <c r="V171" s="1099"/>
      <c r="W171" s="1099"/>
      <c r="X171" s="1099"/>
      <c r="Y171" s="1099"/>
      <c r="Z171" s="1099"/>
      <c r="AA171" s="1099"/>
      <c r="AB171" s="1099"/>
      <c r="AC171" s="1128"/>
      <c r="AD171" s="1128"/>
      <c r="AE171" s="1128"/>
      <c r="AF171" s="1128"/>
      <c r="AG171" s="1128"/>
      <c r="AH171" s="1128"/>
      <c r="AI171" s="1128"/>
      <c r="AJ171" s="1128"/>
      <c r="AK171" s="1128"/>
      <c r="AL171" s="1128"/>
    </row>
    <row r="172" spans="1:38" s="1086" customFormat="1">
      <c r="A172" s="1096"/>
      <c r="B172" s="1096"/>
      <c r="C172" s="1096"/>
      <c r="D172" s="1096"/>
      <c r="E172" s="1128"/>
      <c r="F172" s="1128"/>
      <c r="G172" s="1128"/>
      <c r="H172" s="1099"/>
      <c r="I172" s="1099"/>
      <c r="J172" s="1107"/>
      <c r="K172" s="1099"/>
      <c r="L172" s="1099"/>
      <c r="M172" s="1099"/>
      <c r="N172" s="1099"/>
      <c r="O172" s="1099"/>
      <c r="P172" s="1099"/>
      <c r="Q172" s="1107"/>
      <c r="R172" s="1099"/>
      <c r="S172" s="1099"/>
      <c r="T172" s="1099"/>
      <c r="U172" s="1099"/>
      <c r="V172" s="1099"/>
      <c r="W172" s="1099"/>
      <c r="X172" s="1099"/>
      <c r="Y172" s="1099"/>
      <c r="Z172" s="1099"/>
      <c r="AA172" s="1099"/>
      <c r="AB172" s="1099"/>
      <c r="AC172" s="1128"/>
      <c r="AD172" s="1128"/>
      <c r="AE172" s="1128"/>
      <c r="AF172" s="1128"/>
      <c r="AG172" s="1128"/>
      <c r="AH172" s="1128"/>
      <c r="AI172" s="1128"/>
      <c r="AJ172" s="1128"/>
      <c r="AK172" s="1128"/>
      <c r="AL172" s="1128"/>
    </row>
    <row r="173" spans="1:38" s="1086" customFormat="1">
      <c r="A173" s="1096"/>
      <c r="B173" s="1096"/>
      <c r="C173" s="1096"/>
      <c r="D173" s="1096"/>
      <c r="E173" s="1128"/>
      <c r="F173" s="1128"/>
      <c r="G173" s="1128"/>
      <c r="H173" s="1099"/>
      <c r="I173" s="1099"/>
      <c r="J173" s="1107"/>
      <c r="K173" s="1099"/>
      <c r="L173" s="1099"/>
      <c r="M173" s="1099"/>
      <c r="N173" s="1099"/>
      <c r="O173" s="1099"/>
      <c r="P173" s="1099"/>
      <c r="Q173" s="1107"/>
      <c r="R173" s="1099"/>
      <c r="S173" s="1099"/>
      <c r="T173" s="1099"/>
      <c r="U173" s="1099"/>
      <c r="V173" s="1099"/>
      <c r="W173" s="1099"/>
      <c r="X173" s="1099"/>
      <c r="Y173" s="1099"/>
      <c r="Z173" s="1099"/>
      <c r="AA173" s="1099"/>
      <c r="AB173" s="1099"/>
      <c r="AC173" s="1128"/>
      <c r="AD173" s="1128"/>
      <c r="AE173" s="1128"/>
      <c r="AF173" s="1128"/>
      <c r="AG173" s="1128"/>
      <c r="AH173" s="1128"/>
      <c r="AI173" s="1128"/>
      <c r="AJ173" s="1128"/>
      <c r="AK173" s="1128"/>
      <c r="AL173" s="1128"/>
    </row>
    <row r="174" spans="1:38" s="1086" customFormat="1">
      <c r="A174" s="1096"/>
      <c r="B174" s="1096"/>
      <c r="C174" s="1096"/>
      <c r="D174" s="1096"/>
      <c r="E174" s="1128"/>
      <c r="F174" s="1128"/>
      <c r="G174" s="1128"/>
      <c r="H174" s="1099"/>
      <c r="I174" s="1099"/>
      <c r="J174" s="1107"/>
      <c r="K174" s="1099"/>
      <c r="L174" s="1099"/>
      <c r="M174" s="1099"/>
      <c r="N174" s="1099"/>
      <c r="O174" s="1099"/>
      <c r="P174" s="1099"/>
      <c r="Q174" s="1107"/>
      <c r="R174" s="1099"/>
      <c r="S174" s="1099"/>
      <c r="T174" s="1099"/>
      <c r="U174" s="1099"/>
      <c r="V174" s="1099"/>
      <c r="W174" s="1099"/>
      <c r="X174" s="1099"/>
      <c r="Y174" s="1099"/>
      <c r="Z174" s="1099"/>
      <c r="AA174" s="1099"/>
      <c r="AB174" s="1099"/>
      <c r="AC174" s="1128"/>
      <c r="AD174" s="1128"/>
      <c r="AE174" s="1128"/>
      <c r="AF174" s="1128"/>
      <c r="AG174" s="1128"/>
      <c r="AH174" s="1128"/>
      <c r="AI174" s="1128"/>
      <c r="AJ174" s="1128"/>
      <c r="AK174" s="1128"/>
      <c r="AL174" s="1128"/>
    </row>
    <row r="175" spans="1:38" s="1086" customFormat="1">
      <c r="A175" s="1096"/>
      <c r="B175" s="1096"/>
      <c r="C175" s="1096"/>
      <c r="D175" s="1096"/>
      <c r="E175" s="1128"/>
      <c r="F175" s="1128"/>
      <c r="G175" s="1128"/>
      <c r="H175" s="1099"/>
      <c r="I175" s="1099"/>
      <c r="J175" s="1107"/>
      <c r="K175" s="1099"/>
      <c r="L175" s="1099"/>
      <c r="M175" s="1099"/>
      <c r="N175" s="1099"/>
      <c r="O175" s="1099"/>
      <c r="P175" s="1099"/>
      <c r="Q175" s="1107"/>
      <c r="R175" s="1099"/>
      <c r="S175" s="1099"/>
      <c r="T175" s="1099"/>
      <c r="U175" s="1099"/>
      <c r="V175" s="1099"/>
      <c r="W175" s="1099"/>
      <c r="X175" s="1099"/>
      <c r="Y175" s="1099"/>
      <c r="Z175" s="1099"/>
      <c r="AA175" s="1099"/>
      <c r="AB175" s="1099"/>
      <c r="AC175" s="1128"/>
      <c r="AD175" s="1128"/>
      <c r="AE175" s="1128"/>
      <c r="AF175" s="1128"/>
      <c r="AG175" s="1128"/>
      <c r="AH175" s="1128"/>
      <c r="AI175" s="1128"/>
      <c r="AJ175" s="1128"/>
      <c r="AK175" s="1128"/>
      <c r="AL175" s="1128"/>
    </row>
    <row r="176" spans="1:38" s="1086" customFormat="1">
      <c r="A176" s="1096"/>
      <c r="B176" s="1096"/>
      <c r="C176" s="1096"/>
      <c r="D176" s="1096"/>
      <c r="E176" s="1128"/>
      <c r="F176" s="1128"/>
      <c r="G176" s="1128"/>
      <c r="H176" s="1099"/>
      <c r="I176" s="1099"/>
      <c r="J176" s="1107"/>
      <c r="K176" s="1099"/>
      <c r="L176" s="1099"/>
      <c r="M176" s="1099"/>
      <c r="N176" s="1099"/>
      <c r="O176" s="1099"/>
      <c r="P176" s="1099"/>
      <c r="Q176" s="1107"/>
      <c r="R176" s="1099"/>
      <c r="S176" s="1099"/>
      <c r="T176" s="1099"/>
      <c r="U176" s="1099"/>
      <c r="V176" s="1099"/>
      <c r="W176" s="1099"/>
      <c r="X176" s="1099"/>
      <c r="Y176" s="1099"/>
      <c r="Z176" s="1099"/>
      <c r="AA176" s="1099"/>
      <c r="AB176" s="1099"/>
      <c r="AC176" s="1128"/>
      <c r="AD176" s="1128"/>
      <c r="AE176" s="1128"/>
      <c r="AF176" s="1128"/>
      <c r="AG176" s="1128"/>
      <c r="AH176" s="1128"/>
      <c r="AI176" s="1128"/>
      <c r="AJ176" s="1128"/>
      <c r="AK176" s="1128"/>
      <c r="AL176" s="1128"/>
    </row>
    <row r="177" spans="1:38" s="1086" customFormat="1">
      <c r="A177" s="1096"/>
      <c r="B177" s="1096"/>
      <c r="C177" s="1096"/>
      <c r="D177" s="1096"/>
      <c r="E177" s="1128"/>
      <c r="F177" s="1128"/>
      <c r="G177" s="1128"/>
      <c r="H177" s="1099"/>
      <c r="I177" s="1099"/>
      <c r="J177" s="1107"/>
      <c r="K177" s="1099"/>
      <c r="L177" s="1099"/>
      <c r="M177" s="1099"/>
      <c r="N177" s="1099"/>
      <c r="O177" s="1099"/>
      <c r="P177" s="1099"/>
      <c r="Q177" s="1107"/>
      <c r="R177" s="1099"/>
      <c r="S177" s="1099"/>
      <c r="T177" s="1099"/>
      <c r="U177" s="1099"/>
      <c r="V177" s="1099"/>
      <c r="W177" s="1099"/>
      <c r="X177" s="1099"/>
      <c r="Y177" s="1099"/>
      <c r="Z177" s="1099"/>
      <c r="AA177" s="1099"/>
      <c r="AB177" s="1099"/>
      <c r="AC177" s="1128"/>
      <c r="AD177" s="1128"/>
      <c r="AE177" s="1128"/>
      <c r="AF177" s="1128"/>
      <c r="AG177" s="1128"/>
      <c r="AH177" s="1128"/>
      <c r="AI177" s="1128"/>
      <c r="AJ177" s="1128"/>
      <c r="AK177" s="1128"/>
      <c r="AL177" s="1128"/>
    </row>
    <row r="178" spans="1:38" s="1086" customFormat="1">
      <c r="A178" s="1096"/>
      <c r="B178" s="1096"/>
      <c r="C178" s="1096"/>
      <c r="D178" s="1096"/>
      <c r="E178" s="1128"/>
      <c r="F178" s="1128"/>
      <c r="G178" s="1128"/>
      <c r="H178" s="1099"/>
      <c r="I178" s="1099"/>
      <c r="J178" s="1107"/>
      <c r="K178" s="1099"/>
      <c r="L178" s="1099"/>
      <c r="M178" s="1099"/>
      <c r="N178" s="1099"/>
      <c r="O178" s="1099"/>
      <c r="P178" s="1099"/>
      <c r="Q178" s="1107"/>
      <c r="R178" s="1099"/>
      <c r="S178" s="1099"/>
      <c r="T178" s="1099"/>
      <c r="U178" s="1099"/>
      <c r="V178" s="1099"/>
      <c r="W178" s="1099"/>
      <c r="X178" s="1099"/>
      <c r="Y178" s="1099"/>
      <c r="Z178" s="1099"/>
      <c r="AA178" s="1099"/>
      <c r="AB178" s="1099"/>
      <c r="AC178" s="1128"/>
      <c r="AD178" s="1128"/>
      <c r="AE178" s="1128"/>
      <c r="AF178" s="1128"/>
      <c r="AG178" s="1128"/>
      <c r="AH178" s="1128"/>
      <c r="AI178" s="1128"/>
      <c r="AJ178" s="1128"/>
      <c r="AK178" s="1128"/>
      <c r="AL178" s="1128"/>
    </row>
    <row r="179" spans="1:38" s="1086" customFormat="1">
      <c r="A179" s="1096"/>
      <c r="B179" s="1096"/>
      <c r="C179" s="1096"/>
      <c r="D179" s="1096"/>
      <c r="E179" s="1128"/>
      <c r="F179" s="1128"/>
      <c r="G179" s="1128"/>
      <c r="H179" s="1099"/>
      <c r="I179" s="1099"/>
      <c r="J179" s="1107"/>
      <c r="K179" s="1099"/>
      <c r="L179" s="1099"/>
      <c r="M179" s="1099"/>
      <c r="N179" s="1099"/>
      <c r="O179" s="1099"/>
      <c r="P179" s="1099"/>
      <c r="Q179" s="1107"/>
      <c r="R179" s="1099"/>
      <c r="S179" s="1099"/>
      <c r="T179" s="1099"/>
      <c r="U179" s="1099"/>
      <c r="V179" s="1099"/>
      <c r="W179" s="1099"/>
      <c r="X179" s="1099"/>
      <c r="Y179" s="1099"/>
      <c r="Z179" s="1099"/>
      <c r="AA179" s="1099"/>
      <c r="AB179" s="1099"/>
      <c r="AC179" s="1128"/>
      <c r="AD179" s="1128"/>
      <c r="AE179" s="1128"/>
      <c r="AF179" s="1128"/>
      <c r="AG179" s="1128"/>
      <c r="AH179" s="1128"/>
      <c r="AI179" s="1128"/>
      <c r="AJ179" s="1128"/>
      <c r="AK179" s="1128"/>
      <c r="AL179" s="1128"/>
    </row>
    <row r="180" spans="1:38" s="1086" customFormat="1">
      <c r="A180" s="1096"/>
      <c r="B180" s="1096"/>
      <c r="C180" s="1096"/>
      <c r="D180" s="1096"/>
      <c r="E180" s="1128"/>
      <c r="F180" s="1128"/>
      <c r="G180" s="1128"/>
      <c r="H180" s="1099"/>
      <c r="I180" s="1099"/>
      <c r="J180" s="1107"/>
      <c r="K180" s="1099"/>
      <c r="L180" s="1099"/>
      <c r="M180" s="1099"/>
      <c r="N180" s="1099"/>
      <c r="O180" s="1099"/>
      <c r="P180" s="1099"/>
      <c r="Q180" s="1107"/>
      <c r="R180" s="1099"/>
      <c r="S180" s="1099"/>
      <c r="T180" s="1099"/>
      <c r="U180" s="1099"/>
      <c r="V180" s="1099"/>
      <c r="W180" s="1099"/>
      <c r="X180" s="1099"/>
      <c r="Y180" s="1099"/>
      <c r="Z180" s="1099"/>
      <c r="AA180" s="1099"/>
      <c r="AB180" s="1099"/>
      <c r="AC180" s="1128"/>
      <c r="AD180" s="1128"/>
      <c r="AE180" s="1128"/>
      <c r="AF180" s="1128"/>
      <c r="AG180" s="1128"/>
      <c r="AH180" s="1128"/>
      <c r="AI180" s="1128"/>
      <c r="AJ180" s="1128"/>
      <c r="AK180" s="1128"/>
      <c r="AL180" s="1128"/>
    </row>
    <row r="181" spans="1:38" s="1086" customFormat="1">
      <c r="A181" s="1096"/>
      <c r="B181" s="1096"/>
      <c r="C181" s="1096"/>
      <c r="D181" s="1096"/>
      <c r="E181" s="1128"/>
      <c r="F181" s="1128"/>
      <c r="G181" s="1128"/>
      <c r="H181" s="1099"/>
      <c r="I181" s="1099"/>
      <c r="J181" s="1107"/>
      <c r="K181" s="1099"/>
      <c r="L181" s="1099"/>
      <c r="M181" s="1099"/>
      <c r="N181" s="1099"/>
      <c r="O181" s="1099"/>
      <c r="P181" s="1099"/>
      <c r="Q181" s="1107"/>
      <c r="R181" s="1099"/>
      <c r="S181" s="1099"/>
      <c r="T181" s="1099"/>
      <c r="U181" s="1099"/>
      <c r="V181" s="1099"/>
      <c r="W181" s="1099"/>
      <c r="X181" s="1099"/>
      <c r="Y181" s="1099"/>
      <c r="Z181" s="1099"/>
      <c r="AA181" s="1099"/>
      <c r="AB181" s="1099"/>
      <c r="AC181" s="1128"/>
      <c r="AD181" s="1128"/>
      <c r="AE181" s="1128"/>
      <c r="AF181" s="1128"/>
      <c r="AG181" s="1128"/>
      <c r="AH181" s="1128"/>
      <c r="AI181" s="1128"/>
      <c r="AJ181" s="1128"/>
      <c r="AK181" s="1128"/>
      <c r="AL181" s="1128"/>
    </row>
    <row r="182" spans="1:38" s="1086" customFormat="1">
      <c r="A182" s="1096"/>
      <c r="B182" s="1096"/>
      <c r="C182" s="1096"/>
      <c r="D182" s="1096"/>
      <c r="E182" s="1128"/>
      <c r="F182" s="1128"/>
      <c r="G182" s="1128"/>
      <c r="H182" s="1099"/>
      <c r="I182" s="1099"/>
      <c r="J182" s="1107"/>
      <c r="K182" s="1099"/>
      <c r="L182" s="1099"/>
      <c r="M182" s="1099"/>
      <c r="N182" s="1099"/>
      <c r="O182" s="1099"/>
      <c r="P182" s="1099"/>
      <c r="Q182" s="1107"/>
      <c r="R182" s="1099"/>
      <c r="S182" s="1099"/>
      <c r="T182" s="1099"/>
      <c r="U182" s="1099"/>
      <c r="V182" s="1099"/>
      <c r="W182" s="1099"/>
      <c r="X182" s="1099"/>
      <c r="Y182" s="1099"/>
      <c r="Z182" s="1099"/>
      <c r="AA182" s="1099"/>
      <c r="AB182" s="1099"/>
      <c r="AC182" s="1128"/>
      <c r="AD182" s="1128"/>
      <c r="AE182" s="1128"/>
      <c r="AF182" s="1128"/>
      <c r="AG182" s="1128"/>
      <c r="AH182" s="1128"/>
      <c r="AI182" s="1128"/>
      <c r="AJ182" s="1128"/>
      <c r="AK182" s="1128"/>
      <c r="AL182" s="1128"/>
    </row>
    <row r="183" spans="1:38" s="1086" customFormat="1">
      <c r="A183" s="1096"/>
      <c r="B183" s="1096"/>
      <c r="C183" s="1096"/>
      <c r="D183" s="1096"/>
      <c r="E183" s="1128"/>
      <c r="F183" s="1128"/>
      <c r="G183" s="1128"/>
      <c r="H183" s="1099"/>
      <c r="I183" s="1099"/>
      <c r="J183" s="1107"/>
      <c r="K183" s="1099"/>
      <c r="L183" s="1099"/>
      <c r="M183" s="1099"/>
      <c r="N183" s="1099"/>
      <c r="O183" s="1099"/>
      <c r="P183" s="1099"/>
      <c r="Q183" s="1107"/>
      <c r="R183" s="1099"/>
      <c r="S183" s="1099"/>
      <c r="T183" s="1099"/>
      <c r="U183" s="1099"/>
      <c r="V183" s="1099"/>
      <c r="W183" s="1099"/>
      <c r="X183" s="1099"/>
      <c r="Y183" s="1099"/>
      <c r="Z183" s="1099"/>
      <c r="AA183" s="1099"/>
      <c r="AB183" s="1099"/>
      <c r="AC183" s="1128"/>
      <c r="AD183" s="1128"/>
      <c r="AE183" s="1128"/>
      <c r="AF183" s="1128"/>
      <c r="AG183" s="1128"/>
      <c r="AH183" s="1128"/>
      <c r="AI183" s="1128"/>
      <c r="AJ183" s="1128"/>
      <c r="AK183" s="1128"/>
      <c r="AL183" s="1128"/>
    </row>
    <row r="184" spans="1:38" s="1086" customFormat="1">
      <c r="A184" s="1096"/>
      <c r="B184" s="1096"/>
      <c r="C184" s="1096"/>
      <c r="D184" s="1096"/>
      <c r="E184" s="1128"/>
      <c r="F184" s="1128"/>
      <c r="G184" s="1128"/>
      <c r="H184" s="1099"/>
      <c r="I184" s="1099"/>
      <c r="J184" s="1107"/>
      <c r="K184" s="1099"/>
      <c r="L184" s="1099"/>
      <c r="M184" s="1099"/>
      <c r="N184" s="1099"/>
      <c r="O184" s="1099"/>
      <c r="P184" s="1099"/>
      <c r="Q184" s="1107"/>
      <c r="R184" s="1099"/>
      <c r="S184" s="1099"/>
      <c r="T184" s="1099"/>
      <c r="U184" s="1099"/>
      <c r="V184" s="1099"/>
      <c r="W184" s="1099"/>
      <c r="X184" s="1099"/>
      <c r="Y184" s="1099"/>
      <c r="Z184" s="1099"/>
      <c r="AA184" s="1099"/>
      <c r="AB184" s="1099"/>
      <c r="AC184" s="1128"/>
      <c r="AD184" s="1128"/>
      <c r="AE184" s="1128"/>
      <c r="AF184" s="1128"/>
      <c r="AG184" s="1128"/>
      <c r="AH184" s="1128"/>
      <c r="AI184" s="1128"/>
      <c r="AJ184" s="1128"/>
      <c r="AK184" s="1128"/>
      <c r="AL184" s="1128"/>
    </row>
    <row r="185" spans="1:38" s="1086" customFormat="1">
      <c r="A185" s="1096"/>
      <c r="B185" s="1096"/>
      <c r="C185" s="1096"/>
      <c r="D185" s="1096"/>
      <c r="E185" s="1128"/>
      <c r="F185" s="1128"/>
      <c r="G185" s="1128"/>
      <c r="H185" s="1099"/>
      <c r="I185" s="1099"/>
      <c r="J185" s="1107"/>
      <c r="K185" s="1099"/>
      <c r="L185" s="1099"/>
      <c r="M185" s="1099"/>
      <c r="N185" s="1099"/>
      <c r="O185" s="1099"/>
      <c r="P185" s="1099"/>
      <c r="Q185" s="1107"/>
      <c r="R185" s="1099"/>
      <c r="S185" s="1099"/>
      <c r="T185" s="1099"/>
      <c r="U185" s="1099"/>
      <c r="V185" s="1099"/>
      <c r="W185" s="1099"/>
      <c r="X185" s="1099"/>
      <c r="Y185" s="1099"/>
      <c r="Z185" s="1099"/>
      <c r="AA185" s="1099"/>
      <c r="AB185" s="1099"/>
      <c r="AC185" s="1128"/>
      <c r="AD185" s="1128"/>
      <c r="AE185" s="1128"/>
      <c r="AF185" s="1128"/>
      <c r="AG185" s="1128"/>
      <c r="AH185" s="1128"/>
      <c r="AI185" s="1128"/>
      <c r="AJ185" s="1128"/>
      <c r="AK185" s="1128"/>
      <c r="AL185" s="1128"/>
    </row>
    <row r="186" spans="1:38" s="1086" customFormat="1">
      <c r="A186" s="1096"/>
      <c r="B186" s="1096"/>
      <c r="C186" s="1096"/>
      <c r="D186" s="1096"/>
      <c r="E186" s="1128"/>
      <c r="F186" s="1128"/>
      <c r="G186" s="1128"/>
      <c r="H186" s="1099"/>
      <c r="I186" s="1099"/>
      <c r="J186" s="1107"/>
      <c r="K186" s="1099"/>
      <c r="L186" s="1099"/>
      <c r="M186" s="1099"/>
      <c r="N186" s="1099"/>
      <c r="O186" s="1099"/>
      <c r="P186" s="1099"/>
      <c r="Q186" s="1107"/>
      <c r="R186" s="1099"/>
      <c r="S186" s="1099"/>
      <c r="T186" s="1099"/>
      <c r="U186" s="1099"/>
      <c r="V186" s="1099"/>
      <c r="W186" s="1099"/>
      <c r="X186" s="1099"/>
      <c r="Y186" s="1099"/>
      <c r="Z186" s="1099"/>
      <c r="AA186" s="1099"/>
      <c r="AB186" s="1099"/>
      <c r="AC186" s="1128"/>
      <c r="AD186" s="1128"/>
      <c r="AE186" s="1128"/>
      <c r="AF186" s="1128"/>
      <c r="AG186" s="1128"/>
      <c r="AH186" s="1128"/>
      <c r="AI186" s="1128"/>
      <c r="AJ186" s="1128"/>
      <c r="AK186" s="1128"/>
      <c r="AL186" s="1128"/>
    </row>
    <row r="187" spans="1:38" s="1086" customFormat="1">
      <c r="A187" s="1096"/>
      <c r="B187" s="1096"/>
      <c r="C187" s="1096"/>
      <c r="D187" s="1096"/>
      <c r="E187" s="1128"/>
      <c r="F187" s="1128"/>
      <c r="G187" s="1128"/>
      <c r="H187" s="1099"/>
      <c r="I187" s="1099"/>
      <c r="J187" s="1107"/>
      <c r="K187" s="1099"/>
      <c r="L187" s="1099"/>
      <c r="M187" s="1099"/>
      <c r="N187" s="1099"/>
      <c r="O187" s="1099"/>
      <c r="P187" s="1099"/>
      <c r="Q187" s="1107"/>
      <c r="R187" s="1099"/>
      <c r="S187" s="1099"/>
      <c r="T187" s="1099"/>
      <c r="U187" s="1099"/>
      <c r="V187" s="1099"/>
      <c r="W187" s="1099"/>
      <c r="X187" s="1099"/>
      <c r="Y187" s="1099"/>
      <c r="Z187" s="1099"/>
      <c r="AA187" s="1099"/>
      <c r="AB187" s="1099"/>
      <c r="AC187" s="1128"/>
      <c r="AD187" s="1128"/>
      <c r="AE187" s="1128"/>
      <c r="AF187" s="1128"/>
      <c r="AG187" s="1128"/>
      <c r="AH187" s="1128"/>
      <c r="AI187" s="1128"/>
      <c r="AJ187" s="1128"/>
      <c r="AK187" s="1128"/>
      <c r="AL187" s="1128"/>
    </row>
    <row r="188" spans="1:38" s="1086" customFormat="1">
      <c r="A188" s="1096"/>
      <c r="B188" s="1096"/>
      <c r="C188" s="1096"/>
      <c r="D188" s="1096"/>
      <c r="E188" s="1128"/>
      <c r="F188" s="1128"/>
      <c r="G188" s="1128"/>
      <c r="H188" s="1099"/>
      <c r="I188" s="1099"/>
      <c r="J188" s="1107"/>
      <c r="K188" s="1099"/>
      <c r="L188" s="1099"/>
      <c r="M188" s="1099"/>
      <c r="N188" s="1099"/>
      <c r="O188" s="1099"/>
      <c r="P188" s="1099"/>
      <c r="Q188" s="1107"/>
      <c r="R188" s="1099"/>
      <c r="S188" s="1099"/>
      <c r="T188" s="1099"/>
      <c r="U188" s="1099"/>
      <c r="V188" s="1099"/>
      <c r="W188" s="1099"/>
      <c r="X188" s="1099"/>
      <c r="Y188" s="1099"/>
      <c r="Z188" s="1099"/>
      <c r="AA188" s="1099"/>
      <c r="AB188" s="1099"/>
      <c r="AC188" s="1128"/>
      <c r="AD188" s="1128"/>
      <c r="AE188" s="1128"/>
      <c r="AF188" s="1128"/>
      <c r="AG188" s="1128"/>
      <c r="AH188" s="1128"/>
      <c r="AI188" s="1128"/>
      <c r="AJ188" s="1128"/>
      <c r="AK188" s="1128"/>
      <c r="AL188" s="1128"/>
    </row>
    <row r="189" spans="1:38" s="1086" customFormat="1">
      <c r="A189" s="1096"/>
      <c r="B189" s="1096"/>
      <c r="C189" s="1096"/>
      <c r="D189" s="1096"/>
      <c r="E189" s="1128"/>
      <c r="F189" s="1128"/>
      <c r="G189" s="1128"/>
      <c r="H189" s="1099"/>
      <c r="I189" s="1099"/>
      <c r="J189" s="1107"/>
      <c r="K189" s="1099"/>
      <c r="L189" s="1099"/>
      <c r="M189" s="1099"/>
      <c r="N189" s="1099"/>
      <c r="O189" s="1099"/>
      <c r="P189" s="1099"/>
      <c r="Q189" s="1107"/>
      <c r="R189" s="1099"/>
      <c r="S189" s="1099"/>
      <c r="T189" s="1099"/>
      <c r="U189" s="1099"/>
      <c r="V189" s="1099"/>
      <c r="W189" s="1099"/>
      <c r="X189" s="1099"/>
      <c r="Y189" s="1099"/>
      <c r="Z189" s="1099"/>
      <c r="AA189" s="1099"/>
      <c r="AB189" s="1099"/>
      <c r="AC189" s="1128"/>
      <c r="AD189" s="1128"/>
      <c r="AE189" s="1128"/>
      <c r="AF189" s="1128"/>
      <c r="AG189" s="1128"/>
      <c r="AH189" s="1128"/>
      <c r="AI189" s="1128"/>
      <c r="AJ189" s="1128"/>
      <c r="AK189" s="1128"/>
      <c r="AL189" s="1128"/>
    </row>
    <row r="190" spans="1:38" s="1086" customFormat="1">
      <c r="A190" s="1096"/>
      <c r="B190" s="1096"/>
      <c r="C190" s="1096"/>
      <c r="D190" s="1096"/>
      <c r="E190" s="1128"/>
      <c r="F190" s="1128"/>
      <c r="G190" s="1128"/>
      <c r="H190" s="1099"/>
      <c r="I190" s="1099"/>
      <c r="J190" s="1107"/>
      <c r="K190" s="1099"/>
      <c r="L190" s="1099"/>
      <c r="M190" s="1099"/>
      <c r="N190" s="1099"/>
      <c r="O190" s="1099"/>
      <c r="P190" s="1099"/>
      <c r="Q190" s="1107"/>
      <c r="R190" s="1099"/>
      <c r="S190" s="1099"/>
      <c r="T190" s="1099"/>
      <c r="U190" s="1099"/>
      <c r="V190" s="1099"/>
      <c r="W190" s="1099"/>
      <c r="X190" s="1099"/>
      <c r="Y190" s="1099"/>
      <c r="Z190" s="1099"/>
      <c r="AA190" s="1099"/>
      <c r="AB190" s="1099"/>
      <c r="AC190" s="1128"/>
      <c r="AD190" s="1128"/>
      <c r="AE190" s="1128"/>
      <c r="AF190" s="1128"/>
      <c r="AG190" s="1128"/>
      <c r="AH190" s="1128"/>
      <c r="AI190" s="1128"/>
      <c r="AJ190" s="1128"/>
      <c r="AK190" s="1128"/>
      <c r="AL190" s="1128"/>
    </row>
    <row r="191" spans="1:38" s="1086" customFormat="1">
      <c r="A191" s="1096"/>
      <c r="B191" s="1096"/>
      <c r="C191" s="1096"/>
      <c r="D191" s="1096"/>
      <c r="E191" s="1128"/>
      <c r="F191" s="1128"/>
      <c r="G191" s="1128"/>
      <c r="H191" s="1099"/>
      <c r="I191" s="1099"/>
      <c r="J191" s="1107"/>
      <c r="K191" s="1099"/>
      <c r="L191" s="1099"/>
      <c r="M191" s="1099"/>
      <c r="N191" s="1099"/>
      <c r="O191" s="1099"/>
      <c r="P191" s="1099"/>
      <c r="Q191" s="1107"/>
      <c r="R191" s="1099"/>
      <c r="S191" s="1099"/>
      <c r="T191" s="1099"/>
      <c r="U191" s="1099"/>
      <c r="V191" s="1099"/>
      <c r="W191" s="1099"/>
      <c r="X191" s="1099"/>
      <c r="Y191" s="1099"/>
      <c r="Z191" s="1099"/>
      <c r="AA191" s="1099"/>
      <c r="AB191" s="1099"/>
      <c r="AC191" s="1128"/>
      <c r="AD191" s="1128"/>
      <c r="AE191" s="1128"/>
      <c r="AF191" s="1128"/>
      <c r="AG191" s="1128"/>
      <c r="AH191" s="1128"/>
      <c r="AI191" s="1128"/>
      <c r="AJ191" s="1128"/>
      <c r="AK191" s="1128"/>
      <c r="AL191" s="1128"/>
    </row>
    <row r="192" spans="1:38" s="1086" customFormat="1">
      <c r="A192" s="1096"/>
      <c r="B192" s="1096"/>
      <c r="C192" s="1096"/>
      <c r="D192" s="1096"/>
      <c r="E192" s="1128"/>
      <c r="F192" s="1128"/>
      <c r="G192" s="1128"/>
      <c r="H192" s="1099"/>
      <c r="I192" s="1099"/>
      <c r="J192" s="1107"/>
      <c r="K192" s="1099"/>
      <c r="L192" s="1099"/>
      <c r="M192" s="1099"/>
      <c r="N192" s="1099"/>
      <c r="O192" s="1099"/>
      <c r="P192" s="1099"/>
      <c r="Q192" s="1107"/>
      <c r="R192" s="1099"/>
      <c r="S192" s="1099"/>
      <c r="T192" s="1099"/>
      <c r="U192" s="1099"/>
      <c r="V192" s="1099"/>
      <c r="W192" s="1099"/>
      <c r="X192" s="1099"/>
      <c r="Y192" s="1099"/>
      <c r="Z192" s="1099"/>
      <c r="AA192" s="1099"/>
      <c r="AB192" s="1099"/>
      <c r="AC192" s="1128"/>
      <c r="AD192" s="1128"/>
      <c r="AE192" s="1128"/>
      <c r="AF192" s="1128"/>
      <c r="AG192" s="1128"/>
      <c r="AH192" s="1128"/>
      <c r="AI192" s="1128"/>
      <c r="AJ192" s="1128"/>
      <c r="AK192" s="1128"/>
      <c r="AL192" s="1128"/>
    </row>
    <row r="193" spans="1:38" s="1086" customFormat="1">
      <c r="A193" s="1096"/>
      <c r="B193" s="1096"/>
      <c r="C193" s="1096"/>
      <c r="D193" s="1096"/>
      <c r="E193" s="1128"/>
      <c r="F193" s="1128"/>
      <c r="G193" s="1128"/>
      <c r="H193" s="1099"/>
      <c r="I193" s="1099"/>
      <c r="J193" s="1107"/>
      <c r="K193" s="1099"/>
      <c r="L193" s="1099"/>
      <c r="M193" s="1099"/>
      <c r="N193" s="1099"/>
      <c r="O193" s="1099"/>
      <c r="P193" s="1099"/>
      <c r="Q193" s="1107"/>
      <c r="R193" s="1099"/>
      <c r="S193" s="1099"/>
      <c r="T193" s="1099"/>
      <c r="U193" s="1099"/>
      <c r="V193" s="1099"/>
      <c r="W193" s="1099"/>
      <c r="X193" s="1099"/>
      <c r="Y193" s="1099"/>
      <c r="Z193" s="1099"/>
      <c r="AA193" s="1099"/>
      <c r="AB193" s="1099"/>
      <c r="AC193" s="1128"/>
      <c r="AD193" s="1128"/>
      <c r="AE193" s="1128"/>
      <c r="AF193" s="1128"/>
      <c r="AG193" s="1128"/>
      <c r="AH193" s="1128"/>
      <c r="AI193" s="1128"/>
      <c r="AJ193" s="1128"/>
      <c r="AK193" s="1128"/>
      <c r="AL193" s="1128"/>
    </row>
    <row r="194" spans="1:38" s="1086" customFormat="1">
      <c r="A194" s="1096"/>
      <c r="B194" s="1096"/>
      <c r="C194" s="1096"/>
      <c r="D194" s="1096"/>
      <c r="E194" s="1128"/>
      <c r="F194" s="1128"/>
      <c r="G194" s="1128"/>
      <c r="H194" s="1099"/>
      <c r="I194" s="1099"/>
      <c r="J194" s="1107"/>
      <c r="K194" s="1099"/>
      <c r="L194" s="1099"/>
      <c r="M194" s="1099"/>
      <c r="N194" s="1099"/>
      <c r="O194" s="1099"/>
      <c r="P194" s="1099"/>
      <c r="Q194" s="1107"/>
      <c r="R194" s="1099"/>
      <c r="S194" s="1099"/>
      <c r="T194" s="1099"/>
      <c r="U194" s="1099"/>
      <c r="V194" s="1099"/>
      <c r="W194" s="1099"/>
      <c r="X194" s="1099"/>
      <c r="Y194" s="1099"/>
      <c r="Z194" s="1099"/>
      <c r="AA194" s="1099"/>
      <c r="AB194" s="1099"/>
      <c r="AC194" s="1128"/>
      <c r="AD194" s="1128"/>
      <c r="AE194" s="1128"/>
      <c r="AF194" s="1128"/>
      <c r="AG194" s="1128"/>
      <c r="AH194" s="1128"/>
      <c r="AI194" s="1128"/>
      <c r="AJ194" s="1128"/>
      <c r="AK194" s="1128"/>
      <c r="AL194" s="1128"/>
    </row>
    <row r="195" spans="1:38" s="1086" customFormat="1">
      <c r="A195" s="1096"/>
      <c r="B195" s="1096"/>
      <c r="C195" s="1096"/>
      <c r="D195" s="1096"/>
      <c r="E195" s="1128"/>
      <c r="F195" s="1128"/>
      <c r="G195" s="1128"/>
      <c r="H195" s="1099"/>
      <c r="I195" s="1099"/>
      <c r="J195" s="1107"/>
      <c r="K195" s="1099"/>
      <c r="L195" s="1099"/>
      <c r="M195" s="1099"/>
      <c r="N195" s="1099"/>
      <c r="O195" s="1099"/>
      <c r="P195" s="1099"/>
      <c r="Q195" s="1107"/>
      <c r="R195" s="1099"/>
      <c r="S195" s="1099"/>
      <c r="T195" s="1099"/>
      <c r="U195" s="1099"/>
      <c r="V195" s="1099"/>
      <c r="W195" s="1099"/>
      <c r="X195" s="1099"/>
      <c r="Y195" s="1099"/>
      <c r="Z195" s="1099"/>
      <c r="AA195" s="1099"/>
      <c r="AB195" s="1099"/>
      <c r="AC195" s="1128"/>
      <c r="AD195" s="1128"/>
      <c r="AE195" s="1128"/>
      <c r="AF195" s="1128"/>
      <c r="AG195" s="1128"/>
      <c r="AH195" s="1128"/>
      <c r="AI195" s="1128"/>
      <c r="AJ195" s="1128"/>
      <c r="AK195" s="1128"/>
      <c r="AL195" s="1128"/>
    </row>
    <row r="196" spans="1:38" s="1086" customFormat="1">
      <c r="A196" s="1096"/>
      <c r="B196" s="1096"/>
      <c r="C196" s="1096"/>
      <c r="D196" s="1096"/>
      <c r="E196" s="1128"/>
      <c r="F196" s="1128"/>
      <c r="G196" s="1128"/>
      <c r="H196" s="1099"/>
      <c r="I196" s="1099"/>
      <c r="J196" s="1107"/>
      <c r="K196" s="1099"/>
      <c r="L196" s="1099"/>
      <c r="M196" s="1099"/>
      <c r="N196" s="1099"/>
      <c r="O196" s="1099"/>
      <c r="P196" s="1099"/>
      <c r="Q196" s="1107"/>
      <c r="R196" s="1099"/>
      <c r="S196" s="1099"/>
      <c r="T196" s="1099"/>
      <c r="U196" s="1099"/>
      <c r="V196" s="1099"/>
      <c r="W196" s="1099"/>
      <c r="X196" s="1099"/>
      <c r="Y196" s="1099"/>
      <c r="Z196" s="1099"/>
      <c r="AA196" s="1099"/>
      <c r="AB196" s="1099"/>
      <c r="AC196" s="1128"/>
      <c r="AD196" s="1128"/>
      <c r="AE196" s="1128"/>
      <c r="AF196" s="1128"/>
      <c r="AG196" s="1128"/>
      <c r="AH196" s="1128"/>
      <c r="AI196" s="1128"/>
      <c r="AJ196" s="1128"/>
      <c r="AK196" s="1128"/>
      <c r="AL196" s="1128"/>
    </row>
    <row r="197" spans="1:38" s="1086" customFormat="1">
      <c r="A197" s="1096"/>
      <c r="B197" s="1096"/>
      <c r="C197" s="1096"/>
      <c r="D197" s="1096"/>
      <c r="E197" s="1128"/>
      <c r="F197" s="1128"/>
      <c r="G197" s="1128"/>
      <c r="H197" s="1099"/>
      <c r="I197" s="1099"/>
      <c r="J197" s="1107"/>
      <c r="K197" s="1099"/>
      <c r="L197" s="1099"/>
      <c r="M197" s="1099"/>
      <c r="N197" s="1099"/>
      <c r="O197" s="1099"/>
      <c r="P197" s="1099"/>
      <c r="Q197" s="1107"/>
      <c r="R197" s="1099"/>
      <c r="S197" s="1099"/>
      <c r="T197" s="1099"/>
      <c r="U197" s="1099"/>
      <c r="V197" s="1099"/>
      <c r="W197" s="1099"/>
      <c r="X197" s="1099"/>
      <c r="Y197" s="1099"/>
      <c r="Z197" s="1099"/>
      <c r="AA197" s="1099"/>
      <c r="AB197" s="1099"/>
      <c r="AC197" s="1128"/>
      <c r="AD197" s="1128"/>
      <c r="AE197" s="1128"/>
      <c r="AF197" s="1128"/>
      <c r="AG197" s="1128"/>
      <c r="AH197" s="1128"/>
      <c r="AI197" s="1128"/>
      <c r="AJ197" s="1128"/>
      <c r="AK197" s="1128"/>
      <c r="AL197" s="1128"/>
    </row>
    <row r="198" spans="1:38" s="1086" customFormat="1">
      <c r="A198" s="1096"/>
      <c r="B198" s="1096"/>
      <c r="C198" s="1096"/>
      <c r="D198" s="1096"/>
      <c r="E198" s="1128"/>
      <c r="F198" s="1128"/>
      <c r="G198" s="1128"/>
      <c r="H198" s="1099"/>
      <c r="I198" s="1099"/>
      <c r="J198" s="1107"/>
      <c r="K198" s="1099"/>
      <c r="L198" s="1099"/>
      <c r="M198" s="1099"/>
      <c r="N198" s="1099"/>
      <c r="O198" s="1099"/>
      <c r="P198" s="1099"/>
      <c r="Q198" s="1107"/>
      <c r="R198" s="1099"/>
      <c r="S198" s="1099"/>
      <c r="T198" s="1099"/>
      <c r="U198" s="1099"/>
      <c r="V198" s="1099"/>
      <c r="W198" s="1099"/>
      <c r="X198" s="1099"/>
      <c r="Y198" s="1099"/>
      <c r="Z198" s="1099"/>
      <c r="AA198" s="1099"/>
      <c r="AB198" s="1099"/>
      <c r="AC198" s="1128"/>
      <c r="AD198" s="1128"/>
      <c r="AE198" s="1128"/>
      <c r="AF198" s="1128"/>
      <c r="AG198" s="1128"/>
      <c r="AH198" s="1128"/>
      <c r="AI198" s="1128"/>
      <c r="AJ198" s="1128"/>
      <c r="AK198" s="1128"/>
      <c r="AL198" s="1128"/>
    </row>
    <row r="199" spans="1:38" s="1086" customFormat="1">
      <c r="A199" s="1096"/>
      <c r="B199" s="1096"/>
      <c r="C199" s="1096"/>
      <c r="D199" s="1096"/>
      <c r="E199" s="1128"/>
      <c r="F199" s="1128"/>
      <c r="G199" s="1128"/>
      <c r="H199" s="1099"/>
      <c r="I199" s="1099"/>
      <c r="J199" s="1107"/>
      <c r="K199" s="1099"/>
      <c r="L199" s="1099"/>
      <c r="M199" s="1099"/>
      <c r="N199" s="1099"/>
      <c r="O199" s="1099"/>
      <c r="P199" s="1099"/>
      <c r="Q199" s="1107"/>
      <c r="R199" s="1099"/>
      <c r="S199" s="1099"/>
      <c r="T199" s="1099"/>
      <c r="U199" s="1099"/>
      <c r="V199" s="1099"/>
      <c r="W199" s="1099"/>
      <c r="X199" s="1099"/>
      <c r="Y199" s="1099"/>
      <c r="Z199" s="1099"/>
      <c r="AA199" s="1099"/>
      <c r="AB199" s="1099"/>
      <c r="AC199" s="1128"/>
      <c r="AD199" s="1128"/>
      <c r="AE199" s="1128"/>
      <c r="AF199" s="1128"/>
      <c r="AG199" s="1128"/>
      <c r="AH199" s="1128"/>
      <c r="AI199" s="1128"/>
      <c r="AJ199" s="1128"/>
      <c r="AK199" s="1128"/>
      <c r="AL199" s="1128"/>
    </row>
    <row r="200" spans="1:38" s="1086" customFormat="1">
      <c r="A200" s="1096"/>
      <c r="B200" s="1096"/>
      <c r="C200" s="1096"/>
      <c r="D200" s="1096"/>
      <c r="E200" s="1128"/>
      <c r="F200" s="1128"/>
      <c r="G200" s="1128"/>
      <c r="H200" s="1099"/>
      <c r="I200" s="1099"/>
      <c r="J200" s="1107"/>
      <c r="K200" s="1099"/>
      <c r="L200" s="1099"/>
      <c r="M200" s="1099"/>
      <c r="N200" s="1099"/>
      <c r="O200" s="1099"/>
      <c r="P200" s="1099"/>
      <c r="Q200" s="1107"/>
      <c r="R200" s="1099"/>
      <c r="S200" s="1099"/>
      <c r="T200" s="1099"/>
      <c r="U200" s="1099"/>
      <c r="V200" s="1099"/>
      <c r="W200" s="1099"/>
      <c r="X200" s="1099"/>
      <c r="Y200" s="1099"/>
      <c r="Z200" s="1099"/>
      <c r="AA200" s="1099"/>
      <c r="AB200" s="1099"/>
      <c r="AC200" s="1128"/>
      <c r="AD200" s="1128"/>
      <c r="AE200" s="1128"/>
      <c r="AF200" s="1128"/>
      <c r="AG200" s="1128"/>
      <c r="AH200" s="1128"/>
      <c r="AI200" s="1128"/>
      <c r="AJ200" s="1128"/>
      <c r="AK200" s="1128"/>
      <c r="AL200" s="1128"/>
    </row>
    <row r="201" spans="1:38" s="1086" customFormat="1">
      <c r="A201" s="1096"/>
      <c r="B201" s="1096"/>
      <c r="C201" s="1096"/>
      <c r="D201" s="1096"/>
      <c r="E201" s="1128"/>
      <c r="F201" s="1128"/>
      <c r="G201" s="1128"/>
      <c r="H201" s="1099"/>
      <c r="I201" s="1099"/>
      <c r="J201" s="1107"/>
      <c r="K201" s="1099"/>
      <c r="L201" s="1099"/>
      <c r="M201" s="1099"/>
      <c r="N201" s="1099"/>
      <c r="O201" s="1099"/>
      <c r="P201" s="1099"/>
      <c r="Q201" s="1107"/>
      <c r="R201" s="1099"/>
      <c r="S201" s="1099"/>
      <c r="T201" s="1099"/>
      <c r="U201" s="1099"/>
      <c r="V201" s="1099"/>
      <c r="W201" s="1099"/>
      <c r="X201" s="1099"/>
      <c r="Y201" s="1099"/>
      <c r="Z201" s="1099"/>
      <c r="AA201" s="1099"/>
      <c r="AB201" s="1099"/>
      <c r="AC201" s="1128"/>
      <c r="AD201" s="1128"/>
      <c r="AE201" s="1128"/>
      <c r="AF201" s="1128"/>
      <c r="AG201" s="1128"/>
      <c r="AH201" s="1128"/>
      <c r="AI201" s="1128"/>
      <c r="AJ201" s="1128"/>
      <c r="AK201" s="1128"/>
      <c r="AL201" s="1128"/>
    </row>
    <row r="202" spans="1:38" s="1086" customFormat="1">
      <c r="A202" s="1096"/>
      <c r="B202" s="1096"/>
      <c r="C202" s="1096"/>
      <c r="D202" s="1096"/>
      <c r="E202" s="1128"/>
      <c r="F202" s="1128"/>
      <c r="G202" s="1128"/>
      <c r="H202" s="1099"/>
      <c r="I202" s="1099"/>
      <c r="J202" s="1107"/>
      <c r="K202" s="1099"/>
      <c r="L202" s="1099"/>
      <c r="M202" s="1099"/>
      <c r="N202" s="1099"/>
      <c r="O202" s="1099"/>
      <c r="P202" s="1099"/>
      <c r="Q202" s="1107"/>
      <c r="R202" s="1099"/>
      <c r="S202" s="1099"/>
      <c r="T202" s="1099"/>
      <c r="U202" s="1099"/>
      <c r="V202" s="1099"/>
      <c r="W202" s="1099"/>
      <c r="X202" s="1099"/>
      <c r="Y202" s="1099"/>
      <c r="Z202" s="1099"/>
      <c r="AA202" s="1099"/>
      <c r="AB202" s="1099"/>
      <c r="AC202" s="1128"/>
      <c r="AD202" s="1128"/>
      <c r="AE202" s="1128"/>
      <c r="AF202" s="1128"/>
      <c r="AG202" s="1128"/>
      <c r="AH202" s="1128"/>
      <c r="AI202" s="1128"/>
      <c r="AJ202" s="1128"/>
      <c r="AK202" s="1128"/>
      <c r="AL202" s="1128"/>
    </row>
    <row r="203" spans="1:38" s="1086" customFormat="1">
      <c r="A203" s="1096"/>
      <c r="B203" s="1096"/>
      <c r="C203" s="1096"/>
      <c r="D203" s="1096"/>
      <c r="E203" s="1128"/>
      <c r="F203" s="1128"/>
      <c r="G203" s="1128"/>
      <c r="H203" s="1099"/>
      <c r="I203" s="1099"/>
      <c r="J203" s="1107"/>
      <c r="K203" s="1099"/>
      <c r="L203" s="1099"/>
      <c r="M203" s="1099"/>
      <c r="N203" s="1099"/>
      <c r="O203" s="1099"/>
      <c r="P203" s="1099"/>
      <c r="Q203" s="1107"/>
      <c r="R203" s="1099"/>
      <c r="S203" s="1099"/>
      <c r="T203" s="1099"/>
      <c r="U203" s="1099"/>
      <c r="V203" s="1099"/>
      <c r="W203" s="1099"/>
      <c r="X203" s="1099"/>
      <c r="Y203" s="1099"/>
      <c r="Z203" s="1099"/>
      <c r="AA203" s="1099"/>
      <c r="AB203" s="1099"/>
      <c r="AC203" s="1128"/>
      <c r="AD203" s="1128"/>
      <c r="AE203" s="1128"/>
      <c r="AF203" s="1128"/>
      <c r="AG203" s="1128"/>
      <c r="AH203" s="1128"/>
      <c r="AI203" s="1128"/>
      <c r="AJ203" s="1128"/>
      <c r="AK203" s="1128"/>
      <c r="AL203" s="1128"/>
    </row>
    <row r="204" spans="1:38" s="1086" customFormat="1">
      <c r="A204" s="1096"/>
      <c r="B204" s="1096"/>
      <c r="C204" s="1096"/>
      <c r="D204" s="1096"/>
      <c r="E204" s="1128"/>
      <c r="F204" s="1128"/>
      <c r="G204" s="1128"/>
      <c r="H204" s="1099"/>
      <c r="I204" s="1099"/>
      <c r="J204" s="1107"/>
      <c r="K204" s="1099"/>
      <c r="L204" s="1099"/>
      <c r="M204" s="1099"/>
      <c r="N204" s="1099"/>
      <c r="O204" s="1099"/>
      <c r="P204" s="1099"/>
      <c r="Q204" s="1107"/>
      <c r="R204" s="1099"/>
      <c r="S204" s="1099"/>
      <c r="T204" s="1099"/>
      <c r="U204" s="1099"/>
      <c r="V204" s="1099"/>
      <c r="W204" s="1099"/>
      <c r="X204" s="1099"/>
      <c r="Y204" s="1099"/>
      <c r="Z204" s="1099"/>
      <c r="AA204" s="1099"/>
      <c r="AB204" s="1099"/>
      <c r="AC204" s="1128"/>
      <c r="AD204" s="1128"/>
      <c r="AE204" s="1128"/>
      <c r="AF204" s="1128"/>
      <c r="AG204" s="1128"/>
      <c r="AH204" s="1128"/>
      <c r="AI204" s="1128"/>
      <c r="AJ204" s="1128"/>
      <c r="AK204" s="1128"/>
      <c r="AL204" s="1128"/>
    </row>
    <row r="205" spans="1:38" s="1086" customFormat="1">
      <c r="A205" s="1096"/>
      <c r="B205" s="1096"/>
      <c r="C205" s="1096"/>
      <c r="D205" s="1096"/>
      <c r="E205" s="1128"/>
      <c r="F205" s="1128"/>
      <c r="G205" s="1128"/>
      <c r="H205" s="1099"/>
      <c r="I205" s="1099"/>
      <c r="J205" s="1107"/>
      <c r="K205" s="1099"/>
      <c r="L205" s="1099"/>
      <c r="M205" s="1099"/>
      <c r="N205" s="1099"/>
      <c r="O205" s="1099"/>
      <c r="P205" s="1099"/>
      <c r="Q205" s="1107"/>
      <c r="R205" s="1099"/>
      <c r="S205" s="1099"/>
      <c r="T205" s="1099"/>
      <c r="U205" s="1099"/>
      <c r="V205" s="1099"/>
      <c r="W205" s="1099"/>
      <c r="X205" s="1099"/>
      <c r="Y205" s="1099"/>
      <c r="Z205" s="1099"/>
      <c r="AA205" s="1099"/>
      <c r="AB205" s="1099"/>
      <c r="AC205" s="1128"/>
      <c r="AD205" s="1128"/>
      <c r="AE205" s="1128"/>
      <c r="AF205" s="1128"/>
      <c r="AG205" s="1128"/>
      <c r="AH205" s="1128"/>
      <c r="AI205" s="1128"/>
      <c r="AJ205" s="1128"/>
      <c r="AK205" s="1128"/>
      <c r="AL205" s="1128"/>
    </row>
    <row r="206" spans="1:38" s="1086" customFormat="1">
      <c r="A206" s="1096"/>
      <c r="B206" s="1096"/>
      <c r="C206" s="1096"/>
      <c r="D206" s="1096"/>
      <c r="E206" s="1128"/>
      <c r="F206" s="1128"/>
      <c r="G206" s="1128"/>
      <c r="H206" s="1099"/>
      <c r="I206" s="1099"/>
      <c r="J206" s="1107"/>
      <c r="K206" s="1099"/>
      <c r="L206" s="1099"/>
      <c r="M206" s="1099"/>
      <c r="N206" s="1099"/>
      <c r="O206" s="1099"/>
      <c r="P206" s="1099"/>
      <c r="Q206" s="1107"/>
      <c r="R206" s="1099"/>
      <c r="S206" s="1099"/>
      <c r="T206" s="1099"/>
      <c r="U206" s="1099"/>
      <c r="V206" s="1099"/>
      <c r="W206" s="1099"/>
      <c r="X206" s="1099"/>
      <c r="Y206" s="1099"/>
      <c r="Z206" s="1099"/>
      <c r="AA206" s="1099"/>
      <c r="AB206" s="1099"/>
      <c r="AC206" s="1128"/>
      <c r="AD206" s="1128"/>
      <c r="AE206" s="1128"/>
      <c r="AF206" s="1128"/>
      <c r="AG206" s="1128"/>
      <c r="AH206" s="1128"/>
      <c r="AI206" s="1128"/>
      <c r="AJ206" s="1128"/>
      <c r="AK206" s="1128"/>
      <c r="AL206" s="1128"/>
    </row>
    <row r="207" spans="1:38" s="1086" customFormat="1">
      <c r="A207" s="1096"/>
      <c r="B207" s="1096"/>
      <c r="C207" s="1096"/>
      <c r="D207" s="1096"/>
      <c r="E207" s="1128"/>
      <c r="F207" s="1128"/>
      <c r="G207" s="1128"/>
      <c r="H207" s="1099"/>
      <c r="I207" s="1099"/>
      <c r="J207" s="1107"/>
      <c r="K207" s="1099"/>
      <c r="L207" s="1099"/>
      <c r="M207" s="1099"/>
      <c r="N207" s="1099"/>
      <c r="O207" s="1099"/>
      <c r="P207" s="1099"/>
      <c r="Q207" s="1107"/>
      <c r="R207" s="1099"/>
      <c r="S207" s="1099"/>
      <c r="T207" s="1099"/>
      <c r="U207" s="1099"/>
      <c r="V207" s="1099"/>
      <c r="W207" s="1099"/>
      <c r="X207" s="1099"/>
      <c r="Y207" s="1099"/>
      <c r="Z207" s="1099"/>
      <c r="AA207" s="1099"/>
      <c r="AB207" s="1099"/>
      <c r="AC207" s="1128"/>
      <c r="AD207" s="1128"/>
      <c r="AE207" s="1128"/>
      <c r="AF207" s="1128"/>
      <c r="AG207" s="1128"/>
      <c r="AH207" s="1128"/>
      <c r="AI207" s="1128"/>
      <c r="AJ207" s="1128"/>
      <c r="AK207" s="1128"/>
      <c r="AL207" s="1128"/>
    </row>
    <row r="208" spans="1:38" s="1086" customFormat="1">
      <c r="A208" s="1096"/>
      <c r="B208" s="1096"/>
      <c r="C208" s="1096"/>
      <c r="D208" s="1096"/>
      <c r="E208" s="1128"/>
      <c r="F208" s="1128"/>
      <c r="G208" s="1128"/>
      <c r="H208" s="1099"/>
      <c r="I208" s="1099"/>
      <c r="J208" s="1107"/>
      <c r="K208" s="1099"/>
      <c r="L208" s="1099"/>
      <c r="M208" s="1099"/>
      <c r="N208" s="1099"/>
      <c r="O208" s="1099"/>
      <c r="P208" s="1099"/>
      <c r="Q208" s="1107"/>
      <c r="R208" s="1099"/>
      <c r="S208" s="1099"/>
      <c r="T208" s="1099"/>
      <c r="U208" s="1099"/>
      <c r="V208" s="1099"/>
      <c r="W208" s="1099"/>
      <c r="X208" s="1099"/>
      <c r="Y208" s="1099"/>
      <c r="Z208" s="1099"/>
      <c r="AA208" s="1099"/>
      <c r="AB208" s="1099"/>
      <c r="AC208" s="1128"/>
      <c r="AD208" s="1128"/>
      <c r="AE208" s="1128"/>
      <c r="AF208" s="1128"/>
      <c r="AG208" s="1128"/>
      <c r="AH208" s="1128"/>
      <c r="AI208" s="1128"/>
      <c r="AJ208" s="1128"/>
      <c r="AK208" s="1128"/>
      <c r="AL208" s="1128"/>
    </row>
    <row r="209" spans="1:38" s="1086" customFormat="1">
      <c r="A209" s="1096"/>
      <c r="B209" s="1096"/>
      <c r="C209" s="1096"/>
      <c r="D209" s="1096"/>
      <c r="E209" s="1128"/>
      <c r="F209" s="1128"/>
      <c r="G209" s="1128"/>
      <c r="H209" s="1099"/>
      <c r="I209" s="1099"/>
      <c r="J209" s="1107"/>
      <c r="K209" s="1099"/>
      <c r="L209" s="1099"/>
      <c r="M209" s="1099"/>
      <c r="N209" s="1099"/>
      <c r="O209" s="1099"/>
      <c r="P209" s="1099"/>
      <c r="Q209" s="1107"/>
      <c r="R209" s="1099"/>
      <c r="S209" s="1099"/>
      <c r="T209" s="1099"/>
      <c r="U209" s="1099"/>
      <c r="V209" s="1099"/>
      <c r="W209" s="1099"/>
      <c r="X209" s="1099"/>
      <c r="Y209" s="1099"/>
      <c r="Z209" s="1099"/>
      <c r="AA209" s="1099"/>
      <c r="AB209" s="1099"/>
      <c r="AC209" s="1128"/>
      <c r="AD209" s="1128"/>
      <c r="AE209" s="1128"/>
      <c r="AF209" s="1128"/>
      <c r="AG209" s="1128"/>
      <c r="AH209" s="1128"/>
      <c r="AI209" s="1128"/>
      <c r="AJ209" s="1128"/>
      <c r="AK209" s="1128"/>
      <c r="AL209" s="1128"/>
    </row>
    <row r="210" spans="1:38" s="1086" customFormat="1">
      <c r="A210" s="1096"/>
      <c r="B210" s="1096"/>
      <c r="C210" s="1096"/>
      <c r="D210" s="1096"/>
      <c r="E210" s="1128"/>
      <c r="F210" s="1128"/>
      <c r="G210" s="1128"/>
      <c r="H210" s="1099"/>
      <c r="I210" s="1099"/>
      <c r="J210" s="1107"/>
      <c r="K210" s="1099"/>
      <c r="L210" s="1099"/>
      <c r="M210" s="1099"/>
      <c r="N210" s="1099"/>
      <c r="O210" s="1099"/>
      <c r="P210" s="1099"/>
      <c r="Q210" s="1107"/>
      <c r="R210" s="1099"/>
      <c r="S210" s="1099"/>
      <c r="T210" s="1099"/>
      <c r="U210" s="1099"/>
      <c r="V210" s="1099"/>
      <c r="W210" s="1099"/>
      <c r="X210" s="1099"/>
      <c r="Y210" s="1099"/>
      <c r="Z210" s="1099"/>
      <c r="AA210" s="1099"/>
      <c r="AB210" s="1099"/>
      <c r="AC210" s="1128"/>
      <c r="AD210" s="1128"/>
      <c r="AE210" s="1128"/>
      <c r="AF210" s="1128"/>
      <c r="AG210" s="1128"/>
      <c r="AH210" s="1128"/>
      <c r="AI210" s="1128"/>
      <c r="AJ210" s="1128"/>
      <c r="AK210" s="1128"/>
      <c r="AL210" s="1128"/>
    </row>
    <row r="211" spans="1:38" s="1086" customFormat="1">
      <c r="A211" s="1096"/>
      <c r="B211" s="1096"/>
      <c r="C211" s="1096"/>
      <c r="D211" s="1096"/>
      <c r="E211" s="1128"/>
      <c r="F211" s="1128"/>
      <c r="G211" s="1128"/>
      <c r="H211" s="1099"/>
      <c r="I211" s="1099"/>
      <c r="J211" s="1107"/>
      <c r="K211" s="1099"/>
      <c r="L211" s="1099"/>
      <c r="M211" s="1099"/>
      <c r="N211" s="1099"/>
      <c r="O211" s="1099"/>
      <c r="P211" s="1099"/>
      <c r="Q211" s="1107"/>
      <c r="R211" s="1099"/>
      <c r="S211" s="1099"/>
      <c r="T211" s="1099"/>
      <c r="U211" s="1099"/>
      <c r="V211" s="1099"/>
      <c r="W211" s="1099"/>
      <c r="X211" s="1099"/>
      <c r="Y211" s="1099"/>
      <c r="Z211" s="1099"/>
      <c r="AA211" s="1099"/>
      <c r="AB211" s="1099"/>
      <c r="AC211" s="1128"/>
      <c r="AD211" s="1128"/>
      <c r="AE211" s="1128"/>
      <c r="AF211" s="1128"/>
      <c r="AG211" s="1128"/>
      <c r="AH211" s="1128"/>
      <c r="AI211" s="1128"/>
      <c r="AJ211" s="1128"/>
      <c r="AK211" s="1128"/>
      <c r="AL211" s="1128"/>
    </row>
    <row r="212" spans="1:38" s="1086" customFormat="1">
      <c r="A212" s="1096"/>
      <c r="B212" s="1096"/>
      <c r="C212" s="1096"/>
      <c r="D212" s="1096"/>
      <c r="E212" s="1128"/>
      <c r="F212" s="1128"/>
      <c r="G212" s="1128"/>
      <c r="H212" s="1099"/>
      <c r="I212" s="1099"/>
      <c r="J212" s="1107"/>
      <c r="K212" s="1099"/>
      <c r="L212" s="1099"/>
      <c r="M212" s="1099"/>
      <c r="N212" s="1099"/>
      <c r="O212" s="1099"/>
      <c r="P212" s="1099"/>
      <c r="Q212" s="1107"/>
      <c r="R212" s="1099"/>
      <c r="S212" s="1099"/>
      <c r="T212" s="1099"/>
      <c r="U212" s="1099"/>
      <c r="V212" s="1099"/>
      <c r="W212" s="1099"/>
      <c r="X212" s="1099"/>
      <c r="Y212" s="1099"/>
      <c r="Z212" s="1099"/>
      <c r="AA212" s="1099"/>
      <c r="AB212" s="1099"/>
      <c r="AC212" s="1128"/>
      <c r="AD212" s="1128"/>
      <c r="AE212" s="1128"/>
      <c r="AF212" s="1128"/>
      <c r="AG212" s="1128"/>
      <c r="AH212" s="1128"/>
      <c r="AI212" s="1128"/>
      <c r="AJ212" s="1128"/>
      <c r="AK212" s="1128"/>
      <c r="AL212" s="1128"/>
    </row>
    <row r="213" spans="1:38" s="1086" customFormat="1">
      <c r="A213" s="1096"/>
      <c r="B213" s="1096"/>
      <c r="C213" s="1096"/>
      <c r="D213" s="1096"/>
      <c r="E213" s="1128"/>
      <c r="F213" s="1128"/>
      <c r="G213" s="1128"/>
      <c r="H213" s="1099"/>
      <c r="I213" s="1099"/>
      <c r="J213" s="1107"/>
      <c r="K213" s="1099"/>
      <c r="L213" s="1099"/>
      <c r="M213" s="1099"/>
      <c r="N213" s="1099"/>
      <c r="O213" s="1099"/>
      <c r="P213" s="1099"/>
      <c r="Q213" s="1107"/>
      <c r="R213" s="1099"/>
      <c r="S213" s="1099"/>
      <c r="T213" s="1099"/>
      <c r="U213" s="1099"/>
      <c r="V213" s="1099"/>
      <c r="W213" s="1099"/>
      <c r="X213" s="1099"/>
      <c r="Y213" s="1099"/>
      <c r="Z213" s="1099"/>
      <c r="AA213" s="1099"/>
      <c r="AB213" s="1099"/>
      <c r="AC213" s="1128"/>
      <c r="AD213" s="1128"/>
      <c r="AE213" s="1128"/>
      <c r="AF213" s="1128"/>
      <c r="AG213" s="1128"/>
      <c r="AH213" s="1128"/>
      <c r="AI213" s="1128"/>
      <c r="AJ213" s="1128"/>
      <c r="AK213" s="1128"/>
      <c r="AL213" s="1128"/>
    </row>
    <row r="214" spans="1:38" s="1086" customFormat="1">
      <c r="A214" s="1096"/>
      <c r="B214" s="1096"/>
      <c r="C214" s="1096"/>
      <c r="D214" s="1096"/>
      <c r="E214" s="1128"/>
      <c r="F214" s="1128"/>
      <c r="G214" s="1128"/>
      <c r="H214" s="1099"/>
      <c r="I214" s="1099"/>
      <c r="J214" s="1107"/>
      <c r="K214" s="1099"/>
      <c r="L214" s="1099"/>
      <c r="M214" s="1099"/>
      <c r="N214" s="1099"/>
      <c r="O214" s="1099"/>
      <c r="P214" s="1099"/>
      <c r="Q214" s="1107"/>
      <c r="R214" s="1099"/>
      <c r="S214" s="1099"/>
      <c r="T214" s="1099"/>
      <c r="U214" s="1099"/>
      <c r="V214" s="1099"/>
      <c r="W214" s="1099"/>
      <c r="X214" s="1099"/>
      <c r="Y214" s="1099"/>
      <c r="Z214" s="1099"/>
      <c r="AA214" s="1099"/>
      <c r="AB214" s="1099"/>
      <c r="AC214" s="1128"/>
      <c r="AD214" s="1128"/>
      <c r="AE214" s="1128"/>
      <c r="AF214" s="1128"/>
      <c r="AG214" s="1128"/>
      <c r="AH214" s="1128"/>
      <c r="AI214" s="1128"/>
      <c r="AJ214" s="1128"/>
      <c r="AK214" s="1128"/>
      <c r="AL214" s="1128"/>
    </row>
    <row r="215" spans="1:38" s="1086" customFormat="1">
      <c r="A215" s="1096"/>
      <c r="B215" s="1096"/>
      <c r="C215" s="1096"/>
      <c r="D215" s="1096"/>
      <c r="E215" s="1128"/>
      <c r="F215" s="1128"/>
      <c r="G215" s="1128"/>
      <c r="H215" s="1099"/>
      <c r="I215" s="1099"/>
      <c r="J215" s="1107"/>
      <c r="K215" s="1099"/>
      <c r="L215" s="1099"/>
      <c r="M215" s="1099"/>
      <c r="N215" s="1099"/>
      <c r="O215" s="1099"/>
      <c r="P215" s="1099"/>
      <c r="Q215" s="1107"/>
      <c r="R215" s="1099"/>
      <c r="S215" s="1099"/>
      <c r="T215" s="1099"/>
      <c r="U215" s="1099"/>
      <c r="V215" s="1099"/>
      <c r="W215" s="1099"/>
      <c r="X215" s="1099"/>
      <c r="Y215" s="1099"/>
      <c r="Z215" s="1099"/>
      <c r="AA215" s="1099"/>
      <c r="AB215" s="1099"/>
      <c r="AC215" s="1128"/>
      <c r="AD215" s="1128"/>
      <c r="AE215" s="1128"/>
      <c r="AF215" s="1128"/>
      <c r="AG215" s="1128"/>
      <c r="AH215" s="1128"/>
      <c r="AI215" s="1128"/>
      <c r="AJ215" s="1128"/>
      <c r="AK215" s="1128"/>
      <c r="AL215" s="1128"/>
    </row>
    <row r="216" spans="1:38" s="1086" customFormat="1">
      <c r="A216" s="1096"/>
      <c r="B216" s="1096"/>
      <c r="C216" s="1096"/>
      <c r="D216" s="1096"/>
      <c r="E216" s="1128"/>
      <c r="F216" s="1128"/>
      <c r="G216" s="1128"/>
      <c r="H216" s="1099"/>
      <c r="I216" s="1099"/>
      <c r="J216" s="1107"/>
      <c r="K216" s="1099"/>
      <c r="L216" s="1099"/>
      <c r="M216" s="1099"/>
      <c r="N216" s="1099"/>
      <c r="O216" s="1099"/>
      <c r="P216" s="1099"/>
      <c r="Q216" s="1107"/>
      <c r="R216" s="1099"/>
      <c r="S216" s="1099"/>
      <c r="T216" s="1099"/>
      <c r="U216" s="1099"/>
      <c r="V216" s="1099"/>
      <c r="W216" s="1099"/>
      <c r="X216" s="1099"/>
      <c r="Y216" s="1099"/>
      <c r="Z216" s="1099"/>
      <c r="AA216" s="1099"/>
      <c r="AB216" s="1099"/>
      <c r="AC216" s="1128"/>
      <c r="AD216" s="1128"/>
      <c r="AE216" s="1128"/>
      <c r="AF216" s="1128"/>
      <c r="AG216" s="1128"/>
      <c r="AH216" s="1128"/>
      <c r="AI216" s="1128"/>
      <c r="AJ216" s="1128"/>
      <c r="AK216" s="1128"/>
      <c r="AL216" s="1128"/>
    </row>
    <row r="217" spans="1:38" s="1086" customFormat="1">
      <c r="A217" s="1096"/>
      <c r="B217" s="1096"/>
      <c r="C217" s="1096"/>
      <c r="D217" s="1096"/>
      <c r="E217" s="1128"/>
      <c r="F217" s="1128"/>
      <c r="G217" s="1128"/>
      <c r="H217" s="1099"/>
      <c r="I217" s="1099"/>
      <c r="J217" s="1107"/>
      <c r="K217" s="1099"/>
      <c r="L217" s="1099"/>
      <c r="M217" s="1099"/>
      <c r="N217" s="1099"/>
      <c r="O217" s="1099"/>
      <c r="P217" s="1099"/>
      <c r="Q217" s="1107"/>
      <c r="R217" s="1099"/>
      <c r="S217" s="1099"/>
      <c r="T217" s="1099"/>
      <c r="U217" s="1099"/>
      <c r="V217" s="1099"/>
      <c r="W217" s="1099"/>
      <c r="X217" s="1099"/>
      <c r="Y217" s="1099"/>
      <c r="Z217" s="1099"/>
      <c r="AA217" s="1099"/>
      <c r="AB217" s="1099"/>
      <c r="AC217" s="1128"/>
      <c r="AD217" s="1128"/>
      <c r="AE217" s="1128"/>
      <c r="AF217" s="1128"/>
      <c r="AG217" s="1128"/>
      <c r="AH217" s="1128"/>
      <c r="AI217" s="1128"/>
      <c r="AJ217" s="1128"/>
      <c r="AK217" s="1128"/>
      <c r="AL217" s="1128"/>
    </row>
    <row r="218" spans="1:38" s="1086" customFormat="1">
      <c r="A218" s="1096"/>
      <c r="B218" s="1096"/>
      <c r="C218" s="1096"/>
      <c r="D218" s="1096"/>
      <c r="E218" s="1128"/>
      <c r="F218" s="1128"/>
      <c r="G218" s="1128"/>
      <c r="H218" s="1099"/>
      <c r="I218" s="1099"/>
      <c r="J218" s="1107"/>
      <c r="K218" s="1099"/>
      <c r="L218" s="1099"/>
      <c r="M218" s="1099"/>
      <c r="N218" s="1099"/>
      <c r="O218" s="1099"/>
      <c r="P218" s="1099"/>
      <c r="Q218" s="1107"/>
      <c r="R218" s="1099"/>
      <c r="S218" s="1099"/>
      <c r="T218" s="1099"/>
      <c r="U218" s="1099"/>
      <c r="V218" s="1099"/>
      <c r="W218" s="1099"/>
      <c r="X218" s="1099"/>
      <c r="Y218" s="1099"/>
      <c r="Z218" s="1099"/>
      <c r="AA218" s="1099"/>
      <c r="AB218" s="1099"/>
      <c r="AC218" s="1128"/>
      <c r="AD218" s="1128"/>
      <c r="AE218" s="1128"/>
      <c r="AF218" s="1128"/>
      <c r="AG218" s="1128"/>
      <c r="AH218" s="1128"/>
      <c r="AI218" s="1128"/>
      <c r="AJ218" s="1128"/>
      <c r="AK218" s="1128"/>
      <c r="AL218" s="1128"/>
    </row>
    <row r="219" spans="1:38" s="1086" customFormat="1">
      <c r="A219" s="1096"/>
      <c r="B219" s="1096"/>
      <c r="C219" s="1096"/>
      <c r="D219" s="1096"/>
      <c r="E219" s="1128"/>
      <c r="F219" s="1128"/>
      <c r="G219" s="1128"/>
      <c r="H219" s="1099"/>
      <c r="I219" s="1099"/>
      <c r="J219" s="1107"/>
      <c r="K219" s="1099"/>
      <c r="L219" s="1099"/>
      <c r="M219" s="1099"/>
      <c r="N219" s="1099"/>
      <c r="O219" s="1099"/>
      <c r="P219" s="1099"/>
      <c r="Q219" s="1107"/>
      <c r="R219" s="1099"/>
      <c r="S219" s="1099"/>
      <c r="T219" s="1099"/>
      <c r="U219" s="1099"/>
      <c r="V219" s="1099"/>
      <c r="W219" s="1099"/>
      <c r="X219" s="1099"/>
      <c r="Y219" s="1099"/>
      <c r="Z219" s="1099"/>
      <c r="AA219" s="1099"/>
      <c r="AB219" s="1099"/>
      <c r="AC219" s="1128"/>
      <c r="AD219" s="1128"/>
      <c r="AE219" s="1128"/>
      <c r="AF219" s="1128"/>
      <c r="AG219" s="1128"/>
      <c r="AH219" s="1128"/>
      <c r="AI219" s="1128"/>
      <c r="AJ219" s="1128"/>
      <c r="AK219" s="1128"/>
      <c r="AL219" s="1128"/>
    </row>
    <row r="220" spans="1:38" s="1086" customFormat="1">
      <c r="A220" s="1096"/>
      <c r="B220" s="1096"/>
      <c r="C220" s="1096"/>
      <c r="D220" s="1096"/>
      <c r="E220" s="1128"/>
      <c r="F220" s="1128"/>
      <c r="G220" s="1128"/>
      <c r="H220" s="1099"/>
      <c r="I220" s="1099"/>
      <c r="J220" s="1107"/>
      <c r="K220" s="1099"/>
      <c r="L220" s="1099"/>
      <c r="M220" s="1099"/>
      <c r="N220" s="1099"/>
      <c r="O220" s="1099"/>
      <c r="P220" s="1099"/>
      <c r="Q220" s="1107"/>
      <c r="R220" s="1099"/>
      <c r="S220" s="1099"/>
      <c r="T220" s="1099"/>
      <c r="U220" s="1099"/>
      <c r="V220" s="1099"/>
      <c r="W220" s="1099"/>
      <c r="X220" s="1099"/>
      <c r="Y220" s="1099"/>
      <c r="Z220" s="1099"/>
      <c r="AA220" s="1099"/>
      <c r="AB220" s="1099"/>
      <c r="AC220" s="1128"/>
      <c r="AD220" s="1128"/>
      <c r="AE220" s="1128"/>
      <c r="AF220" s="1128"/>
      <c r="AG220" s="1128"/>
      <c r="AH220" s="1128"/>
      <c r="AI220" s="1128"/>
      <c r="AJ220" s="1128"/>
      <c r="AK220" s="1128"/>
      <c r="AL220" s="1128"/>
    </row>
    <row r="221" spans="1:38" s="1086" customFormat="1">
      <c r="A221" s="1096"/>
      <c r="B221" s="1096"/>
      <c r="C221" s="1096"/>
      <c r="D221" s="1096"/>
      <c r="E221" s="1128"/>
      <c r="F221" s="1128"/>
      <c r="G221" s="1128"/>
      <c r="H221" s="1099"/>
      <c r="I221" s="1099"/>
      <c r="J221" s="1107"/>
      <c r="K221" s="1099"/>
      <c r="L221" s="1099"/>
      <c r="M221" s="1099"/>
      <c r="N221" s="1099"/>
      <c r="O221" s="1099"/>
      <c r="P221" s="1099"/>
      <c r="Q221" s="1107"/>
      <c r="R221" s="1099"/>
      <c r="S221" s="1099"/>
      <c r="T221" s="1099"/>
      <c r="U221" s="1099"/>
      <c r="V221" s="1099"/>
      <c r="W221" s="1099"/>
      <c r="X221" s="1099"/>
      <c r="Y221" s="1099"/>
      <c r="Z221" s="1099"/>
      <c r="AA221" s="1099"/>
      <c r="AB221" s="1099"/>
      <c r="AC221" s="1128"/>
      <c r="AD221" s="1128"/>
      <c r="AE221" s="1128"/>
      <c r="AF221" s="1128"/>
      <c r="AG221" s="1128"/>
      <c r="AH221" s="1128"/>
      <c r="AI221" s="1128"/>
      <c r="AJ221" s="1128"/>
      <c r="AK221" s="1128"/>
      <c r="AL221" s="1128"/>
    </row>
    <row r="222" spans="1:38" s="1086" customFormat="1">
      <c r="A222" s="1096"/>
      <c r="B222" s="1096"/>
      <c r="C222" s="1096"/>
      <c r="D222" s="1096"/>
      <c r="E222" s="1128"/>
      <c r="F222" s="1128"/>
      <c r="G222" s="1128"/>
      <c r="H222" s="1099"/>
      <c r="I222" s="1099"/>
      <c r="J222" s="1107"/>
      <c r="K222" s="1099"/>
      <c r="L222" s="1099"/>
      <c r="M222" s="1099"/>
      <c r="N222" s="1099"/>
      <c r="O222" s="1099"/>
      <c r="P222" s="1099"/>
      <c r="Q222" s="1107"/>
      <c r="R222" s="1099"/>
      <c r="S222" s="1099"/>
      <c r="T222" s="1099"/>
      <c r="U222" s="1099"/>
      <c r="V222" s="1099"/>
      <c r="W222" s="1099"/>
      <c r="X222" s="1099"/>
      <c r="Y222" s="1099"/>
      <c r="Z222" s="1099"/>
      <c r="AA222" s="1099"/>
      <c r="AB222" s="1099"/>
      <c r="AC222" s="1128"/>
      <c r="AD222" s="1128"/>
      <c r="AE222" s="1128"/>
      <c r="AF222" s="1128"/>
      <c r="AG222" s="1128"/>
      <c r="AH222" s="1128"/>
      <c r="AI222" s="1128"/>
      <c r="AJ222" s="1128"/>
      <c r="AK222" s="1128"/>
      <c r="AL222" s="1128"/>
    </row>
    <row r="223" spans="1:38" s="1086" customFormat="1">
      <c r="A223" s="1096"/>
      <c r="B223" s="1096"/>
      <c r="C223" s="1096"/>
      <c r="D223" s="1096"/>
      <c r="E223" s="1128"/>
      <c r="F223" s="1128"/>
      <c r="G223" s="1128"/>
      <c r="H223" s="1099"/>
      <c r="I223" s="1099"/>
      <c r="J223" s="1107"/>
      <c r="K223" s="1099"/>
      <c r="L223" s="1099"/>
      <c r="M223" s="1099"/>
      <c r="N223" s="1099"/>
      <c r="O223" s="1099"/>
      <c r="P223" s="1099"/>
      <c r="Q223" s="1107"/>
      <c r="R223" s="1099"/>
      <c r="S223" s="1099"/>
      <c r="T223" s="1099"/>
      <c r="U223" s="1099"/>
      <c r="V223" s="1099"/>
      <c r="W223" s="1099"/>
      <c r="X223" s="1099"/>
      <c r="Y223" s="1099"/>
      <c r="Z223" s="1099"/>
      <c r="AA223" s="1099"/>
      <c r="AB223" s="1099"/>
      <c r="AC223" s="1128"/>
      <c r="AD223" s="1128"/>
      <c r="AE223" s="1128"/>
      <c r="AF223" s="1128"/>
      <c r="AG223" s="1128"/>
      <c r="AH223" s="1128"/>
      <c r="AI223" s="1128"/>
      <c r="AJ223" s="1128"/>
      <c r="AK223" s="1128"/>
      <c r="AL223" s="1128"/>
    </row>
    <row r="224" spans="1:38" s="1086" customFormat="1">
      <c r="A224" s="1096"/>
      <c r="B224" s="1096"/>
      <c r="C224" s="1096"/>
      <c r="D224" s="1096"/>
      <c r="E224" s="1128"/>
      <c r="F224" s="1128"/>
      <c r="G224" s="1128"/>
      <c r="H224" s="1099"/>
      <c r="I224" s="1099"/>
      <c r="J224" s="1107"/>
      <c r="K224" s="1099"/>
      <c r="L224" s="1099"/>
      <c r="M224" s="1099"/>
      <c r="N224" s="1099"/>
      <c r="O224" s="1099"/>
      <c r="P224" s="1099"/>
      <c r="Q224" s="1107"/>
      <c r="R224" s="1099"/>
      <c r="S224" s="1099"/>
      <c r="T224" s="1099"/>
      <c r="U224" s="1099"/>
      <c r="V224" s="1099"/>
      <c r="W224" s="1099"/>
      <c r="X224" s="1099"/>
      <c r="Y224" s="1099"/>
      <c r="Z224" s="1099"/>
      <c r="AA224" s="1099"/>
      <c r="AB224" s="1099"/>
      <c r="AC224" s="1128"/>
      <c r="AD224" s="1128"/>
      <c r="AE224" s="1128"/>
      <c r="AF224" s="1128"/>
      <c r="AG224" s="1128"/>
      <c r="AH224" s="1128"/>
      <c r="AI224" s="1128"/>
      <c r="AJ224" s="1128"/>
      <c r="AK224" s="1128"/>
      <c r="AL224" s="1128"/>
    </row>
    <row r="225" spans="1:38" s="1086" customFormat="1">
      <c r="A225" s="1096"/>
      <c r="B225" s="1096"/>
      <c r="C225" s="1096"/>
      <c r="D225" s="1096"/>
      <c r="E225" s="1128"/>
      <c r="F225" s="1128"/>
      <c r="G225" s="1128"/>
      <c r="H225" s="1099"/>
      <c r="I225" s="1099"/>
      <c r="J225" s="1107"/>
      <c r="K225" s="1099"/>
      <c r="L225" s="1099"/>
      <c r="M225" s="1099"/>
      <c r="N225" s="1099"/>
      <c r="O225" s="1099"/>
      <c r="P225" s="1099"/>
      <c r="Q225" s="1107"/>
      <c r="R225" s="1099"/>
      <c r="S225" s="1099"/>
      <c r="T225" s="1099"/>
      <c r="U225" s="1099"/>
      <c r="V225" s="1099"/>
      <c r="W225" s="1099"/>
      <c r="X225" s="1099"/>
      <c r="Y225" s="1099"/>
      <c r="Z225" s="1099"/>
      <c r="AA225" s="1099"/>
      <c r="AB225" s="1099"/>
      <c r="AC225" s="1128"/>
      <c r="AD225" s="1128"/>
      <c r="AE225" s="1128"/>
      <c r="AF225" s="1128"/>
      <c r="AG225" s="1128"/>
      <c r="AH225" s="1128"/>
      <c r="AI225" s="1128"/>
      <c r="AJ225" s="1128"/>
      <c r="AK225" s="1128"/>
      <c r="AL225" s="1128"/>
    </row>
    <row r="226" spans="1:38" s="1086" customFormat="1">
      <c r="A226" s="1096"/>
      <c r="B226" s="1096"/>
      <c r="C226" s="1096"/>
      <c r="D226" s="1096"/>
      <c r="E226" s="1128"/>
      <c r="F226" s="1128"/>
      <c r="G226" s="1128"/>
      <c r="H226" s="1099"/>
      <c r="I226" s="1099"/>
      <c r="J226" s="1107"/>
      <c r="K226" s="1099"/>
      <c r="L226" s="1099"/>
      <c r="M226" s="1099"/>
      <c r="N226" s="1099"/>
      <c r="O226" s="1099"/>
      <c r="P226" s="1099"/>
      <c r="Q226" s="1107"/>
      <c r="R226" s="1099"/>
      <c r="S226" s="1099"/>
      <c r="T226" s="1099"/>
      <c r="U226" s="1099"/>
      <c r="V226" s="1099"/>
      <c r="W226" s="1099"/>
      <c r="X226" s="1099"/>
      <c r="Y226" s="1099"/>
      <c r="Z226" s="1099"/>
      <c r="AA226" s="1099"/>
      <c r="AB226" s="1099"/>
      <c r="AC226" s="1128"/>
      <c r="AD226" s="1128"/>
      <c r="AE226" s="1128"/>
      <c r="AF226" s="1128"/>
      <c r="AG226" s="1128"/>
      <c r="AH226" s="1128"/>
      <c r="AI226" s="1128"/>
      <c r="AJ226" s="1128"/>
      <c r="AK226" s="1128"/>
      <c r="AL226" s="1128"/>
    </row>
    <row r="227" spans="1:38" s="1086" customFormat="1">
      <c r="A227" s="1096"/>
      <c r="B227" s="1096"/>
      <c r="C227" s="1096"/>
      <c r="D227" s="1096"/>
      <c r="E227" s="1128"/>
      <c r="F227" s="1128"/>
      <c r="G227" s="1128"/>
      <c r="H227" s="1099"/>
      <c r="I227" s="1099"/>
      <c r="J227" s="1107"/>
      <c r="K227" s="1099"/>
      <c r="L227" s="1099"/>
      <c r="M227" s="1099"/>
      <c r="N227" s="1099"/>
      <c r="O227" s="1099"/>
      <c r="P227" s="1099"/>
      <c r="Q227" s="1107"/>
      <c r="R227" s="1099"/>
      <c r="S227" s="1099"/>
      <c r="T227" s="1099"/>
      <c r="U227" s="1099"/>
      <c r="V227" s="1099"/>
      <c r="W227" s="1099"/>
      <c r="X227" s="1099"/>
      <c r="Y227" s="1099"/>
      <c r="Z227" s="1099"/>
      <c r="AA227" s="1099"/>
      <c r="AB227" s="1099"/>
      <c r="AC227" s="1128"/>
      <c r="AD227" s="1128"/>
      <c r="AE227" s="1128"/>
      <c r="AF227" s="1128"/>
      <c r="AG227" s="1128"/>
      <c r="AH227" s="1128"/>
      <c r="AI227" s="1128"/>
      <c r="AJ227" s="1128"/>
      <c r="AK227" s="1128"/>
      <c r="AL227" s="1128"/>
    </row>
    <row r="228" spans="1:38" s="1086" customFormat="1">
      <c r="A228" s="1096"/>
      <c r="B228" s="1096"/>
      <c r="C228" s="1096"/>
      <c r="D228" s="1096"/>
      <c r="E228" s="1128"/>
      <c r="F228" s="1128"/>
      <c r="G228" s="1128"/>
      <c r="H228" s="1099"/>
      <c r="I228" s="1099"/>
      <c r="J228" s="1107"/>
      <c r="K228" s="1099"/>
      <c r="L228" s="1099"/>
      <c r="M228" s="1099"/>
      <c r="N228" s="1099"/>
      <c r="O228" s="1099"/>
      <c r="P228" s="1099"/>
      <c r="Q228" s="1107"/>
      <c r="R228" s="1099"/>
      <c r="S228" s="1099"/>
      <c r="T228" s="1099"/>
      <c r="U228" s="1099"/>
      <c r="V228" s="1099"/>
      <c r="W228" s="1099"/>
      <c r="X228" s="1099"/>
      <c r="Y228" s="1099"/>
      <c r="Z228" s="1099"/>
      <c r="AA228" s="1099"/>
      <c r="AB228" s="1099"/>
      <c r="AC228" s="1128"/>
      <c r="AD228" s="1128"/>
      <c r="AE228" s="1128"/>
      <c r="AF228" s="1128"/>
      <c r="AG228" s="1128"/>
      <c r="AH228" s="1128"/>
      <c r="AI228" s="1128"/>
      <c r="AJ228" s="1128"/>
      <c r="AK228" s="1128"/>
      <c r="AL228" s="1128"/>
    </row>
    <row r="229" spans="1:38" s="1086" customFormat="1">
      <c r="A229" s="1096"/>
      <c r="B229" s="1096"/>
      <c r="C229" s="1096"/>
      <c r="D229" s="1096"/>
      <c r="E229" s="1128"/>
      <c r="F229" s="1128"/>
      <c r="G229" s="1128"/>
      <c r="H229" s="1099"/>
      <c r="I229" s="1099"/>
      <c r="J229" s="1107"/>
      <c r="K229" s="1099"/>
      <c r="L229" s="1099"/>
      <c r="M229" s="1099"/>
      <c r="N229" s="1099"/>
      <c r="O229" s="1099"/>
      <c r="P229" s="1099"/>
      <c r="Q229" s="1107"/>
      <c r="R229" s="1099"/>
      <c r="S229" s="1099"/>
      <c r="T229" s="1099"/>
      <c r="U229" s="1099"/>
      <c r="V229" s="1099"/>
      <c r="W229" s="1099"/>
      <c r="X229" s="1099"/>
      <c r="Y229" s="1099"/>
      <c r="Z229" s="1099"/>
      <c r="AA229" s="1099"/>
      <c r="AB229" s="1099"/>
      <c r="AC229" s="1128"/>
      <c r="AD229" s="1128"/>
      <c r="AE229" s="1128"/>
      <c r="AF229" s="1128"/>
      <c r="AG229" s="1128"/>
      <c r="AH229" s="1128"/>
      <c r="AI229" s="1128"/>
      <c r="AJ229" s="1128"/>
      <c r="AK229" s="1128"/>
      <c r="AL229" s="1128"/>
    </row>
    <row r="230" spans="1:38" s="1086" customFormat="1">
      <c r="A230" s="1096"/>
      <c r="B230" s="1096"/>
      <c r="C230" s="1096"/>
      <c r="D230" s="1096"/>
      <c r="E230" s="1128"/>
      <c r="F230" s="1128"/>
      <c r="G230" s="1128"/>
      <c r="H230" s="1099"/>
      <c r="I230" s="1099"/>
      <c r="J230" s="1107"/>
      <c r="K230" s="1099"/>
      <c r="L230" s="1099"/>
      <c r="M230" s="1099"/>
      <c r="N230" s="1099"/>
      <c r="O230" s="1099"/>
      <c r="P230" s="1099"/>
      <c r="Q230" s="1107"/>
      <c r="R230" s="1099"/>
      <c r="S230" s="1099"/>
      <c r="T230" s="1099"/>
      <c r="U230" s="1099"/>
      <c r="V230" s="1099"/>
      <c r="W230" s="1099"/>
      <c r="X230" s="1099"/>
      <c r="Y230" s="1099"/>
      <c r="Z230" s="1099"/>
      <c r="AA230" s="1099"/>
      <c r="AB230" s="1099"/>
      <c r="AC230" s="1128"/>
      <c r="AD230" s="1128"/>
      <c r="AE230" s="1128"/>
      <c r="AF230" s="1128"/>
      <c r="AG230" s="1128"/>
      <c r="AH230" s="1128"/>
      <c r="AI230" s="1128"/>
      <c r="AJ230" s="1128"/>
      <c r="AK230" s="1128"/>
      <c r="AL230" s="1128"/>
    </row>
    <row r="231" spans="1:38" s="1086" customFormat="1">
      <c r="A231" s="1096"/>
      <c r="B231" s="1096"/>
      <c r="C231" s="1096"/>
      <c r="D231" s="1096"/>
      <c r="E231" s="1128"/>
      <c r="F231" s="1128"/>
      <c r="G231" s="1128"/>
      <c r="H231" s="1099"/>
      <c r="I231" s="1099"/>
      <c r="J231" s="1107"/>
      <c r="K231" s="1099"/>
      <c r="L231" s="1099"/>
      <c r="M231" s="1099"/>
      <c r="N231" s="1099"/>
      <c r="O231" s="1099"/>
      <c r="P231" s="1099"/>
      <c r="Q231" s="1107"/>
      <c r="R231" s="1099"/>
      <c r="S231" s="1099"/>
      <c r="T231" s="1099"/>
      <c r="U231" s="1099"/>
      <c r="V231" s="1099"/>
      <c r="W231" s="1099"/>
      <c r="X231" s="1099"/>
      <c r="Y231" s="1099"/>
      <c r="Z231" s="1099"/>
      <c r="AA231" s="1099"/>
      <c r="AB231" s="1099"/>
      <c r="AC231" s="1128"/>
      <c r="AD231" s="1128"/>
      <c r="AE231" s="1128"/>
      <c r="AF231" s="1128"/>
      <c r="AG231" s="1128"/>
      <c r="AH231" s="1128"/>
      <c r="AI231" s="1128"/>
      <c r="AJ231" s="1128"/>
      <c r="AK231" s="1128"/>
      <c r="AL231" s="1128"/>
    </row>
    <row r="232" spans="1:38" s="1086" customFormat="1">
      <c r="A232" s="1096"/>
      <c r="B232" s="1096"/>
      <c r="C232" s="1096"/>
      <c r="D232" s="1096"/>
      <c r="E232" s="1128"/>
      <c r="F232" s="1128"/>
      <c r="G232" s="1128"/>
      <c r="H232" s="1099"/>
      <c r="I232" s="1099"/>
      <c r="J232" s="1107"/>
      <c r="K232" s="1099"/>
      <c r="L232" s="1099"/>
      <c r="M232" s="1099"/>
      <c r="N232" s="1099"/>
      <c r="O232" s="1099"/>
      <c r="P232" s="1099"/>
      <c r="Q232" s="1107"/>
      <c r="R232" s="1099"/>
      <c r="S232" s="1099"/>
      <c r="T232" s="1099"/>
      <c r="U232" s="1099"/>
      <c r="V232" s="1099"/>
      <c r="W232" s="1099"/>
      <c r="X232" s="1099"/>
      <c r="Y232" s="1099"/>
      <c r="Z232" s="1099"/>
      <c r="AA232" s="1099"/>
      <c r="AB232" s="1099"/>
      <c r="AC232" s="1128"/>
      <c r="AD232" s="1128"/>
      <c r="AE232" s="1128"/>
      <c r="AF232" s="1128"/>
      <c r="AG232" s="1128"/>
      <c r="AH232" s="1128"/>
      <c r="AI232" s="1128"/>
      <c r="AJ232" s="1128"/>
      <c r="AK232" s="1128"/>
      <c r="AL232" s="1128"/>
    </row>
    <row r="233" spans="1:38" s="1086" customFormat="1">
      <c r="A233" s="1096"/>
      <c r="B233" s="1096"/>
      <c r="C233" s="1096"/>
      <c r="D233" s="1096"/>
      <c r="E233" s="1128"/>
      <c r="F233" s="1128"/>
      <c r="G233" s="1128"/>
      <c r="H233" s="1099"/>
      <c r="I233" s="1099"/>
      <c r="J233" s="1107"/>
      <c r="K233" s="1099"/>
      <c r="L233" s="1099"/>
      <c r="M233" s="1099"/>
      <c r="N233" s="1099"/>
      <c r="O233" s="1099"/>
      <c r="P233" s="1099"/>
      <c r="Q233" s="1107"/>
      <c r="R233" s="1099"/>
      <c r="S233" s="1099"/>
      <c r="T233" s="1099"/>
      <c r="U233" s="1099"/>
      <c r="V233" s="1099"/>
      <c r="W233" s="1099"/>
      <c r="X233" s="1099"/>
      <c r="Y233" s="1099"/>
      <c r="Z233" s="1099"/>
      <c r="AA233" s="1099"/>
      <c r="AB233" s="1099"/>
      <c r="AC233" s="1128"/>
      <c r="AD233" s="1128"/>
      <c r="AE233" s="1128"/>
      <c r="AF233" s="1128"/>
      <c r="AG233" s="1128"/>
      <c r="AH233" s="1128"/>
      <c r="AI233" s="1128"/>
      <c r="AJ233" s="1128"/>
      <c r="AK233" s="1128"/>
      <c r="AL233" s="1128"/>
    </row>
    <row r="234" spans="1:38" s="1086" customFormat="1">
      <c r="A234" s="1096"/>
      <c r="B234" s="1096"/>
      <c r="C234" s="1096"/>
      <c r="D234" s="1096"/>
      <c r="E234" s="1128"/>
      <c r="F234" s="1128"/>
      <c r="G234" s="1128"/>
      <c r="H234" s="1099"/>
      <c r="I234" s="1099"/>
      <c r="J234" s="1107"/>
      <c r="K234" s="1099"/>
      <c r="L234" s="1099"/>
      <c r="M234" s="1099"/>
      <c r="N234" s="1099"/>
      <c r="O234" s="1099"/>
      <c r="P234" s="1099"/>
      <c r="Q234" s="1107"/>
      <c r="R234" s="1099"/>
      <c r="S234" s="1099"/>
      <c r="T234" s="1099"/>
      <c r="U234" s="1099"/>
      <c r="V234" s="1099"/>
      <c r="W234" s="1099"/>
      <c r="X234" s="1099"/>
      <c r="Y234" s="1099"/>
      <c r="Z234" s="1099"/>
      <c r="AA234" s="1099"/>
      <c r="AB234" s="1099"/>
      <c r="AC234" s="1128"/>
      <c r="AD234" s="1128"/>
      <c r="AE234" s="1128"/>
      <c r="AF234" s="1128"/>
      <c r="AG234" s="1128"/>
      <c r="AH234" s="1128"/>
      <c r="AI234" s="1128"/>
      <c r="AJ234" s="1128"/>
      <c r="AK234" s="1128"/>
      <c r="AL234" s="1128"/>
    </row>
    <row r="235" spans="1:38" s="1086" customFormat="1">
      <c r="A235" s="1096"/>
      <c r="B235" s="1096"/>
      <c r="C235" s="1096"/>
      <c r="D235" s="1096"/>
      <c r="E235" s="1128"/>
      <c r="F235" s="1128"/>
      <c r="G235" s="1128"/>
      <c r="H235" s="1099"/>
      <c r="I235" s="1099"/>
      <c r="J235" s="1107"/>
      <c r="K235" s="1099"/>
      <c r="L235" s="1099"/>
      <c r="M235" s="1099"/>
      <c r="N235" s="1099"/>
      <c r="O235" s="1099"/>
      <c r="P235" s="1099"/>
      <c r="Q235" s="1107"/>
      <c r="R235" s="1099"/>
      <c r="S235" s="1099"/>
      <c r="T235" s="1099"/>
      <c r="U235" s="1099"/>
      <c r="V235" s="1099"/>
      <c r="W235" s="1099"/>
      <c r="X235" s="1099"/>
      <c r="Y235" s="1099"/>
      <c r="Z235" s="1099"/>
      <c r="AA235" s="1099"/>
      <c r="AB235" s="1099"/>
      <c r="AC235" s="1128"/>
      <c r="AD235" s="1128"/>
      <c r="AE235" s="1128"/>
      <c r="AF235" s="1128"/>
      <c r="AG235" s="1128"/>
      <c r="AH235" s="1128"/>
      <c r="AI235" s="1128"/>
      <c r="AJ235" s="1128"/>
      <c r="AK235" s="1128"/>
      <c r="AL235" s="1128"/>
    </row>
    <row r="236" spans="1:38" s="1086" customFormat="1">
      <c r="A236" s="1096"/>
      <c r="B236" s="1096"/>
      <c r="C236" s="1096"/>
      <c r="D236" s="1096"/>
      <c r="E236" s="1128"/>
      <c r="F236" s="1128"/>
      <c r="G236" s="1128"/>
      <c r="H236" s="1099"/>
      <c r="I236" s="1099"/>
      <c r="J236" s="1107"/>
      <c r="K236" s="1099"/>
      <c r="L236" s="1099"/>
      <c r="M236" s="1099"/>
      <c r="N236" s="1099"/>
      <c r="O236" s="1099"/>
      <c r="P236" s="1099"/>
      <c r="Q236" s="1107"/>
      <c r="R236" s="1099"/>
      <c r="S236" s="1099"/>
      <c r="T236" s="1099"/>
      <c r="U236" s="1099"/>
      <c r="V236" s="1099"/>
      <c r="W236" s="1099"/>
      <c r="X236" s="1099"/>
      <c r="Y236" s="1099"/>
      <c r="Z236" s="1099"/>
      <c r="AA236" s="1099"/>
      <c r="AB236" s="1099"/>
      <c r="AC236" s="1128"/>
      <c r="AD236" s="1128"/>
      <c r="AE236" s="1128"/>
      <c r="AF236" s="1128"/>
      <c r="AG236" s="1128"/>
      <c r="AH236" s="1128"/>
      <c r="AI236" s="1128"/>
      <c r="AJ236" s="1128"/>
      <c r="AK236" s="1128"/>
      <c r="AL236" s="1128"/>
    </row>
    <row r="237" spans="1:38" s="1086" customFormat="1">
      <c r="A237" s="1096"/>
      <c r="B237" s="1096"/>
      <c r="C237" s="1096"/>
      <c r="D237" s="1096"/>
      <c r="E237" s="1128"/>
      <c r="F237" s="1128"/>
      <c r="G237" s="1128"/>
      <c r="H237" s="1099"/>
      <c r="I237" s="1099"/>
      <c r="J237" s="1107"/>
      <c r="K237" s="1099"/>
      <c r="L237" s="1099"/>
      <c r="M237" s="1099"/>
      <c r="N237" s="1099"/>
      <c r="O237" s="1099"/>
      <c r="P237" s="1099"/>
      <c r="Q237" s="1107"/>
      <c r="R237" s="1099"/>
      <c r="S237" s="1099"/>
      <c r="T237" s="1099"/>
      <c r="U237" s="1099"/>
      <c r="V237" s="1099"/>
      <c r="W237" s="1099"/>
      <c r="X237" s="1099"/>
      <c r="Y237" s="1099"/>
      <c r="Z237" s="1099"/>
      <c r="AA237" s="1099"/>
      <c r="AB237" s="1099"/>
      <c r="AC237" s="1128"/>
      <c r="AD237" s="1128"/>
      <c r="AE237" s="1128"/>
      <c r="AF237" s="1128"/>
      <c r="AG237" s="1128"/>
      <c r="AH237" s="1128"/>
      <c r="AI237" s="1128"/>
      <c r="AJ237" s="1128"/>
      <c r="AK237" s="1128"/>
      <c r="AL237" s="1128"/>
    </row>
    <row r="238" spans="1:38" s="1086" customFormat="1">
      <c r="A238" s="1096"/>
      <c r="B238" s="1096"/>
      <c r="C238" s="1096"/>
      <c r="D238" s="1096"/>
      <c r="E238" s="1128"/>
      <c r="F238" s="1128"/>
      <c r="G238" s="1128"/>
      <c r="H238" s="1099"/>
      <c r="I238" s="1099"/>
      <c r="J238" s="1107"/>
      <c r="K238" s="1099"/>
      <c r="L238" s="1099"/>
      <c r="M238" s="1099"/>
      <c r="N238" s="1099"/>
      <c r="O238" s="1099"/>
      <c r="P238" s="1099"/>
      <c r="Q238" s="1107"/>
      <c r="R238" s="1099"/>
      <c r="S238" s="1099"/>
      <c r="T238" s="1099"/>
      <c r="U238" s="1099"/>
      <c r="V238" s="1099"/>
      <c r="W238" s="1099"/>
      <c r="X238" s="1099"/>
      <c r="Y238" s="1099"/>
      <c r="Z238" s="1099"/>
      <c r="AA238" s="1099"/>
      <c r="AB238" s="1099"/>
      <c r="AC238" s="1128"/>
      <c r="AD238" s="1128"/>
      <c r="AE238" s="1128"/>
      <c r="AF238" s="1128"/>
      <c r="AG238" s="1128"/>
      <c r="AH238" s="1128"/>
      <c r="AI238" s="1128"/>
      <c r="AJ238" s="1128"/>
      <c r="AK238" s="1128"/>
      <c r="AL238" s="1128"/>
    </row>
    <row r="239" spans="1:38" s="1086" customFormat="1">
      <c r="A239" s="1096"/>
      <c r="B239" s="1096"/>
      <c r="C239" s="1096"/>
      <c r="D239" s="1096"/>
      <c r="E239" s="1128"/>
      <c r="F239" s="1128"/>
      <c r="G239" s="1128"/>
      <c r="H239" s="1099"/>
      <c r="I239" s="1099"/>
      <c r="J239" s="1107"/>
      <c r="K239" s="1099"/>
      <c r="L239" s="1099"/>
      <c r="M239" s="1099"/>
      <c r="N239" s="1099"/>
      <c r="O239" s="1099"/>
      <c r="P239" s="1099"/>
      <c r="Q239" s="1107"/>
      <c r="R239" s="1099"/>
      <c r="S239" s="1099"/>
      <c r="T239" s="1099"/>
      <c r="U239" s="1099"/>
      <c r="V239" s="1099"/>
      <c r="W239" s="1099"/>
      <c r="X239" s="1099"/>
      <c r="Y239" s="1099"/>
      <c r="Z239" s="1099"/>
      <c r="AA239" s="1099"/>
      <c r="AB239" s="1099"/>
      <c r="AC239" s="1128"/>
      <c r="AD239" s="1128"/>
      <c r="AE239" s="1128"/>
      <c r="AF239" s="1128"/>
      <c r="AG239" s="1128"/>
      <c r="AH239" s="1128"/>
      <c r="AI239" s="1128"/>
      <c r="AJ239" s="1128"/>
      <c r="AK239" s="1128"/>
      <c r="AL239" s="1128"/>
    </row>
    <row r="240" spans="1:38" s="1086" customFormat="1">
      <c r="A240" s="1096"/>
      <c r="B240" s="1096"/>
      <c r="C240" s="1096"/>
      <c r="D240" s="1096"/>
      <c r="E240" s="1128"/>
      <c r="F240" s="1128"/>
      <c r="G240" s="1128"/>
      <c r="H240" s="1099"/>
      <c r="I240" s="1099"/>
      <c r="J240" s="1107"/>
      <c r="K240" s="1099"/>
      <c r="L240" s="1099"/>
      <c r="M240" s="1099"/>
      <c r="N240" s="1099"/>
      <c r="O240" s="1099"/>
      <c r="P240" s="1099"/>
      <c r="Q240" s="1107"/>
      <c r="R240" s="1099"/>
      <c r="S240" s="1099"/>
      <c r="T240" s="1099"/>
      <c r="U240" s="1099"/>
      <c r="V240" s="1099"/>
      <c r="W240" s="1099"/>
      <c r="X240" s="1099"/>
      <c r="Y240" s="1099"/>
      <c r="Z240" s="1099"/>
      <c r="AA240" s="1099"/>
      <c r="AB240" s="1099"/>
      <c r="AC240" s="1128"/>
      <c r="AD240" s="1128"/>
      <c r="AE240" s="1128"/>
      <c r="AF240" s="1128"/>
      <c r="AG240" s="1128"/>
      <c r="AH240" s="1128"/>
      <c r="AI240" s="1128"/>
      <c r="AJ240" s="1128"/>
      <c r="AK240" s="1128"/>
      <c r="AL240" s="1128"/>
    </row>
    <row r="241" spans="1:38" s="1086" customFormat="1">
      <c r="A241" s="1096"/>
      <c r="B241" s="1096"/>
      <c r="C241" s="1096"/>
      <c r="D241" s="1096"/>
      <c r="E241" s="1128"/>
      <c r="F241" s="1128"/>
      <c r="G241" s="1128"/>
      <c r="H241" s="1099"/>
      <c r="I241" s="1099"/>
      <c r="J241" s="1107"/>
      <c r="K241" s="1099"/>
      <c r="L241" s="1099"/>
      <c r="M241" s="1099"/>
      <c r="N241" s="1099"/>
      <c r="O241" s="1099"/>
      <c r="P241" s="1099"/>
      <c r="Q241" s="1107"/>
      <c r="R241" s="1099"/>
      <c r="S241" s="1099"/>
      <c r="T241" s="1099"/>
      <c r="U241" s="1099"/>
      <c r="V241" s="1099"/>
      <c r="W241" s="1099"/>
      <c r="X241" s="1099"/>
      <c r="Y241" s="1099"/>
      <c r="Z241" s="1099"/>
      <c r="AA241" s="1099"/>
      <c r="AB241" s="1099"/>
      <c r="AC241" s="1128"/>
      <c r="AD241" s="1128"/>
      <c r="AE241" s="1128"/>
      <c r="AF241" s="1128"/>
      <c r="AG241" s="1128"/>
      <c r="AH241" s="1128"/>
      <c r="AI241" s="1128"/>
      <c r="AJ241" s="1128"/>
      <c r="AK241" s="1128"/>
      <c r="AL241" s="1128"/>
    </row>
    <row r="242" spans="1:38" s="1086" customFormat="1">
      <c r="A242" s="1096"/>
      <c r="B242" s="1096"/>
      <c r="C242" s="1096"/>
      <c r="D242" s="1096"/>
      <c r="E242" s="1128"/>
      <c r="F242" s="1128"/>
      <c r="G242" s="1128"/>
      <c r="H242" s="1099"/>
      <c r="I242" s="1099"/>
      <c r="J242" s="1107"/>
      <c r="K242" s="1099"/>
      <c r="L242" s="1099"/>
      <c r="M242" s="1099"/>
      <c r="N242" s="1099"/>
      <c r="O242" s="1099"/>
      <c r="P242" s="1099"/>
      <c r="Q242" s="1107"/>
      <c r="R242" s="1099"/>
      <c r="S242" s="1099"/>
      <c r="T242" s="1099"/>
      <c r="U242" s="1099"/>
      <c r="V242" s="1099"/>
      <c r="W242" s="1099"/>
      <c r="X242" s="1099"/>
      <c r="Y242" s="1099"/>
      <c r="Z242" s="1099"/>
      <c r="AA242" s="1099"/>
      <c r="AB242" s="1099"/>
      <c r="AC242" s="1128"/>
      <c r="AD242" s="1128"/>
      <c r="AE242" s="1128"/>
      <c r="AF242" s="1128"/>
      <c r="AG242" s="1128"/>
      <c r="AH242" s="1128"/>
      <c r="AI242" s="1128"/>
      <c r="AJ242" s="1128"/>
      <c r="AK242" s="1128"/>
      <c r="AL242" s="1128"/>
    </row>
    <row r="243" spans="1:38" s="1086" customFormat="1">
      <c r="A243" s="1096"/>
      <c r="B243" s="1096"/>
      <c r="C243" s="1096"/>
      <c r="D243" s="1096"/>
      <c r="E243" s="1128"/>
      <c r="F243" s="1128"/>
      <c r="G243" s="1128"/>
      <c r="H243" s="1099"/>
      <c r="I243" s="1099"/>
      <c r="J243" s="1107"/>
      <c r="K243" s="1099"/>
      <c r="L243" s="1099"/>
      <c r="M243" s="1099"/>
      <c r="N243" s="1099"/>
      <c r="O243" s="1099"/>
      <c r="P243" s="1099"/>
      <c r="Q243" s="1107"/>
      <c r="R243" s="1099"/>
      <c r="S243" s="1099"/>
      <c r="T243" s="1099"/>
      <c r="U243" s="1099"/>
      <c r="V243" s="1099"/>
      <c r="W243" s="1099"/>
      <c r="X243" s="1099"/>
      <c r="Y243" s="1099"/>
      <c r="Z243" s="1099"/>
      <c r="AA243" s="1099"/>
      <c r="AB243" s="1099"/>
      <c r="AC243" s="1128"/>
      <c r="AD243" s="1128"/>
      <c r="AE243" s="1128"/>
      <c r="AF243" s="1128"/>
      <c r="AG243" s="1128"/>
      <c r="AH243" s="1128"/>
      <c r="AI243" s="1128"/>
      <c r="AJ243" s="1128"/>
      <c r="AK243" s="1128"/>
      <c r="AL243" s="1128"/>
    </row>
    <row r="244" spans="1:38" s="1086" customFormat="1">
      <c r="A244" s="1096"/>
      <c r="B244" s="1096"/>
      <c r="C244" s="1096"/>
      <c r="D244" s="1096"/>
      <c r="E244" s="1128"/>
      <c r="F244" s="1128"/>
      <c r="G244" s="1128"/>
      <c r="H244" s="1099"/>
      <c r="I244" s="1099"/>
      <c r="J244" s="1107"/>
      <c r="K244" s="1099"/>
      <c r="L244" s="1099"/>
      <c r="M244" s="1099"/>
      <c r="N244" s="1099"/>
      <c r="O244" s="1099"/>
      <c r="P244" s="1099"/>
      <c r="Q244" s="1107"/>
      <c r="R244" s="1099"/>
      <c r="S244" s="1099"/>
      <c r="T244" s="1099"/>
      <c r="U244" s="1099"/>
      <c r="V244" s="1099"/>
      <c r="W244" s="1099"/>
      <c r="X244" s="1099"/>
      <c r="Y244" s="1099"/>
      <c r="Z244" s="1099"/>
      <c r="AA244" s="1099"/>
      <c r="AB244" s="1099"/>
      <c r="AC244" s="1128"/>
      <c r="AD244" s="1128"/>
      <c r="AE244" s="1128"/>
      <c r="AF244" s="1128"/>
      <c r="AG244" s="1128"/>
      <c r="AH244" s="1128"/>
      <c r="AI244" s="1128"/>
      <c r="AJ244" s="1128"/>
      <c r="AK244" s="1128"/>
      <c r="AL244" s="1128"/>
    </row>
    <row r="245" spans="1:38" s="1086" customFormat="1">
      <c r="A245" s="1096"/>
      <c r="B245" s="1096"/>
      <c r="C245" s="1096"/>
      <c r="D245" s="1096"/>
      <c r="E245" s="1128"/>
      <c r="F245" s="1128"/>
      <c r="G245" s="1128"/>
      <c r="H245" s="1099"/>
      <c r="I245" s="1099"/>
      <c r="J245" s="1107"/>
      <c r="K245" s="1099"/>
      <c r="L245" s="1099"/>
      <c r="M245" s="1099"/>
      <c r="N245" s="1099"/>
      <c r="O245" s="1099"/>
      <c r="P245" s="1099"/>
      <c r="Q245" s="1107"/>
      <c r="R245" s="1099"/>
      <c r="S245" s="1099"/>
      <c r="T245" s="1099"/>
      <c r="U245" s="1099"/>
      <c r="V245" s="1099"/>
      <c r="W245" s="1099"/>
      <c r="X245" s="1099"/>
      <c r="Y245" s="1099"/>
      <c r="Z245" s="1099"/>
      <c r="AA245" s="1099"/>
      <c r="AB245" s="1099"/>
      <c r="AC245" s="1128"/>
      <c r="AD245" s="1128"/>
      <c r="AE245" s="1128"/>
      <c r="AF245" s="1128"/>
      <c r="AG245" s="1128"/>
      <c r="AH245" s="1128"/>
      <c r="AI245" s="1128"/>
      <c r="AJ245" s="1128"/>
      <c r="AK245" s="1128"/>
      <c r="AL245" s="1128"/>
    </row>
    <row r="246" spans="1:38" s="1086" customFormat="1">
      <c r="A246" s="1096"/>
      <c r="B246" s="1096"/>
      <c r="C246" s="1096"/>
      <c r="D246" s="1096"/>
      <c r="E246" s="1128"/>
      <c r="F246" s="1128"/>
      <c r="G246" s="1128"/>
      <c r="H246" s="1099"/>
      <c r="I246" s="1099"/>
      <c r="J246" s="1107"/>
      <c r="K246" s="1099"/>
      <c r="L246" s="1099"/>
      <c r="M246" s="1099"/>
      <c r="N246" s="1099"/>
      <c r="O246" s="1099"/>
      <c r="P246" s="1099"/>
      <c r="Q246" s="1107"/>
      <c r="R246" s="1099"/>
      <c r="S246" s="1099"/>
      <c r="T246" s="1099"/>
      <c r="U246" s="1099"/>
      <c r="V246" s="1099"/>
      <c r="W246" s="1099"/>
      <c r="X246" s="1099"/>
      <c r="Y246" s="1099"/>
      <c r="Z246" s="1099"/>
      <c r="AA246" s="1099"/>
      <c r="AB246" s="1099"/>
      <c r="AC246" s="1128"/>
      <c r="AD246" s="1128"/>
      <c r="AE246" s="1128"/>
      <c r="AF246" s="1128"/>
      <c r="AG246" s="1128"/>
      <c r="AH246" s="1128"/>
      <c r="AI246" s="1128"/>
      <c r="AJ246" s="1128"/>
      <c r="AK246" s="1128"/>
      <c r="AL246" s="1128"/>
    </row>
    <row r="247" spans="1:38" s="1086" customFormat="1">
      <c r="A247" s="1096"/>
      <c r="B247" s="1096"/>
      <c r="C247" s="1096"/>
      <c r="D247" s="1096"/>
      <c r="E247" s="1128"/>
      <c r="F247" s="1128"/>
      <c r="G247" s="1128"/>
      <c r="H247" s="1099"/>
      <c r="I247" s="1099"/>
      <c r="J247" s="1107"/>
      <c r="K247" s="1099"/>
      <c r="L247" s="1099"/>
      <c r="M247" s="1099"/>
      <c r="N247" s="1099"/>
      <c r="O247" s="1099"/>
      <c r="P247" s="1099"/>
      <c r="Q247" s="1107"/>
      <c r="R247" s="1099"/>
      <c r="S247" s="1099"/>
      <c r="T247" s="1099"/>
      <c r="U247" s="1099"/>
      <c r="V247" s="1099"/>
      <c r="W247" s="1099"/>
      <c r="X247" s="1099"/>
      <c r="Y247" s="1099"/>
      <c r="Z247" s="1099"/>
      <c r="AA247" s="1099"/>
      <c r="AB247" s="1099"/>
      <c r="AC247" s="1128"/>
      <c r="AD247" s="1128"/>
      <c r="AE247" s="1128"/>
      <c r="AF247" s="1128"/>
      <c r="AG247" s="1128"/>
      <c r="AH247" s="1128"/>
      <c r="AI247" s="1128"/>
      <c r="AJ247" s="1128"/>
      <c r="AK247" s="1128"/>
      <c r="AL247" s="1128"/>
    </row>
    <row r="248" spans="1:38" s="1086" customFormat="1">
      <c r="A248" s="1096"/>
      <c r="B248" s="1096"/>
      <c r="C248" s="1096"/>
      <c r="D248" s="1096"/>
      <c r="E248" s="1128"/>
      <c r="F248" s="1128"/>
      <c r="G248" s="1128"/>
      <c r="H248" s="1099"/>
      <c r="I248" s="1099"/>
      <c r="J248" s="1107"/>
      <c r="K248" s="1099"/>
      <c r="L248" s="1099"/>
      <c r="M248" s="1099"/>
      <c r="N248" s="1099"/>
      <c r="O248" s="1099"/>
      <c r="P248" s="1099"/>
      <c r="Q248" s="1107"/>
      <c r="R248" s="1099"/>
      <c r="S248" s="1099"/>
      <c r="T248" s="1099"/>
      <c r="U248" s="1099"/>
      <c r="V248" s="1099"/>
      <c r="W248" s="1099"/>
      <c r="X248" s="1099"/>
      <c r="Y248" s="1099"/>
      <c r="Z248" s="1099"/>
      <c r="AA248" s="1099"/>
      <c r="AB248" s="1099"/>
      <c r="AC248" s="1128"/>
      <c r="AD248" s="1128"/>
      <c r="AE248" s="1128"/>
      <c r="AF248" s="1128"/>
      <c r="AG248" s="1128"/>
      <c r="AH248" s="1128"/>
      <c r="AI248" s="1128"/>
      <c r="AJ248" s="1128"/>
      <c r="AK248" s="1128"/>
      <c r="AL248" s="1128"/>
    </row>
    <row r="249" spans="1:38" s="1086" customFormat="1">
      <c r="A249" s="1096"/>
      <c r="B249" s="1096"/>
      <c r="C249" s="1096"/>
      <c r="D249" s="1096"/>
      <c r="E249" s="1128"/>
      <c r="F249" s="1128"/>
      <c r="G249" s="1128"/>
      <c r="H249" s="1099"/>
      <c r="I249" s="1099"/>
      <c r="J249" s="1107"/>
      <c r="K249" s="1099"/>
      <c r="L249" s="1099"/>
      <c r="M249" s="1099"/>
      <c r="N249" s="1099"/>
      <c r="O249" s="1099"/>
      <c r="P249" s="1099"/>
      <c r="Q249" s="1107"/>
      <c r="R249" s="1099"/>
      <c r="S249" s="1099"/>
      <c r="T249" s="1099"/>
      <c r="U249" s="1099"/>
      <c r="V249" s="1099"/>
      <c r="W249" s="1099"/>
      <c r="X249" s="1099"/>
      <c r="Y249" s="1099"/>
      <c r="Z249" s="1099"/>
      <c r="AA249" s="1099"/>
      <c r="AB249" s="1099"/>
      <c r="AC249" s="1128"/>
      <c r="AD249" s="1128"/>
      <c r="AE249" s="1128"/>
      <c r="AF249" s="1128"/>
      <c r="AG249" s="1128"/>
      <c r="AH249" s="1128"/>
      <c r="AI249" s="1128"/>
      <c r="AJ249" s="1128"/>
      <c r="AK249" s="1128"/>
      <c r="AL249" s="1128"/>
    </row>
    <row r="250" spans="1:38" s="1086" customFormat="1">
      <c r="A250" s="1096"/>
      <c r="B250" s="1096"/>
      <c r="C250" s="1096"/>
      <c r="D250" s="1096"/>
      <c r="E250" s="1128"/>
      <c r="F250" s="1128"/>
      <c r="G250" s="1128"/>
      <c r="H250" s="1099"/>
      <c r="I250" s="1099"/>
      <c r="J250" s="1107"/>
      <c r="K250" s="1099"/>
      <c r="L250" s="1099"/>
      <c r="M250" s="1099"/>
      <c r="N250" s="1099"/>
      <c r="O250" s="1099"/>
      <c r="P250" s="1099"/>
      <c r="Q250" s="1107"/>
      <c r="R250" s="1099"/>
      <c r="S250" s="1099"/>
      <c r="T250" s="1099"/>
      <c r="U250" s="1099"/>
      <c r="V250" s="1099"/>
      <c r="W250" s="1099"/>
      <c r="X250" s="1099"/>
      <c r="Y250" s="1099"/>
      <c r="Z250" s="1099"/>
      <c r="AA250" s="1099"/>
      <c r="AB250" s="1099"/>
      <c r="AC250" s="1128"/>
      <c r="AD250" s="1128"/>
      <c r="AE250" s="1128"/>
      <c r="AF250" s="1128"/>
      <c r="AG250" s="1128"/>
      <c r="AH250" s="1128"/>
      <c r="AI250" s="1128"/>
      <c r="AJ250" s="1128"/>
      <c r="AK250" s="1128"/>
      <c r="AL250" s="1128"/>
    </row>
    <row r="251" spans="1:38" s="1086" customFormat="1">
      <c r="A251" s="1096"/>
      <c r="B251" s="1096"/>
      <c r="C251" s="1096"/>
      <c r="D251" s="1096"/>
      <c r="E251" s="1128"/>
      <c r="F251" s="1128"/>
      <c r="G251" s="1128"/>
      <c r="H251" s="1099"/>
      <c r="I251" s="1099"/>
      <c r="J251" s="1107"/>
      <c r="K251" s="1099"/>
      <c r="L251" s="1099"/>
      <c r="M251" s="1099"/>
      <c r="N251" s="1099"/>
      <c r="O251" s="1099"/>
      <c r="P251" s="1099"/>
      <c r="Q251" s="1107"/>
      <c r="R251" s="1099"/>
      <c r="S251" s="1099"/>
      <c r="T251" s="1099"/>
      <c r="U251" s="1099"/>
      <c r="V251" s="1099"/>
      <c r="W251" s="1099"/>
      <c r="X251" s="1099"/>
      <c r="Y251" s="1099"/>
      <c r="Z251" s="1099"/>
      <c r="AA251" s="1099"/>
      <c r="AB251" s="1099"/>
      <c r="AC251" s="1128"/>
      <c r="AD251" s="1128"/>
      <c r="AE251" s="1128"/>
      <c r="AF251" s="1128"/>
      <c r="AG251" s="1128"/>
      <c r="AH251" s="1128"/>
      <c r="AI251" s="1128"/>
      <c r="AJ251" s="1128"/>
      <c r="AK251" s="1128"/>
      <c r="AL251" s="1128"/>
    </row>
    <row r="252" spans="1:38" s="1086" customFormat="1">
      <c r="A252" s="1096"/>
      <c r="B252" s="1096"/>
      <c r="C252" s="1096"/>
      <c r="D252" s="1096"/>
      <c r="E252" s="1128"/>
      <c r="F252" s="1128"/>
      <c r="G252" s="1128"/>
      <c r="H252" s="1099"/>
      <c r="I252" s="1099"/>
      <c r="J252" s="1107"/>
      <c r="K252" s="1099"/>
      <c r="L252" s="1099"/>
      <c r="M252" s="1099"/>
      <c r="N252" s="1099"/>
      <c r="O252" s="1099"/>
      <c r="P252" s="1099"/>
      <c r="Q252" s="1107"/>
      <c r="R252" s="1099"/>
      <c r="S252" s="1099"/>
      <c r="T252" s="1099"/>
      <c r="U252" s="1099"/>
      <c r="V252" s="1099"/>
      <c r="W252" s="1099"/>
      <c r="X252" s="1099"/>
      <c r="Y252" s="1099"/>
      <c r="Z252" s="1099"/>
      <c r="AA252" s="1099"/>
      <c r="AB252" s="1099"/>
      <c r="AC252" s="1128"/>
      <c r="AD252" s="1128"/>
      <c r="AE252" s="1128"/>
      <c r="AF252" s="1128"/>
      <c r="AG252" s="1128"/>
      <c r="AH252" s="1128"/>
      <c r="AI252" s="1128"/>
      <c r="AJ252" s="1128"/>
      <c r="AK252" s="1128"/>
      <c r="AL252" s="1128"/>
    </row>
    <row r="253" spans="1:38" s="1086" customFormat="1">
      <c r="A253" s="1096"/>
      <c r="B253" s="1096"/>
      <c r="C253" s="1096"/>
      <c r="D253" s="1096"/>
      <c r="E253" s="1128"/>
      <c r="F253" s="1128"/>
      <c r="G253" s="1128"/>
      <c r="H253" s="1099"/>
      <c r="I253" s="1099"/>
      <c r="J253" s="1107"/>
      <c r="K253" s="1099"/>
      <c r="L253" s="1099"/>
      <c r="M253" s="1099"/>
      <c r="N253" s="1099"/>
      <c r="O253" s="1099"/>
      <c r="P253" s="1099"/>
      <c r="Q253" s="1107"/>
      <c r="R253" s="1099"/>
      <c r="S253" s="1099"/>
      <c r="T253" s="1099"/>
      <c r="U253" s="1099"/>
      <c r="V253" s="1099"/>
      <c r="W253" s="1099"/>
      <c r="X253" s="1099"/>
      <c r="Y253" s="1099"/>
      <c r="Z253" s="1099"/>
      <c r="AA253" s="1099"/>
      <c r="AB253" s="1099"/>
      <c r="AC253" s="1128"/>
      <c r="AD253" s="1128"/>
      <c r="AE253" s="1128"/>
      <c r="AF253" s="1128"/>
      <c r="AG253" s="1128"/>
      <c r="AH253" s="1128"/>
      <c r="AI253" s="1128"/>
      <c r="AJ253" s="1128"/>
      <c r="AK253" s="1128"/>
      <c r="AL253" s="1128"/>
    </row>
    <row r="254" spans="1:38" s="1086" customFormat="1">
      <c r="A254" s="1096"/>
      <c r="B254" s="1096"/>
      <c r="C254" s="1096"/>
      <c r="D254" s="1096"/>
      <c r="E254" s="1128"/>
      <c r="F254" s="1128"/>
      <c r="G254" s="1128"/>
      <c r="H254" s="1099"/>
      <c r="I254" s="1099"/>
      <c r="J254" s="1107"/>
      <c r="K254" s="1099"/>
      <c r="L254" s="1099"/>
      <c r="M254" s="1099"/>
      <c r="N254" s="1099"/>
      <c r="O254" s="1099"/>
      <c r="P254" s="1099"/>
      <c r="Q254" s="1107"/>
      <c r="R254" s="1099"/>
      <c r="S254" s="1099"/>
      <c r="T254" s="1099"/>
      <c r="U254" s="1099"/>
      <c r="V254" s="1099"/>
      <c r="W254" s="1099"/>
      <c r="X254" s="1099"/>
      <c r="Y254" s="1099"/>
      <c r="Z254" s="1099"/>
      <c r="AA254" s="1099"/>
      <c r="AB254" s="1099"/>
      <c r="AC254" s="1128"/>
      <c r="AD254" s="1128"/>
      <c r="AE254" s="1128"/>
      <c r="AF254" s="1128"/>
      <c r="AG254" s="1128"/>
      <c r="AH254" s="1128"/>
      <c r="AI254" s="1128"/>
      <c r="AJ254" s="1128"/>
      <c r="AK254" s="1128"/>
      <c r="AL254" s="1128"/>
    </row>
    <row r="255" spans="1:38" s="1086" customFormat="1">
      <c r="A255" s="1096"/>
      <c r="B255" s="1096"/>
      <c r="C255" s="1096"/>
      <c r="D255" s="1096"/>
      <c r="E255" s="1128"/>
      <c r="F255" s="1128"/>
      <c r="G255" s="1128"/>
      <c r="H255" s="1099"/>
      <c r="I255" s="1099"/>
      <c r="J255" s="1107"/>
      <c r="K255" s="1099"/>
      <c r="L255" s="1099"/>
      <c r="M255" s="1099"/>
      <c r="N255" s="1099"/>
      <c r="O255" s="1099"/>
      <c r="P255" s="1099"/>
      <c r="Q255" s="1107"/>
      <c r="R255" s="1099"/>
      <c r="S255" s="1099"/>
      <c r="T255" s="1099"/>
      <c r="U255" s="1099"/>
      <c r="V255" s="1099"/>
      <c r="W255" s="1099"/>
      <c r="X255" s="1099"/>
      <c r="Y255" s="1099"/>
      <c r="Z255" s="1099"/>
      <c r="AA255" s="1099"/>
      <c r="AB255" s="1099"/>
      <c r="AC255" s="1128"/>
      <c r="AD255" s="1128"/>
      <c r="AE255" s="1128"/>
      <c r="AF255" s="1128"/>
      <c r="AG255" s="1128"/>
      <c r="AH255" s="1128"/>
      <c r="AI255" s="1128"/>
      <c r="AJ255" s="1128"/>
      <c r="AK255" s="1128"/>
      <c r="AL255" s="1128"/>
    </row>
    <row r="256" spans="1:38" s="1086" customFormat="1">
      <c r="A256" s="1096"/>
      <c r="B256" s="1096"/>
      <c r="C256" s="1096"/>
      <c r="D256" s="1096"/>
      <c r="E256" s="1128"/>
      <c r="F256" s="1128"/>
      <c r="G256" s="1128"/>
      <c r="H256" s="1099"/>
      <c r="I256" s="1099"/>
      <c r="J256" s="1107"/>
      <c r="K256" s="1099"/>
      <c r="L256" s="1099"/>
      <c r="M256" s="1099"/>
      <c r="N256" s="1099"/>
      <c r="O256" s="1099"/>
      <c r="P256" s="1099"/>
      <c r="Q256" s="1107"/>
      <c r="R256" s="1099"/>
      <c r="S256" s="1099"/>
      <c r="T256" s="1099"/>
      <c r="U256" s="1099"/>
      <c r="V256" s="1099"/>
      <c r="W256" s="1099"/>
      <c r="X256" s="1099"/>
      <c r="Y256" s="1099"/>
      <c r="Z256" s="1099"/>
      <c r="AA256" s="1099"/>
      <c r="AB256" s="1099"/>
      <c r="AC256" s="1128"/>
      <c r="AD256" s="1128"/>
      <c r="AE256" s="1128"/>
      <c r="AF256" s="1128"/>
      <c r="AG256" s="1128"/>
      <c r="AH256" s="1128"/>
      <c r="AI256" s="1128"/>
      <c r="AJ256" s="1128"/>
      <c r="AK256" s="1128"/>
      <c r="AL256" s="1128"/>
    </row>
    <row r="257" spans="1:38" s="1086" customFormat="1">
      <c r="A257" s="1096"/>
      <c r="B257" s="1096"/>
      <c r="C257" s="1096"/>
      <c r="D257" s="1096"/>
      <c r="E257" s="1128"/>
      <c r="F257" s="1128"/>
      <c r="G257" s="1128"/>
      <c r="H257" s="1099"/>
      <c r="I257" s="1099"/>
      <c r="J257" s="1107"/>
      <c r="K257" s="1099"/>
      <c r="L257" s="1099"/>
      <c r="M257" s="1099"/>
      <c r="N257" s="1099"/>
      <c r="O257" s="1099"/>
      <c r="P257" s="1099"/>
      <c r="Q257" s="1107"/>
      <c r="R257" s="1099"/>
      <c r="S257" s="1099"/>
      <c r="T257" s="1099"/>
      <c r="U257" s="1099"/>
      <c r="V257" s="1099"/>
      <c r="W257" s="1099"/>
      <c r="X257" s="1099"/>
      <c r="Y257" s="1099"/>
      <c r="Z257" s="1099"/>
      <c r="AA257" s="1099"/>
      <c r="AB257" s="1099"/>
      <c r="AC257" s="1128"/>
      <c r="AD257" s="1128"/>
      <c r="AE257" s="1128"/>
      <c r="AF257" s="1128"/>
      <c r="AG257" s="1128"/>
      <c r="AH257" s="1128"/>
      <c r="AI257" s="1128"/>
      <c r="AJ257" s="1128"/>
      <c r="AK257" s="1128"/>
      <c r="AL257" s="1128"/>
    </row>
    <row r="258" spans="1:38" s="1086" customFormat="1">
      <c r="A258" s="1096"/>
      <c r="B258" s="1096"/>
      <c r="C258" s="1096"/>
      <c r="D258" s="1096"/>
      <c r="E258" s="1128"/>
      <c r="F258" s="1128"/>
      <c r="G258" s="1128"/>
      <c r="H258" s="1099"/>
      <c r="I258" s="1099"/>
      <c r="J258" s="1107"/>
      <c r="K258" s="1099"/>
      <c r="L258" s="1099"/>
      <c r="M258" s="1099"/>
      <c r="N258" s="1099"/>
      <c r="O258" s="1099"/>
      <c r="P258" s="1099"/>
      <c r="Q258" s="1107"/>
      <c r="R258" s="1099"/>
      <c r="S258" s="1099"/>
      <c r="T258" s="1099"/>
      <c r="U258" s="1099"/>
      <c r="V258" s="1099"/>
      <c r="W258" s="1099"/>
      <c r="X258" s="1099"/>
      <c r="Y258" s="1099"/>
      <c r="Z258" s="1099"/>
      <c r="AA258" s="1099"/>
      <c r="AB258" s="1099"/>
      <c r="AC258" s="1128"/>
      <c r="AD258" s="1128"/>
      <c r="AE258" s="1128"/>
      <c r="AF258" s="1128"/>
      <c r="AG258" s="1128"/>
      <c r="AH258" s="1128"/>
      <c r="AI258" s="1128"/>
      <c r="AJ258" s="1128"/>
      <c r="AK258" s="1128"/>
      <c r="AL258" s="1128"/>
    </row>
    <row r="259" spans="1:38" s="1086" customFormat="1">
      <c r="A259" s="1096"/>
      <c r="B259" s="1096"/>
      <c r="C259" s="1096"/>
      <c r="D259" s="1096"/>
      <c r="E259" s="1128"/>
      <c r="F259" s="1128"/>
      <c r="G259" s="1128"/>
      <c r="H259" s="1099"/>
      <c r="I259" s="1099"/>
      <c r="J259" s="1107"/>
      <c r="K259" s="1099"/>
      <c r="L259" s="1099"/>
      <c r="M259" s="1099"/>
      <c r="N259" s="1099"/>
      <c r="O259" s="1099"/>
      <c r="P259" s="1099"/>
      <c r="Q259" s="1107"/>
      <c r="R259" s="1099"/>
      <c r="S259" s="1099"/>
      <c r="T259" s="1099"/>
      <c r="U259" s="1099"/>
      <c r="V259" s="1099"/>
      <c r="W259" s="1099"/>
      <c r="X259" s="1099"/>
      <c r="Y259" s="1099"/>
      <c r="Z259" s="1099"/>
      <c r="AA259" s="1099"/>
      <c r="AB259" s="1099"/>
      <c r="AC259" s="1128"/>
      <c r="AD259" s="1128"/>
      <c r="AE259" s="1128"/>
      <c r="AF259" s="1128"/>
      <c r="AG259" s="1128"/>
      <c r="AH259" s="1128"/>
      <c r="AI259" s="1128"/>
      <c r="AJ259" s="1128"/>
      <c r="AK259" s="1128"/>
      <c r="AL259" s="1128"/>
    </row>
    <row r="260" spans="1:38" s="1086" customFormat="1">
      <c r="A260" s="1096"/>
      <c r="B260" s="1096"/>
      <c r="C260" s="1096"/>
      <c r="D260" s="1096"/>
      <c r="E260" s="1128"/>
      <c r="F260" s="1128"/>
      <c r="G260" s="1128"/>
      <c r="H260" s="1099"/>
      <c r="I260" s="1099"/>
      <c r="J260" s="1107"/>
      <c r="K260" s="1099"/>
      <c r="L260" s="1099"/>
      <c r="M260" s="1099"/>
      <c r="N260" s="1099"/>
      <c r="O260" s="1099"/>
      <c r="P260" s="1099"/>
      <c r="Q260" s="1107"/>
      <c r="R260" s="1099"/>
      <c r="S260" s="1099"/>
      <c r="T260" s="1099"/>
      <c r="U260" s="1099"/>
      <c r="V260" s="1099"/>
      <c r="W260" s="1099"/>
      <c r="X260" s="1099"/>
      <c r="Y260" s="1099"/>
      <c r="Z260" s="1099"/>
      <c r="AA260" s="1099"/>
      <c r="AB260" s="1099"/>
      <c r="AC260" s="1128"/>
      <c r="AD260" s="1128"/>
      <c r="AE260" s="1128"/>
      <c r="AF260" s="1128"/>
      <c r="AG260" s="1128"/>
      <c r="AH260" s="1128"/>
      <c r="AI260" s="1128"/>
      <c r="AJ260" s="1128"/>
      <c r="AK260" s="1128"/>
      <c r="AL260" s="1128"/>
    </row>
    <row r="261" spans="1:38" s="1086" customFormat="1">
      <c r="A261" s="1096"/>
      <c r="B261" s="1096"/>
      <c r="C261" s="1096"/>
      <c r="D261" s="1096"/>
      <c r="E261" s="1128"/>
      <c r="F261" s="1128"/>
      <c r="G261" s="1128"/>
      <c r="H261" s="1099"/>
      <c r="I261" s="1099"/>
      <c r="J261" s="1107"/>
      <c r="K261" s="1099"/>
      <c r="L261" s="1099"/>
      <c r="M261" s="1099"/>
      <c r="N261" s="1099"/>
      <c r="O261" s="1099"/>
      <c r="P261" s="1099"/>
      <c r="Q261" s="1107"/>
      <c r="R261" s="1099"/>
      <c r="S261" s="1099"/>
      <c r="T261" s="1099"/>
      <c r="U261" s="1099"/>
      <c r="V261" s="1099"/>
      <c r="W261" s="1099"/>
      <c r="X261" s="1099"/>
      <c r="Y261" s="1099"/>
      <c r="Z261" s="1099"/>
      <c r="AA261" s="1099"/>
      <c r="AB261" s="1099"/>
      <c r="AC261" s="1128"/>
      <c r="AD261" s="1128"/>
      <c r="AE261" s="1128"/>
      <c r="AF261" s="1128"/>
      <c r="AG261" s="1128"/>
      <c r="AH261" s="1128"/>
      <c r="AI261" s="1128"/>
      <c r="AJ261" s="1128"/>
      <c r="AK261" s="1128"/>
      <c r="AL261" s="1128"/>
    </row>
    <row r="262" spans="1:38" s="1086" customFormat="1">
      <c r="A262" s="1096"/>
      <c r="B262" s="1096"/>
      <c r="C262" s="1096"/>
      <c r="D262" s="1096"/>
      <c r="E262" s="1128"/>
      <c r="F262" s="1128"/>
      <c r="G262" s="1128"/>
      <c r="H262" s="1099"/>
      <c r="I262" s="1099"/>
      <c r="J262" s="1107"/>
      <c r="K262" s="1099"/>
      <c r="L262" s="1099"/>
      <c r="M262" s="1099"/>
      <c r="N262" s="1099"/>
      <c r="O262" s="1099"/>
      <c r="P262" s="1099"/>
      <c r="Q262" s="1107"/>
      <c r="R262" s="1099"/>
      <c r="S262" s="1099"/>
      <c r="T262" s="1099"/>
      <c r="U262" s="1099"/>
      <c r="V262" s="1099"/>
      <c r="W262" s="1099"/>
      <c r="X262" s="1099"/>
      <c r="Y262" s="1099"/>
      <c r="Z262" s="1099"/>
      <c r="AA262" s="1099"/>
      <c r="AB262" s="1099"/>
      <c r="AC262" s="1128"/>
      <c r="AD262" s="1128"/>
      <c r="AE262" s="1128"/>
      <c r="AF262" s="1128"/>
      <c r="AG262" s="1128"/>
      <c r="AH262" s="1128"/>
      <c r="AI262" s="1128"/>
      <c r="AJ262" s="1128"/>
      <c r="AK262" s="1128"/>
      <c r="AL262" s="1128"/>
    </row>
    <row r="263" spans="1:38" s="1086" customFormat="1">
      <c r="A263" s="1096"/>
      <c r="B263" s="1096"/>
      <c r="C263" s="1096"/>
      <c r="D263" s="1096"/>
      <c r="E263" s="1128"/>
      <c r="F263" s="1128"/>
      <c r="G263" s="1128"/>
      <c r="H263" s="1099"/>
      <c r="I263" s="1099"/>
      <c r="J263" s="1107"/>
      <c r="K263" s="1099"/>
      <c r="L263" s="1099"/>
      <c r="M263" s="1099"/>
      <c r="N263" s="1099"/>
      <c r="O263" s="1099"/>
      <c r="P263" s="1099"/>
      <c r="Q263" s="1107"/>
      <c r="R263" s="1099"/>
      <c r="S263" s="1099"/>
      <c r="T263" s="1099"/>
      <c r="U263" s="1099"/>
      <c r="V263" s="1099"/>
      <c r="W263" s="1099"/>
      <c r="X263" s="1099"/>
      <c r="Y263" s="1099"/>
      <c r="Z263" s="1099"/>
      <c r="AA263" s="1099"/>
      <c r="AB263" s="1099"/>
      <c r="AC263" s="1128"/>
      <c r="AD263" s="1128"/>
      <c r="AE263" s="1128"/>
      <c r="AF263" s="1128"/>
      <c r="AG263" s="1128"/>
      <c r="AH263" s="1128"/>
      <c r="AI263" s="1128"/>
      <c r="AJ263" s="1128"/>
      <c r="AK263" s="1128"/>
      <c r="AL263" s="1128"/>
    </row>
    <row r="264" spans="1:38" s="1086" customFormat="1">
      <c r="A264" s="1096"/>
      <c r="B264" s="1096"/>
      <c r="C264" s="1096"/>
      <c r="D264" s="1096"/>
      <c r="E264" s="1128"/>
      <c r="F264" s="1128"/>
      <c r="G264" s="1128"/>
      <c r="H264" s="1099"/>
      <c r="I264" s="1099"/>
      <c r="J264" s="1107"/>
      <c r="K264" s="1099"/>
      <c r="L264" s="1099"/>
      <c r="M264" s="1099"/>
      <c r="N264" s="1099"/>
      <c r="O264" s="1099"/>
      <c r="P264" s="1099"/>
      <c r="Q264" s="1107"/>
      <c r="R264" s="1099"/>
      <c r="S264" s="1099"/>
      <c r="T264" s="1099"/>
      <c r="U264" s="1099"/>
      <c r="V264" s="1099"/>
      <c r="W264" s="1099"/>
      <c r="X264" s="1099"/>
      <c r="Y264" s="1099"/>
      <c r="Z264" s="1099"/>
      <c r="AA264" s="1099"/>
      <c r="AB264" s="1099"/>
      <c r="AC264" s="1128"/>
      <c r="AD264" s="1128"/>
      <c r="AE264" s="1128"/>
      <c r="AF264" s="1128"/>
      <c r="AG264" s="1128"/>
      <c r="AH264" s="1128"/>
      <c r="AI264" s="1128"/>
      <c r="AJ264" s="1128"/>
      <c r="AK264" s="1128"/>
      <c r="AL264" s="1128"/>
    </row>
    <row r="265" spans="1:38" s="1086" customFormat="1">
      <c r="A265" s="1096"/>
      <c r="B265" s="1096"/>
      <c r="C265" s="1096"/>
      <c r="D265" s="1096"/>
      <c r="E265" s="1128"/>
      <c r="F265" s="1128"/>
      <c r="G265" s="1128"/>
      <c r="H265" s="1099"/>
      <c r="I265" s="1099"/>
      <c r="J265" s="1107"/>
      <c r="K265" s="1099"/>
      <c r="L265" s="1099"/>
      <c r="M265" s="1099"/>
      <c r="N265" s="1099"/>
      <c r="O265" s="1099"/>
      <c r="P265" s="1099"/>
      <c r="Q265" s="1107"/>
      <c r="R265" s="1099"/>
      <c r="S265" s="1099"/>
      <c r="T265" s="1099"/>
      <c r="U265" s="1099"/>
      <c r="V265" s="1099"/>
      <c r="W265" s="1099"/>
      <c r="X265" s="1099"/>
      <c r="Y265" s="1099"/>
      <c r="Z265" s="1099"/>
      <c r="AA265" s="1099"/>
      <c r="AB265" s="1099"/>
      <c r="AC265" s="1128"/>
      <c r="AD265" s="1128"/>
      <c r="AE265" s="1128"/>
      <c r="AF265" s="1128"/>
      <c r="AG265" s="1128"/>
      <c r="AH265" s="1128"/>
      <c r="AI265" s="1128"/>
      <c r="AJ265" s="1128"/>
      <c r="AK265" s="1128"/>
      <c r="AL265" s="1128"/>
    </row>
    <row r="266" spans="1:38" s="1086" customFormat="1">
      <c r="A266" s="1096"/>
      <c r="B266" s="1096"/>
      <c r="C266" s="1096"/>
      <c r="D266" s="1096"/>
      <c r="E266" s="1128"/>
      <c r="F266" s="1128"/>
      <c r="G266" s="1128"/>
      <c r="H266" s="1099"/>
      <c r="I266" s="1099"/>
      <c r="J266" s="1107"/>
      <c r="K266" s="1099"/>
      <c r="L266" s="1099"/>
      <c r="M266" s="1099"/>
      <c r="N266" s="1099"/>
      <c r="O266" s="1099"/>
      <c r="P266" s="1099"/>
      <c r="Q266" s="1107"/>
      <c r="R266" s="1099"/>
      <c r="S266" s="1099"/>
      <c r="T266" s="1099"/>
      <c r="U266" s="1099"/>
      <c r="V266" s="1099"/>
      <c r="W266" s="1099"/>
      <c r="X266" s="1099"/>
      <c r="Y266" s="1099"/>
      <c r="Z266" s="1099"/>
      <c r="AA266" s="1099"/>
      <c r="AB266" s="1099"/>
      <c r="AC266" s="1128"/>
      <c r="AD266" s="1128"/>
      <c r="AE266" s="1128"/>
      <c r="AF266" s="1128"/>
      <c r="AG266" s="1128"/>
      <c r="AH266" s="1128"/>
      <c r="AI266" s="1128"/>
      <c r="AJ266" s="1128"/>
      <c r="AK266" s="1128"/>
      <c r="AL266" s="1128"/>
    </row>
    <row r="267" spans="1:38" s="1086" customFormat="1">
      <c r="A267" s="1096"/>
      <c r="B267" s="1096"/>
      <c r="C267" s="1096"/>
      <c r="D267" s="1096"/>
      <c r="E267" s="1128"/>
      <c r="F267" s="1128"/>
      <c r="G267" s="1128"/>
      <c r="H267" s="1099"/>
      <c r="I267" s="1099"/>
      <c r="J267" s="1107"/>
      <c r="K267" s="1099"/>
      <c r="L267" s="1099"/>
      <c r="M267" s="1099"/>
      <c r="N267" s="1099"/>
      <c r="O267" s="1099"/>
      <c r="P267" s="1099"/>
      <c r="Q267" s="1107"/>
      <c r="R267" s="1099"/>
      <c r="S267" s="1099"/>
      <c r="T267" s="1099"/>
      <c r="U267" s="1099"/>
      <c r="V267" s="1099"/>
      <c r="W267" s="1099"/>
      <c r="X267" s="1099"/>
      <c r="Y267" s="1099"/>
      <c r="Z267" s="1099"/>
      <c r="AA267" s="1099"/>
      <c r="AB267" s="1099"/>
      <c r="AC267" s="1128"/>
      <c r="AD267" s="1128"/>
      <c r="AE267" s="1128"/>
      <c r="AF267" s="1128"/>
      <c r="AG267" s="1128"/>
      <c r="AH267" s="1128"/>
      <c r="AI267" s="1128"/>
      <c r="AJ267" s="1128"/>
      <c r="AK267" s="1128"/>
      <c r="AL267" s="1128"/>
    </row>
    <row r="268" spans="1:38" s="1086" customFormat="1">
      <c r="A268" s="1096"/>
      <c r="B268" s="1096"/>
      <c r="C268" s="1096"/>
      <c r="D268" s="1096"/>
      <c r="E268" s="1128"/>
      <c r="F268" s="1128"/>
      <c r="G268" s="1128"/>
      <c r="H268" s="1099"/>
      <c r="I268" s="1099"/>
      <c r="J268" s="1107"/>
      <c r="K268" s="1099"/>
      <c r="L268" s="1099"/>
      <c r="M268" s="1099"/>
      <c r="N268" s="1099"/>
      <c r="O268" s="1099"/>
      <c r="P268" s="1099"/>
      <c r="Q268" s="1107"/>
      <c r="R268" s="1099"/>
      <c r="S268" s="1099"/>
      <c r="T268" s="1099"/>
      <c r="U268" s="1099"/>
      <c r="V268" s="1099"/>
      <c r="W268" s="1099"/>
      <c r="X268" s="1099"/>
      <c r="Y268" s="1099"/>
      <c r="Z268" s="1099"/>
      <c r="AA268" s="1099"/>
      <c r="AB268" s="1099"/>
      <c r="AC268" s="1128"/>
      <c r="AD268" s="1128"/>
      <c r="AE268" s="1128"/>
      <c r="AF268" s="1128"/>
      <c r="AG268" s="1128"/>
      <c r="AH268" s="1128"/>
      <c r="AI268" s="1128"/>
      <c r="AJ268" s="1128"/>
      <c r="AK268" s="1128"/>
      <c r="AL268" s="1128"/>
    </row>
    <row r="269" spans="1:38" s="1086" customFormat="1">
      <c r="A269" s="1096"/>
      <c r="B269" s="1096"/>
      <c r="C269" s="1096"/>
      <c r="D269" s="1096"/>
      <c r="E269" s="1128"/>
      <c r="F269" s="1128"/>
      <c r="G269" s="1128"/>
      <c r="H269" s="1099"/>
      <c r="I269" s="1099"/>
      <c r="J269" s="1107"/>
      <c r="K269" s="1099"/>
      <c r="L269" s="1099"/>
      <c r="M269" s="1099"/>
      <c r="N269" s="1099"/>
      <c r="O269" s="1099"/>
      <c r="P269" s="1099"/>
      <c r="Q269" s="1107"/>
      <c r="R269" s="1099"/>
      <c r="S269" s="1099"/>
      <c r="T269" s="1099"/>
      <c r="U269" s="1099"/>
      <c r="V269" s="1099"/>
      <c r="W269" s="1099"/>
      <c r="X269" s="1099"/>
      <c r="Y269" s="1099"/>
      <c r="Z269" s="1099"/>
      <c r="AA269" s="1099"/>
      <c r="AB269" s="1099"/>
      <c r="AC269" s="1128"/>
      <c r="AD269" s="1128"/>
      <c r="AE269" s="1128"/>
      <c r="AF269" s="1128"/>
      <c r="AG269" s="1128"/>
      <c r="AH269" s="1128"/>
      <c r="AI269" s="1128"/>
      <c r="AJ269" s="1128"/>
      <c r="AK269" s="1128"/>
      <c r="AL269" s="1128"/>
    </row>
    <row r="270" spans="1:38" s="1086" customFormat="1">
      <c r="A270" s="1096"/>
      <c r="B270" s="1096"/>
      <c r="C270" s="1096"/>
      <c r="D270" s="1096"/>
      <c r="E270" s="1128"/>
      <c r="F270" s="1128"/>
      <c r="G270" s="1128"/>
      <c r="H270" s="1099"/>
      <c r="I270" s="1099"/>
      <c r="J270" s="1107"/>
      <c r="K270" s="1099"/>
      <c r="L270" s="1099"/>
      <c r="M270" s="1099"/>
      <c r="N270" s="1099"/>
      <c r="O270" s="1099"/>
      <c r="P270" s="1099"/>
      <c r="Q270" s="1107"/>
      <c r="R270" s="1099"/>
      <c r="S270" s="1099"/>
      <c r="T270" s="1099"/>
      <c r="U270" s="1099"/>
      <c r="V270" s="1099"/>
      <c r="W270" s="1099"/>
      <c r="X270" s="1099"/>
      <c r="Y270" s="1099"/>
      <c r="Z270" s="1099"/>
      <c r="AA270" s="1099"/>
      <c r="AB270" s="1099"/>
      <c r="AC270" s="1128"/>
      <c r="AD270" s="1128"/>
      <c r="AE270" s="1128"/>
      <c r="AF270" s="1128"/>
      <c r="AG270" s="1128"/>
      <c r="AH270" s="1128"/>
      <c r="AI270" s="1128"/>
      <c r="AJ270" s="1128"/>
      <c r="AK270" s="1128"/>
      <c r="AL270" s="1128"/>
    </row>
    <row r="271" spans="1:38" s="1086" customFormat="1">
      <c r="A271" s="1096"/>
      <c r="B271" s="1096"/>
      <c r="C271" s="1096"/>
      <c r="D271" s="1096"/>
      <c r="E271" s="1128"/>
      <c r="F271" s="1128"/>
      <c r="G271" s="1128"/>
      <c r="H271" s="1099"/>
      <c r="I271" s="1099"/>
      <c r="J271" s="1107"/>
      <c r="K271" s="1099"/>
      <c r="L271" s="1099"/>
      <c r="M271" s="1099"/>
      <c r="N271" s="1099"/>
      <c r="O271" s="1099"/>
      <c r="P271" s="1099"/>
      <c r="Q271" s="1107"/>
      <c r="R271" s="1099"/>
      <c r="S271" s="1099"/>
      <c r="T271" s="1099"/>
      <c r="U271" s="1099"/>
      <c r="V271" s="1099"/>
      <c r="W271" s="1099"/>
      <c r="X271" s="1099"/>
      <c r="Y271" s="1099"/>
      <c r="Z271" s="1099"/>
      <c r="AA271" s="1099"/>
      <c r="AB271" s="1099"/>
      <c r="AC271" s="1128"/>
      <c r="AD271" s="1128"/>
      <c r="AE271" s="1128"/>
      <c r="AF271" s="1128"/>
      <c r="AG271" s="1128"/>
      <c r="AH271" s="1128"/>
      <c r="AI271" s="1128"/>
      <c r="AJ271" s="1128"/>
      <c r="AK271" s="1128"/>
      <c r="AL271" s="1128"/>
    </row>
    <row r="272" spans="1:38" s="1086" customFormat="1">
      <c r="A272" s="1096"/>
      <c r="B272" s="1096"/>
      <c r="C272" s="1096"/>
      <c r="D272" s="1096"/>
      <c r="E272" s="1128"/>
      <c r="F272" s="1128"/>
      <c r="G272" s="1128"/>
      <c r="H272" s="1099"/>
      <c r="I272" s="1099"/>
      <c r="J272" s="1107"/>
      <c r="K272" s="1099"/>
      <c r="L272" s="1099"/>
      <c r="M272" s="1099"/>
      <c r="N272" s="1099"/>
      <c r="O272" s="1099"/>
      <c r="P272" s="1099"/>
      <c r="Q272" s="1107"/>
      <c r="R272" s="1099"/>
      <c r="S272" s="1099"/>
      <c r="T272" s="1099"/>
      <c r="U272" s="1099"/>
      <c r="V272" s="1099"/>
      <c r="W272" s="1099"/>
      <c r="X272" s="1099"/>
      <c r="Y272" s="1099"/>
      <c r="Z272" s="1099"/>
      <c r="AA272" s="1099"/>
      <c r="AB272" s="1099"/>
      <c r="AC272" s="1128"/>
      <c r="AD272" s="1128"/>
      <c r="AE272" s="1128"/>
      <c r="AF272" s="1128"/>
      <c r="AG272" s="1128"/>
      <c r="AH272" s="1128"/>
      <c r="AI272" s="1128"/>
      <c r="AJ272" s="1128"/>
      <c r="AK272" s="1128"/>
      <c r="AL272" s="1128"/>
    </row>
    <row r="273" spans="1:38" s="1086" customFormat="1">
      <c r="A273" s="1096"/>
      <c r="B273" s="1096"/>
      <c r="C273" s="1096"/>
      <c r="D273" s="1096"/>
      <c r="E273" s="1128"/>
      <c r="F273" s="1128"/>
      <c r="G273" s="1128"/>
      <c r="H273" s="1099"/>
      <c r="I273" s="1099"/>
      <c r="J273" s="1107"/>
      <c r="K273" s="1099"/>
      <c r="L273" s="1099"/>
      <c r="M273" s="1099"/>
      <c r="N273" s="1099"/>
      <c r="O273" s="1099"/>
      <c r="P273" s="1099"/>
      <c r="Q273" s="1107"/>
      <c r="R273" s="1099"/>
      <c r="S273" s="1099"/>
      <c r="T273" s="1099"/>
      <c r="U273" s="1099"/>
      <c r="V273" s="1099"/>
      <c r="W273" s="1099"/>
      <c r="X273" s="1099"/>
      <c r="Y273" s="1099"/>
      <c r="Z273" s="1099"/>
      <c r="AA273" s="1099"/>
      <c r="AB273" s="1099"/>
      <c r="AC273" s="1128"/>
      <c r="AD273" s="1128"/>
      <c r="AE273" s="1128"/>
      <c r="AF273" s="1128"/>
      <c r="AG273" s="1128"/>
      <c r="AH273" s="1128"/>
      <c r="AI273" s="1128"/>
      <c r="AJ273" s="1128"/>
      <c r="AK273" s="1128"/>
      <c r="AL273" s="1128"/>
    </row>
    <row r="274" spans="1:38" s="1086" customFormat="1">
      <c r="A274" s="1096"/>
      <c r="B274" s="1096"/>
      <c r="C274" s="1096"/>
      <c r="D274" s="1096"/>
      <c r="E274" s="1128"/>
      <c r="F274" s="1128"/>
      <c r="G274" s="1128"/>
      <c r="H274" s="1099"/>
      <c r="I274" s="1099"/>
      <c r="J274" s="1107"/>
      <c r="K274" s="1099"/>
      <c r="L274" s="1099"/>
      <c r="M274" s="1099"/>
      <c r="N274" s="1099"/>
      <c r="O274" s="1099"/>
      <c r="P274" s="1099"/>
      <c r="Q274" s="1107"/>
      <c r="R274" s="1099"/>
      <c r="S274" s="1099"/>
      <c r="T274" s="1099"/>
      <c r="U274" s="1099"/>
      <c r="V274" s="1099"/>
      <c r="W274" s="1099"/>
      <c r="X274" s="1099"/>
      <c r="Y274" s="1099"/>
      <c r="Z274" s="1099"/>
      <c r="AA274" s="1099"/>
      <c r="AB274" s="1099"/>
      <c r="AC274" s="1128"/>
      <c r="AD274" s="1128"/>
      <c r="AE274" s="1128"/>
      <c r="AF274" s="1128"/>
      <c r="AG274" s="1128"/>
      <c r="AH274" s="1128"/>
      <c r="AI274" s="1128"/>
      <c r="AJ274" s="1128"/>
      <c r="AK274" s="1128"/>
      <c r="AL274" s="1128"/>
    </row>
    <row r="275" spans="1:38" s="1086" customFormat="1">
      <c r="A275" s="1096"/>
      <c r="B275" s="1096"/>
      <c r="C275" s="1096"/>
      <c r="D275" s="1096"/>
      <c r="E275" s="1128"/>
      <c r="F275" s="1128"/>
      <c r="G275" s="1128"/>
      <c r="H275" s="1099"/>
      <c r="I275" s="1099"/>
      <c r="J275" s="1107"/>
      <c r="K275" s="1099"/>
      <c r="L275" s="1099"/>
      <c r="M275" s="1099"/>
      <c r="N275" s="1099"/>
      <c r="O275" s="1099"/>
      <c r="P275" s="1099"/>
      <c r="Q275" s="1107"/>
      <c r="R275" s="1099"/>
      <c r="S275" s="1099"/>
      <c r="T275" s="1099"/>
      <c r="U275" s="1099"/>
      <c r="V275" s="1099"/>
      <c r="W275" s="1099"/>
      <c r="X275" s="1099"/>
      <c r="Y275" s="1099"/>
      <c r="Z275" s="1099"/>
      <c r="AA275" s="1099"/>
      <c r="AB275" s="1099"/>
      <c r="AC275" s="1128"/>
      <c r="AD275" s="1128"/>
      <c r="AE275" s="1128"/>
      <c r="AF275" s="1128"/>
      <c r="AG275" s="1128"/>
      <c r="AH275" s="1128"/>
      <c r="AI275" s="1128"/>
      <c r="AJ275" s="1128"/>
      <c r="AK275" s="1128"/>
      <c r="AL275" s="1128"/>
    </row>
    <row r="276" spans="1:38" s="1086" customFormat="1">
      <c r="A276" s="1096"/>
      <c r="B276" s="1096"/>
      <c r="C276" s="1096"/>
      <c r="D276" s="1096"/>
      <c r="E276" s="1128"/>
      <c r="F276" s="1128"/>
      <c r="G276" s="1128"/>
      <c r="H276" s="1099"/>
      <c r="I276" s="1099"/>
      <c r="J276" s="1107"/>
      <c r="K276" s="1099"/>
      <c r="L276" s="1099"/>
      <c r="M276" s="1099"/>
      <c r="N276" s="1099"/>
      <c r="O276" s="1099"/>
      <c r="P276" s="1099"/>
      <c r="Q276" s="1107"/>
      <c r="R276" s="1099"/>
      <c r="S276" s="1099"/>
      <c r="T276" s="1099"/>
      <c r="U276" s="1099"/>
      <c r="V276" s="1099"/>
      <c r="W276" s="1099"/>
      <c r="X276" s="1099"/>
      <c r="Y276" s="1099"/>
      <c r="Z276" s="1099"/>
      <c r="AA276" s="1099"/>
      <c r="AB276" s="1099"/>
      <c r="AC276" s="1128"/>
      <c r="AD276" s="1128"/>
      <c r="AE276" s="1128"/>
      <c r="AF276" s="1128"/>
      <c r="AG276" s="1128"/>
      <c r="AH276" s="1128"/>
      <c r="AI276" s="1128"/>
      <c r="AJ276" s="1128"/>
      <c r="AK276" s="1128"/>
      <c r="AL276" s="1128"/>
    </row>
    <row r="277" spans="1:38" s="1086" customFormat="1">
      <c r="A277" s="1096"/>
      <c r="B277" s="1096"/>
      <c r="C277" s="1096"/>
      <c r="D277" s="1096"/>
      <c r="E277" s="1128"/>
      <c r="F277" s="1128"/>
      <c r="G277" s="1128"/>
      <c r="H277" s="1099"/>
      <c r="I277" s="1099"/>
      <c r="J277" s="1107"/>
      <c r="K277" s="1099"/>
      <c r="L277" s="1099"/>
      <c r="M277" s="1099"/>
      <c r="N277" s="1099"/>
      <c r="O277" s="1099"/>
      <c r="P277" s="1099"/>
      <c r="Q277" s="1107"/>
      <c r="R277" s="1099"/>
      <c r="S277" s="1099"/>
      <c r="T277" s="1099"/>
      <c r="U277" s="1099"/>
      <c r="V277" s="1099"/>
      <c r="W277" s="1099"/>
      <c r="X277" s="1099"/>
      <c r="Y277" s="1099"/>
      <c r="Z277" s="1099"/>
      <c r="AA277" s="1099"/>
      <c r="AB277" s="1099"/>
      <c r="AC277" s="1128"/>
      <c r="AD277" s="1128"/>
      <c r="AE277" s="1128"/>
      <c r="AF277" s="1128"/>
      <c r="AG277" s="1128"/>
      <c r="AH277" s="1128"/>
      <c r="AI277" s="1128"/>
      <c r="AJ277" s="1128"/>
      <c r="AK277" s="1128"/>
      <c r="AL277" s="1128"/>
    </row>
    <row r="278" spans="1:38" s="1086" customFormat="1">
      <c r="A278" s="1096"/>
      <c r="B278" s="1096"/>
      <c r="C278" s="1096"/>
      <c r="D278" s="1096"/>
      <c r="E278" s="1128"/>
      <c r="F278" s="1128"/>
      <c r="G278" s="1128"/>
      <c r="H278" s="1099"/>
      <c r="I278" s="1099"/>
      <c r="J278" s="1107"/>
      <c r="K278" s="1099"/>
      <c r="L278" s="1099"/>
      <c r="M278" s="1099"/>
      <c r="N278" s="1099"/>
      <c r="O278" s="1099"/>
      <c r="P278" s="1099"/>
      <c r="Q278" s="1107"/>
      <c r="R278" s="1099"/>
      <c r="S278" s="1099"/>
      <c r="T278" s="1099"/>
      <c r="U278" s="1099"/>
      <c r="V278" s="1099"/>
      <c r="W278" s="1099"/>
      <c r="X278" s="1099"/>
      <c r="Y278" s="1099"/>
      <c r="Z278" s="1099"/>
      <c r="AA278" s="1099"/>
      <c r="AB278" s="1099"/>
      <c r="AC278" s="1128"/>
      <c r="AD278" s="1128"/>
      <c r="AE278" s="1128"/>
      <c r="AF278" s="1128"/>
      <c r="AG278" s="1128"/>
      <c r="AH278" s="1128"/>
      <c r="AI278" s="1128"/>
      <c r="AJ278" s="1128"/>
      <c r="AK278" s="1128"/>
      <c r="AL278" s="1128"/>
    </row>
    <row r="279" spans="1:38" s="1086" customFormat="1">
      <c r="A279" s="1096"/>
      <c r="B279" s="1096"/>
      <c r="C279" s="1096"/>
      <c r="D279" s="1096"/>
      <c r="E279" s="1128"/>
      <c r="F279" s="1128"/>
      <c r="G279" s="1128"/>
      <c r="H279" s="1099"/>
      <c r="I279" s="1099"/>
      <c r="J279" s="1107"/>
      <c r="K279" s="1099"/>
      <c r="L279" s="1099"/>
      <c r="M279" s="1099"/>
      <c r="N279" s="1099"/>
      <c r="O279" s="1099"/>
      <c r="P279" s="1099"/>
      <c r="Q279" s="1107"/>
      <c r="R279" s="1099"/>
      <c r="S279" s="1099"/>
      <c r="T279" s="1099"/>
      <c r="U279" s="1099"/>
      <c r="V279" s="1099"/>
      <c r="W279" s="1099"/>
      <c r="X279" s="1099"/>
      <c r="Y279" s="1099"/>
      <c r="Z279" s="1099"/>
      <c r="AA279" s="1099"/>
      <c r="AB279" s="1099"/>
      <c r="AC279" s="1128"/>
      <c r="AD279" s="1128"/>
      <c r="AE279" s="1128"/>
      <c r="AF279" s="1128"/>
      <c r="AG279" s="1128"/>
      <c r="AH279" s="1128"/>
      <c r="AI279" s="1128"/>
      <c r="AJ279" s="1128"/>
      <c r="AK279" s="1128"/>
      <c r="AL279" s="1128"/>
    </row>
    <row r="280" spans="1:38" s="1086" customFormat="1">
      <c r="A280" s="1096"/>
      <c r="B280" s="1096"/>
      <c r="C280" s="1096"/>
      <c r="D280" s="1096"/>
      <c r="E280" s="1128"/>
      <c r="F280" s="1128"/>
      <c r="G280" s="1128"/>
      <c r="H280" s="1099"/>
      <c r="I280" s="1099"/>
      <c r="J280" s="1107"/>
      <c r="K280" s="1099"/>
      <c r="L280" s="1099"/>
      <c r="M280" s="1099"/>
      <c r="N280" s="1099"/>
      <c r="O280" s="1099"/>
      <c r="P280" s="1099"/>
      <c r="Q280" s="1107"/>
      <c r="R280" s="1099"/>
      <c r="S280" s="1099"/>
      <c r="T280" s="1099"/>
      <c r="U280" s="1099"/>
      <c r="V280" s="1099"/>
      <c r="W280" s="1099"/>
      <c r="X280" s="1099"/>
      <c r="Y280" s="1099"/>
      <c r="Z280" s="1099"/>
      <c r="AA280" s="1099"/>
      <c r="AB280" s="1099"/>
      <c r="AC280" s="1128"/>
      <c r="AD280" s="1128"/>
      <c r="AE280" s="1128"/>
      <c r="AF280" s="1128"/>
      <c r="AG280" s="1128"/>
      <c r="AH280" s="1128"/>
      <c r="AI280" s="1128"/>
      <c r="AJ280" s="1128"/>
      <c r="AK280" s="1128"/>
      <c r="AL280" s="1128"/>
    </row>
    <row r="281" spans="1:38" s="1086" customFormat="1">
      <c r="A281" s="1096"/>
      <c r="B281" s="1096"/>
      <c r="C281" s="1096"/>
      <c r="D281" s="1096"/>
      <c r="E281" s="1128"/>
      <c r="F281" s="1128"/>
      <c r="G281" s="1128"/>
      <c r="H281" s="1099"/>
      <c r="I281" s="1099"/>
      <c r="J281" s="1107"/>
      <c r="K281" s="1099"/>
      <c r="L281" s="1099"/>
      <c r="M281" s="1099"/>
      <c r="N281" s="1099"/>
      <c r="O281" s="1099"/>
      <c r="P281" s="1099"/>
      <c r="Q281" s="1107"/>
      <c r="R281" s="1099"/>
      <c r="S281" s="1099"/>
      <c r="T281" s="1099"/>
      <c r="U281" s="1099"/>
      <c r="V281" s="1099"/>
      <c r="W281" s="1099"/>
      <c r="X281" s="1099"/>
      <c r="Y281" s="1099"/>
      <c r="Z281" s="1099"/>
      <c r="AA281" s="1099"/>
      <c r="AB281" s="1099"/>
      <c r="AC281" s="1128"/>
      <c r="AD281" s="1128"/>
      <c r="AE281" s="1128"/>
      <c r="AF281" s="1128"/>
      <c r="AG281" s="1128"/>
      <c r="AH281" s="1128"/>
      <c r="AI281" s="1128"/>
      <c r="AJ281" s="1128"/>
      <c r="AK281" s="1128"/>
      <c r="AL281" s="1128"/>
    </row>
    <row r="282" spans="1:38" s="1086" customFormat="1">
      <c r="A282" s="1096"/>
      <c r="B282" s="1096"/>
      <c r="C282" s="1096"/>
      <c r="D282" s="1096"/>
      <c r="E282" s="1128"/>
      <c r="F282" s="1128"/>
      <c r="G282" s="1128"/>
      <c r="H282" s="1099"/>
      <c r="I282" s="1099"/>
      <c r="J282" s="1107"/>
      <c r="K282" s="1099"/>
      <c r="L282" s="1099"/>
      <c r="M282" s="1099"/>
      <c r="N282" s="1099"/>
      <c r="O282" s="1099"/>
      <c r="P282" s="1099"/>
      <c r="Q282" s="1107"/>
      <c r="R282" s="1099"/>
      <c r="S282" s="1099"/>
      <c r="T282" s="1099"/>
      <c r="U282" s="1099"/>
      <c r="V282" s="1099"/>
      <c r="W282" s="1099"/>
      <c r="X282" s="1099"/>
      <c r="Y282" s="1099"/>
      <c r="Z282" s="1099"/>
      <c r="AA282" s="1099"/>
      <c r="AB282" s="1099"/>
      <c r="AC282" s="1128"/>
      <c r="AD282" s="1128"/>
      <c r="AE282" s="1128"/>
      <c r="AF282" s="1128"/>
      <c r="AG282" s="1128"/>
      <c r="AH282" s="1128"/>
      <c r="AI282" s="1128"/>
      <c r="AJ282" s="1128"/>
      <c r="AK282" s="1128"/>
      <c r="AL282" s="1128"/>
    </row>
    <row r="283" spans="1:38" s="1086" customFormat="1">
      <c r="A283" s="1096"/>
      <c r="B283" s="1096"/>
      <c r="C283" s="1096"/>
      <c r="D283" s="1096"/>
      <c r="E283" s="1128"/>
      <c r="F283" s="1128"/>
      <c r="G283" s="1128"/>
      <c r="H283" s="1099"/>
      <c r="I283" s="1099"/>
      <c r="J283" s="1107"/>
      <c r="K283" s="1099"/>
      <c r="L283" s="1099"/>
      <c r="M283" s="1099"/>
      <c r="N283" s="1099"/>
      <c r="O283" s="1099"/>
      <c r="P283" s="1099"/>
      <c r="Q283" s="1107"/>
      <c r="R283" s="1099"/>
      <c r="S283" s="1099"/>
      <c r="T283" s="1099"/>
      <c r="U283" s="1099"/>
      <c r="V283" s="1099"/>
      <c r="W283" s="1099"/>
      <c r="X283" s="1099"/>
      <c r="Y283" s="1099"/>
      <c r="Z283" s="1099"/>
      <c r="AA283" s="1099"/>
      <c r="AB283" s="1099"/>
      <c r="AC283" s="1128"/>
      <c r="AD283" s="1128"/>
      <c r="AE283" s="1128"/>
      <c r="AF283" s="1128"/>
      <c r="AG283" s="1128"/>
      <c r="AH283" s="1128"/>
      <c r="AI283" s="1128"/>
      <c r="AJ283" s="1128"/>
      <c r="AK283" s="1128"/>
      <c r="AL283" s="1128"/>
    </row>
    <row r="284" spans="1:38" s="1086" customFormat="1">
      <c r="A284" s="1096"/>
      <c r="B284" s="1096"/>
      <c r="C284" s="1096"/>
      <c r="D284" s="1096"/>
      <c r="E284" s="1128"/>
      <c r="F284" s="1128"/>
      <c r="G284" s="1128"/>
      <c r="H284" s="1099"/>
      <c r="I284" s="1099"/>
      <c r="J284" s="1107"/>
      <c r="K284" s="1099"/>
      <c r="L284" s="1099"/>
      <c r="M284" s="1099"/>
      <c r="N284" s="1099"/>
      <c r="O284" s="1099"/>
      <c r="P284" s="1099"/>
      <c r="Q284" s="1107"/>
      <c r="R284" s="1099"/>
      <c r="S284" s="1099"/>
      <c r="T284" s="1099"/>
      <c r="U284" s="1099"/>
      <c r="V284" s="1099"/>
      <c r="W284" s="1099"/>
      <c r="X284" s="1099"/>
      <c r="Y284" s="1099"/>
      <c r="Z284" s="1099"/>
      <c r="AA284" s="1099"/>
      <c r="AB284" s="1099"/>
      <c r="AC284" s="1128"/>
      <c r="AD284" s="1128"/>
      <c r="AE284" s="1128"/>
      <c r="AF284" s="1128"/>
      <c r="AG284" s="1128"/>
      <c r="AH284" s="1128"/>
      <c r="AI284" s="1128"/>
      <c r="AJ284" s="1128"/>
      <c r="AK284" s="1128"/>
      <c r="AL284" s="1128"/>
    </row>
    <row r="285" spans="1:38" s="1086" customFormat="1">
      <c r="A285" s="1096"/>
      <c r="B285" s="1096"/>
      <c r="C285" s="1096"/>
      <c r="D285" s="1096"/>
      <c r="E285" s="1128"/>
      <c r="F285" s="1128"/>
      <c r="G285" s="1128"/>
      <c r="H285" s="1099"/>
      <c r="I285" s="1099"/>
      <c r="J285" s="1107"/>
      <c r="K285" s="1099"/>
      <c r="L285" s="1099"/>
      <c r="M285" s="1099"/>
      <c r="N285" s="1099"/>
      <c r="O285" s="1099"/>
      <c r="P285" s="1099"/>
      <c r="Q285" s="1107"/>
      <c r="R285" s="1099"/>
      <c r="S285" s="1099"/>
      <c r="T285" s="1099"/>
      <c r="U285" s="1099"/>
      <c r="V285" s="1099"/>
      <c r="W285" s="1099"/>
      <c r="X285" s="1099"/>
      <c r="Y285" s="1099"/>
      <c r="Z285" s="1099"/>
      <c r="AA285" s="1099"/>
      <c r="AB285" s="1099"/>
      <c r="AC285" s="1128"/>
      <c r="AD285" s="1128"/>
      <c r="AE285" s="1128"/>
      <c r="AF285" s="1128"/>
      <c r="AG285" s="1128"/>
      <c r="AH285" s="1128"/>
      <c r="AI285" s="1128"/>
      <c r="AJ285" s="1128"/>
      <c r="AK285" s="1128"/>
      <c r="AL285" s="1128"/>
    </row>
    <row r="286" spans="1:38" s="1086" customFormat="1">
      <c r="A286" s="1096"/>
      <c r="B286" s="1096"/>
      <c r="C286" s="1096"/>
      <c r="D286" s="1096"/>
      <c r="E286" s="1128"/>
      <c r="F286" s="1128"/>
      <c r="G286" s="1128"/>
      <c r="H286" s="1099"/>
      <c r="I286" s="1099"/>
      <c r="J286" s="1107"/>
      <c r="K286" s="1099"/>
      <c r="L286" s="1099"/>
      <c r="M286" s="1099"/>
      <c r="N286" s="1099"/>
      <c r="O286" s="1099"/>
      <c r="P286" s="1099"/>
      <c r="Q286" s="1107"/>
      <c r="R286" s="1099"/>
      <c r="S286" s="1099"/>
      <c r="T286" s="1099"/>
      <c r="U286" s="1099"/>
      <c r="V286" s="1099"/>
      <c r="W286" s="1099"/>
      <c r="X286" s="1099"/>
      <c r="Y286" s="1099"/>
      <c r="Z286" s="1099"/>
      <c r="AA286" s="1099"/>
      <c r="AB286" s="1099"/>
      <c r="AC286" s="1128"/>
      <c r="AD286" s="1128"/>
      <c r="AE286" s="1128"/>
      <c r="AF286" s="1128"/>
      <c r="AG286" s="1128"/>
      <c r="AH286" s="1128"/>
      <c r="AI286" s="1128"/>
      <c r="AJ286" s="1128"/>
      <c r="AK286" s="1128"/>
      <c r="AL286" s="1128"/>
    </row>
    <row r="287" spans="1:38" s="1086" customFormat="1">
      <c r="A287" s="1096"/>
      <c r="B287" s="1096"/>
      <c r="C287" s="1096"/>
      <c r="D287" s="1096"/>
      <c r="E287" s="1128"/>
      <c r="F287" s="1128"/>
      <c r="G287" s="1128"/>
      <c r="H287" s="1099"/>
      <c r="I287" s="1099"/>
      <c r="J287" s="1107"/>
      <c r="K287" s="1099"/>
      <c r="L287" s="1099"/>
      <c r="M287" s="1099"/>
      <c r="N287" s="1099"/>
      <c r="O287" s="1099"/>
      <c r="P287" s="1099"/>
      <c r="Q287" s="1107"/>
      <c r="R287" s="1099"/>
      <c r="S287" s="1099"/>
      <c r="T287" s="1099"/>
      <c r="U287" s="1099"/>
      <c r="V287" s="1099"/>
      <c r="W287" s="1099"/>
      <c r="X287" s="1099"/>
      <c r="Y287" s="1099"/>
      <c r="Z287" s="1099"/>
      <c r="AA287" s="1099"/>
      <c r="AB287" s="1099"/>
      <c r="AC287" s="1128"/>
      <c r="AD287" s="1128"/>
      <c r="AE287" s="1128"/>
      <c r="AF287" s="1128"/>
      <c r="AG287" s="1128"/>
      <c r="AH287" s="1128"/>
      <c r="AI287" s="1128"/>
      <c r="AJ287" s="1128"/>
      <c r="AK287" s="1128"/>
      <c r="AL287" s="1128"/>
    </row>
    <row r="288" spans="1:38" s="1086" customFormat="1">
      <c r="A288" s="1096"/>
      <c r="B288" s="1096"/>
      <c r="C288" s="1096"/>
      <c r="D288" s="1096"/>
      <c r="E288" s="1128"/>
      <c r="F288" s="1128"/>
      <c r="G288" s="1128"/>
      <c r="H288" s="1099"/>
      <c r="I288" s="1099"/>
      <c r="J288" s="1107"/>
      <c r="K288" s="1099"/>
      <c r="L288" s="1099"/>
      <c r="M288" s="1099"/>
      <c r="N288" s="1099"/>
      <c r="O288" s="1099"/>
      <c r="P288" s="1099"/>
      <c r="Q288" s="1107"/>
      <c r="R288" s="1099"/>
      <c r="S288" s="1099"/>
      <c r="T288" s="1099"/>
      <c r="U288" s="1099"/>
      <c r="V288" s="1099"/>
      <c r="W288" s="1099"/>
      <c r="X288" s="1099"/>
      <c r="Y288" s="1099"/>
      <c r="Z288" s="1099"/>
      <c r="AA288" s="1099"/>
      <c r="AB288" s="1099"/>
      <c r="AC288" s="1128"/>
      <c r="AD288" s="1128"/>
      <c r="AE288" s="1128"/>
      <c r="AF288" s="1128"/>
      <c r="AG288" s="1128"/>
      <c r="AH288" s="1128"/>
      <c r="AI288" s="1128"/>
      <c r="AJ288" s="1128"/>
      <c r="AK288" s="1128"/>
      <c r="AL288" s="1128"/>
    </row>
    <row r="289" spans="1:38" s="1086" customFormat="1">
      <c r="A289" s="1096"/>
      <c r="B289" s="1096"/>
      <c r="C289" s="1096"/>
      <c r="D289" s="1096"/>
      <c r="E289" s="1128"/>
      <c r="F289" s="1128"/>
      <c r="G289" s="1128"/>
      <c r="H289" s="1099"/>
      <c r="I289" s="1099"/>
      <c r="J289" s="1107"/>
      <c r="K289" s="1099"/>
      <c r="L289" s="1099"/>
      <c r="M289" s="1099"/>
      <c r="N289" s="1099"/>
      <c r="O289" s="1099"/>
      <c r="P289" s="1099"/>
      <c r="Q289" s="1107"/>
      <c r="R289" s="1099"/>
      <c r="S289" s="1099"/>
      <c r="T289" s="1099"/>
      <c r="U289" s="1099"/>
      <c r="V289" s="1099"/>
      <c r="W289" s="1099"/>
      <c r="X289" s="1099"/>
      <c r="Y289" s="1099"/>
      <c r="Z289" s="1099"/>
      <c r="AA289" s="1099"/>
      <c r="AB289" s="1099"/>
      <c r="AC289" s="1128"/>
      <c r="AD289" s="1128"/>
      <c r="AE289" s="1128"/>
      <c r="AF289" s="1128"/>
      <c r="AG289" s="1128"/>
      <c r="AH289" s="1128"/>
      <c r="AI289" s="1128"/>
      <c r="AJ289" s="1128"/>
      <c r="AK289" s="1128"/>
      <c r="AL289" s="1128"/>
    </row>
    <row r="290" spans="1:38" s="1086" customFormat="1">
      <c r="A290" s="1096"/>
      <c r="B290" s="1096"/>
      <c r="C290" s="1096"/>
      <c r="D290" s="1096"/>
      <c r="E290" s="1128"/>
      <c r="F290" s="1128"/>
      <c r="G290" s="1128"/>
      <c r="H290" s="1099"/>
      <c r="I290" s="1099"/>
      <c r="J290" s="1107"/>
      <c r="K290" s="1099"/>
      <c r="L290" s="1099"/>
      <c r="M290" s="1099"/>
      <c r="N290" s="1099"/>
      <c r="O290" s="1099"/>
      <c r="P290" s="1099"/>
      <c r="Q290" s="1107"/>
      <c r="R290" s="1099"/>
      <c r="S290" s="1099"/>
      <c r="T290" s="1099"/>
      <c r="U290" s="1099"/>
      <c r="V290" s="1099"/>
      <c r="W290" s="1099"/>
      <c r="X290" s="1099"/>
      <c r="Y290" s="1099"/>
      <c r="Z290" s="1099"/>
      <c r="AA290" s="1099"/>
      <c r="AB290" s="1099"/>
      <c r="AC290" s="1128"/>
      <c r="AD290" s="1128"/>
      <c r="AE290" s="1128"/>
      <c r="AF290" s="1128"/>
      <c r="AG290" s="1128"/>
      <c r="AH290" s="1128"/>
      <c r="AI290" s="1128"/>
      <c r="AJ290" s="1128"/>
      <c r="AK290" s="1128"/>
      <c r="AL290" s="1128"/>
    </row>
    <row r="291" spans="1:38" s="1086" customFormat="1">
      <c r="A291" s="1096"/>
      <c r="B291" s="1096"/>
      <c r="C291" s="1096"/>
      <c r="D291" s="1096"/>
      <c r="E291" s="1128"/>
      <c r="F291" s="1128"/>
      <c r="G291" s="1128"/>
      <c r="H291" s="1099"/>
      <c r="I291" s="1099"/>
      <c r="J291" s="1107"/>
      <c r="K291" s="1099"/>
      <c r="L291" s="1099"/>
      <c r="M291" s="1099"/>
      <c r="N291" s="1099"/>
      <c r="O291" s="1099"/>
      <c r="P291" s="1099"/>
      <c r="Q291" s="1107"/>
      <c r="R291" s="1099"/>
      <c r="S291" s="1099"/>
      <c r="T291" s="1099"/>
      <c r="U291" s="1099"/>
      <c r="V291" s="1099"/>
      <c r="W291" s="1099"/>
      <c r="X291" s="1099"/>
      <c r="Y291" s="1099"/>
      <c r="Z291" s="1099"/>
      <c r="AA291" s="1099"/>
      <c r="AB291" s="1099"/>
      <c r="AC291" s="1128"/>
      <c r="AD291" s="1128"/>
      <c r="AE291" s="1128"/>
      <c r="AF291" s="1128"/>
      <c r="AG291" s="1128"/>
      <c r="AH291" s="1128"/>
      <c r="AI291" s="1128"/>
      <c r="AJ291" s="1128"/>
      <c r="AK291" s="1128"/>
      <c r="AL291" s="1128"/>
    </row>
    <row r="292" spans="1:38" s="1086" customFormat="1">
      <c r="A292" s="1096"/>
      <c r="B292" s="1096"/>
      <c r="C292" s="1096"/>
      <c r="D292" s="1096"/>
      <c r="E292" s="1128"/>
      <c r="F292" s="1128"/>
      <c r="G292" s="1128"/>
      <c r="H292" s="1099"/>
      <c r="I292" s="1099"/>
      <c r="J292" s="1107"/>
      <c r="K292" s="1099"/>
      <c r="L292" s="1099"/>
      <c r="M292" s="1099"/>
      <c r="N292" s="1099"/>
      <c r="O292" s="1099"/>
      <c r="P292" s="1099"/>
      <c r="Q292" s="1107"/>
      <c r="R292" s="1099"/>
      <c r="S292" s="1099"/>
      <c r="T292" s="1099"/>
      <c r="U292" s="1099"/>
      <c r="V292" s="1099"/>
      <c r="W292" s="1099"/>
      <c r="X292" s="1099"/>
      <c r="Y292" s="1099"/>
      <c r="Z292" s="1099"/>
      <c r="AA292" s="1099"/>
      <c r="AB292" s="1099"/>
      <c r="AC292" s="1128"/>
      <c r="AD292" s="1128"/>
      <c r="AE292" s="1128"/>
      <c r="AF292" s="1128"/>
      <c r="AG292" s="1128"/>
      <c r="AH292" s="1128"/>
      <c r="AI292" s="1128"/>
      <c r="AJ292" s="1128"/>
      <c r="AK292" s="1128"/>
      <c r="AL292" s="1128"/>
    </row>
    <row r="293" spans="1:38" s="1086" customFormat="1">
      <c r="A293" s="1096"/>
      <c r="B293" s="1096"/>
      <c r="C293" s="1096"/>
      <c r="D293" s="1096"/>
      <c r="E293" s="1128"/>
      <c r="F293" s="1128"/>
      <c r="G293" s="1128"/>
      <c r="H293" s="1099"/>
      <c r="I293" s="1099"/>
      <c r="J293" s="1107"/>
      <c r="K293" s="1099"/>
      <c r="L293" s="1099"/>
      <c r="M293" s="1099"/>
      <c r="N293" s="1099"/>
      <c r="O293" s="1099"/>
      <c r="P293" s="1099"/>
      <c r="Q293" s="1107"/>
      <c r="R293" s="1099"/>
      <c r="S293" s="1099"/>
      <c r="T293" s="1099"/>
      <c r="U293" s="1099"/>
      <c r="V293" s="1099"/>
      <c r="W293" s="1099"/>
      <c r="X293" s="1099"/>
      <c r="Y293" s="1099"/>
      <c r="Z293" s="1099"/>
      <c r="AA293" s="1099"/>
      <c r="AB293" s="1099"/>
      <c r="AC293" s="1128"/>
      <c r="AD293" s="1128"/>
      <c r="AE293" s="1128"/>
      <c r="AF293" s="1128"/>
      <c r="AG293" s="1128"/>
      <c r="AH293" s="1128"/>
      <c r="AI293" s="1128"/>
      <c r="AJ293" s="1128"/>
      <c r="AK293" s="1128"/>
      <c r="AL293" s="1128"/>
    </row>
    <row r="294" spans="1:38" s="1086" customFormat="1">
      <c r="A294" s="1096"/>
      <c r="B294" s="1096"/>
      <c r="C294" s="1096"/>
      <c r="D294" s="1096"/>
      <c r="E294" s="1128"/>
      <c r="F294" s="1128"/>
      <c r="G294" s="1128"/>
      <c r="H294" s="1099"/>
      <c r="I294" s="1099"/>
      <c r="J294" s="1107"/>
      <c r="K294" s="1099"/>
      <c r="L294" s="1099"/>
      <c r="M294" s="1099"/>
      <c r="N294" s="1099"/>
      <c r="O294" s="1099"/>
      <c r="P294" s="1099"/>
      <c r="Q294" s="1107"/>
      <c r="R294" s="1099"/>
      <c r="S294" s="1099"/>
      <c r="T294" s="1099"/>
      <c r="U294" s="1099"/>
      <c r="V294" s="1099"/>
      <c r="W294" s="1099"/>
      <c r="X294" s="1099"/>
      <c r="Y294" s="1099"/>
      <c r="Z294" s="1099"/>
      <c r="AA294" s="1099"/>
      <c r="AB294" s="1099"/>
      <c r="AC294" s="1128"/>
      <c r="AD294" s="1128"/>
      <c r="AE294" s="1128"/>
      <c r="AF294" s="1128"/>
      <c r="AG294" s="1128"/>
      <c r="AH294" s="1128"/>
      <c r="AI294" s="1128"/>
      <c r="AJ294" s="1128"/>
      <c r="AK294" s="1128"/>
      <c r="AL294" s="1128"/>
    </row>
    <row r="295" spans="1:38" s="1086" customFormat="1">
      <c r="A295" s="1096"/>
      <c r="B295" s="1096"/>
      <c r="C295" s="1096"/>
      <c r="D295" s="1096"/>
      <c r="E295" s="1128"/>
      <c r="F295" s="1128"/>
      <c r="G295" s="1128"/>
      <c r="H295" s="1099"/>
      <c r="I295" s="1099"/>
      <c r="J295" s="1107"/>
      <c r="K295" s="1099"/>
      <c r="L295" s="1099"/>
      <c r="M295" s="1099"/>
      <c r="N295" s="1099"/>
      <c r="O295" s="1099"/>
      <c r="P295" s="1099"/>
      <c r="Q295" s="1107"/>
      <c r="R295" s="1099"/>
      <c r="S295" s="1099"/>
      <c r="T295" s="1099"/>
      <c r="U295" s="1099"/>
      <c r="V295" s="1099"/>
      <c r="W295" s="1099"/>
      <c r="X295" s="1099"/>
      <c r="Y295" s="1099"/>
      <c r="Z295" s="1099"/>
      <c r="AA295" s="1099"/>
      <c r="AB295" s="1099"/>
      <c r="AC295" s="1128"/>
      <c r="AD295" s="1128"/>
      <c r="AE295" s="1128"/>
      <c r="AF295" s="1128"/>
      <c r="AG295" s="1128"/>
      <c r="AH295" s="1128"/>
      <c r="AI295" s="1128"/>
      <c r="AJ295" s="1128"/>
      <c r="AK295" s="1128"/>
      <c r="AL295" s="1128"/>
    </row>
    <row r="296" spans="1:38" s="1086" customFormat="1">
      <c r="A296" s="1096"/>
      <c r="B296" s="1096"/>
      <c r="C296" s="1096"/>
      <c r="D296" s="1096"/>
      <c r="E296" s="1128"/>
      <c r="F296" s="1128"/>
      <c r="G296" s="1128"/>
      <c r="H296" s="1099"/>
      <c r="I296" s="1099"/>
      <c r="J296" s="1107"/>
      <c r="K296" s="1099"/>
      <c r="L296" s="1099"/>
      <c r="M296" s="1099"/>
      <c r="N296" s="1099"/>
      <c r="O296" s="1099"/>
      <c r="P296" s="1099"/>
      <c r="Q296" s="1107"/>
      <c r="R296" s="1099"/>
      <c r="S296" s="1099"/>
      <c r="T296" s="1099"/>
      <c r="U296" s="1099"/>
      <c r="V296" s="1099"/>
      <c r="W296" s="1099"/>
      <c r="X296" s="1099"/>
      <c r="Y296" s="1099"/>
      <c r="Z296" s="1099"/>
      <c r="AA296" s="1099"/>
      <c r="AB296" s="1099"/>
      <c r="AC296" s="1128"/>
      <c r="AD296" s="1128"/>
      <c r="AE296" s="1128"/>
      <c r="AF296" s="1128"/>
      <c r="AG296" s="1128"/>
      <c r="AH296" s="1128"/>
      <c r="AI296" s="1128"/>
      <c r="AJ296" s="1128"/>
      <c r="AK296" s="1128"/>
      <c r="AL296" s="1128"/>
    </row>
    <row r="297" spans="1:38" s="1086" customFormat="1">
      <c r="A297" s="1096"/>
      <c r="B297" s="1096"/>
      <c r="C297" s="1096"/>
      <c r="D297" s="1096"/>
      <c r="E297" s="1128"/>
      <c r="F297" s="1128"/>
      <c r="G297" s="1128"/>
      <c r="H297" s="1099"/>
      <c r="I297" s="1099"/>
      <c r="J297" s="1107"/>
      <c r="K297" s="1099"/>
      <c r="L297" s="1099"/>
      <c r="M297" s="1099"/>
      <c r="N297" s="1099"/>
      <c r="O297" s="1099"/>
      <c r="P297" s="1099"/>
      <c r="Q297" s="1107"/>
      <c r="R297" s="1099"/>
      <c r="S297" s="1099"/>
      <c r="T297" s="1099"/>
      <c r="U297" s="1099"/>
      <c r="V297" s="1099"/>
      <c r="W297" s="1099"/>
      <c r="X297" s="1099"/>
      <c r="Y297" s="1099"/>
      <c r="Z297" s="1099"/>
      <c r="AA297" s="1099"/>
      <c r="AB297" s="1099"/>
      <c r="AC297" s="1128"/>
      <c r="AD297" s="1128"/>
      <c r="AE297" s="1128"/>
      <c r="AF297" s="1128"/>
      <c r="AG297" s="1128"/>
      <c r="AH297" s="1128"/>
      <c r="AI297" s="1128"/>
      <c r="AJ297" s="1128"/>
      <c r="AK297" s="1128"/>
      <c r="AL297" s="1128"/>
    </row>
    <row r="298" spans="1:38" s="1086" customFormat="1">
      <c r="A298" s="1096"/>
      <c r="B298" s="1096"/>
      <c r="C298" s="1096"/>
      <c r="D298" s="1096"/>
      <c r="E298" s="1128"/>
      <c r="F298" s="1128"/>
      <c r="G298" s="1128"/>
      <c r="H298" s="1099"/>
      <c r="I298" s="1099"/>
      <c r="J298" s="1107"/>
      <c r="K298" s="1099"/>
      <c r="L298" s="1099"/>
      <c r="M298" s="1099"/>
      <c r="N298" s="1099"/>
      <c r="O298" s="1099"/>
      <c r="P298" s="1099"/>
      <c r="Q298" s="1107"/>
      <c r="R298" s="1099"/>
      <c r="S298" s="1099"/>
      <c r="T298" s="1099"/>
      <c r="U298" s="1099"/>
      <c r="V298" s="1099"/>
      <c r="W298" s="1099"/>
      <c r="X298" s="1099"/>
      <c r="Y298" s="1099"/>
      <c r="Z298" s="1099"/>
      <c r="AA298" s="1099"/>
      <c r="AB298" s="1099"/>
      <c r="AC298" s="1128"/>
      <c r="AD298" s="1128"/>
      <c r="AE298" s="1128"/>
      <c r="AF298" s="1128"/>
      <c r="AG298" s="1128"/>
      <c r="AH298" s="1128"/>
      <c r="AI298" s="1128"/>
      <c r="AJ298" s="1128"/>
      <c r="AK298" s="1128"/>
      <c r="AL298" s="1128"/>
    </row>
    <row r="299" spans="1:38" s="1086" customFormat="1">
      <c r="A299" s="1096"/>
      <c r="B299" s="1096"/>
      <c r="C299" s="1096"/>
      <c r="D299" s="1096"/>
      <c r="E299" s="1128"/>
      <c r="F299" s="1128"/>
      <c r="G299" s="1128"/>
      <c r="H299" s="1099"/>
      <c r="I299" s="1099"/>
      <c r="J299" s="1107"/>
      <c r="K299" s="1099"/>
      <c r="L299" s="1099"/>
      <c r="M299" s="1099"/>
      <c r="N299" s="1099"/>
      <c r="O299" s="1099"/>
      <c r="P299" s="1099"/>
      <c r="Q299" s="1107"/>
      <c r="R299" s="1099"/>
      <c r="S299" s="1099"/>
      <c r="T299" s="1099"/>
      <c r="U299" s="1099"/>
      <c r="V299" s="1099"/>
      <c r="W299" s="1099"/>
      <c r="X299" s="1099"/>
      <c r="Y299" s="1099"/>
      <c r="Z299" s="1099"/>
      <c r="AA299" s="1099"/>
      <c r="AB299" s="1099"/>
      <c r="AC299" s="1128"/>
      <c r="AD299" s="1128"/>
      <c r="AE299" s="1128"/>
      <c r="AF299" s="1128"/>
      <c r="AG299" s="1128"/>
      <c r="AH299" s="1128"/>
      <c r="AI299" s="1128"/>
      <c r="AJ299" s="1128"/>
      <c r="AK299" s="1128"/>
      <c r="AL299" s="1128"/>
    </row>
    <row r="300" spans="1:38" s="1086" customFormat="1">
      <c r="A300" s="1096"/>
      <c r="B300" s="1096"/>
      <c r="C300" s="1096"/>
      <c r="D300" s="1096"/>
      <c r="E300" s="1128"/>
      <c r="F300" s="1128"/>
      <c r="G300" s="1128"/>
      <c r="H300" s="1099"/>
      <c r="I300" s="1099"/>
      <c r="J300" s="1107"/>
      <c r="K300" s="1099"/>
      <c r="L300" s="1099"/>
      <c r="M300" s="1099"/>
      <c r="N300" s="1099"/>
      <c r="O300" s="1099"/>
      <c r="P300" s="1099"/>
      <c r="Q300" s="1107"/>
      <c r="R300" s="1099"/>
      <c r="S300" s="1099"/>
      <c r="T300" s="1099"/>
      <c r="U300" s="1099"/>
      <c r="V300" s="1099"/>
      <c r="W300" s="1099"/>
      <c r="X300" s="1099"/>
      <c r="Y300" s="1099"/>
      <c r="Z300" s="1099"/>
      <c r="AA300" s="1099"/>
      <c r="AB300" s="1099"/>
      <c r="AC300" s="1128"/>
      <c r="AD300" s="1128"/>
      <c r="AE300" s="1128"/>
      <c r="AF300" s="1128"/>
      <c r="AG300" s="1128"/>
      <c r="AH300" s="1128"/>
      <c r="AI300" s="1128"/>
      <c r="AJ300" s="1128"/>
      <c r="AK300" s="1128"/>
      <c r="AL300" s="1128"/>
    </row>
    <row r="301" spans="1:38" s="1086" customFormat="1">
      <c r="A301" s="1096"/>
      <c r="B301" s="1096"/>
      <c r="C301" s="1096"/>
      <c r="D301" s="1096"/>
      <c r="E301" s="1128"/>
      <c r="F301" s="1128"/>
      <c r="G301" s="1128"/>
      <c r="H301" s="1099"/>
      <c r="I301" s="1099"/>
      <c r="J301" s="1107"/>
      <c r="K301" s="1099"/>
      <c r="L301" s="1099"/>
      <c r="M301" s="1099"/>
      <c r="N301" s="1099"/>
      <c r="O301" s="1099"/>
      <c r="P301" s="1099"/>
      <c r="Q301" s="1107"/>
      <c r="R301" s="1099"/>
      <c r="S301" s="1099"/>
      <c r="T301" s="1099"/>
      <c r="U301" s="1099"/>
      <c r="V301" s="1099"/>
      <c r="W301" s="1099"/>
      <c r="X301" s="1099"/>
      <c r="Y301" s="1099"/>
      <c r="Z301" s="1099"/>
      <c r="AA301" s="1099"/>
      <c r="AB301" s="1099"/>
      <c r="AC301" s="1128"/>
      <c r="AD301" s="1128"/>
      <c r="AE301" s="1128"/>
      <c r="AF301" s="1128"/>
      <c r="AG301" s="1128"/>
      <c r="AH301" s="1128"/>
      <c r="AI301" s="1128"/>
      <c r="AJ301" s="1128"/>
      <c r="AK301" s="1128"/>
      <c r="AL301" s="1128"/>
    </row>
    <row r="302" spans="1:38" s="1086" customFormat="1">
      <c r="A302" s="1096"/>
      <c r="B302" s="1096"/>
      <c r="C302" s="1096"/>
      <c r="D302" s="1096"/>
      <c r="E302" s="1128"/>
      <c r="F302" s="1128"/>
      <c r="G302" s="1128"/>
      <c r="H302" s="1099"/>
      <c r="I302" s="1099"/>
      <c r="J302" s="1107"/>
      <c r="K302" s="1099"/>
      <c r="L302" s="1099"/>
      <c r="M302" s="1099"/>
      <c r="N302" s="1099"/>
      <c r="O302" s="1099"/>
      <c r="P302" s="1099"/>
      <c r="Q302" s="1107"/>
      <c r="R302" s="1099"/>
      <c r="S302" s="1099"/>
      <c r="T302" s="1099"/>
      <c r="U302" s="1099"/>
      <c r="V302" s="1099"/>
      <c r="W302" s="1099"/>
      <c r="X302" s="1099"/>
      <c r="Y302" s="1099"/>
      <c r="Z302" s="1099"/>
      <c r="AA302" s="1099"/>
      <c r="AB302" s="1099"/>
      <c r="AC302" s="1128"/>
      <c r="AD302" s="1128"/>
      <c r="AE302" s="1128"/>
      <c r="AF302" s="1128"/>
      <c r="AG302" s="1128"/>
      <c r="AH302" s="1128"/>
      <c r="AI302" s="1128"/>
      <c r="AJ302" s="1128"/>
      <c r="AK302" s="1128"/>
      <c r="AL302" s="1128"/>
    </row>
    <row r="303" spans="1:38" s="1086" customFormat="1">
      <c r="A303" s="1096"/>
      <c r="B303" s="1096"/>
      <c r="C303" s="1096"/>
      <c r="D303" s="1096"/>
      <c r="E303" s="1128"/>
      <c r="F303" s="1128"/>
      <c r="G303" s="1128"/>
      <c r="H303" s="1099"/>
      <c r="I303" s="1099"/>
      <c r="J303" s="1107"/>
      <c r="K303" s="1099"/>
      <c r="L303" s="1099"/>
      <c r="M303" s="1099"/>
      <c r="N303" s="1099"/>
      <c r="O303" s="1099"/>
      <c r="P303" s="1099"/>
      <c r="Q303" s="1107"/>
      <c r="R303" s="1099"/>
      <c r="S303" s="1099"/>
      <c r="T303" s="1099"/>
      <c r="U303" s="1099"/>
      <c r="V303" s="1099"/>
      <c r="W303" s="1099"/>
      <c r="X303" s="1099"/>
      <c r="Y303" s="1099"/>
      <c r="Z303" s="1099"/>
      <c r="AA303" s="1099"/>
      <c r="AB303" s="1099"/>
      <c r="AC303" s="1128"/>
      <c r="AD303" s="1128"/>
      <c r="AE303" s="1128"/>
      <c r="AF303" s="1128"/>
      <c r="AG303" s="1128"/>
      <c r="AH303" s="1128"/>
      <c r="AI303" s="1128"/>
      <c r="AJ303" s="1128"/>
      <c r="AK303" s="1128"/>
      <c r="AL303" s="1128"/>
    </row>
    <row r="304" spans="1:38" s="1086" customFormat="1">
      <c r="A304" s="1096"/>
      <c r="B304" s="1096"/>
      <c r="C304" s="1096"/>
      <c r="D304" s="1096"/>
      <c r="E304" s="1128"/>
      <c r="F304" s="1128"/>
      <c r="G304" s="1128"/>
      <c r="H304" s="1099"/>
      <c r="I304" s="1099"/>
      <c r="J304" s="1107"/>
      <c r="K304" s="1099"/>
      <c r="L304" s="1099"/>
      <c r="M304" s="1099"/>
      <c r="N304" s="1099"/>
      <c r="O304" s="1099"/>
      <c r="P304" s="1099"/>
      <c r="Q304" s="1107"/>
      <c r="R304" s="1099"/>
      <c r="S304" s="1099"/>
      <c r="T304" s="1099"/>
      <c r="U304" s="1099"/>
      <c r="V304" s="1099"/>
      <c r="W304" s="1099"/>
      <c r="X304" s="1099"/>
      <c r="Y304" s="1099"/>
      <c r="Z304" s="1099"/>
      <c r="AA304" s="1099"/>
      <c r="AB304" s="1099"/>
      <c r="AC304" s="1128"/>
      <c r="AD304" s="1128"/>
      <c r="AE304" s="1128"/>
      <c r="AF304" s="1128"/>
      <c r="AG304" s="1128"/>
      <c r="AH304" s="1128"/>
      <c r="AI304" s="1128"/>
      <c r="AJ304" s="1128"/>
      <c r="AK304" s="1128"/>
      <c r="AL304" s="1128"/>
    </row>
    <row r="305" spans="1:38" s="1086" customFormat="1">
      <c r="A305" s="1096"/>
      <c r="B305" s="1096"/>
      <c r="C305" s="1096"/>
      <c r="D305" s="1096"/>
      <c r="E305" s="1128"/>
      <c r="F305" s="1128"/>
      <c r="G305" s="1128"/>
      <c r="H305" s="1099"/>
      <c r="I305" s="1099"/>
      <c r="J305" s="1107"/>
      <c r="K305" s="1099"/>
      <c r="L305" s="1099"/>
      <c r="M305" s="1099"/>
      <c r="N305" s="1099"/>
      <c r="O305" s="1099"/>
      <c r="P305" s="1099"/>
      <c r="Q305" s="1107"/>
      <c r="R305" s="1099"/>
      <c r="S305" s="1099"/>
      <c r="T305" s="1099"/>
      <c r="U305" s="1099"/>
      <c r="V305" s="1099"/>
      <c r="W305" s="1099"/>
      <c r="X305" s="1099"/>
      <c r="Y305" s="1099"/>
      <c r="Z305" s="1099"/>
      <c r="AA305" s="1099"/>
      <c r="AB305" s="1099"/>
      <c r="AC305" s="1128"/>
      <c r="AD305" s="1128"/>
      <c r="AE305" s="1128"/>
      <c r="AF305" s="1128"/>
      <c r="AG305" s="1128"/>
      <c r="AH305" s="1128"/>
      <c r="AI305" s="1128"/>
      <c r="AJ305" s="1128"/>
      <c r="AK305" s="1128"/>
      <c r="AL305" s="1128"/>
    </row>
    <row r="306" spans="1:38" s="1086" customFormat="1">
      <c r="A306" s="1096"/>
      <c r="B306" s="1096"/>
      <c r="C306" s="1096"/>
      <c r="D306" s="1096"/>
      <c r="E306" s="1128"/>
      <c r="F306" s="1128"/>
      <c r="G306" s="1128"/>
      <c r="H306" s="1099"/>
      <c r="I306" s="1099"/>
      <c r="J306" s="1107"/>
      <c r="K306" s="1099"/>
      <c r="L306" s="1099"/>
      <c r="M306" s="1099"/>
      <c r="N306" s="1099"/>
      <c r="O306" s="1099"/>
      <c r="P306" s="1099"/>
      <c r="Q306" s="1107"/>
      <c r="R306" s="1099"/>
      <c r="S306" s="1099"/>
      <c r="T306" s="1099"/>
      <c r="U306" s="1099"/>
      <c r="V306" s="1099"/>
      <c r="W306" s="1099"/>
      <c r="X306" s="1099"/>
      <c r="Y306" s="1099"/>
      <c r="Z306" s="1099"/>
      <c r="AA306" s="1099"/>
      <c r="AB306" s="1099"/>
      <c r="AC306" s="1128"/>
      <c r="AD306" s="1128"/>
      <c r="AE306" s="1128"/>
      <c r="AF306" s="1128"/>
      <c r="AG306" s="1128"/>
      <c r="AH306" s="1128"/>
      <c r="AI306" s="1128"/>
      <c r="AJ306" s="1128"/>
      <c r="AK306" s="1128"/>
      <c r="AL306" s="1128"/>
    </row>
    <row r="307" spans="1:38" s="1086" customFormat="1">
      <c r="A307" s="1096"/>
      <c r="B307" s="1096"/>
      <c r="C307" s="1096"/>
      <c r="D307" s="1096"/>
      <c r="E307" s="1128"/>
      <c r="F307" s="1128"/>
      <c r="G307" s="1128"/>
      <c r="H307" s="1099"/>
      <c r="I307" s="1099"/>
      <c r="J307" s="1107"/>
      <c r="K307" s="1099"/>
      <c r="L307" s="1099"/>
      <c r="M307" s="1099"/>
      <c r="N307" s="1099"/>
      <c r="O307" s="1099"/>
      <c r="P307" s="1099"/>
      <c r="Q307" s="1107"/>
      <c r="R307" s="1099"/>
      <c r="S307" s="1099"/>
      <c r="T307" s="1099"/>
      <c r="U307" s="1099"/>
      <c r="V307" s="1099"/>
      <c r="W307" s="1099"/>
      <c r="X307" s="1099"/>
      <c r="Y307" s="1099"/>
      <c r="Z307" s="1099"/>
      <c r="AA307" s="1099"/>
      <c r="AB307" s="1099"/>
      <c r="AC307" s="1128"/>
      <c r="AD307" s="1128"/>
      <c r="AE307" s="1128"/>
      <c r="AF307" s="1128"/>
      <c r="AG307" s="1128"/>
      <c r="AH307" s="1128"/>
      <c r="AI307" s="1128"/>
      <c r="AJ307" s="1128"/>
      <c r="AK307" s="1128"/>
      <c r="AL307" s="1128"/>
    </row>
    <row r="308" spans="1:38" s="1086" customFormat="1">
      <c r="A308" s="1096"/>
      <c r="B308" s="1096"/>
      <c r="C308" s="1096"/>
      <c r="D308" s="1096"/>
      <c r="E308" s="1128"/>
      <c r="F308" s="1128"/>
      <c r="G308" s="1128"/>
      <c r="H308" s="1099"/>
      <c r="I308" s="1099"/>
      <c r="J308" s="1107"/>
      <c r="K308" s="1099"/>
      <c r="L308" s="1099"/>
      <c r="M308" s="1099"/>
      <c r="N308" s="1099"/>
      <c r="O308" s="1099"/>
      <c r="P308" s="1099"/>
      <c r="Q308" s="1107"/>
      <c r="R308" s="1099"/>
      <c r="S308" s="1099"/>
      <c r="T308" s="1099"/>
      <c r="U308" s="1099"/>
      <c r="V308" s="1099"/>
      <c r="W308" s="1099"/>
      <c r="X308" s="1099"/>
      <c r="Y308" s="1099"/>
      <c r="Z308" s="1099"/>
      <c r="AA308" s="1099"/>
      <c r="AB308" s="1099"/>
      <c r="AC308" s="1128"/>
      <c r="AD308" s="1128"/>
      <c r="AE308" s="1128"/>
      <c r="AF308" s="1128"/>
      <c r="AG308" s="1128"/>
      <c r="AH308" s="1128"/>
      <c r="AI308" s="1128"/>
      <c r="AJ308" s="1128"/>
      <c r="AK308" s="1128"/>
      <c r="AL308" s="1128"/>
    </row>
    <row r="309" spans="1:38" s="1086" customFormat="1">
      <c r="A309" s="1096"/>
      <c r="B309" s="1096"/>
      <c r="C309" s="1096"/>
      <c r="D309" s="1096"/>
      <c r="E309" s="1128"/>
      <c r="F309" s="1128"/>
      <c r="G309" s="1128"/>
      <c r="H309" s="1099"/>
      <c r="I309" s="1099"/>
      <c r="J309" s="1107"/>
      <c r="K309" s="1099"/>
      <c r="L309" s="1099"/>
      <c r="M309" s="1099"/>
      <c r="N309" s="1099"/>
      <c r="O309" s="1099"/>
      <c r="P309" s="1099"/>
      <c r="Q309" s="1107"/>
      <c r="R309" s="1099"/>
      <c r="S309" s="1099"/>
      <c r="T309" s="1099"/>
      <c r="U309" s="1099"/>
      <c r="V309" s="1099"/>
      <c r="W309" s="1099"/>
      <c r="X309" s="1099"/>
      <c r="Y309" s="1099"/>
      <c r="Z309" s="1099"/>
      <c r="AA309" s="1099"/>
      <c r="AB309" s="1099"/>
      <c r="AC309" s="1128"/>
      <c r="AD309" s="1128"/>
      <c r="AE309" s="1128"/>
      <c r="AF309" s="1128"/>
      <c r="AG309" s="1128"/>
      <c r="AH309" s="1128"/>
      <c r="AI309" s="1128"/>
      <c r="AJ309" s="1128"/>
      <c r="AK309" s="1128"/>
      <c r="AL309" s="1128"/>
    </row>
    <row r="310" spans="1:38" s="1086" customFormat="1">
      <c r="A310" s="1096"/>
      <c r="B310" s="1096"/>
      <c r="C310" s="1096"/>
      <c r="D310" s="1096"/>
      <c r="E310" s="1128"/>
      <c r="F310" s="1128"/>
      <c r="G310" s="1128"/>
      <c r="H310" s="1099"/>
      <c r="I310" s="1099"/>
      <c r="J310" s="1107"/>
      <c r="K310" s="1099"/>
      <c r="L310" s="1099"/>
      <c r="M310" s="1099"/>
      <c r="N310" s="1099"/>
      <c r="O310" s="1099"/>
      <c r="P310" s="1099"/>
      <c r="Q310" s="1107"/>
      <c r="R310" s="1099"/>
      <c r="S310" s="1099"/>
      <c r="T310" s="1099"/>
      <c r="U310" s="1099"/>
      <c r="V310" s="1099"/>
      <c r="W310" s="1099"/>
      <c r="X310" s="1099"/>
      <c r="Y310" s="1099"/>
      <c r="Z310" s="1099"/>
      <c r="AA310" s="1099"/>
      <c r="AB310" s="1099"/>
      <c r="AC310" s="1128"/>
      <c r="AD310" s="1128"/>
      <c r="AE310" s="1128"/>
      <c r="AF310" s="1128"/>
      <c r="AG310" s="1128"/>
      <c r="AH310" s="1128"/>
      <c r="AI310" s="1128"/>
      <c r="AJ310" s="1128"/>
      <c r="AK310" s="1128"/>
      <c r="AL310" s="1128"/>
    </row>
    <row r="311" spans="1:38" s="1086" customFormat="1">
      <c r="A311" s="1096"/>
      <c r="B311" s="1096"/>
      <c r="C311" s="1096"/>
      <c r="D311" s="1096"/>
      <c r="E311" s="1128"/>
      <c r="F311" s="1128"/>
      <c r="G311" s="1128"/>
      <c r="H311" s="1099"/>
      <c r="I311" s="1099"/>
      <c r="J311" s="1107"/>
      <c r="K311" s="1099"/>
      <c r="L311" s="1099"/>
      <c r="M311" s="1099"/>
      <c r="N311" s="1099"/>
      <c r="O311" s="1099"/>
      <c r="P311" s="1099"/>
      <c r="Q311" s="1107"/>
      <c r="R311" s="1099"/>
      <c r="S311" s="1099"/>
      <c r="T311" s="1099"/>
      <c r="U311" s="1099"/>
      <c r="V311" s="1099"/>
      <c r="W311" s="1099"/>
      <c r="X311" s="1099"/>
      <c r="Y311" s="1099"/>
      <c r="Z311" s="1099"/>
      <c r="AA311" s="1099"/>
      <c r="AB311" s="1099"/>
      <c r="AC311" s="1128"/>
      <c r="AD311" s="1128"/>
      <c r="AE311" s="1128"/>
      <c r="AF311" s="1128"/>
      <c r="AG311" s="1128"/>
      <c r="AH311" s="1128"/>
      <c r="AI311" s="1128"/>
      <c r="AJ311" s="1128"/>
      <c r="AK311" s="1128"/>
      <c r="AL311" s="1128"/>
    </row>
    <row r="312" spans="1:38" s="1086" customFormat="1">
      <c r="A312" s="1096"/>
      <c r="B312" s="1096"/>
      <c r="C312" s="1096"/>
      <c r="D312" s="1096"/>
      <c r="E312" s="1128"/>
      <c r="F312" s="1128"/>
      <c r="G312" s="1128"/>
      <c r="H312" s="1099"/>
      <c r="I312" s="1099"/>
      <c r="J312" s="1107"/>
      <c r="K312" s="1099"/>
      <c r="L312" s="1099"/>
      <c r="M312" s="1099"/>
      <c r="N312" s="1099"/>
      <c r="O312" s="1099"/>
      <c r="P312" s="1099"/>
      <c r="Q312" s="1107"/>
      <c r="R312" s="1099"/>
      <c r="S312" s="1099"/>
      <c r="T312" s="1099"/>
      <c r="U312" s="1099"/>
      <c r="V312" s="1099"/>
      <c r="W312" s="1099"/>
      <c r="X312" s="1099"/>
      <c r="Y312" s="1099"/>
      <c r="Z312" s="1099"/>
      <c r="AA312" s="1099"/>
      <c r="AB312" s="1099"/>
      <c r="AC312" s="1128"/>
      <c r="AD312" s="1128"/>
      <c r="AE312" s="1128"/>
      <c r="AF312" s="1128"/>
      <c r="AG312" s="1128"/>
      <c r="AH312" s="1128"/>
      <c r="AI312" s="1128"/>
      <c r="AJ312" s="1128"/>
      <c r="AK312" s="1128"/>
      <c r="AL312" s="1128"/>
    </row>
    <row r="313" spans="1:38" s="1086" customFormat="1">
      <c r="A313" s="1096"/>
      <c r="B313" s="1096"/>
      <c r="C313" s="1096"/>
      <c r="D313" s="1096"/>
      <c r="E313" s="1128"/>
      <c r="F313" s="1128"/>
      <c r="G313" s="1128"/>
      <c r="H313" s="1099"/>
      <c r="I313" s="1099"/>
      <c r="J313" s="1107"/>
      <c r="K313" s="1099"/>
      <c r="L313" s="1099"/>
      <c r="M313" s="1099"/>
      <c r="N313" s="1099"/>
      <c r="O313" s="1099"/>
      <c r="P313" s="1099"/>
      <c r="Q313" s="1107"/>
      <c r="R313" s="1099"/>
      <c r="S313" s="1099"/>
      <c r="T313" s="1099"/>
      <c r="U313" s="1099"/>
      <c r="V313" s="1099"/>
      <c r="W313" s="1099"/>
      <c r="X313" s="1099"/>
      <c r="Y313" s="1099"/>
      <c r="Z313" s="1099"/>
      <c r="AA313" s="1099"/>
      <c r="AB313" s="1099"/>
      <c r="AC313" s="1128"/>
      <c r="AD313" s="1128"/>
      <c r="AE313" s="1128"/>
      <c r="AF313" s="1128"/>
      <c r="AG313" s="1128"/>
      <c r="AH313" s="1128"/>
      <c r="AI313" s="1128"/>
      <c r="AJ313" s="1128"/>
      <c r="AK313" s="1128"/>
      <c r="AL313" s="1128"/>
    </row>
    <row r="314" spans="1:38" s="1086" customFormat="1">
      <c r="A314" s="1096"/>
      <c r="B314" s="1096"/>
      <c r="C314" s="1096"/>
      <c r="D314" s="1096"/>
      <c r="E314" s="1128"/>
      <c r="F314" s="1128"/>
      <c r="G314" s="1128"/>
      <c r="H314" s="1099"/>
      <c r="I314" s="1099"/>
      <c r="J314" s="1107"/>
      <c r="K314" s="1099"/>
      <c r="L314" s="1099"/>
      <c r="M314" s="1099"/>
      <c r="N314" s="1099"/>
      <c r="O314" s="1099"/>
      <c r="P314" s="1099"/>
      <c r="Q314" s="1107"/>
      <c r="R314" s="1099"/>
      <c r="S314" s="1099"/>
      <c r="T314" s="1099"/>
      <c r="U314" s="1099"/>
      <c r="V314" s="1099"/>
      <c r="W314" s="1099"/>
      <c r="X314" s="1099"/>
      <c r="Y314" s="1099"/>
      <c r="Z314" s="1099"/>
      <c r="AA314" s="1099"/>
      <c r="AB314" s="1099"/>
      <c r="AC314" s="1128"/>
      <c r="AD314" s="1128"/>
      <c r="AE314" s="1128"/>
      <c r="AF314" s="1128"/>
      <c r="AG314" s="1128"/>
      <c r="AH314" s="1128"/>
      <c r="AI314" s="1128"/>
      <c r="AJ314" s="1128"/>
      <c r="AK314" s="1128"/>
      <c r="AL314" s="1128"/>
    </row>
    <row r="315" spans="1:38" s="1086" customFormat="1">
      <c r="A315" s="1096"/>
      <c r="B315" s="1096"/>
      <c r="C315" s="1096"/>
      <c r="D315" s="1096"/>
      <c r="E315" s="1128"/>
      <c r="F315" s="1128"/>
      <c r="G315" s="1128"/>
      <c r="H315" s="1099"/>
      <c r="I315" s="1099"/>
      <c r="J315" s="1107"/>
      <c r="K315" s="1099"/>
      <c r="L315" s="1099"/>
      <c r="M315" s="1099"/>
      <c r="N315" s="1099"/>
      <c r="O315" s="1099"/>
      <c r="P315" s="1099"/>
      <c r="Q315" s="1107"/>
      <c r="R315" s="1099"/>
      <c r="S315" s="1099"/>
      <c r="T315" s="1099"/>
      <c r="U315" s="1099"/>
      <c r="V315" s="1099"/>
      <c r="W315" s="1099"/>
      <c r="X315" s="1099"/>
      <c r="Y315" s="1099"/>
      <c r="Z315" s="1099"/>
      <c r="AA315" s="1099"/>
      <c r="AB315" s="1099"/>
      <c r="AC315" s="1128"/>
      <c r="AD315" s="1128"/>
      <c r="AE315" s="1128"/>
      <c r="AF315" s="1128"/>
      <c r="AG315" s="1128"/>
      <c r="AH315" s="1128"/>
      <c r="AI315" s="1128"/>
      <c r="AJ315" s="1128"/>
      <c r="AK315" s="1128"/>
      <c r="AL315" s="1128"/>
    </row>
    <row r="316" spans="1:38" s="1086" customFormat="1">
      <c r="A316" s="1096"/>
      <c r="B316" s="1096"/>
      <c r="C316" s="1096"/>
      <c r="D316" s="1096"/>
      <c r="E316" s="1128"/>
      <c r="F316" s="1128"/>
      <c r="G316" s="1128"/>
      <c r="H316" s="1099"/>
      <c r="I316" s="1099"/>
      <c r="J316" s="1107"/>
      <c r="K316" s="1099"/>
      <c r="L316" s="1099"/>
      <c r="M316" s="1099"/>
      <c r="N316" s="1099"/>
      <c r="O316" s="1099"/>
      <c r="P316" s="1099"/>
      <c r="Q316" s="1107"/>
      <c r="R316" s="1099"/>
      <c r="S316" s="1099"/>
      <c r="T316" s="1099"/>
      <c r="U316" s="1099"/>
      <c r="V316" s="1099"/>
      <c r="W316" s="1099"/>
      <c r="X316" s="1099"/>
      <c r="Y316" s="1099"/>
      <c r="Z316" s="1099"/>
      <c r="AA316" s="1099"/>
      <c r="AB316" s="1099"/>
      <c r="AC316" s="1128"/>
      <c r="AD316" s="1128"/>
      <c r="AE316" s="1128"/>
      <c r="AF316" s="1128"/>
      <c r="AG316" s="1128"/>
      <c r="AH316" s="1128"/>
      <c r="AI316" s="1128"/>
      <c r="AJ316" s="1128"/>
      <c r="AK316" s="1128"/>
      <c r="AL316" s="1128"/>
    </row>
    <row r="317" spans="1:38" s="1086" customFormat="1">
      <c r="A317" s="1096"/>
      <c r="B317" s="1096"/>
      <c r="C317" s="1096"/>
      <c r="D317" s="1096"/>
      <c r="E317" s="1128"/>
      <c r="F317" s="1128"/>
      <c r="G317" s="1128"/>
      <c r="H317" s="1099"/>
      <c r="I317" s="1099"/>
      <c r="J317" s="1107"/>
      <c r="K317" s="1099"/>
      <c r="L317" s="1099"/>
      <c r="M317" s="1099"/>
      <c r="N317" s="1099"/>
      <c r="O317" s="1099"/>
      <c r="P317" s="1099"/>
      <c r="Q317" s="1107"/>
      <c r="R317" s="1099"/>
      <c r="S317" s="1099"/>
      <c r="T317" s="1099"/>
      <c r="U317" s="1099"/>
      <c r="V317" s="1099"/>
      <c r="W317" s="1099"/>
      <c r="X317" s="1099"/>
      <c r="Y317" s="1099"/>
      <c r="Z317" s="1099"/>
      <c r="AA317" s="1099"/>
      <c r="AB317" s="1099"/>
      <c r="AC317" s="1128"/>
      <c r="AD317" s="1128"/>
      <c r="AE317" s="1128"/>
      <c r="AF317" s="1128"/>
      <c r="AG317" s="1128"/>
      <c r="AH317" s="1128"/>
      <c r="AI317" s="1128"/>
      <c r="AJ317" s="1128"/>
      <c r="AK317" s="1128"/>
      <c r="AL317" s="1128"/>
    </row>
    <row r="318" spans="1:38" s="1086" customFormat="1">
      <c r="A318" s="1096"/>
      <c r="B318" s="1096"/>
      <c r="C318" s="1096"/>
      <c r="D318" s="1096"/>
      <c r="E318" s="1128"/>
      <c r="F318" s="1128"/>
      <c r="G318" s="1128"/>
      <c r="H318" s="1099"/>
      <c r="I318" s="1099"/>
      <c r="J318" s="1107"/>
      <c r="K318" s="1099"/>
      <c r="L318" s="1099"/>
      <c r="M318" s="1099"/>
      <c r="N318" s="1099"/>
      <c r="O318" s="1099"/>
      <c r="P318" s="1099"/>
      <c r="Q318" s="1107"/>
      <c r="R318" s="1099"/>
      <c r="S318" s="1099"/>
      <c r="T318" s="1099"/>
      <c r="U318" s="1099"/>
      <c r="V318" s="1099"/>
      <c r="W318" s="1099"/>
      <c r="X318" s="1099"/>
      <c r="Y318" s="1099"/>
      <c r="Z318" s="1099"/>
      <c r="AA318" s="1099"/>
      <c r="AB318" s="1099"/>
      <c r="AC318" s="1128"/>
      <c r="AD318" s="1128"/>
      <c r="AE318" s="1128"/>
      <c r="AF318" s="1128"/>
      <c r="AG318" s="1128"/>
      <c r="AH318" s="1128"/>
      <c r="AI318" s="1128"/>
      <c r="AJ318" s="1128"/>
      <c r="AK318" s="1128"/>
      <c r="AL318" s="1128"/>
    </row>
    <row r="319" spans="1:38" s="1086" customFormat="1">
      <c r="A319" s="1096"/>
      <c r="B319" s="1096"/>
      <c r="C319" s="1096"/>
      <c r="D319" s="1096"/>
      <c r="E319" s="1128"/>
      <c r="F319" s="1128"/>
      <c r="G319" s="1128"/>
      <c r="H319" s="1099"/>
      <c r="I319" s="1099"/>
      <c r="J319" s="1107"/>
      <c r="K319" s="1099"/>
      <c r="L319" s="1099"/>
      <c r="M319" s="1099"/>
      <c r="N319" s="1099"/>
      <c r="O319" s="1099"/>
      <c r="P319" s="1099"/>
      <c r="Q319" s="1107"/>
      <c r="R319" s="1099"/>
      <c r="S319" s="1099"/>
      <c r="T319" s="1099"/>
      <c r="U319" s="1099"/>
      <c r="V319" s="1099"/>
      <c r="W319" s="1099"/>
      <c r="X319" s="1099"/>
      <c r="Y319" s="1099"/>
      <c r="Z319" s="1099"/>
      <c r="AA319" s="1099"/>
      <c r="AB319" s="1099"/>
      <c r="AC319" s="1128"/>
      <c r="AD319" s="1128"/>
      <c r="AE319" s="1128"/>
      <c r="AF319" s="1128"/>
      <c r="AG319" s="1128"/>
      <c r="AH319" s="1128"/>
      <c r="AI319" s="1128"/>
      <c r="AJ319" s="1128"/>
      <c r="AK319" s="1128"/>
      <c r="AL319" s="1128"/>
    </row>
    <row r="320" spans="1:38" s="1086" customFormat="1">
      <c r="A320" s="1096"/>
      <c r="B320" s="1096"/>
      <c r="C320" s="1096"/>
      <c r="D320" s="1096"/>
      <c r="E320" s="1128"/>
      <c r="F320" s="1128"/>
      <c r="G320" s="1128"/>
      <c r="H320" s="1099"/>
      <c r="I320" s="1099"/>
      <c r="J320" s="1107"/>
      <c r="K320" s="1099"/>
      <c r="L320" s="1099"/>
      <c r="M320" s="1099"/>
      <c r="N320" s="1099"/>
      <c r="O320" s="1099"/>
      <c r="P320" s="1099"/>
      <c r="Q320" s="1107"/>
      <c r="R320" s="1099"/>
      <c r="S320" s="1099"/>
      <c r="T320" s="1099"/>
      <c r="U320" s="1099"/>
      <c r="V320" s="1099"/>
      <c r="W320" s="1099"/>
      <c r="X320" s="1099"/>
      <c r="Y320" s="1099"/>
      <c r="Z320" s="1099"/>
      <c r="AA320" s="1099"/>
      <c r="AB320" s="1099"/>
      <c r="AC320" s="1128"/>
      <c r="AD320" s="1128"/>
      <c r="AE320" s="1128"/>
      <c r="AF320" s="1128"/>
      <c r="AG320" s="1128"/>
      <c r="AH320" s="1128"/>
      <c r="AI320" s="1128"/>
      <c r="AJ320" s="1128"/>
      <c r="AK320" s="1128"/>
      <c r="AL320" s="1128"/>
    </row>
    <row r="321" spans="1:38" s="1086" customFormat="1">
      <c r="A321" s="1096"/>
      <c r="B321" s="1096"/>
      <c r="C321" s="1096"/>
      <c r="D321" s="1096"/>
      <c r="E321" s="1128"/>
      <c r="F321" s="1128"/>
      <c r="G321" s="1128"/>
      <c r="H321" s="1099"/>
      <c r="I321" s="1099"/>
      <c r="J321" s="1107"/>
      <c r="K321" s="1099"/>
      <c r="L321" s="1099"/>
      <c r="M321" s="1099"/>
      <c r="N321" s="1099"/>
      <c r="O321" s="1099"/>
      <c r="P321" s="1099"/>
      <c r="Q321" s="1107"/>
      <c r="R321" s="1099"/>
      <c r="S321" s="1099"/>
      <c r="T321" s="1099"/>
      <c r="U321" s="1099"/>
      <c r="V321" s="1099"/>
      <c r="W321" s="1099"/>
      <c r="X321" s="1099"/>
      <c r="Y321" s="1099"/>
      <c r="Z321" s="1099"/>
      <c r="AA321" s="1099"/>
      <c r="AB321" s="1099"/>
      <c r="AC321" s="1128"/>
      <c r="AD321" s="1128"/>
      <c r="AE321" s="1128"/>
      <c r="AF321" s="1128"/>
      <c r="AG321" s="1128"/>
      <c r="AH321" s="1128"/>
      <c r="AI321" s="1128"/>
      <c r="AJ321" s="1128"/>
      <c r="AK321" s="1128"/>
      <c r="AL321" s="1128"/>
    </row>
    <row r="322" spans="1:38" s="1086" customFormat="1">
      <c r="A322" s="1096"/>
      <c r="B322" s="1096"/>
      <c r="C322" s="1096"/>
      <c r="D322" s="1096"/>
      <c r="E322" s="1128"/>
      <c r="F322" s="1128"/>
      <c r="G322" s="1128"/>
      <c r="H322" s="1099"/>
      <c r="I322" s="1099"/>
      <c r="J322" s="1107"/>
      <c r="K322" s="1099"/>
      <c r="L322" s="1099"/>
      <c r="M322" s="1099"/>
      <c r="N322" s="1099"/>
      <c r="O322" s="1099"/>
      <c r="P322" s="1099"/>
      <c r="Q322" s="1107"/>
      <c r="R322" s="1099"/>
      <c r="S322" s="1099"/>
      <c r="T322" s="1099"/>
      <c r="U322" s="1099"/>
      <c r="V322" s="1099"/>
      <c r="W322" s="1099"/>
      <c r="X322" s="1099"/>
      <c r="Y322" s="1099"/>
      <c r="Z322" s="1099"/>
      <c r="AA322" s="1099"/>
      <c r="AB322" s="1099"/>
      <c r="AC322" s="1128"/>
      <c r="AD322" s="1128"/>
      <c r="AE322" s="1128"/>
      <c r="AF322" s="1128"/>
      <c r="AG322" s="1128"/>
      <c r="AH322" s="1128"/>
      <c r="AI322" s="1128"/>
      <c r="AJ322" s="1128"/>
      <c r="AK322" s="1128"/>
      <c r="AL322" s="1128"/>
    </row>
    <row r="323" spans="1:38" s="1086" customFormat="1">
      <c r="A323" s="1096"/>
      <c r="B323" s="1096"/>
      <c r="C323" s="1096"/>
      <c r="D323" s="1096"/>
      <c r="E323" s="1128"/>
      <c r="F323" s="1128"/>
      <c r="G323" s="1128"/>
      <c r="H323" s="1099"/>
      <c r="I323" s="1099"/>
      <c r="J323" s="1107"/>
      <c r="K323" s="1099"/>
      <c r="L323" s="1099"/>
      <c r="M323" s="1099"/>
      <c r="N323" s="1099"/>
      <c r="O323" s="1099"/>
      <c r="P323" s="1099"/>
      <c r="Q323" s="1107"/>
      <c r="R323" s="1099"/>
      <c r="S323" s="1099"/>
      <c r="T323" s="1099"/>
      <c r="U323" s="1099"/>
      <c r="V323" s="1099"/>
      <c r="W323" s="1099"/>
      <c r="X323" s="1099"/>
      <c r="Y323" s="1099"/>
      <c r="Z323" s="1099"/>
      <c r="AA323" s="1099"/>
      <c r="AB323" s="1099"/>
      <c r="AC323" s="1128"/>
      <c r="AD323" s="1128"/>
      <c r="AE323" s="1128"/>
      <c r="AF323" s="1128"/>
      <c r="AG323" s="1128"/>
      <c r="AH323" s="1128"/>
      <c r="AI323" s="1128"/>
      <c r="AJ323" s="1128"/>
      <c r="AK323" s="1128"/>
      <c r="AL323" s="1128"/>
    </row>
    <row r="324" spans="1:38" s="1086" customFormat="1">
      <c r="A324" s="1096"/>
      <c r="B324" s="1096"/>
      <c r="C324" s="1096"/>
      <c r="D324" s="1096"/>
      <c r="E324" s="1128"/>
      <c r="F324" s="1128"/>
      <c r="G324" s="1128"/>
      <c r="H324" s="1099"/>
      <c r="I324" s="1099"/>
      <c r="J324" s="1107"/>
      <c r="K324" s="1099"/>
      <c r="L324" s="1099"/>
      <c r="M324" s="1099"/>
      <c r="N324" s="1099"/>
      <c r="O324" s="1099"/>
      <c r="P324" s="1099"/>
      <c r="Q324" s="1107"/>
      <c r="R324" s="1099"/>
      <c r="S324" s="1099"/>
      <c r="T324" s="1099"/>
      <c r="U324" s="1099"/>
      <c r="V324" s="1099"/>
      <c r="W324" s="1099"/>
      <c r="X324" s="1099"/>
      <c r="Y324" s="1099"/>
      <c r="Z324" s="1099"/>
      <c r="AA324" s="1099"/>
      <c r="AB324" s="1099"/>
      <c r="AC324" s="1128"/>
      <c r="AD324" s="1128"/>
      <c r="AE324" s="1128"/>
      <c r="AF324" s="1128"/>
      <c r="AG324" s="1128"/>
      <c r="AH324" s="1128"/>
      <c r="AI324" s="1128"/>
      <c r="AJ324" s="1128"/>
      <c r="AK324" s="1128"/>
      <c r="AL324" s="1128"/>
    </row>
    <row r="325" spans="1:38" s="1086" customFormat="1">
      <c r="A325" s="1096"/>
      <c r="B325" s="1096"/>
      <c r="C325" s="1096"/>
      <c r="D325" s="1096"/>
      <c r="E325" s="1128"/>
      <c r="F325" s="1128"/>
      <c r="G325" s="1128"/>
      <c r="H325" s="1099"/>
      <c r="I325" s="1099"/>
      <c r="J325" s="1107"/>
      <c r="K325" s="1099"/>
      <c r="L325" s="1099"/>
      <c r="M325" s="1099"/>
      <c r="N325" s="1099"/>
      <c r="O325" s="1099"/>
      <c r="P325" s="1099"/>
      <c r="Q325" s="1107"/>
      <c r="R325" s="1099"/>
      <c r="S325" s="1099"/>
      <c r="T325" s="1099"/>
      <c r="U325" s="1099"/>
      <c r="V325" s="1099"/>
      <c r="W325" s="1099"/>
      <c r="X325" s="1099"/>
      <c r="Y325" s="1099"/>
      <c r="Z325" s="1099"/>
      <c r="AA325" s="1099"/>
      <c r="AB325" s="1099"/>
      <c r="AC325" s="1128"/>
      <c r="AD325" s="1128"/>
      <c r="AE325" s="1128"/>
      <c r="AF325" s="1128"/>
      <c r="AG325" s="1128"/>
      <c r="AH325" s="1128"/>
      <c r="AI325" s="1128"/>
      <c r="AJ325" s="1128"/>
      <c r="AK325" s="1128"/>
      <c r="AL325" s="1128"/>
    </row>
    <row r="326" spans="1:38" s="1086" customFormat="1">
      <c r="A326" s="1096"/>
      <c r="B326" s="1096"/>
      <c r="C326" s="1096"/>
      <c r="D326" s="1096"/>
      <c r="E326" s="1128"/>
      <c r="F326" s="1128"/>
      <c r="G326" s="1128"/>
      <c r="H326" s="1099"/>
      <c r="I326" s="1099"/>
      <c r="J326" s="1107"/>
      <c r="K326" s="1099"/>
      <c r="L326" s="1099"/>
      <c r="M326" s="1099"/>
      <c r="N326" s="1099"/>
      <c r="O326" s="1099"/>
      <c r="P326" s="1099"/>
      <c r="Q326" s="1107"/>
      <c r="R326" s="1099"/>
      <c r="S326" s="1099"/>
      <c r="T326" s="1099"/>
      <c r="U326" s="1099"/>
      <c r="V326" s="1099"/>
      <c r="W326" s="1099"/>
      <c r="X326" s="1099"/>
      <c r="Y326" s="1099"/>
      <c r="Z326" s="1099"/>
      <c r="AA326" s="1099"/>
      <c r="AB326" s="1099"/>
      <c r="AC326" s="1128"/>
      <c r="AD326" s="1128"/>
      <c r="AE326" s="1128"/>
      <c r="AF326" s="1128"/>
      <c r="AG326" s="1128"/>
      <c r="AH326" s="1128"/>
      <c r="AI326" s="1128"/>
      <c r="AJ326" s="1128"/>
      <c r="AK326" s="1128"/>
      <c r="AL326" s="1128"/>
    </row>
    <row r="327" spans="1:38" s="1086" customFormat="1">
      <c r="A327" s="1096"/>
      <c r="B327" s="1096"/>
      <c r="C327" s="1096"/>
      <c r="D327" s="1096"/>
      <c r="E327" s="1128"/>
      <c r="F327" s="1128"/>
      <c r="G327" s="1128"/>
      <c r="H327" s="1099"/>
      <c r="I327" s="1099"/>
      <c r="J327" s="1107"/>
      <c r="K327" s="1099"/>
      <c r="L327" s="1099"/>
      <c r="M327" s="1099"/>
      <c r="N327" s="1099"/>
      <c r="O327" s="1099"/>
      <c r="P327" s="1099"/>
      <c r="Q327" s="1107"/>
      <c r="R327" s="1099"/>
      <c r="S327" s="1099"/>
      <c r="T327" s="1099"/>
      <c r="U327" s="1099"/>
      <c r="V327" s="1099"/>
      <c r="W327" s="1099"/>
      <c r="X327" s="1099"/>
      <c r="Y327" s="1099"/>
      <c r="Z327" s="1099"/>
      <c r="AA327" s="1099"/>
      <c r="AB327" s="1099"/>
      <c r="AC327" s="1128"/>
      <c r="AD327" s="1128"/>
      <c r="AE327" s="1128"/>
      <c r="AF327" s="1128"/>
      <c r="AG327" s="1128"/>
      <c r="AH327" s="1128"/>
      <c r="AI327" s="1128"/>
      <c r="AJ327" s="1128"/>
      <c r="AK327" s="1128"/>
      <c r="AL327" s="1128"/>
    </row>
    <row r="328" spans="1:38" s="1086" customFormat="1">
      <c r="A328" s="1096"/>
      <c r="B328" s="1096"/>
      <c r="C328" s="1096"/>
      <c r="D328" s="1096"/>
      <c r="E328" s="1128"/>
      <c r="F328" s="1128"/>
      <c r="G328" s="1128"/>
      <c r="H328" s="1099"/>
      <c r="I328" s="1099"/>
      <c r="J328" s="1107"/>
      <c r="K328" s="1099"/>
      <c r="L328" s="1099"/>
      <c r="M328" s="1099"/>
      <c r="N328" s="1099"/>
      <c r="O328" s="1099"/>
      <c r="P328" s="1099"/>
      <c r="Q328" s="1107"/>
      <c r="R328" s="1099"/>
      <c r="S328" s="1099"/>
      <c r="T328" s="1099"/>
      <c r="U328" s="1099"/>
      <c r="V328" s="1099"/>
      <c r="W328" s="1099"/>
      <c r="X328" s="1099"/>
      <c r="Y328" s="1099"/>
      <c r="Z328" s="1099"/>
      <c r="AA328" s="1099"/>
      <c r="AB328" s="1099"/>
      <c r="AC328" s="1128"/>
      <c r="AD328" s="1128"/>
      <c r="AE328" s="1128"/>
      <c r="AF328" s="1128"/>
      <c r="AG328" s="1128"/>
      <c r="AH328" s="1128"/>
      <c r="AI328" s="1128"/>
      <c r="AJ328" s="1128"/>
      <c r="AK328" s="1128"/>
      <c r="AL328" s="1128"/>
    </row>
    <row r="329" spans="1:38" s="1086" customFormat="1">
      <c r="A329" s="1096"/>
      <c r="B329" s="1096"/>
      <c r="C329" s="1096"/>
      <c r="D329" s="1096"/>
      <c r="E329" s="1128"/>
      <c r="F329" s="1128"/>
      <c r="G329" s="1128"/>
      <c r="H329" s="1099"/>
      <c r="I329" s="1099"/>
      <c r="J329" s="1107"/>
      <c r="K329" s="1099"/>
      <c r="L329" s="1099"/>
      <c r="M329" s="1099"/>
      <c r="N329" s="1099"/>
      <c r="O329" s="1099"/>
      <c r="P329" s="1099"/>
      <c r="Q329" s="1107"/>
      <c r="R329" s="1099"/>
      <c r="S329" s="1099"/>
      <c r="T329" s="1099"/>
      <c r="U329" s="1099"/>
      <c r="V329" s="1099"/>
      <c r="W329" s="1099"/>
      <c r="X329" s="1099"/>
      <c r="Y329" s="1099"/>
      <c r="Z329" s="1099"/>
      <c r="AA329" s="1099"/>
      <c r="AB329" s="1099"/>
      <c r="AC329" s="1128"/>
      <c r="AD329" s="1128"/>
      <c r="AE329" s="1128"/>
      <c r="AF329" s="1128"/>
      <c r="AG329" s="1128"/>
      <c r="AH329" s="1128"/>
      <c r="AI329" s="1128"/>
      <c r="AJ329" s="1128"/>
      <c r="AK329" s="1128"/>
      <c r="AL329" s="1128"/>
    </row>
    <row r="330" spans="1:38" s="1086" customFormat="1">
      <c r="A330" s="1096"/>
      <c r="B330" s="1096"/>
      <c r="C330" s="1096"/>
      <c r="D330" s="1096"/>
      <c r="E330" s="1128"/>
      <c r="F330" s="1128"/>
      <c r="G330" s="1128"/>
      <c r="H330" s="1099"/>
      <c r="I330" s="1099"/>
      <c r="J330" s="1107"/>
      <c r="K330" s="1099"/>
      <c r="L330" s="1099"/>
      <c r="M330" s="1099"/>
      <c r="N330" s="1099"/>
      <c r="O330" s="1099"/>
      <c r="P330" s="1099"/>
      <c r="Q330" s="1107"/>
      <c r="R330" s="1099"/>
      <c r="S330" s="1099"/>
      <c r="T330" s="1099"/>
      <c r="U330" s="1099"/>
      <c r="V330" s="1099"/>
      <c r="W330" s="1099"/>
      <c r="X330" s="1099"/>
      <c r="Y330" s="1099"/>
      <c r="Z330" s="1099"/>
      <c r="AA330" s="1099"/>
      <c r="AB330" s="1099"/>
      <c r="AC330" s="1128"/>
      <c r="AD330" s="1128"/>
      <c r="AE330" s="1128"/>
      <c r="AF330" s="1128"/>
      <c r="AG330" s="1128"/>
      <c r="AH330" s="1128"/>
      <c r="AI330" s="1128"/>
      <c r="AJ330" s="1128"/>
      <c r="AK330" s="1128"/>
      <c r="AL330" s="1128"/>
    </row>
    <row r="331" spans="1:38" s="1086" customFormat="1">
      <c r="A331" s="1096"/>
      <c r="B331" s="1096"/>
      <c r="C331" s="1096"/>
      <c r="D331" s="1096"/>
      <c r="E331" s="1128"/>
      <c r="F331" s="1128"/>
      <c r="G331" s="1128"/>
      <c r="H331" s="1099"/>
      <c r="I331" s="1099"/>
      <c r="J331" s="1107"/>
      <c r="K331" s="1099"/>
      <c r="L331" s="1099"/>
      <c r="M331" s="1099"/>
      <c r="N331" s="1099"/>
      <c r="O331" s="1099"/>
      <c r="P331" s="1099"/>
      <c r="Q331" s="1107"/>
      <c r="R331" s="1099"/>
      <c r="S331" s="1099"/>
      <c r="T331" s="1099"/>
      <c r="U331" s="1099"/>
      <c r="V331" s="1099"/>
      <c r="W331" s="1099"/>
      <c r="X331" s="1099"/>
      <c r="Y331" s="1099"/>
      <c r="Z331" s="1099"/>
      <c r="AA331" s="1099"/>
      <c r="AB331" s="1099"/>
      <c r="AC331" s="1128"/>
      <c r="AD331" s="1128"/>
      <c r="AE331" s="1128"/>
      <c r="AF331" s="1128"/>
      <c r="AG331" s="1128"/>
      <c r="AH331" s="1128"/>
      <c r="AI331" s="1128"/>
      <c r="AJ331" s="1128"/>
      <c r="AK331" s="1128"/>
      <c r="AL331" s="1128"/>
    </row>
    <row r="332" spans="1:38" s="1086" customFormat="1">
      <c r="A332" s="1096"/>
      <c r="B332" s="1096"/>
      <c r="C332" s="1096"/>
      <c r="D332" s="1096"/>
      <c r="E332" s="1128"/>
      <c r="F332" s="1128"/>
      <c r="G332" s="1128"/>
      <c r="H332" s="1099"/>
      <c r="I332" s="1099"/>
      <c r="J332" s="1107"/>
      <c r="K332" s="1099"/>
      <c r="L332" s="1099"/>
      <c r="M332" s="1099"/>
      <c r="N332" s="1099"/>
      <c r="O332" s="1099"/>
      <c r="P332" s="1099"/>
      <c r="Q332" s="1107"/>
      <c r="R332" s="1099"/>
      <c r="S332" s="1099"/>
      <c r="T332" s="1099"/>
      <c r="U332" s="1099"/>
      <c r="V332" s="1099"/>
      <c r="W332" s="1099"/>
      <c r="X332" s="1099"/>
      <c r="Y332" s="1099"/>
      <c r="Z332" s="1099"/>
      <c r="AA332" s="1099"/>
      <c r="AB332" s="1099"/>
      <c r="AC332" s="1128"/>
      <c r="AD332" s="1128"/>
      <c r="AE332" s="1128"/>
      <c r="AF332" s="1128"/>
      <c r="AG332" s="1128"/>
      <c r="AH332" s="1128"/>
      <c r="AI332" s="1128"/>
      <c r="AJ332" s="1128"/>
      <c r="AK332" s="1128"/>
      <c r="AL332" s="1128"/>
    </row>
    <row r="333" spans="1:38" s="1086" customFormat="1">
      <c r="A333" s="1096"/>
      <c r="B333" s="1096"/>
      <c r="C333" s="1096"/>
      <c r="D333" s="1096"/>
      <c r="E333" s="1128"/>
      <c r="F333" s="1128"/>
      <c r="G333" s="1128"/>
      <c r="H333" s="1099"/>
      <c r="I333" s="1099"/>
      <c r="J333" s="1107"/>
      <c r="K333" s="1099"/>
      <c r="L333" s="1099"/>
      <c r="M333" s="1099"/>
      <c r="N333" s="1099"/>
      <c r="O333" s="1099"/>
      <c r="P333" s="1099"/>
      <c r="Q333" s="1107"/>
      <c r="R333" s="1099"/>
      <c r="S333" s="1099"/>
      <c r="T333" s="1099"/>
      <c r="U333" s="1099"/>
      <c r="V333" s="1099"/>
      <c r="W333" s="1099"/>
      <c r="X333" s="1099"/>
      <c r="Y333" s="1099"/>
      <c r="Z333" s="1099"/>
      <c r="AA333" s="1099"/>
      <c r="AB333" s="1099"/>
      <c r="AC333" s="1128"/>
      <c r="AD333" s="1128"/>
      <c r="AE333" s="1128"/>
      <c r="AF333" s="1128"/>
      <c r="AG333" s="1128"/>
      <c r="AH333" s="1128"/>
      <c r="AI333" s="1128"/>
      <c r="AJ333" s="1128"/>
      <c r="AK333" s="1128"/>
      <c r="AL333" s="1128"/>
    </row>
    <row r="334" spans="1:38" s="1086" customFormat="1">
      <c r="A334" s="1096"/>
      <c r="B334" s="1096"/>
      <c r="C334" s="1096"/>
      <c r="D334" s="1096"/>
      <c r="E334" s="1128"/>
      <c r="F334" s="1128"/>
      <c r="G334" s="1128"/>
      <c r="H334" s="1099"/>
      <c r="I334" s="1099"/>
      <c r="J334" s="1107"/>
      <c r="K334" s="1099"/>
      <c r="L334" s="1099"/>
      <c r="M334" s="1099"/>
      <c r="N334" s="1099"/>
      <c r="O334" s="1099"/>
      <c r="P334" s="1099"/>
      <c r="Q334" s="1107"/>
      <c r="R334" s="1099"/>
      <c r="S334" s="1099"/>
      <c r="T334" s="1099"/>
      <c r="U334" s="1099"/>
      <c r="V334" s="1099"/>
      <c r="W334" s="1099"/>
      <c r="X334" s="1099"/>
      <c r="Y334" s="1099"/>
      <c r="Z334" s="1099"/>
      <c r="AA334" s="1099"/>
      <c r="AB334" s="1099"/>
      <c r="AC334" s="1128"/>
      <c r="AD334" s="1128"/>
      <c r="AE334" s="1128"/>
      <c r="AF334" s="1128"/>
      <c r="AG334" s="1128"/>
      <c r="AH334" s="1128"/>
      <c r="AI334" s="1128"/>
      <c r="AJ334" s="1128"/>
      <c r="AK334" s="1128"/>
      <c r="AL334" s="1128"/>
    </row>
    <row r="335" spans="1:38" s="1086" customFormat="1">
      <c r="A335" s="1096"/>
      <c r="B335" s="1096"/>
      <c r="C335" s="1096"/>
      <c r="D335" s="1096"/>
      <c r="E335" s="1128"/>
      <c r="F335" s="1128"/>
      <c r="G335" s="1128"/>
      <c r="H335" s="1099"/>
      <c r="I335" s="1099"/>
      <c r="J335" s="1107"/>
      <c r="K335" s="1099"/>
      <c r="L335" s="1099"/>
      <c r="M335" s="1099"/>
      <c r="N335" s="1099"/>
      <c r="O335" s="1099"/>
      <c r="P335" s="1099"/>
      <c r="Q335" s="1107"/>
      <c r="R335" s="1099"/>
      <c r="S335" s="1099"/>
      <c r="T335" s="1099"/>
      <c r="U335" s="1099"/>
      <c r="V335" s="1099"/>
      <c r="W335" s="1099"/>
      <c r="X335" s="1099"/>
      <c r="Y335" s="1099"/>
      <c r="Z335" s="1099"/>
      <c r="AA335" s="1099"/>
      <c r="AB335" s="1099"/>
      <c r="AC335" s="1128"/>
      <c r="AD335" s="1128"/>
      <c r="AE335" s="1128"/>
      <c r="AF335" s="1128"/>
      <c r="AG335" s="1128"/>
      <c r="AH335" s="1128"/>
      <c r="AI335" s="1128"/>
      <c r="AJ335" s="1128"/>
      <c r="AK335" s="1128"/>
      <c r="AL335" s="1128"/>
    </row>
    <row r="336" spans="1:38" s="1086" customFormat="1">
      <c r="A336" s="1096"/>
      <c r="B336" s="1096"/>
      <c r="C336" s="1096"/>
      <c r="D336" s="1096"/>
      <c r="E336" s="1128"/>
      <c r="F336" s="1128"/>
      <c r="G336" s="1128"/>
      <c r="H336" s="1099"/>
      <c r="I336" s="1099"/>
      <c r="J336" s="1107"/>
      <c r="K336" s="1099"/>
      <c r="L336" s="1099"/>
      <c r="M336" s="1099"/>
      <c r="N336" s="1099"/>
      <c r="O336" s="1099"/>
      <c r="P336" s="1099"/>
      <c r="Q336" s="1107"/>
      <c r="R336" s="1099"/>
      <c r="S336" s="1099"/>
      <c r="T336" s="1099"/>
      <c r="U336" s="1099"/>
      <c r="V336" s="1099"/>
      <c r="W336" s="1099"/>
      <c r="X336" s="1099"/>
      <c r="Y336" s="1099"/>
      <c r="Z336" s="1099"/>
      <c r="AA336" s="1099"/>
      <c r="AB336" s="1099"/>
      <c r="AC336" s="1128"/>
      <c r="AD336" s="1128"/>
      <c r="AE336" s="1128"/>
      <c r="AF336" s="1128"/>
      <c r="AG336" s="1128"/>
      <c r="AH336" s="1128"/>
      <c r="AI336" s="1128"/>
      <c r="AJ336" s="1128"/>
      <c r="AK336" s="1128"/>
      <c r="AL336" s="1128"/>
    </row>
    <row r="337" spans="1:38" s="1086" customFormat="1">
      <c r="A337" s="1096"/>
      <c r="B337" s="1096"/>
      <c r="C337" s="1096"/>
      <c r="D337" s="1096"/>
      <c r="E337" s="1128"/>
      <c r="F337" s="1128"/>
      <c r="G337" s="1128"/>
      <c r="H337" s="1099"/>
      <c r="I337" s="1099"/>
      <c r="J337" s="1107"/>
      <c r="K337" s="1099"/>
      <c r="L337" s="1099"/>
      <c r="M337" s="1099"/>
      <c r="N337" s="1099"/>
      <c r="O337" s="1099"/>
      <c r="P337" s="1099"/>
      <c r="Q337" s="1107"/>
      <c r="R337" s="1099"/>
      <c r="S337" s="1099"/>
      <c r="T337" s="1099"/>
      <c r="U337" s="1099"/>
      <c r="V337" s="1099"/>
      <c r="W337" s="1099"/>
      <c r="X337" s="1099"/>
      <c r="Y337" s="1099"/>
      <c r="Z337" s="1099"/>
      <c r="AA337" s="1099"/>
      <c r="AB337" s="1099"/>
      <c r="AC337" s="1128"/>
      <c r="AD337" s="1128"/>
      <c r="AE337" s="1128"/>
      <c r="AF337" s="1128"/>
      <c r="AG337" s="1128"/>
      <c r="AH337" s="1128"/>
      <c r="AI337" s="1128"/>
      <c r="AJ337" s="1128"/>
      <c r="AK337" s="1128"/>
      <c r="AL337" s="1128"/>
    </row>
    <row r="338" spans="1:38" s="1086" customFormat="1">
      <c r="A338" s="1096"/>
      <c r="B338" s="1096"/>
      <c r="C338" s="1096"/>
      <c r="D338" s="1096"/>
      <c r="E338" s="1128"/>
      <c r="F338" s="1128"/>
      <c r="G338" s="1128"/>
      <c r="H338" s="1099"/>
      <c r="I338" s="1099"/>
      <c r="J338" s="1107"/>
      <c r="K338" s="1099"/>
      <c r="L338" s="1099"/>
      <c r="M338" s="1099"/>
      <c r="N338" s="1099"/>
      <c r="O338" s="1099"/>
      <c r="P338" s="1099"/>
      <c r="Q338" s="1107"/>
      <c r="R338" s="1099"/>
      <c r="S338" s="1099"/>
      <c r="T338" s="1099"/>
      <c r="U338" s="1099"/>
      <c r="V338" s="1099"/>
      <c r="W338" s="1099"/>
      <c r="X338" s="1099"/>
      <c r="Y338" s="1099"/>
      <c r="Z338" s="1099"/>
      <c r="AA338" s="1099"/>
      <c r="AB338" s="1099"/>
      <c r="AC338" s="1128"/>
      <c r="AD338" s="1128"/>
      <c r="AE338" s="1128"/>
      <c r="AF338" s="1128"/>
      <c r="AG338" s="1128"/>
      <c r="AH338" s="1128"/>
      <c r="AI338" s="1128"/>
      <c r="AJ338" s="1128"/>
      <c r="AK338" s="1128"/>
      <c r="AL338" s="1128"/>
    </row>
    <row r="339" spans="1:38" s="1086" customFormat="1">
      <c r="A339" s="1096"/>
      <c r="B339" s="1096"/>
      <c r="C339" s="1096"/>
      <c r="D339" s="1096"/>
      <c r="E339" s="1128"/>
      <c r="F339" s="1128"/>
      <c r="G339" s="1128"/>
      <c r="H339" s="1099"/>
      <c r="I339" s="1099"/>
      <c r="J339" s="1107"/>
      <c r="K339" s="1099"/>
      <c r="L339" s="1099"/>
      <c r="M339" s="1099"/>
      <c r="N339" s="1099"/>
      <c r="O339" s="1099"/>
      <c r="P339" s="1099"/>
      <c r="Q339" s="1107"/>
      <c r="R339" s="1099"/>
      <c r="S339" s="1099"/>
      <c r="T339" s="1099"/>
      <c r="U339" s="1099"/>
      <c r="V339" s="1099"/>
      <c r="W339" s="1099"/>
      <c r="X339" s="1099"/>
      <c r="Y339" s="1099"/>
      <c r="Z339" s="1099"/>
      <c r="AA339" s="1099"/>
      <c r="AB339" s="1099"/>
      <c r="AC339" s="1128"/>
      <c r="AD339" s="1128"/>
      <c r="AE339" s="1128"/>
      <c r="AF339" s="1128"/>
      <c r="AG339" s="1128"/>
      <c r="AH339" s="1128"/>
      <c r="AI339" s="1128"/>
      <c r="AJ339" s="1128"/>
      <c r="AK339" s="1128"/>
      <c r="AL339" s="1128"/>
    </row>
    <row r="340" spans="1:38" s="1086" customFormat="1">
      <c r="A340" s="1096"/>
      <c r="B340" s="1096"/>
      <c r="C340" s="1096"/>
      <c r="D340" s="1096"/>
      <c r="E340" s="1128"/>
      <c r="F340" s="1128"/>
      <c r="G340" s="1128"/>
      <c r="H340" s="1099"/>
      <c r="I340" s="1099"/>
      <c r="J340" s="1107"/>
      <c r="K340" s="1099"/>
      <c r="L340" s="1099"/>
      <c r="M340" s="1099"/>
      <c r="N340" s="1099"/>
      <c r="O340" s="1099"/>
      <c r="P340" s="1099"/>
      <c r="Q340" s="1107"/>
      <c r="R340" s="1099"/>
      <c r="S340" s="1099"/>
      <c r="T340" s="1099"/>
      <c r="U340" s="1099"/>
      <c r="V340" s="1099"/>
      <c r="W340" s="1099"/>
      <c r="X340" s="1099"/>
      <c r="Y340" s="1099"/>
      <c r="Z340" s="1099"/>
      <c r="AA340" s="1099"/>
      <c r="AB340" s="1099"/>
      <c r="AC340" s="1128"/>
      <c r="AD340" s="1128"/>
      <c r="AE340" s="1128"/>
      <c r="AF340" s="1128"/>
      <c r="AG340" s="1128"/>
      <c r="AH340" s="1128"/>
      <c r="AI340" s="1128"/>
      <c r="AJ340" s="1128"/>
      <c r="AK340" s="1128"/>
      <c r="AL340" s="1128"/>
    </row>
    <row r="341" spans="1:38" s="1086" customFormat="1">
      <c r="A341" s="1096"/>
      <c r="B341" s="1096"/>
      <c r="C341" s="1096"/>
      <c r="D341" s="1096"/>
      <c r="E341" s="1128"/>
      <c r="F341" s="1128"/>
      <c r="G341" s="1128"/>
      <c r="H341" s="1099"/>
      <c r="I341" s="1099"/>
      <c r="J341" s="1107"/>
      <c r="K341" s="1099"/>
      <c r="L341" s="1099"/>
      <c r="M341" s="1099"/>
      <c r="N341" s="1099"/>
      <c r="O341" s="1099"/>
      <c r="P341" s="1099"/>
      <c r="Q341" s="1107"/>
      <c r="R341" s="1099"/>
      <c r="S341" s="1099"/>
      <c r="T341" s="1099"/>
      <c r="U341" s="1099"/>
      <c r="V341" s="1099"/>
      <c r="W341" s="1099"/>
      <c r="X341" s="1099"/>
      <c r="Y341" s="1099"/>
      <c r="Z341" s="1099"/>
      <c r="AA341" s="1099"/>
      <c r="AB341" s="1099"/>
      <c r="AC341" s="1128"/>
      <c r="AD341" s="1128"/>
      <c r="AE341" s="1128"/>
      <c r="AF341" s="1128"/>
      <c r="AG341" s="1128"/>
      <c r="AH341" s="1128"/>
      <c r="AI341" s="1128"/>
      <c r="AJ341" s="1128"/>
      <c r="AK341" s="1128"/>
      <c r="AL341" s="1128"/>
    </row>
    <row r="342" spans="1:38" s="1086" customFormat="1">
      <c r="A342" s="1096"/>
      <c r="B342" s="1096"/>
      <c r="C342" s="1096"/>
      <c r="D342" s="1096"/>
      <c r="E342" s="1128"/>
      <c r="F342" s="1128"/>
      <c r="G342" s="1128"/>
      <c r="H342" s="1099"/>
      <c r="I342" s="1099"/>
      <c r="J342" s="1107"/>
      <c r="K342" s="1099"/>
      <c r="L342" s="1099"/>
      <c r="M342" s="1099"/>
      <c r="N342" s="1099"/>
      <c r="O342" s="1099"/>
      <c r="P342" s="1099"/>
      <c r="Q342" s="1107"/>
      <c r="R342" s="1099"/>
      <c r="S342" s="1099"/>
      <c r="T342" s="1099"/>
      <c r="U342" s="1099"/>
      <c r="V342" s="1099"/>
      <c r="W342" s="1099"/>
      <c r="X342" s="1099"/>
      <c r="Y342" s="1099"/>
      <c r="Z342" s="1099"/>
      <c r="AA342" s="1099"/>
      <c r="AB342" s="1099"/>
      <c r="AC342" s="1128"/>
      <c r="AD342" s="1128"/>
      <c r="AE342" s="1128"/>
      <c r="AF342" s="1128"/>
      <c r="AG342" s="1128"/>
      <c r="AH342" s="1128"/>
      <c r="AI342" s="1128"/>
      <c r="AJ342" s="1128"/>
      <c r="AK342" s="1128"/>
      <c r="AL342" s="1128"/>
    </row>
    <row r="343" spans="1:38" s="1086" customFormat="1">
      <c r="A343" s="1096"/>
      <c r="B343" s="1096"/>
      <c r="C343" s="1096"/>
      <c r="D343" s="1096"/>
      <c r="E343" s="1128"/>
      <c r="F343" s="1128"/>
      <c r="G343" s="1128"/>
      <c r="H343" s="1099"/>
      <c r="I343" s="1099"/>
      <c r="J343" s="1107"/>
      <c r="K343" s="1099"/>
      <c r="L343" s="1099"/>
      <c r="M343" s="1099"/>
      <c r="N343" s="1099"/>
      <c r="O343" s="1099"/>
      <c r="P343" s="1099"/>
      <c r="Q343" s="1107"/>
      <c r="R343" s="1099"/>
      <c r="S343" s="1099"/>
      <c r="T343" s="1099"/>
      <c r="U343" s="1099"/>
      <c r="V343" s="1099"/>
      <c r="W343" s="1099"/>
      <c r="X343" s="1099"/>
      <c r="Y343" s="1099"/>
      <c r="Z343" s="1099"/>
      <c r="AA343" s="1099"/>
      <c r="AB343" s="1099"/>
      <c r="AC343" s="1128"/>
      <c r="AD343" s="1128"/>
      <c r="AE343" s="1128"/>
      <c r="AF343" s="1128"/>
      <c r="AG343" s="1128"/>
      <c r="AH343" s="1128"/>
      <c r="AI343" s="1128"/>
      <c r="AJ343" s="1128"/>
      <c r="AK343" s="1128"/>
      <c r="AL343" s="1128"/>
    </row>
    <row r="344" spans="1:38" s="1086" customFormat="1">
      <c r="A344" s="1096"/>
      <c r="B344" s="1096"/>
      <c r="C344" s="1096"/>
      <c r="D344" s="1096"/>
      <c r="E344" s="1128"/>
      <c r="F344" s="1128"/>
      <c r="G344" s="1128"/>
      <c r="H344" s="1099"/>
      <c r="I344" s="1099"/>
      <c r="J344" s="1107"/>
      <c r="K344" s="1099"/>
      <c r="L344" s="1099"/>
      <c r="M344" s="1099"/>
      <c r="N344" s="1099"/>
      <c r="O344" s="1099"/>
      <c r="P344" s="1099"/>
      <c r="Q344" s="1107"/>
      <c r="R344" s="1099"/>
      <c r="S344" s="1099"/>
      <c r="T344" s="1099"/>
      <c r="U344" s="1099"/>
      <c r="V344" s="1099"/>
      <c r="W344" s="1099"/>
      <c r="X344" s="1099"/>
      <c r="Y344" s="1099"/>
      <c r="Z344" s="1099"/>
      <c r="AA344" s="1099"/>
      <c r="AB344" s="1099"/>
      <c r="AC344" s="1128"/>
      <c r="AD344" s="1128"/>
      <c r="AE344" s="1128"/>
      <c r="AF344" s="1128"/>
      <c r="AG344" s="1128"/>
      <c r="AH344" s="1128"/>
      <c r="AI344" s="1128"/>
      <c r="AJ344" s="1128"/>
      <c r="AK344" s="1128"/>
      <c r="AL344" s="1128"/>
    </row>
    <row r="345" spans="1:38" s="1086" customFormat="1">
      <c r="A345" s="1096"/>
      <c r="B345" s="1096"/>
      <c r="C345" s="1096"/>
      <c r="D345" s="1096"/>
      <c r="E345" s="1128"/>
      <c r="F345" s="1128"/>
      <c r="G345" s="1128"/>
      <c r="H345" s="1099"/>
      <c r="I345" s="1099"/>
      <c r="J345" s="1107"/>
      <c r="K345" s="1099"/>
      <c r="L345" s="1099"/>
      <c r="M345" s="1099"/>
      <c r="N345" s="1099"/>
      <c r="O345" s="1099"/>
      <c r="P345" s="1099"/>
      <c r="Q345" s="1107"/>
      <c r="R345" s="1099"/>
      <c r="S345" s="1099"/>
      <c r="T345" s="1099"/>
      <c r="U345" s="1099"/>
      <c r="V345" s="1099"/>
      <c r="W345" s="1099"/>
      <c r="X345" s="1099"/>
      <c r="Y345" s="1099"/>
      <c r="Z345" s="1099"/>
      <c r="AA345" s="1099"/>
      <c r="AB345" s="1099"/>
      <c r="AC345" s="1128"/>
      <c r="AD345" s="1128"/>
      <c r="AE345" s="1128"/>
      <c r="AF345" s="1128"/>
      <c r="AG345" s="1128"/>
      <c r="AH345" s="1128"/>
      <c r="AI345" s="1128"/>
      <c r="AJ345" s="1128"/>
      <c r="AK345" s="1128"/>
      <c r="AL345" s="1128"/>
    </row>
    <row r="346" spans="1:38" s="1086" customFormat="1">
      <c r="A346" s="1096"/>
      <c r="B346" s="1096"/>
      <c r="C346" s="1096"/>
      <c r="D346" s="1096"/>
      <c r="E346" s="1128"/>
      <c r="F346" s="1128"/>
      <c r="G346" s="1128"/>
      <c r="H346" s="1099"/>
      <c r="I346" s="1099"/>
      <c r="J346" s="1107"/>
      <c r="K346" s="1099"/>
      <c r="L346" s="1099"/>
      <c r="M346" s="1099"/>
      <c r="N346" s="1099"/>
      <c r="O346" s="1099"/>
      <c r="P346" s="1099"/>
      <c r="Q346" s="1107"/>
      <c r="R346" s="1099"/>
      <c r="S346" s="1099"/>
      <c r="T346" s="1099"/>
      <c r="U346" s="1099"/>
      <c r="V346" s="1099"/>
      <c r="W346" s="1099"/>
      <c r="X346" s="1099"/>
      <c r="Y346" s="1099"/>
      <c r="Z346" s="1099"/>
      <c r="AA346" s="1099"/>
      <c r="AB346" s="1099"/>
      <c r="AC346" s="1128"/>
      <c r="AD346" s="1128"/>
      <c r="AE346" s="1128"/>
      <c r="AF346" s="1128"/>
      <c r="AG346" s="1128"/>
      <c r="AH346" s="1128"/>
      <c r="AI346" s="1128"/>
      <c r="AJ346" s="1128"/>
      <c r="AK346" s="1128"/>
      <c r="AL346" s="1128"/>
    </row>
    <row r="347" spans="1:38" s="1086" customFormat="1">
      <c r="A347" s="1096"/>
      <c r="B347" s="1096"/>
      <c r="C347" s="1096"/>
      <c r="D347" s="1096"/>
      <c r="E347" s="1128"/>
      <c r="F347" s="1128"/>
      <c r="G347" s="1128"/>
      <c r="H347" s="1099"/>
      <c r="I347" s="1099"/>
      <c r="J347" s="1107"/>
      <c r="K347" s="1099"/>
      <c r="L347" s="1099"/>
      <c r="M347" s="1099"/>
      <c r="N347" s="1099"/>
      <c r="O347" s="1099"/>
      <c r="P347" s="1099"/>
      <c r="Q347" s="1107"/>
      <c r="R347" s="1099"/>
      <c r="S347" s="1099"/>
      <c r="T347" s="1099"/>
      <c r="U347" s="1099"/>
      <c r="V347" s="1099"/>
      <c r="W347" s="1099"/>
      <c r="X347" s="1099"/>
      <c r="Y347" s="1099"/>
      <c r="Z347" s="1099"/>
      <c r="AA347" s="1099"/>
      <c r="AB347" s="1099"/>
      <c r="AC347" s="1128"/>
      <c r="AD347" s="1128"/>
      <c r="AE347" s="1128"/>
      <c r="AF347" s="1128"/>
      <c r="AG347" s="1128"/>
      <c r="AH347" s="1128"/>
      <c r="AI347" s="1128"/>
      <c r="AJ347" s="1128"/>
      <c r="AK347" s="1128"/>
      <c r="AL347" s="1128"/>
    </row>
    <row r="348" spans="1:38" s="1086" customFormat="1">
      <c r="A348" s="1096"/>
      <c r="B348" s="1096"/>
      <c r="C348" s="1096"/>
      <c r="D348" s="1096"/>
      <c r="E348" s="1128"/>
      <c r="F348" s="1128"/>
      <c r="G348" s="1128"/>
      <c r="H348" s="1099"/>
      <c r="I348" s="1099"/>
      <c r="J348" s="1107"/>
      <c r="K348" s="1099"/>
      <c r="L348" s="1099"/>
      <c r="M348" s="1099"/>
      <c r="N348" s="1099"/>
      <c r="O348" s="1099"/>
      <c r="P348" s="1099"/>
      <c r="Q348" s="1107"/>
      <c r="R348" s="1099"/>
      <c r="S348" s="1099"/>
      <c r="T348" s="1099"/>
      <c r="U348" s="1099"/>
      <c r="V348" s="1099"/>
      <c r="W348" s="1099"/>
      <c r="X348" s="1099"/>
      <c r="Y348" s="1099"/>
      <c r="Z348" s="1099"/>
      <c r="AA348" s="1099"/>
      <c r="AB348" s="1099"/>
      <c r="AC348" s="1128"/>
      <c r="AD348" s="1128"/>
      <c r="AE348" s="1128"/>
      <c r="AF348" s="1128"/>
      <c r="AG348" s="1128"/>
      <c r="AH348" s="1128"/>
      <c r="AI348" s="1128"/>
      <c r="AJ348" s="1128"/>
      <c r="AK348" s="1128"/>
      <c r="AL348" s="1128"/>
    </row>
    <row r="349" spans="1:38" s="1086" customFormat="1">
      <c r="A349" s="1096"/>
      <c r="B349" s="1096"/>
      <c r="C349" s="1096"/>
      <c r="D349" s="1096"/>
      <c r="E349" s="1128"/>
      <c r="F349" s="1128"/>
      <c r="G349" s="1128"/>
      <c r="H349" s="1099"/>
      <c r="I349" s="1099"/>
      <c r="J349" s="1107"/>
      <c r="K349" s="1099"/>
      <c r="L349" s="1099"/>
      <c r="M349" s="1099"/>
      <c r="N349" s="1099"/>
      <c r="O349" s="1099"/>
      <c r="P349" s="1099"/>
      <c r="Q349" s="1107"/>
      <c r="R349" s="1099"/>
      <c r="S349" s="1099"/>
      <c r="T349" s="1099"/>
      <c r="U349" s="1099"/>
      <c r="V349" s="1099"/>
      <c r="W349" s="1099"/>
      <c r="X349" s="1099"/>
      <c r="Y349" s="1099"/>
      <c r="Z349" s="1099"/>
      <c r="AA349" s="1099"/>
      <c r="AB349" s="1099"/>
      <c r="AC349" s="1128"/>
      <c r="AD349" s="1128"/>
      <c r="AE349" s="1128"/>
      <c r="AF349" s="1128"/>
      <c r="AG349" s="1128"/>
      <c r="AH349" s="1128"/>
      <c r="AI349" s="1128"/>
      <c r="AJ349" s="1128"/>
      <c r="AK349" s="1128"/>
      <c r="AL349" s="1128"/>
    </row>
    <row r="350" spans="1:38" s="1086" customFormat="1">
      <c r="A350" s="1096"/>
      <c r="B350" s="1096"/>
      <c r="C350" s="1096"/>
      <c r="D350" s="1096"/>
      <c r="E350" s="1128"/>
      <c r="F350" s="1128"/>
      <c r="G350" s="1128"/>
      <c r="H350" s="1099"/>
      <c r="I350" s="1099"/>
      <c r="J350" s="1107"/>
      <c r="K350" s="1099"/>
      <c r="L350" s="1099"/>
      <c r="M350" s="1099"/>
      <c r="N350" s="1099"/>
      <c r="O350" s="1099"/>
      <c r="P350" s="1099"/>
      <c r="Q350" s="1107"/>
      <c r="R350" s="1099"/>
      <c r="S350" s="1099"/>
      <c r="T350" s="1099"/>
      <c r="U350" s="1099"/>
      <c r="V350" s="1099"/>
      <c r="W350" s="1099"/>
      <c r="X350" s="1099"/>
      <c r="Y350" s="1099"/>
      <c r="Z350" s="1099"/>
      <c r="AA350" s="1099"/>
      <c r="AB350" s="1099"/>
      <c r="AC350" s="1128"/>
      <c r="AD350" s="1128"/>
      <c r="AE350" s="1128"/>
      <c r="AF350" s="1128"/>
      <c r="AG350" s="1128"/>
      <c r="AH350" s="1128"/>
      <c r="AI350" s="1128"/>
      <c r="AJ350" s="1128"/>
      <c r="AK350" s="1128"/>
      <c r="AL350" s="1128"/>
    </row>
    <row r="351" spans="1:38" s="1086" customFormat="1">
      <c r="A351" s="1096"/>
      <c r="B351" s="1096"/>
      <c r="C351" s="1096"/>
      <c r="D351" s="1096"/>
      <c r="E351" s="1128"/>
      <c r="F351" s="1128"/>
      <c r="G351" s="1128"/>
      <c r="H351" s="1099"/>
      <c r="I351" s="1099"/>
      <c r="J351" s="1107"/>
      <c r="K351" s="1099"/>
      <c r="L351" s="1099"/>
      <c r="M351" s="1099"/>
      <c r="N351" s="1099"/>
      <c r="O351" s="1099"/>
      <c r="P351" s="1099"/>
      <c r="Q351" s="1107"/>
      <c r="R351" s="1099"/>
      <c r="S351" s="1099"/>
      <c r="T351" s="1099"/>
      <c r="U351" s="1099"/>
      <c r="V351" s="1099"/>
      <c r="W351" s="1099"/>
      <c r="X351" s="1099"/>
      <c r="Y351" s="1099"/>
      <c r="Z351" s="1099"/>
      <c r="AA351" s="1099"/>
      <c r="AB351" s="1099"/>
      <c r="AC351" s="1128"/>
      <c r="AD351" s="1128"/>
      <c r="AE351" s="1128"/>
      <c r="AF351" s="1128"/>
      <c r="AG351" s="1128"/>
      <c r="AH351" s="1128"/>
      <c r="AI351" s="1128"/>
      <c r="AJ351" s="1128"/>
      <c r="AK351" s="1128"/>
      <c r="AL351" s="1128"/>
    </row>
    <row r="352" spans="1:38" s="1086" customFormat="1">
      <c r="A352" s="1096"/>
      <c r="B352" s="1096"/>
      <c r="C352" s="1096"/>
      <c r="D352" s="1096"/>
      <c r="E352" s="1128"/>
      <c r="F352" s="1128"/>
      <c r="G352" s="1128"/>
      <c r="H352" s="1099"/>
      <c r="I352" s="1099"/>
      <c r="J352" s="1107"/>
      <c r="K352" s="1099"/>
      <c r="L352" s="1099"/>
      <c r="M352" s="1099"/>
      <c r="N352" s="1099"/>
      <c r="O352" s="1099"/>
      <c r="P352" s="1099"/>
      <c r="Q352" s="1107"/>
      <c r="R352" s="1099"/>
      <c r="S352" s="1099"/>
      <c r="T352" s="1099"/>
      <c r="U352" s="1099"/>
      <c r="V352" s="1099"/>
      <c r="W352" s="1099"/>
      <c r="X352" s="1099"/>
      <c r="Y352" s="1099"/>
      <c r="Z352" s="1099"/>
      <c r="AA352" s="1099"/>
      <c r="AB352" s="1099"/>
      <c r="AC352" s="1128"/>
      <c r="AD352" s="1128"/>
      <c r="AE352" s="1128"/>
      <c r="AF352" s="1128"/>
      <c r="AG352" s="1128"/>
      <c r="AH352" s="1128"/>
      <c r="AI352" s="1128"/>
      <c r="AJ352" s="1128"/>
      <c r="AK352" s="1128"/>
      <c r="AL352" s="1128"/>
    </row>
    <row r="353" spans="1:38" s="1086" customFormat="1">
      <c r="A353" s="1096"/>
      <c r="B353" s="1096"/>
      <c r="C353" s="1096"/>
      <c r="D353" s="1096"/>
      <c r="E353" s="1128"/>
      <c r="F353" s="1128"/>
      <c r="G353" s="1128"/>
      <c r="H353" s="1099"/>
      <c r="I353" s="1099"/>
      <c r="J353" s="1107"/>
      <c r="K353" s="1099"/>
      <c r="L353" s="1099"/>
      <c r="M353" s="1099"/>
      <c r="N353" s="1099"/>
      <c r="O353" s="1099"/>
      <c r="P353" s="1099"/>
      <c r="Q353" s="1107"/>
      <c r="R353" s="1099"/>
      <c r="S353" s="1099"/>
      <c r="T353" s="1099"/>
      <c r="U353" s="1099"/>
      <c r="V353" s="1099"/>
      <c r="W353" s="1099"/>
      <c r="X353" s="1099"/>
      <c r="Y353" s="1099"/>
      <c r="Z353" s="1099"/>
      <c r="AA353" s="1099"/>
      <c r="AB353" s="1099"/>
      <c r="AC353" s="1128"/>
      <c r="AD353" s="1128"/>
      <c r="AE353" s="1128"/>
      <c r="AF353" s="1128"/>
      <c r="AG353" s="1128"/>
      <c r="AH353" s="1128"/>
      <c r="AI353" s="1128"/>
      <c r="AJ353" s="1128"/>
      <c r="AK353" s="1128"/>
      <c r="AL353" s="1128"/>
    </row>
    <row r="354" spans="1:38" s="1086" customFormat="1">
      <c r="A354" s="1096"/>
      <c r="B354" s="1096"/>
      <c r="C354" s="1096"/>
      <c r="D354" s="1096"/>
      <c r="E354" s="1128"/>
      <c r="F354" s="1128"/>
      <c r="G354" s="1128"/>
      <c r="H354" s="1099"/>
      <c r="I354" s="1099"/>
      <c r="J354" s="1107"/>
      <c r="K354" s="1099"/>
      <c r="L354" s="1099"/>
      <c r="M354" s="1099"/>
      <c r="N354" s="1099"/>
      <c r="O354" s="1099"/>
      <c r="P354" s="1099"/>
      <c r="Q354" s="1107"/>
      <c r="R354" s="1099"/>
      <c r="S354" s="1099"/>
      <c r="T354" s="1099"/>
      <c r="U354" s="1099"/>
      <c r="V354" s="1099"/>
      <c r="W354" s="1099"/>
      <c r="X354" s="1099"/>
      <c r="Y354" s="1099"/>
      <c r="Z354" s="1099"/>
      <c r="AA354" s="1099"/>
      <c r="AB354" s="1099"/>
      <c r="AC354" s="1128"/>
      <c r="AD354" s="1128"/>
      <c r="AE354" s="1128"/>
      <c r="AF354" s="1128"/>
      <c r="AG354" s="1128"/>
      <c r="AH354" s="1128"/>
      <c r="AI354" s="1128"/>
      <c r="AJ354" s="1128"/>
      <c r="AK354" s="1128"/>
      <c r="AL354" s="1128"/>
    </row>
    <row r="355" spans="1:38" s="1086" customFormat="1">
      <c r="A355" s="1096"/>
      <c r="B355" s="1096"/>
      <c r="C355" s="1096"/>
      <c r="D355" s="1096"/>
      <c r="E355" s="1128"/>
      <c r="F355" s="1128"/>
      <c r="G355" s="1128"/>
      <c r="H355" s="1099"/>
      <c r="I355" s="1099"/>
      <c r="J355" s="1107"/>
      <c r="K355" s="1099"/>
      <c r="L355" s="1099"/>
      <c r="M355" s="1099"/>
      <c r="N355" s="1099"/>
      <c r="O355" s="1099"/>
      <c r="P355" s="1099"/>
      <c r="Q355" s="1107"/>
      <c r="R355" s="1099"/>
      <c r="S355" s="1099"/>
      <c r="T355" s="1099"/>
      <c r="U355" s="1099"/>
      <c r="V355" s="1099"/>
      <c r="W355" s="1099"/>
      <c r="X355" s="1099"/>
      <c r="Y355" s="1099"/>
      <c r="Z355" s="1099"/>
      <c r="AA355" s="1099"/>
      <c r="AB355" s="1099"/>
      <c r="AC355" s="1128"/>
      <c r="AD355" s="1128"/>
      <c r="AE355" s="1128"/>
      <c r="AF355" s="1128"/>
      <c r="AG355" s="1128"/>
      <c r="AH355" s="1128"/>
      <c r="AI355" s="1128"/>
      <c r="AJ355" s="1128"/>
      <c r="AK355" s="1128"/>
      <c r="AL355" s="1128"/>
    </row>
    <row r="356" spans="1:38" s="1086" customFormat="1">
      <c r="A356" s="1096"/>
      <c r="B356" s="1096"/>
      <c r="C356" s="1096"/>
      <c r="D356" s="1096"/>
      <c r="E356" s="1128"/>
      <c r="F356" s="1128"/>
      <c r="G356" s="1128"/>
      <c r="H356" s="1099"/>
      <c r="I356" s="1099"/>
      <c r="J356" s="1107"/>
      <c r="K356" s="1099"/>
      <c r="L356" s="1099"/>
      <c r="M356" s="1099"/>
      <c r="N356" s="1099"/>
      <c r="O356" s="1099"/>
      <c r="P356" s="1099"/>
      <c r="Q356" s="1107"/>
      <c r="R356" s="1099"/>
      <c r="S356" s="1099"/>
      <c r="T356" s="1099"/>
      <c r="U356" s="1099"/>
      <c r="V356" s="1099"/>
      <c r="W356" s="1099"/>
      <c r="X356" s="1099"/>
      <c r="Y356" s="1099"/>
      <c r="Z356" s="1099"/>
      <c r="AA356" s="1099"/>
      <c r="AB356" s="1099"/>
      <c r="AC356" s="1128"/>
      <c r="AD356" s="1128"/>
      <c r="AE356" s="1128"/>
      <c r="AF356" s="1128"/>
      <c r="AG356" s="1128"/>
      <c r="AH356" s="1128"/>
      <c r="AI356" s="1128"/>
      <c r="AJ356" s="1128"/>
      <c r="AK356" s="1128"/>
      <c r="AL356" s="1128"/>
    </row>
    <row r="357" spans="1:38" s="1086" customFormat="1">
      <c r="A357" s="1096"/>
      <c r="B357" s="1096"/>
      <c r="C357" s="1096"/>
      <c r="D357" s="1096"/>
      <c r="E357" s="1128"/>
      <c r="F357" s="1128"/>
      <c r="G357" s="1128"/>
      <c r="H357" s="1099"/>
      <c r="I357" s="1099"/>
      <c r="J357" s="1107"/>
      <c r="K357" s="1099"/>
      <c r="L357" s="1099"/>
      <c r="M357" s="1099"/>
      <c r="N357" s="1099"/>
      <c r="O357" s="1099"/>
      <c r="P357" s="1099"/>
      <c r="Q357" s="1107"/>
      <c r="R357" s="1099"/>
      <c r="S357" s="1099"/>
      <c r="T357" s="1099"/>
      <c r="U357" s="1099"/>
      <c r="V357" s="1099"/>
      <c r="W357" s="1099"/>
      <c r="X357" s="1099"/>
      <c r="Y357" s="1099"/>
      <c r="Z357" s="1099"/>
      <c r="AA357" s="1099"/>
      <c r="AB357" s="1099"/>
      <c r="AC357" s="1128"/>
      <c r="AD357" s="1128"/>
      <c r="AE357" s="1128"/>
      <c r="AF357" s="1128"/>
      <c r="AG357" s="1128"/>
      <c r="AH357" s="1128"/>
      <c r="AI357" s="1128"/>
      <c r="AJ357" s="1128"/>
      <c r="AK357" s="1128"/>
      <c r="AL357" s="1128"/>
    </row>
    <row r="358" spans="1:38" s="1086" customFormat="1">
      <c r="A358" s="1096"/>
      <c r="B358" s="1096"/>
      <c r="C358" s="1096"/>
      <c r="D358" s="1096"/>
      <c r="E358" s="1128"/>
      <c r="F358" s="1128"/>
      <c r="G358" s="1128"/>
      <c r="H358" s="1099"/>
      <c r="I358" s="1099"/>
      <c r="J358" s="1107"/>
      <c r="K358" s="1099"/>
      <c r="L358" s="1099"/>
      <c r="M358" s="1099"/>
      <c r="N358" s="1099"/>
      <c r="O358" s="1099"/>
      <c r="P358" s="1099"/>
      <c r="Q358" s="1107"/>
      <c r="R358" s="1099"/>
      <c r="S358" s="1099"/>
      <c r="T358" s="1099"/>
      <c r="U358" s="1099"/>
      <c r="V358" s="1099"/>
      <c r="W358" s="1099"/>
      <c r="X358" s="1099"/>
      <c r="Y358" s="1099"/>
      <c r="Z358" s="1099"/>
      <c r="AA358" s="1099"/>
      <c r="AB358" s="1099"/>
      <c r="AC358" s="1128"/>
      <c r="AD358" s="1128"/>
      <c r="AE358" s="1128"/>
      <c r="AF358" s="1128"/>
      <c r="AG358" s="1128"/>
      <c r="AH358" s="1128"/>
      <c r="AI358" s="1128"/>
      <c r="AJ358" s="1128"/>
      <c r="AK358" s="1128"/>
      <c r="AL358" s="1128"/>
    </row>
    <row r="359" spans="1:38" s="1086" customFormat="1">
      <c r="A359" s="1096"/>
      <c r="B359" s="1096"/>
      <c r="C359" s="1096"/>
      <c r="D359" s="1096"/>
      <c r="E359" s="1128"/>
      <c r="F359" s="1128"/>
      <c r="G359" s="1128"/>
      <c r="H359" s="1099"/>
      <c r="I359" s="1099"/>
      <c r="J359" s="1107"/>
      <c r="K359" s="1099"/>
      <c r="L359" s="1099"/>
      <c r="M359" s="1099"/>
      <c r="N359" s="1099"/>
      <c r="O359" s="1099"/>
      <c r="P359" s="1099"/>
      <c r="Q359" s="1107"/>
      <c r="R359" s="1099"/>
      <c r="S359" s="1099"/>
      <c r="T359" s="1099"/>
      <c r="U359" s="1099"/>
      <c r="V359" s="1099"/>
      <c r="W359" s="1099"/>
      <c r="X359" s="1099"/>
      <c r="Y359" s="1099"/>
      <c r="Z359" s="1099"/>
      <c r="AA359" s="1099"/>
      <c r="AB359" s="1099"/>
      <c r="AC359" s="1128"/>
      <c r="AD359" s="1128"/>
      <c r="AE359" s="1128"/>
      <c r="AF359" s="1128"/>
      <c r="AG359" s="1128"/>
      <c r="AH359" s="1128"/>
      <c r="AI359" s="1128"/>
      <c r="AJ359" s="1128"/>
      <c r="AK359" s="1128"/>
      <c r="AL359" s="1128"/>
    </row>
    <row r="360" spans="1:38" s="1086" customFormat="1">
      <c r="A360" s="1096"/>
      <c r="B360" s="1096"/>
      <c r="C360" s="1096"/>
      <c r="D360" s="1096"/>
      <c r="E360" s="1128"/>
      <c r="F360" s="1128"/>
      <c r="G360" s="1128"/>
      <c r="H360" s="1099"/>
      <c r="I360" s="1099"/>
      <c r="J360" s="1107"/>
      <c r="K360" s="1099"/>
      <c r="L360" s="1099"/>
      <c r="M360" s="1099"/>
      <c r="N360" s="1099"/>
      <c r="O360" s="1099"/>
      <c r="P360" s="1099"/>
      <c r="Q360" s="1107"/>
      <c r="R360" s="1099"/>
      <c r="S360" s="1099"/>
      <c r="T360" s="1099"/>
      <c r="U360" s="1099"/>
      <c r="V360" s="1099"/>
      <c r="W360" s="1099"/>
      <c r="X360" s="1099"/>
      <c r="Y360" s="1099"/>
      <c r="Z360" s="1099"/>
      <c r="AA360" s="1099"/>
      <c r="AB360" s="1099"/>
      <c r="AC360" s="1128"/>
      <c r="AD360" s="1128"/>
      <c r="AE360" s="1128"/>
      <c r="AF360" s="1128"/>
      <c r="AG360" s="1128"/>
      <c r="AH360" s="1128"/>
      <c r="AI360" s="1128"/>
      <c r="AJ360" s="1128"/>
      <c r="AK360" s="1128"/>
      <c r="AL360" s="1128"/>
    </row>
    <row r="361" spans="1:38" s="1086" customFormat="1">
      <c r="A361" s="1096"/>
      <c r="B361" s="1096"/>
      <c r="C361" s="1096"/>
      <c r="D361" s="1096"/>
      <c r="E361" s="1128"/>
      <c r="F361" s="1128"/>
      <c r="G361" s="1128"/>
      <c r="H361" s="1099"/>
      <c r="I361" s="1099"/>
      <c r="J361" s="1107"/>
      <c r="K361" s="1099"/>
      <c r="L361" s="1099"/>
      <c r="M361" s="1099"/>
      <c r="N361" s="1099"/>
      <c r="O361" s="1099"/>
      <c r="P361" s="1099"/>
      <c r="Q361" s="1107"/>
      <c r="R361" s="1099"/>
      <c r="S361" s="1099"/>
      <c r="T361" s="1099"/>
      <c r="U361" s="1099"/>
      <c r="V361" s="1099"/>
      <c r="W361" s="1099"/>
      <c r="X361" s="1099"/>
      <c r="Y361" s="1099"/>
      <c r="Z361" s="1099"/>
      <c r="AA361" s="1099"/>
      <c r="AB361" s="1099"/>
      <c r="AC361" s="1128"/>
      <c r="AD361" s="1128"/>
      <c r="AE361" s="1128"/>
      <c r="AF361" s="1128"/>
      <c r="AG361" s="1128"/>
      <c r="AH361" s="1128"/>
      <c r="AI361" s="1128"/>
      <c r="AJ361" s="1128"/>
      <c r="AK361" s="1128"/>
      <c r="AL361" s="1128"/>
    </row>
    <row r="362" spans="1:38" s="1086" customFormat="1">
      <c r="A362" s="1096"/>
      <c r="B362" s="1096"/>
      <c r="C362" s="1096"/>
      <c r="D362" s="1096"/>
      <c r="E362" s="1128"/>
      <c r="F362" s="1128"/>
      <c r="G362" s="1128"/>
      <c r="H362" s="1099"/>
      <c r="I362" s="1099"/>
      <c r="J362" s="1107"/>
      <c r="K362" s="1099"/>
      <c r="L362" s="1099"/>
      <c r="M362" s="1099"/>
      <c r="N362" s="1099"/>
      <c r="O362" s="1099"/>
      <c r="P362" s="1099"/>
      <c r="Q362" s="1107"/>
      <c r="R362" s="1099"/>
      <c r="S362" s="1099"/>
      <c r="T362" s="1099"/>
      <c r="U362" s="1099"/>
      <c r="V362" s="1099"/>
      <c r="W362" s="1099"/>
      <c r="X362" s="1099"/>
      <c r="Y362" s="1099"/>
      <c r="Z362" s="1099"/>
      <c r="AA362" s="1099"/>
      <c r="AB362" s="1099"/>
      <c r="AC362" s="1128"/>
      <c r="AD362" s="1128"/>
      <c r="AE362" s="1128"/>
      <c r="AF362" s="1128"/>
      <c r="AG362" s="1128"/>
      <c r="AH362" s="1128"/>
      <c r="AI362" s="1128"/>
      <c r="AJ362" s="1128"/>
      <c r="AK362" s="1128"/>
      <c r="AL362" s="1128"/>
    </row>
    <row r="363" spans="1:38" s="1086" customFormat="1">
      <c r="A363" s="1096"/>
      <c r="B363" s="1096"/>
      <c r="C363" s="1096"/>
      <c r="D363" s="1096"/>
      <c r="E363" s="1128"/>
      <c r="F363" s="1128"/>
      <c r="G363" s="1128"/>
      <c r="H363" s="1099"/>
      <c r="I363" s="1099"/>
      <c r="J363" s="1107"/>
      <c r="K363" s="1099"/>
      <c r="L363" s="1099"/>
      <c r="M363" s="1099"/>
      <c r="N363" s="1099"/>
      <c r="O363" s="1099"/>
      <c r="P363" s="1099"/>
      <c r="Q363" s="1107"/>
      <c r="R363" s="1099"/>
      <c r="S363" s="1099"/>
      <c r="T363" s="1099"/>
      <c r="U363" s="1099"/>
      <c r="V363" s="1099"/>
      <c r="W363" s="1099"/>
      <c r="X363" s="1099"/>
      <c r="Y363" s="1099"/>
      <c r="Z363" s="1099"/>
      <c r="AA363" s="1099"/>
      <c r="AB363" s="1099"/>
      <c r="AC363" s="1128"/>
      <c r="AD363" s="1128"/>
      <c r="AE363" s="1128"/>
      <c r="AF363" s="1128"/>
      <c r="AG363" s="1128"/>
      <c r="AH363" s="1128"/>
      <c r="AI363" s="1128"/>
      <c r="AJ363" s="1128"/>
      <c r="AK363" s="1128"/>
      <c r="AL363" s="1128"/>
    </row>
    <row r="364" spans="1:38" s="1086" customFormat="1">
      <c r="A364" s="1096"/>
      <c r="B364" s="1096"/>
      <c r="C364" s="1096"/>
      <c r="D364" s="1096"/>
      <c r="E364" s="1128"/>
      <c r="F364" s="1128"/>
      <c r="G364" s="1128"/>
      <c r="H364" s="1099"/>
      <c r="I364" s="1099"/>
      <c r="J364" s="1107"/>
      <c r="K364" s="1099"/>
      <c r="L364" s="1099"/>
      <c r="M364" s="1099"/>
      <c r="N364" s="1099"/>
      <c r="O364" s="1099"/>
      <c r="P364" s="1099"/>
      <c r="Q364" s="1107"/>
      <c r="R364" s="1099"/>
      <c r="S364" s="1099"/>
      <c r="T364" s="1099"/>
      <c r="U364" s="1099"/>
      <c r="V364" s="1099"/>
      <c r="W364" s="1099"/>
      <c r="X364" s="1099"/>
      <c r="Y364" s="1099"/>
      <c r="Z364" s="1099"/>
      <c r="AA364" s="1099"/>
      <c r="AB364" s="1099"/>
      <c r="AC364" s="1128"/>
      <c r="AD364" s="1128"/>
      <c r="AE364" s="1128"/>
      <c r="AF364" s="1128"/>
      <c r="AG364" s="1128"/>
      <c r="AH364" s="1128"/>
      <c r="AI364" s="1128"/>
      <c r="AJ364" s="1128"/>
      <c r="AK364" s="1128"/>
      <c r="AL364" s="1128"/>
    </row>
    <row r="365" spans="1:38" s="1086" customFormat="1">
      <c r="A365" s="1096"/>
      <c r="B365" s="1096"/>
      <c r="C365" s="1096"/>
      <c r="D365" s="1096"/>
      <c r="E365" s="1128"/>
      <c r="F365" s="1128"/>
      <c r="G365" s="1128"/>
      <c r="H365" s="1099"/>
      <c r="I365" s="1099"/>
      <c r="J365" s="1107"/>
      <c r="K365" s="1099"/>
      <c r="L365" s="1099"/>
      <c r="M365" s="1099"/>
      <c r="N365" s="1099"/>
      <c r="O365" s="1099"/>
      <c r="P365" s="1099"/>
      <c r="Q365" s="1107"/>
      <c r="R365" s="1099"/>
      <c r="S365" s="1099"/>
      <c r="T365" s="1099"/>
      <c r="U365" s="1099"/>
      <c r="V365" s="1099"/>
      <c r="W365" s="1099"/>
      <c r="X365" s="1099"/>
      <c r="Y365" s="1099"/>
      <c r="Z365" s="1099"/>
      <c r="AA365" s="1099"/>
      <c r="AB365" s="1099"/>
      <c r="AC365" s="1128"/>
      <c r="AD365" s="1128"/>
      <c r="AE365" s="1128"/>
      <c r="AF365" s="1128"/>
      <c r="AG365" s="1128"/>
      <c r="AH365" s="1128"/>
      <c r="AI365" s="1128"/>
      <c r="AJ365" s="1128"/>
      <c r="AK365" s="1128"/>
      <c r="AL365" s="1128"/>
    </row>
    <row r="366" spans="1:38" s="1086" customFormat="1">
      <c r="A366" s="1096"/>
      <c r="B366" s="1096"/>
      <c r="C366" s="1096"/>
      <c r="D366" s="1096"/>
      <c r="E366" s="1128"/>
      <c r="F366" s="1128"/>
      <c r="G366" s="1128"/>
      <c r="H366" s="1099"/>
      <c r="I366" s="1099"/>
      <c r="J366" s="1107"/>
      <c r="K366" s="1099"/>
      <c r="L366" s="1099"/>
      <c r="M366" s="1099"/>
      <c r="N366" s="1099"/>
      <c r="O366" s="1099"/>
      <c r="P366" s="1099"/>
      <c r="Q366" s="1107"/>
      <c r="R366" s="1099"/>
      <c r="S366" s="1099"/>
      <c r="T366" s="1099"/>
      <c r="U366" s="1099"/>
      <c r="V366" s="1099"/>
      <c r="W366" s="1099"/>
      <c r="X366" s="1099"/>
      <c r="Y366" s="1099"/>
      <c r="Z366" s="1099"/>
      <c r="AA366" s="1099"/>
      <c r="AB366" s="1099"/>
      <c r="AC366" s="1128"/>
      <c r="AD366" s="1128"/>
      <c r="AE366" s="1128"/>
      <c r="AF366" s="1128"/>
      <c r="AG366" s="1128"/>
      <c r="AH366" s="1128"/>
      <c r="AI366" s="1128"/>
      <c r="AJ366" s="1128"/>
      <c r="AK366" s="1128"/>
      <c r="AL366" s="1128"/>
    </row>
    <row r="367" spans="1:38" s="1086" customFormat="1">
      <c r="A367" s="1096"/>
      <c r="B367" s="1096"/>
      <c r="C367" s="1096"/>
      <c r="D367" s="1096"/>
      <c r="E367" s="1128"/>
      <c r="F367" s="1128"/>
      <c r="G367" s="1128"/>
      <c r="H367" s="1099"/>
      <c r="I367" s="1099"/>
      <c r="J367" s="1107"/>
      <c r="K367" s="1099"/>
      <c r="L367" s="1099"/>
      <c r="M367" s="1099"/>
      <c r="N367" s="1099"/>
      <c r="O367" s="1099"/>
      <c r="P367" s="1099"/>
      <c r="Q367" s="1107"/>
      <c r="R367" s="1099"/>
      <c r="S367" s="1099"/>
      <c r="T367" s="1099"/>
      <c r="U367" s="1099"/>
      <c r="V367" s="1099"/>
      <c r="W367" s="1099"/>
      <c r="X367" s="1099"/>
      <c r="Y367" s="1099"/>
      <c r="Z367" s="1099"/>
      <c r="AA367" s="1099"/>
      <c r="AB367" s="1099"/>
      <c r="AC367" s="1128"/>
      <c r="AD367" s="1128"/>
      <c r="AE367" s="1128"/>
      <c r="AF367" s="1128"/>
      <c r="AG367" s="1128"/>
      <c r="AH367" s="1128"/>
      <c r="AI367" s="1128"/>
      <c r="AJ367" s="1128"/>
      <c r="AK367" s="1128"/>
      <c r="AL367" s="1128"/>
    </row>
    <row r="368" spans="1:38" s="1086" customFormat="1">
      <c r="A368" s="1096"/>
      <c r="B368" s="1096"/>
      <c r="C368" s="1096"/>
      <c r="D368" s="1096"/>
      <c r="E368" s="1128"/>
      <c r="F368" s="1128"/>
      <c r="G368" s="1128"/>
      <c r="H368" s="1099"/>
      <c r="I368" s="1099"/>
      <c r="J368" s="1107"/>
      <c r="K368" s="1099"/>
      <c r="L368" s="1099"/>
      <c r="M368" s="1099"/>
      <c r="N368" s="1099"/>
      <c r="O368" s="1099"/>
      <c r="P368" s="1099"/>
      <c r="Q368" s="1107"/>
      <c r="R368" s="1099"/>
      <c r="S368" s="1099"/>
      <c r="T368" s="1099"/>
      <c r="U368" s="1099"/>
      <c r="V368" s="1099"/>
      <c r="W368" s="1099"/>
      <c r="X368" s="1099"/>
      <c r="Y368" s="1099"/>
      <c r="Z368" s="1099"/>
      <c r="AA368" s="1099"/>
      <c r="AB368" s="1099"/>
      <c r="AC368" s="1128"/>
      <c r="AD368" s="1128"/>
      <c r="AE368" s="1128"/>
      <c r="AF368" s="1128"/>
      <c r="AG368" s="1128"/>
      <c r="AH368" s="1128"/>
      <c r="AI368" s="1128"/>
      <c r="AJ368" s="1128"/>
      <c r="AK368" s="1128"/>
      <c r="AL368" s="1128"/>
    </row>
    <row r="369" spans="1:38" s="1086" customFormat="1">
      <c r="A369" s="1096"/>
      <c r="B369" s="1096"/>
      <c r="C369" s="1096"/>
      <c r="D369" s="1096"/>
      <c r="E369" s="1128"/>
      <c r="F369" s="1128"/>
      <c r="G369" s="1128"/>
      <c r="H369" s="1099"/>
      <c r="I369" s="1099"/>
      <c r="J369" s="1107"/>
      <c r="K369" s="1099"/>
      <c r="L369" s="1099"/>
      <c r="M369" s="1099"/>
      <c r="N369" s="1099"/>
      <c r="O369" s="1099"/>
      <c r="P369" s="1099"/>
      <c r="Q369" s="1107"/>
      <c r="R369" s="1099"/>
      <c r="S369" s="1099"/>
      <c r="T369" s="1099"/>
      <c r="U369" s="1099"/>
      <c r="V369" s="1099"/>
      <c r="W369" s="1099"/>
      <c r="X369" s="1099"/>
      <c r="Y369" s="1099"/>
      <c r="Z369" s="1099"/>
      <c r="AA369" s="1099"/>
      <c r="AB369" s="1099"/>
      <c r="AC369" s="1128"/>
      <c r="AD369" s="1128"/>
      <c r="AE369" s="1128"/>
      <c r="AF369" s="1128"/>
      <c r="AG369" s="1128"/>
      <c r="AH369" s="1128"/>
      <c r="AI369" s="1128"/>
      <c r="AJ369" s="1128"/>
      <c r="AK369" s="1128"/>
      <c r="AL369" s="1128"/>
    </row>
    <row r="370" spans="1:38" s="1086" customFormat="1">
      <c r="A370" s="1096"/>
      <c r="B370" s="1096"/>
      <c r="C370" s="1096"/>
      <c r="D370" s="1096"/>
      <c r="E370" s="1128"/>
      <c r="F370" s="1128"/>
      <c r="G370" s="1128"/>
      <c r="H370" s="1099"/>
      <c r="I370" s="1099"/>
      <c r="J370" s="1107"/>
      <c r="K370" s="1099"/>
      <c r="L370" s="1099"/>
      <c r="M370" s="1099"/>
      <c r="N370" s="1099"/>
      <c r="O370" s="1099"/>
      <c r="P370" s="1099"/>
      <c r="Q370" s="1107"/>
      <c r="R370" s="1099"/>
      <c r="S370" s="1099"/>
      <c r="T370" s="1099"/>
      <c r="U370" s="1099"/>
      <c r="V370" s="1099"/>
      <c r="W370" s="1099"/>
      <c r="X370" s="1099"/>
      <c r="Y370" s="1099"/>
      <c r="Z370" s="1099"/>
      <c r="AA370" s="1099"/>
      <c r="AB370" s="1099"/>
      <c r="AC370" s="1128"/>
      <c r="AD370" s="1128"/>
      <c r="AE370" s="1128"/>
      <c r="AF370" s="1128"/>
      <c r="AG370" s="1128"/>
      <c r="AH370" s="1128"/>
      <c r="AI370" s="1128"/>
      <c r="AJ370" s="1128"/>
      <c r="AK370" s="1128"/>
      <c r="AL370" s="1128"/>
    </row>
    <row r="371" spans="1:38" s="1086" customFormat="1">
      <c r="A371" s="1096"/>
      <c r="B371" s="1096"/>
      <c r="C371" s="1096"/>
      <c r="D371" s="1096"/>
      <c r="E371" s="1128"/>
      <c r="F371" s="1128"/>
      <c r="G371" s="1128"/>
      <c r="H371" s="1099"/>
      <c r="I371" s="1099"/>
      <c r="J371" s="1107"/>
      <c r="K371" s="1099"/>
      <c r="L371" s="1099"/>
      <c r="M371" s="1099"/>
      <c r="N371" s="1099"/>
      <c r="O371" s="1099"/>
      <c r="P371" s="1099"/>
      <c r="Q371" s="1107"/>
      <c r="R371" s="1099"/>
      <c r="S371" s="1099"/>
      <c r="T371" s="1099"/>
      <c r="U371" s="1099"/>
      <c r="V371" s="1099"/>
      <c r="W371" s="1099"/>
      <c r="X371" s="1099"/>
      <c r="Y371" s="1099"/>
      <c r="Z371" s="1099"/>
      <c r="AA371" s="1099"/>
      <c r="AB371" s="1099"/>
      <c r="AC371" s="1128"/>
      <c r="AD371" s="1128"/>
      <c r="AE371" s="1128"/>
      <c r="AF371" s="1128"/>
      <c r="AG371" s="1128"/>
      <c r="AH371" s="1128"/>
      <c r="AI371" s="1128"/>
      <c r="AJ371" s="1128"/>
      <c r="AK371" s="1128"/>
      <c r="AL371" s="1128"/>
    </row>
    <row r="372" spans="1:38" s="1086" customFormat="1">
      <c r="A372" s="1096"/>
      <c r="B372" s="1096"/>
      <c r="C372" s="1096"/>
      <c r="D372" s="1096"/>
      <c r="E372" s="1128"/>
      <c r="F372" s="1128"/>
      <c r="G372" s="1128"/>
      <c r="H372" s="1099"/>
      <c r="I372" s="1099"/>
      <c r="J372" s="1107"/>
      <c r="K372" s="1099"/>
      <c r="L372" s="1099"/>
      <c r="M372" s="1099"/>
      <c r="N372" s="1099"/>
      <c r="O372" s="1099"/>
      <c r="P372" s="1099"/>
      <c r="Q372" s="1107"/>
      <c r="R372" s="1099"/>
      <c r="S372" s="1099"/>
      <c r="T372" s="1099"/>
      <c r="U372" s="1099"/>
      <c r="V372" s="1099"/>
      <c r="W372" s="1099"/>
      <c r="X372" s="1099"/>
      <c r="Y372" s="1099"/>
      <c r="Z372" s="1099"/>
      <c r="AA372" s="1099"/>
      <c r="AB372" s="1099"/>
      <c r="AC372" s="1128"/>
      <c r="AD372" s="1128"/>
      <c r="AE372" s="1128"/>
      <c r="AF372" s="1128"/>
      <c r="AG372" s="1128"/>
      <c r="AH372" s="1128"/>
      <c r="AI372" s="1128"/>
      <c r="AJ372" s="1128"/>
      <c r="AK372" s="1128"/>
      <c r="AL372" s="1128"/>
    </row>
    <row r="373" spans="1:38" s="1086" customFormat="1">
      <c r="A373" s="1096"/>
      <c r="B373" s="1096"/>
      <c r="C373" s="1096"/>
      <c r="D373" s="1096"/>
      <c r="E373" s="1128"/>
      <c r="F373" s="1128"/>
      <c r="G373" s="1128"/>
      <c r="H373" s="1099"/>
      <c r="I373" s="1099"/>
      <c r="J373" s="1107"/>
      <c r="K373" s="1099"/>
      <c r="L373" s="1099"/>
      <c r="M373" s="1099"/>
      <c r="N373" s="1099"/>
      <c r="O373" s="1099"/>
      <c r="P373" s="1099"/>
      <c r="Q373" s="1107"/>
      <c r="R373" s="1099"/>
      <c r="S373" s="1099"/>
      <c r="T373" s="1099"/>
      <c r="U373" s="1099"/>
      <c r="V373" s="1099"/>
      <c r="W373" s="1099"/>
      <c r="X373" s="1099"/>
      <c r="Y373" s="1099"/>
      <c r="Z373" s="1099"/>
      <c r="AA373" s="1099"/>
      <c r="AB373" s="1099"/>
      <c r="AC373" s="1128"/>
      <c r="AD373" s="1128"/>
      <c r="AE373" s="1128"/>
      <c r="AF373" s="1128"/>
      <c r="AG373" s="1128"/>
      <c r="AH373" s="1128"/>
      <c r="AI373" s="1128"/>
      <c r="AJ373" s="1128"/>
      <c r="AK373" s="1128"/>
      <c r="AL373" s="1128"/>
    </row>
    <row r="374" spans="1:38" s="1086" customFormat="1">
      <c r="A374" s="1096"/>
      <c r="B374" s="1096"/>
      <c r="C374" s="1096"/>
      <c r="D374" s="1096"/>
      <c r="E374" s="1128"/>
      <c r="F374" s="1128"/>
      <c r="G374" s="1128"/>
      <c r="H374" s="1099"/>
      <c r="I374" s="1099"/>
      <c r="J374" s="1107"/>
      <c r="K374" s="1099"/>
      <c r="L374" s="1099"/>
      <c r="M374" s="1099"/>
      <c r="N374" s="1099"/>
      <c r="O374" s="1099"/>
      <c r="P374" s="1099"/>
      <c r="Q374" s="1107"/>
      <c r="R374" s="1099"/>
      <c r="S374" s="1099"/>
      <c r="T374" s="1099"/>
      <c r="U374" s="1099"/>
      <c r="V374" s="1099"/>
      <c r="W374" s="1099"/>
      <c r="X374" s="1099"/>
      <c r="Y374" s="1099"/>
      <c r="Z374" s="1099"/>
      <c r="AA374" s="1099"/>
      <c r="AB374" s="1099"/>
      <c r="AC374" s="1128"/>
      <c r="AD374" s="1128"/>
      <c r="AE374" s="1128"/>
      <c r="AF374" s="1128"/>
      <c r="AG374" s="1128"/>
      <c r="AH374" s="1128"/>
      <c r="AI374" s="1128"/>
      <c r="AJ374" s="1128"/>
      <c r="AK374" s="1128"/>
      <c r="AL374" s="1128"/>
    </row>
    <row r="375" spans="1:38" s="1086" customFormat="1">
      <c r="A375" s="1096"/>
      <c r="B375" s="1096"/>
      <c r="C375" s="1096"/>
      <c r="D375" s="1096"/>
      <c r="E375" s="1128"/>
      <c r="F375" s="1128"/>
      <c r="G375" s="1128"/>
      <c r="H375" s="1099"/>
      <c r="I375" s="1099"/>
      <c r="J375" s="1107"/>
      <c r="K375" s="1099"/>
      <c r="L375" s="1099"/>
      <c r="M375" s="1099"/>
      <c r="N375" s="1099"/>
      <c r="O375" s="1099"/>
      <c r="P375" s="1099"/>
      <c r="Q375" s="1107"/>
      <c r="R375" s="1099"/>
      <c r="S375" s="1099"/>
      <c r="T375" s="1099"/>
      <c r="U375" s="1099"/>
      <c r="V375" s="1099"/>
      <c r="W375" s="1099"/>
      <c r="X375" s="1099"/>
      <c r="Y375" s="1099"/>
      <c r="Z375" s="1099"/>
      <c r="AA375" s="1099"/>
      <c r="AB375" s="1099"/>
      <c r="AC375" s="1128"/>
      <c r="AD375" s="1128"/>
      <c r="AE375" s="1128"/>
      <c r="AF375" s="1128"/>
      <c r="AG375" s="1128"/>
      <c r="AH375" s="1128"/>
      <c r="AI375" s="1128"/>
      <c r="AJ375" s="1128"/>
      <c r="AK375" s="1128"/>
      <c r="AL375" s="1128"/>
    </row>
    <row r="376" spans="1:38" s="1086" customFormat="1">
      <c r="A376" s="1096"/>
      <c r="B376" s="1096"/>
      <c r="C376" s="1096"/>
      <c r="D376" s="1096"/>
      <c r="E376" s="1128"/>
      <c r="F376" s="1128"/>
      <c r="G376" s="1128"/>
      <c r="H376" s="1099"/>
      <c r="I376" s="1099"/>
      <c r="J376" s="1107"/>
      <c r="K376" s="1099"/>
      <c r="L376" s="1099"/>
      <c r="M376" s="1099"/>
      <c r="N376" s="1099"/>
      <c r="O376" s="1099"/>
      <c r="P376" s="1099"/>
      <c r="Q376" s="1107"/>
      <c r="R376" s="1099"/>
      <c r="S376" s="1099"/>
      <c r="T376" s="1099"/>
      <c r="U376" s="1099"/>
      <c r="V376" s="1099"/>
      <c r="W376" s="1099"/>
      <c r="X376" s="1099"/>
      <c r="Y376" s="1099"/>
      <c r="Z376" s="1099"/>
      <c r="AA376" s="1099"/>
      <c r="AB376" s="1099"/>
      <c r="AC376" s="1128"/>
      <c r="AD376" s="1128"/>
      <c r="AE376" s="1128"/>
      <c r="AF376" s="1128"/>
      <c r="AG376" s="1128"/>
      <c r="AH376" s="1128"/>
      <c r="AI376" s="1128"/>
      <c r="AJ376" s="1128"/>
      <c r="AK376" s="1128"/>
      <c r="AL376" s="1128"/>
    </row>
    <row r="377" spans="1:38" s="1086" customFormat="1">
      <c r="A377" s="1096"/>
      <c r="B377" s="1096"/>
      <c r="C377" s="1096"/>
      <c r="D377" s="1096"/>
      <c r="E377" s="1128"/>
      <c r="F377" s="1128"/>
      <c r="G377" s="1128"/>
      <c r="H377" s="1099"/>
      <c r="I377" s="1099"/>
      <c r="J377" s="1107"/>
      <c r="K377" s="1099"/>
      <c r="L377" s="1099"/>
      <c r="M377" s="1099"/>
      <c r="N377" s="1099"/>
      <c r="O377" s="1099"/>
      <c r="P377" s="1099"/>
      <c r="Q377" s="1107"/>
      <c r="R377" s="1099"/>
      <c r="S377" s="1099"/>
      <c r="T377" s="1099"/>
      <c r="U377" s="1099"/>
      <c r="V377" s="1099"/>
      <c r="W377" s="1099"/>
      <c r="X377" s="1099"/>
      <c r="Y377" s="1099"/>
      <c r="Z377" s="1099"/>
      <c r="AA377" s="1099"/>
      <c r="AB377" s="1099"/>
      <c r="AC377" s="1128"/>
      <c r="AD377" s="1128"/>
      <c r="AE377" s="1128"/>
      <c r="AF377" s="1128"/>
      <c r="AG377" s="1128"/>
      <c r="AH377" s="1128"/>
      <c r="AI377" s="1128"/>
      <c r="AJ377" s="1128"/>
      <c r="AK377" s="1128"/>
      <c r="AL377" s="1128"/>
    </row>
    <row r="378" spans="1:38" s="1086" customFormat="1">
      <c r="A378" s="1096"/>
      <c r="B378" s="1096"/>
      <c r="C378" s="1096"/>
      <c r="D378" s="1096"/>
      <c r="E378" s="1128"/>
      <c r="F378" s="1128"/>
      <c r="G378" s="1128"/>
      <c r="H378" s="1099"/>
      <c r="I378" s="1099"/>
      <c r="J378" s="1107"/>
      <c r="K378" s="1099"/>
      <c r="L378" s="1099"/>
      <c r="M378" s="1099"/>
      <c r="N378" s="1099"/>
      <c r="O378" s="1099"/>
      <c r="P378" s="1099"/>
      <c r="Q378" s="1107"/>
      <c r="R378" s="1099"/>
      <c r="S378" s="1099"/>
      <c r="T378" s="1099"/>
      <c r="U378" s="1099"/>
      <c r="V378" s="1099"/>
      <c r="W378" s="1099"/>
      <c r="X378" s="1099"/>
      <c r="Y378" s="1099"/>
      <c r="Z378" s="1099"/>
      <c r="AA378" s="1099"/>
      <c r="AB378" s="1099"/>
      <c r="AC378" s="1128"/>
      <c r="AD378" s="1128"/>
      <c r="AE378" s="1128"/>
      <c r="AF378" s="1128"/>
      <c r="AG378" s="1128"/>
      <c r="AH378" s="1128"/>
      <c r="AI378" s="1128"/>
      <c r="AJ378" s="1128"/>
      <c r="AK378" s="1128"/>
      <c r="AL378" s="1128"/>
    </row>
    <row r="379" spans="1:38" s="1086" customFormat="1">
      <c r="A379" s="1096"/>
      <c r="B379" s="1096"/>
      <c r="C379" s="1096"/>
      <c r="D379" s="1096"/>
      <c r="E379" s="1128"/>
      <c r="F379" s="1128"/>
      <c r="G379" s="1128"/>
      <c r="H379" s="1099"/>
      <c r="I379" s="1099"/>
      <c r="J379" s="1107"/>
      <c r="K379" s="1099"/>
      <c r="L379" s="1099"/>
      <c r="M379" s="1099"/>
      <c r="N379" s="1099"/>
      <c r="O379" s="1099"/>
      <c r="P379" s="1099"/>
      <c r="Q379" s="1107"/>
      <c r="R379" s="1099"/>
      <c r="S379" s="1099"/>
      <c r="T379" s="1099"/>
      <c r="U379" s="1099"/>
      <c r="V379" s="1099"/>
      <c r="W379" s="1099"/>
      <c r="X379" s="1099"/>
      <c r="Y379" s="1099"/>
      <c r="Z379" s="1099"/>
      <c r="AA379" s="1099"/>
      <c r="AB379" s="1099"/>
      <c r="AC379" s="1128"/>
      <c r="AD379" s="1128"/>
      <c r="AE379" s="1128"/>
      <c r="AF379" s="1128"/>
      <c r="AG379" s="1128"/>
      <c r="AH379" s="1128"/>
      <c r="AI379" s="1128"/>
      <c r="AJ379" s="1128"/>
      <c r="AK379" s="1128"/>
      <c r="AL379" s="1128"/>
    </row>
    <row r="380" spans="1:38" s="1086" customFormat="1">
      <c r="A380" s="1096"/>
      <c r="B380" s="1096"/>
      <c r="C380" s="1096"/>
      <c r="D380" s="1096"/>
      <c r="E380" s="1128"/>
      <c r="F380" s="1128"/>
      <c r="G380" s="1128"/>
      <c r="H380" s="1099"/>
      <c r="I380" s="1099"/>
      <c r="J380" s="1107"/>
      <c r="K380" s="1099"/>
      <c r="L380" s="1099"/>
      <c r="M380" s="1099"/>
      <c r="N380" s="1099"/>
      <c r="O380" s="1099"/>
      <c r="P380" s="1099"/>
      <c r="Q380" s="1107"/>
      <c r="R380" s="1099"/>
      <c r="S380" s="1099"/>
      <c r="T380" s="1099"/>
      <c r="U380" s="1099"/>
      <c r="V380" s="1099"/>
      <c r="W380" s="1099"/>
      <c r="X380" s="1099"/>
      <c r="Y380" s="1099"/>
      <c r="Z380" s="1099"/>
      <c r="AA380" s="1099"/>
      <c r="AB380" s="1099"/>
      <c r="AC380" s="1128"/>
      <c r="AD380" s="1128"/>
      <c r="AE380" s="1128"/>
      <c r="AF380" s="1128"/>
      <c r="AG380" s="1128"/>
      <c r="AH380" s="1128"/>
      <c r="AI380" s="1128"/>
      <c r="AJ380" s="1128"/>
      <c r="AK380" s="1128"/>
      <c r="AL380" s="1128"/>
    </row>
    <row r="381" spans="1:38" s="1086" customFormat="1">
      <c r="A381" s="1096"/>
      <c r="B381" s="1096"/>
      <c r="C381" s="1096"/>
      <c r="D381" s="1096"/>
      <c r="E381" s="1128"/>
      <c r="F381" s="1128"/>
      <c r="G381" s="1128"/>
      <c r="H381" s="1099"/>
      <c r="I381" s="1099"/>
      <c r="J381" s="1107"/>
      <c r="K381" s="1099"/>
      <c r="L381" s="1099"/>
      <c r="M381" s="1099"/>
      <c r="N381" s="1099"/>
      <c r="O381" s="1099"/>
      <c r="P381" s="1099"/>
      <c r="Q381" s="1107"/>
      <c r="R381" s="1099"/>
      <c r="S381" s="1099"/>
      <c r="T381" s="1099"/>
      <c r="U381" s="1099"/>
      <c r="V381" s="1099"/>
      <c r="W381" s="1099"/>
      <c r="X381" s="1099"/>
      <c r="Y381" s="1099"/>
      <c r="Z381" s="1099"/>
      <c r="AA381" s="1099"/>
      <c r="AB381" s="1099"/>
      <c r="AC381" s="1128"/>
      <c r="AD381" s="1128"/>
      <c r="AE381" s="1128"/>
      <c r="AF381" s="1128"/>
      <c r="AG381" s="1128"/>
      <c r="AH381" s="1128"/>
      <c r="AI381" s="1128"/>
      <c r="AJ381" s="1128"/>
      <c r="AK381" s="1128"/>
      <c r="AL381" s="1128"/>
    </row>
    <row r="382" spans="1:38" s="1086" customFormat="1">
      <c r="A382" s="1096"/>
      <c r="B382" s="1096"/>
      <c r="C382" s="1096"/>
      <c r="D382" s="1096"/>
      <c r="E382" s="1128"/>
      <c r="F382" s="1128"/>
      <c r="G382" s="1128"/>
      <c r="H382" s="1099"/>
      <c r="I382" s="1099"/>
      <c r="J382" s="1107"/>
      <c r="K382" s="1099"/>
      <c r="L382" s="1099"/>
      <c r="M382" s="1099"/>
      <c r="N382" s="1099"/>
      <c r="O382" s="1099"/>
      <c r="P382" s="1099"/>
      <c r="Q382" s="1107"/>
      <c r="R382" s="1099"/>
      <c r="S382" s="1099"/>
      <c r="T382" s="1099"/>
      <c r="U382" s="1099"/>
      <c r="V382" s="1099"/>
      <c r="W382" s="1099"/>
      <c r="X382" s="1099"/>
      <c r="Y382" s="1099"/>
      <c r="Z382" s="1099"/>
      <c r="AA382" s="1099"/>
      <c r="AB382" s="1099"/>
      <c r="AC382" s="1128"/>
      <c r="AD382" s="1128"/>
      <c r="AE382" s="1128"/>
      <c r="AF382" s="1128"/>
      <c r="AG382" s="1128"/>
      <c r="AH382" s="1128"/>
      <c r="AI382" s="1128"/>
      <c r="AJ382" s="1128"/>
      <c r="AK382" s="1128"/>
      <c r="AL382" s="1128"/>
    </row>
    <row r="383" spans="1:38" s="1086" customFormat="1">
      <c r="A383" s="1096"/>
      <c r="B383" s="1096"/>
      <c r="C383" s="1096"/>
      <c r="D383" s="1096"/>
      <c r="E383" s="1128"/>
      <c r="F383" s="1128"/>
      <c r="G383" s="1128"/>
      <c r="H383" s="1099"/>
      <c r="I383" s="1099"/>
      <c r="J383" s="1107"/>
      <c r="K383" s="1099"/>
      <c r="L383" s="1099"/>
      <c r="M383" s="1099"/>
      <c r="N383" s="1099"/>
      <c r="O383" s="1099"/>
      <c r="P383" s="1099"/>
      <c r="Q383" s="1107"/>
      <c r="R383" s="1099"/>
      <c r="S383" s="1099"/>
      <c r="T383" s="1099"/>
      <c r="U383" s="1099"/>
      <c r="V383" s="1099"/>
      <c r="W383" s="1099"/>
      <c r="X383" s="1099"/>
      <c r="Y383" s="1099"/>
      <c r="Z383" s="1099"/>
      <c r="AA383" s="1099"/>
      <c r="AB383" s="1099"/>
      <c r="AC383" s="1128"/>
      <c r="AD383" s="1128"/>
      <c r="AE383" s="1128"/>
      <c r="AF383" s="1128"/>
      <c r="AG383" s="1128"/>
      <c r="AH383" s="1128"/>
      <c r="AI383" s="1128"/>
      <c r="AJ383" s="1128"/>
      <c r="AK383" s="1128"/>
      <c r="AL383" s="1128"/>
    </row>
    <row r="384" spans="1:38" s="1086" customFormat="1">
      <c r="A384" s="1096"/>
      <c r="B384" s="1096"/>
      <c r="C384" s="1096"/>
      <c r="D384" s="1096"/>
      <c r="E384" s="1128"/>
      <c r="F384" s="1128"/>
      <c r="G384" s="1128"/>
      <c r="H384" s="1099"/>
      <c r="I384" s="1099"/>
      <c r="J384" s="1107"/>
      <c r="K384" s="1099"/>
      <c r="L384" s="1099"/>
      <c r="M384" s="1099"/>
      <c r="N384" s="1099"/>
      <c r="O384" s="1099"/>
      <c r="P384" s="1099"/>
      <c r="Q384" s="1107"/>
      <c r="R384" s="1099"/>
      <c r="S384" s="1099"/>
      <c r="T384" s="1099"/>
      <c r="U384" s="1099"/>
      <c r="V384" s="1099"/>
      <c r="W384" s="1099"/>
      <c r="X384" s="1099"/>
      <c r="Y384" s="1099"/>
      <c r="Z384" s="1099"/>
      <c r="AA384" s="1099"/>
      <c r="AB384" s="1099"/>
      <c r="AC384" s="1128"/>
      <c r="AD384" s="1128"/>
      <c r="AE384" s="1128"/>
      <c r="AF384" s="1128"/>
      <c r="AG384" s="1128"/>
      <c r="AH384" s="1128"/>
      <c r="AI384" s="1128"/>
      <c r="AJ384" s="1128"/>
      <c r="AK384" s="1128"/>
      <c r="AL384" s="1128"/>
    </row>
    <row r="385" spans="1:38" s="1086" customFormat="1">
      <c r="A385" s="1096"/>
      <c r="B385" s="1096"/>
      <c r="C385" s="1096"/>
      <c r="D385" s="1096"/>
      <c r="E385" s="1128"/>
      <c r="F385" s="1128"/>
      <c r="G385" s="1128"/>
      <c r="H385" s="1099"/>
      <c r="I385" s="1099"/>
      <c r="J385" s="1107"/>
      <c r="K385" s="1099"/>
      <c r="L385" s="1099"/>
      <c r="M385" s="1099"/>
      <c r="N385" s="1099"/>
      <c r="O385" s="1099"/>
      <c r="P385" s="1099"/>
      <c r="Q385" s="1107"/>
      <c r="R385" s="1099"/>
      <c r="S385" s="1099"/>
      <c r="T385" s="1099"/>
      <c r="U385" s="1099"/>
      <c r="V385" s="1099"/>
      <c r="W385" s="1099"/>
      <c r="X385" s="1099"/>
      <c r="Y385" s="1099"/>
      <c r="Z385" s="1099"/>
      <c r="AA385" s="1099"/>
      <c r="AB385" s="1099"/>
      <c r="AC385" s="1128"/>
      <c r="AD385" s="1128"/>
      <c r="AE385" s="1128"/>
      <c r="AF385" s="1128"/>
      <c r="AG385" s="1128"/>
      <c r="AH385" s="1128"/>
      <c r="AI385" s="1128"/>
      <c r="AJ385" s="1128"/>
      <c r="AK385" s="1128"/>
      <c r="AL385" s="1128"/>
    </row>
    <row r="386" spans="1:38" s="1086" customFormat="1">
      <c r="A386" s="1096"/>
      <c r="B386" s="1096"/>
      <c r="C386" s="1096"/>
      <c r="D386" s="1096"/>
      <c r="E386" s="1128"/>
      <c r="F386" s="1128"/>
      <c r="G386" s="1128"/>
      <c r="H386" s="1099"/>
      <c r="I386" s="1099"/>
      <c r="J386" s="1107"/>
      <c r="K386" s="1099"/>
      <c r="L386" s="1099"/>
      <c r="M386" s="1099"/>
      <c r="N386" s="1099"/>
      <c r="O386" s="1099"/>
      <c r="P386" s="1099"/>
      <c r="Q386" s="1107"/>
      <c r="R386" s="1099"/>
      <c r="S386" s="1099"/>
      <c r="T386" s="1099"/>
      <c r="U386" s="1099"/>
      <c r="V386" s="1099"/>
      <c r="W386" s="1099"/>
      <c r="X386" s="1099"/>
      <c r="Y386" s="1099"/>
      <c r="Z386" s="1099"/>
      <c r="AA386" s="1099"/>
      <c r="AB386" s="1099"/>
      <c r="AC386" s="1128"/>
      <c r="AD386" s="1128"/>
      <c r="AE386" s="1128"/>
      <c r="AF386" s="1128"/>
      <c r="AG386" s="1128"/>
      <c r="AH386" s="1128"/>
      <c r="AI386" s="1128"/>
      <c r="AJ386" s="1128"/>
      <c r="AK386" s="1128"/>
      <c r="AL386" s="1128"/>
    </row>
    <row r="387" spans="1:38" s="1086" customFormat="1">
      <c r="A387" s="1096"/>
      <c r="B387" s="1096"/>
      <c r="C387" s="1096"/>
      <c r="D387" s="1096"/>
      <c r="E387" s="1128"/>
      <c r="F387" s="1128"/>
      <c r="G387" s="1128"/>
      <c r="H387" s="1099"/>
      <c r="I387" s="1099"/>
      <c r="J387" s="1107"/>
      <c r="K387" s="1099"/>
      <c r="L387" s="1099"/>
      <c r="M387" s="1099"/>
      <c r="N387" s="1099"/>
      <c r="O387" s="1099"/>
      <c r="P387" s="1099"/>
      <c r="Q387" s="1107"/>
      <c r="R387" s="1099"/>
      <c r="S387" s="1099"/>
      <c r="T387" s="1099"/>
      <c r="U387" s="1099"/>
      <c r="V387" s="1099"/>
      <c r="W387" s="1099"/>
      <c r="X387" s="1099"/>
      <c r="Y387" s="1099"/>
      <c r="Z387" s="1099"/>
      <c r="AA387" s="1099"/>
      <c r="AB387" s="1099"/>
      <c r="AC387" s="1128"/>
      <c r="AD387" s="1128"/>
      <c r="AE387" s="1128"/>
      <c r="AF387" s="1128"/>
      <c r="AG387" s="1128"/>
      <c r="AH387" s="1128"/>
      <c r="AI387" s="1128"/>
      <c r="AJ387" s="1128"/>
      <c r="AK387" s="1128"/>
      <c r="AL387" s="1128"/>
    </row>
    <row r="388" spans="1:38" s="1086" customFormat="1">
      <c r="A388" s="1096"/>
      <c r="B388" s="1096"/>
      <c r="C388" s="1096"/>
      <c r="D388" s="1096"/>
      <c r="E388" s="1128"/>
      <c r="F388" s="1128"/>
      <c r="G388" s="1128"/>
      <c r="H388" s="1099"/>
      <c r="I388" s="1099"/>
      <c r="J388" s="1107"/>
      <c r="K388" s="1099"/>
      <c r="L388" s="1099"/>
      <c r="M388" s="1099"/>
      <c r="N388" s="1099"/>
      <c r="O388" s="1099"/>
      <c r="P388" s="1099"/>
      <c r="Q388" s="1107"/>
      <c r="R388" s="1099"/>
      <c r="S388" s="1099"/>
      <c r="T388" s="1099"/>
      <c r="U388" s="1099"/>
      <c r="V388" s="1099"/>
      <c r="W388" s="1099"/>
      <c r="X388" s="1099"/>
      <c r="Y388" s="1099"/>
      <c r="Z388" s="1099"/>
      <c r="AA388" s="1099"/>
      <c r="AB388" s="1099"/>
      <c r="AC388" s="1128"/>
      <c r="AD388" s="1128"/>
      <c r="AE388" s="1128"/>
      <c r="AF388" s="1128"/>
      <c r="AG388" s="1128"/>
      <c r="AH388" s="1128"/>
      <c r="AI388" s="1128"/>
      <c r="AJ388" s="1128"/>
      <c r="AK388" s="1128"/>
      <c r="AL388" s="1128"/>
    </row>
    <row r="389" spans="1:38" s="1086" customFormat="1">
      <c r="A389" s="1096"/>
      <c r="B389" s="1096"/>
      <c r="C389" s="1096"/>
      <c r="D389" s="1096"/>
      <c r="E389" s="1128"/>
      <c r="F389" s="1128"/>
      <c r="G389" s="1128"/>
      <c r="H389" s="1099"/>
      <c r="I389" s="1099"/>
      <c r="J389" s="1107"/>
      <c r="K389" s="1099"/>
      <c r="L389" s="1099"/>
      <c r="M389" s="1099"/>
      <c r="N389" s="1099"/>
      <c r="O389" s="1099"/>
      <c r="P389" s="1099"/>
      <c r="Q389" s="1107"/>
      <c r="R389" s="1099"/>
      <c r="S389" s="1099"/>
      <c r="T389" s="1099"/>
      <c r="U389" s="1099"/>
      <c r="V389" s="1099"/>
      <c r="W389" s="1099"/>
      <c r="X389" s="1099"/>
      <c r="Y389" s="1099"/>
      <c r="Z389" s="1099"/>
      <c r="AA389" s="1099"/>
      <c r="AB389" s="1099"/>
      <c r="AC389" s="1128"/>
      <c r="AD389" s="1128"/>
      <c r="AE389" s="1128"/>
      <c r="AF389" s="1128"/>
      <c r="AG389" s="1128"/>
      <c r="AH389" s="1128"/>
      <c r="AI389" s="1128"/>
      <c r="AJ389" s="1128"/>
      <c r="AK389" s="1128"/>
      <c r="AL389" s="1128"/>
    </row>
    <row r="390" spans="1:38" s="1086" customFormat="1">
      <c r="A390" s="1096"/>
      <c r="B390" s="1096"/>
      <c r="C390" s="1096"/>
      <c r="D390" s="1096"/>
      <c r="E390" s="1128"/>
      <c r="F390" s="1128"/>
      <c r="G390" s="1128"/>
      <c r="H390" s="1099"/>
      <c r="I390" s="1099"/>
      <c r="J390" s="1107"/>
      <c r="K390" s="1099"/>
      <c r="L390" s="1099"/>
      <c r="M390" s="1099"/>
      <c r="N390" s="1099"/>
      <c r="O390" s="1099"/>
      <c r="P390" s="1099"/>
      <c r="Q390" s="1107"/>
      <c r="R390" s="1099"/>
      <c r="S390" s="1099"/>
      <c r="T390" s="1099"/>
      <c r="U390" s="1099"/>
      <c r="V390" s="1099"/>
      <c r="W390" s="1099"/>
      <c r="X390" s="1099"/>
      <c r="Y390" s="1099"/>
      <c r="Z390" s="1099"/>
      <c r="AA390" s="1099"/>
      <c r="AB390" s="1099"/>
      <c r="AC390" s="1128"/>
      <c r="AD390" s="1128"/>
      <c r="AE390" s="1128"/>
      <c r="AF390" s="1128"/>
      <c r="AG390" s="1128"/>
      <c r="AH390" s="1128"/>
      <c r="AI390" s="1128"/>
      <c r="AJ390" s="1128"/>
      <c r="AK390" s="1128"/>
      <c r="AL390" s="1128"/>
    </row>
    <row r="391" spans="1:38" s="1086" customFormat="1">
      <c r="A391" s="1096"/>
      <c r="B391" s="1096"/>
      <c r="C391" s="1096"/>
      <c r="D391" s="1096"/>
      <c r="E391" s="1128"/>
      <c r="F391" s="1128"/>
      <c r="G391" s="1128"/>
      <c r="H391" s="1099"/>
      <c r="I391" s="1099"/>
      <c r="J391" s="1107"/>
      <c r="K391" s="1099"/>
      <c r="L391" s="1099"/>
      <c r="M391" s="1099"/>
      <c r="N391" s="1099"/>
      <c r="O391" s="1099"/>
      <c r="P391" s="1099"/>
      <c r="Q391" s="1107"/>
      <c r="R391" s="1099"/>
      <c r="S391" s="1099"/>
      <c r="T391" s="1099"/>
      <c r="U391" s="1099"/>
      <c r="V391" s="1099"/>
      <c r="W391" s="1099"/>
      <c r="X391" s="1099"/>
      <c r="Y391" s="1099"/>
      <c r="Z391" s="1099"/>
      <c r="AA391" s="1099"/>
      <c r="AB391" s="1099"/>
      <c r="AC391" s="1128"/>
      <c r="AD391" s="1128"/>
      <c r="AE391" s="1128"/>
      <c r="AF391" s="1128"/>
      <c r="AG391" s="1128"/>
      <c r="AH391" s="1128"/>
      <c r="AI391" s="1128"/>
      <c r="AJ391" s="1128"/>
      <c r="AK391" s="1128"/>
      <c r="AL391" s="1128"/>
    </row>
    <row r="392" spans="1:38" s="1086" customFormat="1">
      <c r="A392" s="1096"/>
      <c r="B392" s="1096"/>
      <c r="C392" s="1096"/>
      <c r="D392" s="1096"/>
      <c r="E392" s="1128"/>
      <c r="F392" s="1128"/>
      <c r="G392" s="1128"/>
      <c r="H392" s="1099"/>
      <c r="I392" s="1099"/>
      <c r="J392" s="1107"/>
      <c r="K392" s="1099"/>
      <c r="L392" s="1099"/>
      <c r="M392" s="1099"/>
      <c r="N392" s="1099"/>
      <c r="O392" s="1099"/>
      <c r="P392" s="1099"/>
      <c r="Q392" s="1107"/>
      <c r="R392" s="1099"/>
      <c r="S392" s="1099"/>
      <c r="T392" s="1099"/>
      <c r="U392" s="1099"/>
      <c r="V392" s="1099"/>
      <c r="W392" s="1099"/>
      <c r="X392" s="1099"/>
      <c r="Y392" s="1099"/>
      <c r="Z392" s="1099"/>
      <c r="AA392" s="1099"/>
      <c r="AB392" s="1099"/>
      <c r="AC392" s="1128"/>
      <c r="AD392" s="1128"/>
      <c r="AE392" s="1128"/>
      <c r="AF392" s="1128"/>
      <c r="AG392" s="1128"/>
      <c r="AH392" s="1128"/>
      <c r="AI392" s="1128"/>
      <c r="AJ392" s="1128"/>
      <c r="AK392" s="1128"/>
      <c r="AL392" s="1128"/>
    </row>
    <row r="393" spans="1:38" s="1086" customFormat="1">
      <c r="A393" s="1096"/>
      <c r="B393" s="1096"/>
      <c r="C393" s="1096"/>
      <c r="D393" s="1096"/>
      <c r="E393" s="1128"/>
      <c r="F393" s="1128"/>
      <c r="G393" s="1128"/>
      <c r="H393" s="1099"/>
      <c r="I393" s="1099"/>
      <c r="J393" s="1107"/>
      <c r="K393" s="1099"/>
      <c r="L393" s="1099"/>
      <c r="M393" s="1099"/>
      <c r="N393" s="1099"/>
      <c r="O393" s="1099"/>
      <c r="P393" s="1099"/>
      <c r="Q393" s="1107"/>
      <c r="R393" s="1099"/>
      <c r="S393" s="1099"/>
      <c r="T393" s="1099"/>
      <c r="U393" s="1099"/>
      <c r="V393" s="1099"/>
      <c r="W393" s="1099"/>
      <c r="X393" s="1099"/>
      <c r="Y393" s="1099"/>
      <c r="Z393" s="1099"/>
      <c r="AA393" s="1099"/>
      <c r="AB393" s="1099"/>
      <c r="AC393" s="1128"/>
      <c r="AD393" s="1128"/>
      <c r="AE393" s="1128"/>
      <c r="AF393" s="1128"/>
      <c r="AG393" s="1128"/>
      <c r="AH393" s="1128"/>
      <c r="AI393" s="1128"/>
      <c r="AJ393" s="1128"/>
      <c r="AK393" s="1128"/>
      <c r="AL393" s="1128"/>
    </row>
    <row r="394" spans="1:38" s="1086" customFormat="1">
      <c r="A394" s="1096"/>
      <c r="B394" s="1096"/>
      <c r="C394" s="1096"/>
      <c r="D394" s="1096"/>
      <c r="E394" s="1128"/>
      <c r="F394" s="1128"/>
      <c r="G394" s="1128"/>
      <c r="H394" s="1099"/>
      <c r="I394" s="1099"/>
      <c r="J394" s="1107"/>
      <c r="K394" s="1099"/>
      <c r="L394" s="1099"/>
      <c r="M394" s="1099"/>
      <c r="N394" s="1099"/>
      <c r="O394" s="1099"/>
      <c r="P394" s="1099"/>
      <c r="Q394" s="1107"/>
      <c r="R394" s="1099"/>
      <c r="S394" s="1099"/>
      <c r="T394" s="1099"/>
      <c r="U394" s="1099"/>
      <c r="V394" s="1099"/>
      <c r="W394" s="1099"/>
      <c r="X394" s="1099"/>
      <c r="Y394" s="1099"/>
      <c r="Z394" s="1099"/>
      <c r="AA394" s="1099"/>
      <c r="AB394" s="1099"/>
      <c r="AC394" s="1128"/>
      <c r="AD394" s="1128"/>
      <c r="AE394" s="1128"/>
      <c r="AF394" s="1128"/>
      <c r="AG394" s="1128"/>
      <c r="AH394" s="1128"/>
      <c r="AI394" s="1128"/>
      <c r="AJ394" s="1128"/>
      <c r="AK394" s="1128"/>
      <c r="AL394" s="1128"/>
    </row>
    <row r="395" spans="1:38" s="1086" customFormat="1">
      <c r="A395" s="1096"/>
      <c r="B395" s="1096"/>
      <c r="C395" s="1096"/>
      <c r="D395" s="1096"/>
      <c r="E395" s="1128"/>
      <c r="F395" s="1128"/>
      <c r="G395" s="1128"/>
      <c r="H395" s="1099"/>
      <c r="I395" s="1099"/>
      <c r="J395" s="1107"/>
      <c r="K395" s="1099"/>
      <c r="L395" s="1099"/>
      <c r="M395" s="1099"/>
      <c r="N395" s="1099"/>
      <c r="O395" s="1099"/>
      <c r="P395" s="1099"/>
      <c r="Q395" s="1107"/>
      <c r="R395" s="1099"/>
      <c r="S395" s="1099"/>
      <c r="T395" s="1099"/>
      <c r="U395" s="1099"/>
      <c r="V395" s="1099"/>
      <c r="W395" s="1099"/>
      <c r="X395" s="1099"/>
      <c r="Y395" s="1099"/>
      <c r="Z395" s="1099"/>
      <c r="AA395" s="1099"/>
      <c r="AB395" s="1099"/>
      <c r="AC395" s="1128"/>
      <c r="AD395" s="1128"/>
      <c r="AE395" s="1128"/>
      <c r="AF395" s="1128"/>
      <c r="AG395" s="1128"/>
      <c r="AH395" s="1128"/>
      <c r="AI395" s="1128"/>
      <c r="AJ395" s="1128"/>
      <c r="AK395" s="1128"/>
      <c r="AL395" s="1128"/>
    </row>
    <row r="396" spans="1:38" s="1086" customFormat="1">
      <c r="A396" s="1096"/>
      <c r="B396" s="1096"/>
      <c r="C396" s="1096"/>
      <c r="D396" s="1096"/>
      <c r="E396" s="1128"/>
      <c r="F396" s="1128"/>
      <c r="G396" s="1128"/>
      <c r="H396" s="1099"/>
      <c r="I396" s="1099"/>
      <c r="J396" s="1107"/>
      <c r="K396" s="1099"/>
      <c r="L396" s="1099"/>
      <c r="M396" s="1099"/>
      <c r="N396" s="1099"/>
      <c r="O396" s="1099"/>
      <c r="P396" s="1099"/>
      <c r="Q396" s="1107"/>
      <c r="R396" s="1099"/>
      <c r="S396" s="1099"/>
      <c r="T396" s="1099"/>
      <c r="U396" s="1099"/>
      <c r="V396" s="1099"/>
      <c r="W396" s="1099"/>
      <c r="X396" s="1099"/>
      <c r="Y396" s="1099"/>
      <c r="Z396" s="1099"/>
      <c r="AA396" s="1099"/>
      <c r="AB396" s="1099"/>
      <c r="AC396" s="1128"/>
      <c r="AD396" s="1128"/>
      <c r="AE396" s="1128"/>
      <c r="AF396" s="1128"/>
      <c r="AG396" s="1128"/>
      <c r="AH396" s="1128"/>
      <c r="AI396" s="1128"/>
      <c r="AJ396" s="1128"/>
      <c r="AK396" s="1128"/>
      <c r="AL396" s="1128"/>
    </row>
    <row r="397" spans="1:38" s="1086" customFormat="1">
      <c r="A397" s="1096"/>
      <c r="B397" s="1096"/>
      <c r="C397" s="1096"/>
      <c r="D397" s="1096"/>
      <c r="E397" s="1128"/>
      <c r="F397" s="1128"/>
      <c r="G397" s="1128"/>
      <c r="H397" s="1099"/>
      <c r="I397" s="1099"/>
      <c r="J397" s="1107"/>
      <c r="K397" s="1099"/>
      <c r="L397" s="1099"/>
      <c r="M397" s="1099"/>
      <c r="N397" s="1099"/>
      <c r="O397" s="1099"/>
      <c r="P397" s="1099"/>
      <c r="Q397" s="1107"/>
      <c r="R397" s="1099"/>
      <c r="S397" s="1099"/>
      <c r="T397" s="1099"/>
      <c r="U397" s="1099"/>
      <c r="V397" s="1099"/>
      <c r="W397" s="1099"/>
      <c r="X397" s="1099"/>
      <c r="Y397" s="1099"/>
      <c r="Z397" s="1099"/>
      <c r="AA397" s="1099"/>
      <c r="AB397" s="1099"/>
      <c r="AC397" s="1128"/>
      <c r="AD397" s="1128"/>
      <c r="AE397" s="1128"/>
      <c r="AF397" s="1128"/>
      <c r="AG397" s="1128"/>
      <c r="AH397" s="1128"/>
      <c r="AI397" s="1128"/>
      <c r="AJ397" s="1128"/>
      <c r="AK397" s="1128"/>
      <c r="AL397" s="1128"/>
    </row>
    <row r="398" spans="1:38" s="1086" customFormat="1">
      <c r="A398" s="1096"/>
      <c r="B398" s="1096"/>
      <c r="C398" s="1096"/>
      <c r="D398" s="1096"/>
      <c r="E398" s="1128"/>
      <c r="F398" s="1128"/>
      <c r="G398" s="1128"/>
      <c r="H398" s="1099"/>
      <c r="I398" s="1099"/>
      <c r="J398" s="1107"/>
      <c r="K398" s="1099"/>
      <c r="L398" s="1099"/>
      <c r="M398" s="1099"/>
      <c r="N398" s="1099"/>
      <c r="O398" s="1099"/>
      <c r="P398" s="1099"/>
      <c r="Q398" s="1107"/>
      <c r="R398" s="1099"/>
      <c r="S398" s="1099"/>
      <c r="T398" s="1099"/>
      <c r="U398" s="1099"/>
      <c r="V398" s="1099"/>
      <c r="W398" s="1099"/>
      <c r="X398" s="1099"/>
      <c r="Y398" s="1099"/>
      <c r="Z398" s="1099"/>
      <c r="AA398" s="1099"/>
      <c r="AB398" s="1099"/>
      <c r="AC398" s="1128"/>
      <c r="AD398" s="1128"/>
      <c r="AE398" s="1128"/>
      <c r="AF398" s="1128"/>
      <c r="AG398" s="1128"/>
      <c r="AH398" s="1128"/>
      <c r="AI398" s="1128"/>
      <c r="AJ398" s="1128"/>
      <c r="AK398" s="1128"/>
      <c r="AL398" s="1128"/>
    </row>
    <row r="399" spans="1:38" s="1086" customFormat="1">
      <c r="A399" s="1096"/>
      <c r="B399" s="1096"/>
      <c r="C399" s="1096"/>
      <c r="D399" s="1096"/>
      <c r="E399" s="1128"/>
      <c r="F399" s="1128"/>
      <c r="G399" s="1128"/>
      <c r="H399" s="1099"/>
      <c r="I399" s="1099"/>
      <c r="J399" s="1107"/>
      <c r="K399" s="1099"/>
      <c r="L399" s="1099"/>
      <c r="M399" s="1099"/>
      <c r="N399" s="1099"/>
      <c r="O399" s="1099"/>
      <c r="P399" s="1099"/>
      <c r="Q399" s="1107"/>
      <c r="R399" s="1099"/>
      <c r="S399" s="1099"/>
      <c r="T399" s="1099"/>
      <c r="U399" s="1099"/>
      <c r="V399" s="1099"/>
      <c r="W399" s="1099"/>
      <c r="X399" s="1099"/>
      <c r="Y399" s="1099"/>
      <c r="Z399" s="1099"/>
      <c r="AA399" s="1099"/>
      <c r="AB399" s="1099"/>
      <c r="AC399" s="1128"/>
      <c r="AD399" s="1128"/>
      <c r="AE399" s="1128"/>
      <c r="AF399" s="1128"/>
      <c r="AG399" s="1128"/>
      <c r="AH399" s="1128"/>
      <c r="AI399" s="1128"/>
      <c r="AJ399" s="1128"/>
      <c r="AK399" s="1128"/>
      <c r="AL399" s="1128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1" customWidth="1"/>
    <col min="3" max="3" width="10.140625" style="411" customWidth="1"/>
    <col min="4" max="4" width="11" style="411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417" t="s">
        <v>1949</v>
      </c>
      <c r="B1" s="2417"/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1029"/>
      <c r="Q1" s="1031"/>
      <c r="R1" s="1029"/>
      <c r="S1" s="2418" t="s">
        <v>1928</v>
      </c>
      <c r="T1" s="2418"/>
      <c r="U1" s="2418"/>
      <c r="V1" s="2418"/>
      <c r="W1" s="2418"/>
      <c r="X1" s="2418"/>
      <c r="Y1" s="2418"/>
      <c r="Z1" s="2418"/>
      <c r="AA1" s="2418"/>
      <c r="AB1" s="2418"/>
      <c r="AC1" s="2418"/>
      <c r="AD1" s="2418"/>
      <c r="AE1" s="2418"/>
      <c r="AF1" s="2418"/>
      <c r="AG1" s="2418"/>
      <c r="AH1" s="2418"/>
      <c r="AI1" s="2418"/>
      <c r="AJ1" s="2418"/>
      <c r="AK1" s="2418"/>
      <c r="AL1" s="2418"/>
    </row>
    <row r="2" spans="1:40" ht="18.75">
      <c r="A2" s="2417" t="s">
        <v>1929</v>
      </c>
      <c r="B2" s="2417"/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1029"/>
      <c r="Q2" s="1031"/>
      <c r="R2" s="1029"/>
      <c r="S2" s="2418" t="s">
        <v>1</v>
      </c>
      <c r="T2" s="2418"/>
      <c r="U2" s="2418"/>
      <c r="V2" s="2418"/>
      <c r="W2" s="2418"/>
      <c r="X2" s="2418"/>
      <c r="Y2" s="2418"/>
      <c r="Z2" s="2418"/>
      <c r="AA2" s="2418"/>
      <c r="AB2" s="2418"/>
      <c r="AC2" s="2418"/>
      <c r="AD2" s="2418"/>
      <c r="AE2" s="2418"/>
      <c r="AF2" s="2418"/>
      <c r="AG2" s="2418"/>
      <c r="AH2" s="2418"/>
      <c r="AI2" s="2418"/>
      <c r="AJ2" s="2418"/>
      <c r="AK2" s="2418"/>
      <c r="AL2" s="2418"/>
    </row>
    <row r="3" spans="1:40" ht="15" customHeight="1">
      <c r="A3" s="2419"/>
      <c r="B3" s="2419"/>
      <c r="C3" s="2419"/>
      <c r="D3" s="2419"/>
      <c r="E3" s="2419"/>
      <c r="F3" s="2419"/>
      <c r="G3" s="2419"/>
      <c r="H3" s="2419"/>
      <c r="I3" s="2419"/>
      <c r="J3" s="2419"/>
      <c r="K3" s="2419"/>
      <c r="L3" s="2419"/>
      <c r="M3" s="1030"/>
      <c r="N3" s="1029"/>
      <c r="O3" s="1029"/>
      <c r="P3" s="1029"/>
      <c r="Q3" s="1031"/>
      <c r="R3" s="1029"/>
      <c r="S3" s="2420" t="s">
        <v>619</v>
      </c>
      <c r="T3" s="2418"/>
      <c r="U3" s="2418"/>
      <c r="V3" s="2418"/>
      <c r="W3" s="2418"/>
      <c r="X3" s="2418"/>
      <c r="Y3" s="2418"/>
      <c r="Z3" s="2418"/>
      <c r="AA3" s="2418"/>
      <c r="AB3" s="2418"/>
      <c r="AC3" s="2418"/>
      <c r="AD3" s="2418"/>
      <c r="AE3" s="2418"/>
      <c r="AF3" s="2418"/>
      <c r="AG3" s="2418"/>
      <c r="AH3" s="2418"/>
      <c r="AI3" s="2418"/>
      <c r="AJ3" s="2418"/>
      <c r="AK3" s="2418"/>
      <c r="AL3" s="2418"/>
    </row>
    <row r="4" spans="1:40" ht="27.75" customHeight="1">
      <c r="A4" s="2437" t="s">
        <v>1965</v>
      </c>
      <c r="B4" s="2437"/>
      <c r="C4" s="2437"/>
      <c r="D4" s="2437"/>
      <c r="E4" s="2437"/>
      <c r="F4" s="2437"/>
      <c r="G4" s="2437"/>
      <c r="H4" s="2437"/>
      <c r="I4" s="2437"/>
      <c r="J4" s="2437"/>
      <c r="K4" s="2437"/>
      <c r="L4" s="2437"/>
      <c r="M4" s="2437"/>
      <c r="N4" s="2437"/>
      <c r="O4" s="2437"/>
      <c r="P4" s="2437"/>
      <c r="Q4" s="2437"/>
      <c r="R4" s="2437"/>
      <c r="S4" s="2437"/>
      <c r="T4" s="2437"/>
      <c r="U4" s="2437"/>
      <c r="V4" s="2437"/>
      <c r="W4" s="2437"/>
      <c r="X4" s="2437"/>
      <c r="Y4" s="2437"/>
      <c r="Z4" s="2437"/>
      <c r="AA4" s="2437"/>
      <c r="AB4" s="2437"/>
      <c r="AC4" s="2437"/>
      <c r="AD4" s="2437"/>
      <c r="AE4" s="2437"/>
      <c r="AF4" s="2437"/>
      <c r="AG4" s="2437"/>
      <c r="AH4" s="2437"/>
      <c r="AI4" s="2437"/>
      <c r="AJ4" s="2437"/>
      <c r="AK4" s="2437"/>
      <c r="AL4" s="2437"/>
    </row>
    <row r="5" spans="1:40" ht="18.75" customHeight="1">
      <c r="A5" s="2438" t="s">
        <v>1951</v>
      </c>
      <c r="B5" s="2438"/>
      <c r="C5" s="2438"/>
      <c r="D5" s="2438"/>
      <c r="E5" s="2438"/>
      <c r="F5" s="2438"/>
      <c r="G5" s="2438"/>
      <c r="H5" s="2438"/>
      <c r="I5" s="2438"/>
      <c r="J5" s="2438"/>
      <c r="K5" s="2438"/>
      <c r="L5" s="2438"/>
      <c r="M5" s="2438"/>
      <c r="N5" s="2438"/>
      <c r="O5" s="2438"/>
      <c r="P5" s="2438"/>
      <c r="Q5" s="2438"/>
      <c r="R5" s="2438"/>
      <c r="S5" s="2438"/>
      <c r="T5" s="2438"/>
      <c r="U5" s="2438"/>
      <c r="V5" s="2438"/>
      <c r="W5" s="2438"/>
      <c r="X5" s="2438"/>
      <c r="Y5" s="2438"/>
      <c r="Z5" s="2438"/>
      <c r="AA5" s="2438"/>
      <c r="AB5" s="2438"/>
      <c r="AC5" s="2438"/>
      <c r="AD5" s="2438"/>
      <c r="AE5" s="2438"/>
      <c r="AF5" s="2438"/>
      <c r="AG5" s="2438"/>
      <c r="AH5" s="2438"/>
      <c r="AI5" s="2438"/>
      <c r="AJ5" s="2438"/>
      <c r="AK5" s="2438"/>
      <c r="AL5" s="2438"/>
    </row>
    <row r="6" spans="1:40" s="51" customFormat="1" ht="20.45" customHeight="1">
      <c r="A6" s="2409" t="s">
        <v>623</v>
      </c>
      <c r="B6" s="2409" t="s">
        <v>623</v>
      </c>
      <c r="C6" s="2409" t="s">
        <v>1932</v>
      </c>
      <c r="D6" s="2443" t="s">
        <v>356</v>
      </c>
      <c r="E6" s="2409" t="s">
        <v>1953</v>
      </c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2409"/>
      <c r="Q6" s="2409"/>
      <c r="R6" s="2409"/>
      <c r="S6" s="2409"/>
      <c r="T6" s="2409"/>
      <c r="U6" s="2409"/>
      <c r="V6" s="2409"/>
      <c r="W6" s="2409"/>
      <c r="X6" s="2409"/>
      <c r="Y6" s="2409"/>
      <c r="Z6" s="2409"/>
      <c r="AA6" s="2409"/>
      <c r="AB6" s="2409"/>
      <c r="AC6" s="2409"/>
      <c r="AD6" s="2409"/>
      <c r="AE6" s="2409"/>
      <c r="AF6" s="2409"/>
      <c r="AG6" s="2409"/>
      <c r="AH6" s="2409"/>
      <c r="AI6" s="2409"/>
      <c r="AJ6" s="2445" t="s">
        <v>1966</v>
      </c>
      <c r="AK6" s="2448" t="s">
        <v>1955</v>
      </c>
      <c r="AL6" s="2449" t="s">
        <v>627</v>
      </c>
      <c r="AM6" s="51" t="s">
        <v>1952</v>
      </c>
      <c r="AN6" s="1075">
        <v>0.5</v>
      </c>
    </row>
    <row r="7" spans="1:40" s="51" customFormat="1" ht="17.45" customHeight="1">
      <c r="A7" s="2409"/>
      <c r="B7" s="2409"/>
      <c r="C7" s="2409"/>
      <c r="D7" s="2444"/>
      <c r="E7" s="1025">
        <v>1</v>
      </c>
      <c r="F7" s="1025">
        <v>2</v>
      </c>
      <c r="G7" s="1025">
        <v>3</v>
      </c>
      <c r="H7" s="1025">
        <v>4</v>
      </c>
      <c r="I7" s="1025">
        <v>5</v>
      </c>
      <c r="J7" s="1025">
        <v>6</v>
      </c>
      <c r="K7" s="1025">
        <v>7</v>
      </c>
      <c r="L7" s="1025">
        <v>8</v>
      </c>
      <c r="M7" s="1025">
        <v>9</v>
      </c>
      <c r="N7" s="1025">
        <v>10</v>
      </c>
      <c r="O7" s="1025">
        <v>11</v>
      </c>
      <c r="P7" s="1025">
        <v>12</v>
      </c>
      <c r="Q7" s="1025">
        <v>13</v>
      </c>
      <c r="R7" s="1025">
        <v>14</v>
      </c>
      <c r="S7" s="1025">
        <v>15</v>
      </c>
      <c r="T7" s="1025">
        <v>16</v>
      </c>
      <c r="U7" s="1025">
        <v>17</v>
      </c>
      <c r="V7" s="1025">
        <v>18</v>
      </c>
      <c r="W7" s="1025">
        <v>19</v>
      </c>
      <c r="X7" s="1025">
        <v>20</v>
      </c>
      <c r="Y7" s="1025">
        <v>21</v>
      </c>
      <c r="Z7" s="1025">
        <v>22</v>
      </c>
      <c r="AA7" s="1025">
        <v>23</v>
      </c>
      <c r="AB7" s="1025">
        <v>24</v>
      </c>
      <c r="AC7" s="1025">
        <v>25</v>
      </c>
      <c r="AD7" s="1025">
        <v>26</v>
      </c>
      <c r="AE7" s="1025">
        <v>27</v>
      </c>
      <c r="AF7" s="1025">
        <v>28</v>
      </c>
      <c r="AG7" s="1025">
        <v>29</v>
      </c>
      <c r="AH7" s="1025">
        <v>30</v>
      </c>
      <c r="AI7" s="1025">
        <v>31</v>
      </c>
      <c r="AJ7" s="2446"/>
      <c r="AK7" s="2448"/>
      <c r="AL7" s="2450"/>
    </row>
    <row r="8" spans="1:40" s="51" customFormat="1" ht="35.450000000000003" customHeight="1">
      <c r="A8" s="2439" t="s">
        <v>1956</v>
      </c>
      <c r="B8" s="2440"/>
      <c r="C8" s="2440"/>
      <c r="D8" s="2441"/>
      <c r="E8" s="1025" t="s">
        <v>1957</v>
      </c>
      <c r="F8" s="1025" t="s">
        <v>1958</v>
      </c>
      <c r="G8" s="1025" t="s">
        <v>1959</v>
      </c>
      <c r="H8" s="1025" t="s">
        <v>1957</v>
      </c>
      <c r="I8" s="1025" t="s">
        <v>1958</v>
      </c>
      <c r="J8" s="1025" t="s">
        <v>1959</v>
      </c>
      <c r="K8" s="1025" t="s">
        <v>1957</v>
      </c>
      <c r="L8" s="1025" t="s">
        <v>1958</v>
      </c>
      <c r="M8" s="1025" t="s">
        <v>1959</v>
      </c>
      <c r="N8" s="1025" t="s">
        <v>1957</v>
      </c>
      <c r="O8" s="1025" t="s">
        <v>1958</v>
      </c>
      <c r="P8" s="1025" t="s">
        <v>1959</v>
      </c>
      <c r="Q8" s="1025" t="s">
        <v>1957</v>
      </c>
      <c r="R8" s="1025" t="s">
        <v>1958</v>
      </c>
      <c r="S8" s="1025" t="s">
        <v>1959</v>
      </c>
      <c r="T8" s="1025" t="s">
        <v>1957</v>
      </c>
      <c r="U8" s="1025" t="s">
        <v>1958</v>
      </c>
      <c r="V8" s="1025" t="s">
        <v>1959</v>
      </c>
      <c r="W8" s="1025" t="s">
        <v>1957</v>
      </c>
      <c r="X8" s="1025" t="s">
        <v>1958</v>
      </c>
      <c r="Y8" s="1025" t="s">
        <v>1959</v>
      </c>
      <c r="Z8" s="1025" t="s">
        <v>1957</v>
      </c>
      <c r="AA8" s="1025" t="s">
        <v>1958</v>
      </c>
      <c r="AB8" s="1025" t="s">
        <v>1959</v>
      </c>
      <c r="AC8" s="1025" t="s">
        <v>1957</v>
      </c>
      <c r="AD8" s="1025" t="s">
        <v>1958</v>
      </c>
      <c r="AE8" s="1025" t="s">
        <v>1959</v>
      </c>
      <c r="AF8" s="1025" t="s">
        <v>1957</v>
      </c>
      <c r="AG8" s="1025" t="s">
        <v>1958</v>
      </c>
      <c r="AH8" s="1025" t="s">
        <v>1959</v>
      </c>
      <c r="AI8" s="1025" t="s">
        <v>1957</v>
      </c>
      <c r="AJ8" s="2447"/>
      <c r="AK8" s="2448"/>
      <c r="AL8" s="2451"/>
    </row>
    <row r="9" spans="1:40" s="1022" customFormat="1" ht="19.149999999999999" customHeight="1" outlineLevel="1">
      <c r="A9" s="1026" t="s">
        <v>427</v>
      </c>
      <c r="B9" s="1026"/>
      <c r="C9" s="1026"/>
      <c r="D9" s="1026"/>
      <c r="E9" s="1072">
        <f t="shared" ref="E9:AK9" si="0">SUM(E10:E52)</f>
        <v>0</v>
      </c>
      <c r="F9" s="1072">
        <f t="shared" si="0"/>
        <v>0</v>
      </c>
      <c r="G9" s="1072">
        <f t="shared" si="0"/>
        <v>0</v>
      </c>
      <c r="H9" s="1072">
        <f t="shared" si="0"/>
        <v>0</v>
      </c>
      <c r="I9" s="1072">
        <f t="shared" si="0"/>
        <v>0</v>
      </c>
      <c r="J9" s="1072">
        <f t="shared" si="0"/>
        <v>0</v>
      </c>
      <c r="K9" s="1072">
        <f t="shared" si="0"/>
        <v>0</v>
      </c>
      <c r="L9" s="1072">
        <f t="shared" si="0"/>
        <v>0</v>
      </c>
      <c r="M9" s="1072">
        <f t="shared" si="0"/>
        <v>0</v>
      </c>
      <c r="N9" s="1072">
        <f t="shared" si="0"/>
        <v>0</v>
      </c>
      <c r="O9" s="1072">
        <f t="shared" si="0"/>
        <v>0</v>
      </c>
      <c r="P9" s="1072">
        <f t="shared" si="0"/>
        <v>0</v>
      </c>
      <c r="Q9" s="1072">
        <f t="shared" si="0"/>
        <v>0</v>
      </c>
      <c r="R9" s="1072">
        <f t="shared" si="0"/>
        <v>0</v>
      </c>
      <c r="S9" s="1072">
        <f t="shared" si="0"/>
        <v>0</v>
      </c>
      <c r="T9" s="1072">
        <f t="shared" si="0"/>
        <v>0</v>
      </c>
      <c r="U9" s="1072">
        <f t="shared" si="0"/>
        <v>0</v>
      </c>
      <c r="V9" s="1072">
        <f t="shared" si="0"/>
        <v>0</v>
      </c>
      <c r="W9" s="1072">
        <f t="shared" si="0"/>
        <v>0</v>
      </c>
      <c r="X9" s="1072">
        <f t="shared" si="0"/>
        <v>0</v>
      </c>
      <c r="Y9" s="1072">
        <f t="shared" si="0"/>
        <v>0</v>
      </c>
      <c r="Z9" s="1072">
        <f t="shared" si="0"/>
        <v>0</v>
      </c>
      <c r="AA9" s="1072">
        <f t="shared" si="0"/>
        <v>0</v>
      </c>
      <c r="AB9" s="1072">
        <f t="shared" si="0"/>
        <v>0</v>
      </c>
      <c r="AC9" s="1072">
        <f t="shared" si="0"/>
        <v>0</v>
      </c>
      <c r="AD9" s="1072">
        <f t="shared" si="0"/>
        <v>0</v>
      </c>
      <c r="AE9" s="1072">
        <f t="shared" si="0"/>
        <v>0</v>
      </c>
      <c r="AF9" s="1072">
        <f t="shared" si="0"/>
        <v>0</v>
      </c>
      <c r="AG9" s="1072">
        <f t="shared" si="0"/>
        <v>0</v>
      </c>
      <c r="AH9" s="1072">
        <f t="shared" si="0"/>
        <v>0</v>
      </c>
      <c r="AI9" s="1072">
        <f t="shared" si="0"/>
        <v>0</v>
      </c>
      <c r="AJ9" s="1072">
        <f t="shared" si="0"/>
        <v>0</v>
      </c>
      <c r="AK9" s="1072">
        <f t="shared" si="0"/>
        <v>0</v>
      </c>
      <c r="AL9" s="1036"/>
      <c r="AM9" s="1038"/>
    </row>
    <row r="10" spans="1:40" s="51" customFormat="1" ht="19.149999999999999" customHeight="1" outlineLevel="1">
      <c r="A10" s="1025">
        <v>1</v>
      </c>
      <c r="B10" s="1025">
        <v>1</v>
      </c>
      <c r="C10" s="1025" t="e">
        <f>VLOOKUP(D10,'DS CN MOI UP'!$B$10:$C$347,2,0)</f>
        <v>#N/A</v>
      </c>
      <c r="D10" s="1028" t="s">
        <v>357</v>
      </c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73"/>
      <c r="AJ10" s="1076">
        <f>SUM(E10:AI10)</f>
        <v>0</v>
      </c>
      <c r="AK10" s="1076">
        <f>AJ10*$AN$6</f>
        <v>0</v>
      </c>
      <c r="AL10" s="635"/>
      <c r="AM10" s="1070"/>
    </row>
    <row r="11" spans="1:40" s="51" customFormat="1" ht="19.149999999999999" customHeight="1" outlineLevel="1">
      <c r="A11" s="1025">
        <v>2</v>
      </c>
      <c r="B11" s="1025">
        <v>2</v>
      </c>
      <c r="C11" s="1025" t="e">
        <f>VLOOKUP(D11,'DS CN MOI UP'!$B$10:$C$347,2,0)</f>
        <v>#N/A</v>
      </c>
      <c r="D11" s="1028" t="s">
        <v>358</v>
      </c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73"/>
      <c r="AJ11" s="1076">
        <f t="shared" ref="AJ11:AJ52" si="1">SUM(E11:AI11)</f>
        <v>0</v>
      </c>
      <c r="AK11" s="1076">
        <f t="shared" ref="AK11:AK74" si="2">AJ11*$AN$6</f>
        <v>0</v>
      </c>
      <c r="AL11" s="635"/>
      <c r="AM11" s="266"/>
    </row>
    <row r="12" spans="1:40" s="51" customFormat="1" ht="19.149999999999999" customHeight="1" outlineLevel="1">
      <c r="A12" s="1025">
        <v>3</v>
      </c>
      <c r="B12" s="1025">
        <v>3</v>
      </c>
      <c r="C12" s="1025" t="e">
        <f>VLOOKUP(D12,'DS CN MOI UP'!$B$10:$C$347,2,0)</f>
        <v>#N/A</v>
      </c>
      <c r="D12" s="1028" t="s">
        <v>385</v>
      </c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73"/>
      <c r="AJ12" s="1076">
        <f t="shared" si="1"/>
        <v>0</v>
      </c>
      <c r="AK12" s="1076">
        <f t="shared" si="2"/>
        <v>0</v>
      </c>
      <c r="AL12" s="635"/>
      <c r="AM12" s="266"/>
    </row>
    <row r="13" spans="1:40" s="51" customFormat="1" ht="19.149999999999999" customHeight="1" outlineLevel="1">
      <c r="A13" s="1025">
        <v>4</v>
      </c>
      <c r="B13" s="1025">
        <v>4</v>
      </c>
      <c r="C13" s="1025" t="e">
        <f>VLOOKUP(D13,'DS CN MOI UP'!$B$10:$C$347,2,0)</f>
        <v>#N/A</v>
      </c>
      <c r="D13" s="1028" t="s">
        <v>1936</v>
      </c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73"/>
      <c r="AJ13" s="1076">
        <f t="shared" si="1"/>
        <v>0</v>
      </c>
      <c r="AK13" s="1076">
        <f t="shared" si="2"/>
        <v>0</v>
      </c>
      <c r="AL13" s="635"/>
      <c r="AM13" s="266"/>
    </row>
    <row r="14" spans="1:40" s="51" customFormat="1" ht="19.149999999999999" customHeight="1" outlineLevel="1">
      <c r="A14" s="1025">
        <v>5</v>
      </c>
      <c r="B14" s="1025">
        <v>5</v>
      </c>
      <c r="C14" s="1025" t="e">
        <f>VLOOKUP(D14,'DS CN MOI UP'!$B$10:$C$347,2,0)</f>
        <v>#N/A</v>
      </c>
      <c r="D14" s="1028" t="s">
        <v>387</v>
      </c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73"/>
      <c r="AJ14" s="1076">
        <f t="shared" si="1"/>
        <v>0</v>
      </c>
      <c r="AK14" s="1076">
        <f t="shared" si="2"/>
        <v>0</v>
      </c>
      <c r="AL14" s="635"/>
      <c r="AM14" s="266"/>
    </row>
    <row r="15" spans="1:40" s="51" customFormat="1" ht="19.149999999999999" customHeight="1" outlineLevel="1">
      <c r="A15" s="1025">
        <v>6</v>
      </c>
      <c r="B15" s="1025">
        <v>6</v>
      </c>
      <c r="C15" s="1025" t="e">
        <f>VLOOKUP(D15,'DS CN MOI UP'!$B$10:$C$347,2,0)</f>
        <v>#N/A</v>
      </c>
      <c r="D15" s="1028" t="s">
        <v>388</v>
      </c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73"/>
      <c r="AJ15" s="1076">
        <f t="shared" si="1"/>
        <v>0</v>
      </c>
      <c r="AK15" s="1076">
        <f t="shared" si="2"/>
        <v>0</v>
      </c>
      <c r="AL15" s="635"/>
      <c r="AM15" s="266"/>
    </row>
    <row r="16" spans="1:40" s="51" customFormat="1" ht="19.149999999999999" customHeight="1" outlineLevel="1">
      <c r="A16" s="1025">
        <v>7</v>
      </c>
      <c r="B16" s="1025">
        <v>7</v>
      </c>
      <c r="C16" s="1025" t="e">
        <f>VLOOKUP(D16,'DS CN MOI UP'!$B$10:$C$347,2,0)</f>
        <v>#N/A</v>
      </c>
      <c r="D16" s="1028" t="s">
        <v>389</v>
      </c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73"/>
      <c r="AJ16" s="1076">
        <f t="shared" si="1"/>
        <v>0</v>
      </c>
      <c r="AK16" s="1076">
        <f t="shared" si="2"/>
        <v>0</v>
      </c>
      <c r="AL16" s="635"/>
      <c r="AM16" s="266"/>
    </row>
    <row r="17" spans="1:39" s="51" customFormat="1" ht="19.149999999999999" customHeight="1" outlineLevel="1">
      <c r="A17" s="1025">
        <v>8</v>
      </c>
      <c r="B17" s="1025">
        <v>8</v>
      </c>
      <c r="C17" s="1025" t="e">
        <f>VLOOKUP(D17,'DS CN MOI UP'!$B$10:$C$347,2,0)</f>
        <v>#N/A</v>
      </c>
      <c r="D17" s="1028" t="s">
        <v>1937</v>
      </c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73"/>
      <c r="AJ17" s="1076">
        <f t="shared" si="1"/>
        <v>0</v>
      </c>
      <c r="AK17" s="1076">
        <f t="shared" si="2"/>
        <v>0</v>
      </c>
      <c r="AL17" s="635"/>
      <c r="AM17" s="266"/>
    </row>
    <row r="18" spans="1:39" s="51" customFormat="1" ht="19.149999999999999" customHeight="1" outlineLevel="1">
      <c r="A18" s="1025">
        <v>9</v>
      </c>
      <c r="B18" s="1025">
        <v>9</v>
      </c>
      <c r="C18" s="1025" t="e">
        <f>VLOOKUP(D18,'DS CN MOI UP'!$B$10:$C$347,2,0)</f>
        <v>#N/A</v>
      </c>
      <c r="D18" s="1028" t="s">
        <v>391</v>
      </c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73"/>
      <c r="AJ18" s="1076">
        <f t="shared" si="1"/>
        <v>0</v>
      </c>
      <c r="AK18" s="1076">
        <f t="shared" si="2"/>
        <v>0</v>
      </c>
      <c r="AL18" s="635"/>
      <c r="AM18" s="266"/>
    </row>
    <row r="19" spans="1:39" s="51" customFormat="1" ht="19.149999999999999" customHeight="1" outlineLevel="1">
      <c r="A19" s="1025">
        <v>10</v>
      </c>
      <c r="B19" s="1025">
        <v>10</v>
      </c>
      <c r="C19" s="1025" t="e">
        <f>VLOOKUP(D19,'DS CN MOI UP'!$B$10:$C$347,2,0)</f>
        <v>#N/A</v>
      </c>
      <c r="D19" s="1028" t="s">
        <v>392</v>
      </c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73"/>
      <c r="AJ19" s="1076">
        <f t="shared" si="1"/>
        <v>0</v>
      </c>
      <c r="AK19" s="1076">
        <f t="shared" si="2"/>
        <v>0</v>
      </c>
      <c r="AL19" s="635"/>
      <c r="AM19" s="266"/>
    </row>
    <row r="20" spans="1:39" s="51" customFormat="1" ht="19.149999999999999" customHeight="1" outlineLevel="1">
      <c r="A20" s="1025">
        <v>11</v>
      </c>
      <c r="B20" s="1025">
        <v>11</v>
      </c>
      <c r="C20" s="1025" t="e">
        <f>VLOOKUP(D20,'DS CN MOI UP'!$B$10:$C$347,2,0)</f>
        <v>#N/A</v>
      </c>
      <c r="D20" s="1028" t="s">
        <v>393</v>
      </c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73"/>
      <c r="AJ20" s="1076">
        <f t="shared" si="1"/>
        <v>0</v>
      </c>
      <c r="AK20" s="1076">
        <f t="shared" si="2"/>
        <v>0</v>
      </c>
      <c r="AL20" s="635"/>
      <c r="AM20" s="266"/>
    </row>
    <row r="21" spans="1:39" s="51" customFormat="1" ht="19.149999999999999" customHeight="1" outlineLevel="1">
      <c r="A21" s="1025">
        <v>12</v>
      </c>
      <c r="B21" s="1025">
        <v>12</v>
      </c>
      <c r="C21" s="1025" t="e">
        <f>VLOOKUP(D21,'DS CN MOI UP'!$B$10:$C$347,2,0)</f>
        <v>#N/A</v>
      </c>
      <c r="D21" s="1028" t="s">
        <v>394</v>
      </c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73"/>
      <c r="AJ21" s="1076">
        <f t="shared" si="1"/>
        <v>0</v>
      </c>
      <c r="AK21" s="1076">
        <f t="shared" si="2"/>
        <v>0</v>
      </c>
      <c r="AL21" s="635"/>
      <c r="AM21" s="266"/>
    </row>
    <row r="22" spans="1:39" s="51" customFormat="1" ht="19.149999999999999" customHeight="1" outlineLevel="1">
      <c r="A22" s="1025">
        <v>13</v>
      </c>
      <c r="B22" s="1025">
        <v>13</v>
      </c>
      <c r="C22" s="1025" t="e">
        <f>VLOOKUP(D22,'DS CN MOI UP'!$B$10:$C$347,2,0)</f>
        <v>#N/A</v>
      </c>
      <c r="D22" s="1028" t="s">
        <v>537</v>
      </c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73"/>
      <c r="AJ22" s="1076">
        <f t="shared" si="1"/>
        <v>0</v>
      </c>
      <c r="AK22" s="1076">
        <f t="shared" si="2"/>
        <v>0</v>
      </c>
      <c r="AL22" s="635"/>
      <c r="AM22" s="266"/>
    </row>
    <row r="23" spans="1:39" s="51" customFormat="1" ht="19.149999999999999" customHeight="1" outlineLevel="1">
      <c r="A23" s="1025">
        <v>14</v>
      </c>
      <c r="B23" s="1025">
        <v>14</v>
      </c>
      <c r="C23" s="1025" t="e">
        <f>VLOOKUP(D23,'DS CN MOI UP'!$B$10:$C$347,2,0)</f>
        <v>#N/A</v>
      </c>
      <c r="D23" s="1028" t="s">
        <v>396</v>
      </c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73"/>
      <c r="AJ23" s="1076">
        <f t="shared" si="1"/>
        <v>0</v>
      </c>
      <c r="AK23" s="1076">
        <f t="shared" si="2"/>
        <v>0</v>
      </c>
      <c r="AL23" s="635"/>
      <c r="AM23" s="266"/>
    </row>
    <row r="24" spans="1:39" s="51" customFormat="1" ht="19.149999999999999" customHeight="1" outlineLevel="1">
      <c r="A24" s="1025">
        <v>15</v>
      </c>
      <c r="B24" s="1025">
        <v>15</v>
      </c>
      <c r="C24" s="1025" t="e">
        <f>VLOOKUP(D24,'DS CN MOI UP'!$B$10:$C$347,2,0)</f>
        <v>#N/A</v>
      </c>
      <c r="D24" s="1028" t="s">
        <v>397</v>
      </c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73"/>
      <c r="AJ24" s="1076">
        <f t="shared" si="1"/>
        <v>0</v>
      </c>
      <c r="AK24" s="1076">
        <f t="shared" si="2"/>
        <v>0</v>
      </c>
      <c r="AL24" s="635"/>
      <c r="AM24" s="266"/>
    </row>
    <row r="25" spans="1:39" s="51" customFormat="1" ht="19.149999999999999" customHeight="1" outlineLevel="1">
      <c r="A25" s="1025">
        <v>16</v>
      </c>
      <c r="B25" s="1025">
        <v>16</v>
      </c>
      <c r="C25" s="1025" t="e">
        <f>VLOOKUP(D25,'DS CN MOI UP'!$B$10:$C$347,2,0)</f>
        <v>#N/A</v>
      </c>
      <c r="D25" s="1028" t="s">
        <v>1938</v>
      </c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73"/>
      <c r="AJ25" s="1076">
        <f t="shared" si="1"/>
        <v>0</v>
      </c>
      <c r="AK25" s="1076">
        <f t="shared" si="2"/>
        <v>0</v>
      </c>
      <c r="AL25" s="635"/>
      <c r="AM25" s="266"/>
    </row>
    <row r="26" spans="1:39" s="51" customFormat="1" ht="19.149999999999999" customHeight="1" outlineLevel="1">
      <c r="A26" s="1025">
        <v>17</v>
      </c>
      <c r="B26" s="1025">
        <v>17</v>
      </c>
      <c r="C26" s="1025" t="e">
        <f>VLOOKUP(D26,'DS CN MOI UP'!$B$10:$C$347,2,0)</f>
        <v>#N/A</v>
      </c>
      <c r="D26" s="1028" t="s">
        <v>399</v>
      </c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73"/>
      <c r="AJ26" s="1076">
        <f t="shared" si="1"/>
        <v>0</v>
      </c>
      <c r="AK26" s="1076">
        <f t="shared" si="2"/>
        <v>0</v>
      </c>
      <c r="AL26" s="635"/>
      <c r="AM26" s="266"/>
    </row>
    <row r="27" spans="1:39" s="51" customFormat="1" ht="19.149999999999999" customHeight="1" outlineLevel="1">
      <c r="A27" s="1025">
        <v>18</v>
      </c>
      <c r="B27" s="1025">
        <v>18</v>
      </c>
      <c r="C27" s="1025" t="e">
        <f>VLOOKUP(D27,'DS CN MOI UP'!$B$10:$C$347,2,0)</f>
        <v>#N/A</v>
      </c>
      <c r="D27" s="1028" t="s">
        <v>400</v>
      </c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73"/>
      <c r="AJ27" s="1076">
        <f t="shared" si="1"/>
        <v>0</v>
      </c>
      <c r="AK27" s="1076">
        <f t="shared" si="2"/>
        <v>0</v>
      </c>
      <c r="AL27" s="635"/>
      <c r="AM27" s="266"/>
    </row>
    <row r="28" spans="1:39" s="51" customFormat="1" ht="19.149999999999999" customHeight="1" outlineLevel="1">
      <c r="A28" s="1025">
        <v>19</v>
      </c>
      <c r="B28" s="1025">
        <v>19</v>
      </c>
      <c r="C28" s="1025" t="e">
        <f>VLOOKUP(D28,'DS CN MOI UP'!$B$10:$C$347,2,0)</f>
        <v>#N/A</v>
      </c>
      <c r="D28" s="1028" t="s">
        <v>401</v>
      </c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73"/>
      <c r="AJ28" s="1076">
        <f t="shared" si="1"/>
        <v>0</v>
      </c>
      <c r="AK28" s="1076">
        <f t="shared" si="2"/>
        <v>0</v>
      </c>
      <c r="AL28" s="635"/>
      <c r="AM28" s="266"/>
    </row>
    <row r="29" spans="1:39" s="51" customFormat="1" ht="19.149999999999999" customHeight="1" outlineLevel="1">
      <c r="A29" s="1025">
        <v>20</v>
      </c>
      <c r="B29" s="1025">
        <v>20</v>
      </c>
      <c r="C29" s="1025" t="e">
        <f>VLOOKUP(D29,'DS CN MOI UP'!$B$10:$C$347,2,0)</f>
        <v>#N/A</v>
      </c>
      <c r="D29" s="1028" t="s">
        <v>402</v>
      </c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73"/>
      <c r="AJ29" s="1076">
        <f t="shared" si="1"/>
        <v>0</v>
      </c>
      <c r="AK29" s="1076">
        <f t="shared" si="2"/>
        <v>0</v>
      </c>
      <c r="AL29" s="635"/>
      <c r="AM29" s="266"/>
    </row>
    <row r="30" spans="1:39" s="51" customFormat="1" ht="19.149999999999999" customHeight="1" outlineLevel="1">
      <c r="A30" s="1025">
        <v>21</v>
      </c>
      <c r="B30" s="1025">
        <v>21</v>
      </c>
      <c r="C30" s="1025" t="e">
        <f>VLOOKUP(D30,'DS CN MOI UP'!$B$10:$C$347,2,0)</f>
        <v>#N/A</v>
      </c>
      <c r="D30" s="1028" t="s">
        <v>403</v>
      </c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73"/>
      <c r="AJ30" s="1076">
        <f t="shared" si="1"/>
        <v>0</v>
      </c>
      <c r="AK30" s="1076">
        <f t="shared" si="2"/>
        <v>0</v>
      </c>
      <c r="AL30" s="635"/>
      <c r="AM30" s="266"/>
    </row>
    <row r="31" spans="1:39" s="51" customFormat="1" ht="19.149999999999999" customHeight="1" outlineLevel="1">
      <c r="A31" s="1025">
        <v>22</v>
      </c>
      <c r="B31" s="1025">
        <v>22</v>
      </c>
      <c r="C31" s="1025" t="e">
        <f>VLOOKUP(D31,'DS CN MOI UP'!$B$10:$C$347,2,0)</f>
        <v>#N/A</v>
      </c>
      <c r="D31" s="1028" t="s">
        <v>404</v>
      </c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73"/>
      <c r="AJ31" s="1076">
        <f t="shared" si="1"/>
        <v>0</v>
      </c>
      <c r="AK31" s="1076">
        <f t="shared" si="2"/>
        <v>0</v>
      </c>
      <c r="AL31" s="635"/>
      <c r="AM31" s="266"/>
    </row>
    <row r="32" spans="1:39" s="51" customFormat="1" ht="19.149999999999999" customHeight="1" outlineLevel="1">
      <c r="A32" s="1025">
        <v>23</v>
      </c>
      <c r="B32" s="1025">
        <v>23</v>
      </c>
      <c r="C32" s="1025" t="e">
        <f>VLOOKUP(D32,'DS CN MOI UP'!$B$10:$C$347,2,0)</f>
        <v>#N/A</v>
      </c>
      <c r="D32" s="1028" t="s">
        <v>405</v>
      </c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73"/>
      <c r="AJ32" s="1076">
        <f t="shared" si="1"/>
        <v>0</v>
      </c>
      <c r="AK32" s="1076">
        <f t="shared" si="2"/>
        <v>0</v>
      </c>
      <c r="AL32" s="635"/>
      <c r="AM32" s="266"/>
    </row>
    <row r="33" spans="1:39" s="51" customFormat="1" ht="19.149999999999999" customHeight="1" outlineLevel="1">
      <c r="A33" s="1025">
        <v>24</v>
      </c>
      <c r="B33" s="1025">
        <v>24</v>
      </c>
      <c r="C33" s="1025" t="e">
        <f>VLOOKUP(D33,'DS CN MOI UP'!$B$10:$C$347,2,0)</f>
        <v>#N/A</v>
      </c>
      <c r="D33" s="1028" t="s">
        <v>406</v>
      </c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73"/>
      <c r="AJ33" s="1076">
        <f t="shared" si="1"/>
        <v>0</v>
      </c>
      <c r="AK33" s="1076">
        <f t="shared" si="2"/>
        <v>0</v>
      </c>
      <c r="AL33" s="635"/>
      <c r="AM33" s="266"/>
    </row>
    <row r="34" spans="1:39" s="51" customFormat="1" ht="19.149999999999999" customHeight="1" outlineLevel="1">
      <c r="A34" s="1025">
        <v>25</v>
      </c>
      <c r="B34" s="1025">
        <v>25</v>
      </c>
      <c r="C34" s="1025" t="e">
        <f>VLOOKUP(D34,'DS CN MOI UP'!$B$10:$C$347,2,0)</f>
        <v>#N/A</v>
      </c>
      <c r="D34" s="1028" t="s">
        <v>407</v>
      </c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73"/>
      <c r="AJ34" s="1076">
        <f t="shared" si="1"/>
        <v>0</v>
      </c>
      <c r="AK34" s="1076">
        <f t="shared" si="2"/>
        <v>0</v>
      </c>
      <c r="AL34" s="635"/>
      <c r="AM34" s="266"/>
    </row>
    <row r="35" spans="1:39" s="51" customFormat="1" ht="19.149999999999999" customHeight="1" outlineLevel="1">
      <c r="A35" s="1025">
        <v>26</v>
      </c>
      <c r="B35" s="1025">
        <v>26</v>
      </c>
      <c r="C35" s="1025" t="e">
        <f>VLOOKUP(D35,'DS CN MOI UP'!$B$10:$C$347,2,0)</f>
        <v>#N/A</v>
      </c>
      <c r="D35" s="1028" t="s">
        <v>408</v>
      </c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73"/>
      <c r="AJ35" s="1076">
        <f t="shared" si="1"/>
        <v>0</v>
      </c>
      <c r="AK35" s="1076">
        <f t="shared" si="2"/>
        <v>0</v>
      </c>
      <c r="AL35" s="635"/>
      <c r="AM35" s="266"/>
    </row>
    <row r="36" spans="1:39" s="51" customFormat="1" ht="19.149999999999999" customHeight="1" outlineLevel="1">
      <c r="A36" s="1025">
        <v>27</v>
      </c>
      <c r="B36" s="1025">
        <v>27</v>
      </c>
      <c r="C36" s="1025" t="e">
        <f>VLOOKUP(D36,'DS CN MOI UP'!$B$10:$C$347,2,0)</f>
        <v>#N/A</v>
      </c>
      <c r="D36" s="1028" t="s">
        <v>1939</v>
      </c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73"/>
      <c r="AJ36" s="1076">
        <f t="shared" si="1"/>
        <v>0</v>
      </c>
      <c r="AK36" s="1076">
        <f t="shared" si="2"/>
        <v>0</v>
      </c>
      <c r="AL36" s="635"/>
      <c r="AM36" s="266"/>
    </row>
    <row r="37" spans="1:39" s="51" customFormat="1" ht="19.149999999999999" customHeight="1" outlineLevel="1">
      <c r="A37" s="1025">
        <v>28</v>
      </c>
      <c r="B37" s="1025">
        <v>28</v>
      </c>
      <c r="C37" s="1025" t="e">
        <f>VLOOKUP(D37,'DS CN MOI UP'!$B$10:$C$347,2,0)</f>
        <v>#N/A</v>
      </c>
      <c r="D37" s="1028" t="s">
        <v>410</v>
      </c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73"/>
      <c r="AJ37" s="1076">
        <f t="shared" si="1"/>
        <v>0</v>
      </c>
      <c r="AK37" s="1076">
        <f t="shared" si="2"/>
        <v>0</v>
      </c>
      <c r="AL37" s="635"/>
      <c r="AM37" s="266"/>
    </row>
    <row r="38" spans="1:39" s="51" customFormat="1" ht="19.149999999999999" customHeight="1" outlineLevel="1">
      <c r="A38" s="1025">
        <v>29</v>
      </c>
      <c r="B38" s="1025">
        <v>29</v>
      </c>
      <c r="C38" s="1025" t="e">
        <f>VLOOKUP(D38,'DS CN MOI UP'!$B$10:$C$347,2,0)</f>
        <v>#N/A</v>
      </c>
      <c r="D38" s="1028" t="s">
        <v>411</v>
      </c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73"/>
      <c r="AJ38" s="1076">
        <f t="shared" si="1"/>
        <v>0</v>
      </c>
      <c r="AK38" s="1076">
        <f t="shared" si="2"/>
        <v>0</v>
      </c>
      <c r="AL38" s="635"/>
      <c r="AM38" s="266"/>
    </row>
    <row r="39" spans="1:39" s="51" customFormat="1" ht="19.149999999999999" customHeight="1" outlineLevel="1">
      <c r="A39" s="1025">
        <v>30</v>
      </c>
      <c r="B39" s="1025">
        <v>30</v>
      </c>
      <c r="C39" s="1025" t="e">
        <f>VLOOKUP(D39,'DS CN MOI UP'!$B$10:$C$347,2,0)</f>
        <v>#N/A</v>
      </c>
      <c r="D39" s="1028" t="s">
        <v>412</v>
      </c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73"/>
      <c r="AJ39" s="1076">
        <f t="shared" si="1"/>
        <v>0</v>
      </c>
      <c r="AK39" s="1076">
        <f t="shared" si="2"/>
        <v>0</v>
      </c>
      <c r="AL39" s="635"/>
      <c r="AM39" s="266"/>
    </row>
    <row r="40" spans="1:39" s="51" customFormat="1" ht="19.149999999999999" customHeight="1" outlineLevel="1">
      <c r="A40" s="1025">
        <v>31</v>
      </c>
      <c r="B40" s="1025">
        <v>31</v>
      </c>
      <c r="C40" s="1025" t="e">
        <f>VLOOKUP(D40,'DS CN MOI UP'!$B$10:$C$347,2,0)</f>
        <v>#N/A</v>
      </c>
      <c r="D40" s="1028" t="s">
        <v>413</v>
      </c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73"/>
      <c r="AJ40" s="1076">
        <f t="shared" si="1"/>
        <v>0</v>
      </c>
      <c r="AK40" s="1076">
        <f t="shared" si="2"/>
        <v>0</v>
      </c>
      <c r="AL40" s="635"/>
      <c r="AM40" s="266"/>
    </row>
    <row r="41" spans="1:39" s="51" customFormat="1" ht="19.149999999999999" customHeight="1" outlineLevel="1">
      <c r="A41" s="1025">
        <v>32</v>
      </c>
      <c r="B41" s="1025">
        <v>32</v>
      </c>
      <c r="C41" s="1025" t="e">
        <f>VLOOKUP(D41,'DS CN MOI UP'!$B$10:$C$347,2,0)</f>
        <v>#N/A</v>
      </c>
      <c r="D41" s="1028" t="s">
        <v>414</v>
      </c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73"/>
      <c r="AJ41" s="1076">
        <f t="shared" si="1"/>
        <v>0</v>
      </c>
      <c r="AK41" s="1076">
        <f t="shared" si="2"/>
        <v>0</v>
      </c>
      <c r="AL41" s="635"/>
      <c r="AM41" s="266"/>
    </row>
    <row r="42" spans="1:39" s="51" customFormat="1" ht="19.149999999999999" customHeight="1" outlineLevel="1">
      <c r="A42" s="1025">
        <v>33</v>
      </c>
      <c r="B42" s="1025">
        <v>33</v>
      </c>
      <c r="C42" s="1025" t="e">
        <f>VLOOKUP(D42,'DS CN MOI UP'!$B$10:$C$347,2,0)</f>
        <v>#N/A</v>
      </c>
      <c r="D42" s="1028" t="s">
        <v>415</v>
      </c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73"/>
      <c r="AJ42" s="1076">
        <f t="shared" si="1"/>
        <v>0</v>
      </c>
      <c r="AK42" s="1076">
        <f t="shared" si="2"/>
        <v>0</v>
      </c>
      <c r="AL42" s="635"/>
      <c r="AM42" s="266"/>
    </row>
    <row r="43" spans="1:39" s="51" customFormat="1" ht="19.149999999999999" customHeight="1" outlineLevel="1">
      <c r="A43" s="1025">
        <v>34</v>
      </c>
      <c r="B43" s="1025">
        <v>34</v>
      </c>
      <c r="C43" s="1025" t="e">
        <f>VLOOKUP(D43,'DS CN MOI UP'!$B$10:$C$347,2,0)</f>
        <v>#N/A</v>
      </c>
      <c r="D43" s="1028" t="s">
        <v>1940</v>
      </c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73"/>
      <c r="AJ43" s="1076">
        <f t="shared" si="1"/>
        <v>0</v>
      </c>
      <c r="AK43" s="1076">
        <f t="shared" si="2"/>
        <v>0</v>
      </c>
      <c r="AL43" s="635"/>
      <c r="AM43" s="266"/>
    </row>
    <row r="44" spans="1:39" s="51" customFormat="1" ht="19.149999999999999" customHeight="1" outlineLevel="1">
      <c r="A44" s="1025">
        <v>35</v>
      </c>
      <c r="B44" s="1025">
        <v>35</v>
      </c>
      <c r="C44" s="1025" t="e">
        <f>VLOOKUP(D44,'DS CN MOI UP'!$B$10:$C$347,2,0)</f>
        <v>#N/A</v>
      </c>
      <c r="D44" s="1028" t="s">
        <v>417</v>
      </c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6">
        <f t="shared" si="1"/>
        <v>0</v>
      </c>
      <c r="AK44" s="1076">
        <f t="shared" si="2"/>
        <v>0</v>
      </c>
      <c r="AL44" s="635"/>
      <c r="AM44" s="266"/>
    </row>
    <row r="45" spans="1:39" s="51" customFormat="1" ht="19.149999999999999" customHeight="1" outlineLevel="1">
      <c r="A45" s="1025">
        <v>36</v>
      </c>
      <c r="B45" s="1025">
        <v>36</v>
      </c>
      <c r="C45" s="1025" t="e">
        <f>VLOOKUP(D45,'DS CN MOI UP'!$B$10:$C$347,2,0)</f>
        <v>#N/A</v>
      </c>
      <c r="D45" s="1028" t="s">
        <v>418</v>
      </c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6">
        <f t="shared" si="1"/>
        <v>0</v>
      </c>
      <c r="AK45" s="1076">
        <f t="shared" si="2"/>
        <v>0</v>
      </c>
      <c r="AL45" s="635"/>
      <c r="AM45" s="266"/>
    </row>
    <row r="46" spans="1:39" s="51" customFormat="1" ht="19.149999999999999" customHeight="1" outlineLevel="1">
      <c r="A46" s="1025">
        <v>37</v>
      </c>
      <c r="B46" s="1025">
        <v>37</v>
      </c>
      <c r="C46" s="1025" t="e">
        <f>VLOOKUP(D46,'DS CN MOI UP'!$B$10:$C$347,2,0)</f>
        <v>#N/A</v>
      </c>
      <c r="D46" s="1028" t="s">
        <v>419</v>
      </c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73"/>
      <c r="AJ46" s="1076">
        <f t="shared" si="1"/>
        <v>0</v>
      </c>
      <c r="AK46" s="1076">
        <f t="shared" si="2"/>
        <v>0</v>
      </c>
      <c r="AL46" s="635"/>
      <c r="AM46" s="266"/>
    </row>
    <row r="47" spans="1:39" s="51" customFormat="1" ht="19.149999999999999" customHeight="1" outlineLevel="1">
      <c r="A47" s="1025">
        <v>38</v>
      </c>
      <c r="B47" s="1025">
        <v>38</v>
      </c>
      <c r="C47" s="1025" t="e">
        <f>VLOOKUP(D47,'DS CN MOI UP'!$B$10:$C$347,2,0)</f>
        <v>#N/A</v>
      </c>
      <c r="D47" s="1028" t="s">
        <v>420</v>
      </c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73"/>
      <c r="AJ47" s="1076">
        <f t="shared" si="1"/>
        <v>0</v>
      </c>
      <c r="AK47" s="1076">
        <f t="shared" si="2"/>
        <v>0</v>
      </c>
      <c r="AL47" s="635"/>
      <c r="AM47" s="266"/>
    </row>
    <row r="48" spans="1:39" s="51" customFormat="1" ht="19.149999999999999" customHeight="1" outlineLevel="1">
      <c r="A48" s="1025">
        <v>39</v>
      </c>
      <c r="B48" s="1025">
        <v>39</v>
      </c>
      <c r="C48" s="1025" t="e">
        <f>VLOOKUP(D48,'DS CN MOI UP'!$B$10:$C$347,2,0)</f>
        <v>#N/A</v>
      </c>
      <c r="D48" s="1028" t="s">
        <v>421</v>
      </c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73"/>
      <c r="AJ48" s="1076">
        <f t="shared" si="1"/>
        <v>0</v>
      </c>
      <c r="AK48" s="1076">
        <f t="shared" si="2"/>
        <v>0</v>
      </c>
      <c r="AL48" s="635"/>
      <c r="AM48" s="266"/>
    </row>
    <row r="49" spans="1:40" s="51" customFormat="1" ht="19.149999999999999" customHeight="1" outlineLevel="1">
      <c r="A49" s="1025">
        <v>40</v>
      </c>
      <c r="B49" s="1025">
        <v>40</v>
      </c>
      <c r="C49" s="1025" t="e">
        <f>VLOOKUP(D49,'DS CN MOI UP'!$B$10:$C$347,2,0)</f>
        <v>#N/A</v>
      </c>
      <c r="D49" s="1028" t="s">
        <v>422</v>
      </c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73"/>
      <c r="AJ49" s="1076">
        <f t="shared" si="1"/>
        <v>0</v>
      </c>
      <c r="AK49" s="1076">
        <f t="shared" si="2"/>
        <v>0</v>
      </c>
      <c r="AL49" s="635"/>
      <c r="AM49" s="266"/>
    </row>
    <row r="50" spans="1:40" s="51" customFormat="1" ht="19.149999999999999" customHeight="1" outlineLevel="1">
      <c r="A50" s="1025">
        <v>41</v>
      </c>
      <c r="B50" s="1025">
        <v>41</v>
      </c>
      <c r="C50" s="1025" t="e">
        <f>VLOOKUP(D50,'DS CN MOI UP'!$B$10:$C$347,2,0)</f>
        <v>#N/A</v>
      </c>
      <c r="D50" s="1028" t="s">
        <v>423</v>
      </c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73"/>
      <c r="AJ50" s="1076">
        <f t="shared" si="1"/>
        <v>0</v>
      </c>
      <c r="AK50" s="1076">
        <f t="shared" si="2"/>
        <v>0</v>
      </c>
      <c r="AL50" s="635"/>
      <c r="AM50" s="266"/>
    </row>
    <row r="51" spans="1:40" s="51" customFormat="1" ht="19.149999999999999" customHeight="1" outlineLevel="1">
      <c r="A51" s="1025">
        <v>42</v>
      </c>
      <c r="B51" s="1025">
        <v>42</v>
      </c>
      <c r="C51" s="1025" t="e">
        <f>VLOOKUP(D51,'DS CN MOI UP'!$B$10:$C$347,2,0)</f>
        <v>#N/A</v>
      </c>
      <c r="D51" s="1028" t="s">
        <v>424</v>
      </c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73"/>
      <c r="AJ51" s="1076">
        <f t="shared" si="1"/>
        <v>0</v>
      </c>
      <c r="AK51" s="1076">
        <f t="shared" si="2"/>
        <v>0</v>
      </c>
      <c r="AL51" s="635"/>
      <c r="AM51" s="266"/>
    </row>
    <row r="52" spans="1:40" s="51" customFormat="1" ht="19.149999999999999" customHeight="1" outlineLevel="1">
      <c r="A52" s="1025">
        <v>43</v>
      </c>
      <c r="B52" s="1025">
        <v>43</v>
      </c>
      <c r="C52" s="1025" t="e">
        <f>VLOOKUP(D52,'DS CN MOI UP'!$B$10:$C$347,2,0)</f>
        <v>#N/A</v>
      </c>
      <c r="D52" s="1028" t="s">
        <v>425</v>
      </c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73"/>
      <c r="AJ52" s="1076">
        <f t="shared" si="1"/>
        <v>0</v>
      </c>
      <c r="AK52" s="1076">
        <f t="shared" si="2"/>
        <v>0</v>
      </c>
      <c r="AL52" s="635"/>
      <c r="AM52" s="266"/>
    </row>
    <row r="53" spans="1:40" s="1022" customFormat="1" ht="19.149999999999999" customHeight="1" outlineLevel="1">
      <c r="A53" s="1026" t="s">
        <v>520</v>
      </c>
      <c r="B53" s="1026"/>
      <c r="C53" s="1025" t="e">
        <f>VLOOKUP(D53,'DS CN MOI UP'!$B$10:$C$347,2,0)</f>
        <v>#N/A</v>
      </c>
      <c r="D53" s="1026"/>
      <c r="E53" s="1072"/>
      <c r="F53" s="1072"/>
      <c r="G53" s="1072"/>
      <c r="H53" s="1072"/>
      <c r="I53" s="1072"/>
      <c r="J53" s="1072"/>
      <c r="K53" s="1072"/>
      <c r="L53" s="1072"/>
      <c r="M53" s="1072"/>
      <c r="N53" s="1072"/>
      <c r="O53" s="1072"/>
      <c r="P53" s="1072"/>
      <c r="Q53" s="1072"/>
      <c r="R53" s="1072"/>
      <c r="S53" s="1072"/>
      <c r="T53" s="1072"/>
      <c r="U53" s="1072"/>
      <c r="V53" s="1072"/>
      <c r="W53" s="1072"/>
      <c r="X53" s="1072"/>
      <c r="Y53" s="1072"/>
      <c r="Z53" s="1072"/>
      <c r="AA53" s="1072"/>
      <c r="AB53" s="1072"/>
      <c r="AC53" s="1072"/>
      <c r="AD53" s="1072"/>
      <c r="AE53" s="1072"/>
      <c r="AF53" s="1072"/>
      <c r="AG53" s="1072"/>
      <c r="AH53" s="1072"/>
      <c r="AI53" s="1072"/>
      <c r="AJ53" s="1072">
        <f>SUM(AJ54:AJ109)</f>
        <v>0</v>
      </c>
      <c r="AK53" s="1072">
        <f>SUM(AK54:AK109)</f>
        <v>0</v>
      </c>
      <c r="AL53" s="1036"/>
      <c r="AM53" s="1038"/>
    </row>
    <row r="54" spans="1:40" s="51" customFormat="1" ht="19.149999999999999" customHeight="1" outlineLevel="1">
      <c r="A54" s="1025">
        <v>44</v>
      </c>
      <c r="B54" s="1025">
        <v>1</v>
      </c>
      <c r="C54" s="1025" t="e">
        <f>VLOOKUP(D54,'DS CN MOI UP'!$B$10:$C$347,2,0)</f>
        <v>#N/A</v>
      </c>
      <c r="D54" s="1028" t="s">
        <v>430</v>
      </c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4"/>
      <c r="Z54" s="1074"/>
      <c r="AA54" s="1073"/>
      <c r="AB54" s="1073"/>
      <c r="AC54" s="1073"/>
      <c r="AD54" s="1073"/>
      <c r="AE54" s="1073"/>
      <c r="AF54" s="1073"/>
      <c r="AG54" s="1073"/>
      <c r="AH54" s="1073"/>
      <c r="AI54" s="1073"/>
      <c r="AJ54" s="1076">
        <f>SUM(E54:AI54)</f>
        <v>0</v>
      </c>
      <c r="AK54" s="1076">
        <f t="shared" si="2"/>
        <v>0</v>
      </c>
      <c r="AL54" s="635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5">
        <v>45</v>
      </c>
      <c r="B55" s="1025">
        <v>2</v>
      </c>
      <c r="C55" s="1025" t="e">
        <f>VLOOKUP(D55,'DS CN MOI UP'!$B$10:$C$347,2,0)</f>
        <v>#N/A</v>
      </c>
      <c r="D55" s="1028" t="s">
        <v>431</v>
      </c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4"/>
      <c r="Z55" s="1074"/>
      <c r="AA55" s="1073"/>
      <c r="AB55" s="1073"/>
      <c r="AC55" s="1073"/>
      <c r="AD55" s="1073"/>
      <c r="AE55" s="1073"/>
      <c r="AF55" s="1073"/>
      <c r="AG55" s="1073"/>
      <c r="AH55" s="1073"/>
      <c r="AI55" s="1073"/>
      <c r="AJ55" s="1076">
        <f t="shared" ref="AJ55:AJ109" si="4">SUM(E55:AI55)</f>
        <v>0</v>
      </c>
      <c r="AK55" s="1076">
        <f t="shared" si="2"/>
        <v>0</v>
      </c>
      <c r="AL55" s="635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5">
        <v>46</v>
      </c>
      <c r="B56" s="1025">
        <v>3</v>
      </c>
      <c r="C56" s="1025" t="e">
        <f>VLOOKUP(D56,'DS CN MOI UP'!$B$10:$C$347,2,0)</f>
        <v>#N/A</v>
      </c>
      <c r="D56" s="1028" t="s">
        <v>432</v>
      </c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4"/>
      <c r="Z56" s="1074"/>
      <c r="AA56" s="1073"/>
      <c r="AB56" s="1073"/>
      <c r="AC56" s="1073"/>
      <c r="AD56" s="1073"/>
      <c r="AE56" s="1073"/>
      <c r="AF56" s="1073"/>
      <c r="AG56" s="1073"/>
      <c r="AH56" s="1073"/>
      <c r="AI56" s="1073"/>
      <c r="AJ56" s="1076">
        <f t="shared" si="4"/>
        <v>0</v>
      </c>
      <c r="AK56" s="1076">
        <f t="shared" si="2"/>
        <v>0</v>
      </c>
      <c r="AL56" s="635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5">
        <v>47</v>
      </c>
      <c r="B57" s="1025">
        <v>4</v>
      </c>
      <c r="C57" s="1025" t="e">
        <f>VLOOKUP(D57,'DS CN MOI UP'!$B$10:$C$347,2,0)</f>
        <v>#N/A</v>
      </c>
      <c r="D57" s="1028" t="s">
        <v>433</v>
      </c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4"/>
      <c r="Z57" s="1074"/>
      <c r="AA57" s="1073"/>
      <c r="AB57" s="1073"/>
      <c r="AC57" s="1073"/>
      <c r="AD57" s="1073"/>
      <c r="AE57" s="1073"/>
      <c r="AF57" s="1073"/>
      <c r="AG57" s="1073"/>
      <c r="AH57" s="1073"/>
      <c r="AI57" s="1073"/>
      <c r="AJ57" s="1076">
        <f t="shared" si="4"/>
        <v>0</v>
      </c>
      <c r="AK57" s="1076">
        <f t="shared" si="2"/>
        <v>0</v>
      </c>
      <c r="AL57" s="635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5">
        <v>48</v>
      </c>
      <c r="B58" s="1025">
        <v>5</v>
      </c>
      <c r="C58" s="1025" t="e">
        <f>VLOOKUP(D58,'DS CN MOI UP'!$B$10:$C$347,2,0)</f>
        <v>#N/A</v>
      </c>
      <c r="D58" s="1028" t="s">
        <v>434</v>
      </c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4"/>
      <c r="Z58" s="1074"/>
      <c r="AA58" s="1073"/>
      <c r="AB58" s="1073"/>
      <c r="AC58" s="1073"/>
      <c r="AD58" s="1073"/>
      <c r="AE58" s="1073"/>
      <c r="AF58" s="1073"/>
      <c r="AG58" s="1073"/>
      <c r="AH58" s="1073"/>
      <c r="AI58" s="1073"/>
      <c r="AJ58" s="1076">
        <f t="shared" si="4"/>
        <v>0</v>
      </c>
      <c r="AK58" s="1076">
        <f t="shared" si="2"/>
        <v>0</v>
      </c>
      <c r="AL58" s="635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5">
        <v>49</v>
      </c>
      <c r="B59" s="1025">
        <v>6</v>
      </c>
      <c r="C59" s="1025" t="e">
        <f>VLOOKUP(D59,'DS CN MOI UP'!$B$10:$C$347,2,0)</f>
        <v>#N/A</v>
      </c>
      <c r="D59" s="1028" t="s">
        <v>435</v>
      </c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4"/>
      <c r="Z59" s="1074"/>
      <c r="AA59" s="1073"/>
      <c r="AB59" s="1073"/>
      <c r="AC59" s="1073"/>
      <c r="AD59" s="1073"/>
      <c r="AE59" s="1073"/>
      <c r="AF59" s="1073"/>
      <c r="AG59" s="1073"/>
      <c r="AH59" s="1073"/>
      <c r="AI59" s="1073"/>
      <c r="AJ59" s="1076">
        <f t="shared" si="4"/>
        <v>0</v>
      </c>
      <c r="AK59" s="1076">
        <f t="shared" si="2"/>
        <v>0</v>
      </c>
      <c r="AL59" s="635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5">
        <v>50</v>
      </c>
      <c r="B60" s="1025">
        <v>7</v>
      </c>
      <c r="C60" s="1025" t="e">
        <f>VLOOKUP(D60,'DS CN MOI UP'!$B$10:$C$347,2,0)</f>
        <v>#N/A</v>
      </c>
      <c r="D60" s="1028" t="s">
        <v>436</v>
      </c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4"/>
      <c r="Z60" s="1074"/>
      <c r="AA60" s="1073"/>
      <c r="AB60" s="1073"/>
      <c r="AC60" s="1073"/>
      <c r="AD60" s="1073"/>
      <c r="AE60" s="1073"/>
      <c r="AF60" s="1073"/>
      <c r="AG60" s="1073"/>
      <c r="AH60" s="1073"/>
      <c r="AI60" s="1073"/>
      <c r="AJ60" s="1076">
        <f t="shared" si="4"/>
        <v>0</v>
      </c>
      <c r="AK60" s="1076">
        <f t="shared" si="2"/>
        <v>0</v>
      </c>
      <c r="AL60" s="635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5">
        <v>51</v>
      </c>
      <c r="B61" s="1025">
        <v>8</v>
      </c>
      <c r="C61" s="1025" t="e">
        <f>VLOOKUP(D61,'DS CN MOI UP'!$B$10:$C$347,2,0)</f>
        <v>#N/A</v>
      </c>
      <c r="D61" s="1028" t="s">
        <v>437</v>
      </c>
      <c r="E61" s="1073"/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4"/>
      <c r="Z61" s="1074"/>
      <c r="AA61" s="1073"/>
      <c r="AB61" s="1073"/>
      <c r="AC61" s="1073"/>
      <c r="AD61" s="1073"/>
      <c r="AE61" s="1073"/>
      <c r="AF61" s="1073"/>
      <c r="AG61" s="1073"/>
      <c r="AH61" s="1073"/>
      <c r="AI61" s="1073"/>
      <c r="AJ61" s="1076">
        <f t="shared" si="4"/>
        <v>0</v>
      </c>
      <c r="AK61" s="1076">
        <f t="shared" si="2"/>
        <v>0</v>
      </c>
      <c r="AL61" s="635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5">
        <v>52</v>
      </c>
      <c r="B62" s="1025">
        <v>9</v>
      </c>
      <c r="C62" s="1025" t="e">
        <f>VLOOKUP(D62,'DS CN MOI UP'!$B$10:$C$347,2,0)</f>
        <v>#N/A</v>
      </c>
      <c r="D62" s="1028" t="s">
        <v>438</v>
      </c>
      <c r="E62" s="1073"/>
      <c r="F62" s="1073"/>
      <c r="G62" s="1073"/>
      <c r="H62" s="1073"/>
      <c r="I62" s="1073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4"/>
      <c r="Z62" s="1074"/>
      <c r="AA62" s="1073"/>
      <c r="AB62" s="1073"/>
      <c r="AC62" s="1073"/>
      <c r="AD62" s="1073"/>
      <c r="AE62" s="1073"/>
      <c r="AF62" s="1073"/>
      <c r="AG62" s="1073"/>
      <c r="AH62" s="1073"/>
      <c r="AI62" s="1073"/>
      <c r="AJ62" s="1076">
        <f t="shared" si="4"/>
        <v>0</v>
      </c>
      <c r="AK62" s="1076">
        <f t="shared" si="2"/>
        <v>0</v>
      </c>
      <c r="AL62" s="635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5">
        <v>53</v>
      </c>
      <c r="B63" s="1025">
        <v>10</v>
      </c>
      <c r="C63" s="1025" t="e">
        <f>VLOOKUP(D63,'DS CN MOI UP'!$B$10:$C$347,2,0)</f>
        <v>#N/A</v>
      </c>
      <c r="D63" s="1028" t="s">
        <v>439</v>
      </c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4"/>
      <c r="Z63" s="1074"/>
      <c r="AA63" s="1073"/>
      <c r="AB63" s="1073"/>
      <c r="AC63" s="1073"/>
      <c r="AD63" s="1073"/>
      <c r="AE63" s="1073"/>
      <c r="AF63" s="1073"/>
      <c r="AG63" s="1073"/>
      <c r="AH63" s="1073"/>
      <c r="AI63" s="1073"/>
      <c r="AJ63" s="1076">
        <f t="shared" si="4"/>
        <v>0</v>
      </c>
      <c r="AK63" s="1076">
        <f t="shared" si="2"/>
        <v>0</v>
      </c>
      <c r="AL63" s="635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5">
        <v>54</v>
      </c>
      <c r="B64" s="1025">
        <v>11</v>
      </c>
      <c r="C64" s="1025" t="e">
        <f>VLOOKUP(D64,'DS CN MOI UP'!$B$10:$C$347,2,0)</f>
        <v>#N/A</v>
      </c>
      <c r="D64" s="1028" t="s">
        <v>440</v>
      </c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4"/>
      <c r="Z64" s="1074"/>
      <c r="AA64" s="1073"/>
      <c r="AB64" s="1073"/>
      <c r="AC64" s="1073"/>
      <c r="AD64" s="1073"/>
      <c r="AE64" s="1073"/>
      <c r="AF64" s="1073"/>
      <c r="AG64" s="1073"/>
      <c r="AH64" s="1073"/>
      <c r="AI64" s="1073"/>
      <c r="AJ64" s="1076">
        <f t="shared" si="4"/>
        <v>0</v>
      </c>
      <c r="AK64" s="1076">
        <f t="shared" si="2"/>
        <v>0</v>
      </c>
      <c r="AL64" s="635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5">
        <v>55</v>
      </c>
      <c r="B65" s="1025">
        <v>12</v>
      </c>
      <c r="C65" s="1025" t="e">
        <f>VLOOKUP(D65,'DS CN MOI UP'!$B$10:$C$347,2,0)</f>
        <v>#N/A</v>
      </c>
      <c r="D65" s="1028" t="s">
        <v>441</v>
      </c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4"/>
      <c r="Z65" s="1074"/>
      <c r="AA65" s="1073"/>
      <c r="AB65" s="1073"/>
      <c r="AC65" s="1073"/>
      <c r="AD65" s="1073"/>
      <c r="AE65" s="1073"/>
      <c r="AF65" s="1073"/>
      <c r="AG65" s="1073"/>
      <c r="AH65" s="1073"/>
      <c r="AI65" s="1073"/>
      <c r="AJ65" s="1076">
        <f t="shared" si="4"/>
        <v>0</v>
      </c>
      <c r="AK65" s="1076">
        <f t="shared" si="2"/>
        <v>0</v>
      </c>
      <c r="AL65" s="635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5">
        <v>56</v>
      </c>
      <c r="B66" s="1025">
        <v>13</v>
      </c>
      <c r="C66" s="1025" t="e">
        <f>VLOOKUP(D66,'DS CN MOI UP'!$B$10:$C$347,2,0)</f>
        <v>#N/A</v>
      </c>
      <c r="D66" s="1028" t="s">
        <v>442</v>
      </c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4"/>
      <c r="Z66" s="1074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6">
        <f t="shared" si="4"/>
        <v>0</v>
      </c>
      <c r="AK66" s="1076">
        <f t="shared" si="2"/>
        <v>0</v>
      </c>
      <c r="AL66" s="635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5">
        <v>57</v>
      </c>
      <c r="B67" s="1025">
        <v>14</v>
      </c>
      <c r="C67" s="1025" t="e">
        <f>VLOOKUP(D67,'DS CN MOI UP'!$B$10:$C$347,2,0)</f>
        <v>#N/A</v>
      </c>
      <c r="D67" s="1028" t="s">
        <v>443</v>
      </c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4"/>
      <c r="Z67" s="1074"/>
      <c r="AA67" s="1073"/>
      <c r="AB67" s="1073"/>
      <c r="AC67" s="1073"/>
      <c r="AD67" s="1073"/>
      <c r="AE67" s="1073"/>
      <c r="AF67" s="1073"/>
      <c r="AG67" s="1073"/>
      <c r="AH67" s="1073"/>
      <c r="AI67" s="1073"/>
      <c r="AJ67" s="1076">
        <f t="shared" si="4"/>
        <v>0</v>
      </c>
      <c r="AK67" s="1076">
        <f t="shared" si="2"/>
        <v>0</v>
      </c>
      <c r="AL67" s="635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5">
        <v>58</v>
      </c>
      <c r="B68" s="1025">
        <v>15</v>
      </c>
      <c r="C68" s="1025" t="e">
        <f>VLOOKUP(D68,'DS CN MOI UP'!$B$10:$C$347,2,0)</f>
        <v>#N/A</v>
      </c>
      <c r="D68" s="1028" t="s">
        <v>444</v>
      </c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4"/>
      <c r="Z68" s="1074"/>
      <c r="AA68" s="1073"/>
      <c r="AB68" s="1073"/>
      <c r="AC68" s="1073"/>
      <c r="AD68" s="1073"/>
      <c r="AE68" s="1073"/>
      <c r="AF68" s="1073"/>
      <c r="AG68" s="1073"/>
      <c r="AH68" s="1073"/>
      <c r="AI68" s="1073"/>
      <c r="AJ68" s="1076">
        <f t="shared" si="4"/>
        <v>0</v>
      </c>
      <c r="AK68" s="1076">
        <f t="shared" si="2"/>
        <v>0</v>
      </c>
      <c r="AL68" s="635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5">
        <v>59</v>
      </c>
      <c r="B69" s="1025">
        <v>16</v>
      </c>
      <c r="C69" s="1025" t="e">
        <f>VLOOKUP(D69,'DS CN MOI UP'!$B$10:$C$347,2,0)</f>
        <v>#N/A</v>
      </c>
      <c r="D69" s="1028" t="s">
        <v>445</v>
      </c>
      <c r="E69" s="1073"/>
      <c r="F69" s="1073"/>
      <c r="G69" s="1073"/>
      <c r="H69" s="1073"/>
      <c r="I69" s="1073"/>
      <c r="J69" s="1073"/>
      <c r="K69" s="1073"/>
      <c r="L69" s="1073"/>
      <c r="M69" s="1073"/>
      <c r="N69" s="1073"/>
      <c r="O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4"/>
      <c r="Z69" s="1074"/>
      <c r="AA69" s="1073"/>
      <c r="AB69" s="1073"/>
      <c r="AC69" s="1073"/>
      <c r="AD69" s="1073"/>
      <c r="AE69" s="1073"/>
      <c r="AF69" s="1073"/>
      <c r="AG69" s="1073"/>
      <c r="AH69" s="1073"/>
      <c r="AI69" s="1073"/>
      <c r="AJ69" s="1076">
        <f t="shared" si="4"/>
        <v>0</v>
      </c>
      <c r="AK69" s="1076">
        <f t="shared" si="2"/>
        <v>0</v>
      </c>
      <c r="AL69" s="635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5">
        <v>60</v>
      </c>
      <c r="B70" s="1025">
        <v>17</v>
      </c>
      <c r="C70" s="1025" t="e">
        <f>VLOOKUP(D70,'DS CN MOI UP'!$B$10:$C$347,2,0)</f>
        <v>#N/A</v>
      </c>
      <c r="D70" s="1028" t="s">
        <v>446</v>
      </c>
      <c r="E70" s="1073"/>
      <c r="F70" s="1073"/>
      <c r="G70" s="1073"/>
      <c r="H70" s="1073"/>
      <c r="I70" s="1073"/>
      <c r="J70" s="1073"/>
      <c r="K70" s="1073"/>
      <c r="L70" s="1073"/>
      <c r="M70" s="1073"/>
      <c r="N70" s="1073"/>
      <c r="O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4"/>
      <c r="Z70" s="1074"/>
      <c r="AA70" s="1073"/>
      <c r="AB70" s="1073"/>
      <c r="AC70" s="1073"/>
      <c r="AD70" s="1073"/>
      <c r="AE70" s="1073"/>
      <c r="AF70" s="1073"/>
      <c r="AG70" s="1073"/>
      <c r="AH70" s="1073"/>
      <c r="AI70" s="1073"/>
      <c r="AJ70" s="1076">
        <f t="shared" si="4"/>
        <v>0</v>
      </c>
      <c r="AK70" s="1076">
        <f t="shared" si="2"/>
        <v>0</v>
      </c>
      <c r="AL70" s="635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5">
        <v>61</v>
      </c>
      <c r="B71" s="1025">
        <v>18</v>
      </c>
      <c r="C71" s="1025" t="e">
        <f>VLOOKUP(D71,'DS CN MOI UP'!$B$10:$C$347,2,0)</f>
        <v>#N/A</v>
      </c>
      <c r="D71" s="1028" t="s">
        <v>348</v>
      </c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4"/>
      <c r="Z71" s="1074"/>
      <c r="AA71" s="1073"/>
      <c r="AB71" s="1073"/>
      <c r="AC71" s="1073"/>
      <c r="AD71" s="1073"/>
      <c r="AE71" s="1073"/>
      <c r="AF71" s="1073"/>
      <c r="AG71" s="1073"/>
      <c r="AH71" s="1073"/>
      <c r="AI71" s="1073"/>
      <c r="AJ71" s="1076">
        <f t="shared" si="4"/>
        <v>0</v>
      </c>
      <c r="AK71" s="1076">
        <f t="shared" si="2"/>
        <v>0</v>
      </c>
      <c r="AL71" s="635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5">
        <v>62</v>
      </c>
      <c r="B72" s="1025">
        <v>19</v>
      </c>
      <c r="C72" s="1025" t="e">
        <f>VLOOKUP(D72,'DS CN MOI UP'!$B$10:$C$347,2,0)</f>
        <v>#N/A</v>
      </c>
      <c r="D72" s="1028" t="s">
        <v>447</v>
      </c>
      <c r="E72" s="1073"/>
      <c r="F72" s="1073"/>
      <c r="G72" s="1073"/>
      <c r="H72" s="1073"/>
      <c r="I72" s="1073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4"/>
      <c r="Z72" s="1074"/>
      <c r="AA72" s="1073"/>
      <c r="AB72" s="1073"/>
      <c r="AC72" s="1073"/>
      <c r="AD72" s="1073"/>
      <c r="AE72" s="1073"/>
      <c r="AF72" s="1073"/>
      <c r="AG72" s="1073"/>
      <c r="AH72" s="1073"/>
      <c r="AI72" s="1073"/>
      <c r="AJ72" s="1076">
        <f t="shared" si="4"/>
        <v>0</v>
      </c>
      <c r="AK72" s="1076">
        <f t="shared" si="2"/>
        <v>0</v>
      </c>
      <c r="AL72" s="635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5">
        <v>63</v>
      </c>
      <c r="B73" s="1025">
        <v>20</v>
      </c>
      <c r="C73" s="1025" t="e">
        <f>VLOOKUP(D73,'DS CN MOI UP'!$B$10:$C$347,2,0)</f>
        <v>#N/A</v>
      </c>
      <c r="D73" s="1028" t="s">
        <v>448</v>
      </c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4"/>
      <c r="Z73" s="1074"/>
      <c r="AA73" s="1073"/>
      <c r="AB73" s="1073"/>
      <c r="AC73" s="1073"/>
      <c r="AD73" s="1073"/>
      <c r="AE73" s="1073"/>
      <c r="AF73" s="1073"/>
      <c r="AG73" s="1073"/>
      <c r="AH73" s="1073"/>
      <c r="AI73" s="1073"/>
      <c r="AJ73" s="1076">
        <f t="shared" si="4"/>
        <v>0</v>
      </c>
      <c r="AK73" s="1076">
        <f t="shared" si="2"/>
        <v>0</v>
      </c>
      <c r="AL73" s="635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5">
        <v>64</v>
      </c>
      <c r="B74" s="1025">
        <v>21</v>
      </c>
      <c r="C74" s="1025" t="e">
        <f>VLOOKUP(D74,'DS CN MOI UP'!$B$10:$C$347,2,0)</f>
        <v>#N/A</v>
      </c>
      <c r="D74" s="1028" t="s">
        <v>449</v>
      </c>
      <c r="E74" s="1073"/>
      <c r="F74" s="1073"/>
      <c r="G74" s="1073"/>
      <c r="H74" s="1073"/>
      <c r="I74" s="1073"/>
      <c r="J74" s="1073"/>
      <c r="K74" s="1073"/>
      <c r="L74" s="1073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4"/>
      <c r="Z74" s="1074"/>
      <c r="AA74" s="1073"/>
      <c r="AB74" s="1073"/>
      <c r="AC74" s="1073"/>
      <c r="AD74" s="1073"/>
      <c r="AE74" s="1073"/>
      <c r="AF74" s="1073"/>
      <c r="AG74" s="1073"/>
      <c r="AH74" s="1073"/>
      <c r="AI74" s="1073"/>
      <c r="AJ74" s="1076">
        <f t="shared" si="4"/>
        <v>0</v>
      </c>
      <c r="AK74" s="1076">
        <f t="shared" si="2"/>
        <v>0</v>
      </c>
      <c r="AL74" s="635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5">
        <v>65</v>
      </c>
      <c r="B75" s="1025">
        <v>22</v>
      </c>
      <c r="C75" s="1025" t="e">
        <f>VLOOKUP(D75,'DS CN MOI UP'!$B$10:$C$347,2,0)</f>
        <v>#N/A</v>
      </c>
      <c r="D75" s="1028" t="s">
        <v>450</v>
      </c>
      <c r="E75" s="1073"/>
      <c r="F75" s="1073"/>
      <c r="G75" s="1073"/>
      <c r="H75" s="1073"/>
      <c r="I75" s="1073"/>
      <c r="J75" s="1073"/>
      <c r="K75" s="1073"/>
      <c r="L75" s="1073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4"/>
      <c r="Z75" s="1074"/>
      <c r="AA75" s="1073"/>
      <c r="AB75" s="1073"/>
      <c r="AC75" s="1073"/>
      <c r="AD75" s="1073"/>
      <c r="AE75" s="1073"/>
      <c r="AF75" s="1073"/>
      <c r="AG75" s="1073"/>
      <c r="AH75" s="1073"/>
      <c r="AI75" s="1073"/>
      <c r="AJ75" s="1076">
        <f t="shared" si="4"/>
        <v>0</v>
      </c>
      <c r="AK75" s="1076">
        <f t="shared" ref="AK75:AK138" si="5">AJ75*$AN$6</f>
        <v>0</v>
      </c>
      <c r="AL75" s="635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5">
        <v>66</v>
      </c>
      <c r="B76" s="1025">
        <v>23</v>
      </c>
      <c r="C76" s="1025" t="e">
        <f>VLOOKUP(D76,'DS CN MOI UP'!$B$10:$C$347,2,0)</f>
        <v>#N/A</v>
      </c>
      <c r="D76" s="1028" t="s">
        <v>451</v>
      </c>
      <c r="E76" s="1073"/>
      <c r="F76" s="1073"/>
      <c r="G76" s="1073"/>
      <c r="H76" s="1073"/>
      <c r="I76" s="1073"/>
      <c r="J76" s="1073"/>
      <c r="K76" s="1073"/>
      <c r="L76" s="1073"/>
      <c r="M76" s="1073"/>
      <c r="N76" s="1073"/>
      <c r="O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4"/>
      <c r="Z76" s="1074"/>
      <c r="AA76" s="1073"/>
      <c r="AB76" s="1073"/>
      <c r="AC76" s="1073"/>
      <c r="AD76" s="1073"/>
      <c r="AE76" s="1073"/>
      <c r="AF76" s="1073"/>
      <c r="AG76" s="1073"/>
      <c r="AH76" s="1073"/>
      <c r="AI76" s="1073"/>
      <c r="AJ76" s="1076">
        <f t="shared" si="4"/>
        <v>0</v>
      </c>
      <c r="AK76" s="1076">
        <f t="shared" si="5"/>
        <v>0</v>
      </c>
      <c r="AL76" s="635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5">
        <v>67</v>
      </c>
      <c r="B77" s="1025">
        <v>24</v>
      </c>
      <c r="C77" s="1025" t="e">
        <f>VLOOKUP(D77,'DS CN MOI UP'!$B$10:$C$347,2,0)</f>
        <v>#N/A</v>
      </c>
      <c r="D77" s="1028" t="s">
        <v>452</v>
      </c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4"/>
      <c r="Z77" s="1074"/>
      <c r="AA77" s="1073"/>
      <c r="AB77" s="1073"/>
      <c r="AC77" s="1073"/>
      <c r="AD77" s="1073"/>
      <c r="AE77" s="1073"/>
      <c r="AF77" s="1073"/>
      <c r="AG77" s="1073"/>
      <c r="AH77" s="1073"/>
      <c r="AI77" s="1073"/>
      <c r="AJ77" s="1076">
        <f t="shared" si="4"/>
        <v>0</v>
      </c>
      <c r="AK77" s="1076">
        <f t="shared" si="5"/>
        <v>0</v>
      </c>
      <c r="AL77" s="635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5">
        <v>68</v>
      </c>
      <c r="B78" s="1025">
        <v>25</v>
      </c>
      <c r="C78" s="1025" t="e">
        <f>VLOOKUP(D78,'DS CN MOI UP'!$B$10:$C$347,2,0)</f>
        <v>#N/A</v>
      </c>
      <c r="D78" s="1028" t="s">
        <v>453</v>
      </c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4"/>
      <c r="Z78" s="1074"/>
      <c r="AA78" s="1073"/>
      <c r="AB78" s="1073"/>
      <c r="AC78" s="1073"/>
      <c r="AD78" s="1073"/>
      <c r="AE78" s="1073"/>
      <c r="AF78" s="1073"/>
      <c r="AG78" s="1073"/>
      <c r="AH78" s="1073"/>
      <c r="AI78" s="1073"/>
      <c r="AJ78" s="1076">
        <f t="shared" si="4"/>
        <v>0</v>
      </c>
      <c r="AK78" s="1076">
        <f t="shared" si="5"/>
        <v>0</v>
      </c>
      <c r="AL78" s="635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5">
        <v>69</v>
      </c>
      <c r="B79" s="1025">
        <v>26</v>
      </c>
      <c r="C79" s="1025" t="e">
        <f>VLOOKUP(D79,'DS CN MOI UP'!$B$10:$C$347,2,0)</f>
        <v>#N/A</v>
      </c>
      <c r="D79" s="1028" t="s">
        <v>454</v>
      </c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4"/>
      <c r="Z79" s="1074"/>
      <c r="AA79" s="1073"/>
      <c r="AB79" s="1073"/>
      <c r="AC79" s="1073"/>
      <c r="AD79" s="1073"/>
      <c r="AE79" s="1073"/>
      <c r="AF79" s="1073"/>
      <c r="AG79" s="1073"/>
      <c r="AH79" s="1073"/>
      <c r="AI79" s="1073"/>
      <c r="AJ79" s="1076">
        <f t="shared" si="4"/>
        <v>0</v>
      </c>
      <c r="AK79" s="1076">
        <f t="shared" si="5"/>
        <v>0</v>
      </c>
      <c r="AL79" s="635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5">
        <v>70</v>
      </c>
      <c r="B80" s="1025">
        <v>27</v>
      </c>
      <c r="C80" s="1025" t="e">
        <f>VLOOKUP(D80,'DS CN MOI UP'!$B$10:$C$347,2,0)</f>
        <v>#N/A</v>
      </c>
      <c r="D80" s="1028" t="s">
        <v>455</v>
      </c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4"/>
      <c r="Z80" s="1074"/>
      <c r="AA80" s="1073"/>
      <c r="AB80" s="1073"/>
      <c r="AC80" s="1073"/>
      <c r="AD80" s="1073"/>
      <c r="AE80" s="1073"/>
      <c r="AF80" s="1073"/>
      <c r="AG80" s="1073"/>
      <c r="AH80" s="1073"/>
      <c r="AI80" s="1073"/>
      <c r="AJ80" s="1076">
        <f t="shared" si="4"/>
        <v>0</v>
      </c>
      <c r="AK80" s="1076">
        <f t="shared" si="5"/>
        <v>0</v>
      </c>
      <c r="AL80" s="635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5">
        <v>71</v>
      </c>
      <c r="B81" s="1025">
        <v>28</v>
      </c>
      <c r="C81" s="1025" t="e">
        <f>VLOOKUP(D81,'DS CN MOI UP'!$B$10:$C$347,2,0)</f>
        <v>#N/A</v>
      </c>
      <c r="D81" s="1028" t="s">
        <v>456</v>
      </c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4"/>
      <c r="Z81" s="1074"/>
      <c r="AA81" s="1073"/>
      <c r="AB81" s="1073"/>
      <c r="AC81" s="1073"/>
      <c r="AD81" s="1073"/>
      <c r="AE81" s="1073"/>
      <c r="AF81" s="1073"/>
      <c r="AG81" s="1073"/>
      <c r="AH81" s="1073"/>
      <c r="AI81" s="1073"/>
      <c r="AJ81" s="1076">
        <f t="shared" si="4"/>
        <v>0</v>
      </c>
      <c r="AK81" s="1076">
        <f t="shared" si="5"/>
        <v>0</v>
      </c>
      <c r="AL81" s="635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5">
        <v>72</v>
      </c>
      <c r="B82" s="1025">
        <v>29</v>
      </c>
      <c r="C82" s="1025" t="e">
        <f>VLOOKUP(D82,'DS CN MOI UP'!$B$10:$C$347,2,0)</f>
        <v>#N/A</v>
      </c>
      <c r="D82" s="1028" t="s">
        <v>457</v>
      </c>
      <c r="E82" s="1073"/>
      <c r="F82" s="1073"/>
      <c r="G82" s="1073"/>
      <c r="H82" s="1073"/>
      <c r="I82" s="1073"/>
      <c r="J82" s="1073"/>
      <c r="K82" s="1073"/>
      <c r="L82" s="1073"/>
      <c r="M82" s="1073"/>
      <c r="N82" s="1073"/>
      <c r="O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4"/>
      <c r="Z82" s="1074"/>
      <c r="AA82" s="1073"/>
      <c r="AB82" s="1073"/>
      <c r="AC82" s="1073"/>
      <c r="AD82" s="1073"/>
      <c r="AE82" s="1073"/>
      <c r="AF82" s="1073"/>
      <c r="AG82" s="1073"/>
      <c r="AH82" s="1073"/>
      <c r="AI82" s="1073"/>
      <c r="AJ82" s="1076">
        <f t="shared" si="4"/>
        <v>0</v>
      </c>
      <c r="AK82" s="1076">
        <f t="shared" si="5"/>
        <v>0</v>
      </c>
      <c r="AL82" s="635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5">
        <v>73</v>
      </c>
      <c r="B83" s="1025">
        <v>30</v>
      </c>
      <c r="C83" s="1025" t="e">
        <f>VLOOKUP(D83,'DS CN MOI UP'!$B$10:$C$347,2,0)</f>
        <v>#N/A</v>
      </c>
      <c r="D83" s="1028" t="s">
        <v>458</v>
      </c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4"/>
      <c r="Z83" s="1074"/>
      <c r="AA83" s="1073"/>
      <c r="AB83" s="1073"/>
      <c r="AC83" s="1073"/>
      <c r="AD83" s="1073"/>
      <c r="AE83" s="1073"/>
      <c r="AF83" s="1073"/>
      <c r="AG83" s="1073"/>
      <c r="AH83" s="1073"/>
      <c r="AI83" s="1073"/>
      <c r="AJ83" s="1076">
        <f t="shared" si="4"/>
        <v>0</v>
      </c>
      <c r="AK83" s="1076">
        <f t="shared" si="5"/>
        <v>0</v>
      </c>
      <c r="AL83" s="635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5">
        <v>74</v>
      </c>
      <c r="B84" s="1025">
        <v>31</v>
      </c>
      <c r="C84" s="1025" t="e">
        <f>VLOOKUP(D84,'DS CN MOI UP'!$B$10:$C$347,2,0)</f>
        <v>#N/A</v>
      </c>
      <c r="D84" s="1028" t="s">
        <v>459</v>
      </c>
      <c r="E84" s="1073"/>
      <c r="F84" s="1073"/>
      <c r="G84" s="1073"/>
      <c r="H84" s="1073"/>
      <c r="I84" s="1073"/>
      <c r="J84" s="1073"/>
      <c r="K84" s="1073"/>
      <c r="L84" s="1073"/>
      <c r="M84" s="1073"/>
      <c r="N84" s="1073"/>
      <c r="O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4"/>
      <c r="Z84" s="1074"/>
      <c r="AA84" s="1073"/>
      <c r="AB84" s="1073"/>
      <c r="AC84" s="1073"/>
      <c r="AD84" s="1073"/>
      <c r="AE84" s="1073"/>
      <c r="AF84" s="1073"/>
      <c r="AG84" s="1073"/>
      <c r="AH84" s="1073"/>
      <c r="AI84" s="1073"/>
      <c r="AJ84" s="1076">
        <f t="shared" si="4"/>
        <v>0</v>
      </c>
      <c r="AK84" s="1076">
        <f t="shared" si="5"/>
        <v>0</v>
      </c>
      <c r="AL84" s="635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5">
        <v>75</v>
      </c>
      <c r="B85" s="1025">
        <v>32</v>
      </c>
      <c r="C85" s="1025" t="e">
        <f>VLOOKUP(D85,'DS CN MOI UP'!$B$10:$C$347,2,0)</f>
        <v>#N/A</v>
      </c>
      <c r="D85" s="1028" t="s">
        <v>460</v>
      </c>
      <c r="E85" s="1073"/>
      <c r="F85" s="1073"/>
      <c r="G85" s="1073"/>
      <c r="H85" s="1073"/>
      <c r="I85" s="1073"/>
      <c r="J85" s="1073"/>
      <c r="K85" s="1073"/>
      <c r="L85" s="1073"/>
      <c r="M85" s="1073"/>
      <c r="N85" s="1073"/>
      <c r="O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4"/>
      <c r="Z85" s="1074"/>
      <c r="AA85" s="1073"/>
      <c r="AB85" s="1073"/>
      <c r="AC85" s="1073"/>
      <c r="AD85" s="1073"/>
      <c r="AE85" s="1073"/>
      <c r="AF85" s="1073"/>
      <c r="AG85" s="1073"/>
      <c r="AH85" s="1073"/>
      <c r="AI85" s="1073"/>
      <c r="AJ85" s="1076">
        <f t="shared" si="4"/>
        <v>0</v>
      </c>
      <c r="AK85" s="1076">
        <f t="shared" si="5"/>
        <v>0</v>
      </c>
      <c r="AL85" s="635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5">
        <v>76</v>
      </c>
      <c r="B86" s="1025">
        <v>33</v>
      </c>
      <c r="C86" s="1025" t="e">
        <f>VLOOKUP(D86,'DS CN MOI UP'!$B$10:$C$347,2,0)</f>
        <v>#N/A</v>
      </c>
      <c r="D86" s="1028" t="s">
        <v>461</v>
      </c>
      <c r="E86" s="1073"/>
      <c r="F86" s="1073"/>
      <c r="G86" s="1073"/>
      <c r="H86" s="1073"/>
      <c r="I86" s="1073"/>
      <c r="J86" s="1073"/>
      <c r="K86" s="1073"/>
      <c r="L86" s="1073"/>
      <c r="M86" s="1073"/>
      <c r="N86" s="1073"/>
      <c r="O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4"/>
      <c r="Z86" s="1074"/>
      <c r="AA86" s="1073"/>
      <c r="AB86" s="1073"/>
      <c r="AC86" s="1073"/>
      <c r="AD86" s="1073"/>
      <c r="AE86" s="1073"/>
      <c r="AF86" s="1073"/>
      <c r="AG86" s="1073"/>
      <c r="AH86" s="1073"/>
      <c r="AI86" s="1073"/>
      <c r="AJ86" s="1076">
        <f t="shared" si="4"/>
        <v>0</v>
      </c>
      <c r="AK86" s="1076">
        <f t="shared" si="5"/>
        <v>0</v>
      </c>
      <c r="AL86" s="635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5">
        <v>77</v>
      </c>
      <c r="B87" s="1025">
        <v>34</v>
      </c>
      <c r="C87" s="1025" t="e">
        <f>VLOOKUP(D87,'DS CN MOI UP'!$B$10:$C$347,2,0)</f>
        <v>#N/A</v>
      </c>
      <c r="D87" s="1028" t="s">
        <v>462</v>
      </c>
      <c r="E87" s="1073"/>
      <c r="F87" s="1073"/>
      <c r="G87" s="1073"/>
      <c r="H87" s="1073"/>
      <c r="I87" s="1073"/>
      <c r="J87" s="1073"/>
      <c r="K87" s="1073"/>
      <c r="L87" s="1073"/>
      <c r="M87" s="1073"/>
      <c r="N87" s="1073"/>
      <c r="O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4"/>
      <c r="Z87" s="1074"/>
      <c r="AA87" s="1073"/>
      <c r="AB87" s="1073"/>
      <c r="AC87" s="1073"/>
      <c r="AD87" s="1073"/>
      <c r="AE87" s="1073"/>
      <c r="AF87" s="1073"/>
      <c r="AG87" s="1073"/>
      <c r="AH87" s="1073"/>
      <c r="AI87" s="1073"/>
      <c r="AJ87" s="1076">
        <f t="shared" si="4"/>
        <v>0</v>
      </c>
      <c r="AK87" s="1076">
        <f t="shared" si="5"/>
        <v>0</v>
      </c>
      <c r="AL87" s="635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5">
        <v>78</v>
      </c>
      <c r="B88" s="1025">
        <v>35</v>
      </c>
      <c r="C88" s="1025" t="e">
        <f>VLOOKUP(D88,'DS CN MOI UP'!$B$10:$C$347,2,0)</f>
        <v>#N/A</v>
      </c>
      <c r="D88" s="1028" t="s">
        <v>463</v>
      </c>
      <c r="E88" s="1073"/>
      <c r="F88" s="1073"/>
      <c r="G88" s="1073"/>
      <c r="H88" s="1073"/>
      <c r="I88" s="1073"/>
      <c r="J88" s="1073"/>
      <c r="K88" s="1073"/>
      <c r="L88" s="1073"/>
      <c r="M88" s="1073"/>
      <c r="N88" s="1073"/>
      <c r="O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4"/>
      <c r="Z88" s="1074"/>
      <c r="AA88" s="1073"/>
      <c r="AB88" s="1073"/>
      <c r="AC88" s="1073"/>
      <c r="AD88" s="1073"/>
      <c r="AE88" s="1073"/>
      <c r="AF88" s="1073"/>
      <c r="AG88" s="1073"/>
      <c r="AH88" s="1073"/>
      <c r="AI88" s="1073"/>
      <c r="AJ88" s="1076">
        <f t="shared" si="4"/>
        <v>0</v>
      </c>
      <c r="AK88" s="1076">
        <f t="shared" si="5"/>
        <v>0</v>
      </c>
      <c r="AL88" s="635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5">
        <v>79</v>
      </c>
      <c r="B89" s="1025">
        <v>36</v>
      </c>
      <c r="C89" s="1025" t="e">
        <f>VLOOKUP(D89,'DS CN MOI UP'!$B$10:$C$347,2,0)</f>
        <v>#N/A</v>
      </c>
      <c r="D89" s="1028" t="s">
        <v>464</v>
      </c>
      <c r="E89" s="1073"/>
      <c r="F89" s="1073"/>
      <c r="G89" s="1073"/>
      <c r="H89" s="1073"/>
      <c r="I89" s="1073"/>
      <c r="J89" s="1073"/>
      <c r="K89" s="1073"/>
      <c r="L89" s="1073"/>
      <c r="M89" s="1073"/>
      <c r="N89" s="1073"/>
      <c r="O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4"/>
      <c r="Z89" s="1074"/>
      <c r="AA89" s="1073"/>
      <c r="AB89" s="1073"/>
      <c r="AC89" s="1073"/>
      <c r="AD89" s="1073"/>
      <c r="AE89" s="1073"/>
      <c r="AF89" s="1073"/>
      <c r="AG89" s="1073"/>
      <c r="AH89" s="1073"/>
      <c r="AI89" s="1073"/>
      <c r="AJ89" s="1076">
        <f t="shared" si="4"/>
        <v>0</v>
      </c>
      <c r="AK89" s="1076">
        <f t="shared" si="5"/>
        <v>0</v>
      </c>
      <c r="AL89" s="635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5">
        <v>80</v>
      </c>
      <c r="B90" s="1025">
        <v>37</v>
      </c>
      <c r="C90" s="1025" t="e">
        <f>VLOOKUP(D90,'DS CN MOI UP'!$B$10:$C$347,2,0)</f>
        <v>#N/A</v>
      </c>
      <c r="D90" s="1028" t="s">
        <v>465</v>
      </c>
      <c r="E90" s="1073"/>
      <c r="F90" s="1073"/>
      <c r="G90" s="1073"/>
      <c r="H90" s="1073"/>
      <c r="I90" s="1073"/>
      <c r="J90" s="1073"/>
      <c r="K90" s="1073"/>
      <c r="L90" s="1073"/>
      <c r="M90" s="1073"/>
      <c r="N90" s="1073"/>
      <c r="O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4"/>
      <c r="Z90" s="1074"/>
      <c r="AA90" s="1073"/>
      <c r="AB90" s="1073"/>
      <c r="AC90" s="1073"/>
      <c r="AD90" s="1073"/>
      <c r="AE90" s="1073"/>
      <c r="AF90" s="1073"/>
      <c r="AG90" s="1073"/>
      <c r="AH90" s="1073"/>
      <c r="AI90" s="1073"/>
      <c r="AJ90" s="1076">
        <f t="shared" si="4"/>
        <v>0</v>
      </c>
      <c r="AK90" s="1076">
        <f t="shared" si="5"/>
        <v>0</v>
      </c>
      <c r="AL90" s="635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5">
        <v>81</v>
      </c>
      <c r="B91" s="1025">
        <v>38</v>
      </c>
      <c r="C91" s="1025" t="e">
        <f>VLOOKUP(D91,'DS CN MOI UP'!$B$10:$C$347,2,0)</f>
        <v>#N/A</v>
      </c>
      <c r="D91" s="1028" t="s">
        <v>466</v>
      </c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4"/>
      <c r="Z91" s="1074"/>
      <c r="AA91" s="1073"/>
      <c r="AB91" s="1073"/>
      <c r="AC91" s="1073"/>
      <c r="AD91" s="1073"/>
      <c r="AE91" s="1073"/>
      <c r="AF91" s="1073"/>
      <c r="AG91" s="1073"/>
      <c r="AH91" s="1073"/>
      <c r="AI91" s="1073"/>
      <c r="AJ91" s="1076">
        <f t="shared" si="4"/>
        <v>0</v>
      </c>
      <c r="AK91" s="1076">
        <f t="shared" si="5"/>
        <v>0</v>
      </c>
      <c r="AL91" s="635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5">
        <v>82</v>
      </c>
      <c r="B92" s="1025">
        <v>39</v>
      </c>
      <c r="C92" s="1025" t="e">
        <f>VLOOKUP(D92,'DS CN MOI UP'!$B$10:$C$347,2,0)</f>
        <v>#N/A</v>
      </c>
      <c r="D92" s="1028" t="s">
        <v>467</v>
      </c>
      <c r="E92" s="1073"/>
      <c r="F92" s="1073"/>
      <c r="G92" s="1073"/>
      <c r="H92" s="1073"/>
      <c r="I92" s="1073"/>
      <c r="J92" s="1073"/>
      <c r="K92" s="1073"/>
      <c r="L92" s="1073"/>
      <c r="M92" s="1073"/>
      <c r="N92" s="1073"/>
      <c r="O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4"/>
      <c r="Z92" s="1074"/>
      <c r="AA92" s="1073"/>
      <c r="AB92" s="1073"/>
      <c r="AC92" s="1073"/>
      <c r="AD92" s="1073"/>
      <c r="AE92" s="1073"/>
      <c r="AF92" s="1073"/>
      <c r="AG92" s="1073"/>
      <c r="AH92" s="1073"/>
      <c r="AI92" s="1073"/>
      <c r="AJ92" s="1076">
        <f t="shared" si="4"/>
        <v>0</v>
      </c>
      <c r="AK92" s="1076">
        <f t="shared" si="5"/>
        <v>0</v>
      </c>
      <c r="AL92" s="635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5">
        <v>83</v>
      </c>
      <c r="B93" s="1025">
        <v>40</v>
      </c>
      <c r="C93" s="1025" t="e">
        <f>VLOOKUP(D93,'DS CN MOI UP'!$B$10:$C$347,2,0)</f>
        <v>#N/A</v>
      </c>
      <c r="D93" s="1028" t="s">
        <v>468</v>
      </c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4"/>
      <c r="Z93" s="1074"/>
      <c r="AA93" s="1073"/>
      <c r="AB93" s="1073"/>
      <c r="AC93" s="1073"/>
      <c r="AD93" s="1073"/>
      <c r="AE93" s="1073"/>
      <c r="AF93" s="1073"/>
      <c r="AG93" s="1073"/>
      <c r="AH93" s="1073"/>
      <c r="AI93" s="1073"/>
      <c r="AJ93" s="1076">
        <f t="shared" si="4"/>
        <v>0</v>
      </c>
      <c r="AK93" s="1076">
        <f t="shared" si="5"/>
        <v>0</v>
      </c>
      <c r="AL93" s="635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5">
        <v>84</v>
      </c>
      <c r="B94" s="1025">
        <v>41</v>
      </c>
      <c r="C94" s="1025" t="e">
        <f>VLOOKUP(D94,'DS CN MOI UP'!$B$10:$C$347,2,0)</f>
        <v>#N/A</v>
      </c>
      <c r="D94" s="1028" t="s">
        <v>469</v>
      </c>
      <c r="E94" s="1073"/>
      <c r="F94" s="1073"/>
      <c r="G94" s="1073"/>
      <c r="H94" s="1073"/>
      <c r="I94" s="1073"/>
      <c r="J94" s="1073"/>
      <c r="K94" s="1073"/>
      <c r="L94" s="1073"/>
      <c r="M94" s="1073"/>
      <c r="N94" s="1073"/>
      <c r="O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4"/>
      <c r="Z94" s="1077"/>
      <c r="AA94" s="1073"/>
      <c r="AB94" s="1073"/>
      <c r="AC94" s="1073"/>
      <c r="AD94" s="1073"/>
      <c r="AE94" s="1073"/>
      <c r="AF94" s="1073"/>
      <c r="AG94" s="1073"/>
      <c r="AH94" s="1073"/>
      <c r="AI94" s="1073"/>
      <c r="AJ94" s="1076">
        <f t="shared" si="4"/>
        <v>0</v>
      </c>
      <c r="AK94" s="1076">
        <f t="shared" si="5"/>
        <v>0</v>
      </c>
      <c r="AL94" s="635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5">
        <v>85</v>
      </c>
      <c r="B95" s="1025">
        <v>42</v>
      </c>
      <c r="C95" s="1025" t="e">
        <f>VLOOKUP(D95,'DS CN MOI UP'!$B$10:$C$347,2,0)</f>
        <v>#N/A</v>
      </c>
      <c r="D95" s="1028" t="s">
        <v>470</v>
      </c>
      <c r="E95" s="1073"/>
      <c r="F95" s="1073"/>
      <c r="G95" s="1073"/>
      <c r="H95" s="1073"/>
      <c r="I95" s="1073"/>
      <c r="J95" s="1073"/>
      <c r="K95" s="1073"/>
      <c r="L95" s="1073"/>
      <c r="M95" s="1073"/>
      <c r="N95" s="1073"/>
      <c r="O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4"/>
      <c r="Z95" s="1074"/>
      <c r="AA95" s="1073"/>
      <c r="AB95" s="1073"/>
      <c r="AC95" s="1073"/>
      <c r="AD95" s="1073"/>
      <c r="AE95" s="1073"/>
      <c r="AF95" s="1073"/>
      <c r="AG95" s="1073"/>
      <c r="AH95" s="1073"/>
      <c r="AI95" s="1073"/>
      <c r="AJ95" s="1076">
        <f t="shared" si="4"/>
        <v>0</v>
      </c>
      <c r="AK95" s="1076">
        <f t="shared" si="5"/>
        <v>0</v>
      </c>
      <c r="AL95" s="635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5">
        <v>86</v>
      </c>
      <c r="B96" s="1025">
        <v>43</v>
      </c>
      <c r="C96" s="1025" t="e">
        <f>VLOOKUP(D96,'DS CN MOI UP'!$B$10:$C$347,2,0)</f>
        <v>#N/A</v>
      </c>
      <c r="D96" s="1028" t="s">
        <v>471</v>
      </c>
      <c r="E96" s="1073"/>
      <c r="F96" s="1073"/>
      <c r="G96" s="1073"/>
      <c r="H96" s="1073"/>
      <c r="I96" s="1073"/>
      <c r="J96" s="1073"/>
      <c r="K96" s="1073"/>
      <c r="L96" s="1073"/>
      <c r="M96" s="1073"/>
      <c r="N96" s="1073"/>
      <c r="O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4"/>
      <c r="Z96" s="1074"/>
      <c r="AA96" s="1073"/>
      <c r="AB96" s="1073"/>
      <c r="AC96" s="1073"/>
      <c r="AD96" s="1073"/>
      <c r="AE96" s="1073"/>
      <c r="AF96" s="1073"/>
      <c r="AG96" s="1073"/>
      <c r="AH96" s="1073"/>
      <c r="AI96" s="1073"/>
      <c r="AJ96" s="1076">
        <f t="shared" si="4"/>
        <v>0</v>
      </c>
      <c r="AK96" s="1076">
        <f t="shared" si="5"/>
        <v>0</v>
      </c>
      <c r="AL96" s="635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5">
        <v>87</v>
      </c>
      <c r="B97" s="1025">
        <v>44</v>
      </c>
      <c r="C97" s="1025" t="e">
        <f>VLOOKUP(D97,'DS CN MOI UP'!$B$10:$C$347,2,0)</f>
        <v>#N/A</v>
      </c>
      <c r="D97" s="1028" t="s">
        <v>472</v>
      </c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4"/>
      <c r="Z97" s="1078"/>
      <c r="AA97" s="1073"/>
      <c r="AB97" s="1073"/>
      <c r="AC97" s="1073"/>
      <c r="AD97" s="1073"/>
      <c r="AE97" s="1073"/>
      <c r="AF97" s="1073"/>
      <c r="AG97" s="1073"/>
      <c r="AH97" s="1073"/>
      <c r="AI97" s="1073"/>
      <c r="AJ97" s="1076">
        <f t="shared" si="4"/>
        <v>0</v>
      </c>
      <c r="AK97" s="1076">
        <f t="shared" si="5"/>
        <v>0</v>
      </c>
      <c r="AL97" s="635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5">
        <v>88</v>
      </c>
      <c r="B98" s="1025">
        <v>45</v>
      </c>
      <c r="C98" s="1025" t="e">
        <f>VLOOKUP(D98,'DS CN MOI UP'!$B$10:$C$347,2,0)</f>
        <v>#N/A</v>
      </c>
      <c r="D98" s="1028" t="s">
        <v>473</v>
      </c>
      <c r="E98" s="1073"/>
      <c r="F98" s="1073"/>
      <c r="G98" s="1073"/>
      <c r="H98" s="1073"/>
      <c r="I98" s="1073"/>
      <c r="J98" s="1073"/>
      <c r="K98" s="1073"/>
      <c r="L98" s="1073"/>
      <c r="M98" s="1073"/>
      <c r="N98" s="1073"/>
      <c r="O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4"/>
      <c r="Z98" s="1074"/>
      <c r="AA98" s="1073"/>
      <c r="AB98" s="1073"/>
      <c r="AC98" s="1073"/>
      <c r="AD98" s="1073"/>
      <c r="AE98" s="1073"/>
      <c r="AF98" s="1073"/>
      <c r="AG98" s="1073"/>
      <c r="AH98" s="1073"/>
      <c r="AI98" s="1073"/>
      <c r="AJ98" s="1076">
        <f t="shared" si="4"/>
        <v>0</v>
      </c>
      <c r="AK98" s="1076">
        <f t="shared" si="5"/>
        <v>0</v>
      </c>
      <c r="AL98" s="635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5">
        <v>89</v>
      </c>
      <c r="B99" s="1025">
        <v>46</v>
      </c>
      <c r="C99" s="1025" t="e">
        <f>VLOOKUP(D99,'DS CN MOI UP'!$B$10:$C$347,2,0)</f>
        <v>#N/A</v>
      </c>
      <c r="D99" s="1028" t="s">
        <v>474</v>
      </c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4"/>
      <c r="Z99" s="1074"/>
      <c r="AA99" s="1073"/>
      <c r="AB99" s="1073"/>
      <c r="AC99" s="1073"/>
      <c r="AD99" s="1073"/>
      <c r="AE99" s="1073"/>
      <c r="AF99" s="1073"/>
      <c r="AG99" s="1073"/>
      <c r="AH99" s="1073"/>
      <c r="AI99" s="1073"/>
      <c r="AJ99" s="1076">
        <f t="shared" si="4"/>
        <v>0</v>
      </c>
      <c r="AK99" s="1076">
        <f t="shared" si="5"/>
        <v>0</v>
      </c>
      <c r="AL99" s="635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5">
        <v>90</v>
      </c>
      <c r="B100" s="1025">
        <v>47</v>
      </c>
      <c r="C100" s="1025" t="e">
        <f>VLOOKUP(D100,'DS CN MOI UP'!$B$10:$C$347,2,0)</f>
        <v>#N/A</v>
      </c>
      <c r="D100" s="1028" t="s">
        <v>475</v>
      </c>
      <c r="E100" s="1073"/>
      <c r="F100" s="1073"/>
      <c r="G100" s="1073"/>
      <c r="H100" s="1073"/>
      <c r="I100" s="1073"/>
      <c r="J100" s="1073"/>
      <c r="K100" s="1073"/>
      <c r="L100" s="1073"/>
      <c r="M100" s="1073"/>
      <c r="N100" s="1073"/>
      <c r="O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4"/>
      <c r="Z100" s="1074"/>
      <c r="AA100" s="1073"/>
      <c r="AB100" s="1073"/>
      <c r="AC100" s="1073"/>
      <c r="AD100" s="1073"/>
      <c r="AE100" s="1073"/>
      <c r="AF100" s="1073"/>
      <c r="AG100" s="1073"/>
      <c r="AH100" s="1073"/>
      <c r="AI100" s="1073"/>
      <c r="AJ100" s="1076">
        <f t="shared" si="4"/>
        <v>0</v>
      </c>
      <c r="AK100" s="1076">
        <f t="shared" si="5"/>
        <v>0</v>
      </c>
      <c r="AL100" s="635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5">
        <v>91</v>
      </c>
      <c r="B101" s="1025">
        <v>48</v>
      </c>
      <c r="C101" s="1025" t="e">
        <f>VLOOKUP(D101,'DS CN MOI UP'!$B$10:$C$347,2,0)</f>
        <v>#N/A</v>
      </c>
      <c r="D101" s="1028" t="s">
        <v>476</v>
      </c>
      <c r="E101" s="1073"/>
      <c r="F101" s="1073"/>
      <c r="G101" s="1073"/>
      <c r="H101" s="1073"/>
      <c r="I101" s="1073"/>
      <c r="J101" s="1073"/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4"/>
      <c r="Z101" s="1074"/>
      <c r="AA101" s="1073"/>
      <c r="AB101" s="1073"/>
      <c r="AC101" s="1073"/>
      <c r="AD101" s="1073"/>
      <c r="AE101" s="1073"/>
      <c r="AF101" s="1073"/>
      <c r="AG101" s="1073"/>
      <c r="AH101" s="1073"/>
      <c r="AI101" s="1073"/>
      <c r="AJ101" s="1076">
        <f t="shared" si="4"/>
        <v>0</v>
      </c>
      <c r="AK101" s="1076">
        <f t="shared" si="5"/>
        <v>0</v>
      </c>
      <c r="AL101" s="635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5">
        <v>92</v>
      </c>
      <c r="B102" s="1025">
        <v>49</v>
      </c>
      <c r="C102" s="1025" t="e">
        <f>VLOOKUP(D102,'DS CN MOI UP'!$B$10:$C$347,2,0)</f>
        <v>#N/A</v>
      </c>
      <c r="D102" s="1028" t="s">
        <v>477</v>
      </c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4"/>
      <c r="Z102" s="1074"/>
      <c r="AA102" s="1073"/>
      <c r="AB102" s="1073"/>
      <c r="AC102" s="1073"/>
      <c r="AD102" s="1073"/>
      <c r="AE102" s="1073"/>
      <c r="AF102" s="1073"/>
      <c r="AG102" s="1073"/>
      <c r="AH102" s="1073"/>
      <c r="AI102" s="1073"/>
      <c r="AJ102" s="1076">
        <f t="shared" si="4"/>
        <v>0</v>
      </c>
      <c r="AK102" s="1076">
        <f t="shared" si="5"/>
        <v>0</v>
      </c>
      <c r="AL102" s="635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5">
        <v>93</v>
      </c>
      <c r="B103" s="1025">
        <v>50</v>
      </c>
      <c r="C103" s="1025" t="e">
        <f>VLOOKUP(D103,'DS CN MOI UP'!$B$10:$C$347,2,0)</f>
        <v>#N/A</v>
      </c>
      <c r="D103" s="1028" t="s">
        <v>909</v>
      </c>
      <c r="E103" s="1073"/>
      <c r="F103" s="1073"/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4"/>
      <c r="Z103" s="1074"/>
      <c r="AA103" s="1073"/>
      <c r="AB103" s="1073"/>
      <c r="AC103" s="1073"/>
      <c r="AD103" s="1073"/>
      <c r="AE103" s="1073"/>
      <c r="AF103" s="1073"/>
      <c r="AG103" s="1073"/>
      <c r="AH103" s="1073"/>
      <c r="AI103" s="1073"/>
      <c r="AJ103" s="1076">
        <f t="shared" si="4"/>
        <v>0</v>
      </c>
      <c r="AK103" s="1076">
        <f t="shared" si="5"/>
        <v>0</v>
      </c>
      <c r="AL103" s="635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5">
        <v>94</v>
      </c>
      <c r="B104" s="1025">
        <v>51</v>
      </c>
      <c r="C104" s="1025" t="e">
        <f>VLOOKUP(D104,'DS CN MOI UP'!$B$10:$C$347,2,0)</f>
        <v>#N/A</v>
      </c>
      <c r="D104" s="1028" t="s">
        <v>479</v>
      </c>
      <c r="E104" s="1073"/>
      <c r="F104" s="1073"/>
      <c r="G104" s="1073"/>
      <c r="H104" s="1073"/>
      <c r="I104" s="1073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4"/>
      <c r="Z104" s="1074"/>
      <c r="AA104" s="1073"/>
      <c r="AB104" s="1073"/>
      <c r="AC104" s="1073"/>
      <c r="AD104" s="1073"/>
      <c r="AE104" s="1073"/>
      <c r="AF104" s="1073"/>
      <c r="AG104" s="1073"/>
      <c r="AH104" s="1073"/>
      <c r="AI104" s="1073"/>
      <c r="AJ104" s="1076">
        <f t="shared" si="4"/>
        <v>0</v>
      </c>
      <c r="AK104" s="1076">
        <f t="shared" si="5"/>
        <v>0</v>
      </c>
      <c r="AL104" s="635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5">
        <v>95</v>
      </c>
      <c r="B105" s="1025">
        <v>52</v>
      </c>
      <c r="C105" s="1025" t="e">
        <f>VLOOKUP(D105,'DS CN MOI UP'!$B$10:$C$347,2,0)</f>
        <v>#N/A</v>
      </c>
      <c r="D105" s="1028" t="s">
        <v>480</v>
      </c>
      <c r="E105" s="1073"/>
      <c r="F105" s="1073"/>
      <c r="G105" s="1073"/>
      <c r="H105" s="1073"/>
      <c r="I105" s="1073"/>
      <c r="J105" s="1073"/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4"/>
      <c r="Z105" s="1074"/>
      <c r="AA105" s="1073"/>
      <c r="AB105" s="1073"/>
      <c r="AC105" s="1073"/>
      <c r="AD105" s="1073"/>
      <c r="AE105" s="1073"/>
      <c r="AF105" s="1073"/>
      <c r="AG105" s="1073"/>
      <c r="AH105" s="1073"/>
      <c r="AI105" s="1073"/>
      <c r="AJ105" s="1076">
        <f t="shared" si="4"/>
        <v>0</v>
      </c>
      <c r="AK105" s="1076">
        <f t="shared" si="5"/>
        <v>0</v>
      </c>
      <c r="AL105" s="635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5">
        <v>96</v>
      </c>
      <c r="B106" s="1025">
        <v>53</v>
      </c>
      <c r="C106" s="1025" t="e">
        <f>VLOOKUP(D106,'DS CN MOI UP'!$B$10:$C$347,2,0)</f>
        <v>#N/A</v>
      </c>
      <c r="D106" s="1028" t="s">
        <v>481</v>
      </c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4"/>
      <c r="Z106" s="1074"/>
      <c r="AA106" s="1073"/>
      <c r="AB106" s="1073"/>
      <c r="AC106" s="1073"/>
      <c r="AD106" s="1073"/>
      <c r="AE106" s="1073"/>
      <c r="AF106" s="1073"/>
      <c r="AG106" s="1073"/>
      <c r="AH106" s="1073"/>
      <c r="AI106" s="1073"/>
      <c r="AJ106" s="1076">
        <f t="shared" si="4"/>
        <v>0</v>
      </c>
      <c r="AK106" s="1076">
        <f t="shared" si="5"/>
        <v>0</v>
      </c>
      <c r="AL106" s="635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5">
        <v>97</v>
      </c>
      <c r="B107" s="1025">
        <v>54</v>
      </c>
      <c r="C107" s="1025" t="e">
        <f>VLOOKUP(D107,'DS CN MOI UP'!$B$10:$C$347,2,0)</f>
        <v>#N/A</v>
      </c>
      <c r="D107" s="1028" t="s">
        <v>482</v>
      </c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4"/>
      <c r="Z107" s="1074"/>
      <c r="AA107" s="1073"/>
      <c r="AB107" s="1073"/>
      <c r="AC107" s="1073"/>
      <c r="AD107" s="1073"/>
      <c r="AE107" s="1073"/>
      <c r="AF107" s="1073"/>
      <c r="AG107" s="1073"/>
      <c r="AH107" s="1073"/>
      <c r="AI107" s="1073"/>
      <c r="AJ107" s="1076">
        <f t="shared" si="4"/>
        <v>0</v>
      </c>
      <c r="AK107" s="1076">
        <f t="shared" si="5"/>
        <v>0</v>
      </c>
      <c r="AL107" s="635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5">
        <v>98</v>
      </c>
      <c r="B108" s="1025">
        <v>55</v>
      </c>
      <c r="C108" s="1025" t="e">
        <f>VLOOKUP(D108,'DS CN MOI UP'!$B$10:$C$347,2,0)</f>
        <v>#N/A</v>
      </c>
      <c r="D108" s="1028" t="s">
        <v>483</v>
      </c>
      <c r="E108" s="1073"/>
      <c r="F108" s="1073"/>
      <c r="G108" s="1073"/>
      <c r="H108" s="1073"/>
      <c r="I108" s="1073"/>
      <c r="J108" s="1073"/>
      <c r="K108" s="1073"/>
      <c r="L108" s="1073"/>
      <c r="M108" s="1073"/>
      <c r="N108" s="1073"/>
      <c r="O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4"/>
      <c r="Z108" s="1074"/>
      <c r="AA108" s="1073"/>
      <c r="AB108" s="1073"/>
      <c r="AC108" s="1073"/>
      <c r="AD108" s="1073"/>
      <c r="AE108" s="1073"/>
      <c r="AF108" s="1073"/>
      <c r="AG108" s="1073"/>
      <c r="AH108" s="1073"/>
      <c r="AI108" s="1073"/>
      <c r="AJ108" s="1076">
        <f t="shared" si="4"/>
        <v>0</v>
      </c>
      <c r="AK108" s="1076">
        <f t="shared" si="5"/>
        <v>0</v>
      </c>
      <c r="AL108" s="635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5">
        <v>99</v>
      </c>
      <c r="B109" s="1025">
        <v>55</v>
      </c>
      <c r="C109" s="1025" t="e">
        <f>VLOOKUP(D109,'DS CN MOI UP'!$B$10:$C$347,2,0)</f>
        <v>#N/A</v>
      </c>
      <c r="D109" s="1028" t="s">
        <v>1941</v>
      </c>
      <c r="E109" s="1073"/>
      <c r="F109" s="1073"/>
      <c r="G109" s="1073"/>
      <c r="H109" s="1073"/>
      <c r="I109" s="1073"/>
      <c r="J109" s="1073"/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4"/>
      <c r="Z109" s="1074"/>
      <c r="AA109" s="1073"/>
      <c r="AB109" s="1073"/>
      <c r="AC109" s="1073"/>
      <c r="AD109" s="1073"/>
      <c r="AE109" s="1073"/>
      <c r="AF109" s="1073"/>
      <c r="AG109" s="1073"/>
      <c r="AH109" s="1073"/>
      <c r="AI109" s="1073"/>
      <c r="AJ109" s="1076">
        <f t="shared" si="4"/>
        <v>0</v>
      </c>
      <c r="AK109" s="1076">
        <f t="shared" si="5"/>
        <v>0</v>
      </c>
      <c r="AL109" s="635"/>
      <c r="AM109" s="51">
        <f t="shared" si="6"/>
        <v>0</v>
      </c>
      <c r="AN109" s="266" t="e">
        <f>+#REF!-AM109</f>
        <v>#REF!</v>
      </c>
    </row>
    <row r="110" spans="1:41" s="1022" customFormat="1" ht="19.149999999999999" customHeight="1">
      <c r="A110" s="1026" t="s">
        <v>521</v>
      </c>
      <c r="B110" s="1026"/>
      <c r="C110" s="1025" t="e">
        <f>VLOOKUP(D110,'DS CN MOI UP'!$B$10:$C$347,2,0)</f>
        <v>#N/A</v>
      </c>
      <c r="D110" s="1026"/>
      <c r="E110" s="1072"/>
      <c r="F110" s="1072"/>
      <c r="G110" s="1072"/>
      <c r="H110" s="1072"/>
      <c r="I110" s="1072"/>
      <c r="J110" s="1072"/>
      <c r="K110" s="1072"/>
      <c r="L110" s="1072"/>
      <c r="M110" s="1072"/>
      <c r="N110" s="1072"/>
      <c r="O110" s="1072"/>
      <c r="P110" s="1072"/>
      <c r="Q110" s="1072"/>
      <c r="R110" s="1072"/>
      <c r="S110" s="1072"/>
      <c r="T110" s="1072"/>
      <c r="U110" s="1072"/>
      <c r="V110" s="1072"/>
      <c r="W110" s="1072"/>
      <c r="X110" s="1072"/>
      <c r="Y110" s="1072"/>
      <c r="Z110" s="1072"/>
      <c r="AA110" s="1072"/>
      <c r="AB110" s="1072"/>
      <c r="AC110" s="1072"/>
      <c r="AD110" s="1072"/>
      <c r="AE110" s="1072"/>
      <c r="AF110" s="1072"/>
      <c r="AG110" s="1072"/>
      <c r="AH110" s="1072"/>
      <c r="AI110" s="1072"/>
      <c r="AJ110" s="1072">
        <f t="shared" ref="AJ110:AK110" si="7">SUM(AJ111:AJ204)</f>
        <v>0</v>
      </c>
      <c r="AK110" s="1072">
        <f t="shared" si="7"/>
        <v>0</v>
      </c>
      <c r="AL110" s="1036"/>
      <c r="AM110" s="1038"/>
      <c r="AN110" s="1038"/>
      <c r="AO110" s="1038"/>
    </row>
    <row r="111" spans="1:41" s="51" customFormat="1" ht="19.149999999999999" customHeight="1" outlineLevel="1">
      <c r="A111" s="1025">
        <v>100</v>
      </c>
      <c r="B111" s="1025">
        <v>1</v>
      </c>
      <c r="C111" s="1025" t="str">
        <f>VLOOKUP(D111,'DS CN MOI UP'!$B$10:$C$347,2,0)</f>
        <v>03319</v>
      </c>
      <c r="D111" s="1028" t="s">
        <v>14</v>
      </c>
      <c r="E111" s="1073"/>
      <c r="F111" s="1073"/>
      <c r="G111" s="1073"/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  <c r="AA111" s="1073"/>
      <c r="AB111" s="1073"/>
      <c r="AC111" s="1073"/>
      <c r="AD111" s="1073"/>
      <c r="AE111" s="1073"/>
      <c r="AF111" s="1073"/>
      <c r="AG111" s="1073"/>
      <c r="AH111" s="1073"/>
      <c r="AI111" s="1073"/>
      <c r="AJ111" s="1076">
        <f>SUM(E111:AI111)</f>
        <v>0</v>
      </c>
      <c r="AK111" s="1076">
        <f t="shared" si="5"/>
        <v>0</v>
      </c>
      <c r="AL111" s="635"/>
      <c r="AM111" s="266"/>
      <c r="AO111" s="266"/>
    </row>
    <row r="112" spans="1:41" s="51" customFormat="1" ht="19.149999999999999" customHeight="1" outlineLevel="1">
      <c r="A112" s="1025">
        <v>101</v>
      </c>
      <c r="B112" s="1025">
        <v>2</v>
      </c>
      <c r="C112" s="1025" t="str">
        <f>VLOOKUP(D112,'DS CN MOI UP'!$B$10:$C$347,2,0)</f>
        <v>03320</v>
      </c>
      <c r="D112" s="1028" t="s">
        <v>16</v>
      </c>
      <c r="E112" s="1073"/>
      <c r="F112" s="1073"/>
      <c r="G112" s="1073"/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/>
      <c r="AG112" s="1073"/>
      <c r="AH112" s="1073"/>
      <c r="AI112" s="1073"/>
      <c r="AJ112" s="1076">
        <f t="shared" ref="AJ112:AJ175" si="8">SUM(E112:AI112)</f>
        <v>0</v>
      </c>
      <c r="AK112" s="1076">
        <f t="shared" si="5"/>
        <v>0</v>
      </c>
      <c r="AL112" s="635"/>
      <c r="AM112" s="266"/>
    </row>
    <row r="113" spans="1:39" s="51" customFormat="1" ht="19.149999999999999" customHeight="1" outlineLevel="1">
      <c r="A113" s="1025">
        <v>102</v>
      </c>
      <c r="B113" s="1025">
        <v>3</v>
      </c>
      <c r="C113" s="1025" t="str">
        <f>VLOOKUP(D113,'DS CN MOI UP'!$B$10:$C$347,2,0)</f>
        <v>02453</v>
      </c>
      <c r="D113" s="1028" t="s">
        <v>17</v>
      </c>
      <c r="E113" s="1073"/>
      <c r="F113" s="1073"/>
      <c r="G113" s="1073"/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3"/>
      <c r="AE113" s="1073"/>
      <c r="AF113" s="1073"/>
      <c r="AG113" s="1073"/>
      <c r="AH113" s="1073"/>
      <c r="AI113" s="1073"/>
      <c r="AJ113" s="1076">
        <f t="shared" si="8"/>
        <v>0</v>
      </c>
      <c r="AK113" s="1076">
        <f t="shared" si="5"/>
        <v>0</v>
      </c>
      <c r="AL113" s="635"/>
      <c r="AM113" s="266"/>
    </row>
    <row r="114" spans="1:39" s="51" customFormat="1" ht="19.149999999999999" customHeight="1" outlineLevel="1">
      <c r="A114" s="1025">
        <v>103</v>
      </c>
      <c r="B114" s="1025">
        <v>4</v>
      </c>
      <c r="C114" s="1025" t="str">
        <f>VLOOKUP(D114,'DS CN MOI UP'!$B$10:$C$347,2,0)</f>
        <v>02471</v>
      </c>
      <c r="D114" s="630" t="s">
        <v>18</v>
      </c>
      <c r="E114" s="1073"/>
      <c r="F114" s="1073"/>
      <c r="G114" s="1073"/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  <c r="AA114" s="1073"/>
      <c r="AB114" s="1073"/>
      <c r="AC114" s="1073"/>
      <c r="AD114" s="1073"/>
      <c r="AE114" s="1073"/>
      <c r="AF114" s="1073"/>
      <c r="AG114" s="1073"/>
      <c r="AH114" s="1073"/>
      <c r="AI114" s="1073"/>
      <c r="AJ114" s="1076">
        <f t="shared" si="8"/>
        <v>0</v>
      </c>
      <c r="AK114" s="1076">
        <f t="shared" si="5"/>
        <v>0</v>
      </c>
      <c r="AL114" s="635"/>
      <c r="AM114" s="266"/>
    </row>
    <row r="115" spans="1:39" s="51" customFormat="1" ht="19.149999999999999" customHeight="1" outlineLevel="1">
      <c r="A115" s="1025">
        <v>104</v>
      </c>
      <c r="B115" s="1025">
        <v>5</v>
      </c>
      <c r="C115" s="1025" t="e">
        <f>VLOOKUP(D115,'DS CN MOI UP'!$B$10:$C$347,2,0)</f>
        <v>#N/A</v>
      </c>
      <c r="D115" s="1028" t="s">
        <v>556</v>
      </c>
      <c r="E115" s="1073"/>
      <c r="F115" s="1073"/>
      <c r="G115" s="1073"/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  <c r="AA115" s="1073"/>
      <c r="AB115" s="1073"/>
      <c r="AC115" s="1073"/>
      <c r="AD115" s="1073"/>
      <c r="AE115" s="1073"/>
      <c r="AF115" s="1073"/>
      <c r="AG115" s="1073"/>
      <c r="AH115" s="1073"/>
      <c r="AI115" s="1073"/>
      <c r="AJ115" s="1076">
        <f t="shared" si="8"/>
        <v>0</v>
      </c>
      <c r="AK115" s="1076">
        <f t="shared" si="5"/>
        <v>0</v>
      </c>
      <c r="AL115" s="635"/>
      <c r="AM115" s="266"/>
    </row>
    <row r="116" spans="1:39" s="51" customFormat="1" ht="19.149999999999999" customHeight="1" outlineLevel="1">
      <c r="A116" s="1025">
        <v>105</v>
      </c>
      <c r="B116" s="1025">
        <v>6</v>
      </c>
      <c r="C116" s="1025" t="e">
        <f>VLOOKUP(D116,'DS CN MOI UP'!$B$10:$C$347,2,0)</f>
        <v>#N/A</v>
      </c>
      <c r="D116" s="1028" t="s">
        <v>557</v>
      </c>
      <c r="E116" s="1073"/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  <c r="AA116" s="1073"/>
      <c r="AB116" s="1073"/>
      <c r="AC116" s="1073"/>
      <c r="AD116" s="1073"/>
      <c r="AE116" s="1073"/>
      <c r="AF116" s="1073"/>
      <c r="AG116" s="1073"/>
      <c r="AH116" s="1073"/>
      <c r="AI116" s="1073"/>
      <c r="AJ116" s="1076">
        <f t="shared" si="8"/>
        <v>0</v>
      </c>
      <c r="AK116" s="1076">
        <f t="shared" si="5"/>
        <v>0</v>
      </c>
      <c r="AL116" s="635"/>
      <c r="AM116" s="266"/>
    </row>
    <row r="117" spans="1:39" s="51" customFormat="1" ht="19.149999999999999" customHeight="1" outlineLevel="1">
      <c r="A117" s="1025">
        <v>106</v>
      </c>
      <c r="B117" s="1025">
        <v>7</v>
      </c>
      <c r="C117" s="1025" t="str">
        <f>VLOOKUP(D117,'DS CN MOI UP'!$B$10:$C$347,2,0)</f>
        <v>03322</v>
      </c>
      <c r="D117" s="1028" t="s">
        <v>21</v>
      </c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  <c r="AA117" s="1073"/>
      <c r="AB117" s="1073"/>
      <c r="AC117" s="1073"/>
      <c r="AD117" s="1073"/>
      <c r="AE117" s="1073"/>
      <c r="AF117" s="1073"/>
      <c r="AG117" s="1073"/>
      <c r="AH117" s="1073"/>
      <c r="AI117" s="1073"/>
      <c r="AJ117" s="1076">
        <f t="shared" si="8"/>
        <v>0</v>
      </c>
      <c r="AK117" s="1076">
        <f t="shared" si="5"/>
        <v>0</v>
      </c>
      <c r="AL117" s="635"/>
      <c r="AM117" s="266"/>
    </row>
    <row r="118" spans="1:39" s="51" customFormat="1" ht="19.149999999999999" customHeight="1" outlineLevel="1">
      <c r="A118" s="1025">
        <v>107</v>
      </c>
      <c r="B118" s="1025">
        <v>8</v>
      </c>
      <c r="C118" s="1025" t="str">
        <f>VLOOKUP(D118,'DS CN MOI UP'!$B$10:$C$347,2,0)</f>
        <v>02452</v>
      </c>
      <c r="D118" s="1028" t="s">
        <v>22</v>
      </c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  <c r="AA118" s="1073"/>
      <c r="AB118" s="1073"/>
      <c r="AC118" s="1073"/>
      <c r="AD118" s="1073"/>
      <c r="AE118" s="1073"/>
      <c r="AF118" s="1073"/>
      <c r="AG118" s="1073"/>
      <c r="AH118" s="1073"/>
      <c r="AI118" s="1073"/>
      <c r="AJ118" s="1076">
        <f t="shared" si="8"/>
        <v>0</v>
      </c>
      <c r="AK118" s="1076">
        <f t="shared" si="5"/>
        <v>0</v>
      </c>
      <c r="AL118" s="635"/>
      <c r="AM118" s="266"/>
    </row>
    <row r="119" spans="1:39" s="51" customFormat="1" ht="19.149999999999999" customHeight="1" outlineLevel="1">
      <c r="A119" s="1025">
        <v>108</v>
      </c>
      <c r="B119" s="1025">
        <v>9</v>
      </c>
      <c r="C119" s="1025" t="str">
        <f>VLOOKUP(D119,'DS CN MOI UP'!$B$10:$C$347,2,0)</f>
        <v>02508</v>
      </c>
      <c r="D119" s="1028" t="s">
        <v>23</v>
      </c>
      <c r="E119" s="1073"/>
      <c r="F119" s="1073"/>
      <c r="G119" s="1073"/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  <c r="AA119" s="1073"/>
      <c r="AB119" s="1073"/>
      <c r="AC119" s="1073"/>
      <c r="AD119" s="1073"/>
      <c r="AE119" s="1073"/>
      <c r="AF119" s="1073"/>
      <c r="AG119" s="1073"/>
      <c r="AH119" s="1073"/>
      <c r="AI119" s="1073"/>
      <c r="AJ119" s="1076">
        <f t="shared" si="8"/>
        <v>0</v>
      </c>
      <c r="AK119" s="1076">
        <f t="shared" si="5"/>
        <v>0</v>
      </c>
      <c r="AL119" s="635"/>
      <c r="AM119" s="266"/>
    </row>
    <row r="120" spans="1:39" s="51" customFormat="1" ht="19.149999999999999" customHeight="1" outlineLevel="1">
      <c r="A120" s="1025">
        <v>109</v>
      </c>
      <c r="B120" s="1025">
        <v>10</v>
      </c>
      <c r="C120" s="1025" t="str">
        <f>VLOOKUP(D120,'DS CN MOI UP'!$B$10:$C$347,2,0)</f>
        <v>03323</v>
      </c>
      <c r="D120" s="1028" t="s">
        <v>24</v>
      </c>
      <c r="E120" s="1073"/>
      <c r="F120" s="1073"/>
      <c r="G120" s="1073"/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  <c r="AA120" s="1073"/>
      <c r="AB120" s="1073"/>
      <c r="AC120" s="1073"/>
      <c r="AD120" s="1073"/>
      <c r="AE120" s="1073"/>
      <c r="AF120" s="1073"/>
      <c r="AG120" s="1073"/>
      <c r="AH120" s="1073"/>
      <c r="AI120" s="1073"/>
      <c r="AJ120" s="1076">
        <f t="shared" si="8"/>
        <v>0</v>
      </c>
      <c r="AK120" s="1076">
        <f t="shared" si="5"/>
        <v>0</v>
      </c>
      <c r="AL120" s="635"/>
      <c r="AM120" s="266"/>
    </row>
    <row r="121" spans="1:39" s="51" customFormat="1" ht="19.149999999999999" customHeight="1" outlineLevel="1">
      <c r="A121" s="1025">
        <v>110</v>
      </c>
      <c r="B121" s="1025">
        <v>11</v>
      </c>
      <c r="C121" s="1025" t="str">
        <f>VLOOKUP(D121,'DS CN MOI UP'!$B$10:$C$347,2,0)</f>
        <v>02466</v>
      </c>
      <c r="D121" s="1028" t="s">
        <v>25</v>
      </c>
      <c r="E121" s="1073"/>
      <c r="F121" s="1073"/>
      <c r="G121" s="1073"/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  <c r="AA121" s="1073"/>
      <c r="AB121" s="1073"/>
      <c r="AC121" s="1073"/>
      <c r="AD121" s="1073"/>
      <c r="AE121" s="1073"/>
      <c r="AF121" s="1073"/>
      <c r="AG121" s="1073"/>
      <c r="AH121" s="1073"/>
      <c r="AI121" s="1073"/>
      <c r="AJ121" s="1076">
        <f t="shared" si="8"/>
        <v>0</v>
      </c>
      <c r="AK121" s="1076">
        <f t="shared" si="5"/>
        <v>0</v>
      </c>
      <c r="AL121" s="635"/>
      <c r="AM121" s="266"/>
    </row>
    <row r="122" spans="1:39" s="51" customFormat="1" ht="19.149999999999999" customHeight="1" outlineLevel="1">
      <c r="A122" s="1025">
        <v>111</v>
      </c>
      <c r="B122" s="1025">
        <v>12</v>
      </c>
      <c r="C122" s="1025" t="str">
        <f>VLOOKUP(D122,'DS CN MOI UP'!$B$10:$C$347,2,0)</f>
        <v>02493</v>
      </c>
      <c r="D122" s="1028" t="s">
        <v>26</v>
      </c>
      <c r="E122" s="1073"/>
      <c r="F122" s="1073"/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  <c r="AA122" s="1073"/>
      <c r="AB122" s="1073"/>
      <c r="AC122" s="1073"/>
      <c r="AD122" s="1073"/>
      <c r="AE122" s="1073"/>
      <c r="AF122" s="1073"/>
      <c r="AG122" s="1073"/>
      <c r="AH122" s="1073"/>
      <c r="AI122" s="1073"/>
      <c r="AJ122" s="1076">
        <f t="shared" si="8"/>
        <v>0</v>
      </c>
      <c r="AK122" s="1076">
        <f t="shared" si="5"/>
        <v>0</v>
      </c>
      <c r="AL122" s="635"/>
      <c r="AM122" s="266"/>
    </row>
    <row r="123" spans="1:39" s="51" customFormat="1" ht="19.149999999999999" customHeight="1" outlineLevel="1">
      <c r="A123" s="1025">
        <v>112</v>
      </c>
      <c r="B123" s="1025">
        <v>13</v>
      </c>
      <c r="C123" s="1025" t="str">
        <f>VLOOKUP(D123,'DS CN MOI UP'!$B$10:$C$347,2,0)</f>
        <v>03324</v>
      </c>
      <c r="D123" s="1028" t="s">
        <v>27</v>
      </c>
      <c r="E123" s="1073"/>
      <c r="F123" s="1073"/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  <c r="AA123" s="1073"/>
      <c r="AB123" s="1073"/>
      <c r="AC123" s="1073"/>
      <c r="AD123" s="1073"/>
      <c r="AE123" s="1073"/>
      <c r="AF123" s="1073"/>
      <c r="AG123" s="1073"/>
      <c r="AH123" s="1073"/>
      <c r="AI123" s="1073"/>
      <c r="AJ123" s="1076">
        <f t="shared" si="8"/>
        <v>0</v>
      </c>
      <c r="AK123" s="1076">
        <f t="shared" si="5"/>
        <v>0</v>
      </c>
      <c r="AL123" s="635"/>
      <c r="AM123" s="266"/>
    </row>
    <row r="124" spans="1:39" s="51" customFormat="1" ht="19.149999999999999" customHeight="1" outlineLevel="1">
      <c r="A124" s="1025">
        <v>113</v>
      </c>
      <c r="B124" s="1025">
        <v>14</v>
      </c>
      <c r="C124" s="1025" t="str">
        <f>VLOOKUP(D124,'DS CN MOI UP'!$B$10:$C$347,2,0)</f>
        <v>03325</v>
      </c>
      <c r="D124" s="1028" t="s">
        <v>28</v>
      </c>
      <c r="E124" s="1073"/>
      <c r="F124" s="1073"/>
      <c r="G124" s="1073"/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  <c r="AA124" s="1073"/>
      <c r="AB124" s="1073"/>
      <c r="AC124" s="1073"/>
      <c r="AD124" s="1073"/>
      <c r="AE124" s="1073"/>
      <c r="AF124" s="1073"/>
      <c r="AG124" s="1073"/>
      <c r="AH124" s="1073"/>
      <c r="AI124" s="1073"/>
      <c r="AJ124" s="1076">
        <f t="shared" si="8"/>
        <v>0</v>
      </c>
      <c r="AK124" s="1076">
        <f t="shared" si="5"/>
        <v>0</v>
      </c>
      <c r="AL124" s="635"/>
      <c r="AM124" s="266"/>
    </row>
    <row r="125" spans="1:39" s="51" customFormat="1" ht="19.149999999999999" customHeight="1" outlineLevel="1">
      <c r="A125" s="1025">
        <v>114</v>
      </c>
      <c r="B125" s="1025">
        <v>15</v>
      </c>
      <c r="C125" s="1025" t="str">
        <f>VLOOKUP(D125,'DS CN MOI UP'!$B$10:$C$347,2,0)</f>
        <v>03326</v>
      </c>
      <c r="D125" s="1028" t="s">
        <v>29</v>
      </c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  <c r="AA125" s="1073"/>
      <c r="AB125" s="1073"/>
      <c r="AC125" s="1073"/>
      <c r="AD125" s="1073"/>
      <c r="AE125" s="1073"/>
      <c r="AF125" s="1073"/>
      <c r="AG125" s="1073"/>
      <c r="AH125" s="1073"/>
      <c r="AI125" s="1073"/>
      <c r="AJ125" s="1076">
        <f t="shared" si="8"/>
        <v>0</v>
      </c>
      <c r="AK125" s="1076">
        <f t="shared" si="5"/>
        <v>0</v>
      </c>
      <c r="AL125" s="635"/>
      <c r="AM125" s="266"/>
    </row>
    <row r="126" spans="1:39" s="51" customFormat="1" ht="19.149999999999999" customHeight="1" outlineLevel="1">
      <c r="A126" s="1025">
        <v>115</v>
      </c>
      <c r="B126" s="1025">
        <v>16</v>
      </c>
      <c r="C126" s="1025" t="str">
        <f>VLOOKUP(D126,'DS CN MOI UP'!$B$10:$C$347,2,0)</f>
        <v>02492</v>
      </c>
      <c r="D126" s="1028" t="s">
        <v>30</v>
      </c>
      <c r="E126" s="1073"/>
      <c r="F126" s="1073"/>
      <c r="G126" s="1073"/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  <c r="AA126" s="1073"/>
      <c r="AB126" s="1073"/>
      <c r="AC126" s="1073"/>
      <c r="AD126" s="1073"/>
      <c r="AE126" s="1073"/>
      <c r="AF126" s="1073"/>
      <c r="AG126" s="1073"/>
      <c r="AH126" s="1073"/>
      <c r="AI126" s="1073"/>
      <c r="AJ126" s="1076">
        <f t="shared" si="8"/>
        <v>0</v>
      </c>
      <c r="AK126" s="1076">
        <f t="shared" si="5"/>
        <v>0</v>
      </c>
      <c r="AL126" s="635"/>
      <c r="AM126" s="266"/>
    </row>
    <row r="127" spans="1:39" s="51" customFormat="1" ht="19.149999999999999" customHeight="1" outlineLevel="1">
      <c r="A127" s="1025">
        <v>116</v>
      </c>
      <c r="B127" s="1025">
        <v>17</v>
      </c>
      <c r="C127" s="1025" t="str">
        <f>VLOOKUP(D127,'DS CN MOI UP'!$B$10:$C$347,2,0)</f>
        <v>02485</v>
      </c>
      <c r="D127" s="1028" t="s">
        <v>31</v>
      </c>
      <c r="E127" s="1073"/>
      <c r="F127" s="1073"/>
      <c r="G127" s="1073"/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  <c r="AA127" s="1073"/>
      <c r="AB127" s="1073"/>
      <c r="AC127" s="1073"/>
      <c r="AD127" s="1073"/>
      <c r="AE127" s="1073"/>
      <c r="AF127" s="1073"/>
      <c r="AG127" s="1073"/>
      <c r="AH127" s="1073"/>
      <c r="AI127" s="1073"/>
      <c r="AJ127" s="1076">
        <f t="shared" si="8"/>
        <v>0</v>
      </c>
      <c r="AK127" s="1076">
        <f t="shared" si="5"/>
        <v>0</v>
      </c>
      <c r="AL127" s="635"/>
      <c r="AM127" s="266"/>
    </row>
    <row r="128" spans="1:39" s="51" customFormat="1" ht="19.149999999999999" customHeight="1" outlineLevel="1">
      <c r="A128" s="1025">
        <v>117</v>
      </c>
      <c r="B128" s="1025">
        <v>18</v>
      </c>
      <c r="C128" s="1025" t="str">
        <f>VLOOKUP(D128,'DS CN MOI UP'!$B$10:$C$347,2,0)</f>
        <v>02487</v>
      </c>
      <c r="D128" s="1028" t="s">
        <v>32</v>
      </c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  <c r="AA128" s="1073"/>
      <c r="AB128" s="1073"/>
      <c r="AC128" s="1073"/>
      <c r="AD128" s="1073"/>
      <c r="AE128" s="1073"/>
      <c r="AF128" s="1073"/>
      <c r="AG128" s="1073"/>
      <c r="AH128" s="1073"/>
      <c r="AI128" s="1073"/>
      <c r="AJ128" s="1076">
        <f t="shared" si="8"/>
        <v>0</v>
      </c>
      <c r="AK128" s="1076">
        <f t="shared" si="5"/>
        <v>0</v>
      </c>
      <c r="AL128" s="635"/>
      <c r="AM128" s="266"/>
    </row>
    <row r="129" spans="1:39" s="51" customFormat="1" ht="19.149999999999999" customHeight="1" outlineLevel="1">
      <c r="A129" s="1025">
        <v>118</v>
      </c>
      <c r="B129" s="1025">
        <v>19</v>
      </c>
      <c r="C129" s="1025" t="str">
        <f>VLOOKUP(D129,'DS CN MOI UP'!$B$10:$C$347,2,0)</f>
        <v>03327</v>
      </c>
      <c r="D129" s="1028" t="s">
        <v>33</v>
      </c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  <c r="AA129" s="1073"/>
      <c r="AB129" s="1073"/>
      <c r="AC129" s="1073"/>
      <c r="AD129" s="1073"/>
      <c r="AE129" s="1073"/>
      <c r="AF129" s="1073"/>
      <c r="AG129" s="1073"/>
      <c r="AH129" s="1073"/>
      <c r="AI129" s="1073"/>
      <c r="AJ129" s="1076">
        <f t="shared" si="8"/>
        <v>0</v>
      </c>
      <c r="AK129" s="1076">
        <f t="shared" si="5"/>
        <v>0</v>
      </c>
      <c r="AL129" s="635"/>
      <c r="AM129" s="266"/>
    </row>
    <row r="130" spans="1:39" s="51" customFormat="1" ht="19.149999999999999" customHeight="1" outlineLevel="1">
      <c r="A130" s="1025">
        <v>119</v>
      </c>
      <c r="B130" s="1025">
        <v>20</v>
      </c>
      <c r="C130" s="1025" t="str">
        <f>VLOOKUP(D130,'DS CN MOI UP'!$B$10:$C$347,2,0)</f>
        <v>02684</v>
      </c>
      <c r="D130" s="1028" t="s">
        <v>34</v>
      </c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  <c r="AA130" s="1073"/>
      <c r="AB130" s="1073"/>
      <c r="AC130" s="1073"/>
      <c r="AD130" s="1073"/>
      <c r="AE130" s="1073"/>
      <c r="AF130" s="1073"/>
      <c r="AG130" s="1073"/>
      <c r="AH130" s="1073"/>
      <c r="AI130" s="1073"/>
      <c r="AJ130" s="1076">
        <f t="shared" si="8"/>
        <v>0</v>
      </c>
      <c r="AK130" s="1076">
        <f t="shared" si="5"/>
        <v>0</v>
      </c>
      <c r="AL130" s="635"/>
      <c r="AM130" s="266"/>
    </row>
    <row r="131" spans="1:39" s="51" customFormat="1" ht="19.149999999999999" customHeight="1" outlineLevel="1">
      <c r="A131" s="1025">
        <v>120</v>
      </c>
      <c r="B131" s="1025">
        <v>21</v>
      </c>
      <c r="C131" s="1025" t="str">
        <f>VLOOKUP(D131,'DS CN MOI UP'!$B$10:$C$347,2,0)</f>
        <v>02488</v>
      </c>
      <c r="D131" s="1028" t="s">
        <v>35</v>
      </c>
      <c r="E131" s="1073"/>
      <c r="F131" s="1073"/>
      <c r="G131" s="1073"/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  <c r="AA131" s="1073"/>
      <c r="AB131" s="1073"/>
      <c r="AC131" s="1073"/>
      <c r="AD131" s="1073"/>
      <c r="AE131" s="1073"/>
      <c r="AF131" s="1073"/>
      <c r="AG131" s="1073"/>
      <c r="AH131" s="1073"/>
      <c r="AI131" s="1073"/>
      <c r="AJ131" s="1076">
        <f t="shared" si="8"/>
        <v>0</v>
      </c>
      <c r="AK131" s="1076">
        <f t="shared" si="5"/>
        <v>0</v>
      </c>
      <c r="AL131" s="635"/>
      <c r="AM131" s="266"/>
    </row>
    <row r="132" spans="1:39" s="51" customFormat="1" ht="19.149999999999999" customHeight="1" outlineLevel="1">
      <c r="A132" s="1025">
        <v>121</v>
      </c>
      <c r="B132" s="1025">
        <v>22</v>
      </c>
      <c r="C132" s="1025" t="str">
        <f>VLOOKUP(D132,'DS CN MOI UP'!$B$10:$C$347,2,0)</f>
        <v>02679</v>
      </c>
      <c r="D132" s="1028" t="s">
        <v>36</v>
      </c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  <c r="AA132" s="1073"/>
      <c r="AB132" s="1073"/>
      <c r="AC132" s="1073"/>
      <c r="AD132" s="1073"/>
      <c r="AE132" s="1073"/>
      <c r="AF132" s="1073"/>
      <c r="AG132" s="1073"/>
      <c r="AH132" s="1073"/>
      <c r="AI132" s="1073"/>
      <c r="AJ132" s="1076">
        <f t="shared" si="8"/>
        <v>0</v>
      </c>
      <c r="AK132" s="1076">
        <f t="shared" si="5"/>
        <v>0</v>
      </c>
      <c r="AL132" s="635"/>
      <c r="AM132" s="266"/>
    </row>
    <row r="133" spans="1:39" s="51" customFormat="1" ht="19.149999999999999" customHeight="1" outlineLevel="1">
      <c r="A133" s="1025">
        <v>122</v>
      </c>
      <c r="B133" s="1025">
        <v>23</v>
      </c>
      <c r="C133" s="1025" t="str">
        <f>VLOOKUP(D133,'DS CN MOI UP'!$B$10:$C$347,2,0)</f>
        <v>03328</v>
      </c>
      <c r="D133" s="1028" t="s">
        <v>37</v>
      </c>
      <c r="E133" s="1073"/>
      <c r="F133" s="1073"/>
      <c r="G133" s="1073"/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  <c r="AA133" s="1073"/>
      <c r="AB133" s="1073"/>
      <c r="AC133" s="1073"/>
      <c r="AD133" s="1073"/>
      <c r="AE133" s="1073"/>
      <c r="AF133" s="1073"/>
      <c r="AG133" s="1073"/>
      <c r="AH133" s="1073"/>
      <c r="AI133" s="1073"/>
      <c r="AJ133" s="1076">
        <f t="shared" si="8"/>
        <v>0</v>
      </c>
      <c r="AK133" s="1076">
        <f t="shared" si="5"/>
        <v>0</v>
      </c>
      <c r="AL133" s="635"/>
      <c r="AM133" s="266"/>
    </row>
    <row r="134" spans="1:39" s="51" customFormat="1" ht="19.149999999999999" customHeight="1" outlineLevel="1">
      <c r="A134" s="1025">
        <v>123</v>
      </c>
      <c r="B134" s="1025">
        <v>24</v>
      </c>
      <c r="C134" s="1025" t="str">
        <f>VLOOKUP(D134,'DS CN MOI UP'!$B$10:$C$347,2,0)</f>
        <v>02469</v>
      </c>
      <c r="D134" s="1028" t="s">
        <v>38</v>
      </c>
      <c r="E134" s="1073"/>
      <c r="F134" s="1073"/>
      <c r="G134" s="1073"/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  <c r="AA134" s="1073"/>
      <c r="AB134" s="1073"/>
      <c r="AC134" s="1073"/>
      <c r="AD134" s="1073"/>
      <c r="AE134" s="1073"/>
      <c r="AF134" s="1073"/>
      <c r="AG134" s="1073"/>
      <c r="AH134" s="1073"/>
      <c r="AI134" s="1073"/>
      <c r="AJ134" s="1076">
        <f t="shared" si="8"/>
        <v>0</v>
      </c>
      <c r="AK134" s="1076">
        <f t="shared" si="5"/>
        <v>0</v>
      </c>
      <c r="AL134" s="635"/>
      <c r="AM134" s="266"/>
    </row>
    <row r="135" spans="1:39" s="51" customFormat="1" ht="19.149999999999999" customHeight="1" outlineLevel="1">
      <c r="A135" s="1025">
        <v>124</v>
      </c>
      <c r="B135" s="1025">
        <v>25</v>
      </c>
      <c r="C135" s="1025" t="str">
        <f>VLOOKUP(D135,'DS CN MOI UP'!$B$10:$C$347,2,0)</f>
        <v>02475</v>
      </c>
      <c r="D135" s="1028" t="s">
        <v>39</v>
      </c>
      <c r="E135" s="1073"/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  <c r="AA135" s="1073"/>
      <c r="AB135" s="1073"/>
      <c r="AC135" s="1073"/>
      <c r="AD135" s="1073"/>
      <c r="AE135" s="1073"/>
      <c r="AF135" s="1073"/>
      <c r="AG135" s="1073"/>
      <c r="AH135" s="1073"/>
      <c r="AI135" s="1073"/>
      <c r="AJ135" s="1076">
        <f t="shared" si="8"/>
        <v>0</v>
      </c>
      <c r="AK135" s="1076">
        <f t="shared" si="5"/>
        <v>0</v>
      </c>
      <c r="AL135" s="635"/>
      <c r="AM135" s="266"/>
    </row>
    <row r="136" spans="1:39" s="51" customFormat="1" ht="19.149999999999999" customHeight="1" outlineLevel="1">
      <c r="A136" s="1025">
        <v>125</v>
      </c>
      <c r="B136" s="1025">
        <v>26</v>
      </c>
      <c r="C136" s="1025" t="str">
        <f>VLOOKUP(D136,'DS CN MOI UP'!$B$10:$C$347,2,0)</f>
        <v>02473</v>
      </c>
      <c r="D136" s="1028" t="s">
        <v>40</v>
      </c>
      <c r="E136" s="1073"/>
      <c r="F136" s="1073"/>
      <c r="G136" s="1073"/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  <c r="AA136" s="1073"/>
      <c r="AB136" s="1073"/>
      <c r="AC136" s="1073"/>
      <c r="AD136" s="1073"/>
      <c r="AE136" s="1073"/>
      <c r="AF136" s="1073"/>
      <c r="AG136" s="1073"/>
      <c r="AH136" s="1073"/>
      <c r="AI136" s="1073"/>
      <c r="AJ136" s="1076">
        <f t="shared" si="8"/>
        <v>0</v>
      </c>
      <c r="AK136" s="1076">
        <f t="shared" si="5"/>
        <v>0</v>
      </c>
      <c r="AL136" s="635"/>
      <c r="AM136" s="266"/>
    </row>
    <row r="137" spans="1:39" s="51" customFormat="1" ht="19.149999999999999" customHeight="1" outlineLevel="1">
      <c r="A137" s="1025">
        <v>126</v>
      </c>
      <c r="B137" s="1025">
        <v>27</v>
      </c>
      <c r="C137" s="1025" t="str">
        <f>VLOOKUP(D137,'DS CN MOI UP'!$B$10:$C$347,2,0)</f>
        <v>02510</v>
      </c>
      <c r="D137" s="1028" t="s">
        <v>41</v>
      </c>
      <c r="E137" s="1073"/>
      <c r="F137" s="1073"/>
      <c r="G137" s="1073"/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  <c r="AA137" s="1073"/>
      <c r="AB137" s="1073"/>
      <c r="AC137" s="1073"/>
      <c r="AD137" s="1073"/>
      <c r="AE137" s="1073"/>
      <c r="AF137" s="1073"/>
      <c r="AG137" s="1073"/>
      <c r="AH137" s="1073"/>
      <c r="AI137" s="1073"/>
      <c r="AJ137" s="1076">
        <f t="shared" si="8"/>
        <v>0</v>
      </c>
      <c r="AK137" s="1076">
        <f t="shared" si="5"/>
        <v>0</v>
      </c>
      <c r="AL137" s="635"/>
      <c r="AM137" s="266"/>
    </row>
    <row r="138" spans="1:39" s="51" customFormat="1" ht="19.149999999999999" customHeight="1" outlineLevel="1">
      <c r="A138" s="1025">
        <v>127</v>
      </c>
      <c r="B138" s="1025">
        <v>28</v>
      </c>
      <c r="C138" s="1025" t="str">
        <f>VLOOKUP(D138,'DS CN MOI UP'!$B$10:$C$347,2,0)</f>
        <v>02513</v>
      </c>
      <c r="D138" s="1028" t="s">
        <v>42</v>
      </c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  <c r="AA138" s="1073"/>
      <c r="AB138" s="1073"/>
      <c r="AC138" s="1073"/>
      <c r="AD138" s="1073"/>
      <c r="AE138" s="1073"/>
      <c r="AF138" s="1073"/>
      <c r="AG138" s="1073"/>
      <c r="AH138" s="1073"/>
      <c r="AI138" s="1073"/>
      <c r="AJ138" s="1076">
        <f t="shared" si="8"/>
        <v>0</v>
      </c>
      <c r="AK138" s="1076">
        <f t="shared" si="5"/>
        <v>0</v>
      </c>
      <c r="AL138" s="635"/>
      <c r="AM138" s="266"/>
    </row>
    <row r="139" spans="1:39" s="51" customFormat="1" ht="19.149999999999999" customHeight="1" outlineLevel="1">
      <c r="A139" s="1025">
        <v>128</v>
      </c>
      <c r="B139" s="1025">
        <v>29</v>
      </c>
      <c r="C139" s="1025" t="str">
        <f>VLOOKUP(D139,'DS CN MOI UP'!$B$10:$C$347,2,0)</f>
        <v>02510</v>
      </c>
      <c r="D139" s="1028" t="s">
        <v>43</v>
      </c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  <c r="AA139" s="1073"/>
      <c r="AB139" s="1073"/>
      <c r="AC139" s="1073"/>
      <c r="AD139" s="1073"/>
      <c r="AE139" s="1073"/>
      <c r="AF139" s="1073"/>
      <c r="AG139" s="1073"/>
      <c r="AH139" s="1073"/>
      <c r="AI139" s="1073"/>
      <c r="AJ139" s="1076">
        <f t="shared" si="8"/>
        <v>0</v>
      </c>
      <c r="AK139" s="1076">
        <f t="shared" ref="AK139:AK202" si="9">AJ139*$AN$6</f>
        <v>0</v>
      </c>
      <c r="AL139" s="635"/>
      <c r="AM139" s="266"/>
    </row>
    <row r="140" spans="1:39" s="51" customFormat="1" ht="19.149999999999999" customHeight="1" outlineLevel="1">
      <c r="A140" s="1025">
        <v>129</v>
      </c>
      <c r="B140" s="1025">
        <v>30</v>
      </c>
      <c r="C140" s="1025" t="str">
        <f>VLOOKUP(D140,'DS CN MOI UP'!$B$10:$C$347,2,0)</f>
        <v>02470</v>
      </c>
      <c r="D140" s="1028" t="s">
        <v>44</v>
      </c>
      <c r="E140" s="1073"/>
      <c r="F140" s="1073"/>
      <c r="G140" s="1073"/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  <c r="AA140" s="1073"/>
      <c r="AB140" s="1073"/>
      <c r="AC140" s="1073"/>
      <c r="AD140" s="1073"/>
      <c r="AE140" s="1073"/>
      <c r="AF140" s="1073"/>
      <c r="AG140" s="1073"/>
      <c r="AH140" s="1073"/>
      <c r="AI140" s="1073"/>
      <c r="AJ140" s="1076">
        <f t="shared" si="8"/>
        <v>0</v>
      </c>
      <c r="AK140" s="1076">
        <f t="shared" si="9"/>
        <v>0</v>
      </c>
      <c r="AL140" s="635"/>
      <c r="AM140" s="266"/>
    </row>
    <row r="141" spans="1:39" s="51" customFormat="1" ht="19.149999999999999" customHeight="1" outlineLevel="1">
      <c r="A141" s="1025">
        <v>130</v>
      </c>
      <c r="B141" s="1025">
        <v>31</v>
      </c>
      <c r="C141" s="1025" t="str">
        <f>VLOOKUP(D141,'DS CN MOI UP'!$B$10:$C$347,2,0)</f>
        <v>03329</v>
      </c>
      <c r="D141" s="1028" t="s">
        <v>45</v>
      </c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073"/>
      <c r="AC141" s="1073"/>
      <c r="AD141" s="1073"/>
      <c r="AE141" s="1073"/>
      <c r="AF141" s="1073"/>
      <c r="AG141" s="1073"/>
      <c r="AH141" s="1073"/>
      <c r="AI141" s="1073"/>
      <c r="AJ141" s="1076">
        <f t="shared" si="8"/>
        <v>0</v>
      </c>
      <c r="AK141" s="1076">
        <f t="shared" si="9"/>
        <v>0</v>
      </c>
      <c r="AL141" s="635"/>
      <c r="AM141" s="266"/>
    </row>
    <row r="142" spans="1:39" s="51" customFormat="1" ht="19.149999999999999" customHeight="1" outlineLevel="1">
      <c r="A142" s="1025">
        <v>131</v>
      </c>
      <c r="B142" s="1025">
        <v>32</v>
      </c>
      <c r="C142" s="1025" t="str">
        <f>VLOOKUP(D142,'DS CN MOI UP'!$B$10:$C$347,2,0)</f>
        <v>03330</v>
      </c>
      <c r="D142" s="1028" t="s">
        <v>46</v>
      </c>
      <c r="E142" s="1073"/>
      <c r="F142" s="1073"/>
      <c r="G142" s="1073"/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073"/>
      <c r="AC142" s="1073"/>
      <c r="AD142" s="1073"/>
      <c r="AE142" s="1073"/>
      <c r="AF142" s="1073"/>
      <c r="AG142" s="1073"/>
      <c r="AH142" s="1073"/>
      <c r="AI142" s="1073"/>
      <c r="AJ142" s="1076">
        <f t="shared" si="8"/>
        <v>0</v>
      </c>
      <c r="AK142" s="1076">
        <f t="shared" si="9"/>
        <v>0</v>
      </c>
      <c r="AL142" s="635"/>
    </row>
    <row r="143" spans="1:39" s="51" customFormat="1" ht="19.149999999999999" customHeight="1" outlineLevel="1">
      <c r="A143" s="1025">
        <v>132</v>
      </c>
      <c r="B143" s="1025">
        <v>33</v>
      </c>
      <c r="C143" s="1025" t="str">
        <f>VLOOKUP(D143,'DS CN MOI UP'!$B$10:$C$347,2,0)</f>
        <v>02455</v>
      </c>
      <c r="D143" s="1028" t="s">
        <v>47</v>
      </c>
      <c r="E143" s="1073"/>
      <c r="F143" s="1073"/>
      <c r="G143" s="1073"/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73"/>
      <c r="AJ143" s="1076">
        <f t="shared" si="8"/>
        <v>0</v>
      </c>
      <c r="AK143" s="1076">
        <f t="shared" si="9"/>
        <v>0</v>
      </c>
      <c r="AL143" s="635"/>
    </row>
    <row r="144" spans="1:39" s="51" customFormat="1" ht="19.149999999999999" customHeight="1" outlineLevel="1">
      <c r="A144" s="1025">
        <v>133</v>
      </c>
      <c r="B144" s="1025">
        <v>34</v>
      </c>
      <c r="C144" s="1025" t="str">
        <f>VLOOKUP(D144,'DS CN MOI UP'!$B$10:$C$347,2,0)</f>
        <v>02459</v>
      </c>
      <c r="D144" s="1028" t="s">
        <v>48</v>
      </c>
      <c r="E144" s="1073"/>
      <c r="F144" s="1073"/>
      <c r="G144" s="1073"/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073"/>
      <c r="AC144" s="1073"/>
      <c r="AD144" s="1073"/>
      <c r="AE144" s="1073"/>
      <c r="AF144" s="1073"/>
      <c r="AG144" s="1073"/>
      <c r="AH144" s="1073"/>
      <c r="AI144" s="1073"/>
      <c r="AJ144" s="1076">
        <f t="shared" si="8"/>
        <v>0</v>
      </c>
      <c r="AK144" s="1076">
        <f t="shared" si="9"/>
        <v>0</v>
      </c>
      <c r="AL144" s="635"/>
    </row>
    <row r="145" spans="1:38" s="51" customFormat="1" ht="19.149999999999999" customHeight="1" outlineLevel="1">
      <c r="A145" s="1025">
        <v>134</v>
      </c>
      <c r="B145" s="1025">
        <v>35</v>
      </c>
      <c r="C145" s="1025" t="str">
        <f>VLOOKUP(D145,'DS CN MOI UP'!$B$10:$C$347,2,0)</f>
        <v>02506</v>
      </c>
      <c r="D145" s="1028" t="s">
        <v>49</v>
      </c>
      <c r="E145" s="1073"/>
      <c r="F145" s="1073"/>
      <c r="G145" s="1073"/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073"/>
      <c r="AC145" s="1073"/>
      <c r="AD145" s="1073"/>
      <c r="AE145" s="1073"/>
      <c r="AF145" s="1073"/>
      <c r="AG145" s="1073"/>
      <c r="AH145" s="1073"/>
      <c r="AI145" s="1073"/>
      <c r="AJ145" s="1076">
        <f t="shared" si="8"/>
        <v>0</v>
      </c>
      <c r="AK145" s="1076">
        <f t="shared" si="9"/>
        <v>0</v>
      </c>
      <c r="AL145" s="635"/>
    </row>
    <row r="146" spans="1:38" s="51" customFormat="1" ht="19.149999999999999" customHeight="1" outlineLevel="1">
      <c r="A146" s="1025">
        <v>135</v>
      </c>
      <c r="B146" s="1025">
        <v>36</v>
      </c>
      <c r="C146" s="1025" t="str">
        <f>VLOOKUP(D146,'DS CN MOI UP'!$B$10:$C$347,2,0)</f>
        <v>02507</v>
      </c>
      <c r="D146" s="1028" t="s">
        <v>50</v>
      </c>
      <c r="E146" s="1073"/>
      <c r="F146" s="1073"/>
      <c r="G146" s="1073"/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073"/>
      <c r="AC146" s="1073"/>
      <c r="AD146" s="1073"/>
      <c r="AE146" s="1073"/>
      <c r="AF146" s="1073"/>
      <c r="AG146" s="1073"/>
      <c r="AH146" s="1073"/>
      <c r="AI146" s="1073"/>
      <c r="AJ146" s="1076">
        <f t="shared" si="8"/>
        <v>0</v>
      </c>
      <c r="AK146" s="1076">
        <f t="shared" si="9"/>
        <v>0</v>
      </c>
      <c r="AL146" s="635"/>
    </row>
    <row r="147" spans="1:38" s="51" customFormat="1" ht="19.149999999999999" customHeight="1" outlineLevel="1">
      <c r="A147" s="1025">
        <v>136</v>
      </c>
      <c r="B147" s="1025">
        <v>37</v>
      </c>
      <c r="C147" s="1025" t="str">
        <f>VLOOKUP(D147,'DS CN MOI UP'!$B$10:$C$347,2,0)</f>
        <v>03331</v>
      </c>
      <c r="D147" s="1028" t="s">
        <v>486</v>
      </c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073"/>
      <c r="AC147" s="1073"/>
      <c r="AD147" s="1073"/>
      <c r="AE147" s="1073"/>
      <c r="AF147" s="1073"/>
      <c r="AG147" s="1073"/>
      <c r="AH147" s="1073"/>
      <c r="AI147" s="1073"/>
      <c r="AJ147" s="1076">
        <f t="shared" si="8"/>
        <v>0</v>
      </c>
      <c r="AK147" s="1076">
        <f t="shared" si="9"/>
        <v>0</v>
      </c>
      <c r="AL147" s="635"/>
    </row>
    <row r="148" spans="1:38" s="51" customFormat="1" ht="19.149999999999999" customHeight="1" outlineLevel="1">
      <c r="A148" s="1025">
        <v>137</v>
      </c>
      <c r="B148" s="1025">
        <v>38</v>
      </c>
      <c r="C148" s="1025" t="str">
        <f>VLOOKUP(D148,'DS CN MOI UP'!$B$10:$C$347,2,0)</f>
        <v>02467</v>
      </c>
      <c r="D148" s="1028" t="s">
        <v>52</v>
      </c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073"/>
      <c r="AC148" s="1073"/>
      <c r="AD148" s="1073"/>
      <c r="AE148" s="1073"/>
      <c r="AF148" s="1073"/>
      <c r="AG148" s="1073"/>
      <c r="AH148" s="1073"/>
      <c r="AI148" s="1073"/>
      <c r="AJ148" s="1076">
        <f t="shared" si="8"/>
        <v>0</v>
      </c>
      <c r="AK148" s="1076">
        <f t="shared" si="9"/>
        <v>0</v>
      </c>
      <c r="AL148" s="635"/>
    </row>
    <row r="149" spans="1:38" s="51" customFormat="1" ht="19.149999999999999" customHeight="1" outlineLevel="1">
      <c r="A149" s="1025">
        <v>138</v>
      </c>
      <c r="B149" s="1025">
        <v>39</v>
      </c>
      <c r="C149" s="1025" t="str">
        <f>VLOOKUP(D149,'DS CN MOI UP'!$B$10:$C$347,2,0)</f>
        <v>02483</v>
      </c>
      <c r="D149" s="1028" t="s">
        <v>53</v>
      </c>
      <c r="E149" s="1073"/>
      <c r="F149" s="1073"/>
      <c r="G149" s="1073"/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073"/>
      <c r="AC149" s="1073"/>
      <c r="AD149" s="1073"/>
      <c r="AE149" s="1073"/>
      <c r="AF149" s="1073"/>
      <c r="AG149" s="1073"/>
      <c r="AH149" s="1073"/>
      <c r="AI149" s="1073"/>
      <c r="AJ149" s="1076">
        <f t="shared" si="8"/>
        <v>0</v>
      </c>
      <c r="AK149" s="1076">
        <f t="shared" si="9"/>
        <v>0</v>
      </c>
      <c r="AL149" s="635"/>
    </row>
    <row r="150" spans="1:38" s="51" customFormat="1" ht="19.149999999999999" customHeight="1" outlineLevel="1">
      <c r="A150" s="1025">
        <v>139</v>
      </c>
      <c r="B150" s="1025">
        <v>40</v>
      </c>
      <c r="C150" s="1025" t="str">
        <f>VLOOKUP(D150,'DS CN MOI UP'!$B$10:$C$347,2,0)</f>
        <v>02512</v>
      </c>
      <c r="D150" s="1028" t="s">
        <v>54</v>
      </c>
      <c r="E150" s="1073"/>
      <c r="F150" s="1073"/>
      <c r="G150" s="1073"/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073"/>
      <c r="AC150" s="1073"/>
      <c r="AD150" s="1073"/>
      <c r="AE150" s="1073"/>
      <c r="AF150" s="1073"/>
      <c r="AG150" s="1073"/>
      <c r="AH150" s="1073"/>
      <c r="AI150" s="1073"/>
      <c r="AJ150" s="1076">
        <f t="shared" si="8"/>
        <v>0</v>
      </c>
      <c r="AK150" s="1076">
        <f t="shared" si="9"/>
        <v>0</v>
      </c>
      <c r="AL150" s="635"/>
    </row>
    <row r="151" spans="1:38" s="51" customFormat="1" ht="19.149999999999999" customHeight="1" outlineLevel="1">
      <c r="A151" s="1025">
        <v>140</v>
      </c>
      <c r="B151" s="1025">
        <v>41</v>
      </c>
      <c r="C151" s="1025" t="str">
        <f>VLOOKUP(D151,'DS CN MOI UP'!$B$10:$C$347,2,0)</f>
        <v>03332</v>
      </c>
      <c r="D151" s="1028" t="s">
        <v>55</v>
      </c>
      <c r="E151" s="1073"/>
      <c r="F151" s="1073"/>
      <c r="G151" s="1073"/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073"/>
      <c r="AC151" s="1073"/>
      <c r="AD151" s="1073"/>
      <c r="AE151" s="1073"/>
      <c r="AF151" s="1073"/>
      <c r="AG151" s="1073"/>
      <c r="AH151" s="1073"/>
      <c r="AI151" s="1073"/>
      <c r="AJ151" s="1076">
        <f t="shared" si="8"/>
        <v>0</v>
      </c>
      <c r="AK151" s="1076">
        <f t="shared" si="9"/>
        <v>0</v>
      </c>
      <c r="AL151" s="635"/>
    </row>
    <row r="152" spans="1:38" s="51" customFormat="1" ht="19.149999999999999" customHeight="1" outlineLevel="1">
      <c r="A152" s="1025">
        <v>141</v>
      </c>
      <c r="B152" s="1025">
        <v>42</v>
      </c>
      <c r="C152" s="1025" t="str">
        <f>VLOOKUP(D152,'DS CN MOI UP'!$B$10:$C$347,2,0)</f>
        <v>03333</v>
      </c>
      <c r="D152" s="1028" t="s">
        <v>56</v>
      </c>
      <c r="E152" s="1073"/>
      <c r="F152" s="1073"/>
      <c r="G152" s="1073"/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073"/>
      <c r="AC152" s="1073"/>
      <c r="AD152" s="1073"/>
      <c r="AE152" s="1073"/>
      <c r="AF152" s="1073"/>
      <c r="AG152" s="1073"/>
      <c r="AH152" s="1073"/>
      <c r="AI152" s="1073"/>
      <c r="AJ152" s="1076">
        <f t="shared" si="8"/>
        <v>0</v>
      </c>
      <c r="AK152" s="1076">
        <f t="shared" si="9"/>
        <v>0</v>
      </c>
      <c r="AL152" s="635"/>
    </row>
    <row r="153" spans="1:38" s="51" customFormat="1" ht="19.149999999999999" customHeight="1" outlineLevel="1">
      <c r="A153" s="1025">
        <v>142</v>
      </c>
      <c r="B153" s="1025">
        <v>43</v>
      </c>
      <c r="C153" s="1025" t="str">
        <f>VLOOKUP(D153,'DS CN MOI UP'!$B$10:$C$347,2,0)</f>
        <v>02474</v>
      </c>
      <c r="D153" s="1028" t="s">
        <v>57</v>
      </c>
      <c r="E153" s="1073"/>
      <c r="F153" s="1073"/>
      <c r="G153" s="1073"/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073"/>
      <c r="AC153" s="1073"/>
      <c r="AD153" s="1073"/>
      <c r="AE153" s="1073"/>
      <c r="AF153" s="1073"/>
      <c r="AG153" s="1073"/>
      <c r="AH153" s="1073"/>
      <c r="AI153" s="1073"/>
      <c r="AJ153" s="1076">
        <f t="shared" si="8"/>
        <v>0</v>
      </c>
      <c r="AK153" s="1076">
        <f t="shared" si="9"/>
        <v>0</v>
      </c>
      <c r="AL153" s="635"/>
    </row>
    <row r="154" spans="1:38" s="51" customFormat="1" ht="19.149999999999999" customHeight="1" outlineLevel="1">
      <c r="A154" s="1025">
        <v>143</v>
      </c>
      <c r="B154" s="1025">
        <v>44</v>
      </c>
      <c r="C154" s="1025" t="str">
        <f>VLOOKUP(D154,'DS CN MOI UP'!$B$10:$C$347,2,0)</f>
        <v>02500</v>
      </c>
      <c r="D154" s="1028" t="s">
        <v>59</v>
      </c>
      <c r="E154" s="1073"/>
      <c r="F154" s="1073"/>
      <c r="G154" s="1073"/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073"/>
      <c r="AC154" s="1073"/>
      <c r="AD154" s="1073"/>
      <c r="AE154" s="1073"/>
      <c r="AF154" s="1073"/>
      <c r="AG154" s="1073"/>
      <c r="AH154" s="1073"/>
      <c r="AI154" s="1073"/>
      <c r="AJ154" s="1076">
        <f t="shared" si="8"/>
        <v>0</v>
      </c>
      <c r="AK154" s="1076">
        <f t="shared" si="9"/>
        <v>0</v>
      </c>
      <c r="AL154" s="635"/>
    </row>
    <row r="155" spans="1:38" s="51" customFormat="1" ht="19.149999999999999" customHeight="1" outlineLevel="1">
      <c r="A155" s="1025">
        <v>144</v>
      </c>
      <c r="B155" s="1025">
        <v>45</v>
      </c>
      <c r="C155" s="1025" t="str">
        <f>VLOOKUP(D155,'DS CN MOI UP'!$B$10:$C$347,2,0)</f>
        <v>02451</v>
      </c>
      <c r="D155" s="1028" t="s">
        <v>60</v>
      </c>
      <c r="E155" s="1073"/>
      <c r="F155" s="1073"/>
      <c r="G155" s="1073"/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/>
      <c r="AG155" s="1073"/>
      <c r="AH155" s="1073"/>
      <c r="AI155" s="1073"/>
      <c r="AJ155" s="1076">
        <f t="shared" si="8"/>
        <v>0</v>
      </c>
      <c r="AK155" s="1076">
        <f t="shared" si="9"/>
        <v>0</v>
      </c>
      <c r="AL155" s="635"/>
    </row>
    <row r="156" spans="1:38" s="51" customFormat="1" ht="19.149999999999999" customHeight="1" outlineLevel="1">
      <c r="A156" s="1025">
        <v>145</v>
      </c>
      <c r="B156" s="1025">
        <v>46</v>
      </c>
      <c r="C156" s="1025" t="e">
        <f>VLOOKUP(D156,'DS CN MOI UP'!$B$10:$C$347,2,0)</f>
        <v>#N/A</v>
      </c>
      <c r="D156" s="1028" t="s">
        <v>61</v>
      </c>
      <c r="E156" s="1073"/>
      <c r="F156" s="1073"/>
      <c r="G156" s="1073"/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073"/>
      <c r="AC156" s="1073"/>
      <c r="AD156" s="1073"/>
      <c r="AE156" s="1073"/>
      <c r="AF156" s="1073"/>
      <c r="AG156" s="1073"/>
      <c r="AH156" s="1073"/>
      <c r="AI156" s="1073"/>
      <c r="AJ156" s="1076">
        <f t="shared" si="8"/>
        <v>0</v>
      </c>
      <c r="AK156" s="1076">
        <f t="shared" si="9"/>
        <v>0</v>
      </c>
      <c r="AL156" s="635"/>
    </row>
    <row r="157" spans="1:38" s="51" customFormat="1" ht="19.149999999999999" customHeight="1" outlineLevel="1">
      <c r="A157" s="1025">
        <v>146</v>
      </c>
      <c r="B157" s="1025">
        <v>47</v>
      </c>
      <c r="C157" s="1025" t="str">
        <f>VLOOKUP(D157,'DS CN MOI UP'!$B$10:$C$347,2,0)</f>
        <v>02491</v>
      </c>
      <c r="D157" s="1028" t="s">
        <v>62</v>
      </c>
      <c r="E157" s="1073"/>
      <c r="F157" s="1073"/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073"/>
      <c r="AC157" s="1073"/>
      <c r="AD157" s="1073"/>
      <c r="AE157" s="1073"/>
      <c r="AF157" s="1073"/>
      <c r="AG157" s="1073"/>
      <c r="AH157" s="1073"/>
      <c r="AI157" s="1073"/>
      <c r="AJ157" s="1076">
        <f t="shared" si="8"/>
        <v>0</v>
      </c>
      <c r="AK157" s="1076">
        <f t="shared" si="9"/>
        <v>0</v>
      </c>
      <c r="AL157" s="635"/>
    </row>
    <row r="158" spans="1:38" s="51" customFormat="1" ht="19.149999999999999" customHeight="1" outlineLevel="1">
      <c r="A158" s="1025">
        <v>147</v>
      </c>
      <c r="B158" s="1025">
        <v>48</v>
      </c>
      <c r="C158" s="1025" t="str">
        <f>VLOOKUP(D158,'DS CN MOI UP'!$B$10:$C$347,2,0)</f>
        <v>02457</v>
      </c>
      <c r="D158" s="1028" t="s">
        <v>63</v>
      </c>
      <c r="E158" s="1073"/>
      <c r="F158" s="1073"/>
      <c r="G158" s="1073"/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073"/>
      <c r="AC158" s="1073"/>
      <c r="AD158" s="1073"/>
      <c r="AE158" s="1073"/>
      <c r="AF158" s="1073"/>
      <c r="AG158" s="1073"/>
      <c r="AH158" s="1073"/>
      <c r="AI158" s="1073"/>
      <c r="AJ158" s="1076">
        <f t="shared" si="8"/>
        <v>0</v>
      </c>
      <c r="AK158" s="1076">
        <f t="shared" si="9"/>
        <v>0</v>
      </c>
      <c r="AL158" s="635"/>
    </row>
    <row r="159" spans="1:38" s="51" customFormat="1" ht="19.149999999999999" customHeight="1" outlineLevel="1">
      <c r="A159" s="1025">
        <v>148</v>
      </c>
      <c r="B159" s="1025">
        <v>49</v>
      </c>
      <c r="C159" s="1025" t="str">
        <f>VLOOKUP(D159,'DS CN MOI UP'!$B$10:$C$347,2,0)</f>
        <v>03334</v>
      </c>
      <c r="D159" s="1028" t="s">
        <v>64</v>
      </c>
      <c r="E159" s="1073"/>
      <c r="F159" s="1073"/>
      <c r="G159" s="1073"/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073"/>
      <c r="AC159" s="1073"/>
      <c r="AD159" s="1073"/>
      <c r="AE159" s="1073"/>
      <c r="AF159" s="1073"/>
      <c r="AG159" s="1073"/>
      <c r="AH159" s="1073"/>
      <c r="AI159" s="1073"/>
      <c r="AJ159" s="1076">
        <f t="shared" si="8"/>
        <v>0</v>
      </c>
      <c r="AK159" s="1076">
        <f t="shared" si="9"/>
        <v>0</v>
      </c>
      <c r="AL159" s="635"/>
    </row>
    <row r="160" spans="1:38" s="51" customFormat="1" ht="19.149999999999999" customHeight="1" outlineLevel="1">
      <c r="A160" s="1025">
        <v>149</v>
      </c>
      <c r="B160" s="1025">
        <v>50</v>
      </c>
      <c r="C160" s="1025" t="str">
        <f>VLOOKUP(D160,'DS CN MOI UP'!$B$10:$C$347,2,0)</f>
        <v>02486</v>
      </c>
      <c r="D160" s="1028" t="s">
        <v>65</v>
      </c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073"/>
      <c r="AC160" s="1073"/>
      <c r="AD160" s="1073"/>
      <c r="AE160" s="1073"/>
      <c r="AF160" s="1073"/>
      <c r="AG160" s="1073"/>
      <c r="AH160" s="1073"/>
      <c r="AI160" s="1073"/>
      <c r="AJ160" s="1076">
        <f t="shared" si="8"/>
        <v>0</v>
      </c>
      <c r="AK160" s="1076">
        <f t="shared" si="9"/>
        <v>0</v>
      </c>
      <c r="AL160" s="635"/>
    </row>
    <row r="161" spans="1:38" s="51" customFormat="1" ht="19.149999999999999" customHeight="1" outlineLevel="1">
      <c r="A161" s="1025">
        <v>150</v>
      </c>
      <c r="B161" s="1025">
        <v>51</v>
      </c>
      <c r="C161" s="1025" t="str">
        <f>VLOOKUP(D161,'DS CN MOI UP'!$B$10:$C$347,2,0)</f>
        <v>02479</v>
      </c>
      <c r="D161" s="1028" t="s">
        <v>66</v>
      </c>
      <c r="E161" s="1073"/>
      <c r="F161" s="1073"/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073"/>
      <c r="AC161" s="1073"/>
      <c r="AD161" s="1073"/>
      <c r="AE161" s="1073"/>
      <c r="AF161" s="1073"/>
      <c r="AG161" s="1073"/>
      <c r="AH161" s="1073"/>
      <c r="AI161" s="1073"/>
      <c r="AJ161" s="1076">
        <f t="shared" si="8"/>
        <v>0</v>
      </c>
      <c r="AK161" s="1076">
        <f t="shared" si="9"/>
        <v>0</v>
      </c>
      <c r="AL161" s="635"/>
    </row>
    <row r="162" spans="1:38" s="51" customFormat="1" ht="19.149999999999999" customHeight="1" outlineLevel="1">
      <c r="A162" s="1025">
        <v>151</v>
      </c>
      <c r="B162" s="1025">
        <v>52</v>
      </c>
      <c r="C162" s="1025" t="str">
        <f>VLOOKUP(D162,'DS CN MOI UP'!$B$10:$C$347,2,0)</f>
        <v>02515</v>
      </c>
      <c r="D162" s="630" t="s">
        <v>67</v>
      </c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073"/>
      <c r="AC162" s="1073"/>
      <c r="AD162" s="1073"/>
      <c r="AE162" s="1073"/>
      <c r="AF162" s="1073"/>
      <c r="AG162" s="1073"/>
      <c r="AH162" s="1073"/>
      <c r="AI162" s="1073"/>
      <c r="AJ162" s="1076">
        <f t="shared" si="8"/>
        <v>0</v>
      </c>
      <c r="AK162" s="1076">
        <f t="shared" si="9"/>
        <v>0</v>
      </c>
      <c r="AL162" s="635"/>
    </row>
    <row r="163" spans="1:38" s="51" customFormat="1" ht="19.149999999999999" customHeight="1" outlineLevel="1">
      <c r="A163" s="1025">
        <v>152</v>
      </c>
      <c r="B163" s="1025">
        <v>53</v>
      </c>
      <c r="C163" s="1025" t="str">
        <f>VLOOKUP(D163,'DS CN MOI UP'!$B$10:$C$347,2,0)</f>
        <v>02498</v>
      </c>
      <c r="D163" s="630" t="s">
        <v>68</v>
      </c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073"/>
      <c r="AC163" s="1073"/>
      <c r="AD163" s="1073"/>
      <c r="AE163" s="1073"/>
      <c r="AF163" s="1073"/>
      <c r="AG163" s="1073"/>
      <c r="AH163" s="1073"/>
      <c r="AI163" s="1073"/>
      <c r="AJ163" s="1076">
        <f t="shared" si="8"/>
        <v>0</v>
      </c>
      <c r="AK163" s="1076">
        <f t="shared" si="9"/>
        <v>0</v>
      </c>
      <c r="AL163" s="635"/>
    </row>
    <row r="164" spans="1:38" s="51" customFormat="1" ht="19.149999999999999" customHeight="1" outlineLevel="1">
      <c r="A164" s="1025">
        <v>153</v>
      </c>
      <c r="B164" s="1025">
        <v>54</v>
      </c>
      <c r="C164" s="1025" t="str">
        <f>VLOOKUP(D164,'DS CN MOI UP'!$B$10:$C$347,2,0)</f>
        <v>02685</v>
      </c>
      <c r="D164" s="630" t="s">
        <v>69</v>
      </c>
      <c r="E164" s="1073"/>
      <c r="F164" s="1073"/>
      <c r="G164" s="1073"/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073"/>
      <c r="AC164" s="1073"/>
      <c r="AD164" s="1073"/>
      <c r="AE164" s="1073"/>
      <c r="AF164" s="1073"/>
      <c r="AG164" s="1073"/>
      <c r="AH164" s="1073"/>
      <c r="AI164" s="1073"/>
      <c r="AJ164" s="1076">
        <f t="shared" si="8"/>
        <v>0</v>
      </c>
      <c r="AK164" s="1076">
        <f t="shared" si="9"/>
        <v>0</v>
      </c>
      <c r="AL164" s="635"/>
    </row>
    <row r="165" spans="1:38" s="51" customFormat="1" ht="19.149999999999999" customHeight="1" outlineLevel="1">
      <c r="A165" s="1025">
        <v>154</v>
      </c>
      <c r="B165" s="1025">
        <v>55</v>
      </c>
      <c r="C165" s="1025" t="str">
        <f>VLOOKUP(D165,'DS CN MOI UP'!$B$10:$C$347,2,0)</f>
        <v>02450</v>
      </c>
      <c r="D165" s="630" t="s">
        <v>70</v>
      </c>
      <c r="E165" s="1073"/>
      <c r="F165" s="1073"/>
      <c r="G165" s="1073"/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073"/>
      <c r="AC165" s="1073"/>
      <c r="AD165" s="1073"/>
      <c r="AE165" s="1073"/>
      <c r="AF165" s="1073"/>
      <c r="AG165" s="1073"/>
      <c r="AH165" s="1073"/>
      <c r="AI165" s="1073"/>
      <c r="AJ165" s="1076">
        <f t="shared" si="8"/>
        <v>0</v>
      </c>
      <c r="AK165" s="1076">
        <f t="shared" si="9"/>
        <v>0</v>
      </c>
      <c r="AL165" s="635"/>
    </row>
    <row r="166" spans="1:38" s="51" customFormat="1" ht="19.149999999999999" customHeight="1" outlineLevel="1">
      <c r="A166" s="1025">
        <v>155</v>
      </c>
      <c r="B166" s="1025">
        <v>56</v>
      </c>
      <c r="C166" s="1025" t="str">
        <f>VLOOKUP(D166,'DS CN MOI UP'!$B$10:$C$347,2,0)</f>
        <v>02454</v>
      </c>
      <c r="D166" s="630" t="s">
        <v>71</v>
      </c>
      <c r="E166" s="1073"/>
      <c r="F166" s="1073"/>
      <c r="G166" s="1073"/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073"/>
      <c r="AC166" s="1073"/>
      <c r="AD166" s="1073"/>
      <c r="AE166" s="1073"/>
      <c r="AF166" s="1073"/>
      <c r="AG166" s="1073"/>
      <c r="AH166" s="1073"/>
      <c r="AI166" s="1073"/>
      <c r="AJ166" s="1076">
        <f t="shared" si="8"/>
        <v>0</v>
      </c>
      <c r="AK166" s="1076">
        <f t="shared" si="9"/>
        <v>0</v>
      </c>
      <c r="AL166" s="635"/>
    </row>
    <row r="167" spans="1:38" s="51" customFormat="1" ht="19.149999999999999" customHeight="1" outlineLevel="1">
      <c r="A167" s="1025">
        <v>156</v>
      </c>
      <c r="B167" s="1025">
        <v>57</v>
      </c>
      <c r="C167" s="1025" t="str">
        <f>VLOOKUP(D167,'DS CN MOI UP'!$B$10:$C$347,2,0)</f>
        <v>03335</v>
      </c>
      <c r="D167" s="641" t="s">
        <v>72</v>
      </c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073"/>
      <c r="AC167" s="1073"/>
      <c r="AD167" s="1073"/>
      <c r="AE167" s="1073"/>
      <c r="AF167" s="1073"/>
      <c r="AG167" s="1073"/>
      <c r="AH167" s="1073"/>
      <c r="AI167" s="1073"/>
      <c r="AJ167" s="1076">
        <f t="shared" si="8"/>
        <v>0</v>
      </c>
      <c r="AK167" s="1076">
        <f t="shared" si="9"/>
        <v>0</v>
      </c>
      <c r="AL167" s="635"/>
    </row>
    <row r="168" spans="1:38" s="51" customFormat="1" ht="19.149999999999999" customHeight="1" outlineLevel="1">
      <c r="A168" s="1025">
        <v>157</v>
      </c>
      <c r="B168" s="1025">
        <v>58</v>
      </c>
      <c r="C168" s="1025" t="str">
        <f>VLOOKUP(D168,'DS CN MOI UP'!$B$10:$C$347,2,0)</f>
        <v>02460</v>
      </c>
      <c r="D168" s="641" t="s">
        <v>74</v>
      </c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073"/>
      <c r="AC168" s="1073"/>
      <c r="AD168" s="1073"/>
      <c r="AE168" s="1073"/>
      <c r="AF168" s="1073"/>
      <c r="AG168" s="1073"/>
      <c r="AH168" s="1073"/>
      <c r="AI168" s="1073"/>
      <c r="AJ168" s="1076">
        <f t="shared" si="8"/>
        <v>0</v>
      </c>
      <c r="AK168" s="1076">
        <f t="shared" si="9"/>
        <v>0</v>
      </c>
      <c r="AL168" s="635"/>
    </row>
    <row r="169" spans="1:38" s="51" customFormat="1" ht="19.149999999999999" customHeight="1" outlineLevel="1">
      <c r="A169" s="1025">
        <v>158</v>
      </c>
      <c r="B169" s="1025">
        <v>59</v>
      </c>
      <c r="C169" s="1025" t="str">
        <f>VLOOKUP(D169,'DS CN MOI UP'!$B$10:$C$347,2,0)</f>
        <v>02683</v>
      </c>
      <c r="D169" s="641" t="s">
        <v>75</v>
      </c>
      <c r="E169" s="1073"/>
      <c r="F169" s="1073"/>
      <c r="G169" s="1073"/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073"/>
      <c r="AC169" s="1073"/>
      <c r="AD169" s="1073"/>
      <c r="AE169" s="1073"/>
      <c r="AF169" s="1073"/>
      <c r="AG169" s="1073"/>
      <c r="AH169" s="1073"/>
      <c r="AI169" s="1073"/>
      <c r="AJ169" s="1076">
        <f t="shared" si="8"/>
        <v>0</v>
      </c>
      <c r="AK169" s="1076">
        <f t="shared" si="9"/>
        <v>0</v>
      </c>
      <c r="AL169" s="635"/>
    </row>
    <row r="170" spans="1:38" s="51" customFormat="1" ht="19.149999999999999" customHeight="1" outlineLevel="1">
      <c r="A170" s="1025">
        <v>159</v>
      </c>
      <c r="B170" s="1025">
        <v>60</v>
      </c>
      <c r="C170" s="1025" t="str">
        <f>VLOOKUP(D170,'DS CN MOI UP'!$B$10:$C$347,2,0)</f>
        <v>02681</v>
      </c>
      <c r="D170" s="641" t="s">
        <v>76</v>
      </c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073"/>
      <c r="AC170" s="1073"/>
      <c r="AD170" s="1073"/>
      <c r="AE170" s="1073"/>
      <c r="AF170" s="1073"/>
      <c r="AG170" s="1073"/>
      <c r="AH170" s="1073"/>
      <c r="AI170" s="1073"/>
      <c r="AJ170" s="1076">
        <f t="shared" si="8"/>
        <v>0</v>
      </c>
      <c r="AK170" s="1076">
        <f t="shared" si="9"/>
        <v>0</v>
      </c>
      <c r="AL170" s="635"/>
    </row>
    <row r="171" spans="1:38" s="51" customFormat="1" ht="19.149999999999999" customHeight="1" outlineLevel="1">
      <c r="A171" s="1025">
        <v>160</v>
      </c>
      <c r="B171" s="1025">
        <v>61</v>
      </c>
      <c r="C171" s="1025" t="str">
        <f>VLOOKUP(D171,'DS CN MOI UP'!$B$10:$C$347,2,0)</f>
        <v>02504</v>
      </c>
      <c r="D171" s="641" t="s">
        <v>77</v>
      </c>
      <c r="E171" s="1073"/>
      <c r="F171" s="1073"/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73"/>
      <c r="AJ171" s="1076">
        <f t="shared" si="8"/>
        <v>0</v>
      </c>
      <c r="AK171" s="1076">
        <f t="shared" si="9"/>
        <v>0</v>
      </c>
      <c r="AL171" s="635"/>
    </row>
    <row r="172" spans="1:38" s="51" customFormat="1" ht="19.149999999999999" customHeight="1" outlineLevel="1">
      <c r="A172" s="1025">
        <v>161</v>
      </c>
      <c r="B172" s="1025">
        <v>62</v>
      </c>
      <c r="C172" s="1025" t="str">
        <f>VLOOKUP(D172,'DS CN MOI UP'!$B$10:$C$347,2,0)</f>
        <v>02686</v>
      </c>
      <c r="D172" s="641" t="s">
        <v>78</v>
      </c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073"/>
      <c r="AC172" s="1073"/>
      <c r="AD172" s="1073"/>
      <c r="AE172" s="1073"/>
      <c r="AF172" s="1073"/>
      <c r="AG172" s="1073"/>
      <c r="AH172" s="1073"/>
      <c r="AI172" s="1073"/>
      <c r="AJ172" s="1076">
        <f t="shared" si="8"/>
        <v>0</v>
      </c>
      <c r="AK172" s="1076">
        <f t="shared" si="9"/>
        <v>0</v>
      </c>
      <c r="AL172" s="635"/>
    </row>
    <row r="173" spans="1:38" s="51" customFormat="1" ht="19.149999999999999" customHeight="1" outlineLevel="1">
      <c r="A173" s="1025">
        <v>162</v>
      </c>
      <c r="B173" s="1025">
        <v>63</v>
      </c>
      <c r="C173" s="1025" t="str">
        <f>VLOOKUP(D173,'DS CN MOI UP'!$B$10:$C$347,2,0)</f>
        <v>02478</v>
      </c>
      <c r="D173" s="641" t="s">
        <v>79</v>
      </c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073"/>
      <c r="AC173" s="1073"/>
      <c r="AD173" s="1073"/>
      <c r="AE173" s="1073"/>
      <c r="AF173" s="1073"/>
      <c r="AG173" s="1073"/>
      <c r="AH173" s="1073"/>
      <c r="AI173" s="1073"/>
      <c r="AJ173" s="1076">
        <f t="shared" si="8"/>
        <v>0</v>
      </c>
      <c r="AK173" s="1076">
        <f t="shared" si="9"/>
        <v>0</v>
      </c>
      <c r="AL173" s="635"/>
    </row>
    <row r="174" spans="1:38" s="51" customFormat="1" ht="19.149999999999999" customHeight="1" outlineLevel="1">
      <c r="A174" s="1025">
        <v>163</v>
      </c>
      <c r="B174" s="1025">
        <v>64</v>
      </c>
      <c r="C174" s="1025" t="str">
        <f>VLOOKUP(D174,'DS CN MOI UP'!$B$10:$C$347,2,0)</f>
        <v>02499</v>
      </c>
      <c r="D174" s="641" t="s">
        <v>80</v>
      </c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/>
      <c r="AH174" s="1073"/>
      <c r="AI174" s="1073"/>
      <c r="AJ174" s="1076">
        <f t="shared" si="8"/>
        <v>0</v>
      </c>
      <c r="AK174" s="1076">
        <f t="shared" si="9"/>
        <v>0</v>
      </c>
      <c r="AL174" s="635"/>
    </row>
    <row r="175" spans="1:38" s="51" customFormat="1" ht="19.149999999999999" customHeight="1" outlineLevel="1">
      <c r="A175" s="1025">
        <v>164</v>
      </c>
      <c r="B175" s="1025">
        <v>65</v>
      </c>
      <c r="C175" s="1025" t="str">
        <f>VLOOKUP(D175,'DS CN MOI UP'!$B$10:$C$347,2,0)</f>
        <v>03336</v>
      </c>
      <c r="D175" s="641" t="s">
        <v>81</v>
      </c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/>
      <c r="AH175" s="1073"/>
      <c r="AI175" s="1073"/>
      <c r="AJ175" s="1076">
        <f t="shared" si="8"/>
        <v>0</v>
      </c>
      <c r="AK175" s="1076">
        <f t="shared" si="9"/>
        <v>0</v>
      </c>
      <c r="AL175" s="635"/>
    </row>
    <row r="176" spans="1:38" s="51" customFormat="1" ht="19.149999999999999" customHeight="1" outlineLevel="1">
      <c r="A176" s="1025">
        <v>165</v>
      </c>
      <c r="B176" s="1025">
        <v>66</v>
      </c>
      <c r="C176" s="1025" t="str">
        <f>VLOOKUP(D176,'DS CN MOI UP'!$B$10:$C$347,2,0)</f>
        <v>02682</v>
      </c>
      <c r="D176" s="641" t="s">
        <v>82</v>
      </c>
      <c r="E176" s="1073"/>
      <c r="F176" s="1073"/>
      <c r="G176" s="1073"/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073"/>
      <c r="AC176" s="1073"/>
      <c r="AD176" s="1073"/>
      <c r="AE176" s="1073"/>
      <c r="AF176" s="1073"/>
      <c r="AG176" s="1073"/>
      <c r="AH176" s="1073"/>
      <c r="AI176" s="1073"/>
      <c r="AJ176" s="1076">
        <f t="shared" ref="AJ176:AJ204" si="10">SUM(E176:AI176)</f>
        <v>0</v>
      </c>
      <c r="AK176" s="1076">
        <f t="shared" si="9"/>
        <v>0</v>
      </c>
      <c r="AL176" s="635"/>
    </row>
    <row r="177" spans="1:38" s="51" customFormat="1" ht="19.149999999999999" customHeight="1" outlineLevel="1">
      <c r="A177" s="1025">
        <v>166</v>
      </c>
      <c r="B177" s="1025">
        <v>67</v>
      </c>
      <c r="C177" s="1025" t="str">
        <f>VLOOKUP(D177,'DS CN MOI UP'!$B$10:$C$347,2,0)</f>
        <v>02482</v>
      </c>
      <c r="D177" s="641" t="s">
        <v>83</v>
      </c>
      <c r="E177" s="1073"/>
      <c r="F177" s="1073"/>
      <c r="G177" s="1073"/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073"/>
      <c r="AC177" s="1073"/>
      <c r="AD177" s="1073"/>
      <c r="AE177" s="1073"/>
      <c r="AF177" s="1073"/>
      <c r="AG177" s="1073"/>
      <c r="AH177" s="1073"/>
      <c r="AI177" s="1073"/>
      <c r="AJ177" s="1076">
        <f t="shared" si="10"/>
        <v>0</v>
      </c>
      <c r="AK177" s="1076">
        <f t="shared" si="9"/>
        <v>0</v>
      </c>
      <c r="AL177" s="635"/>
    </row>
    <row r="178" spans="1:38" s="51" customFormat="1" ht="19.149999999999999" customHeight="1" outlineLevel="1">
      <c r="A178" s="1025">
        <v>167</v>
      </c>
      <c r="B178" s="1025">
        <v>68</v>
      </c>
      <c r="C178" s="1025" t="str">
        <f>VLOOKUP(D178,'DS CN MOI UP'!$B$10:$C$347,2,0)</f>
        <v>03337</v>
      </c>
      <c r="D178" s="641" t="s">
        <v>84</v>
      </c>
      <c r="E178" s="1073"/>
      <c r="F178" s="1073"/>
      <c r="G178" s="1073"/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073"/>
      <c r="AC178" s="1073"/>
      <c r="AD178" s="1073"/>
      <c r="AE178" s="1073"/>
      <c r="AF178" s="1073"/>
      <c r="AG178" s="1073"/>
      <c r="AH178" s="1073"/>
      <c r="AI178" s="1073"/>
      <c r="AJ178" s="1076">
        <f t="shared" si="10"/>
        <v>0</v>
      </c>
      <c r="AK178" s="1076">
        <f t="shared" si="9"/>
        <v>0</v>
      </c>
      <c r="AL178" s="635"/>
    </row>
    <row r="179" spans="1:38" s="51" customFormat="1" ht="19.149999999999999" customHeight="1" outlineLevel="1">
      <c r="A179" s="1025">
        <v>168</v>
      </c>
      <c r="B179" s="1025">
        <v>69</v>
      </c>
      <c r="C179" s="1025" t="str">
        <f>VLOOKUP(D179,'DS CN MOI UP'!$B$10:$C$347,2,0)</f>
        <v>03338</v>
      </c>
      <c r="D179" s="641" t="s">
        <v>85</v>
      </c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73"/>
      <c r="AJ179" s="1076">
        <f t="shared" si="10"/>
        <v>0</v>
      </c>
      <c r="AK179" s="1076">
        <f t="shared" si="9"/>
        <v>0</v>
      </c>
      <c r="AL179" s="635"/>
    </row>
    <row r="180" spans="1:38" s="51" customFormat="1" ht="19.149999999999999" customHeight="1" outlineLevel="1">
      <c r="A180" s="1025">
        <v>169</v>
      </c>
      <c r="B180" s="1025">
        <v>70</v>
      </c>
      <c r="C180" s="1025" t="str">
        <f>VLOOKUP(D180,'DS CN MOI UP'!$B$10:$C$347,2,0)</f>
        <v>02481</v>
      </c>
      <c r="D180" s="641" t="s">
        <v>86</v>
      </c>
      <c r="E180" s="1073"/>
      <c r="F180" s="1073"/>
      <c r="G180" s="1073"/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073"/>
      <c r="AC180" s="1073"/>
      <c r="AD180" s="1073"/>
      <c r="AE180" s="1073"/>
      <c r="AF180" s="1073"/>
      <c r="AG180" s="1073"/>
      <c r="AH180" s="1073"/>
      <c r="AI180" s="1073"/>
      <c r="AJ180" s="1076">
        <f t="shared" si="10"/>
        <v>0</v>
      </c>
      <c r="AK180" s="1076">
        <f t="shared" si="9"/>
        <v>0</v>
      </c>
      <c r="AL180" s="635"/>
    </row>
    <row r="181" spans="1:38" s="51" customFormat="1" ht="19.149999999999999" customHeight="1" outlineLevel="1">
      <c r="A181" s="1025">
        <v>170</v>
      </c>
      <c r="B181" s="1025">
        <v>71</v>
      </c>
      <c r="C181" s="1025" t="str">
        <f>VLOOKUP(D181,'DS CN MOI UP'!$B$10:$C$347,2,0)</f>
        <v>02463</v>
      </c>
      <c r="D181" s="641" t="s">
        <v>87</v>
      </c>
      <c r="E181" s="1073"/>
      <c r="F181" s="1073"/>
      <c r="G181" s="1073"/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073"/>
      <c r="AC181" s="1073"/>
      <c r="AD181" s="1073"/>
      <c r="AE181" s="1073"/>
      <c r="AF181" s="1073"/>
      <c r="AG181" s="1073"/>
      <c r="AH181" s="1073"/>
      <c r="AI181" s="1073"/>
      <c r="AJ181" s="1076">
        <f t="shared" si="10"/>
        <v>0</v>
      </c>
      <c r="AK181" s="1076">
        <f t="shared" si="9"/>
        <v>0</v>
      </c>
      <c r="AL181" s="635"/>
    </row>
    <row r="182" spans="1:38" s="51" customFormat="1" ht="19.149999999999999" customHeight="1" outlineLevel="1">
      <c r="A182" s="1025">
        <v>171</v>
      </c>
      <c r="B182" s="1025">
        <v>72</v>
      </c>
      <c r="C182" s="1025" t="str">
        <f>VLOOKUP(D182,'DS CN MOI UP'!$B$10:$C$347,2,0)</f>
        <v>02464</v>
      </c>
      <c r="D182" s="641" t="s">
        <v>88</v>
      </c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073"/>
      <c r="AC182" s="1073"/>
      <c r="AD182" s="1073"/>
      <c r="AE182" s="1073"/>
      <c r="AF182" s="1073"/>
      <c r="AG182" s="1073"/>
      <c r="AH182" s="1073"/>
      <c r="AI182" s="1073"/>
      <c r="AJ182" s="1076">
        <f t="shared" si="10"/>
        <v>0</v>
      </c>
      <c r="AK182" s="1076">
        <f t="shared" si="9"/>
        <v>0</v>
      </c>
      <c r="AL182" s="635"/>
    </row>
    <row r="183" spans="1:38" s="51" customFormat="1" ht="19.149999999999999" customHeight="1" outlineLevel="1">
      <c r="A183" s="1025">
        <v>172</v>
      </c>
      <c r="B183" s="1025">
        <v>73</v>
      </c>
      <c r="C183" s="1025" t="str">
        <f>VLOOKUP(D183,'DS CN MOI UP'!$B$10:$C$347,2,0)</f>
        <v>02456</v>
      </c>
      <c r="D183" s="641" t="s">
        <v>89</v>
      </c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073"/>
      <c r="AC183" s="1073"/>
      <c r="AD183" s="1073"/>
      <c r="AE183" s="1073"/>
      <c r="AF183" s="1073"/>
      <c r="AG183" s="1073"/>
      <c r="AH183" s="1073"/>
      <c r="AI183" s="1073"/>
      <c r="AJ183" s="1076">
        <f t="shared" si="10"/>
        <v>0</v>
      </c>
      <c r="AK183" s="1076">
        <f t="shared" si="9"/>
        <v>0</v>
      </c>
      <c r="AL183" s="635"/>
    </row>
    <row r="184" spans="1:38" s="51" customFormat="1" ht="19.149999999999999" customHeight="1" outlineLevel="1">
      <c r="A184" s="1025">
        <v>173</v>
      </c>
      <c r="B184" s="1025">
        <v>74</v>
      </c>
      <c r="C184" s="1025" t="str">
        <f>VLOOKUP(D184,'DS CN MOI UP'!$B$10:$C$347,2,0)</f>
        <v>02461</v>
      </c>
      <c r="D184" s="641" t="s">
        <v>90</v>
      </c>
      <c r="E184" s="1073"/>
      <c r="F184" s="1073"/>
      <c r="G184" s="1073"/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073"/>
      <c r="AC184" s="1073"/>
      <c r="AD184" s="1073"/>
      <c r="AE184" s="1073"/>
      <c r="AF184" s="1073"/>
      <c r="AG184" s="1073"/>
      <c r="AH184" s="1073"/>
      <c r="AI184" s="1073"/>
      <c r="AJ184" s="1076">
        <f t="shared" si="10"/>
        <v>0</v>
      </c>
      <c r="AK184" s="1076">
        <f t="shared" si="9"/>
        <v>0</v>
      </c>
      <c r="AL184" s="635"/>
    </row>
    <row r="185" spans="1:38" s="51" customFormat="1" ht="19.149999999999999" customHeight="1" outlineLevel="1">
      <c r="A185" s="1025">
        <v>174</v>
      </c>
      <c r="B185" s="1025">
        <v>75</v>
      </c>
      <c r="C185" s="1025" t="str">
        <f>VLOOKUP(D185,'DS CN MOI UP'!$B$10:$C$347,2,0)</f>
        <v>02680</v>
      </c>
      <c r="D185" s="641" t="s">
        <v>91</v>
      </c>
      <c r="E185" s="1073"/>
      <c r="F185" s="1073"/>
      <c r="G185" s="1073"/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3"/>
      <c r="AF185" s="1073"/>
      <c r="AG185" s="1073"/>
      <c r="AH185" s="1073"/>
      <c r="AI185" s="1073"/>
      <c r="AJ185" s="1076">
        <f t="shared" si="10"/>
        <v>0</v>
      </c>
      <c r="AK185" s="1076">
        <f t="shared" si="9"/>
        <v>0</v>
      </c>
      <c r="AL185" s="635"/>
    </row>
    <row r="186" spans="1:38" s="51" customFormat="1" ht="19.149999999999999" customHeight="1" outlineLevel="1">
      <c r="A186" s="1025">
        <v>175</v>
      </c>
      <c r="B186" s="1025">
        <v>76</v>
      </c>
      <c r="C186" s="1025" t="str">
        <f>VLOOKUP(D186,'DS CN MOI UP'!$B$10:$C$347,2,0)</f>
        <v>02501</v>
      </c>
      <c r="D186" s="641" t="s">
        <v>92</v>
      </c>
      <c r="E186" s="1073"/>
      <c r="F186" s="1073"/>
      <c r="G186" s="1073"/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3"/>
      <c r="AF186" s="1073"/>
      <c r="AG186" s="1073"/>
      <c r="AH186" s="1073"/>
      <c r="AI186" s="1073"/>
      <c r="AJ186" s="1076">
        <f t="shared" si="10"/>
        <v>0</v>
      </c>
      <c r="AK186" s="1076">
        <f t="shared" si="9"/>
        <v>0</v>
      </c>
      <c r="AL186" s="635"/>
    </row>
    <row r="187" spans="1:38" s="51" customFormat="1" ht="19.149999999999999" customHeight="1" outlineLevel="1">
      <c r="A187" s="1025">
        <v>176</v>
      </c>
      <c r="B187" s="1025">
        <v>77</v>
      </c>
      <c r="C187" s="1025" t="str">
        <f>VLOOKUP(D187,'DS CN MOI UP'!$B$10:$C$347,2,0)</f>
        <v>02503</v>
      </c>
      <c r="D187" s="641" t="s">
        <v>93</v>
      </c>
      <c r="E187" s="1073"/>
      <c r="F187" s="1073"/>
      <c r="G187" s="1073"/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3"/>
      <c r="AF187" s="1073"/>
      <c r="AG187" s="1073"/>
      <c r="AH187" s="1073"/>
      <c r="AI187" s="1073"/>
      <c r="AJ187" s="1076">
        <f t="shared" si="10"/>
        <v>0</v>
      </c>
      <c r="AK187" s="1076">
        <f t="shared" si="9"/>
        <v>0</v>
      </c>
      <c r="AL187" s="635"/>
    </row>
    <row r="188" spans="1:38" s="51" customFormat="1" ht="19.149999999999999" customHeight="1" outlineLevel="1">
      <c r="A188" s="1025">
        <v>177</v>
      </c>
      <c r="B188" s="1025">
        <v>78</v>
      </c>
      <c r="C188" s="1025" t="str">
        <f>VLOOKUP(D188,'DS CN MOI UP'!$B$10:$C$347,2,0)</f>
        <v>02468</v>
      </c>
      <c r="D188" s="641" t="s">
        <v>94</v>
      </c>
      <c r="E188" s="1073"/>
      <c r="F188" s="1073"/>
      <c r="G188" s="1073"/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073"/>
      <c r="AC188" s="1073"/>
      <c r="AD188" s="1073"/>
      <c r="AE188" s="1073"/>
      <c r="AF188" s="1073"/>
      <c r="AG188" s="1073"/>
      <c r="AH188" s="1073"/>
      <c r="AI188" s="1073"/>
      <c r="AJ188" s="1076">
        <f t="shared" si="10"/>
        <v>0</v>
      </c>
      <c r="AK188" s="1076">
        <f t="shared" si="9"/>
        <v>0</v>
      </c>
      <c r="AL188" s="635"/>
    </row>
    <row r="189" spans="1:38" s="51" customFormat="1" ht="19.149999999999999" customHeight="1" outlineLevel="1">
      <c r="A189" s="1025">
        <v>178</v>
      </c>
      <c r="B189" s="1025">
        <v>79</v>
      </c>
      <c r="C189" s="1025" t="str">
        <f>VLOOKUP(D189,'DS CN MOI UP'!$B$10:$C$347,2,0)</f>
        <v>03339</v>
      </c>
      <c r="D189" s="641" t="s">
        <v>95</v>
      </c>
      <c r="E189" s="1073"/>
      <c r="F189" s="1073"/>
      <c r="G189" s="1073"/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073"/>
      <c r="AC189" s="1073"/>
      <c r="AD189" s="1073"/>
      <c r="AE189" s="1073"/>
      <c r="AF189" s="1073"/>
      <c r="AG189" s="1073"/>
      <c r="AH189" s="1073"/>
      <c r="AI189" s="1073"/>
      <c r="AJ189" s="1076">
        <f t="shared" si="10"/>
        <v>0</v>
      </c>
      <c r="AK189" s="1076">
        <f t="shared" si="9"/>
        <v>0</v>
      </c>
      <c r="AL189" s="635"/>
    </row>
    <row r="190" spans="1:38" s="51" customFormat="1" ht="19.149999999999999" customHeight="1" outlineLevel="1">
      <c r="A190" s="1025">
        <v>179</v>
      </c>
      <c r="B190" s="1025">
        <v>80</v>
      </c>
      <c r="C190" s="1025" t="str">
        <f>VLOOKUP(D190,'DS CN MOI UP'!$B$10:$C$347,2,0)</f>
        <v>02494</v>
      </c>
      <c r="D190" s="641" t="s">
        <v>96</v>
      </c>
      <c r="E190" s="1073"/>
      <c r="F190" s="1073"/>
      <c r="G190" s="1073"/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3"/>
      <c r="AF190" s="1073"/>
      <c r="AG190" s="1073"/>
      <c r="AH190" s="1073"/>
      <c r="AI190" s="1073"/>
      <c r="AJ190" s="1076">
        <f t="shared" si="10"/>
        <v>0</v>
      </c>
      <c r="AK190" s="1076">
        <f t="shared" si="9"/>
        <v>0</v>
      </c>
      <c r="AL190" s="635"/>
    </row>
    <row r="191" spans="1:38" s="51" customFormat="1" ht="19.149999999999999" customHeight="1" outlineLevel="1">
      <c r="A191" s="1025">
        <v>180</v>
      </c>
      <c r="B191" s="1025">
        <v>81</v>
      </c>
      <c r="C191" s="1025" t="str">
        <f>VLOOKUP(D191,'DS CN MOI UP'!$B$10:$C$347,2,0)</f>
        <v>02476</v>
      </c>
      <c r="D191" s="641" t="s">
        <v>97</v>
      </c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3"/>
      <c r="AF191" s="1073"/>
      <c r="AG191" s="1073"/>
      <c r="AH191" s="1073"/>
      <c r="AI191" s="1073"/>
      <c r="AJ191" s="1076">
        <f t="shared" si="10"/>
        <v>0</v>
      </c>
      <c r="AK191" s="1076">
        <f t="shared" si="9"/>
        <v>0</v>
      </c>
      <c r="AL191" s="635"/>
    </row>
    <row r="192" spans="1:38" s="51" customFormat="1" ht="19.149999999999999" customHeight="1" outlineLevel="1">
      <c r="A192" s="1025">
        <v>181</v>
      </c>
      <c r="B192" s="1025">
        <v>82</v>
      </c>
      <c r="C192" s="1025" t="str">
        <f>VLOOKUP(D192,'DS CN MOI UP'!$B$10:$C$347,2,0)</f>
        <v>02496</v>
      </c>
      <c r="D192" s="641" t="s">
        <v>98</v>
      </c>
      <c r="E192" s="1073"/>
      <c r="F192" s="1073"/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3"/>
      <c r="AF192" s="1073"/>
      <c r="AG192" s="1073"/>
      <c r="AH192" s="1073"/>
      <c r="AI192" s="1073"/>
      <c r="AJ192" s="1076">
        <f t="shared" si="10"/>
        <v>0</v>
      </c>
      <c r="AK192" s="1076">
        <f t="shared" si="9"/>
        <v>0</v>
      </c>
      <c r="AL192" s="635"/>
    </row>
    <row r="193" spans="1:41" s="51" customFormat="1" ht="19.149999999999999" customHeight="1" outlineLevel="1">
      <c r="A193" s="1025">
        <v>182</v>
      </c>
      <c r="B193" s="1025">
        <v>83</v>
      </c>
      <c r="C193" s="1025" t="e">
        <f>VLOOKUP(D193,'DS CN MOI UP'!$B$10:$C$347,2,0)</f>
        <v>#N/A</v>
      </c>
      <c r="D193" s="641" t="s">
        <v>99</v>
      </c>
      <c r="E193" s="1073"/>
      <c r="F193" s="1073"/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3"/>
      <c r="AF193" s="1073"/>
      <c r="AG193" s="1073"/>
      <c r="AH193" s="1073"/>
      <c r="AI193" s="1073"/>
      <c r="AJ193" s="1076">
        <f t="shared" si="10"/>
        <v>0</v>
      </c>
      <c r="AK193" s="1076">
        <f t="shared" si="9"/>
        <v>0</v>
      </c>
      <c r="AL193" s="635"/>
    </row>
    <row r="194" spans="1:41" s="51" customFormat="1" ht="19.149999999999999" customHeight="1" outlineLevel="1">
      <c r="A194" s="1025">
        <v>183</v>
      </c>
      <c r="B194" s="1025">
        <v>84</v>
      </c>
      <c r="C194" s="1025" t="str">
        <f>VLOOKUP(D194,'DS CN MOI UP'!$B$10:$C$347,2,0)</f>
        <v>02514</v>
      </c>
      <c r="D194" s="641" t="s">
        <v>100</v>
      </c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3"/>
      <c r="AF194" s="1073"/>
      <c r="AG194" s="1073"/>
      <c r="AH194" s="1073"/>
      <c r="AI194" s="1073"/>
      <c r="AJ194" s="1076">
        <f t="shared" si="10"/>
        <v>0</v>
      </c>
      <c r="AK194" s="1076">
        <f t="shared" si="9"/>
        <v>0</v>
      </c>
      <c r="AL194" s="635"/>
    </row>
    <row r="195" spans="1:41" s="51" customFormat="1" ht="19.149999999999999" customHeight="1" outlineLevel="1">
      <c r="A195" s="1025">
        <v>184</v>
      </c>
      <c r="B195" s="1025">
        <v>85</v>
      </c>
      <c r="C195" s="1025" t="str">
        <f>VLOOKUP(D195,'DS CN MOI UP'!$B$10:$C$347,2,0)</f>
        <v>03340</v>
      </c>
      <c r="D195" s="641" t="s">
        <v>101</v>
      </c>
      <c r="E195" s="1073"/>
      <c r="F195" s="1073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3"/>
      <c r="AF195" s="1073"/>
      <c r="AG195" s="1073"/>
      <c r="AH195" s="1073"/>
      <c r="AI195" s="1073"/>
      <c r="AJ195" s="1076">
        <f t="shared" si="10"/>
        <v>0</v>
      </c>
      <c r="AK195" s="1076">
        <f t="shared" si="9"/>
        <v>0</v>
      </c>
      <c r="AL195" s="635"/>
    </row>
    <row r="196" spans="1:41" s="51" customFormat="1" ht="19.149999999999999" customHeight="1" outlineLevel="1">
      <c r="A196" s="1025">
        <v>185</v>
      </c>
      <c r="B196" s="1025">
        <v>86</v>
      </c>
      <c r="C196" s="1025" t="str">
        <f>VLOOKUP(D196,'DS CN MOI UP'!$B$10:$C$347,2,0)</f>
        <v>02497</v>
      </c>
      <c r="D196" s="641" t="s">
        <v>102</v>
      </c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073"/>
      <c r="AC196" s="1073"/>
      <c r="AD196" s="1073"/>
      <c r="AE196" s="1073"/>
      <c r="AF196" s="1073"/>
      <c r="AG196" s="1073"/>
      <c r="AH196" s="1073"/>
      <c r="AI196" s="1073"/>
      <c r="AJ196" s="1076">
        <f t="shared" si="10"/>
        <v>0</v>
      </c>
      <c r="AK196" s="1076">
        <f t="shared" si="9"/>
        <v>0</v>
      </c>
      <c r="AL196" s="635"/>
    </row>
    <row r="197" spans="1:41" s="51" customFormat="1" ht="19.149999999999999" customHeight="1" outlineLevel="1">
      <c r="A197" s="1025">
        <v>186</v>
      </c>
      <c r="B197" s="1025">
        <v>87</v>
      </c>
      <c r="C197" s="1025" t="str">
        <f>VLOOKUP(D197,'DS CN MOI UP'!$B$10:$C$347,2,0)</f>
        <v>03341</v>
      </c>
      <c r="D197" s="641" t="s">
        <v>487</v>
      </c>
      <c r="E197" s="1073"/>
      <c r="F197" s="1073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3"/>
      <c r="AF197" s="1073"/>
      <c r="AG197" s="1073"/>
      <c r="AH197" s="1073"/>
      <c r="AI197" s="1073"/>
      <c r="AJ197" s="1076">
        <f t="shared" si="10"/>
        <v>0</v>
      </c>
      <c r="AK197" s="1076">
        <f t="shared" si="9"/>
        <v>0</v>
      </c>
      <c r="AL197" s="635"/>
    </row>
    <row r="198" spans="1:41" s="51" customFormat="1" ht="19.149999999999999" customHeight="1" outlineLevel="1">
      <c r="A198" s="1025">
        <v>187</v>
      </c>
      <c r="B198" s="1025">
        <v>88</v>
      </c>
      <c r="C198" s="1025" t="str">
        <f>VLOOKUP(D198,'DS CN MOI UP'!$B$10:$C$347,2,0)</f>
        <v>02511</v>
      </c>
      <c r="D198" s="641" t="s">
        <v>488</v>
      </c>
      <c r="E198" s="1073"/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3"/>
      <c r="AF198" s="1073"/>
      <c r="AG198" s="1073"/>
      <c r="AH198" s="1073"/>
      <c r="AI198" s="1073"/>
      <c r="AJ198" s="1076">
        <f t="shared" si="10"/>
        <v>0</v>
      </c>
      <c r="AK198" s="1076">
        <f t="shared" si="9"/>
        <v>0</v>
      </c>
      <c r="AL198" s="635"/>
    </row>
    <row r="199" spans="1:41" s="51" customFormat="1" ht="19.149999999999999" customHeight="1" outlineLevel="1">
      <c r="A199" s="1025">
        <v>188</v>
      </c>
      <c r="B199" s="1025">
        <v>89</v>
      </c>
      <c r="C199" s="1025" t="str">
        <f>VLOOKUP(D199,'DS CN MOI UP'!$B$10:$C$347,2,0)</f>
        <v>03342</v>
      </c>
      <c r="D199" s="641" t="s">
        <v>489</v>
      </c>
      <c r="E199" s="1073"/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3"/>
      <c r="AF199" s="1073"/>
      <c r="AG199" s="1073"/>
      <c r="AH199" s="1073"/>
      <c r="AI199" s="1073"/>
      <c r="AJ199" s="1076">
        <f t="shared" si="10"/>
        <v>0</v>
      </c>
      <c r="AK199" s="1076">
        <f t="shared" si="9"/>
        <v>0</v>
      </c>
      <c r="AL199" s="635"/>
    </row>
    <row r="200" spans="1:41" s="51" customFormat="1" ht="19.149999999999999" customHeight="1" outlineLevel="1">
      <c r="A200" s="1025">
        <v>189</v>
      </c>
      <c r="B200" s="1025">
        <v>90</v>
      </c>
      <c r="C200" s="1025" t="str">
        <f>VLOOKUP(D200,'DS CN MOI UP'!$B$10:$C$347,2,0)</f>
        <v>02484</v>
      </c>
      <c r="D200" s="641" t="s">
        <v>490</v>
      </c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3"/>
      <c r="AF200" s="1073"/>
      <c r="AG200" s="1073"/>
      <c r="AH200" s="1073"/>
      <c r="AI200" s="1073"/>
      <c r="AJ200" s="1076">
        <f t="shared" si="10"/>
        <v>0</v>
      </c>
      <c r="AK200" s="1076">
        <f t="shared" si="9"/>
        <v>0</v>
      </c>
      <c r="AL200" s="635"/>
    </row>
    <row r="201" spans="1:41" s="51" customFormat="1" ht="19.149999999999999" customHeight="1" outlineLevel="1">
      <c r="A201" s="1025">
        <v>190</v>
      </c>
      <c r="B201" s="1025">
        <v>91</v>
      </c>
      <c r="C201" s="1025" t="str">
        <f>VLOOKUP(D201,'DS CN MOI UP'!$B$10:$C$347,2,0)</f>
        <v>02509</v>
      </c>
      <c r="D201" s="641" t="s">
        <v>491</v>
      </c>
      <c r="E201" s="1073"/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3"/>
      <c r="AF201" s="1073"/>
      <c r="AG201" s="1073"/>
      <c r="AH201" s="1073"/>
      <c r="AI201" s="1073"/>
      <c r="AJ201" s="1076">
        <f t="shared" si="10"/>
        <v>0</v>
      </c>
      <c r="AK201" s="1076">
        <f t="shared" si="9"/>
        <v>0</v>
      </c>
      <c r="AL201" s="635"/>
    </row>
    <row r="202" spans="1:41" s="51" customFormat="1" ht="19.149999999999999" customHeight="1" outlineLevel="1">
      <c r="A202" s="1025">
        <v>191</v>
      </c>
      <c r="B202" s="1025">
        <v>92</v>
      </c>
      <c r="C202" s="1025" t="str">
        <f>VLOOKUP(D202,'DS CN MOI UP'!$B$10:$C$347,2,0)</f>
        <v>02458</v>
      </c>
      <c r="D202" s="641" t="s">
        <v>492</v>
      </c>
      <c r="E202" s="1073"/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3"/>
      <c r="AF202" s="1073"/>
      <c r="AG202" s="1073"/>
      <c r="AH202" s="1073"/>
      <c r="AI202" s="1073"/>
      <c r="AJ202" s="1076">
        <f t="shared" si="10"/>
        <v>0</v>
      </c>
      <c r="AK202" s="1076">
        <f t="shared" si="9"/>
        <v>0</v>
      </c>
      <c r="AL202" s="635"/>
    </row>
    <row r="203" spans="1:41" s="51" customFormat="1" ht="19.149999999999999" customHeight="1" outlineLevel="1">
      <c r="A203" s="1025">
        <v>192</v>
      </c>
      <c r="B203" s="1025">
        <v>93</v>
      </c>
      <c r="C203" s="1025" t="str">
        <f>VLOOKUP(D203,'DS CN MOI UP'!$B$10:$C$347,2,0)</f>
        <v>02480</v>
      </c>
      <c r="D203" s="641" t="s">
        <v>493</v>
      </c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73"/>
      <c r="AJ203" s="1076">
        <f t="shared" si="10"/>
        <v>0</v>
      </c>
      <c r="AK203" s="1076">
        <f t="shared" ref="AK203:AK266" si="11">AJ203*$AN$6</f>
        <v>0</v>
      </c>
      <c r="AL203" s="635"/>
    </row>
    <row r="204" spans="1:41" s="51" customFormat="1" ht="19.149999999999999" customHeight="1" outlineLevel="1">
      <c r="A204" s="1025">
        <v>193</v>
      </c>
      <c r="B204" s="1025">
        <v>94</v>
      </c>
      <c r="C204" s="1025" t="e">
        <f>VLOOKUP(D204,'DS CN MOI UP'!$B$10:$C$347,2,0)</f>
        <v>#N/A</v>
      </c>
      <c r="D204" s="641" t="s">
        <v>494</v>
      </c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6">
        <f t="shared" si="10"/>
        <v>0</v>
      </c>
      <c r="AK204" s="1076">
        <f t="shared" si="11"/>
        <v>0</v>
      </c>
      <c r="AL204" s="635"/>
    </row>
    <row r="205" spans="1:41" s="1022" customFormat="1" ht="19.149999999999999" customHeight="1">
      <c r="A205" s="1026" t="s">
        <v>1942</v>
      </c>
      <c r="B205" s="1026"/>
      <c r="C205" s="1025" t="e">
        <f>VLOOKUP(D205,'DS CN MOI UP'!$B$10:$C$347,2,0)</f>
        <v>#N/A</v>
      </c>
      <c r="D205" s="1026"/>
      <c r="E205" s="1072"/>
      <c r="F205" s="1072"/>
      <c r="G205" s="1072"/>
      <c r="H205" s="1072"/>
      <c r="I205" s="1072"/>
      <c r="J205" s="1072"/>
      <c r="K205" s="1072"/>
      <c r="L205" s="1072"/>
      <c r="M205" s="1072"/>
      <c r="N205" s="1072"/>
      <c r="O205" s="1072"/>
      <c r="P205" s="1072"/>
      <c r="Q205" s="1072"/>
      <c r="R205" s="1072"/>
      <c r="S205" s="1072"/>
      <c r="T205" s="1072"/>
      <c r="U205" s="1072"/>
      <c r="V205" s="1072"/>
      <c r="W205" s="1072"/>
      <c r="X205" s="1072"/>
      <c r="Y205" s="1072"/>
      <c r="Z205" s="1072"/>
      <c r="AA205" s="1072"/>
      <c r="AB205" s="1072"/>
      <c r="AC205" s="1072"/>
      <c r="AD205" s="1072"/>
      <c r="AE205" s="1072"/>
      <c r="AF205" s="1072"/>
      <c r="AG205" s="1072"/>
      <c r="AH205" s="1072"/>
      <c r="AI205" s="1072"/>
      <c r="AJ205" s="1072">
        <f t="shared" ref="AJ205" si="12">SUM(AJ206:AJ216)</f>
        <v>0</v>
      </c>
      <c r="AK205" s="1076">
        <f t="shared" si="11"/>
        <v>0</v>
      </c>
      <c r="AL205" s="1036"/>
      <c r="AM205" s="1038"/>
      <c r="AN205" s="1038"/>
      <c r="AO205" s="1038"/>
    </row>
    <row r="206" spans="1:41" s="51" customFormat="1" ht="19.149999999999999" customHeight="1" outlineLevel="1">
      <c r="A206" s="1025">
        <v>194</v>
      </c>
      <c r="B206" s="1025">
        <v>1</v>
      </c>
      <c r="C206" s="1025" t="str">
        <f>VLOOKUP(D206,'DS CN MOI UP'!$B$10:$C$347,2,0)</f>
        <v>03343</v>
      </c>
      <c r="D206" s="641" t="s">
        <v>496</v>
      </c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6">
        <f t="shared" ref="AJ206:AJ216" si="13">SUM(E206:AI206)</f>
        <v>0</v>
      </c>
      <c r="AK206" s="1076">
        <f t="shared" si="11"/>
        <v>0</v>
      </c>
      <c r="AL206" s="635"/>
    </row>
    <row r="207" spans="1:41" s="51" customFormat="1" ht="19.149999999999999" customHeight="1" outlineLevel="1">
      <c r="A207" s="1025">
        <v>195</v>
      </c>
      <c r="B207" s="1025">
        <v>2</v>
      </c>
      <c r="C207" s="1025" t="str">
        <f>VLOOKUP(D207,'DS CN MOI UP'!$B$10:$C$347,2,0)</f>
        <v>02444</v>
      </c>
      <c r="D207" s="641" t="s">
        <v>105</v>
      </c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6">
        <f t="shared" si="13"/>
        <v>0</v>
      </c>
      <c r="AK207" s="1076">
        <f t="shared" si="11"/>
        <v>0</v>
      </c>
      <c r="AL207" s="635"/>
    </row>
    <row r="208" spans="1:41" s="51" customFormat="1" ht="19.149999999999999" customHeight="1" outlineLevel="1">
      <c r="A208" s="1025">
        <v>196</v>
      </c>
      <c r="B208" s="1025">
        <v>3</v>
      </c>
      <c r="C208" s="1025" t="str">
        <f>VLOOKUP(D208,'DS CN MOI UP'!$B$10:$C$347,2,0)</f>
        <v>02447</v>
      </c>
      <c r="D208" s="641" t="s">
        <v>497</v>
      </c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6">
        <f t="shared" si="13"/>
        <v>0</v>
      </c>
      <c r="AK208" s="1076">
        <f t="shared" si="11"/>
        <v>0</v>
      </c>
      <c r="AL208" s="635"/>
    </row>
    <row r="209" spans="1:41" s="51" customFormat="1" ht="19.149999999999999" customHeight="1" outlineLevel="1">
      <c r="A209" s="1025">
        <v>197</v>
      </c>
      <c r="B209" s="1025">
        <v>4</v>
      </c>
      <c r="C209" s="1025" t="str">
        <f>VLOOKUP(D209,'DS CN MOI UP'!$B$10:$C$347,2,0)</f>
        <v>03344</v>
      </c>
      <c r="D209" s="641" t="s">
        <v>498</v>
      </c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6">
        <f t="shared" si="13"/>
        <v>0</v>
      </c>
      <c r="AK209" s="1076">
        <f t="shared" si="11"/>
        <v>0</v>
      </c>
      <c r="AL209" s="635"/>
    </row>
    <row r="210" spans="1:41" s="51" customFormat="1" ht="19.149999999999999" customHeight="1" outlineLevel="1">
      <c r="A210" s="1025">
        <v>198</v>
      </c>
      <c r="B210" s="1025">
        <v>5</v>
      </c>
      <c r="C210" s="1025" t="str">
        <f>VLOOKUP(D210,'DS CN MOI UP'!$B$10:$C$347,2,0)</f>
        <v>02449</v>
      </c>
      <c r="D210" s="641" t="s">
        <v>108</v>
      </c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6">
        <f t="shared" si="13"/>
        <v>0</v>
      </c>
      <c r="AK210" s="1076">
        <f t="shared" si="11"/>
        <v>0</v>
      </c>
      <c r="AL210" s="635"/>
    </row>
    <row r="211" spans="1:41" s="51" customFormat="1" ht="19.149999999999999" customHeight="1" outlineLevel="1">
      <c r="A211" s="1025">
        <v>199</v>
      </c>
      <c r="B211" s="1025">
        <v>6</v>
      </c>
      <c r="C211" s="1025" t="str">
        <f>VLOOKUP(D211,'DS CN MOI UP'!$B$10:$C$347,2,0)</f>
        <v>02445</v>
      </c>
      <c r="D211" s="641" t="s">
        <v>109</v>
      </c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6">
        <f t="shared" si="13"/>
        <v>0</v>
      </c>
      <c r="AK211" s="1076">
        <f t="shared" si="11"/>
        <v>0</v>
      </c>
      <c r="AL211" s="635"/>
    </row>
    <row r="212" spans="1:41" s="51" customFormat="1" ht="19.149999999999999" customHeight="1" outlineLevel="1">
      <c r="A212" s="1025">
        <v>200</v>
      </c>
      <c r="B212" s="1025">
        <v>7</v>
      </c>
      <c r="C212" s="1025" t="str">
        <f>VLOOKUP(D212,'DS CN MOI UP'!$B$10:$C$347,2,0)</f>
        <v>02446</v>
      </c>
      <c r="D212" s="641" t="s">
        <v>110</v>
      </c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6">
        <f t="shared" si="13"/>
        <v>0</v>
      </c>
      <c r="AK212" s="1076">
        <f t="shared" si="11"/>
        <v>0</v>
      </c>
      <c r="AL212" s="635"/>
    </row>
    <row r="213" spans="1:41" s="51" customFormat="1" ht="19.149999999999999" customHeight="1" outlineLevel="1">
      <c r="A213" s="1025">
        <v>201</v>
      </c>
      <c r="B213" s="1025">
        <v>8</v>
      </c>
      <c r="C213" s="1025" t="str">
        <f>VLOOKUP(D213,'DS CN MOI UP'!$B$10:$C$347,2,0)</f>
        <v>03345</v>
      </c>
      <c r="D213" s="641" t="s">
        <v>111</v>
      </c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6">
        <f t="shared" si="13"/>
        <v>0</v>
      </c>
      <c r="AK213" s="1076">
        <f t="shared" si="11"/>
        <v>0</v>
      </c>
      <c r="AL213" s="635"/>
    </row>
    <row r="214" spans="1:41" s="51" customFormat="1" ht="19.149999999999999" customHeight="1" outlineLevel="1">
      <c r="A214" s="1025">
        <v>202</v>
      </c>
      <c r="B214" s="1025">
        <v>9</v>
      </c>
      <c r="C214" s="1025" t="str">
        <f>VLOOKUP(D214,'DS CN MOI UP'!$B$10:$C$347,2,0)</f>
        <v>03854</v>
      </c>
      <c r="D214" s="641" t="s">
        <v>112</v>
      </c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6">
        <f t="shared" si="13"/>
        <v>0</v>
      </c>
      <c r="AK214" s="1076">
        <f t="shared" si="11"/>
        <v>0</v>
      </c>
      <c r="AL214" s="635"/>
    </row>
    <row r="215" spans="1:41" s="51" customFormat="1" ht="19.149999999999999" customHeight="1" outlineLevel="1">
      <c r="A215" s="1025">
        <v>203</v>
      </c>
      <c r="B215" s="1025">
        <v>9</v>
      </c>
      <c r="C215" s="1025" t="str">
        <f>VLOOKUP(D215,'DS CN MOI UP'!$B$10:$C$347,2,0)</f>
        <v>03855</v>
      </c>
      <c r="D215" s="641" t="s">
        <v>113</v>
      </c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6">
        <f t="shared" si="13"/>
        <v>0</v>
      </c>
      <c r="AK215" s="1076">
        <f t="shared" si="11"/>
        <v>0</v>
      </c>
      <c r="AL215" s="635"/>
    </row>
    <row r="216" spans="1:41" s="51" customFormat="1" ht="19.149999999999999" customHeight="1" outlineLevel="1">
      <c r="A216" s="1025">
        <v>204</v>
      </c>
      <c r="B216" s="1025">
        <v>9</v>
      </c>
      <c r="C216" s="1025" t="str">
        <f>VLOOKUP(D216,'DS CN MOI UP'!$B$10:$C$347,2,0)</f>
        <v>03856</v>
      </c>
      <c r="D216" s="641" t="s">
        <v>499</v>
      </c>
      <c r="E216" s="1073"/>
      <c r="F216" s="1073"/>
      <c r="G216" s="1073"/>
      <c r="H216" s="1073"/>
      <c r="I216" s="1073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3"/>
      <c r="AF216" s="1073"/>
      <c r="AG216" s="1073"/>
      <c r="AH216" s="1073"/>
      <c r="AI216" s="1073"/>
      <c r="AJ216" s="1076">
        <f t="shared" si="13"/>
        <v>0</v>
      </c>
      <c r="AK216" s="1076">
        <f t="shared" si="11"/>
        <v>0</v>
      </c>
      <c r="AL216" s="635"/>
    </row>
    <row r="217" spans="1:41" s="1022" customFormat="1" ht="19.149999999999999" customHeight="1">
      <c r="A217" s="1026" t="s">
        <v>1371</v>
      </c>
      <c r="B217" s="1026"/>
      <c r="C217" s="1025" t="e">
        <f>VLOOKUP(D217,'DS CN MOI UP'!$B$10:$C$347,2,0)</f>
        <v>#N/A</v>
      </c>
      <c r="D217" s="1026"/>
      <c r="E217" s="1072"/>
      <c r="F217" s="1072"/>
      <c r="G217" s="1072"/>
      <c r="H217" s="1072"/>
      <c r="I217" s="1072"/>
      <c r="J217" s="1072"/>
      <c r="K217" s="1072"/>
      <c r="L217" s="1072"/>
      <c r="M217" s="1072"/>
      <c r="N217" s="1072"/>
      <c r="O217" s="1072"/>
      <c r="P217" s="1072"/>
      <c r="Q217" s="1072"/>
      <c r="R217" s="1072"/>
      <c r="S217" s="1072"/>
      <c r="T217" s="1072"/>
      <c r="U217" s="1072"/>
      <c r="V217" s="1072"/>
      <c r="W217" s="1072"/>
      <c r="X217" s="1072"/>
      <c r="Y217" s="1072"/>
      <c r="Z217" s="1072"/>
      <c r="AA217" s="1072"/>
      <c r="AB217" s="1072"/>
      <c r="AC217" s="1072"/>
      <c r="AD217" s="1072"/>
      <c r="AE217" s="1072"/>
      <c r="AF217" s="1072"/>
      <c r="AG217" s="1072"/>
      <c r="AH217" s="1072"/>
      <c r="AI217" s="1072"/>
      <c r="AJ217" s="1072">
        <f t="shared" ref="AJ217" si="14">SUM(AJ218:AJ224)</f>
        <v>0</v>
      </c>
      <c r="AK217" s="1076">
        <f t="shared" si="11"/>
        <v>0</v>
      </c>
      <c r="AL217" s="1036"/>
      <c r="AM217" s="1038"/>
      <c r="AN217" s="1038"/>
      <c r="AO217" s="1038"/>
    </row>
    <row r="218" spans="1:41" s="51" customFormat="1" ht="19.149999999999999" customHeight="1" outlineLevel="1">
      <c r="A218" s="1025">
        <v>205</v>
      </c>
      <c r="B218" s="1025">
        <v>1</v>
      </c>
      <c r="C218" s="1025" t="str">
        <f>VLOOKUP(D218,'DS CN MOI UP'!$B$10:$C$347,2,0)</f>
        <v>03346</v>
      </c>
      <c r="D218" s="641" t="s">
        <v>500</v>
      </c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73"/>
      <c r="AJ218" s="1076">
        <f t="shared" ref="AJ218:AJ224" si="15">SUM(E218:AI218)</f>
        <v>0</v>
      </c>
      <c r="AK218" s="1076">
        <f t="shared" si="11"/>
        <v>0</v>
      </c>
      <c r="AL218" s="635"/>
    </row>
    <row r="219" spans="1:41" s="51" customFormat="1" ht="19.149999999999999" customHeight="1" outlineLevel="1">
      <c r="A219" s="1025">
        <v>206</v>
      </c>
      <c r="B219" s="1025">
        <v>2</v>
      </c>
      <c r="C219" s="1025" t="e">
        <f>VLOOKUP(D219,'DS CN MOI UP'!$B$10:$C$347,2,0)</f>
        <v>#N/A</v>
      </c>
      <c r="D219" s="641" t="s">
        <v>501</v>
      </c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73"/>
      <c r="AJ219" s="1076">
        <f t="shared" si="15"/>
        <v>0</v>
      </c>
      <c r="AK219" s="1076">
        <f t="shared" si="11"/>
        <v>0</v>
      </c>
      <c r="AL219" s="635"/>
    </row>
    <row r="220" spans="1:41" s="51" customFormat="1" ht="19.149999999999999" customHeight="1" outlineLevel="1">
      <c r="A220" s="1025">
        <v>207</v>
      </c>
      <c r="B220" s="1025">
        <v>3</v>
      </c>
      <c r="C220" s="1025" t="str">
        <f>VLOOKUP(D220,'DS CN MOI UP'!$B$10:$C$347,2,0)</f>
        <v>02477</v>
      </c>
      <c r="D220" s="641" t="s">
        <v>119</v>
      </c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73"/>
      <c r="AJ220" s="1076">
        <f t="shared" si="15"/>
        <v>0</v>
      </c>
      <c r="AK220" s="1076">
        <f t="shared" si="11"/>
        <v>0</v>
      </c>
      <c r="AL220" s="635"/>
    </row>
    <row r="221" spans="1:41" s="51" customFormat="1" ht="19.149999999999999" customHeight="1" outlineLevel="1">
      <c r="A221" s="1025">
        <v>208</v>
      </c>
      <c r="B221" s="1025">
        <v>4</v>
      </c>
      <c r="C221" s="1025" t="str">
        <f>VLOOKUP(D221,'DS CN MOI UP'!$B$10:$C$347,2,0)</f>
        <v>02495</v>
      </c>
      <c r="D221" s="641" t="s">
        <v>120</v>
      </c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73"/>
      <c r="AJ221" s="1076">
        <f t="shared" si="15"/>
        <v>0</v>
      </c>
      <c r="AK221" s="1076">
        <f t="shared" si="11"/>
        <v>0</v>
      </c>
      <c r="AL221" s="635"/>
    </row>
    <row r="222" spans="1:41" s="51" customFormat="1" ht="19.149999999999999" customHeight="1" outlineLevel="1">
      <c r="A222" s="1025">
        <v>209</v>
      </c>
      <c r="B222" s="1025">
        <v>5</v>
      </c>
      <c r="C222" s="1025" t="str">
        <f>VLOOKUP(D222,'DS CN MOI UP'!$B$10:$C$347,2,0)</f>
        <v>02505</v>
      </c>
      <c r="D222" s="641" t="s">
        <v>117</v>
      </c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73"/>
      <c r="AJ222" s="1076">
        <f t="shared" si="15"/>
        <v>0</v>
      </c>
      <c r="AK222" s="1076">
        <f t="shared" si="11"/>
        <v>0</v>
      </c>
      <c r="AL222" s="635"/>
    </row>
    <row r="223" spans="1:41" s="51" customFormat="1" ht="19.149999999999999" customHeight="1" outlineLevel="1">
      <c r="A223" s="1025">
        <v>210</v>
      </c>
      <c r="B223" s="1025">
        <v>6</v>
      </c>
      <c r="C223" s="1025" t="str">
        <f>VLOOKUP(D223,'DS CN MOI UP'!$B$10:$C$347,2,0)</f>
        <v>02516</v>
      </c>
      <c r="D223" s="641" t="s">
        <v>122</v>
      </c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73"/>
      <c r="AJ223" s="1076">
        <f t="shared" si="15"/>
        <v>0</v>
      </c>
      <c r="AK223" s="1076">
        <f t="shared" si="11"/>
        <v>0</v>
      </c>
      <c r="AL223" s="635"/>
    </row>
    <row r="224" spans="1:41" s="51" customFormat="1" ht="19.149999999999999" customHeight="1" outlineLevel="1">
      <c r="A224" s="1025">
        <v>211</v>
      </c>
      <c r="B224" s="1025">
        <v>7</v>
      </c>
      <c r="C224" s="1025" t="str">
        <f>VLOOKUP(D224,'DS CN MOI UP'!$B$10:$C$347,2,0)</f>
        <v>03347</v>
      </c>
      <c r="D224" s="641" t="s">
        <v>121</v>
      </c>
      <c r="E224" s="1073"/>
      <c r="F224" s="1073"/>
      <c r="G224" s="1073"/>
      <c r="H224" s="1073"/>
      <c r="I224" s="1073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3"/>
      <c r="AF224" s="1073"/>
      <c r="AG224" s="1073"/>
      <c r="AH224" s="1073"/>
      <c r="AI224" s="1073"/>
      <c r="AJ224" s="1076">
        <f t="shared" si="15"/>
        <v>0</v>
      </c>
      <c r="AK224" s="1076">
        <f t="shared" si="11"/>
        <v>0</v>
      </c>
      <c r="AL224" s="635"/>
    </row>
    <row r="225" spans="1:39" s="1022" customFormat="1" ht="19.149999999999999" customHeight="1">
      <c r="A225" s="1026" t="s">
        <v>123</v>
      </c>
      <c r="B225" s="1026"/>
      <c r="C225" s="1025" t="e">
        <f>VLOOKUP(D225,'DS CN MOI UP'!$B$10:$C$347,2,0)</f>
        <v>#N/A</v>
      </c>
      <c r="D225" s="1026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79"/>
      <c r="AJ225" s="1079">
        <f t="shared" ref="AJ225" si="16">SUM(AJ226:AJ310)</f>
        <v>0</v>
      </c>
      <c r="AK225" s="1076">
        <f t="shared" si="11"/>
        <v>0</v>
      </c>
      <c r="AL225" s="1036"/>
      <c r="AM225" s="1038"/>
    </row>
    <row r="226" spans="1:39" s="51" customFormat="1" ht="19.149999999999999" customHeight="1" outlineLevel="1">
      <c r="A226" s="1025">
        <v>212</v>
      </c>
      <c r="B226" s="1025">
        <v>1</v>
      </c>
      <c r="C226" s="1025" t="str">
        <f>VLOOKUP(D226,'DS CN MOI UP'!$B$10:$C$347,2,0)</f>
        <v>03348</v>
      </c>
      <c r="D226" s="1028" t="s">
        <v>124</v>
      </c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73"/>
      <c r="AJ226" s="1076">
        <f t="shared" ref="AJ226:AJ289" si="17">SUM(E226:AI226)</f>
        <v>0</v>
      </c>
      <c r="AK226" s="1076">
        <f t="shared" si="11"/>
        <v>0</v>
      </c>
      <c r="AL226" s="635"/>
      <c r="AM226" s="266"/>
    </row>
    <row r="227" spans="1:39" s="51" customFormat="1" ht="19.149999999999999" customHeight="1" outlineLevel="1">
      <c r="A227" s="1025">
        <v>213</v>
      </c>
      <c r="B227" s="1025">
        <v>2</v>
      </c>
      <c r="C227" s="1025" t="str">
        <f>VLOOKUP(D227,'DS CN MOI UP'!$B$10:$C$347,2,0)</f>
        <v>03349</v>
      </c>
      <c r="D227" s="1028" t="s">
        <v>125</v>
      </c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73"/>
      <c r="AJ227" s="1076">
        <f t="shared" si="17"/>
        <v>0</v>
      </c>
      <c r="AK227" s="1076">
        <f t="shared" si="11"/>
        <v>0</v>
      </c>
      <c r="AL227" s="635"/>
      <c r="AM227" s="266"/>
    </row>
    <row r="228" spans="1:39" s="51" customFormat="1" ht="19.149999999999999" customHeight="1" outlineLevel="1">
      <c r="A228" s="1025">
        <v>214</v>
      </c>
      <c r="B228" s="1025">
        <v>3</v>
      </c>
      <c r="C228" s="1025" t="str">
        <f>VLOOKUP(D228,'DS CN MOI UP'!$B$10:$C$347,2,0)</f>
        <v>02545</v>
      </c>
      <c r="D228" s="1028" t="s">
        <v>126</v>
      </c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73"/>
      <c r="AJ228" s="1076">
        <f t="shared" si="17"/>
        <v>0</v>
      </c>
      <c r="AK228" s="1076">
        <f t="shared" si="11"/>
        <v>0</v>
      </c>
      <c r="AL228" s="635"/>
      <c r="AM228" s="266"/>
    </row>
    <row r="229" spans="1:39" s="51" customFormat="1" ht="19.149999999999999" customHeight="1" outlineLevel="1">
      <c r="A229" s="1025">
        <v>215</v>
      </c>
      <c r="B229" s="1025">
        <v>4</v>
      </c>
      <c r="C229" s="1025" t="str">
        <f>VLOOKUP(D229,'DS CN MOI UP'!$B$10:$C$347,2,0)</f>
        <v>02693</v>
      </c>
      <c r="D229" s="1028" t="s">
        <v>127</v>
      </c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73"/>
      <c r="AJ229" s="1076">
        <f t="shared" si="17"/>
        <v>0</v>
      </c>
      <c r="AK229" s="1076">
        <f t="shared" si="11"/>
        <v>0</v>
      </c>
      <c r="AL229" s="635"/>
      <c r="AM229" s="266"/>
    </row>
    <row r="230" spans="1:39" s="51" customFormat="1" ht="19.149999999999999" customHeight="1" outlineLevel="1">
      <c r="A230" s="1025">
        <v>216</v>
      </c>
      <c r="B230" s="1025">
        <v>5</v>
      </c>
      <c r="C230" s="1025" t="str">
        <f>VLOOKUP(D230,'DS CN MOI UP'!$B$10:$C$347,2,0)</f>
        <v>03350</v>
      </c>
      <c r="D230" s="1028" t="s">
        <v>128</v>
      </c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73"/>
      <c r="AJ230" s="1076">
        <f t="shared" si="17"/>
        <v>0</v>
      </c>
      <c r="AK230" s="1076">
        <f t="shared" si="11"/>
        <v>0</v>
      </c>
      <c r="AL230" s="635"/>
      <c r="AM230" s="266"/>
    </row>
    <row r="231" spans="1:39" s="51" customFormat="1" ht="19.149999999999999" customHeight="1" outlineLevel="1">
      <c r="A231" s="1025">
        <v>217</v>
      </c>
      <c r="B231" s="1025">
        <v>6</v>
      </c>
      <c r="C231" s="1025" t="str">
        <f>VLOOKUP(D231,'DS CN MOI UP'!$B$10:$C$347,2,0)</f>
        <v>02526</v>
      </c>
      <c r="D231" s="1028" t="s">
        <v>129</v>
      </c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73"/>
      <c r="AJ231" s="1076">
        <f t="shared" si="17"/>
        <v>0</v>
      </c>
      <c r="AK231" s="1076">
        <f t="shared" si="11"/>
        <v>0</v>
      </c>
      <c r="AL231" s="635"/>
      <c r="AM231" s="266"/>
    </row>
    <row r="232" spans="1:39" s="51" customFormat="1" ht="19.149999999999999" customHeight="1" outlineLevel="1">
      <c r="A232" s="1025">
        <v>218</v>
      </c>
      <c r="B232" s="1025">
        <v>7</v>
      </c>
      <c r="C232" s="1025" t="str">
        <f>VLOOKUP(D232,'DS CN MOI UP'!$B$10:$C$347,2,0)</f>
        <v>03351</v>
      </c>
      <c r="D232" s="1028" t="s">
        <v>130</v>
      </c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3"/>
      <c r="AF232" s="1073"/>
      <c r="AG232" s="1073"/>
      <c r="AH232" s="1073"/>
      <c r="AI232" s="1073"/>
      <c r="AJ232" s="1076">
        <f t="shared" si="17"/>
        <v>0</v>
      </c>
      <c r="AK232" s="1076">
        <f t="shared" si="11"/>
        <v>0</v>
      </c>
      <c r="AL232" s="635"/>
      <c r="AM232" s="266"/>
    </row>
    <row r="233" spans="1:39" s="51" customFormat="1" ht="19.149999999999999" customHeight="1" outlineLevel="1">
      <c r="A233" s="1025">
        <v>219</v>
      </c>
      <c r="B233" s="1025">
        <v>8</v>
      </c>
      <c r="C233" s="1025" t="str">
        <f>VLOOKUP(D233,'DS CN MOI UP'!$B$10:$C$347,2,0)</f>
        <v>03352</v>
      </c>
      <c r="D233" s="1028" t="s">
        <v>131</v>
      </c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73"/>
      <c r="AJ233" s="1076">
        <f t="shared" si="17"/>
        <v>0</v>
      </c>
      <c r="AK233" s="1076">
        <f t="shared" si="11"/>
        <v>0</v>
      </c>
      <c r="AL233" s="635"/>
      <c r="AM233" s="266"/>
    </row>
    <row r="234" spans="1:39" s="51" customFormat="1" ht="19.149999999999999" customHeight="1" outlineLevel="1">
      <c r="A234" s="1025">
        <v>220</v>
      </c>
      <c r="B234" s="1025">
        <v>9</v>
      </c>
      <c r="C234" s="1025" t="str">
        <f>VLOOKUP(D234,'DS CN MOI UP'!$B$10:$C$347,2,0)</f>
        <v>02567</v>
      </c>
      <c r="D234" s="1028" t="s">
        <v>132</v>
      </c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73"/>
      <c r="AJ234" s="1076">
        <f t="shared" si="17"/>
        <v>0</v>
      </c>
      <c r="AK234" s="1076">
        <f t="shared" si="11"/>
        <v>0</v>
      </c>
      <c r="AL234" s="635"/>
      <c r="AM234" s="266"/>
    </row>
    <row r="235" spans="1:39" s="51" customFormat="1" ht="19.149999999999999" customHeight="1" outlineLevel="1">
      <c r="A235" s="1025">
        <v>221</v>
      </c>
      <c r="B235" s="1025">
        <v>10</v>
      </c>
      <c r="C235" s="1025" t="str">
        <f>VLOOKUP(D235,'DS CN MOI UP'!$B$10:$C$347,2,0)</f>
        <v>02564</v>
      </c>
      <c r="D235" s="1028" t="s">
        <v>133</v>
      </c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73"/>
      <c r="AJ235" s="1076">
        <f t="shared" si="17"/>
        <v>0</v>
      </c>
      <c r="AK235" s="1076">
        <f t="shared" si="11"/>
        <v>0</v>
      </c>
      <c r="AL235" s="635"/>
      <c r="AM235" s="266"/>
    </row>
    <row r="236" spans="1:39" s="51" customFormat="1" ht="19.149999999999999" customHeight="1" outlineLevel="1">
      <c r="A236" s="1025">
        <v>222</v>
      </c>
      <c r="B236" s="1025">
        <v>11</v>
      </c>
      <c r="C236" s="1025" t="str">
        <f>VLOOKUP(D236,'DS CN MOI UP'!$B$10:$C$347,2,0)</f>
        <v>03353</v>
      </c>
      <c r="D236" s="1028" t="s">
        <v>134</v>
      </c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73"/>
      <c r="AJ236" s="1076">
        <f t="shared" si="17"/>
        <v>0</v>
      </c>
      <c r="AK236" s="1076">
        <f t="shared" si="11"/>
        <v>0</v>
      </c>
      <c r="AL236" s="635"/>
      <c r="AM236" s="266"/>
    </row>
    <row r="237" spans="1:39" s="51" customFormat="1" ht="19.149999999999999" customHeight="1" outlineLevel="1">
      <c r="A237" s="1025">
        <v>223</v>
      </c>
      <c r="B237" s="1025">
        <v>12</v>
      </c>
      <c r="C237" s="1025" t="str">
        <f>VLOOKUP(D237,'DS CN MOI UP'!$B$10:$C$347,2,0)</f>
        <v>02518</v>
      </c>
      <c r="D237" s="1028" t="s">
        <v>135</v>
      </c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3"/>
      <c r="AF237" s="1073"/>
      <c r="AG237" s="1073"/>
      <c r="AH237" s="1073"/>
      <c r="AI237" s="1073"/>
      <c r="AJ237" s="1076">
        <f t="shared" si="17"/>
        <v>0</v>
      </c>
      <c r="AK237" s="1076">
        <f t="shared" si="11"/>
        <v>0</v>
      </c>
      <c r="AL237" s="635"/>
      <c r="AM237" s="266"/>
    </row>
    <row r="238" spans="1:39" s="51" customFormat="1" ht="19.149999999999999" customHeight="1" outlineLevel="1">
      <c r="A238" s="1025">
        <v>224</v>
      </c>
      <c r="B238" s="1025">
        <v>13</v>
      </c>
      <c r="C238" s="1025" t="str">
        <f>VLOOKUP(D238,'DS CN MOI UP'!$B$10:$C$347,2,0)</f>
        <v>03355</v>
      </c>
      <c r="D238" s="1028" t="s">
        <v>136</v>
      </c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73"/>
      <c r="AJ238" s="1076">
        <f t="shared" si="17"/>
        <v>0</v>
      </c>
      <c r="AK238" s="1076">
        <f t="shared" si="11"/>
        <v>0</v>
      </c>
      <c r="AL238" s="635"/>
      <c r="AM238" s="266"/>
    </row>
    <row r="239" spans="1:39" s="51" customFormat="1" ht="19.149999999999999" customHeight="1" outlineLevel="1">
      <c r="A239" s="1025">
        <v>225</v>
      </c>
      <c r="B239" s="1025">
        <v>14</v>
      </c>
      <c r="C239" s="1025" t="str">
        <f>VLOOKUP(D239,'DS CN MOI UP'!$B$10:$C$347,2,0)</f>
        <v>02521</v>
      </c>
      <c r="D239" s="1028" t="s">
        <v>137</v>
      </c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73"/>
      <c r="AJ239" s="1076">
        <f t="shared" si="17"/>
        <v>0</v>
      </c>
      <c r="AK239" s="1076">
        <f t="shared" si="11"/>
        <v>0</v>
      </c>
      <c r="AL239" s="635"/>
      <c r="AM239" s="266"/>
    </row>
    <row r="240" spans="1:39" s="51" customFormat="1" ht="19.149999999999999" customHeight="1" outlineLevel="1">
      <c r="A240" s="1025">
        <v>226</v>
      </c>
      <c r="B240" s="1025">
        <v>15</v>
      </c>
      <c r="C240" s="1025" t="str">
        <f>VLOOKUP(D240,'DS CN MOI UP'!$B$10:$C$347,2,0)</f>
        <v>03356</v>
      </c>
      <c r="D240" s="1028" t="s">
        <v>138</v>
      </c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73"/>
      <c r="AJ240" s="1076">
        <f t="shared" si="17"/>
        <v>0</v>
      </c>
      <c r="AK240" s="1076">
        <f t="shared" si="11"/>
        <v>0</v>
      </c>
      <c r="AL240" s="635"/>
      <c r="AM240" s="266"/>
    </row>
    <row r="241" spans="1:39" s="51" customFormat="1" ht="19.149999999999999" customHeight="1" outlineLevel="1">
      <c r="A241" s="1025">
        <v>227</v>
      </c>
      <c r="B241" s="1025">
        <v>16</v>
      </c>
      <c r="C241" s="1025" t="str">
        <f>VLOOKUP(D241,'DS CN MOI UP'!$B$10:$C$347,2,0)</f>
        <v>02524</v>
      </c>
      <c r="D241" s="1028" t="s">
        <v>139</v>
      </c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3"/>
      <c r="AF241" s="1073"/>
      <c r="AG241" s="1073"/>
      <c r="AH241" s="1073"/>
      <c r="AI241" s="1073"/>
      <c r="AJ241" s="1076">
        <f t="shared" si="17"/>
        <v>0</v>
      </c>
      <c r="AK241" s="1076">
        <f t="shared" si="11"/>
        <v>0</v>
      </c>
      <c r="AL241" s="635"/>
      <c r="AM241" s="266"/>
    </row>
    <row r="242" spans="1:39" s="51" customFormat="1" ht="19.149999999999999" customHeight="1" outlineLevel="1">
      <c r="A242" s="1025">
        <v>228</v>
      </c>
      <c r="B242" s="1025">
        <v>17</v>
      </c>
      <c r="C242" s="1025" t="str">
        <f>VLOOKUP(D242,'DS CN MOI UP'!$B$10:$C$347,2,0)</f>
        <v>03357</v>
      </c>
      <c r="D242" s="1028" t="s">
        <v>140</v>
      </c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3"/>
      <c r="AF242" s="1073"/>
      <c r="AG242" s="1073"/>
      <c r="AH242" s="1073"/>
      <c r="AI242" s="1073"/>
      <c r="AJ242" s="1076">
        <f t="shared" si="17"/>
        <v>0</v>
      </c>
      <c r="AK242" s="1076">
        <f t="shared" si="11"/>
        <v>0</v>
      </c>
      <c r="AL242" s="635"/>
      <c r="AM242" s="266"/>
    </row>
    <row r="243" spans="1:39" s="51" customFormat="1" ht="19.149999999999999" customHeight="1" outlineLevel="1">
      <c r="A243" s="1025">
        <v>229</v>
      </c>
      <c r="B243" s="1025">
        <v>18</v>
      </c>
      <c r="C243" s="1025" t="str">
        <f>VLOOKUP(D243,'DS CN MOI UP'!$B$10:$C$347,2,0)</f>
        <v>03358</v>
      </c>
      <c r="D243" s="1028" t="s">
        <v>141</v>
      </c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73"/>
      <c r="AJ243" s="1076">
        <f t="shared" si="17"/>
        <v>0</v>
      </c>
      <c r="AK243" s="1076">
        <f t="shared" si="11"/>
        <v>0</v>
      </c>
      <c r="AL243" s="635"/>
      <c r="AM243" s="266"/>
    </row>
    <row r="244" spans="1:39" s="51" customFormat="1" ht="19.149999999999999" customHeight="1" outlineLevel="1">
      <c r="A244" s="1025">
        <v>230</v>
      </c>
      <c r="B244" s="1025">
        <v>19</v>
      </c>
      <c r="C244" s="1025" t="str">
        <f>VLOOKUP(D244,'DS CN MOI UP'!$B$10:$C$347,2,0)</f>
        <v>02556</v>
      </c>
      <c r="D244" s="1028" t="s">
        <v>142</v>
      </c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73"/>
      <c r="AJ244" s="1076">
        <f t="shared" si="17"/>
        <v>0</v>
      </c>
      <c r="AK244" s="1076">
        <f t="shared" si="11"/>
        <v>0</v>
      </c>
      <c r="AL244" s="635"/>
      <c r="AM244" s="266"/>
    </row>
    <row r="245" spans="1:39" s="51" customFormat="1" ht="19.149999999999999" customHeight="1" outlineLevel="1">
      <c r="A245" s="1025">
        <v>231</v>
      </c>
      <c r="B245" s="1025">
        <v>20</v>
      </c>
      <c r="C245" s="1025" t="str">
        <f>VLOOKUP(D245,'DS CN MOI UP'!$B$10:$C$347,2,0)</f>
        <v>02537</v>
      </c>
      <c r="D245" s="1028" t="s">
        <v>143</v>
      </c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3"/>
      <c r="AF245" s="1073"/>
      <c r="AG245" s="1073"/>
      <c r="AH245" s="1073"/>
      <c r="AI245" s="1073"/>
      <c r="AJ245" s="1076">
        <f t="shared" si="17"/>
        <v>0</v>
      </c>
      <c r="AK245" s="1076">
        <f t="shared" si="11"/>
        <v>0</v>
      </c>
      <c r="AL245" s="635"/>
      <c r="AM245" s="266"/>
    </row>
    <row r="246" spans="1:39" s="51" customFormat="1" ht="19.149999999999999" customHeight="1" outlineLevel="1">
      <c r="A246" s="1025">
        <v>232</v>
      </c>
      <c r="B246" s="1025">
        <v>21</v>
      </c>
      <c r="C246" s="1025" t="str">
        <f>VLOOKUP(D246,'DS CN MOI UP'!$B$10:$C$347,2,0)</f>
        <v>03359</v>
      </c>
      <c r="D246" s="1028" t="s">
        <v>144</v>
      </c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3"/>
      <c r="AF246" s="1073"/>
      <c r="AG246" s="1073"/>
      <c r="AH246" s="1073"/>
      <c r="AI246" s="1073"/>
      <c r="AJ246" s="1076">
        <f t="shared" si="17"/>
        <v>0</v>
      </c>
      <c r="AK246" s="1076">
        <f t="shared" si="11"/>
        <v>0</v>
      </c>
      <c r="AL246" s="635"/>
      <c r="AM246" s="266"/>
    </row>
    <row r="247" spans="1:39" s="51" customFormat="1" ht="19.149999999999999" customHeight="1" outlineLevel="1">
      <c r="A247" s="1025">
        <v>233</v>
      </c>
      <c r="B247" s="1025">
        <v>22</v>
      </c>
      <c r="C247" s="1025" t="str">
        <f>VLOOKUP(D247,'DS CN MOI UP'!$B$10:$C$347,2,0)</f>
        <v>03360</v>
      </c>
      <c r="D247" s="1028" t="s">
        <v>145</v>
      </c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3"/>
      <c r="AF247" s="1073"/>
      <c r="AG247" s="1073"/>
      <c r="AH247" s="1073"/>
      <c r="AI247" s="1073"/>
      <c r="AJ247" s="1076">
        <f t="shared" si="17"/>
        <v>0</v>
      </c>
      <c r="AK247" s="1076">
        <f t="shared" si="11"/>
        <v>0</v>
      </c>
      <c r="AL247" s="635"/>
      <c r="AM247" s="266"/>
    </row>
    <row r="248" spans="1:39" s="51" customFormat="1" ht="19.149999999999999" customHeight="1" outlineLevel="1">
      <c r="A248" s="1025">
        <v>234</v>
      </c>
      <c r="B248" s="1025">
        <v>23</v>
      </c>
      <c r="C248" s="1025" t="str">
        <f>VLOOKUP(D248,'DS CN MOI UP'!$B$10:$C$347,2,0)</f>
        <v>03413</v>
      </c>
      <c r="D248" s="1028" t="s">
        <v>146</v>
      </c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73"/>
      <c r="AJ248" s="1076">
        <f t="shared" si="17"/>
        <v>0</v>
      </c>
      <c r="AK248" s="1076">
        <f t="shared" si="11"/>
        <v>0</v>
      </c>
      <c r="AL248" s="635"/>
      <c r="AM248" s="266"/>
    </row>
    <row r="249" spans="1:39" s="51" customFormat="1" ht="19.149999999999999" customHeight="1" outlineLevel="1">
      <c r="A249" s="1025">
        <v>235</v>
      </c>
      <c r="B249" s="1025">
        <v>24</v>
      </c>
      <c r="C249" s="1025" t="str">
        <f>VLOOKUP(D249,'DS CN MOI UP'!$B$10:$C$347,2,0)</f>
        <v>03361</v>
      </c>
      <c r="D249" s="1028" t="s">
        <v>147</v>
      </c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3"/>
      <c r="AF249" s="1073"/>
      <c r="AG249" s="1073"/>
      <c r="AH249" s="1073"/>
      <c r="AI249" s="1073"/>
      <c r="AJ249" s="1076">
        <f t="shared" si="17"/>
        <v>0</v>
      </c>
      <c r="AK249" s="1076">
        <f t="shared" si="11"/>
        <v>0</v>
      </c>
      <c r="AL249" s="635"/>
      <c r="AM249" s="266"/>
    </row>
    <row r="250" spans="1:39" s="51" customFormat="1" ht="19.149999999999999" customHeight="1" outlineLevel="1">
      <c r="A250" s="1025">
        <v>236</v>
      </c>
      <c r="B250" s="1025">
        <v>25</v>
      </c>
      <c r="C250" s="1025" t="str">
        <f>VLOOKUP(D250,'DS CN MOI UP'!$B$10:$C$347,2,0)</f>
        <v>02554</v>
      </c>
      <c r="D250" s="1028" t="s">
        <v>148</v>
      </c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3"/>
      <c r="AF250" s="1073"/>
      <c r="AG250" s="1073"/>
      <c r="AH250" s="1073"/>
      <c r="AI250" s="1073"/>
      <c r="AJ250" s="1076">
        <f t="shared" si="17"/>
        <v>0</v>
      </c>
      <c r="AK250" s="1076">
        <f t="shared" si="11"/>
        <v>0</v>
      </c>
      <c r="AL250" s="635"/>
      <c r="AM250" s="266"/>
    </row>
    <row r="251" spans="1:39" s="51" customFormat="1" ht="19.149999999999999" customHeight="1" outlineLevel="1">
      <c r="A251" s="1025">
        <v>237</v>
      </c>
      <c r="B251" s="1025">
        <v>26</v>
      </c>
      <c r="C251" s="1025" t="str">
        <f>VLOOKUP(D251,'DS CN MOI UP'!$B$10:$C$347,2,0)</f>
        <v>02534</v>
      </c>
      <c r="D251" s="1028" t="s">
        <v>149</v>
      </c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3"/>
      <c r="AF251" s="1073"/>
      <c r="AG251" s="1073"/>
      <c r="AH251" s="1073"/>
      <c r="AI251" s="1073"/>
      <c r="AJ251" s="1076">
        <f t="shared" si="17"/>
        <v>0</v>
      </c>
      <c r="AK251" s="1076">
        <f t="shared" si="11"/>
        <v>0</v>
      </c>
      <c r="AL251" s="635"/>
      <c r="AM251" s="266"/>
    </row>
    <row r="252" spans="1:39" s="51" customFormat="1" ht="19.149999999999999" customHeight="1" outlineLevel="1">
      <c r="A252" s="1025">
        <v>238</v>
      </c>
      <c r="B252" s="1025">
        <v>27</v>
      </c>
      <c r="C252" s="1025" t="str">
        <f>VLOOKUP(D252,'DS CN MOI UP'!$B$10:$C$347,2,0)</f>
        <v>02538</v>
      </c>
      <c r="D252" s="1028" t="s">
        <v>150</v>
      </c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3"/>
      <c r="AF252" s="1073"/>
      <c r="AG252" s="1073"/>
      <c r="AH252" s="1073"/>
      <c r="AI252" s="1073"/>
      <c r="AJ252" s="1076">
        <f t="shared" si="17"/>
        <v>0</v>
      </c>
      <c r="AK252" s="1076">
        <f t="shared" si="11"/>
        <v>0</v>
      </c>
      <c r="AL252" s="635"/>
      <c r="AM252" s="266"/>
    </row>
    <row r="253" spans="1:39" s="51" customFormat="1" ht="19.149999999999999" customHeight="1" outlineLevel="1">
      <c r="A253" s="1025">
        <v>239</v>
      </c>
      <c r="B253" s="1025">
        <v>28</v>
      </c>
      <c r="C253" s="1025" t="str">
        <f>VLOOKUP(D253,'DS CN MOI UP'!$B$10:$C$347,2,0)</f>
        <v>03362</v>
      </c>
      <c r="D253" s="1028" t="s">
        <v>151</v>
      </c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3"/>
      <c r="AF253" s="1073"/>
      <c r="AG253" s="1073"/>
      <c r="AH253" s="1073"/>
      <c r="AI253" s="1073"/>
      <c r="AJ253" s="1076">
        <f t="shared" si="17"/>
        <v>0</v>
      </c>
      <c r="AK253" s="1076">
        <f t="shared" si="11"/>
        <v>0</v>
      </c>
      <c r="AL253" s="635"/>
      <c r="AM253" s="266"/>
    </row>
    <row r="254" spans="1:39" s="51" customFormat="1" ht="19.149999999999999" customHeight="1" outlineLevel="1">
      <c r="A254" s="1025">
        <v>240</v>
      </c>
      <c r="B254" s="1025">
        <v>29</v>
      </c>
      <c r="C254" s="1025" t="str">
        <f>VLOOKUP(D254,'DS CN MOI UP'!$B$10:$C$347,2,0)</f>
        <v>02530</v>
      </c>
      <c r="D254" s="1028" t="s">
        <v>152</v>
      </c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73"/>
      <c r="AJ254" s="1076">
        <f t="shared" si="17"/>
        <v>0</v>
      </c>
      <c r="AK254" s="1076">
        <f t="shared" si="11"/>
        <v>0</v>
      </c>
      <c r="AL254" s="635"/>
      <c r="AM254" s="266"/>
    </row>
    <row r="255" spans="1:39" s="51" customFormat="1" ht="19.149999999999999" customHeight="1" outlineLevel="1">
      <c r="A255" s="1025">
        <v>241</v>
      </c>
      <c r="B255" s="1025">
        <v>30</v>
      </c>
      <c r="C255" s="1025" t="str">
        <f>VLOOKUP(D255,'DS CN MOI UP'!$B$10:$C$347,2,0)</f>
        <v>03363</v>
      </c>
      <c r="D255" s="1028" t="s">
        <v>153</v>
      </c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73"/>
      <c r="AJ255" s="1076">
        <f t="shared" si="17"/>
        <v>0</v>
      </c>
      <c r="AK255" s="1076">
        <f t="shared" si="11"/>
        <v>0</v>
      </c>
      <c r="AL255" s="635"/>
      <c r="AM255" s="266"/>
    </row>
    <row r="256" spans="1:39" s="51" customFormat="1" ht="19.149999999999999" customHeight="1" outlineLevel="1">
      <c r="A256" s="1025">
        <v>242</v>
      </c>
      <c r="B256" s="1025">
        <v>31</v>
      </c>
      <c r="C256" s="1025" t="str">
        <f>VLOOKUP(D256,'DS CN MOI UP'!$B$10:$C$347,2,0)</f>
        <v>03364</v>
      </c>
      <c r="D256" s="1028" t="s">
        <v>154</v>
      </c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73"/>
      <c r="AJ256" s="1076">
        <f t="shared" si="17"/>
        <v>0</v>
      </c>
      <c r="AK256" s="1076">
        <f t="shared" si="11"/>
        <v>0</v>
      </c>
      <c r="AL256" s="635"/>
      <c r="AM256" s="266"/>
    </row>
    <row r="257" spans="1:38" s="51" customFormat="1" ht="19.149999999999999" customHeight="1" outlineLevel="1">
      <c r="A257" s="1025">
        <v>243</v>
      </c>
      <c r="B257" s="1025">
        <v>32</v>
      </c>
      <c r="C257" s="1025" t="str">
        <f>VLOOKUP(D257,'DS CN MOI UP'!$B$10:$C$347,2,0)</f>
        <v>02536</v>
      </c>
      <c r="D257" s="1028" t="s">
        <v>155</v>
      </c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73"/>
      <c r="AJ257" s="1076">
        <f t="shared" si="17"/>
        <v>0</v>
      </c>
      <c r="AK257" s="1076">
        <f t="shared" si="11"/>
        <v>0</v>
      </c>
      <c r="AL257" s="635"/>
    </row>
    <row r="258" spans="1:38" s="51" customFormat="1" ht="19.149999999999999" customHeight="1" outlineLevel="1">
      <c r="A258" s="1025">
        <v>244</v>
      </c>
      <c r="B258" s="1025">
        <v>33</v>
      </c>
      <c r="C258" s="1025" t="str">
        <f>VLOOKUP(D258,'DS CN MOI UP'!$B$10:$C$347,2,0)</f>
        <v>02527</v>
      </c>
      <c r="D258" s="1028" t="s">
        <v>156</v>
      </c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73"/>
      <c r="AJ258" s="1076">
        <f t="shared" si="17"/>
        <v>0</v>
      </c>
      <c r="AK258" s="1076">
        <f t="shared" si="11"/>
        <v>0</v>
      </c>
      <c r="AL258" s="635"/>
    </row>
    <row r="259" spans="1:38" s="51" customFormat="1" ht="19.149999999999999" customHeight="1" outlineLevel="1">
      <c r="A259" s="1025">
        <v>245</v>
      </c>
      <c r="B259" s="1025">
        <v>34</v>
      </c>
      <c r="C259" s="1025" t="str">
        <f>VLOOKUP(D259,'DS CN MOI UP'!$B$10:$C$347,2,0)</f>
        <v>03366</v>
      </c>
      <c r="D259" s="1028" t="s">
        <v>157</v>
      </c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73"/>
      <c r="AJ259" s="1076">
        <f t="shared" si="17"/>
        <v>0</v>
      </c>
      <c r="AK259" s="1076">
        <f t="shared" si="11"/>
        <v>0</v>
      </c>
      <c r="AL259" s="635"/>
    </row>
    <row r="260" spans="1:38" s="51" customFormat="1" ht="19.149999999999999" customHeight="1" outlineLevel="1">
      <c r="A260" s="1025">
        <v>246</v>
      </c>
      <c r="B260" s="1025">
        <v>35</v>
      </c>
      <c r="C260" s="1025" t="str">
        <f>VLOOKUP(D260,'DS CN MOI UP'!$B$10:$C$347,2,0)</f>
        <v>02532</v>
      </c>
      <c r="D260" s="1028" t="s">
        <v>158</v>
      </c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3"/>
      <c r="AF260" s="1073"/>
      <c r="AG260" s="1073"/>
      <c r="AH260" s="1073"/>
      <c r="AI260" s="1073"/>
      <c r="AJ260" s="1076">
        <f t="shared" si="17"/>
        <v>0</v>
      </c>
      <c r="AK260" s="1076">
        <f t="shared" si="11"/>
        <v>0</v>
      </c>
      <c r="AL260" s="635"/>
    </row>
    <row r="261" spans="1:38" s="51" customFormat="1" ht="19.149999999999999" customHeight="1" outlineLevel="1">
      <c r="A261" s="1025">
        <v>247</v>
      </c>
      <c r="B261" s="1025">
        <v>36</v>
      </c>
      <c r="C261" s="1025" t="str">
        <f>VLOOKUP(D261,'DS CN MOI UP'!$B$10:$C$347,2,0)</f>
        <v>02528</v>
      </c>
      <c r="D261" s="1028" t="s">
        <v>159</v>
      </c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73"/>
      <c r="AJ261" s="1076">
        <f t="shared" si="17"/>
        <v>0</v>
      </c>
      <c r="AK261" s="1076">
        <f t="shared" si="11"/>
        <v>0</v>
      </c>
      <c r="AL261" s="635"/>
    </row>
    <row r="262" spans="1:38" s="51" customFormat="1" ht="19.149999999999999" customHeight="1" outlineLevel="1">
      <c r="A262" s="1025">
        <v>248</v>
      </c>
      <c r="B262" s="1025">
        <v>37</v>
      </c>
      <c r="C262" s="1025" t="str">
        <f>VLOOKUP(D262,'DS CN MOI UP'!$B$10:$C$347,2,0)</f>
        <v>03367</v>
      </c>
      <c r="D262" s="1028" t="s">
        <v>160</v>
      </c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3"/>
      <c r="AF262" s="1073"/>
      <c r="AG262" s="1073"/>
      <c r="AH262" s="1073"/>
      <c r="AI262" s="1073"/>
      <c r="AJ262" s="1076">
        <f t="shared" si="17"/>
        <v>0</v>
      </c>
      <c r="AK262" s="1076">
        <f t="shared" si="11"/>
        <v>0</v>
      </c>
      <c r="AL262" s="635"/>
    </row>
    <row r="263" spans="1:38" s="51" customFormat="1" ht="19.149999999999999" customHeight="1" outlineLevel="1">
      <c r="A263" s="1025">
        <v>249</v>
      </c>
      <c r="B263" s="1025">
        <v>38</v>
      </c>
      <c r="C263" s="1025" t="str">
        <f>VLOOKUP(D263,'DS CN MOI UP'!$B$10:$C$347,2,0)</f>
        <v>02517</v>
      </c>
      <c r="D263" s="1028" t="s">
        <v>161</v>
      </c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3"/>
      <c r="AF263" s="1073"/>
      <c r="AG263" s="1073"/>
      <c r="AH263" s="1073"/>
      <c r="AI263" s="1073"/>
      <c r="AJ263" s="1076">
        <f t="shared" si="17"/>
        <v>0</v>
      </c>
      <c r="AK263" s="1076">
        <f t="shared" si="11"/>
        <v>0</v>
      </c>
      <c r="AL263" s="635"/>
    </row>
    <row r="264" spans="1:38" s="51" customFormat="1" ht="19.149999999999999" customHeight="1" outlineLevel="1">
      <c r="A264" s="1025">
        <v>250</v>
      </c>
      <c r="B264" s="1025">
        <v>39</v>
      </c>
      <c r="C264" s="1025" t="str">
        <f>VLOOKUP(D264,'DS CN MOI UP'!$B$10:$C$347,2,0)</f>
        <v>02522</v>
      </c>
      <c r="D264" s="1028" t="s">
        <v>162</v>
      </c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3"/>
      <c r="AF264" s="1073"/>
      <c r="AG264" s="1073"/>
      <c r="AH264" s="1073"/>
      <c r="AI264" s="1073"/>
      <c r="AJ264" s="1076">
        <f t="shared" si="17"/>
        <v>0</v>
      </c>
      <c r="AK264" s="1076">
        <f t="shared" si="11"/>
        <v>0</v>
      </c>
      <c r="AL264" s="635"/>
    </row>
    <row r="265" spans="1:38" s="51" customFormat="1" ht="19.149999999999999" customHeight="1" outlineLevel="1">
      <c r="A265" s="1025">
        <v>251</v>
      </c>
      <c r="B265" s="1025">
        <v>40</v>
      </c>
      <c r="C265" s="1025" t="str">
        <f>VLOOKUP(D265,'DS CN MOI UP'!$B$10:$C$347,2,0)</f>
        <v>02565</v>
      </c>
      <c r="D265" s="1028" t="s">
        <v>163</v>
      </c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73"/>
      <c r="AJ265" s="1076">
        <f t="shared" si="17"/>
        <v>0</v>
      </c>
      <c r="AK265" s="1076">
        <f t="shared" si="11"/>
        <v>0</v>
      </c>
      <c r="AL265" s="635"/>
    </row>
    <row r="266" spans="1:38" s="51" customFormat="1" ht="19.149999999999999" customHeight="1" outlineLevel="1">
      <c r="A266" s="1025">
        <v>252</v>
      </c>
      <c r="B266" s="1025">
        <v>41</v>
      </c>
      <c r="C266" s="1025" t="str">
        <f>VLOOKUP(D266,'DS CN MOI UP'!$B$10:$C$347,2,0)</f>
        <v>03368</v>
      </c>
      <c r="D266" s="1028" t="s">
        <v>164</v>
      </c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3"/>
      <c r="AF266" s="1073"/>
      <c r="AG266" s="1073"/>
      <c r="AH266" s="1073"/>
      <c r="AI266" s="1073"/>
      <c r="AJ266" s="1076">
        <f t="shared" si="17"/>
        <v>0</v>
      </c>
      <c r="AK266" s="1076">
        <f t="shared" si="11"/>
        <v>0</v>
      </c>
      <c r="AL266" s="635"/>
    </row>
    <row r="267" spans="1:38" s="51" customFormat="1" ht="19.149999999999999" customHeight="1" outlineLevel="1">
      <c r="A267" s="1025">
        <v>253</v>
      </c>
      <c r="B267" s="1025">
        <v>42</v>
      </c>
      <c r="C267" s="1025" t="str">
        <f>VLOOKUP(D267,'DS CN MOI UP'!$B$10:$C$347,2,0)</f>
        <v>02535</v>
      </c>
      <c r="D267" s="1028" t="s">
        <v>165</v>
      </c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73"/>
      <c r="AJ267" s="1076">
        <f t="shared" si="17"/>
        <v>0</v>
      </c>
      <c r="AK267" s="1076">
        <f t="shared" ref="AK267:AK331" si="18">AJ267*$AN$6</f>
        <v>0</v>
      </c>
      <c r="AL267" s="635"/>
    </row>
    <row r="268" spans="1:38" s="51" customFormat="1" ht="19.149999999999999" customHeight="1" outlineLevel="1">
      <c r="A268" s="1025">
        <v>254</v>
      </c>
      <c r="B268" s="1025">
        <v>43</v>
      </c>
      <c r="C268" s="1025" t="str">
        <f>VLOOKUP(D268,'DS CN MOI UP'!$B$10:$C$347,2,0)</f>
        <v>02563</v>
      </c>
      <c r="D268" s="1028" t="s">
        <v>166</v>
      </c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73"/>
      <c r="AJ268" s="1076">
        <f t="shared" si="17"/>
        <v>0</v>
      </c>
      <c r="AK268" s="1076">
        <f t="shared" si="18"/>
        <v>0</v>
      </c>
      <c r="AL268" s="635"/>
    </row>
    <row r="269" spans="1:38" s="51" customFormat="1" ht="19.149999999999999" customHeight="1" outlineLevel="1">
      <c r="A269" s="1025">
        <v>255</v>
      </c>
      <c r="B269" s="1025">
        <v>44</v>
      </c>
      <c r="C269" s="1025" t="str">
        <f>VLOOKUP(D269,'DS CN MOI UP'!$B$10:$C$347,2,0)</f>
        <v>02688</v>
      </c>
      <c r="D269" s="1028" t="s">
        <v>167</v>
      </c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3"/>
      <c r="AF269" s="1073"/>
      <c r="AG269" s="1073"/>
      <c r="AH269" s="1073"/>
      <c r="AI269" s="1073"/>
      <c r="AJ269" s="1076">
        <f t="shared" si="17"/>
        <v>0</v>
      </c>
      <c r="AK269" s="1076">
        <f t="shared" si="18"/>
        <v>0</v>
      </c>
      <c r="AL269" s="635"/>
    </row>
    <row r="270" spans="1:38" s="51" customFormat="1" ht="19.149999999999999" customHeight="1" outlineLevel="1">
      <c r="A270" s="1025">
        <v>256</v>
      </c>
      <c r="B270" s="1025">
        <v>45</v>
      </c>
      <c r="C270" s="1025" t="str">
        <f>VLOOKUP(D270,'DS CN MOI UP'!$B$10:$C$347,2,0)</f>
        <v>02551</v>
      </c>
      <c r="D270" s="1028" t="s">
        <v>168</v>
      </c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73"/>
      <c r="AJ270" s="1076">
        <f t="shared" si="17"/>
        <v>0</v>
      </c>
      <c r="AK270" s="1076">
        <f t="shared" si="18"/>
        <v>0</v>
      </c>
      <c r="AL270" s="635"/>
    </row>
    <row r="271" spans="1:38" s="51" customFormat="1" ht="19.149999999999999" customHeight="1" outlineLevel="1">
      <c r="A271" s="1025">
        <v>257</v>
      </c>
      <c r="B271" s="1025">
        <v>46</v>
      </c>
      <c r="C271" s="1025" t="str">
        <f>VLOOKUP(D271,'DS CN MOI UP'!$B$10:$C$347,2,0)</f>
        <v>02523</v>
      </c>
      <c r="D271" s="1028" t="s">
        <v>169</v>
      </c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73"/>
      <c r="AJ271" s="1076">
        <f t="shared" si="17"/>
        <v>0</v>
      </c>
      <c r="AK271" s="1076">
        <f t="shared" si="18"/>
        <v>0</v>
      </c>
      <c r="AL271" s="635"/>
    </row>
    <row r="272" spans="1:38" s="51" customFormat="1" ht="19.149999999999999" customHeight="1" outlineLevel="1">
      <c r="A272" s="1025">
        <v>258</v>
      </c>
      <c r="B272" s="1025">
        <v>47</v>
      </c>
      <c r="C272" s="1025" t="str">
        <f>VLOOKUP(D272,'DS CN MOI UP'!$B$10:$C$347,2,0)</f>
        <v>03369</v>
      </c>
      <c r="D272" s="1028" t="s">
        <v>170</v>
      </c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3"/>
      <c r="AF272" s="1073"/>
      <c r="AG272" s="1073"/>
      <c r="AH272" s="1073"/>
      <c r="AI272" s="1073"/>
      <c r="AJ272" s="1076">
        <f t="shared" si="17"/>
        <v>0</v>
      </c>
      <c r="AK272" s="1076">
        <f t="shared" si="18"/>
        <v>0</v>
      </c>
      <c r="AL272" s="635"/>
    </row>
    <row r="273" spans="1:38" s="51" customFormat="1" ht="19.149999999999999" customHeight="1" outlineLevel="1">
      <c r="A273" s="1025">
        <v>259</v>
      </c>
      <c r="B273" s="1025">
        <v>48</v>
      </c>
      <c r="C273" s="1025" t="str">
        <f>VLOOKUP(D273,'DS CN MOI UP'!$B$10:$C$347,2,0)</f>
        <v>03345</v>
      </c>
      <c r="D273" s="1028" t="s">
        <v>171</v>
      </c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73"/>
      <c r="AJ273" s="1076">
        <f t="shared" si="17"/>
        <v>0</v>
      </c>
      <c r="AK273" s="1076">
        <f t="shared" si="18"/>
        <v>0</v>
      </c>
      <c r="AL273" s="635"/>
    </row>
    <row r="274" spans="1:38" s="51" customFormat="1" ht="19.149999999999999" customHeight="1" outlineLevel="1">
      <c r="A274" s="1025">
        <v>260</v>
      </c>
      <c r="B274" s="1025">
        <v>49</v>
      </c>
      <c r="C274" s="1025" t="str">
        <f>VLOOKUP(D274,'DS CN MOI UP'!$B$10:$C$347,2,0)</f>
        <v>03371</v>
      </c>
      <c r="D274" s="1028" t="s">
        <v>172</v>
      </c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3"/>
      <c r="AF274" s="1073"/>
      <c r="AG274" s="1073"/>
      <c r="AH274" s="1073"/>
      <c r="AI274" s="1073"/>
      <c r="AJ274" s="1076">
        <f t="shared" si="17"/>
        <v>0</v>
      </c>
      <c r="AK274" s="1076">
        <f t="shared" si="18"/>
        <v>0</v>
      </c>
      <c r="AL274" s="635"/>
    </row>
    <row r="275" spans="1:38" s="51" customFormat="1" ht="19.149999999999999" customHeight="1" outlineLevel="1">
      <c r="A275" s="1025">
        <v>261</v>
      </c>
      <c r="B275" s="1025">
        <v>50</v>
      </c>
      <c r="C275" s="1025" t="str">
        <f>VLOOKUP(D275,'DS CN MOI UP'!$B$10:$C$347,2,0)</f>
        <v>02519</v>
      </c>
      <c r="D275" s="1028" t="s">
        <v>173</v>
      </c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73"/>
      <c r="AJ275" s="1076">
        <f t="shared" si="17"/>
        <v>0</v>
      </c>
      <c r="AK275" s="1076">
        <f t="shared" si="18"/>
        <v>0</v>
      </c>
      <c r="AL275" s="635"/>
    </row>
    <row r="276" spans="1:38" s="51" customFormat="1" ht="19.149999999999999" customHeight="1" outlineLevel="1">
      <c r="A276" s="1025">
        <v>262</v>
      </c>
      <c r="B276" s="1025">
        <v>51</v>
      </c>
      <c r="C276" s="1025" t="str">
        <f>VLOOKUP(D276,'DS CN MOI UP'!$B$10:$C$347,2,0)</f>
        <v>02692</v>
      </c>
      <c r="D276" s="1028" t="s">
        <v>174</v>
      </c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3"/>
      <c r="AF276" s="1073"/>
      <c r="AG276" s="1073"/>
      <c r="AH276" s="1073"/>
      <c r="AI276" s="1073"/>
      <c r="AJ276" s="1076">
        <f t="shared" si="17"/>
        <v>0</v>
      </c>
      <c r="AK276" s="1076">
        <f t="shared" si="18"/>
        <v>0</v>
      </c>
      <c r="AL276" s="635"/>
    </row>
    <row r="277" spans="1:38" s="1022" customFormat="1" ht="19.149999999999999" customHeight="1" outlineLevel="1">
      <c r="A277" s="1025">
        <v>263</v>
      </c>
      <c r="B277" s="1025">
        <v>52</v>
      </c>
      <c r="C277" s="1025" t="str">
        <f>VLOOKUP(D277,'DS CN MOI UP'!$B$10:$C$347,2,0)</f>
        <v>03372</v>
      </c>
      <c r="D277" s="1040" t="s">
        <v>175</v>
      </c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73"/>
      <c r="AJ277" s="1076">
        <f t="shared" si="17"/>
        <v>0</v>
      </c>
      <c r="AK277" s="1076">
        <f t="shared" si="18"/>
        <v>0</v>
      </c>
      <c r="AL277" s="635"/>
    </row>
    <row r="278" spans="1:38" s="1022" customFormat="1" ht="19.149999999999999" customHeight="1" outlineLevel="1">
      <c r="A278" s="1025">
        <v>264</v>
      </c>
      <c r="B278" s="1025">
        <v>53</v>
      </c>
      <c r="C278" s="1025" t="str">
        <f>VLOOKUP(D278,'DS CN MOI UP'!$B$10:$C$347,2,0)</f>
        <v>03365</v>
      </c>
      <c r="D278" s="1040" t="s">
        <v>176</v>
      </c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3"/>
      <c r="AF278" s="1073"/>
      <c r="AG278" s="1073"/>
      <c r="AH278" s="1073"/>
      <c r="AI278" s="1073"/>
      <c r="AJ278" s="1076">
        <f t="shared" si="17"/>
        <v>0</v>
      </c>
      <c r="AK278" s="1076">
        <f t="shared" si="18"/>
        <v>0</v>
      </c>
      <c r="AL278" s="635"/>
    </row>
    <row r="279" spans="1:38" s="1022" customFormat="1" ht="19.149999999999999" customHeight="1" outlineLevel="1">
      <c r="A279" s="1025">
        <v>265</v>
      </c>
      <c r="B279" s="1025">
        <v>54</v>
      </c>
      <c r="C279" s="1025" t="str">
        <f>VLOOKUP(D279,'DS CN MOI UP'!$B$10:$C$347,2,0)</f>
        <v>03373</v>
      </c>
      <c r="D279" s="1040" t="s">
        <v>177</v>
      </c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3"/>
      <c r="AF279" s="1073"/>
      <c r="AG279" s="1073"/>
      <c r="AH279" s="1073"/>
      <c r="AI279" s="1073"/>
      <c r="AJ279" s="1076">
        <f t="shared" si="17"/>
        <v>0</v>
      </c>
      <c r="AK279" s="1076">
        <f t="shared" si="18"/>
        <v>0</v>
      </c>
      <c r="AL279" s="635"/>
    </row>
    <row r="280" spans="1:38" s="1022" customFormat="1" ht="19.149999999999999" customHeight="1" outlineLevel="1">
      <c r="A280" s="1025">
        <v>266</v>
      </c>
      <c r="B280" s="1025">
        <v>55</v>
      </c>
      <c r="C280" s="1025" t="str">
        <f>VLOOKUP(D280,'DS CN MOI UP'!$B$10:$C$347,2,0)</f>
        <v>03374</v>
      </c>
      <c r="D280" s="1040" t="s">
        <v>178</v>
      </c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73"/>
      <c r="AJ280" s="1076">
        <f t="shared" si="17"/>
        <v>0</v>
      </c>
      <c r="AK280" s="1076">
        <f t="shared" si="18"/>
        <v>0</v>
      </c>
      <c r="AL280" s="635"/>
    </row>
    <row r="281" spans="1:38" s="1022" customFormat="1" ht="19.149999999999999" customHeight="1" outlineLevel="1">
      <c r="A281" s="1025">
        <v>267</v>
      </c>
      <c r="B281" s="1025">
        <v>56</v>
      </c>
      <c r="C281" s="1025" t="str">
        <f>VLOOKUP(D281,'DS CN MOI UP'!$B$10:$C$347,2,0)</f>
        <v>02557</v>
      </c>
      <c r="D281" s="1040" t="s">
        <v>179</v>
      </c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3"/>
      <c r="AF281" s="1073"/>
      <c r="AG281" s="1073"/>
      <c r="AH281" s="1073"/>
      <c r="AI281" s="1073"/>
      <c r="AJ281" s="1076">
        <f t="shared" si="17"/>
        <v>0</v>
      </c>
      <c r="AK281" s="1076">
        <f t="shared" si="18"/>
        <v>0</v>
      </c>
      <c r="AL281" s="635"/>
    </row>
    <row r="282" spans="1:38" s="1022" customFormat="1" ht="19.149999999999999" customHeight="1" outlineLevel="1">
      <c r="A282" s="1025">
        <v>268</v>
      </c>
      <c r="B282" s="1025">
        <v>57</v>
      </c>
      <c r="C282" s="1025" t="str">
        <f>VLOOKUP(D282,'DS CN MOI UP'!$B$10:$C$347,2,0)</f>
        <v>02525</v>
      </c>
      <c r="D282" s="1040" t="s">
        <v>180</v>
      </c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3"/>
      <c r="AF282" s="1073"/>
      <c r="AG282" s="1073"/>
      <c r="AH282" s="1073"/>
      <c r="AI282" s="1073"/>
      <c r="AJ282" s="1076">
        <f t="shared" si="17"/>
        <v>0</v>
      </c>
      <c r="AK282" s="1076">
        <f t="shared" si="18"/>
        <v>0</v>
      </c>
      <c r="AL282" s="635"/>
    </row>
    <row r="283" spans="1:38" s="1022" customFormat="1" ht="19.149999999999999" customHeight="1" outlineLevel="1">
      <c r="A283" s="1025">
        <v>269</v>
      </c>
      <c r="B283" s="1025">
        <v>58</v>
      </c>
      <c r="C283" s="1025" t="str">
        <f>VLOOKUP(D283,'DS CN MOI UP'!$B$10:$C$347,2,0)</f>
        <v>03375</v>
      </c>
      <c r="D283" s="1040" t="s">
        <v>181</v>
      </c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3"/>
      <c r="AF283" s="1073"/>
      <c r="AG283" s="1073"/>
      <c r="AH283" s="1073"/>
      <c r="AI283" s="1073"/>
      <c r="AJ283" s="1076">
        <f t="shared" si="17"/>
        <v>0</v>
      </c>
      <c r="AK283" s="1076">
        <f t="shared" si="18"/>
        <v>0</v>
      </c>
      <c r="AL283" s="635"/>
    </row>
    <row r="284" spans="1:38" s="1022" customFormat="1" ht="19.149999999999999" customHeight="1" outlineLevel="1">
      <c r="A284" s="1025">
        <v>270</v>
      </c>
      <c r="B284" s="1025">
        <v>59</v>
      </c>
      <c r="C284" s="1025" t="str">
        <f>VLOOKUP(D284,'DS CN MOI UP'!$B$10:$C$347,2,0)</f>
        <v>02691</v>
      </c>
      <c r="D284" s="1040" t="s">
        <v>182</v>
      </c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3"/>
      <c r="AF284" s="1073"/>
      <c r="AG284" s="1073"/>
      <c r="AH284" s="1073"/>
      <c r="AI284" s="1073"/>
      <c r="AJ284" s="1076">
        <f t="shared" si="17"/>
        <v>0</v>
      </c>
      <c r="AK284" s="1076">
        <f t="shared" si="18"/>
        <v>0</v>
      </c>
      <c r="AL284" s="635"/>
    </row>
    <row r="285" spans="1:38" s="1022" customFormat="1" ht="19.149999999999999" customHeight="1" outlineLevel="1">
      <c r="A285" s="1025">
        <v>271</v>
      </c>
      <c r="B285" s="1025">
        <v>60</v>
      </c>
      <c r="C285" s="1025" t="str">
        <f>VLOOKUP(D285,'DS CN MOI UP'!$B$10:$C$347,2,0)</f>
        <v>03376</v>
      </c>
      <c r="D285" s="1040" t="s">
        <v>183</v>
      </c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73"/>
      <c r="AJ285" s="1076">
        <f t="shared" si="17"/>
        <v>0</v>
      </c>
      <c r="AK285" s="1076">
        <f t="shared" si="18"/>
        <v>0</v>
      </c>
      <c r="AL285" s="635"/>
    </row>
    <row r="286" spans="1:38" s="1022" customFormat="1" ht="19.149999999999999" customHeight="1" outlineLevel="1">
      <c r="A286" s="1025">
        <v>272</v>
      </c>
      <c r="B286" s="1025">
        <v>61</v>
      </c>
      <c r="C286" s="1025" t="str">
        <f>VLOOKUP(D286,'DS CN MOI UP'!$B$10:$C$347,2,0)</f>
        <v>03377</v>
      </c>
      <c r="D286" s="1040" t="s">
        <v>184</v>
      </c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3"/>
      <c r="AF286" s="1073"/>
      <c r="AG286" s="1073"/>
      <c r="AH286" s="1073"/>
      <c r="AI286" s="1073"/>
      <c r="AJ286" s="1076">
        <f t="shared" si="17"/>
        <v>0</v>
      </c>
      <c r="AK286" s="1076">
        <f t="shared" si="18"/>
        <v>0</v>
      </c>
      <c r="AL286" s="635"/>
    </row>
    <row r="287" spans="1:38" s="1022" customFormat="1" ht="19.149999999999999" customHeight="1" outlineLevel="1">
      <c r="A287" s="1025">
        <v>273</v>
      </c>
      <c r="B287" s="1025">
        <v>62</v>
      </c>
      <c r="C287" s="1025" t="str">
        <f>VLOOKUP(D287,'DS CN MOI UP'!$B$10:$C$347,2,0)</f>
        <v>02541</v>
      </c>
      <c r="D287" s="1040" t="s">
        <v>185</v>
      </c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73"/>
      <c r="AJ287" s="1076">
        <f t="shared" si="17"/>
        <v>0</v>
      </c>
      <c r="AK287" s="1076">
        <f t="shared" si="18"/>
        <v>0</v>
      </c>
      <c r="AL287" s="635"/>
    </row>
    <row r="288" spans="1:38" s="1022" customFormat="1" ht="19.149999999999999" customHeight="1" outlineLevel="1">
      <c r="A288" s="1025">
        <v>274</v>
      </c>
      <c r="B288" s="1025">
        <v>63</v>
      </c>
      <c r="C288" s="1025" t="str">
        <f>VLOOKUP(D288,'DS CN MOI UP'!$B$10:$C$347,2,0)</f>
        <v>02690</v>
      </c>
      <c r="D288" s="1040" t="s">
        <v>186</v>
      </c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3"/>
      <c r="AF288" s="1073"/>
      <c r="AG288" s="1073"/>
      <c r="AH288" s="1073"/>
      <c r="AI288" s="1073"/>
      <c r="AJ288" s="1076">
        <f t="shared" si="17"/>
        <v>0</v>
      </c>
      <c r="AK288" s="1076">
        <f t="shared" si="18"/>
        <v>0</v>
      </c>
      <c r="AL288" s="635"/>
    </row>
    <row r="289" spans="1:38" s="1022" customFormat="1" ht="19.149999999999999" customHeight="1" outlineLevel="1">
      <c r="A289" s="1025">
        <v>275</v>
      </c>
      <c r="B289" s="1025">
        <v>64</v>
      </c>
      <c r="C289" s="1025" t="str">
        <f>VLOOKUP(D289,'DS CN MOI UP'!$B$10:$C$347,2,0)</f>
        <v>03378</v>
      </c>
      <c r="D289" s="1040" t="s">
        <v>187</v>
      </c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73"/>
      <c r="AJ289" s="1076">
        <f t="shared" si="17"/>
        <v>0</v>
      </c>
      <c r="AK289" s="1076">
        <f t="shared" si="18"/>
        <v>0</v>
      </c>
      <c r="AL289" s="635"/>
    </row>
    <row r="290" spans="1:38" s="1022" customFormat="1" ht="19.149999999999999" customHeight="1" outlineLevel="1">
      <c r="A290" s="1025">
        <v>276</v>
      </c>
      <c r="B290" s="1025">
        <v>65</v>
      </c>
      <c r="C290" s="1025" t="str">
        <f>VLOOKUP(D290,'DS CN MOI UP'!$B$10:$C$347,2,0)</f>
        <v>02520</v>
      </c>
      <c r="D290" s="1040" t="s">
        <v>188</v>
      </c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73"/>
      <c r="AJ290" s="1076">
        <f t="shared" ref="AJ290:AJ354" si="19">SUM(E290:AI290)</f>
        <v>0</v>
      </c>
      <c r="AK290" s="1076">
        <f t="shared" si="18"/>
        <v>0</v>
      </c>
      <c r="AL290" s="635"/>
    </row>
    <row r="291" spans="1:38" s="1022" customFormat="1" ht="19.149999999999999" customHeight="1" outlineLevel="1">
      <c r="A291" s="1025">
        <v>277</v>
      </c>
      <c r="B291" s="1025">
        <v>66</v>
      </c>
      <c r="C291" s="1025" t="str">
        <f>VLOOKUP(D291,'DS CN MOI UP'!$B$10:$C$347,2,0)</f>
        <v>02543</v>
      </c>
      <c r="D291" s="1040" t="s">
        <v>189</v>
      </c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73"/>
      <c r="AJ291" s="1076">
        <f t="shared" si="19"/>
        <v>0</v>
      </c>
      <c r="AK291" s="1076">
        <f t="shared" si="18"/>
        <v>0</v>
      </c>
      <c r="AL291" s="635"/>
    </row>
    <row r="292" spans="1:38" s="1022" customFormat="1" ht="19.149999999999999" customHeight="1" outlineLevel="1">
      <c r="A292" s="1025">
        <v>278</v>
      </c>
      <c r="B292" s="1025">
        <v>67</v>
      </c>
      <c r="C292" s="1025" t="str">
        <f>VLOOKUP(D292,'DS CN MOI UP'!$B$10:$C$347,2,0)</f>
        <v>03379</v>
      </c>
      <c r="D292" s="1040" t="s">
        <v>190</v>
      </c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73"/>
      <c r="AJ292" s="1076">
        <f t="shared" si="19"/>
        <v>0</v>
      </c>
      <c r="AK292" s="1076">
        <f t="shared" si="18"/>
        <v>0</v>
      </c>
      <c r="AL292" s="635"/>
    </row>
    <row r="293" spans="1:38" s="1022" customFormat="1" ht="19.149999999999999" customHeight="1" outlineLevel="1">
      <c r="A293" s="1025">
        <v>279</v>
      </c>
      <c r="B293" s="1025">
        <v>68</v>
      </c>
      <c r="C293" s="1025" t="str">
        <f>VLOOKUP(D293,'DS CN MOI UP'!$B$10:$C$347,2,0)</f>
        <v>03354</v>
      </c>
      <c r="D293" s="1040" t="s">
        <v>191</v>
      </c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73"/>
      <c r="AJ293" s="1076">
        <f t="shared" si="19"/>
        <v>0</v>
      </c>
      <c r="AK293" s="1076">
        <f t="shared" si="18"/>
        <v>0</v>
      </c>
      <c r="AL293" s="635"/>
    </row>
    <row r="294" spans="1:38" s="1022" customFormat="1" ht="19.149999999999999" customHeight="1" outlineLevel="1">
      <c r="A294" s="1025">
        <v>280</v>
      </c>
      <c r="B294" s="1025">
        <v>69</v>
      </c>
      <c r="C294" s="1025" t="str">
        <f>VLOOKUP(D294,'DS CN MOI UP'!$B$10:$C$347,2,0)</f>
        <v>02542</v>
      </c>
      <c r="D294" s="1040" t="s">
        <v>504</v>
      </c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73"/>
      <c r="AJ294" s="1076">
        <f t="shared" si="19"/>
        <v>0</v>
      </c>
      <c r="AK294" s="1076">
        <f t="shared" si="18"/>
        <v>0</v>
      </c>
      <c r="AL294" s="635"/>
    </row>
    <row r="295" spans="1:38" s="1022" customFormat="1" ht="19.149999999999999" customHeight="1" outlineLevel="1">
      <c r="A295" s="1025">
        <v>281</v>
      </c>
      <c r="B295" s="1025">
        <v>70</v>
      </c>
      <c r="C295" s="1025" t="str">
        <f>VLOOKUP(D295,'DS CN MOI UP'!$B$10:$C$347,2,0)</f>
        <v>02529</v>
      </c>
      <c r="D295" s="1040" t="s">
        <v>193</v>
      </c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73"/>
      <c r="AJ295" s="1076">
        <f t="shared" si="19"/>
        <v>0</v>
      </c>
      <c r="AK295" s="1076">
        <f t="shared" si="18"/>
        <v>0</v>
      </c>
      <c r="AL295" s="635"/>
    </row>
    <row r="296" spans="1:38" s="1022" customFormat="1" ht="19.149999999999999" customHeight="1" outlineLevel="1">
      <c r="A296" s="1025">
        <v>282</v>
      </c>
      <c r="B296" s="1025">
        <v>71</v>
      </c>
      <c r="C296" s="1025" t="str">
        <f>VLOOKUP(D296,'DS CN MOI UP'!$B$10:$C$347,2,0)</f>
        <v>02531</v>
      </c>
      <c r="D296" s="1040" t="s">
        <v>194</v>
      </c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73"/>
      <c r="AJ296" s="1076">
        <f t="shared" si="19"/>
        <v>0</v>
      </c>
      <c r="AK296" s="1076">
        <f t="shared" si="18"/>
        <v>0</v>
      </c>
      <c r="AL296" s="635"/>
    </row>
    <row r="297" spans="1:38" s="1022" customFormat="1" ht="19.149999999999999" customHeight="1" outlineLevel="1">
      <c r="A297" s="1025">
        <v>283</v>
      </c>
      <c r="B297" s="1025">
        <v>72</v>
      </c>
      <c r="C297" s="1025" t="str">
        <f>VLOOKUP(D297,'DS CN MOI UP'!$B$10:$C$347,2,0)</f>
        <v>02539</v>
      </c>
      <c r="D297" s="1040" t="s">
        <v>195</v>
      </c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3"/>
      <c r="AF297" s="1073"/>
      <c r="AG297" s="1073"/>
      <c r="AH297" s="1073"/>
      <c r="AI297" s="1073"/>
      <c r="AJ297" s="1076">
        <f t="shared" si="19"/>
        <v>0</v>
      </c>
      <c r="AK297" s="1076">
        <f t="shared" si="18"/>
        <v>0</v>
      </c>
      <c r="AL297" s="635"/>
    </row>
    <row r="298" spans="1:38" s="1022" customFormat="1" ht="19.149999999999999" customHeight="1" outlineLevel="1">
      <c r="A298" s="1025">
        <v>284</v>
      </c>
      <c r="B298" s="1025">
        <v>73</v>
      </c>
      <c r="C298" s="1025" t="str">
        <f>VLOOKUP(D298,'DS CN MOI UP'!$B$10:$C$347,2,0)</f>
        <v>03380</v>
      </c>
      <c r="D298" s="1040" t="s">
        <v>196</v>
      </c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3"/>
      <c r="AF298" s="1073"/>
      <c r="AG298" s="1073"/>
      <c r="AH298" s="1073"/>
      <c r="AI298" s="1073"/>
      <c r="AJ298" s="1076">
        <f t="shared" si="19"/>
        <v>0</v>
      </c>
      <c r="AK298" s="1076">
        <f t="shared" si="18"/>
        <v>0</v>
      </c>
      <c r="AL298" s="635"/>
    </row>
    <row r="299" spans="1:38" s="1022" customFormat="1" ht="19.149999999999999" customHeight="1" outlineLevel="1">
      <c r="A299" s="1025">
        <v>285</v>
      </c>
      <c r="B299" s="1025">
        <v>74</v>
      </c>
      <c r="C299" s="1025" t="str">
        <f>VLOOKUP(D299,'DS CN MOI UP'!$B$10:$C$347,2,0)</f>
        <v>02561</v>
      </c>
      <c r="D299" s="1040" t="s">
        <v>197</v>
      </c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3"/>
      <c r="AF299" s="1073"/>
      <c r="AG299" s="1073"/>
      <c r="AH299" s="1073"/>
      <c r="AI299" s="1073"/>
      <c r="AJ299" s="1076">
        <f t="shared" si="19"/>
        <v>0</v>
      </c>
      <c r="AK299" s="1076">
        <f t="shared" si="18"/>
        <v>0</v>
      </c>
      <c r="AL299" s="635"/>
    </row>
    <row r="300" spans="1:38" s="1022" customFormat="1" ht="19.149999999999999" customHeight="1" outlineLevel="1">
      <c r="A300" s="1025">
        <v>286</v>
      </c>
      <c r="B300" s="1025">
        <v>75</v>
      </c>
      <c r="C300" s="1025" t="str">
        <f>VLOOKUP(D300,'DS CN MOI UP'!$B$10:$C$347,2,0)</f>
        <v>02533</v>
      </c>
      <c r="D300" s="1040" t="s">
        <v>198</v>
      </c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73"/>
      <c r="AJ300" s="1076">
        <f t="shared" si="19"/>
        <v>0</v>
      </c>
      <c r="AK300" s="1076">
        <f t="shared" si="18"/>
        <v>0</v>
      </c>
      <c r="AL300" s="635"/>
    </row>
    <row r="301" spans="1:38" s="1022" customFormat="1" ht="19.149999999999999" customHeight="1" outlineLevel="1">
      <c r="A301" s="1025">
        <v>287</v>
      </c>
      <c r="B301" s="1025">
        <v>76</v>
      </c>
      <c r="C301" s="1025" t="str">
        <f>VLOOKUP(D301,'DS CN MOI UP'!$B$10:$C$347,2,0)</f>
        <v>02547</v>
      </c>
      <c r="D301" s="1040" t="s">
        <v>199</v>
      </c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73"/>
      <c r="AJ301" s="1076">
        <f t="shared" si="19"/>
        <v>0</v>
      </c>
      <c r="AK301" s="1076">
        <f t="shared" si="18"/>
        <v>0</v>
      </c>
      <c r="AL301" s="635"/>
    </row>
    <row r="302" spans="1:38" s="1022" customFormat="1" ht="19.149999999999999" customHeight="1" outlineLevel="1">
      <c r="A302" s="1025">
        <v>288</v>
      </c>
      <c r="B302" s="1025">
        <v>77</v>
      </c>
      <c r="C302" s="1025" t="str">
        <f>VLOOKUP(D302,'DS CN MOI UP'!$B$10:$C$347,2,0)</f>
        <v>02550</v>
      </c>
      <c r="D302" s="1040" t="s">
        <v>200</v>
      </c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73"/>
      <c r="AJ302" s="1076">
        <f t="shared" si="19"/>
        <v>0</v>
      </c>
      <c r="AK302" s="1076">
        <f t="shared" si="18"/>
        <v>0</v>
      </c>
      <c r="AL302" s="635"/>
    </row>
    <row r="303" spans="1:38" s="1022" customFormat="1" ht="19.149999999999999" customHeight="1" outlineLevel="1">
      <c r="A303" s="1025">
        <v>289</v>
      </c>
      <c r="B303" s="1025">
        <v>78</v>
      </c>
      <c r="C303" s="1025" t="str">
        <f>VLOOKUP(D303,'DS CN MOI UP'!$B$10:$C$347,2,0)</f>
        <v>02566</v>
      </c>
      <c r="D303" s="1040" t="s">
        <v>201</v>
      </c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73"/>
      <c r="AJ303" s="1076">
        <f t="shared" si="19"/>
        <v>0</v>
      </c>
      <c r="AK303" s="1076">
        <f t="shared" si="18"/>
        <v>0</v>
      </c>
      <c r="AL303" s="635"/>
    </row>
    <row r="304" spans="1:38" s="1022" customFormat="1" ht="19.149999999999999" customHeight="1" outlineLevel="1">
      <c r="A304" s="1025">
        <v>290</v>
      </c>
      <c r="B304" s="1025">
        <v>79</v>
      </c>
      <c r="C304" s="1025" t="str">
        <f>VLOOKUP(D304,'DS CN MOI UP'!$B$10:$C$347,2,0)</f>
        <v>03381</v>
      </c>
      <c r="D304" s="1040" t="s">
        <v>202</v>
      </c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73"/>
      <c r="AJ304" s="1076">
        <f t="shared" si="19"/>
        <v>0</v>
      </c>
      <c r="AK304" s="1076">
        <f t="shared" si="18"/>
        <v>0</v>
      </c>
      <c r="AL304" s="635"/>
    </row>
    <row r="305" spans="1:39" s="1022" customFormat="1" ht="19.149999999999999" customHeight="1" outlineLevel="1">
      <c r="A305" s="1025">
        <v>291</v>
      </c>
      <c r="B305" s="1025">
        <v>80</v>
      </c>
      <c r="C305" s="1025" t="str">
        <f>VLOOKUP(D305,'DS CN MOI UP'!$B$10:$C$347,2,0)</f>
        <v>02689</v>
      </c>
      <c r="D305" s="1040" t="s">
        <v>203</v>
      </c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73"/>
      <c r="AJ305" s="1076">
        <f t="shared" si="19"/>
        <v>0</v>
      </c>
      <c r="AK305" s="1076">
        <f t="shared" si="18"/>
        <v>0</v>
      </c>
      <c r="AL305" s="635"/>
    </row>
    <row r="306" spans="1:39" s="1022" customFormat="1" ht="19.149999999999999" customHeight="1" outlineLevel="1">
      <c r="A306" s="1025">
        <v>292</v>
      </c>
      <c r="B306" s="1025">
        <v>81</v>
      </c>
      <c r="C306" s="1025" t="str">
        <f>VLOOKUP(D306,'DS CN MOI UP'!$B$10:$C$347,2,0)</f>
        <v>02546</v>
      </c>
      <c r="D306" s="1040" t="s">
        <v>204</v>
      </c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73"/>
      <c r="AJ306" s="1076">
        <f t="shared" si="19"/>
        <v>0</v>
      </c>
      <c r="AK306" s="1076">
        <f t="shared" si="18"/>
        <v>0</v>
      </c>
      <c r="AL306" s="635"/>
    </row>
    <row r="307" spans="1:39" s="1022" customFormat="1" ht="19.149999999999999" customHeight="1" outlineLevel="1">
      <c r="A307" s="1025">
        <v>293</v>
      </c>
      <c r="B307" s="1025">
        <v>82</v>
      </c>
      <c r="C307" s="1025" t="str">
        <f>VLOOKUP(D307,'DS CN MOI UP'!$B$10:$C$347,2,0)</f>
        <v>02559</v>
      </c>
      <c r="D307" s="1040" t="s">
        <v>205</v>
      </c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73"/>
      <c r="AJ307" s="1076">
        <f t="shared" si="19"/>
        <v>0</v>
      </c>
      <c r="AK307" s="1076">
        <f t="shared" si="18"/>
        <v>0</v>
      </c>
      <c r="AL307" s="635"/>
    </row>
    <row r="308" spans="1:39" s="1022" customFormat="1" ht="19.149999999999999" customHeight="1">
      <c r="A308" s="1025">
        <v>294</v>
      </c>
      <c r="B308" s="1025">
        <v>83</v>
      </c>
      <c r="C308" s="1025" t="e">
        <f>VLOOKUP(D308,'DS CN MOI UP'!$B$10:$C$347,2,0)</f>
        <v>#N/A</v>
      </c>
      <c r="D308" s="1040" t="s">
        <v>505</v>
      </c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73"/>
      <c r="AJ308" s="1076">
        <f t="shared" si="19"/>
        <v>0</v>
      </c>
      <c r="AK308" s="1076">
        <f t="shared" si="18"/>
        <v>0</v>
      </c>
      <c r="AL308" s="635"/>
    </row>
    <row r="309" spans="1:39" s="51" customFormat="1" ht="19.149999999999999" customHeight="1" outlineLevel="1">
      <c r="A309" s="1025">
        <v>295</v>
      </c>
      <c r="B309" s="1025">
        <v>84</v>
      </c>
      <c r="C309" s="1025" t="e">
        <f>VLOOKUP(D309,'DS CN MOI UP'!$B$10:$C$347,2,0)</f>
        <v>#N/A</v>
      </c>
      <c r="D309" s="1040" t="s">
        <v>506</v>
      </c>
      <c r="E309" s="1073"/>
      <c r="F309" s="1073"/>
      <c r="G309" s="1073"/>
      <c r="H309" s="1073"/>
      <c r="I309" s="1073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3"/>
      <c r="AF309" s="1073"/>
      <c r="AG309" s="1073"/>
      <c r="AH309" s="1073"/>
      <c r="AI309" s="1073"/>
      <c r="AJ309" s="1076">
        <f t="shared" ref="AJ309" si="20">SUM(E309:AI309)</f>
        <v>0</v>
      </c>
      <c r="AK309" s="1076">
        <f t="shared" ref="AK309" si="21">AJ309*$AN$6</f>
        <v>0</v>
      </c>
      <c r="AL309" s="635"/>
    </row>
    <row r="310" spans="1:39" s="51" customFormat="1" ht="19.149999999999999" customHeight="1" outlineLevel="1">
      <c r="A310" s="1025">
        <v>295</v>
      </c>
      <c r="B310" s="1025">
        <v>84</v>
      </c>
      <c r="C310" s="1025" t="e">
        <f>VLOOKUP(D310,'DS CN MOI UP'!$B$10:$C$347,2,0)</f>
        <v>#N/A</v>
      </c>
      <c r="D310" s="1040" t="s">
        <v>192</v>
      </c>
      <c r="E310" s="1073"/>
      <c r="F310" s="1073"/>
      <c r="G310" s="1073"/>
      <c r="H310" s="1073"/>
      <c r="I310" s="1073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73"/>
      <c r="AJ310" s="1076">
        <f t="shared" si="19"/>
        <v>0</v>
      </c>
      <c r="AK310" s="1076">
        <f t="shared" si="18"/>
        <v>0</v>
      </c>
      <c r="AL310" s="635"/>
    </row>
    <row r="311" spans="1:39" s="51" customFormat="1" ht="19.149999999999999" customHeight="1" outlineLevel="1">
      <c r="A311" s="1026" t="s">
        <v>522</v>
      </c>
      <c r="B311" s="1026"/>
      <c r="C311" s="1025" t="e">
        <f>VLOOKUP(D311,'DS CN MOI UP'!$B$10:$C$347,2,0)</f>
        <v>#N/A</v>
      </c>
      <c r="D311" s="1026"/>
      <c r="E311" s="1079"/>
      <c r="F311" s="1079"/>
      <c r="G311" s="1079"/>
      <c r="H311" s="1079"/>
      <c r="I311" s="1079"/>
      <c r="J311" s="1079"/>
      <c r="K311" s="1079"/>
      <c r="L311" s="1079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79"/>
      <c r="AE311" s="1079"/>
      <c r="AF311" s="1079"/>
      <c r="AG311" s="1079"/>
      <c r="AH311" s="1079"/>
      <c r="AI311" s="1079"/>
      <c r="AJ311" s="1079">
        <f>SUM(AJ312:AJ383)</f>
        <v>0</v>
      </c>
      <c r="AK311" s="1076">
        <f t="shared" si="18"/>
        <v>0</v>
      </c>
      <c r="AL311" s="1036"/>
      <c r="AM311" s="266"/>
    </row>
    <row r="312" spans="1:39" s="51" customFormat="1" ht="19.149999999999999" customHeight="1" outlineLevel="1">
      <c r="A312" s="1025">
        <v>296</v>
      </c>
      <c r="B312" s="1025">
        <v>1</v>
      </c>
      <c r="C312" s="1025" t="str">
        <f>VLOOKUP(D312,'DS CN MOI UP'!$B$10:$C$347,2,0)</f>
        <v>02615</v>
      </c>
      <c r="D312" s="1028" t="s">
        <v>206</v>
      </c>
      <c r="E312" s="1080"/>
      <c r="F312" s="1080"/>
      <c r="G312" s="1080"/>
      <c r="H312" s="1080"/>
      <c r="I312" s="1080"/>
      <c r="J312" s="1080"/>
      <c r="K312" s="1080"/>
      <c r="L312" s="1080"/>
      <c r="M312" s="1080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73"/>
      <c r="AJ312" s="1076">
        <f t="shared" si="19"/>
        <v>0</v>
      </c>
      <c r="AK312" s="1076">
        <f t="shared" si="18"/>
        <v>0</v>
      </c>
      <c r="AL312" s="635"/>
    </row>
    <row r="313" spans="1:39" s="51" customFormat="1" ht="19.149999999999999" customHeight="1" outlineLevel="1">
      <c r="A313" s="1025">
        <v>297</v>
      </c>
      <c r="B313" s="1025">
        <v>2</v>
      </c>
      <c r="C313" s="1025" t="str">
        <f>VLOOKUP(D313,'DS CN MOI UP'!$B$10:$C$347,2,0)</f>
        <v>02594</v>
      </c>
      <c r="D313" s="1028" t="s">
        <v>207</v>
      </c>
      <c r="E313" s="1080"/>
      <c r="F313" s="1080"/>
      <c r="G313" s="1080"/>
      <c r="H313" s="1080"/>
      <c r="I313" s="1080"/>
      <c r="J313" s="1080"/>
      <c r="K313" s="1080"/>
      <c r="L313" s="1080"/>
      <c r="M313" s="1080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73"/>
      <c r="AJ313" s="1076">
        <f t="shared" si="19"/>
        <v>0</v>
      </c>
      <c r="AK313" s="1076">
        <f t="shared" si="18"/>
        <v>0</v>
      </c>
      <c r="AL313" s="635"/>
    </row>
    <row r="314" spans="1:39" s="51" customFormat="1" ht="19.149999999999999" customHeight="1" outlineLevel="1">
      <c r="A314" s="1025">
        <v>298</v>
      </c>
      <c r="B314" s="1025">
        <v>3</v>
      </c>
      <c r="C314" s="1025" t="str">
        <f>VLOOKUP(D314,'DS CN MOI UP'!$B$10:$C$347,2,0)</f>
        <v>02596</v>
      </c>
      <c r="D314" s="1028" t="s">
        <v>208</v>
      </c>
      <c r="E314" s="1080"/>
      <c r="F314" s="1080"/>
      <c r="G314" s="1080"/>
      <c r="H314" s="1080"/>
      <c r="I314" s="1080"/>
      <c r="J314" s="1080"/>
      <c r="K314" s="1080"/>
      <c r="L314" s="1080"/>
      <c r="M314" s="1080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73"/>
      <c r="AJ314" s="1076">
        <f t="shared" si="19"/>
        <v>0</v>
      </c>
      <c r="AK314" s="1076">
        <f t="shared" si="18"/>
        <v>0</v>
      </c>
      <c r="AL314" s="635"/>
    </row>
    <row r="315" spans="1:39" s="51" customFormat="1" ht="19.149999999999999" customHeight="1" outlineLevel="1">
      <c r="A315" s="1025">
        <v>299</v>
      </c>
      <c r="B315" s="1025">
        <v>4</v>
      </c>
      <c r="C315" s="1025" t="str">
        <f>VLOOKUP(D315,'DS CN MOI UP'!$B$10:$C$347,2,0)</f>
        <v>02601</v>
      </c>
      <c r="D315" s="1028" t="s">
        <v>209</v>
      </c>
      <c r="E315" s="1080"/>
      <c r="F315" s="1080"/>
      <c r="G315" s="1080"/>
      <c r="H315" s="1080"/>
      <c r="I315" s="1080"/>
      <c r="J315" s="1080"/>
      <c r="K315" s="1080"/>
      <c r="L315" s="1080"/>
      <c r="M315" s="1080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73"/>
      <c r="AJ315" s="1076">
        <f t="shared" si="19"/>
        <v>0</v>
      </c>
      <c r="AK315" s="1076">
        <f t="shared" si="18"/>
        <v>0</v>
      </c>
      <c r="AL315" s="635"/>
    </row>
    <row r="316" spans="1:39" s="51" customFormat="1" ht="19.149999999999999" customHeight="1" outlineLevel="1">
      <c r="A316" s="1025">
        <v>300</v>
      </c>
      <c r="B316" s="1025">
        <v>5</v>
      </c>
      <c r="C316" s="1025" t="str">
        <f>VLOOKUP(D316,'DS CN MOI UP'!$B$10:$C$347,2,0)</f>
        <v>02697</v>
      </c>
      <c r="D316" s="1028" t="s">
        <v>210</v>
      </c>
      <c r="E316" s="1080"/>
      <c r="F316" s="1080"/>
      <c r="G316" s="1080"/>
      <c r="H316" s="1080"/>
      <c r="I316" s="1080"/>
      <c r="J316" s="1080"/>
      <c r="K316" s="1080"/>
      <c r="L316" s="1080"/>
      <c r="M316" s="1080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73"/>
      <c r="AJ316" s="1076">
        <f t="shared" si="19"/>
        <v>0</v>
      </c>
      <c r="AK316" s="1076">
        <f t="shared" si="18"/>
        <v>0</v>
      </c>
      <c r="AL316" s="635"/>
    </row>
    <row r="317" spans="1:39" s="51" customFormat="1" ht="19.149999999999999" customHeight="1" outlineLevel="1">
      <c r="A317" s="1025">
        <v>301</v>
      </c>
      <c r="B317" s="1025">
        <v>6</v>
      </c>
      <c r="C317" s="1025" t="str">
        <f>VLOOKUP(D317,'DS CN MOI UP'!$B$10:$C$347,2,0)</f>
        <v>02610</v>
      </c>
      <c r="D317" s="1028" t="s">
        <v>211</v>
      </c>
      <c r="E317" s="1080"/>
      <c r="F317" s="1080"/>
      <c r="G317" s="1080"/>
      <c r="H317" s="1080"/>
      <c r="I317" s="1080"/>
      <c r="J317" s="1080"/>
      <c r="K317" s="1080"/>
      <c r="L317" s="1080"/>
      <c r="M317" s="1080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73"/>
      <c r="AJ317" s="1076">
        <f t="shared" si="19"/>
        <v>0</v>
      </c>
      <c r="AK317" s="1076">
        <f t="shared" si="18"/>
        <v>0</v>
      </c>
      <c r="AL317" s="635"/>
    </row>
    <row r="318" spans="1:39" s="51" customFormat="1" ht="19.149999999999999" customHeight="1" outlineLevel="1">
      <c r="A318" s="1025">
        <v>302</v>
      </c>
      <c r="B318" s="1025">
        <v>7</v>
      </c>
      <c r="C318" s="1025" t="str">
        <f>VLOOKUP(D318,'DS CN MOI UP'!$B$10:$C$347,2,0)</f>
        <v>02611</v>
      </c>
      <c r="D318" s="1028" t="s">
        <v>212</v>
      </c>
      <c r="E318" s="1080"/>
      <c r="F318" s="1080"/>
      <c r="G318" s="1080"/>
      <c r="H318" s="1080"/>
      <c r="I318" s="1080"/>
      <c r="J318" s="1080"/>
      <c r="K318" s="1080"/>
      <c r="L318" s="1080"/>
      <c r="M318" s="1080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73"/>
      <c r="AJ318" s="1076">
        <f t="shared" si="19"/>
        <v>0</v>
      </c>
      <c r="AK318" s="1076">
        <f t="shared" si="18"/>
        <v>0</v>
      </c>
      <c r="AL318" s="635"/>
    </row>
    <row r="319" spans="1:39" s="51" customFormat="1" ht="19.149999999999999" customHeight="1" outlineLevel="1">
      <c r="A319" s="1025">
        <v>303</v>
      </c>
      <c r="B319" s="1025">
        <v>8</v>
      </c>
      <c r="C319" s="1025" t="str">
        <f>VLOOKUP(D319,'DS CN MOI UP'!$B$10:$C$347,2,0)</f>
        <v>02602</v>
      </c>
      <c r="D319" s="1028" t="s">
        <v>213</v>
      </c>
      <c r="E319" s="1080"/>
      <c r="F319" s="1080"/>
      <c r="G319" s="1080"/>
      <c r="H319" s="1080"/>
      <c r="I319" s="1080"/>
      <c r="J319" s="1080"/>
      <c r="K319" s="1080"/>
      <c r="L319" s="1080"/>
      <c r="M319" s="1080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73"/>
      <c r="AJ319" s="1076">
        <f t="shared" si="19"/>
        <v>0</v>
      </c>
      <c r="AK319" s="1076">
        <f t="shared" si="18"/>
        <v>0</v>
      </c>
      <c r="AL319" s="635"/>
    </row>
    <row r="320" spans="1:39" s="51" customFormat="1" ht="19.149999999999999" customHeight="1" outlineLevel="1">
      <c r="A320" s="1025">
        <v>304</v>
      </c>
      <c r="B320" s="1025">
        <v>9</v>
      </c>
      <c r="C320" s="1025" t="str">
        <f>VLOOKUP(D320,'DS CN MOI UP'!$B$10:$C$347,2,0)</f>
        <v>02609</v>
      </c>
      <c r="D320" s="1028" t="s">
        <v>214</v>
      </c>
      <c r="E320" s="1080"/>
      <c r="F320" s="1080"/>
      <c r="G320" s="1080"/>
      <c r="H320" s="1080"/>
      <c r="I320" s="1080"/>
      <c r="J320" s="1080"/>
      <c r="K320" s="1080"/>
      <c r="L320" s="1080"/>
      <c r="M320" s="1080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73"/>
      <c r="AJ320" s="1076">
        <f t="shared" si="19"/>
        <v>0</v>
      </c>
      <c r="AK320" s="1076">
        <f t="shared" si="18"/>
        <v>0</v>
      </c>
      <c r="AL320" s="635"/>
    </row>
    <row r="321" spans="1:38" s="51" customFormat="1" ht="19.149999999999999" customHeight="1" outlineLevel="1">
      <c r="A321" s="1025">
        <v>305</v>
      </c>
      <c r="B321" s="1025">
        <v>10</v>
      </c>
      <c r="C321" s="1025" t="str">
        <f>VLOOKUP(D321,'DS CN MOI UP'!$B$10:$C$347,2,0)</f>
        <v>02569</v>
      </c>
      <c r="D321" s="1028" t="s">
        <v>215</v>
      </c>
      <c r="E321" s="1080"/>
      <c r="F321" s="1080"/>
      <c r="G321" s="1080"/>
      <c r="H321" s="1080"/>
      <c r="I321" s="1080"/>
      <c r="J321" s="1080"/>
      <c r="K321" s="1080"/>
      <c r="L321" s="1080"/>
      <c r="M321" s="1080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73"/>
      <c r="AJ321" s="1076">
        <f t="shared" si="19"/>
        <v>0</v>
      </c>
      <c r="AK321" s="1076">
        <f t="shared" si="18"/>
        <v>0</v>
      </c>
      <c r="AL321" s="635"/>
    </row>
    <row r="322" spans="1:38" s="51" customFormat="1" ht="19.149999999999999" customHeight="1" outlineLevel="1">
      <c r="A322" s="1025">
        <v>306</v>
      </c>
      <c r="B322" s="1025">
        <v>11</v>
      </c>
      <c r="C322" s="1025" t="str">
        <f>VLOOKUP(D322,'DS CN MOI UP'!$B$10:$C$347,2,0)</f>
        <v>02583</v>
      </c>
      <c r="D322" s="1028" t="s">
        <v>216</v>
      </c>
      <c r="E322" s="1080"/>
      <c r="F322" s="1080"/>
      <c r="G322" s="1080"/>
      <c r="H322" s="1080"/>
      <c r="I322" s="1080"/>
      <c r="J322" s="1080"/>
      <c r="K322" s="1080"/>
      <c r="L322" s="1080"/>
      <c r="M322" s="1080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73"/>
      <c r="AJ322" s="1076">
        <f t="shared" si="19"/>
        <v>0</v>
      </c>
      <c r="AK322" s="1076">
        <f t="shared" si="18"/>
        <v>0</v>
      </c>
      <c r="AL322" s="635"/>
    </row>
    <row r="323" spans="1:38" s="51" customFormat="1" ht="19.149999999999999" customHeight="1" outlineLevel="1">
      <c r="A323" s="1025">
        <v>307</v>
      </c>
      <c r="B323" s="1025">
        <v>12</v>
      </c>
      <c r="C323" s="1025" t="str">
        <f>VLOOKUP(D323,'DS CN MOI UP'!$B$10:$C$347,2,0)</f>
        <v>02604</v>
      </c>
      <c r="D323" s="1028" t="s">
        <v>217</v>
      </c>
      <c r="E323" s="1080"/>
      <c r="F323" s="1080"/>
      <c r="G323" s="1080"/>
      <c r="H323" s="1080"/>
      <c r="I323" s="1080"/>
      <c r="J323" s="1080"/>
      <c r="K323" s="1080"/>
      <c r="L323" s="1080"/>
      <c r="M323" s="1080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73"/>
      <c r="AJ323" s="1076">
        <f t="shared" si="19"/>
        <v>0</v>
      </c>
      <c r="AK323" s="1076">
        <f t="shared" si="18"/>
        <v>0</v>
      </c>
      <c r="AL323" s="635"/>
    </row>
    <row r="324" spans="1:38" s="51" customFormat="1" ht="19.149999999999999" customHeight="1" outlineLevel="1">
      <c r="A324" s="1025">
        <v>308</v>
      </c>
      <c r="B324" s="1025">
        <v>13</v>
      </c>
      <c r="C324" s="1025" t="str">
        <f>VLOOKUP(D324,'DS CN MOI UP'!$B$10:$C$347,2,0)</f>
        <v>02600</v>
      </c>
      <c r="D324" s="1028" t="s">
        <v>218</v>
      </c>
      <c r="E324" s="1080"/>
      <c r="F324" s="1080"/>
      <c r="G324" s="1080"/>
      <c r="H324" s="1080"/>
      <c r="I324" s="1080"/>
      <c r="J324" s="1080"/>
      <c r="K324" s="1080"/>
      <c r="L324" s="1080"/>
      <c r="M324" s="1080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73"/>
      <c r="AJ324" s="1076">
        <f t="shared" si="19"/>
        <v>0</v>
      </c>
      <c r="AK324" s="1076">
        <f t="shared" si="18"/>
        <v>0</v>
      </c>
      <c r="AL324" s="635"/>
    </row>
    <row r="325" spans="1:38" s="51" customFormat="1" ht="19.149999999999999" customHeight="1" outlineLevel="1">
      <c r="A325" s="1025">
        <v>309</v>
      </c>
      <c r="B325" s="1025">
        <v>14</v>
      </c>
      <c r="C325" s="1025" t="str">
        <f>VLOOKUP(D325,'DS CN MOI UP'!$B$10:$C$347,2,0)</f>
        <v>03382</v>
      </c>
      <c r="D325" s="1028" t="s">
        <v>219</v>
      </c>
      <c r="E325" s="1080"/>
      <c r="F325" s="1080"/>
      <c r="G325" s="1080"/>
      <c r="H325" s="1080"/>
      <c r="I325" s="1080"/>
      <c r="J325" s="1080"/>
      <c r="K325" s="1080"/>
      <c r="L325" s="1080"/>
      <c r="M325" s="1080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3"/>
      <c r="AF325" s="1073"/>
      <c r="AG325" s="1073"/>
      <c r="AH325" s="1073"/>
      <c r="AI325" s="1073"/>
      <c r="AJ325" s="1076">
        <f t="shared" si="19"/>
        <v>0</v>
      </c>
      <c r="AK325" s="1076">
        <f t="shared" si="18"/>
        <v>0</v>
      </c>
      <c r="AL325" s="635"/>
    </row>
    <row r="326" spans="1:38" s="51" customFormat="1" ht="19.149999999999999" customHeight="1" outlineLevel="1">
      <c r="A326" s="1025">
        <v>310</v>
      </c>
      <c r="B326" s="1025">
        <v>15</v>
      </c>
      <c r="C326" s="1025" t="str">
        <f>VLOOKUP(D326,'DS CN MOI UP'!$B$10:$C$347,2,0)</f>
        <v>02571</v>
      </c>
      <c r="D326" s="1028" t="s">
        <v>220</v>
      </c>
      <c r="E326" s="1080"/>
      <c r="F326" s="1080"/>
      <c r="G326" s="1080"/>
      <c r="H326" s="1080"/>
      <c r="I326" s="1080"/>
      <c r="J326" s="1080"/>
      <c r="K326" s="1080"/>
      <c r="L326" s="1080"/>
      <c r="M326" s="1080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73"/>
      <c r="AJ326" s="1076">
        <f t="shared" si="19"/>
        <v>0</v>
      </c>
      <c r="AK326" s="1076">
        <f t="shared" si="18"/>
        <v>0</v>
      </c>
      <c r="AL326" s="635"/>
    </row>
    <row r="327" spans="1:38" s="51" customFormat="1" ht="19.149999999999999" customHeight="1" outlineLevel="1">
      <c r="A327" s="1025">
        <v>311</v>
      </c>
      <c r="B327" s="1025">
        <v>16</v>
      </c>
      <c r="C327" s="1025" t="str">
        <f>VLOOKUP(D327,'DS CN MOI UP'!$B$10:$C$347,2,0)</f>
        <v>02570</v>
      </c>
      <c r="D327" s="1028" t="s">
        <v>221</v>
      </c>
      <c r="E327" s="1080"/>
      <c r="F327" s="1080"/>
      <c r="G327" s="1080"/>
      <c r="H327" s="1080"/>
      <c r="I327" s="1080"/>
      <c r="J327" s="1080"/>
      <c r="K327" s="1080"/>
      <c r="L327" s="1080"/>
      <c r="M327" s="1080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73"/>
      <c r="AJ327" s="1076">
        <f t="shared" si="19"/>
        <v>0</v>
      </c>
      <c r="AK327" s="1076">
        <f t="shared" si="18"/>
        <v>0</v>
      </c>
      <c r="AL327" s="635"/>
    </row>
    <row r="328" spans="1:38" s="51" customFormat="1" ht="19.149999999999999" customHeight="1" outlineLevel="1">
      <c r="A328" s="1025">
        <v>312</v>
      </c>
      <c r="B328" s="1025">
        <v>17</v>
      </c>
      <c r="C328" s="1025" t="str">
        <f>VLOOKUP(D328,'DS CN MOI UP'!$B$10:$C$347,2,0)</f>
        <v>02573</v>
      </c>
      <c r="D328" s="1028" t="s">
        <v>222</v>
      </c>
      <c r="E328" s="1080"/>
      <c r="F328" s="1080"/>
      <c r="G328" s="1080"/>
      <c r="H328" s="1080"/>
      <c r="I328" s="1080"/>
      <c r="J328" s="1080"/>
      <c r="K328" s="1080"/>
      <c r="L328" s="1080"/>
      <c r="M328" s="1080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73"/>
      <c r="AJ328" s="1076">
        <f t="shared" si="19"/>
        <v>0</v>
      </c>
      <c r="AK328" s="1076">
        <f t="shared" si="18"/>
        <v>0</v>
      </c>
      <c r="AL328" s="635"/>
    </row>
    <row r="329" spans="1:38" s="51" customFormat="1" ht="19.149999999999999" customHeight="1" outlineLevel="1">
      <c r="A329" s="1025">
        <v>313</v>
      </c>
      <c r="B329" s="1025">
        <v>18</v>
      </c>
      <c r="C329" s="1025" t="str">
        <f>VLOOKUP(D329,'DS CN MOI UP'!$B$10:$C$347,2,0)</f>
        <v>02695</v>
      </c>
      <c r="D329" s="1028" t="s">
        <v>223</v>
      </c>
      <c r="E329" s="1080"/>
      <c r="F329" s="1080"/>
      <c r="G329" s="1080"/>
      <c r="H329" s="1080"/>
      <c r="I329" s="1080"/>
      <c r="J329" s="1080"/>
      <c r="K329" s="1080"/>
      <c r="L329" s="1080"/>
      <c r="M329" s="1080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73"/>
      <c r="AJ329" s="1076">
        <f t="shared" si="19"/>
        <v>0</v>
      </c>
      <c r="AK329" s="1076">
        <f t="shared" si="18"/>
        <v>0</v>
      </c>
      <c r="AL329" s="635"/>
    </row>
    <row r="330" spans="1:38" s="51" customFormat="1" ht="19.149999999999999" customHeight="1" outlineLevel="1">
      <c r="A330" s="1025">
        <v>314</v>
      </c>
      <c r="B330" s="1025">
        <v>19</v>
      </c>
      <c r="C330" s="1025" t="str">
        <f>VLOOKUP(D330,'DS CN MOI UP'!$B$10:$C$347,2,0)</f>
        <v>02599</v>
      </c>
      <c r="D330" s="1028" t="s">
        <v>224</v>
      </c>
      <c r="E330" s="1080"/>
      <c r="F330" s="1080"/>
      <c r="G330" s="1080"/>
      <c r="H330" s="1080"/>
      <c r="I330" s="1080"/>
      <c r="J330" s="1080"/>
      <c r="K330" s="1080"/>
      <c r="L330" s="1080"/>
      <c r="M330" s="1080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73"/>
      <c r="AJ330" s="1076">
        <f t="shared" si="19"/>
        <v>0</v>
      </c>
      <c r="AK330" s="1076">
        <f t="shared" si="18"/>
        <v>0</v>
      </c>
      <c r="AL330" s="635"/>
    </row>
    <row r="331" spans="1:38" s="51" customFormat="1" ht="19.149999999999999" customHeight="1" outlineLevel="1">
      <c r="A331" s="1025">
        <v>315</v>
      </c>
      <c r="B331" s="1025">
        <v>20</v>
      </c>
      <c r="C331" s="1025" t="str">
        <f>VLOOKUP(D331,'DS CN MOI UP'!$B$10:$C$347,2,0)</f>
        <v>03383</v>
      </c>
      <c r="D331" s="1028" t="s">
        <v>225</v>
      </c>
      <c r="E331" s="1080"/>
      <c r="F331" s="1080"/>
      <c r="G331" s="1080"/>
      <c r="H331" s="1080"/>
      <c r="I331" s="1080"/>
      <c r="J331" s="1080"/>
      <c r="K331" s="1080"/>
      <c r="L331" s="1080"/>
      <c r="M331" s="1080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73"/>
      <c r="AJ331" s="1076">
        <f t="shared" si="19"/>
        <v>0</v>
      </c>
      <c r="AK331" s="1076">
        <f t="shared" si="18"/>
        <v>0</v>
      </c>
      <c r="AL331" s="635"/>
    </row>
    <row r="332" spans="1:38" s="51" customFormat="1" ht="19.149999999999999" customHeight="1" outlineLevel="1">
      <c r="A332" s="1025">
        <v>316</v>
      </c>
      <c r="B332" s="1025">
        <v>21</v>
      </c>
      <c r="C332" s="1025" t="str">
        <f>VLOOKUP(D332,'DS CN MOI UP'!$B$10:$C$347,2,0)</f>
        <v>03384</v>
      </c>
      <c r="D332" s="1028" t="s">
        <v>226</v>
      </c>
      <c r="E332" s="1080"/>
      <c r="F332" s="1080"/>
      <c r="G332" s="1080"/>
      <c r="H332" s="1080"/>
      <c r="I332" s="1080"/>
      <c r="J332" s="1080"/>
      <c r="K332" s="1080"/>
      <c r="L332" s="1080"/>
      <c r="M332" s="1080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73"/>
      <c r="AJ332" s="1076">
        <f t="shared" si="19"/>
        <v>0</v>
      </c>
      <c r="AK332" s="1076">
        <f t="shared" ref="AK332:AK395" si="22">AJ332*$AN$6</f>
        <v>0</v>
      </c>
      <c r="AL332" s="635"/>
    </row>
    <row r="333" spans="1:38" s="51" customFormat="1" ht="19.149999999999999" customHeight="1" outlineLevel="1">
      <c r="A333" s="1025">
        <v>317</v>
      </c>
      <c r="B333" s="1025">
        <v>22</v>
      </c>
      <c r="C333" s="1025" t="str">
        <f>VLOOKUP(D333,'DS CN MOI UP'!$B$10:$C$347,2,0)</f>
        <v>02608</v>
      </c>
      <c r="D333" s="1028" t="s">
        <v>227</v>
      </c>
      <c r="E333" s="1080"/>
      <c r="F333" s="1080"/>
      <c r="G333" s="1080"/>
      <c r="H333" s="1080"/>
      <c r="I333" s="1080"/>
      <c r="J333" s="1080"/>
      <c r="K333" s="1080"/>
      <c r="L333" s="1080"/>
      <c r="M333" s="1080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73"/>
      <c r="AJ333" s="1076">
        <f t="shared" si="19"/>
        <v>0</v>
      </c>
      <c r="AK333" s="1076">
        <f t="shared" si="22"/>
        <v>0</v>
      </c>
      <c r="AL333" s="635"/>
    </row>
    <row r="334" spans="1:38" s="51" customFormat="1" ht="19.149999999999999" customHeight="1" outlineLevel="1">
      <c r="A334" s="1025">
        <v>318</v>
      </c>
      <c r="B334" s="1025">
        <v>23</v>
      </c>
      <c r="C334" s="1025" t="str">
        <f>VLOOKUP(D334,'DS CN MOI UP'!$B$10:$C$347,2,0)</f>
        <v>02603</v>
      </c>
      <c r="D334" s="1028" t="s">
        <v>228</v>
      </c>
      <c r="E334" s="1080"/>
      <c r="F334" s="1080"/>
      <c r="G334" s="1080"/>
      <c r="H334" s="1080"/>
      <c r="I334" s="1080"/>
      <c r="J334" s="1080"/>
      <c r="K334" s="1080"/>
      <c r="L334" s="1080"/>
      <c r="M334" s="1080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73"/>
      <c r="AJ334" s="1076">
        <f t="shared" si="19"/>
        <v>0</v>
      </c>
      <c r="AK334" s="1076">
        <f t="shared" si="22"/>
        <v>0</v>
      </c>
      <c r="AL334" s="635"/>
    </row>
    <row r="335" spans="1:38" s="51" customFormat="1" ht="19.149999999999999" customHeight="1" outlineLevel="1">
      <c r="A335" s="1025">
        <v>319</v>
      </c>
      <c r="B335" s="1025">
        <v>24</v>
      </c>
      <c r="C335" s="1025" t="str">
        <f>VLOOKUP(D335,'DS CN MOI UP'!$B$10:$C$347,2,0)</f>
        <v>03385</v>
      </c>
      <c r="D335" s="1028" t="s">
        <v>229</v>
      </c>
      <c r="E335" s="1080"/>
      <c r="F335" s="1080"/>
      <c r="G335" s="1080"/>
      <c r="H335" s="1080"/>
      <c r="I335" s="1080"/>
      <c r="J335" s="1080"/>
      <c r="K335" s="1080"/>
      <c r="L335" s="1080"/>
      <c r="M335" s="1080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73"/>
      <c r="AJ335" s="1076">
        <f t="shared" si="19"/>
        <v>0</v>
      </c>
      <c r="AK335" s="1076">
        <f t="shared" si="22"/>
        <v>0</v>
      </c>
      <c r="AL335" s="635"/>
    </row>
    <row r="336" spans="1:38" s="51" customFormat="1" ht="19.149999999999999" customHeight="1" outlineLevel="1">
      <c r="A336" s="1025">
        <v>320</v>
      </c>
      <c r="B336" s="1025">
        <v>25</v>
      </c>
      <c r="C336" s="1025" t="str">
        <f>VLOOKUP(D336,'DS CN MOI UP'!$B$10:$C$347,2,0)</f>
        <v>02586</v>
      </c>
      <c r="D336" s="1028" t="s">
        <v>230</v>
      </c>
      <c r="E336" s="1080"/>
      <c r="F336" s="1080"/>
      <c r="G336" s="1080"/>
      <c r="H336" s="1080"/>
      <c r="I336" s="1080"/>
      <c r="J336" s="1080"/>
      <c r="K336" s="1080"/>
      <c r="L336" s="1080"/>
      <c r="M336" s="1080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73"/>
      <c r="AJ336" s="1076">
        <f t="shared" si="19"/>
        <v>0</v>
      </c>
      <c r="AK336" s="1076">
        <f t="shared" si="22"/>
        <v>0</v>
      </c>
      <c r="AL336" s="635"/>
    </row>
    <row r="337" spans="1:38" s="51" customFormat="1" ht="19.149999999999999" customHeight="1" outlineLevel="1">
      <c r="A337" s="1025">
        <v>321</v>
      </c>
      <c r="B337" s="1025">
        <v>26</v>
      </c>
      <c r="C337" s="1025" t="str">
        <f>VLOOKUP(D337,'DS CN MOI UP'!$B$10:$C$347,2,0)</f>
        <v>02614</v>
      </c>
      <c r="D337" s="1028" t="s">
        <v>231</v>
      </c>
      <c r="E337" s="1080"/>
      <c r="F337" s="1080"/>
      <c r="G337" s="1080"/>
      <c r="H337" s="1080"/>
      <c r="I337" s="1080"/>
      <c r="J337" s="1080"/>
      <c r="K337" s="1080"/>
      <c r="L337" s="1080"/>
      <c r="M337" s="1080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73"/>
      <c r="AJ337" s="1076">
        <f t="shared" si="19"/>
        <v>0</v>
      </c>
      <c r="AK337" s="1076">
        <f t="shared" si="22"/>
        <v>0</v>
      </c>
      <c r="AL337" s="635"/>
    </row>
    <row r="338" spans="1:38" s="51" customFormat="1" ht="19.149999999999999" customHeight="1" outlineLevel="1">
      <c r="A338" s="1025">
        <v>322</v>
      </c>
      <c r="B338" s="1025">
        <v>27</v>
      </c>
      <c r="C338" s="1025" t="str">
        <f>VLOOKUP(D338,'DS CN MOI UP'!$B$10:$C$347,2,0)</f>
        <v>02581</v>
      </c>
      <c r="D338" s="1028" t="s">
        <v>232</v>
      </c>
      <c r="E338" s="1080"/>
      <c r="F338" s="1080"/>
      <c r="G338" s="1080"/>
      <c r="H338" s="1080"/>
      <c r="I338" s="1080"/>
      <c r="J338" s="1080"/>
      <c r="K338" s="1080"/>
      <c r="L338" s="1080"/>
      <c r="M338" s="1080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73"/>
      <c r="AJ338" s="1076">
        <f t="shared" si="19"/>
        <v>0</v>
      </c>
      <c r="AK338" s="1076">
        <f t="shared" si="22"/>
        <v>0</v>
      </c>
      <c r="AL338" s="635"/>
    </row>
    <row r="339" spans="1:38" s="51" customFormat="1" ht="19.149999999999999" customHeight="1" outlineLevel="1">
      <c r="A339" s="1025">
        <v>323</v>
      </c>
      <c r="B339" s="1025">
        <v>28</v>
      </c>
      <c r="C339" s="1025" t="str">
        <f>VLOOKUP(D339,'DS CN MOI UP'!$B$10:$C$347,2,0)</f>
        <v>02613</v>
      </c>
      <c r="D339" s="1028" t="s">
        <v>233</v>
      </c>
      <c r="E339" s="1080"/>
      <c r="F339" s="1080"/>
      <c r="G339" s="1080"/>
      <c r="H339" s="1080"/>
      <c r="I339" s="1080"/>
      <c r="J339" s="1080"/>
      <c r="K339" s="1080"/>
      <c r="L339" s="1080"/>
      <c r="M339" s="1080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73"/>
      <c r="AJ339" s="1076">
        <f t="shared" si="19"/>
        <v>0</v>
      </c>
      <c r="AK339" s="1076">
        <f t="shared" si="22"/>
        <v>0</v>
      </c>
      <c r="AL339" s="635"/>
    </row>
    <row r="340" spans="1:38" s="51" customFormat="1" ht="19.149999999999999" customHeight="1" outlineLevel="1">
      <c r="A340" s="1025">
        <v>324</v>
      </c>
      <c r="B340" s="1025">
        <v>29</v>
      </c>
      <c r="C340" s="1025" t="str">
        <f>VLOOKUP(D340,'DS CN MOI UP'!$B$10:$C$347,2,0)</f>
        <v>03386</v>
      </c>
      <c r="D340" s="1028" t="s">
        <v>234</v>
      </c>
      <c r="E340" s="1080"/>
      <c r="F340" s="1080"/>
      <c r="G340" s="1080"/>
      <c r="H340" s="1080"/>
      <c r="I340" s="1080"/>
      <c r="J340" s="1080"/>
      <c r="K340" s="1080"/>
      <c r="L340" s="1080"/>
      <c r="M340" s="1080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73"/>
      <c r="AJ340" s="1076">
        <f t="shared" si="19"/>
        <v>0</v>
      </c>
      <c r="AK340" s="1076">
        <f t="shared" si="22"/>
        <v>0</v>
      </c>
      <c r="AL340" s="635"/>
    </row>
    <row r="341" spans="1:38" s="51" customFormat="1" ht="19.149999999999999" customHeight="1" outlineLevel="1">
      <c r="A341" s="1025">
        <v>325</v>
      </c>
      <c r="B341" s="1025">
        <v>30</v>
      </c>
      <c r="C341" s="1025" t="str">
        <f>VLOOKUP(D341,'DS CN MOI UP'!$B$10:$C$347,2,0)</f>
        <v>03387</v>
      </c>
      <c r="D341" s="1028" t="s">
        <v>235</v>
      </c>
      <c r="E341" s="1080"/>
      <c r="F341" s="1080"/>
      <c r="G341" s="1080"/>
      <c r="H341" s="1080"/>
      <c r="I341" s="1080"/>
      <c r="J341" s="1080"/>
      <c r="K341" s="1080"/>
      <c r="L341" s="1080"/>
      <c r="M341" s="1080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73"/>
      <c r="AJ341" s="1076">
        <f t="shared" si="19"/>
        <v>0</v>
      </c>
      <c r="AK341" s="1076">
        <f t="shared" si="22"/>
        <v>0</v>
      </c>
      <c r="AL341" s="635"/>
    </row>
    <row r="342" spans="1:38" s="51" customFormat="1" ht="19.149999999999999" customHeight="1" outlineLevel="1">
      <c r="A342" s="1025">
        <v>326</v>
      </c>
      <c r="B342" s="1025">
        <v>31</v>
      </c>
      <c r="C342" s="1025" t="str">
        <f>VLOOKUP(D342,'DS CN MOI UP'!$B$10:$C$347,2,0)</f>
        <v>03388</v>
      </c>
      <c r="D342" s="1028" t="s">
        <v>236</v>
      </c>
      <c r="E342" s="1080"/>
      <c r="F342" s="1080"/>
      <c r="G342" s="1080"/>
      <c r="H342" s="1080"/>
      <c r="I342" s="1080"/>
      <c r="J342" s="1080"/>
      <c r="K342" s="1080"/>
      <c r="L342" s="1080"/>
      <c r="M342" s="1080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73"/>
      <c r="AJ342" s="1076">
        <f t="shared" si="19"/>
        <v>0</v>
      </c>
      <c r="AK342" s="1076">
        <f t="shared" si="22"/>
        <v>0</v>
      </c>
      <c r="AL342" s="635"/>
    </row>
    <row r="343" spans="1:38" s="51" customFormat="1" ht="19.149999999999999" customHeight="1" outlineLevel="1">
      <c r="A343" s="1025">
        <v>327</v>
      </c>
      <c r="B343" s="1025">
        <v>32</v>
      </c>
      <c r="C343" s="1025" t="str">
        <f>VLOOKUP(D343,'DS CN MOI UP'!$B$10:$C$347,2,0)</f>
        <v>03389</v>
      </c>
      <c r="D343" s="1028" t="s">
        <v>237</v>
      </c>
      <c r="E343" s="1080"/>
      <c r="F343" s="1080"/>
      <c r="G343" s="1080"/>
      <c r="H343" s="1080"/>
      <c r="I343" s="1080"/>
      <c r="J343" s="1080"/>
      <c r="K343" s="1080"/>
      <c r="L343" s="1080"/>
      <c r="M343" s="1080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73"/>
      <c r="AJ343" s="1076">
        <f t="shared" si="19"/>
        <v>0</v>
      </c>
      <c r="AK343" s="1076">
        <f t="shared" si="22"/>
        <v>0</v>
      </c>
      <c r="AL343" s="635"/>
    </row>
    <row r="344" spans="1:38" s="51" customFormat="1" ht="19.149999999999999" customHeight="1" outlineLevel="1">
      <c r="A344" s="1025">
        <v>328</v>
      </c>
      <c r="B344" s="1025">
        <v>33</v>
      </c>
      <c r="C344" s="1025" t="str">
        <f>VLOOKUP(D344,'DS CN MOI UP'!$B$10:$C$347,2,0)</f>
        <v>03390</v>
      </c>
      <c r="D344" s="1028" t="s">
        <v>238</v>
      </c>
      <c r="E344" s="1080"/>
      <c r="F344" s="1080"/>
      <c r="G344" s="1080"/>
      <c r="H344" s="1080"/>
      <c r="I344" s="1080"/>
      <c r="J344" s="1080"/>
      <c r="K344" s="1080"/>
      <c r="L344" s="1080"/>
      <c r="M344" s="1080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73"/>
      <c r="AJ344" s="1076">
        <f t="shared" si="19"/>
        <v>0</v>
      </c>
      <c r="AK344" s="1076">
        <f t="shared" si="22"/>
        <v>0</v>
      </c>
      <c r="AL344" s="635"/>
    </row>
    <row r="345" spans="1:38" s="51" customFormat="1" ht="19.149999999999999" customHeight="1" outlineLevel="1">
      <c r="A345" s="1025">
        <v>329</v>
      </c>
      <c r="B345" s="1025">
        <v>34</v>
      </c>
      <c r="C345" s="1025" t="str">
        <f>VLOOKUP(D345,'DS CN MOI UP'!$B$10:$C$347,2,0)</f>
        <v>03391</v>
      </c>
      <c r="D345" s="1028" t="s">
        <v>239</v>
      </c>
      <c r="E345" s="1080"/>
      <c r="F345" s="1080"/>
      <c r="G345" s="1080"/>
      <c r="H345" s="1080"/>
      <c r="I345" s="1080"/>
      <c r="J345" s="1080"/>
      <c r="K345" s="1080"/>
      <c r="L345" s="1080"/>
      <c r="M345" s="1080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73"/>
      <c r="AJ345" s="1076">
        <f t="shared" si="19"/>
        <v>0</v>
      </c>
      <c r="AK345" s="1076">
        <f t="shared" si="22"/>
        <v>0</v>
      </c>
      <c r="AL345" s="635"/>
    </row>
    <row r="346" spans="1:38" s="51" customFormat="1" ht="19.149999999999999" customHeight="1" outlineLevel="1">
      <c r="A346" s="1025">
        <v>330</v>
      </c>
      <c r="B346" s="1025">
        <v>35</v>
      </c>
      <c r="C346" s="1025" t="str">
        <f>VLOOKUP(D346,'DS CN MOI UP'!$B$10:$C$347,2,0)</f>
        <v>02589</v>
      </c>
      <c r="D346" s="1028" t="s">
        <v>240</v>
      </c>
      <c r="E346" s="1080"/>
      <c r="F346" s="1080"/>
      <c r="G346" s="1080"/>
      <c r="H346" s="1080"/>
      <c r="I346" s="1080"/>
      <c r="J346" s="1080"/>
      <c r="K346" s="1080"/>
      <c r="L346" s="1080"/>
      <c r="M346" s="1080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73"/>
      <c r="AJ346" s="1076">
        <f t="shared" si="19"/>
        <v>0</v>
      </c>
      <c r="AK346" s="1076">
        <f t="shared" si="22"/>
        <v>0</v>
      </c>
      <c r="AL346" s="635"/>
    </row>
    <row r="347" spans="1:38" s="51" customFormat="1" ht="19.149999999999999" customHeight="1" outlineLevel="1">
      <c r="A347" s="1025">
        <v>331</v>
      </c>
      <c r="B347" s="1025">
        <v>36</v>
      </c>
      <c r="C347" s="1025" t="str">
        <f>VLOOKUP(D347,'DS CN MOI UP'!$B$10:$C$347,2,0)</f>
        <v>03392</v>
      </c>
      <c r="D347" s="1028" t="s">
        <v>241</v>
      </c>
      <c r="E347" s="1080"/>
      <c r="F347" s="1080"/>
      <c r="G347" s="1080"/>
      <c r="H347" s="1080"/>
      <c r="I347" s="1080"/>
      <c r="J347" s="1080"/>
      <c r="K347" s="1080"/>
      <c r="L347" s="1080"/>
      <c r="M347" s="1080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73"/>
      <c r="AJ347" s="1076">
        <f t="shared" si="19"/>
        <v>0</v>
      </c>
      <c r="AK347" s="1076">
        <f t="shared" si="22"/>
        <v>0</v>
      </c>
      <c r="AL347" s="635"/>
    </row>
    <row r="348" spans="1:38" s="51" customFormat="1" ht="19.149999999999999" customHeight="1" outlineLevel="1">
      <c r="A348" s="1025">
        <v>332</v>
      </c>
      <c r="B348" s="1025">
        <v>37</v>
      </c>
      <c r="C348" s="1025" t="str">
        <f>VLOOKUP(D348,'DS CN MOI UP'!$B$10:$C$347,2,0)</f>
        <v>03393</v>
      </c>
      <c r="D348" s="1028" t="s">
        <v>242</v>
      </c>
      <c r="E348" s="1080"/>
      <c r="F348" s="1080"/>
      <c r="G348" s="1080"/>
      <c r="H348" s="1080"/>
      <c r="I348" s="1080"/>
      <c r="J348" s="1080"/>
      <c r="K348" s="1080"/>
      <c r="L348" s="1080"/>
      <c r="M348" s="1080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73"/>
      <c r="AJ348" s="1076">
        <f t="shared" si="19"/>
        <v>0</v>
      </c>
      <c r="AK348" s="1076">
        <f t="shared" si="22"/>
        <v>0</v>
      </c>
      <c r="AL348" s="635"/>
    </row>
    <row r="349" spans="1:38" s="51" customFormat="1" ht="19.149999999999999" customHeight="1" outlineLevel="1">
      <c r="A349" s="1025">
        <v>333</v>
      </c>
      <c r="B349" s="1025">
        <v>38</v>
      </c>
      <c r="C349" s="1025" t="str">
        <f>VLOOKUP(D349,'DS CN MOI UP'!$B$10:$C$347,2,0)</f>
        <v>03394</v>
      </c>
      <c r="D349" s="1028" t="s">
        <v>243</v>
      </c>
      <c r="E349" s="1080"/>
      <c r="F349" s="1080"/>
      <c r="G349" s="1080"/>
      <c r="H349" s="1080"/>
      <c r="I349" s="1080"/>
      <c r="J349" s="1080"/>
      <c r="K349" s="1080"/>
      <c r="L349" s="1080"/>
      <c r="M349" s="1080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73"/>
      <c r="AJ349" s="1076">
        <f t="shared" si="19"/>
        <v>0</v>
      </c>
      <c r="AK349" s="1076">
        <f t="shared" si="22"/>
        <v>0</v>
      </c>
      <c r="AL349" s="635"/>
    </row>
    <row r="350" spans="1:38" s="51" customFormat="1" ht="19.149999999999999" customHeight="1" outlineLevel="1">
      <c r="A350" s="1025">
        <v>334</v>
      </c>
      <c r="B350" s="1025">
        <v>39</v>
      </c>
      <c r="C350" s="1025" t="str">
        <f>VLOOKUP(D350,'DS CN MOI UP'!$B$10:$C$347,2,0)</f>
        <v>03395</v>
      </c>
      <c r="D350" s="1028" t="s">
        <v>244</v>
      </c>
      <c r="E350" s="1080"/>
      <c r="F350" s="1080"/>
      <c r="G350" s="1080"/>
      <c r="H350" s="1080"/>
      <c r="I350" s="1080"/>
      <c r="J350" s="1080"/>
      <c r="K350" s="1080"/>
      <c r="L350" s="1080"/>
      <c r="M350" s="1080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73"/>
      <c r="AJ350" s="1076">
        <f t="shared" si="19"/>
        <v>0</v>
      </c>
      <c r="AK350" s="1076">
        <f t="shared" si="22"/>
        <v>0</v>
      </c>
      <c r="AL350" s="635"/>
    </row>
    <row r="351" spans="1:38" s="51" customFormat="1" ht="19.149999999999999" customHeight="1" outlineLevel="1">
      <c r="A351" s="1025">
        <v>335</v>
      </c>
      <c r="B351" s="1025">
        <v>40</v>
      </c>
      <c r="C351" s="1025" t="str">
        <f>VLOOKUP(D351,'DS CN MOI UP'!$B$10:$C$347,2,0)</f>
        <v>03396</v>
      </c>
      <c r="D351" s="1028" t="s">
        <v>245</v>
      </c>
      <c r="E351" s="1080"/>
      <c r="F351" s="1080"/>
      <c r="G351" s="1080"/>
      <c r="H351" s="1080"/>
      <c r="I351" s="1080"/>
      <c r="J351" s="1080"/>
      <c r="K351" s="1080"/>
      <c r="L351" s="1080"/>
      <c r="M351" s="1080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3"/>
      <c r="AF351" s="1073"/>
      <c r="AG351" s="1073"/>
      <c r="AH351" s="1073"/>
      <c r="AI351" s="1073"/>
      <c r="AJ351" s="1076">
        <f t="shared" si="19"/>
        <v>0</v>
      </c>
      <c r="AK351" s="1076">
        <f t="shared" si="22"/>
        <v>0</v>
      </c>
      <c r="AL351" s="635"/>
    </row>
    <row r="352" spans="1:38" s="51" customFormat="1" ht="19.149999999999999" customHeight="1" outlineLevel="1">
      <c r="A352" s="1025">
        <v>336</v>
      </c>
      <c r="B352" s="1025">
        <v>41</v>
      </c>
      <c r="C352" s="1025" t="str">
        <f>VLOOKUP(D352,'DS CN MOI UP'!$B$10:$C$347,2,0)</f>
        <v>02593</v>
      </c>
      <c r="D352" s="1028" t="s">
        <v>246</v>
      </c>
      <c r="E352" s="1080"/>
      <c r="F352" s="1080"/>
      <c r="G352" s="1080"/>
      <c r="H352" s="1080"/>
      <c r="I352" s="1080"/>
      <c r="J352" s="1080"/>
      <c r="K352" s="1080"/>
      <c r="L352" s="1080"/>
      <c r="M352" s="1080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73"/>
      <c r="AJ352" s="1076">
        <f t="shared" si="19"/>
        <v>0</v>
      </c>
      <c r="AK352" s="1076">
        <f t="shared" si="22"/>
        <v>0</v>
      </c>
      <c r="AL352" s="635"/>
    </row>
    <row r="353" spans="1:39" s="51" customFormat="1" ht="19.149999999999999" customHeight="1" outlineLevel="1">
      <c r="A353" s="1025">
        <v>337</v>
      </c>
      <c r="B353" s="1025">
        <v>42</v>
      </c>
      <c r="C353" s="1025" t="str">
        <f>VLOOKUP(D353,'DS CN MOI UP'!$B$10:$C$347,2,0)</f>
        <v>02696</v>
      </c>
      <c r="D353" s="1028" t="s">
        <v>247</v>
      </c>
      <c r="E353" s="1080"/>
      <c r="F353" s="1080"/>
      <c r="G353" s="1080"/>
      <c r="H353" s="1080"/>
      <c r="I353" s="1080"/>
      <c r="J353" s="1080"/>
      <c r="K353" s="1080"/>
      <c r="L353" s="1080"/>
      <c r="M353" s="1080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3"/>
      <c r="AF353" s="1073"/>
      <c r="AG353" s="1073"/>
      <c r="AH353" s="1073"/>
      <c r="AI353" s="1073"/>
      <c r="AJ353" s="1076">
        <f t="shared" si="19"/>
        <v>0</v>
      </c>
      <c r="AK353" s="1076">
        <f t="shared" si="22"/>
        <v>0</v>
      </c>
      <c r="AL353" s="635"/>
    </row>
    <row r="354" spans="1:39" s="51" customFormat="1" ht="19.149999999999999" customHeight="1" outlineLevel="1">
      <c r="A354" s="1025">
        <v>338</v>
      </c>
      <c r="B354" s="1025">
        <v>43</v>
      </c>
      <c r="C354" s="1025" t="str">
        <f>VLOOKUP(D354,'DS CN MOI UP'!$B$10:$C$347,2,0)</f>
        <v>03397</v>
      </c>
      <c r="D354" s="1028" t="s">
        <v>248</v>
      </c>
      <c r="E354" s="1080"/>
      <c r="F354" s="1080"/>
      <c r="G354" s="1080"/>
      <c r="H354" s="1080"/>
      <c r="I354" s="1080"/>
      <c r="J354" s="1080"/>
      <c r="K354" s="1080"/>
      <c r="L354" s="1080"/>
      <c r="M354" s="1080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73"/>
      <c r="AJ354" s="1076">
        <f t="shared" si="19"/>
        <v>0</v>
      </c>
      <c r="AK354" s="1076">
        <f t="shared" si="22"/>
        <v>0</v>
      </c>
      <c r="AL354" s="635"/>
    </row>
    <row r="355" spans="1:39" s="51" customFormat="1" ht="19.149999999999999" customHeight="1" outlineLevel="1">
      <c r="A355" s="1025">
        <v>339</v>
      </c>
      <c r="B355" s="1025">
        <v>44</v>
      </c>
      <c r="C355" s="1025" t="str">
        <f>VLOOKUP(D355,'DS CN MOI UP'!$B$10:$C$347,2,0)</f>
        <v>03398</v>
      </c>
      <c r="D355" s="1028" t="s">
        <v>249</v>
      </c>
      <c r="E355" s="1080"/>
      <c r="F355" s="1080"/>
      <c r="G355" s="1080"/>
      <c r="H355" s="1080"/>
      <c r="I355" s="1080"/>
      <c r="J355" s="1080"/>
      <c r="K355" s="1080"/>
      <c r="L355" s="1080"/>
      <c r="M355" s="1080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73"/>
      <c r="AJ355" s="1076">
        <f t="shared" ref="AJ355:AJ383" si="23">SUM(E355:AI355)</f>
        <v>0</v>
      </c>
      <c r="AK355" s="1076">
        <f t="shared" si="22"/>
        <v>0</v>
      </c>
      <c r="AL355" s="635"/>
    </row>
    <row r="356" spans="1:39" s="51" customFormat="1" ht="19.149999999999999" customHeight="1" outlineLevel="1">
      <c r="A356" s="1025">
        <v>340</v>
      </c>
      <c r="B356" s="1025">
        <v>45</v>
      </c>
      <c r="C356" s="1025" t="str">
        <f>VLOOKUP(D356,'DS CN MOI UP'!$B$10:$C$347,2,0)</f>
        <v>02592</v>
      </c>
      <c r="D356" s="1028" t="s">
        <v>250</v>
      </c>
      <c r="E356" s="1080"/>
      <c r="F356" s="1080"/>
      <c r="G356" s="1080"/>
      <c r="H356" s="1080"/>
      <c r="I356" s="1080"/>
      <c r="J356" s="1080"/>
      <c r="K356" s="1080"/>
      <c r="L356" s="1080"/>
      <c r="M356" s="1080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73"/>
      <c r="AJ356" s="1076">
        <f t="shared" si="23"/>
        <v>0</v>
      </c>
      <c r="AK356" s="1076">
        <f t="shared" si="22"/>
        <v>0</v>
      </c>
      <c r="AL356" s="635"/>
    </row>
    <row r="357" spans="1:39" s="1022" customFormat="1" ht="19.149999999999999" customHeight="1" outlineLevel="1">
      <c r="A357" s="1025">
        <v>341</v>
      </c>
      <c r="B357" s="1025">
        <v>46</v>
      </c>
      <c r="C357" s="1025" t="str">
        <f>VLOOKUP(D357,'DS CN MOI UP'!$B$10:$C$347,2,0)</f>
        <v>02598</v>
      </c>
      <c r="D357" s="1028" t="s">
        <v>251</v>
      </c>
      <c r="E357" s="1080"/>
      <c r="F357" s="1080"/>
      <c r="G357" s="1080"/>
      <c r="H357" s="1080"/>
      <c r="I357" s="1080"/>
      <c r="J357" s="1080"/>
      <c r="K357" s="1080"/>
      <c r="L357" s="1080"/>
      <c r="M357" s="1080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73"/>
      <c r="AJ357" s="1076">
        <f t="shared" si="23"/>
        <v>0</v>
      </c>
      <c r="AK357" s="1076">
        <f t="shared" si="22"/>
        <v>0</v>
      </c>
      <c r="AL357" s="635"/>
      <c r="AM357" s="51"/>
    </row>
    <row r="358" spans="1:39" s="51" customFormat="1" ht="19.149999999999999" customHeight="1" outlineLevel="1">
      <c r="A358" s="1025">
        <v>342</v>
      </c>
      <c r="B358" s="1025">
        <v>47</v>
      </c>
      <c r="C358" s="1025" t="str">
        <f>VLOOKUP(D358,'DS CN MOI UP'!$B$10:$C$347,2,0)</f>
        <v>02575</v>
      </c>
      <c r="D358" s="1028" t="s">
        <v>252</v>
      </c>
      <c r="E358" s="1080"/>
      <c r="F358" s="1080"/>
      <c r="G358" s="1080"/>
      <c r="H358" s="1080"/>
      <c r="I358" s="1080"/>
      <c r="J358" s="1080"/>
      <c r="K358" s="1080"/>
      <c r="L358" s="1080"/>
      <c r="M358" s="1080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73"/>
      <c r="AJ358" s="1076">
        <f t="shared" si="23"/>
        <v>0</v>
      </c>
      <c r="AK358" s="1076">
        <f t="shared" si="22"/>
        <v>0</v>
      </c>
      <c r="AL358" s="635"/>
    </row>
    <row r="359" spans="1:39" s="51" customFormat="1" ht="19.149999999999999" customHeight="1" outlineLevel="1">
      <c r="A359" s="1025">
        <v>343</v>
      </c>
      <c r="B359" s="1025">
        <v>48</v>
      </c>
      <c r="C359" s="1025" t="str">
        <f>VLOOKUP(D359,'DS CN MOI UP'!$B$10:$C$347,2,0)</f>
        <v>02606</v>
      </c>
      <c r="D359" s="1028" t="s">
        <v>253</v>
      </c>
      <c r="E359" s="1080"/>
      <c r="F359" s="1080"/>
      <c r="G359" s="1080"/>
      <c r="H359" s="1080"/>
      <c r="I359" s="1080"/>
      <c r="J359" s="1080"/>
      <c r="K359" s="1080"/>
      <c r="L359" s="1080"/>
      <c r="M359" s="1080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73"/>
      <c r="AJ359" s="1076">
        <f t="shared" si="23"/>
        <v>0</v>
      </c>
      <c r="AK359" s="1076">
        <f t="shared" si="22"/>
        <v>0</v>
      </c>
      <c r="AL359" s="635"/>
    </row>
    <row r="360" spans="1:39" s="51" customFormat="1" ht="19.149999999999999" customHeight="1" outlineLevel="1">
      <c r="A360" s="1025">
        <v>344</v>
      </c>
      <c r="B360" s="1025">
        <v>49</v>
      </c>
      <c r="C360" s="1025" t="str">
        <f>VLOOKUP(D360,'DS CN MOI UP'!$B$10:$C$347,2,0)</f>
        <v>02607</v>
      </c>
      <c r="D360" s="1028" t="s">
        <v>254</v>
      </c>
      <c r="E360" s="1080"/>
      <c r="F360" s="1080"/>
      <c r="G360" s="1080"/>
      <c r="H360" s="1080"/>
      <c r="I360" s="1080"/>
      <c r="J360" s="1080"/>
      <c r="K360" s="1080"/>
      <c r="L360" s="1080"/>
      <c r="M360" s="1080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73"/>
      <c r="AJ360" s="1076">
        <f t="shared" si="23"/>
        <v>0</v>
      </c>
      <c r="AK360" s="1076">
        <f t="shared" si="22"/>
        <v>0</v>
      </c>
      <c r="AL360" s="635"/>
    </row>
    <row r="361" spans="1:39" s="51" customFormat="1" ht="19.149999999999999" customHeight="1" outlineLevel="1">
      <c r="A361" s="1025">
        <v>345</v>
      </c>
      <c r="B361" s="1025">
        <v>50</v>
      </c>
      <c r="C361" s="1025" t="str">
        <f>VLOOKUP(D361,'DS CN MOI UP'!$B$10:$C$347,2,0)</f>
        <v>02612</v>
      </c>
      <c r="D361" s="1028" t="s">
        <v>255</v>
      </c>
      <c r="E361" s="1080"/>
      <c r="F361" s="1080"/>
      <c r="G361" s="1080"/>
      <c r="H361" s="1080"/>
      <c r="I361" s="1080"/>
      <c r="J361" s="1080"/>
      <c r="K361" s="1080"/>
      <c r="L361" s="1080"/>
      <c r="M361" s="1080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73"/>
      <c r="AJ361" s="1076">
        <f t="shared" si="23"/>
        <v>0</v>
      </c>
      <c r="AK361" s="1076">
        <f t="shared" si="22"/>
        <v>0</v>
      </c>
      <c r="AL361" s="635"/>
    </row>
    <row r="362" spans="1:39" s="51" customFormat="1" ht="19.149999999999999" customHeight="1" outlineLevel="1">
      <c r="A362" s="1025">
        <v>346</v>
      </c>
      <c r="B362" s="1025">
        <v>51</v>
      </c>
      <c r="C362" s="1025" t="str">
        <f>VLOOKUP(D362,'DS CN MOI UP'!$B$10:$C$347,2,0)</f>
        <v>02574</v>
      </c>
      <c r="D362" s="1028" t="s">
        <v>256</v>
      </c>
      <c r="E362" s="1080"/>
      <c r="F362" s="1080"/>
      <c r="G362" s="1080"/>
      <c r="H362" s="1080"/>
      <c r="I362" s="1080"/>
      <c r="J362" s="1080"/>
      <c r="K362" s="1080"/>
      <c r="L362" s="1080"/>
      <c r="M362" s="1080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73"/>
      <c r="AJ362" s="1076">
        <f t="shared" si="23"/>
        <v>0</v>
      </c>
      <c r="AK362" s="1076">
        <f t="shared" si="22"/>
        <v>0</v>
      </c>
      <c r="AL362" s="635"/>
    </row>
    <row r="363" spans="1:39" s="51" customFormat="1" ht="19.149999999999999" customHeight="1" outlineLevel="1">
      <c r="A363" s="1025">
        <v>347</v>
      </c>
      <c r="B363" s="1025">
        <v>52</v>
      </c>
      <c r="C363" s="1025" t="str">
        <f>VLOOKUP(D363,'DS CN MOI UP'!$B$10:$C$347,2,0)</f>
        <v>02577</v>
      </c>
      <c r="D363" s="1028" t="s">
        <v>257</v>
      </c>
      <c r="E363" s="1080"/>
      <c r="F363" s="1080"/>
      <c r="G363" s="1080"/>
      <c r="H363" s="1080"/>
      <c r="I363" s="1080"/>
      <c r="J363" s="1080"/>
      <c r="K363" s="1080"/>
      <c r="L363" s="1080"/>
      <c r="M363" s="1080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73"/>
      <c r="AJ363" s="1076">
        <f t="shared" si="23"/>
        <v>0</v>
      </c>
      <c r="AK363" s="1076">
        <f t="shared" si="22"/>
        <v>0</v>
      </c>
      <c r="AL363" s="635"/>
    </row>
    <row r="364" spans="1:39" s="51" customFormat="1" ht="19.149999999999999" customHeight="1" outlineLevel="1">
      <c r="A364" s="1025">
        <v>348</v>
      </c>
      <c r="B364" s="1025">
        <v>53</v>
      </c>
      <c r="C364" s="1025" t="str">
        <f>VLOOKUP(D364,'DS CN MOI UP'!$B$10:$C$347,2,0)</f>
        <v>02605</v>
      </c>
      <c r="D364" s="1028" t="s">
        <v>258</v>
      </c>
      <c r="E364" s="1080"/>
      <c r="F364" s="1080"/>
      <c r="G364" s="1080"/>
      <c r="H364" s="1080"/>
      <c r="I364" s="1080"/>
      <c r="J364" s="1080"/>
      <c r="K364" s="1080"/>
      <c r="L364" s="1080"/>
      <c r="M364" s="1080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73"/>
      <c r="AJ364" s="1076">
        <f t="shared" si="23"/>
        <v>0</v>
      </c>
      <c r="AK364" s="1076">
        <f t="shared" si="22"/>
        <v>0</v>
      </c>
      <c r="AL364" s="635"/>
    </row>
    <row r="365" spans="1:39" s="51" customFormat="1" ht="19.149999999999999" customHeight="1" outlineLevel="1">
      <c r="A365" s="1025">
        <v>349</v>
      </c>
      <c r="B365" s="1025">
        <v>54</v>
      </c>
      <c r="C365" s="1025" t="str">
        <f>VLOOKUP(D365,'DS CN MOI UP'!$B$10:$C$347,2,0)</f>
        <v>02588</v>
      </c>
      <c r="D365" s="1028" t="s">
        <v>259</v>
      </c>
      <c r="E365" s="1080"/>
      <c r="F365" s="1080"/>
      <c r="G365" s="1080"/>
      <c r="H365" s="1080"/>
      <c r="I365" s="1080"/>
      <c r="J365" s="1080"/>
      <c r="K365" s="1080"/>
      <c r="L365" s="1080"/>
      <c r="M365" s="1080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73"/>
      <c r="AJ365" s="1076">
        <f t="shared" si="23"/>
        <v>0</v>
      </c>
      <c r="AK365" s="1076">
        <f t="shared" si="22"/>
        <v>0</v>
      </c>
      <c r="AL365" s="635"/>
    </row>
    <row r="366" spans="1:39" s="51" customFormat="1" ht="19.149999999999999" customHeight="1" outlineLevel="1">
      <c r="A366" s="1025">
        <v>350</v>
      </c>
      <c r="B366" s="1025">
        <v>55</v>
      </c>
      <c r="C366" s="1025" t="str">
        <f>VLOOKUP(D366,'DS CN MOI UP'!$B$10:$C$347,2,0)</f>
        <v>03857</v>
      </c>
      <c r="D366" s="1028" t="s">
        <v>260</v>
      </c>
      <c r="E366" s="1080"/>
      <c r="F366" s="1080"/>
      <c r="G366" s="1080"/>
      <c r="H366" s="1080"/>
      <c r="I366" s="1080"/>
      <c r="J366" s="1080"/>
      <c r="K366" s="1080"/>
      <c r="L366" s="1080"/>
      <c r="M366" s="1080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73"/>
      <c r="AJ366" s="1076">
        <f t="shared" si="23"/>
        <v>0</v>
      </c>
      <c r="AK366" s="1076">
        <f t="shared" si="22"/>
        <v>0</v>
      </c>
      <c r="AL366" s="635"/>
    </row>
    <row r="367" spans="1:39" s="51" customFormat="1" ht="19.149999999999999" customHeight="1" outlineLevel="1">
      <c r="A367" s="1025">
        <v>351</v>
      </c>
      <c r="B367" s="1025">
        <v>56</v>
      </c>
      <c r="C367" s="1025" t="str">
        <f>VLOOKUP(D367,'DS CN MOI UP'!$B$10:$C$347,2,0)</f>
        <v>02597</v>
      </c>
      <c r="D367" s="1028" t="s">
        <v>261</v>
      </c>
      <c r="E367" s="1080"/>
      <c r="F367" s="1080"/>
      <c r="G367" s="1080"/>
      <c r="H367" s="1080"/>
      <c r="I367" s="1080"/>
      <c r="J367" s="1080"/>
      <c r="K367" s="1080"/>
      <c r="L367" s="1080"/>
      <c r="M367" s="1080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73"/>
      <c r="AJ367" s="1076">
        <f t="shared" si="23"/>
        <v>0</v>
      </c>
      <c r="AK367" s="1076">
        <f t="shared" si="22"/>
        <v>0</v>
      </c>
      <c r="AL367" s="635"/>
    </row>
    <row r="368" spans="1:39" s="51" customFormat="1" ht="19.149999999999999" customHeight="1" outlineLevel="1">
      <c r="A368" s="1025">
        <v>352</v>
      </c>
      <c r="B368" s="1025">
        <v>57</v>
      </c>
      <c r="C368" s="1025" t="str">
        <f>VLOOKUP(D368,'DS CN MOI UP'!$B$10:$C$347,2,0)</f>
        <v>02590</v>
      </c>
      <c r="D368" s="1028" t="s">
        <v>262</v>
      </c>
      <c r="E368" s="1080"/>
      <c r="F368" s="1080"/>
      <c r="G368" s="1080"/>
      <c r="H368" s="1080"/>
      <c r="I368" s="1080"/>
      <c r="J368" s="1080"/>
      <c r="K368" s="1080"/>
      <c r="L368" s="1080"/>
      <c r="M368" s="1080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3"/>
      <c r="AF368" s="1073"/>
      <c r="AG368" s="1073"/>
      <c r="AH368" s="1073"/>
      <c r="AI368" s="1073"/>
      <c r="AJ368" s="1076">
        <f t="shared" si="23"/>
        <v>0</v>
      </c>
      <c r="AK368" s="1076">
        <f t="shared" si="22"/>
        <v>0</v>
      </c>
      <c r="AL368" s="635"/>
    </row>
    <row r="369" spans="1:39" s="51" customFormat="1" ht="19.149999999999999" customHeight="1" outlineLevel="1">
      <c r="A369" s="1025">
        <v>353</v>
      </c>
      <c r="B369" s="1025">
        <v>58</v>
      </c>
      <c r="C369" s="1025" t="str">
        <f>VLOOKUP(D369,'DS CN MOI UP'!$B$10:$C$347,2,0)</f>
        <v>02585</v>
      </c>
      <c r="D369" s="1028" t="s">
        <v>263</v>
      </c>
      <c r="E369" s="1080"/>
      <c r="F369" s="1080"/>
      <c r="G369" s="1080"/>
      <c r="H369" s="1080"/>
      <c r="I369" s="1080"/>
      <c r="J369" s="1080"/>
      <c r="K369" s="1080"/>
      <c r="L369" s="1080"/>
      <c r="M369" s="1080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73"/>
      <c r="AJ369" s="1076">
        <f t="shared" si="23"/>
        <v>0</v>
      </c>
      <c r="AK369" s="1076">
        <f t="shared" si="22"/>
        <v>0</v>
      </c>
      <c r="AL369" s="635"/>
    </row>
    <row r="370" spans="1:39" s="51" customFormat="1" ht="19.149999999999999" customHeight="1" outlineLevel="1">
      <c r="A370" s="1025">
        <v>354</v>
      </c>
      <c r="B370" s="1025">
        <v>59</v>
      </c>
      <c r="C370" s="1025" t="str">
        <f>VLOOKUP(D370,'DS CN MOI UP'!$B$10:$C$347,2,0)</f>
        <v>03399</v>
      </c>
      <c r="D370" s="1028" t="s">
        <v>264</v>
      </c>
      <c r="E370" s="1080"/>
      <c r="F370" s="1080"/>
      <c r="G370" s="1080"/>
      <c r="H370" s="1080"/>
      <c r="I370" s="1080"/>
      <c r="J370" s="1080"/>
      <c r="K370" s="1080"/>
      <c r="L370" s="1080"/>
      <c r="M370" s="1080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73"/>
      <c r="AJ370" s="1076">
        <f t="shared" si="23"/>
        <v>0</v>
      </c>
      <c r="AK370" s="1076">
        <f t="shared" si="22"/>
        <v>0</v>
      </c>
      <c r="AL370" s="635"/>
    </row>
    <row r="371" spans="1:39" s="51" customFormat="1" ht="19.149999999999999" customHeight="1" outlineLevel="1">
      <c r="A371" s="1025">
        <v>355</v>
      </c>
      <c r="B371" s="1025">
        <v>60</v>
      </c>
      <c r="C371" s="1025" t="str">
        <f>VLOOKUP(D371,'DS CN MOI UP'!$B$10:$C$347,2,0)</f>
        <v>02584</v>
      </c>
      <c r="D371" s="1028" t="s">
        <v>265</v>
      </c>
      <c r="E371" s="1080"/>
      <c r="F371" s="1080"/>
      <c r="G371" s="1080"/>
      <c r="H371" s="1080"/>
      <c r="I371" s="1080"/>
      <c r="J371" s="1080"/>
      <c r="K371" s="1080"/>
      <c r="L371" s="1080"/>
      <c r="M371" s="1080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3"/>
      <c r="AF371" s="1073"/>
      <c r="AG371" s="1073"/>
      <c r="AH371" s="1073"/>
      <c r="AI371" s="1073"/>
      <c r="AJ371" s="1076">
        <f t="shared" si="23"/>
        <v>0</v>
      </c>
      <c r="AK371" s="1076">
        <f t="shared" si="22"/>
        <v>0</v>
      </c>
      <c r="AL371" s="635"/>
    </row>
    <row r="372" spans="1:39" s="51" customFormat="1" ht="19.149999999999999" customHeight="1" outlineLevel="1">
      <c r="A372" s="1025">
        <v>356</v>
      </c>
      <c r="B372" s="1025">
        <v>61</v>
      </c>
      <c r="C372" s="1025" t="str">
        <f>VLOOKUP(D372,'DS CN MOI UP'!$B$10:$C$347,2,0)</f>
        <v>02698</v>
      </c>
      <c r="D372" s="1028" t="s">
        <v>266</v>
      </c>
      <c r="E372" s="1080"/>
      <c r="F372" s="1080"/>
      <c r="G372" s="1080"/>
      <c r="H372" s="1080"/>
      <c r="I372" s="1080"/>
      <c r="J372" s="1080"/>
      <c r="K372" s="1080"/>
      <c r="L372" s="1080"/>
      <c r="M372" s="1080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73"/>
      <c r="AJ372" s="1076">
        <f t="shared" si="23"/>
        <v>0</v>
      </c>
      <c r="AK372" s="1076">
        <f t="shared" si="22"/>
        <v>0</v>
      </c>
      <c r="AL372" s="635"/>
    </row>
    <row r="373" spans="1:39" s="51" customFormat="1" ht="19.149999999999999" customHeight="1" outlineLevel="1">
      <c r="A373" s="1025">
        <v>357</v>
      </c>
      <c r="B373" s="1025">
        <v>62</v>
      </c>
      <c r="C373" s="1025" t="str">
        <f>VLOOKUP(D373,'DS CN MOI UP'!$B$10:$C$347,2,0)</f>
        <v>03858</v>
      </c>
      <c r="D373" s="1028" t="s">
        <v>267</v>
      </c>
      <c r="E373" s="1080"/>
      <c r="F373" s="1080"/>
      <c r="G373" s="1080"/>
      <c r="H373" s="1080"/>
      <c r="I373" s="1080"/>
      <c r="J373" s="1080"/>
      <c r="K373" s="1080"/>
      <c r="L373" s="1080"/>
      <c r="M373" s="1080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73"/>
      <c r="AJ373" s="1076">
        <f t="shared" si="23"/>
        <v>0</v>
      </c>
      <c r="AK373" s="1076">
        <f t="shared" si="22"/>
        <v>0</v>
      </c>
      <c r="AL373" s="635"/>
    </row>
    <row r="374" spans="1:39" s="51" customFormat="1" ht="19.149999999999999" customHeight="1" outlineLevel="1">
      <c r="A374" s="1025">
        <v>358</v>
      </c>
      <c r="B374" s="1025">
        <v>63</v>
      </c>
      <c r="C374" s="1025" t="str">
        <f>VLOOKUP(D374,'DS CN MOI UP'!$B$10:$C$347,2,0)</f>
        <v>02591</v>
      </c>
      <c r="D374" s="1028" t="s">
        <v>268</v>
      </c>
      <c r="E374" s="1080"/>
      <c r="F374" s="1080"/>
      <c r="G374" s="1080"/>
      <c r="H374" s="1080"/>
      <c r="I374" s="1080"/>
      <c r="J374" s="1080"/>
      <c r="K374" s="1080"/>
      <c r="L374" s="1080"/>
      <c r="M374" s="1080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73"/>
      <c r="AJ374" s="1076">
        <f t="shared" si="23"/>
        <v>0</v>
      </c>
      <c r="AK374" s="1076">
        <f t="shared" si="22"/>
        <v>0</v>
      </c>
      <c r="AL374" s="635"/>
    </row>
    <row r="375" spans="1:39" s="51" customFormat="1" ht="19.149999999999999" customHeight="1" outlineLevel="1">
      <c r="A375" s="1025">
        <v>359</v>
      </c>
      <c r="B375" s="1025">
        <v>64</v>
      </c>
      <c r="C375" s="1025" t="str">
        <f>VLOOKUP(D375,'DS CN MOI UP'!$B$10:$C$347,2,0)</f>
        <v>02595</v>
      </c>
      <c r="D375" s="1028" t="s">
        <v>269</v>
      </c>
      <c r="E375" s="1080"/>
      <c r="F375" s="1080"/>
      <c r="G375" s="1080"/>
      <c r="H375" s="1080"/>
      <c r="I375" s="1080"/>
      <c r="J375" s="1080"/>
      <c r="K375" s="1080"/>
      <c r="L375" s="1080"/>
      <c r="M375" s="1080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3"/>
      <c r="AF375" s="1073"/>
      <c r="AG375" s="1073"/>
      <c r="AH375" s="1073"/>
      <c r="AI375" s="1073"/>
      <c r="AJ375" s="1076">
        <f t="shared" si="23"/>
        <v>0</v>
      </c>
      <c r="AK375" s="1076">
        <f t="shared" si="22"/>
        <v>0</v>
      </c>
      <c r="AL375" s="635"/>
    </row>
    <row r="376" spans="1:39" s="51" customFormat="1" ht="19.149999999999999" customHeight="1" outlineLevel="1">
      <c r="A376" s="1025">
        <v>360</v>
      </c>
      <c r="B376" s="1025">
        <v>65</v>
      </c>
      <c r="C376" s="1025" t="str">
        <f>VLOOKUP(D376,'DS CN MOI UP'!$B$10:$C$347,2,0)</f>
        <v>02582</v>
      </c>
      <c r="D376" s="1028" t="s">
        <v>270</v>
      </c>
      <c r="E376" s="1080"/>
      <c r="F376" s="1080"/>
      <c r="G376" s="1080"/>
      <c r="H376" s="1080"/>
      <c r="I376" s="1080"/>
      <c r="J376" s="1080"/>
      <c r="K376" s="1080"/>
      <c r="L376" s="1080"/>
      <c r="M376" s="1080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73"/>
      <c r="AJ376" s="1076">
        <f t="shared" si="23"/>
        <v>0</v>
      </c>
      <c r="AK376" s="1076">
        <f t="shared" si="22"/>
        <v>0</v>
      </c>
      <c r="AL376" s="635"/>
    </row>
    <row r="377" spans="1:39" s="51" customFormat="1" ht="19.149999999999999" customHeight="1" outlineLevel="1">
      <c r="A377" s="1025">
        <v>361</v>
      </c>
      <c r="B377" s="1025">
        <v>66</v>
      </c>
      <c r="C377" s="1025" t="str">
        <f>VLOOKUP(D377,'DS CN MOI UP'!$B$10:$C$347,2,0)</f>
        <v>02572</v>
      </c>
      <c r="D377" s="1028" t="s">
        <v>271</v>
      </c>
      <c r="E377" s="1080"/>
      <c r="F377" s="1080"/>
      <c r="G377" s="1080"/>
      <c r="H377" s="1080"/>
      <c r="I377" s="1080"/>
      <c r="J377" s="1080"/>
      <c r="K377" s="1080"/>
      <c r="L377" s="1080"/>
      <c r="M377" s="1080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73"/>
      <c r="AJ377" s="1076">
        <f t="shared" si="23"/>
        <v>0</v>
      </c>
      <c r="AK377" s="1076">
        <f t="shared" si="22"/>
        <v>0</v>
      </c>
      <c r="AL377" s="635"/>
    </row>
    <row r="378" spans="1:39" s="51" customFormat="1" ht="19.149999999999999" customHeight="1" outlineLevel="1">
      <c r="A378" s="1025">
        <v>362</v>
      </c>
      <c r="B378" s="1025">
        <v>67</v>
      </c>
      <c r="C378" s="1025" t="str">
        <f>VLOOKUP(D378,'DS CN MOI UP'!$B$10:$C$347,2,0)</f>
        <v>02694</v>
      </c>
      <c r="D378" s="1028" t="s">
        <v>272</v>
      </c>
      <c r="E378" s="1080"/>
      <c r="F378" s="1080"/>
      <c r="G378" s="1080"/>
      <c r="H378" s="1080"/>
      <c r="I378" s="1080"/>
      <c r="J378" s="1080"/>
      <c r="K378" s="1080"/>
      <c r="L378" s="1080"/>
      <c r="M378" s="1080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73"/>
      <c r="AJ378" s="1076">
        <f t="shared" si="23"/>
        <v>0</v>
      </c>
      <c r="AK378" s="1076">
        <f t="shared" si="22"/>
        <v>0</v>
      </c>
      <c r="AL378" s="635"/>
    </row>
    <row r="379" spans="1:39" s="51" customFormat="1" ht="19.149999999999999" customHeight="1" outlineLevel="1">
      <c r="A379" s="1025">
        <v>363</v>
      </c>
      <c r="B379" s="1025">
        <v>68</v>
      </c>
      <c r="C379" s="1025" t="str">
        <f>VLOOKUP(D379,'DS CN MOI UP'!$B$10:$C$347,2,0)</f>
        <v>02699</v>
      </c>
      <c r="D379" s="1028" t="s">
        <v>273</v>
      </c>
      <c r="E379" s="1080"/>
      <c r="F379" s="1080"/>
      <c r="G379" s="1080"/>
      <c r="H379" s="1080"/>
      <c r="I379" s="1080"/>
      <c r="J379" s="1080"/>
      <c r="K379" s="1080"/>
      <c r="L379" s="1080"/>
      <c r="M379" s="1080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73"/>
      <c r="AJ379" s="1076">
        <f t="shared" si="23"/>
        <v>0</v>
      </c>
      <c r="AK379" s="1076">
        <f t="shared" si="22"/>
        <v>0</v>
      </c>
      <c r="AL379" s="635"/>
    </row>
    <row r="380" spans="1:39" s="51" customFormat="1" ht="19.149999999999999" customHeight="1" outlineLevel="1">
      <c r="A380" s="1025">
        <v>364</v>
      </c>
      <c r="B380" s="1025">
        <v>69</v>
      </c>
      <c r="C380" s="1025" t="str">
        <f>VLOOKUP(D380,'DS CN MOI UP'!$B$10:$C$347,2,0)</f>
        <v>03400</v>
      </c>
      <c r="D380" s="1028" t="s">
        <v>274</v>
      </c>
      <c r="E380" s="1080"/>
      <c r="F380" s="1080"/>
      <c r="G380" s="1080"/>
      <c r="H380" s="1080"/>
      <c r="I380" s="1080"/>
      <c r="J380" s="1080"/>
      <c r="K380" s="1080"/>
      <c r="L380" s="1080"/>
      <c r="M380" s="1080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73"/>
      <c r="AJ380" s="1076">
        <f t="shared" si="23"/>
        <v>0</v>
      </c>
      <c r="AK380" s="1076">
        <f t="shared" si="22"/>
        <v>0</v>
      </c>
      <c r="AL380" s="635"/>
    </row>
    <row r="381" spans="1:39" s="51" customFormat="1" ht="19.149999999999999" customHeight="1" outlineLevel="1">
      <c r="A381" s="1025">
        <v>365</v>
      </c>
      <c r="B381" s="1025">
        <v>69</v>
      </c>
      <c r="C381" s="1025" t="e">
        <f>VLOOKUP(D381,'DS CN MOI UP'!$B$10:$C$347,2,0)</f>
        <v>#N/A</v>
      </c>
      <c r="D381" s="1028" t="s">
        <v>510</v>
      </c>
      <c r="E381" s="1080"/>
      <c r="F381" s="1080"/>
      <c r="G381" s="1080"/>
      <c r="H381" s="1080"/>
      <c r="I381" s="1080"/>
      <c r="J381" s="1080"/>
      <c r="K381" s="1080"/>
      <c r="L381" s="1080"/>
      <c r="M381" s="1080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73"/>
      <c r="AJ381" s="1076">
        <f t="shared" si="23"/>
        <v>0</v>
      </c>
      <c r="AK381" s="1076">
        <f t="shared" si="22"/>
        <v>0</v>
      </c>
      <c r="AL381" s="635"/>
    </row>
    <row r="382" spans="1:39" s="51" customFormat="1" ht="19.149999999999999" customHeight="1" outlineLevel="1">
      <c r="A382" s="1025">
        <v>366</v>
      </c>
      <c r="B382" s="1025">
        <v>69</v>
      </c>
      <c r="C382" s="1025" t="e">
        <f>VLOOKUP(D382,'DS CN MOI UP'!$B$10:$C$347,2,0)</f>
        <v>#N/A</v>
      </c>
      <c r="D382" s="1028" t="s">
        <v>511</v>
      </c>
      <c r="E382" s="1080"/>
      <c r="F382" s="1080"/>
      <c r="G382" s="1080"/>
      <c r="H382" s="1080"/>
      <c r="I382" s="1080"/>
      <c r="J382" s="1080"/>
      <c r="K382" s="1080"/>
      <c r="L382" s="1080"/>
      <c r="M382" s="1080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3"/>
      <c r="AF382" s="1073"/>
      <c r="AG382" s="1073"/>
      <c r="AH382" s="1073"/>
      <c r="AI382" s="1073"/>
      <c r="AJ382" s="1076">
        <f t="shared" si="23"/>
        <v>0</v>
      </c>
      <c r="AK382" s="1076">
        <f t="shared" si="22"/>
        <v>0</v>
      </c>
      <c r="AL382" s="635"/>
    </row>
    <row r="383" spans="1:39" s="51" customFormat="1" ht="19.149999999999999" customHeight="1" outlineLevel="1">
      <c r="A383" s="1025">
        <v>367</v>
      </c>
      <c r="B383" s="1025">
        <v>69</v>
      </c>
      <c r="C383" s="1025" t="e">
        <f>VLOOKUP(D383,'DS CN MOI UP'!$B$10:$C$347,2,0)</f>
        <v>#N/A</v>
      </c>
      <c r="D383" s="1028" t="s">
        <v>512</v>
      </c>
      <c r="E383" s="1080"/>
      <c r="F383" s="1080"/>
      <c r="G383" s="1080"/>
      <c r="H383" s="1080"/>
      <c r="I383" s="1080"/>
      <c r="J383" s="1080"/>
      <c r="K383" s="1080"/>
      <c r="L383" s="1080"/>
      <c r="M383" s="1080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73"/>
      <c r="AJ383" s="1076">
        <f t="shared" si="23"/>
        <v>0</v>
      </c>
      <c r="AK383" s="1076">
        <f t="shared" si="22"/>
        <v>0</v>
      </c>
      <c r="AL383" s="635"/>
    </row>
    <row r="384" spans="1:39" s="51" customFormat="1" ht="19.149999999999999" customHeight="1" outlineLevel="1">
      <c r="A384" s="1026" t="s">
        <v>285</v>
      </c>
      <c r="B384" s="1026"/>
      <c r="C384" s="1025" t="e">
        <f>VLOOKUP(D384,'DS CN MOI UP'!$B$10:$C$347,2,0)</f>
        <v>#N/A</v>
      </c>
      <c r="D384" s="1026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79"/>
      <c r="AJ384" s="1079">
        <f>SUM(AJ385:AJ442)</f>
        <v>0</v>
      </c>
      <c r="AK384" s="1076">
        <f t="shared" si="22"/>
        <v>0</v>
      </c>
      <c r="AL384" s="1036"/>
      <c r="AM384" s="266"/>
    </row>
    <row r="385" spans="1:40" s="51" customFormat="1" ht="19.149999999999999" customHeight="1" outlineLevel="1">
      <c r="A385" s="1025">
        <v>368</v>
      </c>
      <c r="B385" s="1025">
        <v>1</v>
      </c>
      <c r="C385" s="1025" t="str">
        <f>VLOOKUP(D385,'DS CN MOI UP'!$B$10:$C$347,2,0)</f>
        <v>02616</v>
      </c>
      <c r="D385" s="1028" t="s">
        <v>308</v>
      </c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73"/>
      <c r="AJ385" s="1076">
        <f t="shared" ref="AJ385:AJ442" si="24">SUM(E385:AI385)</f>
        <v>0</v>
      </c>
      <c r="AK385" s="1076">
        <f t="shared" si="22"/>
        <v>0</v>
      </c>
      <c r="AL385" s="635"/>
      <c r="AM385" s="266"/>
      <c r="AN385" s="266"/>
    </row>
    <row r="386" spans="1:40" s="51" customFormat="1" ht="19.149999999999999" customHeight="1" outlineLevel="1">
      <c r="A386" s="1025">
        <v>369</v>
      </c>
      <c r="B386" s="1025">
        <v>2</v>
      </c>
      <c r="C386" s="1025" t="str">
        <f>VLOOKUP(D386,'DS CN MOI UP'!$B$10:$C$347,2,0)</f>
        <v>02617</v>
      </c>
      <c r="D386" s="1028" t="s">
        <v>309</v>
      </c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73"/>
      <c r="AJ386" s="1076">
        <f t="shared" si="24"/>
        <v>0</v>
      </c>
      <c r="AK386" s="1076">
        <f t="shared" si="22"/>
        <v>0</v>
      </c>
      <c r="AL386" s="635"/>
      <c r="AM386" s="266"/>
    </row>
    <row r="387" spans="1:40" s="51" customFormat="1" ht="19.149999999999999" customHeight="1" outlineLevel="1">
      <c r="A387" s="1025">
        <v>370</v>
      </c>
      <c r="B387" s="1025">
        <v>3</v>
      </c>
      <c r="C387" s="1025" t="str">
        <f>VLOOKUP(D387,'DS CN MOI UP'!$B$10:$C$347,2,0)</f>
        <v>02618</v>
      </c>
      <c r="D387" s="1028" t="s">
        <v>310</v>
      </c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73"/>
      <c r="AJ387" s="1076">
        <f t="shared" si="24"/>
        <v>0</v>
      </c>
      <c r="AK387" s="1076">
        <f t="shared" si="22"/>
        <v>0</v>
      </c>
      <c r="AL387" s="635"/>
      <c r="AM387" s="266"/>
    </row>
    <row r="388" spans="1:40" s="51" customFormat="1" ht="19.149999999999999" customHeight="1" outlineLevel="1">
      <c r="A388" s="1025">
        <v>371</v>
      </c>
      <c r="B388" s="1025">
        <v>4</v>
      </c>
      <c r="C388" s="1025" t="str">
        <f>VLOOKUP(D388,'DS CN MOI UP'!$B$10:$C$347,2,0)</f>
        <v>03401</v>
      </c>
      <c r="D388" s="1028" t="s">
        <v>311</v>
      </c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73"/>
      <c r="AJ388" s="1076">
        <f t="shared" si="24"/>
        <v>0</v>
      </c>
      <c r="AK388" s="1076">
        <f t="shared" si="22"/>
        <v>0</v>
      </c>
      <c r="AL388" s="635"/>
      <c r="AM388" s="266"/>
    </row>
    <row r="389" spans="1:40" s="51" customFormat="1" ht="19.149999999999999" customHeight="1" outlineLevel="1">
      <c r="A389" s="1025">
        <v>372</v>
      </c>
      <c r="B389" s="1025">
        <v>5</v>
      </c>
      <c r="C389" s="1025" t="str">
        <f>VLOOKUP(D389,'DS CN MOI UP'!$B$10:$C$347,2,0)</f>
        <v>03402</v>
      </c>
      <c r="D389" s="1028" t="s">
        <v>312</v>
      </c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73"/>
      <c r="AJ389" s="1076">
        <f t="shared" si="24"/>
        <v>0</v>
      </c>
      <c r="AK389" s="1076">
        <f t="shared" si="22"/>
        <v>0</v>
      </c>
      <c r="AL389" s="635"/>
      <c r="AM389" s="266"/>
    </row>
    <row r="390" spans="1:40" s="51" customFormat="1" ht="19.149999999999999" customHeight="1" outlineLevel="1">
      <c r="A390" s="1025">
        <v>373</v>
      </c>
      <c r="B390" s="1025">
        <v>6</v>
      </c>
      <c r="C390" s="1025" t="str">
        <f>VLOOKUP(D390,'DS CN MOI UP'!$B$10:$C$347,2,0)</f>
        <v>02621</v>
      </c>
      <c r="D390" s="1028" t="s">
        <v>313</v>
      </c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73"/>
      <c r="AJ390" s="1076">
        <f t="shared" si="24"/>
        <v>0</v>
      </c>
      <c r="AK390" s="1076">
        <f t="shared" si="22"/>
        <v>0</v>
      </c>
      <c r="AL390" s="635"/>
      <c r="AM390" s="266"/>
    </row>
    <row r="391" spans="1:40" s="51" customFormat="1" ht="19.149999999999999" customHeight="1" outlineLevel="1">
      <c r="A391" s="1025">
        <v>374</v>
      </c>
      <c r="B391" s="1025">
        <v>7</v>
      </c>
      <c r="C391" s="1025" t="str">
        <f>VLOOKUP(D391,'DS CN MOI UP'!$B$10:$C$347,2,0)</f>
        <v>02622</v>
      </c>
      <c r="D391" s="1028" t="s">
        <v>314</v>
      </c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73"/>
      <c r="AJ391" s="1076">
        <f t="shared" si="24"/>
        <v>0</v>
      </c>
      <c r="AK391" s="1076">
        <f t="shared" si="22"/>
        <v>0</v>
      </c>
      <c r="AL391" s="635"/>
      <c r="AM391" s="266"/>
    </row>
    <row r="392" spans="1:40" s="51" customFormat="1" ht="19.149999999999999" customHeight="1" outlineLevel="1">
      <c r="A392" s="1025">
        <v>375</v>
      </c>
      <c r="B392" s="1025">
        <v>8</v>
      </c>
      <c r="C392" s="1025" t="e">
        <f>VLOOKUP(D392,'DS CN MOI UP'!$B$10:$C$347,2,0)</f>
        <v>#N/A</v>
      </c>
      <c r="D392" s="1028" t="s">
        <v>315</v>
      </c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73"/>
      <c r="AJ392" s="1076">
        <f t="shared" si="24"/>
        <v>0</v>
      </c>
      <c r="AK392" s="1076">
        <f t="shared" si="22"/>
        <v>0</v>
      </c>
      <c r="AL392" s="635"/>
      <c r="AM392" s="266"/>
    </row>
    <row r="393" spans="1:40" s="51" customFormat="1" ht="19.149999999999999" customHeight="1" outlineLevel="1">
      <c r="A393" s="1025">
        <v>376</v>
      </c>
      <c r="B393" s="1025">
        <v>9</v>
      </c>
      <c r="C393" s="1025" t="str">
        <f>VLOOKUP(D393,'DS CN MOI UP'!$B$10:$C$347,2,0)</f>
        <v>02623</v>
      </c>
      <c r="D393" s="1028" t="s">
        <v>316</v>
      </c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73"/>
      <c r="AJ393" s="1076">
        <f t="shared" si="24"/>
        <v>0</v>
      </c>
      <c r="AK393" s="1076">
        <f t="shared" si="22"/>
        <v>0</v>
      </c>
      <c r="AL393" s="635"/>
      <c r="AM393" s="266"/>
    </row>
    <row r="394" spans="1:40" s="51" customFormat="1" ht="19.149999999999999" customHeight="1" outlineLevel="1">
      <c r="A394" s="1025">
        <v>377</v>
      </c>
      <c r="B394" s="1025">
        <v>10</v>
      </c>
      <c r="C394" s="1025" t="str">
        <f>VLOOKUP(D394,'DS CN MOI UP'!$B$10:$C$347,2,0)</f>
        <v>02624</v>
      </c>
      <c r="D394" s="1028" t="s">
        <v>317</v>
      </c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73"/>
      <c r="AJ394" s="1076">
        <f t="shared" si="24"/>
        <v>0</v>
      </c>
      <c r="AK394" s="1076">
        <f t="shared" si="22"/>
        <v>0</v>
      </c>
      <c r="AL394" s="635"/>
      <c r="AM394" s="266"/>
    </row>
    <row r="395" spans="1:40" s="51" customFormat="1" ht="19.149999999999999" customHeight="1" outlineLevel="1">
      <c r="A395" s="1025">
        <v>378</v>
      </c>
      <c r="B395" s="1025">
        <v>11</v>
      </c>
      <c r="C395" s="1025" t="str">
        <f>VLOOKUP(D395,'DS CN MOI UP'!$B$10:$C$347,2,0)</f>
        <v>03404</v>
      </c>
      <c r="D395" s="1028" t="s">
        <v>318</v>
      </c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73"/>
      <c r="AJ395" s="1076">
        <f t="shared" si="24"/>
        <v>0</v>
      </c>
      <c r="AK395" s="1076">
        <f t="shared" si="22"/>
        <v>0</v>
      </c>
      <c r="AL395" s="635"/>
      <c r="AM395" s="266"/>
    </row>
    <row r="396" spans="1:40" s="51" customFormat="1" ht="19.149999999999999" customHeight="1" outlineLevel="1">
      <c r="A396" s="1025">
        <v>379</v>
      </c>
      <c r="B396" s="1025">
        <v>12</v>
      </c>
      <c r="C396" s="1025" t="str">
        <f>VLOOKUP(D396,'DS CN MOI UP'!$B$10:$C$347,2,0)</f>
        <v>02626</v>
      </c>
      <c r="D396" s="1028" t="s">
        <v>319</v>
      </c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73"/>
      <c r="AJ396" s="1076">
        <f t="shared" si="24"/>
        <v>0</v>
      </c>
      <c r="AK396" s="1076">
        <f t="shared" ref="AK396:AK450" si="25">AJ396*$AN$6</f>
        <v>0</v>
      </c>
      <c r="AL396" s="635"/>
      <c r="AM396" s="266"/>
    </row>
    <row r="397" spans="1:40" s="51" customFormat="1" ht="19.149999999999999" customHeight="1" outlineLevel="1">
      <c r="A397" s="1025">
        <v>380</v>
      </c>
      <c r="B397" s="1025">
        <v>13</v>
      </c>
      <c r="C397" s="1025" t="str">
        <f>VLOOKUP(D397,'DS CN MOI UP'!$B$10:$C$347,2,0)</f>
        <v>02627</v>
      </c>
      <c r="D397" s="1028" t="s">
        <v>320</v>
      </c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73"/>
      <c r="AJ397" s="1076">
        <f t="shared" si="24"/>
        <v>0</v>
      </c>
      <c r="AK397" s="1076">
        <f t="shared" si="25"/>
        <v>0</v>
      </c>
      <c r="AL397" s="635"/>
      <c r="AM397" s="266"/>
    </row>
    <row r="398" spans="1:40" s="51" customFormat="1" ht="19.149999999999999" customHeight="1" outlineLevel="1">
      <c r="A398" s="1025">
        <v>381</v>
      </c>
      <c r="B398" s="1025">
        <v>14</v>
      </c>
      <c r="C398" s="1025" t="str">
        <f>VLOOKUP(D398,'DS CN MOI UP'!$B$10:$C$347,2,0)</f>
        <v>02628</v>
      </c>
      <c r="D398" s="1028" t="s">
        <v>321</v>
      </c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73"/>
      <c r="AJ398" s="1076">
        <f t="shared" si="24"/>
        <v>0</v>
      </c>
      <c r="AK398" s="1076">
        <f t="shared" si="25"/>
        <v>0</v>
      </c>
      <c r="AL398" s="635"/>
      <c r="AM398" s="266"/>
    </row>
    <row r="399" spans="1:40" s="51" customFormat="1" ht="19.149999999999999" customHeight="1" outlineLevel="1">
      <c r="A399" s="1025">
        <v>382</v>
      </c>
      <c r="B399" s="1025">
        <v>15</v>
      </c>
      <c r="C399" s="1025" t="str">
        <f>VLOOKUP(D399,'DS CN MOI UP'!$B$10:$C$347,2,0)</f>
        <v>03405</v>
      </c>
      <c r="D399" s="1028" t="s">
        <v>322</v>
      </c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73"/>
      <c r="AJ399" s="1076">
        <f t="shared" si="24"/>
        <v>0</v>
      </c>
      <c r="AK399" s="1076">
        <f t="shared" si="25"/>
        <v>0</v>
      </c>
      <c r="AL399" s="635"/>
      <c r="AM399" s="266"/>
    </row>
    <row r="400" spans="1:40" s="51" customFormat="1" ht="19.149999999999999" customHeight="1" outlineLevel="1">
      <c r="A400" s="1025">
        <v>383</v>
      </c>
      <c r="B400" s="1025">
        <v>16</v>
      </c>
      <c r="C400" s="1025" t="str">
        <f>VLOOKUP(D400,'DS CN MOI UP'!$B$10:$C$347,2,0)</f>
        <v>02629</v>
      </c>
      <c r="D400" s="1028" t="s">
        <v>323</v>
      </c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73"/>
      <c r="AJ400" s="1076">
        <f t="shared" si="24"/>
        <v>0</v>
      </c>
      <c r="AK400" s="1076">
        <f t="shared" si="25"/>
        <v>0</v>
      </c>
      <c r="AL400" s="635"/>
      <c r="AM400" s="266"/>
    </row>
    <row r="401" spans="1:39" s="51" customFormat="1" ht="19.149999999999999" customHeight="1" outlineLevel="1">
      <c r="A401" s="1025">
        <v>384</v>
      </c>
      <c r="B401" s="1025">
        <v>17</v>
      </c>
      <c r="C401" s="1025" t="str">
        <f>VLOOKUP(D401,'DS CN MOI UP'!$B$10:$C$347,2,0)</f>
        <v>02630</v>
      </c>
      <c r="D401" s="1028" t="s">
        <v>324</v>
      </c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73"/>
      <c r="AJ401" s="1076">
        <f t="shared" si="24"/>
        <v>0</v>
      </c>
      <c r="AK401" s="1076">
        <f t="shared" si="25"/>
        <v>0</v>
      </c>
      <c r="AL401" s="635"/>
      <c r="AM401" s="266"/>
    </row>
    <row r="402" spans="1:39" s="51" customFormat="1" ht="19.149999999999999" customHeight="1" outlineLevel="1">
      <c r="A402" s="1025">
        <v>385</v>
      </c>
      <c r="B402" s="1025">
        <v>18</v>
      </c>
      <c r="C402" s="1025" t="str">
        <f>VLOOKUP(D402,'DS CN MOI UP'!$B$10:$C$347,2,0)</f>
        <v>02631</v>
      </c>
      <c r="D402" s="1028" t="s">
        <v>325</v>
      </c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73"/>
      <c r="AJ402" s="1076">
        <f t="shared" si="24"/>
        <v>0</v>
      </c>
      <c r="AK402" s="1076">
        <f t="shared" si="25"/>
        <v>0</v>
      </c>
      <c r="AL402" s="635"/>
      <c r="AM402" s="266"/>
    </row>
    <row r="403" spans="1:39" s="51" customFormat="1" ht="19.149999999999999" customHeight="1" outlineLevel="1">
      <c r="A403" s="1025">
        <v>386</v>
      </c>
      <c r="B403" s="1025">
        <v>19</v>
      </c>
      <c r="C403" s="1025" t="str">
        <f>VLOOKUP(D403,'DS CN MOI UP'!$B$10:$C$347,2,0)</f>
        <v>02632</v>
      </c>
      <c r="D403" s="1028" t="s">
        <v>326</v>
      </c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73"/>
      <c r="AJ403" s="1076">
        <f t="shared" si="24"/>
        <v>0</v>
      </c>
      <c r="AK403" s="1076">
        <f t="shared" si="25"/>
        <v>0</v>
      </c>
      <c r="AL403" s="635"/>
      <c r="AM403" s="266"/>
    </row>
    <row r="404" spans="1:39" s="51" customFormat="1" ht="19.149999999999999" customHeight="1" outlineLevel="1">
      <c r="A404" s="1025">
        <v>387</v>
      </c>
      <c r="B404" s="1025">
        <v>20</v>
      </c>
      <c r="C404" s="1025" t="str">
        <f>VLOOKUP(D404,'DS CN MOI UP'!$B$10:$C$347,2,0)</f>
        <v>02633</v>
      </c>
      <c r="D404" s="1028" t="s">
        <v>327</v>
      </c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73"/>
      <c r="AJ404" s="1076">
        <f t="shared" si="24"/>
        <v>0</v>
      </c>
      <c r="AK404" s="1076">
        <f t="shared" si="25"/>
        <v>0</v>
      </c>
      <c r="AL404" s="635"/>
      <c r="AM404" s="266"/>
    </row>
    <row r="405" spans="1:39" s="51" customFormat="1" ht="19.149999999999999" customHeight="1" outlineLevel="1">
      <c r="A405" s="1025">
        <v>388</v>
      </c>
      <c r="B405" s="1025">
        <v>21</v>
      </c>
      <c r="C405" s="1025">
        <f>VLOOKUP(D405,'DS CN MOI UP'!$B$10:$C$347,2,0)</f>
        <v>3863</v>
      </c>
      <c r="D405" s="1028" t="s">
        <v>328</v>
      </c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73"/>
      <c r="AJ405" s="1076">
        <f t="shared" si="24"/>
        <v>0</v>
      </c>
      <c r="AK405" s="1076">
        <f t="shared" si="25"/>
        <v>0</v>
      </c>
      <c r="AL405" s="635"/>
      <c r="AM405" s="266"/>
    </row>
    <row r="406" spans="1:39" s="51" customFormat="1" ht="19.149999999999999" customHeight="1" outlineLevel="1">
      <c r="A406" s="1025">
        <v>389</v>
      </c>
      <c r="B406" s="1025">
        <v>22</v>
      </c>
      <c r="C406" s="1025" t="str">
        <f>VLOOKUP(D406,'DS CN MOI UP'!$B$10:$C$347,2,0)</f>
        <v>02635</v>
      </c>
      <c r="D406" s="1028" t="s">
        <v>329</v>
      </c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73"/>
      <c r="AJ406" s="1076">
        <f t="shared" si="24"/>
        <v>0</v>
      </c>
      <c r="AK406" s="1076">
        <f t="shared" si="25"/>
        <v>0</v>
      </c>
      <c r="AL406" s="635"/>
      <c r="AM406" s="266"/>
    </row>
    <row r="407" spans="1:39" s="51" customFormat="1" ht="19.149999999999999" customHeight="1" outlineLevel="1">
      <c r="A407" s="1025">
        <v>390</v>
      </c>
      <c r="B407" s="1025">
        <v>23</v>
      </c>
      <c r="C407" s="1025" t="e">
        <f>VLOOKUP(D407,'DS CN MOI UP'!$B$10:$C$347,2,0)</f>
        <v>#N/A</v>
      </c>
      <c r="D407" s="1028" t="s">
        <v>286</v>
      </c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73"/>
      <c r="AJ407" s="1076">
        <f t="shared" si="24"/>
        <v>0</v>
      </c>
      <c r="AK407" s="1076">
        <f t="shared" si="25"/>
        <v>0</v>
      </c>
      <c r="AL407" s="635"/>
      <c r="AM407" s="266"/>
    </row>
    <row r="408" spans="1:39" s="51" customFormat="1" ht="19.149999999999999" customHeight="1" outlineLevel="1">
      <c r="A408" s="1025">
        <v>391</v>
      </c>
      <c r="B408" s="1025">
        <v>24</v>
      </c>
      <c r="C408" s="1025" t="str">
        <f>VLOOKUP(D408,'DS CN MOI UP'!$B$10:$C$347,2,0)</f>
        <v>02637</v>
      </c>
      <c r="D408" s="1028" t="s">
        <v>287</v>
      </c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73"/>
      <c r="AJ408" s="1076">
        <f t="shared" si="24"/>
        <v>0</v>
      </c>
      <c r="AK408" s="1076">
        <f t="shared" si="25"/>
        <v>0</v>
      </c>
      <c r="AL408" s="635"/>
      <c r="AM408" s="266"/>
    </row>
    <row r="409" spans="1:39" s="51" customFormat="1" ht="19.149999999999999" customHeight="1" outlineLevel="1">
      <c r="A409" s="1025">
        <v>392</v>
      </c>
      <c r="B409" s="1025">
        <v>25</v>
      </c>
      <c r="C409" s="1025" t="str">
        <f>VLOOKUP(D409,'DS CN MOI UP'!$B$10:$C$347,2,0)</f>
        <v>02638</v>
      </c>
      <c r="D409" s="1028" t="s">
        <v>288</v>
      </c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73"/>
      <c r="AJ409" s="1076">
        <f t="shared" si="24"/>
        <v>0</v>
      </c>
      <c r="AK409" s="1076">
        <f t="shared" si="25"/>
        <v>0</v>
      </c>
      <c r="AL409" s="635"/>
      <c r="AM409" s="266"/>
    </row>
    <row r="410" spans="1:39" s="51" customFormat="1" ht="19.149999999999999" customHeight="1" outlineLevel="1">
      <c r="A410" s="1025">
        <v>393</v>
      </c>
      <c r="B410" s="1025">
        <v>26</v>
      </c>
      <c r="C410" s="1025" t="str">
        <f>VLOOKUP(D410,'DS CN MOI UP'!$B$10:$C$347,2,0)</f>
        <v>02639</v>
      </c>
      <c r="D410" s="1028" t="s">
        <v>289</v>
      </c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73"/>
      <c r="AJ410" s="1076">
        <f t="shared" si="24"/>
        <v>0</v>
      </c>
      <c r="AK410" s="1076">
        <f t="shared" si="25"/>
        <v>0</v>
      </c>
      <c r="AL410" s="635"/>
      <c r="AM410" s="266"/>
    </row>
    <row r="411" spans="1:39" s="51" customFormat="1" ht="19.149999999999999" customHeight="1" outlineLevel="1">
      <c r="A411" s="1025">
        <v>394</v>
      </c>
      <c r="B411" s="1025">
        <v>27</v>
      </c>
      <c r="C411" s="1025" t="e">
        <f>VLOOKUP(D411,'DS CN MOI UP'!$B$10:$C$347,2,0)</f>
        <v>#N/A</v>
      </c>
      <c r="D411" s="1028" t="s">
        <v>290</v>
      </c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73"/>
      <c r="AJ411" s="1076">
        <f t="shared" si="24"/>
        <v>0</v>
      </c>
      <c r="AK411" s="1076">
        <f t="shared" si="25"/>
        <v>0</v>
      </c>
      <c r="AL411" s="635"/>
      <c r="AM411" s="266"/>
    </row>
    <row r="412" spans="1:39" s="51" customFormat="1" ht="19.149999999999999" customHeight="1" outlineLevel="1">
      <c r="A412" s="1025">
        <v>395</v>
      </c>
      <c r="B412" s="1025">
        <v>28</v>
      </c>
      <c r="C412" s="1025" t="str">
        <f>VLOOKUP(D412,'DS CN MOI UP'!$B$10:$C$347,2,0)</f>
        <v>02641</v>
      </c>
      <c r="D412" s="1028" t="s">
        <v>291</v>
      </c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73"/>
      <c r="AJ412" s="1076">
        <f t="shared" si="24"/>
        <v>0</v>
      </c>
      <c r="AK412" s="1076">
        <f t="shared" si="25"/>
        <v>0</v>
      </c>
      <c r="AL412" s="635"/>
      <c r="AM412" s="266"/>
    </row>
    <row r="413" spans="1:39" s="51" customFormat="1" ht="19.149999999999999" customHeight="1" outlineLevel="1">
      <c r="A413" s="1025">
        <v>396</v>
      </c>
      <c r="B413" s="1025">
        <v>29</v>
      </c>
      <c r="C413" s="1025" t="str">
        <f>VLOOKUP(D413,'DS CN MOI UP'!$B$10:$C$347,2,0)</f>
        <v>03406</v>
      </c>
      <c r="D413" s="1028" t="s">
        <v>292</v>
      </c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73"/>
      <c r="AJ413" s="1076">
        <f t="shared" si="24"/>
        <v>0</v>
      </c>
      <c r="AK413" s="1076">
        <f t="shared" si="25"/>
        <v>0</v>
      </c>
      <c r="AL413" s="635"/>
      <c r="AM413" s="266"/>
    </row>
    <row r="414" spans="1:39" s="51" customFormat="1" ht="19.149999999999999" customHeight="1" outlineLevel="1">
      <c r="A414" s="1025">
        <v>397</v>
      </c>
      <c r="B414" s="1025">
        <v>30</v>
      </c>
      <c r="C414" s="1025" t="str">
        <f>VLOOKUP(D414,'DS CN MOI UP'!$B$10:$C$347,2,0)</f>
        <v>02643</v>
      </c>
      <c r="D414" s="1028" t="s">
        <v>293</v>
      </c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73"/>
      <c r="AJ414" s="1076">
        <f t="shared" si="24"/>
        <v>0</v>
      </c>
      <c r="AK414" s="1076">
        <f t="shared" si="25"/>
        <v>0</v>
      </c>
      <c r="AL414" s="635"/>
      <c r="AM414" s="266"/>
    </row>
    <row r="415" spans="1:39" s="51" customFormat="1" ht="19.149999999999999" customHeight="1" outlineLevel="1">
      <c r="A415" s="1025">
        <v>398</v>
      </c>
      <c r="B415" s="1025">
        <v>31</v>
      </c>
      <c r="C415" s="1025" t="str">
        <f>VLOOKUP(D415,'DS CN MOI UP'!$B$10:$C$347,2,0)</f>
        <v>03407</v>
      </c>
      <c r="D415" s="1028" t="s">
        <v>294</v>
      </c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73"/>
      <c r="AJ415" s="1076">
        <f t="shared" si="24"/>
        <v>0</v>
      </c>
      <c r="AK415" s="1076">
        <f t="shared" si="25"/>
        <v>0</v>
      </c>
      <c r="AL415" s="635"/>
      <c r="AM415" s="266"/>
    </row>
    <row r="416" spans="1:39" s="51" customFormat="1" ht="19.149999999999999" customHeight="1" outlineLevel="1">
      <c r="A416" s="1025">
        <v>399</v>
      </c>
      <c r="B416" s="1025">
        <v>32</v>
      </c>
      <c r="C416" s="1025" t="str">
        <f>VLOOKUP(D416,'DS CN MOI UP'!$B$10:$C$347,2,0)</f>
        <v>03408</v>
      </c>
      <c r="D416" s="1028" t="s">
        <v>295</v>
      </c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73"/>
      <c r="AJ416" s="1076">
        <f t="shared" si="24"/>
        <v>0</v>
      </c>
      <c r="AK416" s="1076">
        <f t="shared" si="25"/>
        <v>0</v>
      </c>
      <c r="AL416" s="635"/>
      <c r="AM416" s="266"/>
    </row>
    <row r="417" spans="1:39" s="51" customFormat="1" ht="19.149999999999999" customHeight="1" outlineLevel="1">
      <c r="A417" s="1025">
        <v>400</v>
      </c>
      <c r="B417" s="1025">
        <v>33</v>
      </c>
      <c r="C417" s="1025" t="str">
        <f>VLOOKUP(D417,'DS CN MOI UP'!$B$10:$C$347,2,0)</f>
        <v>02646</v>
      </c>
      <c r="D417" s="1028" t="s">
        <v>296</v>
      </c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73"/>
      <c r="AJ417" s="1076">
        <f t="shared" si="24"/>
        <v>0</v>
      </c>
      <c r="AK417" s="1076">
        <f t="shared" si="25"/>
        <v>0</v>
      </c>
      <c r="AL417" s="635"/>
      <c r="AM417" s="266"/>
    </row>
    <row r="418" spans="1:39" s="51" customFormat="1" ht="19.149999999999999" customHeight="1" outlineLevel="1">
      <c r="A418" s="1025">
        <v>401</v>
      </c>
      <c r="B418" s="1025">
        <v>34</v>
      </c>
      <c r="C418" s="1025" t="str">
        <f>VLOOKUP(D418,'DS CN MOI UP'!$B$10:$C$347,2,0)</f>
        <v>02647</v>
      </c>
      <c r="D418" s="1028" t="s">
        <v>297</v>
      </c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73"/>
      <c r="AJ418" s="1076">
        <f t="shared" si="24"/>
        <v>0</v>
      </c>
      <c r="AK418" s="1076">
        <f t="shared" si="25"/>
        <v>0</v>
      </c>
      <c r="AL418" s="635"/>
      <c r="AM418" s="266"/>
    </row>
    <row r="419" spans="1:39" s="51" customFormat="1" ht="19.149999999999999" customHeight="1" outlineLevel="1">
      <c r="A419" s="1025">
        <v>402</v>
      </c>
      <c r="B419" s="1025">
        <v>35</v>
      </c>
      <c r="C419" s="1025" t="str">
        <f>VLOOKUP(D419,'DS CN MOI UP'!$B$10:$C$347,2,0)</f>
        <v>02648</v>
      </c>
      <c r="D419" s="1028" t="s">
        <v>298</v>
      </c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73"/>
      <c r="AJ419" s="1076">
        <f t="shared" si="24"/>
        <v>0</v>
      </c>
      <c r="AK419" s="1076">
        <f t="shared" si="25"/>
        <v>0</v>
      </c>
      <c r="AL419" s="635"/>
      <c r="AM419" s="266"/>
    </row>
    <row r="420" spans="1:39" s="51" customFormat="1" ht="19.149999999999999" customHeight="1" outlineLevel="1">
      <c r="A420" s="1025">
        <v>403</v>
      </c>
      <c r="B420" s="1025">
        <v>36</v>
      </c>
      <c r="C420" s="1025" t="str">
        <f>VLOOKUP(D420,'DS CN MOI UP'!$B$10:$C$347,2,0)</f>
        <v>02649</v>
      </c>
      <c r="D420" s="1028" t="s">
        <v>299</v>
      </c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73"/>
      <c r="AJ420" s="1076">
        <f t="shared" si="24"/>
        <v>0</v>
      </c>
      <c r="AK420" s="1076">
        <f t="shared" si="25"/>
        <v>0</v>
      </c>
      <c r="AL420" s="635"/>
      <c r="AM420" s="266"/>
    </row>
    <row r="421" spans="1:39" s="51" customFormat="1" ht="19.149999999999999" customHeight="1" outlineLevel="1">
      <c r="A421" s="1025">
        <v>404</v>
      </c>
      <c r="B421" s="1025">
        <v>37</v>
      </c>
      <c r="C421" s="1025" t="str">
        <f>VLOOKUP(D421,'DS CN MOI UP'!$B$10:$C$347,2,0)</f>
        <v>02650</v>
      </c>
      <c r="D421" s="1028" t="s">
        <v>300</v>
      </c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73"/>
      <c r="AJ421" s="1076">
        <f t="shared" si="24"/>
        <v>0</v>
      </c>
      <c r="AK421" s="1076">
        <f t="shared" si="25"/>
        <v>0</v>
      </c>
      <c r="AL421" s="635"/>
      <c r="AM421" s="266"/>
    </row>
    <row r="422" spans="1:39" s="51" customFormat="1" ht="19.149999999999999" customHeight="1" outlineLevel="1">
      <c r="A422" s="1025">
        <v>405</v>
      </c>
      <c r="B422" s="1025">
        <v>38</v>
      </c>
      <c r="C422" s="1025" t="str">
        <f>VLOOKUP(D422,'DS CN MOI UP'!$B$10:$C$347,2,0)</f>
        <v>02651</v>
      </c>
      <c r="D422" s="1028" t="s">
        <v>301</v>
      </c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73"/>
      <c r="AJ422" s="1076">
        <f t="shared" si="24"/>
        <v>0</v>
      </c>
      <c r="AK422" s="1076">
        <f t="shared" si="25"/>
        <v>0</v>
      </c>
      <c r="AL422" s="635"/>
      <c r="AM422" s="266"/>
    </row>
    <row r="423" spans="1:39" s="51" customFormat="1" ht="19.149999999999999" customHeight="1" outlineLevel="1">
      <c r="A423" s="1025">
        <v>406</v>
      </c>
      <c r="B423" s="1025">
        <v>39</v>
      </c>
      <c r="C423" s="1025" t="str">
        <f>VLOOKUP(D423,'DS CN MOI UP'!$B$10:$C$347,2,0)</f>
        <v>02652</v>
      </c>
      <c r="D423" s="1028" t="s">
        <v>302</v>
      </c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73"/>
      <c r="AJ423" s="1076">
        <f t="shared" si="24"/>
        <v>0</v>
      </c>
      <c r="AK423" s="1076">
        <f t="shared" si="25"/>
        <v>0</v>
      </c>
      <c r="AL423" s="635"/>
      <c r="AM423" s="266"/>
    </row>
    <row r="424" spans="1:39" s="51" customFormat="1" ht="19.149999999999999" customHeight="1" outlineLevel="1">
      <c r="A424" s="1025">
        <v>407</v>
      </c>
      <c r="B424" s="1025">
        <v>40</v>
      </c>
      <c r="C424" s="1025" t="e">
        <f>VLOOKUP(D424,'DS CN MOI UP'!$B$10:$C$347,2,0)</f>
        <v>#N/A</v>
      </c>
      <c r="D424" s="1028" t="s">
        <v>303</v>
      </c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73"/>
      <c r="AJ424" s="1076">
        <f t="shared" si="24"/>
        <v>0</v>
      </c>
      <c r="AK424" s="1076">
        <f t="shared" si="25"/>
        <v>0</v>
      </c>
      <c r="AL424" s="635"/>
      <c r="AM424" s="266"/>
    </row>
    <row r="425" spans="1:39" s="51" customFormat="1" ht="19.149999999999999" customHeight="1" outlineLevel="1">
      <c r="A425" s="1025">
        <v>408</v>
      </c>
      <c r="B425" s="1025">
        <v>41</v>
      </c>
      <c r="C425" s="1025" t="str">
        <f>VLOOKUP(D425,'DS CN MOI UP'!$B$10:$C$347,2,0)</f>
        <v>02654</v>
      </c>
      <c r="D425" s="1028" t="s">
        <v>304</v>
      </c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73"/>
      <c r="AJ425" s="1076">
        <f t="shared" si="24"/>
        <v>0</v>
      </c>
      <c r="AK425" s="1076">
        <f t="shared" si="25"/>
        <v>0</v>
      </c>
      <c r="AL425" s="635"/>
      <c r="AM425" s="266"/>
    </row>
    <row r="426" spans="1:39" s="1022" customFormat="1" ht="19.149999999999999" customHeight="1" outlineLevel="1">
      <c r="A426" s="1025">
        <v>409</v>
      </c>
      <c r="B426" s="1025">
        <v>42</v>
      </c>
      <c r="C426" s="1025" t="str">
        <f>VLOOKUP(D426,'DS CN MOI UP'!$B$10:$C$347,2,0)</f>
        <v>03861</v>
      </c>
      <c r="D426" s="1028" t="s">
        <v>305</v>
      </c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73"/>
      <c r="AJ426" s="1076">
        <f t="shared" si="24"/>
        <v>0</v>
      </c>
      <c r="AK426" s="1076">
        <f t="shared" si="25"/>
        <v>0</v>
      </c>
      <c r="AL426" s="635"/>
      <c r="AM426" s="266"/>
    </row>
    <row r="427" spans="1:39" s="51" customFormat="1" ht="19.149999999999999" customHeight="1" outlineLevel="1">
      <c r="A427" s="1025">
        <v>410</v>
      </c>
      <c r="B427" s="1025">
        <v>43</v>
      </c>
      <c r="C427" s="1025" t="str">
        <f>VLOOKUP(D427,'DS CN MOI UP'!$B$10:$C$347,2,0)</f>
        <v>03859</v>
      </c>
      <c r="D427" s="1028" t="s">
        <v>331</v>
      </c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73"/>
      <c r="AJ427" s="1076">
        <f t="shared" si="24"/>
        <v>0</v>
      </c>
      <c r="AK427" s="1076">
        <f t="shared" si="25"/>
        <v>0</v>
      </c>
      <c r="AL427" s="635"/>
      <c r="AM427" s="266"/>
    </row>
    <row r="428" spans="1:39" s="51" customFormat="1" ht="19.149999999999999" customHeight="1" outlineLevel="1">
      <c r="A428" s="1025">
        <v>411</v>
      </c>
      <c r="B428" s="1025">
        <v>44</v>
      </c>
      <c r="C428" s="1025" t="str">
        <f>VLOOKUP(D428,'DS CN MOI UP'!$B$10:$C$347,2,0)</f>
        <v>03411</v>
      </c>
      <c r="D428" s="1028" t="s">
        <v>332</v>
      </c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73"/>
      <c r="AJ428" s="1076">
        <f t="shared" si="24"/>
        <v>0</v>
      </c>
      <c r="AK428" s="1076">
        <f t="shared" si="25"/>
        <v>0</v>
      </c>
      <c r="AL428" s="635"/>
      <c r="AM428" s="266"/>
    </row>
    <row r="429" spans="1:39" s="51" customFormat="1" ht="19.149999999999999" customHeight="1" outlineLevel="1">
      <c r="A429" s="1025">
        <v>412</v>
      </c>
      <c r="B429" s="1025">
        <v>45</v>
      </c>
      <c r="C429" s="1025" t="e">
        <f>VLOOKUP(D429,'DS CN MOI UP'!$B$10:$C$347,2,0)</f>
        <v>#N/A</v>
      </c>
      <c r="D429" s="1028" t="s">
        <v>333</v>
      </c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73"/>
      <c r="AJ429" s="1076">
        <f t="shared" si="24"/>
        <v>0</v>
      </c>
      <c r="AK429" s="1076">
        <f t="shared" si="25"/>
        <v>0</v>
      </c>
      <c r="AL429" s="635"/>
      <c r="AM429" s="266"/>
    </row>
    <row r="430" spans="1:39" s="51" customFormat="1" ht="19.149999999999999" customHeight="1" outlineLevel="1">
      <c r="A430" s="1025">
        <v>413</v>
      </c>
      <c r="B430" s="1025">
        <v>46</v>
      </c>
      <c r="C430" s="1025" t="str">
        <f>VLOOKUP(D430,'DS CN MOI UP'!$B$10:$C$347,2,0)</f>
        <v>02625</v>
      </c>
      <c r="D430" s="1028" t="s">
        <v>334</v>
      </c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73"/>
      <c r="AJ430" s="1076">
        <f t="shared" si="24"/>
        <v>0</v>
      </c>
      <c r="AK430" s="1076">
        <f t="shared" si="25"/>
        <v>0</v>
      </c>
      <c r="AL430" s="635"/>
      <c r="AM430" s="266"/>
    </row>
    <row r="431" spans="1:39" s="51" customFormat="1" ht="19.149999999999999" customHeight="1">
      <c r="A431" s="1025">
        <v>414</v>
      </c>
      <c r="B431" s="1025">
        <v>47</v>
      </c>
      <c r="C431" s="1025" t="str">
        <f>VLOOKUP(D431,'DS CN MOI UP'!$B$10:$C$347,2,0)</f>
        <v>03862</v>
      </c>
      <c r="D431" s="1028" t="s">
        <v>335</v>
      </c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73"/>
      <c r="AJ431" s="1076">
        <f t="shared" si="24"/>
        <v>0</v>
      </c>
      <c r="AK431" s="1076">
        <f t="shared" si="25"/>
        <v>0</v>
      </c>
      <c r="AL431" s="635"/>
      <c r="AM431" s="266"/>
    </row>
    <row r="432" spans="1:39" s="51" customFormat="1" ht="19.149999999999999" customHeight="1">
      <c r="A432" s="1025">
        <v>415</v>
      </c>
      <c r="B432" s="1025">
        <v>48</v>
      </c>
      <c r="C432" s="1025" t="str">
        <f>VLOOKUP(D432,'DS CN MOI UP'!$B$10:$C$347,2,0)</f>
        <v>03413</v>
      </c>
      <c r="D432" s="1028" t="s">
        <v>336</v>
      </c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73"/>
      <c r="AJ432" s="1076">
        <f t="shared" si="24"/>
        <v>0</v>
      </c>
      <c r="AK432" s="1076">
        <f t="shared" si="25"/>
        <v>0</v>
      </c>
      <c r="AL432" s="635"/>
      <c r="AM432" s="266"/>
    </row>
    <row r="433" spans="1:39" s="51" customFormat="1" ht="19.149999999999999" customHeight="1" outlineLevel="1">
      <c r="A433" s="1025">
        <v>416</v>
      </c>
      <c r="B433" s="1025">
        <v>49</v>
      </c>
      <c r="C433" s="1025" t="str">
        <f>VLOOKUP(D433,'DS CN MOI UP'!$B$10:$C$347,2,0)</f>
        <v>03414</v>
      </c>
      <c r="D433" s="1028" t="s">
        <v>337</v>
      </c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73"/>
      <c r="AJ433" s="1076">
        <f t="shared" si="24"/>
        <v>0</v>
      </c>
      <c r="AK433" s="1076">
        <f t="shared" si="25"/>
        <v>0</v>
      </c>
      <c r="AL433" s="635"/>
      <c r="AM433" s="266"/>
    </row>
    <row r="434" spans="1:39" s="51" customFormat="1" ht="19.149999999999999" customHeight="1" outlineLevel="1">
      <c r="A434" s="1025">
        <v>417</v>
      </c>
      <c r="B434" s="1025">
        <v>50</v>
      </c>
      <c r="C434" s="1025" t="str">
        <f>VLOOKUP(D434,'DS CN MOI UP'!$B$10:$C$347,2,0)</f>
        <v>03415</v>
      </c>
      <c r="D434" s="1028" t="s">
        <v>338</v>
      </c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73"/>
      <c r="AJ434" s="1076">
        <f t="shared" si="24"/>
        <v>0</v>
      </c>
      <c r="AK434" s="1076">
        <f t="shared" si="25"/>
        <v>0</v>
      </c>
      <c r="AL434" s="635"/>
      <c r="AM434" s="266"/>
    </row>
    <row r="435" spans="1:39" s="51" customFormat="1" ht="19.149999999999999" customHeight="1" outlineLevel="1">
      <c r="A435" s="1025">
        <v>418</v>
      </c>
      <c r="B435" s="1025">
        <v>51</v>
      </c>
      <c r="C435" s="1025" t="e">
        <f>VLOOKUP(D435,'DS CN MOI UP'!$B$10:$C$347,2,0)</f>
        <v>#N/A</v>
      </c>
      <c r="D435" s="1028" t="s">
        <v>339</v>
      </c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73"/>
      <c r="AJ435" s="1076">
        <f t="shared" si="24"/>
        <v>0</v>
      </c>
      <c r="AK435" s="1076">
        <f t="shared" si="25"/>
        <v>0</v>
      </c>
      <c r="AL435" s="635"/>
      <c r="AM435" s="266"/>
    </row>
    <row r="436" spans="1:39" s="51" customFormat="1" ht="19.149999999999999" customHeight="1" outlineLevel="1">
      <c r="A436" s="1025">
        <v>419</v>
      </c>
      <c r="B436" s="1025">
        <v>52</v>
      </c>
      <c r="C436" s="1025" t="str">
        <f>VLOOKUP(D436,'DS CN MOI UP'!$B$10:$C$347,2,0)</f>
        <v>03417</v>
      </c>
      <c r="D436" s="1028" t="s">
        <v>340</v>
      </c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73"/>
      <c r="AJ436" s="1076">
        <f t="shared" si="24"/>
        <v>0</v>
      </c>
      <c r="AK436" s="1076">
        <f t="shared" si="25"/>
        <v>0</v>
      </c>
      <c r="AL436" s="635"/>
      <c r="AM436" s="266"/>
    </row>
    <row r="437" spans="1:39" s="51" customFormat="1" ht="19.149999999999999" customHeight="1" outlineLevel="1">
      <c r="A437" s="1025">
        <v>420</v>
      </c>
      <c r="B437" s="1025">
        <v>53</v>
      </c>
      <c r="C437" s="1025" t="str">
        <f>VLOOKUP(D437,'DS CN MOI UP'!$B$10:$C$347,2,0)</f>
        <v>03418</v>
      </c>
      <c r="D437" s="1028" t="s">
        <v>341</v>
      </c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73"/>
      <c r="AJ437" s="1076">
        <f t="shared" si="24"/>
        <v>0</v>
      </c>
      <c r="AK437" s="1076">
        <f t="shared" si="25"/>
        <v>0</v>
      </c>
      <c r="AL437" s="635"/>
      <c r="AM437" s="266"/>
    </row>
    <row r="438" spans="1:39" s="51" customFormat="1" ht="19.149999999999999" customHeight="1" outlineLevel="1">
      <c r="A438" s="1025">
        <v>421</v>
      </c>
      <c r="B438" s="1025">
        <v>54</v>
      </c>
      <c r="C438" s="1025" t="str">
        <f>VLOOKUP(D438,'DS CN MOI UP'!$B$10:$C$347,2,0)</f>
        <v>03419</v>
      </c>
      <c r="D438" s="1028" t="s">
        <v>342</v>
      </c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73"/>
      <c r="AJ438" s="1076">
        <f t="shared" si="24"/>
        <v>0</v>
      </c>
      <c r="AK438" s="1076">
        <f t="shared" si="25"/>
        <v>0</v>
      </c>
      <c r="AL438" s="635"/>
      <c r="AM438" s="266"/>
    </row>
    <row r="439" spans="1:39" s="51" customFormat="1" ht="19.149999999999999" customHeight="1" outlineLevel="1">
      <c r="A439" s="1025">
        <v>422</v>
      </c>
      <c r="B439" s="1025">
        <v>55</v>
      </c>
      <c r="C439" s="1025" t="str">
        <f>VLOOKUP(D439,'DS CN MOI UP'!$B$10:$C$347,2,0)</f>
        <v>03420</v>
      </c>
      <c r="D439" s="1028" t="s">
        <v>343</v>
      </c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73"/>
      <c r="AJ439" s="1076">
        <f t="shared" si="24"/>
        <v>0</v>
      </c>
      <c r="AK439" s="1076">
        <f t="shared" si="25"/>
        <v>0</v>
      </c>
      <c r="AL439" s="635"/>
      <c r="AM439" s="266"/>
    </row>
    <row r="440" spans="1:39" s="51" customFormat="1" ht="19.149999999999999" customHeight="1" outlineLevel="1">
      <c r="A440" s="1025">
        <v>423</v>
      </c>
      <c r="B440" s="1025">
        <v>56</v>
      </c>
      <c r="C440" s="1025" t="str">
        <f>VLOOKUP(D440,'DS CN MOI UP'!$B$10:$C$347,2,0)</f>
        <v>03385</v>
      </c>
      <c r="D440" s="1028" t="s">
        <v>344</v>
      </c>
      <c r="E440" s="1073"/>
      <c r="F440" s="1073"/>
      <c r="G440" s="1073"/>
      <c r="H440" s="1073"/>
      <c r="I440" s="1073"/>
      <c r="J440" s="1073"/>
      <c r="K440" s="1073"/>
      <c r="L440" s="1073"/>
      <c r="M440" s="1073"/>
      <c r="N440" s="1073"/>
      <c r="O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073"/>
      <c r="AE440" s="1073"/>
      <c r="AF440" s="1073"/>
      <c r="AG440" s="1073"/>
      <c r="AH440" s="1073"/>
      <c r="AI440" s="1073"/>
      <c r="AJ440" s="1076">
        <f t="shared" si="24"/>
        <v>0</v>
      </c>
      <c r="AK440" s="1076">
        <f t="shared" si="25"/>
        <v>0</v>
      </c>
      <c r="AL440" s="635"/>
      <c r="AM440" s="266"/>
    </row>
    <row r="441" spans="1:39" s="51" customFormat="1" ht="19.149999999999999" customHeight="1" outlineLevel="1">
      <c r="A441" s="1025">
        <v>424</v>
      </c>
      <c r="B441" s="1025">
        <v>57</v>
      </c>
      <c r="C441" s="1025" t="str">
        <f>VLOOKUP(D441,'DS CN MOI UP'!$B$10:$C$347,2,0)</f>
        <v>03422</v>
      </c>
      <c r="D441" s="1028" t="s">
        <v>345</v>
      </c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073"/>
      <c r="AE441" s="1073"/>
      <c r="AF441" s="1073"/>
      <c r="AG441" s="1073"/>
      <c r="AH441" s="1073"/>
      <c r="AI441" s="1073"/>
      <c r="AJ441" s="1076">
        <f t="shared" ref="AJ441" si="26">SUM(E441:AI441)</f>
        <v>0</v>
      </c>
      <c r="AK441" s="1076">
        <f t="shared" ref="AK441" si="27">AJ441*$AN$6</f>
        <v>0</v>
      </c>
      <c r="AL441" s="635"/>
      <c r="AM441" s="266"/>
    </row>
    <row r="442" spans="1:39" s="51" customFormat="1" ht="19.149999999999999" customHeight="1" outlineLevel="1">
      <c r="A442" s="1025">
        <v>424</v>
      </c>
      <c r="B442" s="1025">
        <v>57</v>
      </c>
      <c r="C442" s="1025" t="e">
        <f>VLOOKUP(D442,'DS CN MOI UP'!$B$10:$C$347,2,0)</f>
        <v>#N/A</v>
      </c>
      <c r="D442" s="1028" t="s">
        <v>346</v>
      </c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073"/>
      <c r="AE442" s="1073"/>
      <c r="AF442" s="1073"/>
      <c r="AG442" s="1073"/>
      <c r="AH442" s="1073"/>
      <c r="AI442" s="1073"/>
      <c r="AJ442" s="1076">
        <f t="shared" si="24"/>
        <v>0</v>
      </c>
      <c r="AK442" s="1076">
        <f t="shared" si="25"/>
        <v>0</v>
      </c>
      <c r="AL442" s="635"/>
      <c r="AM442" s="266"/>
    </row>
    <row r="443" spans="1:39" s="51" customFormat="1" ht="19.149999999999999" customHeight="1" outlineLevel="1">
      <c r="A443" s="1026" t="s">
        <v>1943</v>
      </c>
      <c r="B443" s="1026"/>
      <c r="C443" s="1025" t="e">
        <f>VLOOKUP(D443,'DS CN MOI UP'!$B$10:$C$347,2,0)</f>
        <v>#N/A</v>
      </c>
      <c r="D443" s="1026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79"/>
      <c r="AD443" s="1079"/>
      <c r="AE443" s="1079"/>
      <c r="AF443" s="1079"/>
      <c r="AG443" s="1079"/>
      <c r="AH443" s="1079"/>
      <c r="AI443" s="1079"/>
      <c r="AJ443" s="1079">
        <f>SUM(AJ444:AJ450)</f>
        <v>0</v>
      </c>
      <c r="AK443" s="1076">
        <f t="shared" si="25"/>
        <v>0</v>
      </c>
      <c r="AL443" s="1036"/>
    </row>
    <row r="444" spans="1:39" s="51" customFormat="1" ht="19.149999999999999" customHeight="1" outlineLevel="1">
      <c r="A444" s="1025">
        <v>428</v>
      </c>
      <c r="B444" s="1025">
        <v>1</v>
      </c>
      <c r="C444" s="1025" t="str">
        <f>VLOOKUP(D444,'DS CN MOI UP'!$B$10:$C$347,2,0)</f>
        <v>02658</v>
      </c>
      <c r="D444" s="1028" t="s">
        <v>278</v>
      </c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073"/>
      <c r="AE444" s="1073"/>
      <c r="AF444" s="1073"/>
      <c r="AG444" s="1073"/>
      <c r="AH444" s="1073"/>
      <c r="AI444" s="1073"/>
      <c r="AJ444" s="1076">
        <f t="shared" ref="AJ444:AJ450" si="28">SUM(E444:AI444)</f>
        <v>0</v>
      </c>
      <c r="AK444" s="1076">
        <f t="shared" si="25"/>
        <v>0</v>
      </c>
      <c r="AL444" s="635"/>
    </row>
    <row r="445" spans="1:39" s="51" customFormat="1" ht="19.149999999999999" customHeight="1">
      <c r="A445" s="1025">
        <v>429</v>
      </c>
      <c r="B445" s="1025">
        <v>2</v>
      </c>
      <c r="C445" s="1025" t="str">
        <f>VLOOKUP(D445,'DS CN MOI UP'!$B$10:$C$347,2,0)</f>
        <v>02705</v>
      </c>
      <c r="D445" s="1028" t="s">
        <v>279</v>
      </c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073"/>
      <c r="AE445" s="1073"/>
      <c r="AF445" s="1073"/>
      <c r="AG445" s="1073"/>
      <c r="AH445" s="1073"/>
      <c r="AI445" s="1073"/>
      <c r="AJ445" s="1076">
        <f t="shared" si="28"/>
        <v>0</v>
      </c>
      <c r="AK445" s="1076">
        <f t="shared" si="25"/>
        <v>0</v>
      </c>
      <c r="AL445" s="635"/>
    </row>
    <row r="446" spans="1:39" s="1022" customFormat="1" ht="19.149999999999999" customHeight="1" outlineLevel="1">
      <c r="A446" s="1025">
        <v>430</v>
      </c>
      <c r="B446" s="1025">
        <v>3</v>
      </c>
      <c r="C446" s="1025" t="str">
        <f>VLOOKUP(D446,'DS CN MOI UP'!$B$10:$C$347,2,0)</f>
        <v>02659</v>
      </c>
      <c r="D446" s="1028" t="s">
        <v>280</v>
      </c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073"/>
      <c r="AE446" s="1073"/>
      <c r="AF446" s="1073"/>
      <c r="AG446" s="1073"/>
      <c r="AH446" s="1073"/>
      <c r="AI446" s="1073"/>
      <c r="AJ446" s="1076">
        <f t="shared" si="28"/>
        <v>0</v>
      </c>
      <c r="AK446" s="1076">
        <f t="shared" si="25"/>
        <v>0</v>
      </c>
      <c r="AL446" s="635"/>
    </row>
    <row r="447" spans="1:39" s="51" customFormat="1" ht="19.149999999999999" customHeight="1" outlineLevel="1">
      <c r="A447" s="1025">
        <v>431</v>
      </c>
      <c r="B447" s="1025">
        <v>4</v>
      </c>
      <c r="C447" s="1025" t="str">
        <f>VLOOKUP(D447,'DS CN MOI UP'!$B$10:$C$347,2,0)</f>
        <v>02660</v>
      </c>
      <c r="D447" s="1028" t="s">
        <v>281</v>
      </c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073"/>
      <c r="AE447" s="1073"/>
      <c r="AF447" s="1073"/>
      <c r="AG447" s="1073"/>
      <c r="AH447" s="1073"/>
      <c r="AI447" s="1073"/>
      <c r="AJ447" s="1076">
        <f t="shared" si="28"/>
        <v>0</v>
      </c>
      <c r="AK447" s="1076">
        <f t="shared" si="25"/>
        <v>0</v>
      </c>
      <c r="AL447" s="635"/>
    </row>
    <row r="448" spans="1:39" s="1022" customFormat="1" ht="19.149999999999999" customHeight="1">
      <c r="A448" s="1025">
        <v>432</v>
      </c>
      <c r="B448" s="1025">
        <v>5</v>
      </c>
      <c r="C448" s="1025" t="str">
        <f>VLOOKUP(D448,'DS CN MOI UP'!$B$10:$C$347,2,0)</f>
        <v>02662</v>
      </c>
      <c r="D448" s="1028" t="s">
        <v>282</v>
      </c>
      <c r="E448" s="1073"/>
      <c r="F448" s="1073"/>
      <c r="G448" s="1073"/>
      <c r="H448" s="1073"/>
      <c r="I448" s="1073"/>
      <c r="J448" s="1073"/>
      <c r="K448" s="1073"/>
      <c r="L448" s="1073"/>
      <c r="M448" s="1073"/>
      <c r="N448" s="1073"/>
      <c r="O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073"/>
      <c r="AE448" s="1073"/>
      <c r="AF448" s="1073"/>
      <c r="AG448" s="1073"/>
      <c r="AH448" s="1073"/>
      <c r="AI448" s="1073"/>
      <c r="AJ448" s="1076">
        <f t="shared" si="28"/>
        <v>0</v>
      </c>
      <c r="AK448" s="1076">
        <f t="shared" si="25"/>
        <v>0</v>
      </c>
      <c r="AL448" s="635"/>
    </row>
    <row r="449" spans="1:40" s="51" customFormat="1" ht="19.149999999999999" customHeight="1" outlineLevel="1">
      <c r="A449" s="1025">
        <v>433</v>
      </c>
      <c r="B449" s="1025">
        <v>6</v>
      </c>
      <c r="C449" s="1025" t="str">
        <f>VLOOKUP(D449,'DS CN MOI UP'!$B$10:$C$347,2,0)</f>
        <v>02657</v>
      </c>
      <c r="D449" s="1028" t="s">
        <v>283</v>
      </c>
      <c r="E449" s="1073"/>
      <c r="F449" s="1073"/>
      <c r="G449" s="1073"/>
      <c r="H449" s="1073"/>
      <c r="I449" s="1073"/>
      <c r="J449" s="1073"/>
      <c r="K449" s="1073"/>
      <c r="L449" s="1073"/>
      <c r="M449" s="1073"/>
      <c r="N449" s="1073"/>
      <c r="O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073"/>
      <c r="AE449" s="1073"/>
      <c r="AF449" s="1073"/>
      <c r="AG449" s="1073"/>
      <c r="AH449" s="1073"/>
      <c r="AI449" s="1073"/>
      <c r="AJ449" s="1076">
        <f t="shared" si="28"/>
        <v>0</v>
      </c>
      <c r="AK449" s="1076">
        <f t="shared" si="25"/>
        <v>0</v>
      </c>
      <c r="AL449" s="635"/>
    </row>
    <row r="450" spans="1:40" s="1022" customFormat="1" ht="19.149999999999999" customHeight="1">
      <c r="A450" s="1025">
        <v>434</v>
      </c>
      <c r="B450" s="1025">
        <v>7</v>
      </c>
      <c r="C450" s="1025" t="str">
        <f>VLOOKUP(D450,'DS CN MOI UP'!$B$10:$C$347,2,0)</f>
        <v>02661</v>
      </c>
      <c r="D450" s="1028" t="s">
        <v>284</v>
      </c>
      <c r="E450" s="1073"/>
      <c r="F450" s="1073"/>
      <c r="G450" s="1073"/>
      <c r="H450" s="1073"/>
      <c r="I450" s="1073"/>
      <c r="J450" s="1073"/>
      <c r="K450" s="1073"/>
      <c r="L450" s="1073"/>
      <c r="M450" s="1073"/>
      <c r="N450" s="1073"/>
      <c r="O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073"/>
      <c r="AE450" s="1073"/>
      <c r="AF450" s="1073"/>
      <c r="AG450" s="1073"/>
      <c r="AH450" s="1073"/>
      <c r="AI450" s="1073"/>
      <c r="AJ450" s="1076">
        <f t="shared" si="28"/>
        <v>0</v>
      </c>
      <c r="AK450" s="1076">
        <f t="shared" si="25"/>
        <v>0</v>
      </c>
      <c r="AL450" s="635"/>
    </row>
    <row r="451" spans="1:40" s="1023" customFormat="1" ht="19.149999999999999" customHeight="1">
      <c r="A451" s="2442" t="s">
        <v>525</v>
      </c>
      <c r="B451" s="2442"/>
      <c r="C451" s="2442"/>
      <c r="D451" s="2442"/>
      <c r="E451" s="1081">
        <f t="shared" ref="E451:AK451" si="29">E311+E225+E110+E53+E9+E443+E384+E217+E205</f>
        <v>0</v>
      </c>
      <c r="F451" s="1081">
        <f t="shared" si="29"/>
        <v>0</v>
      </c>
      <c r="G451" s="1081">
        <f t="shared" si="29"/>
        <v>0</v>
      </c>
      <c r="H451" s="1081">
        <f t="shared" si="29"/>
        <v>0</v>
      </c>
      <c r="I451" s="1081">
        <f t="shared" si="29"/>
        <v>0</v>
      </c>
      <c r="J451" s="1081">
        <f t="shared" si="29"/>
        <v>0</v>
      </c>
      <c r="K451" s="1081">
        <f t="shared" si="29"/>
        <v>0</v>
      </c>
      <c r="L451" s="1081">
        <f t="shared" si="29"/>
        <v>0</v>
      </c>
      <c r="M451" s="1081">
        <f t="shared" si="29"/>
        <v>0</v>
      </c>
      <c r="N451" s="1081">
        <f t="shared" si="29"/>
        <v>0</v>
      </c>
      <c r="O451" s="1081">
        <f t="shared" si="29"/>
        <v>0</v>
      </c>
      <c r="P451" s="1081">
        <f t="shared" si="29"/>
        <v>0</v>
      </c>
      <c r="Q451" s="1081">
        <f t="shared" si="29"/>
        <v>0</v>
      </c>
      <c r="R451" s="1081">
        <f t="shared" si="29"/>
        <v>0</v>
      </c>
      <c r="S451" s="1081">
        <f t="shared" si="29"/>
        <v>0</v>
      </c>
      <c r="T451" s="1081">
        <f t="shared" si="29"/>
        <v>0</v>
      </c>
      <c r="U451" s="1081">
        <f t="shared" si="29"/>
        <v>0</v>
      </c>
      <c r="V451" s="1081">
        <f t="shared" si="29"/>
        <v>0</v>
      </c>
      <c r="W451" s="1081">
        <f t="shared" si="29"/>
        <v>0</v>
      </c>
      <c r="X451" s="1081">
        <f t="shared" si="29"/>
        <v>0</v>
      </c>
      <c r="Y451" s="1081">
        <f t="shared" si="29"/>
        <v>0</v>
      </c>
      <c r="Z451" s="1081">
        <f t="shared" si="29"/>
        <v>0</v>
      </c>
      <c r="AA451" s="1081">
        <f t="shared" si="29"/>
        <v>0</v>
      </c>
      <c r="AB451" s="1081">
        <f t="shared" si="29"/>
        <v>0</v>
      </c>
      <c r="AC451" s="1081">
        <f t="shared" si="29"/>
        <v>0</v>
      </c>
      <c r="AD451" s="1081">
        <f t="shared" si="29"/>
        <v>0</v>
      </c>
      <c r="AE451" s="1081">
        <f t="shared" si="29"/>
        <v>0</v>
      </c>
      <c r="AF451" s="1081">
        <f t="shared" si="29"/>
        <v>0</v>
      </c>
      <c r="AG451" s="1081">
        <f t="shared" si="29"/>
        <v>0</v>
      </c>
      <c r="AH451" s="1081">
        <f t="shared" si="29"/>
        <v>0</v>
      </c>
      <c r="AI451" s="1081">
        <f t="shared" si="29"/>
        <v>0</v>
      </c>
      <c r="AJ451" s="1081">
        <f t="shared" si="29"/>
        <v>0</v>
      </c>
      <c r="AK451" s="1081">
        <f t="shared" si="29"/>
        <v>0</v>
      </c>
      <c r="AL451" s="1041"/>
      <c r="AM451" s="1023" t="e">
        <f>+#REF!*0.4</f>
        <v>#REF!</v>
      </c>
      <c r="AN451" s="1060" t="e">
        <f>+#REF!</f>
        <v>#REF!</v>
      </c>
    </row>
    <row r="452" spans="1:40" s="1023" customFormat="1" ht="13.9" customHeight="1">
      <c r="A452" s="1042"/>
      <c r="B452" s="1042"/>
      <c r="C452" s="1042"/>
      <c r="D452" s="1042"/>
      <c r="E452" s="1043"/>
      <c r="F452" s="1043"/>
      <c r="G452" s="1043"/>
      <c r="H452" s="1043"/>
      <c r="I452" s="1043"/>
      <c r="J452" s="1043"/>
      <c r="K452" s="1043"/>
      <c r="L452" s="1043"/>
      <c r="M452" s="1043"/>
      <c r="N452" s="1043"/>
      <c r="O452" s="1043"/>
      <c r="P452" s="1043"/>
      <c r="Q452" s="1043"/>
      <c r="R452" s="1043"/>
      <c r="S452" s="1043"/>
      <c r="T452" s="1043"/>
      <c r="U452" s="1043"/>
      <c r="V452" s="1043"/>
      <c r="W452" s="1043"/>
      <c r="X452" s="1043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9"/>
      <c r="AK452" s="1059"/>
      <c r="AL452" s="1057"/>
      <c r="AN452" s="1060"/>
    </row>
    <row r="453" spans="1:40" ht="22.9" customHeight="1">
      <c r="A453" s="1044"/>
      <c r="B453" s="1044"/>
      <c r="C453" s="1044"/>
      <c r="D453" s="1045"/>
      <c r="E453" s="1046"/>
      <c r="F453" s="1046"/>
      <c r="G453" s="1047"/>
      <c r="H453" s="1047"/>
      <c r="I453" s="1047"/>
      <c r="J453" s="1053"/>
      <c r="K453" s="1047"/>
      <c r="L453" s="1047"/>
      <c r="M453" s="1047"/>
      <c r="N453" s="1054"/>
      <c r="O453" s="1054"/>
      <c r="P453" s="1054"/>
      <c r="Q453" s="1054"/>
      <c r="R453" s="1047"/>
      <c r="S453" s="1047"/>
      <c r="T453" s="1047"/>
      <c r="U453" s="1047"/>
      <c r="V453" s="1047"/>
      <c r="W453" s="1056"/>
      <c r="X453" s="1056"/>
      <c r="Z453" s="1056"/>
      <c r="AA453" s="1056"/>
      <c r="AB453" s="1056"/>
      <c r="AC453" s="1056"/>
      <c r="AD453" s="1056"/>
      <c r="AE453" s="1056"/>
      <c r="AF453" s="1056"/>
      <c r="AG453" s="1056"/>
      <c r="AI453" s="1056"/>
      <c r="AJ453" s="1056" t="s">
        <v>1967</v>
      </c>
      <c r="AK453" s="1056"/>
      <c r="AL453" s="1056"/>
      <c r="AN453" s="1061" t="e">
        <f>+#REF!-AN451</f>
        <v>#REF!</v>
      </c>
    </row>
    <row r="454" spans="1:40" s="410" customFormat="1" ht="12.75">
      <c r="A454" s="1048" t="s">
        <v>614</v>
      </c>
      <c r="B454" s="1049"/>
      <c r="C454" s="1049"/>
      <c r="D454" s="1048"/>
      <c r="E454" s="1048"/>
      <c r="F454" s="1048"/>
      <c r="K454" s="410" t="s">
        <v>1945</v>
      </c>
      <c r="R454" s="1048"/>
      <c r="S454" s="1048"/>
      <c r="T454" s="1048" t="s">
        <v>1946</v>
      </c>
      <c r="U454" s="1048"/>
      <c r="V454" s="1048"/>
      <c r="W454" s="1048"/>
      <c r="X454" s="1048"/>
      <c r="AA454" s="1048"/>
      <c r="AB454" s="1048"/>
      <c r="AC454" s="1048" t="s">
        <v>1947</v>
      </c>
    </row>
    <row r="455" spans="1:40">
      <c r="A455" s="1044"/>
      <c r="B455" s="1044"/>
      <c r="C455" s="1044"/>
      <c r="D455" s="1044"/>
      <c r="E455" s="1044"/>
      <c r="F455" s="1044"/>
      <c r="G455" s="1044"/>
      <c r="H455" s="1044"/>
      <c r="I455" s="1044"/>
      <c r="J455" s="1031"/>
      <c r="K455" s="1047"/>
      <c r="L455" s="1047"/>
      <c r="M455" s="1047"/>
      <c r="N455" s="1047"/>
      <c r="O455" s="1047"/>
      <c r="P455" s="1047"/>
      <c r="Q455" s="1053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58"/>
      <c r="AE455" s="1058"/>
      <c r="AF455" s="1058"/>
      <c r="AG455" s="1058"/>
      <c r="AH455" s="1058"/>
      <c r="AI455" s="1058"/>
      <c r="AJ455" s="142"/>
      <c r="AK455" s="142"/>
      <c r="AL455" s="142"/>
    </row>
    <row r="456" spans="1:40" ht="15.75">
      <c r="A456" s="1044"/>
      <c r="B456" s="1044"/>
      <c r="C456" s="1044"/>
      <c r="D456" s="1044"/>
      <c r="E456" s="1050"/>
      <c r="F456" s="1044"/>
      <c r="G456" s="1050"/>
      <c r="H456" s="1050"/>
      <c r="I456" s="1050"/>
      <c r="J456" s="1031"/>
      <c r="K456" s="1047"/>
      <c r="L456" s="1047"/>
      <c r="M456" s="1055"/>
      <c r="N456" s="1047"/>
      <c r="O456" s="1047"/>
      <c r="P456" s="1047"/>
      <c r="Q456" s="1053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58"/>
      <c r="AE456" s="1058"/>
      <c r="AF456" s="1058"/>
      <c r="AG456" s="1058"/>
      <c r="AH456" s="1058"/>
      <c r="AI456" s="1058"/>
      <c r="AJ456" s="142"/>
      <c r="AK456" s="142"/>
      <c r="AL456" s="142"/>
    </row>
    <row r="457" spans="1:40">
      <c r="A457" s="1044"/>
      <c r="B457" s="1044"/>
      <c r="C457" s="1044"/>
      <c r="D457" s="1044"/>
      <c r="E457" s="1047"/>
      <c r="F457" s="1047"/>
      <c r="G457" s="1047"/>
      <c r="H457" s="1047"/>
      <c r="I457" s="1047"/>
      <c r="J457" s="1031"/>
      <c r="K457" s="1047"/>
      <c r="L457" s="1047"/>
      <c r="M457" s="1047"/>
      <c r="N457" s="1047"/>
      <c r="O457" s="1047"/>
      <c r="P457" s="1047"/>
      <c r="Q457" s="1053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58"/>
      <c r="AE457" s="1058"/>
      <c r="AF457" s="1058"/>
      <c r="AG457" s="1058"/>
      <c r="AH457" s="1058"/>
      <c r="AI457" s="1058"/>
      <c r="AJ457" s="1055"/>
      <c r="AK457" s="1055"/>
      <c r="AL457" s="1055"/>
    </row>
    <row r="458" spans="1:40" ht="18" customHeight="1">
      <c r="A458" s="1044"/>
      <c r="B458" s="1044"/>
      <c r="C458" s="1044"/>
      <c r="D458" s="1044"/>
      <c r="E458" s="1047"/>
      <c r="F458" s="1047"/>
      <c r="G458" s="1047"/>
      <c r="H458" s="1047"/>
      <c r="I458" s="1047"/>
      <c r="J458" s="1031"/>
      <c r="K458" s="1047"/>
      <c r="L458" s="1047"/>
      <c r="M458" s="1047"/>
      <c r="N458" s="1047"/>
      <c r="O458" s="1047"/>
      <c r="P458" s="1047"/>
      <c r="Q458" s="1053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58"/>
      <c r="AE458" s="1058"/>
      <c r="AF458" s="1058"/>
      <c r="AG458" s="1058"/>
      <c r="AH458" s="1058"/>
      <c r="AI458" s="1058"/>
      <c r="AJ458" s="1055"/>
      <c r="AK458" s="1055"/>
      <c r="AL458" s="1055"/>
    </row>
    <row r="459" spans="1:40" s="51" customFormat="1" ht="12.75">
      <c r="A459" s="1051"/>
      <c r="B459" s="1051"/>
      <c r="C459" s="1051"/>
      <c r="D459" s="1051"/>
      <c r="E459" s="1047"/>
      <c r="F459" s="1047"/>
      <c r="G459" s="1047"/>
      <c r="H459" s="1047"/>
      <c r="I459" s="1047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7"/>
      <c r="AF459" s="1047"/>
      <c r="AG459" s="1047"/>
      <c r="AH459" s="1047"/>
      <c r="AI459" s="1047"/>
      <c r="AJ459" s="1044"/>
      <c r="AK459" s="1044"/>
      <c r="AL459" s="1044"/>
    </row>
    <row r="460" spans="1:40" s="51" customFormat="1" ht="11.25">
      <c r="A460" s="1051"/>
      <c r="B460" s="1051"/>
      <c r="C460" s="1051"/>
      <c r="D460" s="1051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  <c r="AK460" s="1051"/>
      <c r="AL460" s="1051"/>
    </row>
    <row r="461" spans="1:40" s="51" customFormat="1" ht="11.25">
      <c r="A461" s="1051"/>
      <c r="B461" s="1051"/>
      <c r="C461" s="1051"/>
      <c r="D461" s="1051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  <c r="AK461" s="1051"/>
      <c r="AL461" s="1051"/>
    </row>
    <row r="462" spans="1:40" s="51" customFormat="1" ht="11.25">
      <c r="A462" s="1051"/>
      <c r="B462" s="1051"/>
      <c r="C462" s="1051"/>
      <c r="D462" s="1051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  <c r="AK462" s="1051"/>
      <c r="AL462" s="1051"/>
    </row>
    <row r="463" spans="1:40" s="51" customFormat="1" ht="11.25">
      <c r="A463" s="1051"/>
      <c r="B463" s="1051"/>
      <c r="C463" s="1051"/>
      <c r="D463" s="1051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  <c r="AK463" s="1051"/>
      <c r="AL463" s="1051"/>
    </row>
    <row r="464" spans="1:40" s="51" customFormat="1" ht="11.25">
      <c r="A464" s="1051"/>
      <c r="B464" s="1051"/>
      <c r="C464" s="1051"/>
      <c r="D464" s="1051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  <c r="AK464" s="1051"/>
      <c r="AL464" s="1051"/>
    </row>
    <row r="465" spans="1:38" s="51" customFormat="1" ht="11.25">
      <c r="A465" s="1051"/>
      <c r="B465" s="1051"/>
      <c r="C465" s="1051"/>
      <c r="D465" s="1051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  <c r="AK465" s="1051"/>
      <c r="AL465" s="1051"/>
    </row>
    <row r="466" spans="1:38" s="51" customFormat="1" ht="11.25">
      <c r="A466" s="1051"/>
      <c r="B466" s="1051"/>
      <c r="C466" s="1051"/>
      <c r="D466" s="1051"/>
      <c r="E466" s="1052"/>
      <c r="F466" s="1052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  <c r="AK466" s="1051"/>
      <c r="AL466" s="1051"/>
    </row>
    <row r="467" spans="1:38" s="51" customFormat="1" ht="11.25">
      <c r="A467" s="1051"/>
      <c r="B467" s="1051"/>
      <c r="C467" s="1051"/>
      <c r="D467" s="1051"/>
      <c r="E467" s="1052"/>
      <c r="F467" s="1052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  <c r="AK467" s="1051"/>
      <c r="AL467" s="1051"/>
    </row>
    <row r="468" spans="1:38" s="51" customFormat="1" ht="11.25">
      <c r="A468" s="1051"/>
      <c r="B468" s="1051"/>
      <c r="C468" s="1051"/>
      <c r="D468" s="1051"/>
      <c r="E468" s="1052"/>
      <c r="F468" s="1052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  <c r="AK468" s="1051"/>
      <c r="AL468" s="1051"/>
    </row>
    <row r="469" spans="1:38" s="51" customFormat="1" ht="11.25">
      <c r="A469" s="1051"/>
      <c r="B469" s="1051"/>
      <c r="C469" s="1051"/>
      <c r="D469" s="1051"/>
      <c r="E469" s="1052"/>
      <c r="F469" s="1052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  <c r="AK469" s="1051"/>
      <c r="AL469" s="1051"/>
    </row>
    <row r="470" spans="1:38" s="51" customFormat="1" ht="11.25">
      <c r="A470" s="1051"/>
      <c r="B470" s="1051"/>
      <c r="C470" s="1051"/>
      <c r="D470" s="1051"/>
      <c r="E470" s="1051"/>
      <c r="F470" s="1051"/>
      <c r="G470" s="1051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  <c r="AK470" s="1051"/>
      <c r="AL470" s="1051"/>
    </row>
    <row r="471" spans="1:38" s="51" customFormat="1" ht="11.25">
      <c r="A471" s="1051"/>
      <c r="B471" s="1051"/>
      <c r="C471" s="1051"/>
      <c r="D471" s="1051"/>
      <c r="E471" s="1051"/>
      <c r="F471" s="1051"/>
      <c r="G471" s="1051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  <c r="AK471" s="1051"/>
      <c r="AL471" s="1051"/>
    </row>
    <row r="472" spans="1:38" s="51" customFormat="1" ht="11.25">
      <c r="A472" s="1051"/>
      <c r="B472" s="1051"/>
      <c r="C472" s="1051"/>
      <c r="D472" s="1051"/>
      <c r="E472" s="1051"/>
      <c r="F472" s="1051"/>
      <c r="G472" s="1051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  <c r="AK472" s="1051"/>
      <c r="AL472" s="1051"/>
    </row>
    <row r="473" spans="1:38" s="51" customFormat="1" ht="11.25">
      <c r="A473" s="1051"/>
      <c r="B473" s="1051"/>
      <c r="C473" s="1051"/>
      <c r="D473" s="1051"/>
      <c r="E473" s="1051"/>
      <c r="F473" s="1051"/>
      <c r="G473" s="1051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  <c r="AK473" s="1051"/>
      <c r="AL473" s="1051"/>
    </row>
    <row r="474" spans="1:38" s="51" customFormat="1" ht="11.25">
      <c r="A474" s="1051"/>
      <c r="B474" s="1051"/>
      <c r="C474" s="1051"/>
      <c r="D474" s="1051"/>
      <c r="E474" s="1051"/>
      <c r="F474" s="1051"/>
      <c r="G474" s="1051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  <c r="AK474" s="1051"/>
      <c r="AL474" s="1051"/>
    </row>
    <row r="475" spans="1:38" s="51" customFormat="1" ht="11.25">
      <c r="A475" s="1051"/>
      <c r="B475" s="1051"/>
      <c r="C475" s="1051"/>
      <c r="D475" s="1051"/>
      <c r="E475" s="1051"/>
      <c r="F475" s="1051"/>
      <c r="G475" s="1051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  <c r="AK475" s="1051"/>
      <c r="AL475" s="1051"/>
    </row>
    <row r="476" spans="1:38" s="51" customFormat="1" ht="11.25">
      <c r="A476" s="1051"/>
      <c r="B476" s="1051"/>
      <c r="C476" s="1051"/>
      <c r="D476" s="1051"/>
      <c r="E476" s="1051"/>
      <c r="F476" s="1051"/>
      <c r="G476" s="1051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  <c r="AK476" s="1051"/>
      <c r="AL476" s="1051"/>
    </row>
    <row r="477" spans="1:38" s="51" customFormat="1" ht="11.25">
      <c r="A477" s="1051"/>
      <c r="B477" s="1051"/>
      <c r="C477" s="1051"/>
      <c r="D477" s="1051"/>
      <c r="E477" s="1051"/>
      <c r="F477" s="1051"/>
      <c r="G477" s="1051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  <c r="AK477" s="1051"/>
      <c r="AL477" s="1051"/>
    </row>
    <row r="478" spans="1:38" s="51" customFormat="1" ht="11.25">
      <c r="A478" s="1051"/>
      <c r="B478" s="1051"/>
      <c r="C478" s="1051"/>
      <c r="D478" s="1051"/>
      <c r="E478" s="1051"/>
      <c r="F478" s="1051"/>
      <c r="G478" s="1051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  <c r="AK478" s="1051"/>
      <c r="AL478" s="1051"/>
    </row>
    <row r="479" spans="1:38" s="51" customFormat="1" ht="11.25">
      <c r="A479" s="1051"/>
      <c r="B479" s="1051"/>
      <c r="C479" s="1051"/>
      <c r="D479" s="1051"/>
      <c r="E479" s="1051"/>
      <c r="F479" s="1051"/>
      <c r="G479" s="1051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  <c r="AK479" s="1051"/>
      <c r="AL479" s="1051"/>
    </row>
    <row r="480" spans="1:38" s="51" customFormat="1" ht="11.25">
      <c r="A480" s="1051"/>
      <c r="B480" s="1051"/>
      <c r="C480" s="1051"/>
      <c r="D480" s="1051"/>
      <c r="E480" s="1051"/>
      <c r="F480" s="1051"/>
      <c r="G480" s="1051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  <c r="AK480" s="1051"/>
      <c r="AL480" s="1051"/>
    </row>
    <row r="481" spans="1:38" s="51" customFormat="1" ht="11.25">
      <c r="A481" s="1051"/>
      <c r="B481" s="1051"/>
      <c r="C481" s="1051"/>
      <c r="D481" s="1051"/>
      <c r="E481" s="1051"/>
      <c r="F481" s="1051"/>
      <c r="G481" s="1051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  <c r="AK481" s="1051"/>
      <c r="AL481" s="1051"/>
    </row>
    <row r="482" spans="1:38" s="51" customFormat="1" ht="11.25">
      <c r="A482" s="1051"/>
      <c r="B482" s="1051"/>
      <c r="C482" s="1051"/>
      <c r="D482" s="1051"/>
      <c r="E482" s="1051"/>
      <c r="F482" s="1051"/>
      <c r="G482" s="1051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  <c r="AK482" s="1051"/>
      <c r="AL482" s="1051"/>
    </row>
    <row r="483" spans="1:38" s="51" customFormat="1" ht="11.25">
      <c r="A483" s="1051"/>
      <c r="B483" s="1051"/>
      <c r="C483" s="1051"/>
      <c r="D483" s="1051"/>
      <c r="E483" s="1051"/>
      <c r="F483" s="1051"/>
      <c r="G483" s="1051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  <c r="AK483" s="1051"/>
      <c r="AL483" s="1051"/>
    </row>
    <row r="484" spans="1:38" s="51" customFormat="1" ht="11.25">
      <c r="A484" s="1051"/>
      <c r="B484" s="1051"/>
      <c r="C484" s="1051"/>
      <c r="D484" s="1051"/>
      <c r="E484" s="1051"/>
      <c r="F484" s="1051"/>
      <c r="G484" s="1051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  <c r="AK484" s="1051"/>
      <c r="AL484" s="1051"/>
    </row>
    <row r="485" spans="1:38" s="51" customFormat="1" ht="11.25">
      <c r="A485" s="1051"/>
      <c r="B485" s="1051"/>
      <c r="C485" s="1051"/>
      <c r="D485" s="1051"/>
      <c r="E485" s="1051"/>
      <c r="F485" s="1051"/>
      <c r="G485" s="1051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  <c r="AK485" s="1051"/>
      <c r="AL485" s="1051"/>
    </row>
    <row r="486" spans="1:38" s="51" customFormat="1" ht="11.25">
      <c r="A486" s="1051"/>
      <c r="B486" s="1051"/>
      <c r="C486" s="1051"/>
      <c r="D486" s="1051"/>
      <c r="E486" s="1051"/>
      <c r="F486" s="1051"/>
      <c r="G486" s="1051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  <c r="AK486" s="1051"/>
      <c r="AL486" s="1051"/>
    </row>
    <row r="487" spans="1:38" s="51" customFormat="1" ht="11.25">
      <c r="A487" s="1051"/>
      <c r="B487" s="1051"/>
      <c r="C487" s="1051"/>
      <c r="D487" s="1051"/>
      <c r="E487" s="1051"/>
      <c r="F487" s="1051"/>
      <c r="G487" s="1051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  <c r="AK487" s="1051"/>
      <c r="AL487" s="1051"/>
    </row>
    <row r="488" spans="1:38" s="51" customFormat="1" ht="11.25">
      <c r="A488" s="1051"/>
      <c r="B488" s="1051"/>
      <c r="C488" s="1051"/>
      <c r="D488" s="1051"/>
      <c r="E488" s="1051"/>
      <c r="F488" s="1051"/>
      <c r="G488" s="1051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  <c r="AK488" s="1051"/>
      <c r="AL488" s="1051"/>
    </row>
    <row r="489" spans="1:38" s="51" customFormat="1" ht="11.25">
      <c r="A489" s="1051"/>
      <c r="B489" s="1051"/>
      <c r="C489" s="1051"/>
      <c r="D489" s="1051"/>
      <c r="E489" s="1051"/>
      <c r="F489" s="1051"/>
      <c r="G489" s="1051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  <c r="AK489" s="1051"/>
      <c r="AL489" s="1051"/>
    </row>
    <row r="490" spans="1:38" s="51" customFormat="1" ht="11.25">
      <c r="A490" s="1051"/>
      <c r="B490" s="1051"/>
      <c r="C490" s="1051"/>
      <c r="D490" s="1051"/>
      <c r="E490" s="1051"/>
      <c r="F490" s="1051"/>
      <c r="G490" s="1051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  <c r="AK490" s="1051"/>
      <c r="AL490" s="1051"/>
    </row>
    <row r="491" spans="1:38" s="51" customFormat="1" ht="11.25">
      <c r="A491" s="1051"/>
      <c r="B491" s="1051"/>
      <c r="C491" s="1051"/>
      <c r="D491" s="1051"/>
      <c r="E491" s="1051"/>
      <c r="F491" s="1051"/>
      <c r="G491" s="1051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  <c r="AK491" s="1051"/>
      <c r="AL491" s="1051"/>
    </row>
    <row r="492" spans="1:38" s="51" customFormat="1" ht="11.25">
      <c r="A492" s="1051"/>
      <c r="B492" s="1051"/>
      <c r="C492" s="1051"/>
      <c r="D492" s="1051"/>
      <c r="E492" s="1051"/>
      <c r="F492" s="1051"/>
      <c r="G492" s="1051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52"/>
      <c r="AF492" s="1052"/>
      <c r="AG492" s="1052"/>
      <c r="AH492" s="1052"/>
      <c r="AI492" s="1052"/>
      <c r="AJ492" s="1051"/>
      <c r="AK492" s="1051"/>
      <c r="AL492" s="1051"/>
    </row>
    <row r="493" spans="1:38" s="51" customFormat="1" ht="11.25">
      <c r="A493" s="1051"/>
      <c r="B493" s="1051"/>
      <c r="C493" s="1051"/>
      <c r="D493" s="1051"/>
      <c r="E493" s="1051"/>
      <c r="F493" s="1051"/>
      <c r="G493" s="1051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52"/>
      <c r="AF493" s="1052"/>
      <c r="AG493" s="1052"/>
      <c r="AH493" s="1052"/>
      <c r="AI493" s="1052"/>
      <c r="AJ493" s="1051"/>
      <c r="AK493" s="1051"/>
      <c r="AL493" s="1051"/>
    </row>
    <row r="494" spans="1:38" s="51" customFormat="1" ht="11.25">
      <c r="A494" s="1051"/>
      <c r="B494" s="1051"/>
      <c r="C494" s="1051"/>
      <c r="D494" s="1051"/>
      <c r="E494" s="1051"/>
      <c r="F494" s="1051"/>
      <c r="G494" s="1051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52"/>
      <c r="AF494" s="1052"/>
      <c r="AG494" s="1052"/>
      <c r="AH494" s="1052"/>
      <c r="AI494" s="1052"/>
      <c r="AJ494" s="1051"/>
      <c r="AK494" s="1051"/>
      <c r="AL494" s="1051"/>
    </row>
    <row r="495" spans="1:38" s="51" customFormat="1" ht="11.25">
      <c r="A495" s="1051"/>
      <c r="B495" s="1051"/>
      <c r="C495" s="1051"/>
      <c r="D495" s="1051"/>
      <c r="E495" s="1051"/>
      <c r="F495" s="1051"/>
      <c r="G495" s="1051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52"/>
      <c r="AF495" s="1052"/>
      <c r="AG495" s="1052"/>
      <c r="AH495" s="1052"/>
      <c r="AI495" s="1052"/>
      <c r="AJ495" s="1051"/>
      <c r="AK495" s="1051"/>
      <c r="AL495" s="1051"/>
    </row>
    <row r="496" spans="1:38" s="51" customFormat="1" ht="11.25">
      <c r="A496" s="1051"/>
      <c r="B496" s="1051"/>
      <c r="C496" s="1051"/>
      <c r="D496" s="1051"/>
      <c r="E496" s="1051"/>
      <c r="F496" s="1051"/>
      <c r="G496" s="1051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1"/>
      <c r="AD496" s="1051"/>
      <c r="AE496" s="1051"/>
      <c r="AF496" s="1051"/>
      <c r="AG496" s="1051"/>
      <c r="AH496" s="1051"/>
      <c r="AI496" s="1051"/>
      <c r="AJ496" s="1051"/>
      <c r="AK496" s="1051"/>
      <c r="AL496" s="1051"/>
    </row>
    <row r="497" spans="1:38" s="51" customFormat="1" ht="11.25">
      <c r="A497" s="1051"/>
      <c r="B497" s="1051"/>
      <c r="C497" s="1051"/>
      <c r="D497" s="1051"/>
      <c r="E497" s="1051"/>
      <c r="F497" s="1051"/>
      <c r="G497" s="1051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1"/>
      <c r="AD497" s="1051"/>
      <c r="AE497" s="1051"/>
      <c r="AF497" s="1051"/>
      <c r="AG497" s="1051"/>
      <c r="AH497" s="1051"/>
      <c r="AI497" s="1051"/>
      <c r="AJ497" s="1051"/>
      <c r="AK497" s="1051"/>
      <c r="AL497" s="1051"/>
    </row>
    <row r="498" spans="1:38" s="51" customFormat="1" ht="11.25">
      <c r="A498" s="1051"/>
      <c r="B498" s="1051"/>
      <c r="C498" s="1051"/>
      <c r="D498" s="1051"/>
      <c r="E498" s="1051"/>
      <c r="F498" s="1051"/>
      <c r="G498" s="1051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1"/>
      <c r="AD498" s="1051"/>
      <c r="AE498" s="1051"/>
      <c r="AF498" s="1051"/>
      <c r="AG498" s="1051"/>
      <c r="AH498" s="1051"/>
      <c r="AI498" s="1051"/>
      <c r="AJ498" s="1051"/>
      <c r="AK498" s="1051"/>
      <c r="AL498" s="1051"/>
    </row>
    <row r="499" spans="1:38" s="51" customFormat="1" ht="11.25">
      <c r="A499" s="1051"/>
      <c r="B499" s="1051"/>
      <c r="C499" s="1051"/>
      <c r="D499" s="1051"/>
      <c r="E499" s="1051"/>
      <c r="F499" s="1051"/>
      <c r="G499" s="1051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1"/>
      <c r="AD499" s="1051"/>
      <c r="AE499" s="1051"/>
      <c r="AF499" s="1051"/>
      <c r="AG499" s="1051"/>
      <c r="AH499" s="1051"/>
      <c r="AI499" s="1051"/>
      <c r="AJ499" s="1051"/>
      <c r="AK499" s="1051"/>
      <c r="AL499" s="1051"/>
    </row>
    <row r="500" spans="1:38" s="51" customFormat="1" ht="11.25">
      <c r="A500" s="1051"/>
      <c r="B500" s="1051"/>
      <c r="C500" s="1051"/>
      <c r="D500" s="1051"/>
      <c r="E500" s="1051"/>
      <c r="F500" s="1051"/>
      <c r="G500" s="1051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1"/>
      <c r="AD500" s="1051"/>
      <c r="AE500" s="1051"/>
      <c r="AF500" s="1051"/>
      <c r="AG500" s="1051"/>
      <c r="AH500" s="1051"/>
      <c r="AI500" s="1051"/>
      <c r="AJ500" s="1051"/>
      <c r="AK500" s="1051"/>
      <c r="AL500" s="1051"/>
    </row>
    <row r="501" spans="1:38" s="51" customFormat="1" ht="11.25">
      <c r="A501" s="1051"/>
      <c r="B501" s="1051"/>
      <c r="C501" s="1051"/>
      <c r="D501" s="1051"/>
      <c r="E501" s="1051"/>
      <c r="F501" s="1051"/>
      <c r="G501" s="1051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1"/>
      <c r="AD501" s="1051"/>
      <c r="AE501" s="1051"/>
      <c r="AF501" s="1051"/>
      <c r="AG501" s="1051"/>
      <c r="AH501" s="1051"/>
      <c r="AI501" s="1051"/>
      <c r="AJ501" s="1051"/>
      <c r="AK501" s="1051"/>
      <c r="AL501" s="1051"/>
    </row>
    <row r="502" spans="1:38" s="51" customFormat="1" ht="11.25">
      <c r="A502" s="1051"/>
      <c r="B502" s="1051"/>
      <c r="C502" s="1051"/>
      <c r="D502" s="1051"/>
      <c r="E502" s="1051"/>
      <c r="F502" s="1051"/>
      <c r="G502" s="1051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1"/>
      <c r="AD502" s="1051"/>
      <c r="AE502" s="1051"/>
      <c r="AF502" s="1051"/>
      <c r="AG502" s="1051"/>
      <c r="AH502" s="1051"/>
      <c r="AI502" s="1051"/>
      <c r="AJ502" s="1051"/>
      <c r="AK502" s="1051"/>
      <c r="AL502" s="1051"/>
    </row>
    <row r="503" spans="1:38" s="51" customFormat="1" ht="11.25">
      <c r="A503" s="1051"/>
      <c r="B503" s="1051"/>
      <c r="C503" s="1051"/>
      <c r="D503" s="1051"/>
      <c r="E503" s="1051"/>
      <c r="F503" s="1051"/>
      <c r="G503" s="1051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1"/>
      <c r="AD503" s="1051"/>
      <c r="AE503" s="1051"/>
      <c r="AF503" s="1051"/>
      <c r="AG503" s="1051"/>
      <c r="AH503" s="1051"/>
      <c r="AI503" s="1051"/>
      <c r="AJ503" s="1051"/>
      <c r="AK503" s="1051"/>
      <c r="AL503" s="1051"/>
    </row>
    <row r="504" spans="1:38" s="51" customFormat="1" ht="11.25">
      <c r="A504" s="1051"/>
      <c r="B504" s="1051"/>
      <c r="C504" s="1051"/>
      <c r="D504" s="1051"/>
      <c r="E504" s="1051"/>
      <c r="F504" s="1051"/>
      <c r="G504" s="1051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1"/>
      <c r="AD504" s="1051"/>
      <c r="AE504" s="1051"/>
      <c r="AF504" s="1051"/>
      <c r="AG504" s="1051"/>
      <c r="AH504" s="1051"/>
      <c r="AI504" s="1051"/>
      <c r="AJ504" s="1051"/>
      <c r="AK504" s="1051"/>
      <c r="AL504" s="1051"/>
    </row>
    <row r="505" spans="1:38" s="51" customFormat="1" ht="11.25">
      <c r="A505" s="1051"/>
      <c r="B505" s="1051"/>
      <c r="C505" s="1051"/>
      <c r="D505" s="1051"/>
      <c r="E505" s="1051"/>
      <c r="F505" s="1051"/>
      <c r="G505" s="1051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1"/>
      <c r="AD505" s="1051"/>
      <c r="AE505" s="1051"/>
      <c r="AF505" s="1051"/>
      <c r="AG505" s="1051"/>
      <c r="AH505" s="1051"/>
      <c r="AI505" s="1051"/>
      <c r="AJ505" s="1051"/>
      <c r="AK505" s="1051"/>
      <c r="AL505" s="1051"/>
    </row>
    <row r="506" spans="1:38" s="51" customFormat="1" ht="11.25">
      <c r="A506" s="1051"/>
      <c r="B506" s="1051"/>
      <c r="C506" s="1051"/>
      <c r="D506" s="1051"/>
      <c r="E506" s="1051"/>
      <c r="F506" s="1051"/>
      <c r="G506" s="1051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1"/>
      <c r="AD506" s="1051"/>
      <c r="AE506" s="1051"/>
      <c r="AF506" s="1051"/>
      <c r="AG506" s="1051"/>
      <c r="AH506" s="1051"/>
      <c r="AI506" s="1051"/>
      <c r="AJ506" s="1051"/>
      <c r="AK506" s="1051"/>
      <c r="AL506" s="1051"/>
    </row>
    <row r="507" spans="1:38" s="51" customFormat="1" ht="11.25">
      <c r="A507" s="1051"/>
      <c r="B507" s="1051"/>
      <c r="C507" s="1051"/>
      <c r="D507" s="1051"/>
      <c r="E507" s="1051"/>
      <c r="F507" s="1051"/>
      <c r="G507" s="1051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1"/>
      <c r="AD507" s="1051"/>
      <c r="AE507" s="1051"/>
      <c r="AF507" s="1051"/>
      <c r="AG507" s="1051"/>
      <c r="AH507" s="1051"/>
      <c r="AI507" s="1051"/>
      <c r="AJ507" s="1051"/>
      <c r="AK507" s="1051"/>
      <c r="AL507" s="1051"/>
    </row>
    <row r="508" spans="1:38" s="51" customFormat="1" ht="11.25">
      <c r="A508" s="1051"/>
      <c r="B508" s="1051"/>
      <c r="C508" s="1051"/>
      <c r="D508" s="1051"/>
      <c r="E508" s="1051"/>
      <c r="F508" s="1051"/>
      <c r="G508" s="1051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1"/>
      <c r="AD508" s="1051"/>
      <c r="AE508" s="1051"/>
      <c r="AF508" s="1051"/>
      <c r="AG508" s="1051"/>
      <c r="AH508" s="1051"/>
      <c r="AI508" s="1051"/>
      <c r="AJ508" s="1051"/>
      <c r="AK508" s="1051"/>
      <c r="AL508" s="1051"/>
    </row>
    <row r="509" spans="1:38" s="51" customFormat="1" ht="11.25">
      <c r="A509" s="1051"/>
      <c r="B509" s="1051"/>
      <c r="C509" s="1051"/>
      <c r="D509" s="1051"/>
      <c r="E509" s="1051"/>
      <c r="F509" s="1051"/>
      <c r="G509" s="1051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1"/>
      <c r="AD509" s="1051"/>
      <c r="AE509" s="1051"/>
      <c r="AF509" s="1051"/>
      <c r="AG509" s="1051"/>
      <c r="AH509" s="1051"/>
      <c r="AI509" s="1051"/>
      <c r="AJ509" s="1051"/>
      <c r="AK509" s="1051"/>
      <c r="AL509" s="1051"/>
    </row>
    <row r="510" spans="1:38" s="51" customFormat="1" ht="11.25">
      <c r="A510" s="1051"/>
      <c r="B510" s="1051"/>
      <c r="C510" s="1051"/>
      <c r="D510" s="1051"/>
      <c r="E510" s="1051"/>
      <c r="F510" s="1051"/>
      <c r="G510" s="1051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1"/>
      <c r="AD510" s="1051"/>
      <c r="AE510" s="1051"/>
      <c r="AF510" s="1051"/>
      <c r="AG510" s="1051"/>
      <c r="AH510" s="1051"/>
      <c r="AI510" s="1051"/>
      <c r="AJ510" s="1051"/>
      <c r="AK510" s="1051"/>
      <c r="AL510" s="1051"/>
    </row>
    <row r="511" spans="1:38" s="51" customFormat="1" ht="11.25">
      <c r="A511" s="1051"/>
      <c r="B511" s="1051"/>
      <c r="C511" s="1051"/>
      <c r="D511" s="1051"/>
      <c r="E511" s="1051"/>
      <c r="F511" s="1051"/>
      <c r="G511" s="1051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1"/>
      <c r="AD511" s="1051"/>
      <c r="AE511" s="1051"/>
      <c r="AF511" s="1051"/>
      <c r="AG511" s="1051"/>
      <c r="AH511" s="1051"/>
      <c r="AI511" s="1051"/>
      <c r="AJ511" s="1051"/>
      <c r="AK511" s="1051"/>
      <c r="AL511" s="1051"/>
    </row>
    <row r="512" spans="1:38" s="51" customFormat="1" ht="11.25">
      <c r="A512" s="1051"/>
      <c r="B512" s="1051"/>
      <c r="C512" s="1051"/>
      <c r="D512" s="1051"/>
      <c r="E512" s="1051"/>
      <c r="F512" s="1051"/>
      <c r="G512" s="1051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1"/>
      <c r="AD512" s="1051"/>
      <c r="AE512" s="1051"/>
      <c r="AF512" s="1051"/>
      <c r="AG512" s="1051"/>
      <c r="AH512" s="1051"/>
      <c r="AI512" s="1051"/>
      <c r="AJ512" s="1051"/>
      <c r="AK512" s="1051"/>
      <c r="AL512" s="1051"/>
    </row>
    <row r="513" spans="1:38" s="51" customFormat="1" ht="11.25">
      <c r="A513" s="1051"/>
      <c r="B513" s="1051"/>
      <c r="C513" s="1051"/>
      <c r="D513" s="1051"/>
      <c r="E513" s="1051"/>
      <c r="F513" s="1051"/>
      <c r="G513" s="1051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1"/>
      <c r="AD513" s="1051"/>
      <c r="AE513" s="1051"/>
      <c r="AF513" s="1051"/>
      <c r="AG513" s="1051"/>
      <c r="AH513" s="1051"/>
      <c r="AI513" s="1051"/>
      <c r="AJ513" s="1051"/>
      <c r="AK513" s="1051"/>
      <c r="AL513" s="1051"/>
    </row>
    <row r="514" spans="1:38" s="51" customFormat="1" ht="11.25">
      <c r="A514" s="1051"/>
      <c r="B514" s="1051"/>
      <c r="C514" s="1051"/>
      <c r="D514" s="1051"/>
      <c r="E514" s="1051"/>
      <c r="F514" s="1051"/>
      <c r="G514" s="1051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1"/>
      <c r="AD514" s="1051"/>
      <c r="AE514" s="1051"/>
      <c r="AF514" s="1051"/>
      <c r="AG514" s="1051"/>
      <c r="AH514" s="1051"/>
      <c r="AI514" s="1051"/>
      <c r="AJ514" s="1051"/>
      <c r="AK514" s="1051"/>
      <c r="AL514" s="1051"/>
    </row>
    <row r="515" spans="1:38" s="51" customFormat="1" ht="11.25">
      <c r="A515" s="1051"/>
      <c r="B515" s="1051"/>
      <c r="C515" s="1051"/>
      <c r="D515" s="1051"/>
      <c r="E515" s="1051"/>
      <c r="F515" s="1051"/>
      <c r="G515" s="1051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1"/>
      <c r="AD515" s="1051"/>
      <c r="AE515" s="1051"/>
      <c r="AF515" s="1051"/>
      <c r="AG515" s="1051"/>
      <c r="AH515" s="1051"/>
      <c r="AI515" s="1051"/>
      <c r="AJ515" s="1051"/>
      <c r="AK515" s="1051"/>
      <c r="AL515" s="1051"/>
    </row>
    <row r="516" spans="1:38" s="51" customFormat="1" ht="11.25">
      <c r="A516" s="1051"/>
      <c r="B516" s="1051"/>
      <c r="C516" s="1051"/>
      <c r="D516" s="1051"/>
      <c r="E516" s="1051"/>
      <c r="F516" s="1051"/>
      <c r="G516" s="1051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1"/>
      <c r="AD516" s="1051"/>
      <c r="AE516" s="1051"/>
      <c r="AF516" s="1051"/>
      <c r="AG516" s="1051"/>
      <c r="AH516" s="1051"/>
      <c r="AI516" s="1051"/>
      <c r="AJ516" s="1051"/>
      <c r="AK516" s="1051"/>
      <c r="AL516" s="1051"/>
    </row>
    <row r="517" spans="1:38" s="51" customFormat="1" ht="11.25">
      <c r="A517" s="1051"/>
      <c r="B517" s="1051"/>
      <c r="C517" s="1051"/>
      <c r="D517" s="1051"/>
      <c r="E517" s="1051"/>
      <c r="F517" s="1051"/>
      <c r="G517" s="1051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1"/>
      <c r="AD517" s="1051"/>
      <c r="AE517" s="1051"/>
      <c r="AF517" s="1051"/>
      <c r="AG517" s="1051"/>
      <c r="AH517" s="1051"/>
      <c r="AI517" s="1051"/>
      <c r="AJ517" s="1051"/>
      <c r="AK517" s="1051"/>
      <c r="AL517" s="1051"/>
    </row>
    <row r="518" spans="1:38" s="51" customFormat="1" ht="11.25">
      <c r="A518" s="1051"/>
      <c r="B518" s="1051"/>
      <c r="C518" s="1051"/>
      <c r="D518" s="1051"/>
      <c r="E518" s="1051"/>
      <c r="F518" s="1051"/>
      <c r="G518" s="1051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1"/>
      <c r="AD518" s="1051"/>
      <c r="AE518" s="1051"/>
      <c r="AF518" s="1051"/>
      <c r="AG518" s="1051"/>
      <c r="AH518" s="1051"/>
      <c r="AI518" s="1051"/>
      <c r="AJ518" s="1051"/>
      <c r="AK518" s="1051"/>
      <c r="AL518" s="1051"/>
    </row>
    <row r="519" spans="1:38" s="51" customFormat="1" ht="11.25">
      <c r="A519" s="1051"/>
      <c r="B519" s="1051"/>
      <c r="C519" s="1051"/>
      <c r="D519" s="1051"/>
      <c r="E519" s="1051"/>
      <c r="F519" s="1051"/>
      <c r="G519" s="1051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1"/>
      <c r="AD519" s="1051"/>
      <c r="AE519" s="1051"/>
      <c r="AF519" s="1051"/>
      <c r="AG519" s="1051"/>
      <c r="AH519" s="1051"/>
      <c r="AI519" s="1051"/>
      <c r="AJ519" s="1051"/>
      <c r="AK519" s="1051"/>
      <c r="AL519" s="1051"/>
    </row>
    <row r="520" spans="1:38" s="51" customFormat="1" ht="11.25">
      <c r="A520" s="1051"/>
      <c r="B520" s="1051"/>
      <c r="C520" s="1051"/>
      <c r="D520" s="1051"/>
      <c r="E520" s="1051"/>
      <c r="F520" s="1051"/>
      <c r="G520" s="1051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1"/>
      <c r="AD520" s="1051"/>
      <c r="AE520" s="1051"/>
      <c r="AF520" s="1051"/>
      <c r="AG520" s="1051"/>
      <c r="AH520" s="1051"/>
      <c r="AI520" s="1051"/>
      <c r="AJ520" s="1051"/>
      <c r="AK520" s="1051"/>
      <c r="AL520" s="1051"/>
    </row>
    <row r="521" spans="1:38" s="51" customFormat="1" ht="11.25">
      <c r="A521" s="1051"/>
      <c r="B521" s="1051"/>
      <c r="C521" s="1051"/>
      <c r="D521" s="1051"/>
      <c r="E521" s="1051"/>
      <c r="F521" s="1051"/>
      <c r="G521" s="1051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1"/>
      <c r="AD521" s="1051"/>
      <c r="AE521" s="1051"/>
      <c r="AF521" s="1051"/>
      <c r="AG521" s="1051"/>
      <c r="AH521" s="1051"/>
      <c r="AI521" s="1051"/>
      <c r="AJ521" s="1051"/>
      <c r="AK521" s="1051"/>
      <c r="AL521" s="1051"/>
    </row>
    <row r="522" spans="1:38" s="51" customFormat="1" ht="11.25">
      <c r="A522" s="1051"/>
      <c r="B522" s="1051"/>
      <c r="C522" s="1051"/>
      <c r="D522" s="1051"/>
      <c r="E522" s="1051"/>
      <c r="F522" s="1051"/>
      <c r="G522" s="1051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1"/>
      <c r="AD522" s="1051"/>
      <c r="AE522" s="1051"/>
      <c r="AF522" s="1051"/>
      <c r="AG522" s="1051"/>
      <c r="AH522" s="1051"/>
      <c r="AI522" s="1051"/>
      <c r="AJ522" s="1051"/>
      <c r="AK522" s="1051"/>
      <c r="AL522" s="1051"/>
    </row>
    <row r="523" spans="1:38" s="51" customFormat="1" ht="11.25">
      <c r="A523" s="1051"/>
      <c r="B523" s="1051"/>
      <c r="C523" s="1051"/>
      <c r="D523" s="1051"/>
      <c r="E523" s="1051"/>
      <c r="F523" s="1051"/>
      <c r="G523" s="1051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1"/>
      <c r="AD523" s="1051"/>
      <c r="AE523" s="1051"/>
      <c r="AF523" s="1051"/>
      <c r="AG523" s="1051"/>
      <c r="AH523" s="1051"/>
      <c r="AI523" s="1051"/>
      <c r="AJ523" s="1051"/>
      <c r="AK523" s="1051"/>
      <c r="AL523" s="1051"/>
    </row>
    <row r="524" spans="1:38" s="51" customFormat="1" ht="11.25">
      <c r="A524" s="1051"/>
      <c r="B524" s="1051"/>
      <c r="C524" s="1051"/>
      <c r="D524" s="1051"/>
      <c r="E524" s="1051"/>
      <c r="F524" s="1051"/>
      <c r="G524" s="1051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1"/>
      <c r="AD524" s="1051"/>
      <c r="AE524" s="1051"/>
      <c r="AF524" s="1051"/>
      <c r="AG524" s="1051"/>
      <c r="AH524" s="1051"/>
      <c r="AI524" s="1051"/>
      <c r="AJ524" s="1051"/>
      <c r="AK524" s="1051"/>
      <c r="AL524" s="1051"/>
    </row>
    <row r="525" spans="1:38" s="51" customFormat="1" ht="11.25">
      <c r="A525" s="1051"/>
      <c r="B525" s="1051"/>
      <c r="C525" s="1051"/>
      <c r="D525" s="1051"/>
      <c r="E525" s="1051"/>
      <c r="F525" s="1051"/>
      <c r="G525" s="1051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1"/>
      <c r="AD525" s="1051"/>
      <c r="AE525" s="1051"/>
      <c r="AF525" s="1051"/>
      <c r="AG525" s="1051"/>
      <c r="AH525" s="1051"/>
      <c r="AI525" s="1051"/>
      <c r="AJ525" s="1051"/>
      <c r="AK525" s="1051"/>
      <c r="AL525" s="1051"/>
    </row>
    <row r="526" spans="1:38" s="51" customFormat="1" ht="11.25">
      <c r="A526" s="1051"/>
      <c r="B526" s="1051"/>
      <c r="C526" s="1051"/>
      <c r="D526" s="1051"/>
      <c r="E526" s="1051"/>
      <c r="F526" s="1051"/>
      <c r="G526" s="1051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1"/>
      <c r="AD526" s="1051"/>
      <c r="AE526" s="1051"/>
      <c r="AF526" s="1051"/>
      <c r="AG526" s="1051"/>
      <c r="AH526" s="1051"/>
      <c r="AI526" s="1051"/>
      <c r="AJ526" s="1051"/>
      <c r="AK526" s="1051"/>
      <c r="AL526" s="1051"/>
    </row>
    <row r="527" spans="1:38" s="51" customFormat="1" ht="11.25">
      <c r="A527" s="1051"/>
      <c r="B527" s="1051"/>
      <c r="C527" s="1051"/>
      <c r="D527" s="1051"/>
      <c r="E527" s="1051"/>
      <c r="F527" s="1051"/>
      <c r="G527" s="1051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1"/>
      <c r="AD527" s="1051"/>
      <c r="AE527" s="1051"/>
      <c r="AF527" s="1051"/>
      <c r="AG527" s="1051"/>
      <c r="AH527" s="1051"/>
      <c r="AI527" s="1051"/>
      <c r="AJ527" s="1051"/>
      <c r="AK527" s="1051"/>
      <c r="AL527" s="1051"/>
    </row>
    <row r="528" spans="1:38" s="51" customFormat="1" ht="11.25">
      <c r="A528" s="1051"/>
      <c r="B528" s="1051"/>
      <c r="C528" s="1051"/>
      <c r="D528" s="1051"/>
      <c r="E528" s="1051"/>
      <c r="F528" s="1051"/>
      <c r="G528" s="1051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1"/>
      <c r="AD528" s="1051"/>
      <c r="AE528" s="1051"/>
      <c r="AF528" s="1051"/>
      <c r="AG528" s="1051"/>
      <c r="AH528" s="1051"/>
      <c r="AI528" s="1051"/>
      <c r="AJ528" s="1051"/>
      <c r="AK528" s="1051"/>
      <c r="AL528" s="1051"/>
    </row>
    <row r="529" spans="1:38" s="51" customFormat="1" ht="11.25">
      <c r="A529" s="1051"/>
      <c r="B529" s="1051"/>
      <c r="C529" s="1051"/>
      <c r="D529" s="1051"/>
      <c r="E529" s="1051"/>
      <c r="F529" s="1051"/>
      <c r="G529" s="1051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1"/>
      <c r="AD529" s="1051"/>
      <c r="AE529" s="1051"/>
      <c r="AF529" s="1051"/>
      <c r="AG529" s="1051"/>
      <c r="AH529" s="1051"/>
      <c r="AI529" s="1051"/>
      <c r="AJ529" s="1051"/>
      <c r="AK529" s="1051"/>
      <c r="AL529" s="1051"/>
    </row>
    <row r="530" spans="1:38" s="51" customFormat="1" ht="11.25">
      <c r="A530" s="1051"/>
      <c r="B530" s="1051"/>
      <c r="C530" s="1051"/>
      <c r="D530" s="1051"/>
      <c r="E530" s="1051"/>
      <c r="F530" s="1051"/>
      <c r="G530" s="1051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1"/>
      <c r="AD530" s="1051"/>
      <c r="AE530" s="1051"/>
      <c r="AF530" s="1051"/>
      <c r="AG530" s="1051"/>
      <c r="AH530" s="1051"/>
      <c r="AI530" s="1051"/>
      <c r="AJ530" s="1051"/>
      <c r="AK530" s="1051"/>
      <c r="AL530" s="1051"/>
    </row>
    <row r="531" spans="1:38" s="51" customFormat="1" ht="11.25">
      <c r="A531" s="1051"/>
      <c r="B531" s="1051"/>
      <c r="C531" s="1051"/>
      <c r="D531" s="1051"/>
      <c r="E531" s="1051"/>
      <c r="F531" s="1051"/>
      <c r="G531" s="1051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1"/>
      <c r="AD531" s="1051"/>
      <c r="AE531" s="1051"/>
      <c r="AF531" s="1051"/>
      <c r="AG531" s="1051"/>
      <c r="AH531" s="1051"/>
      <c r="AI531" s="1051"/>
      <c r="AJ531" s="1051"/>
      <c r="AK531" s="1051"/>
      <c r="AL531" s="1051"/>
    </row>
    <row r="532" spans="1:38" s="51" customFormat="1" ht="11.25">
      <c r="A532" s="1051"/>
      <c r="B532" s="1051"/>
      <c r="C532" s="1051"/>
      <c r="D532" s="1051"/>
      <c r="E532" s="1051"/>
      <c r="F532" s="1051"/>
      <c r="G532" s="1051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1"/>
      <c r="AD532" s="1051"/>
      <c r="AE532" s="1051"/>
      <c r="AF532" s="1051"/>
      <c r="AG532" s="1051"/>
      <c r="AH532" s="1051"/>
      <c r="AI532" s="1051"/>
      <c r="AJ532" s="1051"/>
      <c r="AK532" s="1051"/>
      <c r="AL532" s="1051"/>
    </row>
    <row r="533" spans="1:38" s="51" customFormat="1" ht="11.25">
      <c r="A533" s="1051"/>
      <c r="B533" s="1051"/>
      <c r="C533" s="1051"/>
      <c r="D533" s="1051"/>
      <c r="E533" s="1051"/>
      <c r="F533" s="1051"/>
      <c r="G533" s="1051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1"/>
      <c r="AD533" s="1051"/>
      <c r="AE533" s="1051"/>
      <c r="AF533" s="1051"/>
      <c r="AG533" s="1051"/>
      <c r="AH533" s="1051"/>
      <c r="AI533" s="1051"/>
      <c r="AJ533" s="1051"/>
      <c r="AK533" s="1051"/>
      <c r="AL533" s="1051"/>
    </row>
    <row r="534" spans="1:38" s="51" customFormat="1" ht="11.25">
      <c r="A534" s="1051"/>
      <c r="B534" s="1051"/>
      <c r="C534" s="1051"/>
      <c r="D534" s="1051"/>
      <c r="E534" s="1051"/>
      <c r="F534" s="1051"/>
      <c r="G534" s="1051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1"/>
      <c r="AD534" s="1051"/>
      <c r="AE534" s="1051"/>
      <c r="AF534" s="1051"/>
      <c r="AG534" s="1051"/>
      <c r="AH534" s="1051"/>
      <c r="AI534" s="1051"/>
      <c r="AJ534" s="1051"/>
      <c r="AK534" s="1051"/>
      <c r="AL534" s="1051"/>
    </row>
    <row r="535" spans="1:38" s="51" customFormat="1" ht="11.25">
      <c r="A535" s="1051"/>
      <c r="B535" s="1051"/>
      <c r="C535" s="1051"/>
      <c r="D535" s="1051"/>
      <c r="E535" s="1051"/>
      <c r="F535" s="1051"/>
      <c r="G535" s="1051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1"/>
      <c r="AD535" s="1051"/>
      <c r="AE535" s="1051"/>
      <c r="AF535" s="1051"/>
      <c r="AG535" s="1051"/>
      <c r="AH535" s="1051"/>
      <c r="AI535" s="1051"/>
      <c r="AJ535" s="1051"/>
      <c r="AK535" s="1051"/>
      <c r="AL535" s="1051"/>
    </row>
    <row r="536" spans="1:38" s="51" customFormat="1" ht="11.25">
      <c r="A536" s="1051"/>
      <c r="B536" s="1051"/>
      <c r="C536" s="1051"/>
      <c r="D536" s="1051"/>
      <c r="E536" s="1051"/>
      <c r="F536" s="1051"/>
      <c r="G536" s="1051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1"/>
      <c r="AD536" s="1051"/>
      <c r="AE536" s="1051"/>
      <c r="AF536" s="1051"/>
      <c r="AG536" s="1051"/>
      <c r="AH536" s="1051"/>
      <c r="AI536" s="1051"/>
      <c r="AJ536" s="1051"/>
      <c r="AK536" s="1051"/>
      <c r="AL536" s="1051"/>
    </row>
    <row r="537" spans="1:38" s="51" customFormat="1" ht="11.25">
      <c r="A537" s="1051"/>
      <c r="B537" s="1051"/>
      <c r="C537" s="1051"/>
      <c r="D537" s="1051"/>
      <c r="E537" s="1051"/>
      <c r="F537" s="1051"/>
      <c r="G537" s="1051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1"/>
      <c r="AD537" s="1051"/>
      <c r="AE537" s="1051"/>
      <c r="AF537" s="1051"/>
      <c r="AG537" s="1051"/>
      <c r="AH537" s="1051"/>
      <c r="AI537" s="1051"/>
      <c r="AJ537" s="1051"/>
      <c r="AK537" s="1051"/>
      <c r="AL537" s="1051"/>
    </row>
    <row r="538" spans="1:38" s="51" customFormat="1" ht="11.25">
      <c r="A538" s="1051"/>
      <c r="B538" s="1051"/>
      <c r="C538" s="1051"/>
      <c r="D538" s="1051"/>
      <c r="E538" s="1051"/>
      <c r="F538" s="1051"/>
      <c r="G538" s="1051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1"/>
      <c r="AD538" s="1051"/>
      <c r="AE538" s="1051"/>
      <c r="AF538" s="1051"/>
      <c r="AG538" s="1051"/>
      <c r="AH538" s="1051"/>
      <c r="AI538" s="1051"/>
      <c r="AJ538" s="1051"/>
      <c r="AK538" s="1051"/>
      <c r="AL538" s="1051"/>
    </row>
    <row r="539" spans="1:38" s="51" customFormat="1" ht="11.25">
      <c r="A539" s="1051"/>
      <c r="B539" s="1051"/>
      <c r="C539" s="1051"/>
      <c r="D539" s="1051"/>
      <c r="E539" s="1051"/>
      <c r="F539" s="1051"/>
      <c r="G539" s="1051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1"/>
      <c r="AD539" s="1051"/>
      <c r="AE539" s="1051"/>
      <c r="AF539" s="1051"/>
      <c r="AG539" s="1051"/>
      <c r="AH539" s="1051"/>
      <c r="AI539" s="1051"/>
      <c r="AJ539" s="1051"/>
      <c r="AK539" s="1051"/>
      <c r="AL539" s="1051"/>
    </row>
    <row r="540" spans="1:38" s="51" customFormat="1" ht="11.25">
      <c r="A540" s="1051"/>
      <c r="B540" s="1051"/>
      <c r="C540" s="1051"/>
      <c r="D540" s="1051"/>
      <c r="E540" s="1051"/>
      <c r="F540" s="1051"/>
      <c r="G540" s="1051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1"/>
      <c r="AD540" s="1051"/>
      <c r="AE540" s="1051"/>
      <c r="AF540" s="1051"/>
      <c r="AG540" s="1051"/>
      <c r="AH540" s="1051"/>
      <c r="AI540" s="1051"/>
      <c r="AJ540" s="1051"/>
      <c r="AK540" s="1051"/>
      <c r="AL540" s="1051"/>
    </row>
    <row r="541" spans="1:38" s="51" customFormat="1" ht="11.25">
      <c r="A541" s="1051"/>
      <c r="B541" s="1051"/>
      <c r="C541" s="1051"/>
      <c r="D541" s="1051"/>
      <c r="E541" s="1051"/>
      <c r="F541" s="1051"/>
      <c r="G541" s="1051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1"/>
      <c r="AD541" s="1051"/>
      <c r="AE541" s="1051"/>
      <c r="AF541" s="1051"/>
      <c r="AG541" s="1051"/>
      <c r="AH541" s="1051"/>
      <c r="AI541" s="1051"/>
      <c r="AJ541" s="1051"/>
      <c r="AK541" s="1051"/>
      <c r="AL541" s="1051"/>
    </row>
    <row r="542" spans="1:38" s="51" customFormat="1" ht="11.25">
      <c r="A542" s="1051"/>
      <c r="B542" s="1051"/>
      <c r="C542" s="1051"/>
      <c r="D542" s="1051"/>
      <c r="E542" s="1051"/>
      <c r="F542" s="1051"/>
      <c r="G542" s="1051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1"/>
      <c r="AD542" s="1051"/>
      <c r="AE542" s="1051"/>
      <c r="AF542" s="1051"/>
      <c r="AG542" s="1051"/>
      <c r="AH542" s="1051"/>
      <c r="AI542" s="1051"/>
      <c r="AJ542" s="1051"/>
      <c r="AK542" s="1051"/>
      <c r="AL542" s="1051"/>
    </row>
    <row r="543" spans="1:38" s="51" customFormat="1" ht="11.25">
      <c r="A543" s="1051"/>
      <c r="B543" s="1051"/>
      <c r="C543" s="1051"/>
      <c r="D543" s="1051"/>
      <c r="E543" s="1051"/>
      <c r="F543" s="1051"/>
      <c r="G543" s="1051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1"/>
      <c r="AD543" s="1051"/>
      <c r="AE543" s="1051"/>
      <c r="AF543" s="1051"/>
      <c r="AG543" s="1051"/>
      <c r="AH543" s="1051"/>
      <c r="AI543" s="1051"/>
      <c r="AJ543" s="1051"/>
      <c r="AK543" s="1051"/>
      <c r="AL543" s="1051"/>
    </row>
    <row r="544" spans="1:38" s="51" customFormat="1" ht="11.25">
      <c r="A544" s="1051"/>
      <c r="B544" s="1051"/>
      <c r="C544" s="1051"/>
      <c r="D544" s="1051"/>
      <c r="E544" s="1051"/>
      <c r="F544" s="1051"/>
      <c r="G544" s="1051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1"/>
      <c r="AD544" s="1051"/>
      <c r="AE544" s="1051"/>
      <c r="AF544" s="1051"/>
      <c r="AG544" s="1051"/>
      <c r="AH544" s="1051"/>
      <c r="AI544" s="1051"/>
      <c r="AJ544" s="1051"/>
      <c r="AK544" s="1051"/>
      <c r="AL544" s="1051"/>
    </row>
    <row r="545" spans="1:38" s="51" customFormat="1" ht="11.25">
      <c r="A545" s="1051"/>
      <c r="B545" s="1051"/>
      <c r="C545" s="1051"/>
      <c r="D545" s="1051"/>
      <c r="E545" s="1051"/>
      <c r="F545" s="1051"/>
      <c r="G545" s="1051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1"/>
      <c r="AD545" s="1051"/>
      <c r="AE545" s="1051"/>
      <c r="AF545" s="1051"/>
      <c r="AG545" s="1051"/>
      <c r="AH545" s="1051"/>
      <c r="AI545" s="1051"/>
      <c r="AJ545" s="1051"/>
      <c r="AK545" s="1051"/>
      <c r="AL545" s="1051"/>
    </row>
    <row r="546" spans="1:38" s="51" customFormat="1" ht="11.25">
      <c r="A546" s="1051"/>
      <c r="B546" s="1051"/>
      <c r="C546" s="1051"/>
      <c r="D546" s="1051"/>
      <c r="E546" s="1051"/>
      <c r="F546" s="1051"/>
      <c r="G546" s="1051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1"/>
      <c r="AD546" s="1051"/>
      <c r="AE546" s="1051"/>
      <c r="AF546" s="1051"/>
      <c r="AG546" s="1051"/>
      <c r="AH546" s="1051"/>
      <c r="AI546" s="1051"/>
      <c r="AJ546" s="1051"/>
      <c r="AK546" s="1051"/>
      <c r="AL546" s="1051"/>
    </row>
    <row r="547" spans="1:38" s="51" customFormat="1" ht="11.25">
      <c r="A547" s="1051"/>
      <c r="B547" s="1051"/>
      <c r="C547" s="1051"/>
      <c r="D547" s="1051"/>
      <c r="E547" s="1051"/>
      <c r="F547" s="1051"/>
      <c r="G547" s="1051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1"/>
      <c r="AD547" s="1051"/>
      <c r="AE547" s="1051"/>
      <c r="AF547" s="1051"/>
      <c r="AG547" s="1051"/>
      <c r="AH547" s="1051"/>
      <c r="AI547" s="1051"/>
      <c r="AJ547" s="1051"/>
      <c r="AK547" s="1051"/>
      <c r="AL547" s="1051"/>
    </row>
    <row r="548" spans="1:38" s="51" customFormat="1" ht="11.25">
      <c r="A548" s="1051"/>
      <c r="B548" s="1051"/>
      <c r="C548" s="1051"/>
      <c r="D548" s="1051"/>
      <c r="E548" s="1051"/>
      <c r="F548" s="1051"/>
      <c r="G548" s="1051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1"/>
      <c r="AD548" s="1051"/>
      <c r="AE548" s="1051"/>
      <c r="AF548" s="1051"/>
      <c r="AG548" s="1051"/>
      <c r="AH548" s="1051"/>
      <c r="AI548" s="1051"/>
      <c r="AJ548" s="1051"/>
      <c r="AK548" s="1051"/>
      <c r="AL548" s="1051"/>
    </row>
    <row r="549" spans="1:38" s="51" customFormat="1" ht="11.25">
      <c r="A549" s="1051"/>
      <c r="B549" s="1051"/>
      <c r="C549" s="1051"/>
      <c r="D549" s="1051"/>
      <c r="E549" s="1051"/>
      <c r="F549" s="1051"/>
      <c r="G549" s="1051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1"/>
      <c r="AD549" s="1051"/>
      <c r="AE549" s="1051"/>
      <c r="AF549" s="1051"/>
      <c r="AG549" s="1051"/>
      <c r="AH549" s="1051"/>
      <c r="AI549" s="1051"/>
      <c r="AJ549" s="1051"/>
      <c r="AK549" s="1051"/>
      <c r="AL549" s="1051"/>
    </row>
    <row r="550" spans="1:38" s="51" customFormat="1" ht="11.25">
      <c r="A550" s="1051"/>
      <c r="B550" s="1051"/>
      <c r="C550" s="1051"/>
      <c r="D550" s="1051"/>
      <c r="E550" s="1051"/>
      <c r="F550" s="1051"/>
      <c r="G550" s="1051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1"/>
      <c r="AD550" s="1051"/>
      <c r="AE550" s="1051"/>
      <c r="AF550" s="1051"/>
      <c r="AG550" s="1051"/>
      <c r="AH550" s="1051"/>
      <c r="AI550" s="1051"/>
      <c r="AJ550" s="1051"/>
      <c r="AK550" s="1051"/>
      <c r="AL550" s="1051"/>
    </row>
    <row r="551" spans="1:38" s="51" customFormat="1" ht="11.25">
      <c r="A551" s="1051"/>
      <c r="B551" s="1051"/>
      <c r="C551" s="1051"/>
      <c r="D551" s="1051"/>
      <c r="E551" s="1051"/>
      <c r="F551" s="1051"/>
      <c r="G551" s="1051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1"/>
      <c r="AD551" s="1051"/>
      <c r="AE551" s="1051"/>
      <c r="AF551" s="1051"/>
      <c r="AG551" s="1051"/>
      <c r="AH551" s="1051"/>
      <c r="AI551" s="1051"/>
      <c r="AJ551" s="1051"/>
      <c r="AK551" s="1051"/>
      <c r="AL551" s="1051"/>
    </row>
    <row r="552" spans="1:38" s="51" customFormat="1" ht="11.25">
      <c r="A552" s="1051"/>
      <c r="B552" s="1051"/>
      <c r="C552" s="1051"/>
      <c r="D552" s="1051"/>
      <c r="E552" s="1051"/>
      <c r="F552" s="1051"/>
      <c r="G552" s="1051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1"/>
      <c r="AD552" s="1051"/>
      <c r="AE552" s="1051"/>
      <c r="AF552" s="1051"/>
      <c r="AG552" s="1051"/>
      <c r="AH552" s="1051"/>
      <c r="AI552" s="1051"/>
      <c r="AJ552" s="1051"/>
      <c r="AK552" s="1051"/>
      <c r="AL552" s="1051"/>
    </row>
    <row r="553" spans="1:38" s="51" customFormat="1" ht="11.25">
      <c r="A553" s="1051"/>
      <c r="B553" s="1051"/>
      <c r="C553" s="1051"/>
      <c r="D553" s="1051"/>
      <c r="E553" s="1051"/>
      <c r="F553" s="1051"/>
      <c r="G553" s="1051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1"/>
      <c r="AD553" s="1051"/>
      <c r="AE553" s="1051"/>
      <c r="AF553" s="1051"/>
      <c r="AG553" s="1051"/>
      <c r="AH553" s="1051"/>
      <c r="AI553" s="1051"/>
      <c r="AJ553" s="1051"/>
      <c r="AK553" s="1051"/>
      <c r="AL553" s="1051"/>
    </row>
    <row r="554" spans="1:38" s="51" customFormat="1" ht="11.25">
      <c r="A554" s="1051"/>
      <c r="B554" s="1051"/>
      <c r="C554" s="1051"/>
      <c r="D554" s="1051"/>
      <c r="E554" s="1051"/>
      <c r="F554" s="1051"/>
      <c r="G554" s="1051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1"/>
      <c r="AD554" s="1051"/>
      <c r="AE554" s="1051"/>
      <c r="AF554" s="1051"/>
      <c r="AG554" s="1051"/>
      <c r="AH554" s="1051"/>
      <c r="AI554" s="1051"/>
      <c r="AJ554" s="1051"/>
      <c r="AK554" s="1051"/>
      <c r="AL554" s="1051"/>
    </row>
    <row r="555" spans="1:38" s="51" customFormat="1" ht="11.25">
      <c r="A555" s="1051"/>
      <c r="B555" s="1051"/>
      <c r="C555" s="1051"/>
      <c r="D555" s="1051"/>
      <c r="E555" s="1051"/>
      <c r="F555" s="1051"/>
      <c r="G555" s="1051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1"/>
      <c r="AD555" s="1051"/>
      <c r="AE555" s="1051"/>
      <c r="AF555" s="1051"/>
      <c r="AG555" s="1051"/>
      <c r="AH555" s="1051"/>
      <c r="AI555" s="1051"/>
      <c r="AJ555" s="1051"/>
      <c r="AK555" s="1051"/>
      <c r="AL555" s="1051"/>
    </row>
    <row r="556" spans="1:38" s="51" customFormat="1" ht="11.25">
      <c r="A556" s="1051"/>
      <c r="B556" s="1051"/>
      <c r="C556" s="1051"/>
      <c r="D556" s="1051"/>
      <c r="E556" s="1051"/>
      <c r="F556" s="1051"/>
      <c r="G556" s="1051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1"/>
      <c r="AD556" s="1051"/>
      <c r="AE556" s="1051"/>
      <c r="AF556" s="1051"/>
      <c r="AG556" s="1051"/>
      <c r="AH556" s="1051"/>
      <c r="AI556" s="1051"/>
      <c r="AJ556" s="1051"/>
      <c r="AK556" s="1051"/>
      <c r="AL556" s="1051"/>
    </row>
    <row r="557" spans="1:38" s="51" customFormat="1" ht="11.25">
      <c r="A557" s="1051"/>
      <c r="B557" s="1051"/>
      <c r="C557" s="1051"/>
      <c r="D557" s="1051"/>
      <c r="E557" s="1051"/>
      <c r="F557" s="1051"/>
      <c r="G557" s="1051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1"/>
      <c r="AD557" s="1051"/>
      <c r="AE557" s="1051"/>
      <c r="AF557" s="1051"/>
      <c r="AG557" s="1051"/>
      <c r="AH557" s="1051"/>
      <c r="AI557" s="1051"/>
      <c r="AJ557" s="1051"/>
      <c r="AK557" s="1051"/>
      <c r="AL557" s="1051"/>
    </row>
    <row r="558" spans="1:38" s="51" customFormat="1" ht="11.25">
      <c r="A558" s="1051"/>
      <c r="B558" s="1051"/>
      <c r="C558" s="1051"/>
      <c r="D558" s="1051"/>
      <c r="E558" s="1051"/>
      <c r="F558" s="1051"/>
      <c r="G558" s="1051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1"/>
      <c r="AD558" s="1051"/>
      <c r="AE558" s="1051"/>
      <c r="AF558" s="1051"/>
      <c r="AG558" s="1051"/>
      <c r="AH558" s="1051"/>
      <c r="AI558" s="1051"/>
      <c r="AJ558" s="1051"/>
      <c r="AK558" s="1051"/>
      <c r="AL558" s="1051"/>
    </row>
    <row r="559" spans="1:38" s="51" customFormat="1" ht="11.25">
      <c r="A559" s="1051"/>
      <c r="B559" s="1051"/>
      <c r="C559" s="1051"/>
      <c r="D559" s="1051"/>
      <c r="E559" s="1051"/>
      <c r="F559" s="1051"/>
      <c r="G559" s="1051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1"/>
      <c r="AD559" s="1051"/>
      <c r="AE559" s="1051"/>
      <c r="AF559" s="1051"/>
      <c r="AG559" s="1051"/>
      <c r="AH559" s="1051"/>
      <c r="AI559" s="1051"/>
      <c r="AJ559" s="1051"/>
      <c r="AK559" s="1051"/>
      <c r="AL559" s="1051"/>
    </row>
    <row r="560" spans="1:38" s="51" customFormat="1" ht="11.25">
      <c r="A560" s="1051"/>
      <c r="B560" s="1051"/>
      <c r="C560" s="1051"/>
      <c r="D560" s="1051"/>
      <c r="E560" s="1051"/>
      <c r="F560" s="1051"/>
      <c r="G560" s="1051"/>
      <c r="H560" s="1052"/>
      <c r="I560" s="1052"/>
      <c r="J560" s="1052"/>
      <c r="K560" s="1052"/>
      <c r="L560" s="1052"/>
      <c r="M560" s="1052"/>
      <c r="N560" s="1052"/>
      <c r="O560" s="1052"/>
      <c r="P560" s="1052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1"/>
      <c r="AD560" s="1051"/>
      <c r="AE560" s="1051"/>
      <c r="AF560" s="1051"/>
      <c r="AG560" s="1051"/>
      <c r="AH560" s="1051"/>
      <c r="AI560" s="1051"/>
      <c r="AJ560" s="1051"/>
      <c r="AK560" s="1051"/>
      <c r="AL560" s="1051"/>
    </row>
    <row r="561" spans="1:38">
      <c r="A561" s="1051"/>
      <c r="B561" s="1051"/>
      <c r="C561" s="1051"/>
      <c r="D561" s="1051"/>
      <c r="E561" s="1051"/>
      <c r="F561" s="1051"/>
      <c r="G561" s="1051"/>
      <c r="H561" s="1052"/>
      <c r="I561" s="1052"/>
      <c r="J561" s="1052"/>
      <c r="K561" s="1052"/>
      <c r="L561" s="1052"/>
      <c r="M561" s="1052"/>
      <c r="N561" s="1052"/>
      <c r="O561" s="1052"/>
      <c r="P561" s="1052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1"/>
      <c r="AD561" s="1051"/>
      <c r="AE561" s="1051"/>
      <c r="AF561" s="1051"/>
      <c r="AG561" s="1051"/>
      <c r="AH561" s="1051"/>
      <c r="AI561" s="1051"/>
      <c r="AJ561" s="1051"/>
      <c r="AK561" s="1051"/>
      <c r="AL561" s="1051"/>
    </row>
    <row r="562" spans="1:38">
      <c r="A562" s="1051"/>
      <c r="B562" s="1051"/>
      <c r="C562" s="1051"/>
      <c r="D562" s="1051"/>
      <c r="E562" s="1051"/>
      <c r="F562" s="1051"/>
      <c r="G562" s="1051"/>
      <c r="H562" s="1052"/>
      <c r="I562" s="1052"/>
      <c r="J562" s="1052"/>
      <c r="K562" s="1052"/>
      <c r="L562" s="1052"/>
      <c r="M562" s="1052"/>
      <c r="N562" s="1052"/>
      <c r="O562" s="1052"/>
      <c r="P562" s="1052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1"/>
      <c r="AD562" s="1051"/>
      <c r="AE562" s="1051"/>
      <c r="AF562" s="1051"/>
      <c r="AG562" s="1051"/>
      <c r="AH562" s="1051"/>
      <c r="AI562" s="1051"/>
      <c r="AJ562" s="1051"/>
      <c r="AK562" s="1051"/>
      <c r="AL562" s="1051"/>
    </row>
    <row r="563" spans="1:38">
      <c r="A563" s="1051"/>
      <c r="B563" s="1051"/>
      <c r="C563" s="1051"/>
      <c r="D563" s="1051"/>
      <c r="E563" s="1051"/>
      <c r="F563" s="1051"/>
      <c r="G563" s="1051"/>
      <c r="H563" s="1052"/>
      <c r="I563" s="1052"/>
      <c r="J563" s="1052"/>
      <c r="K563" s="1052"/>
      <c r="L563" s="1052"/>
      <c r="M563" s="1052"/>
      <c r="N563" s="1052"/>
      <c r="O563" s="1052"/>
      <c r="P563" s="1052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1"/>
      <c r="AD563" s="1051"/>
      <c r="AE563" s="1051"/>
      <c r="AF563" s="1051"/>
      <c r="AG563" s="1051"/>
      <c r="AH563" s="1051"/>
      <c r="AI563" s="1051"/>
      <c r="AJ563" s="1051"/>
      <c r="AK563" s="1051"/>
      <c r="AL563" s="1051"/>
    </row>
    <row r="564" spans="1:38">
      <c r="A564" s="1044"/>
      <c r="B564" s="1044"/>
      <c r="C564" s="1044"/>
      <c r="D564" s="1044"/>
      <c r="E564" s="142"/>
      <c r="F564" s="142"/>
      <c r="G564" s="142"/>
      <c r="H564" s="1047"/>
      <c r="I564" s="1047"/>
      <c r="J564" s="1053"/>
      <c r="K564" s="1047"/>
      <c r="L564" s="1047"/>
      <c r="M564" s="1047"/>
      <c r="N564" s="1047"/>
      <c r="O564" s="1047"/>
      <c r="P564" s="1047"/>
      <c r="Q564" s="1053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4"/>
      <c r="B565" s="1044"/>
      <c r="C565" s="1044"/>
      <c r="D565" s="1044"/>
      <c r="E565" s="142"/>
      <c r="F565" s="142"/>
      <c r="G565" s="142"/>
      <c r="H565" s="1047"/>
      <c r="I565" s="1047"/>
      <c r="J565" s="1053"/>
      <c r="K565" s="1047"/>
      <c r="L565" s="1047"/>
      <c r="M565" s="1047"/>
      <c r="N565" s="1047"/>
      <c r="O565" s="1047"/>
      <c r="P565" s="1047"/>
      <c r="Q565" s="1053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4"/>
      <c r="B566" s="1044"/>
      <c r="C566" s="1044"/>
      <c r="D566" s="1044"/>
      <c r="E566" s="142"/>
      <c r="F566" s="142"/>
      <c r="G566" s="142"/>
      <c r="H566" s="1047"/>
      <c r="I566" s="1047"/>
      <c r="J566" s="1053"/>
      <c r="K566" s="1047"/>
      <c r="L566" s="1047"/>
      <c r="M566" s="1047"/>
      <c r="N566" s="1047"/>
      <c r="O566" s="1047"/>
      <c r="P566" s="1047"/>
      <c r="Q566" s="1053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4"/>
      <c r="B567" s="1044"/>
      <c r="C567" s="1044"/>
      <c r="D567" s="1044"/>
      <c r="E567" s="142"/>
      <c r="F567" s="142"/>
      <c r="G567" s="142"/>
      <c r="H567" s="1047"/>
      <c r="I567" s="1047"/>
      <c r="J567" s="1053"/>
      <c r="K567" s="1047"/>
      <c r="L567" s="1047"/>
      <c r="M567" s="1047"/>
      <c r="N567" s="1047"/>
      <c r="O567" s="1047"/>
      <c r="P567" s="1047"/>
      <c r="Q567" s="1053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4"/>
      <c r="B568" s="1044"/>
      <c r="C568" s="1044"/>
      <c r="D568" s="1044"/>
      <c r="E568" s="142"/>
      <c r="F568" s="142"/>
      <c r="G568" s="142"/>
      <c r="H568" s="1047"/>
      <c r="I568" s="1047"/>
      <c r="J568" s="1053"/>
      <c r="K568" s="1047"/>
      <c r="L568" s="1047"/>
      <c r="M568" s="1047"/>
      <c r="N568" s="1047"/>
      <c r="O568" s="1047"/>
      <c r="P568" s="1047"/>
      <c r="Q568" s="1053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4"/>
      <c r="B569" s="1044"/>
      <c r="C569" s="1044"/>
      <c r="D569" s="1044"/>
      <c r="E569" s="142"/>
      <c r="F569" s="142"/>
      <c r="G569" s="142"/>
      <c r="H569" s="1047"/>
      <c r="I569" s="1047"/>
      <c r="J569" s="1053"/>
      <c r="K569" s="1047"/>
      <c r="L569" s="1047"/>
      <c r="M569" s="1047"/>
      <c r="N569" s="1047"/>
      <c r="O569" s="1047"/>
      <c r="P569" s="1047"/>
      <c r="Q569" s="1053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4"/>
      <c r="B570" s="1044"/>
      <c r="C570" s="1044"/>
      <c r="D570" s="1044"/>
      <c r="E570" s="142"/>
      <c r="F570" s="142"/>
      <c r="G570" s="142"/>
      <c r="H570" s="1047"/>
      <c r="I570" s="1047"/>
      <c r="J570" s="1053"/>
      <c r="K570" s="1047"/>
      <c r="L570" s="1047"/>
      <c r="M570" s="1047"/>
      <c r="N570" s="1047"/>
      <c r="O570" s="1047"/>
      <c r="P570" s="1047"/>
      <c r="Q570" s="1053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4"/>
      <c r="B571" s="1044"/>
      <c r="C571" s="1044"/>
      <c r="D571" s="1044"/>
      <c r="E571" s="142"/>
      <c r="F571" s="142"/>
      <c r="G571" s="142"/>
      <c r="H571" s="1047"/>
      <c r="I571" s="1047"/>
      <c r="J571" s="1053"/>
      <c r="K571" s="1047"/>
      <c r="L571" s="1047"/>
      <c r="M571" s="1047"/>
      <c r="N571" s="1047"/>
      <c r="O571" s="1047"/>
      <c r="P571" s="1047"/>
      <c r="Q571" s="1053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4"/>
      <c r="B572" s="1044"/>
      <c r="C572" s="1044"/>
      <c r="D572" s="1044"/>
      <c r="E572" s="142"/>
      <c r="F572" s="142"/>
      <c r="G572" s="142"/>
      <c r="H572" s="1047"/>
      <c r="I572" s="1047"/>
      <c r="J572" s="1053"/>
      <c r="K572" s="1047"/>
      <c r="L572" s="1047"/>
      <c r="M572" s="1047"/>
      <c r="N572" s="1047"/>
      <c r="O572" s="1047"/>
      <c r="P572" s="1047"/>
      <c r="Q572" s="1053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4"/>
      <c r="B573" s="1044"/>
      <c r="C573" s="1044"/>
      <c r="D573" s="1044"/>
      <c r="E573" s="142"/>
      <c r="F573" s="142"/>
      <c r="G573" s="142"/>
      <c r="H573" s="1047"/>
      <c r="I573" s="1047"/>
      <c r="J573" s="1053"/>
      <c r="K573" s="1047"/>
      <c r="L573" s="1047"/>
      <c r="M573" s="1047"/>
      <c r="N573" s="1047"/>
      <c r="O573" s="1047"/>
      <c r="P573" s="1047"/>
      <c r="Q573" s="1053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4"/>
      <c r="B574" s="1044"/>
      <c r="C574" s="1044"/>
      <c r="D574" s="1044"/>
      <c r="E574" s="142"/>
      <c r="F574" s="142"/>
      <c r="G574" s="142"/>
      <c r="H574" s="1047"/>
      <c r="I574" s="1047"/>
      <c r="J574" s="1053"/>
      <c r="K574" s="1047"/>
      <c r="L574" s="1047"/>
      <c r="M574" s="1047"/>
      <c r="N574" s="1047"/>
      <c r="O574" s="1047"/>
      <c r="P574" s="1047"/>
      <c r="Q574" s="1053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4"/>
      <c r="B575" s="1044"/>
      <c r="C575" s="1044"/>
      <c r="D575" s="1044"/>
      <c r="E575" s="142"/>
      <c r="F575" s="142"/>
      <c r="G575" s="142"/>
      <c r="H575" s="1047"/>
      <c r="I575" s="1047"/>
      <c r="J575" s="1053"/>
      <c r="K575" s="1047"/>
      <c r="L575" s="1047"/>
      <c r="M575" s="1047"/>
      <c r="N575" s="1047"/>
      <c r="O575" s="1047"/>
      <c r="P575" s="1047"/>
      <c r="Q575" s="1053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047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4"/>
      <c r="B576" s="1044"/>
      <c r="C576" s="1044"/>
      <c r="D576" s="1044"/>
      <c r="E576" s="142"/>
      <c r="F576" s="142"/>
      <c r="G576" s="142"/>
      <c r="H576" s="1047"/>
      <c r="I576" s="1047"/>
      <c r="J576" s="1053"/>
      <c r="K576" s="1047"/>
      <c r="L576" s="1047"/>
      <c r="M576" s="1047"/>
      <c r="N576" s="1047"/>
      <c r="O576" s="1047"/>
      <c r="P576" s="1047"/>
      <c r="Q576" s="1053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047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4"/>
      <c r="B577" s="1044"/>
      <c r="C577" s="1044"/>
      <c r="D577" s="1044"/>
      <c r="E577" s="142"/>
      <c r="F577" s="142"/>
      <c r="G577" s="142"/>
      <c r="H577" s="1047"/>
      <c r="I577" s="1047"/>
      <c r="J577" s="1053"/>
      <c r="K577" s="1047"/>
      <c r="L577" s="1047"/>
      <c r="M577" s="1047"/>
      <c r="N577" s="1047"/>
      <c r="O577" s="1047"/>
      <c r="P577" s="1047"/>
      <c r="Q577" s="1053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047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4"/>
      <c r="B578" s="1044"/>
      <c r="C578" s="1044"/>
      <c r="D578" s="1044"/>
      <c r="E578" s="142"/>
      <c r="F578" s="142"/>
      <c r="G578" s="142"/>
      <c r="H578" s="1047"/>
      <c r="I578" s="1047"/>
      <c r="J578" s="1053"/>
      <c r="K578" s="1047"/>
      <c r="L578" s="1047"/>
      <c r="M578" s="1047"/>
      <c r="N578" s="1047"/>
      <c r="O578" s="1047"/>
      <c r="P578" s="1047"/>
      <c r="Q578" s="1053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047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4" customFormat="1">
      <c r="A579" s="1044"/>
      <c r="B579" s="1044"/>
      <c r="C579" s="1044"/>
      <c r="D579" s="1044"/>
      <c r="E579" s="142"/>
      <c r="F579" s="142"/>
      <c r="G579" s="142"/>
      <c r="H579" s="1047"/>
      <c r="I579" s="1047"/>
      <c r="J579" s="1053"/>
      <c r="K579" s="1047"/>
      <c r="L579" s="1047"/>
      <c r="M579" s="1047"/>
      <c r="N579" s="1047"/>
      <c r="O579" s="1047"/>
      <c r="P579" s="1047"/>
      <c r="Q579" s="1053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047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4" customFormat="1">
      <c r="A580" s="1044"/>
      <c r="B580" s="1044"/>
      <c r="C580" s="1044"/>
      <c r="D580" s="1044"/>
      <c r="E580" s="142"/>
      <c r="F580" s="142"/>
      <c r="G580" s="142"/>
      <c r="H580" s="1047"/>
      <c r="I580" s="1047"/>
      <c r="J580" s="1053"/>
      <c r="K580" s="1047"/>
      <c r="L580" s="1047"/>
      <c r="M580" s="1047"/>
      <c r="N580" s="1047"/>
      <c r="O580" s="1047"/>
      <c r="P580" s="1047"/>
      <c r="Q580" s="1053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047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4" customFormat="1">
      <c r="A581" s="1044"/>
      <c r="B581" s="1044"/>
      <c r="C581" s="1044"/>
      <c r="D581" s="1044"/>
      <c r="E581" s="142"/>
      <c r="F581" s="142"/>
      <c r="G581" s="142"/>
      <c r="H581" s="1047"/>
      <c r="I581" s="1047"/>
      <c r="J581" s="1053"/>
      <c r="K581" s="1047"/>
      <c r="L581" s="1047"/>
      <c r="M581" s="1047"/>
      <c r="N581" s="1047"/>
      <c r="O581" s="1047"/>
      <c r="P581" s="1047"/>
      <c r="Q581" s="1053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047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4" customFormat="1">
      <c r="A582" s="1044"/>
      <c r="B582" s="1044"/>
      <c r="C582" s="1044"/>
      <c r="D582" s="1044"/>
      <c r="E582" s="142"/>
      <c r="F582" s="142"/>
      <c r="G582" s="142"/>
      <c r="H582" s="1047"/>
      <c r="I582" s="1047"/>
      <c r="J582" s="1053"/>
      <c r="K582" s="1047"/>
      <c r="L582" s="1047"/>
      <c r="M582" s="1047"/>
      <c r="N582" s="1047"/>
      <c r="O582" s="1047"/>
      <c r="P582" s="1047"/>
      <c r="Q582" s="1053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047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4" customFormat="1">
      <c r="A583" s="1044"/>
      <c r="B583" s="1044"/>
      <c r="C583" s="1044"/>
      <c r="D583" s="1044"/>
      <c r="E583" s="142"/>
      <c r="F583" s="142"/>
      <c r="G583" s="142"/>
      <c r="H583" s="1047"/>
      <c r="I583" s="1047"/>
      <c r="J583" s="1053"/>
      <c r="K583" s="1047"/>
      <c r="L583" s="1047"/>
      <c r="M583" s="1047"/>
      <c r="N583" s="1047"/>
      <c r="O583" s="1047"/>
      <c r="P583" s="1047"/>
      <c r="Q583" s="1053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047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4" customFormat="1">
      <c r="A584" s="1044"/>
      <c r="B584" s="1044"/>
      <c r="C584" s="1044"/>
      <c r="D584" s="1044"/>
      <c r="E584" s="142"/>
      <c r="F584" s="142"/>
      <c r="G584" s="142"/>
      <c r="H584" s="1047"/>
      <c r="I584" s="1047"/>
      <c r="J584" s="1053"/>
      <c r="K584" s="1047"/>
      <c r="L584" s="1047"/>
      <c r="M584" s="1047"/>
      <c r="N584" s="1047"/>
      <c r="O584" s="1047"/>
      <c r="P584" s="1047"/>
      <c r="Q584" s="1053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047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4" customFormat="1">
      <c r="A585" s="1044"/>
      <c r="B585" s="1044"/>
      <c r="C585" s="1044"/>
      <c r="D585" s="1044"/>
      <c r="E585" s="142"/>
      <c r="F585" s="142"/>
      <c r="G585" s="142"/>
      <c r="H585" s="1047"/>
      <c r="I585" s="1047"/>
      <c r="J585" s="1053"/>
      <c r="K585" s="1047"/>
      <c r="L585" s="1047"/>
      <c r="M585" s="1047"/>
      <c r="N585" s="1047"/>
      <c r="O585" s="1047"/>
      <c r="P585" s="1047"/>
      <c r="Q585" s="1053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047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4" customFormat="1">
      <c r="A586" s="1044"/>
      <c r="B586" s="1044"/>
      <c r="C586" s="1044"/>
      <c r="D586" s="1044"/>
      <c r="E586" s="142"/>
      <c r="F586" s="142"/>
      <c r="G586" s="142"/>
      <c r="H586" s="1047"/>
      <c r="I586" s="1047"/>
      <c r="J586" s="1053"/>
      <c r="K586" s="1047"/>
      <c r="L586" s="1047"/>
      <c r="M586" s="1047"/>
      <c r="N586" s="1047"/>
      <c r="O586" s="1047"/>
      <c r="P586" s="1047"/>
      <c r="Q586" s="1053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047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4" customFormat="1">
      <c r="A587" s="1044"/>
      <c r="B587" s="1044"/>
      <c r="C587" s="1044"/>
      <c r="D587" s="1044"/>
      <c r="E587" s="142"/>
      <c r="F587" s="142"/>
      <c r="G587" s="142"/>
      <c r="H587" s="1047"/>
      <c r="I587" s="1047"/>
      <c r="J587" s="1053"/>
      <c r="K587" s="1047"/>
      <c r="L587" s="1047"/>
      <c r="M587" s="1047"/>
      <c r="N587" s="1047"/>
      <c r="O587" s="1047"/>
      <c r="P587" s="1047"/>
      <c r="Q587" s="1053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047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4" customFormat="1">
      <c r="A588" s="1044"/>
      <c r="B588" s="1044"/>
      <c r="C588" s="1044"/>
      <c r="D588" s="1044"/>
      <c r="E588" s="142"/>
      <c r="F588" s="142"/>
      <c r="G588" s="142"/>
      <c r="H588" s="1047"/>
      <c r="I588" s="1047"/>
      <c r="J588" s="1053"/>
      <c r="K588" s="1047"/>
      <c r="L588" s="1047"/>
      <c r="M588" s="1047"/>
      <c r="N588" s="1047"/>
      <c r="O588" s="1047"/>
      <c r="P588" s="1047"/>
      <c r="Q588" s="1053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047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4" customFormat="1">
      <c r="A589" s="1044"/>
      <c r="B589" s="1044"/>
      <c r="C589" s="1044"/>
      <c r="D589" s="1044"/>
      <c r="E589" s="142"/>
      <c r="F589" s="142"/>
      <c r="G589" s="142"/>
      <c r="H589" s="1047"/>
      <c r="I589" s="1047"/>
      <c r="J589" s="1053"/>
      <c r="K589" s="1047"/>
      <c r="L589" s="1047"/>
      <c r="M589" s="1047"/>
      <c r="N589" s="1047"/>
      <c r="O589" s="1047"/>
      <c r="P589" s="1047"/>
      <c r="Q589" s="1053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047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4" customFormat="1">
      <c r="A590" s="1044"/>
      <c r="B590" s="1044"/>
      <c r="C590" s="1044"/>
      <c r="D590" s="1044"/>
      <c r="E590" s="142"/>
      <c r="F590" s="142"/>
      <c r="G590" s="142"/>
      <c r="H590" s="1047"/>
      <c r="I590" s="1047"/>
      <c r="J590" s="1053"/>
      <c r="K590" s="1047"/>
      <c r="L590" s="1047"/>
      <c r="M590" s="1047"/>
      <c r="N590" s="1047"/>
      <c r="O590" s="1047"/>
      <c r="P590" s="1047"/>
      <c r="Q590" s="1053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047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4" customFormat="1">
      <c r="A591" s="1044"/>
      <c r="B591" s="1044"/>
      <c r="C591" s="1044"/>
      <c r="D591" s="1044"/>
      <c r="E591" s="142"/>
      <c r="F591" s="142"/>
      <c r="G591" s="142"/>
      <c r="H591" s="1047"/>
      <c r="I591" s="1047"/>
      <c r="J591" s="1053"/>
      <c r="K591" s="1047"/>
      <c r="L591" s="1047"/>
      <c r="M591" s="1047"/>
      <c r="N591" s="1047"/>
      <c r="O591" s="1047"/>
      <c r="P591" s="1047"/>
      <c r="Q591" s="1053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047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4" customFormat="1">
      <c r="A592" s="1044"/>
      <c r="B592" s="1044"/>
      <c r="C592" s="1044"/>
      <c r="D592" s="1044"/>
      <c r="E592" s="142"/>
      <c r="F592" s="142"/>
      <c r="G592" s="142"/>
      <c r="H592" s="1047"/>
      <c r="I592" s="1047"/>
      <c r="J592" s="1053"/>
      <c r="K592" s="1047"/>
      <c r="L592" s="1047"/>
      <c r="M592" s="1047"/>
      <c r="N592" s="1047"/>
      <c r="O592" s="1047"/>
      <c r="P592" s="1047"/>
      <c r="Q592" s="1053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047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4" customFormat="1">
      <c r="A593" s="1044"/>
      <c r="B593" s="1044"/>
      <c r="C593" s="1044"/>
      <c r="D593" s="1044"/>
      <c r="E593" s="142"/>
      <c r="F593" s="142"/>
      <c r="G593" s="142"/>
      <c r="H593" s="1047"/>
      <c r="I593" s="1047"/>
      <c r="J593" s="1053"/>
      <c r="K593" s="1047"/>
      <c r="L593" s="1047"/>
      <c r="M593" s="1047"/>
      <c r="N593" s="1047"/>
      <c r="O593" s="1047"/>
      <c r="P593" s="1047"/>
      <c r="Q593" s="1053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047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4" customFormat="1">
      <c r="A594" s="1044"/>
      <c r="B594" s="1044"/>
      <c r="C594" s="1044"/>
      <c r="D594" s="1044"/>
      <c r="E594" s="142"/>
      <c r="F594" s="142"/>
      <c r="G594" s="142"/>
      <c r="H594" s="1047"/>
      <c r="I594" s="1047"/>
      <c r="J594" s="1053"/>
      <c r="K594" s="1047"/>
      <c r="L594" s="1047"/>
      <c r="M594" s="1047"/>
      <c r="N594" s="1047"/>
      <c r="O594" s="1047"/>
      <c r="P594" s="1047"/>
      <c r="Q594" s="1053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047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4" customFormat="1">
      <c r="A595" s="1044"/>
      <c r="B595" s="1044"/>
      <c r="C595" s="1044"/>
      <c r="D595" s="1044"/>
      <c r="E595" s="142"/>
      <c r="F595" s="142"/>
      <c r="G595" s="142"/>
      <c r="H595" s="1047"/>
      <c r="I595" s="1047"/>
      <c r="J595" s="1053"/>
      <c r="K595" s="1047"/>
      <c r="L595" s="1047"/>
      <c r="M595" s="1047"/>
      <c r="N595" s="1047"/>
      <c r="O595" s="1047"/>
      <c r="P595" s="1047"/>
      <c r="Q595" s="1053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047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4" customFormat="1">
      <c r="A596" s="1044"/>
      <c r="B596" s="1044"/>
      <c r="C596" s="1044"/>
      <c r="D596" s="1044"/>
      <c r="E596" s="142"/>
      <c r="F596" s="142"/>
      <c r="G596" s="142"/>
      <c r="H596" s="1047"/>
      <c r="I596" s="1047"/>
      <c r="J596" s="1053"/>
      <c r="K596" s="1047"/>
      <c r="L596" s="1047"/>
      <c r="M596" s="1047"/>
      <c r="N596" s="1047"/>
      <c r="O596" s="1047"/>
      <c r="P596" s="1047"/>
      <c r="Q596" s="1053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047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4" customFormat="1">
      <c r="A597" s="1044"/>
      <c r="B597" s="1044"/>
      <c r="C597" s="1044"/>
      <c r="D597" s="1044"/>
      <c r="E597" s="142"/>
      <c r="F597" s="142"/>
      <c r="G597" s="142"/>
      <c r="H597" s="1047"/>
      <c r="I597" s="1047"/>
      <c r="J597" s="1053"/>
      <c r="K597" s="1047"/>
      <c r="L597" s="1047"/>
      <c r="M597" s="1047"/>
      <c r="N597" s="1047"/>
      <c r="O597" s="1047"/>
      <c r="P597" s="1047"/>
      <c r="Q597" s="1053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047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4" customFormat="1">
      <c r="A598" s="1044"/>
      <c r="B598" s="1044"/>
      <c r="C598" s="1044"/>
      <c r="D598" s="1044"/>
      <c r="E598" s="142"/>
      <c r="F598" s="142"/>
      <c r="G598" s="142"/>
      <c r="H598" s="1047"/>
      <c r="I598" s="1047"/>
      <c r="J598" s="1053"/>
      <c r="K598" s="1047"/>
      <c r="L598" s="1047"/>
      <c r="M598" s="1047"/>
      <c r="N598" s="1047"/>
      <c r="O598" s="1047"/>
      <c r="P598" s="1047"/>
      <c r="Q598" s="1053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047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4" customFormat="1">
      <c r="A599" s="1044"/>
      <c r="B599" s="1044"/>
      <c r="C599" s="1044"/>
      <c r="D599" s="1044"/>
      <c r="E599" s="142"/>
      <c r="F599" s="142"/>
      <c r="G599" s="142"/>
      <c r="H599" s="1047"/>
      <c r="I599" s="1047"/>
      <c r="J599" s="1053"/>
      <c r="K599" s="1047"/>
      <c r="L599" s="1047"/>
      <c r="M599" s="1047"/>
      <c r="N599" s="1047"/>
      <c r="O599" s="1047"/>
      <c r="P599" s="1047"/>
      <c r="Q599" s="1053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047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4" customFormat="1">
      <c r="A600" s="1044"/>
      <c r="B600" s="1044"/>
      <c r="C600" s="1044"/>
      <c r="D600" s="1044"/>
      <c r="E600" s="142"/>
      <c r="F600" s="142"/>
      <c r="G600" s="142"/>
      <c r="H600" s="1047"/>
      <c r="I600" s="1047"/>
      <c r="J600" s="1053"/>
      <c r="K600" s="1047"/>
      <c r="L600" s="1047"/>
      <c r="M600" s="1047"/>
      <c r="N600" s="1047"/>
      <c r="O600" s="1047"/>
      <c r="P600" s="1047"/>
      <c r="Q600" s="1053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047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4" customFormat="1">
      <c r="A601" s="1044"/>
      <c r="B601" s="1044"/>
      <c r="C601" s="1044"/>
      <c r="D601" s="1044"/>
      <c r="E601" s="142"/>
      <c r="F601" s="142"/>
      <c r="G601" s="142"/>
      <c r="H601" s="1047"/>
      <c r="I601" s="1047"/>
      <c r="J601" s="1053"/>
      <c r="K601" s="1047"/>
      <c r="L601" s="1047"/>
      <c r="M601" s="1047"/>
      <c r="N601" s="1047"/>
      <c r="O601" s="1047"/>
      <c r="P601" s="1047"/>
      <c r="Q601" s="1053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047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4" customFormat="1">
      <c r="A602" s="1044"/>
      <c r="B602" s="1044"/>
      <c r="C602" s="1044"/>
      <c r="D602" s="1044"/>
      <c r="E602" s="142"/>
      <c r="F602" s="142"/>
      <c r="G602" s="142"/>
      <c r="H602" s="1047"/>
      <c r="I602" s="1047"/>
      <c r="J602" s="1053"/>
      <c r="K602" s="1047"/>
      <c r="L602" s="1047"/>
      <c r="M602" s="1047"/>
      <c r="N602" s="1047"/>
      <c r="O602" s="1047"/>
      <c r="P602" s="1047"/>
      <c r="Q602" s="1053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047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4" customFormat="1">
      <c r="A603" s="1044"/>
      <c r="B603" s="1044"/>
      <c r="C603" s="1044"/>
      <c r="D603" s="1044"/>
      <c r="E603" s="142"/>
      <c r="F603" s="142"/>
      <c r="G603" s="142"/>
      <c r="H603" s="1047"/>
      <c r="I603" s="1047"/>
      <c r="J603" s="1053"/>
      <c r="K603" s="1047"/>
      <c r="L603" s="1047"/>
      <c r="M603" s="1047"/>
      <c r="N603" s="1047"/>
      <c r="O603" s="1047"/>
      <c r="P603" s="1047"/>
      <c r="Q603" s="1053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047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4" customFormat="1">
      <c r="A604" s="1044"/>
      <c r="B604" s="1044"/>
      <c r="C604" s="1044"/>
      <c r="D604" s="1044"/>
      <c r="E604" s="142"/>
      <c r="F604" s="142"/>
      <c r="G604" s="142"/>
      <c r="H604" s="1047"/>
      <c r="I604" s="1047"/>
      <c r="J604" s="1053"/>
      <c r="K604" s="1047"/>
      <c r="L604" s="1047"/>
      <c r="M604" s="1047"/>
      <c r="N604" s="1047"/>
      <c r="O604" s="1047"/>
      <c r="P604" s="1047"/>
      <c r="Q604" s="1053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047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4" customFormat="1">
      <c r="A605" s="1044"/>
      <c r="B605" s="1044"/>
      <c r="C605" s="1044"/>
      <c r="D605" s="1044"/>
      <c r="E605" s="142"/>
      <c r="F605" s="142"/>
      <c r="G605" s="142"/>
      <c r="H605" s="1047"/>
      <c r="I605" s="1047"/>
      <c r="J605" s="1053"/>
      <c r="K605" s="1047"/>
      <c r="L605" s="1047"/>
      <c r="M605" s="1047"/>
      <c r="N605" s="1047"/>
      <c r="O605" s="1047"/>
      <c r="P605" s="1047"/>
      <c r="Q605" s="1053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047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4" customFormat="1">
      <c r="A606" s="1044"/>
      <c r="B606" s="1044"/>
      <c r="C606" s="1044"/>
      <c r="D606" s="1044"/>
      <c r="E606" s="142"/>
      <c r="F606" s="142"/>
      <c r="G606" s="142"/>
      <c r="H606" s="1047"/>
      <c r="I606" s="1047"/>
      <c r="J606" s="1053"/>
      <c r="K606" s="1047"/>
      <c r="L606" s="1047"/>
      <c r="M606" s="1047"/>
      <c r="N606" s="1047"/>
      <c r="O606" s="1047"/>
      <c r="P606" s="1047"/>
      <c r="Q606" s="1053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047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4" customFormat="1">
      <c r="A607" s="1044"/>
      <c r="B607" s="1044"/>
      <c r="C607" s="1044"/>
      <c r="D607" s="1044"/>
      <c r="E607" s="142"/>
      <c r="F607" s="142"/>
      <c r="G607" s="142"/>
      <c r="H607" s="1047"/>
      <c r="I607" s="1047"/>
      <c r="J607" s="1053"/>
      <c r="K607" s="1047"/>
      <c r="L607" s="1047"/>
      <c r="M607" s="1047"/>
      <c r="N607" s="1047"/>
      <c r="O607" s="1047"/>
      <c r="P607" s="1047"/>
      <c r="Q607" s="1053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047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4" customFormat="1">
      <c r="A608" s="1044"/>
      <c r="B608" s="1044"/>
      <c r="C608" s="1044"/>
      <c r="D608" s="1044"/>
      <c r="E608" s="142"/>
      <c r="F608" s="142"/>
      <c r="G608" s="142"/>
      <c r="H608" s="1047"/>
      <c r="I608" s="1047"/>
      <c r="J608" s="1053"/>
      <c r="K608" s="1047"/>
      <c r="L608" s="1047"/>
      <c r="M608" s="1047"/>
      <c r="N608" s="1047"/>
      <c r="O608" s="1047"/>
      <c r="P608" s="1047"/>
      <c r="Q608" s="1053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047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4" customFormat="1">
      <c r="A609" s="1044"/>
      <c r="B609" s="1044"/>
      <c r="C609" s="1044"/>
      <c r="D609" s="1044"/>
      <c r="E609" s="142"/>
      <c r="F609" s="142"/>
      <c r="G609" s="142"/>
      <c r="H609" s="1047"/>
      <c r="I609" s="1047"/>
      <c r="J609" s="1053"/>
      <c r="K609" s="1047"/>
      <c r="L609" s="1047"/>
      <c r="M609" s="1047"/>
      <c r="N609" s="1047"/>
      <c r="O609" s="1047"/>
      <c r="P609" s="1047"/>
      <c r="Q609" s="1053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047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4" customFormat="1">
      <c r="A610" s="1044"/>
      <c r="B610" s="1044"/>
      <c r="C610" s="1044"/>
      <c r="D610" s="1044"/>
      <c r="E610" s="142"/>
      <c r="F610" s="142"/>
      <c r="G610" s="142"/>
      <c r="H610" s="1047"/>
      <c r="I610" s="1047"/>
      <c r="J610" s="1053"/>
      <c r="K610" s="1047"/>
      <c r="L610" s="1047"/>
      <c r="M610" s="1047"/>
      <c r="N610" s="1047"/>
      <c r="O610" s="1047"/>
      <c r="P610" s="1047"/>
      <c r="Q610" s="1053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047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4" customFormat="1">
      <c r="A611" s="1044"/>
      <c r="B611" s="1044"/>
      <c r="C611" s="1044"/>
      <c r="D611" s="1044"/>
      <c r="E611" s="142"/>
      <c r="F611" s="142"/>
      <c r="G611" s="142"/>
      <c r="H611" s="1047"/>
      <c r="I611" s="1047"/>
      <c r="J611" s="1053"/>
      <c r="K611" s="1047"/>
      <c r="L611" s="1047"/>
      <c r="M611" s="1047"/>
      <c r="N611" s="1047"/>
      <c r="O611" s="1047"/>
      <c r="P611" s="1047"/>
      <c r="Q611" s="1053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047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4" customFormat="1">
      <c r="A612" s="1044"/>
      <c r="B612" s="1044"/>
      <c r="C612" s="1044"/>
      <c r="D612" s="1044"/>
      <c r="E612" s="142"/>
      <c r="F612" s="142"/>
      <c r="G612" s="142"/>
      <c r="H612" s="1047"/>
      <c r="I612" s="1047"/>
      <c r="J612" s="1053"/>
      <c r="K612" s="1047"/>
      <c r="L612" s="1047"/>
      <c r="M612" s="1047"/>
      <c r="N612" s="1047"/>
      <c r="O612" s="1047"/>
      <c r="P612" s="1047"/>
      <c r="Q612" s="1053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047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4" customFormat="1">
      <c r="A613" s="1044"/>
      <c r="B613" s="1044"/>
      <c r="C613" s="1044"/>
      <c r="D613" s="1044"/>
      <c r="E613" s="142"/>
      <c r="F613" s="142"/>
      <c r="G613" s="142"/>
      <c r="H613" s="1047"/>
      <c r="I613" s="1047"/>
      <c r="J613" s="1053"/>
      <c r="K613" s="1047"/>
      <c r="L613" s="1047"/>
      <c r="M613" s="1047"/>
      <c r="N613" s="1047"/>
      <c r="O613" s="1047"/>
      <c r="P613" s="1047"/>
      <c r="Q613" s="1053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047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4" customFormat="1">
      <c r="A614" s="1044"/>
      <c r="B614" s="1044"/>
      <c r="C614" s="1044"/>
      <c r="D614" s="1044"/>
      <c r="E614" s="142"/>
      <c r="F614" s="142"/>
      <c r="G614" s="142"/>
      <c r="H614" s="1047"/>
      <c r="I614" s="1047"/>
      <c r="J614" s="1053"/>
      <c r="K614" s="1047"/>
      <c r="L614" s="1047"/>
      <c r="M614" s="1047"/>
      <c r="N614" s="1047"/>
      <c r="O614" s="1047"/>
      <c r="P614" s="1047"/>
      <c r="Q614" s="1053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047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4" customFormat="1">
      <c r="A615" s="1044"/>
      <c r="B615" s="1044"/>
      <c r="C615" s="1044"/>
      <c r="D615" s="1044"/>
      <c r="E615" s="142"/>
      <c r="F615" s="142"/>
      <c r="G615" s="142"/>
      <c r="H615" s="1047"/>
      <c r="I615" s="1047"/>
      <c r="J615" s="1053"/>
      <c r="K615" s="1047"/>
      <c r="L615" s="1047"/>
      <c r="M615" s="1047"/>
      <c r="N615" s="1047"/>
      <c r="O615" s="1047"/>
      <c r="P615" s="1047"/>
      <c r="Q615" s="1053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047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4" customFormat="1">
      <c r="A616" s="1044"/>
      <c r="B616" s="1044"/>
      <c r="C616" s="1044"/>
      <c r="D616" s="1044"/>
      <c r="E616" s="142"/>
      <c r="F616" s="142"/>
      <c r="G616" s="142"/>
      <c r="H616" s="1047"/>
      <c r="I616" s="1047"/>
      <c r="J616" s="1053"/>
      <c r="K616" s="1047"/>
      <c r="L616" s="1047"/>
      <c r="M616" s="1047"/>
      <c r="N616" s="1047"/>
      <c r="O616" s="1047"/>
      <c r="P616" s="1047"/>
      <c r="Q616" s="1053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047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4" customFormat="1">
      <c r="A617" s="1044"/>
      <c r="B617" s="1044"/>
      <c r="C617" s="1044"/>
      <c r="D617" s="1044"/>
      <c r="E617" s="142"/>
      <c r="F617" s="142"/>
      <c r="G617" s="142"/>
      <c r="H617" s="1047"/>
      <c r="I617" s="1047"/>
      <c r="J617" s="1053"/>
      <c r="K617" s="1047"/>
      <c r="L617" s="1047"/>
      <c r="M617" s="1047"/>
      <c r="N617" s="1047"/>
      <c r="O617" s="1047"/>
      <c r="P617" s="1047"/>
      <c r="Q617" s="1053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047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4" customFormat="1">
      <c r="A618" s="1044"/>
      <c r="B618" s="1044"/>
      <c r="C618" s="1044"/>
      <c r="D618" s="1044"/>
      <c r="E618" s="142"/>
      <c r="F618" s="142"/>
      <c r="G618" s="142"/>
      <c r="H618" s="1047"/>
      <c r="I618" s="1047"/>
      <c r="J618" s="1053"/>
      <c r="K618" s="1047"/>
      <c r="L618" s="1047"/>
      <c r="M618" s="1047"/>
      <c r="N618" s="1047"/>
      <c r="O618" s="1047"/>
      <c r="P618" s="1047"/>
      <c r="Q618" s="1053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047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4" customFormat="1">
      <c r="A619" s="1044"/>
      <c r="B619" s="1044"/>
      <c r="C619" s="1044"/>
      <c r="D619" s="1044"/>
      <c r="E619" s="142"/>
      <c r="F619" s="142"/>
      <c r="G619" s="142"/>
      <c r="H619" s="1047"/>
      <c r="I619" s="1047"/>
      <c r="J619" s="1053"/>
      <c r="K619" s="1047"/>
      <c r="L619" s="1047"/>
      <c r="M619" s="1047"/>
      <c r="N619" s="1047"/>
      <c r="O619" s="1047"/>
      <c r="P619" s="1047"/>
      <c r="Q619" s="1053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047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4" customFormat="1">
      <c r="A620" s="1044"/>
      <c r="B620" s="1044"/>
      <c r="C620" s="1044"/>
      <c r="D620" s="1044"/>
      <c r="E620" s="142"/>
      <c r="F620" s="142"/>
      <c r="G620" s="142"/>
      <c r="H620" s="1047"/>
      <c r="I620" s="1047"/>
      <c r="J620" s="1053"/>
      <c r="K620" s="1047"/>
      <c r="L620" s="1047"/>
      <c r="M620" s="1047"/>
      <c r="N620" s="1047"/>
      <c r="O620" s="1047"/>
      <c r="P620" s="1047"/>
      <c r="Q620" s="1053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047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4" customFormat="1">
      <c r="A621" s="1044"/>
      <c r="B621" s="1044"/>
      <c r="C621" s="1044"/>
      <c r="D621" s="1044"/>
      <c r="E621" s="142"/>
      <c r="F621" s="142"/>
      <c r="G621" s="142"/>
      <c r="H621" s="1047"/>
      <c r="I621" s="1047"/>
      <c r="J621" s="1053"/>
      <c r="K621" s="1047"/>
      <c r="L621" s="1047"/>
      <c r="M621" s="1047"/>
      <c r="N621" s="1047"/>
      <c r="O621" s="1047"/>
      <c r="P621" s="1047"/>
      <c r="Q621" s="1053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047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4" customFormat="1">
      <c r="A622" s="1044"/>
      <c r="B622" s="1044"/>
      <c r="C622" s="1044"/>
      <c r="D622" s="1044"/>
      <c r="E622" s="142"/>
      <c r="F622" s="142"/>
      <c r="G622" s="142"/>
      <c r="H622" s="1047"/>
      <c r="I622" s="1047"/>
      <c r="J622" s="1053"/>
      <c r="K622" s="1047"/>
      <c r="L622" s="1047"/>
      <c r="M622" s="1047"/>
      <c r="N622" s="1047"/>
      <c r="O622" s="1047"/>
      <c r="P622" s="1047"/>
      <c r="Q622" s="1053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047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4" customFormat="1">
      <c r="A623" s="1044"/>
      <c r="B623" s="1044"/>
      <c r="C623" s="1044"/>
      <c r="D623" s="1044"/>
      <c r="E623" s="142"/>
      <c r="F623" s="142"/>
      <c r="G623" s="142"/>
      <c r="H623" s="1047"/>
      <c r="I623" s="1047"/>
      <c r="J623" s="1053"/>
      <c r="K623" s="1047"/>
      <c r="L623" s="1047"/>
      <c r="M623" s="1047"/>
      <c r="N623" s="1047"/>
      <c r="O623" s="1047"/>
      <c r="P623" s="1047"/>
      <c r="Q623" s="1053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047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4" customFormat="1">
      <c r="A624" s="1044"/>
      <c r="B624" s="1044"/>
      <c r="C624" s="1044"/>
      <c r="D624" s="1044"/>
      <c r="E624" s="142"/>
      <c r="F624" s="142"/>
      <c r="G624" s="142"/>
      <c r="H624" s="1047"/>
      <c r="I624" s="1047"/>
      <c r="J624" s="1053"/>
      <c r="K624" s="1047"/>
      <c r="L624" s="1047"/>
      <c r="M624" s="1047"/>
      <c r="N624" s="1047"/>
      <c r="O624" s="1047"/>
      <c r="P624" s="1047"/>
      <c r="Q624" s="1053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047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4" customFormat="1">
      <c r="A625" s="1044"/>
      <c r="B625" s="1044"/>
      <c r="C625" s="1044"/>
      <c r="D625" s="1044"/>
      <c r="E625" s="142"/>
      <c r="F625" s="142"/>
      <c r="G625" s="142"/>
      <c r="H625" s="1047"/>
      <c r="I625" s="1047"/>
      <c r="J625" s="1053"/>
      <c r="K625" s="1047"/>
      <c r="L625" s="1047"/>
      <c r="M625" s="1047"/>
      <c r="N625" s="1047"/>
      <c r="O625" s="1047"/>
      <c r="P625" s="1047"/>
      <c r="Q625" s="1053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047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4" customFormat="1">
      <c r="A626" s="1044"/>
      <c r="B626" s="1044"/>
      <c r="C626" s="1044"/>
      <c r="D626" s="1044"/>
      <c r="E626" s="142"/>
      <c r="F626" s="142"/>
      <c r="G626" s="142"/>
      <c r="H626" s="1047"/>
      <c r="I626" s="1047"/>
      <c r="J626" s="1053"/>
      <c r="K626" s="1047"/>
      <c r="L626" s="1047"/>
      <c r="M626" s="1047"/>
      <c r="N626" s="1047"/>
      <c r="O626" s="1047"/>
      <c r="P626" s="1047"/>
      <c r="Q626" s="1053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047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4" customFormat="1">
      <c r="A627" s="1044"/>
      <c r="B627" s="1044"/>
      <c r="C627" s="1044"/>
      <c r="D627" s="1044"/>
      <c r="E627" s="142"/>
      <c r="F627" s="142"/>
      <c r="G627" s="142"/>
      <c r="H627" s="1047"/>
      <c r="I627" s="1047"/>
      <c r="J627" s="1053"/>
      <c r="K627" s="1047"/>
      <c r="L627" s="1047"/>
      <c r="M627" s="1047"/>
      <c r="N627" s="1047"/>
      <c r="O627" s="1047"/>
      <c r="P627" s="1047"/>
      <c r="Q627" s="1053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047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4" customFormat="1">
      <c r="A628" s="1044"/>
      <c r="B628" s="1044"/>
      <c r="C628" s="1044"/>
      <c r="D628" s="1044"/>
      <c r="E628" s="142"/>
      <c r="F628" s="142"/>
      <c r="G628" s="142"/>
      <c r="H628" s="1047"/>
      <c r="I628" s="1047"/>
      <c r="J628" s="1053"/>
      <c r="K628" s="1047"/>
      <c r="L628" s="1047"/>
      <c r="M628" s="1047"/>
      <c r="N628" s="1047"/>
      <c r="O628" s="1047"/>
      <c r="P628" s="1047"/>
      <c r="Q628" s="1053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047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4" customFormat="1">
      <c r="A629" s="1044"/>
      <c r="B629" s="1044"/>
      <c r="C629" s="1044"/>
      <c r="D629" s="1044"/>
      <c r="E629" s="142"/>
      <c r="F629" s="142"/>
      <c r="G629" s="142"/>
      <c r="H629" s="1047"/>
      <c r="I629" s="1047"/>
      <c r="J629" s="1053"/>
      <c r="K629" s="1047"/>
      <c r="L629" s="1047"/>
      <c r="M629" s="1047"/>
      <c r="N629" s="1047"/>
      <c r="O629" s="1047"/>
      <c r="P629" s="1047"/>
      <c r="Q629" s="1053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047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4" customFormat="1">
      <c r="A630" s="1044"/>
      <c r="B630" s="1044"/>
      <c r="C630" s="1044"/>
      <c r="D630" s="1044"/>
      <c r="E630" s="142"/>
      <c r="F630" s="142"/>
      <c r="G630" s="142"/>
      <c r="H630" s="1047"/>
      <c r="I630" s="1047"/>
      <c r="J630" s="1053"/>
      <c r="K630" s="1047"/>
      <c r="L630" s="1047"/>
      <c r="M630" s="1047"/>
      <c r="N630" s="1047"/>
      <c r="O630" s="1047"/>
      <c r="P630" s="1047"/>
      <c r="Q630" s="1053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047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4" customFormat="1">
      <c r="A631" s="1044"/>
      <c r="B631" s="1044"/>
      <c r="C631" s="1044"/>
      <c r="D631" s="1044"/>
      <c r="E631" s="142"/>
      <c r="F631" s="142"/>
      <c r="G631" s="142"/>
      <c r="H631" s="1047"/>
      <c r="I631" s="1047"/>
      <c r="J631" s="1053"/>
      <c r="K631" s="1047"/>
      <c r="L631" s="1047"/>
      <c r="M631" s="1047"/>
      <c r="N631" s="1047"/>
      <c r="O631" s="1047"/>
      <c r="P631" s="1047"/>
      <c r="Q631" s="1053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047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4" customFormat="1">
      <c r="A632" s="1044"/>
      <c r="B632" s="1044"/>
      <c r="C632" s="1044"/>
      <c r="D632" s="1044"/>
      <c r="E632" s="142"/>
      <c r="F632" s="142"/>
      <c r="G632" s="142"/>
      <c r="H632" s="1047"/>
      <c r="I632" s="1047"/>
      <c r="J632" s="1053"/>
      <c r="K632" s="1047"/>
      <c r="L632" s="1047"/>
      <c r="M632" s="1047"/>
      <c r="N632" s="1047"/>
      <c r="O632" s="1047"/>
      <c r="P632" s="1047"/>
      <c r="Q632" s="1053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047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4" customFormat="1">
      <c r="A633" s="1044"/>
      <c r="B633" s="1044"/>
      <c r="C633" s="1044"/>
      <c r="D633" s="1044"/>
      <c r="E633" s="142"/>
      <c r="F633" s="142"/>
      <c r="G633" s="142"/>
      <c r="H633" s="1047"/>
      <c r="I633" s="1047"/>
      <c r="J633" s="1053"/>
      <c r="K633" s="1047"/>
      <c r="L633" s="1047"/>
      <c r="M633" s="1047"/>
      <c r="N633" s="1047"/>
      <c r="O633" s="1047"/>
      <c r="P633" s="1047"/>
      <c r="Q633" s="1053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047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4" customFormat="1">
      <c r="A634" s="1044"/>
      <c r="B634" s="1044"/>
      <c r="C634" s="1044"/>
      <c r="D634" s="1044"/>
      <c r="E634" s="142"/>
      <c r="F634" s="142"/>
      <c r="G634" s="142"/>
      <c r="H634" s="1047"/>
      <c r="I634" s="1047"/>
      <c r="J634" s="1053"/>
      <c r="K634" s="1047"/>
      <c r="L634" s="1047"/>
      <c r="M634" s="1047"/>
      <c r="N634" s="1047"/>
      <c r="O634" s="1047"/>
      <c r="P634" s="1047"/>
      <c r="Q634" s="1053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047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4" customFormat="1">
      <c r="A635" s="1044"/>
      <c r="B635" s="1044"/>
      <c r="C635" s="1044"/>
      <c r="D635" s="1044"/>
      <c r="E635" s="142"/>
      <c r="F635" s="142"/>
      <c r="G635" s="142"/>
      <c r="H635" s="1047"/>
      <c r="I635" s="1047"/>
      <c r="J635" s="1053"/>
      <c r="K635" s="1047"/>
      <c r="L635" s="1047"/>
      <c r="M635" s="1047"/>
      <c r="N635" s="1047"/>
      <c r="O635" s="1047"/>
      <c r="P635" s="1047"/>
      <c r="Q635" s="1053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047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4" customFormat="1">
      <c r="A636" s="1044"/>
      <c r="B636" s="1044"/>
      <c r="C636" s="1044"/>
      <c r="D636" s="1044"/>
      <c r="E636" s="142"/>
      <c r="F636" s="142"/>
      <c r="G636" s="142"/>
      <c r="H636" s="1047"/>
      <c r="I636" s="1047"/>
      <c r="J636" s="1053"/>
      <c r="K636" s="1047"/>
      <c r="L636" s="1047"/>
      <c r="M636" s="1047"/>
      <c r="N636" s="1047"/>
      <c r="O636" s="1047"/>
      <c r="P636" s="1047"/>
      <c r="Q636" s="1053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047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4" customFormat="1">
      <c r="A637" s="1044"/>
      <c r="B637" s="1044"/>
      <c r="C637" s="1044"/>
      <c r="D637" s="1044"/>
      <c r="E637" s="142"/>
      <c r="F637" s="142"/>
      <c r="G637" s="142"/>
      <c r="H637" s="1047"/>
      <c r="I637" s="1047"/>
      <c r="J637" s="1053"/>
      <c r="K637" s="1047"/>
      <c r="L637" s="1047"/>
      <c r="M637" s="1047"/>
      <c r="N637" s="1047"/>
      <c r="O637" s="1047"/>
      <c r="P637" s="1047"/>
      <c r="Q637" s="1053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047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4" customFormat="1">
      <c r="A638" s="1044"/>
      <c r="B638" s="1044"/>
      <c r="C638" s="1044"/>
      <c r="D638" s="1044"/>
      <c r="E638" s="142"/>
      <c r="F638" s="142"/>
      <c r="G638" s="142"/>
      <c r="H638" s="1047"/>
      <c r="I638" s="1047"/>
      <c r="J638" s="1053"/>
      <c r="K638" s="1047"/>
      <c r="L638" s="1047"/>
      <c r="M638" s="1047"/>
      <c r="N638" s="1047"/>
      <c r="O638" s="1047"/>
      <c r="P638" s="1047"/>
      <c r="Q638" s="1053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047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4" customFormat="1">
      <c r="A639" s="1044"/>
      <c r="B639" s="1044"/>
      <c r="C639" s="1044"/>
      <c r="D639" s="1044"/>
      <c r="E639" s="142"/>
      <c r="F639" s="142"/>
      <c r="G639" s="142"/>
      <c r="H639" s="1047"/>
      <c r="I639" s="1047"/>
      <c r="J639" s="1053"/>
      <c r="K639" s="1047"/>
      <c r="L639" s="1047"/>
      <c r="M639" s="1047"/>
      <c r="N639" s="1047"/>
      <c r="O639" s="1047"/>
      <c r="P639" s="1047"/>
      <c r="Q639" s="1053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047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4" customFormat="1">
      <c r="A640" s="1044"/>
      <c r="B640" s="1044"/>
      <c r="C640" s="1044"/>
      <c r="D640" s="1044"/>
      <c r="E640" s="142"/>
      <c r="F640" s="142"/>
      <c r="G640" s="142"/>
      <c r="H640" s="1047"/>
      <c r="I640" s="1047"/>
      <c r="J640" s="1053"/>
      <c r="K640" s="1047"/>
      <c r="L640" s="1047"/>
      <c r="M640" s="1047"/>
      <c r="N640" s="1047"/>
      <c r="O640" s="1047"/>
      <c r="P640" s="1047"/>
      <c r="Q640" s="1053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047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4" customFormat="1">
      <c r="A641" s="1044"/>
      <c r="B641" s="1044"/>
      <c r="C641" s="1044"/>
      <c r="D641" s="1044"/>
      <c r="E641" s="142"/>
      <c r="F641" s="142"/>
      <c r="G641" s="142"/>
      <c r="H641" s="1047"/>
      <c r="I641" s="1047"/>
      <c r="J641" s="1053"/>
      <c r="K641" s="1047"/>
      <c r="L641" s="1047"/>
      <c r="M641" s="1047"/>
      <c r="N641" s="1047"/>
      <c r="O641" s="1047"/>
      <c r="P641" s="1047"/>
      <c r="Q641" s="1053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047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4" customFormat="1">
      <c r="A642" s="1044"/>
      <c r="B642" s="1044"/>
      <c r="C642" s="1044"/>
      <c r="D642" s="1044"/>
      <c r="E642" s="142"/>
      <c r="F642" s="142"/>
      <c r="G642" s="142"/>
      <c r="H642" s="1047"/>
      <c r="I642" s="1047"/>
      <c r="J642" s="1053"/>
      <c r="K642" s="1047"/>
      <c r="L642" s="1047"/>
      <c r="M642" s="1047"/>
      <c r="N642" s="1047"/>
      <c r="O642" s="1047"/>
      <c r="P642" s="1047"/>
      <c r="Q642" s="1053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047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4" customFormat="1">
      <c r="A643" s="1044"/>
      <c r="B643" s="1044"/>
      <c r="C643" s="1044"/>
      <c r="D643" s="1044"/>
      <c r="E643" s="142"/>
      <c r="F643" s="142"/>
      <c r="G643" s="142"/>
      <c r="H643" s="1047"/>
      <c r="I643" s="1047"/>
      <c r="J643" s="1053"/>
      <c r="K643" s="1047"/>
      <c r="L643" s="1047"/>
      <c r="M643" s="1047"/>
      <c r="N643" s="1047"/>
      <c r="O643" s="1047"/>
      <c r="P643" s="1047"/>
      <c r="Q643" s="1053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047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4" customFormat="1">
      <c r="A644" s="1044"/>
      <c r="B644" s="1044"/>
      <c r="C644" s="1044"/>
      <c r="D644" s="1044"/>
      <c r="E644" s="142"/>
      <c r="F644" s="142"/>
      <c r="G644" s="142"/>
      <c r="H644" s="1047"/>
      <c r="I644" s="1047"/>
      <c r="J644" s="1053"/>
      <c r="K644" s="1047"/>
      <c r="L644" s="1047"/>
      <c r="M644" s="1047"/>
      <c r="N644" s="1047"/>
      <c r="O644" s="1047"/>
      <c r="P644" s="1047"/>
      <c r="Q644" s="1053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047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4" customFormat="1">
      <c r="A645" s="1044"/>
      <c r="B645" s="1044"/>
      <c r="C645" s="1044"/>
      <c r="D645" s="1044"/>
      <c r="E645" s="142"/>
      <c r="F645" s="142"/>
      <c r="G645" s="142"/>
      <c r="H645" s="1047"/>
      <c r="I645" s="1047"/>
      <c r="J645" s="1053"/>
      <c r="K645" s="1047"/>
      <c r="L645" s="1047"/>
      <c r="M645" s="1047"/>
      <c r="N645" s="1047"/>
      <c r="O645" s="1047"/>
      <c r="P645" s="1047"/>
      <c r="Q645" s="1053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047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4" customFormat="1">
      <c r="A646" s="1044"/>
      <c r="B646" s="1044"/>
      <c r="C646" s="1044"/>
      <c r="D646" s="1044"/>
      <c r="E646" s="142"/>
      <c r="F646" s="142"/>
      <c r="G646" s="142"/>
      <c r="H646" s="1047"/>
      <c r="I646" s="1047"/>
      <c r="J646" s="1053"/>
      <c r="K646" s="1047"/>
      <c r="L646" s="1047"/>
      <c r="M646" s="1047"/>
      <c r="N646" s="1047"/>
      <c r="O646" s="1047"/>
      <c r="P646" s="1047"/>
      <c r="Q646" s="1053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047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4" customFormat="1">
      <c r="A647" s="1044"/>
      <c r="B647" s="1044"/>
      <c r="C647" s="1044"/>
      <c r="D647" s="1044"/>
      <c r="E647" s="142"/>
      <c r="F647" s="142"/>
      <c r="G647" s="142"/>
      <c r="H647" s="1047"/>
      <c r="I647" s="1047"/>
      <c r="J647" s="1053"/>
      <c r="K647" s="1047"/>
      <c r="L647" s="1047"/>
      <c r="M647" s="1047"/>
      <c r="N647" s="1047"/>
      <c r="O647" s="1047"/>
      <c r="P647" s="1047"/>
      <c r="Q647" s="1053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047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4" customFormat="1">
      <c r="A648" s="1044"/>
      <c r="B648" s="1044"/>
      <c r="C648" s="1044"/>
      <c r="D648" s="1044"/>
      <c r="E648" s="142"/>
      <c r="F648" s="142"/>
      <c r="G648" s="142"/>
      <c r="H648" s="1047"/>
      <c r="I648" s="1047"/>
      <c r="J648" s="1053"/>
      <c r="K648" s="1047"/>
      <c r="L648" s="1047"/>
      <c r="M648" s="1047"/>
      <c r="N648" s="1047"/>
      <c r="O648" s="1047"/>
      <c r="P648" s="1047"/>
      <c r="Q648" s="1053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047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4" customFormat="1">
      <c r="A649" s="1044"/>
      <c r="B649" s="1044"/>
      <c r="C649" s="1044"/>
      <c r="D649" s="1044"/>
      <c r="E649" s="142"/>
      <c r="F649" s="142"/>
      <c r="G649" s="142"/>
      <c r="H649" s="1047"/>
      <c r="I649" s="1047"/>
      <c r="J649" s="1053"/>
      <c r="K649" s="1047"/>
      <c r="L649" s="1047"/>
      <c r="M649" s="1047"/>
      <c r="N649" s="1047"/>
      <c r="O649" s="1047"/>
      <c r="P649" s="1047"/>
      <c r="Q649" s="1053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047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4" customFormat="1">
      <c r="A650" s="1044"/>
      <c r="B650" s="1044"/>
      <c r="C650" s="1044"/>
      <c r="D650" s="1044"/>
      <c r="E650" s="142"/>
      <c r="F650" s="142"/>
      <c r="G650" s="142"/>
      <c r="H650" s="1047"/>
      <c r="I650" s="1047"/>
      <c r="J650" s="1053"/>
      <c r="K650" s="1047"/>
      <c r="L650" s="1047"/>
      <c r="M650" s="1047"/>
      <c r="N650" s="1047"/>
      <c r="O650" s="1047"/>
      <c r="P650" s="1047"/>
      <c r="Q650" s="1053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047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4" customFormat="1">
      <c r="A651" s="1044"/>
      <c r="B651" s="1044"/>
      <c r="C651" s="1044"/>
      <c r="D651" s="1044"/>
      <c r="E651" s="142"/>
      <c r="F651" s="142"/>
      <c r="G651" s="142"/>
      <c r="H651" s="1047"/>
      <c r="I651" s="1047"/>
      <c r="J651" s="1053"/>
      <c r="K651" s="1047"/>
      <c r="L651" s="1047"/>
      <c r="M651" s="1047"/>
      <c r="N651" s="1047"/>
      <c r="O651" s="1047"/>
      <c r="P651" s="1047"/>
      <c r="Q651" s="1053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047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4" customFormat="1">
      <c r="A652" s="1044"/>
      <c r="B652" s="1044"/>
      <c r="C652" s="1044"/>
      <c r="D652" s="1044"/>
      <c r="E652" s="142"/>
      <c r="F652" s="142"/>
      <c r="G652" s="142"/>
      <c r="H652" s="1047"/>
      <c r="I652" s="1047"/>
      <c r="J652" s="1053"/>
      <c r="K652" s="1047"/>
      <c r="L652" s="1047"/>
      <c r="M652" s="1047"/>
      <c r="N652" s="1047"/>
      <c r="O652" s="1047"/>
      <c r="P652" s="1047"/>
      <c r="Q652" s="1053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047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4" customFormat="1">
      <c r="A653" s="1044"/>
      <c r="B653" s="1044"/>
      <c r="C653" s="1044"/>
      <c r="D653" s="1044"/>
      <c r="E653" s="142"/>
      <c r="F653" s="142"/>
      <c r="G653" s="142"/>
      <c r="H653" s="1047"/>
      <c r="I653" s="1047"/>
      <c r="J653" s="1053"/>
      <c r="K653" s="1047"/>
      <c r="L653" s="1047"/>
      <c r="M653" s="1047"/>
      <c r="N653" s="1047"/>
      <c r="O653" s="1047"/>
      <c r="P653" s="1047"/>
      <c r="Q653" s="1053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047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4" customFormat="1">
      <c r="A654" s="1044"/>
      <c r="B654" s="1044"/>
      <c r="C654" s="1044"/>
      <c r="D654" s="1044"/>
      <c r="E654" s="142"/>
      <c r="F654" s="142"/>
      <c r="G654" s="142"/>
      <c r="H654" s="1047"/>
      <c r="I654" s="1047"/>
      <c r="J654" s="1053"/>
      <c r="K654" s="1047"/>
      <c r="L654" s="1047"/>
      <c r="M654" s="1047"/>
      <c r="N654" s="1047"/>
      <c r="O654" s="1047"/>
      <c r="P654" s="1047"/>
      <c r="Q654" s="1053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047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4" customFormat="1">
      <c r="A655" s="1044"/>
      <c r="B655" s="1044"/>
      <c r="C655" s="1044"/>
      <c r="D655" s="1044"/>
      <c r="E655" s="142"/>
      <c r="F655" s="142"/>
      <c r="G655" s="142"/>
      <c r="H655" s="1047"/>
      <c r="I655" s="1047"/>
      <c r="J655" s="1053"/>
      <c r="K655" s="1047"/>
      <c r="L655" s="1047"/>
      <c r="M655" s="1047"/>
      <c r="N655" s="1047"/>
      <c r="O655" s="1047"/>
      <c r="P655" s="1047"/>
      <c r="Q655" s="1053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047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4" customFormat="1">
      <c r="A656" s="1044"/>
      <c r="B656" s="1044"/>
      <c r="C656" s="1044"/>
      <c r="D656" s="1044"/>
      <c r="E656" s="142"/>
      <c r="F656" s="142"/>
      <c r="G656" s="142"/>
      <c r="H656" s="1047"/>
      <c r="I656" s="1047"/>
      <c r="J656" s="1053"/>
      <c r="K656" s="1047"/>
      <c r="L656" s="1047"/>
      <c r="M656" s="1047"/>
      <c r="N656" s="1047"/>
      <c r="O656" s="1047"/>
      <c r="P656" s="1047"/>
      <c r="Q656" s="1053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047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4" customFormat="1">
      <c r="A657" s="1044"/>
      <c r="B657" s="1044"/>
      <c r="C657" s="1044"/>
      <c r="D657" s="1044"/>
      <c r="E657" s="142"/>
      <c r="F657" s="142"/>
      <c r="G657" s="142"/>
      <c r="H657" s="1047"/>
      <c r="I657" s="1047"/>
      <c r="J657" s="1053"/>
      <c r="K657" s="1047"/>
      <c r="L657" s="1047"/>
      <c r="M657" s="1047"/>
      <c r="N657" s="1047"/>
      <c r="O657" s="1047"/>
      <c r="P657" s="1047"/>
      <c r="Q657" s="1053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047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4" customFormat="1">
      <c r="A658" s="1044"/>
      <c r="B658" s="1044"/>
      <c r="C658" s="1044"/>
      <c r="D658" s="1044"/>
      <c r="E658" s="142"/>
      <c r="F658" s="142"/>
      <c r="G658" s="142"/>
      <c r="H658" s="1047"/>
      <c r="I658" s="1047"/>
      <c r="J658" s="1053"/>
      <c r="K658" s="1047"/>
      <c r="L658" s="1047"/>
      <c r="M658" s="1047"/>
      <c r="N658" s="1047"/>
      <c r="O658" s="1047"/>
      <c r="P658" s="1047"/>
      <c r="Q658" s="1053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047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4" customFormat="1">
      <c r="A659" s="1044"/>
      <c r="B659" s="1044"/>
      <c r="C659" s="1044"/>
      <c r="D659" s="1044"/>
      <c r="E659" s="142"/>
      <c r="F659" s="142"/>
      <c r="G659" s="142"/>
      <c r="H659" s="1047"/>
      <c r="I659" s="1047"/>
      <c r="J659" s="1053"/>
      <c r="K659" s="1047"/>
      <c r="L659" s="1047"/>
      <c r="M659" s="1047"/>
      <c r="N659" s="1047"/>
      <c r="O659" s="1047"/>
      <c r="P659" s="1047"/>
      <c r="Q659" s="1053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047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4" customFormat="1">
      <c r="A660" s="1044"/>
      <c r="B660" s="1044"/>
      <c r="C660" s="1044"/>
      <c r="D660" s="1044"/>
      <c r="E660" s="142"/>
      <c r="F660" s="142"/>
      <c r="G660" s="142"/>
      <c r="H660" s="1047"/>
      <c r="I660" s="1047"/>
      <c r="J660" s="1053"/>
      <c r="K660" s="1047"/>
      <c r="L660" s="1047"/>
      <c r="M660" s="1047"/>
      <c r="N660" s="1047"/>
      <c r="O660" s="1047"/>
      <c r="P660" s="1047"/>
      <c r="Q660" s="1053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047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4" customFormat="1">
      <c r="A661" s="1044"/>
      <c r="B661" s="1044"/>
      <c r="C661" s="1044"/>
      <c r="D661" s="1044"/>
      <c r="E661" s="142"/>
      <c r="F661" s="142"/>
      <c r="G661" s="142"/>
      <c r="H661" s="1047"/>
      <c r="I661" s="1047"/>
      <c r="J661" s="1053"/>
      <c r="K661" s="1047"/>
      <c r="L661" s="1047"/>
      <c r="M661" s="1047"/>
      <c r="N661" s="1047"/>
      <c r="O661" s="1047"/>
      <c r="P661" s="1047"/>
      <c r="Q661" s="1053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047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4" customFormat="1">
      <c r="A662" s="1044"/>
      <c r="B662" s="1044"/>
      <c r="C662" s="1044"/>
      <c r="D662" s="1044"/>
      <c r="E662" s="142"/>
      <c r="F662" s="142"/>
      <c r="G662" s="142"/>
      <c r="H662" s="1047"/>
      <c r="I662" s="1047"/>
      <c r="J662" s="1053"/>
      <c r="K662" s="1047"/>
      <c r="L662" s="1047"/>
      <c r="M662" s="1047"/>
      <c r="N662" s="1047"/>
      <c r="O662" s="1047"/>
      <c r="P662" s="1047"/>
      <c r="Q662" s="1053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047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4" customFormat="1">
      <c r="A663" s="1044"/>
      <c r="B663" s="1044"/>
      <c r="C663" s="1044"/>
      <c r="D663" s="1044"/>
      <c r="E663" s="142"/>
      <c r="F663" s="142"/>
      <c r="G663" s="142"/>
      <c r="H663" s="1047"/>
      <c r="I663" s="1047"/>
      <c r="J663" s="1053"/>
      <c r="K663" s="1047"/>
      <c r="L663" s="1047"/>
      <c r="M663" s="1047"/>
      <c r="N663" s="1047"/>
      <c r="O663" s="1047"/>
      <c r="P663" s="1047"/>
      <c r="Q663" s="1053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047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4" customFormat="1">
      <c r="A664" s="1044"/>
      <c r="B664" s="1044"/>
      <c r="C664" s="1044"/>
      <c r="D664" s="1044"/>
      <c r="E664" s="142"/>
      <c r="F664" s="142"/>
      <c r="G664" s="142"/>
      <c r="H664" s="1047"/>
      <c r="I664" s="1047"/>
      <c r="J664" s="1053"/>
      <c r="K664" s="1047"/>
      <c r="L664" s="1047"/>
      <c r="M664" s="1047"/>
      <c r="N664" s="1047"/>
      <c r="O664" s="1047"/>
      <c r="P664" s="1047"/>
      <c r="Q664" s="1053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047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4" customFormat="1">
      <c r="A665" s="1044"/>
      <c r="B665" s="1044"/>
      <c r="C665" s="1044"/>
      <c r="D665" s="1044"/>
      <c r="E665" s="142"/>
      <c r="F665" s="142"/>
      <c r="G665" s="142"/>
      <c r="H665" s="1047"/>
      <c r="I665" s="1047"/>
      <c r="J665" s="1053"/>
      <c r="K665" s="1047"/>
      <c r="L665" s="1047"/>
      <c r="M665" s="1047"/>
      <c r="N665" s="1047"/>
      <c r="O665" s="1047"/>
      <c r="P665" s="1047"/>
      <c r="Q665" s="1053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047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4" customFormat="1">
      <c r="A666" s="1044"/>
      <c r="B666" s="1044"/>
      <c r="C666" s="1044"/>
      <c r="D666" s="1044"/>
      <c r="E666" s="142"/>
      <c r="F666" s="142"/>
      <c r="G666" s="142"/>
      <c r="H666" s="1047"/>
      <c r="I666" s="1047"/>
      <c r="J666" s="1053"/>
      <c r="K666" s="1047"/>
      <c r="L666" s="1047"/>
      <c r="M666" s="1047"/>
      <c r="N666" s="1047"/>
      <c r="O666" s="1047"/>
      <c r="P666" s="1047"/>
      <c r="Q666" s="1053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047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4" customFormat="1">
      <c r="A667" s="1044"/>
      <c r="B667" s="1044"/>
      <c r="C667" s="1044"/>
      <c r="D667" s="1044"/>
      <c r="E667" s="142"/>
      <c r="F667" s="142"/>
      <c r="G667" s="142"/>
      <c r="H667" s="1047"/>
      <c r="I667" s="1047"/>
      <c r="J667" s="1053"/>
      <c r="K667" s="1047"/>
      <c r="L667" s="1047"/>
      <c r="M667" s="1047"/>
      <c r="N667" s="1047"/>
      <c r="O667" s="1047"/>
      <c r="P667" s="1047"/>
      <c r="Q667" s="1053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047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4" customFormat="1">
      <c r="A668" s="1044"/>
      <c r="B668" s="1044"/>
      <c r="C668" s="1044"/>
      <c r="D668" s="1044"/>
      <c r="E668" s="142"/>
      <c r="F668" s="142"/>
      <c r="G668" s="142"/>
      <c r="H668" s="1047"/>
      <c r="I668" s="1047"/>
      <c r="J668" s="1053"/>
      <c r="K668" s="1047"/>
      <c r="L668" s="1047"/>
      <c r="M668" s="1047"/>
      <c r="N668" s="1047"/>
      <c r="O668" s="1047"/>
      <c r="P668" s="1047"/>
      <c r="Q668" s="1053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047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4" customFormat="1">
      <c r="A669" s="1044"/>
      <c r="B669" s="1044"/>
      <c r="C669" s="1044"/>
      <c r="D669" s="1044"/>
      <c r="E669" s="142"/>
      <c r="F669" s="142"/>
      <c r="G669" s="142"/>
      <c r="H669" s="1047"/>
      <c r="I669" s="1047"/>
      <c r="J669" s="1053"/>
      <c r="K669" s="1047"/>
      <c r="L669" s="1047"/>
      <c r="M669" s="1047"/>
      <c r="N669" s="1047"/>
      <c r="O669" s="1047"/>
      <c r="P669" s="1047"/>
      <c r="Q669" s="1053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047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4" customFormat="1">
      <c r="A670" s="1044"/>
      <c r="B670" s="1044"/>
      <c r="C670" s="1044"/>
      <c r="D670" s="1044"/>
      <c r="E670" s="142"/>
      <c r="F670" s="142"/>
      <c r="G670" s="142"/>
      <c r="H670" s="1047"/>
      <c r="I670" s="1047"/>
      <c r="J670" s="1053"/>
      <c r="K670" s="1047"/>
      <c r="L670" s="1047"/>
      <c r="M670" s="1047"/>
      <c r="N670" s="1047"/>
      <c r="O670" s="1047"/>
      <c r="P670" s="1047"/>
      <c r="Q670" s="1053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047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4" customFormat="1">
      <c r="A671" s="1044"/>
      <c r="B671" s="1044"/>
      <c r="C671" s="1044"/>
      <c r="D671" s="1044"/>
      <c r="E671" s="142"/>
      <c r="F671" s="142"/>
      <c r="G671" s="142"/>
      <c r="H671" s="1047"/>
      <c r="I671" s="1047"/>
      <c r="J671" s="1053"/>
      <c r="K671" s="1047"/>
      <c r="L671" s="1047"/>
      <c r="M671" s="1047"/>
      <c r="N671" s="1047"/>
      <c r="O671" s="1047"/>
      <c r="P671" s="1047"/>
      <c r="Q671" s="1053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047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4" customFormat="1">
      <c r="A672" s="1044"/>
      <c r="B672" s="1044"/>
      <c r="C672" s="1044"/>
      <c r="D672" s="1044"/>
      <c r="E672" s="142"/>
      <c r="F672" s="142"/>
      <c r="G672" s="142"/>
      <c r="H672" s="1047"/>
      <c r="I672" s="1047"/>
      <c r="J672" s="1053"/>
      <c r="K672" s="1047"/>
      <c r="L672" s="1047"/>
      <c r="M672" s="1047"/>
      <c r="N672" s="1047"/>
      <c r="O672" s="1047"/>
      <c r="P672" s="1047"/>
      <c r="Q672" s="1053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047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4" customFormat="1">
      <c r="A673" s="1044"/>
      <c r="B673" s="1044"/>
      <c r="C673" s="1044"/>
      <c r="D673" s="1044"/>
      <c r="E673" s="142"/>
      <c r="F673" s="142"/>
      <c r="G673" s="142"/>
      <c r="H673" s="1047"/>
      <c r="I673" s="1047"/>
      <c r="J673" s="1053"/>
      <c r="K673" s="1047"/>
      <c r="L673" s="1047"/>
      <c r="M673" s="1047"/>
      <c r="N673" s="1047"/>
      <c r="O673" s="1047"/>
      <c r="P673" s="1047"/>
      <c r="Q673" s="1053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047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4" customFormat="1">
      <c r="A674" s="1044"/>
      <c r="B674" s="1044"/>
      <c r="C674" s="1044"/>
      <c r="D674" s="1044"/>
      <c r="E674" s="142"/>
      <c r="F674" s="142"/>
      <c r="G674" s="142"/>
      <c r="H674" s="1047"/>
      <c r="I674" s="1047"/>
      <c r="J674" s="1053"/>
      <c r="K674" s="1047"/>
      <c r="L674" s="1047"/>
      <c r="M674" s="1047"/>
      <c r="N674" s="1047"/>
      <c r="O674" s="1047"/>
      <c r="P674" s="1047"/>
      <c r="Q674" s="1053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047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4" customFormat="1">
      <c r="A675" s="1044"/>
      <c r="B675" s="1044"/>
      <c r="C675" s="1044"/>
      <c r="D675" s="1044"/>
      <c r="E675" s="142"/>
      <c r="F675" s="142"/>
      <c r="G675" s="142"/>
      <c r="H675" s="1047"/>
      <c r="I675" s="1047"/>
      <c r="J675" s="1053"/>
      <c r="K675" s="1047"/>
      <c r="L675" s="1047"/>
      <c r="M675" s="1047"/>
      <c r="N675" s="1047"/>
      <c r="O675" s="1047"/>
      <c r="P675" s="1047"/>
      <c r="Q675" s="1053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047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4" customFormat="1">
      <c r="A676" s="1044"/>
      <c r="B676" s="1044"/>
      <c r="C676" s="1044"/>
      <c r="D676" s="1044"/>
      <c r="E676" s="142"/>
      <c r="F676" s="142"/>
      <c r="G676" s="142"/>
      <c r="H676" s="1047"/>
      <c r="I676" s="1047"/>
      <c r="J676" s="1053"/>
      <c r="K676" s="1047"/>
      <c r="L676" s="1047"/>
      <c r="M676" s="1047"/>
      <c r="N676" s="1047"/>
      <c r="O676" s="1047"/>
      <c r="P676" s="1047"/>
      <c r="Q676" s="1053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047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4" customFormat="1">
      <c r="A677" s="1044"/>
      <c r="B677" s="1044"/>
      <c r="C677" s="1044"/>
      <c r="D677" s="1044"/>
      <c r="E677" s="142"/>
      <c r="F677" s="142"/>
      <c r="G677" s="142"/>
      <c r="H677" s="1047"/>
      <c r="I677" s="1047"/>
      <c r="J677" s="1053"/>
      <c r="K677" s="1047"/>
      <c r="L677" s="1047"/>
      <c r="M677" s="1047"/>
      <c r="N677" s="1047"/>
      <c r="O677" s="1047"/>
      <c r="P677" s="1047"/>
      <c r="Q677" s="1053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047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4" customFormat="1">
      <c r="A678" s="1044"/>
      <c r="B678" s="1044"/>
      <c r="C678" s="1044"/>
      <c r="D678" s="1044"/>
      <c r="E678" s="142"/>
      <c r="F678" s="142"/>
      <c r="G678" s="142"/>
      <c r="H678" s="1047"/>
      <c r="I678" s="1047"/>
      <c r="J678" s="1053"/>
      <c r="K678" s="1047"/>
      <c r="L678" s="1047"/>
      <c r="M678" s="1047"/>
      <c r="N678" s="1047"/>
      <c r="O678" s="1047"/>
      <c r="P678" s="1047"/>
      <c r="Q678" s="1053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047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4" customFormat="1">
      <c r="A679" s="1044"/>
      <c r="B679" s="1044"/>
      <c r="C679" s="1044"/>
      <c r="D679" s="1044"/>
      <c r="E679" s="142"/>
      <c r="F679" s="142"/>
      <c r="G679" s="142"/>
      <c r="H679" s="1047"/>
      <c r="I679" s="1047"/>
      <c r="J679" s="1053"/>
      <c r="K679" s="1047"/>
      <c r="L679" s="1047"/>
      <c r="M679" s="1047"/>
      <c r="N679" s="1047"/>
      <c r="O679" s="1047"/>
      <c r="P679" s="1047"/>
      <c r="Q679" s="1053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047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4" customFormat="1">
      <c r="A680" s="1044"/>
      <c r="B680" s="1044"/>
      <c r="C680" s="1044"/>
      <c r="D680" s="1044"/>
      <c r="E680" s="142"/>
      <c r="F680" s="142"/>
      <c r="G680" s="142"/>
      <c r="H680" s="1047"/>
      <c r="I680" s="1047"/>
      <c r="J680" s="1053"/>
      <c r="K680" s="1047"/>
      <c r="L680" s="1047"/>
      <c r="M680" s="1047"/>
      <c r="N680" s="1047"/>
      <c r="O680" s="1047"/>
      <c r="P680" s="1047"/>
      <c r="Q680" s="1053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047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4" customFormat="1">
      <c r="A681" s="1044"/>
      <c r="B681" s="1044"/>
      <c r="C681" s="1044"/>
      <c r="D681" s="1044"/>
      <c r="E681" s="142"/>
      <c r="F681" s="142"/>
      <c r="G681" s="142"/>
      <c r="H681" s="1047"/>
      <c r="I681" s="1047"/>
      <c r="J681" s="1053"/>
      <c r="K681" s="1047"/>
      <c r="L681" s="1047"/>
      <c r="M681" s="1047"/>
      <c r="N681" s="1047"/>
      <c r="O681" s="1047"/>
      <c r="P681" s="1047"/>
      <c r="Q681" s="1053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047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4" customFormat="1">
      <c r="A682" s="1044"/>
      <c r="B682" s="1044"/>
      <c r="C682" s="1044"/>
      <c r="D682" s="1044"/>
      <c r="E682" s="142"/>
      <c r="F682" s="142"/>
      <c r="G682" s="142"/>
      <c r="H682" s="1047"/>
      <c r="I682" s="1047"/>
      <c r="J682" s="1053"/>
      <c r="K682" s="1047"/>
      <c r="L682" s="1047"/>
      <c r="M682" s="1047"/>
      <c r="N682" s="1047"/>
      <c r="O682" s="1047"/>
      <c r="P682" s="1047"/>
      <c r="Q682" s="1053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047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4" customFormat="1">
      <c r="A683" s="1044"/>
      <c r="B683" s="1044"/>
      <c r="C683" s="1044"/>
      <c r="D683" s="1044"/>
      <c r="E683" s="142"/>
      <c r="F683" s="142"/>
      <c r="G683" s="142"/>
      <c r="H683" s="1047"/>
      <c r="I683" s="1047"/>
      <c r="J683" s="1053"/>
      <c r="K683" s="1047"/>
      <c r="L683" s="1047"/>
      <c r="M683" s="1047"/>
      <c r="N683" s="1047"/>
      <c r="O683" s="1047"/>
      <c r="P683" s="1047"/>
      <c r="Q683" s="1053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047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4" customFormat="1">
      <c r="A684" s="1044"/>
      <c r="B684" s="1044"/>
      <c r="C684" s="1044"/>
      <c r="D684" s="1044"/>
      <c r="E684" s="142"/>
      <c r="F684" s="142"/>
      <c r="G684" s="142"/>
      <c r="H684" s="1047"/>
      <c r="I684" s="1047"/>
      <c r="J684" s="1053"/>
      <c r="K684" s="1047"/>
      <c r="L684" s="1047"/>
      <c r="M684" s="1047"/>
      <c r="N684" s="1047"/>
      <c r="O684" s="1047"/>
      <c r="P684" s="1047"/>
      <c r="Q684" s="1053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047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4" customFormat="1">
      <c r="A685" s="1044"/>
      <c r="B685" s="1044"/>
      <c r="C685" s="1044"/>
      <c r="D685" s="1044"/>
      <c r="E685" s="142"/>
      <c r="F685" s="142"/>
      <c r="G685" s="142"/>
      <c r="H685" s="1047"/>
      <c r="I685" s="1047"/>
      <c r="J685" s="1053"/>
      <c r="K685" s="1047"/>
      <c r="L685" s="1047"/>
      <c r="M685" s="1047"/>
      <c r="N685" s="1047"/>
      <c r="O685" s="1047"/>
      <c r="P685" s="1047"/>
      <c r="Q685" s="1053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047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4" customFormat="1">
      <c r="A686" s="1044"/>
      <c r="B686" s="1044"/>
      <c r="C686" s="1044"/>
      <c r="D686" s="1044"/>
      <c r="E686" s="142"/>
      <c r="F686" s="142"/>
      <c r="G686" s="142"/>
      <c r="H686" s="1047"/>
      <c r="I686" s="1047"/>
      <c r="J686" s="1053"/>
      <c r="K686" s="1047"/>
      <c r="L686" s="1047"/>
      <c r="M686" s="1047"/>
      <c r="N686" s="1047"/>
      <c r="O686" s="1047"/>
      <c r="P686" s="1047"/>
      <c r="Q686" s="1053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047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4" customFormat="1">
      <c r="A687" s="1044"/>
      <c r="B687" s="1044"/>
      <c r="C687" s="1044"/>
      <c r="D687" s="1044"/>
      <c r="E687" s="142"/>
      <c r="F687" s="142"/>
      <c r="G687" s="142"/>
      <c r="H687" s="1047"/>
      <c r="I687" s="1047"/>
      <c r="J687" s="1053"/>
      <c r="K687" s="1047"/>
      <c r="L687" s="1047"/>
      <c r="M687" s="1047"/>
      <c r="N687" s="1047"/>
      <c r="O687" s="1047"/>
      <c r="P687" s="1047"/>
      <c r="Q687" s="1053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047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4" customFormat="1">
      <c r="A688" s="1044"/>
      <c r="B688" s="1044"/>
      <c r="C688" s="1044"/>
      <c r="D688" s="1044"/>
      <c r="E688" s="142"/>
      <c r="F688" s="142"/>
      <c r="G688" s="142"/>
      <c r="H688" s="1047"/>
      <c r="I688" s="1047"/>
      <c r="J688" s="1053"/>
      <c r="K688" s="1047"/>
      <c r="L688" s="1047"/>
      <c r="M688" s="1047"/>
      <c r="N688" s="1047"/>
      <c r="O688" s="1047"/>
      <c r="P688" s="1047"/>
      <c r="Q688" s="1053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047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4" customFormat="1">
      <c r="A689" s="1044"/>
      <c r="B689" s="1044"/>
      <c r="C689" s="1044"/>
      <c r="D689" s="1044"/>
      <c r="E689" s="142"/>
      <c r="F689" s="142"/>
      <c r="G689" s="142"/>
      <c r="H689" s="1047"/>
      <c r="I689" s="1047"/>
      <c r="J689" s="1053"/>
      <c r="K689" s="1047"/>
      <c r="L689" s="1047"/>
      <c r="M689" s="1047"/>
      <c r="N689" s="1047"/>
      <c r="O689" s="1047"/>
      <c r="P689" s="1047"/>
      <c r="Q689" s="1053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047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4" customFormat="1">
      <c r="A690" s="1044"/>
      <c r="B690" s="1044"/>
      <c r="C690" s="1044"/>
      <c r="D690" s="1044"/>
      <c r="E690" s="142"/>
      <c r="F690" s="142"/>
      <c r="G690" s="142"/>
      <c r="H690" s="1047"/>
      <c r="I690" s="1047"/>
      <c r="J690" s="1053"/>
      <c r="K690" s="1047"/>
      <c r="L690" s="1047"/>
      <c r="M690" s="1047"/>
      <c r="N690" s="1047"/>
      <c r="O690" s="1047"/>
      <c r="P690" s="1047"/>
      <c r="Q690" s="1053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047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4" customFormat="1">
      <c r="A691" s="1044"/>
      <c r="B691" s="1044"/>
      <c r="C691" s="1044"/>
      <c r="D691" s="1044"/>
      <c r="E691" s="142"/>
      <c r="F691" s="142"/>
      <c r="G691" s="142"/>
      <c r="H691" s="1047"/>
      <c r="I691" s="1047"/>
      <c r="J691" s="1053"/>
      <c r="K691" s="1047"/>
      <c r="L691" s="1047"/>
      <c r="M691" s="1047"/>
      <c r="N691" s="1047"/>
      <c r="O691" s="1047"/>
      <c r="P691" s="1047"/>
      <c r="Q691" s="1053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047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4" customFormat="1">
      <c r="A692" s="1044"/>
      <c r="B692" s="1044"/>
      <c r="C692" s="1044"/>
      <c r="D692" s="1044"/>
      <c r="E692" s="142"/>
      <c r="F692" s="142"/>
      <c r="G692" s="142"/>
      <c r="H692" s="1047"/>
      <c r="I692" s="1047"/>
      <c r="J692" s="1053"/>
      <c r="K692" s="1047"/>
      <c r="L692" s="1047"/>
      <c r="M692" s="1047"/>
      <c r="N692" s="1047"/>
      <c r="O692" s="1047"/>
      <c r="P692" s="1047"/>
      <c r="Q692" s="1053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047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4" customFormat="1">
      <c r="A693" s="1044"/>
      <c r="B693" s="1044"/>
      <c r="C693" s="1044"/>
      <c r="D693" s="1044"/>
      <c r="E693" s="142"/>
      <c r="F693" s="142"/>
      <c r="G693" s="142"/>
      <c r="H693" s="1047"/>
      <c r="I693" s="1047"/>
      <c r="J693" s="1053"/>
      <c r="K693" s="1047"/>
      <c r="L693" s="1047"/>
      <c r="M693" s="1047"/>
      <c r="N693" s="1047"/>
      <c r="O693" s="1047"/>
      <c r="P693" s="1047"/>
      <c r="Q693" s="1053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047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4" customFormat="1">
      <c r="A694" s="1044"/>
      <c r="B694" s="1044"/>
      <c r="C694" s="1044"/>
      <c r="D694" s="1044"/>
      <c r="E694" s="142"/>
      <c r="F694" s="142"/>
      <c r="G694" s="142"/>
      <c r="H694" s="1047"/>
      <c r="I694" s="1047"/>
      <c r="J694" s="1053"/>
      <c r="K694" s="1047"/>
      <c r="L694" s="1047"/>
      <c r="M694" s="1047"/>
      <c r="N694" s="1047"/>
      <c r="O694" s="1047"/>
      <c r="P694" s="1047"/>
      <c r="Q694" s="1053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047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4" customFormat="1">
      <c r="A695" s="1044"/>
      <c r="B695" s="1044"/>
      <c r="C695" s="1044"/>
      <c r="D695" s="1044"/>
      <c r="E695" s="142"/>
      <c r="F695" s="142"/>
      <c r="G695" s="142"/>
      <c r="H695" s="1047"/>
      <c r="I695" s="1047"/>
      <c r="J695" s="1053"/>
      <c r="K695" s="1047"/>
      <c r="L695" s="1047"/>
      <c r="M695" s="1047"/>
      <c r="N695" s="1047"/>
      <c r="O695" s="1047"/>
      <c r="P695" s="1047"/>
      <c r="Q695" s="1053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047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4" customFormat="1">
      <c r="A696" s="1044"/>
      <c r="B696" s="1044"/>
      <c r="C696" s="1044"/>
      <c r="D696" s="1044"/>
      <c r="E696" s="142"/>
      <c r="F696" s="142"/>
      <c r="G696" s="142"/>
      <c r="H696" s="1047"/>
      <c r="I696" s="1047"/>
      <c r="J696" s="1053"/>
      <c r="K696" s="1047"/>
      <c r="L696" s="1047"/>
      <c r="M696" s="1047"/>
      <c r="N696" s="1047"/>
      <c r="O696" s="1047"/>
      <c r="P696" s="1047"/>
      <c r="Q696" s="1053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047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4" customFormat="1">
      <c r="A697" s="1044"/>
      <c r="B697" s="1044"/>
      <c r="C697" s="1044"/>
      <c r="D697" s="1044"/>
      <c r="E697" s="142"/>
      <c r="F697" s="142"/>
      <c r="G697" s="142"/>
      <c r="H697" s="1047"/>
      <c r="I697" s="1047"/>
      <c r="J697" s="1053"/>
      <c r="K697" s="1047"/>
      <c r="L697" s="1047"/>
      <c r="M697" s="1047"/>
      <c r="N697" s="1047"/>
      <c r="O697" s="1047"/>
      <c r="P697" s="1047"/>
      <c r="Q697" s="1053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047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4" customFormat="1">
      <c r="A698" s="1044"/>
      <c r="B698" s="1044"/>
      <c r="C698" s="1044"/>
      <c r="D698" s="1044"/>
      <c r="E698" s="142"/>
      <c r="F698" s="142"/>
      <c r="G698" s="142"/>
      <c r="H698" s="1047"/>
      <c r="I698" s="1047"/>
      <c r="J698" s="1053"/>
      <c r="K698" s="1047"/>
      <c r="L698" s="1047"/>
      <c r="M698" s="1047"/>
      <c r="N698" s="1047"/>
      <c r="O698" s="1047"/>
      <c r="P698" s="1047"/>
      <c r="Q698" s="1053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047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4" customFormat="1">
      <c r="A699" s="1044"/>
      <c r="B699" s="1044"/>
      <c r="C699" s="1044"/>
      <c r="D699" s="1044"/>
      <c r="E699" s="142"/>
      <c r="F699" s="142"/>
      <c r="G699" s="142"/>
      <c r="H699" s="1047"/>
      <c r="I699" s="1047"/>
      <c r="J699" s="1053"/>
      <c r="K699" s="1047"/>
      <c r="L699" s="1047"/>
      <c r="M699" s="1047"/>
      <c r="N699" s="1047"/>
      <c r="O699" s="1047"/>
      <c r="P699" s="1047"/>
      <c r="Q699" s="1053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047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4" customFormat="1">
      <c r="A700" s="1044"/>
      <c r="B700" s="1044"/>
      <c r="C700" s="1044"/>
      <c r="D700" s="1044"/>
      <c r="E700" s="142"/>
      <c r="F700" s="142"/>
      <c r="G700" s="142"/>
      <c r="H700" s="1047"/>
      <c r="I700" s="1047"/>
      <c r="J700" s="1053"/>
      <c r="K700" s="1047"/>
      <c r="L700" s="1047"/>
      <c r="M700" s="1047"/>
      <c r="N700" s="1047"/>
      <c r="O700" s="1047"/>
      <c r="P700" s="1047"/>
      <c r="Q700" s="1053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047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4" customFormat="1">
      <c r="A701" s="1044"/>
      <c r="B701" s="1044"/>
      <c r="C701" s="1044"/>
      <c r="D701" s="1044"/>
      <c r="E701" s="142"/>
      <c r="F701" s="142"/>
      <c r="G701" s="142"/>
      <c r="H701" s="1047"/>
      <c r="I701" s="1047"/>
      <c r="J701" s="1053"/>
      <c r="K701" s="1047"/>
      <c r="L701" s="1047"/>
      <c r="M701" s="1047"/>
      <c r="N701" s="1047"/>
      <c r="O701" s="1047"/>
      <c r="P701" s="1047"/>
      <c r="Q701" s="1053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047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4" customFormat="1">
      <c r="A702" s="1044"/>
      <c r="B702" s="1044"/>
      <c r="C702" s="1044"/>
      <c r="D702" s="1044"/>
      <c r="E702" s="142"/>
      <c r="F702" s="142"/>
      <c r="G702" s="142"/>
      <c r="H702" s="1047"/>
      <c r="I702" s="1047"/>
      <c r="J702" s="1053"/>
      <c r="K702" s="1047"/>
      <c r="L702" s="1047"/>
      <c r="M702" s="1047"/>
      <c r="N702" s="1047"/>
      <c r="O702" s="1047"/>
      <c r="P702" s="1047"/>
      <c r="Q702" s="1053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047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4" customFormat="1">
      <c r="A703" s="1044"/>
      <c r="B703" s="1044"/>
      <c r="C703" s="1044"/>
      <c r="D703" s="1044"/>
      <c r="E703" s="142"/>
      <c r="F703" s="142"/>
      <c r="G703" s="142"/>
      <c r="H703" s="1047"/>
      <c r="I703" s="1047"/>
      <c r="J703" s="1053"/>
      <c r="K703" s="1047"/>
      <c r="L703" s="1047"/>
      <c r="M703" s="1047"/>
      <c r="N703" s="1047"/>
      <c r="O703" s="1047"/>
      <c r="P703" s="1047"/>
      <c r="Q703" s="1053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047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4" customFormat="1">
      <c r="A704" s="1044"/>
      <c r="B704" s="1044"/>
      <c r="C704" s="1044"/>
      <c r="D704" s="1044"/>
      <c r="E704" s="142"/>
      <c r="F704" s="142"/>
      <c r="G704" s="142"/>
      <c r="H704" s="1047"/>
      <c r="I704" s="1047"/>
      <c r="J704" s="1053"/>
      <c r="K704" s="1047"/>
      <c r="L704" s="1047"/>
      <c r="M704" s="1047"/>
      <c r="N704" s="1047"/>
      <c r="O704" s="1047"/>
      <c r="P704" s="1047"/>
      <c r="Q704" s="1053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047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4" customFormat="1">
      <c r="A705" s="1044"/>
      <c r="B705" s="1044"/>
      <c r="C705" s="1044"/>
      <c r="D705" s="1044"/>
      <c r="E705" s="142"/>
      <c r="F705" s="142"/>
      <c r="G705" s="142"/>
      <c r="H705" s="1047"/>
      <c r="I705" s="1047"/>
      <c r="J705" s="1053"/>
      <c r="K705" s="1047"/>
      <c r="L705" s="1047"/>
      <c r="M705" s="1047"/>
      <c r="N705" s="1047"/>
      <c r="O705" s="1047"/>
      <c r="P705" s="1047"/>
      <c r="Q705" s="1053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047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4" customFormat="1">
      <c r="A706" s="1044"/>
      <c r="B706" s="1044"/>
      <c r="C706" s="1044"/>
      <c r="D706" s="1044"/>
      <c r="E706" s="142"/>
      <c r="F706" s="142"/>
      <c r="G706" s="142"/>
      <c r="H706" s="1047"/>
      <c r="I706" s="1047"/>
      <c r="J706" s="1053"/>
      <c r="K706" s="1047"/>
      <c r="L706" s="1047"/>
      <c r="M706" s="1047"/>
      <c r="N706" s="1047"/>
      <c r="O706" s="1047"/>
      <c r="P706" s="1047"/>
      <c r="Q706" s="1053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047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4" customFormat="1">
      <c r="A707" s="1044"/>
      <c r="B707" s="1044"/>
      <c r="C707" s="1044"/>
      <c r="D707" s="1044"/>
      <c r="E707" s="142"/>
      <c r="F707" s="142"/>
      <c r="G707" s="142"/>
      <c r="H707" s="1047"/>
      <c r="I707" s="1047"/>
      <c r="J707" s="1053"/>
      <c r="K707" s="1047"/>
      <c r="L707" s="1047"/>
      <c r="M707" s="1047"/>
      <c r="N707" s="1047"/>
      <c r="O707" s="1047"/>
      <c r="P707" s="1047"/>
      <c r="Q707" s="1053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047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4" customFormat="1">
      <c r="A708" s="1044"/>
      <c r="B708" s="1044"/>
      <c r="C708" s="1044"/>
      <c r="D708" s="1044"/>
      <c r="E708" s="142"/>
      <c r="F708" s="142"/>
      <c r="G708" s="142"/>
      <c r="H708" s="1047"/>
      <c r="I708" s="1047"/>
      <c r="J708" s="1053"/>
      <c r="K708" s="1047"/>
      <c r="L708" s="1047"/>
      <c r="M708" s="1047"/>
      <c r="N708" s="1047"/>
      <c r="O708" s="1047"/>
      <c r="P708" s="1047"/>
      <c r="Q708" s="1053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047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4" customFormat="1">
      <c r="A709" s="1044"/>
      <c r="B709" s="1044"/>
      <c r="C709" s="1044"/>
      <c r="D709" s="1044"/>
      <c r="E709" s="142"/>
      <c r="F709" s="142"/>
      <c r="G709" s="142"/>
      <c r="H709" s="1047"/>
      <c r="I709" s="1047"/>
      <c r="J709" s="1053"/>
      <c r="K709" s="1047"/>
      <c r="L709" s="1047"/>
      <c r="M709" s="1047"/>
      <c r="N709" s="1047"/>
      <c r="O709" s="1047"/>
      <c r="P709" s="1047"/>
      <c r="Q709" s="1053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047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4" customFormat="1">
      <c r="A710" s="1044"/>
      <c r="B710" s="1044"/>
      <c r="C710" s="1044"/>
      <c r="D710" s="1044"/>
      <c r="E710" s="142"/>
      <c r="F710" s="142"/>
      <c r="G710" s="142"/>
      <c r="H710" s="1047"/>
      <c r="I710" s="1047"/>
      <c r="J710" s="1053"/>
      <c r="K710" s="1047"/>
      <c r="L710" s="1047"/>
      <c r="M710" s="1047"/>
      <c r="N710" s="1047"/>
      <c r="O710" s="1047"/>
      <c r="P710" s="1047"/>
      <c r="Q710" s="1053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047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4" customFormat="1">
      <c r="A711" s="1044"/>
      <c r="B711" s="1044"/>
      <c r="C711" s="1044"/>
      <c r="D711" s="1044"/>
      <c r="E711" s="142"/>
      <c r="F711" s="142"/>
      <c r="G711" s="142"/>
      <c r="H711" s="1047"/>
      <c r="I711" s="1047"/>
      <c r="J711" s="1053"/>
      <c r="K711" s="1047"/>
      <c r="L711" s="1047"/>
      <c r="M711" s="1047"/>
      <c r="N711" s="1047"/>
      <c r="O711" s="1047"/>
      <c r="P711" s="1047"/>
      <c r="Q711" s="1053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047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4" customFormat="1">
      <c r="A712" s="1044"/>
      <c r="B712" s="1044"/>
      <c r="C712" s="1044"/>
      <c r="D712" s="1044"/>
      <c r="E712" s="142"/>
      <c r="F712" s="142"/>
      <c r="G712" s="142"/>
      <c r="H712" s="1047"/>
      <c r="I712" s="1047"/>
      <c r="J712" s="1053"/>
      <c r="K712" s="1047"/>
      <c r="L712" s="1047"/>
      <c r="M712" s="1047"/>
      <c r="N712" s="1047"/>
      <c r="O712" s="1047"/>
      <c r="P712" s="1047"/>
      <c r="Q712" s="1053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047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4" customFormat="1">
      <c r="A713" s="1044"/>
      <c r="B713" s="1044"/>
      <c r="C713" s="1044"/>
      <c r="D713" s="1044"/>
      <c r="E713" s="142"/>
      <c r="F713" s="142"/>
      <c r="G713" s="142"/>
      <c r="H713" s="1047"/>
      <c r="I713" s="1047"/>
      <c r="J713" s="1053"/>
      <c r="K713" s="1047"/>
      <c r="L713" s="1047"/>
      <c r="M713" s="1047"/>
      <c r="N713" s="1047"/>
      <c r="O713" s="1047"/>
      <c r="P713" s="1047"/>
      <c r="Q713" s="1053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047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4" customFormat="1">
      <c r="A714" s="1044"/>
      <c r="B714" s="1044"/>
      <c r="C714" s="1044"/>
      <c r="D714" s="1044"/>
      <c r="E714" s="142"/>
      <c r="F714" s="142"/>
      <c r="G714" s="142"/>
      <c r="H714" s="1047"/>
      <c r="I714" s="1047"/>
      <c r="J714" s="1053"/>
      <c r="K714" s="1047"/>
      <c r="L714" s="1047"/>
      <c r="M714" s="1047"/>
      <c r="N714" s="1047"/>
      <c r="O714" s="1047"/>
      <c r="P714" s="1047"/>
      <c r="Q714" s="1053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047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4" customFormat="1">
      <c r="A715" s="1044"/>
      <c r="B715" s="1044"/>
      <c r="C715" s="1044"/>
      <c r="D715" s="1044"/>
      <c r="E715" s="142"/>
      <c r="F715" s="142"/>
      <c r="G715" s="142"/>
      <c r="H715" s="1047"/>
      <c r="I715" s="1047"/>
      <c r="J715" s="1053"/>
      <c r="K715" s="1047"/>
      <c r="L715" s="1047"/>
      <c r="M715" s="1047"/>
      <c r="N715" s="1047"/>
      <c r="O715" s="1047"/>
      <c r="P715" s="1047"/>
      <c r="Q715" s="1053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047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4" customFormat="1">
      <c r="A716" s="1044"/>
      <c r="B716" s="1044"/>
      <c r="C716" s="1044"/>
      <c r="D716" s="1044"/>
      <c r="E716" s="142"/>
      <c r="F716" s="142"/>
      <c r="G716" s="142"/>
      <c r="H716" s="1047"/>
      <c r="I716" s="1047"/>
      <c r="J716" s="1053"/>
      <c r="K716" s="1047"/>
      <c r="L716" s="1047"/>
      <c r="M716" s="1047"/>
      <c r="N716" s="1047"/>
      <c r="O716" s="1047"/>
      <c r="P716" s="1047"/>
      <c r="Q716" s="1053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047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4" customFormat="1">
      <c r="A717" s="1044"/>
      <c r="B717" s="1044"/>
      <c r="C717" s="1044"/>
      <c r="D717" s="1044"/>
      <c r="E717" s="142"/>
      <c r="F717" s="142"/>
      <c r="G717" s="142"/>
      <c r="H717" s="1047"/>
      <c r="I717" s="1047"/>
      <c r="J717" s="1053"/>
      <c r="K717" s="1047"/>
      <c r="L717" s="1047"/>
      <c r="M717" s="1047"/>
      <c r="N717" s="1047"/>
      <c r="O717" s="1047"/>
      <c r="P717" s="1047"/>
      <c r="Q717" s="1053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047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4" customFormat="1">
      <c r="A718" s="1044"/>
      <c r="B718" s="1044"/>
      <c r="C718" s="1044"/>
      <c r="D718" s="1044"/>
      <c r="E718" s="142"/>
      <c r="F718" s="142"/>
      <c r="G718" s="142"/>
      <c r="H718" s="1047"/>
      <c r="I718" s="1047"/>
      <c r="J718" s="1053"/>
      <c r="K718" s="1047"/>
      <c r="L718" s="1047"/>
      <c r="M718" s="1047"/>
      <c r="N718" s="1047"/>
      <c r="O718" s="1047"/>
      <c r="P718" s="1047"/>
      <c r="Q718" s="1053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047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4" customFormat="1">
      <c r="A719" s="1044"/>
      <c r="B719" s="1044"/>
      <c r="C719" s="1044"/>
      <c r="D719" s="1044"/>
      <c r="E719" s="142"/>
      <c r="F719" s="142"/>
      <c r="G719" s="142"/>
      <c r="H719" s="1047"/>
      <c r="I719" s="1047"/>
      <c r="J719" s="1053"/>
      <c r="K719" s="1047"/>
      <c r="L719" s="1047"/>
      <c r="M719" s="1047"/>
      <c r="N719" s="1047"/>
      <c r="O719" s="1047"/>
      <c r="P719" s="1047"/>
      <c r="Q719" s="1053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047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4" customFormat="1">
      <c r="A720" s="1044"/>
      <c r="B720" s="1044"/>
      <c r="C720" s="1044"/>
      <c r="D720" s="1044"/>
      <c r="E720" s="142"/>
      <c r="F720" s="142"/>
      <c r="G720" s="142"/>
      <c r="H720" s="1047"/>
      <c r="I720" s="1047"/>
      <c r="J720" s="1053"/>
      <c r="K720" s="1047"/>
      <c r="L720" s="1047"/>
      <c r="M720" s="1047"/>
      <c r="N720" s="1047"/>
      <c r="O720" s="1047"/>
      <c r="P720" s="1047"/>
      <c r="Q720" s="1053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047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4" customFormat="1">
      <c r="A721" s="1044"/>
      <c r="B721" s="1044"/>
      <c r="C721" s="1044"/>
      <c r="D721" s="1044"/>
      <c r="E721" s="142"/>
      <c r="F721" s="142"/>
      <c r="G721" s="142"/>
      <c r="H721" s="1047"/>
      <c r="I721" s="1047"/>
      <c r="J721" s="1053"/>
      <c r="K721" s="1047"/>
      <c r="L721" s="1047"/>
      <c r="M721" s="1047"/>
      <c r="N721" s="1047"/>
      <c r="O721" s="1047"/>
      <c r="P721" s="1047"/>
      <c r="Q721" s="1053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047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4" customFormat="1">
      <c r="A722" s="1044"/>
      <c r="B722" s="1044"/>
      <c r="C722" s="1044"/>
      <c r="D722" s="1044"/>
      <c r="E722" s="142"/>
      <c r="F722" s="142"/>
      <c r="G722" s="142"/>
      <c r="H722" s="1047"/>
      <c r="I722" s="1047"/>
      <c r="J722" s="1053"/>
      <c r="K722" s="1047"/>
      <c r="L722" s="1047"/>
      <c r="M722" s="1047"/>
      <c r="N722" s="1047"/>
      <c r="O722" s="1047"/>
      <c r="P722" s="1047"/>
      <c r="Q722" s="1053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047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4" customFormat="1">
      <c r="A723" s="1044"/>
      <c r="B723" s="1044"/>
      <c r="C723" s="1044"/>
      <c r="D723" s="1044"/>
      <c r="E723" s="142"/>
      <c r="F723" s="142"/>
      <c r="G723" s="142"/>
      <c r="H723" s="1047"/>
      <c r="I723" s="1047"/>
      <c r="J723" s="1053"/>
      <c r="K723" s="1047"/>
      <c r="L723" s="1047"/>
      <c r="M723" s="1047"/>
      <c r="N723" s="1047"/>
      <c r="O723" s="1047"/>
      <c r="P723" s="1047"/>
      <c r="Q723" s="1053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047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4" customFormat="1">
      <c r="A724" s="1044"/>
      <c r="B724" s="1044"/>
      <c r="C724" s="1044"/>
      <c r="D724" s="1044"/>
      <c r="E724" s="142"/>
      <c r="F724" s="142"/>
      <c r="G724" s="142"/>
      <c r="H724" s="1047"/>
      <c r="I724" s="1047"/>
      <c r="J724" s="1053"/>
      <c r="K724" s="1047"/>
      <c r="L724" s="1047"/>
      <c r="M724" s="1047"/>
      <c r="N724" s="1047"/>
      <c r="O724" s="1047"/>
      <c r="P724" s="1047"/>
      <c r="Q724" s="1053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047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4" customFormat="1">
      <c r="A725" s="1044"/>
      <c r="B725" s="1044"/>
      <c r="C725" s="1044"/>
      <c r="D725" s="1044"/>
      <c r="E725" s="142"/>
      <c r="F725" s="142"/>
      <c r="G725" s="142"/>
      <c r="H725" s="1047"/>
      <c r="I725" s="1047"/>
      <c r="J725" s="1053"/>
      <c r="K725" s="1047"/>
      <c r="L725" s="1047"/>
      <c r="M725" s="1047"/>
      <c r="N725" s="1047"/>
      <c r="O725" s="1047"/>
      <c r="P725" s="1047"/>
      <c r="Q725" s="1053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047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4" customFormat="1">
      <c r="A726" s="1044"/>
      <c r="B726" s="1044"/>
      <c r="C726" s="1044"/>
      <c r="D726" s="1044"/>
      <c r="E726" s="142"/>
      <c r="F726" s="142"/>
      <c r="G726" s="142"/>
      <c r="H726" s="1047"/>
      <c r="I726" s="1047"/>
      <c r="J726" s="1053"/>
      <c r="K726" s="1047"/>
      <c r="L726" s="1047"/>
      <c r="M726" s="1047"/>
      <c r="N726" s="1047"/>
      <c r="O726" s="1047"/>
      <c r="P726" s="1047"/>
      <c r="Q726" s="1053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047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4" customFormat="1">
      <c r="A727" s="1044"/>
      <c r="B727" s="1044"/>
      <c r="C727" s="1044"/>
      <c r="D727" s="1044"/>
      <c r="E727" s="142"/>
      <c r="F727" s="142"/>
      <c r="G727" s="142"/>
      <c r="H727" s="1047"/>
      <c r="I727" s="1047"/>
      <c r="J727" s="1053"/>
      <c r="K727" s="1047"/>
      <c r="L727" s="1047"/>
      <c r="M727" s="1047"/>
      <c r="N727" s="1047"/>
      <c r="O727" s="1047"/>
      <c r="P727" s="1047"/>
      <c r="Q727" s="1053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047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4" customFormat="1">
      <c r="A728" s="1044"/>
      <c r="B728" s="1044"/>
      <c r="C728" s="1044"/>
      <c r="D728" s="1044"/>
      <c r="E728" s="142"/>
      <c r="F728" s="142"/>
      <c r="G728" s="142"/>
      <c r="H728" s="1047"/>
      <c r="I728" s="1047"/>
      <c r="J728" s="1053"/>
      <c r="K728" s="1047"/>
      <c r="L728" s="1047"/>
      <c r="M728" s="1047"/>
      <c r="N728" s="1047"/>
      <c r="O728" s="1047"/>
      <c r="P728" s="1047"/>
      <c r="Q728" s="1053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047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4" customFormat="1">
      <c r="A729" s="1044"/>
      <c r="B729" s="1044"/>
      <c r="C729" s="1044"/>
      <c r="D729" s="1044"/>
      <c r="E729" s="142"/>
      <c r="F729" s="142"/>
      <c r="G729" s="142"/>
      <c r="H729" s="1047"/>
      <c r="I729" s="1047"/>
      <c r="J729" s="1053"/>
      <c r="K729" s="1047"/>
      <c r="L729" s="1047"/>
      <c r="M729" s="1047"/>
      <c r="N729" s="1047"/>
      <c r="O729" s="1047"/>
      <c r="P729" s="1047"/>
      <c r="Q729" s="1053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047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4" customFormat="1">
      <c r="A730" s="1044"/>
      <c r="B730" s="1044"/>
      <c r="C730" s="1044"/>
      <c r="D730" s="1044"/>
      <c r="E730" s="142"/>
      <c r="F730" s="142"/>
      <c r="G730" s="142"/>
      <c r="H730" s="1047"/>
      <c r="I730" s="1047"/>
      <c r="J730" s="1053"/>
      <c r="K730" s="1047"/>
      <c r="L730" s="1047"/>
      <c r="M730" s="1047"/>
      <c r="N730" s="1047"/>
      <c r="O730" s="1047"/>
      <c r="P730" s="1047"/>
      <c r="Q730" s="1053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047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4" customFormat="1">
      <c r="A731" s="1044"/>
      <c r="B731" s="1044"/>
      <c r="C731" s="1044"/>
      <c r="D731" s="1044"/>
      <c r="E731" s="142"/>
      <c r="F731" s="142"/>
      <c r="G731" s="142"/>
      <c r="H731" s="1047"/>
      <c r="I731" s="1047"/>
      <c r="J731" s="1053"/>
      <c r="K731" s="1047"/>
      <c r="L731" s="1047"/>
      <c r="M731" s="1047"/>
      <c r="N731" s="1047"/>
      <c r="O731" s="1047"/>
      <c r="P731" s="1047"/>
      <c r="Q731" s="1053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047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4" customFormat="1">
      <c r="A732" s="1044"/>
      <c r="B732" s="1044"/>
      <c r="C732" s="1044"/>
      <c r="D732" s="1044"/>
      <c r="E732" s="142"/>
      <c r="F732" s="142"/>
      <c r="G732" s="142"/>
      <c r="H732" s="1047"/>
      <c r="I732" s="1047"/>
      <c r="J732" s="1053"/>
      <c r="K732" s="1047"/>
      <c r="L732" s="1047"/>
      <c r="M732" s="1047"/>
      <c r="N732" s="1047"/>
      <c r="O732" s="1047"/>
      <c r="P732" s="1047"/>
      <c r="Q732" s="1053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047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4" customFormat="1">
      <c r="A733" s="1044"/>
      <c r="B733" s="1044"/>
      <c r="C733" s="1044"/>
      <c r="D733" s="1044"/>
      <c r="E733" s="142"/>
      <c r="F733" s="142"/>
      <c r="G733" s="142"/>
      <c r="H733" s="1047"/>
      <c r="I733" s="1047"/>
      <c r="J733" s="1053"/>
      <c r="K733" s="1047"/>
      <c r="L733" s="1047"/>
      <c r="M733" s="1047"/>
      <c r="N733" s="1047"/>
      <c r="O733" s="1047"/>
      <c r="P733" s="1047"/>
      <c r="Q733" s="1053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047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4" customFormat="1">
      <c r="A734" s="1044"/>
      <c r="B734" s="1044"/>
      <c r="C734" s="1044"/>
      <c r="D734" s="1044"/>
      <c r="E734" s="142"/>
      <c r="F734" s="142"/>
      <c r="G734" s="142"/>
      <c r="H734" s="1047"/>
      <c r="I734" s="1047"/>
      <c r="J734" s="1053"/>
      <c r="K734" s="1047"/>
      <c r="L734" s="1047"/>
      <c r="M734" s="1047"/>
      <c r="N734" s="1047"/>
      <c r="O734" s="1047"/>
      <c r="P734" s="1047"/>
      <c r="Q734" s="1053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047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4" customFormat="1">
      <c r="A735" s="1044"/>
      <c r="B735" s="1044"/>
      <c r="C735" s="1044"/>
      <c r="D735" s="1044"/>
      <c r="E735" s="142"/>
      <c r="F735" s="142"/>
      <c r="G735" s="142"/>
      <c r="H735" s="1047"/>
      <c r="I735" s="1047"/>
      <c r="J735" s="1053"/>
      <c r="K735" s="1047"/>
      <c r="L735" s="1047"/>
      <c r="M735" s="1047"/>
      <c r="N735" s="1047"/>
      <c r="O735" s="1047"/>
      <c r="P735" s="1047"/>
      <c r="Q735" s="1053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047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4" customFormat="1">
      <c r="A736" s="1044"/>
      <c r="B736" s="1044"/>
      <c r="C736" s="1044"/>
      <c r="D736" s="1044"/>
      <c r="E736" s="142"/>
      <c r="F736" s="142"/>
      <c r="G736" s="142"/>
      <c r="H736" s="1047"/>
      <c r="I736" s="1047"/>
      <c r="J736" s="1053"/>
      <c r="K736" s="1047"/>
      <c r="L736" s="1047"/>
      <c r="M736" s="1047"/>
      <c r="N736" s="1047"/>
      <c r="O736" s="1047"/>
      <c r="P736" s="1047"/>
      <c r="Q736" s="1053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047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4" customFormat="1">
      <c r="A737" s="1044"/>
      <c r="B737" s="1044"/>
      <c r="C737" s="1044"/>
      <c r="D737" s="1044"/>
      <c r="E737" s="142"/>
      <c r="F737" s="142"/>
      <c r="G737" s="142"/>
      <c r="H737" s="1047"/>
      <c r="I737" s="1047"/>
      <c r="J737" s="1053"/>
      <c r="K737" s="1047"/>
      <c r="L737" s="1047"/>
      <c r="M737" s="1047"/>
      <c r="N737" s="1047"/>
      <c r="O737" s="1047"/>
      <c r="P737" s="1047"/>
      <c r="Q737" s="1053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047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4" customFormat="1">
      <c r="A738" s="1044"/>
      <c r="B738" s="1044"/>
      <c r="C738" s="1044"/>
      <c r="D738" s="1044"/>
      <c r="E738" s="142"/>
      <c r="F738" s="142"/>
      <c r="G738" s="142"/>
      <c r="H738" s="1047"/>
      <c r="I738" s="1047"/>
      <c r="J738" s="1053"/>
      <c r="K738" s="1047"/>
      <c r="L738" s="1047"/>
      <c r="M738" s="1047"/>
      <c r="N738" s="1047"/>
      <c r="O738" s="1047"/>
      <c r="P738" s="1047"/>
      <c r="Q738" s="1053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047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4" customFormat="1">
      <c r="A739" s="1044"/>
      <c r="B739" s="1044"/>
      <c r="C739" s="1044"/>
      <c r="D739" s="1044"/>
      <c r="E739" s="142"/>
      <c r="F739" s="142"/>
      <c r="G739" s="142"/>
      <c r="H739" s="1047"/>
      <c r="I739" s="1047"/>
      <c r="J739" s="1053"/>
      <c r="K739" s="1047"/>
      <c r="L739" s="1047"/>
      <c r="M739" s="1047"/>
      <c r="N739" s="1047"/>
      <c r="O739" s="1047"/>
      <c r="P739" s="1047"/>
      <c r="Q739" s="1053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047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4" customFormat="1">
      <c r="A740" s="1044"/>
      <c r="B740" s="1044"/>
      <c r="C740" s="1044"/>
      <c r="D740" s="1044"/>
      <c r="E740" s="142"/>
      <c r="F740" s="142"/>
      <c r="G740" s="142"/>
      <c r="H740" s="1047"/>
      <c r="I740" s="1047"/>
      <c r="J740" s="1053"/>
      <c r="K740" s="1047"/>
      <c r="L740" s="1047"/>
      <c r="M740" s="1047"/>
      <c r="N740" s="1047"/>
      <c r="O740" s="1047"/>
      <c r="P740" s="1047"/>
      <c r="Q740" s="1053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047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4" customFormat="1">
      <c r="A741" s="1044"/>
      <c r="B741" s="1044"/>
      <c r="C741" s="1044"/>
      <c r="D741" s="1044"/>
      <c r="E741" s="142"/>
      <c r="F741" s="142"/>
      <c r="G741" s="142"/>
      <c r="H741" s="1047"/>
      <c r="I741" s="1047"/>
      <c r="J741" s="1053"/>
      <c r="K741" s="1047"/>
      <c r="L741" s="1047"/>
      <c r="M741" s="1047"/>
      <c r="N741" s="1047"/>
      <c r="O741" s="1047"/>
      <c r="P741" s="1047"/>
      <c r="Q741" s="1053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047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4" customFormat="1">
      <c r="A742" s="1044"/>
      <c r="B742" s="1044"/>
      <c r="C742" s="1044"/>
      <c r="D742" s="1044"/>
      <c r="E742" s="142"/>
      <c r="F742" s="142"/>
      <c r="G742" s="142"/>
      <c r="H742" s="1047"/>
      <c r="I742" s="1047"/>
      <c r="J742" s="1053"/>
      <c r="K742" s="1047"/>
      <c r="L742" s="1047"/>
      <c r="M742" s="1047"/>
      <c r="N742" s="1047"/>
      <c r="O742" s="1047"/>
      <c r="P742" s="1047"/>
      <c r="Q742" s="1053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047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4" customFormat="1">
      <c r="A743" s="1044"/>
      <c r="B743" s="1044"/>
      <c r="C743" s="1044"/>
      <c r="D743" s="1044"/>
      <c r="E743" s="142"/>
      <c r="F743" s="142"/>
      <c r="G743" s="142"/>
      <c r="H743" s="1047"/>
      <c r="I743" s="1047"/>
      <c r="J743" s="1053"/>
      <c r="K743" s="1047"/>
      <c r="L743" s="1047"/>
      <c r="M743" s="1047"/>
      <c r="N743" s="1047"/>
      <c r="O743" s="1047"/>
      <c r="P743" s="1047"/>
      <c r="Q743" s="1053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047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4" customFormat="1">
      <c r="A744" s="1044"/>
      <c r="B744" s="1044"/>
      <c r="C744" s="1044"/>
      <c r="D744" s="1044"/>
      <c r="E744" s="142"/>
      <c r="F744" s="142"/>
      <c r="G744" s="142"/>
      <c r="H744" s="1047"/>
      <c r="I744" s="1047"/>
      <c r="J744" s="1053"/>
      <c r="K744" s="1047"/>
      <c r="L744" s="1047"/>
      <c r="M744" s="1047"/>
      <c r="N744" s="1047"/>
      <c r="O744" s="1047"/>
      <c r="P744" s="1047"/>
      <c r="Q744" s="1053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047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4" customFormat="1">
      <c r="A745" s="1044"/>
      <c r="B745" s="1044"/>
      <c r="C745" s="1044"/>
      <c r="D745" s="1044"/>
      <c r="E745" s="142"/>
      <c r="F745" s="142"/>
      <c r="G745" s="142"/>
      <c r="H745" s="1047"/>
      <c r="I745" s="1047"/>
      <c r="J745" s="1053"/>
      <c r="K745" s="1047"/>
      <c r="L745" s="1047"/>
      <c r="M745" s="1047"/>
      <c r="N745" s="1047"/>
      <c r="O745" s="1047"/>
      <c r="P745" s="1047"/>
      <c r="Q745" s="1053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047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4" customFormat="1">
      <c r="A746" s="1044"/>
      <c r="B746" s="1044"/>
      <c r="C746" s="1044"/>
      <c r="D746" s="1044"/>
      <c r="E746" s="142"/>
      <c r="F746" s="142"/>
      <c r="G746" s="142"/>
      <c r="H746" s="1047"/>
      <c r="I746" s="1047"/>
      <c r="J746" s="1053"/>
      <c r="K746" s="1047"/>
      <c r="L746" s="1047"/>
      <c r="M746" s="1047"/>
      <c r="N746" s="1047"/>
      <c r="O746" s="1047"/>
      <c r="P746" s="1047"/>
      <c r="Q746" s="1053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047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4" customFormat="1">
      <c r="A747" s="1044"/>
      <c r="B747" s="1044"/>
      <c r="C747" s="1044"/>
      <c r="D747" s="1044"/>
      <c r="E747" s="142"/>
      <c r="F747" s="142"/>
      <c r="G747" s="142"/>
      <c r="H747" s="1047"/>
      <c r="I747" s="1047"/>
      <c r="J747" s="1053"/>
      <c r="K747" s="1047"/>
      <c r="L747" s="1047"/>
      <c r="M747" s="1047"/>
      <c r="N747" s="1047"/>
      <c r="O747" s="1047"/>
      <c r="P747" s="1047"/>
      <c r="Q747" s="1053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047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4" customFormat="1">
      <c r="A748" s="1044"/>
      <c r="B748" s="1044"/>
      <c r="C748" s="1044"/>
      <c r="D748" s="1044"/>
      <c r="E748" s="142"/>
      <c r="F748" s="142"/>
      <c r="G748" s="142"/>
      <c r="H748" s="1047"/>
      <c r="I748" s="1047"/>
      <c r="J748" s="1053"/>
      <c r="K748" s="1047"/>
      <c r="L748" s="1047"/>
      <c r="M748" s="1047"/>
      <c r="N748" s="1047"/>
      <c r="O748" s="1047"/>
      <c r="P748" s="1047"/>
      <c r="Q748" s="1053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047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4" customFormat="1">
      <c r="A749" s="1044"/>
      <c r="B749" s="1044"/>
      <c r="C749" s="1044"/>
      <c r="D749" s="1044"/>
      <c r="E749" s="142"/>
      <c r="F749" s="142"/>
      <c r="G749" s="142"/>
      <c r="H749" s="1047"/>
      <c r="I749" s="1047"/>
      <c r="J749" s="1053"/>
      <c r="K749" s="1047"/>
      <c r="L749" s="1047"/>
      <c r="M749" s="1047"/>
      <c r="N749" s="1047"/>
      <c r="O749" s="1047"/>
      <c r="P749" s="1047"/>
      <c r="Q749" s="1053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047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4" customFormat="1">
      <c r="A750" s="1044"/>
      <c r="B750" s="1044"/>
      <c r="C750" s="1044"/>
      <c r="D750" s="1044"/>
      <c r="E750" s="142"/>
      <c r="F750" s="142"/>
      <c r="G750" s="142"/>
      <c r="H750" s="1047"/>
      <c r="I750" s="1047"/>
      <c r="J750" s="1053"/>
      <c r="K750" s="1047"/>
      <c r="L750" s="1047"/>
      <c r="M750" s="1047"/>
      <c r="N750" s="1047"/>
      <c r="O750" s="1047"/>
      <c r="P750" s="1047"/>
      <c r="Q750" s="1053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047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4" customFormat="1">
      <c r="A751" s="1044"/>
      <c r="B751" s="1044"/>
      <c r="C751" s="1044"/>
      <c r="D751" s="1044"/>
      <c r="E751" s="142"/>
      <c r="F751" s="142"/>
      <c r="G751" s="142"/>
      <c r="H751" s="1047"/>
      <c r="I751" s="1047"/>
      <c r="J751" s="1053"/>
      <c r="K751" s="1047"/>
      <c r="L751" s="1047"/>
      <c r="M751" s="1047"/>
      <c r="N751" s="1047"/>
      <c r="O751" s="1047"/>
      <c r="P751" s="1047"/>
      <c r="Q751" s="1053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047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4" customFormat="1">
      <c r="A752" s="1044"/>
      <c r="B752" s="1044"/>
      <c r="C752" s="1044"/>
      <c r="D752" s="1044"/>
      <c r="E752" s="142"/>
      <c r="F752" s="142"/>
      <c r="G752" s="142"/>
      <c r="H752" s="1047"/>
      <c r="I752" s="1047"/>
      <c r="J752" s="1053"/>
      <c r="K752" s="1047"/>
      <c r="L752" s="1047"/>
      <c r="M752" s="1047"/>
      <c r="N752" s="1047"/>
      <c r="O752" s="1047"/>
      <c r="P752" s="1047"/>
      <c r="Q752" s="1053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047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4" customFormat="1">
      <c r="A753" s="1044"/>
      <c r="B753" s="1044"/>
      <c r="C753" s="1044"/>
      <c r="D753" s="1044"/>
      <c r="E753" s="142"/>
      <c r="F753" s="142"/>
      <c r="G753" s="142"/>
      <c r="H753" s="1047"/>
      <c r="I753" s="1047"/>
      <c r="J753" s="1053"/>
      <c r="K753" s="1047"/>
      <c r="L753" s="1047"/>
      <c r="M753" s="1047"/>
      <c r="N753" s="1047"/>
      <c r="O753" s="1047"/>
      <c r="P753" s="1047"/>
      <c r="Q753" s="1053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047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4" customFormat="1">
      <c r="A754" s="1044"/>
      <c r="B754" s="1044"/>
      <c r="C754" s="1044"/>
      <c r="D754" s="1044"/>
      <c r="E754" s="142"/>
      <c r="F754" s="142"/>
      <c r="G754" s="142"/>
      <c r="H754" s="1047"/>
      <c r="I754" s="1047"/>
      <c r="J754" s="1053"/>
      <c r="K754" s="1047"/>
      <c r="L754" s="1047"/>
      <c r="M754" s="1047"/>
      <c r="N754" s="1047"/>
      <c r="O754" s="1047"/>
      <c r="P754" s="1047"/>
      <c r="Q754" s="1053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047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4" customFormat="1">
      <c r="A755" s="1044"/>
      <c r="B755" s="1044"/>
      <c r="C755" s="1044"/>
      <c r="D755" s="1044"/>
      <c r="E755" s="142"/>
      <c r="F755" s="142"/>
      <c r="G755" s="142"/>
      <c r="H755" s="1047"/>
      <c r="I755" s="1047"/>
      <c r="J755" s="1053"/>
      <c r="K755" s="1047"/>
      <c r="L755" s="1047"/>
      <c r="M755" s="1047"/>
      <c r="N755" s="1047"/>
      <c r="O755" s="1047"/>
      <c r="P755" s="1047"/>
      <c r="Q755" s="1053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047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4" customFormat="1">
      <c r="A756" s="1044"/>
      <c r="B756" s="1044"/>
      <c r="C756" s="1044"/>
      <c r="D756" s="1044"/>
      <c r="E756" s="142"/>
      <c r="F756" s="142"/>
      <c r="G756" s="142"/>
      <c r="H756" s="1047"/>
      <c r="I756" s="1047"/>
      <c r="J756" s="1053"/>
      <c r="K756" s="1047"/>
      <c r="L756" s="1047"/>
      <c r="M756" s="1047"/>
      <c r="N756" s="1047"/>
      <c r="O756" s="1047"/>
      <c r="P756" s="1047"/>
      <c r="Q756" s="1053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047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4" customFormat="1">
      <c r="A757" s="1044"/>
      <c r="B757" s="1044"/>
      <c r="C757" s="1044"/>
      <c r="D757" s="1044"/>
      <c r="E757" s="142"/>
      <c r="F757" s="142"/>
      <c r="G757" s="142"/>
      <c r="H757" s="1047"/>
      <c r="I757" s="1047"/>
      <c r="J757" s="1053"/>
      <c r="K757" s="1047"/>
      <c r="L757" s="1047"/>
      <c r="M757" s="1047"/>
      <c r="N757" s="1047"/>
      <c r="O757" s="1047"/>
      <c r="P757" s="1047"/>
      <c r="Q757" s="1053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047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4" customFormat="1">
      <c r="A758" s="1044"/>
      <c r="B758" s="1044"/>
      <c r="C758" s="1044"/>
      <c r="D758" s="1044"/>
      <c r="E758" s="142"/>
      <c r="F758" s="142"/>
      <c r="G758" s="142"/>
      <c r="H758" s="1047"/>
      <c r="I758" s="1047"/>
      <c r="J758" s="1053"/>
      <c r="K758" s="1047"/>
      <c r="L758" s="1047"/>
      <c r="M758" s="1047"/>
      <c r="N758" s="1047"/>
      <c r="O758" s="1047"/>
      <c r="P758" s="1047"/>
      <c r="Q758" s="1053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047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4" customFormat="1">
      <c r="A759" s="1044"/>
      <c r="B759" s="1044"/>
      <c r="C759" s="1044"/>
      <c r="D759" s="1044"/>
      <c r="E759" s="142"/>
      <c r="F759" s="142"/>
      <c r="G759" s="142"/>
      <c r="H759" s="1047"/>
      <c r="I759" s="1047"/>
      <c r="J759" s="1053"/>
      <c r="K759" s="1047"/>
      <c r="L759" s="1047"/>
      <c r="M759" s="1047"/>
      <c r="N759" s="1047"/>
      <c r="O759" s="1047"/>
      <c r="P759" s="1047"/>
      <c r="Q759" s="1053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047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4" customFormat="1">
      <c r="A760" s="1044"/>
      <c r="B760" s="1044"/>
      <c r="C760" s="1044"/>
      <c r="D760" s="1044"/>
      <c r="E760" s="142"/>
      <c r="F760" s="142"/>
      <c r="G760" s="142"/>
      <c r="H760" s="1047"/>
      <c r="I760" s="1047"/>
      <c r="J760" s="1053"/>
      <c r="K760" s="1047"/>
      <c r="L760" s="1047"/>
      <c r="M760" s="1047"/>
      <c r="N760" s="1047"/>
      <c r="O760" s="1047"/>
      <c r="P760" s="1047"/>
      <c r="Q760" s="1053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047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4" customFormat="1">
      <c r="A761" s="1044"/>
      <c r="B761" s="1044"/>
      <c r="C761" s="1044"/>
      <c r="D761" s="1044"/>
      <c r="E761" s="142"/>
      <c r="F761" s="142"/>
      <c r="G761" s="142"/>
      <c r="H761" s="1047"/>
      <c r="I761" s="1047"/>
      <c r="J761" s="1053"/>
      <c r="K761" s="1047"/>
      <c r="L761" s="1047"/>
      <c r="M761" s="1047"/>
      <c r="N761" s="1047"/>
      <c r="O761" s="1047"/>
      <c r="P761" s="1047"/>
      <c r="Q761" s="1053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047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4" customFormat="1">
      <c r="A762" s="1044"/>
      <c r="B762" s="1044"/>
      <c r="C762" s="1044"/>
      <c r="D762" s="1044"/>
      <c r="E762" s="142"/>
      <c r="F762" s="142"/>
      <c r="G762" s="142"/>
      <c r="H762" s="1047"/>
      <c r="I762" s="1047"/>
      <c r="J762" s="1053"/>
      <c r="K762" s="1047"/>
      <c r="L762" s="1047"/>
      <c r="M762" s="1047"/>
      <c r="N762" s="1047"/>
      <c r="O762" s="1047"/>
      <c r="P762" s="1047"/>
      <c r="Q762" s="1053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047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4" customFormat="1">
      <c r="A763" s="1044"/>
      <c r="B763" s="1044"/>
      <c r="C763" s="1044"/>
      <c r="D763" s="1044"/>
      <c r="E763" s="142"/>
      <c r="F763" s="142"/>
      <c r="G763" s="142"/>
      <c r="H763" s="1047"/>
      <c r="I763" s="1047"/>
      <c r="J763" s="1053"/>
      <c r="K763" s="1047"/>
      <c r="L763" s="1047"/>
      <c r="M763" s="1047"/>
      <c r="N763" s="1047"/>
      <c r="O763" s="1047"/>
      <c r="P763" s="1047"/>
      <c r="Q763" s="1053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047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4" customFormat="1">
      <c r="A764" s="1044"/>
      <c r="B764" s="1044"/>
      <c r="C764" s="1044"/>
      <c r="D764" s="1044"/>
      <c r="E764" s="142"/>
      <c r="F764" s="142"/>
      <c r="G764" s="142"/>
      <c r="H764" s="1047"/>
      <c r="I764" s="1047"/>
      <c r="J764" s="1053"/>
      <c r="K764" s="1047"/>
      <c r="L764" s="1047"/>
      <c r="M764" s="1047"/>
      <c r="N764" s="1047"/>
      <c r="O764" s="1047"/>
      <c r="P764" s="1047"/>
      <c r="Q764" s="1053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047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4" customFormat="1">
      <c r="A765" s="1044"/>
      <c r="B765" s="1044"/>
      <c r="C765" s="1044"/>
      <c r="D765" s="1044"/>
      <c r="E765" s="142"/>
      <c r="F765" s="142"/>
      <c r="G765" s="142"/>
      <c r="H765" s="1047"/>
      <c r="I765" s="1047"/>
      <c r="J765" s="1053"/>
      <c r="K765" s="1047"/>
      <c r="L765" s="1047"/>
      <c r="M765" s="1047"/>
      <c r="N765" s="1047"/>
      <c r="O765" s="1047"/>
      <c r="P765" s="1047"/>
      <c r="Q765" s="1053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047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4" customFormat="1">
      <c r="A766" s="1044"/>
      <c r="B766" s="1044"/>
      <c r="C766" s="1044"/>
      <c r="D766" s="1044"/>
      <c r="E766" s="142"/>
      <c r="F766" s="142"/>
      <c r="G766" s="142"/>
      <c r="H766" s="1047"/>
      <c r="I766" s="1047"/>
      <c r="J766" s="1053"/>
      <c r="K766" s="1047"/>
      <c r="L766" s="1047"/>
      <c r="M766" s="1047"/>
      <c r="N766" s="1047"/>
      <c r="O766" s="1047"/>
      <c r="P766" s="1047"/>
      <c r="Q766" s="1053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047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4" customFormat="1">
      <c r="A767" s="1044"/>
      <c r="B767" s="1044"/>
      <c r="C767" s="1044"/>
      <c r="D767" s="1044"/>
      <c r="E767" s="142"/>
      <c r="F767" s="142"/>
      <c r="G767" s="142"/>
      <c r="H767" s="1047"/>
      <c r="I767" s="1047"/>
      <c r="J767" s="1053"/>
      <c r="K767" s="1047"/>
      <c r="L767" s="1047"/>
      <c r="M767" s="1047"/>
      <c r="N767" s="1047"/>
      <c r="O767" s="1047"/>
      <c r="P767" s="1047"/>
      <c r="Q767" s="1053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047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4" customFormat="1">
      <c r="A768" s="1044"/>
      <c r="B768" s="1044"/>
      <c r="C768" s="1044"/>
      <c r="D768" s="1044"/>
      <c r="E768" s="142"/>
      <c r="F768" s="142"/>
      <c r="G768" s="142"/>
      <c r="H768" s="1047"/>
      <c r="I768" s="1047"/>
      <c r="J768" s="1053"/>
      <c r="K768" s="1047"/>
      <c r="L768" s="1047"/>
      <c r="M768" s="1047"/>
      <c r="N768" s="1047"/>
      <c r="O768" s="1047"/>
      <c r="P768" s="1047"/>
      <c r="Q768" s="1053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047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4" customFormat="1">
      <c r="A769" s="1044"/>
      <c r="B769" s="1044"/>
      <c r="C769" s="1044"/>
      <c r="D769" s="1044"/>
      <c r="E769" s="142"/>
      <c r="F769" s="142"/>
      <c r="G769" s="142"/>
      <c r="H769" s="1047"/>
      <c r="I769" s="1047"/>
      <c r="J769" s="1053"/>
      <c r="K769" s="1047"/>
      <c r="L769" s="1047"/>
      <c r="M769" s="1047"/>
      <c r="N769" s="1047"/>
      <c r="O769" s="1047"/>
      <c r="P769" s="1047"/>
      <c r="Q769" s="1053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047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4" customFormat="1">
      <c r="A770" s="1044"/>
      <c r="B770" s="1044"/>
      <c r="C770" s="1044"/>
      <c r="D770" s="1044"/>
      <c r="E770" s="142"/>
      <c r="F770" s="142"/>
      <c r="G770" s="142"/>
      <c r="H770" s="1047"/>
      <c r="I770" s="1047"/>
      <c r="J770" s="1053"/>
      <c r="K770" s="1047"/>
      <c r="L770" s="1047"/>
      <c r="M770" s="1047"/>
      <c r="N770" s="1047"/>
      <c r="O770" s="1047"/>
      <c r="P770" s="1047"/>
      <c r="Q770" s="1053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047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4" customFormat="1">
      <c r="A771" s="1044"/>
      <c r="B771" s="1044"/>
      <c r="C771" s="1044"/>
      <c r="D771" s="1044"/>
      <c r="E771" s="142"/>
      <c r="F771" s="142"/>
      <c r="G771" s="142"/>
      <c r="H771" s="1047"/>
      <c r="I771" s="1047"/>
      <c r="J771" s="1053"/>
      <c r="K771" s="1047"/>
      <c r="L771" s="1047"/>
      <c r="M771" s="1047"/>
      <c r="N771" s="1047"/>
      <c r="O771" s="1047"/>
      <c r="P771" s="1047"/>
      <c r="Q771" s="1053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047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4" customFormat="1">
      <c r="A772" s="1044"/>
      <c r="B772" s="1044"/>
      <c r="C772" s="1044"/>
      <c r="D772" s="1044"/>
      <c r="E772" s="142"/>
      <c r="F772" s="142"/>
      <c r="G772" s="142"/>
      <c r="H772" s="1047"/>
      <c r="I772" s="1047"/>
      <c r="J772" s="1053"/>
      <c r="K772" s="1047"/>
      <c r="L772" s="1047"/>
      <c r="M772" s="1047"/>
      <c r="N772" s="1047"/>
      <c r="O772" s="1047"/>
      <c r="P772" s="1047"/>
      <c r="Q772" s="1053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047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4" customFormat="1">
      <c r="A773" s="1044"/>
      <c r="B773" s="1044"/>
      <c r="C773" s="1044"/>
      <c r="D773" s="1044"/>
      <c r="E773" s="142"/>
      <c r="F773" s="142"/>
      <c r="G773" s="142"/>
      <c r="H773" s="1047"/>
      <c r="I773" s="1047"/>
      <c r="J773" s="1053"/>
      <c r="K773" s="1047"/>
      <c r="L773" s="1047"/>
      <c r="M773" s="1047"/>
      <c r="N773" s="1047"/>
      <c r="O773" s="1047"/>
      <c r="P773" s="1047"/>
      <c r="Q773" s="1053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047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4" customFormat="1">
      <c r="A774" s="1044"/>
      <c r="B774" s="1044"/>
      <c r="C774" s="1044"/>
      <c r="D774" s="1044"/>
      <c r="E774" s="142"/>
      <c r="F774" s="142"/>
      <c r="G774" s="142"/>
      <c r="H774" s="1047"/>
      <c r="I774" s="1047"/>
      <c r="J774" s="1053"/>
      <c r="K774" s="1047"/>
      <c r="L774" s="1047"/>
      <c r="M774" s="1047"/>
      <c r="N774" s="1047"/>
      <c r="O774" s="1047"/>
      <c r="P774" s="1047"/>
      <c r="Q774" s="1053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047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4" customFormat="1">
      <c r="A775" s="1044"/>
      <c r="B775" s="1044"/>
      <c r="C775" s="1044"/>
      <c r="D775" s="1044"/>
      <c r="E775" s="142"/>
      <c r="F775" s="142"/>
      <c r="G775" s="142"/>
      <c r="H775" s="1047"/>
      <c r="I775" s="1047"/>
      <c r="J775" s="1053"/>
      <c r="K775" s="1047"/>
      <c r="L775" s="1047"/>
      <c r="M775" s="1047"/>
      <c r="N775" s="1047"/>
      <c r="O775" s="1047"/>
      <c r="P775" s="1047"/>
      <c r="Q775" s="1053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047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4" customFormat="1">
      <c r="A776" s="1044"/>
      <c r="B776" s="1044"/>
      <c r="C776" s="1044"/>
      <c r="D776" s="1044"/>
      <c r="E776" s="142"/>
      <c r="F776" s="142"/>
      <c r="G776" s="142"/>
      <c r="H776" s="1047"/>
      <c r="I776" s="1047"/>
      <c r="J776" s="1053"/>
      <c r="K776" s="1047"/>
      <c r="L776" s="1047"/>
      <c r="M776" s="1047"/>
      <c r="N776" s="1047"/>
      <c r="O776" s="1047"/>
      <c r="P776" s="1047"/>
      <c r="Q776" s="1053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047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4" customFormat="1">
      <c r="A777" s="1044"/>
      <c r="B777" s="1044"/>
      <c r="C777" s="1044"/>
      <c r="D777" s="1044"/>
      <c r="E777" s="142"/>
      <c r="F777" s="142"/>
      <c r="G777" s="142"/>
      <c r="H777" s="1047"/>
      <c r="I777" s="1047"/>
      <c r="J777" s="1053"/>
      <c r="K777" s="1047"/>
      <c r="L777" s="1047"/>
      <c r="M777" s="1047"/>
      <c r="N777" s="1047"/>
      <c r="O777" s="1047"/>
      <c r="P777" s="1047"/>
      <c r="Q777" s="1053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047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4" customFormat="1">
      <c r="A778" s="1044"/>
      <c r="B778" s="1044"/>
      <c r="C778" s="1044"/>
      <c r="D778" s="1044"/>
      <c r="E778" s="142"/>
      <c r="F778" s="142"/>
      <c r="G778" s="142"/>
      <c r="H778" s="1047"/>
      <c r="I778" s="1047"/>
      <c r="J778" s="1053"/>
      <c r="K778" s="1047"/>
      <c r="L778" s="1047"/>
      <c r="M778" s="1047"/>
      <c r="N778" s="1047"/>
      <c r="O778" s="1047"/>
      <c r="P778" s="1047"/>
      <c r="Q778" s="1053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047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4" customFormat="1">
      <c r="A779" s="1044"/>
      <c r="B779" s="1044"/>
      <c r="C779" s="1044"/>
      <c r="D779" s="1044"/>
      <c r="E779" s="142"/>
      <c r="F779" s="142"/>
      <c r="G779" s="142"/>
      <c r="H779" s="1047"/>
      <c r="I779" s="1047"/>
      <c r="J779" s="1053"/>
      <c r="K779" s="1047"/>
      <c r="L779" s="1047"/>
      <c r="M779" s="1047"/>
      <c r="N779" s="1047"/>
      <c r="O779" s="1047"/>
      <c r="P779" s="1047"/>
      <c r="Q779" s="1053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047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4" customFormat="1">
      <c r="A780" s="1044"/>
      <c r="B780" s="1044"/>
      <c r="C780" s="1044"/>
      <c r="D780" s="1044"/>
      <c r="E780" s="142"/>
      <c r="F780" s="142"/>
      <c r="G780" s="142"/>
      <c r="H780" s="1047"/>
      <c r="I780" s="1047"/>
      <c r="J780" s="1053"/>
      <c r="K780" s="1047"/>
      <c r="L780" s="1047"/>
      <c r="M780" s="1047"/>
      <c r="N780" s="1047"/>
      <c r="O780" s="1047"/>
      <c r="P780" s="1047"/>
      <c r="Q780" s="1053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047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4" customFormat="1">
      <c r="A781" s="1044"/>
      <c r="B781" s="1044"/>
      <c r="C781" s="1044"/>
      <c r="D781" s="1044"/>
      <c r="E781" s="142"/>
      <c r="F781" s="142"/>
      <c r="G781" s="142"/>
      <c r="H781" s="1047"/>
      <c r="I781" s="1047"/>
      <c r="J781" s="1053"/>
      <c r="K781" s="1047"/>
      <c r="L781" s="1047"/>
      <c r="M781" s="1047"/>
      <c r="N781" s="1047"/>
      <c r="O781" s="1047"/>
      <c r="P781" s="1047"/>
      <c r="Q781" s="1053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047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4" customFormat="1">
      <c r="A782" s="1044"/>
      <c r="B782" s="1044"/>
      <c r="C782" s="1044"/>
      <c r="D782" s="1044"/>
      <c r="E782" s="142"/>
      <c r="F782" s="142"/>
      <c r="G782" s="142"/>
      <c r="H782" s="1047"/>
      <c r="I782" s="1047"/>
      <c r="J782" s="1053"/>
      <c r="K782" s="1047"/>
      <c r="L782" s="1047"/>
      <c r="M782" s="1047"/>
      <c r="N782" s="1047"/>
      <c r="O782" s="1047"/>
      <c r="P782" s="1047"/>
      <c r="Q782" s="1053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047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4" customFormat="1">
      <c r="A783" s="1044"/>
      <c r="B783" s="1044"/>
      <c r="C783" s="1044"/>
      <c r="D783" s="1044"/>
      <c r="E783" s="142"/>
      <c r="F783" s="142"/>
      <c r="G783" s="142"/>
      <c r="H783" s="1047"/>
      <c r="I783" s="1047"/>
      <c r="J783" s="1053"/>
      <c r="K783" s="1047"/>
      <c r="L783" s="1047"/>
      <c r="M783" s="1047"/>
      <c r="N783" s="1047"/>
      <c r="O783" s="1047"/>
      <c r="P783" s="1047"/>
      <c r="Q783" s="1053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047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4" customFormat="1">
      <c r="A784" s="1044"/>
      <c r="B784" s="1044"/>
      <c r="C784" s="1044"/>
      <c r="D784" s="1044"/>
      <c r="E784" s="142"/>
      <c r="F784" s="142"/>
      <c r="G784" s="142"/>
      <c r="H784" s="1047"/>
      <c r="I784" s="1047"/>
      <c r="J784" s="1053"/>
      <c r="K784" s="1047"/>
      <c r="L784" s="1047"/>
      <c r="M784" s="1047"/>
      <c r="N784" s="1047"/>
      <c r="O784" s="1047"/>
      <c r="P784" s="1047"/>
      <c r="Q784" s="1053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047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4" customFormat="1">
      <c r="A785" s="1044"/>
      <c r="B785" s="1044"/>
      <c r="C785" s="1044"/>
      <c r="D785" s="1044"/>
      <c r="E785" s="142"/>
      <c r="F785" s="142"/>
      <c r="G785" s="142"/>
      <c r="H785" s="1047"/>
      <c r="I785" s="1047"/>
      <c r="J785" s="1053"/>
      <c r="K785" s="1047"/>
      <c r="L785" s="1047"/>
      <c r="M785" s="1047"/>
      <c r="N785" s="1047"/>
      <c r="O785" s="1047"/>
      <c r="P785" s="1047"/>
      <c r="Q785" s="1053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047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4" customFormat="1">
      <c r="A786" s="1044"/>
      <c r="B786" s="1044"/>
      <c r="C786" s="1044"/>
      <c r="D786" s="1044"/>
      <c r="E786" s="142"/>
      <c r="F786" s="142"/>
      <c r="G786" s="142"/>
      <c r="H786" s="1047"/>
      <c r="I786" s="1047"/>
      <c r="J786" s="1053"/>
      <c r="K786" s="1047"/>
      <c r="L786" s="1047"/>
      <c r="M786" s="1047"/>
      <c r="N786" s="1047"/>
      <c r="O786" s="1047"/>
      <c r="P786" s="1047"/>
      <c r="Q786" s="1053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047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4" customFormat="1">
      <c r="A787" s="1044"/>
      <c r="B787" s="1044"/>
      <c r="C787" s="1044"/>
      <c r="D787" s="1044"/>
      <c r="E787" s="142"/>
      <c r="F787" s="142"/>
      <c r="G787" s="142"/>
      <c r="H787" s="1047"/>
      <c r="I787" s="1047"/>
      <c r="J787" s="1053"/>
      <c r="K787" s="1047"/>
      <c r="L787" s="1047"/>
      <c r="M787" s="1047"/>
      <c r="N787" s="1047"/>
      <c r="O787" s="1047"/>
      <c r="P787" s="1047"/>
      <c r="Q787" s="1053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047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4" customFormat="1">
      <c r="A788" s="1044"/>
      <c r="B788" s="1044"/>
      <c r="C788" s="1044"/>
      <c r="D788" s="1044"/>
      <c r="E788" s="142"/>
      <c r="F788" s="142"/>
      <c r="G788" s="142"/>
      <c r="H788" s="1047"/>
      <c r="I788" s="1047"/>
      <c r="J788" s="1053"/>
      <c r="K788" s="1047"/>
      <c r="L788" s="1047"/>
      <c r="M788" s="1047"/>
      <c r="N788" s="1047"/>
      <c r="O788" s="1047"/>
      <c r="P788" s="1047"/>
      <c r="Q788" s="1053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047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4" customFormat="1">
      <c r="A789" s="1044"/>
      <c r="B789" s="1044"/>
      <c r="C789" s="1044"/>
      <c r="D789" s="1044"/>
      <c r="E789" s="142"/>
      <c r="F789" s="142"/>
      <c r="G789" s="142"/>
      <c r="H789" s="1047"/>
      <c r="I789" s="1047"/>
      <c r="J789" s="1053"/>
      <c r="K789" s="1047"/>
      <c r="L789" s="1047"/>
      <c r="M789" s="1047"/>
      <c r="N789" s="1047"/>
      <c r="O789" s="1047"/>
      <c r="P789" s="1047"/>
      <c r="Q789" s="1053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047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4" customFormat="1">
      <c r="A790" s="1044"/>
      <c r="B790" s="1044"/>
      <c r="C790" s="1044"/>
      <c r="D790" s="1044"/>
      <c r="E790" s="142"/>
      <c r="F790" s="142"/>
      <c r="G790" s="142"/>
      <c r="H790" s="1047"/>
      <c r="I790" s="1047"/>
      <c r="J790" s="1053"/>
      <c r="K790" s="1047"/>
      <c r="L790" s="1047"/>
      <c r="M790" s="1047"/>
      <c r="N790" s="1047"/>
      <c r="O790" s="1047"/>
      <c r="P790" s="1047"/>
      <c r="Q790" s="1053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047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4" customFormat="1">
      <c r="A791" s="1044"/>
      <c r="B791" s="1044"/>
      <c r="C791" s="1044"/>
      <c r="D791" s="1044"/>
      <c r="E791" s="142"/>
      <c r="F791" s="142"/>
      <c r="G791" s="142"/>
      <c r="H791" s="1047"/>
      <c r="I791" s="1047"/>
      <c r="J791" s="1053"/>
      <c r="K791" s="1047"/>
      <c r="L791" s="1047"/>
      <c r="M791" s="1047"/>
      <c r="N791" s="1047"/>
      <c r="O791" s="1047"/>
      <c r="P791" s="1047"/>
      <c r="Q791" s="1053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047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4" customFormat="1">
      <c r="A792" s="1044"/>
      <c r="B792" s="1044"/>
      <c r="C792" s="1044"/>
      <c r="D792" s="1044"/>
      <c r="E792" s="142"/>
      <c r="F792" s="142"/>
      <c r="G792" s="142"/>
      <c r="H792" s="1047"/>
      <c r="I792" s="1047"/>
      <c r="J792" s="1053"/>
      <c r="K792" s="1047"/>
      <c r="L792" s="1047"/>
      <c r="M792" s="1047"/>
      <c r="N792" s="1047"/>
      <c r="O792" s="1047"/>
      <c r="P792" s="1047"/>
      <c r="Q792" s="1053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047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4" customFormat="1">
      <c r="A793" s="1044"/>
      <c r="B793" s="1044"/>
      <c r="C793" s="1044"/>
      <c r="D793" s="1044"/>
      <c r="E793" s="142"/>
      <c r="F793" s="142"/>
      <c r="G793" s="142"/>
      <c r="H793" s="1047"/>
      <c r="I793" s="1047"/>
      <c r="J793" s="1053"/>
      <c r="K793" s="1047"/>
      <c r="L793" s="1047"/>
      <c r="M793" s="1047"/>
      <c r="N793" s="1047"/>
      <c r="O793" s="1047"/>
      <c r="P793" s="1047"/>
      <c r="Q793" s="1053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047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4" customFormat="1">
      <c r="A794" s="1044"/>
      <c r="B794" s="1044"/>
      <c r="C794" s="1044"/>
      <c r="D794" s="1044"/>
      <c r="E794" s="142"/>
      <c r="F794" s="142"/>
      <c r="G794" s="142"/>
      <c r="H794" s="1047"/>
      <c r="I794" s="1047"/>
      <c r="J794" s="1053"/>
      <c r="K794" s="1047"/>
      <c r="L794" s="1047"/>
      <c r="M794" s="1047"/>
      <c r="N794" s="1047"/>
      <c r="O794" s="1047"/>
      <c r="P794" s="1047"/>
      <c r="Q794" s="1053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047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4" customFormat="1">
      <c r="A795" s="1044"/>
      <c r="B795" s="1044"/>
      <c r="C795" s="1044"/>
      <c r="D795" s="1044"/>
      <c r="E795" s="142"/>
      <c r="F795" s="142"/>
      <c r="G795" s="142"/>
      <c r="H795" s="1047"/>
      <c r="I795" s="1047"/>
      <c r="J795" s="1053"/>
      <c r="K795" s="1047"/>
      <c r="L795" s="1047"/>
      <c r="M795" s="1047"/>
      <c r="N795" s="1047"/>
      <c r="O795" s="1047"/>
      <c r="P795" s="1047"/>
      <c r="Q795" s="1053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047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4" customFormat="1">
      <c r="A796" s="1044"/>
      <c r="B796" s="1044"/>
      <c r="C796" s="1044"/>
      <c r="D796" s="1044"/>
      <c r="E796" s="142"/>
      <c r="F796" s="142"/>
      <c r="G796" s="142"/>
      <c r="H796" s="1047"/>
      <c r="I796" s="1047"/>
      <c r="J796" s="1053"/>
      <c r="K796" s="1047"/>
      <c r="L796" s="1047"/>
      <c r="M796" s="1047"/>
      <c r="N796" s="1047"/>
      <c r="O796" s="1047"/>
      <c r="P796" s="1047"/>
      <c r="Q796" s="1053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047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4" customFormat="1">
      <c r="A797" s="1044"/>
      <c r="B797" s="1044"/>
      <c r="C797" s="1044"/>
      <c r="D797" s="1044"/>
      <c r="E797" s="142"/>
      <c r="F797" s="142"/>
      <c r="G797" s="142"/>
      <c r="H797" s="1047"/>
      <c r="I797" s="1047"/>
      <c r="J797" s="1053"/>
      <c r="K797" s="1047"/>
      <c r="L797" s="1047"/>
      <c r="M797" s="1047"/>
      <c r="N797" s="1047"/>
      <c r="O797" s="1047"/>
      <c r="P797" s="1047"/>
      <c r="Q797" s="1053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047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4" customFormat="1">
      <c r="A798" s="1044"/>
      <c r="B798" s="1044"/>
      <c r="C798" s="1044"/>
      <c r="D798" s="1044"/>
      <c r="E798" s="142"/>
      <c r="F798" s="142"/>
      <c r="G798" s="142"/>
      <c r="H798" s="1047"/>
      <c r="I798" s="1047"/>
      <c r="J798" s="1053"/>
      <c r="K798" s="1047"/>
      <c r="L798" s="1047"/>
      <c r="M798" s="1047"/>
      <c r="N798" s="1047"/>
      <c r="O798" s="1047"/>
      <c r="P798" s="1047"/>
      <c r="Q798" s="1053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047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4" customFormat="1">
      <c r="A799" s="1044"/>
      <c r="B799" s="1044"/>
      <c r="C799" s="1044"/>
      <c r="D799" s="1044"/>
      <c r="E799" s="142"/>
      <c r="F799" s="142"/>
      <c r="G799" s="142"/>
      <c r="H799" s="1047"/>
      <c r="I799" s="1047"/>
      <c r="J799" s="1053"/>
      <c r="K799" s="1047"/>
      <c r="L799" s="1047"/>
      <c r="M799" s="1047"/>
      <c r="N799" s="1047"/>
      <c r="O799" s="1047"/>
      <c r="P799" s="1047"/>
      <c r="Q799" s="1053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047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4" customFormat="1">
      <c r="A800" s="1044"/>
      <c r="B800" s="1044"/>
      <c r="C800" s="1044"/>
      <c r="D800" s="1044"/>
      <c r="E800" s="142"/>
      <c r="F800" s="142"/>
      <c r="G800" s="142"/>
      <c r="H800" s="1047"/>
      <c r="I800" s="1047"/>
      <c r="J800" s="1053"/>
      <c r="K800" s="1047"/>
      <c r="L800" s="1047"/>
      <c r="M800" s="1047"/>
      <c r="N800" s="1047"/>
      <c r="O800" s="1047"/>
      <c r="P800" s="1047"/>
      <c r="Q800" s="1053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047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4" customFormat="1">
      <c r="A801" s="1044"/>
      <c r="B801" s="1044"/>
      <c r="C801" s="1044"/>
      <c r="D801" s="1044"/>
      <c r="E801" s="142"/>
      <c r="F801" s="142"/>
      <c r="G801" s="142"/>
      <c r="H801" s="1047"/>
      <c r="I801" s="1047"/>
      <c r="J801" s="1053"/>
      <c r="K801" s="1047"/>
      <c r="L801" s="1047"/>
      <c r="M801" s="1047"/>
      <c r="N801" s="1047"/>
      <c r="O801" s="1047"/>
      <c r="P801" s="1047"/>
      <c r="Q801" s="1053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047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4" customFormat="1">
      <c r="A802" s="1044"/>
      <c r="B802" s="1044"/>
      <c r="C802" s="1044"/>
      <c r="D802" s="1044"/>
      <c r="E802" s="142"/>
      <c r="F802" s="142"/>
      <c r="G802" s="142"/>
      <c r="H802" s="1047"/>
      <c r="I802" s="1047"/>
      <c r="J802" s="1053"/>
      <c r="K802" s="1047"/>
      <c r="L802" s="1047"/>
      <c r="M802" s="1047"/>
      <c r="N802" s="1047"/>
      <c r="O802" s="1047"/>
      <c r="P802" s="1047"/>
      <c r="Q802" s="1053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047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4" customFormat="1">
      <c r="A803" s="1044"/>
      <c r="B803" s="1044"/>
      <c r="C803" s="1044"/>
      <c r="D803" s="1044"/>
      <c r="E803" s="142"/>
      <c r="F803" s="142"/>
      <c r="G803" s="142"/>
      <c r="H803" s="1047"/>
      <c r="I803" s="1047"/>
      <c r="J803" s="1053"/>
      <c r="K803" s="1047"/>
      <c r="L803" s="1047"/>
      <c r="M803" s="1047"/>
      <c r="N803" s="1047"/>
      <c r="O803" s="1047"/>
      <c r="P803" s="1047"/>
      <c r="Q803" s="1053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047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4" customFormat="1">
      <c r="A804" s="1044"/>
      <c r="B804" s="1044"/>
      <c r="C804" s="1044"/>
      <c r="D804" s="1044"/>
      <c r="E804" s="142"/>
      <c r="F804" s="142"/>
      <c r="G804" s="142"/>
      <c r="H804" s="1047"/>
      <c r="I804" s="1047"/>
      <c r="J804" s="1053"/>
      <c r="K804" s="1047"/>
      <c r="L804" s="1047"/>
      <c r="M804" s="1047"/>
      <c r="N804" s="1047"/>
      <c r="O804" s="1047"/>
      <c r="P804" s="1047"/>
      <c r="Q804" s="1053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047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4" customFormat="1">
      <c r="A805" s="1044"/>
      <c r="B805" s="1044"/>
      <c r="C805" s="1044"/>
      <c r="D805" s="1044"/>
      <c r="E805" s="142"/>
      <c r="F805" s="142"/>
      <c r="G805" s="142"/>
      <c r="H805" s="1047"/>
      <c r="I805" s="1047"/>
      <c r="J805" s="1053"/>
      <c r="K805" s="1047"/>
      <c r="L805" s="1047"/>
      <c r="M805" s="1047"/>
      <c r="N805" s="1047"/>
      <c r="O805" s="1047"/>
      <c r="P805" s="1047"/>
      <c r="Q805" s="1053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047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4" customFormat="1">
      <c r="A806" s="1044"/>
      <c r="B806" s="1044"/>
      <c r="C806" s="1044"/>
      <c r="D806" s="1044"/>
      <c r="E806" s="142"/>
      <c r="F806" s="142"/>
      <c r="G806" s="142"/>
      <c r="H806" s="1047"/>
      <c r="I806" s="1047"/>
      <c r="J806" s="1053"/>
      <c r="K806" s="1047"/>
      <c r="L806" s="1047"/>
      <c r="M806" s="1047"/>
      <c r="N806" s="1047"/>
      <c r="O806" s="1047"/>
      <c r="P806" s="1047"/>
      <c r="Q806" s="1053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047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4" customFormat="1">
      <c r="A807" s="1044"/>
      <c r="B807" s="1044"/>
      <c r="C807" s="1044"/>
      <c r="D807" s="1044"/>
      <c r="E807" s="142"/>
      <c r="F807" s="142"/>
      <c r="G807" s="142"/>
      <c r="H807" s="1047"/>
      <c r="I807" s="1047"/>
      <c r="J807" s="1053"/>
      <c r="K807" s="1047"/>
      <c r="L807" s="1047"/>
      <c r="M807" s="1047"/>
      <c r="N807" s="1047"/>
      <c r="O807" s="1047"/>
      <c r="P807" s="1047"/>
      <c r="Q807" s="1053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047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4" customFormat="1">
      <c r="A808" s="1044"/>
      <c r="B808" s="1044"/>
      <c r="C808" s="1044"/>
      <c r="D808" s="1044"/>
      <c r="E808" s="142"/>
      <c r="F808" s="142"/>
      <c r="G808" s="142"/>
      <c r="H808" s="1047"/>
      <c r="I808" s="1047"/>
      <c r="J808" s="1053"/>
      <c r="K808" s="1047"/>
      <c r="L808" s="1047"/>
      <c r="M808" s="1047"/>
      <c r="N808" s="1047"/>
      <c r="O808" s="1047"/>
      <c r="P808" s="1047"/>
      <c r="Q808" s="1053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047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4" customFormat="1">
      <c r="A809" s="1044"/>
      <c r="B809" s="1044"/>
      <c r="C809" s="1044"/>
      <c r="D809" s="1044"/>
      <c r="E809" s="142"/>
      <c r="F809" s="142"/>
      <c r="G809" s="142"/>
      <c r="H809" s="1047"/>
      <c r="I809" s="1047"/>
      <c r="J809" s="1053"/>
      <c r="K809" s="1047"/>
      <c r="L809" s="1047"/>
      <c r="M809" s="1047"/>
      <c r="N809" s="1047"/>
      <c r="O809" s="1047"/>
      <c r="P809" s="1047"/>
      <c r="Q809" s="1053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047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4" customFormat="1">
      <c r="A810" s="1044"/>
      <c r="B810" s="1044"/>
      <c r="C810" s="1044"/>
      <c r="D810" s="1044"/>
      <c r="E810" s="142"/>
      <c r="F810" s="142"/>
      <c r="G810" s="142"/>
      <c r="H810" s="1047"/>
      <c r="I810" s="1047"/>
      <c r="J810" s="1053"/>
      <c r="K810" s="1047"/>
      <c r="L810" s="1047"/>
      <c r="M810" s="1047"/>
      <c r="N810" s="1047"/>
      <c r="O810" s="1047"/>
      <c r="P810" s="1047"/>
      <c r="Q810" s="1053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047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4" customFormat="1">
      <c r="A811" s="1044"/>
      <c r="B811" s="1044"/>
      <c r="C811" s="1044"/>
      <c r="D811" s="1044"/>
      <c r="E811" s="142"/>
      <c r="F811" s="142"/>
      <c r="G811" s="142"/>
      <c r="H811" s="1047"/>
      <c r="I811" s="1047"/>
      <c r="J811" s="1053"/>
      <c r="K811" s="1047"/>
      <c r="L811" s="1047"/>
      <c r="M811" s="1047"/>
      <c r="N811" s="1047"/>
      <c r="O811" s="1047"/>
      <c r="P811" s="1047"/>
      <c r="Q811" s="1053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047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4" customFormat="1">
      <c r="A812" s="1044"/>
      <c r="B812" s="1044"/>
      <c r="C812" s="1044"/>
      <c r="D812" s="1044"/>
      <c r="E812" s="142"/>
      <c r="F812" s="142"/>
      <c r="G812" s="142"/>
      <c r="H812" s="1047"/>
      <c r="I812" s="1047"/>
      <c r="J812" s="1053"/>
      <c r="K812" s="1047"/>
      <c r="L812" s="1047"/>
      <c r="M812" s="1047"/>
      <c r="N812" s="1047"/>
      <c r="O812" s="1047"/>
      <c r="P812" s="1047"/>
      <c r="Q812" s="1053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047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4" customFormat="1">
      <c r="A813" s="1044"/>
      <c r="B813" s="1044"/>
      <c r="C813" s="1044"/>
      <c r="D813" s="1044"/>
      <c r="E813" s="142"/>
      <c r="F813" s="142"/>
      <c r="G813" s="142"/>
      <c r="H813" s="1047"/>
      <c r="I813" s="1047"/>
      <c r="J813" s="1053"/>
      <c r="K813" s="1047"/>
      <c r="L813" s="1047"/>
      <c r="M813" s="1047"/>
      <c r="N813" s="1047"/>
      <c r="O813" s="1047"/>
      <c r="P813" s="1047"/>
      <c r="Q813" s="1053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047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4" customFormat="1">
      <c r="A814" s="1044"/>
      <c r="B814" s="1044"/>
      <c r="C814" s="1044"/>
      <c r="D814" s="1044"/>
      <c r="E814" s="142"/>
      <c r="F814" s="142"/>
      <c r="G814" s="142"/>
      <c r="H814" s="1047"/>
      <c r="I814" s="1047"/>
      <c r="J814" s="1053"/>
      <c r="K814" s="1047"/>
      <c r="L814" s="1047"/>
      <c r="M814" s="1047"/>
      <c r="N814" s="1047"/>
      <c r="O814" s="1047"/>
      <c r="P814" s="1047"/>
      <c r="Q814" s="1053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047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4" customFormat="1">
      <c r="A815" s="1044"/>
      <c r="B815" s="1044"/>
      <c r="C815" s="1044"/>
      <c r="D815" s="1044"/>
      <c r="E815" s="142"/>
      <c r="F815" s="142"/>
      <c r="G815" s="142"/>
      <c r="H815" s="1047"/>
      <c r="I815" s="1047"/>
      <c r="J815" s="1053"/>
      <c r="K815" s="1047"/>
      <c r="L815" s="1047"/>
      <c r="M815" s="1047"/>
      <c r="N815" s="1047"/>
      <c r="O815" s="1047"/>
      <c r="P815" s="1047"/>
      <c r="Q815" s="1053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047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4" customFormat="1">
      <c r="A816" s="1044"/>
      <c r="B816" s="1044"/>
      <c r="C816" s="1044"/>
      <c r="D816" s="1044"/>
      <c r="E816" s="142"/>
      <c r="F816" s="142"/>
      <c r="G816" s="142"/>
      <c r="H816" s="1047"/>
      <c r="I816" s="1047"/>
      <c r="J816" s="1053"/>
      <c r="K816" s="1047"/>
      <c r="L816" s="1047"/>
      <c r="M816" s="1047"/>
      <c r="N816" s="1047"/>
      <c r="O816" s="1047"/>
      <c r="P816" s="1047"/>
      <c r="Q816" s="1053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047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4" customFormat="1">
      <c r="A817" s="1044"/>
      <c r="B817" s="1044"/>
      <c r="C817" s="1044"/>
      <c r="D817" s="1044"/>
      <c r="E817" s="142"/>
      <c r="F817" s="142"/>
      <c r="G817" s="142"/>
      <c r="H817" s="1047"/>
      <c r="I817" s="1047"/>
      <c r="J817" s="1053"/>
      <c r="K817" s="1047"/>
      <c r="L817" s="1047"/>
      <c r="M817" s="1047"/>
      <c r="N817" s="1047"/>
      <c r="O817" s="1047"/>
      <c r="P817" s="1047"/>
      <c r="Q817" s="1053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047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4" customFormat="1">
      <c r="A818" s="1044"/>
      <c r="B818" s="1044"/>
      <c r="C818" s="1044"/>
      <c r="D818" s="1044"/>
      <c r="E818" s="142"/>
      <c r="F818" s="142"/>
      <c r="G818" s="142"/>
      <c r="H818" s="1047"/>
      <c r="I818" s="1047"/>
      <c r="J818" s="1053"/>
      <c r="K818" s="1047"/>
      <c r="L818" s="1047"/>
      <c r="M818" s="1047"/>
      <c r="N818" s="1047"/>
      <c r="O818" s="1047"/>
      <c r="P818" s="1047"/>
      <c r="Q818" s="1053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047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4" customFormat="1">
      <c r="A819" s="1044"/>
      <c r="B819" s="1044"/>
      <c r="C819" s="1044"/>
      <c r="D819" s="1044"/>
      <c r="E819" s="142"/>
      <c r="F819" s="142"/>
      <c r="G819" s="142"/>
      <c r="H819" s="1047"/>
      <c r="I819" s="1047"/>
      <c r="J819" s="1053"/>
      <c r="K819" s="1047"/>
      <c r="L819" s="1047"/>
      <c r="M819" s="1047"/>
      <c r="N819" s="1047"/>
      <c r="O819" s="1047"/>
      <c r="P819" s="1047"/>
      <c r="Q819" s="1053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047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4" customFormat="1">
      <c r="A820" s="1044"/>
      <c r="B820" s="1044"/>
      <c r="C820" s="1044"/>
      <c r="D820" s="1044"/>
      <c r="E820" s="142"/>
      <c r="F820" s="142"/>
      <c r="G820" s="142"/>
      <c r="H820" s="1047"/>
      <c r="I820" s="1047"/>
      <c r="J820" s="1053"/>
      <c r="K820" s="1047"/>
      <c r="L820" s="1047"/>
      <c r="M820" s="1047"/>
      <c r="N820" s="1047"/>
      <c r="O820" s="1047"/>
      <c r="P820" s="1047"/>
      <c r="Q820" s="1053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047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4" customFormat="1">
      <c r="A821" s="1044"/>
      <c r="B821" s="1044"/>
      <c r="C821" s="1044"/>
      <c r="D821" s="1044"/>
      <c r="E821" s="142"/>
      <c r="F821" s="142"/>
      <c r="G821" s="142"/>
      <c r="H821" s="1047"/>
      <c r="I821" s="1047"/>
      <c r="J821" s="1053"/>
      <c r="K821" s="1047"/>
      <c r="L821" s="1047"/>
      <c r="M821" s="1047"/>
      <c r="N821" s="1047"/>
      <c r="O821" s="1047"/>
      <c r="P821" s="1047"/>
      <c r="Q821" s="1053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047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4" customFormat="1">
      <c r="A822" s="1044"/>
      <c r="B822" s="1044"/>
      <c r="C822" s="1044"/>
      <c r="D822" s="1044"/>
      <c r="E822" s="142"/>
      <c r="F822" s="142"/>
      <c r="G822" s="142"/>
      <c r="H822" s="1047"/>
      <c r="I822" s="1047"/>
      <c r="J822" s="1053"/>
      <c r="K822" s="1047"/>
      <c r="L822" s="1047"/>
      <c r="M822" s="1047"/>
      <c r="N822" s="1047"/>
      <c r="O822" s="1047"/>
      <c r="P822" s="1047"/>
      <c r="Q822" s="1053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047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4" customFormat="1">
      <c r="A823" s="1044"/>
      <c r="B823" s="1044"/>
      <c r="C823" s="1044"/>
      <c r="D823" s="1044"/>
      <c r="E823" s="142"/>
      <c r="F823" s="142"/>
      <c r="G823" s="142"/>
      <c r="H823" s="1047"/>
      <c r="I823" s="1047"/>
      <c r="J823" s="1053"/>
      <c r="K823" s="1047"/>
      <c r="L823" s="1047"/>
      <c r="M823" s="1047"/>
      <c r="N823" s="1047"/>
      <c r="O823" s="1047"/>
      <c r="P823" s="1047"/>
      <c r="Q823" s="1053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047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4" customFormat="1">
      <c r="A824" s="1044"/>
      <c r="B824" s="1044"/>
      <c r="C824" s="1044"/>
      <c r="D824" s="1044"/>
      <c r="E824" s="142"/>
      <c r="F824" s="142"/>
      <c r="G824" s="142"/>
      <c r="H824" s="1047"/>
      <c r="I824" s="1047"/>
      <c r="J824" s="1053"/>
      <c r="K824" s="1047"/>
      <c r="L824" s="1047"/>
      <c r="M824" s="1047"/>
      <c r="N824" s="1047"/>
      <c r="O824" s="1047"/>
      <c r="P824" s="1047"/>
      <c r="Q824" s="1053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047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4" customFormat="1">
      <c r="A825" s="1044"/>
      <c r="B825" s="1044"/>
      <c r="C825" s="1044"/>
      <c r="D825" s="1044"/>
      <c r="E825" s="142"/>
      <c r="F825" s="142"/>
      <c r="G825" s="142"/>
      <c r="H825" s="1047"/>
      <c r="I825" s="1047"/>
      <c r="J825" s="1053"/>
      <c r="K825" s="1047"/>
      <c r="L825" s="1047"/>
      <c r="M825" s="1047"/>
      <c r="N825" s="1047"/>
      <c r="O825" s="1047"/>
      <c r="P825" s="1047"/>
      <c r="Q825" s="1053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047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4" customFormat="1">
      <c r="A826" s="1044"/>
      <c r="B826" s="1044"/>
      <c r="C826" s="1044"/>
      <c r="D826" s="1044"/>
      <c r="E826" s="142"/>
      <c r="F826" s="142"/>
      <c r="G826" s="142"/>
      <c r="H826" s="1047"/>
      <c r="I826" s="1047"/>
      <c r="J826" s="1053"/>
      <c r="K826" s="1047"/>
      <c r="L826" s="1047"/>
      <c r="M826" s="1047"/>
      <c r="N826" s="1047"/>
      <c r="O826" s="1047"/>
      <c r="P826" s="1047"/>
      <c r="Q826" s="1053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047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4" customFormat="1">
      <c r="A827" s="1044"/>
      <c r="B827" s="1044"/>
      <c r="C827" s="1044"/>
      <c r="D827" s="1044"/>
      <c r="E827" s="142"/>
      <c r="F827" s="142"/>
      <c r="G827" s="142"/>
      <c r="H827" s="1047"/>
      <c r="I827" s="1047"/>
      <c r="J827" s="1053"/>
      <c r="K827" s="1047"/>
      <c r="L827" s="1047"/>
      <c r="M827" s="1047"/>
      <c r="N827" s="1047"/>
      <c r="O827" s="1047"/>
      <c r="P827" s="1047"/>
      <c r="Q827" s="1053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047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4" customFormat="1">
      <c r="A828" s="1044"/>
      <c r="B828" s="1044"/>
      <c r="C828" s="1044"/>
      <c r="D828" s="1044"/>
      <c r="E828" s="142"/>
      <c r="F828" s="142"/>
      <c r="G828" s="142"/>
      <c r="H828" s="1047"/>
      <c r="I828" s="1047"/>
      <c r="J828" s="1053"/>
      <c r="K828" s="1047"/>
      <c r="L828" s="1047"/>
      <c r="M828" s="1047"/>
      <c r="N828" s="1047"/>
      <c r="O828" s="1047"/>
      <c r="P828" s="1047"/>
      <c r="Q828" s="1053"/>
      <c r="R828" s="1047"/>
      <c r="S828" s="1047"/>
      <c r="T828" s="1047"/>
      <c r="U828" s="1047"/>
      <c r="V828" s="1047"/>
      <c r="W828" s="1047"/>
      <c r="X828" s="1047"/>
      <c r="Y828" s="1047"/>
      <c r="Z828" s="1047"/>
      <c r="AA828" s="1047"/>
      <c r="AB828" s="1047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4" customFormat="1">
      <c r="A829" s="1044"/>
      <c r="B829" s="1044"/>
      <c r="C829" s="1044"/>
      <c r="D829" s="1044"/>
      <c r="E829" s="142"/>
      <c r="F829" s="142"/>
      <c r="G829" s="142"/>
      <c r="H829" s="1047"/>
      <c r="I829" s="1047"/>
      <c r="J829" s="1053"/>
      <c r="K829" s="1047"/>
      <c r="L829" s="1047"/>
      <c r="M829" s="1047"/>
      <c r="N829" s="1047"/>
      <c r="O829" s="1047"/>
      <c r="P829" s="1047"/>
      <c r="Q829" s="1053"/>
      <c r="R829" s="1047"/>
      <c r="S829" s="1047"/>
      <c r="T829" s="1047"/>
      <c r="U829" s="1047"/>
      <c r="V829" s="1047"/>
      <c r="W829" s="1047"/>
      <c r="X829" s="1047"/>
      <c r="Y829" s="1047"/>
      <c r="Z829" s="1047"/>
      <c r="AA829" s="1047"/>
      <c r="AB829" s="1047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4" customFormat="1">
      <c r="A830" s="1044"/>
      <c r="B830" s="1044"/>
      <c r="C830" s="1044"/>
      <c r="D830" s="1044"/>
      <c r="E830" s="142"/>
      <c r="F830" s="142"/>
      <c r="G830" s="142"/>
      <c r="H830" s="1047"/>
      <c r="I830" s="1047"/>
      <c r="J830" s="1053"/>
      <c r="K830" s="1047"/>
      <c r="L830" s="1047"/>
      <c r="M830" s="1047"/>
      <c r="N830" s="1047"/>
      <c r="O830" s="1047"/>
      <c r="P830" s="1047"/>
      <c r="Q830" s="1053"/>
      <c r="R830" s="1047"/>
      <c r="S830" s="1047"/>
      <c r="T830" s="1047"/>
      <c r="U830" s="1047"/>
      <c r="V830" s="1047"/>
      <c r="W830" s="1047"/>
      <c r="X830" s="1047"/>
      <c r="Y830" s="1047"/>
      <c r="Z830" s="1047"/>
      <c r="AA830" s="1047"/>
      <c r="AB830" s="1047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4" customFormat="1">
      <c r="A831" s="1044"/>
      <c r="B831" s="1044"/>
      <c r="C831" s="1044"/>
      <c r="D831" s="1044"/>
      <c r="E831" s="142"/>
      <c r="F831" s="142"/>
      <c r="G831" s="142"/>
      <c r="H831" s="1047"/>
      <c r="I831" s="1047"/>
      <c r="J831" s="1053"/>
      <c r="K831" s="1047"/>
      <c r="L831" s="1047"/>
      <c r="M831" s="1047"/>
      <c r="N831" s="1047"/>
      <c r="O831" s="1047"/>
      <c r="P831" s="1047"/>
      <c r="Q831" s="1053"/>
      <c r="R831" s="1047"/>
      <c r="S831" s="1047"/>
      <c r="T831" s="1047"/>
      <c r="U831" s="1047"/>
      <c r="V831" s="1047"/>
      <c r="W831" s="1047"/>
      <c r="X831" s="1047"/>
      <c r="Y831" s="1047"/>
      <c r="Z831" s="1047"/>
      <c r="AA831" s="1047"/>
      <c r="AB831" s="1047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453" t="s">
        <v>1949</v>
      </c>
      <c r="B1" s="2453"/>
      <c r="C1" s="2453"/>
      <c r="D1" s="2453" t="s">
        <v>0</v>
      </c>
      <c r="E1" s="2453"/>
      <c r="F1" s="2453"/>
      <c r="G1" s="2453"/>
    </row>
    <row r="2" spans="1:7" s="52" customFormat="1" ht="14.25">
      <c r="A2" s="2453" t="s">
        <v>611</v>
      </c>
      <c r="B2" s="2453"/>
      <c r="C2" s="2453"/>
      <c r="D2" s="2453" t="s">
        <v>2030</v>
      </c>
      <c r="E2" s="2453"/>
      <c r="F2" s="2453"/>
      <c r="G2" s="2453"/>
    </row>
    <row r="3" spans="1:7">
      <c r="A3" s="67"/>
      <c r="B3" s="99"/>
      <c r="C3" s="53"/>
      <c r="F3" s="99"/>
    </row>
    <row r="4" spans="1:7" ht="18.75">
      <c r="A4" s="2454" t="s">
        <v>2545</v>
      </c>
      <c r="B4" s="2454"/>
      <c r="C4" s="2454"/>
      <c r="D4" s="2454"/>
      <c r="E4" s="2454"/>
      <c r="F4" s="2454"/>
      <c r="G4" s="2454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2546</v>
      </c>
      <c r="E7" s="102" t="s">
        <v>2547</v>
      </c>
      <c r="F7" s="101" t="s">
        <v>2548</v>
      </c>
      <c r="G7" s="102" t="s">
        <v>12</v>
      </c>
    </row>
    <row r="8" spans="1:7" s="27" customFormat="1" ht="17.45" customHeight="1">
      <c r="A8" s="103" t="s">
        <v>1959</v>
      </c>
      <c r="B8" s="104" t="s">
        <v>2549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5" t="s">
        <v>2553</v>
      </c>
      <c r="D11" s="114" t="s">
        <v>2551</v>
      </c>
      <c r="E11" s="122"/>
      <c r="F11" s="112" t="s">
        <v>2554</v>
      </c>
      <c r="G11" s="112"/>
    </row>
    <row r="12" spans="1:7" ht="17.45" customHeight="1">
      <c r="A12" s="111">
        <v>2</v>
      </c>
      <c r="B12" s="112" t="s">
        <v>16</v>
      </c>
      <c r="C12" s="1205" t="s">
        <v>2555</v>
      </c>
      <c r="D12" s="114" t="s">
        <v>2551</v>
      </c>
      <c r="E12" s="123"/>
      <c r="F12" s="112" t="s">
        <v>2554</v>
      </c>
      <c r="G12" s="112"/>
    </row>
    <row r="13" spans="1:7" ht="17.45" customHeight="1">
      <c r="A13" s="111">
        <v>3</v>
      </c>
      <c r="B13" s="112" t="s">
        <v>17</v>
      </c>
      <c r="C13" s="1205" t="s">
        <v>2556</v>
      </c>
      <c r="D13" s="114" t="s">
        <v>2551</v>
      </c>
      <c r="E13" s="122"/>
      <c r="F13" s="112" t="s">
        <v>2554</v>
      </c>
      <c r="G13" s="112"/>
    </row>
    <row r="14" spans="1:7" ht="17.45" customHeight="1">
      <c r="A14" s="111">
        <v>4</v>
      </c>
      <c r="B14" s="112" t="s">
        <v>18</v>
      </c>
      <c r="C14" s="1205" t="s">
        <v>2557</v>
      </c>
      <c r="D14" s="114" t="s">
        <v>2551</v>
      </c>
      <c r="E14" s="122"/>
      <c r="F14" s="112" t="s">
        <v>2554</v>
      </c>
      <c r="G14" s="112"/>
    </row>
    <row r="15" spans="1:7" ht="17.45" customHeight="1">
      <c r="A15" s="111">
        <v>5</v>
      </c>
      <c r="B15" s="112" t="s">
        <v>19</v>
      </c>
      <c r="C15" s="1205" t="s">
        <v>2558</v>
      </c>
      <c r="D15" s="114" t="s">
        <v>2551</v>
      </c>
      <c r="E15" s="122"/>
      <c r="F15" s="112" t="s">
        <v>2554</v>
      </c>
      <c r="G15" s="112"/>
    </row>
    <row r="16" spans="1:7" ht="17.45" customHeight="1">
      <c r="A16" s="111">
        <v>6</v>
      </c>
      <c r="B16" s="112" t="s">
        <v>20</v>
      </c>
      <c r="C16" s="1205" t="s">
        <v>2559</v>
      </c>
      <c r="D16" s="114" t="s">
        <v>2550</v>
      </c>
      <c r="E16" s="122"/>
      <c r="F16" s="112" t="s">
        <v>2554</v>
      </c>
      <c r="G16" s="112"/>
    </row>
    <row r="17" spans="1:7" ht="17.45" customHeight="1">
      <c r="A17" s="111">
        <v>7</v>
      </c>
      <c r="B17" s="112" t="s">
        <v>21</v>
      </c>
      <c r="C17" s="1205" t="s">
        <v>2560</v>
      </c>
      <c r="D17" s="114" t="s">
        <v>2551</v>
      </c>
      <c r="E17" s="122"/>
      <c r="F17" s="112" t="s">
        <v>2554</v>
      </c>
      <c r="G17" s="112"/>
    </row>
    <row r="18" spans="1:7" ht="17.45" customHeight="1">
      <c r="A18" s="111">
        <v>8</v>
      </c>
      <c r="B18" s="112" t="s">
        <v>22</v>
      </c>
      <c r="C18" s="1205" t="s">
        <v>2561</v>
      </c>
      <c r="D18" s="114" t="s">
        <v>2551</v>
      </c>
      <c r="E18" s="122"/>
      <c r="F18" s="112" t="s">
        <v>2554</v>
      </c>
      <c r="G18" s="112"/>
    </row>
    <row r="19" spans="1:7" ht="17.45" customHeight="1" outlineLevel="1">
      <c r="A19" s="111">
        <v>9</v>
      </c>
      <c r="B19" s="124" t="s">
        <v>23</v>
      </c>
      <c r="C19" s="1205" t="s">
        <v>2562</v>
      </c>
      <c r="D19" s="114" t="s">
        <v>2551</v>
      </c>
      <c r="E19" s="123"/>
      <c r="F19" s="112" t="s">
        <v>2554</v>
      </c>
      <c r="G19" s="112"/>
    </row>
    <row r="20" spans="1:7" ht="17.45" customHeight="1">
      <c r="A20" s="111">
        <v>10</v>
      </c>
      <c r="B20" s="112" t="s">
        <v>24</v>
      </c>
      <c r="C20" s="1205" t="s">
        <v>2563</v>
      </c>
      <c r="D20" s="114" t="s">
        <v>2551</v>
      </c>
      <c r="E20" s="122"/>
      <c r="F20" s="112" t="s">
        <v>2554</v>
      </c>
      <c r="G20" s="112"/>
    </row>
    <row r="21" spans="1:7" ht="17.45" customHeight="1">
      <c r="A21" s="111">
        <v>11</v>
      </c>
      <c r="B21" s="112" t="s">
        <v>25</v>
      </c>
      <c r="C21" s="1205" t="s">
        <v>2564</v>
      </c>
      <c r="D21" s="114" t="s">
        <v>2551</v>
      </c>
      <c r="E21" s="123"/>
      <c r="F21" s="112" t="s">
        <v>2554</v>
      </c>
      <c r="G21" s="112"/>
    </row>
    <row r="22" spans="1:7" ht="17.45" customHeight="1">
      <c r="A22" s="111">
        <v>12</v>
      </c>
      <c r="B22" s="112" t="s">
        <v>26</v>
      </c>
      <c r="C22" s="1205" t="s">
        <v>2565</v>
      </c>
      <c r="D22" s="114" t="s">
        <v>2550</v>
      </c>
      <c r="E22" s="122"/>
      <c r="F22" s="112" t="s">
        <v>2554</v>
      </c>
      <c r="G22" s="112"/>
    </row>
    <row r="23" spans="1:7" ht="17.45" customHeight="1">
      <c r="A23" s="111">
        <v>13</v>
      </c>
      <c r="B23" s="112" t="s">
        <v>27</v>
      </c>
      <c r="C23" s="1205" t="s">
        <v>2566</v>
      </c>
      <c r="D23" s="114" t="s">
        <v>2551</v>
      </c>
      <c r="E23" s="122"/>
      <c r="F23" s="112" t="s">
        <v>2567</v>
      </c>
      <c r="G23" s="112"/>
    </row>
    <row r="24" spans="1:7" ht="17.45" customHeight="1">
      <c r="A24" s="111">
        <v>14</v>
      </c>
      <c r="B24" s="112" t="s">
        <v>28</v>
      </c>
      <c r="C24" s="1205" t="s">
        <v>2568</v>
      </c>
      <c r="D24" s="114" t="s">
        <v>2551</v>
      </c>
      <c r="E24" s="122"/>
      <c r="F24" s="112" t="s">
        <v>2567</v>
      </c>
      <c r="G24" s="112"/>
    </row>
    <row r="25" spans="1:7" ht="17.45" customHeight="1">
      <c r="A25" s="111">
        <v>15</v>
      </c>
      <c r="B25" s="112" t="s">
        <v>29</v>
      </c>
      <c r="C25" s="1205" t="s">
        <v>2569</v>
      </c>
      <c r="D25" s="114" t="s">
        <v>2550</v>
      </c>
      <c r="E25" s="122"/>
      <c r="F25" s="112" t="s">
        <v>2554</v>
      </c>
      <c r="G25" s="112"/>
    </row>
    <row r="26" spans="1:7" ht="17.45" customHeight="1">
      <c r="A26" s="111">
        <v>16</v>
      </c>
      <c r="B26" s="112" t="s">
        <v>30</v>
      </c>
      <c r="C26" s="1205" t="s">
        <v>2570</v>
      </c>
      <c r="D26" s="114" t="s">
        <v>2551</v>
      </c>
      <c r="E26" s="122"/>
      <c r="F26" s="112" t="s">
        <v>2554</v>
      </c>
      <c r="G26" s="112"/>
    </row>
    <row r="27" spans="1:7" ht="17.45" customHeight="1">
      <c r="A27" s="111">
        <v>17</v>
      </c>
      <c r="B27" s="112" t="s">
        <v>31</v>
      </c>
      <c r="C27" s="1205" t="s">
        <v>2571</v>
      </c>
      <c r="D27" s="114" t="s">
        <v>2551</v>
      </c>
      <c r="E27" s="122"/>
      <c r="F27" s="112" t="s">
        <v>2554</v>
      </c>
      <c r="G27" s="112"/>
    </row>
    <row r="28" spans="1:7" ht="17.45" customHeight="1">
      <c r="A28" s="111">
        <v>18</v>
      </c>
      <c r="B28" s="112" t="s">
        <v>32</v>
      </c>
      <c r="C28" s="1205" t="s">
        <v>2572</v>
      </c>
      <c r="D28" s="114" t="s">
        <v>2550</v>
      </c>
      <c r="E28" s="122"/>
      <c r="F28" s="112" t="s">
        <v>2554</v>
      </c>
      <c r="G28" s="112"/>
    </row>
    <row r="29" spans="1:7" ht="17.45" customHeight="1">
      <c r="A29" s="111">
        <v>19</v>
      </c>
      <c r="B29" s="112" t="s">
        <v>33</v>
      </c>
      <c r="C29" s="1205" t="s">
        <v>2573</v>
      </c>
      <c r="D29" s="114" t="s">
        <v>2551</v>
      </c>
      <c r="E29" s="122"/>
      <c r="F29" s="112" t="s">
        <v>2554</v>
      </c>
      <c r="G29" s="112"/>
    </row>
    <row r="30" spans="1:7" ht="17.45" customHeight="1">
      <c r="A30" s="111">
        <v>20</v>
      </c>
      <c r="B30" s="112" t="s">
        <v>34</v>
      </c>
      <c r="C30" s="1205" t="s">
        <v>2574</v>
      </c>
      <c r="D30" s="114" t="s">
        <v>2550</v>
      </c>
      <c r="E30" s="122"/>
      <c r="F30" s="112" t="s">
        <v>2554</v>
      </c>
      <c r="G30" s="112"/>
    </row>
    <row r="31" spans="1:7" ht="17.45" customHeight="1">
      <c r="A31" s="111">
        <v>21</v>
      </c>
      <c r="B31" s="112" t="s">
        <v>35</v>
      </c>
      <c r="C31" s="1205" t="s">
        <v>2575</v>
      </c>
      <c r="D31" s="114" t="s">
        <v>2550</v>
      </c>
      <c r="E31" s="122"/>
      <c r="F31" s="112" t="s">
        <v>2554</v>
      </c>
      <c r="G31" s="112"/>
    </row>
    <row r="32" spans="1:7" ht="17.45" customHeight="1">
      <c r="A32" s="111">
        <v>22</v>
      </c>
      <c r="B32" s="112" t="s">
        <v>36</v>
      </c>
      <c r="C32" s="1205" t="s">
        <v>2576</v>
      </c>
      <c r="D32" s="114" t="s">
        <v>2550</v>
      </c>
      <c r="E32" s="122"/>
      <c r="F32" s="112" t="s">
        <v>2554</v>
      </c>
      <c r="G32" s="112"/>
    </row>
    <row r="33" spans="1:7" ht="17.45" customHeight="1">
      <c r="A33" s="111">
        <v>23</v>
      </c>
      <c r="B33" s="112" t="s">
        <v>37</v>
      </c>
      <c r="C33" s="1205" t="s">
        <v>2577</v>
      </c>
      <c r="D33" s="114" t="s">
        <v>2551</v>
      </c>
      <c r="E33" s="122"/>
      <c r="F33" s="112" t="s">
        <v>2554</v>
      </c>
      <c r="G33" s="112"/>
    </row>
    <row r="34" spans="1:7" ht="17.45" customHeight="1">
      <c r="A34" s="111">
        <v>24</v>
      </c>
      <c r="B34" s="112" t="s">
        <v>38</v>
      </c>
      <c r="C34" s="1205" t="s">
        <v>2578</v>
      </c>
      <c r="D34" s="114" t="s">
        <v>2551</v>
      </c>
      <c r="E34" s="123"/>
      <c r="F34" s="112" t="s">
        <v>2554</v>
      </c>
      <c r="G34" s="112"/>
    </row>
    <row r="35" spans="1:7" ht="17.45" customHeight="1">
      <c r="A35" s="111">
        <v>25</v>
      </c>
      <c r="B35" s="112" t="s">
        <v>39</v>
      </c>
      <c r="C35" s="1205" t="s">
        <v>2579</v>
      </c>
      <c r="D35" s="114" t="s">
        <v>2550</v>
      </c>
      <c r="E35" s="122"/>
      <c r="F35" s="112" t="s">
        <v>2554</v>
      </c>
      <c r="G35" s="112"/>
    </row>
    <row r="36" spans="1:7" ht="17.45" customHeight="1">
      <c r="A36" s="111">
        <v>26</v>
      </c>
      <c r="B36" s="112" t="s">
        <v>40</v>
      </c>
      <c r="C36" s="1205" t="s">
        <v>2580</v>
      </c>
      <c r="D36" s="114" t="s">
        <v>2551</v>
      </c>
      <c r="E36" s="123"/>
      <c r="F36" s="112" t="s">
        <v>2581</v>
      </c>
      <c r="G36" s="112"/>
    </row>
    <row r="37" spans="1:7" ht="17.45" customHeight="1">
      <c r="A37" s="111">
        <v>27</v>
      </c>
      <c r="B37" s="112" t="s">
        <v>41</v>
      </c>
      <c r="C37" s="1205" t="s">
        <v>2582</v>
      </c>
      <c r="D37" s="114" t="s">
        <v>2550</v>
      </c>
      <c r="E37" s="122"/>
      <c r="F37" s="112" t="s">
        <v>2581</v>
      </c>
      <c r="G37" s="112"/>
    </row>
    <row r="38" spans="1:7" ht="17.45" customHeight="1">
      <c r="A38" s="111">
        <v>28</v>
      </c>
      <c r="B38" s="112" t="s">
        <v>42</v>
      </c>
      <c r="C38" s="1205" t="s">
        <v>2583</v>
      </c>
      <c r="D38" s="114" t="s">
        <v>2550</v>
      </c>
      <c r="E38" s="122"/>
      <c r="F38" s="112" t="s">
        <v>2554</v>
      </c>
      <c r="G38" s="112"/>
    </row>
    <row r="39" spans="1:7" ht="17.45" customHeight="1">
      <c r="A39" s="111">
        <v>29</v>
      </c>
      <c r="B39" s="112" t="s">
        <v>43</v>
      </c>
      <c r="C39" s="1205" t="s">
        <v>2582</v>
      </c>
      <c r="D39" s="114" t="s">
        <v>2551</v>
      </c>
      <c r="E39" s="122"/>
      <c r="F39" s="112" t="s">
        <v>2554</v>
      </c>
      <c r="G39" s="112"/>
    </row>
    <row r="40" spans="1:7" ht="17.45" customHeight="1">
      <c r="A40" s="111">
        <v>30</v>
      </c>
      <c r="B40" s="112" t="s">
        <v>44</v>
      </c>
      <c r="C40" s="1205" t="s">
        <v>2584</v>
      </c>
      <c r="D40" s="114" t="s">
        <v>2551</v>
      </c>
      <c r="E40" s="123"/>
      <c r="F40" s="112" t="s">
        <v>2554</v>
      </c>
      <c r="G40" s="112"/>
    </row>
    <row r="41" spans="1:7" ht="17.45" customHeight="1">
      <c r="A41" s="111">
        <v>31</v>
      </c>
      <c r="B41" s="112" t="s">
        <v>45</v>
      </c>
      <c r="C41" s="1205" t="s">
        <v>2585</v>
      </c>
      <c r="D41" s="114" t="s">
        <v>2551</v>
      </c>
      <c r="E41" s="122"/>
      <c r="F41" s="112" t="s">
        <v>2554</v>
      </c>
      <c r="G41" s="112"/>
    </row>
    <row r="42" spans="1:7" ht="17.45" customHeight="1">
      <c r="A42" s="111">
        <v>32</v>
      </c>
      <c r="B42" s="112" t="s">
        <v>46</v>
      </c>
      <c r="C42" s="1205" t="s">
        <v>2586</v>
      </c>
      <c r="D42" s="114" t="s">
        <v>2550</v>
      </c>
      <c r="E42" s="122"/>
      <c r="F42" s="112" t="s">
        <v>2554</v>
      </c>
      <c r="G42" s="112"/>
    </row>
    <row r="43" spans="1:7" ht="17.45" customHeight="1">
      <c r="A43" s="111">
        <v>33</v>
      </c>
      <c r="B43" s="112" t="s">
        <v>47</v>
      </c>
      <c r="C43" s="1205" t="s">
        <v>2587</v>
      </c>
      <c r="D43" s="114" t="s">
        <v>2551</v>
      </c>
      <c r="E43" s="122"/>
      <c r="F43" s="112" t="s">
        <v>2554</v>
      </c>
      <c r="G43" s="112"/>
    </row>
    <row r="44" spans="1:7" ht="17.45" customHeight="1">
      <c r="A44" s="111">
        <v>34</v>
      </c>
      <c r="B44" s="112" t="s">
        <v>48</v>
      </c>
      <c r="C44" s="1205" t="s">
        <v>2588</v>
      </c>
      <c r="D44" s="114" t="s">
        <v>2550</v>
      </c>
      <c r="E44" s="122"/>
      <c r="F44" s="112" t="s">
        <v>2554</v>
      </c>
      <c r="G44" s="112"/>
    </row>
    <row r="45" spans="1:7" ht="17.45" customHeight="1">
      <c r="A45" s="111">
        <v>35</v>
      </c>
      <c r="B45" s="112" t="s">
        <v>49</v>
      </c>
      <c r="C45" s="1205" t="s">
        <v>2589</v>
      </c>
      <c r="D45" s="114" t="s">
        <v>2550</v>
      </c>
      <c r="E45" s="122"/>
      <c r="F45" s="112" t="s">
        <v>2554</v>
      </c>
      <c r="G45" s="112"/>
    </row>
    <row r="46" spans="1:7" ht="17.45" customHeight="1">
      <c r="A46" s="111">
        <v>36</v>
      </c>
      <c r="B46" s="112" t="s">
        <v>50</v>
      </c>
      <c r="C46" s="1205" t="s">
        <v>2590</v>
      </c>
      <c r="D46" s="114" t="s">
        <v>2551</v>
      </c>
      <c r="E46" s="123"/>
      <c r="F46" s="112" t="s">
        <v>2554</v>
      </c>
      <c r="G46" s="112"/>
    </row>
    <row r="47" spans="1:7" ht="17.45" customHeight="1">
      <c r="A47" s="111">
        <v>37</v>
      </c>
      <c r="B47" s="112" t="s">
        <v>486</v>
      </c>
      <c r="C47" s="1205" t="s">
        <v>2591</v>
      </c>
      <c r="D47" s="114" t="s">
        <v>2551</v>
      </c>
      <c r="E47" s="122"/>
      <c r="F47" s="112" t="s">
        <v>2554</v>
      </c>
      <c r="G47" s="112"/>
    </row>
    <row r="48" spans="1:7" ht="17.45" customHeight="1">
      <c r="A48" s="111">
        <v>38</v>
      </c>
      <c r="B48" s="112" t="s">
        <v>52</v>
      </c>
      <c r="C48" s="1205" t="s">
        <v>2592</v>
      </c>
      <c r="D48" s="114" t="s">
        <v>2551</v>
      </c>
      <c r="E48" s="123"/>
      <c r="F48" s="112" t="s">
        <v>2554</v>
      </c>
      <c r="G48" s="112"/>
    </row>
    <row r="49" spans="1:7" ht="17.45" customHeight="1">
      <c r="A49" s="111">
        <v>39</v>
      </c>
      <c r="B49" s="112" t="s">
        <v>53</v>
      </c>
      <c r="C49" s="1205" t="s">
        <v>2593</v>
      </c>
      <c r="D49" s="114" t="s">
        <v>2551</v>
      </c>
      <c r="E49" s="123"/>
      <c r="F49" s="112" t="s">
        <v>2554</v>
      </c>
      <c r="G49" s="112"/>
    </row>
    <row r="50" spans="1:7" ht="17.45" customHeight="1">
      <c r="A50" s="111">
        <v>40</v>
      </c>
      <c r="B50" s="112" t="s">
        <v>54</v>
      </c>
      <c r="C50" s="1205" t="s">
        <v>2594</v>
      </c>
      <c r="D50" s="114" t="s">
        <v>2551</v>
      </c>
      <c r="E50" s="122"/>
      <c r="F50" s="112" t="s">
        <v>2554</v>
      </c>
      <c r="G50" s="112"/>
    </row>
    <row r="51" spans="1:7" ht="17.45" customHeight="1">
      <c r="A51" s="111">
        <v>41</v>
      </c>
      <c r="B51" s="112" t="s">
        <v>55</v>
      </c>
      <c r="C51" s="1205" t="s">
        <v>2595</v>
      </c>
      <c r="D51" s="114" t="s">
        <v>2551</v>
      </c>
      <c r="E51" s="122"/>
      <c r="F51" s="112" t="s">
        <v>2554</v>
      </c>
      <c r="G51" s="112"/>
    </row>
    <row r="52" spans="1:7" ht="17.45" customHeight="1">
      <c r="A52" s="111">
        <v>42</v>
      </c>
      <c r="B52" s="112" t="s">
        <v>56</v>
      </c>
      <c r="C52" s="1205" t="s">
        <v>2596</v>
      </c>
      <c r="D52" s="114" t="s">
        <v>2551</v>
      </c>
      <c r="E52" s="122"/>
      <c r="F52" s="112" t="s">
        <v>2554</v>
      </c>
      <c r="G52" s="112"/>
    </row>
    <row r="53" spans="1:7" ht="17.45" customHeight="1">
      <c r="A53" s="111">
        <v>43</v>
      </c>
      <c r="B53" s="112" t="s">
        <v>57</v>
      </c>
      <c r="C53" s="1205" t="s">
        <v>2597</v>
      </c>
      <c r="D53" s="114" t="s">
        <v>2550</v>
      </c>
      <c r="E53" s="122"/>
      <c r="F53" s="112" t="s">
        <v>2581</v>
      </c>
      <c r="G53" s="112"/>
    </row>
    <row r="54" spans="1:7" ht="17.45" customHeight="1">
      <c r="A54" s="111">
        <v>44</v>
      </c>
      <c r="B54" s="112" t="s">
        <v>59</v>
      </c>
      <c r="C54" s="1205" t="s">
        <v>2598</v>
      </c>
      <c r="D54" s="114" t="s">
        <v>2550</v>
      </c>
      <c r="E54" s="123"/>
      <c r="F54" s="112" t="s">
        <v>2554</v>
      </c>
      <c r="G54" s="112"/>
    </row>
    <row r="55" spans="1:7" ht="17.45" customHeight="1">
      <c r="A55" s="111">
        <v>45</v>
      </c>
      <c r="B55" s="112" t="s">
        <v>60</v>
      </c>
      <c r="C55" s="1205" t="s">
        <v>2599</v>
      </c>
      <c r="D55" s="114" t="s">
        <v>2550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05" t="s">
        <v>2600</v>
      </c>
      <c r="D56" s="114" t="s">
        <v>2551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05" t="s">
        <v>2601</v>
      </c>
      <c r="D57" s="114" t="s">
        <v>2551</v>
      </c>
      <c r="E57" s="122"/>
      <c r="F57" s="112" t="s">
        <v>2554</v>
      </c>
      <c r="G57" s="112"/>
    </row>
    <row r="58" spans="1:7" ht="17.45" customHeight="1">
      <c r="A58" s="111">
        <v>48</v>
      </c>
      <c r="B58" s="112" t="s">
        <v>63</v>
      </c>
      <c r="C58" s="1205" t="s">
        <v>2602</v>
      </c>
      <c r="D58" s="114" t="s">
        <v>2551</v>
      </c>
      <c r="E58" s="123"/>
      <c r="F58" s="112" t="s">
        <v>2603</v>
      </c>
      <c r="G58" s="112"/>
    </row>
    <row r="59" spans="1:7" ht="17.45" customHeight="1">
      <c r="A59" s="111">
        <v>49</v>
      </c>
      <c r="B59" s="112" t="s">
        <v>64</v>
      </c>
      <c r="C59" s="1205" t="s">
        <v>2604</v>
      </c>
      <c r="D59" s="114" t="s">
        <v>2550</v>
      </c>
      <c r="E59" s="122"/>
      <c r="F59" s="112" t="s">
        <v>2554</v>
      </c>
      <c r="G59" s="112"/>
    </row>
    <row r="60" spans="1:7" ht="17.45" customHeight="1">
      <c r="A60" s="111">
        <v>50</v>
      </c>
      <c r="B60" s="112" t="s">
        <v>65</v>
      </c>
      <c r="C60" s="1205" t="s">
        <v>2605</v>
      </c>
      <c r="D60" s="114" t="s">
        <v>2551</v>
      </c>
      <c r="E60" s="122"/>
      <c r="F60" s="112" t="s">
        <v>2554</v>
      </c>
      <c r="G60" s="112"/>
    </row>
    <row r="61" spans="1:7" ht="17.45" customHeight="1">
      <c r="A61" s="111">
        <v>51</v>
      </c>
      <c r="B61" s="112" t="s">
        <v>66</v>
      </c>
      <c r="C61" s="1205" t="s">
        <v>2606</v>
      </c>
      <c r="D61" s="114" t="s">
        <v>2551</v>
      </c>
      <c r="E61" s="123"/>
      <c r="F61" s="112" t="s">
        <v>2554</v>
      </c>
      <c r="G61" s="112"/>
    </row>
    <row r="62" spans="1:7" ht="17.45" customHeight="1">
      <c r="A62" s="111">
        <v>52</v>
      </c>
      <c r="B62" s="112" t="s">
        <v>67</v>
      </c>
      <c r="C62" s="1205" t="s">
        <v>2607</v>
      </c>
      <c r="D62" s="114" t="s">
        <v>2551</v>
      </c>
      <c r="E62" s="123"/>
      <c r="F62" s="112" t="s">
        <v>2554</v>
      </c>
      <c r="G62" s="112"/>
    </row>
    <row r="63" spans="1:7" ht="17.45" customHeight="1">
      <c r="A63" s="111">
        <v>53</v>
      </c>
      <c r="B63" s="112" t="s">
        <v>68</v>
      </c>
      <c r="C63" s="1205" t="s">
        <v>2608</v>
      </c>
      <c r="D63" s="114" t="s">
        <v>2551</v>
      </c>
      <c r="E63" s="122"/>
      <c r="F63" s="112" t="s">
        <v>2554</v>
      </c>
      <c r="G63" s="112"/>
    </row>
    <row r="64" spans="1:7" ht="17.45" customHeight="1">
      <c r="A64" s="111">
        <v>54</v>
      </c>
      <c r="B64" s="112" t="s">
        <v>69</v>
      </c>
      <c r="C64" s="1205" t="s">
        <v>2609</v>
      </c>
      <c r="D64" s="114" t="s">
        <v>2550</v>
      </c>
      <c r="E64" s="122"/>
      <c r="F64" s="112" t="s">
        <v>2554</v>
      </c>
      <c r="G64" s="112"/>
    </row>
    <row r="65" spans="1:7" ht="17.45" customHeight="1">
      <c r="A65" s="111">
        <v>55</v>
      </c>
      <c r="B65" s="112" t="s">
        <v>70</v>
      </c>
      <c r="C65" s="1205" t="s">
        <v>2610</v>
      </c>
      <c r="D65" s="114" t="s">
        <v>2550</v>
      </c>
      <c r="E65" s="122"/>
      <c r="F65" s="53" t="s">
        <v>2554</v>
      </c>
      <c r="G65" s="112"/>
    </row>
    <row r="66" spans="1:7" ht="17.45" customHeight="1">
      <c r="A66" s="111">
        <v>56</v>
      </c>
      <c r="B66" s="112" t="s">
        <v>71</v>
      </c>
      <c r="C66" s="1205" t="s">
        <v>2611</v>
      </c>
      <c r="D66" s="114" t="s">
        <v>2551</v>
      </c>
      <c r="E66" s="122"/>
      <c r="F66" s="112" t="s">
        <v>2554</v>
      </c>
      <c r="G66" s="112"/>
    </row>
    <row r="67" spans="1:7" ht="17.45" customHeight="1">
      <c r="A67" s="111">
        <v>57</v>
      </c>
      <c r="B67" s="112" t="s">
        <v>72</v>
      </c>
      <c r="C67" s="1205" t="s">
        <v>2612</v>
      </c>
      <c r="D67" s="114" t="s">
        <v>2551</v>
      </c>
      <c r="E67" s="123"/>
      <c r="F67" s="112" t="s">
        <v>2554</v>
      </c>
      <c r="G67" s="112"/>
    </row>
    <row r="68" spans="1:7" ht="17.45" customHeight="1">
      <c r="A68" s="111">
        <v>58</v>
      </c>
      <c r="B68" s="112" t="s">
        <v>74</v>
      </c>
      <c r="C68" s="1205" t="s">
        <v>2613</v>
      </c>
      <c r="D68" s="114" t="s">
        <v>2551</v>
      </c>
      <c r="E68" s="122"/>
      <c r="F68" s="112" t="s">
        <v>2614</v>
      </c>
      <c r="G68" s="112"/>
    </row>
    <row r="69" spans="1:7" ht="17.45" customHeight="1">
      <c r="A69" s="111">
        <v>59</v>
      </c>
      <c r="B69" s="112" t="s">
        <v>75</v>
      </c>
      <c r="C69" s="1205" t="s">
        <v>2615</v>
      </c>
      <c r="D69" s="114" t="s">
        <v>2550</v>
      </c>
      <c r="E69" s="123"/>
      <c r="F69" s="112" t="s">
        <v>2581</v>
      </c>
      <c r="G69" s="112"/>
    </row>
    <row r="70" spans="1:7" ht="17.45" customHeight="1" outlineLevel="1">
      <c r="A70" s="111">
        <v>60</v>
      </c>
      <c r="B70" s="125" t="s">
        <v>76</v>
      </c>
      <c r="C70" s="1205" t="s">
        <v>2616</v>
      </c>
      <c r="D70" s="114" t="s">
        <v>2551</v>
      </c>
      <c r="E70" s="123"/>
      <c r="F70" s="112" t="s">
        <v>2554</v>
      </c>
      <c r="G70" s="112"/>
    </row>
    <row r="71" spans="1:7" ht="17.45" customHeight="1" outlineLevel="1">
      <c r="A71" s="111">
        <v>61</v>
      </c>
      <c r="B71" s="125" t="s">
        <v>77</v>
      </c>
      <c r="C71" s="1205" t="s">
        <v>2617</v>
      </c>
      <c r="D71" s="114" t="s">
        <v>2550</v>
      </c>
      <c r="E71" s="123"/>
      <c r="F71" s="112" t="s">
        <v>2554</v>
      </c>
      <c r="G71" s="112"/>
    </row>
    <row r="72" spans="1:7" ht="17.45" customHeight="1" outlineLevel="1">
      <c r="A72" s="111">
        <v>62</v>
      </c>
      <c r="B72" s="125" t="s">
        <v>78</v>
      </c>
      <c r="C72" s="1205" t="s">
        <v>2618</v>
      </c>
      <c r="D72" s="114" t="s">
        <v>2551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05" t="s">
        <v>2619</v>
      </c>
      <c r="D73" s="114" t="s">
        <v>2551</v>
      </c>
      <c r="E73" s="123"/>
      <c r="F73" s="112" t="s">
        <v>2554</v>
      </c>
      <c r="G73" s="112"/>
    </row>
    <row r="74" spans="1:7" ht="17.45" customHeight="1" outlineLevel="1">
      <c r="A74" s="111">
        <v>64</v>
      </c>
      <c r="B74" s="125" t="s">
        <v>80</v>
      </c>
      <c r="C74" s="1205" t="s">
        <v>2620</v>
      </c>
      <c r="D74" s="114" t="s">
        <v>2550</v>
      </c>
      <c r="E74" s="123"/>
      <c r="F74" s="112" t="s">
        <v>2554</v>
      </c>
      <c r="G74" s="112"/>
    </row>
    <row r="75" spans="1:7" ht="17.45" customHeight="1" outlineLevel="1">
      <c r="A75" s="111">
        <v>65</v>
      </c>
      <c r="B75" s="125" t="s">
        <v>81</v>
      </c>
      <c r="C75" s="1205" t="s">
        <v>2621</v>
      </c>
      <c r="D75" s="114" t="s">
        <v>2551</v>
      </c>
      <c r="E75" s="123"/>
      <c r="F75" s="112" t="s">
        <v>2554</v>
      </c>
      <c r="G75" s="112"/>
    </row>
    <row r="76" spans="1:7" ht="17.45" customHeight="1" outlineLevel="1">
      <c r="A76" s="111">
        <v>66</v>
      </c>
      <c r="B76" s="125" t="s">
        <v>82</v>
      </c>
      <c r="C76" s="1205" t="s">
        <v>2622</v>
      </c>
      <c r="D76" s="114" t="s">
        <v>2550</v>
      </c>
      <c r="E76" s="123"/>
      <c r="F76" s="112" t="s">
        <v>2554</v>
      </c>
      <c r="G76" s="112"/>
    </row>
    <row r="77" spans="1:7" ht="17.45" customHeight="1" outlineLevel="1">
      <c r="A77" s="111">
        <v>67</v>
      </c>
      <c r="B77" s="125" t="s">
        <v>83</v>
      </c>
      <c r="C77" s="1205" t="s">
        <v>2623</v>
      </c>
      <c r="D77" s="114" t="s">
        <v>2551</v>
      </c>
      <c r="E77" s="123"/>
      <c r="F77" s="112" t="s">
        <v>2554</v>
      </c>
      <c r="G77" s="112"/>
    </row>
    <row r="78" spans="1:7" ht="17.45" customHeight="1" outlineLevel="1">
      <c r="A78" s="111">
        <v>68</v>
      </c>
      <c r="B78" s="125" t="s">
        <v>84</v>
      </c>
      <c r="C78" s="1205" t="s">
        <v>2624</v>
      </c>
      <c r="D78" s="114" t="s">
        <v>2551</v>
      </c>
      <c r="E78" s="123"/>
      <c r="F78" s="112" t="s">
        <v>2554</v>
      </c>
      <c r="G78" s="112"/>
    </row>
    <row r="79" spans="1:7" ht="17.45" customHeight="1" outlineLevel="1">
      <c r="A79" s="111">
        <v>69</v>
      </c>
      <c r="B79" s="125" t="s">
        <v>85</v>
      </c>
      <c r="C79" s="1205" t="s">
        <v>2625</v>
      </c>
      <c r="D79" s="114" t="s">
        <v>2551</v>
      </c>
      <c r="E79" s="123"/>
      <c r="F79" s="112" t="s">
        <v>2554</v>
      </c>
      <c r="G79" s="112"/>
    </row>
    <row r="80" spans="1:7" ht="17.45" customHeight="1" outlineLevel="1">
      <c r="A80" s="111">
        <v>70</v>
      </c>
      <c r="B80" s="125" t="s">
        <v>86</v>
      </c>
      <c r="C80" s="1205" t="s">
        <v>2626</v>
      </c>
      <c r="D80" s="114" t="s">
        <v>2551</v>
      </c>
      <c r="E80" s="123"/>
      <c r="F80" s="112" t="s">
        <v>2554</v>
      </c>
      <c r="G80" s="112"/>
    </row>
    <row r="81" spans="1:7" ht="17.45" customHeight="1" outlineLevel="1">
      <c r="A81" s="111">
        <v>71</v>
      </c>
      <c r="B81" s="125" t="s">
        <v>87</v>
      </c>
      <c r="C81" s="1205" t="s">
        <v>2627</v>
      </c>
      <c r="D81" s="114" t="s">
        <v>2551</v>
      </c>
      <c r="E81" s="123"/>
      <c r="F81" s="112" t="s">
        <v>2554</v>
      </c>
      <c r="G81" s="112"/>
    </row>
    <row r="82" spans="1:7" ht="17.45" customHeight="1" outlineLevel="1">
      <c r="A82" s="111">
        <v>72</v>
      </c>
      <c r="B82" s="125" t="s">
        <v>88</v>
      </c>
      <c r="C82" s="1205" t="s">
        <v>2628</v>
      </c>
      <c r="D82" s="114" t="s">
        <v>2550</v>
      </c>
      <c r="E82" s="123"/>
      <c r="F82" s="112" t="s">
        <v>2554</v>
      </c>
      <c r="G82" s="112"/>
    </row>
    <row r="83" spans="1:7" ht="17.45" customHeight="1" outlineLevel="1">
      <c r="A83" s="111">
        <v>73</v>
      </c>
      <c r="B83" s="125" t="s">
        <v>89</v>
      </c>
      <c r="C83" s="1205" t="s">
        <v>2629</v>
      </c>
      <c r="D83" s="114" t="s">
        <v>2550</v>
      </c>
      <c r="E83" s="123"/>
      <c r="F83" s="112" t="s">
        <v>2554</v>
      </c>
      <c r="G83" s="112"/>
    </row>
    <row r="84" spans="1:7" ht="17.45" customHeight="1" outlineLevel="1">
      <c r="A84" s="111">
        <v>74</v>
      </c>
      <c r="B84" s="125" t="s">
        <v>90</v>
      </c>
      <c r="C84" s="1205" t="s">
        <v>2630</v>
      </c>
      <c r="D84" s="114" t="s">
        <v>2551</v>
      </c>
      <c r="E84" s="123"/>
      <c r="F84" s="112" t="s">
        <v>2554</v>
      </c>
      <c r="G84" s="112"/>
    </row>
    <row r="85" spans="1:7" ht="17.45" customHeight="1" outlineLevel="1">
      <c r="A85" s="111">
        <v>75</v>
      </c>
      <c r="B85" s="125" t="s">
        <v>91</v>
      </c>
      <c r="C85" s="1205" t="s">
        <v>2631</v>
      </c>
      <c r="D85" s="114" t="s">
        <v>2551</v>
      </c>
      <c r="E85" s="123"/>
      <c r="F85" s="112" t="s">
        <v>2554</v>
      </c>
      <c r="G85" s="112"/>
    </row>
    <row r="86" spans="1:7" ht="17.45" customHeight="1" outlineLevel="1">
      <c r="A86" s="111">
        <v>76</v>
      </c>
      <c r="B86" s="125" t="s">
        <v>92</v>
      </c>
      <c r="C86" s="1205" t="s">
        <v>2632</v>
      </c>
      <c r="D86" s="114" t="s">
        <v>2551</v>
      </c>
      <c r="E86" s="123"/>
      <c r="F86" s="112" t="s">
        <v>2554</v>
      </c>
      <c r="G86" s="112"/>
    </row>
    <row r="87" spans="1:7" ht="17.45" customHeight="1" outlineLevel="1">
      <c r="A87" s="111">
        <v>77</v>
      </c>
      <c r="B87" s="125" t="s">
        <v>93</v>
      </c>
      <c r="C87" s="1205" t="s">
        <v>2633</v>
      </c>
      <c r="D87" s="114" t="s">
        <v>2550</v>
      </c>
      <c r="E87" s="123"/>
      <c r="F87" s="112" t="s">
        <v>2554</v>
      </c>
      <c r="G87" s="112"/>
    </row>
    <row r="88" spans="1:7" ht="17.45" customHeight="1" outlineLevel="1">
      <c r="A88" s="111">
        <v>78</v>
      </c>
      <c r="B88" s="125" t="s">
        <v>94</v>
      </c>
      <c r="C88" s="1205" t="s">
        <v>2634</v>
      </c>
      <c r="D88" s="114" t="s">
        <v>2551</v>
      </c>
      <c r="E88" s="123"/>
      <c r="F88" s="112" t="s">
        <v>2554</v>
      </c>
      <c r="G88" s="112"/>
    </row>
    <row r="89" spans="1:7" ht="17.45" customHeight="1" outlineLevel="1">
      <c r="A89" s="111">
        <v>79</v>
      </c>
      <c r="B89" s="125" t="s">
        <v>95</v>
      </c>
      <c r="C89" s="1205" t="s">
        <v>2635</v>
      </c>
      <c r="D89" s="114" t="s">
        <v>2551</v>
      </c>
      <c r="E89" s="123"/>
      <c r="F89" s="112" t="s">
        <v>2554</v>
      </c>
      <c r="G89" s="112"/>
    </row>
    <row r="90" spans="1:7" ht="17.45" customHeight="1" outlineLevel="1">
      <c r="A90" s="111">
        <v>80</v>
      </c>
      <c r="B90" s="125" t="s">
        <v>96</v>
      </c>
      <c r="C90" s="1205" t="s">
        <v>2636</v>
      </c>
      <c r="D90" s="114" t="s">
        <v>2551</v>
      </c>
      <c r="E90" s="123"/>
      <c r="F90" s="112" t="s">
        <v>2554</v>
      </c>
      <c r="G90" s="112"/>
    </row>
    <row r="91" spans="1:7" ht="17.45" customHeight="1" outlineLevel="1">
      <c r="A91" s="111">
        <v>81</v>
      </c>
      <c r="B91" s="125" t="s">
        <v>97</v>
      </c>
      <c r="C91" s="1205" t="s">
        <v>2637</v>
      </c>
      <c r="D91" s="114" t="s">
        <v>2550</v>
      </c>
      <c r="E91" s="123"/>
      <c r="F91" s="112" t="s">
        <v>2554</v>
      </c>
      <c r="G91" s="112"/>
    </row>
    <row r="92" spans="1:7" ht="17.45" customHeight="1" outlineLevel="1">
      <c r="A92" s="111">
        <v>82</v>
      </c>
      <c r="B92" s="125" t="s">
        <v>98</v>
      </c>
      <c r="C92" s="1205" t="s">
        <v>2638</v>
      </c>
      <c r="D92" s="114" t="s">
        <v>2551</v>
      </c>
      <c r="E92" s="123"/>
      <c r="F92" s="112" t="s">
        <v>2554</v>
      </c>
      <c r="G92" s="112"/>
    </row>
    <row r="93" spans="1:7" ht="17.45" customHeight="1" outlineLevel="1">
      <c r="A93" s="111">
        <v>83</v>
      </c>
      <c r="B93" s="125" t="s">
        <v>2000</v>
      </c>
      <c r="C93" s="1205" t="s">
        <v>2639</v>
      </c>
      <c r="D93" s="114" t="s">
        <v>2551</v>
      </c>
      <c r="E93" s="123"/>
      <c r="F93" s="112" t="s">
        <v>2554</v>
      </c>
      <c r="G93" s="112"/>
    </row>
    <row r="94" spans="1:7" ht="17.45" customHeight="1" outlineLevel="1">
      <c r="A94" s="111">
        <v>84</v>
      </c>
      <c r="B94" s="125" t="s">
        <v>100</v>
      </c>
      <c r="C94" s="1205" t="s">
        <v>2640</v>
      </c>
      <c r="D94" s="114" t="s">
        <v>2551</v>
      </c>
      <c r="E94" s="123"/>
      <c r="F94" s="112" t="s">
        <v>2554</v>
      </c>
      <c r="G94" s="112"/>
    </row>
    <row r="95" spans="1:7" ht="17.45" customHeight="1" outlineLevel="1">
      <c r="A95" s="111">
        <v>85</v>
      </c>
      <c r="B95" s="125" t="s">
        <v>101</v>
      </c>
      <c r="C95" s="1205" t="s">
        <v>2641</v>
      </c>
      <c r="D95" s="114" t="s">
        <v>2550</v>
      </c>
      <c r="E95" s="123"/>
      <c r="F95" s="112" t="s">
        <v>2554</v>
      </c>
      <c r="G95" s="112"/>
    </row>
    <row r="96" spans="1:7" ht="17.45" customHeight="1" outlineLevel="1">
      <c r="A96" s="111">
        <v>86</v>
      </c>
      <c r="B96" s="125" t="s">
        <v>102</v>
      </c>
      <c r="C96" s="1205" t="s">
        <v>2642</v>
      </c>
      <c r="D96" s="114" t="s">
        <v>2551</v>
      </c>
      <c r="E96" s="123"/>
      <c r="F96" s="112" t="s">
        <v>2554</v>
      </c>
      <c r="G96" s="112"/>
    </row>
    <row r="97" spans="1:7" ht="17.45" customHeight="1" outlineLevel="1">
      <c r="A97" s="111">
        <v>87</v>
      </c>
      <c r="B97" s="125" t="s">
        <v>487</v>
      </c>
      <c r="C97" s="1205" t="s">
        <v>2643</v>
      </c>
      <c r="D97" s="114" t="s">
        <v>2551</v>
      </c>
      <c r="E97" s="123"/>
      <c r="F97" s="112" t="s">
        <v>2554</v>
      </c>
      <c r="G97" s="112"/>
    </row>
    <row r="98" spans="1:7" ht="17.45" customHeight="1" outlineLevel="1">
      <c r="A98" s="111">
        <v>88</v>
      </c>
      <c r="B98" s="125" t="s">
        <v>488</v>
      </c>
      <c r="C98" s="1205" t="s">
        <v>2644</v>
      </c>
      <c r="D98" s="114" t="s">
        <v>2551</v>
      </c>
      <c r="E98" s="123"/>
      <c r="F98" s="112" t="s">
        <v>2554</v>
      </c>
      <c r="G98" s="112"/>
    </row>
    <row r="99" spans="1:7" ht="17.45" customHeight="1" outlineLevel="1">
      <c r="A99" s="111">
        <v>89</v>
      </c>
      <c r="B99" s="125" t="s">
        <v>489</v>
      </c>
      <c r="C99" s="1205" t="s">
        <v>2645</v>
      </c>
      <c r="D99" s="114" t="s">
        <v>2551</v>
      </c>
      <c r="E99" s="123"/>
      <c r="F99" s="112" t="s">
        <v>2554</v>
      </c>
      <c r="G99" s="112"/>
    </row>
    <row r="100" spans="1:7" ht="17.45" customHeight="1" outlineLevel="1">
      <c r="A100" s="111">
        <v>90</v>
      </c>
      <c r="B100" s="125" t="s">
        <v>490</v>
      </c>
      <c r="C100" s="1205" t="s">
        <v>2646</v>
      </c>
      <c r="D100" s="114" t="s">
        <v>2551</v>
      </c>
      <c r="E100" s="123"/>
      <c r="F100" s="112" t="s">
        <v>2554</v>
      </c>
      <c r="G100" s="112"/>
    </row>
    <row r="101" spans="1:7" ht="17.45" customHeight="1" outlineLevel="1">
      <c r="A101" s="111">
        <v>91</v>
      </c>
      <c r="B101" s="125" t="s">
        <v>491</v>
      </c>
      <c r="C101" s="1205" t="s">
        <v>2647</v>
      </c>
      <c r="D101" s="114" t="s">
        <v>2550</v>
      </c>
      <c r="E101" s="123"/>
      <c r="F101" s="112" t="s">
        <v>2554</v>
      </c>
      <c r="G101" s="112"/>
    </row>
    <row r="102" spans="1:7" ht="17.45" customHeight="1" outlineLevel="1">
      <c r="A102" s="111">
        <v>92</v>
      </c>
      <c r="B102" s="125" t="s">
        <v>492</v>
      </c>
      <c r="C102" s="1205" t="s">
        <v>2648</v>
      </c>
      <c r="D102" s="114" t="s">
        <v>2551</v>
      </c>
      <c r="E102" s="123"/>
      <c r="F102" s="112" t="s">
        <v>2554</v>
      </c>
      <c r="G102" s="112"/>
    </row>
    <row r="103" spans="1:7" ht="17.45" customHeight="1" outlineLevel="1">
      <c r="A103" s="111">
        <v>93</v>
      </c>
      <c r="B103" s="125" t="s">
        <v>493</v>
      </c>
      <c r="C103" s="1205" t="s">
        <v>2649</v>
      </c>
      <c r="D103" s="114" t="s">
        <v>2550</v>
      </c>
      <c r="E103" s="123"/>
      <c r="F103" s="112" t="s">
        <v>2554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5" t="s">
        <v>2650</v>
      </c>
      <c r="D105" s="114" t="s">
        <v>2551</v>
      </c>
      <c r="E105" s="123">
        <v>26696</v>
      </c>
      <c r="F105" s="112" t="s">
        <v>2554</v>
      </c>
      <c r="G105" s="112"/>
    </row>
    <row r="106" spans="1:7" ht="17.45" customHeight="1">
      <c r="A106" s="111">
        <v>2</v>
      </c>
      <c r="B106" s="112" t="s">
        <v>118</v>
      </c>
      <c r="C106" s="1205" t="s">
        <v>2651</v>
      </c>
      <c r="D106" s="114" t="s">
        <v>2551</v>
      </c>
      <c r="E106" s="122">
        <v>32579</v>
      </c>
      <c r="F106" s="112" t="s">
        <v>2554</v>
      </c>
      <c r="G106" s="112"/>
    </row>
    <row r="107" spans="1:7" ht="17.45" customHeight="1">
      <c r="A107" s="126">
        <v>3</v>
      </c>
      <c r="B107" s="112" t="s">
        <v>119</v>
      </c>
      <c r="C107" s="1205" t="s">
        <v>2652</v>
      </c>
      <c r="D107" s="114" t="s">
        <v>2550</v>
      </c>
      <c r="E107" s="122">
        <v>34889</v>
      </c>
      <c r="F107" s="112" t="s">
        <v>2554</v>
      </c>
      <c r="G107" s="112"/>
    </row>
    <row r="108" spans="1:7" ht="17.45" customHeight="1">
      <c r="A108" s="111">
        <v>4</v>
      </c>
      <c r="B108" s="112" t="s">
        <v>120</v>
      </c>
      <c r="C108" s="1205" t="s">
        <v>2653</v>
      </c>
      <c r="D108" s="114" t="s">
        <v>2551</v>
      </c>
      <c r="E108" s="122">
        <v>25486</v>
      </c>
      <c r="F108" s="112" t="s">
        <v>2554</v>
      </c>
      <c r="G108" s="112"/>
    </row>
    <row r="109" spans="1:7" ht="17.45" customHeight="1">
      <c r="A109" s="126">
        <v>5</v>
      </c>
      <c r="B109" s="112" t="s">
        <v>117</v>
      </c>
      <c r="C109" s="1205" t="s">
        <v>2654</v>
      </c>
      <c r="D109" s="114" t="s">
        <v>2551</v>
      </c>
      <c r="E109" s="122">
        <v>26183</v>
      </c>
      <c r="F109" s="112" t="s">
        <v>2554</v>
      </c>
      <c r="G109" s="112"/>
    </row>
    <row r="110" spans="1:7" ht="17.45" customHeight="1">
      <c r="A110" s="111">
        <v>6</v>
      </c>
      <c r="B110" s="112" t="s">
        <v>122</v>
      </c>
      <c r="C110" s="1205" t="s">
        <v>2655</v>
      </c>
      <c r="D110" s="114" t="s">
        <v>2550</v>
      </c>
      <c r="E110" s="123">
        <v>35013</v>
      </c>
      <c r="F110" s="112" t="s">
        <v>2554</v>
      </c>
      <c r="G110" s="112"/>
    </row>
    <row r="111" spans="1:7" ht="17.45" customHeight="1">
      <c r="A111" s="126">
        <v>7</v>
      </c>
      <c r="B111" s="112" t="s">
        <v>121</v>
      </c>
      <c r="C111" s="1205" t="s">
        <v>2656</v>
      </c>
      <c r="D111" s="114" t="s">
        <v>2550</v>
      </c>
      <c r="E111" s="122">
        <v>26671</v>
      </c>
      <c r="F111" s="112" t="s">
        <v>2554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5" t="s">
        <v>2657</v>
      </c>
      <c r="D113" s="114" t="s">
        <v>2551</v>
      </c>
      <c r="E113" s="123">
        <v>38400</v>
      </c>
      <c r="F113" s="112" t="s">
        <v>2554</v>
      </c>
      <c r="G113" s="112"/>
    </row>
    <row r="114" spans="1:7" ht="17.45" customHeight="1">
      <c r="A114" s="111">
        <v>2</v>
      </c>
      <c r="B114" s="112" t="s">
        <v>105</v>
      </c>
      <c r="C114" s="1205" t="s">
        <v>2658</v>
      </c>
      <c r="D114" s="114" t="s">
        <v>2550</v>
      </c>
      <c r="E114" s="122">
        <v>29503</v>
      </c>
      <c r="F114" s="112" t="s">
        <v>2554</v>
      </c>
      <c r="G114" s="112"/>
    </row>
    <row r="115" spans="1:7" ht="17.45" customHeight="1">
      <c r="A115" s="126">
        <v>3</v>
      </c>
      <c r="B115" s="112" t="s">
        <v>497</v>
      </c>
      <c r="C115" s="1205" t="s">
        <v>2659</v>
      </c>
      <c r="D115" s="114" t="s">
        <v>2551</v>
      </c>
      <c r="E115" s="122">
        <v>32960</v>
      </c>
      <c r="F115" s="112" t="s">
        <v>2660</v>
      </c>
      <c r="G115" s="112"/>
    </row>
    <row r="116" spans="1:7" ht="17.45" customHeight="1">
      <c r="A116" s="111">
        <v>4</v>
      </c>
      <c r="B116" s="124" t="s">
        <v>498</v>
      </c>
      <c r="C116" s="1205" t="s">
        <v>2661</v>
      </c>
      <c r="D116" s="114" t="s">
        <v>2550</v>
      </c>
      <c r="E116" s="122">
        <v>36203</v>
      </c>
      <c r="F116" s="112" t="s">
        <v>2660</v>
      </c>
      <c r="G116" s="112"/>
    </row>
    <row r="117" spans="1:7" ht="17.45" customHeight="1">
      <c r="A117" s="126">
        <v>5</v>
      </c>
      <c r="B117" s="124" t="s">
        <v>108</v>
      </c>
      <c r="C117" s="1205" t="s">
        <v>2662</v>
      </c>
      <c r="D117" s="114" t="s">
        <v>2551</v>
      </c>
      <c r="E117" s="122">
        <v>28619</v>
      </c>
      <c r="F117" s="112" t="s">
        <v>2554</v>
      </c>
      <c r="G117" s="112"/>
    </row>
    <row r="118" spans="1:7" ht="17.45" customHeight="1">
      <c r="A118" s="111">
        <v>6</v>
      </c>
      <c r="B118" s="124" t="s">
        <v>109</v>
      </c>
      <c r="C118" s="1205" t="s">
        <v>2663</v>
      </c>
      <c r="D118" s="114" t="s">
        <v>2550</v>
      </c>
      <c r="E118" s="123">
        <v>29405</v>
      </c>
      <c r="F118" s="112" t="s">
        <v>2554</v>
      </c>
      <c r="G118" s="112"/>
    </row>
    <row r="119" spans="1:7" ht="17.45" customHeight="1">
      <c r="A119" s="126">
        <v>7</v>
      </c>
      <c r="B119" s="124" t="s">
        <v>110</v>
      </c>
      <c r="C119" s="1205" t="s">
        <v>2664</v>
      </c>
      <c r="D119" s="114" t="s">
        <v>2551</v>
      </c>
      <c r="E119" s="123">
        <v>29803</v>
      </c>
      <c r="F119" s="112" t="s">
        <v>2554</v>
      </c>
      <c r="G119" s="112"/>
    </row>
    <row r="120" spans="1:7" ht="17.45" customHeight="1">
      <c r="A120" s="111">
        <v>8</v>
      </c>
      <c r="B120" s="124" t="s">
        <v>111</v>
      </c>
      <c r="C120" s="1205" t="s">
        <v>2665</v>
      </c>
      <c r="D120" s="114" t="s">
        <v>2551</v>
      </c>
      <c r="E120" s="123">
        <v>32762</v>
      </c>
      <c r="F120" s="112" t="s">
        <v>2581</v>
      </c>
      <c r="G120" s="112"/>
    </row>
    <row r="121" spans="1:7" s="97" customFormat="1" ht="17.45" customHeight="1">
      <c r="A121" s="127">
        <v>9</v>
      </c>
      <c r="B121" s="128" t="s">
        <v>112</v>
      </c>
      <c r="C121" s="1206" t="s">
        <v>2666</v>
      </c>
      <c r="D121" s="120" t="s">
        <v>2551</v>
      </c>
      <c r="E121" s="121">
        <f>2024-1982</f>
        <v>42</v>
      </c>
      <c r="F121" s="119" t="s">
        <v>2660</v>
      </c>
      <c r="G121" s="119" t="s">
        <v>2552</v>
      </c>
    </row>
    <row r="122" spans="1:7" s="97" customFormat="1" ht="17.45" customHeight="1">
      <c r="A122" s="118">
        <v>10</v>
      </c>
      <c r="B122" s="128" t="s">
        <v>113</v>
      </c>
      <c r="C122" s="1206" t="s">
        <v>2667</v>
      </c>
      <c r="D122" s="120" t="s">
        <v>2551</v>
      </c>
      <c r="E122" s="121">
        <f>2024-1975</f>
        <v>49</v>
      </c>
      <c r="F122" s="119" t="s">
        <v>2668</v>
      </c>
      <c r="G122" s="119" t="s">
        <v>2552</v>
      </c>
    </row>
    <row r="123" spans="1:7" s="97" customFormat="1" ht="17.45" customHeight="1">
      <c r="A123" s="127">
        <v>11</v>
      </c>
      <c r="B123" s="128" t="s">
        <v>499</v>
      </c>
      <c r="C123" s="1206" t="s">
        <v>2669</v>
      </c>
      <c r="D123" s="120" t="s">
        <v>2550</v>
      </c>
      <c r="E123" s="121">
        <f>2024-1986</f>
        <v>38</v>
      </c>
      <c r="F123" s="119" t="s">
        <v>2660</v>
      </c>
      <c r="G123" s="119" t="s">
        <v>2552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7" t="s">
        <v>2670</v>
      </c>
      <c r="D125" s="114" t="s">
        <v>2551</v>
      </c>
      <c r="E125" s="121">
        <v>34825</v>
      </c>
      <c r="F125" s="123" t="s">
        <v>2554</v>
      </c>
      <c r="G125" s="112"/>
    </row>
    <row r="126" spans="1:7" ht="17.45" customHeight="1">
      <c r="A126" s="111">
        <v>2</v>
      </c>
      <c r="B126" s="112" t="s">
        <v>125</v>
      </c>
      <c r="C126" s="1207" t="s">
        <v>2671</v>
      </c>
      <c r="D126" s="114" t="s">
        <v>2551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07" t="s">
        <v>2672</v>
      </c>
      <c r="D127" s="114" t="s">
        <v>2551</v>
      </c>
      <c r="E127" s="121">
        <v>28709</v>
      </c>
      <c r="F127" s="123" t="s">
        <v>2581</v>
      </c>
      <c r="G127" s="112"/>
    </row>
    <row r="128" spans="1:7" ht="17.45" customHeight="1">
      <c r="A128" s="111">
        <v>4</v>
      </c>
      <c r="B128" s="112" t="s">
        <v>127</v>
      </c>
      <c r="C128" s="1207" t="s">
        <v>2673</v>
      </c>
      <c r="D128" s="114" t="s">
        <v>2551</v>
      </c>
      <c r="E128" s="121">
        <v>31998</v>
      </c>
      <c r="F128" s="123" t="s">
        <v>2554</v>
      </c>
      <c r="G128" s="112"/>
    </row>
    <row r="129" spans="1:7" ht="17.45" customHeight="1">
      <c r="A129" s="126">
        <v>5</v>
      </c>
      <c r="B129" s="112" t="s">
        <v>128</v>
      </c>
      <c r="C129" s="1207" t="s">
        <v>2674</v>
      </c>
      <c r="D129" s="114" t="s">
        <v>2551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07" t="s">
        <v>2675</v>
      </c>
      <c r="D130" s="114" t="s">
        <v>2551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07" t="s">
        <v>2676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7" t="s">
        <v>2677</v>
      </c>
      <c r="D132" s="114" t="s">
        <v>2551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07" t="s">
        <v>2678</v>
      </c>
      <c r="D133" s="114" t="s">
        <v>2551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07" t="s">
        <v>2679</v>
      </c>
      <c r="D134" s="114" t="s">
        <v>2551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07" t="s">
        <v>2680</v>
      </c>
      <c r="D135" s="114" t="s">
        <v>2551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07" t="s">
        <v>2681</v>
      </c>
      <c r="D136" s="114" t="s">
        <v>2551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07" t="s">
        <v>2682</v>
      </c>
      <c r="D137" s="114" t="s">
        <v>2551</v>
      </c>
      <c r="E137" s="121">
        <v>35530</v>
      </c>
      <c r="F137" s="123" t="s">
        <v>2554</v>
      </c>
      <c r="G137" s="112"/>
    </row>
    <row r="138" spans="1:7" ht="17.45" customHeight="1">
      <c r="A138" s="111">
        <v>14</v>
      </c>
      <c r="B138" s="112" t="s">
        <v>136</v>
      </c>
      <c r="C138" s="1207" t="s">
        <v>2683</v>
      </c>
      <c r="D138" s="114" t="s">
        <v>2551</v>
      </c>
      <c r="E138" s="121">
        <v>36229</v>
      </c>
      <c r="F138" s="123" t="s">
        <v>2554</v>
      </c>
      <c r="G138" s="112"/>
    </row>
    <row r="139" spans="1:7" ht="17.45" customHeight="1">
      <c r="A139" s="126">
        <v>15</v>
      </c>
      <c r="B139" s="112" t="s">
        <v>137</v>
      </c>
      <c r="C139" s="1207" t="s">
        <v>2684</v>
      </c>
      <c r="D139" s="114" t="s">
        <v>2551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07" t="s">
        <v>2685</v>
      </c>
      <c r="D140" s="114" t="s">
        <v>2551</v>
      </c>
      <c r="E140" s="121">
        <v>34188</v>
      </c>
      <c r="F140" s="123" t="s">
        <v>2660</v>
      </c>
      <c r="G140" s="112"/>
    </row>
    <row r="141" spans="1:7" ht="17.45" customHeight="1">
      <c r="A141" s="126">
        <v>17</v>
      </c>
      <c r="B141" s="112" t="s">
        <v>139</v>
      </c>
      <c r="C141" s="1207" t="s">
        <v>2686</v>
      </c>
      <c r="D141" s="114" t="s">
        <v>2551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07" t="s">
        <v>2687</v>
      </c>
      <c r="D142" s="114" t="s">
        <v>2551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07" t="s">
        <v>2688</v>
      </c>
      <c r="D143" s="114" t="s">
        <v>2551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07" t="s">
        <v>2689</v>
      </c>
      <c r="D144" s="114" t="s">
        <v>2551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07" t="s">
        <v>2690</v>
      </c>
      <c r="D145" s="114" t="s">
        <v>2551</v>
      </c>
      <c r="E145" s="121">
        <v>34952</v>
      </c>
      <c r="F145" s="123" t="s">
        <v>2660</v>
      </c>
      <c r="G145" s="112"/>
    </row>
    <row r="146" spans="1:7" ht="17.45" customHeight="1">
      <c r="A146" s="111">
        <v>22</v>
      </c>
      <c r="B146" s="112" t="s">
        <v>144</v>
      </c>
      <c r="C146" s="1207" t="s">
        <v>2691</v>
      </c>
      <c r="D146" s="114" t="s">
        <v>2551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07" t="s">
        <v>2692</v>
      </c>
      <c r="D147" s="114" t="s">
        <v>2551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07" t="s">
        <v>2693</v>
      </c>
      <c r="D148" s="114" t="s">
        <v>2551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07" t="s">
        <v>2694</v>
      </c>
      <c r="D149" s="114" t="s">
        <v>2551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07" t="s">
        <v>2695</v>
      </c>
      <c r="D150" s="114" t="s">
        <v>2551</v>
      </c>
      <c r="E150" s="121">
        <v>30837</v>
      </c>
      <c r="F150" s="123" t="s">
        <v>2554</v>
      </c>
      <c r="G150" s="112"/>
    </row>
    <row r="151" spans="1:7" ht="17.45" customHeight="1">
      <c r="A151" s="126">
        <v>27</v>
      </c>
      <c r="B151" s="112" t="s">
        <v>149</v>
      </c>
      <c r="C151" s="1207" t="s">
        <v>2696</v>
      </c>
      <c r="D151" s="114" t="s">
        <v>2551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07" t="s">
        <v>2697</v>
      </c>
      <c r="D152" s="114" t="s">
        <v>2551</v>
      </c>
      <c r="E152" s="121">
        <v>28191</v>
      </c>
      <c r="F152" s="123" t="s">
        <v>2581</v>
      </c>
      <c r="G152" s="112"/>
    </row>
    <row r="153" spans="1:7" ht="17.45" customHeight="1">
      <c r="A153" s="126">
        <v>29</v>
      </c>
      <c r="B153" s="112" t="s">
        <v>152</v>
      </c>
      <c r="C153" s="1207" t="s">
        <v>2698</v>
      </c>
      <c r="D153" s="114" t="s">
        <v>2551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07" t="s">
        <v>2699</v>
      </c>
      <c r="D154" s="114" t="s">
        <v>2551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07" t="s">
        <v>2700</v>
      </c>
      <c r="D155" s="114" t="s">
        <v>2551</v>
      </c>
      <c r="E155" s="121">
        <v>35490</v>
      </c>
      <c r="F155" s="123" t="s">
        <v>2554</v>
      </c>
      <c r="G155" s="112"/>
    </row>
    <row r="156" spans="1:7" ht="17.45" customHeight="1">
      <c r="A156" s="111">
        <v>32</v>
      </c>
      <c r="B156" s="112" t="s">
        <v>154</v>
      </c>
      <c r="C156" s="1207" t="s">
        <v>2701</v>
      </c>
      <c r="D156" s="114" t="s">
        <v>2551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07" t="s">
        <v>2702</v>
      </c>
      <c r="D157" s="114" t="s">
        <v>2551</v>
      </c>
      <c r="E157" s="121">
        <v>29409</v>
      </c>
      <c r="F157" s="123" t="s">
        <v>2703</v>
      </c>
      <c r="G157" s="112"/>
    </row>
    <row r="158" spans="1:7" ht="17.45" customHeight="1">
      <c r="A158" s="111">
        <v>34</v>
      </c>
      <c r="B158" s="112" t="s">
        <v>156</v>
      </c>
      <c r="C158" s="1207" t="s">
        <v>2704</v>
      </c>
      <c r="D158" s="114" t="s">
        <v>2551</v>
      </c>
      <c r="E158" s="121">
        <v>32333</v>
      </c>
      <c r="F158" s="123" t="s">
        <v>2703</v>
      </c>
      <c r="G158" s="112"/>
    </row>
    <row r="159" spans="1:7" ht="17.45" customHeight="1">
      <c r="A159" s="126">
        <v>35</v>
      </c>
      <c r="B159" s="112" t="s">
        <v>176</v>
      </c>
      <c r="C159" s="1207" t="s">
        <v>2705</v>
      </c>
      <c r="D159" s="114" t="s">
        <v>2551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07" t="s">
        <v>2706</v>
      </c>
      <c r="D160" s="114" t="s">
        <v>2551</v>
      </c>
      <c r="E160" s="121">
        <v>36226</v>
      </c>
      <c r="F160" s="123" t="s">
        <v>2554</v>
      </c>
      <c r="G160" s="112"/>
    </row>
    <row r="161" spans="1:7" ht="17.45" customHeight="1">
      <c r="A161" s="126">
        <v>37</v>
      </c>
      <c r="B161" s="112" t="s">
        <v>158</v>
      </c>
      <c r="C161" s="1207" t="s">
        <v>2707</v>
      </c>
      <c r="D161" s="114" t="s">
        <v>2551</v>
      </c>
      <c r="E161" s="121">
        <v>29108</v>
      </c>
      <c r="F161" s="123" t="s">
        <v>2554</v>
      </c>
      <c r="G161" s="112"/>
    </row>
    <row r="162" spans="1:7" ht="17.45" customHeight="1">
      <c r="A162" s="111">
        <v>38</v>
      </c>
      <c r="B162" s="112" t="s">
        <v>159</v>
      </c>
      <c r="C162" s="1207" t="s">
        <v>2708</v>
      </c>
      <c r="D162" s="114" t="s">
        <v>2551</v>
      </c>
      <c r="E162" s="121">
        <v>36685</v>
      </c>
      <c r="F162" s="123" t="s">
        <v>2703</v>
      </c>
      <c r="G162" s="112"/>
    </row>
    <row r="163" spans="1:7" ht="17.45" customHeight="1">
      <c r="A163" s="126">
        <v>39</v>
      </c>
      <c r="B163" s="112" t="s">
        <v>160</v>
      </c>
      <c r="C163" s="1207" t="s">
        <v>2709</v>
      </c>
      <c r="D163" s="114" t="s">
        <v>2551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07" t="s">
        <v>2710</v>
      </c>
      <c r="D164" s="114" t="s">
        <v>2551</v>
      </c>
      <c r="E164" s="121">
        <v>36938</v>
      </c>
      <c r="F164" s="123" t="s">
        <v>2554</v>
      </c>
      <c r="G164" s="112"/>
    </row>
    <row r="165" spans="1:7" ht="17.45" customHeight="1">
      <c r="A165" s="126">
        <v>41</v>
      </c>
      <c r="B165" s="112" t="s">
        <v>162</v>
      </c>
      <c r="C165" s="1207" t="s">
        <v>2711</v>
      </c>
      <c r="D165" s="114" t="s">
        <v>2551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07" t="s">
        <v>2712</v>
      </c>
      <c r="D166" s="114" t="s">
        <v>2551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07" t="s">
        <v>2713</v>
      </c>
      <c r="D167" s="114" t="s">
        <v>2551</v>
      </c>
      <c r="E167" s="121">
        <v>34314</v>
      </c>
      <c r="F167" s="123" t="s">
        <v>2554</v>
      </c>
      <c r="G167" s="112"/>
    </row>
    <row r="168" spans="1:7" ht="17.45" customHeight="1">
      <c r="A168" s="111">
        <v>44</v>
      </c>
      <c r="B168" s="112" t="s">
        <v>165</v>
      </c>
      <c r="C168" s="1207" t="s">
        <v>2714</v>
      </c>
      <c r="D168" s="114" t="s">
        <v>2551</v>
      </c>
      <c r="E168" s="121">
        <v>37109</v>
      </c>
      <c r="F168" s="123" t="s">
        <v>2660</v>
      </c>
      <c r="G168" s="112"/>
    </row>
    <row r="169" spans="1:7" ht="17.45" customHeight="1">
      <c r="A169" s="126">
        <v>45</v>
      </c>
      <c r="B169" s="112" t="s">
        <v>166</v>
      </c>
      <c r="C169" s="1207" t="s">
        <v>2715</v>
      </c>
      <c r="D169" s="114" t="s">
        <v>2551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07" t="s">
        <v>2716</v>
      </c>
      <c r="D170" s="114" t="s">
        <v>2551</v>
      </c>
      <c r="E170" s="121">
        <v>33000</v>
      </c>
      <c r="F170" s="123" t="s">
        <v>2554</v>
      </c>
      <c r="G170" s="112"/>
    </row>
    <row r="171" spans="1:7" ht="17.45" customHeight="1">
      <c r="A171" s="126">
        <v>47</v>
      </c>
      <c r="B171" s="112" t="s">
        <v>168</v>
      </c>
      <c r="C171" s="1207" t="s">
        <v>2717</v>
      </c>
      <c r="D171" s="114" t="s">
        <v>2551</v>
      </c>
      <c r="E171" s="121">
        <v>32204</v>
      </c>
      <c r="F171" s="123" t="s">
        <v>2554</v>
      </c>
      <c r="G171" s="112"/>
    </row>
    <row r="172" spans="1:7" ht="17.45" customHeight="1">
      <c r="A172" s="111">
        <v>48</v>
      </c>
      <c r="B172" s="112" t="s">
        <v>169</v>
      </c>
      <c r="C172" s="1207" t="s">
        <v>2718</v>
      </c>
      <c r="D172" s="114" t="s">
        <v>2551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07" t="s">
        <v>2719</v>
      </c>
      <c r="D173" s="114" t="s">
        <v>2551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07" t="s">
        <v>2665</v>
      </c>
      <c r="D174" s="114" t="s">
        <v>2551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07" t="s">
        <v>2720</v>
      </c>
      <c r="D175" s="114" t="s">
        <v>2551</v>
      </c>
      <c r="E175" s="121">
        <v>34764</v>
      </c>
      <c r="F175" s="123" t="s">
        <v>2703</v>
      </c>
      <c r="G175" s="112"/>
    </row>
    <row r="176" spans="1:7" ht="17.45" customHeight="1">
      <c r="A176" s="111">
        <v>52</v>
      </c>
      <c r="B176" s="112" t="s">
        <v>173</v>
      </c>
      <c r="C176" s="1207" t="s">
        <v>2721</v>
      </c>
      <c r="D176" s="114" t="s">
        <v>2551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07" t="s">
        <v>2722</v>
      </c>
      <c r="D177" s="114" t="s">
        <v>2551</v>
      </c>
      <c r="E177" s="121">
        <v>37144</v>
      </c>
      <c r="F177" s="123" t="s">
        <v>2554</v>
      </c>
      <c r="G177" s="112"/>
    </row>
    <row r="178" spans="1:7" ht="17.45" customHeight="1">
      <c r="A178" s="111">
        <v>54</v>
      </c>
      <c r="B178" s="112" t="s">
        <v>175</v>
      </c>
      <c r="C178" s="1207" t="s">
        <v>2723</v>
      </c>
      <c r="D178" s="114" t="s">
        <v>2551</v>
      </c>
      <c r="E178" s="121">
        <v>34488</v>
      </c>
      <c r="F178" s="123" t="s">
        <v>2554</v>
      </c>
      <c r="G178" s="112"/>
    </row>
    <row r="179" spans="1:7" ht="17.45" customHeight="1">
      <c r="A179" s="126">
        <v>55</v>
      </c>
      <c r="B179" s="112" t="s">
        <v>177</v>
      </c>
      <c r="C179" s="1207" t="s">
        <v>2724</v>
      </c>
      <c r="D179" s="114" t="s">
        <v>2551</v>
      </c>
      <c r="E179" s="121">
        <v>28613</v>
      </c>
      <c r="F179" s="123" t="s">
        <v>2554</v>
      </c>
      <c r="G179" s="112"/>
    </row>
    <row r="180" spans="1:7" ht="17.45" customHeight="1">
      <c r="A180" s="111">
        <v>56</v>
      </c>
      <c r="B180" s="112" t="s">
        <v>178</v>
      </c>
      <c r="C180" s="1207" t="s">
        <v>2725</v>
      </c>
      <c r="D180" s="114" t="s">
        <v>2551</v>
      </c>
      <c r="E180" s="121">
        <v>34822</v>
      </c>
      <c r="F180" s="123" t="s">
        <v>2554</v>
      </c>
      <c r="G180" s="112"/>
    </row>
    <row r="181" spans="1:7" ht="17.45" customHeight="1">
      <c r="A181" s="126">
        <v>57</v>
      </c>
      <c r="B181" s="112" t="s">
        <v>179</v>
      </c>
      <c r="C181" s="1207" t="s">
        <v>2726</v>
      </c>
      <c r="D181" s="114" t="s">
        <v>2551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07" t="s">
        <v>2727</v>
      </c>
      <c r="D182" s="114" t="s">
        <v>2551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07" t="s">
        <v>2728</v>
      </c>
      <c r="D183" s="114" t="s">
        <v>2551</v>
      </c>
      <c r="E183" s="121">
        <v>36165</v>
      </c>
      <c r="F183" s="123" t="s">
        <v>2554</v>
      </c>
      <c r="G183" s="112"/>
    </row>
    <row r="184" spans="1:7" ht="17.45" customHeight="1">
      <c r="A184" s="111">
        <v>60</v>
      </c>
      <c r="B184" s="112" t="s">
        <v>182</v>
      </c>
      <c r="C184" s="1207" t="s">
        <v>2729</v>
      </c>
      <c r="D184" s="114" t="s">
        <v>2551</v>
      </c>
      <c r="E184" s="121">
        <v>36687</v>
      </c>
      <c r="F184" s="123" t="s">
        <v>2554</v>
      </c>
      <c r="G184" s="112"/>
    </row>
    <row r="185" spans="1:7" ht="17.45" customHeight="1">
      <c r="A185" s="126">
        <v>61</v>
      </c>
      <c r="B185" s="112" t="s">
        <v>183</v>
      </c>
      <c r="C185" s="1207" t="s">
        <v>2730</v>
      </c>
      <c r="D185" s="114" t="s">
        <v>2551</v>
      </c>
      <c r="E185" s="121">
        <v>35922</v>
      </c>
      <c r="F185" s="123" t="s">
        <v>2554</v>
      </c>
      <c r="G185" s="112"/>
    </row>
    <row r="186" spans="1:7" ht="17.45" customHeight="1">
      <c r="A186" s="111">
        <v>62</v>
      </c>
      <c r="B186" s="112" t="s">
        <v>184</v>
      </c>
      <c r="C186" s="1207" t="s">
        <v>2731</v>
      </c>
      <c r="D186" s="114" t="s">
        <v>2551</v>
      </c>
      <c r="E186" s="121">
        <v>35805</v>
      </c>
      <c r="F186" s="123" t="s">
        <v>2703</v>
      </c>
      <c r="G186" s="112"/>
    </row>
    <row r="187" spans="1:7" ht="17.45" customHeight="1">
      <c r="A187" s="126">
        <v>63</v>
      </c>
      <c r="B187" s="112" t="s">
        <v>185</v>
      </c>
      <c r="C187" s="1207" t="s">
        <v>2732</v>
      </c>
      <c r="D187" s="114" t="s">
        <v>2551</v>
      </c>
      <c r="E187" s="121">
        <v>33055</v>
      </c>
      <c r="F187" s="123" t="s">
        <v>2554</v>
      </c>
      <c r="G187" s="112"/>
    </row>
    <row r="188" spans="1:7" ht="17.45" customHeight="1">
      <c r="A188" s="111">
        <v>64</v>
      </c>
      <c r="B188" s="112" t="s">
        <v>186</v>
      </c>
      <c r="C188" s="1207" t="s">
        <v>2733</v>
      </c>
      <c r="D188" s="114" t="s">
        <v>2551</v>
      </c>
      <c r="E188" s="121">
        <v>36806</v>
      </c>
      <c r="F188" s="123" t="s">
        <v>2554</v>
      </c>
      <c r="G188" s="112"/>
    </row>
    <row r="189" spans="1:7" ht="17.45" customHeight="1">
      <c r="A189" s="126">
        <v>65</v>
      </c>
      <c r="B189" s="112" t="s">
        <v>187</v>
      </c>
      <c r="C189" s="1207" t="s">
        <v>2734</v>
      </c>
      <c r="D189" s="114" t="s">
        <v>2551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07" t="s">
        <v>2735</v>
      </c>
      <c r="D190" s="114" t="s">
        <v>2551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07" t="s">
        <v>2736</v>
      </c>
      <c r="D191" s="114" t="s">
        <v>2551</v>
      </c>
      <c r="E191" s="121">
        <v>33095</v>
      </c>
      <c r="F191" s="123" t="s">
        <v>2581</v>
      </c>
      <c r="G191" s="112"/>
    </row>
    <row r="192" spans="1:7" ht="17.45" customHeight="1">
      <c r="A192" s="111">
        <v>68</v>
      </c>
      <c r="B192" s="112" t="s">
        <v>126</v>
      </c>
      <c r="C192" s="1207" t="s">
        <v>2737</v>
      </c>
      <c r="D192" s="114" t="s">
        <v>2551</v>
      </c>
      <c r="E192" s="121">
        <v>32996</v>
      </c>
      <c r="F192" s="123" t="s">
        <v>2581</v>
      </c>
      <c r="G192" s="112"/>
    </row>
    <row r="193" spans="1:7" ht="17.45" customHeight="1">
      <c r="A193" s="126">
        <v>69</v>
      </c>
      <c r="B193" s="112" t="s">
        <v>504</v>
      </c>
      <c r="C193" s="1207" t="s">
        <v>2738</v>
      </c>
      <c r="D193" s="114" t="s">
        <v>2551</v>
      </c>
      <c r="E193" s="121">
        <v>34125</v>
      </c>
      <c r="F193" s="123" t="s">
        <v>2581</v>
      </c>
      <c r="G193" s="112"/>
    </row>
    <row r="194" spans="1:7" ht="17.45" customHeight="1">
      <c r="A194" s="111">
        <v>70</v>
      </c>
      <c r="B194" s="112" t="s">
        <v>193</v>
      </c>
      <c r="C194" s="1207" t="s">
        <v>2739</v>
      </c>
      <c r="D194" s="114" t="s">
        <v>2551</v>
      </c>
      <c r="E194" s="121">
        <v>32030</v>
      </c>
      <c r="F194" s="123" t="s">
        <v>2554</v>
      </c>
      <c r="G194" s="112"/>
    </row>
    <row r="195" spans="1:7" ht="17.45" customHeight="1">
      <c r="A195" s="126">
        <v>71</v>
      </c>
      <c r="B195" s="112" t="s">
        <v>194</v>
      </c>
      <c r="C195" s="1207" t="s">
        <v>2740</v>
      </c>
      <c r="D195" s="114" t="s">
        <v>2551</v>
      </c>
      <c r="E195" s="121">
        <v>36376</v>
      </c>
      <c r="F195" s="123" t="s">
        <v>2581</v>
      </c>
      <c r="G195" s="112"/>
    </row>
    <row r="196" spans="1:7" ht="17.45" customHeight="1">
      <c r="A196" s="111">
        <v>72</v>
      </c>
      <c r="B196" s="112" t="s">
        <v>195</v>
      </c>
      <c r="C196" s="1207" t="s">
        <v>2741</v>
      </c>
      <c r="D196" s="114" t="s">
        <v>2551</v>
      </c>
      <c r="E196" s="121">
        <v>34918</v>
      </c>
      <c r="F196" s="123" t="s">
        <v>2660</v>
      </c>
      <c r="G196" s="112"/>
    </row>
    <row r="197" spans="1:7" ht="17.45" customHeight="1">
      <c r="A197" s="126">
        <v>73</v>
      </c>
      <c r="B197" s="112" t="s">
        <v>196</v>
      </c>
      <c r="C197" s="1207" t="s">
        <v>2742</v>
      </c>
      <c r="D197" s="114" t="s">
        <v>2551</v>
      </c>
      <c r="E197" s="121">
        <v>35864</v>
      </c>
      <c r="F197" s="123" t="s">
        <v>2554</v>
      </c>
      <c r="G197" s="112"/>
    </row>
    <row r="198" spans="1:7" ht="17.45" customHeight="1">
      <c r="A198" s="111">
        <v>74</v>
      </c>
      <c r="B198" s="112" t="s">
        <v>197</v>
      </c>
      <c r="C198" s="1207" t="s">
        <v>2743</v>
      </c>
      <c r="D198" s="114" t="s">
        <v>2551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07" t="s">
        <v>2744</v>
      </c>
      <c r="D199" s="114" t="s">
        <v>2551</v>
      </c>
      <c r="E199" s="121">
        <v>31900</v>
      </c>
      <c r="F199" s="123" t="s">
        <v>2554</v>
      </c>
      <c r="G199" s="112"/>
    </row>
    <row r="200" spans="1:7" ht="17.45" customHeight="1">
      <c r="A200" s="111">
        <v>76</v>
      </c>
      <c r="B200" s="112" t="s">
        <v>199</v>
      </c>
      <c r="C200" s="1207" t="s">
        <v>2745</v>
      </c>
      <c r="D200" s="114" t="s">
        <v>2551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07" t="s">
        <v>2746</v>
      </c>
      <c r="D201" s="114" t="s">
        <v>2551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07" t="s">
        <v>2747</v>
      </c>
      <c r="D202" s="114" t="s">
        <v>2551</v>
      </c>
      <c r="E202" s="121">
        <v>32843</v>
      </c>
      <c r="F202" s="123" t="s">
        <v>2660</v>
      </c>
      <c r="G202" s="112"/>
    </row>
    <row r="203" spans="1:7" ht="17.45" customHeight="1">
      <c r="A203" s="126">
        <v>79</v>
      </c>
      <c r="B203" s="112" t="s">
        <v>202</v>
      </c>
      <c r="C203" s="1207" t="s">
        <v>2748</v>
      </c>
      <c r="D203" s="114" t="s">
        <v>2551</v>
      </c>
      <c r="E203" s="121">
        <v>28978</v>
      </c>
      <c r="F203" s="123" t="s">
        <v>2554</v>
      </c>
      <c r="G203" s="112"/>
    </row>
    <row r="204" spans="1:7" ht="17.45" customHeight="1">
      <c r="A204" s="111">
        <v>80</v>
      </c>
      <c r="B204" s="112" t="s">
        <v>203</v>
      </c>
      <c r="C204" s="1207" t="s">
        <v>2749</v>
      </c>
      <c r="D204" s="114" t="s">
        <v>2551</v>
      </c>
      <c r="E204" s="121">
        <v>34125</v>
      </c>
      <c r="F204" s="123" t="s">
        <v>2554</v>
      </c>
      <c r="G204" s="112"/>
    </row>
    <row r="205" spans="1:7" ht="17.45" customHeight="1">
      <c r="A205" s="126">
        <v>81</v>
      </c>
      <c r="B205" s="112" t="s">
        <v>204</v>
      </c>
      <c r="C205" s="1207" t="s">
        <v>2750</v>
      </c>
      <c r="D205" s="114" t="s">
        <v>2551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07" t="s">
        <v>2751</v>
      </c>
      <c r="D206" s="114" t="s">
        <v>2551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5" t="s">
        <v>2752</v>
      </c>
      <c r="D208" s="114" t="s">
        <v>2550</v>
      </c>
      <c r="E208" s="121">
        <v>37664</v>
      </c>
      <c r="F208" s="112" t="s">
        <v>2753</v>
      </c>
      <c r="G208" s="112"/>
    </row>
    <row r="209" spans="1:7" ht="17.45" customHeight="1">
      <c r="A209" s="111">
        <v>2</v>
      </c>
      <c r="B209" s="112" t="s">
        <v>207</v>
      </c>
      <c r="C209" s="1205" t="s">
        <v>2754</v>
      </c>
      <c r="D209" s="114" t="s">
        <v>2551</v>
      </c>
      <c r="E209" s="121">
        <v>29678</v>
      </c>
      <c r="F209" s="112" t="s">
        <v>2703</v>
      </c>
      <c r="G209" s="112"/>
    </row>
    <row r="210" spans="1:7" ht="17.45" customHeight="1">
      <c r="A210" s="111">
        <v>3</v>
      </c>
      <c r="B210" s="112" t="s">
        <v>208</v>
      </c>
      <c r="C210" s="1205" t="s">
        <v>2755</v>
      </c>
      <c r="D210" s="114" t="s">
        <v>2551</v>
      </c>
      <c r="E210" s="121">
        <v>38068</v>
      </c>
      <c r="F210" s="112" t="s">
        <v>2703</v>
      </c>
      <c r="G210" s="112"/>
    </row>
    <row r="211" spans="1:7" ht="17.45" customHeight="1">
      <c r="A211" s="111">
        <v>4</v>
      </c>
      <c r="B211" s="112" t="s">
        <v>209</v>
      </c>
      <c r="C211" s="1205" t="s">
        <v>2756</v>
      </c>
      <c r="D211" s="114" t="s">
        <v>2551</v>
      </c>
      <c r="E211" s="121">
        <v>34861</v>
      </c>
      <c r="F211" s="112" t="s">
        <v>2753</v>
      </c>
      <c r="G211" s="112"/>
    </row>
    <row r="212" spans="1:7" ht="17.45" customHeight="1">
      <c r="A212" s="111">
        <v>5</v>
      </c>
      <c r="B212" s="112" t="s">
        <v>210</v>
      </c>
      <c r="C212" s="1205" t="s">
        <v>2757</v>
      </c>
      <c r="D212" s="114" t="s">
        <v>2551</v>
      </c>
      <c r="E212" s="121">
        <v>32784</v>
      </c>
      <c r="F212" s="112" t="s">
        <v>2753</v>
      </c>
      <c r="G212" s="112"/>
    </row>
    <row r="213" spans="1:7" ht="17.45" customHeight="1">
      <c r="A213" s="111">
        <v>6</v>
      </c>
      <c r="B213" s="112" t="s">
        <v>211</v>
      </c>
      <c r="C213" s="1205" t="s">
        <v>2758</v>
      </c>
      <c r="D213" s="114" t="s">
        <v>2550</v>
      </c>
      <c r="E213" s="121">
        <v>32605</v>
      </c>
      <c r="F213" s="112" t="s">
        <v>2753</v>
      </c>
      <c r="G213" s="112"/>
    </row>
    <row r="214" spans="1:7" ht="17.45" customHeight="1">
      <c r="A214" s="111">
        <v>7</v>
      </c>
      <c r="B214" s="112" t="s">
        <v>212</v>
      </c>
      <c r="C214" s="1205" t="s">
        <v>2759</v>
      </c>
      <c r="D214" s="114" t="s">
        <v>2551</v>
      </c>
      <c r="E214" s="121">
        <v>31190</v>
      </c>
      <c r="F214" s="112" t="s">
        <v>2753</v>
      </c>
      <c r="G214" s="112"/>
    </row>
    <row r="215" spans="1:7" ht="17.45" customHeight="1">
      <c r="A215" s="111">
        <v>8</v>
      </c>
      <c r="B215" s="112" t="s">
        <v>213</v>
      </c>
      <c r="C215" s="1205" t="s">
        <v>2760</v>
      </c>
      <c r="D215" s="114" t="s">
        <v>2551</v>
      </c>
      <c r="E215" s="121">
        <v>37784</v>
      </c>
      <c r="F215" s="112" t="s">
        <v>2753</v>
      </c>
      <c r="G215" s="112"/>
    </row>
    <row r="216" spans="1:7" ht="17.45" customHeight="1">
      <c r="A216" s="111">
        <v>9</v>
      </c>
      <c r="B216" s="112" t="s">
        <v>214</v>
      </c>
      <c r="C216" s="1205" t="s">
        <v>2761</v>
      </c>
      <c r="D216" s="114" t="s">
        <v>2551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05" t="s">
        <v>2762</v>
      </c>
      <c r="D217" s="114" t="s">
        <v>2551</v>
      </c>
      <c r="E217" s="121">
        <v>30361</v>
      </c>
      <c r="F217" s="112" t="s">
        <v>2753</v>
      </c>
      <c r="G217" s="112"/>
    </row>
    <row r="218" spans="1:7" ht="17.45" customHeight="1">
      <c r="A218" s="111">
        <v>11</v>
      </c>
      <c r="B218" s="112" t="s">
        <v>216</v>
      </c>
      <c r="C218" s="1205" t="s">
        <v>2763</v>
      </c>
      <c r="D218" s="114" t="s">
        <v>2550</v>
      </c>
      <c r="E218" s="121">
        <v>38180</v>
      </c>
      <c r="F218" s="112" t="s">
        <v>2753</v>
      </c>
      <c r="G218" s="112"/>
    </row>
    <row r="219" spans="1:7" ht="17.45" customHeight="1">
      <c r="A219" s="111">
        <v>12</v>
      </c>
      <c r="B219" s="112" t="s">
        <v>217</v>
      </c>
      <c r="C219" s="1205" t="s">
        <v>2764</v>
      </c>
      <c r="D219" s="114" t="s">
        <v>2551</v>
      </c>
      <c r="E219" s="121">
        <v>37104</v>
      </c>
      <c r="F219" s="112" t="s">
        <v>2753</v>
      </c>
      <c r="G219" s="112"/>
    </row>
    <row r="220" spans="1:7" ht="17.45" customHeight="1">
      <c r="A220" s="111">
        <v>13</v>
      </c>
      <c r="B220" s="112" t="s">
        <v>218</v>
      </c>
      <c r="C220" s="1205" t="s">
        <v>2765</v>
      </c>
      <c r="D220" s="114" t="s">
        <v>2551</v>
      </c>
      <c r="E220" s="121">
        <v>36070</v>
      </c>
      <c r="F220" s="112" t="s">
        <v>2753</v>
      </c>
      <c r="G220" s="112"/>
    </row>
    <row r="221" spans="1:7" ht="17.45" customHeight="1">
      <c r="A221" s="111">
        <v>14</v>
      </c>
      <c r="B221" s="112" t="s">
        <v>219</v>
      </c>
      <c r="C221" s="1205" t="s">
        <v>2766</v>
      </c>
      <c r="D221" s="114" t="s">
        <v>2551</v>
      </c>
      <c r="E221" s="121">
        <v>38324</v>
      </c>
      <c r="F221" s="112" t="s">
        <v>2753</v>
      </c>
      <c r="G221" s="112"/>
    </row>
    <row r="222" spans="1:7" ht="17.45" customHeight="1">
      <c r="A222" s="111">
        <v>15</v>
      </c>
      <c r="B222" s="112" t="s">
        <v>220</v>
      </c>
      <c r="C222" s="1205" t="s">
        <v>2767</v>
      </c>
      <c r="D222" s="114" t="s">
        <v>2551</v>
      </c>
      <c r="E222" s="121">
        <v>38535</v>
      </c>
      <c r="F222" s="112" t="s">
        <v>2753</v>
      </c>
      <c r="G222" s="112"/>
    </row>
    <row r="223" spans="1:7" ht="17.45" customHeight="1">
      <c r="A223" s="111">
        <v>16</v>
      </c>
      <c r="B223" s="112" t="s">
        <v>221</v>
      </c>
      <c r="C223" s="1205" t="s">
        <v>2768</v>
      </c>
      <c r="D223" s="114" t="s">
        <v>2551</v>
      </c>
      <c r="E223" s="121">
        <v>37483</v>
      </c>
      <c r="F223" s="112" t="s">
        <v>2753</v>
      </c>
      <c r="G223" s="112"/>
    </row>
    <row r="224" spans="1:7" ht="17.45" customHeight="1">
      <c r="A224" s="111">
        <v>17</v>
      </c>
      <c r="B224" s="112" t="s">
        <v>222</v>
      </c>
      <c r="C224" s="1205" t="s">
        <v>2769</v>
      </c>
      <c r="D224" s="114" t="s">
        <v>2551</v>
      </c>
      <c r="E224" s="121">
        <v>31175</v>
      </c>
      <c r="F224" s="112" t="s">
        <v>2753</v>
      </c>
      <c r="G224" s="112"/>
    </row>
    <row r="225" spans="1:7" ht="17.45" customHeight="1">
      <c r="A225" s="111">
        <v>18</v>
      </c>
      <c r="B225" s="112" t="s">
        <v>223</v>
      </c>
      <c r="C225" s="1205" t="s">
        <v>2770</v>
      </c>
      <c r="D225" s="114" t="s">
        <v>2551</v>
      </c>
      <c r="E225" s="121">
        <v>37022</v>
      </c>
      <c r="F225" s="112" t="s">
        <v>2753</v>
      </c>
      <c r="G225" s="112"/>
    </row>
    <row r="226" spans="1:7" ht="17.45" customHeight="1">
      <c r="A226" s="111">
        <v>19</v>
      </c>
      <c r="B226" s="112" t="s">
        <v>224</v>
      </c>
      <c r="C226" s="1205" t="s">
        <v>2771</v>
      </c>
      <c r="D226" s="114" t="s">
        <v>2551</v>
      </c>
      <c r="E226" s="121">
        <v>33943</v>
      </c>
      <c r="F226" s="112" t="s">
        <v>2753</v>
      </c>
      <c r="G226" s="112"/>
    </row>
    <row r="227" spans="1:7" ht="17.45" customHeight="1">
      <c r="A227" s="111">
        <v>20</v>
      </c>
      <c r="B227" s="112" t="s">
        <v>225</v>
      </c>
      <c r="C227" s="1205" t="s">
        <v>2772</v>
      </c>
      <c r="D227" s="114" t="s">
        <v>2551</v>
      </c>
      <c r="E227" s="121">
        <v>38570</v>
      </c>
      <c r="F227" s="112" t="s">
        <v>2703</v>
      </c>
      <c r="G227" s="112"/>
    </row>
    <row r="228" spans="1:7" ht="17.45" customHeight="1">
      <c r="A228" s="111">
        <v>21</v>
      </c>
      <c r="B228" s="112" t="s">
        <v>226</v>
      </c>
      <c r="C228" s="1205" t="s">
        <v>2773</v>
      </c>
      <c r="D228" s="114" t="s">
        <v>2551</v>
      </c>
      <c r="E228" s="121">
        <v>35163</v>
      </c>
      <c r="F228" s="112" t="s">
        <v>2753</v>
      </c>
      <c r="G228" s="112"/>
    </row>
    <row r="229" spans="1:7" ht="17.45" customHeight="1">
      <c r="A229" s="111">
        <v>22</v>
      </c>
      <c r="B229" s="112" t="s">
        <v>227</v>
      </c>
      <c r="C229" s="1205" t="s">
        <v>2774</v>
      </c>
      <c r="D229" s="114" t="s">
        <v>2550</v>
      </c>
      <c r="E229" s="121">
        <v>35924</v>
      </c>
      <c r="F229" s="112" t="s">
        <v>2703</v>
      </c>
      <c r="G229" s="112"/>
    </row>
    <row r="230" spans="1:7" ht="17.45" customHeight="1">
      <c r="A230" s="111">
        <v>23</v>
      </c>
      <c r="B230" s="112" t="s">
        <v>228</v>
      </c>
      <c r="C230" s="1205" t="s">
        <v>2775</v>
      </c>
      <c r="D230" s="114" t="s">
        <v>2551</v>
      </c>
      <c r="E230" s="121">
        <v>31869</v>
      </c>
      <c r="F230" s="112" t="s">
        <v>2753</v>
      </c>
      <c r="G230" s="112"/>
    </row>
    <row r="231" spans="1:7" ht="17.45" customHeight="1">
      <c r="A231" s="111">
        <v>24</v>
      </c>
      <c r="B231" s="112" t="s">
        <v>229</v>
      </c>
      <c r="C231" s="1205" t="s">
        <v>2776</v>
      </c>
      <c r="D231" s="114" t="s">
        <v>2551</v>
      </c>
      <c r="E231" s="121">
        <v>36961</v>
      </c>
      <c r="F231" s="112" t="s">
        <v>2753</v>
      </c>
      <c r="G231" s="112"/>
    </row>
    <row r="232" spans="1:7" ht="17.45" customHeight="1">
      <c r="A232" s="111">
        <v>25</v>
      </c>
      <c r="B232" s="112" t="s">
        <v>230</v>
      </c>
      <c r="C232" s="1205" t="s">
        <v>2777</v>
      </c>
      <c r="D232" s="114" t="s">
        <v>2551</v>
      </c>
      <c r="E232" s="121">
        <v>36687</v>
      </c>
      <c r="F232" s="112" t="s">
        <v>2778</v>
      </c>
      <c r="G232" s="112"/>
    </row>
    <row r="233" spans="1:7" ht="17.45" customHeight="1">
      <c r="A233" s="111">
        <v>26</v>
      </c>
      <c r="B233" s="112" t="s">
        <v>231</v>
      </c>
      <c r="C233" s="1205" t="s">
        <v>2779</v>
      </c>
      <c r="D233" s="114" t="s">
        <v>2551</v>
      </c>
      <c r="E233" s="121">
        <v>37599</v>
      </c>
      <c r="F233" s="112" t="s">
        <v>2703</v>
      </c>
      <c r="G233" s="112"/>
    </row>
    <row r="234" spans="1:7" ht="17.45" customHeight="1">
      <c r="A234" s="111">
        <v>27</v>
      </c>
      <c r="B234" s="112" t="s">
        <v>232</v>
      </c>
      <c r="C234" s="1205" t="s">
        <v>2780</v>
      </c>
      <c r="D234" s="114" t="s">
        <v>2551</v>
      </c>
      <c r="E234" s="121">
        <v>31261</v>
      </c>
      <c r="F234" s="112" t="s">
        <v>2753</v>
      </c>
      <c r="G234" s="112"/>
    </row>
    <row r="235" spans="1:7" ht="17.45" customHeight="1">
      <c r="A235" s="111">
        <v>28</v>
      </c>
      <c r="B235" s="112" t="s">
        <v>233</v>
      </c>
      <c r="C235" s="1205" t="s">
        <v>2781</v>
      </c>
      <c r="D235" s="114" t="s">
        <v>2551</v>
      </c>
      <c r="E235" s="121">
        <v>32249</v>
      </c>
      <c r="F235" s="112" t="s">
        <v>2778</v>
      </c>
      <c r="G235" s="112"/>
    </row>
    <row r="236" spans="1:7" ht="17.45" customHeight="1">
      <c r="A236" s="111">
        <v>29</v>
      </c>
      <c r="B236" s="112" t="s">
        <v>234</v>
      </c>
      <c r="C236" s="1205" t="s">
        <v>2782</v>
      </c>
      <c r="D236" s="114" t="s">
        <v>2550</v>
      </c>
      <c r="E236" s="121">
        <v>37787</v>
      </c>
      <c r="F236" s="112" t="s">
        <v>2753</v>
      </c>
      <c r="G236" s="112"/>
    </row>
    <row r="237" spans="1:7" ht="17.45" customHeight="1">
      <c r="A237" s="111">
        <v>30</v>
      </c>
      <c r="B237" s="112" t="s">
        <v>235</v>
      </c>
      <c r="C237" s="1205" t="s">
        <v>2783</v>
      </c>
      <c r="D237" s="114" t="s">
        <v>2551</v>
      </c>
      <c r="E237" s="121">
        <v>36374</v>
      </c>
      <c r="F237" s="112" t="s">
        <v>2784</v>
      </c>
      <c r="G237" s="112"/>
    </row>
    <row r="238" spans="1:7" ht="17.45" customHeight="1">
      <c r="A238" s="111">
        <v>31</v>
      </c>
      <c r="B238" s="112" t="s">
        <v>236</v>
      </c>
      <c r="C238" s="1205" t="s">
        <v>2785</v>
      </c>
      <c r="D238" s="114" t="s">
        <v>2551</v>
      </c>
      <c r="E238" s="121">
        <v>39009</v>
      </c>
      <c r="F238" s="112" t="s">
        <v>2753</v>
      </c>
      <c r="G238" s="112"/>
    </row>
    <row r="239" spans="1:7" ht="17.45" customHeight="1">
      <c r="A239" s="111">
        <v>32</v>
      </c>
      <c r="B239" s="112" t="s">
        <v>237</v>
      </c>
      <c r="C239" s="1205" t="s">
        <v>2786</v>
      </c>
      <c r="D239" s="114" t="s">
        <v>2550</v>
      </c>
      <c r="E239" s="121">
        <v>37117</v>
      </c>
      <c r="F239" s="112" t="s">
        <v>2753</v>
      </c>
      <c r="G239" s="112"/>
    </row>
    <row r="240" spans="1:7" ht="17.45" customHeight="1">
      <c r="A240" s="111">
        <v>33</v>
      </c>
      <c r="B240" s="112" t="s">
        <v>238</v>
      </c>
      <c r="C240" s="1205" t="s">
        <v>2787</v>
      </c>
      <c r="D240" s="114" t="s">
        <v>2551</v>
      </c>
      <c r="E240" s="121">
        <v>37870</v>
      </c>
      <c r="F240" s="112" t="s">
        <v>2784</v>
      </c>
      <c r="G240" s="112"/>
    </row>
    <row r="241" spans="1:7" ht="17.45" customHeight="1">
      <c r="A241" s="111">
        <v>34</v>
      </c>
      <c r="B241" s="112" t="s">
        <v>239</v>
      </c>
      <c r="C241" s="1205" t="s">
        <v>2788</v>
      </c>
      <c r="D241" s="114" t="s">
        <v>2551</v>
      </c>
      <c r="E241" s="121">
        <v>38474</v>
      </c>
      <c r="F241" s="112" t="s">
        <v>2753</v>
      </c>
      <c r="G241" s="112"/>
    </row>
    <row r="242" spans="1:7" ht="17.45" customHeight="1">
      <c r="A242" s="111">
        <v>35</v>
      </c>
      <c r="B242" s="112" t="s">
        <v>240</v>
      </c>
      <c r="C242" s="1205" t="s">
        <v>2789</v>
      </c>
      <c r="D242" s="114" t="s">
        <v>2551</v>
      </c>
      <c r="E242" s="121">
        <v>32463</v>
      </c>
      <c r="F242" s="112" t="s">
        <v>2753</v>
      </c>
      <c r="G242" s="112"/>
    </row>
    <row r="243" spans="1:7" ht="17.45" customHeight="1">
      <c r="A243" s="111">
        <v>36</v>
      </c>
      <c r="B243" s="112" t="s">
        <v>241</v>
      </c>
      <c r="C243" s="1205" t="s">
        <v>2790</v>
      </c>
      <c r="D243" s="114" t="s">
        <v>2550</v>
      </c>
      <c r="E243" s="121">
        <v>32732</v>
      </c>
      <c r="F243" s="112" t="s">
        <v>2753</v>
      </c>
      <c r="G243" s="112"/>
    </row>
    <row r="244" spans="1:7" ht="17.45" customHeight="1">
      <c r="A244" s="111">
        <v>37</v>
      </c>
      <c r="B244" s="112" t="s">
        <v>242</v>
      </c>
      <c r="C244" s="1205" t="s">
        <v>2791</v>
      </c>
      <c r="D244" s="114" t="s">
        <v>2550</v>
      </c>
      <c r="E244" s="121">
        <v>38022</v>
      </c>
      <c r="F244" s="112" t="s">
        <v>2753</v>
      </c>
      <c r="G244" s="112"/>
    </row>
    <row r="245" spans="1:7" ht="17.45" customHeight="1">
      <c r="A245" s="111">
        <v>38</v>
      </c>
      <c r="B245" s="112" t="s">
        <v>243</v>
      </c>
      <c r="C245" s="1205" t="s">
        <v>2792</v>
      </c>
      <c r="D245" s="114" t="s">
        <v>2551</v>
      </c>
      <c r="E245" s="121">
        <v>38601</v>
      </c>
      <c r="F245" s="112" t="s">
        <v>2753</v>
      </c>
      <c r="G245" s="112"/>
    </row>
    <row r="246" spans="1:7" ht="17.45" customHeight="1">
      <c r="A246" s="111">
        <v>39</v>
      </c>
      <c r="B246" s="112" t="s">
        <v>244</v>
      </c>
      <c r="C246" s="1205" t="s">
        <v>2793</v>
      </c>
      <c r="D246" s="114" t="s">
        <v>2551</v>
      </c>
      <c r="E246" s="121">
        <v>36237</v>
      </c>
      <c r="F246" s="112" t="s">
        <v>2778</v>
      </c>
      <c r="G246" s="112"/>
    </row>
    <row r="247" spans="1:7" ht="17.45" customHeight="1">
      <c r="A247" s="111">
        <v>40</v>
      </c>
      <c r="B247" s="112" t="s">
        <v>245</v>
      </c>
      <c r="C247" s="1205" t="s">
        <v>2794</v>
      </c>
      <c r="D247" s="114" t="s">
        <v>2551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05" t="s">
        <v>2795</v>
      </c>
      <c r="D248" s="114" t="s">
        <v>2551</v>
      </c>
      <c r="E248" s="121">
        <v>37450</v>
      </c>
      <c r="F248" s="112" t="s">
        <v>2753</v>
      </c>
      <c r="G248" s="112"/>
    </row>
    <row r="249" spans="1:7" ht="17.45" customHeight="1">
      <c r="A249" s="111">
        <v>42</v>
      </c>
      <c r="B249" s="112" t="s">
        <v>247</v>
      </c>
      <c r="C249" s="1205" t="s">
        <v>2796</v>
      </c>
      <c r="D249" s="114" t="s">
        <v>2551</v>
      </c>
      <c r="E249" s="121">
        <v>35832</v>
      </c>
      <c r="F249" s="112" t="s">
        <v>2703</v>
      </c>
      <c r="G249" s="112"/>
    </row>
    <row r="250" spans="1:7" ht="17.45" customHeight="1">
      <c r="A250" s="111">
        <v>43</v>
      </c>
      <c r="B250" s="112" t="s">
        <v>248</v>
      </c>
      <c r="C250" s="1205" t="s">
        <v>2797</v>
      </c>
      <c r="D250" s="114" t="s">
        <v>2550</v>
      </c>
      <c r="E250" s="121">
        <v>37744</v>
      </c>
      <c r="F250" s="112" t="s">
        <v>2753</v>
      </c>
      <c r="G250" s="112"/>
    </row>
    <row r="251" spans="1:7" ht="17.45" customHeight="1">
      <c r="A251" s="111">
        <v>44</v>
      </c>
      <c r="B251" s="112" t="s">
        <v>249</v>
      </c>
      <c r="C251" s="1205" t="s">
        <v>2798</v>
      </c>
      <c r="D251" s="114" t="s">
        <v>2551</v>
      </c>
      <c r="E251" s="121">
        <v>35873</v>
      </c>
      <c r="F251" s="112" t="s">
        <v>2753</v>
      </c>
      <c r="G251" s="112"/>
    </row>
    <row r="252" spans="1:7" ht="17.45" customHeight="1">
      <c r="A252" s="111">
        <v>45</v>
      </c>
      <c r="B252" s="112" t="s">
        <v>250</v>
      </c>
      <c r="C252" s="1205" t="s">
        <v>2799</v>
      </c>
      <c r="D252" s="114" t="s">
        <v>2551</v>
      </c>
      <c r="E252" s="121">
        <v>33797</v>
      </c>
      <c r="F252" s="112" t="s">
        <v>2753</v>
      </c>
      <c r="G252" s="112"/>
    </row>
    <row r="253" spans="1:7" ht="17.45" customHeight="1">
      <c r="A253" s="111">
        <v>46</v>
      </c>
      <c r="B253" s="112" t="s">
        <v>251</v>
      </c>
      <c r="C253" s="1205" t="s">
        <v>2800</v>
      </c>
      <c r="D253" s="114" t="s">
        <v>2551</v>
      </c>
      <c r="E253" s="121">
        <v>32482</v>
      </c>
      <c r="F253" s="112" t="s">
        <v>2753</v>
      </c>
      <c r="G253" s="112"/>
    </row>
    <row r="254" spans="1:7" ht="17.45" customHeight="1">
      <c r="A254" s="111">
        <v>47</v>
      </c>
      <c r="B254" s="112" t="s">
        <v>252</v>
      </c>
      <c r="C254" s="1205" t="s">
        <v>2801</v>
      </c>
      <c r="D254" s="114" t="s">
        <v>2551</v>
      </c>
      <c r="E254" s="121">
        <v>35132</v>
      </c>
      <c r="F254" s="112" t="s">
        <v>2753</v>
      </c>
      <c r="G254" s="112"/>
    </row>
    <row r="255" spans="1:7" ht="17.45" customHeight="1">
      <c r="A255" s="111">
        <v>48</v>
      </c>
      <c r="B255" s="112" t="s">
        <v>253</v>
      </c>
      <c r="C255" s="1205" t="s">
        <v>2802</v>
      </c>
      <c r="D255" s="114" t="s">
        <v>2550</v>
      </c>
      <c r="E255" s="121">
        <v>35446</v>
      </c>
      <c r="F255" s="112" t="s">
        <v>2753</v>
      </c>
      <c r="G255" s="112"/>
    </row>
    <row r="256" spans="1:7" ht="17.45" customHeight="1">
      <c r="A256" s="111">
        <v>49</v>
      </c>
      <c r="B256" s="112" t="s">
        <v>254</v>
      </c>
      <c r="C256" s="1205" t="s">
        <v>2803</v>
      </c>
      <c r="D256" s="114" t="s">
        <v>2551</v>
      </c>
      <c r="E256" s="121">
        <v>38847</v>
      </c>
      <c r="F256" s="112" t="s">
        <v>2753</v>
      </c>
      <c r="G256" s="112"/>
    </row>
    <row r="257" spans="1:7" ht="17.45" customHeight="1">
      <c r="A257" s="111">
        <v>50</v>
      </c>
      <c r="B257" s="112" t="s">
        <v>255</v>
      </c>
      <c r="C257" s="1205" t="s">
        <v>2804</v>
      </c>
      <c r="D257" s="114" t="s">
        <v>2551</v>
      </c>
      <c r="E257" s="121">
        <v>30908</v>
      </c>
      <c r="F257" s="112" t="s">
        <v>2753</v>
      </c>
      <c r="G257" s="112"/>
    </row>
    <row r="258" spans="1:7" ht="17.45" customHeight="1">
      <c r="A258" s="111">
        <v>51</v>
      </c>
      <c r="B258" s="112" t="s">
        <v>256</v>
      </c>
      <c r="C258" s="1205" t="s">
        <v>2805</v>
      </c>
      <c r="D258" s="114" t="s">
        <v>2551</v>
      </c>
      <c r="E258" s="121">
        <v>34945</v>
      </c>
      <c r="F258" s="112" t="s">
        <v>2753</v>
      </c>
      <c r="G258" s="112"/>
    </row>
    <row r="259" spans="1:7" ht="17.45" customHeight="1">
      <c r="A259" s="111">
        <v>52</v>
      </c>
      <c r="B259" s="112" t="s">
        <v>258</v>
      </c>
      <c r="C259" s="1205" t="s">
        <v>2806</v>
      </c>
      <c r="D259" s="114" t="s">
        <v>2551</v>
      </c>
      <c r="E259" s="121">
        <v>33456</v>
      </c>
      <c r="F259" s="112" t="s">
        <v>2703</v>
      </c>
      <c r="G259" s="112"/>
    </row>
    <row r="260" spans="1:7" ht="17.45" customHeight="1">
      <c r="A260" s="111">
        <v>53</v>
      </c>
      <c r="B260" s="112" t="s">
        <v>259</v>
      </c>
      <c r="C260" s="1205" t="s">
        <v>2807</v>
      </c>
      <c r="D260" s="114" t="s">
        <v>2551</v>
      </c>
      <c r="E260" s="121">
        <v>35129</v>
      </c>
      <c r="F260" s="112" t="s">
        <v>2753</v>
      </c>
      <c r="G260" s="112"/>
    </row>
    <row r="261" spans="1:7" ht="17.45" customHeight="1">
      <c r="A261" s="111">
        <v>54</v>
      </c>
      <c r="B261" s="112" t="s">
        <v>257</v>
      </c>
      <c r="C261" s="1205" t="s">
        <v>2808</v>
      </c>
      <c r="D261" s="114" t="s">
        <v>2551</v>
      </c>
      <c r="E261" s="121">
        <v>30085</v>
      </c>
      <c r="F261" s="112" t="s">
        <v>2753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6" t="s">
        <v>2809</v>
      </c>
      <c r="D262" s="120" t="s">
        <v>2551</v>
      </c>
      <c r="E262" s="121">
        <v>27</v>
      </c>
      <c r="F262" s="119" t="s">
        <v>2810</v>
      </c>
      <c r="G262" s="119" t="s">
        <v>2552</v>
      </c>
    </row>
    <row r="263" spans="1:7" ht="17.45" customHeight="1">
      <c r="A263" s="111">
        <v>56</v>
      </c>
      <c r="B263" s="112" t="s">
        <v>261</v>
      </c>
      <c r="C263" s="1205" t="s">
        <v>2811</v>
      </c>
      <c r="D263" s="114" t="s">
        <v>2551</v>
      </c>
      <c r="E263" s="121">
        <v>35102</v>
      </c>
      <c r="F263" s="112" t="s">
        <v>2753</v>
      </c>
      <c r="G263" s="112"/>
    </row>
    <row r="264" spans="1:7" ht="17.45" customHeight="1">
      <c r="A264" s="111">
        <v>57</v>
      </c>
      <c r="B264" s="112" t="s">
        <v>262</v>
      </c>
      <c r="C264" s="1205" t="s">
        <v>2812</v>
      </c>
      <c r="D264" s="114" t="s">
        <v>2551</v>
      </c>
      <c r="E264" s="121">
        <v>33697</v>
      </c>
      <c r="F264" s="112" t="s">
        <v>2753</v>
      </c>
      <c r="G264" s="112"/>
    </row>
    <row r="265" spans="1:7" ht="17.45" customHeight="1">
      <c r="A265" s="111">
        <v>58</v>
      </c>
      <c r="B265" s="112" t="s">
        <v>263</v>
      </c>
      <c r="C265" s="1205" t="s">
        <v>2813</v>
      </c>
      <c r="D265" s="114" t="s">
        <v>2551</v>
      </c>
      <c r="E265" s="121">
        <v>32710</v>
      </c>
      <c r="F265" s="112" t="s">
        <v>2753</v>
      </c>
      <c r="G265" s="112"/>
    </row>
    <row r="266" spans="1:7" ht="17.45" customHeight="1">
      <c r="A266" s="111">
        <v>59</v>
      </c>
      <c r="B266" s="112" t="s">
        <v>264</v>
      </c>
      <c r="C266" s="1205" t="s">
        <v>2814</v>
      </c>
      <c r="D266" s="114" t="s">
        <v>2551</v>
      </c>
      <c r="E266" s="121">
        <v>34562</v>
      </c>
      <c r="F266" s="112" t="s">
        <v>2815</v>
      </c>
      <c r="G266" s="112"/>
    </row>
    <row r="267" spans="1:7" ht="17.45" customHeight="1">
      <c r="A267" s="111">
        <v>60</v>
      </c>
      <c r="B267" s="112" t="s">
        <v>265</v>
      </c>
      <c r="C267" s="1205" t="s">
        <v>2816</v>
      </c>
      <c r="D267" s="114" t="s">
        <v>2550</v>
      </c>
      <c r="E267" s="121">
        <v>33770</v>
      </c>
      <c r="F267" s="112" t="s">
        <v>2703</v>
      </c>
      <c r="G267" s="112"/>
    </row>
    <row r="268" spans="1:7" ht="17.45" customHeight="1">
      <c r="A268" s="111">
        <v>61</v>
      </c>
      <c r="B268" s="112" t="s">
        <v>266</v>
      </c>
      <c r="C268" s="1205" t="s">
        <v>2817</v>
      </c>
      <c r="D268" s="114" t="s">
        <v>2551</v>
      </c>
      <c r="E268" s="121">
        <v>38870</v>
      </c>
      <c r="F268" s="112" t="s">
        <v>2703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6" t="s">
        <v>2818</v>
      </c>
      <c r="D269" s="120" t="s">
        <v>2551</v>
      </c>
      <c r="E269" s="121">
        <v>23</v>
      </c>
      <c r="F269" s="119" t="s">
        <v>2810</v>
      </c>
      <c r="G269" s="119" t="s">
        <v>2552</v>
      </c>
    </row>
    <row r="270" spans="1:7" ht="17.45" customHeight="1">
      <c r="A270" s="111">
        <v>63</v>
      </c>
      <c r="B270" s="112" t="s">
        <v>268</v>
      </c>
      <c r="C270" s="1205" t="s">
        <v>2819</v>
      </c>
      <c r="D270" s="114" t="s">
        <v>2551</v>
      </c>
      <c r="E270" s="121">
        <v>37727</v>
      </c>
      <c r="F270" s="112" t="s">
        <v>2703</v>
      </c>
      <c r="G270" s="112"/>
    </row>
    <row r="271" spans="1:7" ht="17.45" customHeight="1">
      <c r="A271" s="111">
        <v>64</v>
      </c>
      <c r="B271" s="112" t="s">
        <v>269</v>
      </c>
      <c r="C271" s="1205" t="s">
        <v>2820</v>
      </c>
      <c r="D271" s="114" t="s">
        <v>2551</v>
      </c>
      <c r="E271" s="121">
        <v>38544</v>
      </c>
      <c r="F271" s="112" t="s">
        <v>2815</v>
      </c>
      <c r="G271" s="112"/>
    </row>
    <row r="272" spans="1:7" ht="17.45" customHeight="1">
      <c r="A272" s="111">
        <v>65</v>
      </c>
      <c r="B272" s="112" t="s">
        <v>270</v>
      </c>
      <c r="C272" s="1205" t="s">
        <v>2821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5" t="s">
        <v>2822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5" t="s">
        <v>2823</v>
      </c>
      <c r="D274" s="114" t="s">
        <v>2551</v>
      </c>
      <c r="E274" s="121">
        <v>31521</v>
      </c>
      <c r="F274" s="112" t="s">
        <v>2753</v>
      </c>
      <c r="G274" s="112"/>
    </row>
    <row r="275" spans="1:7" ht="17.45" customHeight="1">
      <c r="A275" s="111">
        <v>68</v>
      </c>
      <c r="B275" s="112" t="s">
        <v>273</v>
      </c>
      <c r="C275" s="1205" t="s">
        <v>2824</v>
      </c>
      <c r="D275" s="114" t="s">
        <v>2551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05" t="s">
        <v>2825</v>
      </c>
      <c r="D276" s="114" t="s">
        <v>2551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2826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5" t="s">
        <v>2827</v>
      </c>
      <c r="D278" s="114" t="s">
        <v>2551</v>
      </c>
      <c r="E278" s="121">
        <v>35981</v>
      </c>
      <c r="F278" s="114" t="s">
        <v>2828</v>
      </c>
      <c r="G278" s="112"/>
    </row>
    <row r="279" spans="1:7" ht="17.45" customHeight="1">
      <c r="A279" s="111">
        <v>2</v>
      </c>
      <c r="B279" s="112" t="s">
        <v>281</v>
      </c>
      <c r="C279" s="1205" t="s">
        <v>2829</v>
      </c>
      <c r="D279" s="114" t="s">
        <v>2551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05" t="s">
        <v>2830</v>
      </c>
      <c r="D280" s="114" t="s">
        <v>2551</v>
      </c>
      <c r="E280" s="121">
        <v>33636</v>
      </c>
      <c r="F280" s="114" t="s">
        <v>2831</v>
      </c>
      <c r="G280" s="112"/>
    </row>
    <row r="281" spans="1:7" ht="17.45" customHeight="1">
      <c r="A281" s="111">
        <v>4</v>
      </c>
      <c r="B281" s="112" t="s">
        <v>280</v>
      </c>
      <c r="C281" s="1205" t="s">
        <v>2832</v>
      </c>
      <c r="D281" s="114" t="s">
        <v>2551</v>
      </c>
      <c r="E281" s="121">
        <v>27212</v>
      </c>
      <c r="F281" s="114" t="s">
        <v>2833</v>
      </c>
      <c r="G281" s="112"/>
    </row>
    <row r="282" spans="1:7" ht="17.45" customHeight="1">
      <c r="A282" s="111">
        <v>5</v>
      </c>
      <c r="B282" s="112" t="s">
        <v>282</v>
      </c>
      <c r="C282" s="1205" t="s">
        <v>2834</v>
      </c>
      <c r="D282" s="114" t="s">
        <v>2551</v>
      </c>
      <c r="E282" s="121">
        <v>35951</v>
      </c>
      <c r="F282" s="114" t="s">
        <v>2828</v>
      </c>
      <c r="G282" s="112"/>
    </row>
    <row r="283" spans="1:7" ht="17.45" customHeight="1">
      <c r="A283" s="111">
        <v>6</v>
      </c>
      <c r="B283" s="112" t="s">
        <v>284</v>
      </c>
      <c r="C283" s="1205" t="s">
        <v>2835</v>
      </c>
      <c r="D283" s="114" t="s">
        <v>2551</v>
      </c>
      <c r="E283" s="121">
        <v>30072</v>
      </c>
      <c r="F283" s="114" t="s">
        <v>2828</v>
      </c>
      <c r="G283" s="112"/>
    </row>
    <row r="284" spans="1:7" ht="17.45" customHeight="1">
      <c r="A284" s="111">
        <v>6</v>
      </c>
      <c r="B284" s="112" t="s">
        <v>279</v>
      </c>
      <c r="C284" s="1205" t="s">
        <v>2836</v>
      </c>
      <c r="D284" s="114" t="s">
        <v>2551</v>
      </c>
      <c r="E284" s="121">
        <v>33822</v>
      </c>
      <c r="F284" s="114" t="s">
        <v>2828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5" t="s">
        <v>2837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5" t="s">
        <v>2838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5" t="s">
        <v>2839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5" t="s">
        <v>2840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5" t="s">
        <v>2841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5" t="s">
        <v>2842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5" t="s">
        <v>2843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5" t="s">
        <v>2844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5" t="s">
        <v>2845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5" t="s">
        <v>2846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5" t="s">
        <v>2847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5" t="s">
        <v>2848</v>
      </c>
      <c r="D297" s="114" t="s">
        <v>2550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5" t="s">
        <v>2849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5" t="s">
        <v>2850</v>
      </c>
      <c r="D299" s="114" t="s">
        <v>2550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5" t="s">
        <v>2851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5" t="s">
        <v>2852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5" t="s">
        <v>2853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5" t="s">
        <v>2854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5" t="s">
        <v>2855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5" t="s">
        <v>2856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2550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5" t="s">
        <v>2857</v>
      </c>
      <c r="D307" s="114" t="s">
        <v>2550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5" t="s">
        <v>2858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5" t="s">
        <v>2859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5" t="s">
        <v>2860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5" t="s">
        <v>2861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5" t="s">
        <v>2862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5" t="s">
        <v>2863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5" t="s">
        <v>2864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5" t="s">
        <v>2865</v>
      </c>
      <c r="D315" s="114" t="s">
        <v>2550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5" t="s">
        <v>2866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5" t="s">
        <v>2867</v>
      </c>
      <c r="D317" s="114" t="s">
        <v>2550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5" t="s">
        <v>2868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5" t="s">
        <v>2869</v>
      </c>
      <c r="D319" s="114" t="s">
        <v>2550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5" t="s">
        <v>2870</v>
      </c>
      <c r="D320" s="114" t="s">
        <v>2550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5" t="s">
        <v>2871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5" t="s">
        <v>2872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5" t="s">
        <v>2873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5" t="s">
        <v>2874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2875</v>
      </c>
      <c r="C325" s="1205" t="s">
        <v>2876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5" t="s">
        <v>2877</v>
      </c>
      <c r="D326" s="114" t="s">
        <v>2550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6" t="s">
        <v>2878</v>
      </c>
      <c r="D327" s="120" t="s">
        <v>2551</v>
      </c>
      <c r="E327" s="121">
        <v>18</v>
      </c>
      <c r="F327" s="119" t="s">
        <v>2879</v>
      </c>
      <c r="G327" s="119" t="s">
        <v>2552</v>
      </c>
    </row>
    <row r="328" spans="1:7" ht="17.45" customHeight="1">
      <c r="A328" s="111">
        <v>43</v>
      </c>
      <c r="B328" s="112" t="s">
        <v>332</v>
      </c>
      <c r="C328" s="1205" t="s">
        <v>2880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2881</v>
      </c>
      <c r="C329" s="1206" t="s">
        <v>2882</v>
      </c>
      <c r="D329" s="120" t="s">
        <v>2551</v>
      </c>
      <c r="E329" s="121">
        <v>29</v>
      </c>
      <c r="F329" s="119" t="s">
        <v>2883</v>
      </c>
      <c r="G329" s="119" t="s">
        <v>2552</v>
      </c>
    </row>
    <row r="330" spans="1:7" ht="17.45" customHeight="1">
      <c r="A330" s="111">
        <v>45</v>
      </c>
      <c r="B330" s="112" t="s">
        <v>334</v>
      </c>
      <c r="C330" s="1205" t="s">
        <v>2884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6" t="s">
        <v>2885</v>
      </c>
      <c r="D331" s="120" t="s">
        <v>2551</v>
      </c>
      <c r="E331" s="121">
        <v>42</v>
      </c>
      <c r="F331" s="119" t="s">
        <v>2879</v>
      </c>
      <c r="G331" s="119" t="s">
        <v>2552</v>
      </c>
    </row>
    <row r="332" spans="1:7" s="97" customFormat="1" ht="17.45" customHeight="1">
      <c r="A332" s="118">
        <v>47</v>
      </c>
      <c r="B332" s="119" t="s">
        <v>335</v>
      </c>
      <c r="C332" s="1206" t="s">
        <v>2886</v>
      </c>
      <c r="D332" s="120" t="s">
        <v>2551</v>
      </c>
      <c r="E332" s="121">
        <v>26</v>
      </c>
      <c r="F332" s="119" t="s">
        <v>2879</v>
      </c>
      <c r="G332" s="119" t="s">
        <v>2552</v>
      </c>
    </row>
    <row r="333" spans="1:7" ht="17.45" customHeight="1">
      <c r="A333" s="111">
        <v>48</v>
      </c>
      <c r="B333" s="112" t="s">
        <v>336</v>
      </c>
      <c r="C333" s="1205" t="s">
        <v>2693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5" t="s">
        <v>2887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5" t="s">
        <v>2888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5" t="s">
        <v>2889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5" t="s">
        <v>2890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5" t="s">
        <v>2891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5" t="s">
        <v>2892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5" t="s">
        <v>2893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5" t="s">
        <v>2776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5" t="s">
        <v>2894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2524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2895</v>
      </c>
      <c r="C349" s="1205" t="s">
        <v>2896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2897</v>
      </c>
      <c r="C350" s="1205" t="s">
        <v>2898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05" t="s">
        <v>2899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5" t="s">
        <v>2900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5" t="s">
        <v>2901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05" t="s">
        <v>2902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2903</v>
      </c>
      <c r="C355" s="1205" t="s">
        <v>2904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05" t="s">
        <v>2905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5" t="s">
        <v>2906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5" t="s">
        <v>2907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2908</v>
      </c>
      <c r="C359" s="1205" t="s">
        <v>2909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5" t="s">
        <v>2910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5" t="s">
        <v>2911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2912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2913</v>
      </c>
      <c r="C364" s="1205" t="s">
        <v>2914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5" t="s">
        <v>2915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5" t="s">
        <v>2916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2917</v>
      </c>
      <c r="C367" s="1205" t="s">
        <v>2918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2919</v>
      </c>
      <c r="C368" s="1205" t="s">
        <v>2920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2921</v>
      </c>
      <c r="C369" s="1205" t="s">
        <v>2922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5" t="s">
        <v>2923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2924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2925</v>
      </c>
      <c r="C372" s="1205" t="s">
        <v>2926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5" t="s">
        <v>2927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5" t="s">
        <v>2928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2929</v>
      </c>
      <c r="C375" s="1205" t="s">
        <v>2930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2931</v>
      </c>
      <c r="C376" s="1205" t="s">
        <v>2932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2322</v>
      </c>
      <c r="C377" s="1205" t="s">
        <v>2933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2934</v>
      </c>
      <c r="C378" s="1205" t="s">
        <v>2935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2936</v>
      </c>
      <c r="C379" s="1205" t="s">
        <v>2937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2938</v>
      </c>
      <c r="C380" s="1205" t="s">
        <v>2939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5" t="s">
        <v>2940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5" t="s">
        <v>2941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5" t="s">
        <v>2942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2943</v>
      </c>
      <c r="C384" s="1205" t="s">
        <v>2944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5" t="s">
        <v>2945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2946</v>
      </c>
      <c r="C386" s="1205" t="s">
        <v>2947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5" t="s">
        <v>2948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5" t="s">
        <v>2949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2950</v>
      </c>
      <c r="C389" s="1205" t="s">
        <v>2951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452" t="s">
        <v>2952</v>
      </c>
      <c r="G391" s="2452"/>
    </row>
    <row r="392" spans="1:7">
      <c r="A392" s="142"/>
      <c r="B392" s="142"/>
      <c r="D392" s="143"/>
      <c r="F392" s="2453" t="s">
        <v>2085</v>
      </c>
      <c r="G392" s="2453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23"/>
    <col min="2" max="2" width="14" style="1323" customWidth="1"/>
    <col min="3" max="11" width="11.140625" style="1323" customWidth="1"/>
    <col min="12" max="12" width="10.5703125" style="1323" bestFit="1" customWidth="1"/>
    <col min="13" max="16384" width="9.140625" style="1323"/>
  </cols>
  <sheetData>
    <row r="2" spans="1:19">
      <c r="A2" s="2413" t="s">
        <v>3021</v>
      </c>
      <c r="B2" s="2413"/>
      <c r="C2" s="2413"/>
      <c r="D2" s="2413"/>
      <c r="E2" s="2413"/>
      <c r="F2" s="2413"/>
      <c r="G2" s="2413"/>
      <c r="H2" s="2413"/>
      <c r="I2" s="2413"/>
      <c r="J2" s="2413"/>
      <c r="K2" s="2413"/>
      <c r="L2" s="2413"/>
    </row>
    <row r="4" spans="1:19" s="1326" customFormat="1">
      <c r="A4" s="2457" t="s">
        <v>6</v>
      </c>
      <c r="B4" s="2457" t="s">
        <v>3019</v>
      </c>
      <c r="C4" s="2457" t="s">
        <v>3020</v>
      </c>
      <c r="D4" s="2457"/>
      <c r="E4" s="2457"/>
      <c r="F4" s="2457"/>
      <c r="G4" s="2457"/>
      <c r="H4" s="2457"/>
      <c r="I4" s="2457"/>
      <c r="J4" s="2457"/>
      <c r="K4" s="2457"/>
      <c r="L4" s="2457" t="s">
        <v>525</v>
      </c>
      <c r="N4" s="1371"/>
      <c r="O4" s="1371"/>
      <c r="P4" s="1371"/>
      <c r="Q4" s="1371"/>
    </row>
    <row r="5" spans="1:19" s="1326" customFormat="1" ht="93.75">
      <c r="A5" s="2457"/>
      <c r="B5" s="2457"/>
      <c r="C5" s="1371" t="s">
        <v>3033</v>
      </c>
      <c r="D5" s="1371" t="s">
        <v>3034</v>
      </c>
      <c r="E5" s="1371" t="s">
        <v>3035</v>
      </c>
      <c r="F5" s="1371" t="s">
        <v>3036</v>
      </c>
      <c r="G5" s="1375" t="s">
        <v>3037</v>
      </c>
      <c r="H5" s="1325" t="s">
        <v>3038</v>
      </c>
      <c r="I5" s="1325"/>
      <c r="J5" s="1325"/>
      <c r="K5" s="1325"/>
      <c r="L5" s="2457"/>
      <c r="N5" s="1371" t="s">
        <v>3032</v>
      </c>
      <c r="O5" s="1371" t="s">
        <v>3039</v>
      </c>
      <c r="P5" s="1371" t="s">
        <v>3040</v>
      </c>
      <c r="Q5" s="1371" t="s">
        <v>3033</v>
      </c>
      <c r="R5" s="1325"/>
      <c r="S5" s="1325"/>
    </row>
    <row r="6" spans="1:19" s="1326" customFormat="1">
      <c r="A6" s="1372"/>
      <c r="B6" s="1372"/>
      <c r="C6" s="1371">
        <v>1.25</v>
      </c>
      <c r="D6" s="1371">
        <v>0.14285714285714285</v>
      </c>
      <c r="E6" s="1371">
        <v>0.125</v>
      </c>
      <c r="F6" s="1371">
        <v>0.16666666666666666</v>
      </c>
      <c r="G6" s="1373">
        <v>8.3333333333333329E-2</v>
      </c>
      <c r="H6" s="1373">
        <v>0.5</v>
      </c>
      <c r="I6" s="1373"/>
      <c r="J6" s="1373"/>
      <c r="K6" s="1373"/>
      <c r="L6" s="1372"/>
      <c r="N6" s="1371"/>
      <c r="O6" s="1371"/>
      <c r="P6" s="1371"/>
      <c r="Q6" s="1371"/>
    </row>
    <row r="7" spans="1:19" s="1326" customFormat="1">
      <c r="A7" s="1324" t="s">
        <v>2985</v>
      </c>
      <c r="B7" s="1324"/>
      <c r="C7" s="1325">
        <f>SUM(C8:C113)</f>
        <v>249.60000000000042</v>
      </c>
      <c r="D7" s="1325">
        <f t="shared" ref="D7:L7" si="0">SUM(D8:D113)</f>
        <v>0</v>
      </c>
      <c r="E7" s="1325">
        <f t="shared" si="0"/>
        <v>1904</v>
      </c>
      <c r="F7" s="1325">
        <f t="shared" si="0"/>
        <v>1872</v>
      </c>
      <c r="G7" s="1325">
        <f t="shared" si="0"/>
        <v>888</v>
      </c>
      <c r="H7" s="1325">
        <f t="shared" si="0"/>
        <v>0</v>
      </c>
      <c r="I7" s="1325">
        <f t="shared" si="0"/>
        <v>0</v>
      </c>
      <c r="J7" s="1325">
        <f t="shared" si="0"/>
        <v>0</v>
      </c>
      <c r="K7" s="1325">
        <f t="shared" si="0"/>
        <v>0</v>
      </c>
      <c r="L7" s="1325">
        <f t="shared" si="0"/>
        <v>4913.5999999999985</v>
      </c>
    </row>
    <row r="8" spans="1:19">
      <c r="A8" s="1327">
        <v>1</v>
      </c>
      <c r="B8" s="1322" t="s">
        <v>87</v>
      </c>
      <c r="C8" s="1327">
        <f>Q8/$C$6</f>
        <v>2.4</v>
      </c>
      <c r="D8" s="1322"/>
      <c r="E8" s="1322">
        <f>N8/$E$6</f>
        <v>16</v>
      </c>
      <c r="F8" s="1322">
        <f>P8/$F$6</f>
        <v>18</v>
      </c>
      <c r="G8" s="1322">
        <f>O8/$G$6</f>
        <v>12</v>
      </c>
      <c r="H8" s="1322"/>
      <c r="I8" s="1322"/>
      <c r="J8" s="1322"/>
      <c r="K8" s="1322"/>
      <c r="L8" s="1322">
        <f>SUM(C8:K8)</f>
        <v>48.4</v>
      </c>
      <c r="N8" s="1323">
        <v>2</v>
      </c>
      <c r="O8" s="1323">
        <v>1</v>
      </c>
      <c r="P8" s="1323">
        <v>3</v>
      </c>
      <c r="Q8" s="1323">
        <v>3</v>
      </c>
    </row>
    <row r="9" spans="1:19">
      <c r="A9" s="1327">
        <v>2</v>
      </c>
      <c r="B9" s="1322" t="s">
        <v>62</v>
      </c>
      <c r="C9" s="1327">
        <f t="shared" ref="C9:C72" si="1">Q9/$C$6</f>
        <v>2.4</v>
      </c>
      <c r="D9" s="1322"/>
      <c r="E9" s="1322">
        <f t="shared" ref="E9:E72" si="2">N9/$E$6</f>
        <v>8</v>
      </c>
      <c r="F9" s="1322">
        <f t="shared" ref="F9:F72" si="3">P9/$F$6</f>
        <v>18</v>
      </c>
      <c r="G9" s="1322">
        <f t="shared" ref="G9:G72" si="4">O9/$G$6</f>
        <v>24</v>
      </c>
      <c r="H9" s="1322"/>
      <c r="I9" s="1322"/>
      <c r="J9" s="1322"/>
      <c r="K9" s="1322"/>
      <c r="L9" s="1322">
        <f t="shared" ref="L9:L72" si="5">SUM(C9:K9)</f>
        <v>52.4</v>
      </c>
      <c r="N9" s="1323">
        <v>1</v>
      </c>
      <c r="O9" s="1323">
        <v>2</v>
      </c>
      <c r="P9" s="1323">
        <v>3</v>
      </c>
      <c r="Q9" s="1323">
        <v>3</v>
      </c>
    </row>
    <row r="10" spans="1:19">
      <c r="A10" s="1327">
        <v>3</v>
      </c>
      <c r="B10" s="1322" t="s">
        <v>79</v>
      </c>
      <c r="C10" s="1327">
        <f t="shared" si="1"/>
        <v>2.4</v>
      </c>
      <c r="D10" s="1322"/>
      <c r="E10" s="1322">
        <f t="shared" si="2"/>
        <v>8</v>
      </c>
      <c r="F10" s="1322">
        <f t="shared" si="3"/>
        <v>18</v>
      </c>
      <c r="G10" s="1322">
        <f t="shared" si="4"/>
        <v>24</v>
      </c>
      <c r="H10" s="1322"/>
      <c r="I10" s="1322"/>
      <c r="J10" s="1322"/>
      <c r="K10" s="1322"/>
      <c r="L10" s="1322">
        <f t="shared" si="5"/>
        <v>52.4</v>
      </c>
      <c r="N10" s="1323">
        <v>1</v>
      </c>
      <c r="O10" s="1323">
        <v>2</v>
      </c>
      <c r="P10" s="1323">
        <v>3</v>
      </c>
      <c r="Q10" s="1323">
        <v>3</v>
      </c>
    </row>
    <row r="11" spans="1:19">
      <c r="A11" s="1327">
        <v>4</v>
      </c>
      <c r="B11" s="1322" t="s">
        <v>27</v>
      </c>
      <c r="C11" s="1327">
        <f t="shared" si="1"/>
        <v>2.4</v>
      </c>
      <c r="D11" s="1322"/>
      <c r="E11" s="1322">
        <f t="shared" si="2"/>
        <v>8</v>
      </c>
      <c r="F11" s="1322">
        <f t="shared" si="3"/>
        <v>18</v>
      </c>
      <c r="G11" s="1322">
        <f t="shared" si="4"/>
        <v>24</v>
      </c>
      <c r="H11" s="1322"/>
      <c r="I11" s="1322"/>
      <c r="J11" s="1322"/>
      <c r="K11" s="1322"/>
      <c r="L11" s="1322">
        <f t="shared" si="5"/>
        <v>52.4</v>
      </c>
      <c r="N11" s="1323">
        <v>1</v>
      </c>
      <c r="O11" s="1323">
        <v>2</v>
      </c>
      <c r="P11" s="1323">
        <v>3</v>
      </c>
      <c r="Q11" s="1323">
        <v>3</v>
      </c>
    </row>
    <row r="12" spans="1:19">
      <c r="A12" s="1327">
        <v>5</v>
      </c>
      <c r="B12" s="1322" t="s">
        <v>28</v>
      </c>
      <c r="C12" s="1327">
        <f t="shared" si="1"/>
        <v>2.4</v>
      </c>
      <c r="D12" s="1322"/>
      <c r="E12" s="1322">
        <f t="shared" si="2"/>
        <v>8</v>
      </c>
      <c r="F12" s="1322">
        <f t="shared" si="3"/>
        <v>18</v>
      </c>
      <c r="G12" s="1322">
        <f t="shared" si="4"/>
        <v>24</v>
      </c>
      <c r="H12" s="1322"/>
      <c r="I12" s="1322"/>
      <c r="J12" s="1322"/>
      <c r="K12" s="1322"/>
      <c r="L12" s="1322">
        <f t="shared" si="5"/>
        <v>52.4</v>
      </c>
      <c r="N12" s="1323">
        <v>1</v>
      </c>
      <c r="O12" s="1323">
        <v>2</v>
      </c>
      <c r="P12" s="1323">
        <v>3</v>
      </c>
      <c r="Q12" s="1323">
        <v>3</v>
      </c>
    </row>
    <row r="13" spans="1:19">
      <c r="A13" s="1327">
        <v>6</v>
      </c>
      <c r="B13" s="1322" t="s">
        <v>41</v>
      </c>
      <c r="C13" s="1327">
        <f t="shared" si="1"/>
        <v>2.4</v>
      </c>
      <c r="D13" s="1322"/>
      <c r="E13" s="1322">
        <f t="shared" si="2"/>
        <v>8</v>
      </c>
      <c r="F13" s="1322">
        <f t="shared" si="3"/>
        <v>18</v>
      </c>
      <c r="G13" s="1322">
        <f t="shared" si="4"/>
        <v>24</v>
      </c>
      <c r="H13" s="1322"/>
      <c r="I13" s="1322"/>
      <c r="J13" s="1322"/>
      <c r="K13" s="1322"/>
      <c r="L13" s="1322">
        <f t="shared" si="5"/>
        <v>52.4</v>
      </c>
      <c r="N13" s="1323">
        <v>1</v>
      </c>
      <c r="O13" s="1323">
        <v>2</v>
      </c>
      <c r="P13" s="1323">
        <v>3</v>
      </c>
      <c r="Q13" s="1323">
        <v>3</v>
      </c>
    </row>
    <row r="14" spans="1:19">
      <c r="A14" s="1327">
        <v>7</v>
      </c>
      <c r="B14" s="1322" t="s">
        <v>38</v>
      </c>
      <c r="C14" s="1327">
        <f t="shared" si="1"/>
        <v>2.4</v>
      </c>
      <c r="D14" s="1322"/>
      <c r="E14" s="1322">
        <f t="shared" si="2"/>
        <v>8</v>
      </c>
      <c r="F14" s="1322">
        <f t="shared" si="3"/>
        <v>18</v>
      </c>
      <c r="G14" s="1322">
        <f t="shared" si="4"/>
        <v>24</v>
      </c>
      <c r="H14" s="1322"/>
      <c r="I14" s="1322"/>
      <c r="J14" s="1322"/>
      <c r="K14" s="1322"/>
      <c r="L14" s="1322">
        <f t="shared" si="5"/>
        <v>52.4</v>
      </c>
      <c r="N14" s="1323">
        <v>1</v>
      </c>
      <c r="O14" s="1323">
        <v>2</v>
      </c>
      <c r="P14" s="1323">
        <v>3</v>
      </c>
      <c r="Q14" s="1323">
        <v>3</v>
      </c>
    </row>
    <row r="15" spans="1:19">
      <c r="A15" s="1327">
        <v>8</v>
      </c>
      <c r="B15" s="1322" t="s">
        <v>39</v>
      </c>
      <c r="C15" s="1327">
        <f t="shared" si="1"/>
        <v>2.4</v>
      </c>
      <c r="D15" s="1322"/>
      <c r="E15" s="1322">
        <f t="shared" si="2"/>
        <v>8</v>
      </c>
      <c r="F15" s="1322">
        <f t="shared" si="3"/>
        <v>18</v>
      </c>
      <c r="G15" s="1322">
        <f t="shared" si="4"/>
        <v>24</v>
      </c>
      <c r="H15" s="1322"/>
      <c r="I15" s="1322"/>
      <c r="J15" s="1322"/>
      <c r="K15" s="1322"/>
      <c r="L15" s="1322">
        <f t="shared" si="5"/>
        <v>52.4</v>
      </c>
      <c r="N15" s="1323">
        <v>1</v>
      </c>
      <c r="O15" s="1323">
        <v>2</v>
      </c>
      <c r="P15" s="1323">
        <v>3</v>
      </c>
      <c r="Q15" s="1323">
        <v>3</v>
      </c>
    </row>
    <row r="16" spans="1:19">
      <c r="A16" s="1327">
        <v>9</v>
      </c>
      <c r="B16" s="1322" t="s">
        <v>98</v>
      </c>
      <c r="C16" s="1327">
        <f t="shared" si="1"/>
        <v>2.4</v>
      </c>
      <c r="D16" s="1322"/>
      <c r="E16" s="1322">
        <f t="shared" si="2"/>
        <v>8</v>
      </c>
      <c r="F16" s="1322">
        <f t="shared" si="3"/>
        <v>18</v>
      </c>
      <c r="G16" s="1322">
        <f t="shared" si="4"/>
        <v>24</v>
      </c>
      <c r="H16" s="1322"/>
      <c r="I16" s="1322"/>
      <c r="J16" s="1322"/>
      <c r="K16" s="1322"/>
      <c r="L16" s="1322">
        <f t="shared" si="5"/>
        <v>52.4</v>
      </c>
      <c r="N16" s="1323">
        <v>1</v>
      </c>
      <c r="O16" s="1323">
        <v>2</v>
      </c>
      <c r="P16" s="1323">
        <v>3</v>
      </c>
      <c r="Q16" s="1323">
        <v>3</v>
      </c>
    </row>
    <row r="17" spans="1:17">
      <c r="A17" s="1327">
        <v>10</v>
      </c>
      <c r="B17" s="1322" t="s">
        <v>1999</v>
      </c>
      <c r="C17" s="1327">
        <f t="shared" si="1"/>
        <v>2.4</v>
      </c>
      <c r="D17" s="1322"/>
      <c r="E17" s="1322">
        <f t="shared" si="2"/>
        <v>8</v>
      </c>
      <c r="F17" s="1322">
        <f t="shared" si="3"/>
        <v>18</v>
      </c>
      <c r="G17" s="1322">
        <f t="shared" si="4"/>
        <v>24</v>
      </c>
      <c r="H17" s="1322"/>
      <c r="I17" s="1322"/>
      <c r="J17" s="1322"/>
      <c r="K17" s="1322"/>
      <c r="L17" s="1322">
        <f t="shared" si="5"/>
        <v>52.4</v>
      </c>
      <c r="N17" s="1323">
        <v>1</v>
      </c>
      <c r="O17" s="1323">
        <v>2</v>
      </c>
      <c r="P17" s="1323">
        <v>3</v>
      </c>
      <c r="Q17" s="1323">
        <v>3</v>
      </c>
    </row>
    <row r="18" spans="1:17">
      <c r="A18" s="1327">
        <v>11</v>
      </c>
      <c r="B18" s="1322" t="s">
        <v>29</v>
      </c>
      <c r="C18" s="1327">
        <f t="shared" si="1"/>
        <v>2.4</v>
      </c>
      <c r="D18" s="1322"/>
      <c r="E18" s="1322">
        <f t="shared" si="2"/>
        <v>8</v>
      </c>
      <c r="F18" s="1322">
        <f t="shared" si="3"/>
        <v>18</v>
      </c>
      <c r="G18" s="1322">
        <f t="shared" si="4"/>
        <v>24</v>
      </c>
      <c r="H18" s="1322"/>
      <c r="I18" s="1322"/>
      <c r="J18" s="1322"/>
      <c r="K18" s="1322"/>
      <c r="L18" s="1322">
        <f t="shared" si="5"/>
        <v>52.4</v>
      </c>
      <c r="N18" s="1323">
        <v>1</v>
      </c>
      <c r="O18" s="1323">
        <v>2</v>
      </c>
      <c r="P18" s="1323">
        <v>3</v>
      </c>
      <c r="Q18" s="1323">
        <v>3</v>
      </c>
    </row>
    <row r="19" spans="1:17">
      <c r="A19" s="1327">
        <v>12</v>
      </c>
      <c r="B19" s="1322" t="s">
        <v>2000</v>
      </c>
      <c r="C19" s="1327">
        <f t="shared" si="1"/>
        <v>2.4</v>
      </c>
      <c r="D19" s="1322"/>
      <c r="E19" s="1322">
        <f t="shared" si="2"/>
        <v>8</v>
      </c>
      <c r="F19" s="1322">
        <f t="shared" si="3"/>
        <v>18</v>
      </c>
      <c r="G19" s="1322">
        <f t="shared" si="4"/>
        <v>24</v>
      </c>
      <c r="H19" s="1322"/>
      <c r="I19" s="1322"/>
      <c r="J19" s="1322"/>
      <c r="K19" s="1322"/>
      <c r="L19" s="1322">
        <f t="shared" si="5"/>
        <v>52.4</v>
      </c>
      <c r="N19" s="1323">
        <v>1</v>
      </c>
      <c r="O19" s="1323">
        <v>2</v>
      </c>
      <c r="P19" s="1323">
        <v>3</v>
      </c>
      <c r="Q19" s="1323">
        <v>3</v>
      </c>
    </row>
    <row r="20" spans="1:17">
      <c r="A20" s="1327">
        <v>13</v>
      </c>
      <c r="B20" s="1322" t="s">
        <v>100</v>
      </c>
      <c r="C20" s="1327">
        <f t="shared" si="1"/>
        <v>2.4</v>
      </c>
      <c r="D20" s="1322"/>
      <c r="E20" s="1322">
        <f t="shared" si="2"/>
        <v>8</v>
      </c>
      <c r="F20" s="1322">
        <f t="shared" si="3"/>
        <v>18</v>
      </c>
      <c r="G20" s="1322">
        <f t="shared" si="4"/>
        <v>24</v>
      </c>
      <c r="H20" s="1322"/>
      <c r="I20" s="1322"/>
      <c r="J20" s="1322"/>
      <c r="K20" s="1322"/>
      <c r="L20" s="1322">
        <f t="shared" si="5"/>
        <v>52.4</v>
      </c>
      <c r="N20" s="1323">
        <v>1</v>
      </c>
      <c r="O20" s="1323">
        <v>2</v>
      </c>
      <c r="P20" s="1323">
        <v>3</v>
      </c>
      <c r="Q20" s="1323">
        <v>3</v>
      </c>
    </row>
    <row r="21" spans="1:17">
      <c r="A21" s="1327">
        <v>14</v>
      </c>
      <c r="B21" s="1322" t="s">
        <v>92</v>
      </c>
      <c r="C21" s="1327">
        <f t="shared" si="1"/>
        <v>2.4</v>
      </c>
      <c r="D21" s="1322"/>
      <c r="E21" s="1322">
        <f t="shared" si="2"/>
        <v>8</v>
      </c>
      <c r="F21" s="1322">
        <f t="shared" si="3"/>
        <v>18</v>
      </c>
      <c r="G21" s="1322">
        <f t="shared" si="4"/>
        <v>24</v>
      </c>
      <c r="H21" s="1322"/>
      <c r="I21" s="1322"/>
      <c r="J21" s="1322"/>
      <c r="K21" s="1322"/>
      <c r="L21" s="1322">
        <f t="shared" si="5"/>
        <v>52.4</v>
      </c>
      <c r="N21" s="1323">
        <v>1</v>
      </c>
      <c r="O21" s="1323">
        <v>2</v>
      </c>
      <c r="P21" s="1323">
        <v>3</v>
      </c>
      <c r="Q21" s="1323">
        <v>3</v>
      </c>
    </row>
    <row r="22" spans="1:17">
      <c r="A22" s="1327">
        <v>15</v>
      </c>
      <c r="B22" s="1322" t="s">
        <v>2001</v>
      </c>
      <c r="C22" s="1327">
        <f t="shared" si="1"/>
        <v>2.4</v>
      </c>
      <c r="D22" s="1322"/>
      <c r="E22" s="1322">
        <f t="shared" si="2"/>
        <v>8</v>
      </c>
      <c r="F22" s="1322">
        <f t="shared" si="3"/>
        <v>18</v>
      </c>
      <c r="G22" s="1322">
        <f t="shared" si="4"/>
        <v>24</v>
      </c>
      <c r="H22" s="1322"/>
      <c r="I22" s="1322"/>
      <c r="J22" s="1322"/>
      <c r="K22" s="1322"/>
      <c r="L22" s="1322">
        <f t="shared" si="5"/>
        <v>52.4</v>
      </c>
      <c r="N22" s="1323">
        <v>1</v>
      </c>
      <c r="O22" s="1323">
        <v>2</v>
      </c>
      <c r="P22" s="1323">
        <v>3</v>
      </c>
      <c r="Q22" s="1323">
        <v>3</v>
      </c>
    </row>
    <row r="23" spans="1:17">
      <c r="A23" s="1327">
        <v>16</v>
      </c>
      <c r="B23" s="1322" t="s">
        <v>75</v>
      </c>
      <c r="C23" s="1327">
        <f t="shared" si="1"/>
        <v>2.4</v>
      </c>
      <c r="D23" s="1322"/>
      <c r="E23" s="1322">
        <f t="shared" si="2"/>
        <v>8</v>
      </c>
      <c r="F23" s="1322">
        <f t="shared" si="3"/>
        <v>18</v>
      </c>
      <c r="G23" s="1322">
        <f t="shared" si="4"/>
        <v>24</v>
      </c>
      <c r="H23" s="1322"/>
      <c r="I23" s="1322"/>
      <c r="J23" s="1322"/>
      <c r="K23" s="1322"/>
      <c r="L23" s="1322">
        <f t="shared" si="5"/>
        <v>52.4</v>
      </c>
      <c r="N23" s="1323">
        <v>1</v>
      </c>
      <c r="O23" s="1323">
        <v>2</v>
      </c>
      <c r="P23" s="1323">
        <v>3</v>
      </c>
      <c r="Q23" s="1323">
        <v>3</v>
      </c>
    </row>
    <row r="24" spans="1:17">
      <c r="A24" s="1327">
        <v>17</v>
      </c>
      <c r="B24" s="1322" t="s">
        <v>1276</v>
      </c>
      <c r="C24" s="1327">
        <f t="shared" si="1"/>
        <v>2.4</v>
      </c>
      <c r="D24" s="1322"/>
      <c r="E24" s="1322">
        <f t="shared" si="2"/>
        <v>8</v>
      </c>
      <c r="F24" s="1322">
        <f t="shared" si="3"/>
        <v>18</v>
      </c>
      <c r="G24" s="1322">
        <f t="shared" si="4"/>
        <v>24</v>
      </c>
      <c r="H24" s="1322"/>
      <c r="I24" s="1322"/>
      <c r="J24" s="1322"/>
      <c r="K24" s="1322"/>
      <c r="L24" s="1322">
        <f t="shared" si="5"/>
        <v>52.4</v>
      </c>
      <c r="N24" s="1323">
        <v>1</v>
      </c>
      <c r="O24" s="1323">
        <v>2</v>
      </c>
      <c r="P24" s="1323">
        <v>3</v>
      </c>
      <c r="Q24" s="1323">
        <v>3</v>
      </c>
    </row>
    <row r="25" spans="1:17">
      <c r="A25" s="1327">
        <v>18</v>
      </c>
      <c r="B25" s="1322" t="s">
        <v>56</v>
      </c>
      <c r="C25" s="1327">
        <f t="shared" si="1"/>
        <v>2.4</v>
      </c>
      <c r="D25" s="1322"/>
      <c r="E25" s="1322">
        <f t="shared" si="2"/>
        <v>8</v>
      </c>
      <c r="F25" s="1322">
        <f t="shared" si="3"/>
        <v>18</v>
      </c>
      <c r="G25" s="1322">
        <f t="shared" si="4"/>
        <v>24</v>
      </c>
      <c r="H25" s="1322"/>
      <c r="I25" s="1322"/>
      <c r="J25" s="1322"/>
      <c r="K25" s="1322"/>
      <c r="L25" s="1322">
        <f t="shared" si="5"/>
        <v>52.4</v>
      </c>
      <c r="N25" s="1323">
        <v>1</v>
      </c>
      <c r="O25" s="1323">
        <v>2</v>
      </c>
      <c r="P25" s="1323">
        <v>3</v>
      </c>
      <c r="Q25" s="1323">
        <v>3</v>
      </c>
    </row>
    <row r="26" spans="1:17">
      <c r="A26" s="1327">
        <v>19</v>
      </c>
      <c r="B26" s="1322" t="s">
        <v>78</v>
      </c>
      <c r="C26" s="1327">
        <f t="shared" si="1"/>
        <v>2.4</v>
      </c>
      <c r="D26" s="1322"/>
      <c r="E26" s="1322">
        <f t="shared" si="2"/>
        <v>8</v>
      </c>
      <c r="F26" s="1322">
        <f t="shared" si="3"/>
        <v>18</v>
      </c>
      <c r="G26" s="1322">
        <f t="shared" si="4"/>
        <v>24</v>
      </c>
      <c r="H26" s="1322"/>
      <c r="I26" s="1322"/>
      <c r="J26" s="1322"/>
      <c r="K26" s="1322"/>
      <c r="L26" s="1322">
        <f t="shared" si="5"/>
        <v>52.4</v>
      </c>
      <c r="N26" s="1323">
        <v>1</v>
      </c>
      <c r="O26" s="1323">
        <v>2</v>
      </c>
      <c r="P26" s="1323">
        <v>3</v>
      </c>
      <c r="Q26" s="1323">
        <v>3</v>
      </c>
    </row>
    <row r="27" spans="1:17">
      <c r="A27" s="1327">
        <v>20</v>
      </c>
      <c r="B27" s="1322" t="s">
        <v>2002</v>
      </c>
      <c r="C27" s="1327">
        <f t="shared" si="1"/>
        <v>2.4</v>
      </c>
      <c r="D27" s="1322"/>
      <c r="E27" s="1322">
        <f t="shared" si="2"/>
        <v>8</v>
      </c>
      <c r="F27" s="1322">
        <f t="shared" si="3"/>
        <v>18</v>
      </c>
      <c r="G27" s="1322">
        <f t="shared" si="4"/>
        <v>24</v>
      </c>
      <c r="H27" s="1322"/>
      <c r="I27" s="1322"/>
      <c r="J27" s="1322"/>
      <c r="K27" s="1322"/>
      <c r="L27" s="1322">
        <f t="shared" si="5"/>
        <v>52.4</v>
      </c>
      <c r="N27" s="1323">
        <v>1</v>
      </c>
      <c r="O27" s="1323">
        <v>2</v>
      </c>
      <c r="P27" s="1323">
        <v>3</v>
      </c>
      <c r="Q27" s="1323">
        <v>3</v>
      </c>
    </row>
    <row r="28" spans="1:17">
      <c r="A28" s="1327">
        <v>21</v>
      </c>
      <c r="B28" s="1322" t="s">
        <v>492</v>
      </c>
      <c r="C28" s="1327">
        <f t="shared" si="1"/>
        <v>2.4</v>
      </c>
      <c r="D28" s="1322"/>
      <c r="E28" s="1322">
        <f t="shared" si="2"/>
        <v>8</v>
      </c>
      <c r="F28" s="1322">
        <f t="shared" si="3"/>
        <v>18</v>
      </c>
      <c r="G28" s="1322">
        <f t="shared" si="4"/>
        <v>24</v>
      </c>
      <c r="H28" s="1322"/>
      <c r="I28" s="1322"/>
      <c r="J28" s="1322"/>
      <c r="K28" s="1322"/>
      <c r="L28" s="1322">
        <f t="shared" si="5"/>
        <v>52.4</v>
      </c>
      <c r="N28" s="1323">
        <v>1</v>
      </c>
      <c r="O28" s="1323">
        <v>2</v>
      </c>
      <c r="P28" s="1323">
        <v>3</v>
      </c>
      <c r="Q28" s="1323">
        <v>3</v>
      </c>
    </row>
    <row r="29" spans="1:17">
      <c r="A29" s="1327">
        <v>22</v>
      </c>
      <c r="B29" s="1322" t="s">
        <v>493</v>
      </c>
      <c r="C29" s="1327">
        <f t="shared" si="1"/>
        <v>2.4</v>
      </c>
      <c r="D29" s="1322"/>
      <c r="E29" s="1322">
        <f t="shared" si="2"/>
        <v>8</v>
      </c>
      <c r="F29" s="1322">
        <f t="shared" si="3"/>
        <v>18</v>
      </c>
      <c r="G29" s="1322">
        <f t="shared" si="4"/>
        <v>24</v>
      </c>
      <c r="H29" s="1322"/>
      <c r="I29" s="1322"/>
      <c r="J29" s="1322"/>
      <c r="K29" s="1322"/>
      <c r="L29" s="1322">
        <f t="shared" si="5"/>
        <v>52.4</v>
      </c>
      <c r="N29" s="1323">
        <v>1</v>
      </c>
      <c r="O29" s="1323">
        <v>2</v>
      </c>
      <c r="P29" s="1323">
        <v>3</v>
      </c>
      <c r="Q29" s="1323">
        <v>3</v>
      </c>
    </row>
    <row r="30" spans="1:17">
      <c r="A30" s="1327">
        <v>23</v>
      </c>
      <c r="B30" s="1322" t="s">
        <v>89</v>
      </c>
      <c r="C30" s="1327">
        <f t="shared" si="1"/>
        <v>2.4</v>
      </c>
      <c r="D30" s="1322"/>
      <c r="E30" s="1322">
        <f t="shared" si="2"/>
        <v>8</v>
      </c>
      <c r="F30" s="1322">
        <f t="shared" si="3"/>
        <v>18</v>
      </c>
      <c r="G30" s="1322">
        <f t="shared" si="4"/>
        <v>24</v>
      </c>
      <c r="H30" s="1322"/>
      <c r="I30" s="1322"/>
      <c r="J30" s="1322"/>
      <c r="K30" s="1322"/>
      <c r="L30" s="1322">
        <f t="shared" si="5"/>
        <v>52.4</v>
      </c>
      <c r="N30" s="1323">
        <v>1</v>
      </c>
      <c r="O30" s="1323">
        <v>2</v>
      </c>
      <c r="P30" s="1323">
        <v>3</v>
      </c>
      <c r="Q30" s="1323">
        <v>3</v>
      </c>
    </row>
    <row r="31" spans="1:17">
      <c r="A31" s="1327">
        <v>24</v>
      </c>
      <c r="B31" s="1322" t="s">
        <v>90</v>
      </c>
      <c r="C31" s="1327">
        <f t="shared" si="1"/>
        <v>2.4</v>
      </c>
      <c r="D31" s="1322"/>
      <c r="E31" s="1322">
        <f t="shared" si="2"/>
        <v>8</v>
      </c>
      <c r="F31" s="1322">
        <f t="shared" si="3"/>
        <v>18</v>
      </c>
      <c r="G31" s="1322">
        <f t="shared" si="4"/>
        <v>24</v>
      </c>
      <c r="H31" s="1322"/>
      <c r="I31" s="1322"/>
      <c r="J31" s="1322"/>
      <c r="K31" s="1322"/>
      <c r="L31" s="1322">
        <f t="shared" si="5"/>
        <v>52.4</v>
      </c>
      <c r="N31" s="1323">
        <v>1</v>
      </c>
      <c r="O31" s="1323">
        <v>2</v>
      </c>
      <c r="P31" s="1323">
        <v>3</v>
      </c>
      <c r="Q31" s="1323">
        <v>3</v>
      </c>
    </row>
    <row r="32" spans="1:17">
      <c r="A32" s="1327">
        <v>25</v>
      </c>
      <c r="B32" s="1322" t="s">
        <v>1671</v>
      </c>
      <c r="C32" s="1327">
        <f t="shared" si="1"/>
        <v>2.4</v>
      </c>
      <c r="D32" s="1322"/>
      <c r="E32" s="1322">
        <f t="shared" si="2"/>
        <v>8</v>
      </c>
      <c r="F32" s="1322">
        <f t="shared" si="3"/>
        <v>18</v>
      </c>
      <c r="G32" s="1322">
        <f t="shared" si="4"/>
        <v>24</v>
      </c>
      <c r="H32" s="1322"/>
      <c r="I32" s="1322"/>
      <c r="J32" s="1322"/>
      <c r="K32" s="1322"/>
      <c r="L32" s="1322">
        <f t="shared" si="5"/>
        <v>52.4</v>
      </c>
      <c r="N32" s="1323">
        <v>1</v>
      </c>
      <c r="O32" s="1323">
        <v>2</v>
      </c>
      <c r="P32" s="1323">
        <v>3</v>
      </c>
      <c r="Q32" s="1323">
        <v>3</v>
      </c>
    </row>
    <row r="33" spans="1:17">
      <c r="A33" s="1327">
        <v>26</v>
      </c>
      <c r="B33" s="1322" t="s">
        <v>64</v>
      </c>
      <c r="C33" s="1327">
        <f t="shared" si="1"/>
        <v>2.4</v>
      </c>
      <c r="D33" s="1322"/>
      <c r="E33" s="1322">
        <f t="shared" si="2"/>
        <v>8</v>
      </c>
      <c r="F33" s="1322">
        <f t="shared" si="3"/>
        <v>18</v>
      </c>
      <c r="G33" s="1322">
        <f t="shared" si="4"/>
        <v>24</v>
      </c>
      <c r="H33" s="1322"/>
      <c r="I33" s="1322"/>
      <c r="J33" s="1322"/>
      <c r="K33" s="1322"/>
      <c r="L33" s="1322">
        <f t="shared" si="5"/>
        <v>52.4</v>
      </c>
      <c r="N33" s="1323">
        <v>1</v>
      </c>
      <c r="O33" s="1323">
        <v>2</v>
      </c>
      <c r="P33" s="1323">
        <v>3</v>
      </c>
      <c r="Q33" s="1323">
        <v>3</v>
      </c>
    </row>
    <row r="34" spans="1:17">
      <c r="A34" s="1327">
        <v>27</v>
      </c>
      <c r="B34" s="1322" t="s">
        <v>65</v>
      </c>
      <c r="C34" s="1327">
        <f t="shared" si="1"/>
        <v>2.4</v>
      </c>
      <c r="D34" s="1322"/>
      <c r="E34" s="1322">
        <f t="shared" si="2"/>
        <v>8</v>
      </c>
      <c r="F34" s="1322">
        <f t="shared" si="3"/>
        <v>18</v>
      </c>
      <c r="G34" s="1322">
        <f t="shared" si="4"/>
        <v>24</v>
      </c>
      <c r="H34" s="1322"/>
      <c r="I34" s="1322"/>
      <c r="J34" s="1322"/>
      <c r="K34" s="1322"/>
      <c r="L34" s="1322">
        <f t="shared" si="5"/>
        <v>52.4</v>
      </c>
      <c r="N34" s="1323">
        <v>1</v>
      </c>
      <c r="O34" s="1323">
        <v>2</v>
      </c>
      <c r="P34" s="1323">
        <v>3</v>
      </c>
      <c r="Q34" s="1323">
        <v>3</v>
      </c>
    </row>
    <row r="35" spans="1:17">
      <c r="A35" s="1327">
        <v>28</v>
      </c>
      <c r="B35" s="1322" t="s">
        <v>91</v>
      </c>
      <c r="C35" s="1327">
        <f t="shared" si="1"/>
        <v>2.4</v>
      </c>
      <c r="D35" s="1322"/>
      <c r="E35" s="1322">
        <f t="shared" si="2"/>
        <v>8</v>
      </c>
      <c r="F35" s="1322">
        <f t="shared" si="3"/>
        <v>18</v>
      </c>
      <c r="G35" s="1322">
        <f t="shared" si="4"/>
        <v>24</v>
      </c>
      <c r="H35" s="1322"/>
      <c r="I35" s="1322"/>
      <c r="J35" s="1322"/>
      <c r="K35" s="1322"/>
      <c r="L35" s="1322">
        <f t="shared" si="5"/>
        <v>52.4</v>
      </c>
      <c r="N35" s="1323">
        <v>1</v>
      </c>
      <c r="O35" s="1323">
        <v>2</v>
      </c>
      <c r="P35" s="1323">
        <v>3</v>
      </c>
      <c r="Q35" s="1323">
        <v>3</v>
      </c>
    </row>
    <row r="36" spans="1:17">
      <c r="A36" s="1327">
        <v>29</v>
      </c>
      <c r="B36" s="1322" t="s">
        <v>102</v>
      </c>
      <c r="C36" s="1327">
        <f t="shared" si="1"/>
        <v>2.4</v>
      </c>
      <c r="D36" s="1322"/>
      <c r="E36" s="1322">
        <f t="shared" si="2"/>
        <v>8</v>
      </c>
      <c r="F36" s="1322">
        <f t="shared" si="3"/>
        <v>18</v>
      </c>
      <c r="G36" s="1322">
        <f t="shared" si="4"/>
        <v>24</v>
      </c>
      <c r="H36" s="1322"/>
      <c r="I36" s="1322"/>
      <c r="J36" s="1322"/>
      <c r="K36" s="1322"/>
      <c r="L36" s="1322">
        <f t="shared" si="5"/>
        <v>52.4</v>
      </c>
      <c r="N36" s="1323">
        <v>1</v>
      </c>
      <c r="O36" s="1323">
        <v>2</v>
      </c>
      <c r="P36" s="1323">
        <v>3</v>
      </c>
      <c r="Q36" s="1323">
        <v>3</v>
      </c>
    </row>
    <row r="37" spans="1:17">
      <c r="A37" s="1327">
        <v>30</v>
      </c>
      <c r="B37" s="1322" t="s">
        <v>88</v>
      </c>
      <c r="C37" s="1327">
        <f t="shared" si="1"/>
        <v>2.4</v>
      </c>
      <c r="D37" s="1322"/>
      <c r="E37" s="1322">
        <f t="shared" si="2"/>
        <v>8</v>
      </c>
      <c r="F37" s="1322">
        <f t="shared" si="3"/>
        <v>18</v>
      </c>
      <c r="G37" s="1322">
        <f t="shared" si="4"/>
        <v>24</v>
      </c>
      <c r="H37" s="1322"/>
      <c r="I37" s="1322"/>
      <c r="J37" s="1322"/>
      <c r="K37" s="1322"/>
      <c r="L37" s="1322">
        <f t="shared" si="5"/>
        <v>52.4</v>
      </c>
      <c r="N37" s="1323">
        <v>1</v>
      </c>
      <c r="O37" s="1323">
        <v>2</v>
      </c>
      <c r="P37" s="1323">
        <v>3</v>
      </c>
      <c r="Q37" s="1323">
        <v>3</v>
      </c>
    </row>
    <row r="38" spans="1:17">
      <c r="A38" s="1327">
        <v>31</v>
      </c>
      <c r="B38" s="1322" t="s">
        <v>1292</v>
      </c>
      <c r="C38" s="1327">
        <f t="shared" si="1"/>
        <v>2.4</v>
      </c>
      <c r="D38" s="1322"/>
      <c r="E38" s="1322">
        <f t="shared" si="2"/>
        <v>8</v>
      </c>
      <c r="F38" s="1322">
        <f t="shared" si="3"/>
        <v>18</v>
      </c>
      <c r="G38" s="1322">
        <f t="shared" si="4"/>
        <v>24</v>
      </c>
      <c r="H38" s="1322"/>
      <c r="I38" s="1322"/>
      <c r="J38" s="1322"/>
      <c r="K38" s="1322"/>
      <c r="L38" s="1322">
        <f t="shared" si="5"/>
        <v>52.4</v>
      </c>
      <c r="N38" s="1323">
        <v>1</v>
      </c>
      <c r="O38" s="1323">
        <v>2</v>
      </c>
      <c r="P38" s="1323">
        <v>3</v>
      </c>
      <c r="Q38" s="1323">
        <v>3</v>
      </c>
    </row>
    <row r="39" spans="1:17">
      <c r="A39" s="1327">
        <v>32</v>
      </c>
      <c r="B39" s="1322" t="s">
        <v>74</v>
      </c>
      <c r="C39" s="1327">
        <f t="shared" si="1"/>
        <v>2.4</v>
      </c>
      <c r="D39" s="1322"/>
      <c r="E39" s="1322">
        <f t="shared" si="2"/>
        <v>8</v>
      </c>
      <c r="F39" s="1322">
        <f t="shared" si="3"/>
        <v>18</v>
      </c>
      <c r="G39" s="1322">
        <f t="shared" si="4"/>
        <v>24</v>
      </c>
      <c r="H39" s="1322"/>
      <c r="I39" s="1322"/>
      <c r="J39" s="1322"/>
      <c r="K39" s="1322"/>
      <c r="L39" s="1322">
        <f t="shared" si="5"/>
        <v>52.4</v>
      </c>
      <c r="N39" s="1323">
        <v>1</v>
      </c>
      <c r="O39" s="1323">
        <v>2</v>
      </c>
      <c r="P39" s="1323">
        <v>3</v>
      </c>
      <c r="Q39" s="1323">
        <v>3</v>
      </c>
    </row>
    <row r="40" spans="1:17">
      <c r="A40" s="1327">
        <v>33</v>
      </c>
      <c r="B40" s="1322" t="s">
        <v>77</v>
      </c>
      <c r="C40" s="1327">
        <f t="shared" si="1"/>
        <v>2.4</v>
      </c>
      <c r="D40" s="1322"/>
      <c r="E40" s="1322">
        <f t="shared" si="2"/>
        <v>8</v>
      </c>
      <c r="F40" s="1322">
        <f t="shared" si="3"/>
        <v>18</v>
      </c>
      <c r="G40" s="1322">
        <f t="shared" si="4"/>
        <v>24</v>
      </c>
      <c r="H40" s="1322"/>
      <c r="I40" s="1322"/>
      <c r="J40" s="1322"/>
      <c r="K40" s="1322"/>
      <c r="L40" s="1322">
        <f t="shared" si="5"/>
        <v>52.4</v>
      </c>
      <c r="N40" s="1323">
        <v>1</v>
      </c>
      <c r="O40" s="1323">
        <v>2</v>
      </c>
      <c r="P40" s="1323">
        <v>3</v>
      </c>
      <c r="Q40" s="1323">
        <v>3</v>
      </c>
    </row>
    <row r="41" spans="1:17">
      <c r="A41" s="1327">
        <v>34</v>
      </c>
      <c r="B41" s="1322" t="s">
        <v>86</v>
      </c>
      <c r="C41" s="1327">
        <f t="shared" si="1"/>
        <v>2.4</v>
      </c>
      <c r="D41" s="1322"/>
      <c r="E41" s="1322">
        <f t="shared" si="2"/>
        <v>8</v>
      </c>
      <c r="F41" s="1322">
        <f t="shared" si="3"/>
        <v>18</v>
      </c>
      <c r="G41" s="1322">
        <f t="shared" si="4"/>
        <v>24</v>
      </c>
      <c r="H41" s="1322"/>
      <c r="I41" s="1322"/>
      <c r="J41" s="1322"/>
      <c r="K41" s="1322"/>
      <c r="L41" s="1322">
        <f t="shared" si="5"/>
        <v>52.4</v>
      </c>
      <c r="N41" s="1323">
        <v>1</v>
      </c>
      <c r="O41" s="1323">
        <v>2</v>
      </c>
      <c r="P41" s="1323">
        <v>3</v>
      </c>
      <c r="Q41" s="1323">
        <v>3</v>
      </c>
    </row>
    <row r="42" spans="1:17">
      <c r="A42" s="1327">
        <v>35</v>
      </c>
      <c r="B42" s="1322" t="s">
        <v>30</v>
      </c>
      <c r="C42" s="1327">
        <f t="shared" si="1"/>
        <v>2.4</v>
      </c>
      <c r="D42" s="1322"/>
      <c r="E42" s="1322">
        <f t="shared" si="2"/>
        <v>8</v>
      </c>
      <c r="F42" s="1322">
        <f t="shared" si="3"/>
        <v>18</v>
      </c>
      <c r="G42" s="1322">
        <f t="shared" si="4"/>
        <v>24</v>
      </c>
      <c r="H42" s="1322"/>
      <c r="I42" s="1322"/>
      <c r="J42" s="1322"/>
      <c r="K42" s="1322"/>
      <c r="L42" s="1322">
        <f t="shared" si="5"/>
        <v>52.4</v>
      </c>
      <c r="N42" s="1323">
        <v>1</v>
      </c>
      <c r="O42" s="1323">
        <v>2</v>
      </c>
      <c r="P42" s="1323">
        <v>3</v>
      </c>
      <c r="Q42" s="1323">
        <v>3</v>
      </c>
    </row>
    <row r="43" spans="1:17">
      <c r="A43" s="1327">
        <v>36</v>
      </c>
      <c r="B43" s="1322" t="s">
        <v>44</v>
      </c>
      <c r="C43" s="1327">
        <f t="shared" si="1"/>
        <v>2.4</v>
      </c>
      <c r="D43" s="1322"/>
      <c r="E43" s="1322">
        <f t="shared" si="2"/>
        <v>8</v>
      </c>
      <c r="F43" s="1322">
        <f t="shared" si="3"/>
        <v>18</v>
      </c>
      <c r="G43" s="1322">
        <f t="shared" si="4"/>
        <v>24</v>
      </c>
      <c r="H43" s="1322"/>
      <c r="I43" s="1322"/>
      <c r="J43" s="1322"/>
      <c r="K43" s="1322"/>
      <c r="L43" s="1322">
        <f t="shared" si="5"/>
        <v>52.4</v>
      </c>
      <c r="N43" s="1323">
        <v>1</v>
      </c>
      <c r="O43" s="1323">
        <v>2</v>
      </c>
      <c r="P43" s="1323">
        <v>3</v>
      </c>
      <c r="Q43" s="1323">
        <v>3</v>
      </c>
    </row>
    <row r="44" spans="1:17">
      <c r="A44" s="1327">
        <v>37</v>
      </c>
      <c r="B44" s="1322" t="s">
        <v>46</v>
      </c>
      <c r="C44" s="1327">
        <f t="shared" si="1"/>
        <v>2.4</v>
      </c>
      <c r="D44" s="1322"/>
      <c r="E44" s="1322">
        <f t="shared" si="2"/>
        <v>8</v>
      </c>
      <c r="F44" s="1322">
        <f t="shared" si="3"/>
        <v>18</v>
      </c>
      <c r="G44" s="1322">
        <f t="shared" si="4"/>
        <v>24</v>
      </c>
      <c r="H44" s="1322"/>
      <c r="I44" s="1322"/>
      <c r="J44" s="1322"/>
      <c r="K44" s="1322"/>
      <c r="L44" s="1322">
        <f t="shared" si="5"/>
        <v>52.4</v>
      </c>
      <c r="N44" s="1323">
        <v>1</v>
      </c>
      <c r="O44" s="1323">
        <v>2</v>
      </c>
      <c r="P44" s="1323">
        <v>3</v>
      </c>
      <c r="Q44" s="1323">
        <v>3</v>
      </c>
    </row>
    <row r="45" spans="1:17">
      <c r="A45" s="1327">
        <v>38</v>
      </c>
      <c r="B45" s="1322" t="s">
        <v>1992</v>
      </c>
      <c r="C45" s="1327">
        <f t="shared" si="1"/>
        <v>2.4</v>
      </c>
      <c r="D45" s="1322"/>
      <c r="E45" s="1322">
        <f t="shared" si="2"/>
        <v>24</v>
      </c>
      <c r="F45" s="1322">
        <f t="shared" si="3"/>
        <v>18</v>
      </c>
      <c r="G45" s="1322">
        <f t="shared" si="4"/>
        <v>0</v>
      </c>
      <c r="H45" s="1322"/>
      <c r="I45" s="1322"/>
      <c r="J45" s="1322"/>
      <c r="K45" s="1322"/>
      <c r="L45" s="1322">
        <f t="shared" si="5"/>
        <v>44.4</v>
      </c>
      <c r="N45" s="1323">
        <v>3</v>
      </c>
      <c r="P45" s="1323">
        <v>3</v>
      </c>
      <c r="Q45" s="1323">
        <v>3</v>
      </c>
    </row>
    <row r="46" spans="1:17">
      <c r="A46" s="1327">
        <v>39</v>
      </c>
      <c r="B46" s="1322" t="s">
        <v>43</v>
      </c>
      <c r="C46" s="1327">
        <f t="shared" si="1"/>
        <v>2.4</v>
      </c>
      <c r="D46" s="1322"/>
      <c r="E46" s="1322">
        <f t="shared" si="2"/>
        <v>24</v>
      </c>
      <c r="F46" s="1322">
        <f t="shared" si="3"/>
        <v>18</v>
      </c>
      <c r="G46" s="1322">
        <f t="shared" si="4"/>
        <v>0</v>
      </c>
      <c r="H46" s="1322"/>
      <c r="I46" s="1322"/>
      <c r="J46" s="1322"/>
      <c r="K46" s="1322"/>
      <c r="L46" s="1322">
        <f t="shared" si="5"/>
        <v>44.4</v>
      </c>
      <c r="N46" s="1323">
        <v>3</v>
      </c>
      <c r="P46" s="1323">
        <v>3</v>
      </c>
      <c r="Q46" s="1323">
        <v>3</v>
      </c>
    </row>
    <row r="47" spans="1:17">
      <c r="A47" s="1327">
        <v>40</v>
      </c>
      <c r="B47" s="1322" t="s">
        <v>70</v>
      </c>
      <c r="C47" s="1327">
        <f t="shared" si="1"/>
        <v>2.4</v>
      </c>
      <c r="D47" s="1322"/>
      <c r="E47" s="1322">
        <f t="shared" si="2"/>
        <v>24</v>
      </c>
      <c r="F47" s="1322">
        <f t="shared" si="3"/>
        <v>18</v>
      </c>
      <c r="G47" s="1322">
        <f t="shared" si="4"/>
        <v>0</v>
      </c>
      <c r="H47" s="1322"/>
      <c r="I47" s="1322"/>
      <c r="J47" s="1322"/>
      <c r="K47" s="1322"/>
      <c r="L47" s="1322">
        <f t="shared" si="5"/>
        <v>44.4</v>
      </c>
      <c r="N47" s="1323">
        <v>3</v>
      </c>
      <c r="P47" s="1323">
        <v>3</v>
      </c>
      <c r="Q47" s="1323">
        <v>3</v>
      </c>
    </row>
    <row r="48" spans="1:17">
      <c r="A48" s="1327">
        <v>41</v>
      </c>
      <c r="B48" s="1322" t="s">
        <v>71</v>
      </c>
      <c r="C48" s="1327">
        <f t="shared" si="1"/>
        <v>2.4</v>
      </c>
      <c r="D48" s="1322"/>
      <c r="E48" s="1322">
        <f t="shared" si="2"/>
        <v>24</v>
      </c>
      <c r="F48" s="1322">
        <f t="shared" si="3"/>
        <v>18</v>
      </c>
      <c r="G48" s="1322">
        <f t="shared" si="4"/>
        <v>0</v>
      </c>
      <c r="H48" s="1322"/>
      <c r="I48" s="1322"/>
      <c r="J48" s="1322"/>
      <c r="K48" s="1322"/>
      <c r="L48" s="1322">
        <f t="shared" si="5"/>
        <v>44.4</v>
      </c>
      <c r="N48" s="1323">
        <v>3</v>
      </c>
      <c r="P48" s="1323">
        <v>3</v>
      </c>
      <c r="Q48" s="1323">
        <v>3</v>
      </c>
    </row>
    <row r="49" spans="1:17">
      <c r="A49" s="1327">
        <v>42</v>
      </c>
      <c r="B49" s="1322" t="s">
        <v>486</v>
      </c>
      <c r="C49" s="1327">
        <f t="shared" si="1"/>
        <v>2.4</v>
      </c>
      <c r="D49" s="1322"/>
      <c r="E49" s="1322">
        <f t="shared" si="2"/>
        <v>24</v>
      </c>
      <c r="F49" s="1322">
        <f t="shared" si="3"/>
        <v>18</v>
      </c>
      <c r="G49" s="1322">
        <f t="shared" si="4"/>
        <v>0</v>
      </c>
      <c r="H49" s="1322"/>
      <c r="I49" s="1322"/>
      <c r="J49" s="1322"/>
      <c r="K49" s="1322"/>
      <c r="L49" s="1322">
        <f t="shared" si="5"/>
        <v>44.4</v>
      </c>
      <c r="N49" s="1323">
        <v>3</v>
      </c>
      <c r="P49" s="1323">
        <v>3</v>
      </c>
      <c r="Q49" s="1323">
        <v>3</v>
      </c>
    </row>
    <row r="50" spans="1:17">
      <c r="A50" s="1327">
        <v>43</v>
      </c>
      <c r="B50" s="1322" t="s">
        <v>57</v>
      </c>
      <c r="C50" s="1327">
        <f t="shared" si="1"/>
        <v>2.4</v>
      </c>
      <c r="D50" s="1322"/>
      <c r="E50" s="1322">
        <f t="shared" si="2"/>
        <v>24</v>
      </c>
      <c r="F50" s="1322">
        <f t="shared" si="3"/>
        <v>18</v>
      </c>
      <c r="G50" s="1322">
        <f t="shared" si="4"/>
        <v>0</v>
      </c>
      <c r="H50" s="1322"/>
      <c r="I50" s="1322"/>
      <c r="J50" s="1322"/>
      <c r="K50" s="1322"/>
      <c r="L50" s="1322">
        <f t="shared" si="5"/>
        <v>44.4</v>
      </c>
      <c r="N50" s="1323">
        <v>3</v>
      </c>
      <c r="P50" s="1323">
        <v>3</v>
      </c>
      <c r="Q50" s="1323">
        <v>3</v>
      </c>
    </row>
    <row r="51" spans="1:17">
      <c r="A51" s="1327">
        <v>44</v>
      </c>
      <c r="B51" s="1322" t="s">
        <v>1993</v>
      </c>
      <c r="C51" s="1327">
        <f t="shared" si="1"/>
        <v>2.4</v>
      </c>
      <c r="D51" s="1322"/>
      <c r="E51" s="1322">
        <f t="shared" si="2"/>
        <v>24</v>
      </c>
      <c r="F51" s="1322">
        <f t="shared" si="3"/>
        <v>18</v>
      </c>
      <c r="G51" s="1322">
        <f t="shared" si="4"/>
        <v>0</v>
      </c>
      <c r="H51" s="1322"/>
      <c r="I51" s="1322"/>
      <c r="J51" s="1322"/>
      <c r="K51" s="1322"/>
      <c r="L51" s="1322">
        <f t="shared" si="5"/>
        <v>44.4</v>
      </c>
      <c r="N51" s="1323">
        <v>3</v>
      </c>
      <c r="P51" s="1323">
        <v>3</v>
      </c>
      <c r="Q51" s="1323">
        <v>3</v>
      </c>
    </row>
    <row r="52" spans="1:17">
      <c r="A52" s="1327">
        <v>45</v>
      </c>
      <c r="B52" s="1322" t="s">
        <v>18</v>
      </c>
      <c r="C52" s="1327">
        <f t="shared" si="1"/>
        <v>2.4</v>
      </c>
      <c r="D52" s="1322"/>
      <c r="E52" s="1322">
        <f t="shared" si="2"/>
        <v>24</v>
      </c>
      <c r="F52" s="1322">
        <f t="shared" si="3"/>
        <v>18</v>
      </c>
      <c r="G52" s="1322">
        <f t="shared" si="4"/>
        <v>0</v>
      </c>
      <c r="H52" s="1322"/>
      <c r="I52" s="1322"/>
      <c r="J52" s="1322"/>
      <c r="K52" s="1322"/>
      <c r="L52" s="1322">
        <f t="shared" si="5"/>
        <v>44.4</v>
      </c>
      <c r="N52" s="1323">
        <v>3</v>
      </c>
      <c r="P52" s="1323">
        <v>3</v>
      </c>
      <c r="Q52" s="1323">
        <v>3</v>
      </c>
    </row>
    <row r="53" spans="1:17">
      <c r="A53" s="1327">
        <v>46</v>
      </c>
      <c r="B53" s="1322" t="s">
        <v>35</v>
      </c>
      <c r="C53" s="1327">
        <f t="shared" si="1"/>
        <v>2.4</v>
      </c>
      <c r="D53" s="1322"/>
      <c r="E53" s="1322">
        <f t="shared" si="2"/>
        <v>24</v>
      </c>
      <c r="F53" s="1322">
        <f t="shared" si="3"/>
        <v>18</v>
      </c>
      <c r="G53" s="1322">
        <f t="shared" si="4"/>
        <v>0</v>
      </c>
      <c r="H53" s="1322"/>
      <c r="I53" s="1322"/>
      <c r="J53" s="1322"/>
      <c r="K53" s="1322"/>
      <c r="L53" s="1322">
        <f t="shared" si="5"/>
        <v>44.4</v>
      </c>
      <c r="N53" s="1323">
        <v>3</v>
      </c>
      <c r="P53" s="1323">
        <v>3</v>
      </c>
      <c r="Q53" s="1323">
        <v>3</v>
      </c>
    </row>
    <row r="54" spans="1:17">
      <c r="A54" s="1327">
        <v>47</v>
      </c>
      <c r="B54" s="1322" t="s">
        <v>1336</v>
      </c>
      <c r="C54" s="1327">
        <f t="shared" si="1"/>
        <v>2.4</v>
      </c>
      <c r="D54" s="1322"/>
      <c r="E54" s="1322">
        <f t="shared" si="2"/>
        <v>24</v>
      </c>
      <c r="F54" s="1322">
        <f t="shared" si="3"/>
        <v>18</v>
      </c>
      <c r="G54" s="1322">
        <f t="shared" si="4"/>
        <v>0</v>
      </c>
      <c r="H54" s="1322"/>
      <c r="I54" s="1322"/>
      <c r="J54" s="1322"/>
      <c r="K54" s="1322"/>
      <c r="L54" s="1322">
        <f t="shared" si="5"/>
        <v>44.4</v>
      </c>
      <c r="N54" s="1323">
        <v>3</v>
      </c>
      <c r="P54" s="1323">
        <v>3</v>
      </c>
      <c r="Q54" s="1323">
        <v>3</v>
      </c>
    </row>
    <row r="55" spans="1:17">
      <c r="A55" s="1327">
        <v>48</v>
      </c>
      <c r="B55" s="1322" t="s">
        <v>85</v>
      </c>
      <c r="C55" s="1327">
        <f t="shared" si="1"/>
        <v>2.4</v>
      </c>
      <c r="D55" s="1322"/>
      <c r="E55" s="1322">
        <f t="shared" si="2"/>
        <v>24</v>
      </c>
      <c r="F55" s="1322">
        <f t="shared" si="3"/>
        <v>18</v>
      </c>
      <c r="G55" s="1322">
        <f t="shared" si="4"/>
        <v>0</v>
      </c>
      <c r="H55" s="1322"/>
      <c r="I55" s="1322"/>
      <c r="J55" s="1322"/>
      <c r="K55" s="1322"/>
      <c r="L55" s="1322">
        <f t="shared" si="5"/>
        <v>44.4</v>
      </c>
      <c r="N55" s="1323">
        <v>3</v>
      </c>
      <c r="P55" s="1323">
        <v>3</v>
      </c>
      <c r="Q55" s="1323">
        <v>3</v>
      </c>
    </row>
    <row r="56" spans="1:17">
      <c r="A56" s="1327">
        <v>49</v>
      </c>
      <c r="B56" s="1322" t="s">
        <v>556</v>
      </c>
      <c r="C56" s="1327">
        <f t="shared" si="1"/>
        <v>2.4</v>
      </c>
      <c r="D56" s="1322"/>
      <c r="E56" s="1322">
        <f t="shared" si="2"/>
        <v>24</v>
      </c>
      <c r="F56" s="1322">
        <f t="shared" si="3"/>
        <v>18</v>
      </c>
      <c r="G56" s="1322">
        <f t="shared" si="4"/>
        <v>0</v>
      </c>
      <c r="H56" s="1322"/>
      <c r="I56" s="1322"/>
      <c r="J56" s="1322"/>
      <c r="K56" s="1322"/>
      <c r="L56" s="1322">
        <f t="shared" si="5"/>
        <v>44.4</v>
      </c>
      <c r="N56" s="1323">
        <v>3</v>
      </c>
      <c r="P56" s="1323">
        <v>3</v>
      </c>
      <c r="Q56" s="1323">
        <v>3</v>
      </c>
    </row>
    <row r="57" spans="1:17">
      <c r="A57" s="1327">
        <v>50</v>
      </c>
      <c r="B57" s="1322" t="s">
        <v>1994</v>
      </c>
      <c r="C57" s="1327">
        <f t="shared" si="1"/>
        <v>2.4</v>
      </c>
      <c r="D57" s="1322"/>
      <c r="E57" s="1322">
        <f t="shared" si="2"/>
        <v>24</v>
      </c>
      <c r="F57" s="1322">
        <f t="shared" si="3"/>
        <v>18</v>
      </c>
      <c r="G57" s="1322">
        <f t="shared" si="4"/>
        <v>0</v>
      </c>
      <c r="H57" s="1322"/>
      <c r="I57" s="1322"/>
      <c r="J57" s="1322"/>
      <c r="K57" s="1322"/>
      <c r="L57" s="1322">
        <f t="shared" si="5"/>
        <v>44.4</v>
      </c>
      <c r="N57" s="1323">
        <v>3</v>
      </c>
      <c r="P57" s="1323">
        <v>3</v>
      </c>
      <c r="Q57" s="1323">
        <v>3</v>
      </c>
    </row>
    <row r="58" spans="1:17">
      <c r="A58" s="1327">
        <v>51</v>
      </c>
      <c r="B58" s="1322" t="s">
        <v>59</v>
      </c>
      <c r="C58" s="1327">
        <f t="shared" si="1"/>
        <v>2.4</v>
      </c>
      <c r="D58" s="1322"/>
      <c r="E58" s="1322">
        <f t="shared" si="2"/>
        <v>24</v>
      </c>
      <c r="F58" s="1322">
        <f t="shared" si="3"/>
        <v>18</v>
      </c>
      <c r="G58" s="1322">
        <f t="shared" si="4"/>
        <v>0</v>
      </c>
      <c r="H58" s="1322"/>
      <c r="I58" s="1322"/>
      <c r="J58" s="1322"/>
      <c r="K58" s="1322"/>
      <c r="L58" s="1322">
        <f t="shared" si="5"/>
        <v>44.4</v>
      </c>
      <c r="N58" s="1323">
        <v>3</v>
      </c>
      <c r="P58" s="1323">
        <v>3</v>
      </c>
      <c r="Q58" s="1323">
        <v>3</v>
      </c>
    </row>
    <row r="59" spans="1:17">
      <c r="A59" s="1327">
        <v>52</v>
      </c>
      <c r="B59" s="1322" t="s">
        <v>25</v>
      </c>
      <c r="C59" s="1327">
        <f t="shared" si="1"/>
        <v>2.4</v>
      </c>
      <c r="D59" s="1322"/>
      <c r="E59" s="1322">
        <f t="shared" si="2"/>
        <v>24</v>
      </c>
      <c r="F59" s="1322">
        <f t="shared" si="3"/>
        <v>18</v>
      </c>
      <c r="G59" s="1322">
        <f t="shared" si="4"/>
        <v>0</v>
      </c>
      <c r="H59" s="1322"/>
      <c r="I59" s="1322"/>
      <c r="J59" s="1322"/>
      <c r="K59" s="1322"/>
      <c r="L59" s="1322">
        <f t="shared" si="5"/>
        <v>44.4</v>
      </c>
      <c r="N59" s="1323">
        <v>3</v>
      </c>
      <c r="P59" s="1323">
        <v>3</v>
      </c>
      <c r="Q59" s="1323">
        <v>3</v>
      </c>
    </row>
    <row r="60" spans="1:17">
      <c r="A60" s="1327">
        <v>53</v>
      </c>
      <c r="B60" s="1322" t="s">
        <v>60</v>
      </c>
      <c r="C60" s="1327">
        <f t="shared" si="1"/>
        <v>2.4</v>
      </c>
      <c r="D60" s="1322"/>
      <c r="E60" s="1322">
        <f t="shared" si="2"/>
        <v>24</v>
      </c>
      <c r="F60" s="1322">
        <f t="shared" si="3"/>
        <v>18</v>
      </c>
      <c r="G60" s="1322">
        <f t="shared" si="4"/>
        <v>0</v>
      </c>
      <c r="H60" s="1322"/>
      <c r="I60" s="1322"/>
      <c r="J60" s="1322"/>
      <c r="K60" s="1322"/>
      <c r="L60" s="1322">
        <f t="shared" si="5"/>
        <v>44.4</v>
      </c>
      <c r="N60" s="1323">
        <v>3</v>
      </c>
      <c r="P60" s="1323">
        <v>3</v>
      </c>
      <c r="Q60" s="1323">
        <v>3</v>
      </c>
    </row>
    <row r="61" spans="1:17">
      <c r="A61" s="1327">
        <v>54</v>
      </c>
      <c r="B61" s="1322" t="s">
        <v>1995</v>
      </c>
      <c r="C61" s="1327">
        <f t="shared" si="1"/>
        <v>2.4</v>
      </c>
      <c r="D61" s="1322"/>
      <c r="E61" s="1322">
        <f t="shared" si="2"/>
        <v>24</v>
      </c>
      <c r="F61" s="1322">
        <f t="shared" si="3"/>
        <v>18</v>
      </c>
      <c r="G61" s="1322">
        <f t="shared" si="4"/>
        <v>0</v>
      </c>
      <c r="H61" s="1322"/>
      <c r="I61" s="1322"/>
      <c r="J61" s="1322"/>
      <c r="K61" s="1322"/>
      <c r="L61" s="1322">
        <f t="shared" si="5"/>
        <v>44.4</v>
      </c>
      <c r="N61" s="1323">
        <v>3</v>
      </c>
      <c r="P61" s="1323">
        <v>3</v>
      </c>
      <c r="Q61" s="1323">
        <v>3</v>
      </c>
    </row>
    <row r="62" spans="1:17">
      <c r="A62" s="1327">
        <v>55</v>
      </c>
      <c r="B62" s="1322" t="s">
        <v>52</v>
      </c>
      <c r="C62" s="1327">
        <f t="shared" si="1"/>
        <v>2.4</v>
      </c>
      <c r="D62" s="1322"/>
      <c r="E62" s="1322">
        <f t="shared" si="2"/>
        <v>16</v>
      </c>
      <c r="F62" s="1322">
        <f t="shared" si="3"/>
        <v>18</v>
      </c>
      <c r="G62" s="1322">
        <f t="shared" si="4"/>
        <v>12</v>
      </c>
      <c r="H62" s="1322"/>
      <c r="I62" s="1322"/>
      <c r="J62" s="1322"/>
      <c r="K62" s="1322"/>
      <c r="L62" s="1322">
        <f t="shared" si="5"/>
        <v>48.4</v>
      </c>
      <c r="N62" s="1323">
        <v>2</v>
      </c>
      <c r="O62" s="1323">
        <v>1</v>
      </c>
      <c r="P62" s="1323">
        <v>3</v>
      </c>
      <c r="Q62" s="1323">
        <v>3</v>
      </c>
    </row>
    <row r="63" spans="1:17">
      <c r="A63" s="1327">
        <v>56</v>
      </c>
      <c r="B63" s="1322" t="s">
        <v>96</v>
      </c>
      <c r="C63" s="1327">
        <f t="shared" si="1"/>
        <v>2.4</v>
      </c>
      <c r="D63" s="1322"/>
      <c r="E63" s="1322">
        <f t="shared" si="2"/>
        <v>24</v>
      </c>
      <c r="F63" s="1322">
        <f t="shared" si="3"/>
        <v>18</v>
      </c>
      <c r="G63" s="1322">
        <f t="shared" si="4"/>
        <v>0</v>
      </c>
      <c r="H63" s="1322"/>
      <c r="I63" s="1322"/>
      <c r="J63" s="1322"/>
      <c r="K63" s="1322"/>
      <c r="L63" s="1322">
        <f t="shared" si="5"/>
        <v>44.4</v>
      </c>
      <c r="N63" s="1323">
        <v>3</v>
      </c>
      <c r="P63" s="1323">
        <v>3</v>
      </c>
      <c r="Q63" s="1323">
        <v>3</v>
      </c>
    </row>
    <row r="64" spans="1:17">
      <c r="A64" s="1327">
        <v>57</v>
      </c>
      <c r="B64" s="1322" t="s">
        <v>97</v>
      </c>
      <c r="C64" s="1327">
        <f t="shared" si="1"/>
        <v>2.4</v>
      </c>
      <c r="D64" s="1322"/>
      <c r="E64" s="1322">
        <f t="shared" si="2"/>
        <v>24</v>
      </c>
      <c r="F64" s="1322">
        <f t="shared" si="3"/>
        <v>18</v>
      </c>
      <c r="G64" s="1322">
        <f t="shared" si="4"/>
        <v>0</v>
      </c>
      <c r="H64" s="1322"/>
      <c r="I64" s="1322"/>
      <c r="J64" s="1322"/>
      <c r="K64" s="1322"/>
      <c r="L64" s="1322">
        <f t="shared" si="5"/>
        <v>44.4</v>
      </c>
      <c r="N64" s="1323">
        <v>3</v>
      </c>
      <c r="P64" s="1323">
        <v>3</v>
      </c>
      <c r="Q64" s="1323">
        <v>3</v>
      </c>
    </row>
    <row r="65" spans="1:17">
      <c r="A65" s="1327">
        <v>58</v>
      </c>
      <c r="B65" s="1322" t="s">
        <v>42</v>
      </c>
      <c r="C65" s="1327">
        <f t="shared" si="1"/>
        <v>2.4</v>
      </c>
      <c r="D65" s="1322"/>
      <c r="E65" s="1322">
        <f t="shared" si="2"/>
        <v>24</v>
      </c>
      <c r="F65" s="1322">
        <f t="shared" si="3"/>
        <v>18</v>
      </c>
      <c r="G65" s="1322">
        <f t="shared" si="4"/>
        <v>0</v>
      </c>
      <c r="H65" s="1322"/>
      <c r="I65" s="1322"/>
      <c r="J65" s="1322"/>
      <c r="K65" s="1322"/>
      <c r="L65" s="1322">
        <f t="shared" si="5"/>
        <v>44.4</v>
      </c>
      <c r="N65" s="1323">
        <v>3</v>
      </c>
      <c r="P65" s="1323">
        <v>3</v>
      </c>
      <c r="Q65" s="1323">
        <v>3</v>
      </c>
    </row>
    <row r="66" spans="1:17">
      <c r="A66" s="1327">
        <v>59</v>
      </c>
      <c r="B66" s="1322" t="s">
        <v>54</v>
      </c>
      <c r="C66" s="1327">
        <f t="shared" si="1"/>
        <v>2.4</v>
      </c>
      <c r="D66" s="1322"/>
      <c r="E66" s="1322">
        <f t="shared" si="2"/>
        <v>24</v>
      </c>
      <c r="F66" s="1322">
        <f t="shared" si="3"/>
        <v>18</v>
      </c>
      <c r="G66" s="1322">
        <f t="shared" si="4"/>
        <v>0</v>
      </c>
      <c r="H66" s="1322"/>
      <c r="I66" s="1322"/>
      <c r="J66" s="1322"/>
      <c r="K66" s="1322"/>
      <c r="L66" s="1322">
        <f t="shared" si="5"/>
        <v>44.4</v>
      </c>
      <c r="N66" s="1323">
        <v>3</v>
      </c>
      <c r="P66" s="1323">
        <v>3</v>
      </c>
      <c r="Q66" s="1323">
        <v>3</v>
      </c>
    </row>
    <row r="67" spans="1:17">
      <c r="A67" s="1327">
        <v>60</v>
      </c>
      <c r="B67" s="1322" t="s">
        <v>1996</v>
      </c>
      <c r="C67" s="1327">
        <f t="shared" si="1"/>
        <v>2.4</v>
      </c>
      <c r="D67" s="1322"/>
      <c r="E67" s="1322">
        <f t="shared" si="2"/>
        <v>24</v>
      </c>
      <c r="F67" s="1322">
        <f t="shared" si="3"/>
        <v>18</v>
      </c>
      <c r="G67" s="1322">
        <f t="shared" si="4"/>
        <v>0</v>
      </c>
      <c r="H67" s="1322"/>
      <c r="I67" s="1322"/>
      <c r="J67" s="1322"/>
      <c r="K67" s="1322"/>
      <c r="L67" s="1322">
        <f t="shared" si="5"/>
        <v>44.4</v>
      </c>
      <c r="N67" s="1323">
        <v>3</v>
      </c>
      <c r="P67" s="1323">
        <v>3</v>
      </c>
      <c r="Q67" s="1323">
        <v>3</v>
      </c>
    </row>
    <row r="68" spans="1:17">
      <c r="A68" s="1327">
        <v>61</v>
      </c>
      <c r="B68" s="1322" t="s">
        <v>491</v>
      </c>
      <c r="C68" s="1327">
        <f t="shared" si="1"/>
        <v>2.4</v>
      </c>
      <c r="D68" s="1322"/>
      <c r="E68" s="1322">
        <f t="shared" si="2"/>
        <v>24</v>
      </c>
      <c r="F68" s="1322">
        <f t="shared" si="3"/>
        <v>18</v>
      </c>
      <c r="G68" s="1322">
        <f t="shared" si="4"/>
        <v>0</v>
      </c>
      <c r="H68" s="1322"/>
      <c r="I68" s="1322"/>
      <c r="J68" s="1322"/>
      <c r="K68" s="1322"/>
      <c r="L68" s="1322">
        <f t="shared" si="5"/>
        <v>44.4</v>
      </c>
      <c r="N68" s="1323">
        <v>3</v>
      </c>
      <c r="P68" s="1323">
        <v>3</v>
      </c>
      <c r="Q68" s="1323">
        <v>3</v>
      </c>
    </row>
    <row r="69" spans="1:17">
      <c r="A69" s="1327">
        <v>62</v>
      </c>
      <c r="B69" s="1322" t="s">
        <v>24</v>
      </c>
      <c r="C69" s="1327">
        <f t="shared" si="1"/>
        <v>2.4</v>
      </c>
      <c r="D69" s="1322"/>
      <c r="E69" s="1322">
        <f t="shared" si="2"/>
        <v>24</v>
      </c>
      <c r="F69" s="1322">
        <f t="shared" si="3"/>
        <v>18</v>
      </c>
      <c r="G69" s="1322">
        <f t="shared" si="4"/>
        <v>0</v>
      </c>
      <c r="H69" s="1322"/>
      <c r="I69" s="1322"/>
      <c r="J69" s="1322"/>
      <c r="K69" s="1322"/>
      <c r="L69" s="1322">
        <f t="shared" si="5"/>
        <v>44.4</v>
      </c>
      <c r="N69" s="1323">
        <v>3</v>
      </c>
      <c r="P69" s="1323">
        <v>3</v>
      </c>
      <c r="Q69" s="1323">
        <v>3</v>
      </c>
    </row>
    <row r="70" spans="1:17">
      <c r="A70" s="1327">
        <v>63</v>
      </c>
      <c r="B70" s="1322" t="s">
        <v>1997</v>
      </c>
      <c r="C70" s="1327">
        <f t="shared" si="1"/>
        <v>2.4</v>
      </c>
      <c r="D70" s="1322"/>
      <c r="E70" s="1322">
        <f t="shared" si="2"/>
        <v>24</v>
      </c>
      <c r="F70" s="1322">
        <f t="shared" si="3"/>
        <v>18</v>
      </c>
      <c r="G70" s="1322">
        <f t="shared" si="4"/>
        <v>0</v>
      </c>
      <c r="H70" s="1322"/>
      <c r="I70" s="1322"/>
      <c r="J70" s="1322"/>
      <c r="K70" s="1322"/>
      <c r="L70" s="1322">
        <f t="shared" si="5"/>
        <v>44.4</v>
      </c>
      <c r="N70" s="1323">
        <v>3</v>
      </c>
      <c r="P70" s="1323">
        <v>3</v>
      </c>
      <c r="Q70" s="1323">
        <v>3</v>
      </c>
    </row>
    <row r="71" spans="1:17">
      <c r="A71" s="1327">
        <v>64</v>
      </c>
      <c r="B71" s="1322" t="s">
        <v>83</v>
      </c>
      <c r="C71" s="1327">
        <f t="shared" si="1"/>
        <v>2.4</v>
      </c>
      <c r="D71" s="1322"/>
      <c r="E71" s="1322">
        <f t="shared" si="2"/>
        <v>24</v>
      </c>
      <c r="F71" s="1322">
        <f t="shared" si="3"/>
        <v>18</v>
      </c>
      <c r="G71" s="1322">
        <f t="shared" si="4"/>
        <v>0</v>
      </c>
      <c r="H71" s="1322"/>
      <c r="I71" s="1322"/>
      <c r="J71" s="1322"/>
      <c r="K71" s="1322"/>
      <c r="L71" s="1322">
        <f t="shared" si="5"/>
        <v>44.4</v>
      </c>
      <c r="N71" s="1323">
        <v>3</v>
      </c>
      <c r="P71" s="1323">
        <v>3</v>
      </c>
      <c r="Q71" s="1323">
        <v>3</v>
      </c>
    </row>
    <row r="72" spans="1:17">
      <c r="A72" s="1327">
        <v>65</v>
      </c>
      <c r="B72" s="1322" t="s">
        <v>21</v>
      </c>
      <c r="C72" s="1327">
        <f t="shared" si="1"/>
        <v>2.4</v>
      </c>
      <c r="D72" s="1322"/>
      <c r="E72" s="1322">
        <f t="shared" si="2"/>
        <v>24</v>
      </c>
      <c r="F72" s="1322">
        <f t="shared" si="3"/>
        <v>18</v>
      </c>
      <c r="G72" s="1322">
        <f t="shared" si="4"/>
        <v>0</v>
      </c>
      <c r="H72" s="1322"/>
      <c r="I72" s="1322"/>
      <c r="J72" s="1322"/>
      <c r="K72" s="1322"/>
      <c r="L72" s="1322">
        <f t="shared" si="5"/>
        <v>44.4</v>
      </c>
      <c r="N72" s="1323">
        <v>3</v>
      </c>
      <c r="P72" s="1323">
        <v>3</v>
      </c>
      <c r="Q72" s="1323">
        <v>3</v>
      </c>
    </row>
    <row r="73" spans="1:17">
      <c r="A73" s="1327">
        <v>66</v>
      </c>
      <c r="B73" s="1322" t="s">
        <v>53</v>
      </c>
      <c r="C73" s="1327">
        <f t="shared" ref="C73:C111" si="6">Q73/$C$6</f>
        <v>2.4</v>
      </c>
      <c r="D73" s="1322"/>
      <c r="E73" s="1322">
        <f t="shared" ref="E73:E111" si="7">N73/$E$6</f>
        <v>24</v>
      </c>
      <c r="F73" s="1322">
        <f t="shared" ref="F73:F111" si="8">P73/$F$6</f>
        <v>18</v>
      </c>
      <c r="G73" s="1322">
        <f t="shared" ref="G73:G111" si="9">O73/$G$6</f>
        <v>0</v>
      </c>
      <c r="H73" s="1322"/>
      <c r="I73" s="1322"/>
      <c r="J73" s="1322"/>
      <c r="K73" s="1322"/>
      <c r="L73" s="1322">
        <f t="shared" ref="L73:L136" si="10">SUM(C73:K73)</f>
        <v>44.4</v>
      </c>
      <c r="N73" s="1323">
        <v>3</v>
      </c>
      <c r="P73" s="1323">
        <v>3</v>
      </c>
      <c r="Q73" s="1323">
        <v>3</v>
      </c>
    </row>
    <row r="74" spans="1:17">
      <c r="A74" s="1327">
        <v>67</v>
      </c>
      <c r="B74" s="1322" t="s">
        <v>490</v>
      </c>
      <c r="C74" s="1327">
        <f t="shared" si="6"/>
        <v>2.4</v>
      </c>
      <c r="D74" s="1322"/>
      <c r="E74" s="1322">
        <f t="shared" si="7"/>
        <v>24</v>
      </c>
      <c r="F74" s="1322">
        <f t="shared" si="8"/>
        <v>18</v>
      </c>
      <c r="G74" s="1322">
        <f t="shared" si="9"/>
        <v>0</v>
      </c>
      <c r="H74" s="1322"/>
      <c r="I74" s="1322"/>
      <c r="J74" s="1322"/>
      <c r="K74" s="1322"/>
      <c r="L74" s="1322">
        <f t="shared" si="10"/>
        <v>44.4</v>
      </c>
      <c r="N74" s="1323">
        <v>3</v>
      </c>
      <c r="P74" s="1323">
        <v>3</v>
      </c>
      <c r="Q74" s="1323">
        <v>3</v>
      </c>
    </row>
    <row r="75" spans="1:17">
      <c r="A75" s="1327">
        <v>68</v>
      </c>
      <c r="B75" s="1322" t="s">
        <v>487</v>
      </c>
      <c r="C75" s="1327">
        <f t="shared" si="6"/>
        <v>2.4</v>
      </c>
      <c r="D75" s="1322"/>
      <c r="E75" s="1322">
        <f t="shared" si="7"/>
        <v>24</v>
      </c>
      <c r="F75" s="1322">
        <f t="shared" si="8"/>
        <v>18</v>
      </c>
      <c r="G75" s="1322">
        <f t="shared" si="9"/>
        <v>0</v>
      </c>
      <c r="H75" s="1322"/>
      <c r="I75" s="1322"/>
      <c r="J75" s="1322"/>
      <c r="K75" s="1322"/>
      <c r="L75" s="1322">
        <f t="shared" si="10"/>
        <v>44.4</v>
      </c>
      <c r="N75" s="1323">
        <v>3</v>
      </c>
      <c r="P75" s="1323">
        <v>3</v>
      </c>
      <c r="Q75" s="1323">
        <v>3</v>
      </c>
    </row>
    <row r="76" spans="1:17">
      <c r="A76" s="1327">
        <v>69</v>
      </c>
      <c r="B76" s="1322" t="s">
        <v>31</v>
      </c>
      <c r="C76" s="1327">
        <f t="shared" si="6"/>
        <v>2.4</v>
      </c>
      <c r="D76" s="1322"/>
      <c r="E76" s="1322">
        <f t="shared" si="7"/>
        <v>24</v>
      </c>
      <c r="F76" s="1322">
        <f t="shared" si="8"/>
        <v>18</v>
      </c>
      <c r="G76" s="1322">
        <f t="shared" si="9"/>
        <v>0</v>
      </c>
      <c r="H76" s="1322"/>
      <c r="I76" s="1322"/>
      <c r="J76" s="1322"/>
      <c r="K76" s="1322"/>
      <c r="L76" s="1322">
        <f t="shared" si="10"/>
        <v>44.4</v>
      </c>
      <c r="N76" s="1323">
        <v>3</v>
      </c>
      <c r="P76" s="1323">
        <v>3</v>
      </c>
      <c r="Q76" s="1323">
        <v>3</v>
      </c>
    </row>
    <row r="77" spans="1:17">
      <c r="A77" s="1327">
        <v>70</v>
      </c>
      <c r="B77" s="1322" t="s">
        <v>32</v>
      </c>
      <c r="C77" s="1327">
        <f t="shared" si="6"/>
        <v>2.4</v>
      </c>
      <c r="D77" s="1322"/>
      <c r="E77" s="1322">
        <f t="shared" si="7"/>
        <v>24</v>
      </c>
      <c r="F77" s="1322">
        <f t="shared" si="8"/>
        <v>18</v>
      </c>
      <c r="G77" s="1322">
        <f t="shared" si="9"/>
        <v>0</v>
      </c>
      <c r="H77" s="1322"/>
      <c r="I77" s="1322"/>
      <c r="J77" s="1322"/>
      <c r="K77" s="1322"/>
      <c r="L77" s="1322">
        <f t="shared" si="10"/>
        <v>44.4</v>
      </c>
      <c r="N77" s="1323">
        <v>3</v>
      </c>
      <c r="P77" s="1323">
        <v>3</v>
      </c>
      <c r="Q77" s="1323">
        <v>3</v>
      </c>
    </row>
    <row r="78" spans="1:17">
      <c r="A78" s="1327">
        <v>71</v>
      </c>
      <c r="B78" s="1322" t="s">
        <v>14</v>
      </c>
      <c r="C78" s="1327">
        <f t="shared" si="6"/>
        <v>2.4</v>
      </c>
      <c r="D78" s="1322"/>
      <c r="E78" s="1322">
        <f t="shared" si="7"/>
        <v>24</v>
      </c>
      <c r="F78" s="1322">
        <f t="shared" si="8"/>
        <v>18</v>
      </c>
      <c r="G78" s="1322">
        <f t="shared" si="9"/>
        <v>0</v>
      </c>
      <c r="H78" s="1322"/>
      <c r="I78" s="1322"/>
      <c r="J78" s="1322"/>
      <c r="K78" s="1322"/>
      <c r="L78" s="1322">
        <f t="shared" si="10"/>
        <v>44.4</v>
      </c>
      <c r="N78" s="1323">
        <v>3</v>
      </c>
      <c r="P78" s="1323">
        <v>3</v>
      </c>
      <c r="Q78" s="1323">
        <v>3</v>
      </c>
    </row>
    <row r="79" spans="1:17">
      <c r="A79" s="1327">
        <v>72</v>
      </c>
      <c r="B79" s="1322" t="s">
        <v>22</v>
      </c>
      <c r="C79" s="1327">
        <f t="shared" si="6"/>
        <v>2.4</v>
      </c>
      <c r="D79" s="1322"/>
      <c r="E79" s="1322">
        <f t="shared" si="7"/>
        <v>24</v>
      </c>
      <c r="F79" s="1322">
        <f t="shared" si="8"/>
        <v>18</v>
      </c>
      <c r="G79" s="1322">
        <f t="shared" si="9"/>
        <v>0</v>
      </c>
      <c r="H79" s="1322"/>
      <c r="I79" s="1322"/>
      <c r="J79" s="1322"/>
      <c r="K79" s="1322"/>
      <c r="L79" s="1322">
        <f t="shared" si="10"/>
        <v>44.4</v>
      </c>
      <c r="N79" s="1323">
        <v>3</v>
      </c>
      <c r="P79" s="1323">
        <v>3</v>
      </c>
      <c r="Q79" s="1323">
        <v>3</v>
      </c>
    </row>
    <row r="80" spans="1:17">
      <c r="A80" s="1327">
        <v>73</v>
      </c>
      <c r="B80" s="1322" t="s">
        <v>23</v>
      </c>
      <c r="C80" s="1327">
        <f t="shared" si="6"/>
        <v>2.4</v>
      </c>
      <c r="D80" s="1322"/>
      <c r="E80" s="1322">
        <f t="shared" si="7"/>
        <v>24</v>
      </c>
      <c r="F80" s="1322">
        <f t="shared" si="8"/>
        <v>18</v>
      </c>
      <c r="G80" s="1322">
        <f t="shared" si="9"/>
        <v>0</v>
      </c>
      <c r="H80" s="1322"/>
      <c r="I80" s="1322"/>
      <c r="J80" s="1322"/>
      <c r="K80" s="1322"/>
      <c r="L80" s="1322">
        <f t="shared" si="10"/>
        <v>44.4</v>
      </c>
      <c r="N80" s="1323">
        <v>3</v>
      </c>
      <c r="P80" s="1323">
        <v>3</v>
      </c>
      <c r="Q80" s="1323">
        <v>3</v>
      </c>
    </row>
    <row r="81" spans="1:17">
      <c r="A81" s="1327">
        <v>74</v>
      </c>
      <c r="B81" s="1322" t="s">
        <v>36</v>
      </c>
      <c r="C81" s="1327">
        <f t="shared" si="6"/>
        <v>2.4</v>
      </c>
      <c r="D81" s="1322"/>
      <c r="E81" s="1322">
        <f t="shared" si="7"/>
        <v>24</v>
      </c>
      <c r="F81" s="1322">
        <f t="shared" si="8"/>
        <v>18</v>
      </c>
      <c r="G81" s="1322">
        <f t="shared" si="9"/>
        <v>0</v>
      </c>
      <c r="H81" s="1322"/>
      <c r="I81" s="1322"/>
      <c r="J81" s="1322"/>
      <c r="K81" s="1322"/>
      <c r="L81" s="1322">
        <f t="shared" si="10"/>
        <v>44.4</v>
      </c>
      <c r="N81" s="1323">
        <v>3</v>
      </c>
      <c r="P81" s="1323">
        <v>3</v>
      </c>
      <c r="Q81" s="1323">
        <v>3</v>
      </c>
    </row>
    <row r="82" spans="1:17">
      <c r="A82" s="1327">
        <v>75</v>
      </c>
      <c r="B82" s="1322" t="s">
        <v>63</v>
      </c>
      <c r="C82" s="1327">
        <f t="shared" si="6"/>
        <v>2.4</v>
      </c>
      <c r="D82" s="1322"/>
      <c r="E82" s="1322">
        <f t="shared" si="7"/>
        <v>24</v>
      </c>
      <c r="F82" s="1322">
        <f t="shared" si="8"/>
        <v>18</v>
      </c>
      <c r="G82" s="1322">
        <f t="shared" si="9"/>
        <v>0</v>
      </c>
      <c r="H82" s="1322"/>
      <c r="I82" s="1322"/>
      <c r="J82" s="1322"/>
      <c r="K82" s="1322"/>
      <c r="L82" s="1322">
        <f t="shared" si="10"/>
        <v>44.4</v>
      </c>
      <c r="N82" s="1323">
        <v>3</v>
      </c>
      <c r="P82" s="1323">
        <v>3</v>
      </c>
      <c r="Q82" s="1323">
        <v>3</v>
      </c>
    </row>
    <row r="83" spans="1:17">
      <c r="A83" s="1327">
        <v>76</v>
      </c>
      <c r="B83" s="1322" t="s">
        <v>1998</v>
      </c>
      <c r="C83" s="1327">
        <f t="shared" si="6"/>
        <v>2.4</v>
      </c>
      <c r="D83" s="1322"/>
      <c r="E83" s="1322">
        <f t="shared" si="7"/>
        <v>24</v>
      </c>
      <c r="F83" s="1322">
        <f t="shared" si="8"/>
        <v>18</v>
      </c>
      <c r="G83" s="1322">
        <f t="shared" si="9"/>
        <v>0</v>
      </c>
      <c r="H83" s="1322"/>
      <c r="I83" s="1322"/>
      <c r="J83" s="1322"/>
      <c r="K83" s="1322"/>
      <c r="L83" s="1322">
        <f t="shared" si="10"/>
        <v>44.4</v>
      </c>
      <c r="N83" s="1323">
        <v>3</v>
      </c>
      <c r="P83" s="1323">
        <v>3</v>
      </c>
      <c r="Q83" s="1323">
        <v>3</v>
      </c>
    </row>
    <row r="84" spans="1:17">
      <c r="A84" s="1327">
        <v>77</v>
      </c>
      <c r="B84" s="1322" t="s">
        <v>81</v>
      </c>
      <c r="C84" s="1327">
        <f t="shared" si="6"/>
        <v>2.4</v>
      </c>
      <c r="D84" s="1322"/>
      <c r="E84" s="1322">
        <f t="shared" si="7"/>
        <v>24</v>
      </c>
      <c r="F84" s="1322">
        <f t="shared" si="8"/>
        <v>18</v>
      </c>
      <c r="G84" s="1322">
        <f t="shared" si="9"/>
        <v>0</v>
      </c>
      <c r="H84" s="1322"/>
      <c r="I84" s="1322"/>
      <c r="J84" s="1322"/>
      <c r="K84" s="1322"/>
      <c r="L84" s="1322">
        <f t="shared" si="10"/>
        <v>44.4</v>
      </c>
      <c r="N84" s="1323">
        <v>3</v>
      </c>
      <c r="P84" s="1323">
        <v>3</v>
      </c>
      <c r="Q84" s="1323">
        <v>3</v>
      </c>
    </row>
    <row r="85" spans="1:17">
      <c r="A85" s="1327">
        <v>78</v>
      </c>
      <c r="B85" s="1322" t="s">
        <v>82</v>
      </c>
      <c r="C85" s="1327">
        <f t="shared" si="6"/>
        <v>2.4</v>
      </c>
      <c r="D85" s="1322"/>
      <c r="E85" s="1322">
        <f t="shared" si="7"/>
        <v>24</v>
      </c>
      <c r="F85" s="1322">
        <f t="shared" si="8"/>
        <v>18</v>
      </c>
      <c r="G85" s="1322">
        <f t="shared" si="9"/>
        <v>0</v>
      </c>
      <c r="H85" s="1322"/>
      <c r="I85" s="1322"/>
      <c r="J85" s="1322"/>
      <c r="K85" s="1322"/>
      <c r="L85" s="1322">
        <f t="shared" si="10"/>
        <v>44.4</v>
      </c>
      <c r="N85" s="1323">
        <v>3</v>
      </c>
      <c r="P85" s="1323">
        <v>3</v>
      </c>
      <c r="Q85" s="1323">
        <v>3</v>
      </c>
    </row>
    <row r="86" spans="1:17">
      <c r="A86" s="1327">
        <v>79</v>
      </c>
      <c r="B86" s="1322" t="s">
        <v>49</v>
      </c>
      <c r="C86" s="1327">
        <f t="shared" si="6"/>
        <v>2.4</v>
      </c>
      <c r="D86" s="1322"/>
      <c r="E86" s="1322">
        <f t="shared" si="7"/>
        <v>24</v>
      </c>
      <c r="F86" s="1322">
        <f t="shared" si="8"/>
        <v>18</v>
      </c>
      <c r="G86" s="1322">
        <f t="shared" si="9"/>
        <v>0</v>
      </c>
      <c r="H86" s="1322"/>
      <c r="I86" s="1322"/>
      <c r="J86" s="1322"/>
      <c r="K86" s="1322"/>
      <c r="L86" s="1322">
        <f t="shared" si="10"/>
        <v>44.4</v>
      </c>
      <c r="N86" s="1323">
        <v>3</v>
      </c>
      <c r="P86" s="1323">
        <v>3</v>
      </c>
      <c r="Q86" s="1323">
        <v>3</v>
      </c>
    </row>
    <row r="87" spans="1:17">
      <c r="A87" s="1327">
        <v>80</v>
      </c>
      <c r="B87" s="1322" t="s">
        <v>50</v>
      </c>
      <c r="C87" s="1327">
        <f t="shared" si="6"/>
        <v>2.4</v>
      </c>
      <c r="D87" s="1322"/>
      <c r="E87" s="1322">
        <f t="shared" si="7"/>
        <v>24</v>
      </c>
      <c r="F87" s="1322">
        <f t="shared" si="8"/>
        <v>18</v>
      </c>
      <c r="G87" s="1322">
        <f t="shared" si="9"/>
        <v>0</v>
      </c>
      <c r="H87" s="1322"/>
      <c r="I87" s="1322"/>
      <c r="J87" s="1322"/>
      <c r="K87" s="1322"/>
      <c r="L87" s="1322">
        <f t="shared" si="10"/>
        <v>44.4</v>
      </c>
      <c r="N87" s="1323">
        <v>3</v>
      </c>
      <c r="P87" s="1323">
        <v>3</v>
      </c>
      <c r="Q87" s="1323">
        <v>3</v>
      </c>
    </row>
    <row r="88" spans="1:17">
      <c r="A88" s="1327">
        <v>81</v>
      </c>
      <c r="B88" s="1322" t="s">
        <v>68</v>
      </c>
      <c r="C88" s="1327">
        <f t="shared" si="6"/>
        <v>2.4</v>
      </c>
      <c r="D88" s="1322"/>
      <c r="E88" s="1322">
        <f t="shared" si="7"/>
        <v>24</v>
      </c>
      <c r="F88" s="1322">
        <f t="shared" si="8"/>
        <v>18</v>
      </c>
      <c r="G88" s="1322">
        <f t="shared" si="9"/>
        <v>0</v>
      </c>
      <c r="H88" s="1322"/>
      <c r="I88" s="1322"/>
      <c r="J88" s="1322"/>
      <c r="K88" s="1322"/>
      <c r="L88" s="1322">
        <f t="shared" si="10"/>
        <v>44.4</v>
      </c>
      <c r="N88" s="1323">
        <v>3</v>
      </c>
      <c r="P88" s="1323">
        <v>3</v>
      </c>
      <c r="Q88" s="1323">
        <v>3</v>
      </c>
    </row>
    <row r="89" spans="1:17">
      <c r="A89" s="1327">
        <v>82</v>
      </c>
      <c r="B89" s="1322" t="s">
        <v>69</v>
      </c>
      <c r="C89" s="1327">
        <f t="shared" si="6"/>
        <v>2.4</v>
      </c>
      <c r="D89" s="1322"/>
      <c r="E89" s="1322">
        <f t="shared" si="7"/>
        <v>24</v>
      </c>
      <c r="F89" s="1322">
        <f t="shared" si="8"/>
        <v>18</v>
      </c>
      <c r="G89" s="1322">
        <f t="shared" si="9"/>
        <v>0</v>
      </c>
      <c r="H89" s="1322"/>
      <c r="I89" s="1322"/>
      <c r="J89" s="1322"/>
      <c r="K89" s="1322"/>
      <c r="L89" s="1322">
        <f t="shared" si="10"/>
        <v>44.4</v>
      </c>
      <c r="N89" s="1323">
        <v>3</v>
      </c>
      <c r="P89" s="1323">
        <v>3</v>
      </c>
      <c r="Q89" s="1323">
        <v>3</v>
      </c>
    </row>
    <row r="90" spans="1:17">
      <c r="A90" s="1327">
        <v>83</v>
      </c>
      <c r="B90" s="1322" t="s">
        <v>94</v>
      </c>
      <c r="C90" s="1327">
        <f t="shared" si="6"/>
        <v>2.4</v>
      </c>
      <c r="D90" s="1322"/>
      <c r="E90" s="1322">
        <f t="shared" si="7"/>
        <v>24</v>
      </c>
      <c r="F90" s="1322">
        <f t="shared" si="8"/>
        <v>18</v>
      </c>
      <c r="G90" s="1322">
        <f t="shared" si="9"/>
        <v>0</v>
      </c>
      <c r="H90" s="1322"/>
      <c r="I90" s="1322"/>
      <c r="J90" s="1322"/>
      <c r="K90" s="1322"/>
      <c r="L90" s="1322">
        <f t="shared" si="10"/>
        <v>44.4</v>
      </c>
      <c r="N90" s="1323">
        <v>3</v>
      </c>
      <c r="P90" s="1323">
        <v>3</v>
      </c>
      <c r="Q90" s="1323">
        <v>3</v>
      </c>
    </row>
    <row r="91" spans="1:17">
      <c r="A91" s="1327">
        <v>84</v>
      </c>
      <c r="B91" s="1322" t="s">
        <v>95</v>
      </c>
      <c r="C91" s="1327">
        <f t="shared" si="6"/>
        <v>2.4</v>
      </c>
      <c r="D91" s="1322"/>
      <c r="E91" s="1322">
        <f t="shared" si="7"/>
        <v>24</v>
      </c>
      <c r="F91" s="1322">
        <f t="shared" si="8"/>
        <v>18</v>
      </c>
      <c r="G91" s="1322">
        <f t="shared" si="9"/>
        <v>0</v>
      </c>
      <c r="H91" s="1322"/>
      <c r="I91" s="1322"/>
      <c r="J91" s="1322"/>
      <c r="K91" s="1322"/>
      <c r="L91" s="1322">
        <f t="shared" si="10"/>
        <v>44.4</v>
      </c>
      <c r="N91" s="1323">
        <v>3</v>
      </c>
      <c r="P91" s="1323">
        <v>3</v>
      </c>
      <c r="Q91" s="1323">
        <v>3</v>
      </c>
    </row>
    <row r="92" spans="1:17">
      <c r="A92" s="1327">
        <v>85</v>
      </c>
      <c r="B92" s="1322" t="s">
        <v>16</v>
      </c>
      <c r="C92" s="1327">
        <f t="shared" si="6"/>
        <v>2.4</v>
      </c>
      <c r="D92" s="1322"/>
      <c r="E92" s="1322">
        <f t="shared" si="7"/>
        <v>24</v>
      </c>
      <c r="F92" s="1322">
        <f t="shared" si="8"/>
        <v>18</v>
      </c>
      <c r="G92" s="1322">
        <f t="shared" si="9"/>
        <v>0</v>
      </c>
      <c r="H92" s="1322"/>
      <c r="I92" s="1322"/>
      <c r="J92" s="1322"/>
      <c r="K92" s="1322"/>
      <c r="L92" s="1322">
        <f t="shared" si="10"/>
        <v>44.4</v>
      </c>
      <c r="N92" s="1323">
        <v>3</v>
      </c>
      <c r="P92" s="1323">
        <v>3</v>
      </c>
      <c r="Q92" s="1323">
        <v>3</v>
      </c>
    </row>
    <row r="93" spans="1:17">
      <c r="A93" s="1327">
        <v>86</v>
      </c>
      <c r="B93" s="1322" t="s">
        <v>47</v>
      </c>
      <c r="C93" s="1327">
        <f t="shared" si="6"/>
        <v>2.4</v>
      </c>
      <c r="D93" s="1322"/>
      <c r="E93" s="1322">
        <f t="shared" si="7"/>
        <v>24</v>
      </c>
      <c r="F93" s="1322">
        <f t="shared" si="8"/>
        <v>18</v>
      </c>
      <c r="G93" s="1322">
        <f t="shared" si="9"/>
        <v>0</v>
      </c>
      <c r="H93" s="1322"/>
      <c r="I93" s="1322"/>
      <c r="J93" s="1322"/>
      <c r="K93" s="1322"/>
      <c r="L93" s="1322">
        <f t="shared" si="10"/>
        <v>44.4</v>
      </c>
      <c r="N93" s="1323">
        <v>3</v>
      </c>
      <c r="P93" s="1323">
        <v>3</v>
      </c>
      <c r="Q93" s="1323">
        <v>3</v>
      </c>
    </row>
    <row r="94" spans="1:17">
      <c r="A94" s="1327">
        <v>87</v>
      </c>
      <c r="B94" s="1322" t="s">
        <v>104</v>
      </c>
      <c r="C94" s="1327">
        <f t="shared" si="6"/>
        <v>2.4</v>
      </c>
      <c r="D94" s="1322"/>
      <c r="E94" s="1322">
        <f t="shared" si="7"/>
        <v>24</v>
      </c>
      <c r="F94" s="1322">
        <f t="shared" si="8"/>
        <v>18</v>
      </c>
      <c r="G94" s="1322">
        <f t="shared" si="9"/>
        <v>0</v>
      </c>
      <c r="H94" s="1322"/>
      <c r="I94" s="1322"/>
      <c r="J94" s="1322"/>
      <c r="K94" s="1322"/>
      <c r="L94" s="1322">
        <f t="shared" si="10"/>
        <v>44.4</v>
      </c>
      <c r="N94" s="1323">
        <v>3</v>
      </c>
      <c r="P94" s="1323">
        <v>3</v>
      </c>
      <c r="Q94" s="1323">
        <v>3</v>
      </c>
    </row>
    <row r="95" spans="1:17">
      <c r="A95" s="1327">
        <v>88</v>
      </c>
      <c r="B95" s="1322" t="s">
        <v>105</v>
      </c>
      <c r="C95" s="1327">
        <f t="shared" si="6"/>
        <v>2.4</v>
      </c>
      <c r="D95" s="1322"/>
      <c r="E95" s="1322">
        <f t="shared" si="7"/>
        <v>24</v>
      </c>
      <c r="F95" s="1322">
        <f t="shared" si="8"/>
        <v>18</v>
      </c>
      <c r="G95" s="1322">
        <f t="shared" si="9"/>
        <v>0</v>
      </c>
      <c r="H95" s="1322"/>
      <c r="I95" s="1322"/>
      <c r="J95" s="1322"/>
      <c r="K95" s="1322"/>
      <c r="L95" s="1322">
        <f t="shared" si="10"/>
        <v>44.4</v>
      </c>
      <c r="N95" s="1323">
        <v>3</v>
      </c>
      <c r="P95" s="1323">
        <v>3</v>
      </c>
      <c r="Q95" s="1323">
        <v>3</v>
      </c>
    </row>
    <row r="96" spans="1:17">
      <c r="A96" s="1327">
        <v>89</v>
      </c>
      <c r="B96" s="1322" t="s">
        <v>106</v>
      </c>
      <c r="C96" s="1327">
        <f t="shared" si="6"/>
        <v>2.4</v>
      </c>
      <c r="D96" s="1322"/>
      <c r="E96" s="1322">
        <f t="shared" si="7"/>
        <v>24</v>
      </c>
      <c r="F96" s="1322">
        <f t="shared" si="8"/>
        <v>18</v>
      </c>
      <c r="G96" s="1322">
        <f t="shared" si="9"/>
        <v>0</v>
      </c>
      <c r="H96" s="1322"/>
      <c r="I96" s="1322"/>
      <c r="J96" s="1322"/>
      <c r="K96" s="1322"/>
      <c r="L96" s="1322">
        <f t="shared" si="10"/>
        <v>44.4</v>
      </c>
      <c r="N96" s="1323">
        <v>3</v>
      </c>
      <c r="P96" s="1323">
        <v>3</v>
      </c>
      <c r="Q96" s="1323">
        <v>3</v>
      </c>
    </row>
    <row r="97" spans="1:17">
      <c r="A97" s="1327">
        <v>90</v>
      </c>
      <c r="B97" s="1322" t="s">
        <v>107</v>
      </c>
      <c r="C97" s="1327">
        <f t="shared" si="6"/>
        <v>2.4</v>
      </c>
      <c r="D97" s="1322"/>
      <c r="E97" s="1322">
        <f t="shared" si="7"/>
        <v>24</v>
      </c>
      <c r="F97" s="1322">
        <f t="shared" si="8"/>
        <v>18</v>
      </c>
      <c r="G97" s="1322">
        <f t="shared" si="9"/>
        <v>0</v>
      </c>
      <c r="H97" s="1322"/>
      <c r="I97" s="1322"/>
      <c r="J97" s="1322"/>
      <c r="K97" s="1322"/>
      <c r="L97" s="1322">
        <f t="shared" si="10"/>
        <v>44.4</v>
      </c>
      <c r="N97" s="1323">
        <v>3</v>
      </c>
      <c r="P97" s="1323">
        <v>3</v>
      </c>
      <c r="Q97" s="1323">
        <v>3</v>
      </c>
    </row>
    <row r="98" spans="1:17">
      <c r="A98" s="1327">
        <v>91</v>
      </c>
      <c r="B98" s="1322" t="s">
        <v>108</v>
      </c>
      <c r="C98" s="1327">
        <f t="shared" si="6"/>
        <v>2.4</v>
      </c>
      <c r="D98" s="1322"/>
      <c r="E98" s="1322">
        <f t="shared" si="7"/>
        <v>24</v>
      </c>
      <c r="F98" s="1322">
        <f t="shared" si="8"/>
        <v>18</v>
      </c>
      <c r="G98" s="1322">
        <f t="shared" si="9"/>
        <v>0</v>
      </c>
      <c r="H98" s="1322"/>
      <c r="I98" s="1322"/>
      <c r="J98" s="1322"/>
      <c r="K98" s="1322"/>
      <c r="L98" s="1322">
        <f t="shared" si="10"/>
        <v>44.4</v>
      </c>
      <c r="N98" s="1323">
        <v>3</v>
      </c>
      <c r="P98" s="1323">
        <v>3</v>
      </c>
      <c r="Q98" s="1323">
        <v>3</v>
      </c>
    </row>
    <row r="99" spans="1:17">
      <c r="A99" s="1327">
        <v>92</v>
      </c>
      <c r="B99" s="1322" t="s">
        <v>109</v>
      </c>
      <c r="C99" s="1327">
        <f t="shared" si="6"/>
        <v>2.4</v>
      </c>
      <c r="D99" s="1322"/>
      <c r="E99" s="1322">
        <f t="shared" si="7"/>
        <v>24</v>
      </c>
      <c r="F99" s="1322">
        <f t="shared" si="8"/>
        <v>18</v>
      </c>
      <c r="G99" s="1322">
        <f t="shared" si="9"/>
        <v>0</v>
      </c>
      <c r="H99" s="1322"/>
      <c r="I99" s="1322"/>
      <c r="J99" s="1322"/>
      <c r="K99" s="1322"/>
      <c r="L99" s="1322">
        <f t="shared" si="10"/>
        <v>44.4</v>
      </c>
      <c r="N99" s="1323">
        <v>3</v>
      </c>
      <c r="P99" s="1323">
        <v>3</v>
      </c>
      <c r="Q99" s="1323">
        <v>3</v>
      </c>
    </row>
    <row r="100" spans="1:17">
      <c r="A100" s="1327">
        <v>93</v>
      </c>
      <c r="B100" s="1322" t="s">
        <v>110</v>
      </c>
      <c r="C100" s="1327">
        <f t="shared" si="6"/>
        <v>2.4</v>
      </c>
      <c r="D100" s="1322"/>
      <c r="E100" s="1322">
        <f t="shared" si="7"/>
        <v>24</v>
      </c>
      <c r="F100" s="1322">
        <f t="shared" si="8"/>
        <v>18</v>
      </c>
      <c r="G100" s="1322">
        <f t="shared" si="9"/>
        <v>0</v>
      </c>
      <c r="H100" s="1322"/>
      <c r="I100" s="1322"/>
      <c r="J100" s="1322"/>
      <c r="K100" s="1322"/>
      <c r="L100" s="1322">
        <f t="shared" si="10"/>
        <v>44.4</v>
      </c>
      <c r="N100" s="1323">
        <v>3</v>
      </c>
      <c r="P100" s="1323">
        <v>3</v>
      </c>
      <c r="Q100" s="1323">
        <v>3</v>
      </c>
    </row>
    <row r="101" spans="1:17">
      <c r="A101" s="1327">
        <v>94</v>
      </c>
      <c r="B101" s="1322" t="s">
        <v>111</v>
      </c>
      <c r="C101" s="1327">
        <f t="shared" si="6"/>
        <v>2.4</v>
      </c>
      <c r="D101" s="1322"/>
      <c r="E101" s="1322">
        <f t="shared" si="7"/>
        <v>24</v>
      </c>
      <c r="F101" s="1322">
        <f t="shared" si="8"/>
        <v>18</v>
      </c>
      <c r="G101" s="1322">
        <f t="shared" si="9"/>
        <v>0</v>
      </c>
      <c r="H101" s="1322"/>
      <c r="I101" s="1322"/>
      <c r="J101" s="1322"/>
      <c r="K101" s="1322"/>
      <c r="L101" s="1322">
        <f t="shared" si="10"/>
        <v>44.4</v>
      </c>
      <c r="N101" s="1323">
        <v>3</v>
      </c>
      <c r="P101" s="1323">
        <v>3</v>
      </c>
      <c r="Q101" s="1323">
        <v>3</v>
      </c>
    </row>
    <row r="102" spans="1:17">
      <c r="A102" s="1327">
        <v>95</v>
      </c>
      <c r="B102" s="1322" t="s">
        <v>112</v>
      </c>
      <c r="C102" s="1327">
        <f t="shared" si="6"/>
        <v>2.4</v>
      </c>
      <c r="D102" s="1322"/>
      <c r="E102" s="1322">
        <f t="shared" si="7"/>
        <v>24</v>
      </c>
      <c r="F102" s="1322">
        <f t="shared" si="8"/>
        <v>18</v>
      </c>
      <c r="G102" s="1322">
        <f t="shared" si="9"/>
        <v>0</v>
      </c>
      <c r="H102" s="1322"/>
      <c r="I102" s="1322"/>
      <c r="J102" s="1322"/>
      <c r="K102" s="1322"/>
      <c r="L102" s="1322">
        <f t="shared" si="10"/>
        <v>44.4</v>
      </c>
      <c r="N102" s="1323">
        <v>3</v>
      </c>
      <c r="P102" s="1323">
        <v>3</v>
      </c>
      <c r="Q102" s="1323">
        <v>3</v>
      </c>
    </row>
    <row r="103" spans="1:17">
      <c r="A103" s="1327">
        <v>96</v>
      </c>
      <c r="B103" s="1322" t="s">
        <v>113</v>
      </c>
      <c r="C103" s="1327">
        <f t="shared" si="6"/>
        <v>2.4</v>
      </c>
      <c r="D103" s="1322"/>
      <c r="E103" s="1322">
        <f t="shared" si="7"/>
        <v>24</v>
      </c>
      <c r="F103" s="1322">
        <f t="shared" si="8"/>
        <v>18</v>
      </c>
      <c r="G103" s="1322">
        <f t="shared" si="9"/>
        <v>0</v>
      </c>
      <c r="H103" s="1322"/>
      <c r="I103" s="1322"/>
      <c r="J103" s="1322"/>
      <c r="K103" s="1322"/>
      <c r="L103" s="1322">
        <f t="shared" si="10"/>
        <v>44.4</v>
      </c>
      <c r="N103" s="1323">
        <v>3</v>
      </c>
      <c r="P103" s="1323">
        <v>3</v>
      </c>
      <c r="Q103" s="1323">
        <v>3</v>
      </c>
    </row>
    <row r="104" spans="1:17">
      <c r="A104" s="1327">
        <v>97</v>
      </c>
      <c r="B104" s="1322" t="s">
        <v>114</v>
      </c>
      <c r="C104" s="1327">
        <f t="shared" si="6"/>
        <v>2.4</v>
      </c>
      <c r="D104" s="1322"/>
      <c r="E104" s="1322">
        <f t="shared" si="7"/>
        <v>24</v>
      </c>
      <c r="F104" s="1322">
        <f t="shared" si="8"/>
        <v>18</v>
      </c>
      <c r="G104" s="1322">
        <f t="shared" si="9"/>
        <v>0</v>
      </c>
      <c r="H104" s="1322"/>
      <c r="I104" s="1322"/>
      <c r="J104" s="1322"/>
      <c r="K104" s="1322"/>
      <c r="L104" s="1322">
        <f t="shared" si="10"/>
        <v>44.4</v>
      </c>
      <c r="N104" s="1323">
        <v>3</v>
      </c>
      <c r="P104" s="1323">
        <v>3</v>
      </c>
      <c r="Q104" s="1323">
        <v>3</v>
      </c>
    </row>
    <row r="105" spans="1:17">
      <c r="A105" s="1327">
        <v>98</v>
      </c>
      <c r="B105" s="1322" t="s">
        <v>116</v>
      </c>
      <c r="C105" s="1327">
        <f t="shared" si="6"/>
        <v>2.4</v>
      </c>
      <c r="D105" s="1322"/>
      <c r="E105" s="1322">
        <f t="shared" si="7"/>
        <v>24</v>
      </c>
      <c r="F105" s="1322">
        <f t="shared" si="8"/>
        <v>18</v>
      </c>
      <c r="G105" s="1322">
        <f t="shared" si="9"/>
        <v>0</v>
      </c>
      <c r="H105" s="1322"/>
      <c r="I105" s="1322"/>
      <c r="J105" s="1322"/>
      <c r="K105" s="1322"/>
      <c r="L105" s="1322">
        <f t="shared" si="10"/>
        <v>44.4</v>
      </c>
      <c r="N105" s="1323">
        <v>3</v>
      </c>
      <c r="P105" s="1323">
        <v>3</v>
      </c>
      <c r="Q105" s="1323">
        <v>3</v>
      </c>
    </row>
    <row r="106" spans="1:17">
      <c r="A106" s="1327">
        <v>99</v>
      </c>
      <c r="B106" s="1322" t="s">
        <v>117</v>
      </c>
      <c r="C106" s="1327">
        <f t="shared" si="6"/>
        <v>2.4</v>
      </c>
      <c r="D106" s="1322"/>
      <c r="E106" s="1322">
        <f t="shared" si="7"/>
        <v>24</v>
      </c>
      <c r="F106" s="1322">
        <f t="shared" si="8"/>
        <v>18</v>
      </c>
      <c r="G106" s="1322">
        <f t="shared" si="9"/>
        <v>0</v>
      </c>
      <c r="H106" s="1322"/>
      <c r="I106" s="1322"/>
      <c r="J106" s="1322"/>
      <c r="K106" s="1322"/>
      <c r="L106" s="1322">
        <f t="shared" si="10"/>
        <v>44.4</v>
      </c>
      <c r="N106" s="1323">
        <v>3</v>
      </c>
      <c r="P106" s="1323">
        <v>3</v>
      </c>
      <c r="Q106" s="1323">
        <v>3</v>
      </c>
    </row>
    <row r="107" spans="1:17">
      <c r="A107" s="1327">
        <v>100</v>
      </c>
      <c r="B107" s="1322" t="s">
        <v>118</v>
      </c>
      <c r="C107" s="1327">
        <f t="shared" si="6"/>
        <v>2.4</v>
      </c>
      <c r="D107" s="1322"/>
      <c r="E107" s="1322">
        <f t="shared" si="7"/>
        <v>24</v>
      </c>
      <c r="F107" s="1322">
        <f t="shared" si="8"/>
        <v>18</v>
      </c>
      <c r="G107" s="1322">
        <f t="shared" si="9"/>
        <v>0</v>
      </c>
      <c r="H107" s="1322"/>
      <c r="I107" s="1322"/>
      <c r="J107" s="1322"/>
      <c r="K107" s="1322"/>
      <c r="L107" s="1322">
        <f t="shared" si="10"/>
        <v>44.4</v>
      </c>
      <c r="N107" s="1323">
        <v>3</v>
      </c>
      <c r="P107" s="1323">
        <v>3</v>
      </c>
      <c r="Q107" s="1323">
        <v>3</v>
      </c>
    </row>
    <row r="108" spans="1:17">
      <c r="A108" s="1327">
        <v>101</v>
      </c>
      <c r="B108" s="1322" t="s">
        <v>119</v>
      </c>
      <c r="C108" s="1327">
        <f t="shared" si="6"/>
        <v>2.4</v>
      </c>
      <c r="D108" s="1322"/>
      <c r="E108" s="1322">
        <f t="shared" si="7"/>
        <v>24</v>
      </c>
      <c r="F108" s="1322">
        <f t="shared" si="8"/>
        <v>18</v>
      </c>
      <c r="G108" s="1322">
        <f t="shared" si="9"/>
        <v>0</v>
      </c>
      <c r="H108" s="1322"/>
      <c r="I108" s="1322"/>
      <c r="J108" s="1322"/>
      <c r="K108" s="1322"/>
      <c r="L108" s="1322">
        <f t="shared" si="10"/>
        <v>44.4</v>
      </c>
      <c r="N108" s="1323">
        <v>3</v>
      </c>
      <c r="P108" s="1323">
        <v>3</v>
      </c>
      <c r="Q108" s="1323">
        <v>3</v>
      </c>
    </row>
    <row r="109" spans="1:17">
      <c r="A109" s="1327">
        <v>102</v>
      </c>
      <c r="B109" s="1322" t="s">
        <v>120</v>
      </c>
      <c r="C109" s="1327">
        <f t="shared" si="6"/>
        <v>2.4</v>
      </c>
      <c r="D109" s="1322"/>
      <c r="E109" s="1322">
        <f t="shared" si="7"/>
        <v>24</v>
      </c>
      <c r="F109" s="1322">
        <f t="shared" si="8"/>
        <v>18</v>
      </c>
      <c r="G109" s="1322">
        <f t="shared" si="9"/>
        <v>0</v>
      </c>
      <c r="H109" s="1322"/>
      <c r="I109" s="1322"/>
      <c r="J109" s="1322"/>
      <c r="K109" s="1322"/>
      <c r="L109" s="1322">
        <f t="shared" si="10"/>
        <v>44.4</v>
      </c>
      <c r="N109" s="1323">
        <v>3</v>
      </c>
      <c r="P109" s="1323">
        <v>3</v>
      </c>
      <c r="Q109" s="1323">
        <v>3</v>
      </c>
    </row>
    <row r="110" spans="1:17">
      <c r="A110" s="1327">
        <v>103</v>
      </c>
      <c r="B110" s="1322" t="s">
        <v>121</v>
      </c>
      <c r="C110" s="1327">
        <f t="shared" si="6"/>
        <v>2.4</v>
      </c>
      <c r="D110" s="1322"/>
      <c r="E110" s="1322">
        <f t="shared" si="7"/>
        <v>24</v>
      </c>
      <c r="F110" s="1322">
        <f t="shared" si="8"/>
        <v>18</v>
      </c>
      <c r="G110" s="1322">
        <f t="shared" si="9"/>
        <v>0</v>
      </c>
      <c r="H110" s="1322"/>
      <c r="I110" s="1322"/>
      <c r="J110" s="1322"/>
      <c r="K110" s="1322"/>
      <c r="L110" s="1322">
        <f t="shared" si="10"/>
        <v>44.4</v>
      </c>
      <c r="N110" s="1323">
        <v>3</v>
      </c>
      <c r="P110" s="1323">
        <v>3</v>
      </c>
      <c r="Q110" s="1323">
        <v>3</v>
      </c>
    </row>
    <row r="111" spans="1:17">
      <c r="A111" s="1327">
        <v>104</v>
      </c>
      <c r="B111" s="1322" t="s">
        <v>122</v>
      </c>
      <c r="C111" s="1327">
        <f t="shared" si="6"/>
        <v>2.4</v>
      </c>
      <c r="D111" s="1322"/>
      <c r="E111" s="1322">
        <f t="shared" si="7"/>
        <v>24</v>
      </c>
      <c r="F111" s="1322">
        <f t="shared" si="8"/>
        <v>18</v>
      </c>
      <c r="G111" s="1322">
        <f t="shared" si="9"/>
        <v>0</v>
      </c>
      <c r="H111" s="1322"/>
      <c r="I111" s="1322"/>
      <c r="J111" s="1322"/>
      <c r="K111" s="1322"/>
      <c r="L111" s="1322">
        <f t="shared" si="10"/>
        <v>44.4</v>
      </c>
      <c r="N111" s="1323">
        <v>3</v>
      </c>
      <c r="P111" s="1323">
        <v>3</v>
      </c>
      <c r="Q111" s="1323">
        <v>3</v>
      </c>
    </row>
    <row r="112" spans="1:17">
      <c r="A112" s="1327">
        <v>105</v>
      </c>
      <c r="B112" s="1322"/>
      <c r="C112" s="1327"/>
      <c r="D112" s="1322"/>
      <c r="E112" s="1322"/>
      <c r="F112" s="1322"/>
      <c r="G112" s="1322"/>
      <c r="H112" s="1322"/>
      <c r="I112" s="1322"/>
      <c r="J112" s="1322"/>
      <c r="K112" s="1322"/>
      <c r="L112" s="1322">
        <f t="shared" si="10"/>
        <v>0</v>
      </c>
    </row>
    <row r="113" spans="1:18">
      <c r="A113" s="1327">
        <v>106</v>
      </c>
      <c r="B113" s="1322"/>
      <c r="C113" s="1327"/>
      <c r="D113" s="1322"/>
      <c r="E113" s="1322"/>
      <c r="F113" s="1322"/>
      <c r="G113" s="1322"/>
      <c r="H113" s="1322"/>
      <c r="I113" s="1322"/>
      <c r="J113" s="1322"/>
      <c r="K113" s="1322"/>
      <c r="L113" s="1322">
        <f t="shared" si="10"/>
        <v>0</v>
      </c>
    </row>
    <row r="114" spans="1:18" s="1329" customFormat="1" ht="93.75">
      <c r="A114" s="1328" t="s">
        <v>2986</v>
      </c>
      <c r="B114" s="1328"/>
      <c r="C114" s="1328">
        <f>SUM(C115:C180)</f>
        <v>201.5999999999998</v>
      </c>
      <c r="D114" s="1328">
        <f t="shared" ref="D114:K114" si="11">SUM(D115:D180)</f>
        <v>1358</v>
      </c>
      <c r="E114" s="1328">
        <f t="shared" si="11"/>
        <v>0</v>
      </c>
      <c r="F114" s="1328">
        <f t="shared" si="11"/>
        <v>1512</v>
      </c>
      <c r="G114" s="1328">
        <f t="shared" si="11"/>
        <v>0</v>
      </c>
      <c r="H114" s="1328">
        <f t="shared" si="11"/>
        <v>116</v>
      </c>
      <c r="I114" s="1328">
        <f t="shared" si="11"/>
        <v>0</v>
      </c>
      <c r="J114" s="1328">
        <f t="shared" si="11"/>
        <v>0</v>
      </c>
      <c r="K114" s="1328">
        <f t="shared" si="11"/>
        <v>0</v>
      </c>
      <c r="L114" s="1328">
        <f>SUM(L115:L180)</f>
        <v>3187.5999999999967</v>
      </c>
      <c r="N114" s="1374" t="s">
        <v>3032</v>
      </c>
      <c r="O114" s="1374"/>
      <c r="P114" s="1374" t="s">
        <v>3040</v>
      </c>
      <c r="Q114" s="1374" t="s">
        <v>3033</v>
      </c>
      <c r="R114" s="1374" t="s">
        <v>3041</v>
      </c>
    </row>
    <row r="115" spans="1:18">
      <c r="A115" s="1327">
        <v>1</v>
      </c>
      <c r="B115" s="1322" t="s">
        <v>286</v>
      </c>
      <c r="C115" s="1327">
        <f>Q115/$C$6</f>
        <v>3.2</v>
      </c>
      <c r="D115" s="1322">
        <f>N115/$D$6</f>
        <v>28</v>
      </c>
      <c r="E115" s="1322"/>
      <c r="F115" s="1322">
        <f t="shared" ref="F115" si="12">P115/$F$6</f>
        <v>24</v>
      </c>
      <c r="G115" s="1322"/>
      <c r="H115" s="1322">
        <f>R115/$H$6</f>
        <v>0</v>
      </c>
      <c r="I115" s="1322"/>
      <c r="J115" s="1322"/>
      <c r="K115" s="1322"/>
      <c r="L115" s="1322">
        <f t="shared" si="10"/>
        <v>55.2</v>
      </c>
      <c r="N115" s="1323">
        <v>4</v>
      </c>
      <c r="P115" s="1323">
        <v>4</v>
      </c>
      <c r="Q115" s="1323">
        <v>4</v>
      </c>
    </row>
    <row r="116" spans="1:18">
      <c r="A116" s="1327">
        <v>2</v>
      </c>
      <c r="B116" s="1322" t="s">
        <v>287</v>
      </c>
      <c r="C116" s="1327">
        <f t="shared" ref="C116:C179" si="13">Q116/$C$6</f>
        <v>3.2</v>
      </c>
      <c r="D116" s="1322">
        <f t="shared" ref="D116:D179" si="14">N116/$D$6</f>
        <v>28</v>
      </c>
      <c r="E116" s="1322"/>
      <c r="F116" s="1322">
        <f t="shared" ref="F116:F179" si="15">P116/$F$6</f>
        <v>24</v>
      </c>
      <c r="G116" s="1322"/>
      <c r="H116" s="1322">
        <f t="shared" ref="H116:H179" si="16">R116/$H$6</f>
        <v>0</v>
      </c>
      <c r="I116" s="1322"/>
      <c r="J116" s="1322"/>
      <c r="K116" s="1322"/>
      <c r="L116" s="1322">
        <f t="shared" si="10"/>
        <v>55.2</v>
      </c>
      <c r="N116" s="1323">
        <v>4</v>
      </c>
      <c r="P116" s="1323">
        <v>4</v>
      </c>
      <c r="Q116" s="1323">
        <v>4</v>
      </c>
    </row>
    <row r="117" spans="1:18">
      <c r="A117" s="1327">
        <v>3</v>
      </c>
      <c r="B117" s="1322" t="s">
        <v>288</v>
      </c>
      <c r="C117" s="1327">
        <f t="shared" si="13"/>
        <v>3.2</v>
      </c>
      <c r="D117" s="1322">
        <f t="shared" si="14"/>
        <v>28</v>
      </c>
      <c r="E117" s="1322"/>
      <c r="F117" s="1322">
        <f t="shared" si="15"/>
        <v>24</v>
      </c>
      <c r="G117" s="1322"/>
      <c r="H117" s="1322">
        <f t="shared" si="16"/>
        <v>0</v>
      </c>
      <c r="I117" s="1322"/>
      <c r="J117" s="1322"/>
      <c r="K117" s="1322"/>
      <c r="L117" s="1322">
        <f t="shared" si="10"/>
        <v>55.2</v>
      </c>
      <c r="N117" s="1323">
        <v>4</v>
      </c>
      <c r="P117" s="1323">
        <v>4</v>
      </c>
      <c r="Q117" s="1323">
        <v>4</v>
      </c>
    </row>
    <row r="118" spans="1:18">
      <c r="A118" s="1327">
        <v>4</v>
      </c>
      <c r="B118" s="1322" t="s">
        <v>289</v>
      </c>
      <c r="C118" s="1327">
        <f t="shared" si="13"/>
        <v>3.2</v>
      </c>
      <c r="D118" s="1322">
        <f t="shared" si="14"/>
        <v>28</v>
      </c>
      <c r="E118" s="1322"/>
      <c r="F118" s="1322">
        <f t="shared" si="15"/>
        <v>24</v>
      </c>
      <c r="G118" s="1322"/>
      <c r="H118" s="1322">
        <f t="shared" si="16"/>
        <v>0</v>
      </c>
      <c r="I118" s="1322"/>
      <c r="J118" s="1322"/>
      <c r="K118" s="1322"/>
      <c r="L118" s="1322">
        <f t="shared" si="10"/>
        <v>55.2</v>
      </c>
      <c r="N118" s="1323">
        <v>4</v>
      </c>
      <c r="P118" s="1323">
        <v>4</v>
      </c>
      <c r="Q118" s="1323">
        <v>4</v>
      </c>
    </row>
    <row r="119" spans="1:18">
      <c r="A119" s="1327">
        <v>5</v>
      </c>
      <c r="B119" s="1322" t="s">
        <v>290</v>
      </c>
      <c r="C119" s="1327">
        <f t="shared" si="13"/>
        <v>3.2</v>
      </c>
      <c r="D119" s="1322">
        <f t="shared" si="14"/>
        <v>28</v>
      </c>
      <c r="E119" s="1322"/>
      <c r="F119" s="1322">
        <f t="shared" si="15"/>
        <v>24</v>
      </c>
      <c r="G119" s="1322"/>
      <c r="H119" s="1322">
        <f t="shared" si="16"/>
        <v>0</v>
      </c>
      <c r="I119" s="1322"/>
      <c r="J119" s="1322"/>
      <c r="K119" s="1322"/>
      <c r="L119" s="1322">
        <f t="shared" si="10"/>
        <v>55.2</v>
      </c>
      <c r="N119" s="1323">
        <v>4</v>
      </c>
      <c r="P119" s="1323">
        <v>4</v>
      </c>
      <c r="Q119" s="1323">
        <v>4</v>
      </c>
    </row>
    <row r="120" spans="1:18">
      <c r="A120" s="1327">
        <v>6</v>
      </c>
      <c r="B120" s="1322" t="s">
        <v>291</v>
      </c>
      <c r="C120" s="1327">
        <f t="shared" si="13"/>
        <v>3.2</v>
      </c>
      <c r="D120" s="1322">
        <f t="shared" si="14"/>
        <v>28</v>
      </c>
      <c r="E120" s="1322"/>
      <c r="F120" s="1322">
        <f t="shared" si="15"/>
        <v>24</v>
      </c>
      <c r="G120" s="1322"/>
      <c r="H120" s="1322">
        <f t="shared" si="16"/>
        <v>0</v>
      </c>
      <c r="I120" s="1322"/>
      <c r="J120" s="1322"/>
      <c r="K120" s="1322"/>
      <c r="L120" s="1322">
        <f t="shared" si="10"/>
        <v>55.2</v>
      </c>
      <c r="N120" s="1323">
        <v>4</v>
      </c>
      <c r="P120" s="1323">
        <v>4</v>
      </c>
      <c r="Q120" s="1323">
        <v>4</v>
      </c>
    </row>
    <row r="121" spans="1:18">
      <c r="A121" s="1327">
        <v>7</v>
      </c>
      <c r="B121" s="1322" t="s">
        <v>292</v>
      </c>
      <c r="C121" s="1327">
        <f t="shared" si="13"/>
        <v>3.2</v>
      </c>
      <c r="D121" s="1322">
        <f t="shared" si="14"/>
        <v>28</v>
      </c>
      <c r="E121" s="1322"/>
      <c r="F121" s="1322">
        <f t="shared" si="15"/>
        <v>24</v>
      </c>
      <c r="G121" s="1322"/>
      <c r="H121" s="1322">
        <f t="shared" si="16"/>
        <v>0</v>
      </c>
      <c r="I121" s="1322"/>
      <c r="J121" s="1322"/>
      <c r="K121" s="1322"/>
      <c r="L121" s="1322">
        <f t="shared" si="10"/>
        <v>55.2</v>
      </c>
      <c r="N121" s="1323">
        <v>4</v>
      </c>
      <c r="P121" s="1323">
        <v>4</v>
      </c>
      <c r="Q121" s="1323">
        <v>4</v>
      </c>
    </row>
    <row r="122" spans="1:18">
      <c r="A122" s="1327">
        <v>8</v>
      </c>
      <c r="B122" s="1322" t="s">
        <v>293</v>
      </c>
      <c r="C122" s="1327">
        <f t="shared" si="13"/>
        <v>3.2</v>
      </c>
      <c r="D122" s="1322">
        <f t="shared" si="14"/>
        <v>28</v>
      </c>
      <c r="E122" s="1322"/>
      <c r="F122" s="1322">
        <f t="shared" si="15"/>
        <v>24</v>
      </c>
      <c r="G122" s="1322"/>
      <c r="H122" s="1322">
        <f t="shared" si="16"/>
        <v>0</v>
      </c>
      <c r="I122" s="1322"/>
      <c r="J122" s="1322"/>
      <c r="K122" s="1322"/>
      <c r="L122" s="1322">
        <f t="shared" si="10"/>
        <v>55.2</v>
      </c>
      <c r="N122" s="1323">
        <v>4</v>
      </c>
      <c r="P122" s="1323">
        <v>4</v>
      </c>
      <c r="Q122" s="1323">
        <v>4</v>
      </c>
    </row>
    <row r="123" spans="1:18">
      <c r="A123" s="1327">
        <v>9</v>
      </c>
      <c r="B123" s="1322" t="s">
        <v>294</v>
      </c>
      <c r="C123" s="1327">
        <f t="shared" si="13"/>
        <v>3.2</v>
      </c>
      <c r="D123" s="1322">
        <f t="shared" si="14"/>
        <v>28</v>
      </c>
      <c r="E123" s="1322"/>
      <c r="F123" s="1322">
        <f t="shared" si="15"/>
        <v>24</v>
      </c>
      <c r="G123" s="1322"/>
      <c r="H123" s="1322">
        <f t="shared" si="16"/>
        <v>0</v>
      </c>
      <c r="I123" s="1322"/>
      <c r="J123" s="1322"/>
      <c r="K123" s="1322"/>
      <c r="L123" s="1322">
        <f t="shared" si="10"/>
        <v>55.2</v>
      </c>
      <c r="N123" s="1323">
        <v>4</v>
      </c>
      <c r="P123" s="1323">
        <v>4</v>
      </c>
      <c r="Q123" s="1323">
        <v>4</v>
      </c>
    </row>
    <row r="124" spans="1:18">
      <c r="A124" s="1327">
        <v>10</v>
      </c>
      <c r="B124" s="1322" t="s">
        <v>295</v>
      </c>
      <c r="C124" s="1327">
        <f t="shared" si="13"/>
        <v>3.2</v>
      </c>
      <c r="D124" s="1322">
        <f t="shared" si="14"/>
        <v>28</v>
      </c>
      <c r="E124" s="1322"/>
      <c r="F124" s="1322">
        <f t="shared" si="15"/>
        <v>24</v>
      </c>
      <c r="G124" s="1322"/>
      <c r="H124" s="1322">
        <f t="shared" si="16"/>
        <v>0</v>
      </c>
      <c r="I124" s="1322"/>
      <c r="J124" s="1322"/>
      <c r="K124" s="1322"/>
      <c r="L124" s="1322">
        <f t="shared" si="10"/>
        <v>55.2</v>
      </c>
      <c r="N124" s="1323">
        <v>4</v>
      </c>
      <c r="P124" s="1323">
        <v>4</v>
      </c>
      <c r="Q124" s="1323">
        <v>4</v>
      </c>
    </row>
    <row r="125" spans="1:18">
      <c r="A125" s="1327">
        <v>11</v>
      </c>
      <c r="B125" s="1322" t="s">
        <v>296</v>
      </c>
      <c r="C125" s="1327">
        <f t="shared" si="13"/>
        <v>3.2</v>
      </c>
      <c r="D125" s="1322">
        <f t="shared" si="14"/>
        <v>28</v>
      </c>
      <c r="E125" s="1322"/>
      <c r="F125" s="1322">
        <f t="shared" si="15"/>
        <v>24</v>
      </c>
      <c r="G125" s="1322"/>
      <c r="H125" s="1322">
        <f t="shared" si="16"/>
        <v>0</v>
      </c>
      <c r="I125" s="1322"/>
      <c r="J125" s="1322"/>
      <c r="K125" s="1322"/>
      <c r="L125" s="1322">
        <f t="shared" si="10"/>
        <v>55.2</v>
      </c>
      <c r="N125" s="1323">
        <v>4</v>
      </c>
      <c r="P125" s="1323">
        <v>4</v>
      </c>
      <c r="Q125" s="1323">
        <v>4</v>
      </c>
    </row>
    <row r="126" spans="1:18">
      <c r="A126" s="1327">
        <v>12</v>
      </c>
      <c r="B126" s="1322" t="s">
        <v>297</v>
      </c>
      <c r="C126" s="1327">
        <f t="shared" si="13"/>
        <v>3.2</v>
      </c>
      <c r="D126" s="1322">
        <f t="shared" si="14"/>
        <v>28</v>
      </c>
      <c r="E126" s="1322"/>
      <c r="F126" s="1322">
        <f t="shared" si="15"/>
        <v>24</v>
      </c>
      <c r="G126" s="1322"/>
      <c r="H126" s="1322">
        <f t="shared" si="16"/>
        <v>0</v>
      </c>
      <c r="I126" s="1322"/>
      <c r="J126" s="1322"/>
      <c r="K126" s="1322"/>
      <c r="L126" s="1322">
        <f t="shared" si="10"/>
        <v>55.2</v>
      </c>
      <c r="N126" s="1323">
        <v>4</v>
      </c>
      <c r="P126" s="1323">
        <v>4</v>
      </c>
      <c r="Q126" s="1323">
        <v>4</v>
      </c>
    </row>
    <row r="127" spans="1:18">
      <c r="A127" s="1327">
        <v>13</v>
      </c>
      <c r="B127" s="1322" t="s">
        <v>298</v>
      </c>
      <c r="C127" s="1327">
        <f t="shared" si="13"/>
        <v>3.2</v>
      </c>
      <c r="D127" s="1322">
        <f t="shared" si="14"/>
        <v>28</v>
      </c>
      <c r="E127" s="1322"/>
      <c r="F127" s="1322">
        <f t="shared" si="15"/>
        <v>24</v>
      </c>
      <c r="G127" s="1322"/>
      <c r="H127" s="1322">
        <f t="shared" si="16"/>
        <v>0</v>
      </c>
      <c r="I127" s="1322"/>
      <c r="J127" s="1322"/>
      <c r="K127" s="1322"/>
      <c r="L127" s="1322">
        <f t="shared" si="10"/>
        <v>55.2</v>
      </c>
      <c r="N127" s="1323">
        <v>4</v>
      </c>
      <c r="P127" s="1323">
        <v>4</v>
      </c>
      <c r="Q127" s="1323">
        <v>4</v>
      </c>
    </row>
    <row r="128" spans="1:18">
      <c r="A128" s="1327">
        <v>14</v>
      </c>
      <c r="B128" s="1322" t="s">
        <v>299</v>
      </c>
      <c r="C128" s="1327">
        <f t="shared" si="13"/>
        <v>3.2</v>
      </c>
      <c r="D128" s="1322">
        <f t="shared" si="14"/>
        <v>28</v>
      </c>
      <c r="E128" s="1322"/>
      <c r="F128" s="1322">
        <f t="shared" si="15"/>
        <v>24</v>
      </c>
      <c r="G128" s="1322"/>
      <c r="H128" s="1322">
        <f t="shared" si="16"/>
        <v>0</v>
      </c>
      <c r="I128" s="1322"/>
      <c r="J128" s="1322"/>
      <c r="K128" s="1322"/>
      <c r="L128" s="1322">
        <f t="shared" si="10"/>
        <v>55.2</v>
      </c>
      <c r="N128" s="1323">
        <v>4</v>
      </c>
      <c r="P128" s="1323">
        <v>4</v>
      </c>
      <c r="Q128" s="1323">
        <v>4</v>
      </c>
    </row>
    <row r="129" spans="1:17">
      <c r="A129" s="1327">
        <v>15</v>
      </c>
      <c r="B129" s="1322" t="s">
        <v>300</v>
      </c>
      <c r="C129" s="1327">
        <f t="shared" si="13"/>
        <v>3.2</v>
      </c>
      <c r="D129" s="1322">
        <f t="shared" si="14"/>
        <v>28</v>
      </c>
      <c r="E129" s="1322"/>
      <c r="F129" s="1322">
        <f t="shared" si="15"/>
        <v>24</v>
      </c>
      <c r="G129" s="1322"/>
      <c r="H129" s="1322">
        <f t="shared" si="16"/>
        <v>0</v>
      </c>
      <c r="I129" s="1322"/>
      <c r="J129" s="1322"/>
      <c r="K129" s="1322"/>
      <c r="L129" s="1322">
        <f t="shared" si="10"/>
        <v>55.2</v>
      </c>
      <c r="N129" s="1323">
        <v>4</v>
      </c>
      <c r="P129" s="1323">
        <v>4</v>
      </c>
      <c r="Q129" s="1323">
        <v>4</v>
      </c>
    </row>
    <row r="130" spans="1:17">
      <c r="A130" s="1327">
        <v>16</v>
      </c>
      <c r="B130" s="1322" t="s">
        <v>301</v>
      </c>
      <c r="C130" s="1327">
        <f t="shared" si="13"/>
        <v>3.2</v>
      </c>
      <c r="D130" s="1322">
        <f t="shared" si="14"/>
        <v>28</v>
      </c>
      <c r="E130" s="1322"/>
      <c r="F130" s="1322">
        <f t="shared" si="15"/>
        <v>24</v>
      </c>
      <c r="G130" s="1322"/>
      <c r="H130" s="1322">
        <f t="shared" si="16"/>
        <v>0</v>
      </c>
      <c r="I130" s="1322"/>
      <c r="J130" s="1322"/>
      <c r="K130" s="1322"/>
      <c r="L130" s="1322">
        <f t="shared" si="10"/>
        <v>55.2</v>
      </c>
      <c r="N130" s="1323">
        <v>4</v>
      </c>
      <c r="P130" s="1323">
        <v>4</v>
      </c>
      <c r="Q130" s="1323">
        <v>4</v>
      </c>
    </row>
    <row r="131" spans="1:17">
      <c r="A131" s="1327">
        <v>17</v>
      </c>
      <c r="B131" s="1322" t="s">
        <v>302</v>
      </c>
      <c r="C131" s="1327">
        <f t="shared" si="13"/>
        <v>3.2</v>
      </c>
      <c r="D131" s="1322">
        <f t="shared" si="14"/>
        <v>28</v>
      </c>
      <c r="E131" s="1322"/>
      <c r="F131" s="1322">
        <f t="shared" si="15"/>
        <v>24</v>
      </c>
      <c r="G131" s="1322"/>
      <c r="H131" s="1322">
        <f t="shared" si="16"/>
        <v>0</v>
      </c>
      <c r="I131" s="1322"/>
      <c r="J131" s="1322"/>
      <c r="K131" s="1322"/>
      <c r="L131" s="1322">
        <f t="shared" si="10"/>
        <v>55.2</v>
      </c>
      <c r="N131" s="1323">
        <v>4</v>
      </c>
      <c r="P131" s="1323">
        <v>4</v>
      </c>
      <c r="Q131" s="1323">
        <v>4</v>
      </c>
    </row>
    <row r="132" spans="1:17">
      <c r="A132" s="1327">
        <v>18</v>
      </c>
      <c r="B132" s="1322" t="s">
        <v>303</v>
      </c>
      <c r="C132" s="1327">
        <f t="shared" si="13"/>
        <v>3.2</v>
      </c>
      <c r="D132" s="1322">
        <f t="shared" si="14"/>
        <v>28</v>
      </c>
      <c r="E132" s="1322"/>
      <c r="F132" s="1322">
        <f t="shared" si="15"/>
        <v>24</v>
      </c>
      <c r="G132" s="1322"/>
      <c r="H132" s="1322">
        <f t="shared" si="16"/>
        <v>0</v>
      </c>
      <c r="I132" s="1322"/>
      <c r="J132" s="1322"/>
      <c r="K132" s="1322"/>
      <c r="L132" s="1322">
        <f t="shared" si="10"/>
        <v>55.2</v>
      </c>
      <c r="N132" s="1323">
        <v>4</v>
      </c>
      <c r="P132" s="1323">
        <v>4</v>
      </c>
      <c r="Q132" s="1323">
        <v>4</v>
      </c>
    </row>
    <row r="133" spans="1:17">
      <c r="A133" s="1327">
        <v>19</v>
      </c>
      <c r="B133" s="1322" t="s">
        <v>304</v>
      </c>
      <c r="C133" s="1327">
        <f t="shared" si="13"/>
        <v>3.2</v>
      </c>
      <c r="D133" s="1322">
        <f t="shared" si="14"/>
        <v>28</v>
      </c>
      <c r="E133" s="1322"/>
      <c r="F133" s="1322">
        <f t="shared" si="15"/>
        <v>24</v>
      </c>
      <c r="G133" s="1322"/>
      <c r="H133" s="1322">
        <f t="shared" si="16"/>
        <v>0</v>
      </c>
      <c r="I133" s="1322"/>
      <c r="J133" s="1322"/>
      <c r="K133" s="1322"/>
      <c r="L133" s="1322">
        <f t="shared" si="10"/>
        <v>55.2</v>
      </c>
      <c r="N133" s="1323">
        <v>4</v>
      </c>
      <c r="P133" s="1323">
        <v>4</v>
      </c>
      <c r="Q133" s="1323">
        <v>4</v>
      </c>
    </row>
    <row r="134" spans="1:17">
      <c r="A134" s="1327">
        <v>20</v>
      </c>
      <c r="B134" s="1322" t="s">
        <v>305</v>
      </c>
      <c r="C134" s="1327">
        <f t="shared" si="13"/>
        <v>3.2</v>
      </c>
      <c r="D134" s="1322">
        <f t="shared" si="14"/>
        <v>28</v>
      </c>
      <c r="E134" s="1322"/>
      <c r="F134" s="1322">
        <f t="shared" si="15"/>
        <v>24</v>
      </c>
      <c r="G134" s="1322"/>
      <c r="H134" s="1322">
        <f t="shared" si="16"/>
        <v>0</v>
      </c>
      <c r="I134" s="1322"/>
      <c r="J134" s="1322"/>
      <c r="K134" s="1322"/>
      <c r="L134" s="1322">
        <f t="shared" si="10"/>
        <v>55.2</v>
      </c>
      <c r="N134" s="1323">
        <v>4</v>
      </c>
      <c r="P134" s="1323">
        <v>4</v>
      </c>
      <c r="Q134" s="1323">
        <v>4</v>
      </c>
    </row>
    <row r="135" spans="1:17">
      <c r="A135" s="1327">
        <v>21</v>
      </c>
      <c r="B135" s="1322" t="s">
        <v>306</v>
      </c>
      <c r="C135" s="1327">
        <f t="shared" si="13"/>
        <v>3.2</v>
      </c>
      <c r="D135" s="1322">
        <f t="shared" si="14"/>
        <v>28</v>
      </c>
      <c r="E135" s="1322"/>
      <c r="F135" s="1322">
        <f t="shared" si="15"/>
        <v>24</v>
      </c>
      <c r="G135" s="1322"/>
      <c r="H135" s="1322">
        <f t="shared" si="16"/>
        <v>0</v>
      </c>
      <c r="I135" s="1322"/>
      <c r="J135" s="1322"/>
      <c r="K135" s="1322"/>
      <c r="L135" s="1322">
        <f t="shared" si="10"/>
        <v>55.2</v>
      </c>
      <c r="N135" s="1323">
        <v>4</v>
      </c>
      <c r="P135" s="1323">
        <v>4</v>
      </c>
      <c r="Q135" s="1323">
        <v>4</v>
      </c>
    </row>
    <row r="136" spans="1:17">
      <c r="A136" s="1327">
        <v>22</v>
      </c>
      <c r="B136" s="1322" t="s">
        <v>307</v>
      </c>
      <c r="C136" s="1327">
        <f t="shared" si="13"/>
        <v>3.2</v>
      </c>
      <c r="D136" s="1322">
        <f t="shared" si="14"/>
        <v>28</v>
      </c>
      <c r="E136" s="1322"/>
      <c r="F136" s="1322">
        <f t="shared" si="15"/>
        <v>24</v>
      </c>
      <c r="G136" s="1322"/>
      <c r="H136" s="1322">
        <f t="shared" si="16"/>
        <v>0</v>
      </c>
      <c r="I136" s="1322"/>
      <c r="J136" s="1322"/>
      <c r="K136" s="1322"/>
      <c r="L136" s="1322">
        <f t="shared" si="10"/>
        <v>55.2</v>
      </c>
      <c r="N136" s="1323">
        <v>4</v>
      </c>
      <c r="P136" s="1323">
        <v>4</v>
      </c>
      <c r="Q136" s="1323">
        <v>4</v>
      </c>
    </row>
    <row r="137" spans="1:17">
      <c r="A137" s="1327">
        <v>23</v>
      </c>
      <c r="B137" s="1322" t="s">
        <v>308</v>
      </c>
      <c r="C137" s="1327">
        <f t="shared" si="13"/>
        <v>3.2</v>
      </c>
      <c r="D137" s="1322">
        <f t="shared" si="14"/>
        <v>28</v>
      </c>
      <c r="E137" s="1322"/>
      <c r="F137" s="1322">
        <f t="shared" si="15"/>
        <v>24</v>
      </c>
      <c r="G137" s="1322"/>
      <c r="H137" s="1322">
        <f t="shared" si="16"/>
        <v>0</v>
      </c>
      <c r="I137" s="1322"/>
      <c r="J137" s="1322"/>
      <c r="K137" s="1322"/>
      <c r="L137" s="1322">
        <f t="shared" ref="L137:L180" si="17">SUM(C137:K137)</f>
        <v>55.2</v>
      </c>
      <c r="N137" s="1323">
        <v>4</v>
      </c>
      <c r="P137" s="1323">
        <v>4</v>
      </c>
      <c r="Q137" s="1323">
        <v>4</v>
      </c>
    </row>
    <row r="138" spans="1:17">
      <c r="A138" s="1327">
        <v>24</v>
      </c>
      <c r="B138" s="1322" t="s">
        <v>309</v>
      </c>
      <c r="C138" s="1327">
        <f t="shared" si="13"/>
        <v>3.2</v>
      </c>
      <c r="D138" s="1322">
        <f t="shared" si="14"/>
        <v>28</v>
      </c>
      <c r="E138" s="1322"/>
      <c r="F138" s="1322">
        <f t="shared" si="15"/>
        <v>24</v>
      </c>
      <c r="G138" s="1322"/>
      <c r="H138" s="1322">
        <f t="shared" si="16"/>
        <v>0</v>
      </c>
      <c r="I138" s="1322"/>
      <c r="J138" s="1322"/>
      <c r="K138" s="1322"/>
      <c r="L138" s="1322">
        <f t="shared" si="17"/>
        <v>55.2</v>
      </c>
      <c r="N138" s="1323">
        <v>4</v>
      </c>
      <c r="P138" s="1323">
        <v>4</v>
      </c>
      <c r="Q138" s="1323">
        <v>4</v>
      </c>
    </row>
    <row r="139" spans="1:17">
      <c r="A139" s="1327">
        <v>25</v>
      </c>
      <c r="B139" s="1322" t="s">
        <v>310</v>
      </c>
      <c r="C139" s="1327">
        <f t="shared" si="13"/>
        <v>3.2</v>
      </c>
      <c r="D139" s="1322">
        <f t="shared" si="14"/>
        <v>28</v>
      </c>
      <c r="E139" s="1322"/>
      <c r="F139" s="1322">
        <f t="shared" si="15"/>
        <v>24</v>
      </c>
      <c r="G139" s="1322"/>
      <c r="H139" s="1322">
        <f t="shared" si="16"/>
        <v>0</v>
      </c>
      <c r="I139" s="1322"/>
      <c r="J139" s="1322"/>
      <c r="K139" s="1322"/>
      <c r="L139" s="1322">
        <f t="shared" si="17"/>
        <v>55.2</v>
      </c>
      <c r="N139" s="1323">
        <v>4</v>
      </c>
      <c r="P139" s="1323">
        <v>4</v>
      </c>
      <c r="Q139" s="1323">
        <v>4</v>
      </c>
    </row>
    <row r="140" spans="1:17">
      <c r="A140" s="1327">
        <v>26</v>
      </c>
      <c r="B140" s="1322" t="s">
        <v>311</v>
      </c>
      <c r="C140" s="1327">
        <f t="shared" si="13"/>
        <v>3.2</v>
      </c>
      <c r="D140" s="1322">
        <f t="shared" si="14"/>
        <v>28</v>
      </c>
      <c r="E140" s="1322"/>
      <c r="F140" s="1322">
        <f t="shared" si="15"/>
        <v>24</v>
      </c>
      <c r="G140" s="1322"/>
      <c r="H140" s="1322">
        <f t="shared" si="16"/>
        <v>0</v>
      </c>
      <c r="I140" s="1322"/>
      <c r="J140" s="1322"/>
      <c r="K140" s="1322"/>
      <c r="L140" s="1322">
        <f t="shared" si="17"/>
        <v>55.2</v>
      </c>
      <c r="N140" s="1323">
        <v>4</v>
      </c>
      <c r="P140" s="1323">
        <v>4</v>
      </c>
      <c r="Q140" s="1323">
        <v>4</v>
      </c>
    </row>
    <row r="141" spans="1:17">
      <c r="A141" s="1327">
        <v>27</v>
      </c>
      <c r="B141" s="1322" t="s">
        <v>312</v>
      </c>
      <c r="C141" s="1327">
        <f t="shared" si="13"/>
        <v>3.2</v>
      </c>
      <c r="D141" s="1322">
        <f t="shared" si="14"/>
        <v>28</v>
      </c>
      <c r="E141" s="1322"/>
      <c r="F141" s="1322">
        <f t="shared" si="15"/>
        <v>24</v>
      </c>
      <c r="G141" s="1322"/>
      <c r="H141" s="1322">
        <f t="shared" si="16"/>
        <v>0</v>
      </c>
      <c r="I141" s="1322"/>
      <c r="J141" s="1322"/>
      <c r="K141" s="1322"/>
      <c r="L141" s="1322">
        <f t="shared" si="17"/>
        <v>55.2</v>
      </c>
      <c r="N141" s="1323">
        <v>4</v>
      </c>
      <c r="P141" s="1323">
        <v>4</v>
      </c>
      <c r="Q141" s="1323">
        <v>4</v>
      </c>
    </row>
    <row r="142" spans="1:17">
      <c r="A142" s="1327">
        <v>28</v>
      </c>
      <c r="B142" s="1322" t="s">
        <v>313</v>
      </c>
      <c r="C142" s="1327">
        <f t="shared" si="13"/>
        <v>3.2</v>
      </c>
      <c r="D142" s="1322">
        <f t="shared" si="14"/>
        <v>28</v>
      </c>
      <c r="E142" s="1322"/>
      <c r="F142" s="1322">
        <f t="shared" si="15"/>
        <v>24</v>
      </c>
      <c r="G142" s="1322"/>
      <c r="H142" s="1322">
        <f t="shared" si="16"/>
        <v>0</v>
      </c>
      <c r="I142" s="1322"/>
      <c r="J142" s="1322"/>
      <c r="K142" s="1322"/>
      <c r="L142" s="1322">
        <f t="shared" si="17"/>
        <v>55.2</v>
      </c>
      <c r="N142" s="1323">
        <v>4</v>
      </c>
      <c r="P142" s="1323">
        <v>4</v>
      </c>
      <c r="Q142" s="1323">
        <v>4</v>
      </c>
    </row>
    <row r="143" spans="1:17">
      <c r="A143" s="1327">
        <v>29</v>
      </c>
      <c r="B143" s="1322" t="s">
        <v>314</v>
      </c>
      <c r="C143" s="1327">
        <f t="shared" si="13"/>
        <v>3.2</v>
      </c>
      <c r="D143" s="1322">
        <f t="shared" si="14"/>
        <v>28</v>
      </c>
      <c r="E143" s="1322"/>
      <c r="F143" s="1322">
        <f t="shared" si="15"/>
        <v>24</v>
      </c>
      <c r="G143" s="1322"/>
      <c r="H143" s="1322">
        <f t="shared" si="16"/>
        <v>0</v>
      </c>
      <c r="I143" s="1322"/>
      <c r="J143" s="1322"/>
      <c r="K143" s="1322"/>
      <c r="L143" s="1322">
        <f t="shared" si="17"/>
        <v>55.2</v>
      </c>
      <c r="N143" s="1323">
        <v>4</v>
      </c>
      <c r="P143" s="1323">
        <v>4</v>
      </c>
      <c r="Q143" s="1323">
        <v>4</v>
      </c>
    </row>
    <row r="144" spans="1:17">
      <c r="A144" s="1327">
        <v>30</v>
      </c>
      <c r="B144" s="1322" t="s">
        <v>315</v>
      </c>
      <c r="C144" s="1327">
        <f t="shared" si="13"/>
        <v>3.2</v>
      </c>
      <c r="D144" s="1322">
        <f t="shared" si="14"/>
        <v>28</v>
      </c>
      <c r="E144" s="1322"/>
      <c r="F144" s="1322">
        <f t="shared" si="15"/>
        <v>24</v>
      </c>
      <c r="G144" s="1322"/>
      <c r="H144" s="1322">
        <f t="shared" si="16"/>
        <v>0</v>
      </c>
      <c r="I144" s="1322"/>
      <c r="J144" s="1322"/>
      <c r="K144" s="1322"/>
      <c r="L144" s="1322">
        <f t="shared" si="17"/>
        <v>55.2</v>
      </c>
      <c r="N144" s="1323">
        <v>4</v>
      </c>
      <c r="P144" s="1323">
        <v>4</v>
      </c>
      <c r="Q144" s="1323">
        <v>4</v>
      </c>
    </row>
    <row r="145" spans="1:18">
      <c r="A145" s="1327">
        <v>31</v>
      </c>
      <c r="B145" s="1322" t="s">
        <v>316</v>
      </c>
      <c r="C145" s="1327">
        <f t="shared" si="13"/>
        <v>3.2</v>
      </c>
      <c r="D145" s="1322">
        <f t="shared" si="14"/>
        <v>28</v>
      </c>
      <c r="E145" s="1322"/>
      <c r="F145" s="1322">
        <f t="shared" si="15"/>
        <v>24</v>
      </c>
      <c r="G145" s="1322"/>
      <c r="H145" s="1322">
        <f t="shared" si="16"/>
        <v>0</v>
      </c>
      <c r="I145" s="1322"/>
      <c r="J145" s="1322"/>
      <c r="K145" s="1322"/>
      <c r="L145" s="1322">
        <f t="shared" si="17"/>
        <v>55.2</v>
      </c>
      <c r="N145" s="1323">
        <v>4</v>
      </c>
      <c r="P145" s="1323">
        <v>4</v>
      </c>
      <c r="Q145" s="1323">
        <v>4</v>
      </c>
    </row>
    <row r="146" spans="1:18">
      <c r="A146" s="1327">
        <v>32</v>
      </c>
      <c r="B146" s="1322" t="s">
        <v>317</v>
      </c>
      <c r="C146" s="1327">
        <f t="shared" si="13"/>
        <v>3.2</v>
      </c>
      <c r="D146" s="1322">
        <f t="shared" si="14"/>
        <v>28</v>
      </c>
      <c r="E146" s="1322"/>
      <c r="F146" s="1322">
        <f t="shared" si="15"/>
        <v>24</v>
      </c>
      <c r="G146" s="1322"/>
      <c r="H146" s="1322">
        <f t="shared" si="16"/>
        <v>0</v>
      </c>
      <c r="I146" s="1322"/>
      <c r="J146" s="1322"/>
      <c r="K146" s="1322"/>
      <c r="L146" s="1322">
        <f t="shared" si="17"/>
        <v>55.2</v>
      </c>
      <c r="N146" s="1323">
        <v>4</v>
      </c>
      <c r="P146" s="1323">
        <v>4</v>
      </c>
      <c r="Q146" s="1323">
        <v>4</v>
      </c>
    </row>
    <row r="147" spans="1:18">
      <c r="A147" s="1327">
        <v>33</v>
      </c>
      <c r="B147" s="1322" t="s">
        <v>318</v>
      </c>
      <c r="C147" s="1327">
        <f t="shared" si="13"/>
        <v>3.2</v>
      </c>
      <c r="D147" s="1322">
        <f t="shared" si="14"/>
        <v>28</v>
      </c>
      <c r="E147" s="1322"/>
      <c r="F147" s="1322">
        <f t="shared" si="15"/>
        <v>24</v>
      </c>
      <c r="G147" s="1322"/>
      <c r="H147" s="1322">
        <f t="shared" si="16"/>
        <v>0</v>
      </c>
      <c r="I147" s="1322"/>
      <c r="J147" s="1322"/>
      <c r="K147" s="1322"/>
      <c r="L147" s="1322">
        <f t="shared" si="17"/>
        <v>55.2</v>
      </c>
      <c r="N147" s="1323">
        <v>4</v>
      </c>
      <c r="P147" s="1323">
        <v>4</v>
      </c>
      <c r="Q147" s="1323">
        <v>4</v>
      </c>
    </row>
    <row r="148" spans="1:18">
      <c r="A148" s="1327">
        <v>34</v>
      </c>
      <c r="B148" s="1322" t="s">
        <v>319</v>
      </c>
      <c r="C148" s="1327">
        <f t="shared" si="13"/>
        <v>3.2</v>
      </c>
      <c r="D148" s="1322">
        <f t="shared" si="14"/>
        <v>28</v>
      </c>
      <c r="E148" s="1322"/>
      <c r="F148" s="1322">
        <f t="shared" si="15"/>
        <v>24</v>
      </c>
      <c r="G148" s="1322"/>
      <c r="H148" s="1322">
        <f t="shared" si="16"/>
        <v>0</v>
      </c>
      <c r="I148" s="1322"/>
      <c r="J148" s="1322"/>
      <c r="K148" s="1322"/>
      <c r="L148" s="1322">
        <f t="shared" si="17"/>
        <v>55.2</v>
      </c>
      <c r="N148" s="1323">
        <v>4</v>
      </c>
      <c r="P148" s="1323">
        <v>4</v>
      </c>
      <c r="Q148" s="1323">
        <v>4</v>
      </c>
    </row>
    <row r="149" spans="1:18">
      <c r="A149" s="1327">
        <v>35</v>
      </c>
      <c r="B149" s="1322" t="s">
        <v>320</v>
      </c>
      <c r="C149" s="1327">
        <f t="shared" si="13"/>
        <v>3.2</v>
      </c>
      <c r="D149" s="1322">
        <f t="shared" si="14"/>
        <v>28</v>
      </c>
      <c r="E149" s="1322"/>
      <c r="F149" s="1322">
        <f t="shared" si="15"/>
        <v>24</v>
      </c>
      <c r="G149" s="1322"/>
      <c r="H149" s="1322">
        <f t="shared" si="16"/>
        <v>0</v>
      </c>
      <c r="I149" s="1322"/>
      <c r="J149" s="1322"/>
      <c r="K149" s="1322"/>
      <c r="L149" s="1322">
        <f t="shared" si="17"/>
        <v>55.2</v>
      </c>
      <c r="N149" s="1323">
        <v>4</v>
      </c>
      <c r="P149" s="1323">
        <v>4</v>
      </c>
      <c r="Q149" s="1323">
        <v>4</v>
      </c>
    </row>
    <row r="150" spans="1:18">
      <c r="A150" s="1327">
        <v>36</v>
      </c>
      <c r="B150" s="1322" t="s">
        <v>321</v>
      </c>
      <c r="C150" s="1327">
        <f t="shared" si="13"/>
        <v>3.2</v>
      </c>
      <c r="D150" s="1322">
        <f t="shared" si="14"/>
        <v>28</v>
      </c>
      <c r="E150" s="1322"/>
      <c r="F150" s="1322">
        <f t="shared" si="15"/>
        <v>24</v>
      </c>
      <c r="G150" s="1322"/>
      <c r="H150" s="1322">
        <f t="shared" si="16"/>
        <v>0</v>
      </c>
      <c r="I150" s="1322"/>
      <c r="J150" s="1322"/>
      <c r="K150" s="1322"/>
      <c r="L150" s="1322">
        <f t="shared" si="17"/>
        <v>55.2</v>
      </c>
      <c r="N150" s="1323">
        <v>4</v>
      </c>
      <c r="P150" s="1323">
        <v>4</v>
      </c>
      <c r="Q150" s="1323">
        <v>4</v>
      </c>
    </row>
    <row r="151" spans="1:18">
      <c r="A151" s="1327">
        <v>37</v>
      </c>
      <c r="B151" s="1322" t="s">
        <v>322</v>
      </c>
      <c r="C151" s="1327">
        <f t="shared" si="13"/>
        <v>3.2</v>
      </c>
      <c r="D151" s="1322">
        <f t="shared" si="14"/>
        <v>28</v>
      </c>
      <c r="E151" s="1322"/>
      <c r="F151" s="1322">
        <f t="shared" si="15"/>
        <v>24</v>
      </c>
      <c r="G151" s="1322"/>
      <c r="H151" s="1322">
        <f t="shared" si="16"/>
        <v>0</v>
      </c>
      <c r="I151" s="1322"/>
      <c r="J151" s="1322"/>
      <c r="K151" s="1322"/>
      <c r="L151" s="1322">
        <f t="shared" si="17"/>
        <v>55.2</v>
      </c>
      <c r="N151" s="1323">
        <v>4</v>
      </c>
      <c r="P151" s="1323">
        <v>4</v>
      </c>
      <c r="Q151" s="1323">
        <v>4</v>
      </c>
    </row>
    <row r="152" spans="1:18">
      <c r="A152" s="1327">
        <v>38</v>
      </c>
      <c r="B152" s="1322" t="s">
        <v>323</v>
      </c>
      <c r="C152" s="1327">
        <f t="shared" si="13"/>
        <v>3.2</v>
      </c>
      <c r="D152" s="1322">
        <f t="shared" si="14"/>
        <v>28</v>
      </c>
      <c r="E152" s="1322"/>
      <c r="F152" s="1322">
        <f t="shared" si="15"/>
        <v>24</v>
      </c>
      <c r="G152" s="1322"/>
      <c r="H152" s="1322">
        <f t="shared" si="16"/>
        <v>0</v>
      </c>
      <c r="I152" s="1322"/>
      <c r="J152" s="1322"/>
      <c r="K152" s="1322"/>
      <c r="L152" s="1322">
        <f t="shared" si="17"/>
        <v>55.2</v>
      </c>
      <c r="N152" s="1323">
        <v>4</v>
      </c>
      <c r="P152" s="1323">
        <v>4</v>
      </c>
      <c r="Q152" s="1323">
        <v>4</v>
      </c>
    </row>
    <row r="153" spans="1:18">
      <c r="A153" s="1327">
        <v>39</v>
      </c>
      <c r="B153" s="1322" t="s">
        <v>324</v>
      </c>
      <c r="C153" s="1327">
        <f t="shared" si="13"/>
        <v>3.2</v>
      </c>
      <c r="D153" s="1322">
        <f t="shared" si="14"/>
        <v>28</v>
      </c>
      <c r="E153" s="1322"/>
      <c r="F153" s="1322">
        <f t="shared" si="15"/>
        <v>24</v>
      </c>
      <c r="G153" s="1322"/>
      <c r="H153" s="1322">
        <f t="shared" si="16"/>
        <v>0</v>
      </c>
      <c r="I153" s="1322"/>
      <c r="J153" s="1322"/>
      <c r="K153" s="1322"/>
      <c r="L153" s="1322">
        <f t="shared" si="17"/>
        <v>55.2</v>
      </c>
      <c r="N153" s="1323">
        <v>4</v>
      </c>
      <c r="P153" s="1323">
        <v>4</v>
      </c>
      <c r="Q153" s="1323">
        <v>4</v>
      </c>
    </row>
    <row r="154" spans="1:18">
      <c r="A154" s="1327">
        <v>40</v>
      </c>
      <c r="B154" s="1322" t="s">
        <v>325</v>
      </c>
      <c r="C154" s="1327">
        <f t="shared" si="13"/>
        <v>3.2</v>
      </c>
      <c r="D154" s="1322">
        <f t="shared" si="14"/>
        <v>28</v>
      </c>
      <c r="E154" s="1322"/>
      <c r="F154" s="1322">
        <f t="shared" si="15"/>
        <v>24</v>
      </c>
      <c r="G154" s="1322"/>
      <c r="H154" s="1322">
        <f t="shared" si="16"/>
        <v>0</v>
      </c>
      <c r="I154" s="1322"/>
      <c r="J154" s="1322"/>
      <c r="K154" s="1322"/>
      <c r="L154" s="1322">
        <f t="shared" si="17"/>
        <v>55.2</v>
      </c>
      <c r="N154" s="1323">
        <v>4</v>
      </c>
      <c r="P154" s="1323">
        <v>4</v>
      </c>
      <c r="Q154" s="1323">
        <v>4</v>
      </c>
    </row>
    <row r="155" spans="1:18">
      <c r="A155" s="1327">
        <v>41</v>
      </c>
      <c r="B155" s="1322" t="s">
        <v>326</v>
      </c>
      <c r="C155" s="1327">
        <f t="shared" si="13"/>
        <v>3.2</v>
      </c>
      <c r="D155" s="1322">
        <f t="shared" si="14"/>
        <v>28</v>
      </c>
      <c r="E155" s="1322"/>
      <c r="F155" s="1322">
        <f t="shared" si="15"/>
        <v>24</v>
      </c>
      <c r="G155" s="1322"/>
      <c r="H155" s="1322">
        <f t="shared" si="16"/>
        <v>0</v>
      </c>
      <c r="I155" s="1322"/>
      <c r="J155" s="1322"/>
      <c r="K155" s="1322"/>
      <c r="L155" s="1322">
        <f t="shared" si="17"/>
        <v>55.2</v>
      </c>
      <c r="N155" s="1323">
        <v>4</v>
      </c>
      <c r="P155" s="1323">
        <v>4</v>
      </c>
      <c r="Q155" s="1323">
        <v>4</v>
      </c>
    </row>
    <row r="156" spans="1:18">
      <c r="A156" s="1327">
        <v>42</v>
      </c>
      <c r="B156" s="1322" t="s">
        <v>327</v>
      </c>
      <c r="C156" s="1327">
        <f t="shared" si="13"/>
        <v>3.2</v>
      </c>
      <c r="D156" s="1322">
        <f t="shared" si="14"/>
        <v>28</v>
      </c>
      <c r="E156" s="1322"/>
      <c r="F156" s="1322">
        <f t="shared" si="15"/>
        <v>24</v>
      </c>
      <c r="G156" s="1322"/>
      <c r="H156" s="1322">
        <f t="shared" si="16"/>
        <v>0</v>
      </c>
      <c r="I156" s="1322"/>
      <c r="J156" s="1322"/>
      <c r="K156" s="1322"/>
      <c r="L156" s="1322">
        <f t="shared" si="17"/>
        <v>55.2</v>
      </c>
      <c r="N156" s="1323">
        <v>4</v>
      </c>
      <c r="P156" s="1323">
        <v>4</v>
      </c>
      <c r="Q156" s="1323">
        <v>4</v>
      </c>
    </row>
    <row r="157" spans="1:18">
      <c r="A157" s="1327">
        <v>43</v>
      </c>
      <c r="B157" s="1322" t="s">
        <v>328</v>
      </c>
      <c r="C157" s="1327">
        <f t="shared" si="13"/>
        <v>3.2</v>
      </c>
      <c r="D157" s="1322">
        <f t="shared" si="14"/>
        <v>28</v>
      </c>
      <c r="E157" s="1322"/>
      <c r="F157" s="1322">
        <f t="shared" si="15"/>
        <v>24</v>
      </c>
      <c r="G157" s="1322"/>
      <c r="H157" s="1322">
        <f t="shared" si="16"/>
        <v>0</v>
      </c>
      <c r="I157" s="1322"/>
      <c r="J157" s="1322"/>
      <c r="K157" s="1322"/>
      <c r="L157" s="1322">
        <f t="shared" si="17"/>
        <v>55.2</v>
      </c>
      <c r="N157" s="1323">
        <v>4</v>
      </c>
      <c r="P157" s="1323">
        <v>4</v>
      </c>
      <c r="Q157" s="1323">
        <v>4</v>
      </c>
    </row>
    <row r="158" spans="1:18">
      <c r="A158" s="1327">
        <v>44</v>
      </c>
      <c r="B158" s="1322" t="s">
        <v>329</v>
      </c>
      <c r="C158" s="1327">
        <f t="shared" si="13"/>
        <v>3.2</v>
      </c>
      <c r="D158" s="1322">
        <f t="shared" si="14"/>
        <v>28</v>
      </c>
      <c r="E158" s="1322"/>
      <c r="F158" s="1322">
        <f t="shared" si="15"/>
        <v>24</v>
      </c>
      <c r="G158" s="1322"/>
      <c r="H158" s="1322">
        <f t="shared" si="16"/>
        <v>0</v>
      </c>
      <c r="I158" s="1322"/>
      <c r="J158" s="1322"/>
      <c r="K158" s="1322"/>
      <c r="L158" s="1322">
        <f t="shared" si="17"/>
        <v>55.2</v>
      </c>
      <c r="N158" s="1323">
        <v>4</v>
      </c>
      <c r="P158" s="1323">
        <v>4</v>
      </c>
      <c r="Q158" s="1323">
        <v>4</v>
      </c>
    </row>
    <row r="159" spans="1:18">
      <c r="A159" s="1327">
        <v>45</v>
      </c>
      <c r="B159" s="1322" t="s">
        <v>330</v>
      </c>
      <c r="C159" s="1327">
        <f t="shared" si="13"/>
        <v>3.2</v>
      </c>
      <c r="D159" s="1322">
        <f t="shared" si="14"/>
        <v>28</v>
      </c>
      <c r="E159" s="1322"/>
      <c r="F159" s="1322">
        <f t="shared" si="15"/>
        <v>24</v>
      </c>
      <c r="G159" s="1322"/>
      <c r="H159" s="1322">
        <f t="shared" si="16"/>
        <v>0</v>
      </c>
      <c r="I159" s="1322"/>
      <c r="J159" s="1322"/>
      <c r="K159" s="1322"/>
      <c r="L159" s="1322">
        <f t="shared" si="17"/>
        <v>55.2</v>
      </c>
      <c r="N159" s="1323">
        <v>4</v>
      </c>
      <c r="P159" s="1323">
        <v>4</v>
      </c>
      <c r="Q159" s="1323">
        <v>4</v>
      </c>
    </row>
    <row r="160" spans="1:18">
      <c r="A160" s="1327">
        <v>46</v>
      </c>
      <c r="B160" s="1322" t="s">
        <v>331</v>
      </c>
      <c r="C160" s="1327">
        <f t="shared" si="13"/>
        <v>3.2</v>
      </c>
      <c r="D160" s="1322">
        <f t="shared" si="14"/>
        <v>7</v>
      </c>
      <c r="E160" s="1322"/>
      <c r="F160" s="1322">
        <f t="shared" si="15"/>
        <v>24</v>
      </c>
      <c r="G160" s="1322"/>
      <c r="H160" s="1322">
        <f t="shared" si="16"/>
        <v>6</v>
      </c>
      <c r="I160" s="1322"/>
      <c r="J160" s="1322"/>
      <c r="K160" s="1322"/>
      <c r="L160" s="1322">
        <f t="shared" si="17"/>
        <v>40.200000000000003</v>
      </c>
      <c r="N160" s="1323">
        <v>1</v>
      </c>
      <c r="P160" s="1323">
        <v>4</v>
      </c>
      <c r="Q160" s="1323">
        <v>4</v>
      </c>
      <c r="R160" s="1323">
        <v>3</v>
      </c>
    </row>
    <row r="161" spans="1:18">
      <c r="A161" s="1327">
        <v>47</v>
      </c>
      <c r="B161" s="1322" t="s">
        <v>332</v>
      </c>
      <c r="C161" s="1327">
        <f t="shared" si="13"/>
        <v>3.2</v>
      </c>
      <c r="D161" s="1322">
        <f t="shared" si="14"/>
        <v>7</v>
      </c>
      <c r="E161" s="1322"/>
      <c r="F161" s="1322">
        <f t="shared" si="15"/>
        <v>24</v>
      </c>
      <c r="G161" s="1322"/>
      <c r="H161" s="1322">
        <f t="shared" si="16"/>
        <v>6</v>
      </c>
      <c r="I161" s="1322"/>
      <c r="J161" s="1322"/>
      <c r="K161" s="1322"/>
      <c r="L161" s="1322">
        <f t="shared" si="17"/>
        <v>40.200000000000003</v>
      </c>
      <c r="N161" s="1323">
        <v>1</v>
      </c>
      <c r="P161" s="1323">
        <v>4</v>
      </c>
      <c r="Q161" s="1323">
        <v>4</v>
      </c>
      <c r="R161" s="1323">
        <v>3</v>
      </c>
    </row>
    <row r="162" spans="1:18">
      <c r="A162" s="1327">
        <v>48</v>
      </c>
      <c r="B162" s="1322" t="s">
        <v>333</v>
      </c>
      <c r="C162" s="1327">
        <f t="shared" si="13"/>
        <v>3.2</v>
      </c>
      <c r="D162" s="1322">
        <f t="shared" si="14"/>
        <v>7</v>
      </c>
      <c r="E162" s="1322"/>
      <c r="F162" s="1322">
        <f t="shared" si="15"/>
        <v>24</v>
      </c>
      <c r="G162" s="1322"/>
      <c r="H162" s="1322">
        <f t="shared" si="16"/>
        <v>6</v>
      </c>
      <c r="I162" s="1322"/>
      <c r="J162" s="1322"/>
      <c r="K162" s="1322"/>
      <c r="L162" s="1322">
        <f t="shared" si="17"/>
        <v>40.200000000000003</v>
      </c>
      <c r="N162" s="1323">
        <v>1</v>
      </c>
      <c r="P162" s="1323">
        <v>4</v>
      </c>
      <c r="Q162" s="1323">
        <v>4</v>
      </c>
      <c r="R162" s="1323">
        <v>3</v>
      </c>
    </row>
    <row r="163" spans="1:18">
      <c r="A163" s="1327">
        <v>49</v>
      </c>
      <c r="B163" s="1322" t="s">
        <v>334</v>
      </c>
      <c r="C163" s="1327">
        <f t="shared" si="13"/>
        <v>3.2</v>
      </c>
      <c r="D163" s="1322">
        <f t="shared" si="14"/>
        <v>0</v>
      </c>
      <c r="E163" s="1322"/>
      <c r="F163" s="1322">
        <f t="shared" si="15"/>
        <v>24</v>
      </c>
      <c r="G163" s="1322"/>
      <c r="H163" s="1322">
        <f t="shared" si="16"/>
        <v>8</v>
      </c>
      <c r="I163" s="1322"/>
      <c r="J163" s="1322"/>
      <c r="K163" s="1322"/>
      <c r="L163" s="1322">
        <f t="shared" si="17"/>
        <v>35.200000000000003</v>
      </c>
      <c r="N163" s="1323">
        <v>0</v>
      </c>
      <c r="P163" s="1323">
        <v>4</v>
      </c>
      <c r="Q163" s="1323">
        <v>4</v>
      </c>
      <c r="R163" s="1323">
        <v>4</v>
      </c>
    </row>
    <row r="164" spans="1:18">
      <c r="A164" s="1327">
        <v>50</v>
      </c>
      <c r="B164" s="1322" t="s">
        <v>335</v>
      </c>
      <c r="C164" s="1327">
        <f t="shared" si="13"/>
        <v>3.2</v>
      </c>
      <c r="D164" s="1322">
        <f t="shared" si="14"/>
        <v>7</v>
      </c>
      <c r="E164" s="1322"/>
      <c r="F164" s="1322">
        <f t="shared" si="15"/>
        <v>24</v>
      </c>
      <c r="G164" s="1322"/>
      <c r="H164" s="1322">
        <f t="shared" si="16"/>
        <v>6</v>
      </c>
      <c r="I164" s="1322"/>
      <c r="J164" s="1322"/>
      <c r="K164" s="1322"/>
      <c r="L164" s="1322">
        <f t="shared" si="17"/>
        <v>40.200000000000003</v>
      </c>
      <c r="N164" s="1323">
        <v>1</v>
      </c>
      <c r="P164" s="1323">
        <v>4</v>
      </c>
      <c r="Q164" s="1323">
        <v>4</v>
      </c>
      <c r="R164" s="1323">
        <v>3</v>
      </c>
    </row>
    <row r="165" spans="1:18">
      <c r="A165" s="1327">
        <v>51</v>
      </c>
      <c r="B165" s="1322" t="s">
        <v>336</v>
      </c>
      <c r="C165" s="1327">
        <f t="shared" si="13"/>
        <v>3.2</v>
      </c>
      <c r="D165" s="1322">
        <f t="shared" si="14"/>
        <v>7</v>
      </c>
      <c r="E165" s="1322"/>
      <c r="F165" s="1322">
        <f t="shared" si="15"/>
        <v>24</v>
      </c>
      <c r="G165" s="1322"/>
      <c r="H165" s="1322">
        <f t="shared" si="16"/>
        <v>6</v>
      </c>
      <c r="I165" s="1322"/>
      <c r="J165" s="1322"/>
      <c r="K165" s="1322"/>
      <c r="L165" s="1322">
        <f t="shared" si="17"/>
        <v>40.200000000000003</v>
      </c>
      <c r="N165" s="1323">
        <v>1</v>
      </c>
      <c r="P165" s="1323">
        <v>4</v>
      </c>
      <c r="Q165" s="1323">
        <v>4</v>
      </c>
      <c r="R165" s="1323">
        <v>3</v>
      </c>
    </row>
    <row r="166" spans="1:18">
      <c r="A166" s="1327">
        <v>52</v>
      </c>
      <c r="B166" s="1322" t="s">
        <v>337</v>
      </c>
      <c r="C166" s="1327">
        <f t="shared" si="13"/>
        <v>3.2</v>
      </c>
      <c r="D166" s="1322">
        <f t="shared" si="14"/>
        <v>7</v>
      </c>
      <c r="E166" s="1322"/>
      <c r="F166" s="1322">
        <f t="shared" si="15"/>
        <v>24</v>
      </c>
      <c r="G166" s="1322"/>
      <c r="H166" s="1322">
        <f t="shared" si="16"/>
        <v>6</v>
      </c>
      <c r="I166" s="1322"/>
      <c r="J166" s="1322"/>
      <c r="K166" s="1322"/>
      <c r="L166" s="1322">
        <f t="shared" si="17"/>
        <v>40.200000000000003</v>
      </c>
      <c r="N166" s="1323">
        <v>1</v>
      </c>
      <c r="P166" s="1323">
        <v>4</v>
      </c>
      <c r="Q166" s="1323">
        <v>4</v>
      </c>
      <c r="R166" s="1323">
        <v>3</v>
      </c>
    </row>
    <row r="167" spans="1:18">
      <c r="A167" s="1327">
        <v>53</v>
      </c>
      <c r="B167" s="1322" t="s">
        <v>338</v>
      </c>
      <c r="C167" s="1327">
        <f t="shared" si="13"/>
        <v>3.2</v>
      </c>
      <c r="D167" s="1322">
        <f t="shared" si="14"/>
        <v>7</v>
      </c>
      <c r="E167" s="1322"/>
      <c r="F167" s="1322">
        <f t="shared" si="15"/>
        <v>24</v>
      </c>
      <c r="G167" s="1322"/>
      <c r="H167" s="1322">
        <f t="shared" si="16"/>
        <v>6</v>
      </c>
      <c r="I167" s="1322"/>
      <c r="J167" s="1322"/>
      <c r="K167" s="1322"/>
      <c r="L167" s="1322">
        <f t="shared" si="17"/>
        <v>40.200000000000003</v>
      </c>
      <c r="N167" s="1323">
        <v>1</v>
      </c>
      <c r="P167" s="1323">
        <v>4</v>
      </c>
      <c r="Q167" s="1323">
        <v>4</v>
      </c>
      <c r="R167" s="1323">
        <v>3</v>
      </c>
    </row>
    <row r="168" spans="1:18">
      <c r="A168" s="1327">
        <v>54</v>
      </c>
      <c r="B168" s="1322" t="s">
        <v>339</v>
      </c>
      <c r="C168" s="1327">
        <f t="shared" si="13"/>
        <v>3.2</v>
      </c>
      <c r="D168" s="1322">
        <f t="shared" si="14"/>
        <v>0</v>
      </c>
      <c r="E168" s="1322"/>
      <c r="F168" s="1322">
        <f t="shared" si="15"/>
        <v>24</v>
      </c>
      <c r="G168" s="1322"/>
      <c r="H168" s="1322">
        <f t="shared" si="16"/>
        <v>8</v>
      </c>
      <c r="I168" s="1322"/>
      <c r="J168" s="1322"/>
      <c r="K168" s="1322"/>
      <c r="L168" s="1322">
        <f t="shared" si="17"/>
        <v>35.200000000000003</v>
      </c>
      <c r="N168" s="1323">
        <v>0</v>
      </c>
      <c r="P168" s="1323">
        <v>4</v>
      </c>
      <c r="Q168" s="1323">
        <v>4</v>
      </c>
      <c r="R168" s="1323">
        <v>4</v>
      </c>
    </row>
    <row r="169" spans="1:18">
      <c r="A169" s="1327">
        <v>55</v>
      </c>
      <c r="B169" s="1322" t="s">
        <v>340</v>
      </c>
      <c r="C169" s="1327">
        <f t="shared" si="13"/>
        <v>3.2</v>
      </c>
      <c r="D169" s="1322">
        <f t="shared" si="14"/>
        <v>7</v>
      </c>
      <c r="E169" s="1322"/>
      <c r="F169" s="1322">
        <f t="shared" si="15"/>
        <v>24</v>
      </c>
      <c r="G169" s="1322"/>
      <c r="H169" s="1322">
        <f t="shared" si="16"/>
        <v>6</v>
      </c>
      <c r="I169" s="1322"/>
      <c r="J169" s="1322"/>
      <c r="K169" s="1322"/>
      <c r="L169" s="1322">
        <f t="shared" si="17"/>
        <v>40.200000000000003</v>
      </c>
      <c r="N169" s="1323">
        <v>1</v>
      </c>
      <c r="P169" s="1323">
        <v>4</v>
      </c>
      <c r="Q169" s="1323">
        <v>4</v>
      </c>
      <c r="R169" s="1323">
        <v>3</v>
      </c>
    </row>
    <row r="170" spans="1:18">
      <c r="A170" s="1327">
        <v>56</v>
      </c>
      <c r="B170" s="1322" t="s">
        <v>341</v>
      </c>
      <c r="C170" s="1327">
        <f t="shared" si="13"/>
        <v>3.2</v>
      </c>
      <c r="D170" s="1322">
        <f t="shared" si="14"/>
        <v>7</v>
      </c>
      <c r="E170" s="1322"/>
      <c r="F170" s="1322">
        <f t="shared" si="15"/>
        <v>24</v>
      </c>
      <c r="G170" s="1322"/>
      <c r="H170" s="1322">
        <f t="shared" si="16"/>
        <v>6</v>
      </c>
      <c r="I170" s="1322"/>
      <c r="J170" s="1322"/>
      <c r="K170" s="1322"/>
      <c r="L170" s="1322">
        <f t="shared" si="17"/>
        <v>40.200000000000003</v>
      </c>
      <c r="N170" s="1323">
        <v>1</v>
      </c>
      <c r="P170" s="1323">
        <v>4</v>
      </c>
      <c r="Q170" s="1323">
        <v>4</v>
      </c>
      <c r="R170" s="1323">
        <v>3</v>
      </c>
    </row>
    <row r="171" spans="1:18">
      <c r="A171" s="1327">
        <v>57</v>
      </c>
      <c r="B171" s="1322" t="s">
        <v>342</v>
      </c>
      <c r="C171" s="1327">
        <f t="shared" si="13"/>
        <v>3.2</v>
      </c>
      <c r="D171" s="1322">
        <f t="shared" si="14"/>
        <v>7</v>
      </c>
      <c r="E171" s="1322"/>
      <c r="F171" s="1322">
        <f t="shared" si="15"/>
        <v>24</v>
      </c>
      <c r="G171" s="1322"/>
      <c r="H171" s="1322">
        <f t="shared" si="16"/>
        <v>6</v>
      </c>
      <c r="I171" s="1322"/>
      <c r="J171" s="1322"/>
      <c r="K171" s="1322"/>
      <c r="L171" s="1322">
        <f t="shared" si="17"/>
        <v>40.200000000000003</v>
      </c>
      <c r="N171" s="1323">
        <v>1</v>
      </c>
      <c r="P171" s="1323">
        <v>4</v>
      </c>
      <c r="Q171" s="1323">
        <v>4</v>
      </c>
      <c r="R171" s="1323">
        <v>3</v>
      </c>
    </row>
    <row r="172" spans="1:18">
      <c r="A172" s="1327">
        <v>58</v>
      </c>
      <c r="B172" s="1322" t="s">
        <v>343</v>
      </c>
      <c r="C172" s="1327">
        <f t="shared" si="13"/>
        <v>3.2</v>
      </c>
      <c r="D172" s="1322">
        <f t="shared" si="14"/>
        <v>7</v>
      </c>
      <c r="E172" s="1322"/>
      <c r="F172" s="1322">
        <f t="shared" si="15"/>
        <v>24</v>
      </c>
      <c r="G172" s="1322"/>
      <c r="H172" s="1322">
        <f t="shared" si="16"/>
        <v>6</v>
      </c>
      <c r="I172" s="1322"/>
      <c r="J172" s="1322"/>
      <c r="K172" s="1322"/>
      <c r="L172" s="1322">
        <f t="shared" si="17"/>
        <v>40.200000000000003</v>
      </c>
      <c r="N172" s="1323">
        <v>1</v>
      </c>
      <c r="P172" s="1323">
        <v>4</v>
      </c>
      <c r="Q172" s="1323">
        <v>4</v>
      </c>
      <c r="R172" s="1323">
        <v>3</v>
      </c>
    </row>
    <row r="173" spans="1:18">
      <c r="A173" s="1327">
        <v>59</v>
      </c>
      <c r="B173" s="1322" t="s">
        <v>344</v>
      </c>
      <c r="C173" s="1327">
        <f t="shared" si="13"/>
        <v>3.2</v>
      </c>
      <c r="D173" s="1322">
        <f t="shared" si="14"/>
        <v>0</v>
      </c>
      <c r="E173" s="1322"/>
      <c r="F173" s="1322">
        <f t="shared" si="15"/>
        <v>24</v>
      </c>
      <c r="G173" s="1322"/>
      <c r="H173" s="1322">
        <f t="shared" si="16"/>
        <v>8</v>
      </c>
      <c r="I173" s="1322"/>
      <c r="J173" s="1322"/>
      <c r="K173" s="1322"/>
      <c r="L173" s="1322">
        <f t="shared" si="17"/>
        <v>35.200000000000003</v>
      </c>
      <c r="N173" s="1323">
        <v>0</v>
      </c>
      <c r="P173" s="1323">
        <v>4</v>
      </c>
      <c r="Q173" s="1323">
        <v>4</v>
      </c>
      <c r="R173" s="1323">
        <v>4</v>
      </c>
    </row>
    <row r="174" spans="1:18">
      <c r="A174" s="1327">
        <v>60</v>
      </c>
      <c r="B174" s="1322" t="s">
        <v>345</v>
      </c>
      <c r="C174" s="1327">
        <f t="shared" si="13"/>
        <v>3.2</v>
      </c>
      <c r="D174" s="1322">
        <f t="shared" si="14"/>
        <v>7</v>
      </c>
      <c r="E174" s="1322"/>
      <c r="F174" s="1322">
        <f t="shared" si="15"/>
        <v>24</v>
      </c>
      <c r="G174" s="1322"/>
      <c r="H174" s="1322">
        <f t="shared" si="16"/>
        <v>6</v>
      </c>
      <c r="I174" s="1322"/>
      <c r="J174" s="1322"/>
      <c r="K174" s="1322"/>
      <c r="L174" s="1322">
        <f t="shared" si="17"/>
        <v>40.200000000000003</v>
      </c>
      <c r="N174" s="1323">
        <v>1</v>
      </c>
      <c r="P174" s="1323">
        <v>4</v>
      </c>
      <c r="Q174" s="1323">
        <v>4</v>
      </c>
      <c r="R174" s="1323">
        <v>3</v>
      </c>
    </row>
    <row r="175" spans="1:18">
      <c r="A175" s="1327">
        <v>61</v>
      </c>
      <c r="B175" s="1322" t="s">
        <v>346</v>
      </c>
      <c r="C175" s="1327">
        <f t="shared" si="13"/>
        <v>3.2</v>
      </c>
      <c r="D175" s="1322">
        <f t="shared" si="14"/>
        <v>0</v>
      </c>
      <c r="E175" s="1322"/>
      <c r="F175" s="1322">
        <f t="shared" si="15"/>
        <v>24</v>
      </c>
      <c r="G175" s="1322"/>
      <c r="H175" s="1322">
        <f t="shared" si="16"/>
        <v>8</v>
      </c>
      <c r="I175" s="1322"/>
      <c r="J175" s="1322"/>
      <c r="K175" s="1322"/>
      <c r="L175" s="1322">
        <f t="shared" si="17"/>
        <v>35.200000000000003</v>
      </c>
      <c r="N175" s="1323">
        <v>0</v>
      </c>
      <c r="P175" s="1323">
        <v>4</v>
      </c>
      <c r="Q175" s="1323">
        <v>4</v>
      </c>
      <c r="R175" s="1323">
        <v>4</v>
      </c>
    </row>
    <row r="176" spans="1:18">
      <c r="A176" s="1327">
        <v>62</v>
      </c>
      <c r="B176" s="1322" t="s">
        <v>347</v>
      </c>
      <c r="C176" s="1327">
        <f t="shared" si="13"/>
        <v>3.2</v>
      </c>
      <c r="D176" s="1322">
        <f t="shared" si="14"/>
        <v>7</v>
      </c>
      <c r="E176" s="1322"/>
      <c r="F176" s="1322">
        <f t="shared" si="15"/>
        <v>24</v>
      </c>
      <c r="G176" s="1322"/>
      <c r="H176" s="1322">
        <f t="shared" si="16"/>
        <v>6</v>
      </c>
      <c r="I176" s="1322"/>
      <c r="J176" s="1322"/>
      <c r="K176" s="1322"/>
      <c r="L176" s="1322">
        <f t="shared" si="17"/>
        <v>40.200000000000003</v>
      </c>
      <c r="N176" s="1323">
        <v>1</v>
      </c>
      <c r="P176" s="1323">
        <v>4</v>
      </c>
      <c r="Q176" s="1323">
        <v>4</v>
      </c>
      <c r="R176" s="1323">
        <v>3</v>
      </c>
    </row>
    <row r="177" spans="1:18">
      <c r="A177" s="1327">
        <v>63</v>
      </c>
      <c r="B177" s="1322" t="s">
        <v>348</v>
      </c>
      <c r="C177" s="1327">
        <f t="shared" si="13"/>
        <v>3.2</v>
      </c>
      <c r="D177" s="1322">
        <f t="shared" si="14"/>
        <v>7</v>
      </c>
      <c r="E177" s="1322"/>
      <c r="F177" s="1322">
        <f t="shared" si="15"/>
        <v>24</v>
      </c>
      <c r="G177" s="1322"/>
      <c r="H177" s="1322">
        <f t="shared" si="16"/>
        <v>6</v>
      </c>
      <c r="I177" s="1322"/>
      <c r="J177" s="1322"/>
      <c r="K177" s="1322"/>
      <c r="L177" s="1322">
        <f t="shared" si="17"/>
        <v>40.200000000000003</v>
      </c>
      <c r="N177" s="1323">
        <v>1</v>
      </c>
      <c r="P177" s="1323">
        <v>4</v>
      </c>
      <c r="Q177" s="1323">
        <v>4</v>
      </c>
      <c r="R177" s="1323">
        <v>3</v>
      </c>
    </row>
    <row r="178" spans="1:18">
      <c r="A178" s="1327">
        <v>64</v>
      </c>
      <c r="B178" s="1322" t="s">
        <v>1386</v>
      </c>
      <c r="C178" s="1327">
        <f t="shared" si="13"/>
        <v>0</v>
      </c>
      <c r="D178" s="1322">
        <f t="shared" si="14"/>
        <v>0</v>
      </c>
      <c r="E178" s="1322"/>
      <c r="F178" s="1322">
        <f t="shared" si="15"/>
        <v>0</v>
      </c>
      <c r="G178" s="1322"/>
      <c r="H178" s="1322">
        <f t="shared" si="16"/>
        <v>0</v>
      </c>
      <c r="I178" s="1322"/>
      <c r="J178" s="1322"/>
      <c r="K178" s="1322"/>
      <c r="L178" s="1322">
        <f t="shared" si="17"/>
        <v>0</v>
      </c>
    </row>
    <row r="179" spans="1:18">
      <c r="A179" s="1327">
        <v>65</v>
      </c>
      <c r="B179" s="1322" t="s">
        <v>468</v>
      </c>
      <c r="C179" s="1327">
        <f t="shared" si="13"/>
        <v>0</v>
      </c>
      <c r="D179" s="1322">
        <f t="shared" si="14"/>
        <v>0</v>
      </c>
      <c r="E179" s="1322"/>
      <c r="F179" s="1322">
        <f t="shared" si="15"/>
        <v>0</v>
      </c>
      <c r="G179" s="1322"/>
      <c r="H179" s="1322">
        <f t="shared" si="16"/>
        <v>0</v>
      </c>
      <c r="I179" s="1322"/>
      <c r="J179" s="1322"/>
      <c r="K179" s="1322"/>
      <c r="L179" s="1322">
        <f t="shared" si="17"/>
        <v>0</v>
      </c>
    </row>
    <row r="180" spans="1:18">
      <c r="A180" s="1327">
        <v>66</v>
      </c>
      <c r="B180" s="1322"/>
      <c r="C180" s="1322"/>
      <c r="D180" s="1322"/>
      <c r="E180" s="1322"/>
      <c r="F180" s="1322"/>
      <c r="G180" s="1322"/>
      <c r="H180" s="1322"/>
      <c r="I180" s="1322"/>
      <c r="J180" s="1322"/>
      <c r="K180" s="1322"/>
      <c r="L180" s="1322">
        <f t="shared" si="17"/>
        <v>0</v>
      </c>
    </row>
    <row r="181" spans="1:18">
      <c r="A181" s="2455" t="s">
        <v>608</v>
      </c>
      <c r="B181" s="2456"/>
      <c r="C181" s="1328">
        <f>SUM(C7,C114)</f>
        <v>451.20000000000022</v>
      </c>
      <c r="D181" s="1328">
        <f t="shared" ref="D181:L181" si="18">SUM(D7,D114)</f>
        <v>1358</v>
      </c>
      <c r="E181" s="1328">
        <f t="shared" si="18"/>
        <v>1904</v>
      </c>
      <c r="F181" s="1328">
        <f t="shared" si="18"/>
        <v>3384</v>
      </c>
      <c r="G181" s="1328">
        <f t="shared" si="18"/>
        <v>888</v>
      </c>
      <c r="H181" s="1328">
        <f t="shared" si="18"/>
        <v>116</v>
      </c>
      <c r="I181" s="1328">
        <f t="shared" si="18"/>
        <v>0</v>
      </c>
      <c r="J181" s="1328">
        <f t="shared" si="18"/>
        <v>0</v>
      </c>
      <c r="K181" s="1328">
        <f t="shared" si="18"/>
        <v>0</v>
      </c>
      <c r="L181" s="137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Y574"/>
  <sheetViews>
    <sheetView topLeftCell="A8" zoomScaleNormal="100" zoomScaleSheetLayoutView="140" workbookViewId="0">
      <pane xSplit="4" ySplit="6" topLeftCell="I185" activePane="bottomRight" state="frozen"/>
      <selection activeCell="N20" sqref="N20"/>
      <selection pane="topRight" activeCell="N20" sqref="N20"/>
      <selection pane="bottomLeft" activeCell="N20" sqref="N20"/>
      <selection pane="bottomRight" activeCell="AA193" sqref="AA193:AG193"/>
    </sheetView>
  </sheetViews>
  <sheetFormatPr defaultColWidth="9" defaultRowHeight="15.75" outlineLevelRow="1"/>
  <cols>
    <col min="1" max="1" width="4.42578125" style="246" customWidth="1"/>
    <col min="2" max="2" width="4.85546875" style="411" customWidth="1"/>
    <col min="3" max="3" width="7" style="411" customWidth="1"/>
    <col min="4" max="4" width="12.140625" style="411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7.5703125" style="53" customWidth="1"/>
    <col min="38" max="41" width="8" style="53" customWidth="1"/>
    <col min="42" max="42" width="6.42578125" style="53" customWidth="1"/>
    <col min="43" max="43" width="8.7109375" style="53" customWidth="1"/>
    <col min="44" max="44" width="10.5703125" style="53" customWidth="1"/>
    <col min="45" max="16384" width="9" style="53"/>
  </cols>
  <sheetData>
    <row r="1" spans="1:50" ht="18.75">
      <c r="A1" s="2418" t="s">
        <v>1928</v>
      </c>
      <c r="B1" s="2418"/>
      <c r="C1" s="2418"/>
      <c r="D1" s="2418"/>
      <c r="E1" s="2418"/>
      <c r="F1" s="2418"/>
      <c r="G1" s="2418"/>
      <c r="H1" s="2418"/>
      <c r="I1" s="2418"/>
      <c r="J1" s="2418"/>
      <c r="K1" s="2418"/>
      <c r="L1" s="2418"/>
      <c r="M1" s="2418"/>
      <c r="N1" s="2418"/>
      <c r="O1" s="2418"/>
      <c r="P1" s="2418"/>
      <c r="Q1" s="2418"/>
      <c r="R1" s="2418"/>
      <c r="S1" s="2418"/>
      <c r="T1" s="2418"/>
      <c r="U1" s="2418"/>
      <c r="V1" s="2418"/>
      <c r="W1" s="2418"/>
      <c r="X1" s="2418"/>
      <c r="Y1" s="2418"/>
      <c r="Z1" s="2418"/>
      <c r="AA1" s="2418"/>
      <c r="AB1" s="2418"/>
      <c r="AC1" s="2418"/>
      <c r="AD1" s="2418"/>
      <c r="AE1" s="2418"/>
      <c r="AF1" s="2418"/>
      <c r="AG1" s="2418"/>
      <c r="AH1" s="2418"/>
      <c r="AI1" s="2418"/>
      <c r="AJ1" s="2418"/>
      <c r="AK1" s="2418"/>
      <c r="AL1" s="2418"/>
      <c r="AM1" s="2418"/>
      <c r="AN1" s="2418"/>
      <c r="AO1" s="2418"/>
      <c r="AP1" s="2418"/>
      <c r="AQ1" s="2418"/>
    </row>
    <row r="2" spans="1:50" ht="18.75">
      <c r="A2" s="2418" t="s">
        <v>1</v>
      </c>
      <c r="B2" s="2418"/>
      <c r="C2" s="2418"/>
      <c r="D2" s="2418"/>
      <c r="E2" s="2418"/>
      <c r="F2" s="2418"/>
      <c r="G2" s="2418"/>
      <c r="H2" s="2418"/>
      <c r="I2" s="2418"/>
      <c r="J2" s="2418"/>
      <c r="K2" s="2418"/>
      <c r="L2" s="2418"/>
      <c r="M2" s="2418"/>
      <c r="N2" s="2418"/>
      <c r="O2" s="2418"/>
      <c r="P2" s="2418"/>
      <c r="Q2" s="2418"/>
      <c r="R2" s="2418"/>
      <c r="S2" s="2418"/>
      <c r="T2" s="2418"/>
      <c r="U2" s="2418"/>
      <c r="V2" s="2418"/>
      <c r="W2" s="2418"/>
      <c r="X2" s="2418"/>
      <c r="Y2" s="2418"/>
      <c r="Z2" s="2418"/>
      <c r="AA2" s="2418"/>
      <c r="AB2" s="2418"/>
      <c r="AC2" s="2418"/>
      <c r="AD2" s="2418"/>
      <c r="AE2" s="2418"/>
      <c r="AF2" s="2418"/>
      <c r="AG2" s="2418"/>
      <c r="AH2" s="2418"/>
      <c r="AI2" s="2418"/>
      <c r="AJ2" s="2418"/>
      <c r="AK2" s="2418"/>
      <c r="AL2" s="2418"/>
      <c r="AM2" s="2418"/>
      <c r="AN2" s="2418"/>
      <c r="AO2" s="2418"/>
      <c r="AP2" s="2418"/>
      <c r="AQ2" s="2418"/>
    </row>
    <row r="3" spans="1:50" ht="15" customHeight="1">
      <c r="A3" s="2420" t="s">
        <v>619</v>
      </c>
      <c r="B3" s="2420"/>
      <c r="C3" s="2420"/>
      <c r="D3" s="2420"/>
      <c r="E3" s="2420"/>
      <c r="F3" s="2420"/>
      <c r="G3" s="2420"/>
      <c r="H3" s="2420"/>
      <c r="I3" s="2420"/>
      <c r="J3" s="2420"/>
      <c r="K3" s="2420"/>
      <c r="L3" s="2420"/>
      <c r="M3" s="2420"/>
      <c r="N3" s="2420"/>
      <c r="O3" s="2420"/>
      <c r="P3" s="2420"/>
      <c r="Q3" s="2420"/>
      <c r="R3" s="2420"/>
      <c r="S3" s="2420"/>
      <c r="T3" s="2420"/>
      <c r="U3" s="2420"/>
      <c r="V3" s="2420"/>
      <c r="W3" s="2420"/>
      <c r="X3" s="2420"/>
      <c r="Y3" s="2420"/>
      <c r="Z3" s="2420"/>
      <c r="AA3" s="2420"/>
      <c r="AB3" s="2420"/>
      <c r="AC3" s="2420"/>
      <c r="AD3" s="2420"/>
      <c r="AE3" s="2420"/>
      <c r="AF3" s="2420"/>
      <c r="AG3" s="2420"/>
      <c r="AH3" s="2420"/>
      <c r="AI3" s="2420"/>
      <c r="AJ3" s="2420"/>
      <c r="AK3" s="2420"/>
      <c r="AL3" s="2420"/>
      <c r="AM3" s="2420"/>
      <c r="AN3" s="2420"/>
      <c r="AO3" s="2420"/>
      <c r="AP3" s="2420"/>
      <c r="AQ3" s="2420"/>
    </row>
    <row r="4" spans="1:50" ht="15" customHeight="1">
      <c r="A4" s="2515" t="s">
        <v>3235</v>
      </c>
      <c r="B4" s="2515"/>
      <c r="C4" s="2515"/>
      <c r="D4" s="2515"/>
      <c r="E4" s="2515"/>
      <c r="F4" s="2515"/>
      <c r="G4" s="2515"/>
      <c r="H4" s="2515"/>
      <c r="I4" s="2515"/>
      <c r="J4" s="2515"/>
      <c r="K4" s="2515"/>
      <c r="L4" s="2515"/>
      <c r="M4" s="2515"/>
      <c r="N4" s="2515"/>
      <c r="O4" s="2515"/>
      <c r="P4" s="2515"/>
      <c r="Q4" s="1029"/>
      <c r="R4" s="1031"/>
      <c r="S4" s="1029"/>
      <c r="T4" s="1220"/>
      <c r="U4" s="1032"/>
      <c r="V4" s="1032"/>
      <c r="W4" s="1032"/>
      <c r="X4" s="1032"/>
      <c r="Y4" s="1032"/>
      <c r="Z4" s="1032"/>
      <c r="AA4" s="1032"/>
      <c r="AB4" s="1032"/>
      <c r="AC4" s="1032"/>
      <c r="AD4" s="1032"/>
      <c r="AE4" s="1032"/>
      <c r="AF4" s="1032"/>
      <c r="AG4" s="1032"/>
      <c r="AH4" s="1032"/>
      <c r="AI4" s="1032"/>
      <c r="AJ4" s="1032"/>
      <c r="AK4" s="1032"/>
      <c r="AL4" s="1032"/>
      <c r="AM4" s="2256"/>
      <c r="AN4" s="2256"/>
      <c r="AO4" s="2256"/>
      <c r="AP4" s="1032"/>
      <c r="AQ4" s="1032"/>
    </row>
    <row r="5" spans="1:50" ht="16.5" customHeight="1">
      <c r="A5" s="2417" t="s">
        <v>3234</v>
      </c>
      <c r="B5" s="2417"/>
      <c r="C5" s="2417"/>
      <c r="D5" s="2417"/>
      <c r="E5" s="2417"/>
      <c r="F5" s="2417"/>
      <c r="G5" s="2417"/>
      <c r="H5" s="2417"/>
      <c r="I5" s="2417"/>
      <c r="J5" s="2417"/>
      <c r="K5" s="2417"/>
      <c r="L5" s="2417"/>
      <c r="M5" s="2417"/>
      <c r="N5" s="2417"/>
      <c r="O5" s="2417"/>
      <c r="P5" s="2417"/>
      <c r="Q5" s="1029"/>
      <c r="R5" s="1031"/>
      <c r="S5" s="1029"/>
      <c r="T5" s="1220"/>
      <c r="U5" s="1032"/>
      <c r="V5" s="1032"/>
      <c r="W5" s="1032"/>
      <c r="X5" s="1032"/>
      <c r="Y5" s="1032"/>
      <c r="Z5" s="1032"/>
      <c r="AA5" s="1032"/>
      <c r="AB5" s="1032"/>
      <c r="AC5" s="1032"/>
      <c r="AD5" s="1032"/>
      <c r="AE5" s="1032"/>
      <c r="AF5" s="1032"/>
      <c r="AG5" s="1032"/>
      <c r="AH5" s="1032"/>
      <c r="AI5" s="1032"/>
      <c r="AJ5" s="1032"/>
      <c r="AK5" s="1032"/>
      <c r="AL5" s="1032"/>
      <c r="AM5" s="2256"/>
      <c r="AN5" s="2256"/>
      <c r="AO5" s="2256"/>
      <c r="AP5" s="1032"/>
      <c r="AQ5" s="1032"/>
    </row>
    <row r="6" spans="1:50" ht="15" customHeight="1">
      <c r="A6" s="1320"/>
      <c r="B6" s="1219"/>
      <c r="C6" s="1219"/>
      <c r="D6" s="1219"/>
      <c r="E6" s="1032"/>
      <c r="F6" s="1219"/>
      <c r="G6" s="1219"/>
      <c r="H6" s="1219"/>
      <c r="I6" s="1219"/>
      <c r="J6" s="1219"/>
      <c r="K6" s="1219"/>
      <c r="L6" s="1219"/>
      <c r="M6" s="1219"/>
      <c r="N6" s="1030"/>
      <c r="O6" s="1029"/>
      <c r="P6" s="1029"/>
      <c r="Q6" s="1029"/>
      <c r="R6" s="1031"/>
      <c r="S6" s="1029"/>
      <c r="T6" s="1220"/>
      <c r="U6" s="1032"/>
      <c r="V6" s="1032"/>
      <c r="W6" s="1032"/>
      <c r="X6" s="1032"/>
      <c r="Y6" s="1032"/>
      <c r="Z6" s="1032"/>
      <c r="AA6" s="1032"/>
      <c r="AB6" s="1032"/>
      <c r="AC6" s="1032"/>
      <c r="AD6" s="1032"/>
      <c r="AE6" s="1032"/>
      <c r="AF6" s="1032"/>
      <c r="AG6" s="1032"/>
      <c r="AH6" s="1032"/>
      <c r="AI6" s="1032"/>
      <c r="AJ6" s="1032"/>
      <c r="AK6" s="1032"/>
      <c r="AL6" s="1032"/>
      <c r="AM6" s="2256"/>
      <c r="AN6" s="2256"/>
      <c r="AO6" s="2256"/>
      <c r="AP6" s="1032"/>
      <c r="AQ6" s="1032"/>
    </row>
    <row r="7" spans="1:50" ht="27.75" customHeight="1">
      <c r="A7" s="2437" t="s">
        <v>3070</v>
      </c>
      <c r="B7" s="2437"/>
      <c r="C7" s="2437"/>
      <c r="D7" s="2437"/>
      <c r="E7" s="2437"/>
      <c r="F7" s="2437"/>
      <c r="G7" s="2437"/>
      <c r="H7" s="2437"/>
      <c r="I7" s="2437"/>
      <c r="J7" s="2437"/>
      <c r="K7" s="2437"/>
      <c r="L7" s="2437"/>
      <c r="M7" s="2437"/>
      <c r="N7" s="2437"/>
      <c r="O7" s="2437"/>
      <c r="P7" s="2437"/>
      <c r="Q7" s="2437"/>
      <c r="R7" s="2437"/>
      <c r="S7" s="2437"/>
      <c r="T7" s="2437"/>
      <c r="U7" s="2437"/>
      <c r="V7" s="2437"/>
      <c r="W7" s="2437"/>
      <c r="X7" s="2437"/>
      <c r="Y7" s="2437"/>
      <c r="Z7" s="2437"/>
      <c r="AA7" s="2437"/>
      <c r="AB7" s="2437"/>
      <c r="AC7" s="2437"/>
      <c r="AD7" s="2437"/>
      <c r="AE7" s="2437"/>
      <c r="AF7" s="2437"/>
      <c r="AG7" s="2437"/>
      <c r="AH7" s="2437"/>
      <c r="AI7" s="2437"/>
      <c r="AJ7" s="2437"/>
      <c r="AK7" s="2437"/>
      <c r="AL7" s="2437"/>
      <c r="AM7" s="2437"/>
      <c r="AN7" s="2437"/>
      <c r="AO7" s="2437"/>
      <c r="AP7" s="2437"/>
      <c r="AQ7" s="2437"/>
    </row>
    <row r="8" spans="1:50" ht="18.75" customHeight="1">
      <c r="A8" s="2438" t="s">
        <v>3470</v>
      </c>
      <c r="B8" s="2438"/>
      <c r="C8" s="2438"/>
      <c r="D8" s="2438"/>
      <c r="E8" s="2438"/>
      <c r="F8" s="2438"/>
      <c r="G8" s="2438"/>
      <c r="H8" s="2438"/>
      <c r="I8" s="2438"/>
      <c r="J8" s="2438"/>
      <c r="K8" s="2438"/>
      <c r="L8" s="2438"/>
      <c r="M8" s="2438"/>
      <c r="N8" s="2438"/>
      <c r="O8" s="2438"/>
      <c r="P8" s="2438"/>
      <c r="Q8" s="2438"/>
      <c r="R8" s="2438"/>
      <c r="S8" s="2438"/>
      <c r="T8" s="2438"/>
      <c r="U8" s="2438"/>
      <c r="V8" s="2438"/>
      <c r="W8" s="2438"/>
      <c r="X8" s="2438"/>
      <c r="Y8" s="2438"/>
      <c r="Z8" s="2438"/>
      <c r="AA8" s="2438"/>
      <c r="AB8" s="2438"/>
      <c r="AC8" s="2438"/>
      <c r="AD8" s="2438"/>
      <c r="AE8" s="2438"/>
      <c r="AF8" s="2438"/>
      <c r="AG8" s="2438"/>
      <c r="AH8" s="2438"/>
      <c r="AI8" s="2438"/>
      <c r="AJ8" s="2438"/>
      <c r="AK8" s="2438"/>
      <c r="AL8" s="2438"/>
      <c r="AM8" s="2438"/>
      <c r="AN8" s="2438"/>
      <c r="AO8" s="2438"/>
      <c r="AP8" s="2438"/>
      <c r="AQ8" s="2438"/>
    </row>
    <row r="9" spans="1:50" s="1022" customFormat="1" ht="20.45" customHeight="1">
      <c r="A9" s="2517" t="s">
        <v>623</v>
      </c>
      <c r="B9" s="2518"/>
      <c r="C9" s="2506" t="s">
        <v>1932</v>
      </c>
      <c r="D9" s="2510" t="s">
        <v>356</v>
      </c>
      <c r="E9" s="2512" t="s">
        <v>627</v>
      </c>
      <c r="F9" s="2506" t="s">
        <v>1953</v>
      </c>
      <c r="G9" s="2506"/>
      <c r="H9" s="2506"/>
      <c r="I9" s="2506"/>
      <c r="J9" s="2506"/>
      <c r="K9" s="2506"/>
      <c r="L9" s="2506"/>
      <c r="M9" s="2506"/>
      <c r="N9" s="2506"/>
      <c r="O9" s="2506"/>
      <c r="P9" s="2506"/>
      <c r="Q9" s="2506"/>
      <c r="R9" s="2506"/>
      <c r="S9" s="2506"/>
      <c r="T9" s="2506"/>
      <c r="U9" s="2506"/>
      <c r="V9" s="2506"/>
      <c r="W9" s="2506"/>
      <c r="X9" s="2506"/>
      <c r="Y9" s="2506"/>
      <c r="Z9" s="2506"/>
      <c r="AA9" s="2506"/>
      <c r="AB9" s="2506"/>
      <c r="AC9" s="2506"/>
      <c r="AD9" s="2506"/>
      <c r="AE9" s="2506"/>
      <c r="AF9" s="2506"/>
      <c r="AG9" s="2506"/>
      <c r="AH9" s="2506"/>
      <c r="AI9" s="2506"/>
      <c r="AJ9" s="2506"/>
      <c r="AK9" s="2516" t="s">
        <v>2011</v>
      </c>
      <c r="AL9" s="2516" t="s">
        <v>3448</v>
      </c>
      <c r="AM9" s="2521" t="s">
        <v>2011</v>
      </c>
      <c r="AN9" s="2516" t="s">
        <v>3449</v>
      </c>
      <c r="AO9" s="2521" t="s">
        <v>3421</v>
      </c>
      <c r="AP9" s="2512" t="s">
        <v>2012</v>
      </c>
      <c r="AQ9" s="2512" t="s">
        <v>12</v>
      </c>
      <c r="AS9" s="1318" t="s">
        <v>3451</v>
      </c>
      <c r="AT9" s="1022" t="s">
        <v>3452</v>
      </c>
    </row>
    <row r="10" spans="1:50" s="1022" customFormat="1" ht="17.45" customHeight="1">
      <c r="A10" s="2519"/>
      <c r="B10" s="2520"/>
      <c r="C10" s="2506"/>
      <c r="D10" s="2511"/>
      <c r="E10" s="2513"/>
      <c r="F10" s="1356">
        <v>1</v>
      </c>
      <c r="G10" s="1356">
        <v>2</v>
      </c>
      <c r="H10" s="1356">
        <v>3</v>
      </c>
      <c r="I10" s="1356">
        <v>4</v>
      </c>
      <c r="J10" s="1356">
        <v>5</v>
      </c>
      <c r="K10" s="1356">
        <v>6</v>
      </c>
      <c r="L10" s="1356">
        <v>7</v>
      </c>
      <c r="M10" s="1356">
        <v>8</v>
      </c>
      <c r="N10" s="1356">
        <v>9</v>
      </c>
      <c r="O10" s="1356">
        <v>10</v>
      </c>
      <c r="P10" s="1356">
        <v>11</v>
      </c>
      <c r="Q10" s="1356">
        <v>12</v>
      </c>
      <c r="R10" s="1356">
        <v>13</v>
      </c>
      <c r="S10" s="1356">
        <v>14</v>
      </c>
      <c r="T10" s="1356">
        <v>15</v>
      </c>
      <c r="U10" s="1356">
        <v>16</v>
      </c>
      <c r="V10" s="1356">
        <v>17</v>
      </c>
      <c r="W10" s="1356">
        <v>18</v>
      </c>
      <c r="X10" s="1356">
        <v>19</v>
      </c>
      <c r="Y10" s="1356">
        <v>20</v>
      </c>
      <c r="Z10" s="1356">
        <v>21</v>
      </c>
      <c r="AA10" s="1356">
        <v>22</v>
      </c>
      <c r="AB10" s="1356">
        <v>23</v>
      </c>
      <c r="AC10" s="1356">
        <v>24</v>
      </c>
      <c r="AD10" s="1356">
        <v>25</v>
      </c>
      <c r="AE10" s="1356">
        <v>26</v>
      </c>
      <c r="AF10" s="1356">
        <v>27</v>
      </c>
      <c r="AG10" s="1356">
        <v>28</v>
      </c>
      <c r="AH10" s="1356">
        <v>29</v>
      </c>
      <c r="AI10" s="1356">
        <v>30</v>
      </c>
      <c r="AJ10" s="1356">
        <v>31</v>
      </c>
      <c r="AK10" s="2516"/>
      <c r="AL10" s="2516"/>
      <c r="AM10" s="2513"/>
      <c r="AN10" s="2516"/>
      <c r="AO10" s="2513"/>
      <c r="AP10" s="2513"/>
      <c r="AQ10" s="2513"/>
      <c r="AR10" s="2225" t="s">
        <v>3017</v>
      </c>
      <c r="AS10" s="2226">
        <v>0.42502770075994301</v>
      </c>
      <c r="AT10" s="2269">
        <v>5.4801866461956103E-2</v>
      </c>
      <c r="AV10" s="1234"/>
    </row>
    <row r="11" spans="1:50" s="51" customFormat="1" ht="30" customHeight="1">
      <c r="A11" s="2507" t="s">
        <v>1956</v>
      </c>
      <c r="B11" s="2508"/>
      <c r="C11" s="2508"/>
      <c r="D11" s="2509"/>
      <c r="E11" s="2514"/>
      <c r="F11" s="1356" t="s">
        <v>1959</v>
      </c>
      <c r="G11" s="1356" t="s">
        <v>1957</v>
      </c>
      <c r="H11" s="1356" t="s">
        <v>1958</v>
      </c>
      <c r="I11" s="1356" t="s">
        <v>1959</v>
      </c>
      <c r="J11" s="1356" t="s">
        <v>1957</v>
      </c>
      <c r="K11" s="1356" t="s">
        <v>1958</v>
      </c>
      <c r="L11" s="1356" t="s">
        <v>1959</v>
      </c>
      <c r="M11" s="1356" t="s">
        <v>1957</v>
      </c>
      <c r="N11" s="1356" t="s">
        <v>1958</v>
      </c>
      <c r="O11" s="1356" t="s">
        <v>1959</v>
      </c>
      <c r="P11" s="1356" t="s">
        <v>1957</v>
      </c>
      <c r="Q11" s="1356" t="s">
        <v>1958</v>
      </c>
      <c r="R11" s="1356" t="s">
        <v>1959</v>
      </c>
      <c r="S11" s="1356" t="s">
        <v>1957</v>
      </c>
      <c r="T11" s="1356" t="s">
        <v>1958</v>
      </c>
      <c r="U11" s="1356" t="s">
        <v>1959</v>
      </c>
      <c r="V11" s="1356" t="s">
        <v>1957</v>
      </c>
      <c r="W11" s="1356" t="s">
        <v>1958</v>
      </c>
      <c r="X11" s="1356" t="s">
        <v>1959</v>
      </c>
      <c r="Y11" s="1356" t="s">
        <v>1957</v>
      </c>
      <c r="Z11" s="1356" t="s">
        <v>1958</v>
      </c>
      <c r="AA11" s="1356" t="s">
        <v>1959</v>
      </c>
      <c r="AB11" s="1356" t="s">
        <v>1957</v>
      </c>
      <c r="AC11" s="1356" t="s">
        <v>1958</v>
      </c>
      <c r="AD11" s="1356" t="s">
        <v>1959</v>
      </c>
      <c r="AE11" s="1356" t="s">
        <v>1957</v>
      </c>
      <c r="AF11" s="1356" t="s">
        <v>1958</v>
      </c>
      <c r="AG11" s="1356" t="s">
        <v>1959</v>
      </c>
      <c r="AH11" s="1356" t="s">
        <v>1957</v>
      </c>
      <c r="AI11" s="1356" t="s">
        <v>1958</v>
      </c>
      <c r="AJ11" s="1356" t="s">
        <v>1959</v>
      </c>
      <c r="AK11" s="2516"/>
      <c r="AL11" s="2516"/>
      <c r="AM11" s="2514"/>
      <c r="AN11" s="2516"/>
      <c r="AO11" s="2514"/>
      <c r="AP11" s="2514"/>
      <c r="AQ11" s="2514"/>
      <c r="AR11" s="2227" t="s">
        <v>3018</v>
      </c>
      <c r="AS11" s="2226">
        <v>0.43569026509181402</v>
      </c>
      <c r="AT11" s="2269">
        <v>4.0575403491982298E-2</v>
      </c>
      <c r="AV11" s="1035"/>
      <c r="AX11" s="1035"/>
    </row>
    <row r="12" spans="1:50" s="1022" customFormat="1" ht="19.149999999999999" customHeight="1" outlineLevel="1">
      <c r="A12" s="1364" t="s">
        <v>2985</v>
      </c>
      <c r="B12" s="1365"/>
      <c r="C12" s="1358"/>
      <c r="D12" s="1358"/>
      <c r="E12" s="1352"/>
      <c r="F12" s="1027">
        <f t="shared" ref="F12:AK12" si="0">SUM(F14:F97)</f>
        <v>8361</v>
      </c>
      <c r="G12" s="1027">
        <f t="shared" si="0"/>
        <v>12810</v>
      </c>
      <c r="H12" s="1027">
        <f t="shared" si="0"/>
        <v>11535</v>
      </c>
      <c r="I12" s="1027">
        <f t="shared" si="0"/>
        <v>9842</v>
      </c>
      <c r="J12" s="1027">
        <f t="shared" si="0"/>
        <v>7910</v>
      </c>
      <c r="K12" s="1027">
        <f t="shared" si="0"/>
        <v>11372</v>
      </c>
      <c r="L12" s="1027">
        <f t="shared" si="0"/>
        <v>11376</v>
      </c>
      <c r="M12" s="1027">
        <f t="shared" si="0"/>
        <v>11150</v>
      </c>
      <c r="N12" s="1027">
        <f t="shared" si="0"/>
        <v>6715</v>
      </c>
      <c r="O12" s="1027">
        <f t="shared" si="0"/>
        <v>13812</v>
      </c>
      <c r="P12" s="1027">
        <f t="shared" si="0"/>
        <v>13197</v>
      </c>
      <c r="Q12" s="1027">
        <f t="shared" si="0"/>
        <v>13496</v>
      </c>
      <c r="R12" s="1027">
        <f t="shared" si="0"/>
        <v>9062</v>
      </c>
      <c r="S12" s="1027">
        <f t="shared" si="0"/>
        <v>12357</v>
      </c>
      <c r="T12" s="1027">
        <f t="shared" si="0"/>
        <v>13007</v>
      </c>
      <c r="U12" s="1027">
        <f t="shared" si="0"/>
        <v>12965</v>
      </c>
      <c r="V12" s="1027">
        <f t="shared" si="0"/>
        <v>7403</v>
      </c>
      <c r="W12" s="1027">
        <f t="shared" si="0"/>
        <v>13265</v>
      </c>
      <c r="X12" s="1027">
        <f t="shared" si="0"/>
        <v>13269</v>
      </c>
      <c r="Y12" s="1027">
        <f t="shared" si="0"/>
        <v>12361</v>
      </c>
      <c r="Z12" s="1027">
        <f t="shared" si="0"/>
        <v>9558</v>
      </c>
      <c r="AA12" s="1027">
        <f t="shared" si="0"/>
        <v>11274</v>
      </c>
      <c r="AB12" s="1027">
        <f t="shared" si="0"/>
        <v>10979</v>
      </c>
      <c r="AC12" s="1027">
        <f t="shared" si="0"/>
        <v>11301</v>
      </c>
      <c r="AD12" s="1027">
        <f t="shared" si="0"/>
        <v>6368</v>
      </c>
      <c r="AE12" s="1027">
        <f t="shared" si="0"/>
        <v>9759</v>
      </c>
      <c r="AF12" s="1027">
        <f t="shared" si="0"/>
        <v>10983</v>
      </c>
      <c r="AG12" s="1027">
        <f t="shared" si="0"/>
        <v>10845</v>
      </c>
      <c r="AH12" s="1027">
        <f t="shared" si="0"/>
        <v>7346</v>
      </c>
      <c r="AI12" s="1027">
        <f t="shared" si="0"/>
        <v>11539</v>
      </c>
      <c r="AJ12" s="1027">
        <f t="shared" si="0"/>
        <v>11686</v>
      </c>
      <c r="AK12" s="1370">
        <f t="shared" si="0"/>
        <v>336903</v>
      </c>
      <c r="AL12" s="1370">
        <f>SUM(AL14:AL97)</f>
        <v>143193.10746912705</v>
      </c>
      <c r="AM12" s="1370">
        <f t="shared" ref="AM12:AO12" si="1">SUM(AM14:AM97)</f>
        <v>336903</v>
      </c>
      <c r="AN12" s="1370">
        <f t="shared" si="1"/>
        <v>18462.913216632398</v>
      </c>
      <c r="AO12" s="1370">
        <f t="shared" si="1"/>
        <v>161656.02068575946</v>
      </c>
      <c r="AP12" s="1370"/>
      <c r="AQ12" s="1370">
        <f>SUM(AQ14:AQ97)</f>
        <v>134761.20000000001</v>
      </c>
      <c r="AR12" s="1370">
        <f>SUM(AR14:AR97)</f>
        <v>8431.9074691270707</v>
      </c>
      <c r="AS12" s="1034"/>
      <c r="AV12" s="1035"/>
      <c r="AX12" s="1035"/>
    </row>
    <row r="13" spans="1:50" s="1022" customFormat="1" ht="19.149999999999999" hidden="1" customHeight="1" outlineLevel="1">
      <c r="A13" s="1409"/>
      <c r="B13" s="1410"/>
      <c r="C13" s="1411"/>
      <c r="D13" s="1411"/>
      <c r="E13" s="1412"/>
      <c r="F13" s="1413"/>
      <c r="G13" s="1413" t="e">
        <f>IF('sản lượng'!$Q$192:$S$192,8,IF('sản lượng'!$Q$191:$S$191&gt;10,8,IF(E&gt;5,9,IF(E14,10,IF(E12&lt;50,11,12)))))/10</f>
        <v>#VALUE!</v>
      </c>
      <c r="H13" s="1413"/>
      <c r="I13" s="1413"/>
      <c r="J13" s="1413"/>
      <c r="K13" s="1413"/>
      <c r="L13" s="1413"/>
      <c r="M13" s="1413"/>
      <c r="N13" s="1413"/>
      <c r="O13" s="1413"/>
      <c r="P13" s="1413"/>
      <c r="Q13" s="1413"/>
      <c r="R13" s="1413"/>
      <c r="S13" s="1413"/>
      <c r="T13" s="1413"/>
      <c r="U13" s="1413"/>
      <c r="V13" s="1413"/>
      <c r="W13" s="1413"/>
      <c r="X13" s="1413"/>
      <c r="Y13" s="1413"/>
      <c r="Z13" s="1413"/>
      <c r="AA13" s="1413"/>
      <c r="AB13" s="1413"/>
      <c r="AC13" s="1413"/>
      <c r="AD13" s="1413"/>
      <c r="AE13" s="1413"/>
      <c r="AF13" s="1413"/>
      <c r="AG13" s="1413"/>
      <c r="AH13" s="1413"/>
      <c r="AI13" s="1413"/>
      <c r="AJ13" s="1413"/>
      <c r="AK13" s="1414"/>
      <c r="AL13" s="1414"/>
      <c r="AM13" s="1414"/>
      <c r="AN13" s="1414"/>
      <c r="AO13" s="1414"/>
      <c r="AP13" s="1414"/>
      <c r="AQ13" s="1414"/>
      <c r="AR13" s="1414"/>
      <c r="AS13" s="1415"/>
      <c r="AV13" s="1035"/>
      <c r="AX13" s="1035"/>
    </row>
    <row r="14" spans="1:50" s="51" customFormat="1" ht="19.149999999999999" customHeight="1" outlineLevel="1">
      <c r="A14" s="1353">
        <v>1</v>
      </c>
      <c r="B14" s="1353">
        <v>1</v>
      </c>
      <c r="C14" s="1353" t="s">
        <v>3107</v>
      </c>
      <c r="D14" s="1361" t="str">
        <f>TONGHOPCONGDOI!C11</f>
        <v>T. Lê</v>
      </c>
      <c r="E14" s="1355"/>
      <c r="F14" s="1353">
        <v>160</v>
      </c>
      <c r="G14" s="1353">
        <v>188</v>
      </c>
      <c r="H14" s="1353">
        <v>152</v>
      </c>
      <c r="I14" s="1353">
        <v>138</v>
      </c>
      <c r="J14" s="1353">
        <v>77</v>
      </c>
      <c r="K14" s="1353">
        <v>0</v>
      </c>
      <c r="L14" s="1353">
        <v>159</v>
      </c>
      <c r="M14" s="1353">
        <v>177</v>
      </c>
      <c r="N14" s="1353">
        <v>100</v>
      </c>
      <c r="O14" s="1353">
        <v>244</v>
      </c>
      <c r="P14" s="1353">
        <v>174</v>
      </c>
      <c r="Q14" s="1353">
        <v>221</v>
      </c>
      <c r="R14" s="1353">
        <v>122</v>
      </c>
      <c r="S14" s="1353">
        <v>179</v>
      </c>
      <c r="T14" s="1353">
        <v>213</v>
      </c>
      <c r="U14" s="1353">
        <v>201</v>
      </c>
      <c r="V14" s="1353">
        <v>0</v>
      </c>
      <c r="W14" s="1353">
        <v>211</v>
      </c>
      <c r="X14" s="1353">
        <v>150</v>
      </c>
      <c r="Y14" s="1353">
        <v>208</v>
      </c>
      <c r="Z14" s="1353">
        <v>173</v>
      </c>
      <c r="AA14" s="1353">
        <v>182</v>
      </c>
      <c r="AB14" s="1353">
        <v>176</v>
      </c>
      <c r="AC14" s="1353">
        <v>175</v>
      </c>
      <c r="AD14" s="1353">
        <v>97</v>
      </c>
      <c r="AE14" s="1353">
        <v>165</v>
      </c>
      <c r="AF14" s="1353">
        <v>140</v>
      </c>
      <c r="AG14" s="1353">
        <v>166</v>
      </c>
      <c r="AH14" s="1353">
        <v>97</v>
      </c>
      <c r="AI14" s="1353">
        <v>153</v>
      </c>
      <c r="AJ14" s="1353">
        <v>118</v>
      </c>
      <c r="AK14" s="1355">
        <f>SUM(F14:AJ14)</f>
        <v>4716</v>
      </c>
      <c r="AL14" s="1355">
        <f t="shared" ref="AL14:AL45" si="2">AK14*$AS$10</f>
        <v>2004.4306367838913</v>
      </c>
      <c r="AM14" s="1831">
        <f>AK14</f>
        <v>4716</v>
      </c>
      <c r="AN14" s="1831">
        <f>AM14*$AT$10</f>
        <v>258.44560223458501</v>
      </c>
      <c r="AO14" s="1831">
        <f>AL14+AN14</f>
        <v>2262.8762390184761</v>
      </c>
      <c r="AP14" s="60" t="s">
        <v>1957</v>
      </c>
      <c r="AQ14" s="1355">
        <f t="shared" ref="AQ14:AQ45" si="3">+AK14*40%</f>
        <v>1886.4</v>
      </c>
      <c r="AR14" s="1378">
        <f t="shared" ref="AR14:AR45" si="4">+AL14-AQ14</f>
        <v>118.03063678389117</v>
      </c>
      <c r="AS14" s="1034"/>
      <c r="AV14" s="1035"/>
      <c r="AX14" s="1035"/>
    </row>
    <row r="15" spans="1:50" s="51" customFormat="1" ht="19.149999999999999" customHeight="1" outlineLevel="1">
      <c r="A15" s="1353">
        <v>2</v>
      </c>
      <c r="B15" s="1353">
        <v>2</v>
      </c>
      <c r="C15" s="1353" t="s">
        <v>3108</v>
      </c>
      <c r="D15" s="1361" t="str">
        <f>TONGHOPCONGDOI!C12</f>
        <v xml:space="preserve">Nang On Teng </v>
      </c>
      <c r="E15" s="1355"/>
      <c r="F15" s="1353">
        <v>0</v>
      </c>
      <c r="G15" s="1353">
        <v>159</v>
      </c>
      <c r="H15" s="1353">
        <v>191</v>
      </c>
      <c r="I15" s="1353">
        <v>0</v>
      </c>
      <c r="J15" s="1353">
        <v>131</v>
      </c>
      <c r="K15" s="1353">
        <v>135</v>
      </c>
      <c r="L15" s="1353">
        <v>0</v>
      </c>
      <c r="M15" s="1353">
        <v>178</v>
      </c>
      <c r="N15" s="1353">
        <v>0</v>
      </c>
      <c r="O15" s="1353">
        <v>180</v>
      </c>
      <c r="P15" s="1353">
        <v>121</v>
      </c>
      <c r="Q15" s="1353">
        <v>245</v>
      </c>
      <c r="R15" s="1353">
        <v>125</v>
      </c>
      <c r="S15" s="1353">
        <v>222</v>
      </c>
      <c r="T15" s="1353">
        <v>152</v>
      </c>
      <c r="U15" s="1353">
        <v>206</v>
      </c>
      <c r="V15" s="1353">
        <v>0</v>
      </c>
      <c r="W15" s="1353">
        <v>214</v>
      </c>
      <c r="X15" s="1353">
        <v>206</v>
      </c>
      <c r="Y15" s="1353">
        <v>0</v>
      </c>
      <c r="Z15" s="1353">
        <v>136</v>
      </c>
      <c r="AA15" s="1353">
        <v>193</v>
      </c>
      <c r="AB15" s="1353">
        <v>0</v>
      </c>
      <c r="AC15" s="1353">
        <v>176</v>
      </c>
      <c r="AD15" s="1353">
        <v>63</v>
      </c>
      <c r="AE15" s="1353">
        <v>0</v>
      </c>
      <c r="AF15" s="1353">
        <v>253</v>
      </c>
      <c r="AG15" s="1353">
        <v>154</v>
      </c>
      <c r="AH15" s="1353">
        <v>83</v>
      </c>
      <c r="AI15" s="1353">
        <v>129</v>
      </c>
      <c r="AJ15" s="1353">
        <v>158</v>
      </c>
      <c r="AK15" s="1355">
        <f t="shared" ref="AK15:AK78" si="5">SUM(F15:AJ15)</f>
        <v>3810</v>
      </c>
      <c r="AL15" s="1355">
        <f t="shared" si="2"/>
        <v>1619.3555398953829</v>
      </c>
      <c r="AM15" s="1831">
        <f t="shared" ref="AM15:AM78" si="6">AK15</f>
        <v>3810</v>
      </c>
      <c r="AN15" s="1831">
        <f t="shared" ref="AN15:AN78" si="7">AM15*$AT$10</f>
        <v>208.79511122005275</v>
      </c>
      <c r="AO15" s="1831">
        <f t="shared" ref="AO15:AO78" si="8">AL15+AN15</f>
        <v>1828.1506511154357</v>
      </c>
      <c r="AP15" s="60" t="s">
        <v>1959</v>
      </c>
      <c r="AQ15" s="1355">
        <f t="shared" si="3"/>
        <v>1524</v>
      </c>
      <c r="AR15" s="1378">
        <f t="shared" si="4"/>
        <v>95.35553989538289</v>
      </c>
      <c r="AS15" s="1034"/>
      <c r="AV15" s="1035"/>
      <c r="AX15" s="1035"/>
    </row>
    <row r="16" spans="1:50" s="51" customFormat="1" ht="19.149999999999999" customHeight="1" outlineLevel="1">
      <c r="A16" s="1353">
        <v>3</v>
      </c>
      <c r="B16" s="1353">
        <v>3</v>
      </c>
      <c r="C16" s="1353" t="s">
        <v>3109</v>
      </c>
      <c r="D16" s="1361" t="str">
        <f>TONGHOPCONGDOI!C13</f>
        <v>T. Đôn Ma</v>
      </c>
      <c r="E16" s="1355"/>
      <c r="F16" s="1353">
        <v>0</v>
      </c>
      <c r="G16" s="1353">
        <v>160</v>
      </c>
      <c r="H16" s="1353">
        <v>191</v>
      </c>
      <c r="I16" s="1353">
        <v>0</v>
      </c>
      <c r="J16" s="1353">
        <v>131</v>
      </c>
      <c r="K16" s="1353">
        <v>135</v>
      </c>
      <c r="L16" s="1353">
        <v>0</v>
      </c>
      <c r="M16" s="1353">
        <v>178</v>
      </c>
      <c r="N16" s="1353">
        <v>0</v>
      </c>
      <c r="O16" s="1353">
        <v>181</v>
      </c>
      <c r="P16" s="1353">
        <v>121</v>
      </c>
      <c r="Q16" s="1353">
        <v>245</v>
      </c>
      <c r="R16" s="1353">
        <v>125</v>
      </c>
      <c r="S16" s="1353">
        <v>223</v>
      </c>
      <c r="T16" s="1353">
        <v>153</v>
      </c>
      <c r="U16" s="1353">
        <v>207</v>
      </c>
      <c r="V16" s="1353">
        <v>0</v>
      </c>
      <c r="W16" s="1353">
        <v>213</v>
      </c>
      <c r="X16" s="1353">
        <v>206</v>
      </c>
      <c r="Y16" s="1353">
        <v>0</v>
      </c>
      <c r="Z16" s="1353">
        <v>136</v>
      </c>
      <c r="AA16" s="1353">
        <v>193</v>
      </c>
      <c r="AB16" s="1353">
        <v>0</v>
      </c>
      <c r="AC16" s="1353">
        <v>176</v>
      </c>
      <c r="AD16" s="1353">
        <v>64</v>
      </c>
      <c r="AE16" s="1353">
        <v>0</v>
      </c>
      <c r="AF16" s="1353">
        <v>253</v>
      </c>
      <c r="AG16" s="1353">
        <v>154</v>
      </c>
      <c r="AH16" s="1353">
        <v>84</v>
      </c>
      <c r="AI16" s="1353">
        <v>130</v>
      </c>
      <c r="AJ16" s="1353">
        <v>159</v>
      </c>
      <c r="AK16" s="1355">
        <f t="shared" si="5"/>
        <v>3818</v>
      </c>
      <c r="AL16" s="1355">
        <f t="shared" si="2"/>
        <v>1622.7557615014623</v>
      </c>
      <c r="AM16" s="1831">
        <f t="shared" si="6"/>
        <v>3818</v>
      </c>
      <c r="AN16" s="1831">
        <f t="shared" si="7"/>
        <v>209.23352615174841</v>
      </c>
      <c r="AO16" s="1831">
        <f t="shared" si="8"/>
        <v>1831.9892876532108</v>
      </c>
      <c r="AP16" s="60" t="s">
        <v>1959</v>
      </c>
      <c r="AQ16" s="1355">
        <f t="shared" si="3"/>
        <v>1527.2</v>
      </c>
      <c r="AR16" s="1378">
        <f t="shared" si="4"/>
        <v>95.555761501462257</v>
      </c>
      <c r="AS16" s="1034"/>
      <c r="AV16" s="1035"/>
      <c r="AX16" s="1035"/>
    </row>
    <row r="17" spans="1:50" s="51" customFormat="1" ht="19.149999999999999" customHeight="1" outlineLevel="1">
      <c r="A17" s="1353">
        <v>4</v>
      </c>
      <c r="B17" s="1353">
        <v>4</v>
      </c>
      <c r="C17" s="1353" t="s">
        <v>3110</v>
      </c>
      <c r="D17" s="1361" t="str">
        <f>TONGHOPCONGDOI!C14</f>
        <v>N. La Ty</v>
      </c>
      <c r="E17" s="1355"/>
      <c r="F17" s="1353">
        <v>0</v>
      </c>
      <c r="G17" s="1353">
        <v>249</v>
      </c>
      <c r="H17" s="1353">
        <v>137</v>
      </c>
      <c r="I17" s="1353">
        <v>130</v>
      </c>
      <c r="J17" s="1353">
        <v>209</v>
      </c>
      <c r="K17" s="1353">
        <v>140</v>
      </c>
      <c r="L17" s="1353">
        <v>126</v>
      </c>
      <c r="M17" s="1353">
        <v>135</v>
      </c>
      <c r="N17" s="1353">
        <v>130</v>
      </c>
      <c r="O17" s="1353">
        <v>209</v>
      </c>
      <c r="P17" s="1353">
        <v>155</v>
      </c>
      <c r="Q17" s="1353">
        <v>195</v>
      </c>
      <c r="R17" s="1353">
        <v>117</v>
      </c>
      <c r="S17" s="1353">
        <v>175</v>
      </c>
      <c r="T17" s="1353">
        <v>143</v>
      </c>
      <c r="U17" s="1353">
        <v>151</v>
      </c>
      <c r="V17" s="1353">
        <v>0</v>
      </c>
      <c r="W17" s="1353">
        <v>246</v>
      </c>
      <c r="X17" s="1353">
        <v>194</v>
      </c>
      <c r="Y17" s="1353">
        <v>160</v>
      </c>
      <c r="Z17" s="1353">
        <v>220</v>
      </c>
      <c r="AA17" s="1353">
        <v>180</v>
      </c>
      <c r="AB17" s="1353">
        <v>167</v>
      </c>
      <c r="AC17" s="1353">
        <v>160</v>
      </c>
      <c r="AD17" s="1353">
        <v>105</v>
      </c>
      <c r="AE17" s="1353">
        <v>156</v>
      </c>
      <c r="AF17" s="1353">
        <v>156</v>
      </c>
      <c r="AG17" s="1353">
        <v>120</v>
      </c>
      <c r="AH17" s="1353">
        <v>0</v>
      </c>
      <c r="AI17" s="1353">
        <v>120</v>
      </c>
      <c r="AJ17" s="1353">
        <v>120</v>
      </c>
      <c r="AK17" s="1355">
        <f t="shared" si="5"/>
        <v>4505</v>
      </c>
      <c r="AL17" s="1355">
        <f t="shared" si="2"/>
        <v>1914.7497919235432</v>
      </c>
      <c r="AM17" s="1831">
        <f t="shared" si="6"/>
        <v>4505</v>
      </c>
      <c r="AN17" s="1831">
        <f t="shared" si="7"/>
        <v>246.88240841111224</v>
      </c>
      <c r="AO17" s="1831">
        <f t="shared" si="8"/>
        <v>2161.6322003346554</v>
      </c>
      <c r="AP17" s="60" t="s">
        <v>1959</v>
      </c>
      <c r="AQ17" s="1355">
        <f t="shared" si="3"/>
        <v>1802</v>
      </c>
      <c r="AR17" s="1378">
        <f t="shared" si="4"/>
        <v>112.74979192354317</v>
      </c>
      <c r="AS17" s="1034"/>
      <c r="AV17" s="1035"/>
      <c r="AX17" s="1035"/>
    </row>
    <row r="18" spans="1:50" s="51" customFormat="1" ht="19.149999999999999" customHeight="1" outlineLevel="1">
      <c r="A18" s="1353">
        <v>5</v>
      </c>
      <c r="B18" s="1353">
        <v>5</v>
      </c>
      <c r="C18" s="1353" t="s">
        <v>3111</v>
      </c>
      <c r="D18" s="1361" t="str">
        <f>TONGHOPCONGDOI!C15</f>
        <v>Thong Say</v>
      </c>
      <c r="E18" s="1355"/>
      <c r="F18" s="1353">
        <v>114</v>
      </c>
      <c r="G18" s="1353">
        <v>144</v>
      </c>
      <c r="H18" s="1353">
        <v>167</v>
      </c>
      <c r="I18" s="1353">
        <v>71</v>
      </c>
      <c r="J18" s="1353">
        <v>85</v>
      </c>
      <c r="K18" s="1353">
        <v>88</v>
      </c>
      <c r="L18" s="1353">
        <v>107</v>
      </c>
      <c r="M18" s="1353">
        <v>0</v>
      </c>
      <c r="N18" s="1353">
        <v>92</v>
      </c>
      <c r="O18" s="1353">
        <v>183</v>
      </c>
      <c r="P18" s="1353">
        <v>199</v>
      </c>
      <c r="Q18" s="1353">
        <v>174</v>
      </c>
      <c r="R18" s="1353">
        <v>89</v>
      </c>
      <c r="S18" s="1353">
        <v>162</v>
      </c>
      <c r="T18" s="1353">
        <v>183</v>
      </c>
      <c r="U18" s="1353">
        <v>142</v>
      </c>
      <c r="V18" s="1353">
        <v>96</v>
      </c>
      <c r="W18" s="1353">
        <v>176</v>
      </c>
      <c r="X18" s="1353">
        <v>189</v>
      </c>
      <c r="Y18" s="1353">
        <v>144</v>
      </c>
      <c r="Z18" s="1353">
        <v>90</v>
      </c>
      <c r="AA18" s="1353">
        <v>159</v>
      </c>
      <c r="AB18" s="1353">
        <v>159</v>
      </c>
      <c r="AC18" s="1353">
        <v>106</v>
      </c>
      <c r="AD18" s="1353">
        <v>105</v>
      </c>
      <c r="AE18" s="1353">
        <v>119</v>
      </c>
      <c r="AF18" s="1353">
        <v>130</v>
      </c>
      <c r="AG18" s="1353">
        <v>113</v>
      </c>
      <c r="AH18" s="1353">
        <v>86</v>
      </c>
      <c r="AI18" s="1353">
        <v>139</v>
      </c>
      <c r="AJ18" s="1353">
        <v>130</v>
      </c>
      <c r="AK18" s="1355">
        <f t="shared" si="5"/>
        <v>3941</v>
      </c>
      <c r="AL18" s="1355">
        <f t="shared" si="2"/>
        <v>1675.0341686949355</v>
      </c>
      <c r="AM18" s="1831">
        <f t="shared" si="6"/>
        <v>3941</v>
      </c>
      <c r="AN18" s="1831">
        <f t="shared" si="7"/>
        <v>215.97415572656899</v>
      </c>
      <c r="AO18" s="1831">
        <f t="shared" si="8"/>
        <v>1891.0083244215045</v>
      </c>
      <c r="AP18" s="60" t="s">
        <v>1957</v>
      </c>
      <c r="AQ18" s="1355">
        <f t="shared" si="3"/>
        <v>1576.4</v>
      </c>
      <c r="AR18" s="1378">
        <f t="shared" si="4"/>
        <v>98.634168694935397</v>
      </c>
      <c r="AS18" s="1034"/>
      <c r="AV18" s="1035"/>
      <c r="AX18" s="1035"/>
    </row>
    <row r="19" spans="1:50" s="51" customFormat="1" ht="19.149999999999999" customHeight="1" outlineLevel="1">
      <c r="A19" s="1353">
        <v>6</v>
      </c>
      <c r="B19" s="1353">
        <v>6</v>
      </c>
      <c r="C19" s="1353" t="s">
        <v>3112</v>
      </c>
      <c r="D19" s="1361" t="str">
        <f>TONGHOPCONGDOI!C16</f>
        <v>Phon Xa Văn</v>
      </c>
      <c r="E19" s="1355"/>
      <c r="F19" s="1353">
        <v>98</v>
      </c>
      <c r="G19" s="1353">
        <v>183</v>
      </c>
      <c r="H19" s="1353">
        <v>174</v>
      </c>
      <c r="I19" s="1353">
        <v>125</v>
      </c>
      <c r="J19" s="1353">
        <v>80</v>
      </c>
      <c r="K19" s="1353">
        <v>157</v>
      </c>
      <c r="L19" s="1353">
        <v>175</v>
      </c>
      <c r="M19" s="1353">
        <v>130</v>
      </c>
      <c r="N19" s="1353">
        <v>88</v>
      </c>
      <c r="O19" s="1353">
        <v>193</v>
      </c>
      <c r="P19" s="1353">
        <v>201</v>
      </c>
      <c r="Q19" s="1353">
        <v>184</v>
      </c>
      <c r="R19" s="1353">
        <v>89</v>
      </c>
      <c r="S19" s="1353">
        <v>175</v>
      </c>
      <c r="T19" s="1353">
        <v>185</v>
      </c>
      <c r="U19" s="1353">
        <v>158</v>
      </c>
      <c r="V19" s="1353">
        <v>89</v>
      </c>
      <c r="W19" s="1353">
        <v>175</v>
      </c>
      <c r="X19" s="1353">
        <v>173</v>
      </c>
      <c r="Y19" s="1353">
        <v>140</v>
      </c>
      <c r="Z19" s="1353">
        <v>105</v>
      </c>
      <c r="AA19" s="1353">
        <v>153</v>
      </c>
      <c r="AB19" s="1353">
        <v>154</v>
      </c>
      <c r="AC19" s="1353">
        <v>131</v>
      </c>
      <c r="AD19" s="1353">
        <v>72</v>
      </c>
      <c r="AE19" s="1353">
        <v>132</v>
      </c>
      <c r="AF19" s="1353">
        <v>147</v>
      </c>
      <c r="AG19" s="1353">
        <v>116</v>
      </c>
      <c r="AH19" s="1353">
        <v>95</v>
      </c>
      <c r="AI19" s="1353">
        <v>185</v>
      </c>
      <c r="AJ19" s="1353">
        <v>161</v>
      </c>
      <c r="AK19" s="1355">
        <f t="shared" si="5"/>
        <v>4423</v>
      </c>
      <c r="AL19" s="1355">
        <f t="shared" si="2"/>
        <v>1879.8975204612279</v>
      </c>
      <c r="AM19" s="1831">
        <f t="shared" si="6"/>
        <v>4423</v>
      </c>
      <c r="AN19" s="1831">
        <f t="shared" si="7"/>
        <v>242.38865536123186</v>
      </c>
      <c r="AO19" s="1831">
        <f t="shared" si="8"/>
        <v>2122.2861758224599</v>
      </c>
      <c r="AP19" s="60" t="s">
        <v>1959</v>
      </c>
      <c r="AQ19" s="1355">
        <f t="shared" si="3"/>
        <v>1769.2</v>
      </c>
      <c r="AR19" s="1378">
        <f t="shared" si="4"/>
        <v>110.6975204612279</v>
      </c>
      <c r="AS19" s="1034"/>
      <c r="AV19" s="1035"/>
      <c r="AX19" s="1035"/>
    </row>
    <row r="20" spans="1:50" s="51" customFormat="1" ht="19.149999999999999" customHeight="1" outlineLevel="1">
      <c r="A20" s="1353">
        <v>7</v>
      </c>
      <c r="B20" s="1353">
        <v>7</v>
      </c>
      <c r="C20" s="1353" t="s">
        <v>3113</v>
      </c>
      <c r="D20" s="1361" t="str">
        <f>TONGHOPCONGDOI!C17</f>
        <v>N. Tỏi</v>
      </c>
      <c r="E20" s="1355"/>
      <c r="F20" s="1353">
        <v>144</v>
      </c>
      <c r="G20" s="1353">
        <v>199</v>
      </c>
      <c r="H20" s="1353">
        <v>175</v>
      </c>
      <c r="I20" s="1353">
        <v>139</v>
      </c>
      <c r="J20" s="1353">
        <v>120</v>
      </c>
      <c r="K20" s="1353">
        <v>150</v>
      </c>
      <c r="L20" s="1353">
        <v>146</v>
      </c>
      <c r="M20" s="1353">
        <v>153</v>
      </c>
      <c r="N20" s="1353">
        <v>0</v>
      </c>
      <c r="O20" s="1353">
        <v>174</v>
      </c>
      <c r="P20" s="1353">
        <v>179</v>
      </c>
      <c r="Q20" s="1353">
        <v>131</v>
      </c>
      <c r="R20" s="1353">
        <v>246</v>
      </c>
      <c r="S20" s="1353">
        <v>166</v>
      </c>
      <c r="T20" s="1353">
        <v>237</v>
      </c>
      <c r="U20" s="1353">
        <v>150</v>
      </c>
      <c r="V20" s="1353">
        <v>0</v>
      </c>
      <c r="W20" s="1353">
        <v>201</v>
      </c>
      <c r="X20" s="1353">
        <v>175</v>
      </c>
      <c r="Y20" s="1353">
        <v>0</v>
      </c>
      <c r="Z20" s="1353">
        <v>195</v>
      </c>
      <c r="AA20" s="1353">
        <v>0</v>
      </c>
      <c r="AB20" s="1353">
        <v>0</v>
      </c>
      <c r="AC20" s="1353">
        <v>131</v>
      </c>
      <c r="AD20" s="1353">
        <v>0</v>
      </c>
      <c r="AE20" s="1353">
        <v>0</v>
      </c>
      <c r="AF20" s="1353">
        <v>405</v>
      </c>
      <c r="AG20" s="1353">
        <v>142</v>
      </c>
      <c r="AH20" s="1353">
        <v>100</v>
      </c>
      <c r="AI20" s="1353">
        <v>59</v>
      </c>
      <c r="AJ20" s="1353">
        <v>123</v>
      </c>
      <c r="AK20" s="1355">
        <f t="shared" si="5"/>
        <v>4040</v>
      </c>
      <c r="AL20" s="1355">
        <f t="shared" si="2"/>
        <v>1717.1119110701698</v>
      </c>
      <c r="AM20" s="1831">
        <f t="shared" si="6"/>
        <v>4040</v>
      </c>
      <c r="AN20" s="1831">
        <f t="shared" si="7"/>
        <v>221.39954050630266</v>
      </c>
      <c r="AO20" s="1831">
        <f t="shared" si="8"/>
        <v>1938.5114515764724</v>
      </c>
      <c r="AP20" s="60" t="s">
        <v>1959</v>
      </c>
      <c r="AQ20" s="1355">
        <f t="shared" si="3"/>
        <v>1616</v>
      </c>
      <c r="AR20" s="1378">
        <f t="shared" si="4"/>
        <v>101.11191107016975</v>
      </c>
    </row>
    <row r="21" spans="1:50" s="51" customFormat="1" ht="19.149999999999999" customHeight="1" outlineLevel="1">
      <c r="A21" s="1353">
        <v>8</v>
      </c>
      <c r="B21" s="1353">
        <v>8</v>
      </c>
      <c r="C21" s="1353"/>
      <c r="D21" s="1361" t="str">
        <f>TONGHOPCONGDOI!C18</f>
        <v>Na Ly</v>
      </c>
      <c r="E21" s="1355"/>
      <c r="F21" s="1353">
        <v>0</v>
      </c>
      <c r="G21" s="1353">
        <v>155</v>
      </c>
      <c r="H21" s="1353">
        <v>208</v>
      </c>
      <c r="I21" s="1353">
        <v>152</v>
      </c>
      <c r="J21" s="1353">
        <v>208</v>
      </c>
      <c r="K21" s="1353">
        <v>136</v>
      </c>
      <c r="L21" s="1353">
        <v>203</v>
      </c>
      <c r="M21" s="1353">
        <v>140</v>
      </c>
      <c r="N21" s="1353">
        <v>108</v>
      </c>
      <c r="O21" s="1353">
        <v>163</v>
      </c>
      <c r="P21" s="1353">
        <v>247</v>
      </c>
      <c r="Q21" s="1353">
        <v>190</v>
      </c>
      <c r="R21" s="1353">
        <v>112</v>
      </c>
      <c r="S21" s="1353">
        <v>175</v>
      </c>
      <c r="T21" s="1353">
        <v>176</v>
      </c>
      <c r="U21" s="1353">
        <v>141</v>
      </c>
      <c r="V21" s="1353">
        <v>0</v>
      </c>
      <c r="W21" s="1353">
        <v>153</v>
      </c>
      <c r="X21" s="1353">
        <v>153</v>
      </c>
      <c r="Y21" s="1353">
        <v>169</v>
      </c>
      <c r="Z21" s="1353">
        <v>124</v>
      </c>
      <c r="AA21" s="1353">
        <v>136</v>
      </c>
      <c r="AB21" s="1353">
        <v>224</v>
      </c>
      <c r="AC21" s="1353">
        <v>144</v>
      </c>
      <c r="AD21" s="1353">
        <v>114</v>
      </c>
      <c r="AE21" s="1353">
        <v>162</v>
      </c>
      <c r="AF21" s="1353">
        <v>173</v>
      </c>
      <c r="AG21" s="1353">
        <v>180</v>
      </c>
      <c r="AH21" s="1353">
        <v>126</v>
      </c>
      <c r="AI21" s="1353">
        <v>191</v>
      </c>
      <c r="AJ21" s="1353">
        <v>191</v>
      </c>
      <c r="AK21" s="1355">
        <f t="shared" si="5"/>
        <v>4754</v>
      </c>
      <c r="AL21" s="1355">
        <f t="shared" si="2"/>
        <v>2020.581689412769</v>
      </c>
      <c r="AM21" s="1831">
        <f t="shared" si="6"/>
        <v>4754</v>
      </c>
      <c r="AN21" s="1831">
        <f t="shared" si="7"/>
        <v>260.52807316013929</v>
      </c>
      <c r="AO21" s="1831">
        <f t="shared" si="8"/>
        <v>2281.1097625729085</v>
      </c>
      <c r="AP21" s="60" t="s">
        <v>1959</v>
      </c>
      <c r="AQ21" s="1355">
        <f t="shared" si="3"/>
        <v>1901.6000000000001</v>
      </c>
      <c r="AR21" s="1378">
        <f t="shared" si="4"/>
        <v>118.9816894127689</v>
      </c>
    </row>
    <row r="22" spans="1:50" s="51" customFormat="1" ht="19.149999999999999" customHeight="1" outlineLevel="1">
      <c r="A22" s="1353">
        <v>9</v>
      </c>
      <c r="B22" s="1353">
        <v>9</v>
      </c>
      <c r="C22" s="1353" t="s">
        <v>3114</v>
      </c>
      <c r="D22" s="1361" t="str">
        <f>TONGHOPCONGDOI!C19</f>
        <v>Thảo Lẹ</v>
      </c>
      <c r="E22" s="1355"/>
      <c r="F22" s="1353">
        <v>140</v>
      </c>
      <c r="G22" s="1353">
        <v>145</v>
      </c>
      <c r="H22" s="1353">
        <v>163</v>
      </c>
      <c r="I22" s="1353">
        <v>153</v>
      </c>
      <c r="J22" s="1353">
        <v>115</v>
      </c>
      <c r="K22" s="1353">
        <v>139</v>
      </c>
      <c r="L22" s="1353">
        <v>215</v>
      </c>
      <c r="M22" s="1353">
        <v>144</v>
      </c>
      <c r="N22" s="1353">
        <v>0</v>
      </c>
      <c r="O22" s="1353">
        <v>242</v>
      </c>
      <c r="P22" s="1353">
        <v>242</v>
      </c>
      <c r="Q22" s="1353">
        <v>212</v>
      </c>
      <c r="R22" s="1353">
        <v>246</v>
      </c>
      <c r="S22" s="1353">
        <v>222</v>
      </c>
      <c r="T22" s="1353">
        <v>254</v>
      </c>
      <c r="U22" s="1353">
        <v>194</v>
      </c>
      <c r="V22" s="1353">
        <v>126</v>
      </c>
      <c r="W22" s="1353">
        <v>170</v>
      </c>
      <c r="X22" s="1353">
        <v>178</v>
      </c>
      <c r="Y22" s="1353">
        <v>207</v>
      </c>
      <c r="Z22" s="1353">
        <v>128</v>
      </c>
      <c r="AA22" s="1353">
        <v>218</v>
      </c>
      <c r="AB22" s="1353">
        <v>219</v>
      </c>
      <c r="AC22" s="1353">
        <v>157</v>
      </c>
      <c r="AD22" s="1353">
        <v>129</v>
      </c>
      <c r="AE22" s="1353">
        <v>156</v>
      </c>
      <c r="AF22" s="1353">
        <v>229</v>
      </c>
      <c r="AG22" s="1353">
        <v>200</v>
      </c>
      <c r="AH22" s="1353">
        <v>140</v>
      </c>
      <c r="AI22" s="1353">
        <v>166</v>
      </c>
      <c r="AJ22" s="1353">
        <v>138</v>
      </c>
      <c r="AK22" s="1355">
        <f t="shared" si="5"/>
        <v>5387</v>
      </c>
      <c r="AL22" s="1355">
        <f t="shared" si="2"/>
        <v>2289.6242239938128</v>
      </c>
      <c r="AM22" s="1831">
        <f t="shared" si="6"/>
        <v>5387</v>
      </c>
      <c r="AN22" s="1831">
        <f t="shared" si="7"/>
        <v>295.21765463055755</v>
      </c>
      <c r="AO22" s="1831">
        <f t="shared" si="8"/>
        <v>2584.8418786243706</v>
      </c>
      <c r="AP22" s="60" t="s">
        <v>1957</v>
      </c>
      <c r="AQ22" s="1355">
        <f t="shared" si="3"/>
        <v>2154.8000000000002</v>
      </c>
      <c r="AR22" s="1378">
        <f t="shared" si="4"/>
        <v>134.82422399381267</v>
      </c>
    </row>
    <row r="23" spans="1:50" s="51" customFormat="1" ht="19.149999999999999" customHeight="1" outlineLevel="1">
      <c r="A23" s="1353">
        <v>10</v>
      </c>
      <c r="B23" s="1353">
        <v>10</v>
      </c>
      <c r="C23" s="1353" t="s">
        <v>3115</v>
      </c>
      <c r="D23" s="1361" t="str">
        <f>TONGHOPCONGDOI!C20</f>
        <v>N. Đeng (2)</v>
      </c>
      <c r="E23" s="1355"/>
      <c r="F23" s="1353">
        <v>120</v>
      </c>
      <c r="G23" s="1353">
        <v>163</v>
      </c>
      <c r="H23" s="1353">
        <v>136</v>
      </c>
      <c r="I23" s="1353">
        <v>132</v>
      </c>
      <c r="J23" s="1353">
        <v>96</v>
      </c>
      <c r="K23" s="1353">
        <v>163</v>
      </c>
      <c r="L23" s="1353">
        <v>115</v>
      </c>
      <c r="M23" s="1353">
        <v>140</v>
      </c>
      <c r="N23" s="1353">
        <v>99</v>
      </c>
      <c r="O23" s="1353">
        <v>179</v>
      </c>
      <c r="P23" s="1353">
        <v>123</v>
      </c>
      <c r="Q23" s="1353">
        <v>202</v>
      </c>
      <c r="R23" s="1353">
        <v>113</v>
      </c>
      <c r="S23" s="1353">
        <v>154</v>
      </c>
      <c r="T23" s="1353">
        <v>165</v>
      </c>
      <c r="U23" s="1353">
        <v>161</v>
      </c>
      <c r="V23" s="1353">
        <v>116</v>
      </c>
      <c r="W23" s="1353">
        <v>162</v>
      </c>
      <c r="X23" s="1353">
        <v>149</v>
      </c>
      <c r="Y23" s="1353">
        <v>162</v>
      </c>
      <c r="Z23" s="1353">
        <v>107</v>
      </c>
      <c r="AA23" s="1353">
        <v>141</v>
      </c>
      <c r="AB23" s="1353">
        <v>150</v>
      </c>
      <c r="AC23" s="1353">
        <v>131</v>
      </c>
      <c r="AD23" s="1353">
        <v>97</v>
      </c>
      <c r="AE23" s="1353">
        <v>128</v>
      </c>
      <c r="AF23" s="1353">
        <v>152</v>
      </c>
      <c r="AG23" s="1353">
        <v>177</v>
      </c>
      <c r="AH23" s="1353">
        <v>112</v>
      </c>
      <c r="AI23" s="1353">
        <v>161</v>
      </c>
      <c r="AJ23" s="1353">
        <v>153</v>
      </c>
      <c r="AK23" s="1355">
        <f t="shared" si="5"/>
        <v>4359</v>
      </c>
      <c r="AL23" s="1355">
        <f t="shared" si="2"/>
        <v>1852.6957476125915</v>
      </c>
      <c r="AM23" s="1831">
        <f t="shared" si="6"/>
        <v>4359</v>
      </c>
      <c r="AN23" s="1831">
        <f t="shared" si="7"/>
        <v>238.88133590766665</v>
      </c>
      <c r="AO23" s="1831">
        <f t="shared" si="8"/>
        <v>2091.5770835202584</v>
      </c>
      <c r="AP23" s="60" t="s">
        <v>1957</v>
      </c>
      <c r="AQ23" s="1355">
        <f t="shared" si="3"/>
        <v>1743.6000000000001</v>
      </c>
      <c r="AR23" s="1378">
        <f t="shared" si="4"/>
        <v>109.09574761259137</v>
      </c>
    </row>
    <row r="24" spans="1:50" s="51" customFormat="1" ht="19.149999999999999" customHeight="1" outlineLevel="1">
      <c r="A24" s="1353">
        <v>11</v>
      </c>
      <c r="B24" s="1353">
        <v>11</v>
      </c>
      <c r="C24" s="1353" t="s">
        <v>3116</v>
      </c>
      <c r="D24" s="1361" t="str">
        <f>TONGHOPCONGDOI!C21</f>
        <v>T. May</v>
      </c>
      <c r="E24" s="1355"/>
      <c r="F24" s="1353">
        <v>107</v>
      </c>
      <c r="G24" s="1353">
        <v>215</v>
      </c>
      <c r="H24" s="1353">
        <v>157</v>
      </c>
      <c r="I24" s="1353">
        <v>108</v>
      </c>
      <c r="J24" s="1353">
        <v>182</v>
      </c>
      <c r="K24" s="1353">
        <v>245</v>
      </c>
      <c r="L24" s="1353">
        <v>250</v>
      </c>
      <c r="M24" s="1353">
        <v>174</v>
      </c>
      <c r="N24" s="1353">
        <v>146</v>
      </c>
      <c r="O24" s="1353">
        <v>203</v>
      </c>
      <c r="P24" s="1353">
        <v>194</v>
      </c>
      <c r="Q24" s="1353">
        <v>166</v>
      </c>
      <c r="R24" s="1353">
        <v>0</v>
      </c>
      <c r="S24" s="1353">
        <v>261</v>
      </c>
      <c r="T24" s="1353">
        <v>261</v>
      </c>
      <c r="U24" s="1353">
        <v>188</v>
      </c>
      <c r="V24" s="1353">
        <v>248</v>
      </c>
      <c r="W24" s="1353">
        <v>163</v>
      </c>
      <c r="X24" s="1353">
        <v>145</v>
      </c>
      <c r="Y24" s="1353">
        <v>116</v>
      </c>
      <c r="Z24" s="1353">
        <v>147</v>
      </c>
      <c r="AA24" s="1353">
        <v>225</v>
      </c>
      <c r="AB24" s="1353">
        <v>221</v>
      </c>
      <c r="AC24" s="1353">
        <v>170</v>
      </c>
      <c r="AD24" s="1353">
        <v>82</v>
      </c>
      <c r="AE24" s="1353">
        <v>135</v>
      </c>
      <c r="AF24" s="1353">
        <v>142</v>
      </c>
      <c r="AG24" s="1353">
        <v>99</v>
      </c>
      <c r="AH24" s="1353">
        <v>183</v>
      </c>
      <c r="AI24" s="1353">
        <v>211</v>
      </c>
      <c r="AJ24" s="1353">
        <v>228</v>
      </c>
      <c r="AK24" s="1355">
        <f t="shared" si="5"/>
        <v>5372</v>
      </c>
      <c r="AL24" s="1355">
        <f t="shared" si="2"/>
        <v>2283.248808482414</v>
      </c>
      <c r="AM24" s="1831">
        <f t="shared" si="6"/>
        <v>5372</v>
      </c>
      <c r="AN24" s="1831">
        <f t="shared" si="7"/>
        <v>294.39562663362818</v>
      </c>
      <c r="AO24" s="1831">
        <f t="shared" si="8"/>
        <v>2577.6444351160421</v>
      </c>
      <c r="AP24" s="60" t="s">
        <v>1959</v>
      </c>
      <c r="AQ24" s="1355">
        <f t="shared" si="3"/>
        <v>2148.8000000000002</v>
      </c>
      <c r="AR24" s="1378">
        <f t="shared" si="4"/>
        <v>134.44880848241382</v>
      </c>
    </row>
    <row r="25" spans="1:50" s="51" customFormat="1" ht="19.149999999999999" customHeight="1" outlineLevel="1">
      <c r="A25" s="1353">
        <v>12</v>
      </c>
      <c r="B25" s="1353">
        <v>12</v>
      </c>
      <c r="C25" s="1353" t="s">
        <v>3117</v>
      </c>
      <c r="D25" s="1361" t="str">
        <f>TONGHOPCONGDOI!C22</f>
        <v>N. Bay</v>
      </c>
      <c r="E25" s="1355"/>
      <c r="F25" s="1353">
        <v>0</v>
      </c>
      <c r="G25" s="1353">
        <v>93</v>
      </c>
      <c r="H25" s="1353">
        <v>135</v>
      </c>
      <c r="I25" s="1353">
        <v>118</v>
      </c>
      <c r="J25" s="1353">
        <v>123</v>
      </c>
      <c r="K25" s="1353">
        <v>97</v>
      </c>
      <c r="L25" s="1353">
        <v>159</v>
      </c>
      <c r="M25" s="1353">
        <v>128</v>
      </c>
      <c r="N25" s="1353">
        <v>0</v>
      </c>
      <c r="O25" s="1353">
        <v>132</v>
      </c>
      <c r="P25" s="1353">
        <v>168</v>
      </c>
      <c r="Q25" s="1353">
        <v>132</v>
      </c>
      <c r="R25" s="1353">
        <v>94</v>
      </c>
      <c r="S25" s="1353">
        <v>110</v>
      </c>
      <c r="T25" s="1353">
        <v>137</v>
      </c>
      <c r="U25" s="1353">
        <v>123</v>
      </c>
      <c r="V25" s="1353">
        <v>0</v>
      </c>
      <c r="W25" s="1353">
        <v>0</v>
      </c>
      <c r="X25" s="1353">
        <v>187</v>
      </c>
      <c r="Y25" s="1353">
        <v>133</v>
      </c>
      <c r="Z25" s="1353">
        <v>79</v>
      </c>
      <c r="AA25" s="1353">
        <v>160</v>
      </c>
      <c r="AB25" s="1353">
        <v>166</v>
      </c>
      <c r="AC25" s="1353">
        <v>117</v>
      </c>
      <c r="AD25" s="1353">
        <v>0</v>
      </c>
      <c r="AE25" s="1353">
        <v>0</v>
      </c>
      <c r="AF25" s="1353">
        <v>116</v>
      </c>
      <c r="AG25" s="1353">
        <v>92</v>
      </c>
      <c r="AH25" s="1353">
        <v>0</v>
      </c>
      <c r="AI25" s="1353">
        <v>111</v>
      </c>
      <c r="AJ25" s="1353">
        <v>120</v>
      </c>
      <c r="AK25" s="1355">
        <f t="shared" si="5"/>
        <v>3030</v>
      </c>
      <c r="AL25" s="1355">
        <f t="shared" si="2"/>
        <v>1287.8339333026272</v>
      </c>
      <c r="AM25" s="1831">
        <f t="shared" si="6"/>
        <v>3030</v>
      </c>
      <c r="AN25" s="1831">
        <f t="shared" si="7"/>
        <v>166.049655379727</v>
      </c>
      <c r="AO25" s="1831">
        <f t="shared" si="8"/>
        <v>1453.8835886823542</v>
      </c>
      <c r="AP25" s="60" t="s">
        <v>1957</v>
      </c>
      <c r="AQ25" s="1355">
        <f t="shared" si="3"/>
        <v>1212</v>
      </c>
      <c r="AR25" s="1378">
        <f t="shared" si="4"/>
        <v>75.833933302627202</v>
      </c>
    </row>
    <row r="26" spans="1:50" s="51" customFormat="1" ht="19.149999999999999" customHeight="1" outlineLevel="1">
      <c r="A26" s="1353">
        <v>13</v>
      </c>
      <c r="B26" s="1353">
        <v>13</v>
      </c>
      <c r="C26" s="1353" t="s">
        <v>3118</v>
      </c>
      <c r="D26" s="1361" t="str">
        <f>TONGHOPCONGDOI!C23</f>
        <v>T Núc</v>
      </c>
      <c r="E26" s="1355"/>
      <c r="F26" s="1353">
        <v>0</v>
      </c>
      <c r="G26" s="1353">
        <v>94</v>
      </c>
      <c r="H26" s="1353">
        <v>136</v>
      </c>
      <c r="I26" s="1353">
        <v>118</v>
      </c>
      <c r="J26" s="1353">
        <v>124</v>
      </c>
      <c r="K26" s="1353">
        <v>98</v>
      </c>
      <c r="L26" s="1353">
        <v>160</v>
      </c>
      <c r="M26" s="1353">
        <v>128</v>
      </c>
      <c r="N26" s="1353">
        <v>0</v>
      </c>
      <c r="O26" s="1353">
        <v>132</v>
      </c>
      <c r="P26" s="1353">
        <v>168</v>
      </c>
      <c r="Q26" s="1353">
        <v>133</v>
      </c>
      <c r="R26" s="1353">
        <v>95</v>
      </c>
      <c r="S26" s="1353">
        <v>110</v>
      </c>
      <c r="T26" s="1353">
        <v>138</v>
      </c>
      <c r="U26" s="1353">
        <v>123</v>
      </c>
      <c r="V26" s="1353">
        <v>0</v>
      </c>
      <c r="W26" s="1353">
        <v>0</v>
      </c>
      <c r="X26" s="1353">
        <v>188</v>
      </c>
      <c r="Y26" s="1353">
        <v>133</v>
      </c>
      <c r="Z26" s="1353">
        <v>79</v>
      </c>
      <c r="AA26" s="1353">
        <v>160</v>
      </c>
      <c r="AB26" s="1353">
        <v>166</v>
      </c>
      <c r="AC26" s="1353">
        <v>117</v>
      </c>
      <c r="AD26" s="1353">
        <v>0</v>
      </c>
      <c r="AE26" s="1353">
        <v>0</v>
      </c>
      <c r="AF26" s="1353">
        <v>116</v>
      </c>
      <c r="AG26" s="1353">
        <v>93</v>
      </c>
      <c r="AH26" s="1353">
        <v>0</v>
      </c>
      <c r="AI26" s="1353">
        <v>111</v>
      </c>
      <c r="AJ26" s="1353">
        <v>120</v>
      </c>
      <c r="AK26" s="1355">
        <f t="shared" si="5"/>
        <v>3040</v>
      </c>
      <c r="AL26" s="1355">
        <f t="shared" si="2"/>
        <v>1292.0842103102268</v>
      </c>
      <c r="AM26" s="1831">
        <f t="shared" si="6"/>
        <v>3040</v>
      </c>
      <c r="AN26" s="1831">
        <f t="shared" si="7"/>
        <v>166.59767404434655</v>
      </c>
      <c r="AO26" s="1831">
        <f t="shared" si="8"/>
        <v>1458.6818843545734</v>
      </c>
      <c r="AP26" s="60" t="s">
        <v>1957</v>
      </c>
      <c r="AQ26" s="1355">
        <f t="shared" si="3"/>
        <v>1216</v>
      </c>
      <c r="AR26" s="1378">
        <f t="shared" si="4"/>
        <v>76.084210310226808</v>
      </c>
    </row>
    <row r="27" spans="1:50" s="51" customFormat="1" ht="19.149999999999999" customHeight="1" outlineLevel="1">
      <c r="A27" s="1353">
        <v>14</v>
      </c>
      <c r="B27" s="1353">
        <v>14</v>
      </c>
      <c r="C27" s="1353" t="s">
        <v>3119</v>
      </c>
      <c r="D27" s="1361" t="str">
        <f>TONGHOPCONGDOI!C24</f>
        <v>T. Cô</v>
      </c>
      <c r="E27" s="1355"/>
      <c r="F27" s="1353">
        <v>98</v>
      </c>
      <c r="G27" s="1353">
        <v>183</v>
      </c>
      <c r="H27" s="1353">
        <v>174</v>
      </c>
      <c r="I27" s="1353">
        <v>125</v>
      </c>
      <c r="J27" s="1353">
        <v>80</v>
      </c>
      <c r="K27" s="1353">
        <v>157</v>
      </c>
      <c r="L27" s="1353">
        <v>175</v>
      </c>
      <c r="M27" s="1353">
        <v>130</v>
      </c>
      <c r="N27" s="1353">
        <v>88</v>
      </c>
      <c r="O27" s="1353">
        <v>193</v>
      </c>
      <c r="P27" s="1353">
        <v>205</v>
      </c>
      <c r="Q27" s="1353">
        <v>185</v>
      </c>
      <c r="R27" s="1353">
        <v>89</v>
      </c>
      <c r="S27" s="1353">
        <v>175</v>
      </c>
      <c r="T27" s="1353">
        <v>186</v>
      </c>
      <c r="U27" s="1353">
        <v>159</v>
      </c>
      <c r="V27" s="1353">
        <v>89</v>
      </c>
      <c r="W27" s="1353">
        <v>145</v>
      </c>
      <c r="X27" s="1353">
        <v>173</v>
      </c>
      <c r="Y27" s="1353">
        <v>139</v>
      </c>
      <c r="Z27" s="1353">
        <v>105</v>
      </c>
      <c r="AA27" s="1353">
        <v>153</v>
      </c>
      <c r="AB27" s="1353">
        <v>154</v>
      </c>
      <c r="AC27" s="1353">
        <v>131</v>
      </c>
      <c r="AD27" s="1353">
        <v>72</v>
      </c>
      <c r="AE27" s="1353">
        <v>132</v>
      </c>
      <c r="AF27" s="1353">
        <v>147</v>
      </c>
      <c r="AG27" s="1353">
        <v>116</v>
      </c>
      <c r="AH27" s="1353">
        <v>95</v>
      </c>
      <c r="AI27" s="1353">
        <v>185</v>
      </c>
      <c r="AJ27" s="1353">
        <v>161</v>
      </c>
      <c r="AK27" s="1355">
        <f t="shared" si="5"/>
        <v>4399</v>
      </c>
      <c r="AL27" s="1355">
        <f t="shared" si="2"/>
        <v>1869.6968556429892</v>
      </c>
      <c r="AM27" s="1831">
        <f t="shared" si="6"/>
        <v>4399</v>
      </c>
      <c r="AN27" s="1831">
        <f t="shared" si="7"/>
        <v>241.0734105661449</v>
      </c>
      <c r="AO27" s="1831">
        <f t="shared" si="8"/>
        <v>2110.7702662091342</v>
      </c>
      <c r="AP27" s="60" t="s">
        <v>1959</v>
      </c>
      <c r="AQ27" s="1355">
        <f t="shared" si="3"/>
        <v>1759.6000000000001</v>
      </c>
      <c r="AR27" s="1378">
        <f t="shared" si="4"/>
        <v>110.09685564298911</v>
      </c>
    </row>
    <row r="28" spans="1:50" s="51" customFormat="1" ht="19.149999999999999" customHeight="1" outlineLevel="1">
      <c r="A28" s="1353">
        <v>15</v>
      </c>
      <c r="B28" s="1353">
        <v>15</v>
      </c>
      <c r="C28" s="1353" t="s">
        <v>3120</v>
      </c>
      <c r="D28" s="1361" t="str">
        <f>TONGHOPCONGDOI!C25</f>
        <v>T. Nả</v>
      </c>
      <c r="E28" s="1355"/>
      <c r="F28" s="1353">
        <v>115</v>
      </c>
      <c r="G28" s="1353">
        <v>155</v>
      </c>
      <c r="H28" s="1353">
        <v>154</v>
      </c>
      <c r="I28" s="1353">
        <v>126</v>
      </c>
      <c r="J28" s="1353">
        <v>0</v>
      </c>
      <c r="K28" s="1353">
        <v>151</v>
      </c>
      <c r="L28" s="1353">
        <v>179</v>
      </c>
      <c r="M28" s="1353">
        <v>140</v>
      </c>
      <c r="N28" s="1353">
        <v>180</v>
      </c>
      <c r="O28" s="1353">
        <v>161</v>
      </c>
      <c r="P28" s="1353">
        <v>194</v>
      </c>
      <c r="Q28" s="1353">
        <v>136</v>
      </c>
      <c r="R28" s="1353">
        <v>97</v>
      </c>
      <c r="S28" s="1353">
        <v>153</v>
      </c>
      <c r="T28" s="1353">
        <v>160</v>
      </c>
      <c r="U28" s="1353">
        <v>137</v>
      </c>
      <c r="V28" s="1353">
        <v>88</v>
      </c>
      <c r="W28" s="1353">
        <v>149</v>
      </c>
      <c r="X28" s="1353">
        <v>175</v>
      </c>
      <c r="Y28" s="1353">
        <v>124</v>
      </c>
      <c r="Z28" s="1353">
        <v>81</v>
      </c>
      <c r="AA28" s="1353">
        <v>139</v>
      </c>
      <c r="AB28" s="1353">
        <v>141</v>
      </c>
      <c r="AC28" s="1353">
        <v>162</v>
      </c>
      <c r="AD28" s="1353">
        <v>88</v>
      </c>
      <c r="AE28" s="1353">
        <v>146</v>
      </c>
      <c r="AF28" s="1353">
        <v>134</v>
      </c>
      <c r="AG28" s="1353">
        <v>138</v>
      </c>
      <c r="AH28" s="1353">
        <v>113</v>
      </c>
      <c r="AI28" s="1353">
        <v>142</v>
      </c>
      <c r="AJ28" s="1353">
        <v>217</v>
      </c>
      <c r="AK28" s="1355">
        <f t="shared" si="5"/>
        <v>4275</v>
      </c>
      <c r="AL28" s="1355">
        <f t="shared" si="2"/>
        <v>1816.9934207487563</v>
      </c>
      <c r="AM28" s="1831">
        <f t="shared" si="6"/>
        <v>4275</v>
      </c>
      <c r="AN28" s="1831">
        <f t="shared" si="7"/>
        <v>234.27797912486233</v>
      </c>
      <c r="AO28" s="1831">
        <f t="shared" si="8"/>
        <v>2051.2713998736185</v>
      </c>
      <c r="AP28" s="60" t="s">
        <v>1957</v>
      </c>
      <c r="AQ28" s="1355">
        <f t="shared" si="3"/>
        <v>1710</v>
      </c>
      <c r="AR28" s="1378">
        <f t="shared" si="4"/>
        <v>106.99342074875631</v>
      </c>
    </row>
    <row r="29" spans="1:50" s="51" customFormat="1" ht="19.149999999999999" customHeight="1" outlineLevel="1">
      <c r="A29" s="1353">
        <v>16</v>
      </c>
      <c r="B29" s="1353">
        <v>16</v>
      </c>
      <c r="C29" s="1353" t="s">
        <v>3121</v>
      </c>
      <c r="D29" s="1361" t="str">
        <f>TONGHOPCONGDOI!C26</f>
        <v>N. Túc</v>
      </c>
      <c r="E29" s="1355"/>
      <c r="F29" s="1353">
        <v>171</v>
      </c>
      <c r="G29" s="1353">
        <v>126</v>
      </c>
      <c r="H29" s="1353">
        <v>154</v>
      </c>
      <c r="I29" s="1353">
        <v>145</v>
      </c>
      <c r="J29" s="1353">
        <v>80</v>
      </c>
      <c r="K29" s="1353">
        <v>177</v>
      </c>
      <c r="L29" s="1353">
        <v>150</v>
      </c>
      <c r="M29" s="1353">
        <v>110</v>
      </c>
      <c r="N29" s="1353">
        <v>0</v>
      </c>
      <c r="O29" s="1353">
        <v>189</v>
      </c>
      <c r="P29" s="1353">
        <v>186</v>
      </c>
      <c r="Q29" s="1353">
        <v>139</v>
      </c>
      <c r="R29" s="1353">
        <v>84</v>
      </c>
      <c r="S29" s="1353">
        <v>190</v>
      </c>
      <c r="T29" s="1353">
        <v>163</v>
      </c>
      <c r="U29" s="1353">
        <v>202</v>
      </c>
      <c r="V29" s="1353">
        <v>127</v>
      </c>
      <c r="W29" s="1353">
        <v>174</v>
      </c>
      <c r="X29" s="1353">
        <v>235</v>
      </c>
      <c r="Y29" s="1353">
        <v>186</v>
      </c>
      <c r="Z29" s="1353">
        <v>100</v>
      </c>
      <c r="AA29" s="1353">
        <v>138</v>
      </c>
      <c r="AB29" s="1353">
        <v>214</v>
      </c>
      <c r="AC29" s="1353">
        <v>135</v>
      </c>
      <c r="AD29" s="1353">
        <v>121</v>
      </c>
      <c r="AE29" s="1353">
        <v>0</v>
      </c>
      <c r="AF29" s="1353">
        <v>206</v>
      </c>
      <c r="AG29" s="1353">
        <v>172</v>
      </c>
      <c r="AH29" s="1353">
        <v>105</v>
      </c>
      <c r="AI29" s="1353">
        <v>164</v>
      </c>
      <c r="AJ29" s="1353">
        <v>188</v>
      </c>
      <c r="AK29" s="1355">
        <f t="shared" si="5"/>
        <v>4531</v>
      </c>
      <c r="AL29" s="1355">
        <f t="shared" si="2"/>
        <v>1925.8005121433018</v>
      </c>
      <c r="AM29" s="1831">
        <f t="shared" si="6"/>
        <v>4531</v>
      </c>
      <c r="AN29" s="1831">
        <f t="shared" si="7"/>
        <v>248.30725693912311</v>
      </c>
      <c r="AO29" s="1831">
        <f t="shared" si="8"/>
        <v>2174.107769082425</v>
      </c>
      <c r="AP29" s="60" t="s">
        <v>1959</v>
      </c>
      <c r="AQ29" s="1355">
        <f t="shared" si="3"/>
        <v>1812.4</v>
      </c>
      <c r="AR29" s="1378">
        <f t="shared" si="4"/>
        <v>113.40051214330174</v>
      </c>
    </row>
    <row r="30" spans="1:50" s="51" customFormat="1" ht="19.149999999999999" customHeight="1" outlineLevel="1">
      <c r="A30" s="1353">
        <v>17</v>
      </c>
      <c r="B30" s="1353">
        <v>17</v>
      </c>
      <c r="C30" s="1353"/>
      <c r="D30" s="1361" t="str">
        <f>TONGHOPCONGDOI!C27</f>
        <v>Thảo Phút</v>
      </c>
      <c r="E30" s="1355"/>
      <c r="F30" s="1353">
        <v>89</v>
      </c>
      <c r="G30" s="1353">
        <v>150</v>
      </c>
      <c r="H30" s="1353">
        <v>109</v>
      </c>
      <c r="I30" s="1353">
        <v>134</v>
      </c>
      <c r="J30" s="1353">
        <v>65</v>
      </c>
      <c r="K30" s="1353">
        <v>149</v>
      </c>
      <c r="L30" s="1353">
        <v>131</v>
      </c>
      <c r="M30" s="1353">
        <v>170</v>
      </c>
      <c r="N30" s="1353">
        <v>75</v>
      </c>
      <c r="O30" s="1353">
        <v>172</v>
      </c>
      <c r="P30" s="1353">
        <v>167</v>
      </c>
      <c r="Q30" s="1353">
        <v>220</v>
      </c>
      <c r="R30" s="1353">
        <v>99</v>
      </c>
      <c r="S30" s="1353">
        <v>181</v>
      </c>
      <c r="T30" s="1353">
        <v>162</v>
      </c>
      <c r="U30" s="1353">
        <v>216</v>
      </c>
      <c r="V30" s="1353">
        <v>101</v>
      </c>
      <c r="W30" s="1353">
        <v>185</v>
      </c>
      <c r="X30" s="1353">
        <v>157</v>
      </c>
      <c r="Y30" s="1353">
        <v>172</v>
      </c>
      <c r="Z30" s="1353">
        <v>81</v>
      </c>
      <c r="AA30" s="1353">
        <v>156</v>
      </c>
      <c r="AB30" s="1353">
        <v>148</v>
      </c>
      <c r="AC30" s="1353">
        <v>190</v>
      </c>
      <c r="AD30" s="1353">
        <v>133</v>
      </c>
      <c r="AE30" s="1353">
        <v>154</v>
      </c>
      <c r="AF30" s="1353">
        <v>127</v>
      </c>
      <c r="AG30" s="1353">
        <v>175</v>
      </c>
      <c r="AH30" s="1353">
        <v>123</v>
      </c>
      <c r="AI30" s="1353">
        <v>162</v>
      </c>
      <c r="AJ30" s="1353">
        <v>115</v>
      </c>
      <c r="AK30" s="1355">
        <f t="shared" si="5"/>
        <v>4468</v>
      </c>
      <c r="AL30" s="1355">
        <f t="shared" si="2"/>
        <v>1899.0237669954254</v>
      </c>
      <c r="AM30" s="1831">
        <f t="shared" si="6"/>
        <v>4468</v>
      </c>
      <c r="AN30" s="1831">
        <f t="shared" si="7"/>
        <v>244.85473935201986</v>
      </c>
      <c r="AO30" s="1831">
        <f t="shared" si="8"/>
        <v>2143.8785063474452</v>
      </c>
      <c r="AP30" s="60" t="s">
        <v>1959</v>
      </c>
      <c r="AQ30" s="1355">
        <f t="shared" si="3"/>
        <v>1787.2</v>
      </c>
      <c r="AR30" s="1378">
        <f t="shared" si="4"/>
        <v>111.82376699542533</v>
      </c>
    </row>
    <row r="31" spans="1:50" s="51" customFormat="1" ht="19.149999999999999" customHeight="1" outlineLevel="1">
      <c r="A31" s="1353">
        <v>18</v>
      </c>
      <c r="B31" s="1353">
        <v>18</v>
      </c>
      <c r="C31" s="1353" t="s">
        <v>3122</v>
      </c>
      <c r="D31" s="1361" t="str">
        <f>TONGHOPCONGDOI!C28</f>
        <v>T. Lu</v>
      </c>
      <c r="E31" s="1355"/>
      <c r="F31" s="1353">
        <v>104</v>
      </c>
      <c r="G31" s="1353">
        <v>142</v>
      </c>
      <c r="H31" s="1353">
        <v>0</v>
      </c>
      <c r="I31" s="1353">
        <v>96</v>
      </c>
      <c r="J31" s="1353">
        <v>69</v>
      </c>
      <c r="K31" s="1353">
        <v>130</v>
      </c>
      <c r="L31" s="1353">
        <v>234</v>
      </c>
      <c r="M31" s="1353">
        <v>101</v>
      </c>
      <c r="N31" s="1353">
        <v>84</v>
      </c>
      <c r="O31" s="1353">
        <v>155</v>
      </c>
      <c r="P31" s="1353">
        <v>188</v>
      </c>
      <c r="Q31" s="1353">
        <v>146</v>
      </c>
      <c r="R31" s="1353">
        <v>100</v>
      </c>
      <c r="S31" s="1353">
        <v>170</v>
      </c>
      <c r="T31" s="1353">
        <v>138</v>
      </c>
      <c r="U31" s="1353">
        <v>131</v>
      </c>
      <c r="V31" s="1353">
        <v>101</v>
      </c>
      <c r="W31" s="1353">
        <v>174</v>
      </c>
      <c r="X31" s="1353">
        <v>159</v>
      </c>
      <c r="Y31" s="1353">
        <v>118</v>
      </c>
      <c r="Z31" s="1353">
        <v>84</v>
      </c>
      <c r="AA31" s="1353">
        <v>127</v>
      </c>
      <c r="AB31" s="1353">
        <v>0</v>
      </c>
      <c r="AC31" s="1353">
        <v>108</v>
      </c>
      <c r="AD31" s="1353">
        <v>0</v>
      </c>
      <c r="AE31" s="1353">
        <v>135</v>
      </c>
      <c r="AF31" s="1353">
        <v>0</v>
      </c>
      <c r="AG31" s="1353">
        <v>0</v>
      </c>
      <c r="AH31" s="1353">
        <v>166</v>
      </c>
      <c r="AI31" s="1353">
        <v>0</v>
      </c>
      <c r="AJ31" s="1353">
        <v>228</v>
      </c>
      <c r="AK31" s="1355">
        <f t="shared" si="5"/>
        <v>3388</v>
      </c>
      <c r="AL31" s="1355">
        <f t="shared" si="2"/>
        <v>1439.9938501746869</v>
      </c>
      <c r="AM31" s="1831">
        <f t="shared" si="6"/>
        <v>3388</v>
      </c>
      <c r="AN31" s="1831">
        <f t="shared" si="7"/>
        <v>185.66872357310729</v>
      </c>
      <c r="AO31" s="1831">
        <f t="shared" si="8"/>
        <v>1625.6625737477943</v>
      </c>
      <c r="AP31" s="60" t="s">
        <v>1957</v>
      </c>
      <c r="AQ31" s="1355">
        <f t="shared" si="3"/>
        <v>1355.2</v>
      </c>
      <c r="AR31" s="1378">
        <f t="shared" si="4"/>
        <v>84.793850174686895</v>
      </c>
    </row>
    <row r="32" spans="1:50" s="51" customFormat="1" ht="19.149999999999999" customHeight="1" outlineLevel="1">
      <c r="A32" s="1353">
        <v>19</v>
      </c>
      <c r="B32" s="1353">
        <v>19</v>
      </c>
      <c r="C32" s="1353" t="s">
        <v>3123</v>
      </c>
      <c r="D32" s="1361" t="str">
        <f>TONGHOPCONGDOI!C29</f>
        <v>T. Say</v>
      </c>
      <c r="E32" s="1355"/>
      <c r="F32" s="1353">
        <v>171</v>
      </c>
      <c r="G32" s="1353">
        <v>127</v>
      </c>
      <c r="H32" s="1353">
        <v>155</v>
      </c>
      <c r="I32" s="1353">
        <v>145</v>
      </c>
      <c r="J32" s="1353">
        <v>80</v>
      </c>
      <c r="K32" s="1353">
        <v>177</v>
      </c>
      <c r="L32" s="1353">
        <v>150</v>
      </c>
      <c r="M32" s="1353">
        <v>110</v>
      </c>
      <c r="N32" s="1353">
        <v>0</v>
      </c>
      <c r="O32" s="1353">
        <v>190</v>
      </c>
      <c r="P32" s="1353">
        <v>187</v>
      </c>
      <c r="Q32" s="1353">
        <v>139</v>
      </c>
      <c r="R32" s="1353">
        <v>85</v>
      </c>
      <c r="S32" s="1353">
        <v>190</v>
      </c>
      <c r="T32" s="1353">
        <v>164</v>
      </c>
      <c r="U32" s="1353">
        <v>203</v>
      </c>
      <c r="V32" s="1353">
        <v>128</v>
      </c>
      <c r="W32" s="1353">
        <v>175</v>
      </c>
      <c r="X32" s="1353">
        <v>235</v>
      </c>
      <c r="Y32" s="1353">
        <v>187</v>
      </c>
      <c r="Z32" s="1353">
        <v>0</v>
      </c>
      <c r="AA32" s="1353">
        <v>139</v>
      </c>
      <c r="AB32" s="1353">
        <v>0</v>
      </c>
      <c r="AC32" s="1353">
        <v>136</v>
      </c>
      <c r="AD32" s="1353">
        <v>121</v>
      </c>
      <c r="AE32" s="1353">
        <v>0</v>
      </c>
      <c r="AF32" s="1353">
        <v>207</v>
      </c>
      <c r="AG32" s="1353">
        <v>172</v>
      </c>
      <c r="AH32" s="1353">
        <v>105</v>
      </c>
      <c r="AI32" s="1353">
        <v>164</v>
      </c>
      <c r="AJ32" s="1353">
        <v>188</v>
      </c>
      <c r="AK32" s="1355">
        <f t="shared" si="5"/>
        <v>4230</v>
      </c>
      <c r="AL32" s="1355">
        <f t="shared" si="2"/>
        <v>1797.8671742145589</v>
      </c>
      <c r="AM32" s="1831">
        <f t="shared" si="6"/>
        <v>4230</v>
      </c>
      <c r="AN32" s="1831">
        <f t="shared" si="7"/>
        <v>231.81189513407432</v>
      </c>
      <c r="AO32" s="1831">
        <f t="shared" si="8"/>
        <v>2029.6790693486332</v>
      </c>
      <c r="AP32" s="60" t="s">
        <v>1959</v>
      </c>
      <c r="AQ32" s="1355">
        <f t="shared" si="3"/>
        <v>1692</v>
      </c>
      <c r="AR32" s="1378">
        <f t="shared" si="4"/>
        <v>105.86717421455887</v>
      </c>
    </row>
    <row r="33" spans="1:44" s="51" customFormat="1" ht="19.149999999999999" customHeight="1" outlineLevel="1">
      <c r="A33" s="1353">
        <v>20</v>
      </c>
      <c r="B33" s="1353">
        <v>20</v>
      </c>
      <c r="C33" s="1353" t="s">
        <v>3124</v>
      </c>
      <c r="D33" s="1361" t="str">
        <f>TONGHOPCONGDOI!C30</f>
        <v>N. Khun Mi</v>
      </c>
      <c r="E33" s="1355"/>
      <c r="F33" s="1353">
        <v>132</v>
      </c>
      <c r="G33" s="1353">
        <v>128</v>
      </c>
      <c r="H33" s="1353">
        <v>127</v>
      </c>
      <c r="I33" s="1353">
        <v>100</v>
      </c>
      <c r="J33" s="1353">
        <v>103</v>
      </c>
      <c r="K33" s="1353">
        <v>109</v>
      </c>
      <c r="L33" s="1353">
        <v>118</v>
      </c>
      <c r="M33" s="1353">
        <v>82</v>
      </c>
      <c r="N33" s="1353">
        <v>94</v>
      </c>
      <c r="O33" s="1353">
        <v>172</v>
      </c>
      <c r="P33" s="1353">
        <v>185</v>
      </c>
      <c r="Q33" s="1353">
        <v>149</v>
      </c>
      <c r="R33" s="1353">
        <v>116</v>
      </c>
      <c r="S33" s="1353">
        <v>165</v>
      </c>
      <c r="T33" s="1353">
        <v>154</v>
      </c>
      <c r="U33" s="1353">
        <v>147</v>
      </c>
      <c r="V33" s="1353">
        <v>111</v>
      </c>
      <c r="W33" s="1353">
        <v>173</v>
      </c>
      <c r="X33" s="1353">
        <v>143</v>
      </c>
      <c r="Y33" s="1353">
        <v>126</v>
      </c>
      <c r="Z33" s="1353">
        <v>95</v>
      </c>
      <c r="AA33" s="1353">
        <v>149</v>
      </c>
      <c r="AB33" s="1353">
        <v>114</v>
      </c>
      <c r="AC33" s="1353">
        <v>130</v>
      </c>
      <c r="AD33" s="1353">
        <v>108</v>
      </c>
      <c r="AE33" s="1353">
        <v>128</v>
      </c>
      <c r="AF33" s="1353">
        <v>124</v>
      </c>
      <c r="AG33" s="1353">
        <v>137</v>
      </c>
      <c r="AH33" s="1353">
        <v>110</v>
      </c>
      <c r="AI33" s="1353">
        <v>134</v>
      </c>
      <c r="AJ33" s="1353">
        <v>118</v>
      </c>
      <c r="AK33" s="1355">
        <f t="shared" si="5"/>
        <v>3981</v>
      </c>
      <c r="AL33" s="1355">
        <f t="shared" si="2"/>
        <v>1692.035276725333</v>
      </c>
      <c r="AM33" s="1831">
        <f t="shared" si="6"/>
        <v>3981</v>
      </c>
      <c r="AN33" s="1831">
        <f t="shared" si="7"/>
        <v>218.16623038504724</v>
      </c>
      <c r="AO33" s="1831">
        <f t="shared" si="8"/>
        <v>1910.2015071103801</v>
      </c>
      <c r="AP33" s="60" t="s">
        <v>1957</v>
      </c>
      <c r="AQ33" s="1355">
        <f t="shared" si="3"/>
        <v>1592.4</v>
      </c>
      <c r="AR33" s="1378">
        <f t="shared" si="4"/>
        <v>99.635276725332915</v>
      </c>
    </row>
    <row r="34" spans="1:44" s="51" customFormat="1" ht="19.149999999999999" customHeight="1" outlineLevel="1">
      <c r="A34" s="1353">
        <v>21</v>
      </c>
      <c r="B34" s="1353">
        <v>21</v>
      </c>
      <c r="C34" s="1353" t="s">
        <v>3125</v>
      </c>
      <c r="D34" s="1361" t="str">
        <f>TONGHOPCONGDOI!C31</f>
        <v>A Tền</v>
      </c>
      <c r="E34" s="1355"/>
      <c r="F34" s="1353">
        <v>0</v>
      </c>
      <c r="G34" s="1353">
        <v>169</v>
      </c>
      <c r="H34" s="1353">
        <v>107</v>
      </c>
      <c r="I34" s="1353">
        <v>83</v>
      </c>
      <c r="J34" s="1353">
        <v>0</v>
      </c>
      <c r="K34" s="1353">
        <v>126</v>
      </c>
      <c r="L34" s="1353">
        <v>100</v>
      </c>
      <c r="M34" s="1353">
        <v>104</v>
      </c>
      <c r="N34" s="1353">
        <v>152</v>
      </c>
      <c r="O34" s="1353">
        <v>195</v>
      </c>
      <c r="P34" s="1353">
        <v>160</v>
      </c>
      <c r="Q34" s="1353">
        <v>178</v>
      </c>
      <c r="R34" s="1353">
        <v>97</v>
      </c>
      <c r="S34" s="1353">
        <v>128</v>
      </c>
      <c r="T34" s="1353">
        <v>133</v>
      </c>
      <c r="U34" s="1353">
        <v>136</v>
      </c>
      <c r="V34" s="1353">
        <v>94</v>
      </c>
      <c r="W34" s="1353">
        <v>148</v>
      </c>
      <c r="X34" s="1353">
        <v>112</v>
      </c>
      <c r="Y34" s="1353">
        <v>149</v>
      </c>
      <c r="Z34" s="1353">
        <v>83</v>
      </c>
      <c r="AA34" s="1353">
        <v>197</v>
      </c>
      <c r="AB34" s="1353">
        <v>116</v>
      </c>
      <c r="AC34" s="1353">
        <v>138</v>
      </c>
      <c r="AD34" s="1353">
        <v>85</v>
      </c>
      <c r="AE34" s="1353">
        <v>175</v>
      </c>
      <c r="AF34" s="1353">
        <v>116</v>
      </c>
      <c r="AG34" s="1353">
        <v>135</v>
      </c>
      <c r="AH34" s="1353">
        <v>0</v>
      </c>
      <c r="AI34" s="1353">
        <v>165</v>
      </c>
      <c r="AJ34" s="1353">
        <v>115</v>
      </c>
      <c r="AK34" s="1355">
        <f t="shared" si="5"/>
        <v>3696</v>
      </c>
      <c r="AL34" s="1355">
        <f t="shared" si="2"/>
        <v>1570.9023820087493</v>
      </c>
      <c r="AM34" s="1831">
        <f t="shared" si="6"/>
        <v>3696</v>
      </c>
      <c r="AN34" s="1831">
        <f t="shared" si="7"/>
        <v>202.54769844338975</v>
      </c>
      <c r="AO34" s="1831">
        <f t="shared" si="8"/>
        <v>1773.450080452139</v>
      </c>
      <c r="AP34" s="60" t="s">
        <v>1957</v>
      </c>
      <c r="AQ34" s="1355">
        <f t="shared" si="3"/>
        <v>1478.4</v>
      </c>
      <c r="AR34" s="1378">
        <f t="shared" si="4"/>
        <v>92.502382008749237</v>
      </c>
    </row>
    <row r="35" spans="1:44" s="51" customFormat="1" ht="19.149999999999999" customHeight="1" outlineLevel="1">
      <c r="A35" s="1353">
        <v>22</v>
      </c>
      <c r="B35" s="1353">
        <v>22</v>
      </c>
      <c r="C35" s="1353" t="s">
        <v>3126</v>
      </c>
      <c r="D35" s="1361" t="str">
        <f>TONGHOPCONGDOI!C32</f>
        <v>T. Pon</v>
      </c>
      <c r="E35" s="1355"/>
      <c r="F35" s="1353">
        <v>158</v>
      </c>
      <c r="G35" s="1353">
        <v>137</v>
      </c>
      <c r="H35" s="1353">
        <v>146</v>
      </c>
      <c r="I35" s="1353">
        <v>152</v>
      </c>
      <c r="J35" s="1353">
        <v>124</v>
      </c>
      <c r="K35" s="1353">
        <v>136</v>
      </c>
      <c r="L35" s="1353">
        <v>130</v>
      </c>
      <c r="M35" s="1353">
        <v>104</v>
      </c>
      <c r="N35" s="1353">
        <v>138</v>
      </c>
      <c r="O35" s="1353">
        <v>176</v>
      </c>
      <c r="P35" s="1353">
        <v>164</v>
      </c>
      <c r="Q35" s="1353">
        <v>140</v>
      </c>
      <c r="R35" s="1353">
        <v>145</v>
      </c>
      <c r="S35" s="1353">
        <v>116</v>
      </c>
      <c r="T35" s="1353">
        <v>138</v>
      </c>
      <c r="U35" s="1353">
        <v>150</v>
      </c>
      <c r="V35" s="1353">
        <v>158</v>
      </c>
      <c r="W35" s="1353">
        <v>151</v>
      </c>
      <c r="X35" s="1353">
        <v>167</v>
      </c>
      <c r="Y35" s="1353">
        <v>186</v>
      </c>
      <c r="Z35" s="1353">
        <v>132</v>
      </c>
      <c r="AA35" s="1353">
        <v>164</v>
      </c>
      <c r="AB35" s="1353">
        <v>148</v>
      </c>
      <c r="AC35" s="1353">
        <v>160</v>
      </c>
      <c r="AD35" s="1353">
        <v>150</v>
      </c>
      <c r="AE35" s="1353">
        <v>111</v>
      </c>
      <c r="AF35" s="1353">
        <v>113</v>
      </c>
      <c r="AG35" s="1353">
        <v>134</v>
      </c>
      <c r="AH35" s="1353">
        <v>124</v>
      </c>
      <c r="AI35" s="1353">
        <v>134</v>
      </c>
      <c r="AJ35" s="1353">
        <v>134</v>
      </c>
      <c r="AK35" s="1355">
        <f t="shared" si="5"/>
        <v>4420</v>
      </c>
      <c r="AL35" s="1355">
        <f t="shared" si="2"/>
        <v>1878.622437358948</v>
      </c>
      <c r="AM35" s="1831">
        <f t="shared" si="6"/>
        <v>4420</v>
      </c>
      <c r="AN35" s="1831">
        <f t="shared" si="7"/>
        <v>242.22424976184598</v>
      </c>
      <c r="AO35" s="1831">
        <f t="shared" si="8"/>
        <v>2120.8466871207938</v>
      </c>
      <c r="AP35" s="60" t="s">
        <v>1957</v>
      </c>
      <c r="AQ35" s="1355">
        <f t="shared" si="3"/>
        <v>1768</v>
      </c>
      <c r="AR35" s="1378">
        <f t="shared" si="4"/>
        <v>110.62243735894799</v>
      </c>
    </row>
    <row r="36" spans="1:44" s="51" customFormat="1" ht="19.149999999999999" customHeight="1" outlineLevel="1">
      <c r="A36" s="1353">
        <v>23</v>
      </c>
      <c r="B36" s="1353">
        <v>23</v>
      </c>
      <c r="C36" s="1353" t="s">
        <v>3127</v>
      </c>
      <c r="D36" s="1361" t="str">
        <f>TONGHOPCONGDOI!C33</f>
        <v>T. Ly</v>
      </c>
      <c r="E36" s="1355"/>
      <c r="F36" s="1353">
        <v>0</v>
      </c>
      <c r="G36" s="1353">
        <v>164</v>
      </c>
      <c r="H36" s="1353">
        <v>126</v>
      </c>
      <c r="I36" s="1353">
        <v>113</v>
      </c>
      <c r="J36" s="1353">
        <v>139</v>
      </c>
      <c r="K36" s="1353">
        <v>129</v>
      </c>
      <c r="L36" s="1353">
        <v>120</v>
      </c>
      <c r="M36" s="1353">
        <v>94</v>
      </c>
      <c r="N36" s="1353">
        <v>0</v>
      </c>
      <c r="O36" s="1353">
        <v>131</v>
      </c>
      <c r="P36" s="1353">
        <v>160</v>
      </c>
      <c r="Q36" s="1353">
        <v>150</v>
      </c>
      <c r="R36" s="1353">
        <v>215</v>
      </c>
      <c r="S36" s="1353">
        <v>132</v>
      </c>
      <c r="T36" s="1353">
        <v>154</v>
      </c>
      <c r="U36" s="1353">
        <v>125</v>
      </c>
      <c r="V36" s="1353">
        <v>100</v>
      </c>
      <c r="W36" s="1353">
        <v>0</v>
      </c>
      <c r="X36" s="1353">
        <v>128</v>
      </c>
      <c r="Y36" s="1353">
        <v>111</v>
      </c>
      <c r="Z36" s="1353">
        <v>104</v>
      </c>
      <c r="AA36" s="1353">
        <v>101</v>
      </c>
      <c r="AB36" s="1353">
        <v>122</v>
      </c>
      <c r="AC36" s="1353">
        <v>103</v>
      </c>
      <c r="AD36" s="1353">
        <v>0</v>
      </c>
      <c r="AE36" s="1353">
        <v>0</v>
      </c>
      <c r="AF36" s="1353">
        <v>109</v>
      </c>
      <c r="AG36" s="1353">
        <v>100</v>
      </c>
      <c r="AH36" s="1353">
        <v>169</v>
      </c>
      <c r="AI36" s="1353">
        <v>185</v>
      </c>
      <c r="AJ36" s="1353">
        <v>130</v>
      </c>
      <c r="AK36" s="1355">
        <f t="shared" si="5"/>
        <v>3414</v>
      </c>
      <c r="AL36" s="1355">
        <f t="shared" si="2"/>
        <v>1451.0445703944454</v>
      </c>
      <c r="AM36" s="1831">
        <f t="shared" si="6"/>
        <v>3414</v>
      </c>
      <c r="AN36" s="1831">
        <f t="shared" si="7"/>
        <v>187.09357210111813</v>
      </c>
      <c r="AO36" s="1831">
        <f t="shared" si="8"/>
        <v>1638.1381424955634</v>
      </c>
      <c r="AP36" s="60" t="s">
        <v>1959</v>
      </c>
      <c r="AQ36" s="1355">
        <f t="shared" si="3"/>
        <v>1365.6000000000001</v>
      </c>
      <c r="AR36" s="1378">
        <f t="shared" si="4"/>
        <v>85.444570394445236</v>
      </c>
    </row>
    <row r="37" spans="1:44" s="51" customFormat="1" ht="19.149999999999999" customHeight="1" outlineLevel="1">
      <c r="A37" s="1353">
        <v>24</v>
      </c>
      <c r="B37" s="1353">
        <v>24</v>
      </c>
      <c r="C37" s="1353" t="s">
        <v>3128</v>
      </c>
      <c r="D37" s="1361" t="str">
        <f>TONGHOPCONGDOI!C34</f>
        <v>Văn Đi</v>
      </c>
      <c r="E37" s="1355"/>
      <c r="F37" s="1353">
        <v>127</v>
      </c>
      <c r="G37" s="1353">
        <v>219</v>
      </c>
      <c r="H37" s="1353">
        <v>168</v>
      </c>
      <c r="I37" s="1353">
        <v>130</v>
      </c>
      <c r="J37" s="1353">
        <v>91</v>
      </c>
      <c r="K37" s="1353">
        <v>179</v>
      </c>
      <c r="L37" s="1353">
        <v>148</v>
      </c>
      <c r="M37" s="1353">
        <v>120</v>
      </c>
      <c r="N37" s="1353">
        <v>107</v>
      </c>
      <c r="O37" s="1353">
        <v>223</v>
      </c>
      <c r="P37" s="1353">
        <v>216</v>
      </c>
      <c r="Q37" s="1353">
        <v>166</v>
      </c>
      <c r="R37" s="1353">
        <v>107</v>
      </c>
      <c r="S37" s="1353">
        <v>193</v>
      </c>
      <c r="T37" s="1353">
        <v>176</v>
      </c>
      <c r="U37" s="1353">
        <v>157</v>
      </c>
      <c r="V37" s="1353">
        <v>113</v>
      </c>
      <c r="W37" s="1353">
        <v>218</v>
      </c>
      <c r="X37" s="1353">
        <v>180</v>
      </c>
      <c r="Y37" s="1353">
        <v>139</v>
      </c>
      <c r="Z37" s="1353">
        <v>107</v>
      </c>
      <c r="AA37" s="1353">
        <v>188</v>
      </c>
      <c r="AB37" s="1353">
        <v>141</v>
      </c>
      <c r="AC37" s="1353">
        <v>141</v>
      </c>
      <c r="AD37" s="1353">
        <v>97</v>
      </c>
      <c r="AE37" s="1353">
        <v>170</v>
      </c>
      <c r="AF37" s="1353">
        <v>0</v>
      </c>
      <c r="AG37" s="1353">
        <v>137</v>
      </c>
      <c r="AH37" s="1353">
        <v>99</v>
      </c>
      <c r="AI37" s="1353">
        <v>189</v>
      </c>
      <c r="AJ37" s="1353">
        <v>286</v>
      </c>
      <c r="AK37" s="1355">
        <f t="shared" si="5"/>
        <v>4732</v>
      </c>
      <c r="AL37" s="1355">
        <f t="shared" si="2"/>
        <v>2011.2310799960503</v>
      </c>
      <c r="AM37" s="1831">
        <f t="shared" si="6"/>
        <v>4732</v>
      </c>
      <c r="AN37" s="1831">
        <f t="shared" si="7"/>
        <v>259.32243209797628</v>
      </c>
      <c r="AO37" s="1831">
        <f t="shared" si="8"/>
        <v>2270.5535120940267</v>
      </c>
      <c r="AP37" s="60" t="s">
        <v>1959</v>
      </c>
      <c r="AQ37" s="1355">
        <f t="shared" si="3"/>
        <v>1892.8000000000002</v>
      </c>
      <c r="AR37" s="1378">
        <f t="shared" si="4"/>
        <v>118.43107999605013</v>
      </c>
    </row>
    <row r="38" spans="1:44" s="51" customFormat="1" ht="19.149999999999999" customHeight="1" outlineLevel="1">
      <c r="A38" s="1353">
        <v>25</v>
      </c>
      <c r="B38" s="1353">
        <v>25</v>
      </c>
      <c r="C38" s="1353" t="s">
        <v>3129</v>
      </c>
      <c r="D38" s="1361" t="str">
        <f>TONGHOPCONGDOI!C35</f>
        <v xml:space="preserve">Chày </v>
      </c>
      <c r="E38" s="1355"/>
      <c r="F38" s="1353">
        <v>107</v>
      </c>
      <c r="G38" s="1353">
        <v>215</v>
      </c>
      <c r="H38" s="1353">
        <v>157</v>
      </c>
      <c r="I38" s="1353">
        <v>108</v>
      </c>
      <c r="J38" s="1353">
        <v>182</v>
      </c>
      <c r="K38" s="1353">
        <v>245</v>
      </c>
      <c r="L38" s="1353">
        <v>250</v>
      </c>
      <c r="M38" s="1353">
        <v>174</v>
      </c>
      <c r="N38" s="1353">
        <v>146</v>
      </c>
      <c r="O38" s="1353">
        <v>204</v>
      </c>
      <c r="P38" s="1353">
        <v>194</v>
      </c>
      <c r="Q38" s="1353">
        <v>166</v>
      </c>
      <c r="R38" s="1353">
        <v>0</v>
      </c>
      <c r="S38" s="1353">
        <v>261</v>
      </c>
      <c r="T38" s="1353">
        <v>261</v>
      </c>
      <c r="U38" s="1353">
        <v>188</v>
      </c>
      <c r="V38" s="1353">
        <v>249</v>
      </c>
      <c r="W38" s="1353">
        <v>163</v>
      </c>
      <c r="X38" s="1353">
        <v>146</v>
      </c>
      <c r="Y38" s="1353">
        <v>117</v>
      </c>
      <c r="Z38" s="1353">
        <v>147</v>
      </c>
      <c r="AA38" s="1353">
        <v>226</v>
      </c>
      <c r="AB38" s="1353">
        <v>221</v>
      </c>
      <c r="AC38" s="1353">
        <v>170</v>
      </c>
      <c r="AD38" s="1353">
        <v>83</v>
      </c>
      <c r="AE38" s="1353">
        <v>135</v>
      </c>
      <c r="AF38" s="1353">
        <v>143</v>
      </c>
      <c r="AG38" s="1353">
        <v>99</v>
      </c>
      <c r="AH38" s="1353">
        <v>183</v>
      </c>
      <c r="AI38" s="1353">
        <v>211</v>
      </c>
      <c r="AJ38" s="1353">
        <v>228</v>
      </c>
      <c r="AK38" s="1355">
        <f t="shared" si="5"/>
        <v>5379</v>
      </c>
      <c r="AL38" s="1355">
        <f t="shared" si="2"/>
        <v>2286.2240023877334</v>
      </c>
      <c r="AM38" s="1831">
        <f t="shared" si="6"/>
        <v>5379</v>
      </c>
      <c r="AN38" s="1831">
        <f t="shared" si="7"/>
        <v>294.77923969886189</v>
      </c>
      <c r="AO38" s="1831">
        <f t="shared" si="8"/>
        <v>2581.0032420865955</v>
      </c>
      <c r="AP38" s="60" t="s">
        <v>1959</v>
      </c>
      <c r="AQ38" s="1355">
        <f t="shared" si="3"/>
        <v>2151.6</v>
      </c>
      <c r="AR38" s="1378">
        <f t="shared" si="4"/>
        <v>134.62400238773353</v>
      </c>
    </row>
    <row r="39" spans="1:44" s="51" customFormat="1" ht="19.149999999999999" customHeight="1" outlineLevel="1">
      <c r="A39" s="1353">
        <v>26</v>
      </c>
      <c r="B39" s="1353">
        <v>26</v>
      </c>
      <c r="C39" s="1353"/>
      <c r="D39" s="1361" t="str">
        <f>TONGHOPCONGDOI!C36</f>
        <v>Thảo Thủy</v>
      </c>
      <c r="E39" s="1355"/>
      <c r="F39" s="1353">
        <v>142</v>
      </c>
      <c r="G39" s="1353">
        <v>225</v>
      </c>
      <c r="H39" s="1353">
        <v>184</v>
      </c>
      <c r="I39" s="1353">
        <v>124</v>
      </c>
      <c r="J39" s="1353">
        <v>106</v>
      </c>
      <c r="K39" s="1353">
        <v>194</v>
      </c>
      <c r="L39" s="1353">
        <v>187</v>
      </c>
      <c r="M39" s="1353">
        <v>134</v>
      </c>
      <c r="N39" s="1353">
        <v>113</v>
      </c>
      <c r="O39" s="1353">
        <v>216</v>
      </c>
      <c r="P39" s="1353">
        <v>180</v>
      </c>
      <c r="Q39" s="1353">
        <v>157</v>
      </c>
      <c r="R39" s="1353">
        <v>128</v>
      </c>
      <c r="S39" s="1353">
        <v>212</v>
      </c>
      <c r="T39" s="1353">
        <v>195</v>
      </c>
      <c r="U39" s="1353">
        <v>144</v>
      </c>
      <c r="V39" s="1353">
        <v>148</v>
      </c>
      <c r="W39" s="1353">
        <v>207</v>
      </c>
      <c r="X39" s="1353">
        <v>207</v>
      </c>
      <c r="Y39" s="1353">
        <v>137</v>
      </c>
      <c r="Z39" s="1353">
        <v>118</v>
      </c>
      <c r="AA39" s="1353">
        <v>181</v>
      </c>
      <c r="AB39" s="1353">
        <v>190</v>
      </c>
      <c r="AC39" s="1353">
        <v>131</v>
      </c>
      <c r="AD39" s="1353">
        <v>121</v>
      </c>
      <c r="AE39" s="1353">
        <v>164</v>
      </c>
      <c r="AF39" s="1353">
        <v>171</v>
      </c>
      <c r="AG39" s="1353">
        <v>123</v>
      </c>
      <c r="AH39" s="1353">
        <v>123</v>
      </c>
      <c r="AI39" s="1353">
        <v>186</v>
      </c>
      <c r="AJ39" s="1353">
        <v>190</v>
      </c>
      <c r="AK39" s="1355">
        <f t="shared" si="5"/>
        <v>5038</v>
      </c>
      <c r="AL39" s="1355">
        <f t="shared" si="2"/>
        <v>2141.2895564285927</v>
      </c>
      <c r="AM39" s="1831">
        <f t="shared" si="6"/>
        <v>5038</v>
      </c>
      <c r="AN39" s="1831">
        <f t="shared" si="7"/>
        <v>276.09180323533485</v>
      </c>
      <c r="AO39" s="1831">
        <f t="shared" si="8"/>
        <v>2417.3813596639275</v>
      </c>
      <c r="AP39" s="60" t="s">
        <v>1959</v>
      </c>
      <c r="AQ39" s="1355">
        <f t="shared" si="3"/>
        <v>2015.2</v>
      </c>
      <c r="AR39" s="1378">
        <f t="shared" si="4"/>
        <v>126.08955642859269</v>
      </c>
    </row>
    <row r="40" spans="1:44" s="51" customFormat="1" ht="19.149999999999999" customHeight="1" outlineLevel="1">
      <c r="A40" s="1353">
        <v>27</v>
      </c>
      <c r="B40" s="1353">
        <v>27</v>
      </c>
      <c r="C40" s="1353"/>
      <c r="D40" s="1361" t="str">
        <f>TONGHOPCONGDOI!C37</f>
        <v>Thảo Ngân</v>
      </c>
      <c r="E40" s="1355"/>
      <c r="F40" s="1353">
        <v>131</v>
      </c>
      <c r="G40" s="1353">
        <v>215</v>
      </c>
      <c r="H40" s="1353">
        <v>112</v>
      </c>
      <c r="I40" s="1353">
        <v>178</v>
      </c>
      <c r="J40" s="1353">
        <v>103</v>
      </c>
      <c r="K40" s="1353">
        <v>171</v>
      </c>
      <c r="L40" s="1353">
        <v>117</v>
      </c>
      <c r="M40" s="1353">
        <v>185</v>
      </c>
      <c r="N40" s="1353">
        <v>109</v>
      </c>
      <c r="O40" s="1353">
        <v>213</v>
      </c>
      <c r="P40" s="1353">
        <v>125</v>
      </c>
      <c r="Q40" s="1353">
        <v>236</v>
      </c>
      <c r="R40" s="1353">
        <v>115</v>
      </c>
      <c r="S40" s="1353">
        <v>188</v>
      </c>
      <c r="T40" s="1353">
        <v>128</v>
      </c>
      <c r="U40" s="1353">
        <v>203</v>
      </c>
      <c r="V40" s="1353">
        <v>139</v>
      </c>
      <c r="W40" s="1353">
        <v>192</v>
      </c>
      <c r="X40" s="1353">
        <v>123</v>
      </c>
      <c r="Y40" s="1353">
        <v>203</v>
      </c>
      <c r="Z40" s="1353">
        <v>113</v>
      </c>
      <c r="AA40" s="1353">
        <v>160</v>
      </c>
      <c r="AB40" s="1353">
        <v>120</v>
      </c>
      <c r="AC40" s="1353">
        <v>186</v>
      </c>
      <c r="AD40" s="1353">
        <v>108</v>
      </c>
      <c r="AE40" s="1353">
        <v>143</v>
      </c>
      <c r="AF40" s="1353">
        <v>110</v>
      </c>
      <c r="AG40" s="1353">
        <v>177</v>
      </c>
      <c r="AH40" s="1353">
        <v>117</v>
      </c>
      <c r="AI40" s="1353">
        <v>156</v>
      </c>
      <c r="AJ40" s="1353">
        <v>120</v>
      </c>
      <c r="AK40" s="1355">
        <f t="shared" si="5"/>
        <v>4696</v>
      </c>
      <c r="AL40" s="1355">
        <f t="shared" si="2"/>
        <v>1995.9300827686923</v>
      </c>
      <c r="AM40" s="1831">
        <f t="shared" si="6"/>
        <v>4696</v>
      </c>
      <c r="AN40" s="1831">
        <f t="shared" si="7"/>
        <v>257.34956490534586</v>
      </c>
      <c r="AO40" s="1831">
        <f t="shared" si="8"/>
        <v>2253.2796476740382</v>
      </c>
      <c r="AP40" s="60" t="s">
        <v>1959</v>
      </c>
      <c r="AQ40" s="1355">
        <f t="shared" si="3"/>
        <v>1878.4</v>
      </c>
      <c r="AR40" s="1378">
        <f t="shared" si="4"/>
        <v>117.53008276869218</v>
      </c>
    </row>
    <row r="41" spans="1:44" s="51" customFormat="1" ht="19.149999999999999" customHeight="1" outlineLevel="1">
      <c r="A41" s="1353">
        <v>28</v>
      </c>
      <c r="B41" s="1353">
        <v>28</v>
      </c>
      <c r="C41" s="1353" t="s">
        <v>3130</v>
      </c>
      <c r="D41" s="1361" t="str">
        <f>TONGHOPCONGDOI!C38</f>
        <v>T Đeng</v>
      </c>
      <c r="E41" s="1355"/>
      <c r="F41" s="1353">
        <v>0</v>
      </c>
      <c r="G41" s="1353">
        <v>0</v>
      </c>
      <c r="H41" s="1353">
        <v>0</v>
      </c>
      <c r="I41" s="1353">
        <v>177</v>
      </c>
      <c r="J41" s="1353">
        <v>92</v>
      </c>
      <c r="K41" s="1353">
        <v>216</v>
      </c>
      <c r="L41" s="1353">
        <v>221</v>
      </c>
      <c r="M41" s="1353">
        <v>150</v>
      </c>
      <c r="N41" s="1353">
        <v>80</v>
      </c>
      <c r="O41" s="1353">
        <v>291</v>
      </c>
      <c r="P41" s="1353">
        <v>281</v>
      </c>
      <c r="Q41" s="1353">
        <v>217</v>
      </c>
      <c r="R41" s="1353">
        <v>108</v>
      </c>
      <c r="S41" s="1353">
        <v>235</v>
      </c>
      <c r="T41" s="1353">
        <v>204</v>
      </c>
      <c r="U41" s="1353">
        <v>169</v>
      </c>
      <c r="V41" s="1353">
        <v>79</v>
      </c>
      <c r="W41" s="1353">
        <v>332</v>
      </c>
      <c r="X41" s="1353">
        <v>297</v>
      </c>
      <c r="Y41" s="1353">
        <v>255</v>
      </c>
      <c r="Z41" s="1353">
        <v>90</v>
      </c>
      <c r="AA41" s="1353">
        <v>278</v>
      </c>
      <c r="AB41" s="1353">
        <v>257</v>
      </c>
      <c r="AC41" s="1353">
        <v>235</v>
      </c>
      <c r="AD41" s="1353">
        <v>87</v>
      </c>
      <c r="AE41" s="1353">
        <v>251</v>
      </c>
      <c r="AF41" s="1353">
        <v>238</v>
      </c>
      <c r="AG41" s="1353">
        <v>236</v>
      </c>
      <c r="AH41" s="1353">
        <v>96</v>
      </c>
      <c r="AI41" s="1353">
        <v>193</v>
      </c>
      <c r="AJ41" s="1353">
        <v>262</v>
      </c>
      <c r="AK41" s="1355">
        <f t="shared" si="5"/>
        <v>5627</v>
      </c>
      <c r="AL41" s="1355">
        <f t="shared" si="2"/>
        <v>2391.6308721761993</v>
      </c>
      <c r="AM41" s="1831">
        <f t="shared" si="6"/>
        <v>5627</v>
      </c>
      <c r="AN41" s="1831">
        <f t="shared" si="7"/>
        <v>308.37010258142698</v>
      </c>
      <c r="AO41" s="1831">
        <f t="shared" si="8"/>
        <v>2700.0009747576264</v>
      </c>
      <c r="AP41" s="60" t="s">
        <v>1957</v>
      </c>
      <c r="AQ41" s="1355">
        <f t="shared" si="3"/>
        <v>2250.8000000000002</v>
      </c>
      <c r="AR41" s="1378">
        <f t="shared" si="4"/>
        <v>140.83087217619914</v>
      </c>
    </row>
    <row r="42" spans="1:44" s="51" customFormat="1" ht="19.149999999999999" customHeight="1" outlineLevel="1">
      <c r="A42" s="1353">
        <v>29</v>
      </c>
      <c r="B42" s="1353">
        <v>29</v>
      </c>
      <c r="C42" s="1353"/>
      <c r="D42" s="1361" t="str">
        <f>TONGHOPCONGDOI!C39</f>
        <v>Thảo Xiều</v>
      </c>
      <c r="E42" s="1355"/>
      <c r="F42" s="1353">
        <v>151</v>
      </c>
      <c r="G42" s="1353">
        <v>202</v>
      </c>
      <c r="H42" s="1353">
        <v>143</v>
      </c>
      <c r="I42" s="1353">
        <v>102</v>
      </c>
      <c r="J42" s="1353">
        <v>118</v>
      </c>
      <c r="K42" s="1353">
        <v>178</v>
      </c>
      <c r="L42" s="1353">
        <v>146</v>
      </c>
      <c r="M42" s="1353">
        <v>119</v>
      </c>
      <c r="N42" s="1353">
        <v>122</v>
      </c>
      <c r="O42" s="1353">
        <v>193</v>
      </c>
      <c r="P42" s="1353">
        <v>158</v>
      </c>
      <c r="Q42" s="1353">
        <v>135</v>
      </c>
      <c r="R42" s="1353">
        <v>145</v>
      </c>
      <c r="S42" s="1353">
        <v>195</v>
      </c>
      <c r="T42" s="1353">
        <v>160</v>
      </c>
      <c r="U42" s="1353">
        <v>123</v>
      </c>
      <c r="V42" s="1353">
        <v>148</v>
      </c>
      <c r="W42" s="1353">
        <v>191</v>
      </c>
      <c r="X42" s="1353">
        <v>150</v>
      </c>
      <c r="Y42" s="1353">
        <v>118</v>
      </c>
      <c r="Z42" s="1353">
        <v>127</v>
      </c>
      <c r="AA42" s="1353">
        <v>160</v>
      </c>
      <c r="AB42" s="1353">
        <v>146</v>
      </c>
      <c r="AC42" s="1353">
        <v>113</v>
      </c>
      <c r="AD42" s="1353">
        <v>136</v>
      </c>
      <c r="AE42" s="1353">
        <v>154</v>
      </c>
      <c r="AF42" s="1353">
        <v>127</v>
      </c>
      <c r="AG42" s="1353">
        <v>105</v>
      </c>
      <c r="AH42" s="1353">
        <v>133</v>
      </c>
      <c r="AI42" s="1353">
        <v>165</v>
      </c>
      <c r="AJ42" s="1353">
        <v>131</v>
      </c>
      <c r="AK42" s="1355">
        <f t="shared" si="5"/>
        <v>4494</v>
      </c>
      <c r="AL42" s="1355">
        <f t="shared" si="2"/>
        <v>1910.0744872151838</v>
      </c>
      <c r="AM42" s="1831">
        <f t="shared" si="6"/>
        <v>4494</v>
      </c>
      <c r="AN42" s="1831">
        <f t="shared" si="7"/>
        <v>246.27958788003073</v>
      </c>
      <c r="AO42" s="1831">
        <f t="shared" si="8"/>
        <v>2156.3540750952147</v>
      </c>
      <c r="AP42" s="60" t="s">
        <v>1959</v>
      </c>
      <c r="AQ42" s="1355">
        <f t="shared" si="3"/>
        <v>1797.6000000000001</v>
      </c>
      <c r="AR42" s="1378">
        <f t="shared" si="4"/>
        <v>112.47448721518367</v>
      </c>
    </row>
    <row r="43" spans="1:44" s="51" customFormat="1" ht="19.149999999999999" customHeight="1" outlineLevel="1">
      <c r="A43" s="1353">
        <v>30</v>
      </c>
      <c r="B43" s="1353">
        <v>30</v>
      </c>
      <c r="C43" s="1353" t="s">
        <v>3131</v>
      </c>
      <c r="D43" s="1361" t="str">
        <f>TONGHOPCONGDOI!C40</f>
        <v>Văn Na Nọi</v>
      </c>
      <c r="E43" s="1355"/>
      <c r="F43" s="1353">
        <v>173</v>
      </c>
      <c r="G43" s="1353">
        <v>170</v>
      </c>
      <c r="H43" s="1353">
        <v>130</v>
      </c>
      <c r="I43" s="1353">
        <v>164</v>
      </c>
      <c r="J43" s="1353">
        <v>159</v>
      </c>
      <c r="K43" s="1353">
        <v>150</v>
      </c>
      <c r="L43" s="1353">
        <v>127</v>
      </c>
      <c r="M43" s="1353">
        <v>180</v>
      </c>
      <c r="N43" s="1353">
        <v>163</v>
      </c>
      <c r="O43" s="1353">
        <v>204</v>
      </c>
      <c r="P43" s="1353">
        <v>152</v>
      </c>
      <c r="Q43" s="1353">
        <v>191</v>
      </c>
      <c r="R43" s="1353">
        <v>179</v>
      </c>
      <c r="S43" s="1353">
        <v>204</v>
      </c>
      <c r="T43" s="1353">
        <v>162</v>
      </c>
      <c r="U43" s="1353">
        <v>196</v>
      </c>
      <c r="V43" s="1353">
        <v>188</v>
      </c>
      <c r="W43" s="1353">
        <v>207</v>
      </c>
      <c r="X43" s="1353">
        <v>158</v>
      </c>
      <c r="Y43" s="1353">
        <v>185</v>
      </c>
      <c r="Z43" s="1353">
        <v>186</v>
      </c>
      <c r="AA43" s="1353">
        <v>151</v>
      </c>
      <c r="AB43" s="1353">
        <v>147</v>
      </c>
      <c r="AC43" s="1353">
        <v>176</v>
      </c>
      <c r="AD43" s="1353">
        <v>133</v>
      </c>
      <c r="AE43" s="1353">
        <v>153</v>
      </c>
      <c r="AF43" s="1353">
        <v>137</v>
      </c>
      <c r="AG43" s="1353">
        <v>161</v>
      </c>
      <c r="AH43" s="1353">
        <v>123</v>
      </c>
      <c r="AI43" s="1353">
        <v>163</v>
      </c>
      <c r="AJ43" s="1353">
        <v>149</v>
      </c>
      <c r="AK43" s="1355">
        <f t="shared" si="5"/>
        <v>5121</v>
      </c>
      <c r="AL43" s="1355">
        <f t="shared" si="2"/>
        <v>2176.5668555916682</v>
      </c>
      <c r="AM43" s="1831">
        <f t="shared" si="6"/>
        <v>5121</v>
      </c>
      <c r="AN43" s="1831">
        <f t="shared" si="7"/>
        <v>280.64035815167722</v>
      </c>
      <c r="AO43" s="1831">
        <f t="shared" si="8"/>
        <v>2457.2072137433452</v>
      </c>
      <c r="AP43" s="60" t="s">
        <v>1959</v>
      </c>
      <c r="AQ43" s="1355">
        <f t="shared" si="3"/>
        <v>2048.4</v>
      </c>
      <c r="AR43" s="1378">
        <f t="shared" si="4"/>
        <v>128.16685559166808</v>
      </c>
    </row>
    <row r="44" spans="1:44" s="51" customFormat="1" ht="19.149999999999999" customHeight="1" outlineLevel="1">
      <c r="A44" s="1353">
        <v>31</v>
      </c>
      <c r="B44" s="1353">
        <v>31</v>
      </c>
      <c r="C44" s="1353" t="s">
        <v>3132</v>
      </c>
      <c r="D44" s="1361" t="str">
        <f>TONGHOPCONGDOI!C41</f>
        <v>T. Ta</v>
      </c>
      <c r="E44" s="1355"/>
      <c r="F44" s="1353">
        <v>114</v>
      </c>
      <c r="G44" s="1353">
        <v>204</v>
      </c>
      <c r="H44" s="1353">
        <v>155</v>
      </c>
      <c r="I44" s="1353">
        <v>182</v>
      </c>
      <c r="J44" s="1353">
        <v>92</v>
      </c>
      <c r="K44" s="1353">
        <v>125</v>
      </c>
      <c r="L44" s="1353">
        <v>128</v>
      </c>
      <c r="M44" s="1353">
        <v>180</v>
      </c>
      <c r="N44" s="1353">
        <v>97</v>
      </c>
      <c r="O44" s="1353">
        <v>203</v>
      </c>
      <c r="P44" s="1353">
        <v>195</v>
      </c>
      <c r="Q44" s="1353">
        <v>267</v>
      </c>
      <c r="R44" s="1353">
        <v>91</v>
      </c>
      <c r="S44" s="1353">
        <v>179</v>
      </c>
      <c r="T44" s="1353">
        <v>158</v>
      </c>
      <c r="U44" s="1353">
        <v>214</v>
      </c>
      <c r="V44" s="1353">
        <v>0</v>
      </c>
      <c r="W44" s="1353">
        <v>176</v>
      </c>
      <c r="X44" s="1353">
        <v>177</v>
      </c>
      <c r="Y44" s="1353">
        <v>209</v>
      </c>
      <c r="Z44" s="1353">
        <v>168</v>
      </c>
      <c r="AA44" s="1353">
        <v>151</v>
      </c>
      <c r="AB44" s="1353">
        <v>0</v>
      </c>
      <c r="AC44" s="1353">
        <v>197</v>
      </c>
      <c r="AD44" s="1353">
        <v>0</v>
      </c>
      <c r="AE44" s="1353">
        <v>0</v>
      </c>
      <c r="AF44" s="1353">
        <v>250</v>
      </c>
      <c r="AG44" s="1353">
        <v>182</v>
      </c>
      <c r="AH44" s="1353">
        <v>169</v>
      </c>
      <c r="AI44" s="1353">
        <v>206</v>
      </c>
      <c r="AJ44" s="1353">
        <v>155</v>
      </c>
      <c r="AK44" s="1355">
        <f t="shared" si="5"/>
        <v>4624</v>
      </c>
      <c r="AL44" s="1355">
        <f t="shared" si="2"/>
        <v>1965.3280883139764</v>
      </c>
      <c r="AM44" s="1831">
        <f t="shared" si="6"/>
        <v>4624</v>
      </c>
      <c r="AN44" s="1831">
        <f t="shared" si="7"/>
        <v>253.40383052008502</v>
      </c>
      <c r="AO44" s="1831">
        <f t="shared" si="8"/>
        <v>2218.7319188340616</v>
      </c>
      <c r="AP44" s="60" t="s">
        <v>1959</v>
      </c>
      <c r="AQ44" s="1355">
        <f t="shared" si="3"/>
        <v>1849.6000000000001</v>
      </c>
      <c r="AR44" s="1378">
        <f t="shared" si="4"/>
        <v>115.72808831397629</v>
      </c>
    </row>
    <row r="45" spans="1:44" s="51" customFormat="1" ht="19.149999999999999" customHeight="1" outlineLevel="1">
      <c r="A45" s="1353">
        <v>32</v>
      </c>
      <c r="B45" s="1353">
        <v>32</v>
      </c>
      <c r="C45" s="1353" t="s">
        <v>3133</v>
      </c>
      <c r="D45" s="1361" t="str">
        <f>TONGHOPCONGDOI!C42</f>
        <v>Phon Xa May</v>
      </c>
      <c r="E45" s="1355"/>
      <c r="F45" s="1353">
        <v>114</v>
      </c>
      <c r="G45" s="1353">
        <v>204</v>
      </c>
      <c r="H45" s="1353">
        <v>155</v>
      </c>
      <c r="I45" s="1353">
        <v>182</v>
      </c>
      <c r="J45" s="1353">
        <v>92</v>
      </c>
      <c r="K45" s="1353">
        <v>125</v>
      </c>
      <c r="L45" s="1353">
        <v>129</v>
      </c>
      <c r="M45" s="1353">
        <v>181</v>
      </c>
      <c r="N45" s="1353">
        <v>97</v>
      </c>
      <c r="O45" s="1353">
        <v>203</v>
      </c>
      <c r="P45" s="1353">
        <v>196</v>
      </c>
      <c r="Q45" s="1353">
        <v>268</v>
      </c>
      <c r="R45" s="1353">
        <v>92</v>
      </c>
      <c r="S45" s="1353">
        <v>179</v>
      </c>
      <c r="T45" s="1353">
        <v>159</v>
      </c>
      <c r="U45" s="1353">
        <v>215</v>
      </c>
      <c r="V45" s="1353">
        <v>0</v>
      </c>
      <c r="W45" s="1353">
        <v>177</v>
      </c>
      <c r="X45" s="1353">
        <v>177</v>
      </c>
      <c r="Y45" s="1353">
        <v>210</v>
      </c>
      <c r="Z45" s="1353">
        <v>168</v>
      </c>
      <c r="AA45" s="1353">
        <v>152</v>
      </c>
      <c r="AB45" s="1353">
        <v>0</v>
      </c>
      <c r="AC45" s="1353">
        <v>198</v>
      </c>
      <c r="AD45" s="1353">
        <v>0</v>
      </c>
      <c r="AE45" s="1353">
        <v>0</v>
      </c>
      <c r="AF45" s="1353">
        <v>251</v>
      </c>
      <c r="AG45" s="1353">
        <v>182</v>
      </c>
      <c r="AH45" s="1353">
        <v>169</v>
      </c>
      <c r="AI45" s="1353">
        <v>207</v>
      </c>
      <c r="AJ45" s="1353">
        <v>155</v>
      </c>
      <c r="AK45" s="1355">
        <f t="shared" si="5"/>
        <v>4637</v>
      </c>
      <c r="AL45" s="1355">
        <f t="shared" si="2"/>
        <v>1970.8534484238558</v>
      </c>
      <c r="AM45" s="1831">
        <f t="shared" si="6"/>
        <v>4637</v>
      </c>
      <c r="AN45" s="1831">
        <f t="shared" si="7"/>
        <v>254.11625478409044</v>
      </c>
      <c r="AO45" s="1831">
        <f t="shared" si="8"/>
        <v>2224.9697032079462</v>
      </c>
      <c r="AP45" s="60" t="s">
        <v>1959</v>
      </c>
      <c r="AQ45" s="1355">
        <f t="shared" si="3"/>
        <v>1854.8000000000002</v>
      </c>
      <c r="AR45" s="1378">
        <f t="shared" si="4"/>
        <v>116.05344842385557</v>
      </c>
    </row>
    <row r="46" spans="1:44" s="51" customFormat="1" ht="19.149999999999999" customHeight="1" outlineLevel="1">
      <c r="A46" s="1353">
        <v>33</v>
      </c>
      <c r="B46" s="1353">
        <v>33</v>
      </c>
      <c r="C46" s="1353" t="s">
        <v>3134</v>
      </c>
      <c r="D46" s="1361" t="str">
        <f>TONGHOPCONGDOI!C43</f>
        <v>T. Ừm</v>
      </c>
      <c r="E46" s="1355"/>
      <c r="F46" s="1353">
        <v>90</v>
      </c>
      <c r="G46" s="1353">
        <v>125</v>
      </c>
      <c r="H46" s="1353">
        <v>137</v>
      </c>
      <c r="I46" s="1353">
        <v>142</v>
      </c>
      <c r="J46" s="1353">
        <v>77</v>
      </c>
      <c r="K46" s="1353">
        <v>105</v>
      </c>
      <c r="L46" s="1353">
        <v>139</v>
      </c>
      <c r="M46" s="1353">
        <v>148</v>
      </c>
      <c r="N46" s="1353">
        <v>70</v>
      </c>
      <c r="O46" s="1353">
        <v>136</v>
      </c>
      <c r="P46" s="1353">
        <v>201</v>
      </c>
      <c r="Q46" s="1353">
        <v>156</v>
      </c>
      <c r="R46" s="1353">
        <v>88</v>
      </c>
      <c r="S46" s="1353">
        <v>155</v>
      </c>
      <c r="T46" s="1353">
        <v>126</v>
      </c>
      <c r="U46" s="1353">
        <v>136</v>
      </c>
      <c r="V46" s="1353">
        <v>80</v>
      </c>
      <c r="W46" s="1353">
        <v>123</v>
      </c>
      <c r="X46" s="1353">
        <v>156</v>
      </c>
      <c r="Y46" s="1353">
        <v>159</v>
      </c>
      <c r="Z46" s="1353">
        <v>86</v>
      </c>
      <c r="AA46" s="1353">
        <v>107</v>
      </c>
      <c r="AB46" s="1353">
        <v>142</v>
      </c>
      <c r="AC46" s="1353">
        <v>141</v>
      </c>
      <c r="AD46" s="1353">
        <v>80</v>
      </c>
      <c r="AE46" s="1353">
        <v>94</v>
      </c>
      <c r="AF46" s="1353">
        <v>137</v>
      </c>
      <c r="AG46" s="1353">
        <v>116</v>
      </c>
      <c r="AH46" s="1353">
        <v>88</v>
      </c>
      <c r="AI46" s="1353">
        <v>140</v>
      </c>
      <c r="AJ46" s="1353">
        <v>125</v>
      </c>
      <c r="AK46" s="1355">
        <f t="shared" si="5"/>
        <v>3805</v>
      </c>
      <c r="AL46" s="1355">
        <f t="shared" ref="AL46:AL77" si="9">AK46*$AS$10</f>
        <v>1617.2304013915832</v>
      </c>
      <c r="AM46" s="1831">
        <f t="shared" si="6"/>
        <v>3805</v>
      </c>
      <c r="AN46" s="1831">
        <f t="shared" si="7"/>
        <v>208.52110188774296</v>
      </c>
      <c r="AO46" s="1831">
        <f t="shared" si="8"/>
        <v>1825.7515032793262</v>
      </c>
      <c r="AP46" s="60" t="s">
        <v>1957</v>
      </c>
      <c r="AQ46" s="1355">
        <f t="shared" ref="AQ46:AQ77" si="10">+AK46*40%</f>
        <v>1522</v>
      </c>
      <c r="AR46" s="1378">
        <f t="shared" ref="AR46:AR77" si="11">+AL46-AQ46</f>
        <v>95.2304013915832</v>
      </c>
    </row>
    <row r="47" spans="1:44" s="51" customFormat="1" ht="19.149999999999999" customHeight="1" outlineLevel="1">
      <c r="A47" s="1353">
        <v>34</v>
      </c>
      <c r="B47" s="1353">
        <v>34</v>
      </c>
      <c r="C47" s="1353" t="s">
        <v>3135</v>
      </c>
      <c r="D47" s="1361" t="str">
        <f>TONGHOPCONGDOI!C44</f>
        <v>T. Phù</v>
      </c>
      <c r="E47" s="1355"/>
      <c r="F47" s="1353">
        <v>98</v>
      </c>
      <c r="G47" s="1353">
        <v>204</v>
      </c>
      <c r="H47" s="1353">
        <v>169</v>
      </c>
      <c r="I47" s="1353">
        <v>134</v>
      </c>
      <c r="J47" s="1353">
        <v>80</v>
      </c>
      <c r="K47" s="1353">
        <v>186</v>
      </c>
      <c r="L47" s="1353">
        <v>177</v>
      </c>
      <c r="M47" s="1353">
        <v>140</v>
      </c>
      <c r="N47" s="1353">
        <v>0</v>
      </c>
      <c r="O47" s="1353">
        <v>262</v>
      </c>
      <c r="P47" s="1353">
        <v>186</v>
      </c>
      <c r="Q47" s="1353">
        <v>272</v>
      </c>
      <c r="R47" s="1353">
        <v>0</v>
      </c>
      <c r="S47" s="1353">
        <v>169</v>
      </c>
      <c r="T47" s="1353">
        <v>114</v>
      </c>
      <c r="U47" s="1353">
        <v>163</v>
      </c>
      <c r="V47" s="1353">
        <v>0</v>
      </c>
      <c r="W47" s="1353">
        <v>195</v>
      </c>
      <c r="X47" s="1353">
        <v>165</v>
      </c>
      <c r="Y47" s="1353">
        <v>144</v>
      </c>
      <c r="Z47" s="1353">
        <v>154</v>
      </c>
      <c r="AA47" s="1353">
        <v>165</v>
      </c>
      <c r="AB47" s="1353">
        <v>170</v>
      </c>
      <c r="AC47" s="1353">
        <v>131</v>
      </c>
      <c r="AD47" s="1353">
        <v>90</v>
      </c>
      <c r="AE47" s="1353">
        <v>132</v>
      </c>
      <c r="AF47" s="1353">
        <v>0</v>
      </c>
      <c r="AG47" s="1353">
        <v>125</v>
      </c>
      <c r="AH47" s="1353">
        <v>74</v>
      </c>
      <c r="AI47" s="1353">
        <v>0</v>
      </c>
      <c r="AJ47" s="1353">
        <v>200</v>
      </c>
      <c r="AK47" s="1355">
        <f t="shared" si="5"/>
        <v>4099</v>
      </c>
      <c r="AL47" s="1355">
        <f t="shared" si="9"/>
        <v>1742.1885454150063</v>
      </c>
      <c r="AM47" s="1831">
        <f t="shared" si="6"/>
        <v>4099</v>
      </c>
      <c r="AN47" s="1831">
        <f t="shared" si="7"/>
        <v>224.63285062755807</v>
      </c>
      <c r="AO47" s="1831">
        <f t="shared" si="8"/>
        <v>1966.8213960425644</v>
      </c>
      <c r="AP47" s="60" t="s">
        <v>1957</v>
      </c>
      <c r="AQ47" s="1355">
        <f t="shared" si="10"/>
        <v>1639.6000000000001</v>
      </c>
      <c r="AR47" s="1378">
        <f t="shared" si="11"/>
        <v>102.58854541500614</v>
      </c>
    </row>
    <row r="48" spans="1:44" s="51" customFormat="1" ht="19.149999999999999" customHeight="1" outlineLevel="1">
      <c r="A48" s="1353">
        <v>35</v>
      </c>
      <c r="B48" s="1353">
        <v>35</v>
      </c>
      <c r="C48" s="1353" t="s">
        <v>3136</v>
      </c>
      <c r="D48" s="1361" t="str">
        <f>TONGHOPCONGDOI!C45</f>
        <v>N. Công Say</v>
      </c>
      <c r="E48" s="1355"/>
      <c r="F48" s="1353">
        <v>167</v>
      </c>
      <c r="G48" s="1353">
        <v>118</v>
      </c>
      <c r="H48" s="1353">
        <v>159</v>
      </c>
      <c r="I48" s="1353">
        <v>0</v>
      </c>
      <c r="J48" s="1353">
        <v>105</v>
      </c>
      <c r="K48" s="1353">
        <v>185</v>
      </c>
      <c r="L48" s="1353">
        <v>126</v>
      </c>
      <c r="M48" s="1353">
        <v>261</v>
      </c>
      <c r="N48" s="1353">
        <v>117</v>
      </c>
      <c r="O48" s="1353">
        <v>187</v>
      </c>
      <c r="P48" s="1353">
        <v>205</v>
      </c>
      <c r="Q48" s="1353">
        <v>191</v>
      </c>
      <c r="R48" s="1353">
        <v>132</v>
      </c>
      <c r="S48" s="1353">
        <v>171</v>
      </c>
      <c r="T48" s="1353">
        <v>205</v>
      </c>
      <c r="U48" s="1353">
        <v>192</v>
      </c>
      <c r="V48" s="1353">
        <v>100</v>
      </c>
      <c r="W48" s="1353">
        <v>172</v>
      </c>
      <c r="X48" s="1353">
        <v>200</v>
      </c>
      <c r="Y48" s="1353">
        <v>145</v>
      </c>
      <c r="Z48" s="1353">
        <v>167</v>
      </c>
      <c r="AA48" s="1353">
        <v>176</v>
      </c>
      <c r="AB48" s="1353">
        <v>194</v>
      </c>
      <c r="AC48" s="1353">
        <v>206</v>
      </c>
      <c r="AD48" s="1353">
        <v>100</v>
      </c>
      <c r="AE48" s="1353">
        <v>0</v>
      </c>
      <c r="AF48" s="1353">
        <v>178</v>
      </c>
      <c r="AG48" s="1353">
        <v>156</v>
      </c>
      <c r="AH48" s="1353">
        <v>120</v>
      </c>
      <c r="AI48" s="1353">
        <v>273</v>
      </c>
      <c r="AJ48" s="1353">
        <v>172</v>
      </c>
      <c r="AK48" s="1355">
        <f t="shared" si="5"/>
        <v>4880</v>
      </c>
      <c r="AL48" s="1355">
        <f t="shared" si="9"/>
        <v>2074.1351797085217</v>
      </c>
      <c r="AM48" s="1831">
        <f t="shared" si="6"/>
        <v>4880</v>
      </c>
      <c r="AN48" s="1831">
        <f t="shared" si="7"/>
        <v>267.43310833434577</v>
      </c>
      <c r="AO48" s="1831">
        <f t="shared" si="8"/>
        <v>2341.5682880428676</v>
      </c>
      <c r="AP48" s="60" t="s">
        <v>1959</v>
      </c>
      <c r="AQ48" s="1355">
        <f t="shared" si="10"/>
        <v>1952</v>
      </c>
      <c r="AR48" s="1378">
        <f t="shared" si="11"/>
        <v>122.13517970852172</v>
      </c>
    </row>
    <row r="49" spans="1:44" s="51" customFormat="1" ht="19.149999999999999" customHeight="1" outlineLevel="1">
      <c r="A49" s="1353">
        <v>36</v>
      </c>
      <c r="B49" s="1353">
        <v>36</v>
      </c>
      <c r="C49" s="1353" t="s">
        <v>3137</v>
      </c>
      <c r="D49" s="1361" t="str">
        <f>TONGHOPCONGDOI!C46</f>
        <v>N. Xi Xộm</v>
      </c>
      <c r="E49" s="1355"/>
      <c r="F49" s="1353">
        <v>128</v>
      </c>
      <c r="G49" s="1353">
        <v>220</v>
      </c>
      <c r="H49" s="1353">
        <v>168</v>
      </c>
      <c r="I49" s="1353">
        <v>131</v>
      </c>
      <c r="J49" s="1353">
        <v>91</v>
      </c>
      <c r="K49" s="1353">
        <v>179</v>
      </c>
      <c r="L49" s="1353">
        <v>148</v>
      </c>
      <c r="M49" s="1353">
        <v>121</v>
      </c>
      <c r="N49" s="1353">
        <v>107</v>
      </c>
      <c r="O49" s="1353">
        <v>223</v>
      </c>
      <c r="P49" s="1353">
        <v>217</v>
      </c>
      <c r="Q49" s="1353">
        <v>166</v>
      </c>
      <c r="R49" s="1353">
        <v>108</v>
      </c>
      <c r="S49" s="1353">
        <v>193</v>
      </c>
      <c r="T49" s="1353">
        <v>177</v>
      </c>
      <c r="U49" s="1353">
        <v>157</v>
      </c>
      <c r="V49" s="1353">
        <v>113</v>
      </c>
      <c r="W49" s="1353">
        <v>219</v>
      </c>
      <c r="X49" s="1353">
        <v>181</v>
      </c>
      <c r="Y49" s="1353">
        <v>139</v>
      </c>
      <c r="Z49" s="1353">
        <v>108</v>
      </c>
      <c r="AA49" s="1353">
        <v>189</v>
      </c>
      <c r="AB49" s="1353">
        <v>141</v>
      </c>
      <c r="AC49" s="1353">
        <v>141</v>
      </c>
      <c r="AD49" s="1353">
        <v>98</v>
      </c>
      <c r="AE49" s="1353">
        <v>170</v>
      </c>
      <c r="AF49" s="1353">
        <v>0</v>
      </c>
      <c r="AG49" s="1353">
        <v>137</v>
      </c>
      <c r="AH49" s="1353">
        <v>99</v>
      </c>
      <c r="AI49" s="1353">
        <v>190</v>
      </c>
      <c r="AJ49" s="1353">
        <v>286</v>
      </c>
      <c r="AK49" s="1355">
        <f t="shared" si="5"/>
        <v>4745</v>
      </c>
      <c r="AL49" s="1355">
        <f t="shared" si="9"/>
        <v>2016.7564401059296</v>
      </c>
      <c r="AM49" s="1831">
        <f t="shared" si="6"/>
        <v>4745</v>
      </c>
      <c r="AN49" s="1831">
        <f t="shared" si="7"/>
        <v>260.03485636198172</v>
      </c>
      <c r="AO49" s="1831">
        <f t="shared" si="8"/>
        <v>2276.7912964679113</v>
      </c>
      <c r="AP49" s="60" t="s">
        <v>1959</v>
      </c>
      <c r="AQ49" s="1355">
        <f t="shared" si="10"/>
        <v>1898</v>
      </c>
      <c r="AR49" s="1378">
        <f t="shared" si="11"/>
        <v>118.75644010592964</v>
      </c>
    </row>
    <row r="50" spans="1:44" s="51" customFormat="1" ht="19.149999999999999" customHeight="1" outlineLevel="1">
      <c r="A50" s="1353">
        <v>37</v>
      </c>
      <c r="B50" s="1353">
        <v>37</v>
      </c>
      <c r="C50" s="1353" t="s">
        <v>3138</v>
      </c>
      <c r="D50" s="1361" t="str">
        <f>TONGHOPCONGDOI!C47</f>
        <v>Son Xa May</v>
      </c>
      <c r="E50" s="1355"/>
      <c r="F50" s="1353">
        <v>110</v>
      </c>
      <c r="G50" s="1353">
        <v>136</v>
      </c>
      <c r="H50" s="1353">
        <v>135</v>
      </c>
      <c r="I50" s="1353">
        <v>110</v>
      </c>
      <c r="J50" s="1353">
        <v>88</v>
      </c>
      <c r="K50" s="1353">
        <v>111</v>
      </c>
      <c r="L50" s="1353">
        <v>140</v>
      </c>
      <c r="M50" s="1353">
        <v>147</v>
      </c>
      <c r="N50" s="1353">
        <v>90</v>
      </c>
      <c r="O50" s="1353">
        <v>147</v>
      </c>
      <c r="P50" s="1353">
        <v>164</v>
      </c>
      <c r="Q50" s="1353">
        <v>178</v>
      </c>
      <c r="R50" s="1353">
        <v>84</v>
      </c>
      <c r="S50" s="1353">
        <v>160</v>
      </c>
      <c r="T50" s="1353">
        <v>175</v>
      </c>
      <c r="U50" s="1353">
        <v>192</v>
      </c>
      <c r="V50" s="1353">
        <v>74</v>
      </c>
      <c r="W50" s="1353">
        <v>151</v>
      </c>
      <c r="X50" s="1353">
        <v>176</v>
      </c>
      <c r="Y50" s="1353">
        <v>168</v>
      </c>
      <c r="Z50" s="1353">
        <v>116</v>
      </c>
      <c r="AA50" s="1353">
        <v>150</v>
      </c>
      <c r="AB50" s="1353">
        <v>147</v>
      </c>
      <c r="AC50" s="1353">
        <v>156</v>
      </c>
      <c r="AD50" s="1353">
        <v>94</v>
      </c>
      <c r="AE50" s="1353">
        <v>118</v>
      </c>
      <c r="AF50" s="1353">
        <v>135</v>
      </c>
      <c r="AG50" s="1353">
        <v>149</v>
      </c>
      <c r="AH50" s="1353">
        <v>102</v>
      </c>
      <c r="AI50" s="1353">
        <v>137</v>
      </c>
      <c r="AJ50" s="1353">
        <v>158</v>
      </c>
      <c r="AK50" s="1355">
        <f t="shared" si="5"/>
        <v>4198</v>
      </c>
      <c r="AL50" s="1355">
        <f t="shared" si="9"/>
        <v>1784.2662877902408</v>
      </c>
      <c r="AM50" s="1831">
        <f t="shared" si="6"/>
        <v>4198</v>
      </c>
      <c r="AN50" s="1831">
        <f t="shared" si="7"/>
        <v>230.05823540729173</v>
      </c>
      <c r="AO50" s="1831">
        <f t="shared" si="8"/>
        <v>2014.3245231975325</v>
      </c>
      <c r="AP50" s="60" t="s">
        <v>1959</v>
      </c>
      <c r="AQ50" s="1355">
        <f t="shared" si="10"/>
        <v>1679.2</v>
      </c>
      <c r="AR50" s="1378">
        <f t="shared" si="11"/>
        <v>105.06628779024072</v>
      </c>
    </row>
    <row r="51" spans="1:44" s="51" customFormat="1" ht="19.149999999999999" customHeight="1" outlineLevel="1">
      <c r="A51" s="1353">
        <v>38</v>
      </c>
      <c r="B51" s="1353">
        <v>38</v>
      </c>
      <c r="C51" s="1353" t="s">
        <v>3139</v>
      </c>
      <c r="D51" s="1361" t="str">
        <f>TONGHOPCONGDOI!C48</f>
        <v>T . Pheng</v>
      </c>
      <c r="E51" s="1355"/>
      <c r="F51" s="1353">
        <v>110</v>
      </c>
      <c r="G51" s="1353">
        <v>125</v>
      </c>
      <c r="H51" s="1353">
        <v>132</v>
      </c>
      <c r="I51" s="1353">
        <v>132</v>
      </c>
      <c r="J51" s="1353">
        <v>71</v>
      </c>
      <c r="K51" s="1353">
        <v>127</v>
      </c>
      <c r="L51" s="1353">
        <v>103</v>
      </c>
      <c r="M51" s="1353">
        <v>250</v>
      </c>
      <c r="N51" s="1353">
        <v>0</v>
      </c>
      <c r="O51" s="1353">
        <v>170</v>
      </c>
      <c r="P51" s="1353">
        <v>179</v>
      </c>
      <c r="Q51" s="1353">
        <v>214</v>
      </c>
      <c r="R51" s="1353">
        <v>174</v>
      </c>
      <c r="S51" s="1353">
        <v>0</v>
      </c>
      <c r="T51" s="1353">
        <v>153</v>
      </c>
      <c r="U51" s="1353">
        <v>194</v>
      </c>
      <c r="V51" s="1353">
        <v>0</v>
      </c>
      <c r="W51" s="1353">
        <v>199</v>
      </c>
      <c r="X51" s="1353">
        <v>0</v>
      </c>
      <c r="Y51" s="1353">
        <v>0</v>
      </c>
      <c r="Z51" s="1353">
        <v>159</v>
      </c>
      <c r="AA51" s="1353">
        <v>0</v>
      </c>
      <c r="AB51" s="1353">
        <v>127</v>
      </c>
      <c r="AC51" s="1353">
        <v>0</v>
      </c>
      <c r="AD51" s="1353">
        <v>79</v>
      </c>
      <c r="AE51" s="1353">
        <v>0</v>
      </c>
      <c r="AF51" s="1353">
        <v>0</v>
      </c>
      <c r="AG51" s="1353">
        <v>0</v>
      </c>
      <c r="AH51" s="1353">
        <v>0</v>
      </c>
      <c r="AI51" s="1353">
        <v>0</v>
      </c>
      <c r="AJ51" s="1353">
        <v>0</v>
      </c>
      <c r="AK51" s="1355">
        <f t="shared" si="5"/>
        <v>2698</v>
      </c>
      <c r="AL51" s="1355">
        <f t="shared" si="9"/>
        <v>1146.7247366503261</v>
      </c>
      <c r="AM51" s="1831">
        <f t="shared" si="6"/>
        <v>2698</v>
      </c>
      <c r="AN51" s="1831">
        <f t="shared" si="7"/>
        <v>147.85543571435755</v>
      </c>
      <c r="AO51" s="1831">
        <f t="shared" si="8"/>
        <v>1294.5801723646837</v>
      </c>
      <c r="AP51" s="60" t="s">
        <v>1957</v>
      </c>
      <c r="AQ51" s="1355">
        <f t="shared" si="10"/>
        <v>1079.2</v>
      </c>
      <c r="AR51" s="1378">
        <f t="shared" si="11"/>
        <v>67.524736650326076</v>
      </c>
    </row>
    <row r="52" spans="1:44" s="51" customFormat="1" ht="19.149999999999999" customHeight="1" outlineLevel="1">
      <c r="A52" s="1353">
        <v>39</v>
      </c>
      <c r="B52" s="1353">
        <v>39</v>
      </c>
      <c r="C52" s="1353" t="s">
        <v>3140</v>
      </c>
      <c r="D52" s="1361" t="str">
        <f>TONGHOPCONGDOI!C49</f>
        <v>T. Nọi Ê</v>
      </c>
      <c r="E52" s="1355"/>
      <c r="F52" s="1353">
        <v>167</v>
      </c>
      <c r="G52" s="1353">
        <v>119</v>
      </c>
      <c r="H52" s="1353">
        <v>160</v>
      </c>
      <c r="I52" s="1353">
        <v>0</v>
      </c>
      <c r="J52" s="1353">
        <v>105</v>
      </c>
      <c r="K52" s="1353">
        <v>185</v>
      </c>
      <c r="L52" s="1353">
        <v>127</v>
      </c>
      <c r="M52" s="1353">
        <v>261</v>
      </c>
      <c r="N52" s="1353">
        <v>118</v>
      </c>
      <c r="O52" s="1353">
        <v>187</v>
      </c>
      <c r="P52" s="1353">
        <v>206</v>
      </c>
      <c r="Q52" s="1353">
        <v>191</v>
      </c>
      <c r="R52" s="1353">
        <v>133</v>
      </c>
      <c r="S52" s="1353">
        <v>172</v>
      </c>
      <c r="T52" s="1353">
        <v>205</v>
      </c>
      <c r="U52" s="1353">
        <v>192</v>
      </c>
      <c r="V52" s="1353">
        <v>100</v>
      </c>
      <c r="W52" s="1353">
        <v>172</v>
      </c>
      <c r="X52" s="1353">
        <v>200</v>
      </c>
      <c r="Y52" s="1353">
        <v>145</v>
      </c>
      <c r="Z52" s="1353">
        <v>167</v>
      </c>
      <c r="AA52" s="1353">
        <v>177</v>
      </c>
      <c r="AB52" s="1353">
        <v>194</v>
      </c>
      <c r="AC52" s="1353">
        <v>206</v>
      </c>
      <c r="AD52" s="1353">
        <v>100</v>
      </c>
      <c r="AE52" s="1353">
        <v>0</v>
      </c>
      <c r="AF52" s="1353">
        <v>178</v>
      </c>
      <c r="AG52" s="1353">
        <v>156</v>
      </c>
      <c r="AH52" s="1353">
        <v>120</v>
      </c>
      <c r="AI52" s="1353">
        <v>273</v>
      </c>
      <c r="AJ52" s="1353">
        <v>172</v>
      </c>
      <c r="AK52" s="1355">
        <f t="shared" si="5"/>
        <v>4888</v>
      </c>
      <c r="AL52" s="1355">
        <f t="shared" si="9"/>
        <v>2077.5354013146016</v>
      </c>
      <c r="AM52" s="1831">
        <f t="shared" si="6"/>
        <v>4888</v>
      </c>
      <c r="AN52" s="1831">
        <f t="shared" si="7"/>
        <v>267.87152326604144</v>
      </c>
      <c r="AO52" s="1831">
        <f t="shared" si="8"/>
        <v>2345.4069245806431</v>
      </c>
      <c r="AP52" s="60" t="s">
        <v>1959</v>
      </c>
      <c r="AQ52" s="1355">
        <f t="shared" si="10"/>
        <v>1955.2</v>
      </c>
      <c r="AR52" s="1378">
        <f t="shared" si="11"/>
        <v>122.33540131460154</v>
      </c>
    </row>
    <row r="53" spans="1:44" s="51" customFormat="1" ht="19.149999999999999" customHeight="1" outlineLevel="1">
      <c r="A53" s="1353">
        <v>40</v>
      </c>
      <c r="B53" s="1353">
        <v>40</v>
      </c>
      <c r="C53" s="1353" t="s">
        <v>3141</v>
      </c>
      <c r="D53" s="1361" t="str">
        <f>TONGHOPCONGDOI!C50</f>
        <v>N. Đeng</v>
      </c>
      <c r="E53" s="1355"/>
      <c r="F53" s="1353">
        <v>120</v>
      </c>
      <c r="G53" s="1353">
        <v>163</v>
      </c>
      <c r="H53" s="1353">
        <v>137</v>
      </c>
      <c r="I53" s="1353">
        <v>133</v>
      </c>
      <c r="J53" s="1353">
        <v>97</v>
      </c>
      <c r="K53" s="1353">
        <v>163</v>
      </c>
      <c r="L53" s="1353">
        <v>116</v>
      </c>
      <c r="M53" s="1353">
        <v>141</v>
      </c>
      <c r="N53" s="1353">
        <v>99</v>
      </c>
      <c r="O53" s="1353">
        <v>180</v>
      </c>
      <c r="P53" s="1353">
        <v>123</v>
      </c>
      <c r="Q53" s="1353">
        <v>202</v>
      </c>
      <c r="R53" s="1353">
        <v>113</v>
      </c>
      <c r="S53" s="1353">
        <v>154</v>
      </c>
      <c r="T53" s="1353">
        <v>166</v>
      </c>
      <c r="U53" s="1353">
        <v>162</v>
      </c>
      <c r="V53" s="1353">
        <v>117</v>
      </c>
      <c r="W53" s="1353">
        <v>162</v>
      </c>
      <c r="X53" s="1353">
        <v>149</v>
      </c>
      <c r="Y53" s="1353">
        <v>163</v>
      </c>
      <c r="Z53" s="1353">
        <v>108</v>
      </c>
      <c r="AA53" s="1353">
        <v>142</v>
      </c>
      <c r="AB53" s="1353">
        <v>150</v>
      </c>
      <c r="AC53" s="1353">
        <v>131</v>
      </c>
      <c r="AD53" s="1353">
        <v>98</v>
      </c>
      <c r="AE53" s="1353">
        <v>129</v>
      </c>
      <c r="AF53" s="1353">
        <v>152</v>
      </c>
      <c r="AG53" s="1353">
        <v>177</v>
      </c>
      <c r="AH53" s="1353">
        <v>113</v>
      </c>
      <c r="AI53" s="1353">
        <v>161</v>
      </c>
      <c r="AJ53" s="1353">
        <v>153</v>
      </c>
      <c r="AK53" s="1355">
        <f t="shared" si="5"/>
        <v>4374</v>
      </c>
      <c r="AL53" s="1355">
        <f t="shared" si="9"/>
        <v>1859.0711631239908</v>
      </c>
      <c r="AM53" s="1831">
        <f t="shared" si="6"/>
        <v>4374</v>
      </c>
      <c r="AN53" s="1831">
        <f t="shared" si="7"/>
        <v>239.70336390459599</v>
      </c>
      <c r="AO53" s="1831">
        <f t="shared" si="8"/>
        <v>2098.7745270285868</v>
      </c>
      <c r="AP53" s="60" t="s">
        <v>1959</v>
      </c>
      <c r="AQ53" s="1355">
        <f t="shared" si="10"/>
        <v>1749.6000000000001</v>
      </c>
      <c r="AR53" s="1378">
        <f t="shared" si="11"/>
        <v>109.47116312399066</v>
      </c>
    </row>
    <row r="54" spans="1:44" s="51" customFormat="1" ht="19.149999999999999" customHeight="1" outlineLevel="1">
      <c r="A54" s="1353">
        <v>41</v>
      </c>
      <c r="B54" s="1353">
        <v>41</v>
      </c>
      <c r="C54" s="1353" t="s">
        <v>3142</v>
      </c>
      <c r="D54" s="1361" t="str">
        <f>TONGHOPCONGDOI!C51</f>
        <v>Thảo Buồng</v>
      </c>
      <c r="E54" s="1355"/>
      <c r="F54" s="1353">
        <v>105</v>
      </c>
      <c r="G54" s="1353">
        <v>230</v>
      </c>
      <c r="H54" s="1353">
        <v>186</v>
      </c>
      <c r="I54" s="1353">
        <v>170</v>
      </c>
      <c r="J54" s="1353">
        <v>86</v>
      </c>
      <c r="K54" s="1353">
        <v>226</v>
      </c>
      <c r="L54" s="1353">
        <v>198</v>
      </c>
      <c r="M54" s="1353">
        <v>182</v>
      </c>
      <c r="N54" s="1353">
        <v>84</v>
      </c>
      <c r="O54" s="1353">
        <v>214</v>
      </c>
      <c r="P54" s="1353">
        <v>173</v>
      </c>
      <c r="Q54" s="1353">
        <v>207</v>
      </c>
      <c r="R54" s="1353">
        <v>90</v>
      </c>
      <c r="S54" s="1353">
        <v>218</v>
      </c>
      <c r="T54" s="1353">
        <v>200</v>
      </c>
      <c r="U54" s="1353">
        <v>198</v>
      </c>
      <c r="V54" s="1353">
        <v>109</v>
      </c>
      <c r="W54" s="1353">
        <v>221</v>
      </c>
      <c r="X54" s="1353">
        <v>192</v>
      </c>
      <c r="Y54" s="1353">
        <v>195</v>
      </c>
      <c r="Z54" s="1353">
        <v>91</v>
      </c>
      <c r="AA54" s="1353">
        <v>195</v>
      </c>
      <c r="AB54" s="1353">
        <v>195</v>
      </c>
      <c r="AC54" s="1353">
        <v>186</v>
      </c>
      <c r="AD54" s="1353">
        <v>86</v>
      </c>
      <c r="AE54" s="1353">
        <v>178</v>
      </c>
      <c r="AF54" s="1353">
        <v>174</v>
      </c>
      <c r="AG54" s="1353">
        <v>172</v>
      </c>
      <c r="AH54" s="1353">
        <v>90</v>
      </c>
      <c r="AI54" s="1353">
        <v>192</v>
      </c>
      <c r="AJ54" s="1353">
        <v>179</v>
      </c>
      <c r="AK54" s="1355">
        <f t="shared" si="5"/>
        <v>5222</v>
      </c>
      <c r="AL54" s="1355">
        <f t="shared" si="9"/>
        <v>2219.4946533684224</v>
      </c>
      <c r="AM54" s="1831">
        <f t="shared" si="6"/>
        <v>5222</v>
      </c>
      <c r="AN54" s="1831">
        <f t="shared" si="7"/>
        <v>286.17534666433477</v>
      </c>
      <c r="AO54" s="1831">
        <f t="shared" si="8"/>
        <v>2505.6700000327573</v>
      </c>
      <c r="AP54" s="60" t="s">
        <v>1959</v>
      </c>
      <c r="AQ54" s="1355">
        <f t="shared" si="10"/>
        <v>2088.8000000000002</v>
      </c>
      <c r="AR54" s="1378">
        <f t="shared" si="11"/>
        <v>130.69465336842222</v>
      </c>
    </row>
    <row r="55" spans="1:44" s="51" customFormat="1" ht="19.149999999999999" customHeight="1" outlineLevel="1">
      <c r="A55" s="1353">
        <v>42</v>
      </c>
      <c r="B55" s="1353">
        <v>42</v>
      </c>
      <c r="C55" s="1353" t="s">
        <v>3143</v>
      </c>
      <c r="D55" s="1361" t="str">
        <f>TONGHOPCONGDOI!C52</f>
        <v>T. Om</v>
      </c>
      <c r="E55" s="1355"/>
      <c r="F55" s="1353">
        <v>110</v>
      </c>
      <c r="G55" s="1353">
        <v>229</v>
      </c>
      <c r="H55" s="1353">
        <v>187</v>
      </c>
      <c r="I55" s="1353">
        <v>134</v>
      </c>
      <c r="J55" s="1353">
        <v>82</v>
      </c>
      <c r="K55" s="1353">
        <v>196</v>
      </c>
      <c r="L55" s="1353">
        <v>171</v>
      </c>
      <c r="M55" s="1353">
        <v>130</v>
      </c>
      <c r="N55" s="1353">
        <v>93</v>
      </c>
      <c r="O55" s="1353">
        <v>218</v>
      </c>
      <c r="P55" s="1353">
        <v>234</v>
      </c>
      <c r="Q55" s="1353">
        <v>177</v>
      </c>
      <c r="R55" s="1353">
        <v>100</v>
      </c>
      <c r="S55" s="1353">
        <v>212</v>
      </c>
      <c r="T55" s="1353">
        <v>155</v>
      </c>
      <c r="U55" s="1353">
        <v>117</v>
      </c>
      <c r="V55" s="1353">
        <v>100</v>
      </c>
      <c r="W55" s="1353">
        <v>192</v>
      </c>
      <c r="X55" s="1353">
        <v>192</v>
      </c>
      <c r="Y55" s="1353">
        <v>141</v>
      </c>
      <c r="Z55" s="1353">
        <v>98</v>
      </c>
      <c r="AA55" s="1353">
        <v>177</v>
      </c>
      <c r="AB55" s="1353">
        <v>186</v>
      </c>
      <c r="AC55" s="1353">
        <v>141</v>
      </c>
      <c r="AD55" s="1353">
        <v>100</v>
      </c>
      <c r="AE55" s="1353">
        <v>0</v>
      </c>
      <c r="AF55" s="1353">
        <v>158</v>
      </c>
      <c r="AG55" s="1353">
        <v>103</v>
      </c>
      <c r="AH55" s="1353">
        <v>93</v>
      </c>
      <c r="AI55" s="1353">
        <v>264</v>
      </c>
      <c r="AJ55" s="1353">
        <v>167</v>
      </c>
      <c r="AK55" s="1355">
        <f t="shared" si="5"/>
        <v>4657</v>
      </c>
      <c r="AL55" s="1355">
        <f t="shared" si="9"/>
        <v>1979.3540024390545</v>
      </c>
      <c r="AM55" s="1831">
        <f t="shared" si="6"/>
        <v>4657</v>
      </c>
      <c r="AN55" s="1831">
        <f t="shared" si="7"/>
        <v>255.21229211332957</v>
      </c>
      <c r="AO55" s="1831">
        <f t="shared" si="8"/>
        <v>2234.5662945523841</v>
      </c>
      <c r="AP55" s="60" t="s">
        <v>1959</v>
      </c>
      <c r="AQ55" s="1355">
        <f t="shared" si="10"/>
        <v>1862.8000000000002</v>
      </c>
      <c r="AR55" s="1378">
        <f t="shared" si="11"/>
        <v>116.55400243905433</v>
      </c>
    </row>
    <row r="56" spans="1:44" s="51" customFormat="1" ht="19.149999999999999" customHeight="1" outlineLevel="1">
      <c r="A56" s="1353">
        <v>43</v>
      </c>
      <c r="B56" s="1353">
        <v>43</v>
      </c>
      <c r="C56" s="1353" t="s">
        <v>3144</v>
      </c>
      <c r="D56" s="1361" t="str">
        <f>TONGHOPCONGDOI!C53</f>
        <v>T Xinh</v>
      </c>
      <c r="E56" s="1355"/>
      <c r="F56" s="1353">
        <v>139</v>
      </c>
      <c r="G56" s="1353">
        <v>217</v>
      </c>
      <c r="H56" s="1353">
        <v>159</v>
      </c>
      <c r="I56" s="1353">
        <v>152</v>
      </c>
      <c r="J56" s="1353">
        <v>101</v>
      </c>
      <c r="K56" s="1353">
        <v>216</v>
      </c>
      <c r="L56" s="1353">
        <v>152</v>
      </c>
      <c r="M56" s="1353">
        <v>133</v>
      </c>
      <c r="N56" s="1353">
        <v>104</v>
      </c>
      <c r="O56" s="1353">
        <v>323</v>
      </c>
      <c r="P56" s="1353">
        <v>224</v>
      </c>
      <c r="Q56" s="1353">
        <v>201</v>
      </c>
      <c r="R56" s="1353">
        <v>116</v>
      </c>
      <c r="S56" s="1353">
        <v>165</v>
      </c>
      <c r="T56" s="1353">
        <v>154</v>
      </c>
      <c r="U56" s="1353">
        <v>147</v>
      </c>
      <c r="V56" s="1353">
        <v>112</v>
      </c>
      <c r="W56" s="1353">
        <v>173</v>
      </c>
      <c r="X56" s="1353">
        <v>144</v>
      </c>
      <c r="Y56" s="1353">
        <v>126</v>
      </c>
      <c r="Z56" s="1353">
        <v>96</v>
      </c>
      <c r="AA56" s="1353">
        <v>149</v>
      </c>
      <c r="AB56" s="1353">
        <v>145</v>
      </c>
      <c r="AC56" s="1353">
        <v>130</v>
      </c>
      <c r="AD56" s="1353">
        <v>108</v>
      </c>
      <c r="AE56" s="1353">
        <v>128</v>
      </c>
      <c r="AF56" s="1353">
        <v>123</v>
      </c>
      <c r="AG56" s="1353">
        <v>137</v>
      </c>
      <c r="AH56" s="1353">
        <v>110</v>
      </c>
      <c r="AI56" s="1353">
        <v>134</v>
      </c>
      <c r="AJ56" s="1353">
        <v>120</v>
      </c>
      <c r="AK56" s="1355">
        <f t="shared" si="5"/>
        <v>4638</v>
      </c>
      <c r="AL56" s="1355">
        <f t="shared" si="9"/>
        <v>1971.2784761246157</v>
      </c>
      <c r="AM56" s="1831">
        <f t="shared" si="6"/>
        <v>4638</v>
      </c>
      <c r="AN56" s="1831">
        <f t="shared" si="7"/>
        <v>254.1710566505524</v>
      </c>
      <c r="AO56" s="1831">
        <f t="shared" si="8"/>
        <v>2225.4495327751683</v>
      </c>
      <c r="AP56" s="60" t="s">
        <v>1957</v>
      </c>
      <c r="AQ56" s="1355">
        <f t="shared" si="10"/>
        <v>1855.2</v>
      </c>
      <c r="AR56" s="1378">
        <f t="shared" si="11"/>
        <v>116.07847612461569</v>
      </c>
    </row>
    <row r="57" spans="1:44" s="51" customFormat="1" ht="19.149999999999999" customHeight="1" outlineLevel="1">
      <c r="A57" s="1353">
        <v>44</v>
      </c>
      <c r="B57" s="1353">
        <v>44</v>
      </c>
      <c r="C57" s="1353" t="s">
        <v>3145</v>
      </c>
      <c r="D57" s="1361" t="str">
        <f>TONGHOPCONGDOI!C54</f>
        <v>T. Thong A</v>
      </c>
      <c r="E57" s="1355"/>
      <c r="F57" s="1353">
        <v>197</v>
      </c>
      <c r="G57" s="1353">
        <v>219</v>
      </c>
      <c r="H57" s="1353">
        <v>131</v>
      </c>
      <c r="I57" s="1353">
        <v>166</v>
      </c>
      <c r="J57" s="1353">
        <v>176</v>
      </c>
      <c r="K57" s="1353">
        <v>200</v>
      </c>
      <c r="L57" s="1353">
        <v>0</v>
      </c>
      <c r="M57" s="1353">
        <v>231</v>
      </c>
      <c r="N57" s="1353">
        <v>71</v>
      </c>
      <c r="O57" s="1353">
        <v>181</v>
      </c>
      <c r="P57" s="1353">
        <v>188</v>
      </c>
      <c r="Q57" s="1353">
        <v>0</v>
      </c>
      <c r="R57" s="1353">
        <v>0</v>
      </c>
      <c r="S57" s="1353">
        <v>0</v>
      </c>
      <c r="T57" s="1353">
        <v>0</v>
      </c>
      <c r="U57" s="1353">
        <v>0</v>
      </c>
      <c r="V57" s="1353">
        <v>135</v>
      </c>
      <c r="W57" s="1353">
        <v>286</v>
      </c>
      <c r="X57" s="1353">
        <v>139</v>
      </c>
      <c r="Y57" s="1353">
        <v>267</v>
      </c>
      <c r="Z57" s="1353">
        <v>136</v>
      </c>
      <c r="AA57" s="1353">
        <v>0</v>
      </c>
      <c r="AB57" s="1353">
        <v>170</v>
      </c>
      <c r="AC57" s="1353">
        <v>175</v>
      </c>
      <c r="AD57" s="1353">
        <v>124</v>
      </c>
      <c r="AE57" s="1353">
        <v>323</v>
      </c>
      <c r="AF57" s="1353">
        <v>117</v>
      </c>
      <c r="AG57" s="1353">
        <v>176</v>
      </c>
      <c r="AH57" s="1353">
        <v>0</v>
      </c>
      <c r="AI57" s="1353">
        <v>0</v>
      </c>
      <c r="AJ57" s="1353">
        <v>0</v>
      </c>
      <c r="AK57" s="1355">
        <f t="shared" si="5"/>
        <v>3808</v>
      </c>
      <c r="AL57" s="1355">
        <f t="shared" si="9"/>
        <v>1618.5054844938629</v>
      </c>
      <c r="AM57" s="1831">
        <f t="shared" si="6"/>
        <v>3808</v>
      </c>
      <c r="AN57" s="1831">
        <f t="shared" si="7"/>
        <v>208.68550748712883</v>
      </c>
      <c r="AO57" s="1831">
        <f t="shared" si="8"/>
        <v>1827.1909919809918</v>
      </c>
      <c r="AP57" s="60" t="s">
        <v>1957</v>
      </c>
      <c r="AQ57" s="1355">
        <f t="shared" si="10"/>
        <v>1523.2</v>
      </c>
      <c r="AR57" s="1378">
        <f t="shared" si="11"/>
        <v>95.305484493862878</v>
      </c>
    </row>
    <row r="58" spans="1:44" s="51" customFormat="1" ht="19.149999999999999" customHeight="1" outlineLevel="1">
      <c r="A58" s="1353">
        <v>45</v>
      </c>
      <c r="B58" s="1353">
        <v>45</v>
      </c>
      <c r="C58" s="1353" t="s">
        <v>3146</v>
      </c>
      <c r="D58" s="1361" t="str">
        <f>TONGHOPCONGDOI!C55</f>
        <v>N. Đôn</v>
      </c>
      <c r="E58" s="1355"/>
      <c r="F58" s="1353">
        <v>172</v>
      </c>
      <c r="G58" s="1353">
        <v>190</v>
      </c>
      <c r="H58" s="1353">
        <v>182</v>
      </c>
      <c r="I58" s="1353">
        <v>140</v>
      </c>
      <c r="J58" s="1353">
        <v>130</v>
      </c>
      <c r="K58" s="1353">
        <v>195</v>
      </c>
      <c r="L58" s="1353">
        <v>196</v>
      </c>
      <c r="M58" s="1353">
        <v>139</v>
      </c>
      <c r="N58" s="1353">
        <v>153</v>
      </c>
      <c r="O58" s="1353">
        <v>233</v>
      </c>
      <c r="P58" s="1353">
        <v>227</v>
      </c>
      <c r="Q58" s="1353">
        <v>202</v>
      </c>
      <c r="R58" s="1353">
        <v>187</v>
      </c>
      <c r="S58" s="1353">
        <v>193</v>
      </c>
      <c r="T58" s="1353">
        <v>136</v>
      </c>
      <c r="U58" s="1353">
        <v>162</v>
      </c>
      <c r="V58" s="1353">
        <v>166</v>
      </c>
      <c r="W58" s="1353">
        <v>231</v>
      </c>
      <c r="X58" s="1353">
        <v>211</v>
      </c>
      <c r="Y58" s="1353">
        <v>135</v>
      </c>
      <c r="Z58" s="1353">
        <v>134</v>
      </c>
      <c r="AA58" s="1353">
        <v>175</v>
      </c>
      <c r="AB58" s="1353">
        <v>168</v>
      </c>
      <c r="AC58" s="1353">
        <v>151</v>
      </c>
      <c r="AD58" s="1353">
        <v>0</v>
      </c>
      <c r="AE58" s="1353">
        <v>0</v>
      </c>
      <c r="AF58" s="1353">
        <v>178</v>
      </c>
      <c r="AG58" s="1353">
        <v>151</v>
      </c>
      <c r="AH58" s="1353">
        <v>125</v>
      </c>
      <c r="AI58" s="1353">
        <v>263</v>
      </c>
      <c r="AJ58" s="1353">
        <v>193</v>
      </c>
      <c r="AK58" s="1355">
        <f t="shared" si="5"/>
        <v>5118</v>
      </c>
      <c r="AL58" s="1355">
        <f t="shared" si="9"/>
        <v>2175.2917724893882</v>
      </c>
      <c r="AM58" s="1831">
        <f t="shared" si="6"/>
        <v>5118</v>
      </c>
      <c r="AN58" s="1831">
        <f t="shared" si="7"/>
        <v>280.47595255229135</v>
      </c>
      <c r="AO58" s="1831">
        <f t="shared" si="8"/>
        <v>2455.7677250416796</v>
      </c>
      <c r="AP58" s="60" t="s">
        <v>1959</v>
      </c>
      <c r="AQ58" s="1355">
        <f t="shared" si="10"/>
        <v>2047.2</v>
      </c>
      <c r="AR58" s="1378">
        <f t="shared" si="11"/>
        <v>128.09177248938818</v>
      </c>
    </row>
    <row r="59" spans="1:44" s="51" customFormat="1" ht="19.149999999999999" customHeight="1" outlineLevel="1">
      <c r="A59" s="1353">
        <v>46</v>
      </c>
      <c r="B59" s="1353">
        <v>46</v>
      </c>
      <c r="C59" s="1353" t="s">
        <v>3147</v>
      </c>
      <c r="D59" s="1361" t="str">
        <f>TONGHOPCONGDOI!C56</f>
        <v>Viêng Khăm</v>
      </c>
      <c r="E59" s="1355"/>
      <c r="F59" s="1353">
        <v>120</v>
      </c>
      <c r="G59" s="1353">
        <v>138</v>
      </c>
      <c r="H59" s="1353">
        <v>152</v>
      </c>
      <c r="I59" s="1353">
        <v>114</v>
      </c>
      <c r="J59" s="1353">
        <v>105</v>
      </c>
      <c r="K59" s="1353">
        <v>109</v>
      </c>
      <c r="L59" s="1353">
        <v>137</v>
      </c>
      <c r="M59" s="1353">
        <v>117</v>
      </c>
      <c r="N59" s="1353">
        <v>107</v>
      </c>
      <c r="O59" s="1353">
        <v>117</v>
      </c>
      <c r="P59" s="1353">
        <v>182</v>
      </c>
      <c r="Q59" s="1353">
        <v>170</v>
      </c>
      <c r="R59" s="1353">
        <v>114</v>
      </c>
      <c r="S59" s="1353">
        <v>113</v>
      </c>
      <c r="T59" s="1353">
        <v>165</v>
      </c>
      <c r="U59" s="1353">
        <v>165</v>
      </c>
      <c r="V59" s="1353">
        <v>98</v>
      </c>
      <c r="W59" s="1353">
        <v>163</v>
      </c>
      <c r="X59" s="1353">
        <v>166</v>
      </c>
      <c r="Y59" s="1353">
        <v>149</v>
      </c>
      <c r="Z59" s="1353">
        <v>97</v>
      </c>
      <c r="AA59" s="1353">
        <v>131</v>
      </c>
      <c r="AB59" s="1353">
        <v>150</v>
      </c>
      <c r="AC59" s="1353">
        <v>132</v>
      </c>
      <c r="AD59" s="1353">
        <v>93</v>
      </c>
      <c r="AE59" s="1353">
        <v>110</v>
      </c>
      <c r="AF59" s="1353">
        <v>137</v>
      </c>
      <c r="AG59" s="1353">
        <v>122</v>
      </c>
      <c r="AH59" s="1353">
        <v>99</v>
      </c>
      <c r="AI59" s="1353">
        <v>122</v>
      </c>
      <c r="AJ59" s="1353">
        <v>127</v>
      </c>
      <c r="AK59" s="1355">
        <f t="shared" si="5"/>
        <v>4021</v>
      </c>
      <c r="AL59" s="1355">
        <f t="shared" si="9"/>
        <v>1709.0363847557308</v>
      </c>
      <c r="AM59" s="1831">
        <f t="shared" si="6"/>
        <v>4021</v>
      </c>
      <c r="AN59" s="1831">
        <f t="shared" si="7"/>
        <v>220.35830504352549</v>
      </c>
      <c r="AO59" s="1831">
        <f t="shared" si="8"/>
        <v>1929.3946897992562</v>
      </c>
      <c r="AP59" s="60" t="s">
        <v>1957</v>
      </c>
      <c r="AQ59" s="1355">
        <f t="shared" si="10"/>
        <v>1608.4</v>
      </c>
      <c r="AR59" s="1378">
        <f t="shared" si="11"/>
        <v>100.63638475573066</v>
      </c>
    </row>
    <row r="60" spans="1:44" s="51" customFormat="1" ht="19.149999999999999" customHeight="1" outlineLevel="1">
      <c r="A60" s="1353">
        <v>47</v>
      </c>
      <c r="B60" s="1353">
        <v>47</v>
      </c>
      <c r="C60" s="1353" t="s">
        <v>3148</v>
      </c>
      <c r="D60" s="1361" t="str">
        <f>TONGHOPCONGDOI!C57</f>
        <v>Veo Khăm</v>
      </c>
      <c r="E60" s="1355"/>
      <c r="F60" s="1353">
        <v>121</v>
      </c>
      <c r="G60" s="1353">
        <v>138</v>
      </c>
      <c r="H60" s="1353">
        <v>152</v>
      </c>
      <c r="I60" s="1353">
        <v>115</v>
      </c>
      <c r="J60" s="1353">
        <v>105</v>
      </c>
      <c r="K60" s="1353">
        <v>109</v>
      </c>
      <c r="L60" s="1353">
        <v>137</v>
      </c>
      <c r="M60" s="1353">
        <v>118</v>
      </c>
      <c r="N60" s="1353">
        <v>107</v>
      </c>
      <c r="O60" s="1353">
        <v>118</v>
      </c>
      <c r="P60" s="1353">
        <v>182</v>
      </c>
      <c r="Q60" s="1353">
        <v>171</v>
      </c>
      <c r="R60" s="1353">
        <v>114</v>
      </c>
      <c r="S60" s="1353">
        <v>114</v>
      </c>
      <c r="T60" s="1353">
        <v>166</v>
      </c>
      <c r="U60" s="1353">
        <v>165</v>
      </c>
      <c r="V60" s="1353">
        <v>99</v>
      </c>
      <c r="W60" s="1353">
        <v>163</v>
      </c>
      <c r="X60" s="1353">
        <v>167</v>
      </c>
      <c r="Y60" s="1353">
        <v>150</v>
      </c>
      <c r="Z60" s="1353">
        <v>97</v>
      </c>
      <c r="AA60" s="1353">
        <v>131</v>
      </c>
      <c r="AB60" s="1353">
        <v>150</v>
      </c>
      <c r="AC60" s="1353">
        <v>133</v>
      </c>
      <c r="AD60" s="1353">
        <v>94</v>
      </c>
      <c r="AE60" s="1353">
        <v>110</v>
      </c>
      <c r="AF60" s="1353">
        <v>138</v>
      </c>
      <c r="AG60" s="1353">
        <v>123</v>
      </c>
      <c r="AH60" s="1353">
        <v>100</v>
      </c>
      <c r="AI60" s="1353">
        <v>122</v>
      </c>
      <c r="AJ60" s="1353">
        <v>128</v>
      </c>
      <c r="AK60" s="1355">
        <f t="shared" si="5"/>
        <v>4037</v>
      </c>
      <c r="AL60" s="1355">
        <f t="shared" si="9"/>
        <v>1715.8368279678898</v>
      </c>
      <c r="AM60" s="1831">
        <f t="shared" si="6"/>
        <v>4037</v>
      </c>
      <c r="AN60" s="1831">
        <f t="shared" si="7"/>
        <v>221.23513490691678</v>
      </c>
      <c r="AO60" s="1831">
        <f t="shared" si="8"/>
        <v>1937.0719628748066</v>
      </c>
      <c r="AP60" s="60" t="s">
        <v>1957</v>
      </c>
      <c r="AQ60" s="1355">
        <f t="shared" si="10"/>
        <v>1614.8000000000002</v>
      </c>
      <c r="AR60" s="1378">
        <f t="shared" si="11"/>
        <v>101.03682796788962</v>
      </c>
    </row>
    <row r="61" spans="1:44" s="51" customFormat="1" ht="19.149999999999999" customHeight="1" outlineLevel="1">
      <c r="A61" s="1353">
        <v>48</v>
      </c>
      <c r="B61" s="1353">
        <v>48</v>
      </c>
      <c r="C61" s="1353" t="s">
        <v>3149</v>
      </c>
      <c r="D61" s="1361" t="str">
        <f>TONGHOPCONGDOI!C58</f>
        <v>Chăn Đen</v>
      </c>
      <c r="E61" s="1355"/>
      <c r="F61" s="1353">
        <v>192</v>
      </c>
      <c r="G61" s="1353">
        <v>175</v>
      </c>
      <c r="H61" s="1353">
        <v>130</v>
      </c>
      <c r="I61" s="1353">
        <v>130</v>
      </c>
      <c r="J61" s="1353">
        <v>135</v>
      </c>
      <c r="K61" s="1353">
        <v>192</v>
      </c>
      <c r="L61" s="1353">
        <v>120</v>
      </c>
      <c r="M61" s="1353">
        <v>118</v>
      </c>
      <c r="N61" s="1353">
        <v>157</v>
      </c>
      <c r="O61" s="1353">
        <v>221</v>
      </c>
      <c r="P61" s="1353">
        <v>187</v>
      </c>
      <c r="Q61" s="1353">
        <v>203</v>
      </c>
      <c r="R61" s="1353">
        <v>174</v>
      </c>
      <c r="S61" s="1353">
        <v>188</v>
      </c>
      <c r="T61" s="1353">
        <v>148</v>
      </c>
      <c r="U61" s="1353">
        <v>179</v>
      </c>
      <c r="V61" s="1353">
        <v>161</v>
      </c>
      <c r="W61" s="1353">
        <v>170</v>
      </c>
      <c r="X61" s="1353">
        <v>129</v>
      </c>
      <c r="Y61" s="1353">
        <v>134</v>
      </c>
      <c r="Z61" s="1353">
        <v>164</v>
      </c>
      <c r="AA61" s="1353">
        <v>126</v>
      </c>
      <c r="AB61" s="1353">
        <v>0</v>
      </c>
      <c r="AC61" s="1353">
        <v>133</v>
      </c>
      <c r="AD61" s="1353">
        <v>130</v>
      </c>
      <c r="AE61" s="1353">
        <v>0</v>
      </c>
      <c r="AF61" s="1353">
        <v>0</v>
      </c>
      <c r="AG61" s="1353">
        <v>0</v>
      </c>
      <c r="AH61" s="1353">
        <v>0</v>
      </c>
      <c r="AI61" s="1353">
        <v>0</v>
      </c>
      <c r="AJ61" s="1353">
        <v>200</v>
      </c>
      <c r="AK61" s="1355">
        <f t="shared" si="5"/>
        <v>3996</v>
      </c>
      <c r="AL61" s="1355">
        <f t="shared" si="9"/>
        <v>1698.4106922367323</v>
      </c>
      <c r="AM61" s="1831">
        <f t="shared" si="6"/>
        <v>3996</v>
      </c>
      <c r="AN61" s="1831">
        <f t="shared" si="7"/>
        <v>218.98825838197658</v>
      </c>
      <c r="AO61" s="1831">
        <f t="shared" si="8"/>
        <v>1917.3989506187088</v>
      </c>
      <c r="AP61" s="60" t="s">
        <v>1957</v>
      </c>
      <c r="AQ61" s="1355">
        <f t="shared" si="10"/>
        <v>1598.4</v>
      </c>
      <c r="AR61" s="1378">
        <f t="shared" si="11"/>
        <v>100.01069223673221</v>
      </c>
    </row>
    <row r="62" spans="1:44" s="51" customFormat="1" ht="19.149999999999999" customHeight="1" outlineLevel="1">
      <c r="A62" s="1353">
        <v>49</v>
      </c>
      <c r="B62" s="1353">
        <v>49</v>
      </c>
      <c r="C62" s="1353" t="s">
        <v>3150</v>
      </c>
      <c r="D62" s="1361" t="str">
        <f>TONGHOPCONGDOI!C59</f>
        <v>N. Nun</v>
      </c>
      <c r="E62" s="1355"/>
      <c r="F62" s="1353">
        <v>99</v>
      </c>
      <c r="G62" s="1353">
        <v>183</v>
      </c>
      <c r="H62" s="1353">
        <v>175</v>
      </c>
      <c r="I62" s="1353">
        <v>125</v>
      </c>
      <c r="J62" s="1353">
        <v>81</v>
      </c>
      <c r="K62" s="1353">
        <v>157</v>
      </c>
      <c r="L62" s="1353">
        <v>175</v>
      </c>
      <c r="M62" s="1353">
        <v>130</v>
      </c>
      <c r="N62" s="1353">
        <v>89</v>
      </c>
      <c r="O62" s="1353">
        <v>194</v>
      </c>
      <c r="P62" s="1353">
        <v>205</v>
      </c>
      <c r="Q62" s="1353">
        <v>185</v>
      </c>
      <c r="R62" s="1353">
        <v>90</v>
      </c>
      <c r="S62" s="1353">
        <v>175</v>
      </c>
      <c r="T62" s="1353">
        <v>186</v>
      </c>
      <c r="U62" s="1353">
        <v>159</v>
      </c>
      <c r="V62" s="1353">
        <v>89</v>
      </c>
      <c r="W62" s="1353">
        <v>175</v>
      </c>
      <c r="X62" s="1353">
        <v>174</v>
      </c>
      <c r="Y62" s="1353">
        <v>139</v>
      </c>
      <c r="Z62" s="1353">
        <v>105</v>
      </c>
      <c r="AA62" s="1353">
        <v>153</v>
      </c>
      <c r="AB62" s="1353">
        <v>154</v>
      </c>
      <c r="AC62" s="1353">
        <v>130</v>
      </c>
      <c r="AD62" s="1353">
        <v>73</v>
      </c>
      <c r="AE62" s="1353">
        <v>133</v>
      </c>
      <c r="AF62" s="1353">
        <v>148</v>
      </c>
      <c r="AG62" s="1353">
        <v>117</v>
      </c>
      <c r="AH62" s="1353">
        <v>95</v>
      </c>
      <c r="AI62" s="1353">
        <v>186</v>
      </c>
      <c r="AJ62" s="1353">
        <v>161</v>
      </c>
      <c r="AK62" s="1355">
        <f t="shared" si="5"/>
        <v>4440</v>
      </c>
      <c r="AL62" s="1355">
        <f t="shared" si="9"/>
        <v>1887.122991374147</v>
      </c>
      <c r="AM62" s="1831">
        <f t="shared" si="6"/>
        <v>4440</v>
      </c>
      <c r="AN62" s="1831">
        <f t="shared" si="7"/>
        <v>243.32028709108511</v>
      </c>
      <c r="AO62" s="1831">
        <f t="shared" si="8"/>
        <v>2130.4432784652322</v>
      </c>
      <c r="AP62" s="60" t="s">
        <v>1959</v>
      </c>
      <c r="AQ62" s="1355">
        <f t="shared" si="10"/>
        <v>1776</v>
      </c>
      <c r="AR62" s="1378">
        <f t="shared" si="11"/>
        <v>111.12299137414698</v>
      </c>
    </row>
    <row r="63" spans="1:44" s="51" customFormat="1" ht="19.149999999999999" customHeight="1" outlineLevel="1">
      <c r="A63" s="1353">
        <v>50</v>
      </c>
      <c r="B63" s="1353">
        <v>50</v>
      </c>
      <c r="C63" s="1353" t="s">
        <v>3151</v>
      </c>
      <c r="D63" s="1361" t="str">
        <f>TONGHOPCONGDOI!C60</f>
        <v>In Pông</v>
      </c>
      <c r="E63" s="1355"/>
      <c r="F63" s="1353">
        <v>139</v>
      </c>
      <c r="G63" s="1353">
        <v>164</v>
      </c>
      <c r="H63" s="1353">
        <v>127</v>
      </c>
      <c r="I63" s="1353">
        <v>113</v>
      </c>
      <c r="J63" s="1353">
        <v>140</v>
      </c>
      <c r="K63" s="1353">
        <v>130</v>
      </c>
      <c r="L63" s="1353">
        <v>120</v>
      </c>
      <c r="M63" s="1353">
        <v>94</v>
      </c>
      <c r="N63" s="1353">
        <v>0</v>
      </c>
      <c r="O63" s="1353">
        <v>132</v>
      </c>
      <c r="P63" s="1353">
        <v>160</v>
      </c>
      <c r="Q63" s="1353">
        <v>150</v>
      </c>
      <c r="R63" s="1353">
        <v>216</v>
      </c>
      <c r="S63" s="1353">
        <v>133</v>
      </c>
      <c r="T63" s="1353">
        <v>155</v>
      </c>
      <c r="U63" s="1353">
        <v>126</v>
      </c>
      <c r="V63" s="1353">
        <v>115</v>
      </c>
      <c r="W63" s="1353">
        <v>140</v>
      </c>
      <c r="X63" s="1353">
        <v>129</v>
      </c>
      <c r="Y63" s="1353">
        <v>111</v>
      </c>
      <c r="Z63" s="1353">
        <v>104</v>
      </c>
      <c r="AA63" s="1353">
        <v>101</v>
      </c>
      <c r="AB63" s="1353">
        <v>122</v>
      </c>
      <c r="AC63" s="1353">
        <v>104</v>
      </c>
      <c r="AD63" s="1353">
        <v>0</v>
      </c>
      <c r="AE63" s="1353">
        <v>0</v>
      </c>
      <c r="AF63" s="1353">
        <v>109</v>
      </c>
      <c r="AG63" s="1353">
        <v>100</v>
      </c>
      <c r="AH63" s="1353">
        <v>169</v>
      </c>
      <c r="AI63" s="1353">
        <v>185</v>
      </c>
      <c r="AJ63" s="1353">
        <v>130</v>
      </c>
      <c r="AK63" s="1355">
        <f t="shared" si="5"/>
        <v>3718</v>
      </c>
      <c r="AL63" s="1355">
        <f t="shared" si="9"/>
        <v>1580.2529914254681</v>
      </c>
      <c r="AM63" s="1831">
        <f t="shared" si="6"/>
        <v>3718</v>
      </c>
      <c r="AN63" s="1831">
        <f t="shared" si="7"/>
        <v>203.75333950555279</v>
      </c>
      <c r="AO63" s="1831">
        <f t="shared" si="8"/>
        <v>1784.0063309310208</v>
      </c>
      <c r="AP63" s="60" t="s">
        <v>1959</v>
      </c>
      <c r="AQ63" s="1355">
        <f t="shared" si="10"/>
        <v>1487.2</v>
      </c>
      <c r="AR63" s="1378">
        <f t="shared" si="11"/>
        <v>93.052991425468008</v>
      </c>
    </row>
    <row r="64" spans="1:44" s="51" customFormat="1" ht="19.149999999999999" customHeight="1" outlineLevel="1">
      <c r="A64" s="1353">
        <v>51</v>
      </c>
      <c r="B64" s="1353">
        <v>51</v>
      </c>
      <c r="C64" s="1353" t="s">
        <v>3152</v>
      </c>
      <c r="D64" s="1361" t="str">
        <f>TONGHOPCONGDOI!C61</f>
        <v>Pha Đi</v>
      </c>
      <c r="E64" s="1355"/>
      <c r="F64" s="1353">
        <v>0</v>
      </c>
      <c r="G64" s="1353">
        <v>206</v>
      </c>
      <c r="H64" s="1353">
        <v>133</v>
      </c>
      <c r="I64" s="1353">
        <v>100</v>
      </c>
      <c r="J64" s="1353">
        <v>57</v>
      </c>
      <c r="K64" s="1353">
        <v>109</v>
      </c>
      <c r="L64" s="1353">
        <v>107</v>
      </c>
      <c r="M64" s="1353">
        <v>98</v>
      </c>
      <c r="N64" s="1353">
        <v>0</v>
      </c>
      <c r="O64" s="1353">
        <v>128</v>
      </c>
      <c r="P64" s="1353">
        <v>183</v>
      </c>
      <c r="Q64" s="1353">
        <v>126</v>
      </c>
      <c r="R64" s="1353">
        <v>98</v>
      </c>
      <c r="S64" s="1353">
        <v>127</v>
      </c>
      <c r="T64" s="1353">
        <v>150</v>
      </c>
      <c r="U64" s="1353">
        <v>127</v>
      </c>
      <c r="V64" s="1353">
        <v>94</v>
      </c>
      <c r="W64" s="1353">
        <v>174</v>
      </c>
      <c r="X64" s="1353">
        <v>158</v>
      </c>
      <c r="Y64" s="1353">
        <v>132</v>
      </c>
      <c r="Z64" s="1353">
        <v>108</v>
      </c>
      <c r="AA64" s="1353">
        <v>148</v>
      </c>
      <c r="AB64" s="1353">
        <v>161</v>
      </c>
      <c r="AC64" s="1353">
        <v>112</v>
      </c>
      <c r="AD64" s="1353">
        <v>118</v>
      </c>
      <c r="AE64" s="1353">
        <v>156</v>
      </c>
      <c r="AF64" s="1353">
        <v>148</v>
      </c>
      <c r="AG64" s="1353">
        <v>127</v>
      </c>
      <c r="AH64" s="1353">
        <v>107</v>
      </c>
      <c r="AI64" s="1353">
        <v>169</v>
      </c>
      <c r="AJ64" s="1353">
        <v>146</v>
      </c>
      <c r="AK64" s="1355">
        <f t="shared" si="5"/>
        <v>3807</v>
      </c>
      <c r="AL64" s="1355">
        <f t="shared" si="9"/>
        <v>1618.0804567931029</v>
      </c>
      <c r="AM64" s="1831">
        <f t="shared" si="6"/>
        <v>3807</v>
      </c>
      <c r="AN64" s="1831">
        <f t="shared" si="7"/>
        <v>208.63070562066687</v>
      </c>
      <c r="AO64" s="1831">
        <f t="shared" si="8"/>
        <v>1826.7111624137699</v>
      </c>
      <c r="AP64" s="60" t="s">
        <v>1959</v>
      </c>
      <c r="AQ64" s="1355">
        <f t="shared" si="10"/>
        <v>1522.8000000000002</v>
      </c>
      <c r="AR64" s="1378">
        <f t="shared" si="11"/>
        <v>95.280456793102758</v>
      </c>
    </row>
    <row r="65" spans="1:44" s="51" customFormat="1" ht="19.149999999999999" customHeight="1" outlineLevel="1">
      <c r="A65" s="1353">
        <v>52</v>
      </c>
      <c r="B65" s="1353">
        <v>52</v>
      </c>
      <c r="C65" s="1353" t="s">
        <v>3153</v>
      </c>
      <c r="D65" s="1361" t="str">
        <f>TONGHOPCONGDOI!C62</f>
        <v>Thảo Nọi B</v>
      </c>
      <c r="E65" s="1355"/>
      <c r="F65" s="1353">
        <v>0</v>
      </c>
      <c r="G65" s="1353">
        <v>136</v>
      </c>
      <c r="H65" s="1353">
        <v>145</v>
      </c>
      <c r="I65" s="1353">
        <v>135</v>
      </c>
      <c r="J65" s="1353">
        <v>0</v>
      </c>
      <c r="K65" s="1353">
        <v>137</v>
      </c>
      <c r="L65" s="1353">
        <v>171</v>
      </c>
      <c r="M65" s="1353">
        <v>123</v>
      </c>
      <c r="N65" s="1353">
        <v>197</v>
      </c>
      <c r="O65" s="1353">
        <v>145</v>
      </c>
      <c r="P65" s="1353">
        <v>198</v>
      </c>
      <c r="Q65" s="1353">
        <v>138</v>
      </c>
      <c r="R65" s="1353">
        <v>117</v>
      </c>
      <c r="S65" s="1353">
        <v>160</v>
      </c>
      <c r="T65" s="1353">
        <v>167</v>
      </c>
      <c r="U65" s="1353">
        <v>209</v>
      </c>
      <c r="V65" s="1353">
        <v>0</v>
      </c>
      <c r="W65" s="1353">
        <v>165</v>
      </c>
      <c r="X65" s="1353">
        <v>185</v>
      </c>
      <c r="Y65" s="1353">
        <v>193</v>
      </c>
      <c r="Z65" s="1353">
        <v>179</v>
      </c>
      <c r="AA65" s="1353">
        <v>127</v>
      </c>
      <c r="AB65" s="1353">
        <v>157</v>
      </c>
      <c r="AC65" s="1353">
        <v>163</v>
      </c>
      <c r="AD65" s="1353">
        <v>72</v>
      </c>
      <c r="AE65" s="1353">
        <v>130</v>
      </c>
      <c r="AF65" s="1353">
        <v>196</v>
      </c>
      <c r="AG65" s="1353">
        <v>220</v>
      </c>
      <c r="AH65" s="1353">
        <v>94</v>
      </c>
      <c r="AI65" s="1353">
        <v>0</v>
      </c>
      <c r="AJ65" s="1353">
        <v>152</v>
      </c>
      <c r="AK65" s="1355">
        <f t="shared" si="5"/>
        <v>4211</v>
      </c>
      <c r="AL65" s="1355">
        <f t="shared" si="9"/>
        <v>1789.7916479001201</v>
      </c>
      <c r="AM65" s="1831">
        <f t="shared" si="6"/>
        <v>4211</v>
      </c>
      <c r="AN65" s="1831">
        <f t="shared" si="7"/>
        <v>230.77065967129715</v>
      </c>
      <c r="AO65" s="1831">
        <f t="shared" si="8"/>
        <v>2020.5623075714173</v>
      </c>
      <c r="AP65" s="60" t="s">
        <v>1957</v>
      </c>
      <c r="AQ65" s="1355">
        <f t="shared" si="10"/>
        <v>1684.4</v>
      </c>
      <c r="AR65" s="1378">
        <f t="shared" si="11"/>
        <v>105.39164790012001</v>
      </c>
    </row>
    <row r="66" spans="1:44" s="51" customFormat="1" ht="19.149999999999999" customHeight="1" outlineLevel="1">
      <c r="A66" s="1353">
        <v>53</v>
      </c>
      <c r="B66" s="1353">
        <v>53</v>
      </c>
      <c r="C66" s="1353" t="s">
        <v>3154</v>
      </c>
      <c r="D66" s="1361" t="str">
        <f>TONGHOPCONGDOI!C63</f>
        <v xml:space="preserve">T. Lăm  </v>
      </c>
      <c r="E66" s="1355"/>
      <c r="F66" s="1353">
        <v>63</v>
      </c>
      <c r="G66" s="1353">
        <v>176</v>
      </c>
      <c r="H66" s="1353">
        <v>108</v>
      </c>
      <c r="I66" s="1353">
        <v>100</v>
      </c>
      <c r="J66" s="1353">
        <v>63</v>
      </c>
      <c r="K66" s="1353">
        <v>100</v>
      </c>
      <c r="L66" s="1353">
        <v>131</v>
      </c>
      <c r="M66" s="1353">
        <v>120</v>
      </c>
      <c r="N66" s="1353">
        <v>74</v>
      </c>
      <c r="O66" s="1353">
        <v>104</v>
      </c>
      <c r="P66" s="1353">
        <v>109</v>
      </c>
      <c r="Q66" s="1353">
        <v>127</v>
      </c>
      <c r="R66" s="1353">
        <v>70</v>
      </c>
      <c r="S66" s="1353">
        <v>0</v>
      </c>
      <c r="T66" s="1353">
        <v>138</v>
      </c>
      <c r="U66" s="1353">
        <v>171</v>
      </c>
      <c r="V66" s="1353">
        <v>79</v>
      </c>
      <c r="W66" s="1353">
        <v>164</v>
      </c>
      <c r="X66" s="1353">
        <v>127</v>
      </c>
      <c r="Y66" s="1353">
        <v>148</v>
      </c>
      <c r="Z66" s="1353">
        <v>58</v>
      </c>
      <c r="AA66" s="1353">
        <v>0</v>
      </c>
      <c r="AB66" s="1353">
        <v>144</v>
      </c>
      <c r="AC66" s="1353">
        <v>135</v>
      </c>
      <c r="AD66" s="1353">
        <v>62</v>
      </c>
      <c r="AE66" s="1353">
        <v>176</v>
      </c>
      <c r="AF66" s="1353">
        <v>98</v>
      </c>
      <c r="AG66" s="1353">
        <v>100</v>
      </c>
      <c r="AH66" s="1353">
        <v>0</v>
      </c>
      <c r="AI66" s="1353">
        <v>101</v>
      </c>
      <c r="AJ66" s="1353">
        <v>122</v>
      </c>
      <c r="AK66" s="1355">
        <f t="shared" si="5"/>
        <v>3168</v>
      </c>
      <c r="AL66" s="1355">
        <f t="shared" si="9"/>
        <v>1346.4877560074995</v>
      </c>
      <c r="AM66" s="1831">
        <f t="shared" si="6"/>
        <v>3168</v>
      </c>
      <c r="AN66" s="1831">
        <f t="shared" si="7"/>
        <v>173.61231295147692</v>
      </c>
      <c r="AO66" s="1831">
        <f t="shared" si="8"/>
        <v>1520.1000689589764</v>
      </c>
      <c r="AP66" s="60" t="s">
        <v>1957</v>
      </c>
      <c r="AQ66" s="1355">
        <f t="shared" si="10"/>
        <v>1267.2</v>
      </c>
      <c r="AR66" s="1378">
        <f t="shared" si="11"/>
        <v>79.287756007499411</v>
      </c>
    </row>
    <row r="67" spans="1:44" s="51" customFormat="1" ht="19.149999999999999" customHeight="1" outlineLevel="1">
      <c r="A67" s="1353">
        <v>54</v>
      </c>
      <c r="B67" s="1353">
        <v>54</v>
      </c>
      <c r="C67" s="1353" t="s">
        <v>3155</v>
      </c>
      <c r="D67" s="1361" t="str">
        <f>TONGHOPCONGDOI!C64</f>
        <v>Khăm Phiêng</v>
      </c>
      <c r="E67" s="1355"/>
      <c r="F67" s="1353">
        <v>127</v>
      </c>
      <c r="G67" s="1353">
        <v>205</v>
      </c>
      <c r="H67" s="1353">
        <v>168</v>
      </c>
      <c r="I67" s="1353">
        <v>124</v>
      </c>
      <c r="J67" s="1353">
        <v>95</v>
      </c>
      <c r="K67" s="1353">
        <v>172</v>
      </c>
      <c r="L67" s="1353">
        <v>161</v>
      </c>
      <c r="M67" s="1353">
        <v>139</v>
      </c>
      <c r="N67" s="1353">
        <v>103</v>
      </c>
      <c r="O67" s="1353">
        <v>210</v>
      </c>
      <c r="P67" s="1353">
        <v>196</v>
      </c>
      <c r="Q67" s="1353">
        <v>179</v>
      </c>
      <c r="R67" s="1353">
        <v>104</v>
      </c>
      <c r="S67" s="1353">
        <v>188</v>
      </c>
      <c r="T67" s="1353">
        <v>168</v>
      </c>
      <c r="U67" s="1353">
        <v>167</v>
      </c>
      <c r="V67" s="1353">
        <v>133</v>
      </c>
      <c r="W67" s="1353">
        <v>183</v>
      </c>
      <c r="X67" s="1353">
        <v>169</v>
      </c>
      <c r="Y67" s="1353">
        <v>157</v>
      </c>
      <c r="Z67" s="1353">
        <v>109</v>
      </c>
      <c r="AA67" s="1353">
        <v>0</v>
      </c>
      <c r="AB67" s="1353">
        <v>160</v>
      </c>
      <c r="AC67" s="1353">
        <v>140</v>
      </c>
      <c r="AD67" s="1353">
        <v>95</v>
      </c>
      <c r="AE67" s="1353">
        <v>243</v>
      </c>
      <c r="AF67" s="1353">
        <v>144</v>
      </c>
      <c r="AG67" s="1353">
        <v>137</v>
      </c>
      <c r="AH67" s="1353">
        <v>107</v>
      </c>
      <c r="AI67" s="1353">
        <v>178</v>
      </c>
      <c r="AJ67" s="1353">
        <v>165</v>
      </c>
      <c r="AK67" s="1355">
        <f t="shared" si="5"/>
        <v>4626</v>
      </c>
      <c r="AL67" s="1355">
        <f t="shared" si="9"/>
        <v>1966.1781437154964</v>
      </c>
      <c r="AM67" s="1831">
        <f t="shared" si="6"/>
        <v>4626</v>
      </c>
      <c r="AN67" s="1831">
        <f t="shared" si="7"/>
        <v>253.51343425300894</v>
      </c>
      <c r="AO67" s="1831">
        <f t="shared" si="8"/>
        <v>2219.6915779685055</v>
      </c>
      <c r="AP67" s="60" t="s">
        <v>1959</v>
      </c>
      <c r="AQ67" s="1355">
        <f t="shared" si="10"/>
        <v>1850.4</v>
      </c>
      <c r="AR67" s="1378">
        <f t="shared" si="11"/>
        <v>115.7781437154963</v>
      </c>
    </row>
    <row r="68" spans="1:44" s="51" customFormat="1" ht="19.149999999999999" customHeight="1" outlineLevel="1">
      <c r="A68" s="1353">
        <v>55</v>
      </c>
      <c r="B68" s="1353">
        <v>55</v>
      </c>
      <c r="C68" s="1353" t="s">
        <v>3156</v>
      </c>
      <c r="D68" s="1361" t="str">
        <f>TONGHOPCONGDOI!C65</f>
        <v>Khiêng Khăm</v>
      </c>
      <c r="E68" s="1355"/>
      <c r="F68" s="1353">
        <v>127</v>
      </c>
      <c r="G68" s="1353">
        <v>205</v>
      </c>
      <c r="H68" s="1353">
        <v>168</v>
      </c>
      <c r="I68" s="1353">
        <v>124</v>
      </c>
      <c r="J68" s="1353">
        <v>95</v>
      </c>
      <c r="K68" s="1353">
        <v>172</v>
      </c>
      <c r="L68" s="1353">
        <v>161</v>
      </c>
      <c r="M68" s="1353">
        <v>139</v>
      </c>
      <c r="N68" s="1353">
        <v>103</v>
      </c>
      <c r="O68" s="1353">
        <v>210</v>
      </c>
      <c r="P68" s="1353">
        <v>196</v>
      </c>
      <c r="Q68" s="1353">
        <v>180</v>
      </c>
      <c r="R68" s="1353">
        <v>104</v>
      </c>
      <c r="S68" s="1353">
        <v>188</v>
      </c>
      <c r="T68" s="1353">
        <v>168</v>
      </c>
      <c r="U68" s="1353">
        <v>167</v>
      </c>
      <c r="V68" s="1353">
        <v>133</v>
      </c>
      <c r="W68" s="1353">
        <v>184</v>
      </c>
      <c r="X68" s="1353">
        <v>169</v>
      </c>
      <c r="Y68" s="1353">
        <v>157</v>
      </c>
      <c r="Z68" s="1353">
        <v>109</v>
      </c>
      <c r="AA68" s="1353">
        <v>0</v>
      </c>
      <c r="AB68" s="1353">
        <v>160</v>
      </c>
      <c r="AC68" s="1353">
        <v>139</v>
      </c>
      <c r="AD68" s="1353">
        <v>95</v>
      </c>
      <c r="AE68" s="1353">
        <v>243</v>
      </c>
      <c r="AF68" s="1353">
        <v>144</v>
      </c>
      <c r="AG68" s="1353">
        <v>137</v>
      </c>
      <c r="AH68" s="1353">
        <v>107</v>
      </c>
      <c r="AI68" s="1353">
        <v>178</v>
      </c>
      <c r="AJ68" s="1353">
        <v>165</v>
      </c>
      <c r="AK68" s="1355">
        <f t="shared" si="5"/>
        <v>4627</v>
      </c>
      <c r="AL68" s="1355">
        <f t="shared" si="9"/>
        <v>1966.6031714162564</v>
      </c>
      <c r="AM68" s="1831">
        <f t="shared" si="6"/>
        <v>4627</v>
      </c>
      <c r="AN68" s="1831">
        <f t="shared" si="7"/>
        <v>253.5682361194709</v>
      </c>
      <c r="AO68" s="1831">
        <f t="shared" si="8"/>
        <v>2220.1714075357272</v>
      </c>
      <c r="AP68" s="60" t="s">
        <v>1959</v>
      </c>
      <c r="AQ68" s="1355">
        <f t="shared" si="10"/>
        <v>1850.8000000000002</v>
      </c>
      <c r="AR68" s="1378">
        <f t="shared" si="11"/>
        <v>115.80317141625619</v>
      </c>
    </row>
    <row r="69" spans="1:44" s="51" customFormat="1" ht="19.149999999999999" customHeight="1" outlineLevel="1">
      <c r="A69" s="1353">
        <v>56</v>
      </c>
      <c r="B69" s="1353">
        <v>56</v>
      </c>
      <c r="C69" s="1353" t="s">
        <v>3157</v>
      </c>
      <c r="D69" s="1361" t="str">
        <f>TONGHOPCONGDOI!C66</f>
        <v>T. Kỷ</v>
      </c>
      <c r="E69" s="1355"/>
      <c r="F69" s="1353">
        <v>0</v>
      </c>
      <c r="G69" s="1353">
        <v>156</v>
      </c>
      <c r="H69" s="1353">
        <v>208</v>
      </c>
      <c r="I69" s="1353">
        <v>152</v>
      </c>
      <c r="J69" s="1353">
        <v>208</v>
      </c>
      <c r="K69" s="1353">
        <v>136</v>
      </c>
      <c r="L69" s="1353">
        <v>204</v>
      </c>
      <c r="M69" s="1353">
        <v>140</v>
      </c>
      <c r="N69" s="1353">
        <v>108</v>
      </c>
      <c r="O69" s="1353">
        <v>164</v>
      </c>
      <c r="P69" s="1353">
        <v>248</v>
      </c>
      <c r="Q69" s="1353">
        <v>190</v>
      </c>
      <c r="R69" s="1353">
        <v>112</v>
      </c>
      <c r="S69" s="1353">
        <v>175</v>
      </c>
      <c r="T69" s="1353">
        <v>191</v>
      </c>
      <c r="U69" s="1353">
        <v>192</v>
      </c>
      <c r="V69" s="1353">
        <v>140</v>
      </c>
      <c r="W69" s="1353">
        <v>154</v>
      </c>
      <c r="X69" s="1353">
        <v>250</v>
      </c>
      <c r="Y69" s="1353">
        <v>169</v>
      </c>
      <c r="Z69" s="1353">
        <v>125</v>
      </c>
      <c r="AA69" s="1353">
        <v>137</v>
      </c>
      <c r="AB69" s="1353">
        <v>225</v>
      </c>
      <c r="AC69" s="1353">
        <v>144</v>
      </c>
      <c r="AD69" s="1353">
        <v>114</v>
      </c>
      <c r="AE69" s="1353">
        <v>162</v>
      </c>
      <c r="AF69" s="1353">
        <v>173</v>
      </c>
      <c r="AG69" s="1353">
        <v>180</v>
      </c>
      <c r="AH69" s="1353">
        <v>126</v>
      </c>
      <c r="AI69" s="1353">
        <v>191</v>
      </c>
      <c r="AJ69" s="1353">
        <v>227</v>
      </c>
      <c r="AK69" s="1355">
        <f t="shared" si="5"/>
        <v>5101</v>
      </c>
      <c r="AL69" s="1355">
        <f t="shared" si="9"/>
        <v>2168.0663015764694</v>
      </c>
      <c r="AM69" s="1831">
        <f t="shared" si="6"/>
        <v>5101</v>
      </c>
      <c r="AN69" s="1831">
        <f t="shared" si="7"/>
        <v>279.54432082243807</v>
      </c>
      <c r="AO69" s="1831">
        <f t="shared" si="8"/>
        <v>2447.6106223989073</v>
      </c>
      <c r="AP69" s="60" t="s">
        <v>1959</v>
      </c>
      <c r="AQ69" s="1355">
        <f t="shared" si="10"/>
        <v>2040.4</v>
      </c>
      <c r="AR69" s="1378">
        <f t="shared" si="11"/>
        <v>127.66630157646932</v>
      </c>
    </row>
    <row r="70" spans="1:44" s="51" customFormat="1" ht="19.149999999999999" customHeight="1" outlineLevel="1">
      <c r="A70" s="1353">
        <v>57</v>
      </c>
      <c r="B70" s="1353">
        <v>57</v>
      </c>
      <c r="C70" s="1353" t="s">
        <v>3158</v>
      </c>
      <c r="D70" s="1361" t="str">
        <f>TONGHOPCONGDOI!C67</f>
        <v>T. Vi Lai Văn</v>
      </c>
      <c r="E70" s="1355"/>
      <c r="F70" s="1353">
        <v>99</v>
      </c>
      <c r="G70" s="1353">
        <v>184</v>
      </c>
      <c r="H70" s="1353">
        <v>175</v>
      </c>
      <c r="I70" s="1353">
        <v>125</v>
      </c>
      <c r="J70" s="1353">
        <v>81</v>
      </c>
      <c r="K70" s="1353">
        <v>158</v>
      </c>
      <c r="L70" s="1353">
        <v>175</v>
      </c>
      <c r="M70" s="1353">
        <v>131</v>
      </c>
      <c r="N70" s="1353">
        <v>89</v>
      </c>
      <c r="O70" s="1353">
        <v>194</v>
      </c>
      <c r="P70" s="1353">
        <v>205</v>
      </c>
      <c r="Q70" s="1353">
        <v>185</v>
      </c>
      <c r="R70" s="1353">
        <v>90</v>
      </c>
      <c r="S70" s="1353">
        <v>175</v>
      </c>
      <c r="T70" s="1353">
        <v>186</v>
      </c>
      <c r="U70" s="1353">
        <v>159</v>
      </c>
      <c r="V70" s="1353">
        <v>90</v>
      </c>
      <c r="W70" s="1353">
        <v>175</v>
      </c>
      <c r="X70" s="1353">
        <v>174</v>
      </c>
      <c r="Y70" s="1353">
        <v>139</v>
      </c>
      <c r="Z70" s="1353">
        <v>105</v>
      </c>
      <c r="AA70" s="1353">
        <v>153</v>
      </c>
      <c r="AB70" s="1353">
        <v>154</v>
      </c>
      <c r="AC70" s="1353">
        <v>130</v>
      </c>
      <c r="AD70" s="1353">
        <v>73</v>
      </c>
      <c r="AE70" s="1353">
        <v>133</v>
      </c>
      <c r="AF70" s="1353">
        <v>148</v>
      </c>
      <c r="AG70" s="1353">
        <v>117</v>
      </c>
      <c r="AH70" s="1353">
        <v>95</v>
      </c>
      <c r="AI70" s="1353">
        <v>186</v>
      </c>
      <c r="AJ70" s="1353">
        <v>161</v>
      </c>
      <c r="AK70" s="1355">
        <f t="shared" si="5"/>
        <v>4444</v>
      </c>
      <c r="AL70" s="1355">
        <f t="shared" si="9"/>
        <v>1888.8231021771867</v>
      </c>
      <c r="AM70" s="1831">
        <f t="shared" si="6"/>
        <v>4444</v>
      </c>
      <c r="AN70" s="1831">
        <f t="shared" si="7"/>
        <v>243.53949455693291</v>
      </c>
      <c r="AO70" s="1831">
        <f t="shared" si="8"/>
        <v>2132.3625967341195</v>
      </c>
      <c r="AP70" s="60" t="s">
        <v>1959</v>
      </c>
      <c r="AQ70" s="1355">
        <f t="shared" si="10"/>
        <v>1777.6000000000001</v>
      </c>
      <c r="AR70" s="1378">
        <f t="shared" si="11"/>
        <v>111.22310217718655</v>
      </c>
    </row>
    <row r="71" spans="1:44" s="51" customFormat="1" ht="19.149999999999999" customHeight="1" outlineLevel="1">
      <c r="A71" s="1353">
        <v>58</v>
      </c>
      <c r="B71" s="1353">
        <v>58</v>
      </c>
      <c r="C71" s="1353" t="s">
        <v>3159</v>
      </c>
      <c r="D71" s="1361" t="str">
        <f>TONGHOPCONGDOI!C68</f>
        <v>T. Ê</v>
      </c>
      <c r="E71" s="1355"/>
      <c r="F71" s="1353">
        <v>176</v>
      </c>
      <c r="G71" s="1353">
        <v>275</v>
      </c>
      <c r="H71" s="1353">
        <v>0</v>
      </c>
      <c r="I71" s="1353">
        <v>169</v>
      </c>
      <c r="J71" s="1353">
        <v>110</v>
      </c>
      <c r="K71" s="1353">
        <v>274</v>
      </c>
      <c r="L71" s="1353">
        <v>295</v>
      </c>
      <c r="M71" s="1353">
        <v>151</v>
      </c>
      <c r="N71" s="1353">
        <v>70</v>
      </c>
      <c r="O71" s="1353">
        <v>285</v>
      </c>
      <c r="P71" s="1353">
        <v>240</v>
      </c>
      <c r="Q71" s="1353">
        <v>161</v>
      </c>
      <c r="R71" s="1353">
        <v>175</v>
      </c>
      <c r="S71" s="1353">
        <v>286</v>
      </c>
      <c r="T71" s="1353">
        <v>228</v>
      </c>
      <c r="U71" s="1353">
        <v>226</v>
      </c>
      <c r="V71" s="1353">
        <v>177</v>
      </c>
      <c r="W71" s="1353">
        <v>188</v>
      </c>
      <c r="X71" s="1353">
        <v>360</v>
      </c>
      <c r="Y71" s="1353">
        <v>195</v>
      </c>
      <c r="Z71" s="1353">
        <v>143</v>
      </c>
      <c r="AA71" s="1353">
        <v>271</v>
      </c>
      <c r="AB71" s="1353">
        <v>207</v>
      </c>
      <c r="AC71" s="1353">
        <v>187</v>
      </c>
      <c r="AD71" s="1353">
        <v>110</v>
      </c>
      <c r="AE71" s="1353">
        <v>245</v>
      </c>
      <c r="AF71" s="1353">
        <v>198</v>
      </c>
      <c r="AG71" s="1353">
        <v>184</v>
      </c>
      <c r="AH71" s="1353">
        <v>142</v>
      </c>
      <c r="AI71" s="1353">
        <v>225</v>
      </c>
      <c r="AJ71" s="1353">
        <v>222</v>
      </c>
      <c r="AK71" s="1355">
        <f t="shared" si="5"/>
        <v>6175</v>
      </c>
      <c r="AL71" s="1355">
        <f t="shared" si="9"/>
        <v>2624.5460521926479</v>
      </c>
      <c r="AM71" s="1831">
        <f t="shared" si="6"/>
        <v>6175</v>
      </c>
      <c r="AN71" s="1831">
        <f t="shared" si="7"/>
        <v>338.40152540257895</v>
      </c>
      <c r="AO71" s="1831">
        <f t="shared" si="8"/>
        <v>2962.9475775952269</v>
      </c>
      <c r="AP71" s="60" t="s">
        <v>1959</v>
      </c>
      <c r="AQ71" s="1355">
        <f t="shared" si="10"/>
        <v>2470</v>
      </c>
      <c r="AR71" s="1378">
        <f t="shared" si="11"/>
        <v>154.54605219264795</v>
      </c>
    </row>
    <row r="72" spans="1:44" s="51" customFormat="1" ht="19.149999999999999" customHeight="1" outlineLevel="1">
      <c r="A72" s="1353">
        <v>59</v>
      </c>
      <c r="B72" s="1353">
        <v>59</v>
      </c>
      <c r="C72" s="1353" t="s">
        <v>3160</v>
      </c>
      <c r="D72" s="1361" t="str">
        <f>TONGHOPCONGDOI!C69</f>
        <v>N. Lắt Đa</v>
      </c>
      <c r="E72" s="1355"/>
      <c r="F72" s="1353">
        <v>176</v>
      </c>
      <c r="G72" s="1353">
        <v>275</v>
      </c>
      <c r="H72" s="1353">
        <v>182</v>
      </c>
      <c r="I72" s="1353">
        <v>169</v>
      </c>
      <c r="J72" s="1353">
        <v>110</v>
      </c>
      <c r="K72" s="1353">
        <v>274</v>
      </c>
      <c r="L72" s="1353">
        <v>295</v>
      </c>
      <c r="M72" s="1353">
        <v>151</v>
      </c>
      <c r="N72" s="1353">
        <v>70</v>
      </c>
      <c r="O72" s="1353">
        <v>286</v>
      </c>
      <c r="P72" s="1353">
        <v>240</v>
      </c>
      <c r="Q72" s="1353">
        <v>160</v>
      </c>
      <c r="R72" s="1353">
        <v>175</v>
      </c>
      <c r="S72" s="1353">
        <v>287</v>
      </c>
      <c r="T72" s="1353">
        <v>229</v>
      </c>
      <c r="U72" s="1353">
        <v>226</v>
      </c>
      <c r="V72" s="1353">
        <v>178</v>
      </c>
      <c r="W72" s="1353">
        <v>188</v>
      </c>
      <c r="X72" s="1353">
        <v>361</v>
      </c>
      <c r="Y72" s="1353">
        <v>195</v>
      </c>
      <c r="Z72" s="1353">
        <v>143</v>
      </c>
      <c r="AA72" s="1353">
        <v>238</v>
      </c>
      <c r="AB72" s="1353">
        <v>206</v>
      </c>
      <c r="AC72" s="1353">
        <v>187</v>
      </c>
      <c r="AD72" s="1353">
        <v>111</v>
      </c>
      <c r="AE72" s="1353">
        <v>237</v>
      </c>
      <c r="AF72" s="1353">
        <v>198</v>
      </c>
      <c r="AG72" s="1353">
        <v>185</v>
      </c>
      <c r="AH72" s="1353">
        <v>142</v>
      </c>
      <c r="AI72" s="1353">
        <v>225</v>
      </c>
      <c r="AJ72" s="1353">
        <v>223</v>
      </c>
      <c r="AK72" s="1355">
        <f t="shared" si="5"/>
        <v>6322</v>
      </c>
      <c r="AL72" s="1355">
        <f t="shared" si="9"/>
        <v>2687.0251242043596</v>
      </c>
      <c r="AM72" s="1831">
        <f t="shared" si="6"/>
        <v>6322</v>
      </c>
      <c r="AN72" s="1831">
        <f t="shared" si="7"/>
        <v>346.4573997724865</v>
      </c>
      <c r="AO72" s="1831">
        <f t="shared" si="8"/>
        <v>3033.4825239768461</v>
      </c>
      <c r="AP72" s="60" t="s">
        <v>1959</v>
      </c>
      <c r="AQ72" s="1355">
        <f t="shared" si="10"/>
        <v>2528.8000000000002</v>
      </c>
      <c r="AR72" s="1378">
        <f t="shared" si="11"/>
        <v>158.22512420435942</v>
      </c>
    </row>
    <row r="73" spans="1:44" s="51" customFormat="1" ht="19.149999999999999" customHeight="1" outlineLevel="1">
      <c r="A73" s="1353">
        <v>60</v>
      </c>
      <c r="B73" s="1353">
        <v>60</v>
      </c>
      <c r="C73" s="1353" t="s">
        <v>3161</v>
      </c>
      <c r="D73" s="1361" t="str">
        <f>TONGHOPCONGDOI!C70</f>
        <v>N. Tieng Na</v>
      </c>
      <c r="E73" s="1355"/>
      <c r="F73" s="1353">
        <v>127</v>
      </c>
      <c r="G73" s="1353">
        <v>206</v>
      </c>
      <c r="H73" s="1353">
        <v>169</v>
      </c>
      <c r="I73" s="1353">
        <v>124</v>
      </c>
      <c r="J73" s="1353">
        <v>95</v>
      </c>
      <c r="K73" s="1353">
        <v>173</v>
      </c>
      <c r="L73" s="1353">
        <v>161</v>
      </c>
      <c r="M73" s="1353">
        <v>139</v>
      </c>
      <c r="N73" s="1353">
        <v>104</v>
      </c>
      <c r="O73" s="1353">
        <v>210</v>
      </c>
      <c r="P73" s="1353">
        <v>197</v>
      </c>
      <c r="Q73" s="1353">
        <v>180</v>
      </c>
      <c r="R73" s="1353">
        <v>105</v>
      </c>
      <c r="S73" s="1353">
        <v>188</v>
      </c>
      <c r="T73" s="1353">
        <v>168</v>
      </c>
      <c r="U73" s="1353">
        <v>167</v>
      </c>
      <c r="V73" s="1353">
        <v>134</v>
      </c>
      <c r="W73" s="1353">
        <v>184</v>
      </c>
      <c r="X73" s="1353">
        <v>170</v>
      </c>
      <c r="Y73" s="1353">
        <v>157</v>
      </c>
      <c r="Z73" s="1353">
        <v>109</v>
      </c>
      <c r="AA73" s="1353">
        <v>0</v>
      </c>
      <c r="AB73" s="1353">
        <v>159</v>
      </c>
      <c r="AC73" s="1353">
        <v>139</v>
      </c>
      <c r="AD73" s="1353">
        <v>95</v>
      </c>
      <c r="AE73" s="1353">
        <v>244</v>
      </c>
      <c r="AF73" s="1353">
        <v>145</v>
      </c>
      <c r="AG73" s="1353">
        <v>138</v>
      </c>
      <c r="AH73" s="1353">
        <v>107</v>
      </c>
      <c r="AI73" s="1353">
        <v>178</v>
      </c>
      <c r="AJ73" s="1353">
        <v>165</v>
      </c>
      <c r="AK73" s="1355">
        <f t="shared" si="5"/>
        <v>4637</v>
      </c>
      <c r="AL73" s="1355">
        <f t="shared" si="9"/>
        <v>1970.8534484238558</v>
      </c>
      <c r="AM73" s="1831">
        <f t="shared" si="6"/>
        <v>4637</v>
      </c>
      <c r="AN73" s="1831">
        <f t="shared" si="7"/>
        <v>254.11625478409044</v>
      </c>
      <c r="AO73" s="1831">
        <f t="shared" si="8"/>
        <v>2224.9697032079462</v>
      </c>
      <c r="AP73" s="60" t="s">
        <v>1959</v>
      </c>
      <c r="AQ73" s="1355">
        <f t="shared" si="10"/>
        <v>1854.8000000000002</v>
      </c>
      <c r="AR73" s="1378">
        <f t="shared" si="11"/>
        <v>116.05344842385557</v>
      </c>
    </row>
    <row r="74" spans="1:44" s="51" customFormat="1" ht="19.149999999999999" customHeight="1" outlineLevel="1">
      <c r="A74" s="1353">
        <v>61</v>
      </c>
      <c r="B74" s="1353">
        <v>61</v>
      </c>
      <c r="C74" s="1353" t="s">
        <v>3162</v>
      </c>
      <c r="D74" s="1361" t="str">
        <f>TONGHOPCONGDOI!C71</f>
        <v>A Nha</v>
      </c>
      <c r="E74" s="1355"/>
      <c r="F74" s="1353">
        <v>120</v>
      </c>
      <c r="G74" s="1353">
        <v>0</v>
      </c>
      <c r="H74" s="1353">
        <v>135</v>
      </c>
      <c r="I74" s="1353">
        <v>152</v>
      </c>
      <c r="J74" s="1353">
        <v>101</v>
      </c>
      <c r="K74" s="1353">
        <v>0</v>
      </c>
      <c r="L74" s="1353">
        <v>147</v>
      </c>
      <c r="M74" s="1353">
        <v>151</v>
      </c>
      <c r="N74" s="1353">
        <v>92</v>
      </c>
      <c r="O74" s="1353">
        <v>0</v>
      </c>
      <c r="P74" s="1353">
        <v>0</v>
      </c>
      <c r="Q74" s="1353">
        <v>169</v>
      </c>
      <c r="R74" s="1353">
        <v>136</v>
      </c>
      <c r="S74" s="1353">
        <v>142</v>
      </c>
      <c r="T74" s="1353">
        <v>260</v>
      </c>
      <c r="U74" s="1353">
        <v>155</v>
      </c>
      <c r="V74" s="1353">
        <v>0</v>
      </c>
      <c r="W74" s="1353">
        <v>69</v>
      </c>
      <c r="X74" s="1353">
        <v>127</v>
      </c>
      <c r="Y74" s="1353">
        <v>128</v>
      </c>
      <c r="Z74" s="1353">
        <v>160</v>
      </c>
      <c r="AA74" s="1353">
        <v>89</v>
      </c>
      <c r="AB74" s="1353">
        <v>114</v>
      </c>
      <c r="AC74" s="1353">
        <v>0</v>
      </c>
      <c r="AD74" s="1353">
        <v>84</v>
      </c>
      <c r="AE74" s="1353">
        <v>129</v>
      </c>
      <c r="AF74" s="1353">
        <v>83</v>
      </c>
      <c r="AG74" s="1353">
        <v>228</v>
      </c>
      <c r="AH74" s="1353">
        <v>0</v>
      </c>
      <c r="AI74" s="1353">
        <v>0</v>
      </c>
      <c r="AJ74" s="1353">
        <v>126</v>
      </c>
      <c r="AK74" s="1355">
        <f t="shared" si="5"/>
        <v>3097</v>
      </c>
      <c r="AL74" s="1355">
        <f t="shared" si="9"/>
        <v>1316.3107892535436</v>
      </c>
      <c r="AM74" s="1831">
        <f t="shared" si="6"/>
        <v>3097</v>
      </c>
      <c r="AN74" s="1831">
        <f t="shared" si="7"/>
        <v>169.72138043267805</v>
      </c>
      <c r="AO74" s="1831">
        <f t="shared" si="8"/>
        <v>1486.0321696862216</v>
      </c>
      <c r="AP74" s="60" t="s">
        <v>1957</v>
      </c>
      <c r="AQ74" s="1355">
        <f t="shared" si="10"/>
        <v>1238.8000000000002</v>
      </c>
      <c r="AR74" s="1378">
        <f t="shared" si="11"/>
        <v>77.510789253543408</v>
      </c>
    </row>
    <row r="75" spans="1:44" s="51" customFormat="1" ht="19.149999999999999" customHeight="1" outlineLevel="1">
      <c r="A75" s="1353">
        <v>62</v>
      </c>
      <c r="B75" s="1353">
        <v>62</v>
      </c>
      <c r="C75" s="1353" t="s">
        <v>3163</v>
      </c>
      <c r="D75" s="1361" t="str">
        <f>TONGHOPCONGDOI!C72</f>
        <v>T. Un</v>
      </c>
      <c r="E75" s="1355"/>
      <c r="F75" s="1353">
        <v>120</v>
      </c>
      <c r="G75" s="1353">
        <v>143</v>
      </c>
      <c r="H75" s="1353">
        <v>116</v>
      </c>
      <c r="I75" s="1353">
        <v>170</v>
      </c>
      <c r="J75" s="1353">
        <v>134</v>
      </c>
      <c r="K75" s="1353">
        <v>146</v>
      </c>
      <c r="L75" s="1353">
        <v>170</v>
      </c>
      <c r="M75" s="1353">
        <v>281</v>
      </c>
      <c r="N75" s="1353">
        <v>144</v>
      </c>
      <c r="O75" s="1353">
        <v>201</v>
      </c>
      <c r="P75" s="1353">
        <v>150</v>
      </c>
      <c r="Q75" s="1353">
        <v>303</v>
      </c>
      <c r="R75" s="1353">
        <v>164</v>
      </c>
      <c r="S75" s="1353">
        <v>205</v>
      </c>
      <c r="T75" s="1353">
        <v>175</v>
      </c>
      <c r="U75" s="1353">
        <v>274</v>
      </c>
      <c r="V75" s="1353">
        <v>172</v>
      </c>
      <c r="W75" s="1353">
        <v>217</v>
      </c>
      <c r="X75" s="1353">
        <v>185</v>
      </c>
      <c r="Y75" s="1353">
        <v>261</v>
      </c>
      <c r="Z75" s="1353">
        <v>146</v>
      </c>
      <c r="AA75" s="1353">
        <v>189</v>
      </c>
      <c r="AB75" s="1353">
        <v>176</v>
      </c>
      <c r="AC75" s="1353">
        <v>242</v>
      </c>
      <c r="AD75" s="1353">
        <v>151</v>
      </c>
      <c r="AE75" s="1353">
        <v>193</v>
      </c>
      <c r="AF75" s="1353">
        <v>159</v>
      </c>
      <c r="AG75" s="1353">
        <v>237</v>
      </c>
      <c r="AH75" s="1353">
        <v>155</v>
      </c>
      <c r="AI75" s="1353">
        <v>183</v>
      </c>
      <c r="AJ75" s="1353">
        <v>166</v>
      </c>
      <c r="AK75" s="1355">
        <f t="shared" si="5"/>
        <v>5728</v>
      </c>
      <c r="AL75" s="1355">
        <f t="shared" si="9"/>
        <v>2434.5586699529536</v>
      </c>
      <c r="AM75" s="1831">
        <f t="shared" si="6"/>
        <v>5728</v>
      </c>
      <c r="AN75" s="1831">
        <f t="shared" si="7"/>
        <v>313.90509109408458</v>
      </c>
      <c r="AO75" s="1831">
        <f t="shared" si="8"/>
        <v>2748.4637610470381</v>
      </c>
      <c r="AP75" s="60" t="s">
        <v>1957</v>
      </c>
      <c r="AQ75" s="1355">
        <f t="shared" si="10"/>
        <v>2291.2000000000003</v>
      </c>
      <c r="AR75" s="1378">
        <f t="shared" si="11"/>
        <v>143.35866995295328</v>
      </c>
    </row>
    <row r="76" spans="1:44" s="51" customFormat="1" ht="19.149999999999999" customHeight="1" outlineLevel="1">
      <c r="A76" s="1353">
        <v>63</v>
      </c>
      <c r="B76" s="1353">
        <v>63</v>
      </c>
      <c r="C76" s="1353" t="s">
        <v>3164</v>
      </c>
      <c r="D76" s="1361" t="str">
        <f>TONGHOPCONGDOI!C73</f>
        <v>T. Sinh</v>
      </c>
      <c r="E76" s="1355"/>
      <c r="F76" s="1353">
        <v>0</v>
      </c>
      <c r="G76" s="1353">
        <v>206</v>
      </c>
      <c r="H76" s="1353">
        <v>116</v>
      </c>
      <c r="I76" s="1353">
        <v>136</v>
      </c>
      <c r="J76" s="1353">
        <v>186</v>
      </c>
      <c r="K76" s="1353">
        <v>165</v>
      </c>
      <c r="L76" s="1353">
        <v>148</v>
      </c>
      <c r="M76" s="1353">
        <v>0</v>
      </c>
      <c r="N76" s="1353">
        <v>0</v>
      </c>
      <c r="O76" s="1353">
        <v>154</v>
      </c>
      <c r="P76" s="1353">
        <v>163</v>
      </c>
      <c r="Q76" s="1353">
        <v>294</v>
      </c>
      <c r="R76" s="1353">
        <v>75</v>
      </c>
      <c r="S76" s="1353">
        <v>173</v>
      </c>
      <c r="T76" s="1353">
        <v>183</v>
      </c>
      <c r="U76" s="1353">
        <v>200</v>
      </c>
      <c r="V76" s="1353">
        <v>147</v>
      </c>
      <c r="W76" s="1353">
        <v>220</v>
      </c>
      <c r="X76" s="1353">
        <v>195</v>
      </c>
      <c r="Y76" s="1353">
        <v>172</v>
      </c>
      <c r="Z76" s="1353">
        <v>0</v>
      </c>
      <c r="AA76" s="1353">
        <v>157</v>
      </c>
      <c r="AB76" s="1353">
        <v>157</v>
      </c>
      <c r="AC76" s="1353">
        <v>169</v>
      </c>
      <c r="AD76" s="1353">
        <v>218</v>
      </c>
      <c r="AE76" s="1353">
        <v>169</v>
      </c>
      <c r="AF76" s="1353">
        <v>146</v>
      </c>
      <c r="AG76" s="1353">
        <v>140</v>
      </c>
      <c r="AH76" s="1353">
        <v>150</v>
      </c>
      <c r="AI76" s="1353">
        <v>145</v>
      </c>
      <c r="AJ76" s="1353">
        <v>159</v>
      </c>
      <c r="AK76" s="1355">
        <f t="shared" si="5"/>
        <v>4543</v>
      </c>
      <c r="AL76" s="1355">
        <f t="shared" si="9"/>
        <v>1930.9008445524212</v>
      </c>
      <c r="AM76" s="1831">
        <f t="shared" si="6"/>
        <v>4543</v>
      </c>
      <c r="AN76" s="1831">
        <f t="shared" si="7"/>
        <v>248.96487933666657</v>
      </c>
      <c r="AO76" s="1831">
        <f t="shared" si="8"/>
        <v>2179.8657238890878</v>
      </c>
      <c r="AP76" s="60" t="s">
        <v>1959</v>
      </c>
      <c r="AQ76" s="1355">
        <f t="shared" si="10"/>
        <v>1817.2</v>
      </c>
      <c r="AR76" s="1378">
        <f t="shared" si="11"/>
        <v>113.70084455242113</v>
      </c>
    </row>
    <row r="77" spans="1:44" s="51" customFormat="1" ht="19.149999999999999" customHeight="1" outlineLevel="1">
      <c r="A77" s="1353">
        <v>64</v>
      </c>
      <c r="B77" s="1353">
        <v>64</v>
      </c>
      <c r="C77" s="1353" t="s">
        <v>3165</v>
      </c>
      <c r="D77" s="1361" t="str">
        <f>TONGHOPCONGDOI!C74</f>
        <v>T. Khăm Công</v>
      </c>
      <c r="E77" s="1355"/>
      <c r="F77" s="1353">
        <v>158</v>
      </c>
      <c r="G77" s="1353">
        <v>110</v>
      </c>
      <c r="H77" s="1353">
        <v>116</v>
      </c>
      <c r="I77" s="1353">
        <v>300</v>
      </c>
      <c r="J77" s="1353">
        <v>111</v>
      </c>
      <c r="K77" s="1353">
        <v>0</v>
      </c>
      <c r="L77" s="1353">
        <v>110</v>
      </c>
      <c r="M77" s="1353">
        <v>150</v>
      </c>
      <c r="N77" s="1353">
        <v>0</v>
      </c>
      <c r="O77" s="1353">
        <v>141</v>
      </c>
      <c r="P77" s="1353">
        <v>239</v>
      </c>
      <c r="Q77" s="1353">
        <v>164</v>
      </c>
      <c r="R77" s="1353">
        <v>195</v>
      </c>
      <c r="S77" s="1353">
        <v>164</v>
      </c>
      <c r="T77" s="1353">
        <v>164</v>
      </c>
      <c r="U77" s="1353">
        <v>219</v>
      </c>
      <c r="V77" s="1353">
        <v>138</v>
      </c>
      <c r="W77" s="1353">
        <v>137</v>
      </c>
      <c r="X77" s="1353">
        <v>172</v>
      </c>
      <c r="Y77" s="1353">
        <v>200</v>
      </c>
      <c r="Z77" s="1353">
        <v>137</v>
      </c>
      <c r="AA77" s="1353">
        <v>157</v>
      </c>
      <c r="AB77" s="1353">
        <v>0</v>
      </c>
      <c r="AC77" s="1353">
        <v>189</v>
      </c>
      <c r="AD77" s="1353">
        <v>96</v>
      </c>
      <c r="AE77" s="1353">
        <v>146</v>
      </c>
      <c r="AF77" s="1353">
        <v>211</v>
      </c>
      <c r="AG77" s="1353">
        <v>178</v>
      </c>
      <c r="AH77" s="1353">
        <v>0</v>
      </c>
      <c r="AI77" s="1353">
        <v>0</v>
      </c>
      <c r="AJ77" s="1353">
        <v>152</v>
      </c>
      <c r="AK77" s="1355">
        <f t="shared" si="5"/>
        <v>4254</v>
      </c>
      <c r="AL77" s="1355">
        <f t="shared" si="9"/>
        <v>1808.0678390327976</v>
      </c>
      <c r="AM77" s="1831">
        <f t="shared" si="6"/>
        <v>4254</v>
      </c>
      <c r="AN77" s="1831">
        <f t="shared" si="7"/>
        <v>233.12713992916127</v>
      </c>
      <c r="AO77" s="1831">
        <f t="shared" si="8"/>
        <v>2041.1949789619589</v>
      </c>
      <c r="AP77" s="60" t="s">
        <v>1957</v>
      </c>
      <c r="AQ77" s="1355">
        <f t="shared" si="10"/>
        <v>1701.6000000000001</v>
      </c>
      <c r="AR77" s="1378">
        <f t="shared" si="11"/>
        <v>106.46783903279743</v>
      </c>
    </row>
    <row r="78" spans="1:44" s="51" customFormat="1" ht="19.149999999999999" customHeight="1" outlineLevel="1">
      <c r="A78" s="1353">
        <v>65</v>
      </c>
      <c r="B78" s="1353">
        <v>65</v>
      </c>
      <c r="C78" s="1353" t="s">
        <v>3166</v>
      </c>
      <c r="D78" s="1361" t="str">
        <f>TONGHOPCONGDOI!C75</f>
        <v>Un Seng</v>
      </c>
      <c r="E78" s="1355"/>
      <c r="F78" s="1353">
        <v>144</v>
      </c>
      <c r="G78" s="1353">
        <v>130</v>
      </c>
      <c r="H78" s="1353">
        <v>116</v>
      </c>
      <c r="I78" s="1353">
        <v>152</v>
      </c>
      <c r="J78" s="1353">
        <v>92</v>
      </c>
      <c r="K78" s="1353">
        <v>185</v>
      </c>
      <c r="L78" s="1353">
        <v>135</v>
      </c>
      <c r="M78" s="1353">
        <v>146</v>
      </c>
      <c r="N78" s="1353">
        <v>99</v>
      </c>
      <c r="O78" s="1353">
        <v>164</v>
      </c>
      <c r="P78" s="1353">
        <v>139</v>
      </c>
      <c r="Q78" s="1353">
        <v>166</v>
      </c>
      <c r="R78" s="1353">
        <v>99</v>
      </c>
      <c r="S78" s="1353">
        <v>129</v>
      </c>
      <c r="T78" s="1353">
        <v>105</v>
      </c>
      <c r="U78" s="1353">
        <v>196</v>
      </c>
      <c r="V78" s="1353">
        <v>0</v>
      </c>
      <c r="W78" s="1353">
        <v>0</v>
      </c>
      <c r="X78" s="1353">
        <v>143</v>
      </c>
      <c r="Y78" s="1353">
        <v>161</v>
      </c>
      <c r="Z78" s="1353">
        <v>175</v>
      </c>
      <c r="AA78" s="1353">
        <v>305</v>
      </c>
      <c r="AB78" s="1353">
        <v>118</v>
      </c>
      <c r="AC78" s="1353">
        <v>154</v>
      </c>
      <c r="AD78" s="1353">
        <v>0</v>
      </c>
      <c r="AE78" s="1353">
        <v>95</v>
      </c>
      <c r="AF78" s="1353">
        <v>100</v>
      </c>
      <c r="AG78" s="1353">
        <v>103</v>
      </c>
      <c r="AH78" s="1353">
        <v>124</v>
      </c>
      <c r="AI78" s="1353">
        <v>0</v>
      </c>
      <c r="AJ78" s="1353">
        <v>99</v>
      </c>
      <c r="AK78" s="1355">
        <f t="shared" si="5"/>
        <v>3774</v>
      </c>
      <c r="AL78" s="1355">
        <f t="shared" ref="AL78:AL97" si="12">AK78*$AS$10</f>
        <v>1604.0545426680249</v>
      </c>
      <c r="AM78" s="1831">
        <f t="shared" si="6"/>
        <v>3774</v>
      </c>
      <c r="AN78" s="1831">
        <f t="shared" si="7"/>
        <v>206.82224402742233</v>
      </c>
      <c r="AO78" s="1831">
        <f t="shared" si="8"/>
        <v>1810.8767866954472</v>
      </c>
      <c r="AP78" s="60" t="s">
        <v>1957</v>
      </c>
      <c r="AQ78" s="1355">
        <f t="shared" ref="AQ78:AQ97" si="13">+AK78*40%</f>
        <v>1509.6000000000001</v>
      </c>
      <c r="AR78" s="1378">
        <f t="shared" ref="AR78:AR97" si="14">+AL78-AQ78</f>
        <v>94.454542668024715</v>
      </c>
    </row>
    <row r="79" spans="1:44" s="51" customFormat="1" ht="19.149999999999999" customHeight="1" outlineLevel="1">
      <c r="A79" s="1353">
        <v>66</v>
      </c>
      <c r="B79" s="1353">
        <v>66</v>
      </c>
      <c r="C79" s="1353" t="s">
        <v>3167</v>
      </c>
      <c r="D79" s="1361" t="str">
        <f>TONGHOPCONGDOI!C76</f>
        <v>N . Lạ</v>
      </c>
      <c r="E79" s="1355"/>
      <c r="F79" s="1353">
        <v>123</v>
      </c>
      <c r="G79" s="1353">
        <v>227</v>
      </c>
      <c r="H79" s="1353">
        <v>171</v>
      </c>
      <c r="I79" s="1353">
        <v>166</v>
      </c>
      <c r="J79" s="1353">
        <v>85</v>
      </c>
      <c r="K79" s="1353">
        <v>197</v>
      </c>
      <c r="L79" s="1353">
        <v>200</v>
      </c>
      <c r="M79" s="1353">
        <v>205</v>
      </c>
      <c r="N79" s="1353">
        <v>96</v>
      </c>
      <c r="O79" s="1353">
        <v>208</v>
      </c>
      <c r="P79" s="1353">
        <v>173</v>
      </c>
      <c r="Q79" s="1353">
        <v>186</v>
      </c>
      <c r="R79" s="1353">
        <v>103</v>
      </c>
      <c r="S79" s="1353">
        <v>139</v>
      </c>
      <c r="T79" s="1353">
        <v>183</v>
      </c>
      <c r="U79" s="1353">
        <v>213</v>
      </c>
      <c r="V79" s="1353">
        <v>0</v>
      </c>
      <c r="W79" s="1353">
        <v>242</v>
      </c>
      <c r="X79" s="1353">
        <v>186</v>
      </c>
      <c r="Y79" s="1353">
        <v>207</v>
      </c>
      <c r="Z79" s="1353">
        <v>165</v>
      </c>
      <c r="AA79" s="1353">
        <v>200</v>
      </c>
      <c r="AB79" s="1353">
        <v>188</v>
      </c>
      <c r="AC79" s="1353">
        <v>198</v>
      </c>
      <c r="AD79" s="1353">
        <v>78</v>
      </c>
      <c r="AE79" s="1353">
        <v>173</v>
      </c>
      <c r="AF79" s="1353">
        <v>0</v>
      </c>
      <c r="AG79" s="1353">
        <v>184</v>
      </c>
      <c r="AH79" s="1353">
        <v>88</v>
      </c>
      <c r="AI79" s="1353">
        <v>177</v>
      </c>
      <c r="AJ79" s="1353">
        <v>256</v>
      </c>
      <c r="AK79" s="1355">
        <f t="shared" ref="AK79:AK97" si="15">SUM(F79:AJ79)</f>
        <v>5017</v>
      </c>
      <c r="AL79" s="1355">
        <f t="shared" si="12"/>
        <v>2132.363974712634</v>
      </c>
      <c r="AM79" s="1831">
        <f t="shared" ref="AM79:AM93" si="16">AK79</f>
        <v>5017</v>
      </c>
      <c r="AN79" s="1831">
        <f t="shared" ref="AN79:AN97" si="17">AM79*$AT$10</f>
        <v>274.94096403963374</v>
      </c>
      <c r="AO79" s="1831">
        <f t="shared" ref="AO79:AO97" si="18">AL79+AN79</f>
        <v>2407.3049387522678</v>
      </c>
      <c r="AP79" s="60" t="s">
        <v>1959</v>
      </c>
      <c r="AQ79" s="1355">
        <f t="shared" si="13"/>
        <v>2006.8000000000002</v>
      </c>
      <c r="AR79" s="1378">
        <f t="shared" si="14"/>
        <v>125.56397471263381</v>
      </c>
    </row>
    <row r="80" spans="1:44" s="51" customFormat="1" ht="19.149999999999999" customHeight="1" outlineLevel="1">
      <c r="A80" s="1353">
        <v>67</v>
      </c>
      <c r="B80" s="1353">
        <v>67</v>
      </c>
      <c r="C80" s="1353" t="s">
        <v>3168</v>
      </c>
      <c r="D80" s="1361" t="str">
        <f>TONGHOPCONGDOI!C77</f>
        <v>T. Chỏ</v>
      </c>
      <c r="E80" s="1355"/>
      <c r="F80" s="1353">
        <v>120</v>
      </c>
      <c r="G80" s="1353">
        <v>0</v>
      </c>
      <c r="H80" s="1353">
        <v>135</v>
      </c>
      <c r="I80" s="1353">
        <v>152</v>
      </c>
      <c r="J80" s="1353">
        <v>101</v>
      </c>
      <c r="K80" s="1353">
        <v>0</v>
      </c>
      <c r="L80" s="1353">
        <v>147</v>
      </c>
      <c r="M80" s="1353">
        <v>151</v>
      </c>
      <c r="N80" s="1353">
        <v>92</v>
      </c>
      <c r="O80" s="1353">
        <v>0</v>
      </c>
      <c r="P80" s="1353">
        <v>0</v>
      </c>
      <c r="Q80" s="1353">
        <v>170</v>
      </c>
      <c r="R80" s="1353">
        <v>137</v>
      </c>
      <c r="S80" s="1353">
        <v>142</v>
      </c>
      <c r="T80" s="1353">
        <v>218</v>
      </c>
      <c r="U80" s="1353">
        <v>156</v>
      </c>
      <c r="V80" s="1353">
        <v>0</v>
      </c>
      <c r="W80" s="1353">
        <v>70</v>
      </c>
      <c r="X80" s="1353">
        <v>127</v>
      </c>
      <c r="Y80" s="1353">
        <v>129</v>
      </c>
      <c r="Z80" s="1353">
        <v>160</v>
      </c>
      <c r="AA80" s="1353">
        <v>90</v>
      </c>
      <c r="AB80" s="1353">
        <v>115</v>
      </c>
      <c r="AC80" s="1353">
        <v>0</v>
      </c>
      <c r="AD80" s="1353">
        <v>85</v>
      </c>
      <c r="AE80" s="1353">
        <v>129</v>
      </c>
      <c r="AF80" s="1353">
        <v>0</v>
      </c>
      <c r="AG80" s="1353">
        <v>228</v>
      </c>
      <c r="AH80" s="1353">
        <v>0</v>
      </c>
      <c r="AI80" s="1353">
        <v>0</v>
      </c>
      <c r="AJ80" s="1353">
        <v>135</v>
      </c>
      <c r="AK80" s="1355">
        <f t="shared" si="15"/>
        <v>2989</v>
      </c>
      <c r="AL80" s="1355">
        <f t="shared" si="12"/>
        <v>1270.4077975714697</v>
      </c>
      <c r="AM80" s="1831">
        <f t="shared" si="16"/>
        <v>2989</v>
      </c>
      <c r="AN80" s="1831">
        <f t="shared" si="17"/>
        <v>163.80277885478679</v>
      </c>
      <c r="AO80" s="1831">
        <f t="shared" si="18"/>
        <v>1434.2105764262565</v>
      </c>
      <c r="AP80" s="60" t="s">
        <v>1957</v>
      </c>
      <c r="AQ80" s="1355">
        <f t="shared" si="13"/>
        <v>1195.6000000000001</v>
      </c>
      <c r="AR80" s="1378">
        <f t="shared" si="14"/>
        <v>74.807797571469564</v>
      </c>
    </row>
    <row r="81" spans="1:44" s="51" customFormat="1" ht="19.149999999999999" customHeight="1" outlineLevel="1">
      <c r="A81" s="1353">
        <v>68</v>
      </c>
      <c r="B81" s="1353">
        <v>68</v>
      </c>
      <c r="C81" s="1353" t="s">
        <v>3169</v>
      </c>
      <c r="D81" s="1361" t="str">
        <f>TONGHOPCONGDOI!C78</f>
        <v>N. Xôm Pheng</v>
      </c>
      <c r="E81" s="1355"/>
      <c r="F81" s="1353">
        <v>144</v>
      </c>
      <c r="G81" s="1353">
        <v>189</v>
      </c>
      <c r="H81" s="1353">
        <v>160</v>
      </c>
      <c r="I81" s="1353">
        <v>121</v>
      </c>
      <c r="J81" s="1353">
        <v>96</v>
      </c>
      <c r="K81" s="1353">
        <v>159</v>
      </c>
      <c r="L81" s="1353">
        <v>131</v>
      </c>
      <c r="M81" s="1353">
        <v>127</v>
      </c>
      <c r="N81" s="1353">
        <v>0</v>
      </c>
      <c r="O81" s="1353">
        <v>148</v>
      </c>
      <c r="P81" s="1353">
        <v>173</v>
      </c>
      <c r="Q81" s="1353">
        <v>145</v>
      </c>
      <c r="R81" s="1353">
        <v>146</v>
      </c>
      <c r="S81" s="1353">
        <v>0</v>
      </c>
      <c r="T81" s="1353">
        <v>117</v>
      </c>
      <c r="U81" s="1353">
        <v>113</v>
      </c>
      <c r="V81" s="1353">
        <v>120</v>
      </c>
      <c r="W81" s="1353">
        <v>198</v>
      </c>
      <c r="X81" s="1353">
        <v>142</v>
      </c>
      <c r="Y81" s="1353">
        <v>129</v>
      </c>
      <c r="Z81" s="1353">
        <v>161</v>
      </c>
      <c r="AA81" s="1353">
        <v>0</v>
      </c>
      <c r="AB81" s="1353">
        <v>124</v>
      </c>
      <c r="AC81" s="1353">
        <v>118</v>
      </c>
      <c r="AD81" s="1353">
        <v>0</v>
      </c>
      <c r="AE81" s="1353">
        <v>223</v>
      </c>
      <c r="AF81" s="1353">
        <v>120</v>
      </c>
      <c r="AG81" s="1353">
        <v>114</v>
      </c>
      <c r="AH81" s="1353">
        <v>0</v>
      </c>
      <c r="AI81" s="1353">
        <v>216</v>
      </c>
      <c r="AJ81" s="1353">
        <v>135</v>
      </c>
      <c r="AK81" s="1355">
        <f t="shared" si="15"/>
        <v>3769</v>
      </c>
      <c r="AL81" s="1355">
        <f t="shared" si="12"/>
        <v>1601.9294041642252</v>
      </c>
      <c r="AM81" s="1831">
        <f t="shared" si="16"/>
        <v>3769</v>
      </c>
      <c r="AN81" s="1831">
        <f t="shared" si="17"/>
        <v>206.54823469511254</v>
      </c>
      <c r="AO81" s="1831">
        <f t="shared" si="18"/>
        <v>1808.4776388593377</v>
      </c>
      <c r="AP81" s="60" t="s">
        <v>1957</v>
      </c>
      <c r="AQ81" s="1355">
        <f t="shared" si="13"/>
        <v>1507.6000000000001</v>
      </c>
      <c r="AR81" s="1378">
        <f t="shared" si="14"/>
        <v>94.329404164225025</v>
      </c>
    </row>
    <row r="82" spans="1:44" s="51" customFormat="1" ht="19.149999999999999" customHeight="1" outlineLevel="1">
      <c r="A82" s="1353">
        <v>69</v>
      </c>
      <c r="B82" s="1353">
        <v>69</v>
      </c>
      <c r="C82" s="1353" t="s">
        <v>3170</v>
      </c>
      <c r="D82" s="1361" t="str">
        <f>TONGHOPCONGDOI!C79</f>
        <v>T. Vôn</v>
      </c>
      <c r="E82" s="1355"/>
      <c r="F82" s="1353">
        <v>202</v>
      </c>
      <c r="G82" s="1353">
        <v>205</v>
      </c>
      <c r="H82" s="1353">
        <v>237</v>
      </c>
      <c r="I82" s="1353">
        <v>169</v>
      </c>
      <c r="J82" s="1353">
        <v>158</v>
      </c>
      <c r="K82" s="1353">
        <v>185</v>
      </c>
      <c r="L82" s="1353">
        <v>220</v>
      </c>
      <c r="M82" s="1353">
        <v>236</v>
      </c>
      <c r="N82" s="1353">
        <v>168</v>
      </c>
      <c r="O82" s="1353">
        <v>187</v>
      </c>
      <c r="P82" s="1353">
        <v>232</v>
      </c>
      <c r="Q82" s="1353">
        <v>251</v>
      </c>
      <c r="R82" s="1353">
        <v>195</v>
      </c>
      <c r="S82" s="1353">
        <v>177</v>
      </c>
      <c r="T82" s="1353">
        <v>225</v>
      </c>
      <c r="U82" s="1353">
        <v>233</v>
      </c>
      <c r="V82" s="1353">
        <v>189</v>
      </c>
      <c r="W82" s="1353">
        <v>216</v>
      </c>
      <c r="X82" s="1353">
        <v>245</v>
      </c>
      <c r="Y82" s="1353">
        <v>245</v>
      </c>
      <c r="Z82" s="1353">
        <v>178</v>
      </c>
      <c r="AA82" s="1353">
        <v>194</v>
      </c>
      <c r="AB82" s="1353">
        <v>218</v>
      </c>
      <c r="AC82" s="1353">
        <v>213</v>
      </c>
      <c r="AD82" s="1353">
        <v>124</v>
      </c>
      <c r="AE82" s="1353">
        <v>193</v>
      </c>
      <c r="AF82" s="1353">
        <v>194</v>
      </c>
      <c r="AG82" s="1353">
        <v>214</v>
      </c>
      <c r="AH82" s="1353">
        <v>161</v>
      </c>
      <c r="AI82" s="1353">
        <v>188</v>
      </c>
      <c r="AJ82" s="1353">
        <v>184</v>
      </c>
      <c r="AK82" s="1355">
        <f t="shared" si="15"/>
        <v>6236</v>
      </c>
      <c r="AL82" s="1355">
        <f t="shared" si="12"/>
        <v>2650.4727419390047</v>
      </c>
      <c r="AM82" s="1831">
        <f t="shared" si="16"/>
        <v>6236</v>
      </c>
      <c r="AN82" s="1831">
        <f t="shared" si="17"/>
        <v>341.74443925675826</v>
      </c>
      <c r="AO82" s="1831">
        <f t="shared" si="18"/>
        <v>2992.2171811957628</v>
      </c>
      <c r="AP82" s="60" t="s">
        <v>1959</v>
      </c>
      <c r="AQ82" s="1355">
        <f t="shared" si="13"/>
        <v>2494.4</v>
      </c>
      <c r="AR82" s="1378">
        <f t="shared" si="14"/>
        <v>156.07274193900457</v>
      </c>
    </row>
    <row r="83" spans="1:44" s="51" customFormat="1" ht="19.149999999999999" customHeight="1" outlineLevel="1">
      <c r="A83" s="1353">
        <v>70</v>
      </c>
      <c r="B83" s="1353">
        <v>70</v>
      </c>
      <c r="C83" s="1353" t="s">
        <v>3171</v>
      </c>
      <c r="D83" s="1361" t="str">
        <f>TONGHOPCONGDOI!C80</f>
        <v>Đa Ly</v>
      </c>
      <c r="E83" s="1355"/>
      <c r="F83" s="1353">
        <v>202</v>
      </c>
      <c r="G83" s="1353">
        <v>205</v>
      </c>
      <c r="H83" s="1353">
        <v>237</v>
      </c>
      <c r="I83" s="1353">
        <v>169</v>
      </c>
      <c r="J83" s="1353">
        <v>158</v>
      </c>
      <c r="K83" s="1353">
        <v>185</v>
      </c>
      <c r="L83" s="1353">
        <v>221</v>
      </c>
      <c r="M83" s="1353">
        <v>236</v>
      </c>
      <c r="N83" s="1353">
        <v>168</v>
      </c>
      <c r="O83" s="1353">
        <v>187</v>
      </c>
      <c r="P83" s="1353">
        <v>233</v>
      </c>
      <c r="Q83" s="1353">
        <v>251</v>
      </c>
      <c r="R83" s="1353">
        <v>195</v>
      </c>
      <c r="S83" s="1353">
        <v>177</v>
      </c>
      <c r="T83" s="1353">
        <v>225</v>
      </c>
      <c r="U83" s="1353">
        <v>233</v>
      </c>
      <c r="V83" s="1353">
        <v>189</v>
      </c>
      <c r="W83" s="1353">
        <v>216</v>
      </c>
      <c r="X83" s="1353">
        <v>245</v>
      </c>
      <c r="Y83" s="1353">
        <v>246</v>
      </c>
      <c r="Z83" s="1353">
        <v>178</v>
      </c>
      <c r="AA83" s="1353">
        <v>195</v>
      </c>
      <c r="AB83" s="1353">
        <v>218</v>
      </c>
      <c r="AC83" s="1353">
        <v>214</v>
      </c>
      <c r="AD83" s="1353">
        <v>124</v>
      </c>
      <c r="AE83" s="1353">
        <v>194</v>
      </c>
      <c r="AF83" s="1353">
        <v>194</v>
      </c>
      <c r="AG83" s="1353">
        <v>214</v>
      </c>
      <c r="AH83" s="1353">
        <v>161</v>
      </c>
      <c r="AI83" s="1353">
        <v>188</v>
      </c>
      <c r="AJ83" s="1353">
        <v>246</v>
      </c>
      <c r="AK83" s="1355">
        <f t="shared" si="15"/>
        <v>6304</v>
      </c>
      <c r="AL83" s="1355">
        <f t="shared" si="12"/>
        <v>2679.3746255906808</v>
      </c>
      <c r="AM83" s="1831">
        <f t="shared" si="16"/>
        <v>6304</v>
      </c>
      <c r="AN83" s="1831">
        <f t="shared" si="17"/>
        <v>345.47096617617126</v>
      </c>
      <c r="AO83" s="1831">
        <f t="shared" si="18"/>
        <v>3024.8455917668521</v>
      </c>
      <c r="AP83" s="60" t="s">
        <v>1959</v>
      </c>
      <c r="AQ83" s="1355">
        <f t="shared" si="13"/>
        <v>2521.6000000000004</v>
      </c>
      <c r="AR83" s="1378">
        <f t="shared" si="14"/>
        <v>157.77462559068044</v>
      </c>
    </row>
    <row r="84" spans="1:44" s="51" customFormat="1" ht="19.149999999999999" customHeight="1" outlineLevel="1">
      <c r="A84" s="1353">
        <v>71</v>
      </c>
      <c r="B84" s="1353">
        <v>71</v>
      </c>
      <c r="C84" s="1353" t="s">
        <v>3172</v>
      </c>
      <c r="D84" s="1361" t="str">
        <f>TONGHOPCONGDOI!C81</f>
        <v>Khút Thong</v>
      </c>
      <c r="E84" s="1355"/>
      <c r="F84" s="1353">
        <v>0</v>
      </c>
      <c r="G84" s="1353">
        <v>140</v>
      </c>
      <c r="H84" s="1353">
        <v>128</v>
      </c>
      <c r="I84" s="1353">
        <v>103</v>
      </c>
      <c r="J84" s="1353">
        <v>173</v>
      </c>
      <c r="K84" s="1353">
        <v>149</v>
      </c>
      <c r="L84" s="1353">
        <v>203</v>
      </c>
      <c r="M84" s="1353">
        <v>175</v>
      </c>
      <c r="N84" s="1353">
        <v>0</v>
      </c>
      <c r="O84" s="1353">
        <v>189</v>
      </c>
      <c r="P84" s="1353">
        <v>190</v>
      </c>
      <c r="Q84" s="1353">
        <v>158</v>
      </c>
      <c r="R84" s="1353">
        <v>181</v>
      </c>
      <c r="S84" s="1353">
        <v>193</v>
      </c>
      <c r="T84" s="1353">
        <v>148</v>
      </c>
      <c r="U84" s="1353">
        <v>174</v>
      </c>
      <c r="V84" s="1353">
        <v>0</v>
      </c>
      <c r="W84" s="1353">
        <v>184</v>
      </c>
      <c r="X84" s="1353">
        <v>208</v>
      </c>
      <c r="Y84" s="1353">
        <v>182</v>
      </c>
      <c r="Z84" s="1353">
        <v>197</v>
      </c>
      <c r="AA84" s="1353">
        <v>187</v>
      </c>
      <c r="AB84" s="1353">
        <v>138</v>
      </c>
      <c r="AC84" s="1353">
        <v>148</v>
      </c>
      <c r="AD84" s="1353">
        <v>0</v>
      </c>
      <c r="AE84" s="1353">
        <v>0</v>
      </c>
      <c r="AF84" s="1353">
        <v>173</v>
      </c>
      <c r="AG84" s="1353">
        <v>131</v>
      </c>
      <c r="AH84" s="1353">
        <v>198</v>
      </c>
      <c r="AI84" s="1353">
        <v>237</v>
      </c>
      <c r="AJ84" s="1353">
        <v>161</v>
      </c>
      <c r="AK84" s="1355">
        <f t="shared" si="15"/>
        <v>4448</v>
      </c>
      <c r="AL84" s="1355">
        <f t="shared" si="12"/>
        <v>1890.5232129802264</v>
      </c>
      <c r="AM84" s="1831">
        <f t="shared" si="16"/>
        <v>4448</v>
      </c>
      <c r="AN84" s="1831">
        <f t="shared" si="17"/>
        <v>243.75870202278074</v>
      </c>
      <c r="AO84" s="1831">
        <f t="shared" si="18"/>
        <v>2134.2819150030073</v>
      </c>
      <c r="AP84" s="60" t="s">
        <v>1959</v>
      </c>
      <c r="AQ84" s="1355">
        <f t="shared" si="13"/>
        <v>1779.2</v>
      </c>
      <c r="AR84" s="1378">
        <f t="shared" si="14"/>
        <v>111.32321298022634</v>
      </c>
    </row>
    <row r="85" spans="1:44" s="51" customFormat="1" ht="19.149999999999999" customHeight="1" outlineLevel="1">
      <c r="A85" s="1353">
        <v>72</v>
      </c>
      <c r="B85" s="1353">
        <v>72</v>
      </c>
      <c r="C85" s="1353" t="s">
        <v>3173</v>
      </c>
      <c r="D85" s="1361" t="str">
        <f>TONGHOPCONGDOI!C82</f>
        <v>Lắc Xa Mi</v>
      </c>
      <c r="E85" s="1355"/>
      <c r="F85" s="1353">
        <v>110</v>
      </c>
      <c r="G85" s="1353">
        <v>137</v>
      </c>
      <c r="H85" s="1353">
        <v>135</v>
      </c>
      <c r="I85" s="1353">
        <v>111</v>
      </c>
      <c r="J85" s="1353">
        <v>89</v>
      </c>
      <c r="K85" s="1353">
        <v>111</v>
      </c>
      <c r="L85" s="1353">
        <v>140</v>
      </c>
      <c r="M85" s="1353">
        <v>147</v>
      </c>
      <c r="N85" s="1353">
        <v>90</v>
      </c>
      <c r="O85" s="1353">
        <v>148</v>
      </c>
      <c r="P85" s="1353">
        <v>164</v>
      </c>
      <c r="Q85" s="1353">
        <v>178</v>
      </c>
      <c r="R85" s="1353">
        <v>84</v>
      </c>
      <c r="S85" s="1353">
        <v>160</v>
      </c>
      <c r="T85" s="1353">
        <v>176</v>
      </c>
      <c r="U85" s="1353">
        <v>193</v>
      </c>
      <c r="V85" s="1353">
        <v>74</v>
      </c>
      <c r="W85" s="1353">
        <v>151</v>
      </c>
      <c r="X85" s="1353">
        <v>176</v>
      </c>
      <c r="Y85" s="1353">
        <v>169</v>
      </c>
      <c r="Z85" s="1353">
        <v>116</v>
      </c>
      <c r="AA85" s="1353">
        <v>150</v>
      </c>
      <c r="AB85" s="1353">
        <v>147</v>
      </c>
      <c r="AC85" s="1353">
        <v>156</v>
      </c>
      <c r="AD85" s="1353">
        <v>95</v>
      </c>
      <c r="AE85" s="1353">
        <v>119</v>
      </c>
      <c r="AF85" s="1353">
        <v>136</v>
      </c>
      <c r="AG85" s="1353">
        <v>150</v>
      </c>
      <c r="AH85" s="1353">
        <v>102</v>
      </c>
      <c r="AI85" s="1353">
        <v>138</v>
      </c>
      <c r="AJ85" s="1353">
        <v>158</v>
      </c>
      <c r="AK85" s="1355">
        <f t="shared" si="15"/>
        <v>4210</v>
      </c>
      <c r="AL85" s="1355">
        <f t="shared" si="12"/>
        <v>1789.3666201993601</v>
      </c>
      <c r="AM85" s="1831">
        <f t="shared" si="16"/>
        <v>4210</v>
      </c>
      <c r="AN85" s="1831">
        <f t="shared" si="17"/>
        <v>230.7158578048352</v>
      </c>
      <c r="AO85" s="1831">
        <f t="shared" si="18"/>
        <v>2020.0824780041953</v>
      </c>
      <c r="AP85" s="60" t="s">
        <v>1959</v>
      </c>
      <c r="AQ85" s="1355">
        <f t="shared" si="13"/>
        <v>1684</v>
      </c>
      <c r="AR85" s="1378">
        <f t="shared" si="14"/>
        <v>105.36662019936011</v>
      </c>
    </row>
    <row r="86" spans="1:44" s="51" customFormat="1" ht="19.149999999999999" customHeight="1" outlineLevel="1">
      <c r="A86" s="1353">
        <v>73</v>
      </c>
      <c r="B86" s="1353">
        <v>73</v>
      </c>
      <c r="C86" s="1353" t="s">
        <v>3174</v>
      </c>
      <c r="D86" s="1361" t="str">
        <f>TONGHOPCONGDOI!C83</f>
        <v>A Xít</v>
      </c>
      <c r="E86" s="1355"/>
      <c r="F86" s="1353">
        <v>148</v>
      </c>
      <c r="G86" s="1353">
        <v>120</v>
      </c>
      <c r="H86" s="1353">
        <v>134</v>
      </c>
      <c r="I86" s="1353">
        <v>182</v>
      </c>
      <c r="J86" s="1353">
        <v>0</v>
      </c>
      <c r="K86" s="1353">
        <v>98</v>
      </c>
      <c r="L86" s="1353">
        <v>0</v>
      </c>
      <c r="M86" s="1353">
        <v>205</v>
      </c>
      <c r="N86" s="1353">
        <v>240</v>
      </c>
      <c r="O86" s="1353">
        <v>133</v>
      </c>
      <c r="P86" s="1353">
        <v>0</v>
      </c>
      <c r="Q86" s="1353">
        <v>213</v>
      </c>
      <c r="R86" s="1353">
        <v>0</v>
      </c>
      <c r="S86" s="1353">
        <v>130</v>
      </c>
      <c r="T86" s="1353">
        <v>308</v>
      </c>
      <c r="U86" s="1353">
        <v>155</v>
      </c>
      <c r="V86" s="1353">
        <v>282</v>
      </c>
      <c r="W86" s="1353">
        <v>159</v>
      </c>
      <c r="X86" s="1353">
        <v>178</v>
      </c>
      <c r="Y86" s="1353">
        <v>0</v>
      </c>
      <c r="Z86" s="1353">
        <v>0</v>
      </c>
      <c r="AA86" s="1353">
        <v>0</v>
      </c>
      <c r="AB86" s="1353">
        <v>0</v>
      </c>
      <c r="AC86" s="1353">
        <v>0</v>
      </c>
      <c r="AD86" s="1353">
        <v>0</v>
      </c>
      <c r="AE86" s="1353">
        <v>0</v>
      </c>
      <c r="AF86" s="1353">
        <v>0</v>
      </c>
      <c r="AG86" s="1353">
        <v>0</v>
      </c>
      <c r="AH86" s="1353">
        <v>0</v>
      </c>
      <c r="AI86" s="1353">
        <v>0</v>
      </c>
      <c r="AJ86" s="1353">
        <v>0</v>
      </c>
      <c r="AK86" s="1355">
        <f t="shared" si="15"/>
        <v>2685</v>
      </c>
      <c r="AL86" s="1355">
        <f t="shared" si="12"/>
        <v>1141.199376540447</v>
      </c>
      <c r="AM86" s="1831">
        <f t="shared" si="16"/>
        <v>2685</v>
      </c>
      <c r="AN86" s="1831">
        <f t="shared" si="17"/>
        <v>147.14301145035213</v>
      </c>
      <c r="AO86" s="1831">
        <f t="shared" si="18"/>
        <v>1288.3423879907991</v>
      </c>
      <c r="AP86" s="60" t="s">
        <v>1957</v>
      </c>
      <c r="AQ86" s="1355">
        <f t="shared" si="13"/>
        <v>1074</v>
      </c>
      <c r="AR86" s="1378">
        <f t="shared" si="14"/>
        <v>67.19937654044702</v>
      </c>
    </row>
    <row r="87" spans="1:44" s="51" customFormat="1" ht="19.149999999999999" customHeight="1" outlineLevel="1">
      <c r="A87" s="1353">
        <v>74</v>
      </c>
      <c r="B87" s="1353">
        <v>74</v>
      </c>
      <c r="C87" s="1353" t="s">
        <v>3175</v>
      </c>
      <c r="D87" s="1361" t="str">
        <f>TONGHOPCONGDOI!C84</f>
        <v>A. Nóc</v>
      </c>
      <c r="E87" s="1355"/>
      <c r="F87" s="1353">
        <v>139</v>
      </c>
      <c r="G87" s="1353">
        <v>140</v>
      </c>
      <c r="H87" s="1353">
        <v>127</v>
      </c>
      <c r="I87" s="1353">
        <v>133</v>
      </c>
      <c r="J87" s="1353">
        <v>0</v>
      </c>
      <c r="K87" s="1353">
        <v>103</v>
      </c>
      <c r="L87" s="1353">
        <v>105</v>
      </c>
      <c r="M87" s="1353">
        <v>174</v>
      </c>
      <c r="N87" s="1353">
        <v>200</v>
      </c>
      <c r="O87" s="1353">
        <v>173</v>
      </c>
      <c r="P87" s="1353">
        <v>0</v>
      </c>
      <c r="Q87" s="1353">
        <v>0</v>
      </c>
      <c r="R87" s="1353">
        <v>0</v>
      </c>
      <c r="S87" s="1353">
        <v>87</v>
      </c>
      <c r="T87" s="1353">
        <v>289</v>
      </c>
      <c r="U87" s="1353">
        <v>234</v>
      </c>
      <c r="V87" s="1353">
        <v>228</v>
      </c>
      <c r="W87" s="1353">
        <v>109</v>
      </c>
      <c r="X87" s="1353">
        <v>145</v>
      </c>
      <c r="Y87" s="1353">
        <v>146</v>
      </c>
      <c r="Z87" s="1353">
        <v>90</v>
      </c>
      <c r="AA87" s="1353">
        <v>155</v>
      </c>
      <c r="AB87" s="1353">
        <v>185</v>
      </c>
      <c r="AC87" s="1353">
        <v>171</v>
      </c>
      <c r="AD87" s="1353">
        <v>95</v>
      </c>
      <c r="AE87" s="1353">
        <v>155</v>
      </c>
      <c r="AF87" s="1353">
        <v>146</v>
      </c>
      <c r="AG87" s="1353">
        <v>0</v>
      </c>
      <c r="AH87" s="1353">
        <v>0</v>
      </c>
      <c r="AI87" s="1353">
        <v>131</v>
      </c>
      <c r="AJ87" s="1353">
        <v>0</v>
      </c>
      <c r="AK87" s="1355">
        <f t="shared" si="15"/>
        <v>3660</v>
      </c>
      <c r="AL87" s="1355">
        <f t="shared" si="12"/>
        <v>1555.6013847813913</v>
      </c>
      <c r="AM87" s="1831">
        <f t="shared" si="16"/>
        <v>3660</v>
      </c>
      <c r="AN87" s="1831">
        <f t="shared" si="17"/>
        <v>200.57483125075933</v>
      </c>
      <c r="AO87" s="1831">
        <f t="shared" si="18"/>
        <v>1756.1762160321507</v>
      </c>
      <c r="AP87" s="60" t="s">
        <v>1957</v>
      </c>
      <c r="AQ87" s="1355">
        <f t="shared" si="13"/>
        <v>1464</v>
      </c>
      <c r="AR87" s="1378">
        <f t="shared" si="14"/>
        <v>91.601384781391289</v>
      </c>
    </row>
    <row r="88" spans="1:44" s="51" customFormat="1" ht="19.149999999999999" customHeight="1" outlineLevel="1">
      <c r="A88" s="1353">
        <v>75</v>
      </c>
      <c r="B88" s="1353">
        <v>75</v>
      </c>
      <c r="C88" s="1353"/>
      <c r="D88" s="1361" t="str">
        <f>TONGHOPCONGDOI!C85</f>
        <v>Nàng Keo (63)</v>
      </c>
      <c r="E88" s="1355"/>
      <c r="F88" s="1353">
        <v>101</v>
      </c>
      <c r="G88" s="1353">
        <v>101</v>
      </c>
      <c r="H88" s="1353">
        <v>200</v>
      </c>
      <c r="I88" s="1353">
        <v>213</v>
      </c>
      <c r="J88" s="1353">
        <v>0</v>
      </c>
      <c r="K88" s="1353">
        <v>201</v>
      </c>
      <c r="L88" s="1353">
        <v>100</v>
      </c>
      <c r="M88" s="1353">
        <v>201</v>
      </c>
      <c r="N88" s="1353">
        <v>155</v>
      </c>
      <c r="O88" s="1353">
        <v>153</v>
      </c>
      <c r="P88" s="1353">
        <v>101</v>
      </c>
      <c r="Q88" s="1353">
        <v>171</v>
      </c>
      <c r="R88" s="1353">
        <v>100</v>
      </c>
      <c r="S88" s="1353">
        <v>0</v>
      </c>
      <c r="T88" s="1353">
        <v>100</v>
      </c>
      <c r="U88" s="1353">
        <v>240</v>
      </c>
      <c r="V88" s="1353">
        <v>102</v>
      </c>
      <c r="W88" s="1353">
        <v>0</v>
      </c>
      <c r="X88" s="1353">
        <v>0</v>
      </c>
      <c r="Y88" s="1353">
        <v>175</v>
      </c>
      <c r="Z88" s="1353">
        <v>201</v>
      </c>
      <c r="AA88" s="1353">
        <v>100</v>
      </c>
      <c r="AB88" s="1353">
        <v>100</v>
      </c>
      <c r="AC88" s="1353">
        <v>204</v>
      </c>
      <c r="AD88" s="1353">
        <v>0</v>
      </c>
      <c r="AE88" s="1353">
        <v>155</v>
      </c>
      <c r="AF88" s="1353">
        <v>193</v>
      </c>
      <c r="AG88" s="1353">
        <v>200</v>
      </c>
      <c r="AH88" s="1353">
        <v>155</v>
      </c>
      <c r="AI88" s="1353">
        <v>211</v>
      </c>
      <c r="AJ88" s="1353">
        <v>101</v>
      </c>
      <c r="AK88" s="1355">
        <f t="shared" si="15"/>
        <v>4034</v>
      </c>
      <c r="AL88" s="1355">
        <f t="shared" si="12"/>
        <v>1714.5617448656101</v>
      </c>
      <c r="AM88" s="1831">
        <f t="shared" si="16"/>
        <v>4034</v>
      </c>
      <c r="AN88" s="1831">
        <f t="shared" si="17"/>
        <v>221.07072930753091</v>
      </c>
      <c r="AO88" s="1831">
        <f t="shared" si="18"/>
        <v>1935.632474173141</v>
      </c>
      <c r="AP88" s="60" t="s">
        <v>3056</v>
      </c>
      <c r="AQ88" s="1355">
        <f t="shared" si="13"/>
        <v>1613.6000000000001</v>
      </c>
      <c r="AR88" s="1378">
        <f t="shared" si="14"/>
        <v>100.96174486560994</v>
      </c>
    </row>
    <row r="89" spans="1:44" s="51" customFormat="1" ht="19.149999999999999" customHeight="1" outlineLevel="1">
      <c r="A89" s="1353">
        <v>76</v>
      </c>
      <c r="B89" s="1353">
        <v>76</v>
      </c>
      <c r="C89" s="1353"/>
      <c r="D89" s="1361" t="str">
        <f>TONGHOPCONGDOI!C86</f>
        <v>avan</v>
      </c>
      <c r="E89" s="1355"/>
      <c r="F89" s="1353">
        <v>102</v>
      </c>
      <c r="G89" s="1353">
        <v>182</v>
      </c>
      <c r="H89" s="1353">
        <v>252</v>
      </c>
      <c r="I89" s="1353">
        <v>0</v>
      </c>
      <c r="J89" s="1353">
        <v>110</v>
      </c>
      <c r="K89" s="1353">
        <v>105</v>
      </c>
      <c r="L89" s="1353">
        <v>101</v>
      </c>
      <c r="M89" s="1353">
        <v>0</v>
      </c>
      <c r="N89" s="1353">
        <v>79</v>
      </c>
      <c r="O89" s="1353">
        <v>148</v>
      </c>
      <c r="P89" s="1353">
        <v>0</v>
      </c>
      <c r="Q89" s="1353">
        <v>0</v>
      </c>
      <c r="R89" s="1353">
        <v>100</v>
      </c>
      <c r="S89" s="1353">
        <v>100</v>
      </c>
      <c r="T89" s="1353">
        <v>0</v>
      </c>
      <c r="U89" s="1353">
        <v>0</v>
      </c>
      <c r="V89" s="1353">
        <v>0</v>
      </c>
      <c r="W89" s="1353">
        <v>176</v>
      </c>
      <c r="X89" s="1353">
        <v>210</v>
      </c>
      <c r="Y89" s="1353">
        <v>175</v>
      </c>
      <c r="Z89" s="1353">
        <v>135</v>
      </c>
      <c r="AA89" s="1353">
        <v>185</v>
      </c>
      <c r="AB89" s="1353">
        <v>185</v>
      </c>
      <c r="AC89" s="1353">
        <v>291</v>
      </c>
      <c r="AD89" s="1353">
        <v>155</v>
      </c>
      <c r="AE89" s="1353">
        <v>169</v>
      </c>
      <c r="AF89" s="1353">
        <v>187</v>
      </c>
      <c r="AG89" s="1353">
        <v>295</v>
      </c>
      <c r="AH89" s="1353">
        <v>0</v>
      </c>
      <c r="AI89" s="1353">
        <v>186</v>
      </c>
      <c r="AJ89" s="1353">
        <v>0</v>
      </c>
      <c r="AK89" s="1355">
        <f t="shared" si="15"/>
        <v>3628</v>
      </c>
      <c r="AL89" s="1355">
        <f t="shared" si="12"/>
        <v>1542.0004983570732</v>
      </c>
      <c r="AM89" s="1831">
        <f t="shared" si="16"/>
        <v>3628</v>
      </c>
      <c r="AN89" s="1831">
        <f t="shared" si="17"/>
        <v>198.82117152397674</v>
      </c>
      <c r="AO89" s="1831">
        <f t="shared" si="18"/>
        <v>1740.82166988105</v>
      </c>
      <c r="AP89" s="60" t="s">
        <v>3056</v>
      </c>
      <c r="AQ89" s="1355">
        <f t="shared" si="13"/>
        <v>1451.2</v>
      </c>
      <c r="AR89" s="1378">
        <f t="shared" si="14"/>
        <v>90.800498357073138</v>
      </c>
    </row>
    <row r="90" spans="1:44" s="51" customFormat="1" ht="19.149999999999999" customHeight="1" outlineLevel="1">
      <c r="A90" s="1353">
        <v>77</v>
      </c>
      <c r="B90" s="1353">
        <v>77</v>
      </c>
      <c r="C90" s="1353"/>
      <c r="D90" s="1361" t="str">
        <f>TONGHOPCONGDOI!C87</f>
        <v>A thít</v>
      </c>
      <c r="E90" s="1355"/>
      <c r="F90" s="1353">
        <v>102</v>
      </c>
      <c r="G90" s="1353">
        <v>176</v>
      </c>
      <c r="H90" s="1353">
        <v>208</v>
      </c>
      <c r="I90" s="1353">
        <v>0</v>
      </c>
      <c r="J90" s="1353">
        <v>91</v>
      </c>
      <c r="K90" s="1353">
        <v>0</v>
      </c>
      <c r="L90" s="1353">
        <v>0</v>
      </c>
      <c r="M90" s="1353">
        <v>0</v>
      </c>
      <c r="N90" s="1353">
        <v>0</v>
      </c>
      <c r="O90" s="1353">
        <v>0</v>
      </c>
      <c r="P90" s="1353">
        <v>0</v>
      </c>
      <c r="Q90" s="1353">
        <v>0</v>
      </c>
      <c r="R90" s="1353">
        <v>153</v>
      </c>
      <c r="S90" s="1353">
        <v>0</v>
      </c>
      <c r="T90" s="1353">
        <v>0</v>
      </c>
      <c r="U90" s="1353">
        <v>0</v>
      </c>
      <c r="V90" s="1353">
        <v>0</v>
      </c>
      <c r="W90" s="1353">
        <v>174</v>
      </c>
      <c r="X90" s="1353">
        <v>0</v>
      </c>
      <c r="Y90" s="1353">
        <v>265</v>
      </c>
      <c r="Z90" s="1353">
        <v>176</v>
      </c>
      <c r="AA90" s="1353">
        <v>193</v>
      </c>
      <c r="AB90" s="1353">
        <v>177</v>
      </c>
      <c r="AC90" s="1353">
        <v>0</v>
      </c>
      <c r="AD90" s="1353">
        <v>0</v>
      </c>
      <c r="AE90" s="1353">
        <v>135</v>
      </c>
      <c r="AF90" s="1353">
        <v>165</v>
      </c>
      <c r="AG90" s="1353">
        <v>0</v>
      </c>
      <c r="AH90" s="1353">
        <v>0</v>
      </c>
      <c r="AI90" s="1353">
        <v>189</v>
      </c>
      <c r="AJ90" s="1353">
        <v>0</v>
      </c>
      <c r="AK90" s="1355">
        <f t="shared" si="15"/>
        <v>2204</v>
      </c>
      <c r="AL90" s="1355">
        <f t="shared" si="12"/>
        <v>936.76105247491444</v>
      </c>
      <c r="AM90" s="1831">
        <f t="shared" si="16"/>
        <v>2204</v>
      </c>
      <c r="AN90" s="1831">
        <f t="shared" si="17"/>
        <v>120.78331368215125</v>
      </c>
      <c r="AO90" s="1831">
        <f t="shared" si="18"/>
        <v>1057.5443661570657</v>
      </c>
      <c r="AP90" s="60" t="s">
        <v>3056</v>
      </c>
      <c r="AQ90" s="1355">
        <f t="shared" si="13"/>
        <v>881.6</v>
      </c>
      <c r="AR90" s="1378">
        <f t="shared" si="14"/>
        <v>55.161052474914413</v>
      </c>
    </row>
    <row r="91" spans="1:44" s="51" customFormat="1" ht="19.149999999999999" customHeight="1" outlineLevel="1">
      <c r="A91" s="1353">
        <v>78</v>
      </c>
      <c r="B91" s="1353">
        <v>78</v>
      </c>
      <c r="C91" s="1353"/>
      <c r="D91" s="1361" t="str">
        <f>TONGHOPCONGDOI!C88</f>
        <v>Món</v>
      </c>
      <c r="E91" s="1355"/>
      <c r="F91" s="1353">
        <v>67</v>
      </c>
      <c r="G91" s="1353">
        <v>0</v>
      </c>
      <c r="H91" s="1353">
        <v>0</v>
      </c>
      <c r="I91" s="1353">
        <v>0</v>
      </c>
      <c r="J91" s="1353">
        <v>0</v>
      </c>
      <c r="K91" s="1353">
        <v>0</v>
      </c>
      <c r="L91" s="1353">
        <v>0</v>
      </c>
      <c r="M91" s="1353">
        <v>0</v>
      </c>
      <c r="N91" s="1353">
        <v>0</v>
      </c>
      <c r="O91" s="1353">
        <v>0</v>
      </c>
      <c r="P91" s="1353">
        <v>0</v>
      </c>
      <c r="Q91" s="1353">
        <v>0</v>
      </c>
      <c r="R91" s="1353">
        <v>151</v>
      </c>
      <c r="S91" s="1353">
        <v>0</v>
      </c>
      <c r="T91" s="1353">
        <v>0</v>
      </c>
      <c r="U91" s="1353">
        <v>0</v>
      </c>
      <c r="V91" s="1353">
        <v>0</v>
      </c>
      <c r="W91" s="1353">
        <v>240</v>
      </c>
      <c r="X91" s="1353">
        <v>0</v>
      </c>
      <c r="Y91" s="1353">
        <v>225</v>
      </c>
      <c r="Z91" s="1353">
        <v>0</v>
      </c>
      <c r="AA91" s="1353">
        <v>0</v>
      </c>
      <c r="AB91" s="1353">
        <v>0</v>
      </c>
      <c r="AC91" s="1353">
        <v>0</v>
      </c>
      <c r="AD91" s="1353">
        <v>0</v>
      </c>
      <c r="AE91" s="1353">
        <v>138</v>
      </c>
      <c r="AF91" s="1353">
        <v>0</v>
      </c>
      <c r="AG91" s="1353">
        <v>0</v>
      </c>
      <c r="AH91" s="1353">
        <v>0</v>
      </c>
      <c r="AI91" s="1353">
        <v>100</v>
      </c>
      <c r="AJ91" s="1353">
        <v>0</v>
      </c>
      <c r="AK91" s="1355">
        <f t="shared" si="15"/>
        <v>921</v>
      </c>
      <c r="AL91" s="1355">
        <f t="shared" si="12"/>
        <v>391.4505123999075</v>
      </c>
      <c r="AM91" s="1831">
        <f t="shared" si="16"/>
        <v>921</v>
      </c>
      <c r="AN91" s="1831">
        <f t="shared" si="17"/>
        <v>50.472519011461571</v>
      </c>
      <c r="AO91" s="1831">
        <f t="shared" si="18"/>
        <v>441.92303141136904</v>
      </c>
      <c r="AP91" s="60" t="s">
        <v>3056</v>
      </c>
      <c r="AQ91" s="1355">
        <f t="shared" si="13"/>
        <v>368.40000000000003</v>
      </c>
      <c r="AR91" s="1378">
        <f t="shared" si="14"/>
        <v>23.050512399907461</v>
      </c>
    </row>
    <row r="92" spans="1:44" s="51" customFormat="1" ht="19.149999999999999" customHeight="1" outlineLevel="1">
      <c r="A92" s="1353">
        <v>79</v>
      </c>
      <c r="B92" s="1353">
        <v>79</v>
      </c>
      <c r="C92" s="1353"/>
      <c r="D92" s="1361" t="str">
        <f>TONGHOPCONGDOI!C89</f>
        <v>A tèng</v>
      </c>
      <c r="E92" s="1355"/>
      <c r="F92" s="1353">
        <v>0</v>
      </c>
      <c r="G92" s="1353">
        <v>0</v>
      </c>
      <c r="H92" s="1353">
        <v>0</v>
      </c>
      <c r="I92" s="1353">
        <v>0</v>
      </c>
      <c r="J92" s="1353">
        <v>0</v>
      </c>
      <c r="K92" s="1353">
        <v>0</v>
      </c>
      <c r="L92" s="1353">
        <v>0</v>
      </c>
      <c r="M92" s="1353">
        <v>0</v>
      </c>
      <c r="N92" s="1353">
        <v>0</v>
      </c>
      <c r="O92" s="1353">
        <v>0</v>
      </c>
      <c r="P92" s="1353">
        <v>0</v>
      </c>
      <c r="Q92" s="1353">
        <v>0</v>
      </c>
      <c r="R92" s="1353">
        <v>0</v>
      </c>
      <c r="S92" s="1353">
        <v>0</v>
      </c>
      <c r="T92" s="1353">
        <v>0</v>
      </c>
      <c r="U92" s="1353">
        <v>0</v>
      </c>
      <c r="V92" s="1353">
        <v>0</v>
      </c>
      <c r="W92" s="1353">
        <v>0</v>
      </c>
      <c r="X92" s="1353">
        <v>0</v>
      </c>
      <c r="Y92" s="1353">
        <v>251</v>
      </c>
      <c r="Z92" s="1353">
        <v>0</v>
      </c>
      <c r="AA92" s="1353">
        <v>0</v>
      </c>
      <c r="AB92" s="1353">
        <v>0</v>
      </c>
      <c r="AC92" s="1353">
        <v>0</v>
      </c>
      <c r="AD92" s="1353">
        <v>0</v>
      </c>
      <c r="AE92" s="1353">
        <v>171</v>
      </c>
      <c r="AF92" s="1353">
        <v>0</v>
      </c>
      <c r="AG92" s="1353">
        <v>0</v>
      </c>
      <c r="AH92" s="1353">
        <v>0</v>
      </c>
      <c r="AI92" s="1353">
        <v>0</v>
      </c>
      <c r="AJ92" s="1353">
        <v>0</v>
      </c>
      <c r="AK92" s="1355">
        <f t="shared" si="15"/>
        <v>422</v>
      </c>
      <c r="AL92" s="1355">
        <f t="shared" si="12"/>
        <v>179.36168972069595</v>
      </c>
      <c r="AM92" s="1831">
        <f t="shared" si="16"/>
        <v>422</v>
      </c>
      <c r="AN92" s="1831">
        <f t="shared" si="17"/>
        <v>23.126387646945474</v>
      </c>
      <c r="AO92" s="1831">
        <f t="shared" si="18"/>
        <v>202.48807736764144</v>
      </c>
      <c r="AP92" s="60" t="s">
        <v>3056</v>
      </c>
      <c r="AQ92" s="1355">
        <f t="shared" si="13"/>
        <v>168.8</v>
      </c>
      <c r="AR92" s="1378">
        <f t="shared" si="14"/>
        <v>10.561689720695938</v>
      </c>
    </row>
    <row r="93" spans="1:44" s="51" customFormat="1" ht="19.149999999999999" customHeight="1" outlineLevel="1">
      <c r="A93" s="1353">
        <v>80</v>
      </c>
      <c r="B93" s="1353">
        <v>80</v>
      </c>
      <c r="C93" s="1353"/>
      <c r="D93" s="1361" t="str">
        <f>TONGHOPCONGDOI!C90</f>
        <v xml:space="preserve">Đao </v>
      </c>
      <c r="E93" s="1355"/>
      <c r="F93" s="1353">
        <v>0</v>
      </c>
      <c r="G93" s="1353">
        <v>0</v>
      </c>
      <c r="H93" s="1353">
        <v>0</v>
      </c>
      <c r="I93" s="1353">
        <v>0</v>
      </c>
      <c r="J93" s="1353">
        <v>0</v>
      </c>
      <c r="K93" s="1353">
        <v>0</v>
      </c>
      <c r="L93" s="1353">
        <v>0</v>
      </c>
      <c r="M93" s="1353">
        <v>0</v>
      </c>
      <c r="N93" s="1353">
        <v>0</v>
      </c>
      <c r="O93" s="1353">
        <v>0</v>
      </c>
      <c r="P93" s="1353">
        <v>0</v>
      </c>
      <c r="Q93" s="1353">
        <v>0</v>
      </c>
      <c r="R93" s="1353">
        <v>0</v>
      </c>
      <c r="S93" s="1353">
        <v>0</v>
      </c>
      <c r="T93" s="1353">
        <v>0</v>
      </c>
      <c r="U93" s="1353">
        <v>0</v>
      </c>
      <c r="V93" s="1353">
        <v>0</v>
      </c>
      <c r="W93" s="1353">
        <v>0</v>
      </c>
      <c r="X93" s="1353">
        <v>0</v>
      </c>
      <c r="Y93" s="1353">
        <v>0</v>
      </c>
      <c r="Z93" s="1353">
        <v>0</v>
      </c>
      <c r="AA93" s="1353">
        <v>0</v>
      </c>
      <c r="AB93" s="1353">
        <v>0</v>
      </c>
      <c r="AC93" s="1353">
        <v>0</v>
      </c>
      <c r="AD93" s="1353">
        <v>0</v>
      </c>
      <c r="AE93" s="1353">
        <v>175</v>
      </c>
      <c r="AF93" s="1353">
        <v>0</v>
      </c>
      <c r="AG93" s="1353">
        <v>0</v>
      </c>
      <c r="AH93" s="1353">
        <v>0</v>
      </c>
      <c r="AI93" s="1353">
        <v>0</v>
      </c>
      <c r="AJ93" s="1353">
        <v>0</v>
      </c>
      <c r="AK93" s="1355">
        <f t="shared" si="15"/>
        <v>175</v>
      </c>
      <c r="AL93" s="1355">
        <f t="shared" si="12"/>
        <v>74.379847632990021</v>
      </c>
      <c r="AM93" s="1831">
        <f t="shared" si="16"/>
        <v>175</v>
      </c>
      <c r="AN93" s="1831">
        <f t="shared" si="17"/>
        <v>9.5903266308423181</v>
      </c>
      <c r="AO93" s="1831">
        <f t="shared" si="18"/>
        <v>83.970174263832334</v>
      </c>
      <c r="AP93" s="60" t="s">
        <v>3056</v>
      </c>
      <c r="AQ93" s="1355">
        <f t="shared" si="13"/>
        <v>70</v>
      </c>
      <c r="AR93" s="1378">
        <f t="shared" si="14"/>
        <v>4.3798476329900211</v>
      </c>
    </row>
    <row r="94" spans="1:44" s="51" customFormat="1" ht="19.149999999999999" customHeight="1" outlineLevel="1">
      <c r="A94" s="1353">
        <v>81</v>
      </c>
      <c r="B94" s="1353">
        <v>81</v>
      </c>
      <c r="C94" s="1353"/>
      <c r="D94" s="1361" t="str">
        <f>TONGHOPCONGDOI!C91</f>
        <v>Lôn</v>
      </c>
      <c r="E94" s="1355"/>
      <c r="F94" s="1353"/>
      <c r="G94" s="1353"/>
      <c r="H94" s="1353"/>
      <c r="I94" s="1353"/>
      <c r="J94" s="1353"/>
      <c r="K94" s="1353"/>
      <c r="L94" s="1353"/>
      <c r="M94" s="1353"/>
      <c r="N94" s="1353"/>
      <c r="O94" s="1353"/>
      <c r="P94" s="1353"/>
      <c r="Q94" s="1353"/>
      <c r="R94" s="1353"/>
      <c r="S94" s="1353"/>
      <c r="T94" s="1353"/>
      <c r="U94" s="1353"/>
      <c r="V94" s="1353"/>
      <c r="W94" s="1353"/>
      <c r="X94" s="1353"/>
      <c r="Y94" s="1353"/>
      <c r="Z94" s="1353"/>
      <c r="AA94" s="1353"/>
      <c r="AB94" s="1353"/>
      <c r="AC94" s="1353"/>
      <c r="AD94" s="1353"/>
      <c r="AE94" s="1353"/>
      <c r="AF94" s="1353"/>
      <c r="AG94" s="1353"/>
      <c r="AH94" s="1353"/>
      <c r="AI94" s="1353"/>
      <c r="AJ94" s="1353"/>
      <c r="AK94" s="1355">
        <f t="shared" si="15"/>
        <v>0</v>
      </c>
      <c r="AL94" s="1355">
        <f t="shared" si="12"/>
        <v>0</v>
      </c>
      <c r="AM94" s="1831"/>
      <c r="AN94" s="1831">
        <f t="shared" si="17"/>
        <v>0</v>
      </c>
      <c r="AO94" s="1831">
        <f t="shared" si="18"/>
        <v>0</v>
      </c>
      <c r="AP94" s="60"/>
      <c r="AQ94" s="1355">
        <f t="shared" si="13"/>
        <v>0</v>
      </c>
      <c r="AR94" s="1378">
        <f t="shared" si="14"/>
        <v>0</v>
      </c>
    </row>
    <row r="95" spans="1:44" s="51" customFormat="1" ht="19.149999999999999" customHeight="1" outlineLevel="1">
      <c r="A95" s="1353">
        <v>82</v>
      </c>
      <c r="B95" s="1353">
        <v>82</v>
      </c>
      <c r="C95" s="1353"/>
      <c r="D95" s="1361" t="str">
        <f>TONGHOPCONGDOI!C92</f>
        <v>Phay A</v>
      </c>
      <c r="E95" s="1355"/>
      <c r="F95" s="1353"/>
      <c r="G95" s="1353"/>
      <c r="H95" s="1353"/>
      <c r="I95" s="1353"/>
      <c r="J95" s="1353"/>
      <c r="K95" s="1353"/>
      <c r="L95" s="1353"/>
      <c r="M95" s="1353"/>
      <c r="N95" s="1353"/>
      <c r="O95" s="1353"/>
      <c r="P95" s="1353"/>
      <c r="Q95" s="1353"/>
      <c r="R95" s="1353"/>
      <c r="S95" s="1353"/>
      <c r="T95" s="1353"/>
      <c r="U95" s="1353"/>
      <c r="V95" s="1353"/>
      <c r="W95" s="1353"/>
      <c r="X95" s="1353"/>
      <c r="Y95" s="1353"/>
      <c r="Z95" s="1353"/>
      <c r="AA95" s="1353"/>
      <c r="AB95" s="1353"/>
      <c r="AC95" s="1353"/>
      <c r="AD95" s="1353"/>
      <c r="AE95" s="1353"/>
      <c r="AF95" s="1353"/>
      <c r="AG95" s="1353"/>
      <c r="AH95" s="1353"/>
      <c r="AI95" s="1353"/>
      <c r="AJ95" s="1353"/>
      <c r="AK95" s="1355">
        <f t="shared" si="15"/>
        <v>0</v>
      </c>
      <c r="AL95" s="1355">
        <f t="shared" si="12"/>
        <v>0</v>
      </c>
      <c r="AM95" s="1831"/>
      <c r="AN95" s="1831">
        <f t="shared" si="17"/>
        <v>0</v>
      </c>
      <c r="AO95" s="1831">
        <f t="shared" si="18"/>
        <v>0</v>
      </c>
      <c r="AP95" s="60"/>
      <c r="AQ95" s="1355">
        <f t="shared" si="13"/>
        <v>0</v>
      </c>
      <c r="AR95" s="1378">
        <f t="shared" si="14"/>
        <v>0</v>
      </c>
    </row>
    <row r="96" spans="1:44" s="51" customFormat="1" ht="19.149999999999999" customHeight="1" outlineLevel="1">
      <c r="A96" s="1353">
        <v>83</v>
      </c>
      <c r="B96" s="1353">
        <v>83</v>
      </c>
      <c r="C96" s="1353"/>
      <c r="D96" s="1361" t="str">
        <f>TONGHOPCONGDOI!C93</f>
        <v>Chày A</v>
      </c>
      <c r="E96" s="1355"/>
      <c r="F96" s="1353"/>
      <c r="G96" s="1353"/>
      <c r="H96" s="1353"/>
      <c r="I96" s="1353"/>
      <c r="J96" s="1353"/>
      <c r="K96" s="1353"/>
      <c r="L96" s="1353"/>
      <c r="M96" s="1353"/>
      <c r="N96" s="1353"/>
      <c r="O96" s="1353"/>
      <c r="P96" s="1353"/>
      <c r="Q96" s="1353"/>
      <c r="R96" s="1353"/>
      <c r="S96" s="1353"/>
      <c r="T96" s="1353"/>
      <c r="U96" s="1353"/>
      <c r="V96" s="1353"/>
      <c r="W96" s="1353"/>
      <c r="X96" s="1353"/>
      <c r="Y96" s="1353"/>
      <c r="Z96" s="1353"/>
      <c r="AA96" s="1353"/>
      <c r="AB96" s="1353"/>
      <c r="AC96" s="1353"/>
      <c r="AD96" s="1353"/>
      <c r="AE96" s="1353"/>
      <c r="AF96" s="1353"/>
      <c r="AG96" s="1353"/>
      <c r="AH96" s="1353"/>
      <c r="AI96" s="1353"/>
      <c r="AJ96" s="1353"/>
      <c r="AK96" s="1355">
        <f t="shared" si="15"/>
        <v>0</v>
      </c>
      <c r="AL96" s="1355">
        <f t="shared" si="12"/>
        <v>0</v>
      </c>
      <c r="AM96" s="1831"/>
      <c r="AN96" s="1831">
        <f t="shared" si="17"/>
        <v>0</v>
      </c>
      <c r="AO96" s="1831">
        <f t="shared" si="18"/>
        <v>0</v>
      </c>
      <c r="AP96" s="60"/>
      <c r="AQ96" s="1355">
        <f t="shared" si="13"/>
        <v>0</v>
      </c>
      <c r="AR96" s="1378">
        <f t="shared" si="14"/>
        <v>0</v>
      </c>
    </row>
    <row r="97" spans="1:45" s="51" customFormat="1" ht="19.149999999999999" customHeight="1" outlineLevel="1">
      <c r="A97" s="1353">
        <v>84</v>
      </c>
      <c r="B97" s="1353">
        <v>84</v>
      </c>
      <c r="C97" s="1353"/>
      <c r="D97" s="1361" t="str">
        <f>TONGHOPCONGDOI!C94</f>
        <v>MayA</v>
      </c>
      <c r="E97" s="1355"/>
      <c r="F97" s="1353"/>
      <c r="G97" s="1353"/>
      <c r="H97" s="1353"/>
      <c r="I97" s="1353"/>
      <c r="J97" s="1353"/>
      <c r="K97" s="1353"/>
      <c r="L97" s="1353"/>
      <c r="M97" s="1353"/>
      <c r="N97" s="1353"/>
      <c r="O97" s="1353"/>
      <c r="P97" s="1353"/>
      <c r="Q97" s="1353"/>
      <c r="R97" s="1353"/>
      <c r="S97" s="1353"/>
      <c r="T97" s="1353"/>
      <c r="U97" s="1353"/>
      <c r="V97" s="1353"/>
      <c r="W97" s="1353"/>
      <c r="X97" s="1353"/>
      <c r="Y97" s="1353"/>
      <c r="Z97" s="1353"/>
      <c r="AA97" s="1353"/>
      <c r="AB97" s="1353"/>
      <c r="AC97" s="1353"/>
      <c r="AD97" s="1353"/>
      <c r="AE97" s="1353"/>
      <c r="AF97" s="1353"/>
      <c r="AG97" s="1353"/>
      <c r="AH97" s="1353"/>
      <c r="AI97" s="1353"/>
      <c r="AJ97" s="1353"/>
      <c r="AK97" s="1355">
        <f t="shared" si="15"/>
        <v>0</v>
      </c>
      <c r="AL97" s="1355">
        <f t="shared" si="12"/>
        <v>0</v>
      </c>
      <c r="AM97" s="1831"/>
      <c r="AN97" s="1831">
        <f t="shared" si="17"/>
        <v>0</v>
      </c>
      <c r="AO97" s="1831">
        <f t="shared" si="18"/>
        <v>0</v>
      </c>
      <c r="AP97" s="60"/>
      <c r="AQ97" s="1355">
        <f t="shared" si="13"/>
        <v>0</v>
      </c>
      <c r="AR97" s="1378">
        <f t="shared" si="14"/>
        <v>0</v>
      </c>
    </row>
    <row r="98" spans="1:45" s="1022" customFormat="1" ht="19.149999999999999" customHeight="1" outlineLevel="1">
      <c r="A98" s="1367" t="s">
        <v>2986</v>
      </c>
      <c r="B98" s="1368"/>
      <c r="C98" s="1025"/>
      <c r="D98" s="1026"/>
      <c r="E98" s="1036"/>
      <c r="F98" s="1027">
        <f t="shared" ref="F98:AJ98" si="19">SUM(F99:F169)</f>
        <v>6171</v>
      </c>
      <c r="G98" s="1027">
        <f t="shared" si="19"/>
        <v>9119</v>
      </c>
      <c r="H98" s="1027">
        <f t="shared" si="19"/>
        <v>4923</v>
      </c>
      <c r="I98" s="1027">
        <f t="shared" si="19"/>
        <v>5203</v>
      </c>
      <c r="J98" s="1027">
        <f t="shared" si="19"/>
        <v>4045</v>
      </c>
      <c r="K98" s="1027">
        <f t="shared" si="19"/>
        <v>4772</v>
      </c>
      <c r="L98" s="1027">
        <f t="shared" si="19"/>
        <v>4422</v>
      </c>
      <c r="M98" s="1027">
        <f t="shared" si="19"/>
        <v>5055</v>
      </c>
      <c r="N98" s="1027">
        <f t="shared" si="19"/>
        <v>7421</v>
      </c>
      <c r="O98" s="1027">
        <f t="shared" si="19"/>
        <v>6077</v>
      </c>
      <c r="P98" s="1027">
        <f t="shared" si="19"/>
        <v>5510</v>
      </c>
      <c r="Q98" s="1027">
        <f t="shared" si="19"/>
        <v>4951</v>
      </c>
      <c r="R98" s="1027">
        <f t="shared" si="19"/>
        <v>6379</v>
      </c>
      <c r="S98" s="1027">
        <f t="shared" si="19"/>
        <v>5319</v>
      </c>
      <c r="T98" s="1027">
        <f t="shared" si="19"/>
        <v>5232</v>
      </c>
      <c r="U98" s="1027">
        <f t="shared" si="19"/>
        <v>9046</v>
      </c>
      <c r="V98" s="1027">
        <f t="shared" si="19"/>
        <v>5497</v>
      </c>
      <c r="W98" s="1027">
        <f t="shared" si="19"/>
        <v>6087</v>
      </c>
      <c r="X98" s="1027">
        <f t="shared" si="19"/>
        <v>5263</v>
      </c>
      <c r="Y98" s="1027">
        <f t="shared" si="19"/>
        <v>5645</v>
      </c>
      <c r="Z98" s="1027">
        <f t="shared" si="19"/>
        <v>6340</v>
      </c>
      <c r="AA98" s="1027">
        <f t="shared" si="19"/>
        <v>6151</v>
      </c>
      <c r="AB98" s="1027">
        <f t="shared" si="19"/>
        <v>5581</v>
      </c>
      <c r="AC98" s="1027">
        <f t="shared" si="19"/>
        <v>5455</v>
      </c>
      <c r="AD98" s="1027">
        <f t="shared" si="19"/>
        <v>5181</v>
      </c>
      <c r="AE98" s="1027">
        <f t="shared" si="19"/>
        <v>5307</v>
      </c>
      <c r="AF98" s="1027">
        <f t="shared" si="19"/>
        <v>4995</v>
      </c>
      <c r="AG98" s="1027">
        <f t="shared" si="19"/>
        <v>4401</v>
      </c>
      <c r="AH98" s="1027">
        <f t="shared" si="19"/>
        <v>6102</v>
      </c>
      <c r="AI98" s="1027">
        <f t="shared" si="19"/>
        <v>9170</v>
      </c>
      <c r="AJ98" s="1027">
        <f t="shared" si="19"/>
        <v>4706</v>
      </c>
      <c r="AK98" s="1033">
        <f>SUM(AK99:AK169)</f>
        <v>179526</v>
      </c>
      <c r="AL98" s="1033">
        <f>SUM(AL99:AL169)</f>
        <v>78217.730530873028</v>
      </c>
      <c r="AM98" s="1033">
        <f t="shared" ref="AM98:AO98" si="20">SUM(AM99:AM169)</f>
        <v>179526</v>
      </c>
      <c r="AN98" s="1033">
        <f t="shared" si="20"/>
        <v>7284.3398873016113</v>
      </c>
      <c r="AO98" s="1033">
        <f t="shared" si="20"/>
        <v>85502.070418174626</v>
      </c>
      <c r="AP98" s="1033"/>
      <c r="AQ98" s="1033">
        <f>SUM(AQ99:AQ169)</f>
        <v>70625.60000000002</v>
      </c>
      <c r="AR98" s="1033">
        <f>SUM(AR99:AR169)</f>
        <v>7543.3332211827183</v>
      </c>
    </row>
    <row r="99" spans="1:45" s="51" customFormat="1" ht="19.149999999999999" customHeight="1" outlineLevel="1">
      <c r="A99" s="1353">
        <v>105</v>
      </c>
      <c r="B99" s="1353">
        <v>1</v>
      </c>
      <c r="C99" s="1353" t="s">
        <v>3176</v>
      </c>
      <c r="D99" s="1361" t="str">
        <f>TONGHOPCONGDOI!C105</f>
        <v>Thảo Văn</v>
      </c>
      <c r="E99" s="1355"/>
      <c r="F99" s="1353">
        <v>128</v>
      </c>
      <c r="G99" s="1353">
        <v>100</v>
      </c>
      <c r="H99" s="1353">
        <v>150</v>
      </c>
      <c r="I99" s="1353">
        <v>100</v>
      </c>
      <c r="J99" s="1353">
        <v>0</v>
      </c>
      <c r="K99" s="1353">
        <v>100</v>
      </c>
      <c r="L99" s="1353">
        <v>0</v>
      </c>
      <c r="M99" s="1353">
        <v>0</v>
      </c>
      <c r="N99" s="1353">
        <v>0</v>
      </c>
      <c r="O99" s="1353">
        <v>0</v>
      </c>
      <c r="P99" s="1353">
        <v>0</v>
      </c>
      <c r="Q99" s="1353">
        <v>178</v>
      </c>
      <c r="R99" s="1353">
        <v>0</v>
      </c>
      <c r="S99" s="1353">
        <v>128</v>
      </c>
      <c r="T99" s="1353">
        <v>0</v>
      </c>
      <c r="U99" s="1353">
        <v>200</v>
      </c>
      <c r="V99" s="1353">
        <v>156</v>
      </c>
      <c r="W99" s="1353">
        <v>150</v>
      </c>
      <c r="X99" s="1353">
        <v>138</v>
      </c>
      <c r="Y99" s="1353">
        <v>100</v>
      </c>
      <c r="Z99" s="64">
        <v>136</v>
      </c>
      <c r="AA99" s="64">
        <v>148</v>
      </c>
      <c r="AB99" s="1366">
        <v>118</v>
      </c>
      <c r="AC99" s="1366">
        <v>100</v>
      </c>
      <c r="AD99" s="1366">
        <v>114</v>
      </c>
      <c r="AE99" s="1366">
        <v>0</v>
      </c>
      <c r="AF99" s="1366">
        <v>146</v>
      </c>
      <c r="AG99" s="1366">
        <v>0</v>
      </c>
      <c r="AH99" s="1366">
        <v>150</v>
      </c>
      <c r="AI99" s="1366">
        <v>140</v>
      </c>
      <c r="AJ99" s="1366">
        <v>122</v>
      </c>
      <c r="AK99" s="1355">
        <f t="shared" ref="AK99" si="21">SUM(F99:AJ99)</f>
        <v>2802</v>
      </c>
      <c r="AL99" s="1355">
        <f t="shared" ref="AL99:AL130" si="22">AK99*$AS$11</f>
        <v>1220.8041227872629</v>
      </c>
      <c r="AM99" s="1831">
        <f>AK99</f>
        <v>2802</v>
      </c>
      <c r="AN99" s="1831">
        <f>AM99*$AT$11</f>
        <v>113.6922805845344</v>
      </c>
      <c r="AO99" s="1831">
        <f>AL99+AN99</f>
        <v>1334.4964033717974</v>
      </c>
      <c r="AP99" s="60" t="s">
        <v>1959</v>
      </c>
      <c r="AQ99" s="1355">
        <f t="shared" ref="AQ99:AQ130" si="23">+AK99*40%</f>
        <v>1120.8</v>
      </c>
      <c r="AR99" s="1378">
        <f t="shared" ref="AR99:AR130" si="24">+AL99-AQ99</f>
        <v>100.00412278726299</v>
      </c>
      <c r="AS99" s="266"/>
    </row>
    <row r="100" spans="1:45" s="51" customFormat="1" ht="19.149999999999999" customHeight="1" outlineLevel="1">
      <c r="A100" s="1353">
        <v>106</v>
      </c>
      <c r="B100" s="1353">
        <v>2</v>
      </c>
      <c r="C100" s="1353" t="s">
        <v>3177</v>
      </c>
      <c r="D100" s="1361" t="str">
        <f>TONGHOPCONGDOI!C106</f>
        <v>T . Thau</v>
      </c>
      <c r="E100" s="1355"/>
      <c r="F100" s="1353">
        <v>150</v>
      </c>
      <c r="G100" s="1353">
        <v>202</v>
      </c>
      <c r="H100" s="1353">
        <v>95</v>
      </c>
      <c r="I100" s="1353">
        <v>146</v>
      </c>
      <c r="J100" s="1353">
        <v>182</v>
      </c>
      <c r="K100" s="1353">
        <v>108</v>
      </c>
      <c r="L100" s="1353">
        <v>108</v>
      </c>
      <c r="M100" s="1353">
        <v>167</v>
      </c>
      <c r="N100" s="1353">
        <v>173</v>
      </c>
      <c r="O100" s="1353">
        <v>164</v>
      </c>
      <c r="P100" s="1353">
        <v>173</v>
      </c>
      <c r="Q100" s="1353">
        <v>186</v>
      </c>
      <c r="R100" s="1353">
        <v>73</v>
      </c>
      <c r="S100" s="1353">
        <v>97</v>
      </c>
      <c r="T100" s="1353">
        <v>133</v>
      </c>
      <c r="U100" s="1353">
        <v>270</v>
      </c>
      <c r="V100" s="1353">
        <v>0</v>
      </c>
      <c r="W100" s="1353">
        <v>183</v>
      </c>
      <c r="X100" s="1353">
        <v>107</v>
      </c>
      <c r="Y100" s="1353">
        <v>77</v>
      </c>
      <c r="Z100" s="64">
        <v>185</v>
      </c>
      <c r="AA100" s="64">
        <v>167</v>
      </c>
      <c r="AB100" s="1366">
        <v>141</v>
      </c>
      <c r="AC100" s="1366">
        <v>126</v>
      </c>
      <c r="AD100" s="1366">
        <v>155</v>
      </c>
      <c r="AE100" s="1366">
        <v>172</v>
      </c>
      <c r="AF100" s="1366">
        <v>81</v>
      </c>
      <c r="AG100" s="1366">
        <v>100</v>
      </c>
      <c r="AH100" s="1366">
        <v>159</v>
      </c>
      <c r="AI100" s="1366">
        <v>144</v>
      </c>
      <c r="AJ100" s="1366">
        <v>0</v>
      </c>
      <c r="AK100" s="1355">
        <f t="shared" ref="AK100:AK120" si="25">SUM(F100:AJ100)</f>
        <v>4224</v>
      </c>
      <c r="AL100" s="1355">
        <f t="shared" si="22"/>
        <v>1840.3556797478225</v>
      </c>
      <c r="AM100" s="1831">
        <f t="shared" ref="AM100:AM163" si="26">AK100</f>
        <v>4224</v>
      </c>
      <c r="AN100" s="1831">
        <f t="shared" ref="AN100:AN163" si="27">AM100*$AT$11</f>
        <v>171.39050435013323</v>
      </c>
      <c r="AO100" s="1831">
        <f t="shared" ref="AO100:AO163" si="28">AL100+AN100</f>
        <v>2011.7461840979556</v>
      </c>
      <c r="AP100" s="60" t="s">
        <v>1957</v>
      </c>
      <c r="AQ100" s="1355">
        <f t="shared" si="23"/>
        <v>1689.6000000000001</v>
      </c>
      <c r="AR100" s="1378">
        <f t="shared" si="24"/>
        <v>150.75567974782234</v>
      </c>
      <c r="AS100" s="266"/>
    </row>
    <row r="101" spans="1:45" s="51" customFormat="1" ht="19.149999999999999" customHeight="1" outlineLevel="1">
      <c r="A101" s="1353">
        <v>107</v>
      </c>
      <c r="B101" s="1353">
        <v>3</v>
      </c>
      <c r="C101" s="1353"/>
      <c r="D101" s="1361" t="str">
        <f>TONGHOPCONGDOI!C107</f>
        <v>Nàng Lao</v>
      </c>
      <c r="E101" s="1355"/>
      <c r="F101" s="1353">
        <v>118</v>
      </c>
      <c r="G101" s="1353">
        <v>198</v>
      </c>
      <c r="H101" s="1353">
        <v>139</v>
      </c>
      <c r="I101" s="1353">
        <v>60</v>
      </c>
      <c r="J101" s="1353">
        <v>50</v>
      </c>
      <c r="K101" s="1353">
        <v>60</v>
      </c>
      <c r="L101" s="1353">
        <v>109</v>
      </c>
      <c r="M101" s="1353">
        <v>0</v>
      </c>
      <c r="N101" s="1353">
        <v>123</v>
      </c>
      <c r="O101" s="1353">
        <v>99</v>
      </c>
      <c r="P101" s="1353">
        <v>97</v>
      </c>
      <c r="Q101" s="1353">
        <v>41</v>
      </c>
      <c r="R101" s="1353">
        <v>66</v>
      </c>
      <c r="S101" s="1353">
        <v>102</v>
      </c>
      <c r="T101" s="1353">
        <v>57</v>
      </c>
      <c r="U101" s="1353">
        <v>106</v>
      </c>
      <c r="V101" s="1353">
        <v>77</v>
      </c>
      <c r="W101" s="1353">
        <v>71</v>
      </c>
      <c r="X101" s="1353">
        <v>80</v>
      </c>
      <c r="Y101" s="1353">
        <v>80</v>
      </c>
      <c r="Z101" s="64">
        <v>191</v>
      </c>
      <c r="AA101" s="64">
        <v>80</v>
      </c>
      <c r="AB101" s="1366">
        <v>80</v>
      </c>
      <c r="AC101" s="1366">
        <v>41</v>
      </c>
      <c r="AD101" s="1366">
        <v>131</v>
      </c>
      <c r="AE101" s="1366">
        <v>54</v>
      </c>
      <c r="AF101" s="1366">
        <v>54</v>
      </c>
      <c r="AG101" s="1366">
        <v>113</v>
      </c>
      <c r="AH101" s="1366">
        <v>81</v>
      </c>
      <c r="AI101" s="1366">
        <v>56</v>
      </c>
      <c r="AJ101" s="1366">
        <v>101</v>
      </c>
      <c r="AK101" s="1355">
        <f t="shared" si="25"/>
        <v>2715</v>
      </c>
      <c r="AL101" s="1355">
        <f t="shared" si="22"/>
        <v>1182.899069724275</v>
      </c>
      <c r="AM101" s="1831">
        <f t="shared" si="26"/>
        <v>2715</v>
      </c>
      <c r="AN101" s="1831">
        <f t="shared" si="27"/>
        <v>110.16222048073195</v>
      </c>
      <c r="AO101" s="1831">
        <f t="shared" si="28"/>
        <v>1293.061290205007</v>
      </c>
      <c r="AP101" s="60" t="s">
        <v>1957</v>
      </c>
      <c r="AQ101" s="1355">
        <f t="shared" si="23"/>
        <v>1086</v>
      </c>
      <c r="AR101" s="1378">
        <f t="shared" si="24"/>
        <v>96.899069724275023</v>
      </c>
      <c r="AS101" s="266"/>
    </row>
    <row r="102" spans="1:45" s="51" customFormat="1" ht="19.149999999999999" customHeight="1" outlineLevel="1">
      <c r="A102" s="1353">
        <v>108</v>
      </c>
      <c r="B102" s="1353">
        <v>4</v>
      </c>
      <c r="C102" s="1353" t="s">
        <v>3178</v>
      </c>
      <c r="D102" s="1361" t="str">
        <f>TONGHOPCONGDOI!C108</f>
        <v>Nàng Eng</v>
      </c>
      <c r="E102" s="1355"/>
      <c r="F102" s="1353">
        <v>88</v>
      </c>
      <c r="G102" s="1353">
        <v>162</v>
      </c>
      <c r="H102" s="1353">
        <v>86</v>
      </c>
      <c r="I102" s="1353">
        <v>103</v>
      </c>
      <c r="J102" s="1353">
        <v>44</v>
      </c>
      <c r="K102" s="1353">
        <v>121</v>
      </c>
      <c r="L102" s="1353">
        <v>121</v>
      </c>
      <c r="M102" s="1353">
        <v>123</v>
      </c>
      <c r="N102" s="1353">
        <v>122</v>
      </c>
      <c r="O102" s="1353">
        <v>95</v>
      </c>
      <c r="P102" s="1353">
        <v>94</v>
      </c>
      <c r="Q102" s="1353">
        <v>86</v>
      </c>
      <c r="R102" s="1353">
        <v>0</v>
      </c>
      <c r="S102" s="1353">
        <v>123</v>
      </c>
      <c r="T102" s="1353">
        <v>124</v>
      </c>
      <c r="U102" s="1353">
        <v>178</v>
      </c>
      <c r="V102" s="1353">
        <v>111</v>
      </c>
      <c r="W102" s="1353">
        <v>105</v>
      </c>
      <c r="X102" s="1353">
        <v>68</v>
      </c>
      <c r="Y102" s="1353">
        <v>111</v>
      </c>
      <c r="Z102" s="64">
        <v>114</v>
      </c>
      <c r="AA102" s="64">
        <v>114</v>
      </c>
      <c r="AB102" s="1366">
        <v>0</v>
      </c>
      <c r="AC102" s="1366">
        <v>0</v>
      </c>
      <c r="AD102" s="1366">
        <v>0</v>
      </c>
      <c r="AE102" s="1366">
        <v>65</v>
      </c>
      <c r="AF102" s="1366">
        <v>112</v>
      </c>
      <c r="AG102" s="1366">
        <v>0</v>
      </c>
      <c r="AH102" s="1366">
        <v>80</v>
      </c>
      <c r="AI102" s="1366">
        <v>102</v>
      </c>
      <c r="AJ102" s="1366">
        <v>80</v>
      </c>
      <c r="AK102" s="1355">
        <f t="shared" si="25"/>
        <v>2732</v>
      </c>
      <c r="AL102" s="1355">
        <f t="shared" si="22"/>
        <v>1190.305804230836</v>
      </c>
      <c r="AM102" s="1831">
        <f t="shared" si="26"/>
        <v>2732</v>
      </c>
      <c r="AN102" s="1831">
        <f t="shared" si="27"/>
        <v>110.85200234009564</v>
      </c>
      <c r="AO102" s="1831">
        <f t="shared" si="28"/>
        <v>1301.1578065709316</v>
      </c>
      <c r="AP102" s="60" t="s">
        <v>1957</v>
      </c>
      <c r="AQ102" s="1355">
        <f t="shared" si="23"/>
        <v>1092.8</v>
      </c>
      <c r="AR102" s="1378">
        <f t="shared" si="24"/>
        <v>97.50580423083602</v>
      </c>
      <c r="AS102" s="266"/>
    </row>
    <row r="103" spans="1:45" s="51" customFormat="1" ht="19.149999999999999" customHeight="1" outlineLevel="1">
      <c r="A103" s="1353">
        <v>109</v>
      </c>
      <c r="B103" s="1353">
        <v>5</v>
      </c>
      <c r="C103" s="1353" t="s">
        <v>3179</v>
      </c>
      <c r="D103" s="1361" t="str">
        <f>TONGHOPCONGDOI!C109</f>
        <v>T. Ve</v>
      </c>
      <c r="E103" s="1355"/>
      <c r="F103" s="1353">
        <v>150</v>
      </c>
      <c r="G103" s="1353">
        <v>202</v>
      </c>
      <c r="H103" s="1353">
        <v>96</v>
      </c>
      <c r="I103" s="1353">
        <v>146</v>
      </c>
      <c r="J103" s="1353">
        <v>183</v>
      </c>
      <c r="K103" s="1353">
        <v>108</v>
      </c>
      <c r="L103" s="1353">
        <v>108</v>
      </c>
      <c r="M103" s="1353">
        <v>167</v>
      </c>
      <c r="N103" s="1353">
        <v>174</v>
      </c>
      <c r="O103" s="1353">
        <v>165</v>
      </c>
      <c r="P103" s="1353">
        <v>174</v>
      </c>
      <c r="Q103" s="1353">
        <v>187</v>
      </c>
      <c r="R103" s="1353">
        <v>73</v>
      </c>
      <c r="S103" s="1353">
        <v>97</v>
      </c>
      <c r="T103" s="1353">
        <v>133</v>
      </c>
      <c r="U103" s="1353">
        <v>272</v>
      </c>
      <c r="V103" s="1353">
        <v>0</v>
      </c>
      <c r="W103" s="1353">
        <v>183</v>
      </c>
      <c r="X103" s="1353">
        <v>108</v>
      </c>
      <c r="Y103" s="1353">
        <v>78</v>
      </c>
      <c r="Z103" s="64">
        <v>185</v>
      </c>
      <c r="AA103" s="64">
        <v>168</v>
      </c>
      <c r="AB103" s="1366">
        <v>141</v>
      </c>
      <c r="AC103" s="1366">
        <v>127</v>
      </c>
      <c r="AD103" s="1366">
        <v>156</v>
      </c>
      <c r="AE103" s="1366">
        <v>173</v>
      </c>
      <c r="AF103" s="1366">
        <v>81</v>
      </c>
      <c r="AG103" s="1366">
        <v>101</v>
      </c>
      <c r="AH103" s="1366">
        <v>160</v>
      </c>
      <c r="AI103" s="1366">
        <v>144</v>
      </c>
      <c r="AJ103" s="1366">
        <v>0</v>
      </c>
      <c r="AK103" s="1355">
        <f t="shared" si="25"/>
        <v>4240</v>
      </c>
      <c r="AL103" s="1355">
        <f t="shared" si="22"/>
        <v>1847.3267239892914</v>
      </c>
      <c r="AM103" s="1831">
        <f t="shared" si="26"/>
        <v>4240</v>
      </c>
      <c r="AN103" s="1831">
        <f t="shared" si="27"/>
        <v>172.03971080600493</v>
      </c>
      <c r="AO103" s="1831">
        <f t="shared" si="28"/>
        <v>2019.3664347952963</v>
      </c>
      <c r="AP103" s="60" t="s">
        <v>1957</v>
      </c>
      <c r="AQ103" s="1355">
        <f t="shared" si="23"/>
        <v>1696</v>
      </c>
      <c r="AR103" s="1378">
        <f t="shared" si="24"/>
        <v>151.32672398929139</v>
      </c>
      <c r="AS103" s="266"/>
    </row>
    <row r="104" spans="1:45" s="51" customFormat="1" ht="19.149999999999999" customHeight="1" outlineLevel="1">
      <c r="A104" s="1353">
        <v>110</v>
      </c>
      <c r="B104" s="1353">
        <v>6</v>
      </c>
      <c r="C104" s="1353" t="s">
        <v>3180</v>
      </c>
      <c r="D104" s="1361" t="str">
        <f>TONGHOPCONGDOI!C110</f>
        <v>Thảo Khổ</v>
      </c>
      <c r="E104" s="1355"/>
      <c r="F104" s="1353">
        <v>93</v>
      </c>
      <c r="G104" s="1353">
        <v>171</v>
      </c>
      <c r="H104" s="1353">
        <v>141</v>
      </c>
      <c r="I104" s="1353">
        <v>102</v>
      </c>
      <c r="J104" s="1353">
        <v>114</v>
      </c>
      <c r="K104" s="1353">
        <v>81</v>
      </c>
      <c r="L104" s="1353">
        <v>116</v>
      </c>
      <c r="M104" s="1353">
        <v>0</v>
      </c>
      <c r="N104" s="1353">
        <v>0</v>
      </c>
      <c r="O104" s="1353">
        <v>92</v>
      </c>
      <c r="P104" s="1353">
        <v>167</v>
      </c>
      <c r="Q104" s="1353">
        <v>0</v>
      </c>
      <c r="R104" s="1353">
        <v>204</v>
      </c>
      <c r="S104" s="1353">
        <v>92</v>
      </c>
      <c r="T104" s="1353">
        <v>72</v>
      </c>
      <c r="U104" s="1353">
        <v>169</v>
      </c>
      <c r="V104" s="1353">
        <v>58</v>
      </c>
      <c r="W104" s="1353">
        <v>110</v>
      </c>
      <c r="X104" s="1353">
        <v>92</v>
      </c>
      <c r="Y104" s="1353">
        <v>84</v>
      </c>
      <c r="Z104" s="64">
        <v>116</v>
      </c>
      <c r="AA104" s="64">
        <v>163</v>
      </c>
      <c r="AB104" s="1366">
        <v>141</v>
      </c>
      <c r="AC104" s="1366">
        <v>128</v>
      </c>
      <c r="AD104" s="1366">
        <v>0</v>
      </c>
      <c r="AE104" s="1366">
        <v>126</v>
      </c>
      <c r="AF104" s="1366">
        <v>82</v>
      </c>
      <c r="AG104" s="1366">
        <v>62</v>
      </c>
      <c r="AH104" s="1366">
        <v>81</v>
      </c>
      <c r="AI104" s="1366">
        <v>0</v>
      </c>
      <c r="AJ104" s="1366">
        <v>112</v>
      </c>
      <c r="AK104" s="1355">
        <f t="shared" si="25"/>
        <v>2969</v>
      </c>
      <c r="AL104" s="1355">
        <f t="shared" si="22"/>
        <v>1293.5643970575959</v>
      </c>
      <c r="AM104" s="1831">
        <f t="shared" si="26"/>
        <v>2969</v>
      </c>
      <c r="AN104" s="1831">
        <f t="shared" si="27"/>
        <v>120.46837296769544</v>
      </c>
      <c r="AO104" s="1831">
        <f t="shared" si="28"/>
        <v>1414.0327700252913</v>
      </c>
      <c r="AP104" s="60" t="s">
        <v>1959</v>
      </c>
      <c r="AQ104" s="1355">
        <f t="shared" si="23"/>
        <v>1187.6000000000001</v>
      </c>
      <c r="AR104" s="1378">
        <f t="shared" si="24"/>
        <v>105.96439705759576</v>
      </c>
      <c r="AS104" s="266"/>
    </row>
    <row r="105" spans="1:45" s="51" customFormat="1" ht="19.149999999999999" customHeight="1" outlineLevel="1">
      <c r="A105" s="1353">
        <v>111</v>
      </c>
      <c r="B105" s="1353">
        <v>7</v>
      </c>
      <c r="C105" s="1353"/>
      <c r="D105" s="1361" t="str">
        <f>TONGHOPCONGDOI!C111</f>
        <v>Nàng Văn Đay</v>
      </c>
      <c r="E105" s="1355"/>
      <c r="F105" s="1353">
        <v>64</v>
      </c>
      <c r="G105" s="1353">
        <v>158</v>
      </c>
      <c r="H105" s="1353">
        <v>84</v>
      </c>
      <c r="I105" s="1353">
        <v>82</v>
      </c>
      <c r="J105" s="1353">
        <v>154</v>
      </c>
      <c r="K105" s="1353">
        <v>0</v>
      </c>
      <c r="L105" s="1353">
        <v>87</v>
      </c>
      <c r="M105" s="1353">
        <v>86</v>
      </c>
      <c r="N105" s="1353">
        <v>67</v>
      </c>
      <c r="O105" s="1353">
        <v>102</v>
      </c>
      <c r="P105" s="1353">
        <v>93</v>
      </c>
      <c r="Q105" s="1353">
        <v>68</v>
      </c>
      <c r="R105" s="1353">
        <v>164</v>
      </c>
      <c r="S105" s="1353">
        <v>110</v>
      </c>
      <c r="T105" s="1353">
        <v>89</v>
      </c>
      <c r="U105" s="1353">
        <v>168</v>
      </c>
      <c r="V105" s="1353">
        <v>87</v>
      </c>
      <c r="W105" s="1353">
        <v>94</v>
      </c>
      <c r="X105" s="1353">
        <v>68</v>
      </c>
      <c r="Y105" s="1353">
        <v>90</v>
      </c>
      <c r="Z105" s="64">
        <v>85</v>
      </c>
      <c r="AA105" s="64">
        <v>88</v>
      </c>
      <c r="AB105" s="1366">
        <v>0</v>
      </c>
      <c r="AC105" s="1366">
        <v>82</v>
      </c>
      <c r="AD105" s="1366">
        <v>0</v>
      </c>
      <c r="AE105" s="1366">
        <v>120</v>
      </c>
      <c r="AF105" s="1366">
        <v>129</v>
      </c>
      <c r="AG105" s="1366">
        <v>66</v>
      </c>
      <c r="AH105" s="1366">
        <v>77</v>
      </c>
      <c r="AI105" s="1366">
        <v>133</v>
      </c>
      <c r="AJ105" s="1366">
        <v>50</v>
      </c>
      <c r="AK105" s="1355">
        <f t="shared" si="25"/>
        <v>2745</v>
      </c>
      <c r="AL105" s="1355">
        <f t="shared" si="22"/>
        <v>1195.9697776770295</v>
      </c>
      <c r="AM105" s="1831">
        <f t="shared" si="26"/>
        <v>2745</v>
      </c>
      <c r="AN105" s="1831">
        <f t="shared" si="27"/>
        <v>111.3794825854914</v>
      </c>
      <c r="AO105" s="1831">
        <f t="shared" si="28"/>
        <v>1307.3492602625208</v>
      </c>
      <c r="AP105" s="60" t="s">
        <v>1957</v>
      </c>
      <c r="AQ105" s="1355">
        <f t="shared" si="23"/>
        <v>1098</v>
      </c>
      <c r="AR105" s="1378">
        <f t="shared" si="24"/>
        <v>97.969777677029469</v>
      </c>
      <c r="AS105" s="266"/>
    </row>
    <row r="106" spans="1:45" s="51" customFormat="1" ht="19.149999999999999" customHeight="1" outlineLevel="1">
      <c r="A106" s="1353">
        <v>112</v>
      </c>
      <c r="B106" s="1353">
        <v>8</v>
      </c>
      <c r="C106" s="1353" t="s">
        <v>3181</v>
      </c>
      <c r="D106" s="1361" t="str">
        <f>TONGHOPCONGDOI!C112</f>
        <v>Nàng Ni Khăm</v>
      </c>
      <c r="E106" s="1355"/>
      <c r="F106" s="1353">
        <v>154</v>
      </c>
      <c r="G106" s="1353">
        <v>141</v>
      </c>
      <c r="H106" s="1353">
        <v>0</v>
      </c>
      <c r="I106" s="1353">
        <v>0</v>
      </c>
      <c r="J106" s="1353">
        <v>96</v>
      </c>
      <c r="K106" s="1353">
        <v>108</v>
      </c>
      <c r="L106" s="1353">
        <v>159</v>
      </c>
      <c r="M106" s="1353">
        <v>199</v>
      </c>
      <c r="N106" s="1353">
        <v>227</v>
      </c>
      <c r="O106" s="1353">
        <v>106</v>
      </c>
      <c r="P106" s="1353">
        <v>0</v>
      </c>
      <c r="Q106" s="1353">
        <v>105</v>
      </c>
      <c r="R106" s="1353">
        <v>114</v>
      </c>
      <c r="S106" s="1353">
        <v>0</v>
      </c>
      <c r="T106" s="1353">
        <v>0</v>
      </c>
      <c r="U106" s="1353">
        <v>202</v>
      </c>
      <c r="V106" s="1353">
        <v>194</v>
      </c>
      <c r="W106" s="1353">
        <v>126</v>
      </c>
      <c r="X106" s="1353">
        <v>203</v>
      </c>
      <c r="Y106" s="1353">
        <v>132</v>
      </c>
      <c r="Z106" s="64">
        <v>147</v>
      </c>
      <c r="AA106" s="64">
        <v>115</v>
      </c>
      <c r="AB106" s="1366">
        <v>0</v>
      </c>
      <c r="AC106" s="1366">
        <v>0</v>
      </c>
      <c r="AD106" s="1366">
        <v>113</v>
      </c>
      <c r="AE106" s="1366">
        <v>122</v>
      </c>
      <c r="AF106" s="1366">
        <v>107</v>
      </c>
      <c r="AG106" s="1366">
        <v>113</v>
      </c>
      <c r="AH106" s="1366">
        <v>128</v>
      </c>
      <c r="AI106" s="1366">
        <v>184</v>
      </c>
      <c r="AJ106" s="1366">
        <v>105</v>
      </c>
      <c r="AK106" s="1355">
        <f t="shared" si="25"/>
        <v>3400</v>
      </c>
      <c r="AL106" s="1355">
        <f t="shared" si="22"/>
        <v>1481.3469013121676</v>
      </c>
      <c r="AM106" s="1831">
        <f t="shared" si="26"/>
        <v>3400</v>
      </c>
      <c r="AN106" s="1831">
        <f t="shared" si="27"/>
        <v>137.95637187273982</v>
      </c>
      <c r="AO106" s="1831">
        <f t="shared" si="28"/>
        <v>1619.3032731849073</v>
      </c>
      <c r="AP106" s="60" t="s">
        <v>1957</v>
      </c>
      <c r="AQ106" s="1355">
        <f t="shared" si="23"/>
        <v>1360</v>
      </c>
      <c r="AR106" s="1378">
        <f t="shared" si="24"/>
        <v>121.34690131216757</v>
      </c>
      <c r="AS106" s="266"/>
    </row>
    <row r="107" spans="1:45" s="51" customFormat="1" ht="19.149999999999999" customHeight="1" outlineLevel="1">
      <c r="A107" s="1353">
        <v>113</v>
      </c>
      <c r="B107" s="1353">
        <v>9</v>
      </c>
      <c r="C107" s="1353" t="s">
        <v>3182</v>
      </c>
      <c r="D107" s="1361" t="str">
        <f>TONGHOPCONGDOI!C113</f>
        <v>T. Lăm Chê</v>
      </c>
      <c r="E107" s="1355"/>
      <c r="F107" s="1353">
        <v>144</v>
      </c>
      <c r="G107" s="1353">
        <v>178</v>
      </c>
      <c r="H107" s="1353">
        <v>81</v>
      </c>
      <c r="I107" s="1353">
        <v>117</v>
      </c>
      <c r="J107" s="1353">
        <v>74</v>
      </c>
      <c r="K107" s="1353">
        <v>109</v>
      </c>
      <c r="L107" s="1353">
        <v>0</v>
      </c>
      <c r="M107" s="1353">
        <v>100</v>
      </c>
      <c r="N107" s="1353">
        <v>69</v>
      </c>
      <c r="O107" s="1353">
        <v>102</v>
      </c>
      <c r="P107" s="1353">
        <v>160</v>
      </c>
      <c r="Q107" s="1353">
        <v>57</v>
      </c>
      <c r="R107" s="1353">
        <v>50</v>
      </c>
      <c r="S107" s="1353">
        <v>0</v>
      </c>
      <c r="T107" s="1353">
        <v>177</v>
      </c>
      <c r="U107" s="1353">
        <v>157</v>
      </c>
      <c r="V107" s="1353">
        <v>90</v>
      </c>
      <c r="W107" s="1353">
        <v>127</v>
      </c>
      <c r="X107" s="1353">
        <v>77</v>
      </c>
      <c r="Y107" s="1353">
        <v>109</v>
      </c>
      <c r="Z107" s="64">
        <v>107</v>
      </c>
      <c r="AA107" s="64">
        <v>131</v>
      </c>
      <c r="AB107" s="1366">
        <v>131</v>
      </c>
      <c r="AC107" s="1366">
        <v>75</v>
      </c>
      <c r="AD107" s="1366">
        <v>83</v>
      </c>
      <c r="AE107" s="1366">
        <v>55</v>
      </c>
      <c r="AF107" s="1366">
        <v>55</v>
      </c>
      <c r="AG107" s="1366">
        <v>77</v>
      </c>
      <c r="AH107" s="1366">
        <v>107</v>
      </c>
      <c r="AI107" s="1366">
        <v>122</v>
      </c>
      <c r="AJ107" s="1366">
        <v>80</v>
      </c>
      <c r="AK107" s="1355">
        <f t="shared" si="25"/>
        <v>3001</v>
      </c>
      <c r="AL107" s="1355">
        <f t="shared" si="22"/>
        <v>1307.506485540534</v>
      </c>
      <c r="AM107" s="1831">
        <f t="shared" si="26"/>
        <v>3001</v>
      </c>
      <c r="AN107" s="1831">
        <f t="shared" si="27"/>
        <v>121.76678587943887</v>
      </c>
      <c r="AO107" s="1831">
        <f t="shared" si="28"/>
        <v>1429.2732714199728</v>
      </c>
      <c r="AP107" s="60" t="s">
        <v>1957</v>
      </c>
      <c r="AQ107" s="1355">
        <f t="shared" si="23"/>
        <v>1200.4000000000001</v>
      </c>
      <c r="AR107" s="1378">
        <f t="shared" si="24"/>
        <v>107.10648554053387</v>
      </c>
      <c r="AS107" s="266"/>
    </row>
    <row r="108" spans="1:45" s="51" customFormat="1" ht="19.149999999999999" customHeight="1" outlineLevel="1">
      <c r="A108" s="1353">
        <v>114</v>
      </c>
      <c r="B108" s="1353">
        <v>10</v>
      </c>
      <c r="C108" s="1353" t="s">
        <v>3183</v>
      </c>
      <c r="D108" s="1361" t="str">
        <f>TONGHOPCONGDOI!C114</f>
        <v>T. Phim</v>
      </c>
      <c r="E108" s="1355"/>
      <c r="F108" s="1353">
        <v>0</v>
      </c>
      <c r="G108" s="1353">
        <v>178</v>
      </c>
      <c r="H108" s="1353">
        <v>0</v>
      </c>
      <c r="I108" s="1353">
        <v>166</v>
      </c>
      <c r="J108" s="1353">
        <v>68</v>
      </c>
      <c r="K108" s="1353">
        <v>89</v>
      </c>
      <c r="L108" s="1353">
        <v>144</v>
      </c>
      <c r="M108" s="1353">
        <v>149</v>
      </c>
      <c r="N108" s="1353">
        <v>215</v>
      </c>
      <c r="O108" s="1353">
        <v>74</v>
      </c>
      <c r="P108" s="1353">
        <v>185</v>
      </c>
      <c r="Q108" s="1353">
        <v>76</v>
      </c>
      <c r="R108" s="1353">
        <v>89</v>
      </c>
      <c r="S108" s="1353">
        <v>152</v>
      </c>
      <c r="T108" s="1353">
        <v>0</v>
      </c>
      <c r="U108" s="1353">
        <v>214</v>
      </c>
      <c r="V108" s="1353">
        <v>187</v>
      </c>
      <c r="W108" s="1353">
        <v>70</v>
      </c>
      <c r="X108" s="1353">
        <v>105</v>
      </c>
      <c r="Y108" s="1353">
        <v>106</v>
      </c>
      <c r="Z108" s="64">
        <v>172</v>
      </c>
      <c r="AA108" s="64">
        <v>131</v>
      </c>
      <c r="AB108" s="1366">
        <v>175</v>
      </c>
      <c r="AC108" s="1366">
        <v>136</v>
      </c>
      <c r="AD108" s="1366">
        <v>115</v>
      </c>
      <c r="AE108" s="1366">
        <v>0</v>
      </c>
      <c r="AF108" s="1366">
        <v>0</v>
      </c>
      <c r="AG108" s="1366">
        <v>124</v>
      </c>
      <c r="AH108" s="1366">
        <v>101</v>
      </c>
      <c r="AI108" s="1366">
        <v>186</v>
      </c>
      <c r="AJ108" s="1366">
        <v>78</v>
      </c>
      <c r="AK108" s="1355">
        <f t="shared" si="25"/>
        <v>3485</v>
      </c>
      <c r="AL108" s="1355">
        <f t="shared" si="22"/>
        <v>1518.3805738449719</v>
      </c>
      <c r="AM108" s="1831">
        <f t="shared" si="26"/>
        <v>3485</v>
      </c>
      <c r="AN108" s="1831">
        <f t="shared" si="27"/>
        <v>141.40528116955832</v>
      </c>
      <c r="AO108" s="1831">
        <f t="shared" si="28"/>
        <v>1659.7858550145302</v>
      </c>
      <c r="AP108" s="60" t="s">
        <v>1959</v>
      </c>
      <c r="AQ108" s="1355">
        <f t="shared" si="23"/>
        <v>1394</v>
      </c>
      <c r="AR108" s="1378">
        <f t="shared" si="24"/>
        <v>124.38057384497188</v>
      </c>
      <c r="AS108" s="266"/>
    </row>
    <row r="109" spans="1:45" s="51" customFormat="1" ht="19.149999999999999" customHeight="1" outlineLevel="1">
      <c r="A109" s="1353">
        <v>115</v>
      </c>
      <c r="B109" s="1353">
        <v>11</v>
      </c>
      <c r="C109" s="1353" t="s">
        <v>3184</v>
      </c>
      <c r="D109" s="1361" t="str">
        <f>TONGHOPCONGDOI!C115</f>
        <v>T. Teo</v>
      </c>
      <c r="E109" s="1355"/>
      <c r="F109" s="1353">
        <v>123</v>
      </c>
      <c r="G109" s="1353">
        <v>154</v>
      </c>
      <c r="H109" s="1353">
        <v>81</v>
      </c>
      <c r="I109" s="1353">
        <v>110</v>
      </c>
      <c r="J109" s="1353">
        <v>91</v>
      </c>
      <c r="K109" s="1353">
        <v>65</v>
      </c>
      <c r="L109" s="1353">
        <v>0</v>
      </c>
      <c r="M109" s="1353">
        <v>120</v>
      </c>
      <c r="N109" s="1353">
        <v>99</v>
      </c>
      <c r="O109" s="1353">
        <v>169</v>
      </c>
      <c r="P109" s="1353">
        <v>113</v>
      </c>
      <c r="Q109" s="1353">
        <v>90</v>
      </c>
      <c r="R109" s="1353">
        <v>40</v>
      </c>
      <c r="S109" s="1353">
        <v>103</v>
      </c>
      <c r="T109" s="1353">
        <v>94</v>
      </c>
      <c r="U109" s="1353">
        <v>191</v>
      </c>
      <c r="V109" s="1353">
        <v>100</v>
      </c>
      <c r="W109" s="1353">
        <v>123</v>
      </c>
      <c r="X109" s="1353">
        <v>89</v>
      </c>
      <c r="Y109" s="1353">
        <v>74</v>
      </c>
      <c r="Z109" s="64">
        <v>100</v>
      </c>
      <c r="AA109" s="64">
        <v>107</v>
      </c>
      <c r="AB109" s="1366">
        <v>0</v>
      </c>
      <c r="AC109" s="1366">
        <v>97</v>
      </c>
      <c r="AD109" s="1366">
        <v>50</v>
      </c>
      <c r="AE109" s="1366">
        <v>123</v>
      </c>
      <c r="AF109" s="1366">
        <v>69</v>
      </c>
      <c r="AG109" s="1366">
        <v>86</v>
      </c>
      <c r="AH109" s="1366">
        <v>0</v>
      </c>
      <c r="AI109" s="1366">
        <v>146</v>
      </c>
      <c r="AJ109" s="1366">
        <v>0</v>
      </c>
      <c r="AK109" s="1355">
        <f t="shared" si="25"/>
        <v>2807</v>
      </c>
      <c r="AL109" s="1355">
        <f t="shared" si="22"/>
        <v>1222.982574112722</v>
      </c>
      <c r="AM109" s="1831">
        <f t="shared" si="26"/>
        <v>2807</v>
      </c>
      <c r="AN109" s="1831">
        <f t="shared" si="27"/>
        <v>113.89515760199431</v>
      </c>
      <c r="AO109" s="1831">
        <f t="shared" si="28"/>
        <v>1336.8777317147162</v>
      </c>
      <c r="AP109" s="60" t="s">
        <v>1957</v>
      </c>
      <c r="AQ109" s="1355">
        <f t="shared" si="23"/>
        <v>1122.8</v>
      </c>
      <c r="AR109" s="1378">
        <f t="shared" si="24"/>
        <v>100.18257411272202</v>
      </c>
      <c r="AS109" s="266"/>
    </row>
    <row r="110" spans="1:45" s="51" customFormat="1" ht="19.149999999999999" customHeight="1" outlineLevel="1">
      <c r="A110" s="1353">
        <v>116</v>
      </c>
      <c r="B110" s="1353">
        <v>12</v>
      </c>
      <c r="C110" s="1353" t="s">
        <v>3185</v>
      </c>
      <c r="D110" s="1361" t="str">
        <f>TONGHOPCONGDOI!C116</f>
        <v>N. Văn Thong</v>
      </c>
      <c r="E110" s="1355"/>
      <c r="F110" s="1353">
        <v>123</v>
      </c>
      <c r="G110" s="1353">
        <v>160</v>
      </c>
      <c r="H110" s="1353">
        <v>87</v>
      </c>
      <c r="I110" s="1353">
        <v>110</v>
      </c>
      <c r="J110" s="1353">
        <v>90</v>
      </c>
      <c r="K110" s="1353">
        <v>78</v>
      </c>
      <c r="L110" s="1353">
        <v>0</v>
      </c>
      <c r="M110" s="1353">
        <v>121</v>
      </c>
      <c r="N110" s="1353">
        <v>100</v>
      </c>
      <c r="O110" s="1353">
        <v>169</v>
      </c>
      <c r="P110" s="1353">
        <v>114</v>
      </c>
      <c r="Q110" s="1353">
        <v>90</v>
      </c>
      <c r="R110" s="1353">
        <v>40</v>
      </c>
      <c r="S110" s="1353">
        <v>104</v>
      </c>
      <c r="T110" s="1353">
        <v>95</v>
      </c>
      <c r="U110" s="1353">
        <v>193</v>
      </c>
      <c r="V110" s="1353">
        <v>110</v>
      </c>
      <c r="W110" s="1353">
        <v>124</v>
      </c>
      <c r="X110" s="1353">
        <v>90</v>
      </c>
      <c r="Y110" s="1353">
        <v>74</v>
      </c>
      <c r="Z110" s="64">
        <v>100</v>
      </c>
      <c r="AA110" s="64">
        <v>107</v>
      </c>
      <c r="AB110" s="1366">
        <v>0</v>
      </c>
      <c r="AC110" s="1366">
        <v>98</v>
      </c>
      <c r="AD110" s="1366">
        <v>50</v>
      </c>
      <c r="AE110" s="1366">
        <v>124</v>
      </c>
      <c r="AF110" s="1366">
        <v>70</v>
      </c>
      <c r="AG110" s="1366">
        <v>87</v>
      </c>
      <c r="AH110" s="1366">
        <v>0</v>
      </c>
      <c r="AI110" s="1366">
        <v>146</v>
      </c>
      <c r="AJ110" s="1366">
        <v>0</v>
      </c>
      <c r="AK110" s="1355">
        <f t="shared" si="25"/>
        <v>2854</v>
      </c>
      <c r="AL110" s="1355">
        <f t="shared" si="22"/>
        <v>1243.4600165720371</v>
      </c>
      <c r="AM110" s="1831">
        <f t="shared" si="26"/>
        <v>2854</v>
      </c>
      <c r="AN110" s="1831">
        <f t="shared" si="27"/>
        <v>115.80220156611747</v>
      </c>
      <c r="AO110" s="1831">
        <f t="shared" si="28"/>
        <v>1359.2622181381546</v>
      </c>
      <c r="AP110" s="60" t="s">
        <v>1957</v>
      </c>
      <c r="AQ110" s="1355">
        <f t="shared" si="23"/>
        <v>1141.6000000000001</v>
      </c>
      <c r="AR110" s="1378">
        <f t="shared" si="24"/>
        <v>101.86001657203701</v>
      </c>
      <c r="AS110" s="266"/>
    </row>
    <row r="111" spans="1:45" s="51" customFormat="1" ht="19.149999999999999" customHeight="1" outlineLevel="1">
      <c r="A111" s="1353">
        <v>117</v>
      </c>
      <c r="B111" s="1353">
        <v>13</v>
      </c>
      <c r="C111" s="1353" t="s">
        <v>3186</v>
      </c>
      <c r="D111" s="1361" t="str">
        <f>TONGHOPCONGDOI!C117</f>
        <v>Cong Khăm</v>
      </c>
      <c r="E111" s="1355"/>
      <c r="F111" s="1353">
        <v>149</v>
      </c>
      <c r="G111" s="1353">
        <v>161</v>
      </c>
      <c r="H111" s="1353">
        <v>70</v>
      </c>
      <c r="I111" s="1353">
        <v>120</v>
      </c>
      <c r="J111" s="1353">
        <v>75</v>
      </c>
      <c r="K111" s="1353">
        <v>80</v>
      </c>
      <c r="L111" s="1353">
        <v>71</v>
      </c>
      <c r="M111" s="1353">
        <v>0</v>
      </c>
      <c r="N111" s="1353">
        <v>80</v>
      </c>
      <c r="O111" s="1353">
        <v>81</v>
      </c>
      <c r="P111" s="1353">
        <v>215</v>
      </c>
      <c r="Q111" s="1353">
        <v>73</v>
      </c>
      <c r="R111" s="1353">
        <v>77</v>
      </c>
      <c r="S111" s="1353">
        <v>64</v>
      </c>
      <c r="T111" s="1353">
        <v>88</v>
      </c>
      <c r="U111" s="1353">
        <v>173</v>
      </c>
      <c r="V111" s="1353">
        <v>80</v>
      </c>
      <c r="W111" s="1353">
        <v>131</v>
      </c>
      <c r="X111" s="1353">
        <v>81</v>
      </c>
      <c r="Y111" s="1353">
        <v>91</v>
      </c>
      <c r="Z111" s="64">
        <v>84</v>
      </c>
      <c r="AA111" s="64">
        <v>130</v>
      </c>
      <c r="AB111" s="1366">
        <v>166</v>
      </c>
      <c r="AC111" s="1366">
        <v>86</v>
      </c>
      <c r="AD111" s="1366">
        <v>118</v>
      </c>
      <c r="AE111" s="1366">
        <v>73</v>
      </c>
      <c r="AF111" s="1366">
        <v>71</v>
      </c>
      <c r="AG111" s="1366">
        <v>84</v>
      </c>
      <c r="AH111" s="1366">
        <v>123</v>
      </c>
      <c r="AI111" s="1366">
        <v>166</v>
      </c>
      <c r="AJ111" s="1366">
        <v>80</v>
      </c>
      <c r="AK111" s="1355">
        <f t="shared" si="25"/>
        <v>3141</v>
      </c>
      <c r="AL111" s="1355">
        <f t="shared" si="22"/>
        <v>1368.5031226533879</v>
      </c>
      <c r="AM111" s="1831">
        <f t="shared" si="26"/>
        <v>3141</v>
      </c>
      <c r="AN111" s="1831">
        <f t="shared" si="27"/>
        <v>127.4473423683164</v>
      </c>
      <c r="AO111" s="1831">
        <f t="shared" si="28"/>
        <v>1495.9504650217043</v>
      </c>
      <c r="AP111" s="60" t="s">
        <v>1959</v>
      </c>
      <c r="AQ111" s="1355">
        <f t="shared" si="23"/>
        <v>1256.4000000000001</v>
      </c>
      <c r="AR111" s="1378">
        <f t="shared" si="24"/>
        <v>112.1031226533878</v>
      </c>
      <c r="AS111" s="266"/>
    </row>
    <row r="112" spans="1:45" s="51" customFormat="1" ht="19.149999999999999" customHeight="1" outlineLevel="1">
      <c r="A112" s="1353">
        <v>118</v>
      </c>
      <c r="B112" s="1353">
        <v>14</v>
      </c>
      <c r="C112" s="1353" t="s">
        <v>3187</v>
      </c>
      <c r="D112" s="1361" t="str">
        <f>TONGHOPCONGDOI!C118</f>
        <v>Thảo Vông 1</v>
      </c>
      <c r="E112" s="1355"/>
      <c r="F112" s="1353">
        <v>156</v>
      </c>
      <c r="G112" s="1353">
        <v>101</v>
      </c>
      <c r="H112" s="1353">
        <v>0</v>
      </c>
      <c r="I112" s="1353">
        <v>157</v>
      </c>
      <c r="J112" s="1353">
        <v>0</v>
      </c>
      <c r="K112" s="1353">
        <v>162</v>
      </c>
      <c r="L112" s="1353">
        <v>116</v>
      </c>
      <c r="M112" s="1353">
        <v>0</v>
      </c>
      <c r="N112" s="1353">
        <v>142</v>
      </c>
      <c r="O112" s="1353">
        <v>0</v>
      </c>
      <c r="P112" s="1353">
        <v>0</v>
      </c>
      <c r="Q112" s="1353">
        <v>0</v>
      </c>
      <c r="R112" s="1353">
        <v>0</v>
      </c>
      <c r="S112" s="1353">
        <v>0</v>
      </c>
      <c r="T112" s="1353">
        <v>0</v>
      </c>
      <c r="U112" s="1353">
        <v>0</v>
      </c>
      <c r="V112" s="1353">
        <v>0</v>
      </c>
      <c r="W112" s="1353">
        <v>0</v>
      </c>
      <c r="X112" s="1353">
        <v>0</v>
      </c>
      <c r="Y112" s="1353">
        <v>0</v>
      </c>
      <c r="Z112" s="64">
        <v>0</v>
      </c>
      <c r="AA112" s="64">
        <v>0</v>
      </c>
      <c r="AB112" s="1366">
        <v>0</v>
      </c>
      <c r="AC112" s="1366">
        <v>0</v>
      </c>
      <c r="AD112" s="1366">
        <v>0</v>
      </c>
      <c r="AE112" s="1366">
        <v>0</v>
      </c>
      <c r="AF112" s="1366">
        <v>0</v>
      </c>
      <c r="AG112" s="1366">
        <v>0</v>
      </c>
      <c r="AH112" s="1366">
        <v>0</v>
      </c>
      <c r="AI112" s="1366">
        <v>0</v>
      </c>
      <c r="AJ112" s="1366">
        <v>0</v>
      </c>
      <c r="AK112" s="1355">
        <f t="shared" si="25"/>
        <v>834</v>
      </c>
      <c r="AL112" s="1355">
        <f t="shared" si="22"/>
        <v>363.36568108657292</v>
      </c>
      <c r="AM112" s="1831">
        <f t="shared" si="26"/>
        <v>834</v>
      </c>
      <c r="AN112" s="1831">
        <f t="shared" si="27"/>
        <v>33.839886512313235</v>
      </c>
      <c r="AO112" s="1831">
        <f t="shared" si="28"/>
        <v>397.20556759888615</v>
      </c>
      <c r="AP112" s="60" t="s">
        <v>1959</v>
      </c>
      <c r="AQ112" s="1355">
        <f t="shared" si="23"/>
        <v>333.6</v>
      </c>
      <c r="AR112" s="1378">
        <f t="shared" si="24"/>
        <v>29.765681086572897</v>
      </c>
      <c r="AS112" s="266"/>
    </row>
    <row r="113" spans="1:45" s="51" customFormat="1" ht="19.149999999999999" customHeight="1" outlineLevel="1">
      <c r="A113" s="1353">
        <v>119</v>
      </c>
      <c r="B113" s="1353">
        <v>15</v>
      </c>
      <c r="C113" s="1353" t="s">
        <v>3188</v>
      </c>
      <c r="D113" s="1361" t="str">
        <f>TONGHOPCONGDOI!C119</f>
        <v>N. Vông</v>
      </c>
      <c r="E113" s="1355"/>
      <c r="F113" s="1353">
        <v>69</v>
      </c>
      <c r="G113" s="1353">
        <v>116</v>
      </c>
      <c r="H113" s="1353">
        <v>82</v>
      </c>
      <c r="I113" s="1353">
        <v>71</v>
      </c>
      <c r="J113" s="1353">
        <v>77</v>
      </c>
      <c r="K113" s="1353">
        <v>113</v>
      </c>
      <c r="L113" s="1353">
        <v>97</v>
      </c>
      <c r="M113" s="1353">
        <v>69</v>
      </c>
      <c r="N113" s="1353">
        <v>115</v>
      </c>
      <c r="O113" s="1353">
        <v>84</v>
      </c>
      <c r="P113" s="1353">
        <v>65</v>
      </c>
      <c r="Q113" s="1353">
        <v>82</v>
      </c>
      <c r="R113" s="1353">
        <v>112</v>
      </c>
      <c r="S113" s="1353">
        <v>92</v>
      </c>
      <c r="T113" s="1353">
        <v>61</v>
      </c>
      <c r="U113" s="1353">
        <v>133</v>
      </c>
      <c r="V113" s="1353">
        <v>113</v>
      </c>
      <c r="W113" s="1353">
        <v>72</v>
      </c>
      <c r="X113" s="1353">
        <v>97</v>
      </c>
      <c r="Y113" s="1353">
        <v>148</v>
      </c>
      <c r="Z113" s="64">
        <v>97</v>
      </c>
      <c r="AA113" s="64">
        <v>71</v>
      </c>
      <c r="AB113" s="1366">
        <v>111</v>
      </c>
      <c r="AC113" s="1366">
        <v>90</v>
      </c>
      <c r="AD113" s="1366">
        <v>54</v>
      </c>
      <c r="AE113" s="1366">
        <v>80</v>
      </c>
      <c r="AF113" s="1366">
        <v>121</v>
      </c>
      <c r="AG113" s="1366">
        <v>82</v>
      </c>
      <c r="AH113" s="1366">
        <v>63</v>
      </c>
      <c r="AI113" s="1366">
        <v>117</v>
      </c>
      <c r="AJ113" s="1366">
        <v>82</v>
      </c>
      <c r="AK113" s="1355">
        <f t="shared" si="25"/>
        <v>2836</v>
      </c>
      <c r="AL113" s="1355">
        <f t="shared" si="22"/>
        <v>1235.6175918003846</v>
      </c>
      <c r="AM113" s="1831">
        <f t="shared" si="26"/>
        <v>2836</v>
      </c>
      <c r="AN113" s="1831">
        <f t="shared" si="27"/>
        <v>115.0718443032618</v>
      </c>
      <c r="AO113" s="1831">
        <f t="shared" si="28"/>
        <v>1350.6894361036464</v>
      </c>
      <c r="AP113" s="60" t="s">
        <v>1957</v>
      </c>
      <c r="AQ113" s="1355">
        <f t="shared" si="23"/>
        <v>1134.4000000000001</v>
      </c>
      <c r="AR113" s="1378">
        <f t="shared" si="24"/>
        <v>101.21759180038453</v>
      </c>
      <c r="AS113" s="266"/>
    </row>
    <row r="114" spans="1:45" s="51" customFormat="1" ht="19.149999999999999" customHeight="1" outlineLevel="1">
      <c r="A114" s="1353">
        <v>120</v>
      </c>
      <c r="B114" s="1353">
        <v>16</v>
      </c>
      <c r="C114" s="1353" t="s">
        <v>3189</v>
      </c>
      <c r="D114" s="1361" t="str">
        <f>TONGHOPCONGDOI!C120</f>
        <v>T. Đi</v>
      </c>
      <c r="E114" s="1355"/>
      <c r="F114" s="1353">
        <v>69</v>
      </c>
      <c r="G114" s="1353">
        <v>116</v>
      </c>
      <c r="H114" s="1353">
        <v>83</v>
      </c>
      <c r="I114" s="1353">
        <v>70</v>
      </c>
      <c r="J114" s="1353">
        <v>78</v>
      </c>
      <c r="K114" s="1353">
        <v>113</v>
      </c>
      <c r="L114" s="1353">
        <v>97</v>
      </c>
      <c r="M114" s="1353">
        <v>69</v>
      </c>
      <c r="N114" s="1353">
        <v>114</v>
      </c>
      <c r="O114" s="1353">
        <v>84</v>
      </c>
      <c r="P114" s="1353">
        <v>66</v>
      </c>
      <c r="Q114" s="1353">
        <v>83</v>
      </c>
      <c r="R114" s="1353">
        <v>112</v>
      </c>
      <c r="S114" s="1353">
        <v>93</v>
      </c>
      <c r="T114" s="1353">
        <v>62</v>
      </c>
      <c r="U114" s="1353">
        <v>134</v>
      </c>
      <c r="V114" s="1353">
        <v>113</v>
      </c>
      <c r="W114" s="1353">
        <v>72</v>
      </c>
      <c r="X114" s="1353">
        <v>98</v>
      </c>
      <c r="Y114" s="1353">
        <v>148</v>
      </c>
      <c r="Z114" s="64">
        <v>97</v>
      </c>
      <c r="AA114" s="64">
        <v>72</v>
      </c>
      <c r="AB114" s="1366">
        <v>111</v>
      </c>
      <c r="AC114" s="1366">
        <v>89</v>
      </c>
      <c r="AD114" s="1366">
        <v>55</v>
      </c>
      <c r="AE114" s="1366">
        <v>80</v>
      </c>
      <c r="AF114" s="1366">
        <v>121</v>
      </c>
      <c r="AG114" s="1366">
        <v>83</v>
      </c>
      <c r="AH114" s="1366">
        <v>64</v>
      </c>
      <c r="AI114" s="1366">
        <v>117</v>
      </c>
      <c r="AJ114" s="1366">
        <v>82</v>
      </c>
      <c r="AK114" s="1355">
        <f t="shared" si="25"/>
        <v>2845</v>
      </c>
      <c r="AL114" s="1355">
        <f t="shared" si="22"/>
        <v>1239.5388041862109</v>
      </c>
      <c r="AM114" s="1831">
        <f t="shared" si="26"/>
        <v>2845</v>
      </c>
      <c r="AN114" s="1831">
        <f t="shared" si="27"/>
        <v>115.43702293468964</v>
      </c>
      <c r="AO114" s="1831">
        <f t="shared" si="28"/>
        <v>1354.9758271209005</v>
      </c>
      <c r="AP114" s="60" t="s">
        <v>1957</v>
      </c>
      <c r="AQ114" s="1355">
        <f t="shared" si="23"/>
        <v>1138</v>
      </c>
      <c r="AR114" s="1378">
        <f t="shared" si="24"/>
        <v>101.53880418621088</v>
      </c>
      <c r="AS114" s="266"/>
    </row>
    <row r="115" spans="1:45" s="51" customFormat="1" ht="19.149999999999999" customHeight="1" outlineLevel="1">
      <c r="A115" s="1353">
        <v>121</v>
      </c>
      <c r="B115" s="1353">
        <v>17</v>
      </c>
      <c r="C115" s="1353"/>
      <c r="D115" s="1361" t="str">
        <f>TONGHOPCONGDOI!C121</f>
        <v>Nàng Lênh</v>
      </c>
      <c r="E115" s="1355"/>
      <c r="F115" s="1353">
        <v>108</v>
      </c>
      <c r="G115" s="1353">
        <v>90</v>
      </c>
      <c r="H115" s="1353">
        <v>131</v>
      </c>
      <c r="I115" s="1353">
        <v>95</v>
      </c>
      <c r="J115" s="1353">
        <v>82</v>
      </c>
      <c r="K115" s="1353">
        <v>117</v>
      </c>
      <c r="L115" s="1353">
        <v>0</v>
      </c>
      <c r="M115" s="1353">
        <v>94</v>
      </c>
      <c r="N115" s="1353">
        <v>96</v>
      </c>
      <c r="O115" s="1353">
        <v>216</v>
      </c>
      <c r="P115" s="1353">
        <v>56</v>
      </c>
      <c r="Q115" s="1353">
        <v>95</v>
      </c>
      <c r="R115" s="1353">
        <v>139</v>
      </c>
      <c r="S115" s="1353">
        <v>116</v>
      </c>
      <c r="T115" s="1353">
        <v>119</v>
      </c>
      <c r="U115" s="1353">
        <v>176</v>
      </c>
      <c r="V115" s="1353">
        <v>130</v>
      </c>
      <c r="W115" s="1353">
        <v>120</v>
      </c>
      <c r="X115" s="1353">
        <v>94</v>
      </c>
      <c r="Y115" s="1353">
        <v>132</v>
      </c>
      <c r="Z115" s="64">
        <v>117</v>
      </c>
      <c r="AA115" s="64">
        <v>60</v>
      </c>
      <c r="AB115" s="1366">
        <v>0</v>
      </c>
      <c r="AC115" s="1366">
        <v>0</v>
      </c>
      <c r="AD115" s="1366">
        <v>103</v>
      </c>
      <c r="AE115" s="1366">
        <v>73</v>
      </c>
      <c r="AF115" s="1366">
        <v>107</v>
      </c>
      <c r="AG115" s="1366">
        <v>95</v>
      </c>
      <c r="AH115" s="1366">
        <v>175</v>
      </c>
      <c r="AI115" s="1366">
        <v>169</v>
      </c>
      <c r="AJ115" s="1366">
        <v>90</v>
      </c>
      <c r="AK115" s="1355">
        <f t="shared" si="25"/>
        <v>3195</v>
      </c>
      <c r="AL115" s="1355">
        <f t="shared" si="22"/>
        <v>1392.0303969683457</v>
      </c>
      <c r="AM115" s="1831">
        <f t="shared" si="26"/>
        <v>3195</v>
      </c>
      <c r="AN115" s="1831">
        <f t="shared" si="27"/>
        <v>129.63841415688344</v>
      </c>
      <c r="AO115" s="1831">
        <f t="shared" si="28"/>
        <v>1521.6688111252292</v>
      </c>
      <c r="AP115" s="60" t="s">
        <v>1957</v>
      </c>
      <c r="AQ115" s="1355">
        <f t="shared" si="23"/>
        <v>1278</v>
      </c>
      <c r="AR115" s="1378">
        <f t="shared" si="24"/>
        <v>114.03039696834571</v>
      </c>
      <c r="AS115" s="266"/>
    </row>
    <row r="116" spans="1:45" s="51" customFormat="1" ht="19.149999999999999" customHeight="1" outlineLevel="1">
      <c r="A116" s="1353">
        <v>122</v>
      </c>
      <c r="B116" s="1353">
        <v>18</v>
      </c>
      <c r="C116" s="1353" t="s">
        <v>3190</v>
      </c>
      <c r="D116" s="1361" t="str">
        <f>TONGHOPCONGDOI!C122</f>
        <v>T.Xê</v>
      </c>
      <c r="E116" s="1355"/>
      <c r="F116" s="1353">
        <v>64</v>
      </c>
      <c r="G116" s="1353">
        <v>159</v>
      </c>
      <c r="H116" s="1353">
        <v>85</v>
      </c>
      <c r="I116" s="1353">
        <v>82</v>
      </c>
      <c r="J116" s="1353">
        <v>154</v>
      </c>
      <c r="K116" s="1353">
        <v>0</v>
      </c>
      <c r="L116" s="1353">
        <v>86</v>
      </c>
      <c r="M116" s="1353">
        <v>86</v>
      </c>
      <c r="N116" s="1353">
        <v>67</v>
      </c>
      <c r="O116" s="1353">
        <v>101</v>
      </c>
      <c r="P116" s="1353">
        <v>93</v>
      </c>
      <c r="Q116" s="1353">
        <v>68</v>
      </c>
      <c r="R116" s="1353">
        <v>164</v>
      </c>
      <c r="S116" s="1353">
        <v>110</v>
      </c>
      <c r="T116" s="1353">
        <v>89</v>
      </c>
      <c r="U116" s="1353">
        <v>168</v>
      </c>
      <c r="V116" s="1353">
        <v>87</v>
      </c>
      <c r="W116" s="1353">
        <v>95</v>
      </c>
      <c r="X116" s="1353">
        <v>69</v>
      </c>
      <c r="Y116" s="1353">
        <v>100</v>
      </c>
      <c r="Z116" s="64">
        <v>86</v>
      </c>
      <c r="AA116" s="64">
        <v>88</v>
      </c>
      <c r="AB116" s="1366">
        <v>0</v>
      </c>
      <c r="AC116" s="1366">
        <v>82</v>
      </c>
      <c r="AD116" s="1366">
        <v>0</v>
      </c>
      <c r="AE116" s="1366">
        <v>121</v>
      </c>
      <c r="AF116" s="1366">
        <v>130</v>
      </c>
      <c r="AG116" s="1366">
        <v>66</v>
      </c>
      <c r="AH116" s="1366">
        <v>96</v>
      </c>
      <c r="AI116" s="1366">
        <v>133</v>
      </c>
      <c r="AJ116" s="1366">
        <v>51</v>
      </c>
      <c r="AK116" s="1355">
        <f t="shared" si="25"/>
        <v>2780</v>
      </c>
      <c r="AL116" s="1355">
        <f t="shared" si="22"/>
        <v>1211.218936955243</v>
      </c>
      <c r="AM116" s="1831">
        <f t="shared" si="26"/>
        <v>2780</v>
      </c>
      <c r="AN116" s="1831">
        <f t="shared" si="27"/>
        <v>112.79962170771078</v>
      </c>
      <c r="AO116" s="1831">
        <f t="shared" si="28"/>
        <v>1324.0185586629536</v>
      </c>
      <c r="AP116" s="60" t="s">
        <v>1957</v>
      </c>
      <c r="AQ116" s="1355">
        <f t="shared" si="23"/>
        <v>1112</v>
      </c>
      <c r="AR116" s="1378">
        <f t="shared" si="24"/>
        <v>99.218936955242953</v>
      </c>
      <c r="AS116" s="266"/>
    </row>
    <row r="117" spans="1:45" s="51" customFormat="1" ht="19.149999999999999" customHeight="1" outlineLevel="1">
      <c r="A117" s="1353">
        <v>123</v>
      </c>
      <c r="B117" s="1353">
        <v>19</v>
      </c>
      <c r="C117" s="1353" t="s">
        <v>3191</v>
      </c>
      <c r="D117" s="1361" t="str">
        <f>TONGHOPCONGDOI!C123</f>
        <v>T. Hách</v>
      </c>
      <c r="E117" s="1355"/>
      <c r="F117" s="1353">
        <v>151</v>
      </c>
      <c r="G117" s="1353">
        <v>91</v>
      </c>
      <c r="H117" s="1353">
        <v>100</v>
      </c>
      <c r="I117" s="1353">
        <v>90</v>
      </c>
      <c r="J117" s="1353">
        <v>48</v>
      </c>
      <c r="K117" s="1353">
        <v>70</v>
      </c>
      <c r="L117" s="1353">
        <v>96</v>
      </c>
      <c r="M117" s="1353">
        <v>92</v>
      </c>
      <c r="N117" s="1353">
        <v>66</v>
      </c>
      <c r="O117" s="1353">
        <v>83</v>
      </c>
      <c r="P117" s="1353">
        <v>104</v>
      </c>
      <c r="Q117" s="1353">
        <v>57</v>
      </c>
      <c r="R117" s="1353">
        <v>148</v>
      </c>
      <c r="S117" s="1353">
        <v>127</v>
      </c>
      <c r="T117" s="1353">
        <v>83</v>
      </c>
      <c r="U117" s="1353">
        <v>149</v>
      </c>
      <c r="V117" s="1353">
        <v>138</v>
      </c>
      <c r="W117" s="1353">
        <v>88</v>
      </c>
      <c r="X117" s="1353">
        <v>52</v>
      </c>
      <c r="Y117" s="1353">
        <v>83</v>
      </c>
      <c r="Z117" s="64">
        <v>142</v>
      </c>
      <c r="AA117" s="64">
        <v>88</v>
      </c>
      <c r="AB117" s="1366">
        <v>136</v>
      </c>
      <c r="AC117" s="1366">
        <v>132</v>
      </c>
      <c r="AD117" s="1366">
        <v>0</v>
      </c>
      <c r="AE117" s="1366">
        <v>0</v>
      </c>
      <c r="AF117" s="1366">
        <v>0</v>
      </c>
      <c r="AG117" s="1366">
        <v>0</v>
      </c>
      <c r="AH117" s="1366">
        <v>185</v>
      </c>
      <c r="AI117" s="1366">
        <v>191</v>
      </c>
      <c r="AJ117" s="1366">
        <v>95</v>
      </c>
      <c r="AK117" s="1355">
        <f t="shared" si="25"/>
        <v>2885</v>
      </c>
      <c r="AL117" s="1355">
        <f t="shared" si="22"/>
        <v>1256.9664147898834</v>
      </c>
      <c r="AM117" s="1831">
        <f t="shared" si="26"/>
        <v>2885</v>
      </c>
      <c r="AN117" s="1831">
        <f t="shared" si="27"/>
        <v>117.06003907436893</v>
      </c>
      <c r="AO117" s="1831">
        <f t="shared" si="28"/>
        <v>1374.0264538642523</v>
      </c>
      <c r="AP117" s="60" t="s">
        <v>1957</v>
      </c>
      <c r="AQ117" s="1355">
        <f t="shared" si="23"/>
        <v>1154</v>
      </c>
      <c r="AR117" s="1378">
        <f t="shared" si="24"/>
        <v>102.9664147898834</v>
      </c>
      <c r="AS117" s="266"/>
    </row>
    <row r="118" spans="1:45" s="51" customFormat="1" ht="19.149999999999999" customHeight="1" outlineLevel="1">
      <c r="A118" s="1353">
        <v>124</v>
      </c>
      <c r="B118" s="1353">
        <v>20</v>
      </c>
      <c r="C118" s="1353" t="s">
        <v>3192</v>
      </c>
      <c r="D118" s="1361" t="str">
        <f>TONGHOPCONGDOI!C124</f>
        <v>Khay Khăm</v>
      </c>
      <c r="E118" s="1355"/>
      <c r="F118" s="1353">
        <v>85</v>
      </c>
      <c r="G118" s="1353">
        <v>321</v>
      </c>
      <c r="H118" s="1353">
        <v>119</v>
      </c>
      <c r="I118" s="1353">
        <v>88</v>
      </c>
      <c r="J118" s="1353">
        <v>161</v>
      </c>
      <c r="K118" s="1353">
        <v>218</v>
      </c>
      <c r="L118" s="1353">
        <v>130</v>
      </c>
      <c r="M118" s="1353">
        <v>120</v>
      </c>
      <c r="N118" s="1353">
        <v>332</v>
      </c>
      <c r="O118" s="1353">
        <v>102</v>
      </c>
      <c r="P118" s="1353">
        <v>93</v>
      </c>
      <c r="Q118" s="1353">
        <v>130</v>
      </c>
      <c r="R118" s="1353">
        <v>213</v>
      </c>
      <c r="S118" s="1353">
        <v>118</v>
      </c>
      <c r="T118" s="1353">
        <v>110</v>
      </c>
      <c r="U118" s="1353">
        <v>412</v>
      </c>
      <c r="V118" s="1353">
        <v>113</v>
      </c>
      <c r="W118" s="1353">
        <v>91</v>
      </c>
      <c r="X118" s="1353">
        <v>148</v>
      </c>
      <c r="Y118" s="1353">
        <v>197</v>
      </c>
      <c r="Z118" s="64">
        <v>97</v>
      </c>
      <c r="AA118" s="64">
        <v>120</v>
      </c>
      <c r="AB118" s="1366">
        <v>159</v>
      </c>
      <c r="AC118" s="1366">
        <v>144</v>
      </c>
      <c r="AD118" s="1366">
        <v>124</v>
      </c>
      <c r="AE118" s="1366">
        <v>136</v>
      </c>
      <c r="AF118" s="1366">
        <v>0</v>
      </c>
      <c r="AG118" s="1366">
        <v>89</v>
      </c>
      <c r="AH118" s="1366">
        <v>85</v>
      </c>
      <c r="AI118" s="1366">
        <v>441</v>
      </c>
      <c r="AJ118" s="1366">
        <v>111</v>
      </c>
      <c r="AK118" s="1355">
        <f t="shared" si="25"/>
        <v>4807</v>
      </c>
      <c r="AL118" s="1355">
        <f t="shared" si="22"/>
        <v>2094.3631042963502</v>
      </c>
      <c r="AM118" s="1831">
        <f t="shared" si="26"/>
        <v>4807</v>
      </c>
      <c r="AN118" s="1831">
        <f t="shared" si="27"/>
        <v>195.0459645859589</v>
      </c>
      <c r="AO118" s="1831">
        <f t="shared" si="28"/>
        <v>2289.4090688823089</v>
      </c>
      <c r="AP118" s="60" t="s">
        <v>1957</v>
      </c>
      <c r="AQ118" s="1355">
        <f t="shared" si="23"/>
        <v>1922.8000000000002</v>
      </c>
      <c r="AR118" s="1378">
        <f t="shared" si="24"/>
        <v>171.56310429635005</v>
      </c>
      <c r="AS118" s="266"/>
    </row>
    <row r="119" spans="1:45" s="51" customFormat="1" ht="19.149999999999999" customHeight="1" outlineLevel="1">
      <c r="A119" s="1353">
        <v>125</v>
      </c>
      <c r="B119" s="1353">
        <v>21</v>
      </c>
      <c r="C119" s="1353" t="s">
        <v>3193</v>
      </c>
      <c r="D119" s="1361" t="str">
        <f>TONGHOPCONGDOI!C125</f>
        <v>T. Vạt</v>
      </c>
      <c r="E119" s="1355"/>
      <c r="F119" s="1353">
        <v>125</v>
      </c>
      <c r="G119" s="1353">
        <v>266</v>
      </c>
      <c r="H119" s="1353">
        <v>123</v>
      </c>
      <c r="I119" s="1353">
        <v>109</v>
      </c>
      <c r="J119" s="1353">
        <v>130</v>
      </c>
      <c r="K119" s="1353">
        <v>165</v>
      </c>
      <c r="L119" s="1353">
        <v>143</v>
      </c>
      <c r="M119" s="1353">
        <v>112</v>
      </c>
      <c r="N119" s="1353">
        <v>260</v>
      </c>
      <c r="O119" s="1353">
        <v>119</v>
      </c>
      <c r="P119" s="1353">
        <v>137</v>
      </c>
      <c r="Q119" s="1353">
        <v>116</v>
      </c>
      <c r="R119" s="1353">
        <v>151</v>
      </c>
      <c r="S119" s="1353">
        <v>118</v>
      </c>
      <c r="T119" s="1353">
        <v>97</v>
      </c>
      <c r="U119" s="1353">
        <v>256</v>
      </c>
      <c r="V119" s="1353">
        <v>0</v>
      </c>
      <c r="W119" s="1353">
        <v>141</v>
      </c>
      <c r="X119" s="1353">
        <v>126</v>
      </c>
      <c r="Y119" s="1353">
        <v>172</v>
      </c>
      <c r="Z119" s="64">
        <v>129</v>
      </c>
      <c r="AA119" s="64">
        <v>110</v>
      </c>
      <c r="AB119" s="1366">
        <v>278</v>
      </c>
      <c r="AC119" s="1366">
        <v>98</v>
      </c>
      <c r="AD119" s="1366">
        <v>142</v>
      </c>
      <c r="AE119" s="1366">
        <v>96</v>
      </c>
      <c r="AF119" s="1366">
        <v>122</v>
      </c>
      <c r="AG119" s="1366">
        <v>103</v>
      </c>
      <c r="AH119" s="1366">
        <v>159</v>
      </c>
      <c r="AI119" s="1366">
        <v>205</v>
      </c>
      <c r="AJ119" s="1366">
        <v>0</v>
      </c>
      <c r="AK119" s="1355">
        <f t="shared" si="25"/>
        <v>4308</v>
      </c>
      <c r="AL119" s="1355">
        <f t="shared" si="22"/>
        <v>1876.9536620155347</v>
      </c>
      <c r="AM119" s="1831">
        <f t="shared" si="26"/>
        <v>4308</v>
      </c>
      <c r="AN119" s="1831">
        <f t="shared" si="27"/>
        <v>174.79883824345973</v>
      </c>
      <c r="AO119" s="1831">
        <f t="shared" si="28"/>
        <v>2051.7525002589946</v>
      </c>
      <c r="AP119" s="60" t="s">
        <v>1959</v>
      </c>
      <c r="AQ119" s="1355">
        <f t="shared" si="23"/>
        <v>1723.2</v>
      </c>
      <c r="AR119" s="1378">
        <f t="shared" si="24"/>
        <v>153.7536620155347</v>
      </c>
      <c r="AS119" s="266"/>
    </row>
    <row r="120" spans="1:45" s="51" customFormat="1" ht="19.149999999999999" customHeight="1" outlineLevel="1">
      <c r="A120" s="1353">
        <v>126</v>
      </c>
      <c r="B120" s="1353">
        <v>22</v>
      </c>
      <c r="C120" s="1353" t="s">
        <v>3194</v>
      </c>
      <c r="D120" s="1361" t="str">
        <f>TONGHOPCONGDOI!C126</f>
        <v>T. Chăn (4)</v>
      </c>
      <c r="E120" s="1355"/>
      <c r="F120" s="1353">
        <v>151</v>
      </c>
      <c r="G120" s="1353">
        <v>196</v>
      </c>
      <c r="H120" s="1353">
        <v>89</v>
      </c>
      <c r="I120" s="1353">
        <v>119</v>
      </c>
      <c r="J120" s="1353">
        <v>84</v>
      </c>
      <c r="K120" s="1353">
        <v>106</v>
      </c>
      <c r="L120" s="1353">
        <v>0</v>
      </c>
      <c r="M120" s="1353">
        <v>121</v>
      </c>
      <c r="N120" s="1353">
        <v>88</v>
      </c>
      <c r="O120" s="1353">
        <v>0</v>
      </c>
      <c r="P120" s="1353">
        <v>0</v>
      </c>
      <c r="Q120" s="1353">
        <v>82</v>
      </c>
      <c r="R120" s="1353">
        <v>157</v>
      </c>
      <c r="S120" s="1353">
        <v>156</v>
      </c>
      <c r="T120" s="1353">
        <v>193</v>
      </c>
      <c r="U120" s="1353">
        <v>192</v>
      </c>
      <c r="V120" s="1353">
        <v>102</v>
      </c>
      <c r="W120" s="1353">
        <v>126</v>
      </c>
      <c r="X120" s="1353">
        <v>0</v>
      </c>
      <c r="Y120" s="1353">
        <v>106</v>
      </c>
      <c r="Z120" s="64">
        <v>102</v>
      </c>
      <c r="AA120" s="64">
        <v>136</v>
      </c>
      <c r="AB120" s="1366">
        <v>199</v>
      </c>
      <c r="AC120" s="1366">
        <v>92</v>
      </c>
      <c r="AD120" s="1366">
        <v>127</v>
      </c>
      <c r="AE120" s="1366">
        <v>72</v>
      </c>
      <c r="AF120" s="1366">
        <v>0</v>
      </c>
      <c r="AG120" s="1366">
        <v>0</v>
      </c>
      <c r="AH120" s="1366">
        <v>0</v>
      </c>
      <c r="AI120" s="1366">
        <v>67</v>
      </c>
      <c r="AJ120" s="1366">
        <v>0</v>
      </c>
      <c r="AK120" s="1355">
        <f t="shared" si="25"/>
        <v>2863</v>
      </c>
      <c r="AL120" s="1355">
        <f t="shared" si="22"/>
        <v>1247.3812289578636</v>
      </c>
      <c r="AM120" s="1831">
        <f t="shared" si="26"/>
        <v>2863</v>
      </c>
      <c r="AN120" s="1831">
        <f t="shared" si="27"/>
        <v>116.16738019754531</v>
      </c>
      <c r="AO120" s="1831">
        <f t="shared" si="28"/>
        <v>1363.5486091554089</v>
      </c>
      <c r="AP120" s="60" t="s">
        <v>1959</v>
      </c>
      <c r="AQ120" s="1355">
        <f t="shared" si="23"/>
        <v>1145.2</v>
      </c>
      <c r="AR120" s="1378">
        <f t="shared" si="24"/>
        <v>102.1812289578636</v>
      </c>
      <c r="AS120" s="266"/>
    </row>
    <row r="121" spans="1:45" s="51" customFormat="1" ht="19.149999999999999" customHeight="1" outlineLevel="1">
      <c r="A121" s="1353">
        <v>127</v>
      </c>
      <c r="B121" s="1353">
        <v>23</v>
      </c>
      <c r="C121" s="1353" t="s">
        <v>3195</v>
      </c>
      <c r="D121" s="1361" t="str">
        <f>TONGHOPCONGDOI!C127</f>
        <v>Thảo Ca Thon</v>
      </c>
      <c r="E121" s="1355"/>
      <c r="F121" s="1353">
        <v>114</v>
      </c>
      <c r="G121" s="1353">
        <v>204</v>
      </c>
      <c r="H121" s="1353">
        <v>84</v>
      </c>
      <c r="I121" s="1353">
        <v>88</v>
      </c>
      <c r="J121" s="1353">
        <v>66</v>
      </c>
      <c r="K121" s="1353">
        <v>115</v>
      </c>
      <c r="L121" s="1353">
        <v>112</v>
      </c>
      <c r="M121" s="1353">
        <v>100</v>
      </c>
      <c r="N121" s="1353">
        <v>168</v>
      </c>
      <c r="O121" s="1353">
        <v>71</v>
      </c>
      <c r="P121" s="1353">
        <v>97</v>
      </c>
      <c r="Q121" s="1353">
        <v>91</v>
      </c>
      <c r="R121" s="1353">
        <v>79</v>
      </c>
      <c r="S121" s="1353">
        <v>89</v>
      </c>
      <c r="T121" s="1353">
        <v>88</v>
      </c>
      <c r="U121" s="1353">
        <v>192</v>
      </c>
      <c r="V121" s="1353">
        <v>91</v>
      </c>
      <c r="W121" s="1353">
        <v>101</v>
      </c>
      <c r="X121" s="1353">
        <v>82</v>
      </c>
      <c r="Y121" s="1353">
        <v>96</v>
      </c>
      <c r="Z121" s="64">
        <v>83</v>
      </c>
      <c r="AA121" s="64">
        <v>94</v>
      </c>
      <c r="AB121" s="1366">
        <v>174</v>
      </c>
      <c r="AC121" s="1366">
        <v>74</v>
      </c>
      <c r="AD121" s="1366">
        <v>97</v>
      </c>
      <c r="AE121" s="1366">
        <v>74</v>
      </c>
      <c r="AF121" s="1366">
        <v>78</v>
      </c>
      <c r="AG121" s="1366">
        <v>71</v>
      </c>
      <c r="AH121" s="1366">
        <v>116</v>
      </c>
      <c r="AI121" s="1366">
        <v>171</v>
      </c>
      <c r="AJ121" s="1366">
        <v>80</v>
      </c>
      <c r="AK121" s="1355">
        <f t="shared" ref="AK121:AK143" si="29">SUM(F121:AJ121)</f>
        <v>3240</v>
      </c>
      <c r="AL121" s="1355">
        <f t="shared" si="22"/>
        <v>1411.6364588974775</v>
      </c>
      <c r="AM121" s="1831">
        <f t="shared" si="26"/>
        <v>3240</v>
      </c>
      <c r="AN121" s="1831">
        <f t="shared" si="27"/>
        <v>131.46430731402265</v>
      </c>
      <c r="AO121" s="1831">
        <f t="shared" si="28"/>
        <v>1543.1007662115001</v>
      </c>
      <c r="AP121" s="60" t="s">
        <v>1957</v>
      </c>
      <c r="AQ121" s="1355">
        <f t="shared" si="23"/>
        <v>1296</v>
      </c>
      <c r="AR121" s="1378">
        <f t="shared" si="24"/>
        <v>115.6364588974775</v>
      </c>
      <c r="AS121" s="266"/>
    </row>
    <row r="122" spans="1:45" s="51" customFormat="1" ht="19.149999999999999" customHeight="1" outlineLevel="1">
      <c r="A122" s="1353">
        <v>128</v>
      </c>
      <c r="B122" s="1353">
        <v>24</v>
      </c>
      <c r="C122" s="1353" t="s">
        <v>3196</v>
      </c>
      <c r="D122" s="1361" t="str">
        <f>TONGHOPCONGDOI!C128</f>
        <v>N.. Đeng</v>
      </c>
      <c r="E122" s="1355"/>
      <c r="F122" s="1353">
        <v>152</v>
      </c>
      <c r="G122" s="1353">
        <v>196</v>
      </c>
      <c r="H122" s="1353">
        <v>89</v>
      </c>
      <c r="I122" s="1353">
        <v>118</v>
      </c>
      <c r="J122" s="1353">
        <v>85</v>
      </c>
      <c r="K122" s="1353">
        <v>106</v>
      </c>
      <c r="L122" s="1353">
        <v>0</v>
      </c>
      <c r="M122" s="1353">
        <v>121</v>
      </c>
      <c r="N122" s="1353">
        <v>88</v>
      </c>
      <c r="O122" s="1353">
        <v>0</v>
      </c>
      <c r="P122" s="1353">
        <v>0</v>
      </c>
      <c r="Q122" s="1353">
        <v>83</v>
      </c>
      <c r="R122" s="1353">
        <v>157</v>
      </c>
      <c r="S122" s="1353">
        <v>157</v>
      </c>
      <c r="T122" s="1353">
        <v>193</v>
      </c>
      <c r="U122" s="1353">
        <v>192</v>
      </c>
      <c r="V122" s="1353">
        <v>102</v>
      </c>
      <c r="W122" s="1353">
        <v>126</v>
      </c>
      <c r="X122" s="1353">
        <v>0</v>
      </c>
      <c r="Y122" s="1353">
        <v>105</v>
      </c>
      <c r="Z122" s="64">
        <v>102</v>
      </c>
      <c r="AA122" s="64">
        <v>137</v>
      </c>
      <c r="AB122" s="1366">
        <v>199</v>
      </c>
      <c r="AC122" s="1366">
        <v>92</v>
      </c>
      <c r="AD122" s="1366">
        <v>128</v>
      </c>
      <c r="AE122" s="1366">
        <v>72</v>
      </c>
      <c r="AF122" s="1366">
        <v>0</v>
      </c>
      <c r="AG122" s="1366">
        <v>0</v>
      </c>
      <c r="AH122" s="1366">
        <v>0</v>
      </c>
      <c r="AI122" s="1366">
        <v>67</v>
      </c>
      <c r="AJ122" s="1366">
        <v>66</v>
      </c>
      <c r="AK122" s="1355">
        <f t="shared" si="29"/>
        <v>2933</v>
      </c>
      <c r="AL122" s="1355">
        <f t="shared" si="22"/>
        <v>1277.8795475142906</v>
      </c>
      <c r="AM122" s="1831">
        <f t="shared" si="26"/>
        <v>2933</v>
      </c>
      <c r="AN122" s="1831">
        <f t="shared" si="27"/>
        <v>119.00765844198408</v>
      </c>
      <c r="AO122" s="1831">
        <f t="shared" si="28"/>
        <v>1396.8872059562748</v>
      </c>
      <c r="AP122" s="60" t="s">
        <v>1959</v>
      </c>
      <c r="AQ122" s="1355">
        <f t="shared" si="23"/>
        <v>1173.2</v>
      </c>
      <c r="AR122" s="1378">
        <f t="shared" si="24"/>
        <v>104.67954751429056</v>
      </c>
      <c r="AS122" s="266"/>
    </row>
    <row r="123" spans="1:45" s="51" customFormat="1" ht="19.149999999999999" customHeight="1" outlineLevel="1">
      <c r="A123" s="1353">
        <v>129</v>
      </c>
      <c r="B123" s="1353">
        <v>25</v>
      </c>
      <c r="C123" s="1353" t="s">
        <v>3197</v>
      </c>
      <c r="D123" s="1361" t="str">
        <f>TONGHOPCONGDOI!C129</f>
        <v>N.T.T Trang (1)</v>
      </c>
      <c r="E123" s="1355"/>
      <c r="F123" s="1353">
        <v>150</v>
      </c>
      <c r="G123" s="1353">
        <v>135</v>
      </c>
      <c r="H123" s="1353">
        <v>196</v>
      </c>
      <c r="I123" s="1353">
        <v>123</v>
      </c>
      <c r="J123" s="1353">
        <v>147</v>
      </c>
      <c r="K123" s="1353">
        <v>130</v>
      </c>
      <c r="L123" s="1353">
        <v>0</v>
      </c>
      <c r="M123" s="1353">
        <v>0</v>
      </c>
      <c r="N123" s="1353">
        <v>123</v>
      </c>
      <c r="O123" s="1353">
        <v>151</v>
      </c>
      <c r="P123" s="1353">
        <v>100</v>
      </c>
      <c r="Q123" s="1353">
        <v>0</v>
      </c>
      <c r="R123" s="1353">
        <v>135</v>
      </c>
      <c r="S123" s="1353">
        <v>150</v>
      </c>
      <c r="T123" s="1353">
        <v>0</v>
      </c>
      <c r="U123" s="1353">
        <v>207</v>
      </c>
      <c r="V123" s="1353">
        <v>200</v>
      </c>
      <c r="W123" s="1353">
        <v>300</v>
      </c>
      <c r="X123" s="1353">
        <v>300</v>
      </c>
      <c r="Y123" s="1353">
        <v>129</v>
      </c>
      <c r="Z123" s="64">
        <v>250</v>
      </c>
      <c r="AA123" s="64">
        <v>200</v>
      </c>
      <c r="AB123" s="1366">
        <v>150</v>
      </c>
      <c r="AC123" s="1366">
        <v>295</v>
      </c>
      <c r="AD123" s="1366">
        <v>200</v>
      </c>
      <c r="AE123" s="1366">
        <v>161</v>
      </c>
      <c r="AF123" s="1366">
        <v>200</v>
      </c>
      <c r="AG123" s="1366">
        <v>164</v>
      </c>
      <c r="AH123" s="1366">
        <v>150</v>
      </c>
      <c r="AI123" s="1366">
        <v>400</v>
      </c>
      <c r="AJ123" s="1366">
        <v>200</v>
      </c>
      <c r="AK123" s="1355">
        <f t="shared" si="29"/>
        <v>5046</v>
      </c>
      <c r="AL123" s="1355">
        <f t="shared" si="22"/>
        <v>2198.4930776532938</v>
      </c>
      <c r="AM123" s="1831">
        <f t="shared" si="26"/>
        <v>5046</v>
      </c>
      <c r="AN123" s="1831">
        <f t="shared" si="27"/>
        <v>204.74348602054269</v>
      </c>
      <c r="AO123" s="1831">
        <f t="shared" si="28"/>
        <v>2403.2365636738364</v>
      </c>
      <c r="AP123" s="60" t="s">
        <v>1959</v>
      </c>
      <c r="AQ123" s="1355">
        <f t="shared" si="23"/>
        <v>2018.4</v>
      </c>
      <c r="AR123" s="1378">
        <f t="shared" si="24"/>
        <v>180.09307765329368</v>
      </c>
      <c r="AS123" s="266"/>
    </row>
    <row r="124" spans="1:45" s="51" customFormat="1" ht="19.149999999999999" customHeight="1" outlineLevel="1">
      <c r="A124" s="1353">
        <v>130</v>
      </c>
      <c r="B124" s="1353">
        <v>26</v>
      </c>
      <c r="C124" s="1353" t="s">
        <v>3198</v>
      </c>
      <c r="D124" s="1361" t="str">
        <f>TONGHOPCONGDOI!C130</f>
        <v>T. Chay</v>
      </c>
      <c r="E124" s="1355"/>
      <c r="F124" s="1353">
        <v>151</v>
      </c>
      <c r="G124" s="1353">
        <v>168</v>
      </c>
      <c r="H124" s="1353">
        <v>0</v>
      </c>
      <c r="I124" s="1353">
        <v>0</v>
      </c>
      <c r="J124" s="1353">
        <v>104</v>
      </c>
      <c r="K124" s="1353">
        <v>0</v>
      </c>
      <c r="L124" s="1353">
        <v>70</v>
      </c>
      <c r="M124" s="1353">
        <v>170</v>
      </c>
      <c r="N124" s="1353">
        <v>137</v>
      </c>
      <c r="O124" s="1353">
        <v>130</v>
      </c>
      <c r="P124" s="1353">
        <v>0</v>
      </c>
      <c r="Q124" s="1353">
        <v>87</v>
      </c>
      <c r="R124" s="1353">
        <v>122</v>
      </c>
      <c r="S124" s="1353">
        <v>55</v>
      </c>
      <c r="T124" s="1353">
        <v>129</v>
      </c>
      <c r="U124" s="1353">
        <v>0</v>
      </c>
      <c r="V124" s="1353">
        <v>120</v>
      </c>
      <c r="W124" s="1353">
        <v>0</v>
      </c>
      <c r="X124" s="1353">
        <v>144</v>
      </c>
      <c r="Y124" s="1353">
        <v>92</v>
      </c>
      <c r="Z124" s="64">
        <v>105</v>
      </c>
      <c r="AA124" s="64">
        <v>136</v>
      </c>
      <c r="AB124" s="1366">
        <v>145</v>
      </c>
      <c r="AC124" s="1366">
        <v>73</v>
      </c>
      <c r="AD124" s="1366">
        <v>109</v>
      </c>
      <c r="AE124" s="1366">
        <v>74</v>
      </c>
      <c r="AF124" s="1366">
        <v>74</v>
      </c>
      <c r="AG124" s="1366">
        <v>0</v>
      </c>
      <c r="AH124" s="1366">
        <v>0</v>
      </c>
      <c r="AI124" s="1366">
        <v>130</v>
      </c>
      <c r="AJ124" s="1366">
        <v>63</v>
      </c>
      <c r="AK124" s="1355">
        <f t="shared" si="29"/>
        <v>2588</v>
      </c>
      <c r="AL124" s="1355">
        <f t="shared" si="22"/>
        <v>1127.5664060576146</v>
      </c>
      <c r="AM124" s="1831">
        <f t="shared" si="26"/>
        <v>2588</v>
      </c>
      <c r="AN124" s="1831">
        <f t="shared" si="27"/>
        <v>105.00914423725018</v>
      </c>
      <c r="AO124" s="1831">
        <f t="shared" si="28"/>
        <v>1232.5755502948648</v>
      </c>
      <c r="AP124" s="60" t="s">
        <v>1957</v>
      </c>
      <c r="AQ124" s="1355">
        <f t="shared" si="23"/>
        <v>1035.2</v>
      </c>
      <c r="AR124" s="1378">
        <f t="shared" si="24"/>
        <v>92.36640605761454</v>
      </c>
      <c r="AS124" s="266"/>
    </row>
    <row r="125" spans="1:45" s="51" customFormat="1" ht="19.149999999999999" customHeight="1" outlineLevel="1">
      <c r="A125" s="1353">
        <v>131</v>
      </c>
      <c r="B125" s="1353">
        <v>27</v>
      </c>
      <c r="C125" s="1353" t="s">
        <v>3199</v>
      </c>
      <c r="D125" s="1361" t="str">
        <f>TONGHOPCONGDOI!C131</f>
        <v>T. Lê</v>
      </c>
      <c r="E125" s="1355"/>
      <c r="F125" s="1353">
        <v>107</v>
      </c>
      <c r="G125" s="1353">
        <v>90</v>
      </c>
      <c r="H125" s="1353">
        <v>121</v>
      </c>
      <c r="I125" s="1353">
        <v>95</v>
      </c>
      <c r="J125" s="1353">
        <v>81</v>
      </c>
      <c r="K125" s="1353">
        <v>117</v>
      </c>
      <c r="L125" s="1353">
        <v>0</v>
      </c>
      <c r="M125" s="1353">
        <v>93</v>
      </c>
      <c r="N125" s="1353">
        <v>95</v>
      </c>
      <c r="O125" s="1353">
        <v>215</v>
      </c>
      <c r="P125" s="1353">
        <v>149</v>
      </c>
      <c r="Q125" s="1353">
        <v>94</v>
      </c>
      <c r="R125" s="1353">
        <v>139</v>
      </c>
      <c r="S125" s="1353">
        <v>116</v>
      </c>
      <c r="T125" s="1353">
        <v>119</v>
      </c>
      <c r="U125" s="1353">
        <v>176</v>
      </c>
      <c r="V125" s="1353">
        <v>130</v>
      </c>
      <c r="W125" s="1353">
        <v>119</v>
      </c>
      <c r="X125" s="1353">
        <v>94</v>
      </c>
      <c r="Y125" s="1353">
        <v>132</v>
      </c>
      <c r="Z125" s="64">
        <v>118</v>
      </c>
      <c r="AA125" s="64">
        <v>60</v>
      </c>
      <c r="AB125" s="1366">
        <v>0</v>
      </c>
      <c r="AC125" s="1366">
        <v>0</v>
      </c>
      <c r="AD125" s="1366">
        <v>0</v>
      </c>
      <c r="AE125" s="1366">
        <v>73</v>
      </c>
      <c r="AF125" s="1366">
        <v>107</v>
      </c>
      <c r="AG125" s="1366">
        <v>94</v>
      </c>
      <c r="AH125" s="1366">
        <v>175</v>
      </c>
      <c r="AI125" s="1366">
        <v>168</v>
      </c>
      <c r="AJ125" s="1366">
        <v>89</v>
      </c>
      <c r="AK125" s="1355">
        <f t="shared" si="29"/>
        <v>3166</v>
      </c>
      <c r="AL125" s="1355">
        <f t="shared" si="22"/>
        <v>1379.3953792806833</v>
      </c>
      <c r="AM125" s="1831">
        <f t="shared" si="26"/>
        <v>3166</v>
      </c>
      <c r="AN125" s="1831">
        <f t="shared" si="27"/>
        <v>128.46172745561594</v>
      </c>
      <c r="AO125" s="1831">
        <f t="shared" si="28"/>
        <v>1507.8571067362993</v>
      </c>
      <c r="AP125" s="60" t="s">
        <v>1958</v>
      </c>
      <c r="AQ125" s="1355">
        <f t="shared" si="23"/>
        <v>1266.4000000000001</v>
      </c>
      <c r="AR125" s="1378">
        <f t="shared" si="24"/>
        <v>112.99537928068321</v>
      </c>
      <c r="AS125" s="266"/>
    </row>
    <row r="126" spans="1:45" s="51" customFormat="1" ht="19.149999999999999" customHeight="1" outlineLevel="1">
      <c r="A126" s="1353">
        <v>132</v>
      </c>
      <c r="B126" s="1353">
        <v>28</v>
      </c>
      <c r="C126" s="1353" t="s">
        <v>3200</v>
      </c>
      <c r="D126" s="1361" t="str">
        <f>TONGHOPCONGDOI!C132</f>
        <v>Nàng Chưa</v>
      </c>
      <c r="E126" s="1355"/>
      <c r="F126" s="1353">
        <v>90</v>
      </c>
      <c r="G126" s="1353">
        <v>102</v>
      </c>
      <c r="H126" s="1353">
        <v>142</v>
      </c>
      <c r="I126" s="1353">
        <v>102</v>
      </c>
      <c r="J126" s="1353">
        <v>122</v>
      </c>
      <c r="K126" s="1353">
        <v>82</v>
      </c>
      <c r="L126" s="1353">
        <v>0</v>
      </c>
      <c r="M126" s="1353">
        <v>0</v>
      </c>
      <c r="N126" s="1353">
        <v>0</v>
      </c>
      <c r="O126" s="1353">
        <v>92</v>
      </c>
      <c r="P126" s="1353">
        <v>57</v>
      </c>
      <c r="Q126" s="1353">
        <v>0</v>
      </c>
      <c r="R126" s="1353">
        <v>151</v>
      </c>
      <c r="S126" s="1353">
        <v>52</v>
      </c>
      <c r="T126" s="1353">
        <v>0</v>
      </c>
      <c r="U126" s="1353">
        <v>160</v>
      </c>
      <c r="V126" s="1353">
        <v>58</v>
      </c>
      <c r="W126" s="1353">
        <v>146</v>
      </c>
      <c r="X126" s="1353">
        <v>140</v>
      </c>
      <c r="Y126" s="1353">
        <v>0</v>
      </c>
      <c r="Z126" s="64">
        <v>106</v>
      </c>
      <c r="AA126" s="64">
        <v>45</v>
      </c>
      <c r="AB126" s="1366">
        <v>119</v>
      </c>
      <c r="AC126" s="1366">
        <v>111</v>
      </c>
      <c r="AD126" s="1366">
        <v>81</v>
      </c>
      <c r="AE126" s="1366">
        <v>140</v>
      </c>
      <c r="AF126" s="1366">
        <v>82</v>
      </c>
      <c r="AG126" s="1366">
        <v>63</v>
      </c>
      <c r="AH126" s="1366">
        <v>81</v>
      </c>
      <c r="AI126" s="1366">
        <v>0</v>
      </c>
      <c r="AJ126" s="1366">
        <v>113</v>
      </c>
      <c r="AK126" s="1355">
        <f t="shared" si="29"/>
        <v>2437</v>
      </c>
      <c r="AL126" s="1355">
        <f t="shared" si="22"/>
        <v>1061.7771760287508</v>
      </c>
      <c r="AM126" s="1831">
        <f t="shared" si="26"/>
        <v>2437</v>
      </c>
      <c r="AN126" s="1831">
        <f t="shared" si="27"/>
        <v>98.882258309960861</v>
      </c>
      <c r="AO126" s="1831">
        <f t="shared" si="28"/>
        <v>1160.6594343387117</v>
      </c>
      <c r="AP126" s="60" t="s">
        <v>1957</v>
      </c>
      <c r="AQ126" s="1355">
        <f t="shared" si="23"/>
        <v>974.80000000000007</v>
      </c>
      <c r="AR126" s="1378">
        <f t="shared" si="24"/>
        <v>86.977176028750705</v>
      </c>
      <c r="AS126" s="266"/>
    </row>
    <row r="127" spans="1:45" s="51" customFormat="1" ht="19.149999999999999" customHeight="1" outlineLevel="1">
      <c r="A127" s="1353">
        <v>133</v>
      </c>
      <c r="B127" s="1353">
        <v>29</v>
      </c>
      <c r="C127" s="1353" t="s">
        <v>3201</v>
      </c>
      <c r="D127" s="1361" t="str">
        <f>TONGHOPCONGDOI!C133</f>
        <v>Hà Đức Văn</v>
      </c>
      <c r="E127" s="1355"/>
      <c r="F127" s="1353">
        <v>150</v>
      </c>
      <c r="G127" s="1353">
        <v>200</v>
      </c>
      <c r="H127" s="1353">
        <v>150</v>
      </c>
      <c r="I127" s="1353">
        <v>123</v>
      </c>
      <c r="J127" s="1353">
        <v>156</v>
      </c>
      <c r="K127" s="1353">
        <v>130</v>
      </c>
      <c r="L127" s="1353">
        <v>0</v>
      </c>
      <c r="M127" s="1353">
        <v>0</v>
      </c>
      <c r="N127" s="1353">
        <v>124</v>
      </c>
      <c r="O127" s="1353">
        <v>152</v>
      </c>
      <c r="P127" s="1353">
        <v>109</v>
      </c>
      <c r="Q127" s="1353">
        <v>178</v>
      </c>
      <c r="R127" s="1353">
        <v>135</v>
      </c>
      <c r="S127" s="1353">
        <v>150</v>
      </c>
      <c r="T127" s="1353">
        <v>0</v>
      </c>
      <c r="U127" s="1353">
        <v>100</v>
      </c>
      <c r="V127" s="1353">
        <v>200</v>
      </c>
      <c r="W127" s="1353">
        <v>285</v>
      </c>
      <c r="X127" s="1353">
        <v>300</v>
      </c>
      <c r="Y127" s="1353">
        <v>127</v>
      </c>
      <c r="Z127" s="64">
        <v>250</v>
      </c>
      <c r="AA127" s="64">
        <v>200</v>
      </c>
      <c r="AB127" s="1366">
        <v>150</v>
      </c>
      <c r="AC127" s="1366">
        <v>200</v>
      </c>
      <c r="AD127" s="1366">
        <v>200</v>
      </c>
      <c r="AE127" s="1366">
        <v>160</v>
      </c>
      <c r="AF127" s="1366">
        <v>200</v>
      </c>
      <c r="AG127" s="1366">
        <v>164</v>
      </c>
      <c r="AH127" s="1366">
        <v>150</v>
      </c>
      <c r="AI127" s="1366">
        <v>400</v>
      </c>
      <c r="AJ127" s="1366">
        <v>214</v>
      </c>
      <c r="AK127" s="1355">
        <f t="shared" si="29"/>
        <v>5057</v>
      </c>
      <c r="AL127" s="1355">
        <f t="shared" si="22"/>
        <v>2203.2856705693034</v>
      </c>
      <c r="AM127" s="1831">
        <f t="shared" si="26"/>
        <v>5057</v>
      </c>
      <c r="AN127" s="1831">
        <f t="shared" si="27"/>
        <v>205.18981545895448</v>
      </c>
      <c r="AO127" s="1831">
        <f t="shared" si="28"/>
        <v>2408.4754860282578</v>
      </c>
      <c r="AP127" s="60" t="s">
        <v>1959</v>
      </c>
      <c r="AQ127" s="1355">
        <f t="shared" si="23"/>
        <v>2022.8000000000002</v>
      </c>
      <c r="AR127" s="1378">
        <f t="shared" si="24"/>
        <v>180.48567056930324</v>
      </c>
      <c r="AS127" s="266"/>
    </row>
    <row r="128" spans="1:45" s="51" customFormat="1" ht="19.149999999999999" customHeight="1" outlineLevel="1">
      <c r="A128" s="1353">
        <v>134</v>
      </c>
      <c r="B128" s="1353">
        <v>30</v>
      </c>
      <c r="C128" s="1353" t="s">
        <v>3202</v>
      </c>
      <c r="D128" s="1361" t="str">
        <f>TONGHOPCONGDOI!C134</f>
        <v>N. Không</v>
      </c>
      <c r="E128" s="1355"/>
      <c r="F128" s="1353">
        <v>124</v>
      </c>
      <c r="G128" s="1353">
        <v>128</v>
      </c>
      <c r="H128" s="1353">
        <v>100</v>
      </c>
      <c r="I128" s="1353">
        <v>100</v>
      </c>
      <c r="J128" s="1353">
        <v>100</v>
      </c>
      <c r="K128" s="1353">
        <v>89</v>
      </c>
      <c r="L128" s="1353">
        <v>100</v>
      </c>
      <c r="M128" s="1353">
        <v>0</v>
      </c>
      <c r="N128" s="1353">
        <v>0</v>
      </c>
      <c r="O128" s="1353">
        <v>0</v>
      </c>
      <c r="P128" s="1353">
        <v>0</v>
      </c>
      <c r="Q128" s="1353">
        <v>216</v>
      </c>
      <c r="R128" s="1353">
        <v>146</v>
      </c>
      <c r="S128" s="1353">
        <v>79</v>
      </c>
      <c r="T128" s="1353">
        <v>131</v>
      </c>
      <c r="U128" s="1353">
        <v>0</v>
      </c>
      <c r="V128" s="1353">
        <v>0</v>
      </c>
      <c r="W128" s="1353">
        <v>143</v>
      </c>
      <c r="X128" s="1353">
        <v>100</v>
      </c>
      <c r="Y128" s="1353">
        <v>144</v>
      </c>
      <c r="Z128" s="64">
        <v>200</v>
      </c>
      <c r="AA128" s="64">
        <v>152</v>
      </c>
      <c r="AB128" s="1366">
        <v>100</v>
      </c>
      <c r="AC128" s="1366">
        <v>144</v>
      </c>
      <c r="AD128" s="1366">
        <v>160</v>
      </c>
      <c r="AE128" s="1366">
        <v>207</v>
      </c>
      <c r="AF128" s="1366">
        <v>100</v>
      </c>
      <c r="AG128" s="1366">
        <v>158</v>
      </c>
      <c r="AH128" s="1366">
        <v>132</v>
      </c>
      <c r="AI128" s="1366">
        <v>246</v>
      </c>
      <c r="AJ128" s="1366">
        <v>100</v>
      </c>
      <c r="AK128" s="1355">
        <f t="shared" si="29"/>
        <v>3399</v>
      </c>
      <c r="AL128" s="1355">
        <f t="shared" si="22"/>
        <v>1480.9112110470758</v>
      </c>
      <c r="AM128" s="1831">
        <f t="shared" si="26"/>
        <v>3399</v>
      </c>
      <c r="AN128" s="1831">
        <f t="shared" si="27"/>
        <v>137.91579646924782</v>
      </c>
      <c r="AO128" s="1831">
        <f t="shared" si="28"/>
        <v>1618.8270075163236</v>
      </c>
      <c r="AP128" s="60" t="s">
        <v>1959</v>
      </c>
      <c r="AQ128" s="1355">
        <f t="shared" si="23"/>
        <v>1359.6000000000001</v>
      </c>
      <c r="AR128" s="1378">
        <f t="shared" si="24"/>
        <v>121.31121104707563</v>
      </c>
      <c r="AS128" s="266"/>
    </row>
    <row r="129" spans="1:45" s="51" customFormat="1" ht="19.149999999999999" customHeight="1" outlineLevel="1">
      <c r="A129" s="1353">
        <v>135</v>
      </c>
      <c r="B129" s="1353">
        <v>31</v>
      </c>
      <c r="C129" s="1353" t="s">
        <v>3203</v>
      </c>
      <c r="D129" s="1361" t="str">
        <f>TONGHOPCONGDOI!C135</f>
        <v>T. Đăm</v>
      </c>
      <c r="E129" s="1355"/>
      <c r="F129" s="1353">
        <v>0</v>
      </c>
      <c r="G129" s="1353">
        <v>60</v>
      </c>
      <c r="H129" s="1353">
        <v>100</v>
      </c>
      <c r="I129" s="1353">
        <v>100</v>
      </c>
      <c r="J129" s="1353">
        <v>100</v>
      </c>
      <c r="K129" s="1353">
        <v>32</v>
      </c>
      <c r="L129" s="1353">
        <v>100</v>
      </c>
      <c r="M129" s="1353">
        <v>72</v>
      </c>
      <c r="N129" s="1353">
        <v>196</v>
      </c>
      <c r="O129" s="1353">
        <v>133</v>
      </c>
      <c r="P129" s="1353">
        <v>150</v>
      </c>
      <c r="Q129" s="1353">
        <v>150</v>
      </c>
      <c r="R129" s="1353">
        <v>200</v>
      </c>
      <c r="S129" s="1353">
        <v>110</v>
      </c>
      <c r="T129" s="1353">
        <v>112</v>
      </c>
      <c r="U129" s="1353">
        <v>102</v>
      </c>
      <c r="V129" s="1353">
        <v>100</v>
      </c>
      <c r="W129" s="1353">
        <v>168</v>
      </c>
      <c r="X129" s="1353">
        <v>100</v>
      </c>
      <c r="Y129" s="1353">
        <v>132</v>
      </c>
      <c r="Z129" s="64">
        <v>100</v>
      </c>
      <c r="AA129" s="64">
        <v>118</v>
      </c>
      <c r="AB129" s="1366">
        <v>100</v>
      </c>
      <c r="AC129" s="1366">
        <v>112</v>
      </c>
      <c r="AD129" s="1366">
        <v>100</v>
      </c>
      <c r="AE129" s="1366">
        <v>110</v>
      </c>
      <c r="AF129" s="1366">
        <v>145</v>
      </c>
      <c r="AG129" s="1366">
        <v>200</v>
      </c>
      <c r="AH129" s="1366">
        <v>100</v>
      </c>
      <c r="AI129" s="1366">
        <v>216</v>
      </c>
      <c r="AJ129" s="1366">
        <v>0</v>
      </c>
      <c r="AK129" s="1355">
        <f t="shared" si="29"/>
        <v>3518</v>
      </c>
      <c r="AL129" s="1355">
        <f t="shared" si="22"/>
        <v>1532.7583525930017</v>
      </c>
      <c r="AM129" s="1831">
        <f t="shared" si="26"/>
        <v>3518</v>
      </c>
      <c r="AN129" s="1831">
        <f t="shared" si="27"/>
        <v>142.74426948479373</v>
      </c>
      <c r="AO129" s="1831">
        <f t="shared" si="28"/>
        <v>1675.5026220777954</v>
      </c>
      <c r="AP129" s="60" t="s">
        <v>1959</v>
      </c>
      <c r="AQ129" s="1355">
        <f t="shared" si="23"/>
        <v>1407.2</v>
      </c>
      <c r="AR129" s="1378">
        <f t="shared" si="24"/>
        <v>125.5583525930017</v>
      </c>
      <c r="AS129" s="266"/>
    </row>
    <row r="130" spans="1:45" s="51" customFormat="1" ht="19.149999999999999" customHeight="1" outlineLevel="1">
      <c r="A130" s="1353">
        <v>136</v>
      </c>
      <c r="B130" s="1353">
        <v>32</v>
      </c>
      <c r="C130" s="1353" t="s">
        <v>3204</v>
      </c>
      <c r="D130" s="1361" t="str">
        <f>TONGHOPCONGDOI!C136</f>
        <v xml:space="preserve">Văn Na  </v>
      </c>
      <c r="E130" s="1355"/>
      <c r="F130" s="1353">
        <v>227</v>
      </c>
      <c r="G130" s="1353">
        <v>89</v>
      </c>
      <c r="H130" s="1353">
        <v>220</v>
      </c>
      <c r="I130" s="1353">
        <v>120</v>
      </c>
      <c r="J130" s="1353">
        <v>0</v>
      </c>
      <c r="K130" s="1353">
        <v>288</v>
      </c>
      <c r="L130" s="1353">
        <v>174</v>
      </c>
      <c r="M130" s="1353">
        <v>83</v>
      </c>
      <c r="N130" s="1353">
        <v>236</v>
      </c>
      <c r="O130" s="1353">
        <v>230</v>
      </c>
      <c r="P130" s="1353">
        <v>298</v>
      </c>
      <c r="Q130" s="1353">
        <v>240</v>
      </c>
      <c r="R130" s="1353">
        <v>222</v>
      </c>
      <c r="S130" s="1353">
        <v>207</v>
      </c>
      <c r="T130" s="1353">
        <v>300</v>
      </c>
      <c r="U130" s="1353">
        <v>0</v>
      </c>
      <c r="V130" s="1353">
        <v>153</v>
      </c>
      <c r="W130" s="1353">
        <v>200</v>
      </c>
      <c r="X130" s="1353">
        <v>144</v>
      </c>
      <c r="Y130" s="1353">
        <v>200</v>
      </c>
      <c r="Z130" s="64">
        <v>258</v>
      </c>
      <c r="AA130" s="64">
        <v>200</v>
      </c>
      <c r="AB130" s="1366">
        <v>158</v>
      </c>
      <c r="AC130" s="1366">
        <v>200</v>
      </c>
      <c r="AD130" s="1366">
        <v>230</v>
      </c>
      <c r="AE130" s="1366">
        <v>207</v>
      </c>
      <c r="AF130" s="1366">
        <v>161</v>
      </c>
      <c r="AG130" s="1366">
        <v>200</v>
      </c>
      <c r="AH130" s="1366">
        <v>255</v>
      </c>
      <c r="AI130" s="1366">
        <v>300</v>
      </c>
      <c r="AJ130" s="1366">
        <v>272</v>
      </c>
      <c r="AK130" s="1355">
        <f t="shared" si="29"/>
        <v>6072</v>
      </c>
      <c r="AL130" s="1355">
        <f t="shared" si="22"/>
        <v>2645.5112896374949</v>
      </c>
      <c r="AM130" s="1831">
        <f t="shared" si="26"/>
        <v>6072</v>
      </c>
      <c r="AN130" s="1831">
        <f t="shared" si="27"/>
        <v>246.37385000331651</v>
      </c>
      <c r="AO130" s="1831">
        <f t="shared" si="28"/>
        <v>2891.8851396408113</v>
      </c>
      <c r="AP130" s="60" t="s">
        <v>1959</v>
      </c>
      <c r="AQ130" s="1355">
        <f t="shared" si="23"/>
        <v>2428.8000000000002</v>
      </c>
      <c r="AR130" s="1378">
        <f t="shared" si="24"/>
        <v>216.7112896374947</v>
      </c>
      <c r="AS130" s="266"/>
    </row>
    <row r="131" spans="1:45" s="51" customFormat="1" ht="19.149999999999999" customHeight="1" outlineLevel="1">
      <c r="A131" s="1353">
        <v>137</v>
      </c>
      <c r="B131" s="1353">
        <v>33</v>
      </c>
      <c r="C131" s="1353" t="s">
        <v>3205</v>
      </c>
      <c r="D131" s="1361" t="str">
        <f>TONGHOPCONGDOI!C137</f>
        <v>N. Lẹ</v>
      </c>
      <c r="E131" s="1355"/>
      <c r="F131" s="1353">
        <v>126</v>
      </c>
      <c r="G131" s="1353">
        <v>260</v>
      </c>
      <c r="H131" s="1353">
        <v>103</v>
      </c>
      <c r="I131" s="1353">
        <v>0</v>
      </c>
      <c r="J131" s="1353">
        <v>156</v>
      </c>
      <c r="K131" s="1353">
        <v>90</v>
      </c>
      <c r="L131" s="1353">
        <v>93</v>
      </c>
      <c r="M131" s="1353">
        <v>111</v>
      </c>
      <c r="N131" s="1353">
        <v>195</v>
      </c>
      <c r="O131" s="1353">
        <v>269</v>
      </c>
      <c r="P131" s="1353">
        <v>200</v>
      </c>
      <c r="Q131" s="1353">
        <v>250</v>
      </c>
      <c r="R131" s="1353">
        <v>370</v>
      </c>
      <c r="S131" s="1353">
        <v>200</v>
      </c>
      <c r="T131" s="1353">
        <v>112</v>
      </c>
      <c r="U131" s="1353">
        <v>400</v>
      </c>
      <c r="V131" s="1353">
        <v>164</v>
      </c>
      <c r="W131" s="1353">
        <v>200</v>
      </c>
      <c r="X131" s="1353">
        <v>200</v>
      </c>
      <c r="Y131" s="1353">
        <v>300</v>
      </c>
      <c r="Z131" s="64">
        <v>148</v>
      </c>
      <c r="AA131" s="64">
        <v>200</v>
      </c>
      <c r="AB131" s="1366">
        <v>186</v>
      </c>
      <c r="AC131" s="1366">
        <v>300</v>
      </c>
      <c r="AD131" s="1366">
        <v>182</v>
      </c>
      <c r="AE131" s="1366">
        <v>200</v>
      </c>
      <c r="AF131" s="1366">
        <v>200</v>
      </c>
      <c r="AG131" s="1366">
        <v>172</v>
      </c>
      <c r="AH131" s="1366">
        <v>100</v>
      </c>
      <c r="AI131" s="1366">
        <v>300</v>
      </c>
      <c r="AJ131" s="1366">
        <v>124</v>
      </c>
      <c r="AK131" s="1355">
        <f t="shared" si="29"/>
        <v>5911</v>
      </c>
      <c r="AL131" s="1355">
        <f t="shared" ref="AL131:AL159" si="30">AK131*$AS$11</f>
        <v>2575.3651569577128</v>
      </c>
      <c r="AM131" s="1831">
        <f t="shared" si="26"/>
        <v>5911</v>
      </c>
      <c r="AN131" s="1831">
        <f t="shared" si="27"/>
        <v>239.84121004110736</v>
      </c>
      <c r="AO131" s="1831">
        <f t="shared" si="28"/>
        <v>2815.2063669988202</v>
      </c>
      <c r="AP131" s="60" t="s">
        <v>1959</v>
      </c>
      <c r="AQ131" s="1355">
        <f t="shared" ref="AQ131:AQ161" si="31">+AK131*40%</f>
        <v>2364.4</v>
      </c>
      <c r="AR131" s="1378">
        <f t="shared" ref="AR131:AR162" si="32">+AL131-AQ131</f>
        <v>210.96515695771268</v>
      </c>
      <c r="AS131" s="266"/>
    </row>
    <row r="132" spans="1:45" s="51" customFormat="1" ht="19.149999999999999" customHeight="1" outlineLevel="1">
      <c r="A132" s="1353">
        <v>138</v>
      </c>
      <c r="B132" s="1353">
        <v>34</v>
      </c>
      <c r="C132" s="1353"/>
      <c r="D132" s="1361" t="str">
        <f>TONGHOPCONGDOI!C138</f>
        <v>T. Mi</v>
      </c>
      <c r="E132" s="1355"/>
      <c r="F132" s="1353">
        <v>144</v>
      </c>
      <c r="G132" s="1353">
        <v>178</v>
      </c>
      <c r="H132" s="1353">
        <v>81</v>
      </c>
      <c r="I132" s="1353">
        <v>117</v>
      </c>
      <c r="J132" s="1353">
        <v>75</v>
      </c>
      <c r="K132" s="1353">
        <v>109</v>
      </c>
      <c r="L132" s="1353">
        <v>0</v>
      </c>
      <c r="M132" s="1353">
        <v>99</v>
      </c>
      <c r="N132" s="1353">
        <v>69</v>
      </c>
      <c r="O132" s="1353">
        <v>102</v>
      </c>
      <c r="P132" s="1353">
        <v>160</v>
      </c>
      <c r="Q132" s="1353">
        <v>58</v>
      </c>
      <c r="R132" s="1353">
        <v>107</v>
      </c>
      <c r="S132" s="1353">
        <v>0</v>
      </c>
      <c r="T132" s="1353">
        <v>176</v>
      </c>
      <c r="U132" s="1353">
        <v>158</v>
      </c>
      <c r="V132" s="1353">
        <v>89</v>
      </c>
      <c r="W132" s="1353">
        <v>127</v>
      </c>
      <c r="X132" s="1353">
        <v>78</v>
      </c>
      <c r="Y132" s="1353">
        <v>108</v>
      </c>
      <c r="Z132" s="64">
        <v>107</v>
      </c>
      <c r="AA132" s="64">
        <v>132</v>
      </c>
      <c r="AB132" s="1366">
        <v>131</v>
      </c>
      <c r="AC132" s="1366">
        <v>75</v>
      </c>
      <c r="AD132" s="1366">
        <v>83</v>
      </c>
      <c r="AE132" s="1366">
        <v>55</v>
      </c>
      <c r="AF132" s="1366">
        <v>0</v>
      </c>
      <c r="AG132" s="1366">
        <v>77</v>
      </c>
      <c r="AH132" s="1366">
        <v>108</v>
      </c>
      <c r="AI132" s="1366">
        <v>123</v>
      </c>
      <c r="AJ132" s="1366">
        <v>80</v>
      </c>
      <c r="AK132" s="1355">
        <f t="shared" si="29"/>
        <v>3006</v>
      </c>
      <c r="AL132" s="1355">
        <f t="shared" si="30"/>
        <v>1309.684936865993</v>
      </c>
      <c r="AM132" s="1831">
        <f t="shared" si="26"/>
        <v>3006</v>
      </c>
      <c r="AN132" s="1831">
        <f t="shared" si="27"/>
        <v>121.96966289689878</v>
      </c>
      <c r="AO132" s="1831">
        <f t="shared" si="28"/>
        <v>1431.6545997628918</v>
      </c>
      <c r="AP132" s="60" t="s">
        <v>1957</v>
      </c>
      <c r="AQ132" s="1355">
        <f t="shared" si="31"/>
        <v>1202.4000000000001</v>
      </c>
      <c r="AR132" s="1378">
        <f t="shared" si="32"/>
        <v>107.2849368659929</v>
      </c>
      <c r="AS132" s="266"/>
    </row>
    <row r="133" spans="1:45" s="51" customFormat="1" ht="19.149999999999999" customHeight="1" outlineLevel="1">
      <c r="A133" s="1353">
        <v>139</v>
      </c>
      <c r="B133" s="1353">
        <v>35</v>
      </c>
      <c r="C133" s="1353" t="s">
        <v>3206</v>
      </c>
      <c r="D133" s="1361" t="str">
        <f>TONGHOPCONGDOI!C139</f>
        <v>Thảo Pi</v>
      </c>
      <c r="E133" s="1355"/>
      <c r="F133" s="1353">
        <v>100</v>
      </c>
      <c r="G133" s="1353">
        <v>84</v>
      </c>
      <c r="H133" s="1353">
        <v>96</v>
      </c>
      <c r="I133" s="1353">
        <v>130</v>
      </c>
      <c r="J133" s="1353">
        <v>0</v>
      </c>
      <c r="K133" s="1353">
        <v>0</v>
      </c>
      <c r="L133" s="1353">
        <v>98</v>
      </c>
      <c r="M133" s="1353">
        <v>0</v>
      </c>
      <c r="N133" s="1353">
        <v>79</v>
      </c>
      <c r="O133" s="1353">
        <v>135</v>
      </c>
      <c r="P133" s="1353">
        <v>84</v>
      </c>
      <c r="Q133" s="1353">
        <v>0</v>
      </c>
      <c r="R133" s="1353">
        <v>0</v>
      </c>
      <c r="S133" s="1353">
        <v>0</v>
      </c>
      <c r="T133" s="1353">
        <v>0</v>
      </c>
      <c r="U133" s="1353">
        <v>0</v>
      </c>
      <c r="V133" s="1353">
        <v>0</v>
      </c>
      <c r="W133" s="1353">
        <v>0</v>
      </c>
      <c r="X133" s="1353">
        <v>0</v>
      </c>
      <c r="Y133" s="1353">
        <v>0</v>
      </c>
      <c r="Z133" s="64">
        <v>0</v>
      </c>
      <c r="AA133" s="64">
        <v>0</v>
      </c>
      <c r="AB133" s="1366">
        <v>0</v>
      </c>
      <c r="AC133" s="1366">
        <v>0</v>
      </c>
      <c r="AD133" s="1366">
        <v>0</v>
      </c>
      <c r="AE133" s="1366">
        <v>0</v>
      </c>
      <c r="AF133" s="1366">
        <v>0</v>
      </c>
      <c r="AG133" s="1366">
        <v>0</v>
      </c>
      <c r="AH133" s="1366">
        <v>0</v>
      </c>
      <c r="AI133" s="1366">
        <v>0</v>
      </c>
      <c r="AJ133" s="1366">
        <v>0</v>
      </c>
      <c r="AK133" s="1355">
        <f t="shared" si="29"/>
        <v>806</v>
      </c>
      <c r="AL133" s="1355">
        <f t="shared" si="30"/>
        <v>351.16635366400209</v>
      </c>
      <c r="AM133" s="1831">
        <f t="shared" si="26"/>
        <v>806</v>
      </c>
      <c r="AN133" s="1831">
        <f t="shared" si="27"/>
        <v>32.703775214537735</v>
      </c>
      <c r="AO133" s="1831">
        <f t="shared" si="28"/>
        <v>383.87012887853984</v>
      </c>
      <c r="AP133" s="60" t="s">
        <v>1957</v>
      </c>
      <c r="AQ133" s="1355">
        <f t="shared" si="31"/>
        <v>322.40000000000003</v>
      </c>
      <c r="AR133" s="1378">
        <f t="shared" si="32"/>
        <v>28.766353664002054</v>
      </c>
      <c r="AS133" s="266"/>
    </row>
    <row r="134" spans="1:45" s="51" customFormat="1" ht="19.149999999999999" customHeight="1" outlineLevel="1">
      <c r="A134" s="1353">
        <v>140</v>
      </c>
      <c r="B134" s="1353">
        <v>36</v>
      </c>
      <c r="C134" s="1353" t="s">
        <v>3207</v>
      </c>
      <c r="D134" s="1361" t="str">
        <f>TONGHOPCONGDOI!C140</f>
        <v>T. Mút</v>
      </c>
      <c r="E134" s="1355"/>
      <c r="F134" s="1353">
        <v>155</v>
      </c>
      <c r="G134" s="1353">
        <v>142</v>
      </c>
      <c r="H134" s="1353">
        <v>0</v>
      </c>
      <c r="I134" s="1353">
        <v>96</v>
      </c>
      <c r="J134" s="1353">
        <v>98</v>
      </c>
      <c r="K134" s="1353">
        <v>109</v>
      </c>
      <c r="L134" s="1353">
        <v>160</v>
      </c>
      <c r="M134" s="1353">
        <v>200</v>
      </c>
      <c r="N134" s="1353">
        <v>227</v>
      </c>
      <c r="O134" s="1353">
        <v>106</v>
      </c>
      <c r="P134" s="1353">
        <v>0</v>
      </c>
      <c r="Q134" s="1353">
        <v>120</v>
      </c>
      <c r="R134" s="1353">
        <v>115</v>
      </c>
      <c r="S134" s="1353">
        <v>0</v>
      </c>
      <c r="T134" s="1353">
        <v>0</v>
      </c>
      <c r="U134" s="1353">
        <v>102</v>
      </c>
      <c r="V134" s="1353">
        <v>195</v>
      </c>
      <c r="W134" s="1353">
        <v>126</v>
      </c>
      <c r="X134" s="1353">
        <v>204</v>
      </c>
      <c r="Y134" s="1353">
        <v>132</v>
      </c>
      <c r="Z134" s="64">
        <v>167</v>
      </c>
      <c r="AA134" s="64">
        <v>115</v>
      </c>
      <c r="AB134" s="1366">
        <v>0</v>
      </c>
      <c r="AC134" s="1366">
        <v>0</v>
      </c>
      <c r="AD134" s="1366">
        <v>113</v>
      </c>
      <c r="AE134" s="1366">
        <v>122</v>
      </c>
      <c r="AF134" s="1366">
        <v>107</v>
      </c>
      <c r="AG134" s="1366">
        <v>114</v>
      </c>
      <c r="AH134" s="1366">
        <v>129</v>
      </c>
      <c r="AI134" s="1366">
        <v>184</v>
      </c>
      <c r="AJ134" s="1366">
        <v>105</v>
      </c>
      <c r="AK134" s="1355">
        <f t="shared" si="29"/>
        <v>3443</v>
      </c>
      <c r="AL134" s="1355">
        <f t="shared" si="30"/>
        <v>1500.0815827111157</v>
      </c>
      <c r="AM134" s="1831">
        <f t="shared" si="26"/>
        <v>3443</v>
      </c>
      <c r="AN134" s="1831">
        <f t="shared" si="27"/>
        <v>139.70111422289506</v>
      </c>
      <c r="AO134" s="1831">
        <f t="shared" si="28"/>
        <v>1639.7826969340108</v>
      </c>
      <c r="AP134" s="60" t="s">
        <v>1957</v>
      </c>
      <c r="AQ134" s="1355">
        <f t="shared" si="31"/>
        <v>1377.2</v>
      </c>
      <c r="AR134" s="1378">
        <f t="shared" si="32"/>
        <v>122.8815827111157</v>
      </c>
      <c r="AS134" s="266"/>
    </row>
    <row r="135" spans="1:45" s="51" customFormat="1" ht="19.149999999999999" customHeight="1" outlineLevel="1">
      <c r="A135" s="1353">
        <v>141</v>
      </c>
      <c r="B135" s="1353">
        <v>37</v>
      </c>
      <c r="C135" s="1353" t="s">
        <v>3208</v>
      </c>
      <c r="D135" s="1361" t="str">
        <f>TONGHOPCONGDOI!C141</f>
        <v>T. Lươn</v>
      </c>
      <c r="E135" s="1355"/>
      <c r="F135" s="1353">
        <v>139</v>
      </c>
      <c r="G135" s="1353">
        <v>173</v>
      </c>
      <c r="H135" s="1353">
        <v>0</v>
      </c>
      <c r="I135" s="1353">
        <v>0</v>
      </c>
      <c r="J135" s="1353">
        <v>0</v>
      </c>
      <c r="K135" s="1353">
        <v>0</v>
      </c>
      <c r="L135" s="1353">
        <v>114</v>
      </c>
      <c r="M135" s="1353">
        <v>149</v>
      </c>
      <c r="N135" s="1353">
        <v>97</v>
      </c>
      <c r="O135" s="1353">
        <v>88</v>
      </c>
      <c r="P135" s="1353">
        <v>102</v>
      </c>
      <c r="Q135" s="1353">
        <v>96</v>
      </c>
      <c r="R135" s="1353">
        <v>71</v>
      </c>
      <c r="S135" s="1353">
        <v>128</v>
      </c>
      <c r="T135" s="1353">
        <v>82</v>
      </c>
      <c r="U135" s="1353">
        <v>243</v>
      </c>
      <c r="V135" s="1353">
        <v>78</v>
      </c>
      <c r="W135" s="1353">
        <v>97</v>
      </c>
      <c r="X135" s="1353">
        <v>0</v>
      </c>
      <c r="Y135" s="1353">
        <v>0</v>
      </c>
      <c r="Z135" s="64">
        <v>134</v>
      </c>
      <c r="AA135" s="64">
        <v>81</v>
      </c>
      <c r="AB135" s="1366">
        <v>0</v>
      </c>
      <c r="AC135" s="1366">
        <v>140</v>
      </c>
      <c r="AD135" s="1366">
        <v>60</v>
      </c>
      <c r="AE135" s="1366">
        <v>115</v>
      </c>
      <c r="AF135" s="1366">
        <v>119</v>
      </c>
      <c r="AG135" s="1366">
        <v>66</v>
      </c>
      <c r="AH135" s="1366">
        <v>138</v>
      </c>
      <c r="AI135" s="1366">
        <v>160</v>
      </c>
      <c r="AJ135" s="1366">
        <v>0</v>
      </c>
      <c r="AK135" s="1355">
        <f t="shared" si="29"/>
        <v>2670</v>
      </c>
      <c r="AL135" s="1355">
        <f t="shared" si="30"/>
        <v>1163.2930077951435</v>
      </c>
      <c r="AM135" s="1831">
        <f t="shared" si="26"/>
        <v>2670</v>
      </c>
      <c r="AN135" s="1831">
        <f t="shared" si="27"/>
        <v>108.33632732359274</v>
      </c>
      <c r="AO135" s="1831">
        <f t="shared" si="28"/>
        <v>1271.6293351187362</v>
      </c>
      <c r="AP135" s="60" t="s">
        <v>1957</v>
      </c>
      <c r="AQ135" s="1355">
        <f t="shared" si="31"/>
        <v>1068</v>
      </c>
      <c r="AR135" s="1378">
        <f t="shared" si="32"/>
        <v>95.293007795143467</v>
      </c>
      <c r="AS135" s="266"/>
    </row>
    <row r="136" spans="1:45" s="51" customFormat="1" ht="19.149999999999999" customHeight="1" outlineLevel="1">
      <c r="A136" s="1353">
        <v>142</v>
      </c>
      <c r="B136" s="1353">
        <v>38</v>
      </c>
      <c r="C136" s="1353" t="s">
        <v>3209</v>
      </c>
      <c r="D136" s="1361" t="str">
        <f>TONGHOPCONGDOI!C142</f>
        <v>N. Đon</v>
      </c>
      <c r="E136" s="1355"/>
      <c r="F136" s="1353">
        <v>180</v>
      </c>
      <c r="G136" s="1353">
        <v>151</v>
      </c>
      <c r="H136" s="1353">
        <v>130</v>
      </c>
      <c r="I136" s="1353">
        <v>0</v>
      </c>
      <c r="J136" s="1353">
        <v>0</v>
      </c>
      <c r="K136" s="1353">
        <v>134</v>
      </c>
      <c r="L136" s="1353">
        <v>98</v>
      </c>
      <c r="M136" s="1353">
        <v>0</v>
      </c>
      <c r="N136" s="1353">
        <v>100</v>
      </c>
      <c r="O136" s="1353">
        <v>131</v>
      </c>
      <c r="P136" s="1353">
        <v>0</v>
      </c>
      <c r="Q136" s="1353">
        <v>0</v>
      </c>
      <c r="R136" s="1353">
        <v>94</v>
      </c>
      <c r="S136" s="1353">
        <v>0</v>
      </c>
      <c r="T136" s="1353">
        <v>71</v>
      </c>
      <c r="U136" s="1353">
        <v>0</v>
      </c>
      <c r="V136" s="1353">
        <v>0</v>
      </c>
      <c r="W136" s="1353">
        <v>0</v>
      </c>
      <c r="X136" s="1353">
        <v>0</v>
      </c>
      <c r="Y136" s="1353">
        <v>0</v>
      </c>
      <c r="Z136" s="64">
        <v>0</v>
      </c>
      <c r="AA136" s="64">
        <v>0</v>
      </c>
      <c r="AB136" s="1366">
        <v>0</v>
      </c>
      <c r="AC136" s="1366">
        <v>70</v>
      </c>
      <c r="AD136" s="1366">
        <v>0</v>
      </c>
      <c r="AE136" s="1366">
        <v>121</v>
      </c>
      <c r="AF136" s="1366">
        <v>94</v>
      </c>
      <c r="AG136" s="1366">
        <v>117</v>
      </c>
      <c r="AH136" s="1366">
        <v>125</v>
      </c>
      <c r="AI136" s="1366">
        <v>131</v>
      </c>
      <c r="AJ136" s="1366">
        <v>98</v>
      </c>
      <c r="AK136" s="1355">
        <f t="shared" si="29"/>
        <v>1845</v>
      </c>
      <c r="AL136" s="1355">
        <f t="shared" si="30"/>
        <v>803.84853909439687</v>
      </c>
      <c r="AM136" s="1831">
        <f t="shared" si="26"/>
        <v>1845</v>
      </c>
      <c r="AN136" s="1831">
        <f t="shared" si="27"/>
        <v>74.861619442707337</v>
      </c>
      <c r="AO136" s="1831">
        <f t="shared" si="28"/>
        <v>878.71015853710423</v>
      </c>
      <c r="AP136" s="60" t="s">
        <v>1959</v>
      </c>
      <c r="AQ136" s="1355">
        <f t="shared" si="31"/>
        <v>738</v>
      </c>
      <c r="AR136" s="1378">
        <f t="shared" si="32"/>
        <v>65.84853909439687</v>
      </c>
      <c r="AS136" s="266"/>
    </row>
    <row r="137" spans="1:45" s="51" customFormat="1" ht="19.149999999999999" customHeight="1" outlineLevel="1">
      <c r="A137" s="1353">
        <v>143</v>
      </c>
      <c r="B137" s="1353">
        <v>39</v>
      </c>
      <c r="C137" s="1353" t="s">
        <v>3210</v>
      </c>
      <c r="D137" s="1361" t="str">
        <f>TONGHOPCONGDOI!C143</f>
        <v>T. Ô</v>
      </c>
      <c r="E137" s="1355"/>
      <c r="F137" s="1353">
        <v>143</v>
      </c>
      <c r="G137" s="1353">
        <v>122</v>
      </c>
      <c r="H137" s="1353">
        <v>81</v>
      </c>
      <c r="I137" s="1353">
        <v>90</v>
      </c>
      <c r="J137" s="1353">
        <v>0</v>
      </c>
      <c r="K137" s="1353">
        <v>0</v>
      </c>
      <c r="L137" s="1353">
        <v>128</v>
      </c>
      <c r="M137" s="1353">
        <v>101</v>
      </c>
      <c r="N137" s="1353">
        <v>185</v>
      </c>
      <c r="O137" s="1353">
        <v>145</v>
      </c>
      <c r="P137" s="1353">
        <v>82</v>
      </c>
      <c r="Q137" s="1353">
        <v>98</v>
      </c>
      <c r="R137" s="1353">
        <v>115</v>
      </c>
      <c r="S137" s="1353">
        <v>162</v>
      </c>
      <c r="T137" s="1353">
        <v>64</v>
      </c>
      <c r="U137" s="1353">
        <v>251</v>
      </c>
      <c r="V137" s="1353">
        <v>107</v>
      </c>
      <c r="W137" s="1353">
        <v>79</v>
      </c>
      <c r="X137" s="1353">
        <v>98</v>
      </c>
      <c r="Y137" s="1353">
        <v>0</v>
      </c>
      <c r="Z137" s="64">
        <v>88</v>
      </c>
      <c r="AA137" s="64">
        <v>92</v>
      </c>
      <c r="AB137" s="1366">
        <v>0</v>
      </c>
      <c r="AC137" s="1366">
        <v>187</v>
      </c>
      <c r="AD137" s="1366">
        <v>136</v>
      </c>
      <c r="AE137" s="1366">
        <v>118</v>
      </c>
      <c r="AF137" s="1366">
        <v>116</v>
      </c>
      <c r="AG137" s="1366">
        <v>82</v>
      </c>
      <c r="AH137" s="1366">
        <v>97</v>
      </c>
      <c r="AI137" s="1366">
        <v>210</v>
      </c>
      <c r="AJ137" s="1366">
        <v>0</v>
      </c>
      <c r="AK137" s="1355">
        <f t="shared" si="29"/>
        <v>3177</v>
      </c>
      <c r="AL137" s="1355">
        <f t="shared" si="30"/>
        <v>1384.1879721966932</v>
      </c>
      <c r="AM137" s="1831">
        <f t="shared" si="26"/>
        <v>3177</v>
      </c>
      <c r="AN137" s="1831">
        <f t="shared" si="27"/>
        <v>128.90805689402777</v>
      </c>
      <c r="AO137" s="1831">
        <f t="shared" si="28"/>
        <v>1513.096029090721</v>
      </c>
      <c r="AP137" s="60" t="s">
        <v>1959</v>
      </c>
      <c r="AQ137" s="1355">
        <f t="shared" si="31"/>
        <v>1270.8000000000002</v>
      </c>
      <c r="AR137" s="1378">
        <f t="shared" si="32"/>
        <v>113.387972196693</v>
      </c>
      <c r="AS137" s="266"/>
    </row>
    <row r="138" spans="1:45" s="51" customFormat="1" ht="19.149999999999999" customHeight="1" outlineLevel="1">
      <c r="A138" s="1353">
        <v>144</v>
      </c>
      <c r="B138" s="1353">
        <v>40</v>
      </c>
      <c r="C138" s="1353" t="s">
        <v>3211</v>
      </c>
      <c r="D138" s="1361" t="str">
        <f>TONGHOPCONGDOI!C144</f>
        <v>N. Su Pha</v>
      </c>
      <c r="E138" s="1355"/>
      <c r="F138" s="1353">
        <v>144</v>
      </c>
      <c r="G138" s="1353">
        <v>122</v>
      </c>
      <c r="H138" s="1353">
        <v>162</v>
      </c>
      <c r="I138" s="1353">
        <v>82</v>
      </c>
      <c r="J138" s="1353">
        <v>0</v>
      </c>
      <c r="K138" s="1353">
        <v>0</v>
      </c>
      <c r="L138" s="1353">
        <v>128</v>
      </c>
      <c r="M138" s="1353">
        <v>102</v>
      </c>
      <c r="N138" s="1353">
        <v>185</v>
      </c>
      <c r="O138" s="1353">
        <v>145</v>
      </c>
      <c r="P138" s="1353">
        <v>82</v>
      </c>
      <c r="Q138" s="1353">
        <v>99</v>
      </c>
      <c r="R138" s="1353">
        <v>115</v>
      </c>
      <c r="S138" s="1353">
        <v>161</v>
      </c>
      <c r="T138" s="1353">
        <v>65</v>
      </c>
      <c r="U138" s="1353">
        <v>251</v>
      </c>
      <c r="V138" s="1353">
        <v>108</v>
      </c>
      <c r="W138" s="1353">
        <v>80</v>
      </c>
      <c r="X138" s="1353">
        <v>98</v>
      </c>
      <c r="Y138" s="1353">
        <v>0</v>
      </c>
      <c r="Z138" s="64">
        <v>0</v>
      </c>
      <c r="AA138" s="64">
        <v>92</v>
      </c>
      <c r="AB138" s="1366">
        <v>0</v>
      </c>
      <c r="AC138" s="1366">
        <v>187</v>
      </c>
      <c r="AD138" s="1366">
        <v>137</v>
      </c>
      <c r="AE138" s="1366">
        <v>119</v>
      </c>
      <c r="AF138" s="1366">
        <v>116</v>
      </c>
      <c r="AG138" s="1366">
        <v>83</v>
      </c>
      <c r="AH138" s="1366">
        <v>97</v>
      </c>
      <c r="AI138" s="1366">
        <v>211</v>
      </c>
      <c r="AJ138" s="1366">
        <v>0</v>
      </c>
      <c r="AK138" s="1355">
        <f t="shared" si="29"/>
        <v>3171</v>
      </c>
      <c r="AL138" s="1355">
        <f t="shared" si="30"/>
        <v>1381.5738306061423</v>
      </c>
      <c r="AM138" s="1831">
        <f t="shared" si="26"/>
        <v>3171</v>
      </c>
      <c r="AN138" s="1831">
        <f t="shared" si="27"/>
        <v>128.66460447307585</v>
      </c>
      <c r="AO138" s="1831">
        <f t="shared" si="28"/>
        <v>1510.2384350792181</v>
      </c>
      <c r="AP138" s="60" t="s">
        <v>1957</v>
      </c>
      <c r="AQ138" s="1355">
        <f t="shared" si="31"/>
        <v>1268.4000000000001</v>
      </c>
      <c r="AR138" s="1378">
        <f t="shared" si="32"/>
        <v>113.17383060614225</v>
      </c>
      <c r="AS138" s="266"/>
    </row>
    <row r="139" spans="1:45" s="51" customFormat="1" ht="19.149999999999999" customHeight="1" outlineLevel="1">
      <c r="A139" s="1353">
        <v>145</v>
      </c>
      <c r="B139" s="1353">
        <v>41</v>
      </c>
      <c r="C139" s="1353" t="s">
        <v>3212</v>
      </c>
      <c r="D139" s="1361" t="str">
        <f>TONGHOPCONGDOI!C145</f>
        <v>N. Lọi</v>
      </c>
      <c r="E139" s="1355"/>
      <c r="F139" s="1353">
        <v>125</v>
      </c>
      <c r="G139" s="1353">
        <v>266</v>
      </c>
      <c r="H139" s="1353">
        <v>123</v>
      </c>
      <c r="I139" s="1353">
        <v>108</v>
      </c>
      <c r="J139" s="1353">
        <v>129</v>
      </c>
      <c r="K139" s="1353">
        <v>164</v>
      </c>
      <c r="L139" s="1353">
        <v>142</v>
      </c>
      <c r="M139" s="1353">
        <v>111</v>
      </c>
      <c r="N139" s="1353">
        <v>261</v>
      </c>
      <c r="O139" s="1353">
        <v>118</v>
      </c>
      <c r="P139" s="1353">
        <v>137</v>
      </c>
      <c r="Q139" s="1353">
        <v>116</v>
      </c>
      <c r="R139" s="1353">
        <v>150</v>
      </c>
      <c r="S139" s="1353">
        <v>117</v>
      </c>
      <c r="T139" s="1353">
        <v>97</v>
      </c>
      <c r="U139" s="1353">
        <v>258</v>
      </c>
      <c r="V139" s="1353">
        <v>0</v>
      </c>
      <c r="W139" s="1353">
        <v>141</v>
      </c>
      <c r="X139" s="1353">
        <v>126</v>
      </c>
      <c r="Y139" s="1353">
        <v>172</v>
      </c>
      <c r="Z139" s="64">
        <v>130</v>
      </c>
      <c r="AA139" s="64">
        <v>110</v>
      </c>
      <c r="AB139" s="1366">
        <v>278</v>
      </c>
      <c r="AC139" s="1366">
        <v>98</v>
      </c>
      <c r="AD139" s="1366">
        <v>141</v>
      </c>
      <c r="AE139" s="1366">
        <v>95</v>
      </c>
      <c r="AF139" s="1366">
        <v>121</v>
      </c>
      <c r="AG139" s="1366">
        <v>102</v>
      </c>
      <c r="AH139" s="1366">
        <v>158</v>
      </c>
      <c r="AI139" s="1366">
        <v>205</v>
      </c>
      <c r="AJ139" s="1366">
        <v>62</v>
      </c>
      <c r="AK139" s="1355">
        <f t="shared" si="29"/>
        <v>4361</v>
      </c>
      <c r="AL139" s="1355">
        <f t="shared" si="30"/>
        <v>1900.045246065401</v>
      </c>
      <c r="AM139" s="1831">
        <f t="shared" si="26"/>
        <v>4361</v>
      </c>
      <c r="AN139" s="1831">
        <f t="shared" si="27"/>
        <v>176.94933462853481</v>
      </c>
      <c r="AO139" s="1831">
        <f t="shared" si="28"/>
        <v>2076.9945806939359</v>
      </c>
      <c r="AP139" s="60" t="s">
        <v>1959</v>
      </c>
      <c r="AQ139" s="1355">
        <f t="shared" si="31"/>
        <v>1744.4</v>
      </c>
      <c r="AR139" s="1378">
        <f t="shared" si="32"/>
        <v>155.6452460654009</v>
      </c>
      <c r="AS139" s="266"/>
    </row>
    <row r="140" spans="1:45" s="51" customFormat="1" ht="19.149999999999999" customHeight="1" outlineLevel="1">
      <c r="A140" s="1353">
        <v>146</v>
      </c>
      <c r="B140" s="1353">
        <v>42</v>
      </c>
      <c r="C140" s="1353" t="s">
        <v>3213</v>
      </c>
      <c r="D140" s="1361" t="str">
        <f>TONGHOPCONGDOI!C146</f>
        <v>T. Nin</v>
      </c>
      <c r="E140" s="1355"/>
      <c r="F140" s="1353">
        <v>108</v>
      </c>
      <c r="G140" s="1353">
        <v>198</v>
      </c>
      <c r="H140" s="1353">
        <v>96</v>
      </c>
      <c r="I140" s="1353">
        <v>133</v>
      </c>
      <c r="J140" s="1353">
        <v>72</v>
      </c>
      <c r="K140" s="1353">
        <v>83</v>
      </c>
      <c r="L140" s="1353">
        <v>93</v>
      </c>
      <c r="M140" s="1353">
        <v>130</v>
      </c>
      <c r="N140" s="1353">
        <v>176</v>
      </c>
      <c r="O140" s="1353">
        <v>0</v>
      </c>
      <c r="P140" s="1353">
        <v>134</v>
      </c>
      <c r="Q140" s="1353">
        <v>78</v>
      </c>
      <c r="R140" s="1353">
        <v>99</v>
      </c>
      <c r="S140" s="1353">
        <v>166</v>
      </c>
      <c r="T140" s="1353">
        <v>121</v>
      </c>
      <c r="U140" s="1353">
        <v>176</v>
      </c>
      <c r="V140" s="1353">
        <v>110</v>
      </c>
      <c r="W140" s="1353">
        <v>0</v>
      </c>
      <c r="X140" s="1353">
        <v>78</v>
      </c>
      <c r="Y140" s="1353">
        <v>104</v>
      </c>
      <c r="Z140" s="64">
        <v>79</v>
      </c>
      <c r="AA140" s="64">
        <v>218</v>
      </c>
      <c r="AB140" s="1366">
        <v>0</v>
      </c>
      <c r="AC140" s="1366">
        <v>90</v>
      </c>
      <c r="AD140" s="1366">
        <v>115</v>
      </c>
      <c r="AE140" s="1366">
        <v>126</v>
      </c>
      <c r="AF140" s="1366">
        <v>79</v>
      </c>
      <c r="AG140" s="1366">
        <v>85</v>
      </c>
      <c r="AH140" s="1366">
        <v>123</v>
      </c>
      <c r="AI140" s="1366">
        <v>140</v>
      </c>
      <c r="AJ140" s="1366">
        <v>0</v>
      </c>
      <c r="AK140" s="1355">
        <f t="shared" si="29"/>
        <v>3210</v>
      </c>
      <c r="AL140" s="1355">
        <f t="shared" si="30"/>
        <v>1398.565750944723</v>
      </c>
      <c r="AM140" s="1831">
        <f t="shared" si="26"/>
        <v>3210</v>
      </c>
      <c r="AN140" s="1831">
        <f t="shared" si="27"/>
        <v>130.24704520926318</v>
      </c>
      <c r="AO140" s="1831">
        <f t="shared" si="28"/>
        <v>1528.8127961539863</v>
      </c>
      <c r="AP140" s="60" t="s">
        <v>1959</v>
      </c>
      <c r="AQ140" s="1355">
        <f t="shared" si="31"/>
        <v>1284</v>
      </c>
      <c r="AR140" s="1378">
        <f t="shared" si="32"/>
        <v>114.56575094472305</v>
      </c>
      <c r="AS140" s="266"/>
    </row>
    <row r="141" spans="1:45" s="51" customFormat="1" ht="19.149999999999999" customHeight="1" outlineLevel="1">
      <c r="A141" s="1353">
        <v>147</v>
      </c>
      <c r="B141" s="1353">
        <v>43</v>
      </c>
      <c r="C141" s="1353" t="s">
        <v>3214</v>
      </c>
      <c r="D141" s="1361" t="str">
        <f>TONGHOPCONGDOI!C147</f>
        <v>T. Vỹ</v>
      </c>
      <c r="E141" s="1355"/>
      <c r="F141" s="1353">
        <v>62</v>
      </c>
      <c r="G141" s="1353">
        <v>125</v>
      </c>
      <c r="H141" s="1353">
        <v>0</v>
      </c>
      <c r="I141" s="1353">
        <v>96</v>
      </c>
      <c r="J141" s="1353">
        <v>0</v>
      </c>
      <c r="K141" s="1353">
        <v>0</v>
      </c>
      <c r="L141" s="1353">
        <v>104</v>
      </c>
      <c r="M141" s="1353">
        <v>120</v>
      </c>
      <c r="N141" s="1353">
        <v>166</v>
      </c>
      <c r="O141" s="1353">
        <v>141</v>
      </c>
      <c r="P141" s="1353">
        <v>136</v>
      </c>
      <c r="Q141" s="1353">
        <v>91</v>
      </c>
      <c r="R141" s="1353">
        <v>94</v>
      </c>
      <c r="S141" s="1353">
        <v>95</v>
      </c>
      <c r="T141" s="1353">
        <v>112</v>
      </c>
      <c r="U141" s="1353">
        <v>87</v>
      </c>
      <c r="V141" s="1353">
        <v>91</v>
      </c>
      <c r="W141" s="1353">
        <v>91</v>
      </c>
      <c r="X141" s="1353">
        <v>120</v>
      </c>
      <c r="Y141" s="1353">
        <v>106</v>
      </c>
      <c r="Z141" s="64">
        <v>108</v>
      </c>
      <c r="AA141" s="64">
        <v>97</v>
      </c>
      <c r="AB141" s="1366">
        <v>120</v>
      </c>
      <c r="AC141" s="1366">
        <v>101</v>
      </c>
      <c r="AD141" s="1366">
        <v>93</v>
      </c>
      <c r="AE141" s="1366">
        <v>94</v>
      </c>
      <c r="AF141" s="1366">
        <v>110</v>
      </c>
      <c r="AG141" s="1366">
        <v>87</v>
      </c>
      <c r="AH141" s="1366">
        <v>91</v>
      </c>
      <c r="AI141" s="1366">
        <v>90</v>
      </c>
      <c r="AJ141" s="1366">
        <v>126</v>
      </c>
      <c r="AK141" s="1355">
        <f t="shared" si="29"/>
        <v>2954</v>
      </c>
      <c r="AL141" s="1355">
        <f t="shared" si="30"/>
        <v>1287.0290430812186</v>
      </c>
      <c r="AM141" s="1831">
        <f t="shared" si="26"/>
        <v>2954</v>
      </c>
      <c r="AN141" s="1831">
        <f t="shared" si="27"/>
        <v>119.85974191531571</v>
      </c>
      <c r="AO141" s="1831">
        <f t="shared" si="28"/>
        <v>1406.8887849965342</v>
      </c>
      <c r="AP141" s="60" t="s">
        <v>1957</v>
      </c>
      <c r="AQ141" s="1355">
        <f t="shared" si="31"/>
        <v>1181.6000000000001</v>
      </c>
      <c r="AR141" s="1378">
        <f t="shared" si="32"/>
        <v>105.42904308121842</v>
      </c>
      <c r="AS141" s="266"/>
    </row>
    <row r="142" spans="1:45" s="51" customFormat="1" ht="19.149999999999999" hidden="1" customHeight="1" outlineLevel="1">
      <c r="A142" s="1353">
        <v>148</v>
      </c>
      <c r="B142" s="1353">
        <v>44</v>
      </c>
      <c r="C142" s="1353" t="s">
        <v>3215</v>
      </c>
      <c r="D142" s="1361" t="str">
        <f>TONGHOPCONGDOI!C148</f>
        <v>Nàng Nhầy</v>
      </c>
      <c r="E142" s="1355"/>
      <c r="F142" s="1353">
        <v>99</v>
      </c>
      <c r="G142" s="1353">
        <v>261</v>
      </c>
      <c r="H142" s="1353">
        <v>0</v>
      </c>
      <c r="I142" s="1353">
        <v>130</v>
      </c>
      <c r="J142" s="1353">
        <v>0</v>
      </c>
      <c r="K142" s="1353">
        <v>112</v>
      </c>
      <c r="L142" s="1353">
        <v>0</v>
      </c>
      <c r="M142" s="1353">
        <v>0</v>
      </c>
      <c r="N142" s="1353">
        <v>180</v>
      </c>
      <c r="O142" s="1353">
        <v>128</v>
      </c>
      <c r="P142" s="1353">
        <v>85</v>
      </c>
      <c r="Q142" s="1353">
        <v>0</v>
      </c>
      <c r="R142" s="1353">
        <v>0</v>
      </c>
      <c r="S142" s="1353">
        <v>52</v>
      </c>
      <c r="T142" s="1353">
        <v>0</v>
      </c>
      <c r="U142" s="1353">
        <v>60</v>
      </c>
      <c r="V142" s="1353">
        <v>0</v>
      </c>
      <c r="W142" s="1353">
        <v>0</v>
      </c>
      <c r="X142" s="1353">
        <v>0</v>
      </c>
      <c r="Y142" s="1353">
        <v>0</v>
      </c>
      <c r="Z142" s="64">
        <v>0</v>
      </c>
      <c r="AA142" s="64">
        <v>0</v>
      </c>
      <c r="AB142" s="1366">
        <v>0</v>
      </c>
      <c r="AC142" s="1366">
        <v>0</v>
      </c>
      <c r="AD142" s="1366">
        <v>0</v>
      </c>
      <c r="AE142" s="1366">
        <v>0</v>
      </c>
      <c r="AF142" s="1366">
        <v>85</v>
      </c>
      <c r="AG142" s="1366">
        <v>116</v>
      </c>
      <c r="AH142" s="1366">
        <v>125</v>
      </c>
      <c r="AI142" s="1366">
        <v>99</v>
      </c>
      <c r="AJ142" s="1366">
        <v>98</v>
      </c>
      <c r="AK142" s="1355">
        <f t="shared" si="29"/>
        <v>1630</v>
      </c>
      <c r="AL142" s="1355">
        <f t="shared" si="30"/>
        <v>710.17513209965682</v>
      </c>
      <c r="AM142" s="1831">
        <f t="shared" si="26"/>
        <v>1630</v>
      </c>
      <c r="AN142" s="1831">
        <f t="shared" si="27"/>
        <v>66.137907691931147</v>
      </c>
      <c r="AO142" s="1831">
        <f t="shared" si="28"/>
        <v>776.31303979158793</v>
      </c>
      <c r="AP142" s="60" t="s">
        <v>1957</v>
      </c>
      <c r="AQ142" s="1355">
        <f t="shared" si="31"/>
        <v>652</v>
      </c>
      <c r="AR142" s="1378">
        <f t="shared" si="32"/>
        <v>58.175132099656821</v>
      </c>
      <c r="AS142" s="266"/>
    </row>
    <row r="143" spans="1:45" s="51" customFormat="1" ht="19.149999999999999" customHeight="1" outlineLevel="1">
      <c r="A143" s="1353">
        <v>149</v>
      </c>
      <c r="B143" s="1353">
        <v>45</v>
      </c>
      <c r="C143" s="1353" t="s">
        <v>3216</v>
      </c>
      <c r="D143" s="1361" t="str">
        <f>TONGHOPCONGDOI!C149</f>
        <v xml:space="preserve">N. Khăm </v>
      </c>
      <c r="E143" s="1355"/>
      <c r="F143" s="1353">
        <v>119</v>
      </c>
      <c r="G143" s="1353">
        <v>283</v>
      </c>
      <c r="H143" s="1353">
        <v>0</v>
      </c>
      <c r="I143" s="1353">
        <v>0</v>
      </c>
      <c r="J143" s="1353">
        <v>0</v>
      </c>
      <c r="K143" s="1353">
        <v>69</v>
      </c>
      <c r="L143" s="1353">
        <v>192</v>
      </c>
      <c r="M143" s="1353">
        <v>0</v>
      </c>
      <c r="N143" s="1353">
        <v>197</v>
      </c>
      <c r="O143" s="1353">
        <v>0</v>
      </c>
      <c r="P143" s="1353">
        <v>73</v>
      </c>
      <c r="Q143" s="1353">
        <v>108</v>
      </c>
      <c r="R143" s="1353">
        <v>91</v>
      </c>
      <c r="S143" s="1353">
        <v>41</v>
      </c>
      <c r="T143" s="1353">
        <v>88</v>
      </c>
      <c r="U143" s="1353">
        <v>212</v>
      </c>
      <c r="V143" s="1353">
        <v>113</v>
      </c>
      <c r="W143" s="1353">
        <v>143</v>
      </c>
      <c r="X143" s="1353">
        <v>117</v>
      </c>
      <c r="Y143" s="1353">
        <v>99</v>
      </c>
      <c r="Z143" s="64">
        <v>109</v>
      </c>
      <c r="AA143" s="64">
        <v>134</v>
      </c>
      <c r="AB143" s="1366">
        <v>199</v>
      </c>
      <c r="AC143" s="1366">
        <v>0</v>
      </c>
      <c r="AD143" s="1366">
        <v>113</v>
      </c>
      <c r="AE143" s="1366">
        <v>120</v>
      </c>
      <c r="AF143" s="1366">
        <v>77</v>
      </c>
      <c r="AG143" s="1366">
        <v>159</v>
      </c>
      <c r="AH143" s="1366">
        <v>114</v>
      </c>
      <c r="AI143" s="1366">
        <v>195</v>
      </c>
      <c r="AJ143" s="1366">
        <v>97</v>
      </c>
      <c r="AK143" s="1355">
        <f t="shared" si="29"/>
        <v>3262</v>
      </c>
      <c r="AL143" s="1355">
        <f t="shared" si="30"/>
        <v>1421.2216447294973</v>
      </c>
      <c r="AM143" s="1831">
        <f t="shared" si="26"/>
        <v>3262</v>
      </c>
      <c r="AN143" s="1831">
        <f t="shared" si="27"/>
        <v>132.35696619084626</v>
      </c>
      <c r="AO143" s="1831">
        <f t="shared" si="28"/>
        <v>1553.5786109203436</v>
      </c>
      <c r="AP143" s="60" t="s">
        <v>1959</v>
      </c>
      <c r="AQ143" s="1355">
        <f t="shared" si="31"/>
        <v>1304.8000000000002</v>
      </c>
      <c r="AR143" s="1378">
        <f t="shared" si="32"/>
        <v>116.42164472949707</v>
      </c>
      <c r="AS143" s="266"/>
    </row>
    <row r="144" spans="1:45" s="51" customFormat="1" ht="19.149999999999999" customHeight="1" outlineLevel="1">
      <c r="A144" s="1353">
        <v>150</v>
      </c>
      <c r="B144" s="1353">
        <v>46</v>
      </c>
      <c r="C144" s="1353" t="s">
        <v>3217</v>
      </c>
      <c r="D144" s="1361" t="str">
        <f>TONGHOPCONGDOI!C150</f>
        <v>Thảo Mon</v>
      </c>
      <c r="E144" s="1355"/>
      <c r="F144" s="1353">
        <v>152</v>
      </c>
      <c r="G144" s="1353">
        <v>168</v>
      </c>
      <c r="H144" s="1353">
        <v>0</v>
      </c>
      <c r="I144" s="1353">
        <v>0</v>
      </c>
      <c r="J144" s="1353">
        <v>105</v>
      </c>
      <c r="K144" s="1353">
        <v>56</v>
      </c>
      <c r="L144" s="1353">
        <v>60</v>
      </c>
      <c r="M144" s="1353">
        <v>169</v>
      </c>
      <c r="N144" s="1353">
        <v>80</v>
      </c>
      <c r="O144" s="1353">
        <v>129</v>
      </c>
      <c r="P144" s="1353">
        <v>148</v>
      </c>
      <c r="Q144" s="1353">
        <v>86</v>
      </c>
      <c r="R144" s="1353">
        <v>122</v>
      </c>
      <c r="S144" s="1353">
        <v>55</v>
      </c>
      <c r="T144" s="1353">
        <v>129</v>
      </c>
      <c r="U144" s="1353">
        <v>0</v>
      </c>
      <c r="V144" s="1353">
        <v>119</v>
      </c>
      <c r="W144" s="1353">
        <v>0</v>
      </c>
      <c r="X144" s="1353">
        <v>143</v>
      </c>
      <c r="Y144" s="1353">
        <v>92</v>
      </c>
      <c r="Z144" s="64">
        <v>106</v>
      </c>
      <c r="AA144" s="64">
        <v>137</v>
      </c>
      <c r="AB144" s="1366">
        <v>145</v>
      </c>
      <c r="AC144" s="1366">
        <v>72</v>
      </c>
      <c r="AD144" s="1366">
        <v>109</v>
      </c>
      <c r="AE144" s="1366">
        <v>74</v>
      </c>
      <c r="AF144" s="1366">
        <v>74</v>
      </c>
      <c r="AG144" s="1366">
        <v>0</v>
      </c>
      <c r="AH144" s="1366">
        <v>0</v>
      </c>
      <c r="AI144" s="1366">
        <v>130</v>
      </c>
      <c r="AJ144" s="1366">
        <v>103</v>
      </c>
      <c r="AK144" s="1355">
        <f t="shared" ref="AK144:AK162" si="33">SUM(F144:AJ144)</f>
        <v>2763</v>
      </c>
      <c r="AL144" s="1355">
        <f t="shared" si="30"/>
        <v>1203.8122024486822</v>
      </c>
      <c r="AM144" s="1831">
        <f t="shared" si="26"/>
        <v>2763</v>
      </c>
      <c r="AN144" s="1831">
        <f t="shared" si="27"/>
        <v>112.10983984834709</v>
      </c>
      <c r="AO144" s="1831">
        <f t="shared" si="28"/>
        <v>1315.9220422970293</v>
      </c>
      <c r="AP144" s="60" t="s">
        <v>1957</v>
      </c>
      <c r="AQ144" s="1355">
        <f t="shared" si="31"/>
        <v>1105.2</v>
      </c>
      <c r="AR144" s="1378">
        <f t="shared" si="32"/>
        <v>98.612202448682183</v>
      </c>
      <c r="AS144" s="266"/>
    </row>
    <row r="145" spans="1:45" s="51" customFormat="1" ht="19.149999999999999" customHeight="1" outlineLevel="1">
      <c r="A145" s="1353">
        <v>151</v>
      </c>
      <c r="B145" s="1353">
        <v>47</v>
      </c>
      <c r="C145" s="1353" t="s">
        <v>3218</v>
      </c>
      <c r="D145" s="1361" t="str">
        <f>TONGHOPCONGDOI!C151</f>
        <v>Thảo Túy</v>
      </c>
      <c r="E145" s="1355"/>
      <c r="F145" s="1353">
        <v>151</v>
      </c>
      <c r="G145" s="1353">
        <v>91</v>
      </c>
      <c r="H145" s="1353">
        <v>100</v>
      </c>
      <c r="I145" s="1353">
        <v>90</v>
      </c>
      <c r="J145" s="1353">
        <v>48</v>
      </c>
      <c r="K145" s="1353">
        <v>69</v>
      </c>
      <c r="L145" s="1353">
        <v>96</v>
      </c>
      <c r="M145" s="1353">
        <v>92</v>
      </c>
      <c r="N145" s="1353">
        <v>66</v>
      </c>
      <c r="O145" s="1353">
        <v>83</v>
      </c>
      <c r="P145" s="1353">
        <v>105</v>
      </c>
      <c r="Q145" s="1353">
        <v>59</v>
      </c>
      <c r="R145" s="1353">
        <v>148</v>
      </c>
      <c r="S145" s="1353">
        <v>127</v>
      </c>
      <c r="T145" s="1353">
        <v>83</v>
      </c>
      <c r="U145" s="1353">
        <v>149</v>
      </c>
      <c r="V145" s="1353">
        <v>138</v>
      </c>
      <c r="W145" s="1353">
        <v>88</v>
      </c>
      <c r="X145" s="1353">
        <v>52</v>
      </c>
      <c r="Y145" s="1353">
        <v>84</v>
      </c>
      <c r="Z145" s="64">
        <v>142</v>
      </c>
      <c r="AA145" s="64">
        <v>89</v>
      </c>
      <c r="AB145" s="1366">
        <v>136</v>
      </c>
      <c r="AC145" s="1366">
        <v>132</v>
      </c>
      <c r="AD145" s="1366">
        <v>0</v>
      </c>
      <c r="AE145" s="1366">
        <v>0</v>
      </c>
      <c r="AF145" s="1366">
        <v>0</v>
      </c>
      <c r="AG145" s="1366">
        <v>0</v>
      </c>
      <c r="AH145" s="1366">
        <v>185</v>
      </c>
      <c r="AI145" s="1366">
        <v>193</v>
      </c>
      <c r="AJ145" s="1366">
        <v>96</v>
      </c>
      <c r="AK145" s="1355">
        <f t="shared" si="33"/>
        <v>2892</v>
      </c>
      <c r="AL145" s="1355">
        <f t="shared" si="30"/>
        <v>1260.0162466455261</v>
      </c>
      <c r="AM145" s="1831">
        <f t="shared" si="26"/>
        <v>2892</v>
      </c>
      <c r="AN145" s="1831">
        <f t="shared" si="27"/>
        <v>117.34406689881281</v>
      </c>
      <c r="AO145" s="1831">
        <f t="shared" si="28"/>
        <v>1377.3603135443389</v>
      </c>
      <c r="AP145" s="60" t="s">
        <v>1957</v>
      </c>
      <c r="AQ145" s="1355">
        <f t="shared" si="31"/>
        <v>1156.8</v>
      </c>
      <c r="AR145" s="1378">
        <f t="shared" si="32"/>
        <v>103.2162466455261</v>
      </c>
      <c r="AS145" s="266"/>
    </row>
    <row r="146" spans="1:45" s="51" customFormat="1" ht="19.149999999999999" customHeight="1" outlineLevel="1">
      <c r="A146" s="1353">
        <v>152</v>
      </c>
      <c r="B146" s="1353">
        <v>48</v>
      </c>
      <c r="C146" s="1353" t="s">
        <v>3219</v>
      </c>
      <c r="D146" s="1361" t="str">
        <f>TONGHOPCONGDOI!C152</f>
        <v>T. Choi</v>
      </c>
      <c r="E146" s="1355"/>
      <c r="F146" s="1353">
        <v>0</v>
      </c>
      <c r="G146" s="1353">
        <v>174</v>
      </c>
      <c r="H146" s="1353">
        <v>31</v>
      </c>
      <c r="I146" s="1353">
        <v>173</v>
      </c>
      <c r="J146" s="1353">
        <v>77</v>
      </c>
      <c r="K146" s="1353">
        <v>97</v>
      </c>
      <c r="L146" s="1353">
        <v>0</v>
      </c>
      <c r="M146" s="1353">
        <v>114</v>
      </c>
      <c r="N146" s="1353">
        <v>125</v>
      </c>
      <c r="O146" s="1353">
        <v>134</v>
      </c>
      <c r="P146" s="1353">
        <v>0</v>
      </c>
      <c r="Q146" s="1353">
        <v>69</v>
      </c>
      <c r="R146" s="1353">
        <v>109</v>
      </c>
      <c r="S146" s="1353">
        <v>0</v>
      </c>
      <c r="T146" s="1353">
        <v>166</v>
      </c>
      <c r="U146" s="1353">
        <v>151</v>
      </c>
      <c r="V146" s="1353">
        <v>95</v>
      </c>
      <c r="W146" s="1353">
        <v>102</v>
      </c>
      <c r="X146" s="1353">
        <v>63</v>
      </c>
      <c r="Y146" s="1353">
        <v>99</v>
      </c>
      <c r="Z146" s="64">
        <v>0</v>
      </c>
      <c r="AA146" s="64">
        <v>0</v>
      </c>
      <c r="AB146" s="1366">
        <v>0</v>
      </c>
      <c r="AC146" s="1366">
        <v>104</v>
      </c>
      <c r="AD146" s="1366">
        <v>106</v>
      </c>
      <c r="AE146" s="1366">
        <v>91</v>
      </c>
      <c r="AF146" s="1366">
        <v>63</v>
      </c>
      <c r="AG146" s="1366">
        <v>74</v>
      </c>
      <c r="AH146" s="1366">
        <v>114</v>
      </c>
      <c r="AI146" s="1366">
        <v>143</v>
      </c>
      <c r="AJ146" s="1366">
        <v>67</v>
      </c>
      <c r="AK146" s="1355">
        <f t="shared" si="33"/>
        <v>2541</v>
      </c>
      <c r="AL146" s="1355">
        <f t="shared" si="30"/>
        <v>1107.0889635982994</v>
      </c>
      <c r="AM146" s="1831">
        <f t="shared" si="26"/>
        <v>2541</v>
      </c>
      <c r="AN146" s="1831">
        <f t="shared" si="27"/>
        <v>103.10210027312702</v>
      </c>
      <c r="AO146" s="1831">
        <f t="shared" si="28"/>
        <v>1210.1910638714264</v>
      </c>
      <c r="AP146" s="60" t="s">
        <v>1959</v>
      </c>
      <c r="AQ146" s="1355">
        <f t="shared" si="31"/>
        <v>1016.4000000000001</v>
      </c>
      <c r="AR146" s="1378">
        <f t="shared" si="32"/>
        <v>90.688963598299324</v>
      </c>
      <c r="AS146" s="266"/>
    </row>
    <row r="147" spans="1:45" s="51" customFormat="1" ht="19.149999999999999" customHeight="1" outlineLevel="1">
      <c r="A147" s="1353">
        <v>153</v>
      </c>
      <c r="B147" s="1353">
        <v>49</v>
      </c>
      <c r="C147" s="1353" t="s">
        <v>3220</v>
      </c>
      <c r="D147" s="1361" t="str">
        <f>TONGHOPCONGDOI!C153</f>
        <v>N. Phút</v>
      </c>
      <c r="E147" s="1355"/>
      <c r="F147" s="1353">
        <v>0</v>
      </c>
      <c r="G147" s="1353">
        <v>175</v>
      </c>
      <c r="H147" s="1353">
        <v>32</v>
      </c>
      <c r="I147" s="1353">
        <v>174</v>
      </c>
      <c r="J147" s="1353">
        <v>77</v>
      </c>
      <c r="K147" s="1353">
        <v>97</v>
      </c>
      <c r="L147" s="1353">
        <v>0</v>
      </c>
      <c r="M147" s="1353">
        <v>114</v>
      </c>
      <c r="N147" s="1353">
        <v>126</v>
      </c>
      <c r="O147" s="1353">
        <v>135</v>
      </c>
      <c r="P147" s="1353">
        <v>0</v>
      </c>
      <c r="Q147" s="1353">
        <v>69</v>
      </c>
      <c r="R147" s="1353">
        <v>109</v>
      </c>
      <c r="S147" s="1353">
        <v>0</v>
      </c>
      <c r="T147" s="1353">
        <v>166</v>
      </c>
      <c r="U147" s="1353">
        <v>152</v>
      </c>
      <c r="V147" s="1353">
        <v>95</v>
      </c>
      <c r="W147" s="1353">
        <v>102</v>
      </c>
      <c r="X147" s="1353">
        <v>64</v>
      </c>
      <c r="Y147" s="1353">
        <v>99</v>
      </c>
      <c r="Z147" s="64">
        <v>0</v>
      </c>
      <c r="AA147" s="64">
        <v>0</v>
      </c>
      <c r="AB147" s="1366">
        <v>0</v>
      </c>
      <c r="AC147" s="1366">
        <v>105</v>
      </c>
      <c r="AD147" s="1366">
        <v>106</v>
      </c>
      <c r="AE147" s="1366">
        <v>92</v>
      </c>
      <c r="AF147" s="1366">
        <v>63</v>
      </c>
      <c r="AG147" s="1366">
        <v>75</v>
      </c>
      <c r="AH147" s="1366">
        <v>115</v>
      </c>
      <c r="AI147" s="1366">
        <v>143</v>
      </c>
      <c r="AJ147" s="1366">
        <v>68</v>
      </c>
      <c r="AK147" s="1355">
        <f t="shared" si="33"/>
        <v>2553</v>
      </c>
      <c r="AL147" s="1355">
        <f t="shared" si="30"/>
        <v>1112.3172467794011</v>
      </c>
      <c r="AM147" s="1831">
        <f t="shared" si="26"/>
        <v>2553</v>
      </c>
      <c r="AN147" s="1831">
        <f t="shared" si="27"/>
        <v>103.5890051150308</v>
      </c>
      <c r="AO147" s="1831">
        <f t="shared" si="28"/>
        <v>1215.906251894432</v>
      </c>
      <c r="AP147" s="60" t="s">
        <v>1959</v>
      </c>
      <c r="AQ147" s="1355">
        <f t="shared" si="31"/>
        <v>1021.2</v>
      </c>
      <c r="AR147" s="1378">
        <f t="shared" si="32"/>
        <v>91.117246779401057</v>
      </c>
      <c r="AS147" s="266"/>
    </row>
    <row r="148" spans="1:45" s="51" customFormat="1" ht="19.149999999999999" customHeight="1" outlineLevel="1">
      <c r="A148" s="1353">
        <v>154</v>
      </c>
      <c r="B148" s="1353">
        <v>50</v>
      </c>
      <c r="C148" s="1353" t="s">
        <v>3221</v>
      </c>
      <c r="D148" s="1361" t="str">
        <f>TONGHOPCONGDOI!C154</f>
        <v>Nàng A Nẹp</v>
      </c>
      <c r="E148" s="1355"/>
      <c r="F148" s="1353">
        <v>63</v>
      </c>
      <c r="G148" s="1353">
        <v>125</v>
      </c>
      <c r="H148" s="1353">
        <v>97</v>
      </c>
      <c r="I148" s="1353">
        <v>96</v>
      </c>
      <c r="J148" s="1353">
        <v>0</v>
      </c>
      <c r="K148" s="1353">
        <v>0</v>
      </c>
      <c r="L148" s="1353">
        <v>105</v>
      </c>
      <c r="M148" s="1353">
        <v>120</v>
      </c>
      <c r="N148" s="1353">
        <v>167</v>
      </c>
      <c r="O148" s="1353">
        <v>141</v>
      </c>
      <c r="P148" s="1353">
        <v>136</v>
      </c>
      <c r="Q148" s="1353">
        <v>91</v>
      </c>
      <c r="R148" s="1353">
        <v>94</v>
      </c>
      <c r="S148" s="1353">
        <v>96</v>
      </c>
      <c r="T148" s="1353">
        <v>113</v>
      </c>
      <c r="U148" s="1353">
        <v>87</v>
      </c>
      <c r="V148" s="1353">
        <v>91</v>
      </c>
      <c r="W148" s="1353">
        <v>92</v>
      </c>
      <c r="X148" s="1353">
        <v>119</v>
      </c>
      <c r="Y148" s="1353">
        <v>109</v>
      </c>
      <c r="Z148" s="64">
        <v>108</v>
      </c>
      <c r="AA148" s="64">
        <v>98</v>
      </c>
      <c r="AB148" s="1366">
        <v>120</v>
      </c>
      <c r="AC148" s="1366">
        <v>102</v>
      </c>
      <c r="AD148" s="1366">
        <v>94</v>
      </c>
      <c r="AE148" s="1366">
        <v>94</v>
      </c>
      <c r="AF148" s="1366">
        <v>109</v>
      </c>
      <c r="AG148" s="1366">
        <v>88</v>
      </c>
      <c r="AH148" s="1366">
        <v>90</v>
      </c>
      <c r="AI148" s="1366">
        <v>90</v>
      </c>
      <c r="AJ148" s="1366">
        <v>126</v>
      </c>
      <c r="AK148" s="1355">
        <f t="shared" si="33"/>
        <v>3061</v>
      </c>
      <c r="AL148" s="1355">
        <f t="shared" si="30"/>
        <v>1333.6479014460426</v>
      </c>
      <c r="AM148" s="1831">
        <f t="shared" si="26"/>
        <v>3061</v>
      </c>
      <c r="AN148" s="1831">
        <f t="shared" si="27"/>
        <v>124.20131008895781</v>
      </c>
      <c r="AO148" s="1831">
        <f t="shared" si="28"/>
        <v>1457.8492115350004</v>
      </c>
      <c r="AP148" s="60" t="s">
        <v>1957</v>
      </c>
      <c r="AQ148" s="1355">
        <f t="shared" si="31"/>
        <v>1224.4000000000001</v>
      </c>
      <c r="AR148" s="1378">
        <f t="shared" si="32"/>
        <v>109.24790144604253</v>
      </c>
      <c r="AS148" s="266"/>
    </row>
    <row r="149" spans="1:45" s="51" customFormat="1" ht="19.149999999999999" customHeight="1" outlineLevel="1">
      <c r="A149" s="1353">
        <v>155</v>
      </c>
      <c r="B149" s="1353">
        <v>51</v>
      </c>
      <c r="C149" s="1353" t="s">
        <v>3222</v>
      </c>
      <c r="D149" s="1361" t="str">
        <f>TONGHOPCONGDOI!C155</f>
        <v>Thảo Nọi</v>
      </c>
      <c r="E149" s="1355"/>
      <c r="F149" s="1353">
        <v>89</v>
      </c>
      <c r="G149" s="1353">
        <v>162</v>
      </c>
      <c r="H149" s="1353">
        <v>87</v>
      </c>
      <c r="I149" s="1353">
        <v>103</v>
      </c>
      <c r="J149" s="1353">
        <v>44</v>
      </c>
      <c r="K149" s="1353">
        <v>122</v>
      </c>
      <c r="L149" s="1353">
        <v>120</v>
      </c>
      <c r="M149" s="1353">
        <v>123</v>
      </c>
      <c r="N149" s="1353">
        <v>122</v>
      </c>
      <c r="O149" s="1353">
        <v>96</v>
      </c>
      <c r="P149" s="1353">
        <v>95</v>
      </c>
      <c r="Q149" s="1353">
        <v>86</v>
      </c>
      <c r="R149" s="1353">
        <v>0</v>
      </c>
      <c r="S149" s="1353">
        <v>123</v>
      </c>
      <c r="T149" s="1353">
        <v>124</v>
      </c>
      <c r="U149" s="1353">
        <v>179</v>
      </c>
      <c r="V149" s="1353">
        <v>110</v>
      </c>
      <c r="W149" s="1353">
        <v>106</v>
      </c>
      <c r="X149" s="1353">
        <v>0</v>
      </c>
      <c r="Y149" s="1353">
        <v>112</v>
      </c>
      <c r="Z149" s="64">
        <v>114</v>
      </c>
      <c r="AA149" s="64">
        <v>114</v>
      </c>
      <c r="AB149" s="1366">
        <v>0</v>
      </c>
      <c r="AC149" s="1366">
        <v>0</v>
      </c>
      <c r="AD149" s="1366">
        <v>0</v>
      </c>
      <c r="AE149" s="1366">
        <v>66</v>
      </c>
      <c r="AF149" s="1366">
        <v>112</v>
      </c>
      <c r="AG149" s="1366">
        <v>0</v>
      </c>
      <c r="AH149" s="1366">
        <v>80</v>
      </c>
      <c r="AI149" s="1366">
        <v>103</v>
      </c>
      <c r="AJ149" s="1366">
        <v>80</v>
      </c>
      <c r="AK149" s="1355">
        <f t="shared" si="33"/>
        <v>2672</v>
      </c>
      <c r="AL149" s="1355">
        <f t="shared" si="30"/>
        <v>1164.1643883253271</v>
      </c>
      <c r="AM149" s="1831">
        <f t="shared" si="26"/>
        <v>2672</v>
      </c>
      <c r="AN149" s="1831">
        <f t="shared" si="27"/>
        <v>108.4174781305767</v>
      </c>
      <c r="AO149" s="1831">
        <f t="shared" si="28"/>
        <v>1272.5818664559038</v>
      </c>
      <c r="AP149" s="60" t="s">
        <v>1957</v>
      </c>
      <c r="AQ149" s="1355">
        <f t="shared" si="31"/>
        <v>1068.8</v>
      </c>
      <c r="AR149" s="1378">
        <f t="shared" si="32"/>
        <v>95.364388325327127</v>
      </c>
      <c r="AS149" s="266"/>
    </row>
    <row r="150" spans="1:45" s="51" customFormat="1" ht="19.149999999999999" customHeight="1" outlineLevel="1">
      <c r="A150" s="1353">
        <v>156</v>
      </c>
      <c r="B150" s="1353">
        <v>52</v>
      </c>
      <c r="C150" s="1353"/>
      <c r="D150" s="1361" t="str">
        <f>TONGHOPCONGDOI!C156</f>
        <v>Thảo Bun</v>
      </c>
      <c r="E150" s="1355"/>
      <c r="F150" s="1353">
        <v>0</v>
      </c>
      <c r="G150" s="1353">
        <v>232</v>
      </c>
      <c r="H150" s="1353">
        <v>0</v>
      </c>
      <c r="I150" s="1353">
        <v>0</v>
      </c>
      <c r="J150" s="1353">
        <v>0</v>
      </c>
      <c r="K150" s="1353">
        <v>0</v>
      </c>
      <c r="L150" s="1353">
        <v>0</v>
      </c>
      <c r="M150" s="1353">
        <v>301</v>
      </c>
      <c r="N150" s="1353">
        <v>282</v>
      </c>
      <c r="O150" s="1353">
        <v>0</v>
      </c>
      <c r="P150" s="1353">
        <v>0</v>
      </c>
      <c r="Q150" s="1353">
        <v>0</v>
      </c>
      <c r="R150" s="1353">
        <v>0</v>
      </c>
      <c r="S150" s="1353">
        <v>0</v>
      </c>
      <c r="T150" s="1353">
        <v>0</v>
      </c>
      <c r="U150" s="1353">
        <v>0</v>
      </c>
      <c r="V150" s="1353">
        <v>0</v>
      </c>
      <c r="W150" s="1353">
        <v>0</v>
      </c>
      <c r="X150" s="1353">
        <v>0</v>
      </c>
      <c r="Y150" s="1353">
        <v>0</v>
      </c>
      <c r="Z150" s="64">
        <v>0</v>
      </c>
      <c r="AA150" s="64">
        <v>0</v>
      </c>
      <c r="AB150" s="1366">
        <v>0</v>
      </c>
      <c r="AC150" s="1366">
        <v>0</v>
      </c>
      <c r="AD150" s="1366">
        <v>0</v>
      </c>
      <c r="AE150" s="1366">
        <v>0</v>
      </c>
      <c r="AF150" s="1366">
        <v>0</v>
      </c>
      <c r="AG150" s="1366">
        <v>0</v>
      </c>
      <c r="AH150" s="1366">
        <v>0</v>
      </c>
      <c r="AI150" s="1366">
        <v>0</v>
      </c>
      <c r="AJ150" s="1366">
        <v>0</v>
      </c>
      <c r="AK150" s="1355">
        <f t="shared" si="33"/>
        <v>815</v>
      </c>
      <c r="AL150" s="1355">
        <f t="shared" si="30"/>
        <v>355.08756604982841</v>
      </c>
      <c r="AM150" s="1831">
        <f t="shared" si="26"/>
        <v>815</v>
      </c>
      <c r="AN150" s="1831">
        <f t="shared" si="27"/>
        <v>33.068953845965574</v>
      </c>
      <c r="AO150" s="1831">
        <f t="shared" si="28"/>
        <v>388.15651989579396</v>
      </c>
      <c r="AP150" s="60" t="s">
        <v>1959</v>
      </c>
      <c r="AQ150" s="1355">
        <f t="shared" si="31"/>
        <v>326</v>
      </c>
      <c r="AR150" s="1378">
        <f t="shared" si="32"/>
        <v>29.087566049828411</v>
      </c>
      <c r="AS150" s="266"/>
    </row>
    <row r="151" spans="1:45" s="51" customFormat="1" ht="19.149999999999999" customHeight="1" outlineLevel="1">
      <c r="A151" s="1353">
        <v>157</v>
      </c>
      <c r="B151" s="1353">
        <v>53</v>
      </c>
      <c r="C151" s="1353" t="s">
        <v>3223</v>
      </c>
      <c r="D151" s="1361" t="str">
        <f>TONGHOPCONGDOI!C157</f>
        <v>Nàng Pằng</v>
      </c>
      <c r="E151" s="1355"/>
      <c r="F151" s="1353">
        <v>0</v>
      </c>
      <c r="G151" s="1353">
        <v>91</v>
      </c>
      <c r="H151" s="1353">
        <v>66</v>
      </c>
      <c r="I151" s="1353">
        <v>80</v>
      </c>
      <c r="J151" s="1353">
        <v>50</v>
      </c>
      <c r="K151" s="1353">
        <v>69</v>
      </c>
      <c r="L151" s="1353">
        <v>98</v>
      </c>
      <c r="M151" s="1353">
        <v>93</v>
      </c>
      <c r="N151" s="1353">
        <v>66</v>
      </c>
      <c r="O151" s="1353">
        <v>83</v>
      </c>
      <c r="P151" s="1353">
        <v>105</v>
      </c>
      <c r="Q151" s="1353">
        <v>57</v>
      </c>
      <c r="R151" s="1353">
        <v>150</v>
      </c>
      <c r="S151" s="1353">
        <v>127</v>
      </c>
      <c r="T151" s="1353">
        <v>84</v>
      </c>
      <c r="U151" s="1353">
        <v>149</v>
      </c>
      <c r="V151" s="1353">
        <v>138</v>
      </c>
      <c r="W151" s="1353">
        <v>88</v>
      </c>
      <c r="X151" s="1353">
        <v>52</v>
      </c>
      <c r="Y151" s="1353">
        <v>83</v>
      </c>
      <c r="Z151" s="64">
        <v>142</v>
      </c>
      <c r="AA151" s="64">
        <v>89</v>
      </c>
      <c r="AB151" s="1366">
        <v>136</v>
      </c>
      <c r="AC151" s="1366">
        <v>133</v>
      </c>
      <c r="AD151" s="1366">
        <v>0</v>
      </c>
      <c r="AE151" s="1366">
        <v>0</v>
      </c>
      <c r="AF151" s="1366">
        <v>0</v>
      </c>
      <c r="AG151" s="1366">
        <v>0</v>
      </c>
      <c r="AH151" s="1366">
        <v>186</v>
      </c>
      <c r="AI151" s="1366">
        <v>256</v>
      </c>
      <c r="AJ151" s="1366">
        <v>96</v>
      </c>
      <c r="AK151" s="1355">
        <f t="shared" si="33"/>
        <v>2767</v>
      </c>
      <c r="AL151" s="1355">
        <f t="shared" si="30"/>
        <v>1205.5549635090495</v>
      </c>
      <c r="AM151" s="1831">
        <f t="shared" si="26"/>
        <v>2767</v>
      </c>
      <c r="AN151" s="1831">
        <f t="shared" si="27"/>
        <v>112.27214146231502</v>
      </c>
      <c r="AO151" s="1831">
        <f t="shared" si="28"/>
        <v>1317.8271049713644</v>
      </c>
      <c r="AP151" s="60" t="s">
        <v>1957</v>
      </c>
      <c r="AQ151" s="1355">
        <f t="shared" si="31"/>
        <v>1106.8</v>
      </c>
      <c r="AR151" s="1378">
        <f t="shared" si="32"/>
        <v>98.754963509049503</v>
      </c>
      <c r="AS151" s="266"/>
    </row>
    <row r="152" spans="1:45" s="51" customFormat="1" ht="19.149999999999999" customHeight="1" outlineLevel="1">
      <c r="A152" s="1353">
        <v>158</v>
      </c>
      <c r="B152" s="1353">
        <v>54</v>
      </c>
      <c r="C152" s="1353"/>
      <c r="D152" s="1361" t="str">
        <f>TONGHOPCONGDOI!C158</f>
        <v>Thảo Ỉa</v>
      </c>
      <c r="E152" s="1355"/>
      <c r="F152" s="1353">
        <v>100</v>
      </c>
      <c r="G152" s="1353">
        <v>41</v>
      </c>
      <c r="H152" s="1353">
        <v>31</v>
      </c>
      <c r="I152" s="1353">
        <v>0</v>
      </c>
      <c r="J152" s="1353">
        <v>0</v>
      </c>
      <c r="K152" s="1353">
        <v>32</v>
      </c>
      <c r="L152" s="1353">
        <v>69</v>
      </c>
      <c r="M152" s="1353">
        <v>71</v>
      </c>
      <c r="N152" s="1353">
        <v>0</v>
      </c>
      <c r="O152" s="1353">
        <v>0</v>
      </c>
      <c r="P152" s="1353">
        <v>0</v>
      </c>
      <c r="Q152" s="1353">
        <v>0</v>
      </c>
      <c r="R152" s="1353">
        <v>0</v>
      </c>
      <c r="S152" s="1353">
        <v>0</v>
      </c>
      <c r="T152" s="1353">
        <v>0</v>
      </c>
      <c r="U152" s="1353">
        <v>0</v>
      </c>
      <c r="V152" s="1353">
        <v>0</v>
      </c>
      <c r="W152" s="1353">
        <v>0</v>
      </c>
      <c r="X152" s="1353">
        <v>0</v>
      </c>
      <c r="Y152" s="1353">
        <v>0</v>
      </c>
      <c r="Z152" s="64">
        <v>0</v>
      </c>
      <c r="AA152" s="64">
        <v>0</v>
      </c>
      <c r="AB152" s="1366">
        <v>0</v>
      </c>
      <c r="AC152" s="1366">
        <v>0</v>
      </c>
      <c r="AD152" s="1366">
        <v>0</v>
      </c>
      <c r="AE152" s="1366">
        <v>0</v>
      </c>
      <c r="AF152" s="1366">
        <v>0</v>
      </c>
      <c r="AG152" s="1366">
        <v>0</v>
      </c>
      <c r="AH152" s="1366">
        <v>0</v>
      </c>
      <c r="AI152" s="1366">
        <v>0</v>
      </c>
      <c r="AJ152" s="1366">
        <v>0</v>
      </c>
      <c r="AK152" s="1355">
        <f t="shared" si="33"/>
        <v>344</v>
      </c>
      <c r="AL152" s="1355">
        <f t="shared" si="30"/>
        <v>149.87745119158402</v>
      </c>
      <c r="AM152" s="1831">
        <f t="shared" si="26"/>
        <v>344</v>
      </c>
      <c r="AN152" s="1831">
        <f t="shared" si="27"/>
        <v>13.957938801241911</v>
      </c>
      <c r="AO152" s="1831">
        <f t="shared" si="28"/>
        <v>163.83538999282592</v>
      </c>
      <c r="AP152" s="60" t="s">
        <v>3056</v>
      </c>
      <c r="AQ152" s="1355">
        <f t="shared" si="31"/>
        <v>137.6</v>
      </c>
      <c r="AR152" s="1378">
        <f t="shared" si="32"/>
        <v>12.277451191584021</v>
      </c>
      <c r="AS152" s="266"/>
    </row>
    <row r="153" spans="1:45" s="51" customFormat="1" ht="19.149999999999999" customHeight="1" outlineLevel="1">
      <c r="A153" s="1353">
        <v>159</v>
      </c>
      <c r="B153" s="1353">
        <v>55</v>
      </c>
      <c r="C153" s="1353"/>
      <c r="D153" s="1361" t="str">
        <f>TONGHOPCONGDOI!C159</f>
        <v>Thảo Khăm</v>
      </c>
      <c r="E153" s="1355"/>
      <c r="F153" s="1353">
        <v>0</v>
      </c>
      <c r="G153" s="1353">
        <v>41</v>
      </c>
      <c r="H153" s="1353">
        <v>31</v>
      </c>
      <c r="I153" s="1353">
        <v>0</v>
      </c>
      <c r="J153" s="1353">
        <v>0</v>
      </c>
      <c r="K153" s="1353">
        <v>0</v>
      </c>
      <c r="L153" s="1353">
        <v>0</v>
      </c>
      <c r="M153" s="1353">
        <v>0</v>
      </c>
      <c r="N153" s="1353">
        <v>0</v>
      </c>
      <c r="O153" s="1353">
        <v>0</v>
      </c>
      <c r="P153" s="1353">
        <v>0</v>
      </c>
      <c r="Q153" s="1353">
        <v>0</v>
      </c>
      <c r="R153" s="1353">
        <v>0</v>
      </c>
      <c r="S153" s="1353">
        <v>0</v>
      </c>
      <c r="T153" s="1353">
        <v>0</v>
      </c>
      <c r="U153" s="1353">
        <v>0</v>
      </c>
      <c r="V153" s="1353">
        <v>0</v>
      </c>
      <c r="W153" s="1353">
        <v>0</v>
      </c>
      <c r="X153" s="1353">
        <v>0</v>
      </c>
      <c r="Y153" s="1353">
        <v>0</v>
      </c>
      <c r="Z153" s="64">
        <v>0</v>
      </c>
      <c r="AA153" s="64">
        <v>0</v>
      </c>
      <c r="AB153" s="1366">
        <v>0</v>
      </c>
      <c r="AC153" s="1366">
        <v>0</v>
      </c>
      <c r="AD153" s="1366">
        <v>0</v>
      </c>
      <c r="AE153" s="1366">
        <v>0</v>
      </c>
      <c r="AF153" s="1366">
        <v>0</v>
      </c>
      <c r="AG153" s="1366">
        <v>0</v>
      </c>
      <c r="AH153" s="1366">
        <v>0</v>
      </c>
      <c r="AI153" s="1366">
        <v>0</v>
      </c>
      <c r="AJ153" s="1366">
        <v>0</v>
      </c>
      <c r="AK153" s="1355">
        <f t="shared" si="33"/>
        <v>72</v>
      </c>
      <c r="AL153" s="1355">
        <f t="shared" si="30"/>
        <v>31.369699086610609</v>
      </c>
      <c r="AM153" s="1831">
        <f t="shared" si="26"/>
        <v>72</v>
      </c>
      <c r="AN153" s="1831">
        <f t="shared" si="27"/>
        <v>2.9214290514227255</v>
      </c>
      <c r="AO153" s="1831">
        <f t="shared" si="28"/>
        <v>34.291128138033336</v>
      </c>
      <c r="AP153" s="60" t="s">
        <v>3056</v>
      </c>
      <c r="AQ153" s="1355">
        <f t="shared" si="31"/>
        <v>28.8</v>
      </c>
      <c r="AR153" s="1378">
        <f t="shared" si="32"/>
        <v>2.5696990866106084</v>
      </c>
      <c r="AS153" s="266"/>
    </row>
    <row r="154" spans="1:45" s="51" customFormat="1" ht="19.149999999999999" customHeight="1" outlineLevel="1">
      <c r="A154" s="1353">
        <v>160</v>
      </c>
      <c r="B154" s="1353">
        <v>56</v>
      </c>
      <c r="C154" s="1353"/>
      <c r="D154" s="1361" t="str">
        <f>TONGHOPCONGDOI!C160</f>
        <v>Thảo Phút râu</v>
      </c>
      <c r="E154" s="1355"/>
      <c r="F154" s="1353">
        <v>0</v>
      </c>
      <c r="G154" s="1353">
        <v>0</v>
      </c>
      <c r="H154" s="1353">
        <v>81</v>
      </c>
      <c r="I154" s="1353">
        <v>0</v>
      </c>
      <c r="J154" s="1353">
        <v>0</v>
      </c>
      <c r="K154" s="1353">
        <v>0</v>
      </c>
      <c r="L154" s="1353">
        <v>0</v>
      </c>
      <c r="M154" s="1353">
        <v>0</v>
      </c>
      <c r="N154" s="1353">
        <v>0</v>
      </c>
      <c r="O154" s="1353">
        <v>0</v>
      </c>
      <c r="P154" s="1353">
        <v>0</v>
      </c>
      <c r="Q154" s="1353">
        <v>0</v>
      </c>
      <c r="R154" s="1353">
        <v>0</v>
      </c>
      <c r="S154" s="1353">
        <v>0</v>
      </c>
      <c r="T154" s="1353">
        <v>0</v>
      </c>
      <c r="U154" s="1353">
        <v>0</v>
      </c>
      <c r="V154" s="1353">
        <v>0</v>
      </c>
      <c r="W154" s="1353">
        <v>0</v>
      </c>
      <c r="X154" s="1353">
        <v>0</v>
      </c>
      <c r="Y154" s="1353">
        <v>0</v>
      </c>
      <c r="Z154" s="64">
        <v>0</v>
      </c>
      <c r="AA154" s="64">
        <v>0</v>
      </c>
      <c r="AB154" s="1366">
        <v>0</v>
      </c>
      <c r="AC154" s="1366">
        <v>0</v>
      </c>
      <c r="AD154" s="1366">
        <v>0</v>
      </c>
      <c r="AE154" s="1366">
        <v>0</v>
      </c>
      <c r="AF154" s="1366">
        <v>0</v>
      </c>
      <c r="AG154" s="1366">
        <v>0</v>
      </c>
      <c r="AH154" s="1366">
        <v>0</v>
      </c>
      <c r="AI154" s="1366">
        <v>0</v>
      </c>
      <c r="AJ154" s="1366">
        <v>0</v>
      </c>
      <c r="AK154" s="1355">
        <f t="shared" si="33"/>
        <v>81</v>
      </c>
      <c r="AL154" s="1355">
        <f t="shared" si="30"/>
        <v>35.290911472436939</v>
      </c>
      <c r="AM154" s="1831">
        <f t="shared" si="26"/>
        <v>81</v>
      </c>
      <c r="AN154" s="1831">
        <f t="shared" si="27"/>
        <v>3.2866076828505664</v>
      </c>
      <c r="AO154" s="1831">
        <f t="shared" si="28"/>
        <v>38.577519155287504</v>
      </c>
      <c r="AP154" s="60" t="s">
        <v>3056</v>
      </c>
      <c r="AQ154" s="1355">
        <f t="shared" si="31"/>
        <v>32.4</v>
      </c>
      <c r="AR154" s="1378">
        <f t="shared" si="32"/>
        <v>2.8909114724369402</v>
      </c>
      <c r="AS154" s="266"/>
    </row>
    <row r="155" spans="1:45" s="51" customFormat="1" ht="19.149999999999999" customHeight="1" outlineLevel="1">
      <c r="A155" s="1353">
        <v>161</v>
      </c>
      <c r="B155" s="1353">
        <v>57</v>
      </c>
      <c r="C155" s="1353"/>
      <c r="D155" s="1361" t="str">
        <f>TONGHOPCONGDOI!C161</f>
        <v>Thảo Hung</v>
      </c>
      <c r="E155" s="1355"/>
      <c r="F155" s="1353">
        <v>0</v>
      </c>
      <c r="G155" s="1353">
        <v>0</v>
      </c>
      <c r="H155" s="1353">
        <v>0</v>
      </c>
      <c r="I155" s="1353">
        <v>0</v>
      </c>
      <c r="J155" s="1353">
        <v>0</v>
      </c>
      <c r="K155" s="1353">
        <v>0</v>
      </c>
      <c r="L155" s="1353">
        <v>0</v>
      </c>
      <c r="M155" s="1353">
        <v>0</v>
      </c>
      <c r="N155" s="1353">
        <v>0</v>
      </c>
      <c r="O155" s="1353">
        <v>0</v>
      </c>
      <c r="P155" s="1353">
        <v>0</v>
      </c>
      <c r="Q155" s="1353">
        <v>0</v>
      </c>
      <c r="R155" s="1353">
        <v>0</v>
      </c>
      <c r="S155" s="1353">
        <v>0</v>
      </c>
      <c r="T155" s="1353">
        <v>0</v>
      </c>
      <c r="U155" s="1353">
        <v>0</v>
      </c>
      <c r="V155" s="1353">
        <v>0</v>
      </c>
      <c r="W155" s="1353">
        <v>0</v>
      </c>
      <c r="X155" s="1353">
        <v>0</v>
      </c>
      <c r="Y155" s="1353">
        <v>0</v>
      </c>
      <c r="Z155" s="64">
        <v>0</v>
      </c>
      <c r="AA155" s="64">
        <v>0</v>
      </c>
      <c r="AB155" s="1366">
        <v>0</v>
      </c>
      <c r="AC155" s="1366">
        <v>0</v>
      </c>
      <c r="AD155" s="1366">
        <v>0</v>
      </c>
      <c r="AE155" s="1366">
        <v>0</v>
      </c>
      <c r="AF155" s="1366">
        <v>0</v>
      </c>
      <c r="AG155" s="1366">
        <v>0</v>
      </c>
      <c r="AH155" s="1366">
        <v>0</v>
      </c>
      <c r="AI155" s="1366">
        <v>0</v>
      </c>
      <c r="AJ155" s="1366">
        <v>0</v>
      </c>
      <c r="AK155" s="1355">
        <f t="shared" si="33"/>
        <v>0</v>
      </c>
      <c r="AL155" s="1355">
        <f t="shared" si="30"/>
        <v>0</v>
      </c>
      <c r="AM155" s="1831">
        <f t="shared" si="26"/>
        <v>0</v>
      </c>
      <c r="AN155" s="1831">
        <f t="shared" si="27"/>
        <v>0</v>
      </c>
      <c r="AO155" s="1831">
        <f t="shared" si="28"/>
        <v>0</v>
      </c>
      <c r="AP155" s="60"/>
      <c r="AQ155" s="1355">
        <f t="shared" si="31"/>
        <v>0</v>
      </c>
      <c r="AR155" s="1378">
        <f t="shared" si="32"/>
        <v>0</v>
      </c>
      <c r="AS155" s="266"/>
    </row>
    <row r="156" spans="1:45" s="51" customFormat="1" ht="19.149999999999999" customHeight="1" outlineLevel="1">
      <c r="A156" s="1353">
        <v>162</v>
      </c>
      <c r="B156" s="1353">
        <v>58</v>
      </c>
      <c r="C156" s="1353"/>
      <c r="D156" s="1361" t="str">
        <f>TONGHOPCONGDOI!C162</f>
        <v>Thảo Khẹt</v>
      </c>
      <c r="E156" s="1355"/>
      <c r="F156" s="1353">
        <v>0</v>
      </c>
      <c r="G156" s="1353">
        <v>0</v>
      </c>
      <c r="H156" s="1353">
        <v>0</v>
      </c>
      <c r="I156" s="1353">
        <v>0</v>
      </c>
      <c r="J156" s="1353">
        <v>0</v>
      </c>
      <c r="K156" s="1353">
        <v>0</v>
      </c>
      <c r="L156" s="1353">
        <v>0</v>
      </c>
      <c r="M156" s="1353">
        <v>0</v>
      </c>
      <c r="N156" s="1353">
        <v>0</v>
      </c>
      <c r="O156" s="1353">
        <v>71</v>
      </c>
      <c r="P156" s="1353">
        <v>96</v>
      </c>
      <c r="Q156" s="1353">
        <v>90</v>
      </c>
      <c r="R156" s="1353">
        <v>78</v>
      </c>
      <c r="S156" s="1353">
        <v>80</v>
      </c>
      <c r="T156" s="1353">
        <v>88</v>
      </c>
      <c r="U156" s="1353">
        <v>158</v>
      </c>
      <c r="V156" s="1353">
        <v>91</v>
      </c>
      <c r="W156" s="1353">
        <v>101</v>
      </c>
      <c r="X156" s="1353">
        <v>0</v>
      </c>
      <c r="Y156" s="1353">
        <v>96</v>
      </c>
      <c r="Z156" s="64">
        <v>83</v>
      </c>
      <c r="AA156" s="64">
        <v>94</v>
      </c>
      <c r="AB156" s="1366">
        <v>212</v>
      </c>
      <c r="AC156" s="1366">
        <v>75</v>
      </c>
      <c r="AD156" s="1366">
        <v>98</v>
      </c>
      <c r="AE156" s="1366">
        <v>74</v>
      </c>
      <c r="AF156" s="1366">
        <v>78</v>
      </c>
      <c r="AG156" s="1366">
        <v>71</v>
      </c>
      <c r="AH156" s="1366">
        <v>116</v>
      </c>
      <c r="AI156" s="1366">
        <v>140</v>
      </c>
      <c r="AJ156" s="1366">
        <v>80</v>
      </c>
      <c r="AK156" s="1355">
        <f t="shared" si="33"/>
        <v>2070</v>
      </c>
      <c r="AL156" s="1355">
        <f t="shared" si="30"/>
        <v>901.87884874005499</v>
      </c>
      <c r="AM156" s="1831">
        <f t="shared" si="26"/>
        <v>2070</v>
      </c>
      <c r="AN156" s="1831">
        <f t="shared" si="27"/>
        <v>83.991085228403364</v>
      </c>
      <c r="AO156" s="1831">
        <f t="shared" si="28"/>
        <v>985.86993396845833</v>
      </c>
      <c r="AP156" s="60" t="s">
        <v>3056</v>
      </c>
      <c r="AQ156" s="1355">
        <f t="shared" si="31"/>
        <v>828</v>
      </c>
      <c r="AR156" s="1378">
        <f t="shared" si="32"/>
        <v>73.878848740054991</v>
      </c>
      <c r="AS156" s="266"/>
    </row>
    <row r="157" spans="1:45" s="51" customFormat="1" ht="19.149999999999999" customHeight="1" outlineLevel="1">
      <c r="A157" s="1353">
        <v>163</v>
      </c>
      <c r="B157" s="1353">
        <v>59</v>
      </c>
      <c r="C157" s="1353"/>
      <c r="D157" s="1361" t="str">
        <f>TONGHOPCONGDOI!C163</f>
        <v>Thảo Khun</v>
      </c>
      <c r="E157" s="1355"/>
      <c r="F157" s="1353">
        <v>0</v>
      </c>
      <c r="G157" s="1353">
        <v>0</v>
      </c>
      <c r="H157" s="1353">
        <v>0</v>
      </c>
      <c r="I157" s="1353">
        <v>0</v>
      </c>
      <c r="J157" s="1353">
        <v>0</v>
      </c>
      <c r="K157" s="1353">
        <v>0</v>
      </c>
      <c r="L157" s="1353">
        <v>0</v>
      </c>
      <c r="M157" s="1353">
        <v>0</v>
      </c>
      <c r="N157" s="1353">
        <v>0</v>
      </c>
      <c r="O157" s="1353">
        <v>0</v>
      </c>
      <c r="P157" s="1353">
        <v>0</v>
      </c>
      <c r="Q157" s="1353">
        <v>0</v>
      </c>
      <c r="R157" s="1353">
        <v>0</v>
      </c>
      <c r="S157" s="1353">
        <v>0</v>
      </c>
      <c r="T157" s="1353">
        <v>0</v>
      </c>
      <c r="U157" s="1353">
        <v>0</v>
      </c>
      <c r="V157" s="1353">
        <v>0</v>
      </c>
      <c r="W157" s="1353">
        <v>0</v>
      </c>
      <c r="X157" s="1353">
        <v>0</v>
      </c>
      <c r="Y157" s="1353">
        <v>0</v>
      </c>
      <c r="Z157" s="64">
        <v>0</v>
      </c>
      <c r="AA157" s="64">
        <v>0</v>
      </c>
      <c r="AB157" s="1366">
        <v>0</v>
      </c>
      <c r="AC157" s="1366">
        <v>0</v>
      </c>
      <c r="AD157" s="1366">
        <v>0</v>
      </c>
      <c r="AE157" s="1366">
        <v>0</v>
      </c>
      <c r="AF157" s="1366">
        <v>0</v>
      </c>
      <c r="AG157" s="1366">
        <v>0</v>
      </c>
      <c r="AH157" s="1366">
        <v>0</v>
      </c>
      <c r="AI157" s="1366">
        <v>0</v>
      </c>
      <c r="AJ157" s="1366">
        <v>0</v>
      </c>
      <c r="AK157" s="1355">
        <f t="shared" si="33"/>
        <v>0</v>
      </c>
      <c r="AL157" s="1355">
        <f t="shared" si="30"/>
        <v>0</v>
      </c>
      <c r="AM157" s="1831">
        <f t="shared" si="26"/>
        <v>0</v>
      </c>
      <c r="AN157" s="1831">
        <f t="shared" si="27"/>
        <v>0</v>
      </c>
      <c r="AO157" s="1831">
        <f t="shared" si="28"/>
        <v>0</v>
      </c>
      <c r="AP157" s="60"/>
      <c r="AQ157" s="1355">
        <f t="shared" si="31"/>
        <v>0</v>
      </c>
      <c r="AR157" s="1378">
        <f t="shared" si="32"/>
        <v>0</v>
      </c>
      <c r="AS157" s="266"/>
    </row>
    <row r="158" spans="1:45" s="51" customFormat="1" ht="19.149999999999999" customHeight="1" outlineLevel="1">
      <c r="A158" s="1353">
        <v>164</v>
      </c>
      <c r="B158" s="1353">
        <v>60</v>
      </c>
      <c r="C158" s="1353"/>
      <c r="D158" s="1361" t="str">
        <f>TONGHOPCONGDOI!C164</f>
        <v>Thảo Linh</v>
      </c>
      <c r="E158" s="1355"/>
      <c r="F158" s="1353">
        <v>100</v>
      </c>
      <c r="G158" s="1353">
        <v>146</v>
      </c>
      <c r="H158" s="1353">
        <v>80</v>
      </c>
      <c r="I158" s="1353">
        <v>100</v>
      </c>
      <c r="J158" s="1353">
        <v>68</v>
      </c>
      <c r="K158" s="1353">
        <v>100</v>
      </c>
      <c r="L158" s="1353">
        <v>80</v>
      </c>
      <c r="M158" s="1353">
        <v>0</v>
      </c>
      <c r="N158" s="1353">
        <v>154</v>
      </c>
      <c r="O158" s="1353">
        <v>68</v>
      </c>
      <c r="P158" s="1353">
        <v>100</v>
      </c>
      <c r="Q158" s="1353">
        <v>70</v>
      </c>
      <c r="R158" s="1353">
        <v>57</v>
      </c>
      <c r="S158" s="1353">
        <v>60</v>
      </c>
      <c r="T158" s="1353">
        <v>112</v>
      </c>
      <c r="U158" s="1353">
        <v>160</v>
      </c>
      <c r="V158" s="1353">
        <v>81</v>
      </c>
      <c r="W158" s="1353">
        <v>73</v>
      </c>
      <c r="X158" s="1353">
        <v>50</v>
      </c>
      <c r="Y158" s="1353">
        <v>89</v>
      </c>
      <c r="Z158" s="64">
        <v>116</v>
      </c>
      <c r="AA158" s="64">
        <v>86</v>
      </c>
      <c r="AB158" s="1366">
        <v>120</v>
      </c>
      <c r="AC158" s="1366">
        <v>69</v>
      </c>
      <c r="AD158" s="1366">
        <v>77</v>
      </c>
      <c r="AE158" s="1366">
        <v>73</v>
      </c>
      <c r="AF158" s="1366">
        <v>94</v>
      </c>
      <c r="AG158" s="1366">
        <v>60</v>
      </c>
      <c r="AH158" s="1366">
        <v>101</v>
      </c>
      <c r="AI158" s="1366">
        <v>112</v>
      </c>
      <c r="AJ158" s="1366">
        <v>95</v>
      </c>
      <c r="AK158" s="1355">
        <f t="shared" si="33"/>
        <v>2751</v>
      </c>
      <c r="AL158" s="1355">
        <f t="shared" si="30"/>
        <v>1198.5839192675803</v>
      </c>
      <c r="AM158" s="1831">
        <f t="shared" si="26"/>
        <v>2751</v>
      </c>
      <c r="AN158" s="1831">
        <f t="shared" si="27"/>
        <v>111.6229350064433</v>
      </c>
      <c r="AO158" s="1831">
        <f t="shared" si="28"/>
        <v>1310.2068542740235</v>
      </c>
      <c r="AP158" s="60" t="s">
        <v>3056</v>
      </c>
      <c r="AQ158" s="1355">
        <f t="shared" si="31"/>
        <v>1100.4000000000001</v>
      </c>
      <c r="AR158" s="1378">
        <f t="shared" si="32"/>
        <v>98.183919267580222</v>
      </c>
      <c r="AS158" s="266"/>
    </row>
    <row r="159" spans="1:45" s="51" customFormat="1" ht="19.149999999999999" customHeight="1" outlineLevel="1">
      <c r="A159" s="1353">
        <v>165</v>
      </c>
      <c r="B159" s="1353">
        <v>61</v>
      </c>
      <c r="C159" s="1353"/>
      <c r="D159" s="1361" t="str">
        <f>TONGHOPCONGDOI!C165</f>
        <v>Thảo Han</v>
      </c>
      <c r="E159" s="1355"/>
      <c r="F159" s="1353">
        <v>75</v>
      </c>
      <c r="G159" s="1353">
        <v>126</v>
      </c>
      <c r="H159" s="1353">
        <v>81</v>
      </c>
      <c r="I159" s="1353">
        <v>100</v>
      </c>
      <c r="J159" s="1353">
        <v>50</v>
      </c>
      <c r="K159" s="1353">
        <v>0</v>
      </c>
      <c r="L159" s="1353">
        <v>60</v>
      </c>
      <c r="M159" s="1353">
        <v>101</v>
      </c>
      <c r="N159" s="1353">
        <v>150</v>
      </c>
      <c r="O159" s="1353">
        <v>60</v>
      </c>
      <c r="P159" s="1353">
        <v>70</v>
      </c>
      <c r="Q159" s="1353">
        <v>71</v>
      </c>
      <c r="R159" s="1353">
        <v>57</v>
      </c>
      <c r="S159" s="1353">
        <v>68</v>
      </c>
      <c r="T159" s="1353">
        <v>144</v>
      </c>
      <c r="U159" s="1353">
        <v>106</v>
      </c>
      <c r="V159" s="1353">
        <v>90</v>
      </c>
      <c r="W159" s="1353">
        <v>60</v>
      </c>
      <c r="X159" s="1353">
        <v>126</v>
      </c>
      <c r="Y159" s="1353">
        <v>70</v>
      </c>
      <c r="Z159" s="64">
        <v>130</v>
      </c>
      <c r="AA159" s="64">
        <v>86</v>
      </c>
      <c r="AB159" s="1366">
        <v>120</v>
      </c>
      <c r="AC159" s="1366">
        <v>127</v>
      </c>
      <c r="AD159" s="1366">
        <v>64</v>
      </c>
      <c r="AE159" s="1366">
        <v>72</v>
      </c>
      <c r="AF159" s="1366">
        <v>62</v>
      </c>
      <c r="AG159" s="1366">
        <v>53</v>
      </c>
      <c r="AH159" s="1366">
        <v>65</v>
      </c>
      <c r="AI159" s="1366">
        <v>157</v>
      </c>
      <c r="AJ159" s="1366">
        <v>94</v>
      </c>
      <c r="AK159" s="1355">
        <f t="shared" si="33"/>
        <v>2695</v>
      </c>
      <c r="AL159" s="1355">
        <f t="shared" si="30"/>
        <v>1174.1852644224389</v>
      </c>
      <c r="AM159" s="1831">
        <f t="shared" si="26"/>
        <v>2695</v>
      </c>
      <c r="AN159" s="1831">
        <f t="shared" si="27"/>
        <v>109.3507124108923</v>
      </c>
      <c r="AO159" s="1831">
        <f t="shared" si="28"/>
        <v>1283.5359768333312</v>
      </c>
      <c r="AP159" s="60" t="s">
        <v>3056</v>
      </c>
      <c r="AQ159" s="1355">
        <f t="shared" si="31"/>
        <v>1078</v>
      </c>
      <c r="AR159" s="1378">
        <f t="shared" si="32"/>
        <v>96.185264422438877</v>
      </c>
      <c r="AS159" s="266"/>
    </row>
    <row r="160" spans="1:45" s="51" customFormat="1" ht="19.149999999999999" customHeight="1" outlineLevel="1">
      <c r="A160" s="1353">
        <v>166</v>
      </c>
      <c r="B160" s="1353">
        <v>62</v>
      </c>
      <c r="C160" s="1353"/>
      <c r="D160" s="1361" t="str">
        <f>TONGHOPCONGDOI!C166</f>
        <v>Thảo Ê</v>
      </c>
      <c r="E160" s="1355"/>
      <c r="F160" s="1353">
        <v>70</v>
      </c>
      <c r="G160" s="1353">
        <v>189</v>
      </c>
      <c r="H160" s="1353">
        <v>60</v>
      </c>
      <c r="I160" s="1353">
        <v>93</v>
      </c>
      <c r="J160" s="1353">
        <v>0</v>
      </c>
      <c r="K160" s="1353">
        <v>0</v>
      </c>
      <c r="L160" s="1353">
        <v>40</v>
      </c>
      <c r="M160" s="1353">
        <v>0</v>
      </c>
      <c r="N160" s="1353">
        <v>70</v>
      </c>
      <c r="O160" s="1353">
        <v>100</v>
      </c>
      <c r="P160" s="1353">
        <v>81</v>
      </c>
      <c r="Q160" s="1353">
        <v>0</v>
      </c>
      <c r="R160" s="1353">
        <v>59</v>
      </c>
      <c r="S160" s="1353">
        <v>70</v>
      </c>
      <c r="T160" s="1353">
        <v>0</v>
      </c>
      <c r="U160" s="1353">
        <v>140</v>
      </c>
      <c r="V160" s="1353">
        <v>114</v>
      </c>
      <c r="W160" s="1353">
        <v>70</v>
      </c>
      <c r="X160" s="1353">
        <v>0</v>
      </c>
      <c r="Y160" s="1353">
        <v>80</v>
      </c>
      <c r="Z160" s="64">
        <v>84</v>
      </c>
      <c r="AA160" s="64">
        <v>88</v>
      </c>
      <c r="AB160" s="1366">
        <v>130</v>
      </c>
      <c r="AC160" s="1366">
        <v>78</v>
      </c>
      <c r="AD160" s="1366">
        <v>80</v>
      </c>
      <c r="AE160" s="1366">
        <v>90</v>
      </c>
      <c r="AF160" s="1366">
        <v>62</v>
      </c>
      <c r="AG160" s="1366">
        <v>0</v>
      </c>
      <c r="AH160" s="1366">
        <v>80</v>
      </c>
      <c r="AI160" s="1366">
        <v>154</v>
      </c>
      <c r="AJ160" s="1366">
        <v>55</v>
      </c>
      <c r="AK160" s="1355">
        <f t="shared" ref="AK160:AK161" si="34">SUM(F160:AJ160)</f>
        <v>2137</v>
      </c>
      <c r="AL160" s="1355">
        <f t="shared" ref="AL160:AL161" si="35">AK160*$AS$11</f>
        <v>931.07009650120654</v>
      </c>
      <c r="AM160" s="1831">
        <f t="shared" si="26"/>
        <v>2137</v>
      </c>
      <c r="AN160" s="1831">
        <f t="shared" si="27"/>
        <v>86.709637262366172</v>
      </c>
      <c r="AO160" s="1831">
        <f t="shared" si="28"/>
        <v>1017.7797337635727</v>
      </c>
      <c r="AP160" s="60" t="s">
        <v>3056</v>
      </c>
      <c r="AQ160" s="1355">
        <f t="shared" si="31"/>
        <v>854.80000000000007</v>
      </c>
      <c r="AR160" s="1378">
        <f t="shared" si="32"/>
        <v>76.270096501206467</v>
      </c>
      <c r="AS160" s="266"/>
    </row>
    <row r="161" spans="1:45" s="51" customFormat="1" ht="19.149999999999999" customHeight="1" outlineLevel="1">
      <c r="A161" s="1353">
        <v>167</v>
      </c>
      <c r="B161" s="1353">
        <v>63</v>
      </c>
      <c r="C161" s="1353"/>
      <c r="D161" s="1361" t="str">
        <f>TONGHOPCONGDOI!C167</f>
        <v>Thảo Tô</v>
      </c>
      <c r="E161" s="1355"/>
      <c r="F161" s="1353">
        <v>0</v>
      </c>
      <c r="G161" s="1353">
        <v>0</v>
      </c>
      <c r="H161" s="1353">
        <v>50</v>
      </c>
      <c r="I161" s="1353">
        <v>0</v>
      </c>
      <c r="J161" s="1353">
        <v>0</v>
      </c>
      <c r="K161" s="1353">
        <v>0</v>
      </c>
      <c r="L161" s="1353">
        <v>0</v>
      </c>
      <c r="M161" s="1353">
        <v>0</v>
      </c>
      <c r="N161" s="1353">
        <v>0</v>
      </c>
      <c r="O161" s="1353">
        <v>88</v>
      </c>
      <c r="P161" s="1353">
        <v>80</v>
      </c>
      <c r="Q161" s="1353">
        <v>0</v>
      </c>
      <c r="R161" s="1353">
        <v>60</v>
      </c>
      <c r="S161" s="1353">
        <v>60</v>
      </c>
      <c r="T161" s="1353">
        <v>0</v>
      </c>
      <c r="U161" s="1353">
        <v>0</v>
      </c>
      <c r="V161" s="1353">
        <v>0</v>
      </c>
      <c r="W161" s="1353">
        <v>0</v>
      </c>
      <c r="X161" s="1353">
        <v>0</v>
      </c>
      <c r="Y161" s="1353">
        <v>72</v>
      </c>
      <c r="Z161" s="64">
        <v>0</v>
      </c>
      <c r="AA161" s="64">
        <v>132</v>
      </c>
      <c r="AB161" s="1366">
        <v>0</v>
      </c>
      <c r="AC161" s="1366">
        <v>0</v>
      </c>
      <c r="AD161" s="1366">
        <v>60</v>
      </c>
      <c r="AE161" s="1366">
        <v>80</v>
      </c>
      <c r="AF161" s="1366">
        <v>99</v>
      </c>
      <c r="AG161" s="1366">
        <v>0</v>
      </c>
      <c r="AH161" s="1366">
        <v>80</v>
      </c>
      <c r="AI161" s="1366">
        <v>63</v>
      </c>
      <c r="AJ161" s="1366">
        <v>56</v>
      </c>
      <c r="AK161" s="1355">
        <f t="shared" si="34"/>
        <v>980</v>
      </c>
      <c r="AL161" s="1355">
        <f t="shared" si="35"/>
        <v>426.97645978997775</v>
      </c>
      <c r="AM161" s="1831">
        <f t="shared" si="26"/>
        <v>980</v>
      </c>
      <c r="AN161" s="1831">
        <f t="shared" si="27"/>
        <v>39.763895422142653</v>
      </c>
      <c r="AO161" s="1831">
        <f t="shared" si="28"/>
        <v>466.74035521212039</v>
      </c>
      <c r="AP161" s="60" t="s">
        <v>3056</v>
      </c>
      <c r="AQ161" s="1355">
        <f t="shared" si="31"/>
        <v>392</v>
      </c>
      <c r="AR161" s="1378">
        <f t="shared" si="32"/>
        <v>34.976459789977753</v>
      </c>
      <c r="AS161" s="266"/>
    </row>
    <row r="162" spans="1:45" s="51" customFormat="1" ht="19.149999999999999" customHeight="1" outlineLevel="1">
      <c r="A162" s="1353">
        <v>166</v>
      </c>
      <c r="B162" s="1353">
        <v>64</v>
      </c>
      <c r="C162" s="1353"/>
      <c r="D162" s="1361" t="str">
        <f>TONGHOPCONGDOI!C168</f>
        <v>Nàng Son</v>
      </c>
      <c r="E162" s="1355"/>
      <c r="F162" s="1353">
        <v>0</v>
      </c>
      <c r="G162" s="1353">
        <v>0</v>
      </c>
      <c r="H162" s="1353">
        <v>100</v>
      </c>
      <c r="I162" s="1353">
        <v>0</v>
      </c>
      <c r="J162" s="1353">
        <v>0</v>
      </c>
      <c r="K162" s="1353">
        <v>0</v>
      </c>
      <c r="L162" s="1353">
        <v>0</v>
      </c>
      <c r="M162" s="1353">
        <v>0</v>
      </c>
      <c r="N162" s="1353">
        <v>0</v>
      </c>
      <c r="O162" s="1353">
        <v>0</v>
      </c>
      <c r="P162" s="1353">
        <v>60</v>
      </c>
      <c r="Q162" s="1353">
        <v>0</v>
      </c>
      <c r="R162" s="1353">
        <v>170</v>
      </c>
      <c r="S162" s="1353">
        <v>64</v>
      </c>
      <c r="T162" s="1353">
        <v>0</v>
      </c>
      <c r="U162" s="1353">
        <v>0</v>
      </c>
      <c r="V162" s="1353">
        <v>0</v>
      </c>
      <c r="W162" s="1353">
        <v>0</v>
      </c>
      <c r="X162" s="1353">
        <v>0</v>
      </c>
      <c r="Y162" s="1353">
        <v>0</v>
      </c>
      <c r="Z162" s="64">
        <v>0</v>
      </c>
      <c r="AA162" s="64">
        <v>0</v>
      </c>
      <c r="AB162" s="1366">
        <v>0</v>
      </c>
      <c r="AC162" s="1366">
        <v>0</v>
      </c>
      <c r="AD162" s="1366">
        <v>102</v>
      </c>
      <c r="AE162" s="1366">
        <v>0</v>
      </c>
      <c r="AF162" s="1366">
        <v>80</v>
      </c>
      <c r="AG162" s="1366">
        <v>0</v>
      </c>
      <c r="AH162" s="1366">
        <v>129</v>
      </c>
      <c r="AI162" s="1366">
        <v>65</v>
      </c>
      <c r="AJ162" s="1366">
        <v>66</v>
      </c>
      <c r="AK162" s="1355">
        <f t="shared" si="33"/>
        <v>836</v>
      </c>
      <c r="AL162" s="1355">
        <f>AK162*$AS$11</f>
        <v>364.23706161675653</v>
      </c>
      <c r="AM162" s="1831">
        <f t="shared" si="26"/>
        <v>836</v>
      </c>
      <c r="AN162" s="1831">
        <f t="shared" si="27"/>
        <v>33.921037319297199</v>
      </c>
      <c r="AO162" s="1831">
        <f t="shared" si="28"/>
        <v>398.15809893605376</v>
      </c>
      <c r="AP162" s="60" t="s">
        <v>3056</v>
      </c>
      <c r="AQ162" s="1355"/>
      <c r="AR162" s="1378">
        <f t="shared" si="32"/>
        <v>364.23706161675653</v>
      </c>
      <c r="AS162" s="266"/>
    </row>
    <row r="163" spans="1:45" s="51" customFormat="1" ht="19.149999999999999" customHeight="1" outlineLevel="1">
      <c r="A163" s="1353">
        <v>165</v>
      </c>
      <c r="B163" s="1353">
        <v>65</v>
      </c>
      <c r="C163" s="1830"/>
      <c r="D163" s="1361" t="str">
        <f>TONGHOPCONGDOI!C169</f>
        <v>Thảo Keo</v>
      </c>
      <c r="E163" s="1831"/>
      <c r="F163" s="1830">
        <v>0</v>
      </c>
      <c r="G163" s="1830">
        <v>0</v>
      </c>
      <c r="H163" s="1830">
        <v>0</v>
      </c>
      <c r="I163" s="1830">
        <v>0</v>
      </c>
      <c r="J163" s="1830">
        <v>0</v>
      </c>
      <c r="K163" s="1830">
        <v>0</v>
      </c>
      <c r="L163" s="1830">
        <v>0</v>
      </c>
      <c r="M163" s="1830">
        <v>0</v>
      </c>
      <c r="N163" s="1830">
        <v>0</v>
      </c>
      <c r="O163" s="1830">
        <v>0</v>
      </c>
      <c r="P163" s="1830">
        <v>0</v>
      </c>
      <c r="Q163" s="1830">
        <v>0</v>
      </c>
      <c r="R163" s="1830">
        <v>73</v>
      </c>
      <c r="S163" s="1830">
        <v>0</v>
      </c>
      <c r="T163" s="1830">
        <v>0</v>
      </c>
      <c r="U163" s="1830">
        <v>0</v>
      </c>
      <c r="V163" s="1830">
        <v>0</v>
      </c>
      <c r="W163" s="1830">
        <v>0</v>
      </c>
      <c r="X163" s="1830">
        <v>0</v>
      </c>
      <c r="Y163" s="1830">
        <v>0</v>
      </c>
      <c r="Z163" s="1832">
        <v>0</v>
      </c>
      <c r="AA163" s="1832">
        <v>0</v>
      </c>
      <c r="AB163" s="1833">
        <v>0</v>
      </c>
      <c r="AC163" s="1833">
        <v>0</v>
      </c>
      <c r="AD163" s="1833">
        <v>0</v>
      </c>
      <c r="AE163" s="1833">
        <v>0</v>
      </c>
      <c r="AF163" s="1833">
        <v>0</v>
      </c>
      <c r="AG163" s="1833">
        <v>0</v>
      </c>
      <c r="AH163" s="1833">
        <v>0</v>
      </c>
      <c r="AI163" s="1833">
        <v>0</v>
      </c>
      <c r="AJ163" s="1833">
        <v>126</v>
      </c>
      <c r="AK163" s="1355">
        <f t="shared" ref="AK163:AK169" si="36">SUM(F163:AJ163)</f>
        <v>199</v>
      </c>
      <c r="AL163" s="1355">
        <f t="shared" ref="AL163:AL169" si="37">AK163*$AS$11</f>
        <v>86.70236275327099</v>
      </c>
      <c r="AM163" s="1831">
        <f t="shared" si="26"/>
        <v>199</v>
      </c>
      <c r="AN163" s="1831">
        <f t="shared" si="27"/>
        <v>8.074505294904478</v>
      </c>
      <c r="AO163" s="1831">
        <f t="shared" si="28"/>
        <v>94.776868048175473</v>
      </c>
      <c r="AP163" s="60" t="s">
        <v>3056</v>
      </c>
      <c r="AQ163" s="1831"/>
      <c r="AR163" s="1378">
        <f t="shared" ref="AR163" si="38">+AL163-AQ163</f>
        <v>86.70236275327099</v>
      </c>
      <c r="AS163" s="266"/>
    </row>
    <row r="164" spans="1:45" s="51" customFormat="1" ht="19.149999999999999" customHeight="1" outlineLevel="1">
      <c r="A164" s="1830"/>
      <c r="B164" s="1353">
        <v>66</v>
      </c>
      <c r="C164" s="1830"/>
      <c r="D164" s="1361" t="str">
        <f>TONGHOPCONGDOI!C170</f>
        <v>Thảo Tun</v>
      </c>
      <c r="E164" s="1831"/>
      <c r="F164" s="1830">
        <v>0</v>
      </c>
      <c r="G164" s="1830">
        <v>0</v>
      </c>
      <c r="H164" s="1830">
        <v>0</v>
      </c>
      <c r="I164" s="1830">
        <v>0</v>
      </c>
      <c r="J164" s="1830">
        <v>0</v>
      </c>
      <c r="K164" s="1830">
        <v>0</v>
      </c>
      <c r="L164" s="1830">
        <v>0</v>
      </c>
      <c r="M164" s="1830">
        <v>0</v>
      </c>
      <c r="N164" s="1830">
        <v>0</v>
      </c>
      <c r="O164" s="1830">
        <v>0</v>
      </c>
      <c r="P164" s="1830">
        <v>0</v>
      </c>
      <c r="Q164" s="1830">
        <v>0</v>
      </c>
      <c r="R164" s="1830">
        <v>0</v>
      </c>
      <c r="S164" s="1830">
        <v>0</v>
      </c>
      <c r="T164" s="1830">
        <v>0</v>
      </c>
      <c r="U164" s="1830">
        <v>0</v>
      </c>
      <c r="V164" s="1830">
        <v>0</v>
      </c>
      <c r="W164" s="1830">
        <v>0</v>
      </c>
      <c r="X164" s="1830">
        <v>0</v>
      </c>
      <c r="Y164" s="1830">
        <v>0</v>
      </c>
      <c r="Z164" s="1832">
        <v>0</v>
      </c>
      <c r="AA164" s="1832">
        <v>0</v>
      </c>
      <c r="AB164" s="1833">
        <v>0</v>
      </c>
      <c r="AC164" s="1833">
        <v>0</v>
      </c>
      <c r="AD164" s="1833">
        <v>0</v>
      </c>
      <c r="AE164" s="1833">
        <v>0</v>
      </c>
      <c r="AF164" s="1833">
        <v>0</v>
      </c>
      <c r="AG164" s="1833">
        <v>0</v>
      </c>
      <c r="AH164" s="1833">
        <v>0</v>
      </c>
      <c r="AI164" s="1833">
        <v>0</v>
      </c>
      <c r="AJ164" s="1833">
        <v>112</v>
      </c>
      <c r="AK164" s="1355">
        <f t="shared" si="36"/>
        <v>112</v>
      </c>
      <c r="AL164" s="1355">
        <f t="shared" si="37"/>
        <v>48.797309690283171</v>
      </c>
      <c r="AM164" s="1831">
        <f t="shared" ref="AM164:AM169" si="39">AK164</f>
        <v>112</v>
      </c>
      <c r="AN164" s="1831">
        <f t="shared" ref="AN164:AN169" si="40">AM164*$AT$11</f>
        <v>4.5444451911020174</v>
      </c>
      <c r="AO164" s="1831">
        <f t="shared" ref="AO164:AO169" si="41">AL164+AN164</f>
        <v>53.341754881385185</v>
      </c>
      <c r="AP164" s="2016" t="s">
        <v>3056</v>
      </c>
      <c r="AQ164" s="1831"/>
      <c r="AR164" s="2017"/>
      <c r="AS164" s="266"/>
    </row>
    <row r="165" spans="1:45" s="51" customFormat="1" ht="19.149999999999999" customHeight="1" outlineLevel="1">
      <c r="A165" s="1830"/>
      <c r="B165" s="1353">
        <v>67</v>
      </c>
      <c r="C165" s="1830"/>
      <c r="D165" s="1361" t="str">
        <f>TONGHOPCONGDOI!C171</f>
        <v>Thảo Xiêm</v>
      </c>
      <c r="E165" s="1831"/>
      <c r="F165" s="1830">
        <v>0</v>
      </c>
      <c r="G165" s="1830">
        <v>0</v>
      </c>
      <c r="H165" s="1830">
        <v>0</v>
      </c>
      <c r="I165" s="1830">
        <v>0</v>
      </c>
      <c r="J165" s="1830">
        <v>0</v>
      </c>
      <c r="K165" s="1830">
        <v>0</v>
      </c>
      <c r="L165" s="1830">
        <v>0</v>
      </c>
      <c r="M165" s="1830">
        <v>0</v>
      </c>
      <c r="N165" s="1830">
        <v>0</v>
      </c>
      <c r="O165" s="1830">
        <v>0</v>
      </c>
      <c r="P165" s="1830">
        <v>0</v>
      </c>
      <c r="Q165" s="1830">
        <v>0</v>
      </c>
      <c r="R165" s="1830">
        <v>0</v>
      </c>
      <c r="S165" s="1830">
        <v>0</v>
      </c>
      <c r="T165" s="1830">
        <v>0</v>
      </c>
      <c r="U165" s="1830">
        <v>0</v>
      </c>
      <c r="V165" s="1830">
        <v>0</v>
      </c>
      <c r="W165" s="1830">
        <v>0</v>
      </c>
      <c r="X165" s="1830">
        <v>0</v>
      </c>
      <c r="Y165" s="1830">
        <v>0</v>
      </c>
      <c r="Z165" s="1832">
        <v>0</v>
      </c>
      <c r="AA165" s="1832">
        <v>0</v>
      </c>
      <c r="AB165" s="1833">
        <v>0</v>
      </c>
      <c r="AC165" s="1833">
        <v>0</v>
      </c>
      <c r="AD165" s="1833">
        <v>0</v>
      </c>
      <c r="AE165" s="1833">
        <v>0</v>
      </c>
      <c r="AF165" s="1833">
        <v>0</v>
      </c>
      <c r="AG165" s="1833">
        <v>0</v>
      </c>
      <c r="AH165" s="1833">
        <v>0</v>
      </c>
      <c r="AI165" s="1833">
        <v>0</v>
      </c>
      <c r="AJ165" s="1833">
        <v>0</v>
      </c>
      <c r="AK165" s="1355">
        <f t="shared" si="36"/>
        <v>0</v>
      </c>
      <c r="AL165" s="1355">
        <f t="shared" si="37"/>
        <v>0</v>
      </c>
      <c r="AM165" s="1831">
        <f t="shared" si="39"/>
        <v>0</v>
      </c>
      <c r="AN165" s="1831">
        <f t="shared" si="40"/>
        <v>0</v>
      </c>
      <c r="AO165" s="1831">
        <f t="shared" si="41"/>
        <v>0</v>
      </c>
      <c r="AP165" s="2016"/>
      <c r="AQ165" s="1831"/>
      <c r="AR165" s="2017"/>
      <c r="AS165" s="266"/>
    </row>
    <row r="166" spans="1:45" s="51" customFormat="1" ht="19.149999999999999" customHeight="1" outlineLevel="1">
      <c r="A166" s="1830"/>
      <c r="B166" s="1353">
        <v>68</v>
      </c>
      <c r="C166" s="1830"/>
      <c r="D166" s="1361" t="str">
        <f>TONGHOPCONGDOI!C172</f>
        <v>Thảo Cốp</v>
      </c>
      <c r="E166" s="1831"/>
      <c r="F166" s="1830">
        <v>0</v>
      </c>
      <c r="G166" s="1830">
        <v>0</v>
      </c>
      <c r="H166" s="1830">
        <v>0</v>
      </c>
      <c r="I166" s="1830">
        <v>0</v>
      </c>
      <c r="J166" s="1830">
        <v>0</v>
      </c>
      <c r="K166" s="1830">
        <v>0</v>
      </c>
      <c r="L166" s="1830">
        <v>0</v>
      </c>
      <c r="M166" s="1830">
        <v>0</v>
      </c>
      <c r="N166" s="1830">
        <v>0</v>
      </c>
      <c r="O166" s="1830">
        <v>0</v>
      </c>
      <c r="P166" s="1830">
        <v>0</v>
      </c>
      <c r="Q166" s="1830">
        <v>0</v>
      </c>
      <c r="R166" s="1830">
        <v>0</v>
      </c>
      <c r="S166" s="1830">
        <v>0</v>
      </c>
      <c r="T166" s="1830">
        <v>0</v>
      </c>
      <c r="U166" s="1830">
        <v>0</v>
      </c>
      <c r="V166" s="1830">
        <v>0</v>
      </c>
      <c r="W166" s="1830">
        <v>0</v>
      </c>
      <c r="X166" s="1830">
        <v>0</v>
      </c>
      <c r="Y166" s="1830">
        <v>0</v>
      </c>
      <c r="Z166" s="1832">
        <v>0</v>
      </c>
      <c r="AA166" s="1832">
        <v>0</v>
      </c>
      <c r="AB166" s="1833">
        <v>0</v>
      </c>
      <c r="AC166" s="1833">
        <v>0</v>
      </c>
      <c r="AD166" s="1833">
        <v>0</v>
      </c>
      <c r="AE166" s="1833">
        <v>0</v>
      </c>
      <c r="AF166" s="1833">
        <v>0</v>
      </c>
      <c r="AG166" s="1833">
        <v>0</v>
      </c>
      <c r="AH166" s="1833">
        <v>0</v>
      </c>
      <c r="AI166" s="1833">
        <v>0</v>
      </c>
      <c r="AJ166" s="1833">
        <v>0</v>
      </c>
      <c r="AK166" s="1355">
        <f t="shared" si="36"/>
        <v>0</v>
      </c>
      <c r="AL166" s="1355">
        <f t="shared" si="37"/>
        <v>0</v>
      </c>
      <c r="AM166" s="1831">
        <f t="shared" si="39"/>
        <v>0</v>
      </c>
      <c r="AN166" s="1831">
        <f t="shared" si="40"/>
        <v>0</v>
      </c>
      <c r="AO166" s="1831">
        <f t="shared" si="41"/>
        <v>0</v>
      </c>
      <c r="AP166" s="2016"/>
      <c r="AQ166" s="1831"/>
      <c r="AR166" s="2017"/>
      <c r="AS166" s="266"/>
    </row>
    <row r="167" spans="1:45" s="51" customFormat="1" ht="19.149999999999999" customHeight="1" outlineLevel="1">
      <c r="A167" s="1830"/>
      <c r="B167" s="1353">
        <v>69</v>
      </c>
      <c r="C167" s="1830"/>
      <c r="D167" s="1361" t="str">
        <f>TONGHOPCONGDOI!C173</f>
        <v>Nàng Căm</v>
      </c>
      <c r="E167" s="1831"/>
      <c r="F167" s="1830">
        <v>0</v>
      </c>
      <c r="G167" s="1830">
        <v>0</v>
      </c>
      <c r="H167" s="1830">
        <v>0</v>
      </c>
      <c r="I167" s="1830">
        <v>0</v>
      </c>
      <c r="J167" s="1830">
        <v>0</v>
      </c>
      <c r="K167" s="1830">
        <v>0</v>
      </c>
      <c r="L167" s="1830">
        <v>0</v>
      </c>
      <c r="M167" s="1830">
        <v>0</v>
      </c>
      <c r="N167" s="1830">
        <v>0</v>
      </c>
      <c r="O167" s="1830">
        <v>0</v>
      </c>
      <c r="P167" s="1830">
        <v>0</v>
      </c>
      <c r="Q167" s="1830">
        <v>0</v>
      </c>
      <c r="R167" s="1830">
        <v>0</v>
      </c>
      <c r="S167" s="1830">
        <v>0</v>
      </c>
      <c r="T167" s="1830">
        <v>0</v>
      </c>
      <c r="U167" s="1830">
        <v>0</v>
      </c>
      <c r="V167" s="1830">
        <v>0</v>
      </c>
      <c r="W167" s="1830">
        <v>0</v>
      </c>
      <c r="X167" s="1830">
        <v>0</v>
      </c>
      <c r="Y167" s="1830">
        <v>0</v>
      </c>
      <c r="Z167" s="1832">
        <v>0</v>
      </c>
      <c r="AA167" s="1832">
        <v>0</v>
      </c>
      <c r="AB167" s="1833">
        <v>0</v>
      </c>
      <c r="AC167" s="1833">
        <v>0</v>
      </c>
      <c r="AD167" s="1833">
        <v>0</v>
      </c>
      <c r="AE167" s="1833">
        <v>0</v>
      </c>
      <c r="AF167" s="1833">
        <v>0</v>
      </c>
      <c r="AG167" s="1833">
        <v>0</v>
      </c>
      <c r="AH167" s="1833">
        <v>0</v>
      </c>
      <c r="AI167" s="1833">
        <v>0</v>
      </c>
      <c r="AJ167" s="1833">
        <v>0</v>
      </c>
      <c r="AK167" s="1355">
        <f t="shared" si="36"/>
        <v>0</v>
      </c>
      <c r="AL167" s="1355">
        <f t="shared" si="37"/>
        <v>0</v>
      </c>
      <c r="AM167" s="1831">
        <f t="shared" si="39"/>
        <v>0</v>
      </c>
      <c r="AN167" s="1831">
        <f t="shared" si="40"/>
        <v>0</v>
      </c>
      <c r="AO167" s="1831">
        <f t="shared" si="41"/>
        <v>0</v>
      </c>
      <c r="AP167" s="2016"/>
      <c r="AQ167" s="1831"/>
      <c r="AR167" s="2017"/>
      <c r="AS167" s="266"/>
    </row>
    <row r="168" spans="1:45" s="51" customFormat="1" ht="19.149999999999999" customHeight="1" outlineLevel="1">
      <c r="A168" s="1830"/>
      <c r="B168" s="1353">
        <v>70</v>
      </c>
      <c r="C168" s="1830"/>
      <c r="D168" s="1361" t="str">
        <f>TONGHOPCONGDOI!C174</f>
        <v>Thảo Khọp</v>
      </c>
      <c r="E168" s="1831"/>
      <c r="F168" s="1830">
        <v>0</v>
      </c>
      <c r="G168" s="1830">
        <v>0</v>
      </c>
      <c r="H168" s="1830">
        <v>0</v>
      </c>
      <c r="I168" s="1830">
        <v>0</v>
      </c>
      <c r="J168" s="1830">
        <v>0</v>
      </c>
      <c r="K168" s="1830">
        <v>0</v>
      </c>
      <c r="L168" s="1830">
        <v>0</v>
      </c>
      <c r="M168" s="1830">
        <v>0</v>
      </c>
      <c r="N168" s="1830">
        <v>0</v>
      </c>
      <c r="O168" s="1830">
        <v>0</v>
      </c>
      <c r="P168" s="1830">
        <v>0</v>
      </c>
      <c r="Q168" s="1830">
        <v>0</v>
      </c>
      <c r="R168" s="1830">
        <v>0</v>
      </c>
      <c r="S168" s="1830">
        <v>0</v>
      </c>
      <c r="T168" s="1830">
        <v>0</v>
      </c>
      <c r="U168" s="1830">
        <v>0</v>
      </c>
      <c r="V168" s="1830">
        <v>0</v>
      </c>
      <c r="W168" s="1830">
        <v>0</v>
      </c>
      <c r="X168" s="1830">
        <v>0</v>
      </c>
      <c r="Y168" s="1830">
        <v>0</v>
      </c>
      <c r="Z168" s="1832">
        <v>0</v>
      </c>
      <c r="AA168" s="1832">
        <v>0</v>
      </c>
      <c r="AB168" s="1833">
        <v>0</v>
      </c>
      <c r="AC168" s="1833">
        <v>0</v>
      </c>
      <c r="AD168" s="1833">
        <v>0</v>
      </c>
      <c r="AE168" s="1833">
        <v>0</v>
      </c>
      <c r="AF168" s="1833">
        <v>0</v>
      </c>
      <c r="AG168" s="1833">
        <v>0</v>
      </c>
      <c r="AH168" s="1833">
        <v>0</v>
      </c>
      <c r="AI168" s="1833">
        <v>0</v>
      </c>
      <c r="AJ168" s="1833">
        <v>0</v>
      </c>
      <c r="AK168" s="1355">
        <f t="shared" si="36"/>
        <v>0</v>
      </c>
      <c r="AL168" s="1355">
        <f t="shared" si="37"/>
        <v>0</v>
      </c>
      <c r="AM168" s="1831">
        <f t="shared" si="39"/>
        <v>0</v>
      </c>
      <c r="AN168" s="1831">
        <f t="shared" si="40"/>
        <v>0</v>
      </c>
      <c r="AO168" s="1831">
        <f t="shared" si="41"/>
        <v>0</v>
      </c>
      <c r="AP168" s="2016"/>
      <c r="AQ168" s="1831"/>
      <c r="AR168" s="2017"/>
      <c r="AS168" s="266"/>
    </row>
    <row r="169" spans="1:45" s="51" customFormat="1" ht="19.149999999999999" customHeight="1" outlineLevel="1">
      <c r="A169" s="1353">
        <v>164</v>
      </c>
      <c r="B169" s="1353">
        <v>71</v>
      </c>
      <c r="C169" s="1353"/>
      <c r="D169" s="1361" t="str">
        <f>TONGHOPCONGDOI!C175</f>
        <v>Thảo La</v>
      </c>
      <c r="E169" s="1355"/>
      <c r="F169" s="1353">
        <v>0</v>
      </c>
      <c r="G169" s="1353">
        <v>0</v>
      </c>
      <c r="H169" s="1353">
        <v>0</v>
      </c>
      <c r="I169" s="1353">
        <v>0</v>
      </c>
      <c r="J169" s="1353">
        <v>0</v>
      </c>
      <c r="K169" s="1353">
        <v>0</v>
      </c>
      <c r="L169" s="1353">
        <v>0</v>
      </c>
      <c r="M169" s="1353">
        <v>0</v>
      </c>
      <c r="N169" s="1353">
        <v>0</v>
      </c>
      <c r="O169" s="1353">
        <v>0</v>
      </c>
      <c r="P169" s="1353">
        <v>0</v>
      </c>
      <c r="Q169" s="1353">
        <v>0</v>
      </c>
      <c r="R169" s="1353">
        <v>0</v>
      </c>
      <c r="S169" s="1353">
        <v>0</v>
      </c>
      <c r="T169" s="1353">
        <v>87</v>
      </c>
      <c r="U169" s="1353">
        <v>175</v>
      </c>
      <c r="V169" s="1353">
        <v>80</v>
      </c>
      <c r="W169" s="1353">
        <v>131</v>
      </c>
      <c r="X169" s="1353">
        <v>81</v>
      </c>
      <c r="Y169" s="1353">
        <v>90</v>
      </c>
      <c r="Z169" s="64">
        <v>84</v>
      </c>
      <c r="AA169" s="64">
        <v>131</v>
      </c>
      <c r="AB169" s="1366">
        <v>166</v>
      </c>
      <c r="AC169" s="1366">
        <v>86</v>
      </c>
      <c r="AD169" s="1366">
        <v>117</v>
      </c>
      <c r="AE169" s="1366">
        <v>73</v>
      </c>
      <c r="AF169" s="1366">
        <v>70</v>
      </c>
      <c r="AG169" s="1366">
        <v>75</v>
      </c>
      <c r="AH169" s="1366">
        <v>123</v>
      </c>
      <c r="AI169" s="1366">
        <v>166</v>
      </c>
      <c r="AJ169" s="1366">
        <v>80</v>
      </c>
      <c r="AK169" s="1355">
        <f t="shared" si="36"/>
        <v>1815</v>
      </c>
      <c r="AL169" s="1355">
        <f t="shared" si="37"/>
        <v>790.77783114164242</v>
      </c>
      <c r="AM169" s="1831">
        <f t="shared" si="39"/>
        <v>1815</v>
      </c>
      <c r="AN169" s="1831">
        <f t="shared" si="40"/>
        <v>73.644357337947866</v>
      </c>
      <c r="AO169" s="1831">
        <f t="shared" si="41"/>
        <v>864.42218847959032</v>
      </c>
      <c r="AP169" s="2016" t="s">
        <v>3056</v>
      </c>
      <c r="AQ169" s="1355"/>
      <c r="AR169" s="1378">
        <f>+AL169-AQ169</f>
        <v>790.77783114164242</v>
      </c>
      <c r="AS169" s="266"/>
    </row>
    <row r="170" spans="1:45" s="1023" customFormat="1" ht="19.149999999999999" customHeight="1">
      <c r="A170" s="2505" t="s">
        <v>525</v>
      </c>
      <c r="B170" s="2505"/>
      <c r="C170" s="2505"/>
      <c r="D170" s="2505"/>
      <c r="E170" s="1363"/>
      <c r="F170" s="1369">
        <f t="shared" ref="F170:AO170" si="42">SUM(F98,F12)</f>
        <v>14532</v>
      </c>
      <c r="G170" s="1369">
        <f t="shared" si="42"/>
        <v>21929</v>
      </c>
      <c r="H170" s="1369">
        <f t="shared" si="42"/>
        <v>16458</v>
      </c>
      <c r="I170" s="1369">
        <f t="shared" si="42"/>
        <v>15045</v>
      </c>
      <c r="J170" s="1369">
        <f t="shared" si="42"/>
        <v>11955</v>
      </c>
      <c r="K170" s="1369">
        <f t="shared" si="42"/>
        <v>16144</v>
      </c>
      <c r="L170" s="1369">
        <f t="shared" si="42"/>
        <v>15798</v>
      </c>
      <c r="M170" s="1369">
        <f t="shared" si="42"/>
        <v>16205</v>
      </c>
      <c r="N170" s="1369">
        <f t="shared" si="42"/>
        <v>14136</v>
      </c>
      <c r="O170" s="1369">
        <f t="shared" si="42"/>
        <v>19889</v>
      </c>
      <c r="P170" s="1369">
        <f t="shared" si="42"/>
        <v>18707</v>
      </c>
      <c r="Q170" s="1369">
        <f t="shared" si="42"/>
        <v>18447</v>
      </c>
      <c r="R170" s="1369">
        <f t="shared" si="42"/>
        <v>15441</v>
      </c>
      <c r="S170" s="1369">
        <f t="shared" si="42"/>
        <v>17676</v>
      </c>
      <c r="T170" s="1369">
        <f t="shared" si="42"/>
        <v>18239</v>
      </c>
      <c r="U170" s="1369">
        <f t="shared" si="42"/>
        <v>22011</v>
      </c>
      <c r="V170" s="1369">
        <f t="shared" si="42"/>
        <v>12900</v>
      </c>
      <c r="W170" s="1369">
        <f t="shared" si="42"/>
        <v>19352</v>
      </c>
      <c r="X170" s="1369">
        <f t="shared" si="42"/>
        <v>18532</v>
      </c>
      <c r="Y170" s="1369">
        <f t="shared" si="42"/>
        <v>18006</v>
      </c>
      <c r="Z170" s="1369">
        <f t="shared" si="42"/>
        <v>15898</v>
      </c>
      <c r="AA170" s="1369">
        <f t="shared" si="42"/>
        <v>17425</v>
      </c>
      <c r="AB170" s="1369">
        <f t="shared" si="42"/>
        <v>16560</v>
      </c>
      <c r="AC170" s="1369">
        <f t="shared" si="42"/>
        <v>16756</v>
      </c>
      <c r="AD170" s="1369">
        <f t="shared" si="42"/>
        <v>11549</v>
      </c>
      <c r="AE170" s="1369">
        <f t="shared" si="42"/>
        <v>15066</v>
      </c>
      <c r="AF170" s="1369">
        <f t="shared" si="42"/>
        <v>15978</v>
      </c>
      <c r="AG170" s="1369">
        <f t="shared" si="42"/>
        <v>15246</v>
      </c>
      <c r="AH170" s="1369">
        <f t="shared" si="42"/>
        <v>13448</v>
      </c>
      <c r="AI170" s="1369">
        <f t="shared" si="42"/>
        <v>20709</v>
      </c>
      <c r="AJ170" s="1369">
        <f t="shared" si="42"/>
        <v>16392</v>
      </c>
      <c r="AK170" s="1369">
        <f t="shared" si="42"/>
        <v>516429</v>
      </c>
      <c r="AL170" s="1369">
        <f t="shared" si="42"/>
        <v>221410.83800000008</v>
      </c>
      <c r="AM170" s="1369">
        <f t="shared" si="42"/>
        <v>516429</v>
      </c>
      <c r="AN170" s="1369">
        <f t="shared" si="42"/>
        <v>25747.25310393401</v>
      </c>
      <c r="AO170" s="1369">
        <f t="shared" si="42"/>
        <v>247158.0911039341</v>
      </c>
      <c r="AP170" s="1369"/>
      <c r="AQ170" s="1369">
        <f>SUM(AQ98,AQ12)</f>
        <v>205386.80000000005</v>
      </c>
      <c r="AR170" s="1369">
        <f>SUM(AR98,AR12)</f>
        <v>15975.240690309789</v>
      </c>
      <c r="AS170" s="1060"/>
    </row>
    <row r="171" spans="1:45" s="1023" customFormat="1" ht="13.9" customHeight="1">
      <c r="A171" s="1319"/>
      <c r="B171" s="1235"/>
      <c r="C171" s="1235"/>
      <c r="D171" s="1235"/>
      <c r="E171" s="1285"/>
      <c r="F171" s="1284"/>
      <c r="G171" s="1284"/>
      <c r="H171" s="1284"/>
      <c r="I171" s="1284"/>
      <c r="J171" s="1284"/>
      <c r="K171" s="1284"/>
      <c r="L171" s="1284"/>
      <c r="M171" s="1284"/>
      <c r="N171" s="1284"/>
      <c r="O171" s="1284"/>
      <c r="P171" s="1284"/>
      <c r="Q171" s="1284"/>
      <c r="R171" s="1284"/>
      <c r="S171" s="1284"/>
      <c r="T171" s="1284"/>
      <c r="U171" s="1284"/>
      <c r="V171" s="1284"/>
      <c r="W171" s="1284"/>
      <c r="X171" s="1284"/>
      <c r="Y171" s="1284"/>
      <c r="Z171" s="1330"/>
      <c r="AA171" s="1330"/>
      <c r="AB171" s="1330"/>
      <c r="AC171" s="1330"/>
      <c r="AD171" s="1330"/>
      <c r="AE171" s="1330"/>
      <c r="AF171" s="1330"/>
      <c r="AG171" s="1330"/>
      <c r="AH171" s="1330"/>
      <c r="AI171" s="1330"/>
      <c r="AJ171" s="1330"/>
      <c r="AK171" s="1331"/>
      <c r="AL171" s="1286"/>
      <c r="AM171" s="1286"/>
      <c r="AN171" s="1286"/>
      <c r="AO171" s="1286"/>
      <c r="AP171" s="1285"/>
      <c r="AQ171" s="1285"/>
      <c r="AS171" s="1060"/>
    </row>
    <row r="172" spans="1:45" s="1633" customFormat="1" ht="20.25" customHeight="1">
      <c r="A172" s="1630"/>
      <c r="B172" s="1631"/>
      <c r="C172" s="1631"/>
      <c r="D172" s="2498" t="s">
        <v>6</v>
      </c>
      <c r="E172" s="2498"/>
      <c r="F172" s="2490" t="s">
        <v>2996</v>
      </c>
      <c r="G172" s="2490"/>
      <c r="H172" s="2490"/>
      <c r="I172" s="2490"/>
      <c r="J172" s="2490"/>
      <c r="K172" s="2490"/>
      <c r="L172" s="2490"/>
      <c r="M172" s="2490" t="s">
        <v>3005</v>
      </c>
      <c r="N172" s="2490"/>
      <c r="O172" s="2490"/>
      <c r="P172" s="2490"/>
      <c r="Q172" s="2490"/>
      <c r="R172" s="2490"/>
      <c r="S172" s="2490"/>
      <c r="T172" s="2492" t="s">
        <v>3061</v>
      </c>
      <c r="U172" s="2493"/>
      <c r="V172" s="2493"/>
      <c r="W172" s="2493"/>
      <c r="X172" s="2493"/>
      <c r="Y172" s="2493"/>
      <c r="Z172" s="2493"/>
      <c r="AA172" s="2493"/>
      <c r="AB172" s="2493"/>
      <c r="AC172" s="2493"/>
      <c r="AD172" s="2493"/>
      <c r="AE172" s="2493"/>
      <c r="AF172" s="2493"/>
      <c r="AG172" s="2493"/>
      <c r="AH172" s="2493"/>
      <c r="AI172" s="2493"/>
      <c r="AJ172" s="2493"/>
      <c r="AK172" s="2494"/>
      <c r="AL172" s="2470" t="s">
        <v>12</v>
      </c>
      <c r="AM172" s="2470"/>
      <c r="AN172" s="2470"/>
      <c r="AO172" s="2470"/>
      <c r="AP172" s="2470"/>
      <c r="AQ172" s="1632"/>
    </row>
    <row r="173" spans="1:45" s="1633" customFormat="1" ht="24" customHeight="1">
      <c r="A173" s="1630"/>
      <c r="B173" s="1631"/>
      <c r="C173" s="1631"/>
      <c r="D173" s="2498"/>
      <c r="E173" s="2498"/>
      <c r="F173" s="2490"/>
      <c r="G173" s="2490"/>
      <c r="H173" s="2490"/>
      <c r="I173" s="2490"/>
      <c r="J173" s="2490"/>
      <c r="K173" s="2490"/>
      <c r="L173" s="2490"/>
      <c r="M173" s="2490" t="s">
        <v>3054</v>
      </c>
      <c r="N173" s="2490"/>
      <c r="O173" s="2490"/>
      <c r="P173" s="2490"/>
      <c r="Q173" s="2490" t="s">
        <v>3055</v>
      </c>
      <c r="R173" s="2490"/>
      <c r="S173" s="2490"/>
      <c r="T173" s="2492" t="s">
        <v>3063</v>
      </c>
      <c r="U173" s="2493"/>
      <c r="V173" s="2493"/>
      <c r="W173" s="2493"/>
      <c r="X173" s="2493"/>
      <c r="Y173" s="2493"/>
      <c r="Z173" s="2494"/>
      <c r="AA173" s="2492" t="s">
        <v>3062</v>
      </c>
      <c r="AB173" s="2493"/>
      <c r="AC173" s="2493"/>
      <c r="AD173" s="2493"/>
      <c r="AE173" s="2493"/>
      <c r="AF173" s="2493"/>
      <c r="AG173" s="2494"/>
      <c r="AH173" s="2495" t="s">
        <v>3064</v>
      </c>
      <c r="AI173" s="2496"/>
      <c r="AJ173" s="2496"/>
      <c r="AK173" s="2497"/>
      <c r="AL173" s="2470"/>
      <c r="AM173" s="2470"/>
      <c r="AN173" s="2470"/>
      <c r="AO173" s="2470"/>
      <c r="AP173" s="2470"/>
      <c r="AQ173" s="1632"/>
    </row>
    <row r="174" spans="1:45" s="1023" customFormat="1" ht="19.5" customHeight="1">
      <c r="A174" s="1319"/>
      <c r="B174" s="1235"/>
      <c r="C174" s="1235"/>
      <c r="D174" s="2484" t="s">
        <v>3003</v>
      </c>
      <c r="E174" s="2484"/>
      <c r="F174" s="2485">
        <f>SUM(F175:L178)</f>
        <v>74</v>
      </c>
      <c r="G174" s="2485"/>
      <c r="H174" s="2485"/>
      <c r="I174" s="2485"/>
      <c r="J174" s="2485"/>
      <c r="K174" s="2485"/>
      <c r="L174" s="2485"/>
      <c r="M174" s="2485"/>
      <c r="N174" s="2485"/>
      <c r="O174" s="2485"/>
      <c r="P174" s="2485"/>
      <c r="Q174" s="2491">
        <f>SUM(Q175:S178)</f>
        <v>100</v>
      </c>
      <c r="R174" s="2491"/>
      <c r="S174" s="2491"/>
      <c r="T174" s="2486">
        <f>SUM(T175:Z178)</f>
        <v>325519</v>
      </c>
      <c r="U174" s="2486"/>
      <c r="V174" s="2486"/>
      <c r="W174" s="2486"/>
      <c r="X174" s="2486"/>
      <c r="Y174" s="2486"/>
      <c r="Z174" s="2486"/>
      <c r="AA174" s="2486">
        <f>SUM(AA175:AG178)</f>
        <v>156193.64089250541</v>
      </c>
      <c r="AB174" s="2486"/>
      <c r="AC174" s="2486"/>
      <c r="AD174" s="2486"/>
      <c r="AE174" s="2486"/>
      <c r="AF174" s="2486"/>
      <c r="AG174" s="2486"/>
      <c r="AH174" s="2491">
        <f>SUM(AH175:AK178)</f>
        <v>100</v>
      </c>
      <c r="AI174" s="2491"/>
      <c r="AJ174" s="2491"/>
      <c r="AK174" s="2491"/>
      <c r="AL174" s="2470"/>
      <c r="AM174" s="2470"/>
      <c r="AN174" s="2470"/>
      <c r="AO174" s="2470"/>
      <c r="AP174" s="2470"/>
      <c r="AQ174" s="1634"/>
    </row>
    <row r="175" spans="1:45" s="1023" customFormat="1" ht="19.5" customHeight="1">
      <c r="A175" s="1046"/>
      <c r="B175" s="1628"/>
      <c r="C175" s="1628"/>
      <c r="D175" s="2481"/>
      <c r="E175" s="2481"/>
      <c r="F175" s="2482">
        <f>COUNTIF($AP$13:$AP$97,"A")</f>
        <v>44</v>
      </c>
      <c r="G175" s="2482"/>
      <c r="H175" s="2482"/>
      <c r="I175" s="2482"/>
      <c r="J175" s="2482"/>
      <c r="K175" s="2482"/>
      <c r="L175" s="2482"/>
      <c r="M175" s="2482" t="s">
        <v>1959</v>
      </c>
      <c r="N175" s="2482"/>
      <c r="O175" s="2482"/>
      <c r="P175" s="2482"/>
      <c r="Q175" s="2477">
        <f>+F175/$F$174*100</f>
        <v>59.45945945945946</v>
      </c>
      <c r="R175" s="2477"/>
      <c r="S175" s="2477"/>
      <c r="T175" s="2483">
        <f>SUMIF($AP$13:$AP$97,"A",$AK$13:$AK$97)</f>
        <v>207222</v>
      </c>
      <c r="U175" s="2483"/>
      <c r="V175" s="2483"/>
      <c r="W175" s="2483"/>
      <c r="X175" s="2483"/>
      <c r="Y175" s="2483"/>
      <c r="Z175" s="2483"/>
      <c r="AA175" s="2483">
        <f>SUMIF($AP$14:$AP$97,"A",$AO$14:$AO$97)</f>
        <v>99431.2425788564</v>
      </c>
      <c r="AB175" s="2483"/>
      <c r="AC175" s="2483"/>
      <c r="AD175" s="2483"/>
      <c r="AE175" s="2483"/>
      <c r="AF175" s="2483"/>
      <c r="AG175" s="2483"/>
      <c r="AH175" s="2477">
        <f>+AA175/$AA$174*100</f>
        <v>63.658956927245413</v>
      </c>
      <c r="AI175" s="2477"/>
      <c r="AJ175" s="2477"/>
      <c r="AK175" s="2477"/>
      <c r="AL175" s="2480"/>
      <c r="AM175" s="2480"/>
      <c r="AN175" s="2480"/>
      <c r="AO175" s="2480"/>
      <c r="AP175" s="2480"/>
      <c r="AQ175" s="1635"/>
    </row>
    <row r="176" spans="1:45" s="1023" customFormat="1" ht="19.5" customHeight="1">
      <c r="A176" s="1046"/>
      <c r="B176" s="1628"/>
      <c r="C176" s="1628"/>
      <c r="D176" s="2481"/>
      <c r="E176" s="2481"/>
      <c r="F176" s="2482">
        <f>COUNTIF($AP$13:$AP$97,"b")</f>
        <v>30</v>
      </c>
      <c r="G176" s="2482"/>
      <c r="H176" s="2482"/>
      <c r="I176" s="2482"/>
      <c r="J176" s="2482"/>
      <c r="K176" s="2482"/>
      <c r="L176" s="2482"/>
      <c r="M176" s="2482" t="s">
        <v>1957</v>
      </c>
      <c r="N176" s="2482"/>
      <c r="O176" s="2482"/>
      <c r="P176" s="2482"/>
      <c r="Q176" s="2477">
        <f t="shared" ref="Q176" si="43">+F176/$F$174*100</f>
        <v>40.54054054054054</v>
      </c>
      <c r="R176" s="2477"/>
      <c r="S176" s="2477"/>
      <c r="T176" s="2487">
        <f>SUMIF($AP$13:$AP$97,"b",$AK$13:$AK$97)</f>
        <v>118297</v>
      </c>
      <c r="U176" s="2488"/>
      <c r="V176" s="2488"/>
      <c r="W176" s="2488"/>
      <c r="X176" s="2488"/>
      <c r="Y176" s="2488"/>
      <c r="Z176" s="2489"/>
      <c r="AA176" s="2483">
        <f>SUMIF($AP$14:$AP$97,"B",$AO$14:$AO$97)</f>
        <v>56762.398313649006</v>
      </c>
      <c r="AB176" s="2483"/>
      <c r="AC176" s="2483"/>
      <c r="AD176" s="2483"/>
      <c r="AE176" s="2483"/>
      <c r="AF176" s="2483"/>
      <c r="AG176" s="2483"/>
      <c r="AH176" s="2477">
        <f t="shared" ref="AH176:AH178" si="44">+AA176/$AA$174*100</f>
        <v>36.34104307275458</v>
      </c>
      <c r="AI176" s="2477"/>
      <c r="AJ176" s="2477"/>
      <c r="AK176" s="2477"/>
      <c r="AL176" s="2480"/>
      <c r="AM176" s="2480"/>
      <c r="AN176" s="2480"/>
      <c r="AO176" s="2480"/>
      <c r="AP176" s="2480"/>
      <c r="AQ176" s="1635"/>
    </row>
    <row r="177" spans="1:43" s="1023" customFormat="1" ht="19.5" customHeight="1">
      <c r="A177" s="1046"/>
      <c r="B177" s="1628"/>
      <c r="C177" s="1628"/>
      <c r="D177" s="2481"/>
      <c r="E177" s="2481"/>
      <c r="F177" s="2482">
        <f>COUNTIF($AP$13:$AP$97,"c")</f>
        <v>0</v>
      </c>
      <c r="G177" s="2482"/>
      <c r="H177" s="2482"/>
      <c r="I177" s="2482"/>
      <c r="J177" s="2482"/>
      <c r="K177" s="2482"/>
      <c r="L177" s="2482"/>
      <c r="M177" s="2482" t="s">
        <v>1958</v>
      </c>
      <c r="N177" s="2482"/>
      <c r="O177" s="2482"/>
      <c r="P177" s="2482"/>
      <c r="Q177" s="2477">
        <f t="shared" ref="Q177" si="45">+F177/$F$174*100</f>
        <v>0</v>
      </c>
      <c r="R177" s="2477"/>
      <c r="S177" s="2477"/>
      <c r="T177" s="2487">
        <f>SUMIF($AP$13:$AP$97,"c",$AK$13:$AK$97)</f>
        <v>0</v>
      </c>
      <c r="U177" s="2488"/>
      <c r="V177" s="2488"/>
      <c r="W177" s="2488"/>
      <c r="X177" s="2488"/>
      <c r="Y177" s="2488"/>
      <c r="Z177" s="2489"/>
      <c r="AA177" s="2483">
        <f>SUMIF($AP$14:$AP$97,"C",$AO$14:$AO$97)</f>
        <v>0</v>
      </c>
      <c r="AB177" s="2483"/>
      <c r="AC177" s="2483"/>
      <c r="AD177" s="2483"/>
      <c r="AE177" s="2483"/>
      <c r="AF177" s="2483"/>
      <c r="AG177" s="2483"/>
      <c r="AH177" s="2477">
        <f t="shared" si="44"/>
        <v>0</v>
      </c>
      <c r="AI177" s="2477"/>
      <c r="AJ177" s="2477"/>
      <c r="AK177" s="2477"/>
      <c r="AL177" s="2480"/>
      <c r="AM177" s="2480"/>
      <c r="AN177" s="2480"/>
      <c r="AO177" s="2480"/>
      <c r="AP177" s="2480"/>
      <c r="AQ177" s="1635"/>
    </row>
    <row r="178" spans="1:43" s="1023" customFormat="1" ht="19.5" customHeight="1">
      <c r="A178" s="1046"/>
      <c r="B178" s="1628"/>
      <c r="C178" s="1628"/>
      <c r="D178" s="2481"/>
      <c r="E178" s="2481"/>
      <c r="F178" s="2482">
        <f>COUNTIF($AP$13:$AP$97,"D")</f>
        <v>0</v>
      </c>
      <c r="G178" s="2482"/>
      <c r="H178" s="2482"/>
      <c r="I178" s="2482"/>
      <c r="J178" s="2482"/>
      <c r="K178" s="2482"/>
      <c r="L178" s="2482"/>
      <c r="M178" s="2482" t="s">
        <v>2027</v>
      </c>
      <c r="N178" s="2482"/>
      <c r="O178" s="2482"/>
      <c r="P178" s="2482"/>
      <c r="Q178" s="2477">
        <f>+F178/$F$174*100</f>
        <v>0</v>
      </c>
      <c r="R178" s="2477"/>
      <c r="S178" s="2477"/>
      <c r="T178" s="2502">
        <f>SUMIF($AP$13:$AP$97,"d",$AK$13:$AK$97)</f>
        <v>0</v>
      </c>
      <c r="U178" s="2503"/>
      <c r="V178" s="2503"/>
      <c r="W178" s="2503"/>
      <c r="X178" s="2503"/>
      <c r="Y178" s="2503"/>
      <c r="Z178" s="2504"/>
      <c r="AA178" s="2483">
        <f>SUMIF($AP$14:$AP$97,"D",$AO$14:$AO$97)</f>
        <v>0</v>
      </c>
      <c r="AB178" s="2483"/>
      <c r="AC178" s="2483"/>
      <c r="AD178" s="2483"/>
      <c r="AE178" s="2483"/>
      <c r="AF178" s="2483"/>
      <c r="AG178" s="2483"/>
      <c r="AH178" s="2477">
        <f t="shared" si="44"/>
        <v>0</v>
      </c>
      <c r="AI178" s="2477"/>
      <c r="AJ178" s="2477"/>
      <c r="AK178" s="2477"/>
      <c r="AL178" s="2480"/>
      <c r="AM178" s="2480"/>
      <c r="AN178" s="2480"/>
      <c r="AO178" s="2480"/>
      <c r="AP178" s="2480"/>
      <c r="AQ178" s="1635"/>
    </row>
    <row r="179" spans="1:43" s="1886" customFormat="1" ht="19.5" customHeight="1">
      <c r="A179" s="1664"/>
      <c r="B179" s="1662"/>
      <c r="C179" s="1662"/>
      <c r="D179" s="2500" t="s">
        <v>3004</v>
      </c>
      <c r="E179" s="2501"/>
      <c r="F179" s="2485">
        <f>COUNTIF($AP$13:$AP$97,"C.")</f>
        <v>6</v>
      </c>
      <c r="G179" s="2485"/>
      <c r="H179" s="2485"/>
      <c r="I179" s="2485"/>
      <c r="J179" s="2485"/>
      <c r="K179" s="2485"/>
      <c r="L179" s="2485"/>
      <c r="M179" s="2485" t="s">
        <v>3056</v>
      </c>
      <c r="N179" s="2485"/>
      <c r="O179" s="2485"/>
      <c r="P179" s="2485"/>
      <c r="Q179" s="2471"/>
      <c r="R179" s="2471"/>
      <c r="S179" s="2471"/>
      <c r="T179" s="2471">
        <f>SUMIF($AP$13:$AP$97,"C.",$AK$13:$AK$97)</f>
        <v>11384</v>
      </c>
      <c r="U179" s="2471"/>
      <c r="V179" s="2471"/>
      <c r="W179" s="2471"/>
      <c r="X179" s="2471"/>
      <c r="Y179" s="2471"/>
      <c r="Z179" s="2471"/>
      <c r="AA179" s="2483">
        <f>SUMIF($AP$14:$AP$97,"C.",$AO$14:$AO$97)</f>
        <v>5462.3797932541002</v>
      </c>
      <c r="AB179" s="2483"/>
      <c r="AC179" s="2483"/>
      <c r="AD179" s="2483"/>
      <c r="AE179" s="2483"/>
      <c r="AF179" s="2483"/>
      <c r="AG179" s="2483"/>
      <c r="AH179" s="2471"/>
      <c r="AI179" s="2471"/>
      <c r="AJ179" s="2471"/>
      <c r="AK179" s="2471"/>
      <c r="AL179" s="2470"/>
      <c r="AM179" s="2470"/>
      <c r="AN179" s="2470"/>
      <c r="AO179" s="2470"/>
      <c r="AP179" s="2470"/>
      <c r="AQ179" s="1634"/>
    </row>
    <row r="180" spans="1:43" s="1639" customFormat="1" ht="24" customHeight="1">
      <c r="A180" s="1636"/>
      <c r="B180" s="1637"/>
      <c r="C180" s="1637"/>
      <c r="D180" s="2478" t="s">
        <v>3057</v>
      </c>
      <c r="E180" s="2478"/>
      <c r="F180" s="2479">
        <f>+F174+F179</f>
        <v>80</v>
      </c>
      <c r="G180" s="2479"/>
      <c r="H180" s="2479"/>
      <c r="I180" s="2479"/>
      <c r="J180" s="2479"/>
      <c r="K180" s="2479"/>
      <c r="L180" s="2479"/>
      <c r="M180" s="2479"/>
      <c r="N180" s="2479"/>
      <c r="O180" s="2479"/>
      <c r="P180" s="2479"/>
      <c r="Q180" s="2474"/>
      <c r="R180" s="2475"/>
      <c r="S180" s="2476"/>
      <c r="T180" s="2473">
        <f>+T174+T179</f>
        <v>336903</v>
      </c>
      <c r="U180" s="2473"/>
      <c r="V180" s="2473"/>
      <c r="W180" s="2473"/>
      <c r="X180" s="2473"/>
      <c r="Y180" s="2473"/>
      <c r="Z180" s="2473"/>
      <c r="AA180" s="2473">
        <f>AA174+AA179</f>
        <v>161656.02068575952</v>
      </c>
      <c r="AB180" s="2473"/>
      <c r="AC180" s="2473"/>
      <c r="AD180" s="2473"/>
      <c r="AE180" s="2473"/>
      <c r="AF180" s="2473"/>
      <c r="AG180" s="2473"/>
      <c r="AH180" s="2474"/>
      <c r="AI180" s="2475"/>
      <c r="AJ180" s="2475"/>
      <c r="AK180" s="2476"/>
      <c r="AL180" s="2461"/>
      <c r="AM180" s="2462"/>
      <c r="AN180" s="2462"/>
      <c r="AO180" s="2462"/>
      <c r="AP180" s="2463"/>
      <c r="AQ180" s="1638"/>
    </row>
    <row r="181" spans="1:43" s="1886" customFormat="1" ht="19.5" customHeight="1">
      <c r="A181" s="1664"/>
      <c r="B181" s="1662"/>
      <c r="C181" s="1662"/>
      <c r="D181" s="2484" t="s">
        <v>3003</v>
      </c>
      <c r="E181" s="2484"/>
      <c r="F181" s="2485">
        <f>SUM(F182:L185)</f>
        <v>53</v>
      </c>
      <c r="G181" s="2485"/>
      <c r="H181" s="2485"/>
      <c r="I181" s="2485"/>
      <c r="J181" s="2485"/>
      <c r="K181" s="2485"/>
      <c r="L181" s="2485"/>
      <c r="M181" s="2485"/>
      <c r="N181" s="2485"/>
      <c r="O181" s="2485"/>
      <c r="P181" s="2485"/>
      <c r="Q181" s="2471">
        <f>SUM(Q182:S185)</f>
        <v>100.00000000000001</v>
      </c>
      <c r="R181" s="2471"/>
      <c r="S181" s="2471"/>
      <c r="T181" s="2486">
        <f>SUM(T182:Z185)</f>
        <v>165434</v>
      </c>
      <c r="U181" s="2486"/>
      <c r="V181" s="2486"/>
      <c r="W181" s="2486"/>
      <c r="X181" s="2486"/>
      <c r="Y181" s="2486"/>
      <c r="Z181" s="2486"/>
      <c r="AA181" s="2486">
        <f>SUM(AA182:AG185)</f>
        <v>78790.534616491772</v>
      </c>
      <c r="AB181" s="2486"/>
      <c r="AC181" s="2486"/>
      <c r="AD181" s="2486"/>
      <c r="AE181" s="2486"/>
      <c r="AF181" s="2486"/>
      <c r="AG181" s="2486"/>
      <c r="AH181" s="2471">
        <f>SUM(AH182:AK185)</f>
        <v>48.739622738612006</v>
      </c>
      <c r="AI181" s="2471"/>
      <c r="AJ181" s="2471"/>
      <c r="AK181" s="2471"/>
      <c r="AL181" s="2470"/>
      <c r="AM181" s="2470"/>
      <c r="AN181" s="2470"/>
      <c r="AO181" s="2470"/>
      <c r="AP181" s="2470"/>
      <c r="AQ181" s="1634"/>
    </row>
    <row r="182" spans="1:43" s="1023" customFormat="1" ht="19.5" customHeight="1">
      <c r="A182" s="1046"/>
      <c r="B182" s="1628"/>
      <c r="C182" s="1628"/>
      <c r="D182" s="2481"/>
      <c r="E182" s="2481"/>
      <c r="F182" s="2482">
        <f>COUNTIF($AP$99:$AP$169,"A")</f>
        <v>22</v>
      </c>
      <c r="G182" s="2482"/>
      <c r="H182" s="2482"/>
      <c r="I182" s="2482"/>
      <c r="J182" s="2482"/>
      <c r="K182" s="2482"/>
      <c r="L182" s="2482"/>
      <c r="M182" s="2482" t="s">
        <v>1959</v>
      </c>
      <c r="N182" s="2482"/>
      <c r="O182" s="2482"/>
      <c r="P182" s="2482"/>
      <c r="Q182" s="2477">
        <f>+F182/$F$181*100</f>
        <v>41.509433962264154</v>
      </c>
      <c r="R182" s="2477"/>
      <c r="S182" s="2477"/>
      <c r="T182" s="2483">
        <f>SUMIF($AP$99:$AP$169,"A",$AK$99:$AK$169)</f>
        <v>74102</v>
      </c>
      <c r="U182" s="2483"/>
      <c r="V182" s="2483"/>
      <c r="W182" s="2483"/>
      <c r="X182" s="2483"/>
      <c r="Y182" s="2483"/>
      <c r="Z182" s="2483"/>
      <c r="AA182" s="2483">
        <f>SUMIF($AP$99:$AP$169,"A",$AO$99:$AO$169)</f>
        <v>35292.238573396477</v>
      </c>
      <c r="AB182" s="2483"/>
      <c r="AC182" s="2483"/>
      <c r="AD182" s="2483"/>
      <c r="AE182" s="2483"/>
      <c r="AF182" s="2483"/>
      <c r="AG182" s="2483"/>
      <c r="AH182" s="2477">
        <f>+AA182/$AA$180*100</f>
        <v>21.831688311813934</v>
      </c>
      <c r="AI182" s="2477"/>
      <c r="AJ182" s="2477"/>
      <c r="AK182" s="2477"/>
      <c r="AL182" s="2480"/>
      <c r="AM182" s="2480"/>
      <c r="AN182" s="2480"/>
      <c r="AO182" s="2480"/>
      <c r="AP182" s="2480"/>
      <c r="AQ182" s="1635"/>
    </row>
    <row r="183" spans="1:43" s="1023" customFormat="1" ht="19.5" customHeight="1">
      <c r="A183" s="1046"/>
      <c r="B183" s="1628"/>
      <c r="C183" s="1628"/>
      <c r="D183" s="2481"/>
      <c r="E183" s="2481"/>
      <c r="F183" s="2482">
        <f>COUNTIF($AP$99:$AP$169,"b")</f>
        <v>30</v>
      </c>
      <c r="G183" s="2482"/>
      <c r="H183" s="2482"/>
      <c r="I183" s="2482"/>
      <c r="J183" s="2482"/>
      <c r="K183" s="2482"/>
      <c r="L183" s="2482"/>
      <c r="M183" s="2482" t="s">
        <v>1957</v>
      </c>
      <c r="N183" s="2482"/>
      <c r="O183" s="2482"/>
      <c r="P183" s="2482"/>
      <c r="Q183" s="2477">
        <f t="shared" ref="Q183:Q185" si="46">+F183/$F$181*100</f>
        <v>56.60377358490566</v>
      </c>
      <c r="R183" s="2477"/>
      <c r="S183" s="2477"/>
      <c r="T183" s="2483">
        <f>SUMIF($AP$99:$AP$169,"b",$AK$99:$AK$169)</f>
        <v>88166</v>
      </c>
      <c r="U183" s="2483"/>
      <c r="V183" s="2483"/>
      <c r="W183" s="2483"/>
      <c r="X183" s="2483"/>
      <c r="Y183" s="2483"/>
      <c r="Z183" s="2483"/>
      <c r="AA183" s="2483">
        <f>SUMIF($AP$99:$AP$169,"B",$AO$99:$AO$169)</f>
        <v>41990.438936358994</v>
      </c>
      <c r="AB183" s="2483"/>
      <c r="AC183" s="2483"/>
      <c r="AD183" s="2483"/>
      <c r="AE183" s="2483"/>
      <c r="AF183" s="2483"/>
      <c r="AG183" s="2483"/>
      <c r="AH183" s="2477">
        <f>+AA183/$AA$180*100</f>
        <v>25.975177885878757</v>
      </c>
      <c r="AI183" s="2477"/>
      <c r="AJ183" s="2477"/>
      <c r="AK183" s="2477"/>
      <c r="AL183" s="2480"/>
      <c r="AM183" s="2480"/>
      <c r="AN183" s="2480"/>
      <c r="AO183" s="2480"/>
      <c r="AP183" s="2480"/>
      <c r="AQ183" s="1635"/>
    </row>
    <row r="184" spans="1:43" s="1023" customFormat="1" ht="19.5" customHeight="1">
      <c r="A184" s="1046"/>
      <c r="B184" s="1628"/>
      <c r="C184" s="1628"/>
      <c r="D184" s="2481"/>
      <c r="E184" s="2481"/>
      <c r="F184" s="2482">
        <f>COUNTIF($AP$99:$AP$169,"c")</f>
        <v>1</v>
      </c>
      <c r="G184" s="2482"/>
      <c r="H184" s="2482"/>
      <c r="I184" s="2482"/>
      <c r="J184" s="2482"/>
      <c r="K184" s="2482"/>
      <c r="L184" s="2482"/>
      <c r="M184" s="2482" t="s">
        <v>1958</v>
      </c>
      <c r="N184" s="2482"/>
      <c r="O184" s="2482"/>
      <c r="P184" s="2482"/>
      <c r="Q184" s="2477">
        <f>+F184/$F$181*100</f>
        <v>1.8867924528301887</v>
      </c>
      <c r="R184" s="2477"/>
      <c r="S184" s="2477"/>
      <c r="T184" s="2483">
        <f>SUMIF($AP$99:$AP$169,"c",$AK$99:$AK$169)</f>
        <v>3166</v>
      </c>
      <c r="U184" s="2483"/>
      <c r="V184" s="2483"/>
      <c r="W184" s="2483"/>
      <c r="X184" s="2483"/>
      <c r="Y184" s="2483"/>
      <c r="Z184" s="2483"/>
      <c r="AA184" s="2483">
        <f>SUMIF($AP$99:$AP$169,"C",$AO$99:$AO$169)</f>
        <v>1507.8571067362993</v>
      </c>
      <c r="AB184" s="2483"/>
      <c r="AC184" s="2483"/>
      <c r="AD184" s="2483"/>
      <c r="AE184" s="2483"/>
      <c r="AF184" s="2483"/>
      <c r="AG184" s="2483"/>
      <c r="AH184" s="2477">
        <f>+AA184/$AA$180*100</f>
        <v>0.93275654091931282</v>
      </c>
      <c r="AI184" s="2477"/>
      <c r="AJ184" s="2477"/>
      <c r="AK184" s="2477"/>
      <c r="AL184" s="2480"/>
      <c r="AM184" s="2480"/>
      <c r="AN184" s="2480"/>
      <c r="AO184" s="2480"/>
      <c r="AP184" s="2480"/>
      <c r="AQ184" s="1635"/>
    </row>
    <row r="185" spans="1:43" s="1023" customFormat="1" ht="19.5" customHeight="1">
      <c r="A185" s="1046"/>
      <c r="B185" s="1628"/>
      <c r="C185" s="1628"/>
      <c r="D185" s="2481"/>
      <c r="E185" s="2481"/>
      <c r="F185" s="2482">
        <f>COUNTIF($AP$99:$AP$169,"d")</f>
        <v>0</v>
      </c>
      <c r="G185" s="2482"/>
      <c r="H185" s="2482"/>
      <c r="I185" s="2482"/>
      <c r="J185" s="2482"/>
      <c r="K185" s="2482"/>
      <c r="L185" s="2482"/>
      <c r="M185" s="2482" t="s">
        <v>2027</v>
      </c>
      <c r="N185" s="2482"/>
      <c r="O185" s="2482"/>
      <c r="P185" s="2482"/>
      <c r="Q185" s="2477">
        <f t="shared" si="46"/>
        <v>0</v>
      </c>
      <c r="R185" s="2477"/>
      <c r="S185" s="2477"/>
      <c r="T185" s="2477">
        <f>SUMIF($AP$99:$AP$169,"d",$AK$99:$AK$169)</f>
        <v>0</v>
      </c>
      <c r="U185" s="2477"/>
      <c r="V185" s="2477"/>
      <c r="W185" s="2477"/>
      <c r="X185" s="2477"/>
      <c r="Y185" s="2477"/>
      <c r="Z185" s="2477"/>
      <c r="AA185" s="2483">
        <f>SUMIF($AP$99:$AP$169,"D",$AO$99:$AO$169)</f>
        <v>0</v>
      </c>
      <c r="AB185" s="2483"/>
      <c r="AC185" s="2483"/>
      <c r="AD185" s="2483"/>
      <c r="AE185" s="2483"/>
      <c r="AF185" s="2483"/>
      <c r="AG185" s="2483"/>
      <c r="AH185" s="2477">
        <f>+AA185/$AA$180*100</f>
        <v>0</v>
      </c>
      <c r="AI185" s="2477"/>
      <c r="AJ185" s="2477"/>
      <c r="AK185" s="2477"/>
      <c r="AL185" s="2480"/>
      <c r="AM185" s="2480"/>
      <c r="AN185" s="2480"/>
      <c r="AO185" s="2480"/>
      <c r="AP185" s="2480"/>
      <c r="AQ185" s="1635"/>
    </row>
    <row r="186" spans="1:43" s="1886" customFormat="1" ht="19.5" customHeight="1">
      <c r="A186" s="1664"/>
      <c r="B186" s="1662"/>
      <c r="C186" s="1662"/>
      <c r="D186" s="2484" t="s">
        <v>3004</v>
      </c>
      <c r="E186" s="2484"/>
      <c r="F186" s="2485">
        <f>COUNTIF($AP$99:$AP$169,"C.")</f>
        <v>12</v>
      </c>
      <c r="G186" s="2485"/>
      <c r="H186" s="2485"/>
      <c r="I186" s="2485"/>
      <c r="J186" s="2485"/>
      <c r="K186" s="2485"/>
      <c r="L186" s="2485"/>
      <c r="M186" s="2485" t="s">
        <v>3056</v>
      </c>
      <c r="N186" s="2485"/>
      <c r="O186" s="2485"/>
      <c r="P186" s="2485"/>
      <c r="Q186" s="2471"/>
      <c r="R186" s="2471"/>
      <c r="S186" s="2471"/>
      <c r="T186" s="2486">
        <f>SUMIF($AP$99:$AP$169,"C.",$AK$99:$AK$169)</f>
        <v>14092</v>
      </c>
      <c r="U186" s="2486"/>
      <c r="V186" s="2486"/>
      <c r="W186" s="2486"/>
      <c r="X186" s="2486"/>
      <c r="Y186" s="2486"/>
      <c r="Z186" s="2486"/>
      <c r="AA186" s="2483">
        <f>SUMIF($AP$99:$AP$169,"C.",$AO$99:$AO$169)</f>
        <v>6711.5358016828586</v>
      </c>
      <c r="AB186" s="2483"/>
      <c r="AC186" s="2483"/>
      <c r="AD186" s="2483"/>
      <c r="AE186" s="2483"/>
      <c r="AF186" s="2483"/>
      <c r="AG186" s="2483"/>
      <c r="AH186" s="2471"/>
      <c r="AI186" s="2471"/>
      <c r="AJ186" s="2471"/>
      <c r="AK186" s="2471"/>
      <c r="AL186" s="2470"/>
      <c r="AM186" s="2470"/>
      <c r="AN186" s="2470"/>
      <c r="AO186" s="2470"/>
      <c r="AP186" s="2470"/>
      <c r="AQ186" s="1634"/>
    </row>
    <row r="187" spans="1:43" s="1643" customFormat="1" ht="19.5" customHeight="1">
      <c r="A187" s="1640"/>
      <c r="B187" s="1641"/>
      <c r="C187" s="1641"/>
      <c r="D187" s="2478" t="s">
        <v>3058</v>
      </c>
      <c r="E187" s="2478"/>
      <c r="F187" s="2479">
        <f>+F181+F186</f>
        <v>65</v>
      </c>
      <c r="G187" s="2479"/>
      <c r="H187" s="2479"/>
      <c r="I187" s="2479"/>
      <c r="J187" s="2479"/>
      <c r="K187" s="2479"/>
      <c r="L187" s="2479"/>
      <c r="M187" s="2464"/>
      <c r="N187" s="2465"/>
      <c r="O187" s="2465"/>
      <c r="P187" s="2466"/>
      <c r="Q187" s="2474"/>
      <c r="R187" s="2475"/>
      <c r="S187" s="2476"/>
      <c r="T187" s="2473">
        <f>+T181+T186</f>
        <v>179526</v>
      </c>
      <c r="U187" s="2473"/>
      <c r="V187" s="2473"/>
      <c r="W187" s="2473"/>
      <c r="X187" s="2473"/>
      <c r="Y187" s="2473"/>
      <c r="Z187" s="2473"/>
      <c r="AA187" s="2473">
        <f>AA181+AA186</f>
        <v>85502.070418174626</v>
      </c>
      <c r="AB187" s="2473"/>
      <c r="AC187" s="2473"/>
      <c r="AD187" s="2473"/>
      <c r="AE187" s="2473"/>
      <c r="AF187" s="2473"/>
      <c r="AG187" s="2473"/>
      <c r="AH187" s="2474"/>
      <c r="AI187" s="2475"/>
      <c r="AJ187" s="2475"/>
      <c r="AK187" s="2476"/>
      <c r="AL187" s="2461"/>
      <c r="AM187" s="2462"/>
      <c r="AN187" s="2462"/>
      <c r="AO187" s="2462"/>
      <c r="AP187" s="2463"/>
      <c r="AQ187" s="1642"/>
    </row>
    <row r="188" spans="1:43" s="1023" customFormat="1" ht="19.5" customHeight="1">
      <c r="A188" s="1046"/>
      <c r="B188" s="1628"/>
      <c r="C188" s="1628"/>
      <c r="D188" s="2484" t="s">
        <v>3003</v>
      </c>
      <c r="E188" s="2484"/>
      <c r="F188" s="2485">
        <f>SUM(F189:L192)</f>
        <v>127</v>
      </c>
      <c r="G188" s="2485"/>
      <c r="H188" s="2485"/>
      <c r="I188" s="2485"/>
      <c r="J188" s="2485"/>
      <c r="K188" s="2485"/>
      <c r="L188" s="2485"/>
      <c r="M188" s="2485"/>
      <c r="N188" s="2485"/>
      <c r="O188" s="2485"/>
      <c r="P188" s="2485"/>
      <c r="Q188" s="2471">
        <f>SUM(Q189:S192)</f>
        <v>100</v>
      </c>
      <c r="R188" s="2471"/>
      <c r="S188" s="2471"/>
      <c r="T188" s="2486">
        <f>SUM(T189:Z192)</f>
        <v>490953</v>
      </c>
      <c r="U188" s="2486"/>
      <c r="V188" s="2486"/>
      <c r="W188" s="2486"/>
      <c r="X188" s="2486"/>
      <c r="Y188" s="2486"/>
      <c r="Z188" s="2486"/>
      <c r="AA188" s="2471">
        <f>SUM(AA189:AG192)</f>
        <v>234984.1755089972</v>
      </c>
      <c r="AB188" s="2471"/>
      <c r="AC188" s="2471"/>
      <c r="AD188" s="2471"/>
      <c r="AE188" s="2471"/>
      <c r="AF188" s="2471"/>
      <c r="AG188" s="2471"/>
      <c r="AH188" s="2471">
        <f>SUM(AH189:AK192)</f>
        <v>99.999999999999986</v>
      </c>
      <c r="AI188" s="2471"/>
      <c r="AJ188" s="2471"/>
      <c r="AK188" s="2471"/>
      <c r="AL188" s="2470"/>
      <c r="AM188" s="2470"/>
      <c r="AN188" s="2470"/>
      <c r="AO188" s="2470"/>
      <c r="AP188" s="2470"/>
      <c r="AQ188" s="1635"/>
    </row>
    <row r="189" spans="1:43" s="1023" customFormat="1" ht="19.5" customHeight="1">
      <c r="A189" s="1046"/>
      <c r="B189" s="1628"/>
      <c r="C189" s="1628"/>
      <c r="D189" s="2481"/>
      <c r="E189" s="2481"/>
      <c r="F189" s="2482">
        <f>F175+F182</f>
        <v>66</v>
      </c>
      <c r="G189" s="2482"/>
      <c r="H189" s="2482"/>
      <c r="I189" s="2482"/>
      <c r="J189" s="2482"/>
      <c r="K189" s="2482"/>
      <c r="L189" s="2482"/>
      <c r="M189" s="2482" t="s">
        <v>1959</v>
      </c>
      <c r="N189" s="2482"/>
      <c r="O189" s="2482"/>
      <c r="P189" s="2482"/>
      <c r="Q189" s="2477">
        <f t="shared" ref="Q189:Q190" si="47">F189/$F$188*100</f>
        <v>51.968503937007867</v>
      </c>
      <c r="R189" s="2477"/>
      <c r="S189" s="2477"/>
      <c r="T189" s="2483">
        <f>T182+T175</f>
        <v>281324</v>
      </c>
      <c r="U189" s="2483"/>
      <c r="V189" s="2483"/>
      <c r="W189" s="2483"/>
      <c r="X189" s="2483"/>
      <c r="Y189" s="2483"/>
      <c r="Z189" s="2483"/>
      <c r="AA189" s="2477">
        <f>AA175+AA182</f>
        <v>134723.48115225288</v>
      </c>
      <c r="AB189" s="2477"/>
      <c r="AC189" s="2477"/>
      <c r="AD189" s="2477"/>
      <c r="AE189" s="2477"/>
      <c r="AF189" s="2477"/>
      <c r="AG189" s="2477"/>
      <c r="AH189" s="2477">
        <f>+AA189/$AA$188*100</f>
        <v>57.333001620398271</v>
      </c>
      <c r="AI189" s="2477"/>
      <c r="AJ189" s="2477"/>
      <c r="AK189" s="2477"/>
      <c r="AL189" s="2480"/>
      <c r="AM189" s="2480"/>
      <c r="AN189" s="2480"/>
      <c r="AO189" s="2480"/>
      <c r="AP189" s="2480"/>
      <c r="AQ189" s="1635"/>
    </row>
    <row r="190" spans="1:43" s="1023" customFormat="1" ht="19.5" customHeight="1">
      <c r="A190" s="1046"/>
      <c r="B190" s="1628"/>
      <c r="C190" s="1628"/>
      <c r="D190" s="2481"/>
      <c r="E190" s="2481"/>
      <c r="F190" s="2482">
        <f>F176+F183</f>
        <v>60</v>
      </c>
      <c r="G190" s="2482"/>
      <c r="H190" s="2482"/>
      <c r="I190" s="2482"/>
      <c r="J190" s="2482"/>
      <c r="K190" s="2482"/>
      <c r="L190" s="2482"/>
      <c r="M190" s="2482" t="s">
        <v>1957</v>
      </c>
      <c r="N190" s="2482"/>
      <c r="O190" s="2482"/>
      <c r="P190" s="2482"/>
      <c r="Q190" s="2477">
        <f t="shared" si="47"/>
        <v>47.244094488188978</v>
      </c>
      <c r="R190" s="2477"/>
      <c r="S190" s="2477"/>
      <c r="T190" s="2483">
        <f>T183+T176</f>
        <v>206463</v>
      </c>
      <c r="U190" s="2483"/>
      <c r="V190" s="2483"/>
      <c r="W190" s="2483"/>
      <c r="X190" s="2483"/>
      <c r="Y190" s="2483"/>
      <c r="Z190" s="2483"/>
      <c r="AA190" s="2477">
        <f>AA176+AA183</f>
        <v>98752.837250008</v>
      </c>
      <c r="AB190" s="2477"/>
      <c r="AC190" s="2477"/>
      <c r="AD190" s="2477"/>
      <c r="AE190" s="2477"/>
      <c r="AF190" s="2477"/>
      <c r="AG190" s="2477"/>
      <c r="AH190" s="2477">
        <f>+AA190/$AA$188*100</f>
        <v>42.025313847666688</v>
      </c>
      <c r="AI190" s="2477"/>
      <c r="AJ190" s="2477"/>
      <c r="AK190" s="2477"/>
      <c r="AL190" s="2480"/>
      <c r="AM190" s="2480"/>
      <c r="AN190" s="2480"/>
      <c r="AO190" s="2480"/>
      <c r="AP190" s="2480"/>
      <c r="AQ190" s="1635"/>
    </row>
    <row r="191" spans="1:43" s="1023" customFormat="1" ht="19.5" customHeight="1">
      <c r="A191" s="1046"/>
      <c r="B191" s="1628"/>
      <c r="C191" s="1628"/>
      <c r="D191" s="2481"/>
      <c r="E191" s="2481"/>
      <c r="F191" s="2482">
        <f>F177+F184</f>
        <v>1</v>
      </c>
      <c r="G191" s="2482"/>
      <c r="H191" s="2482"/>
      <c r="I191" s="2482"/>
      <c r="J191" s="2482"/>
      <c r="K191" s="2482"/>
      <c r="L191" s="2482"/>
      <c r="M191" s="2482" t="s">
        <v>1958</v>
      </c>
      <c r="N191" s="2482"/>
      <c r="O191" s="2482"/>
      <c r="P191" s="2482"/>
      <c r="Q191" s="2477">
        <f>F191/$F$188*100</f>
        <v>0.78740157480314954</v>
      </c>
      <c r="R191" s="2477"/>
      <c r="S191" s="2477"/>
      <c r="T191" s="2483">
        <f>T184+T177</f>
        <v>3166</v>
      </c>
      <c r="U191" s="2483"/>
      <c r="V191" s="2483"/>
      <c r="W191" s="2483"/>
      <c r="X191" s="2483"/>
      <c r="Y191" s="2483"/>
      <c r="Z191" s="2483"/>
      <c r="AA191" s="2477">
        <f>AA177+AA184</f>
        <v>1507.8571067362993</v>
      </c>
      <c r="AB191" s="2477"/>
      <c r="AC191" s="2477"/>
      <c r="AD191" s="2477"/>
      <c r="AE191" s="2477"/>
      <c r="AF191" s="2477"/>
      <c r="AG191" s="2477"/>
      <c r="AH191" s="2477">
        <f>+AA191/$AA$188*100</f>
        <v>0.6416845319350305</v>
      </c>
      <c r="AI191" s="2477"/>
      <c r="AJ191" s="2477"/>
      <c r="AK191" s="2477"/>
      <c r="AL191" s="2480"/>
      <c r="AM191" s="2480"/>
      <c r="AN191" s="2480"/>
      <c r="AO191" s="2480"/>
      <c r="AP191" s="2480"/>
      <c r="AQ191" s="1635"/>
    </row>
    <row r="192" spans="1:43" s="1023" customFormat="1" ht="19.5" customHeight="1">
      <c r="A192" s="1046"/>
      <c r="B192" s="1628"/>
      <c r="C192" s="1628"/>
      <c r="D192" s="2481"/>
      <c r="E192" s="2481"/>
      <c r="F192" s="2482">
        <f>F178+F185</f>
        <v>0</v>
      </c>
      <c r="G192" s="2482"/>
      <c r="H192" s="2482"/>
      <c r="I192" s="2482"/>
      <c r="J192" s="2482"/>
      <c r="K192" s="2482"/>
      <c r="L192" s="2482"/>
      <c r="M192" s="2482" t="s">
        <v>2027</v>
      </c>
      <c r="N192" s="2482"/>
      <c r="O192" s="2482"/>
      <c r="P192" s="2482"/>
      <c r="Q192" s="2477">
        <f>+F192/$F$181*100</f>
        <v>0</v>
      </c>
      <c r="R192" s="2477"/>
      <c r="S192" s="2477"/>
      <c r="T192" s="2477">
        <f>T185+T178</f>
        <v>0</v>
      </c>
      <c r="U192" s="2477"/>
      <c r="V192" s="2477"/>
      <c r="W192" s="2477"/>
      <c r="X192" s="2477"/>
      <c r="Y192" s="2477"/>
      <c r="Z192" s="2477"/>
      <c r="AA192" s="2477">
        <f>AA178+AA185</f>
        <v>0</v>
      </c>
      <c r="AB192" s="2477"/>
      <c r="AC192" s="2477"/>
      <c r="AD192" s="2477"/>
      <c r="AE192" s="2477"/>
      <c r="AF192" s="2477"/>
      <c r="AG192" s="2477"/>
      <c r="AH192" s="2477">
        <f>+AA192/$AA$187*100</f>
        <v>0</v>
      </c>
      <c r="AI192" s="2477"/>
      <c r="AJ192" s="2477"/>
      <c r="AK192" s="2477"/>
      <c r="AL192" s="2480"/>
      <c r="AM192" s="2480"/>
      <c r="AN192" s="2480"/>
      <c r="AO192" s="2480"/>
      <c r="AP192" s="2480"/>
      <c r="AQ192" s="1635"/>
    </row>
    <row r="193" spans="1:51" s="1886" customFormat="1" ht="19.5" customHeight="1">
      <c r="A193" s="1664"/>
      <c r="B193" s="1662"/>
      <c r="C193" s="1662"/>
      <c r="D193" s="2484" t="s">
        <v>3004</v>
      </c>
      <c r="E193" s="2484"/>
      <c r="F193" s="2485">
        <f>F179+F186</f>
        <v>18</v>
      </c>
      <c r="G193" s="2485"/>
      <c r="H193" s="2485"/>
      <c r="I193" s="2485"/>
      <c r="J193" s="2485"/>
      <c r="K193" s="2485"/>
      <c r="L193" s="2485"/>
      <c r="M193" s="2485" t="s">
        <v>3056</v>
      </c>
      <c r="N193" s="2485"/>
      <c r="O193" s="2485"/>
      <c r="P193" s="2485"/>
      <c r="Q193" s="2485"/>
      <c r="R193" s="2485"/>
      <c r="S193" s="2485"/>
      <c r="T193" s="2486">
        <f>T186+T179</f>
        <v>25476</v>
      </c>
      <c r="U193" s="2486"/>
      <c r="V193" s="2486"/>
      <c r="W193" s="2486"/>
      <c r="X193" s="2486"/>
      <c r="Y193" s="2486"/>
      <c r="Z193" s="2486"/>
      <c r="AA193" s="2486">
        <f>AA179+AA186</f>
        <v>12173.91559493696</v>
      </c>
      <c r="AB193" s="2486"/>
      <c r="AC193" s="2486"/>
      <c r="AD193" s="2486"/>
      <c r="AE193" s="2486"/>
      <c r="AF193" s="2486"/>
      <c r="AG193" s="2486"/>
      <c r="AH193" s="2472"/>
      <c r="AI193" s="2472"/>
      <c r="AJ193" s="2472"/>
      <c r="AK193" s="2472"/>
      <c r="AL193" s="2470"/>
      <c r="AM193" s="2470"/>
      <c r="AN193" s="2470"/>
      <c r="AO193" s="2470"/>
      <c r="AP193" s="2470"/>
      <c r="AQ193" s="1634"/>
    </row>
    <row r="194" spans="1:51" s="1023" customFormat="1" ht="24.75" customHeight="1">
      <c r="A194" s="1319"/>
      <c r="B194" s="1235"/>
      <c r="C194" s="1235"/>
      <c r="D194" s="2478" t="s">
        <v>3059</v>
      </c>
      <c r="E194" s="2478"/>
      <c r="F194" s="2479">
        <f>+F188+F193</f>
        <v>145</v>
      </c>
      <c r="G194" s="2479"/>
      <c r="H194" s="2479"/>
      <c r="I194" s="2479"/>
      <c r="J194" s="2479"/>
      <c r="K194" s="2479"/>
      <c r="L194" s="2479"/>
      <c r="M194" s="2464"/>
      <c r="N194" s="2465"/>
      <c r="O194" s="2465"/>
      <c r="P194" s="2466"/>
      <c r="Q194" s="2464"/>
      <c r="R194" s="2465"/>
      <c r="S194" s="2466"/>
      <c r="T194" s="2473">
        <f>+T188+T193</f>
        <v>516429</v>
      </c>
      <c r="U194" s="2473"/>
      <c r="V194" s="2473"/>
      <c r="W194" s="2473"/>
      <c r="X194" s="2473"/>
      <c r="Y194" s="2473"/>
      <c r="Z194" s="2473"/>
      <c r="AA194" s="2473">
        <f>+AA188+AA193</f>
        <v>247158.09110393416</v>
      </c>
      <c r="AB194" s="2473"/>
      <c r="AC194" s="2473"/>
      <c r="AD194" s="2473"/>
      <c r="AE194" s="2473"/>
      <c r="AF194" s="2473"/>
      <c r="AG194" s="2473"/>
      <c r="AH194" s="2467"/>
      <c r="AI194" s="2468"/>
      <c r="AJ194" s="2468"/>
      <c r="AK194" s="2469"/>
      <c r="AL194" s="2461"/>
      <c r="AM194" s="2462"/>
      <c r="AN194" s="2462"/>
      <c r="AO194" s="2462"/>
      <c r="AP194" s="2463"/>
      <c r="AR194" s="1060"/>
    </row>
    <row r="195" spans="1:51" s="1023" customFormat="1" ht="13.9" customHeight="1">
      <c r="A195" s="1319"/>
      <c r="B195" s="1235"/>
      <c r="C195" s="1235"/>
      <c r="D195" s="1235"/>
      <c r="E195" s="1284"/>
      <c r="F195" s="1284"/>
      <c r="G195" s="1284"/>
      <c r="H195" s="1284"/>
      <c r="I195" s="1284"/>
      <c r="J195" s="1284"/>
      <c r="K195" s="1284"/>
      <c r="L195" s="1284"/>
      <c r="M195" s="1284"/>
      <c r="N195" s="1284"/>
      <c r="O195" s="1284"/>
      <c r="P195" s="1284"/>
      <c r="Q195" s="1284"/>
      <c r="R195" s="1284"/>
      <c r="S195" s="1284"/>
      <c r="T195" s="1284"/>
      <c r="U195" s="1284"/>
      <c r="V195" s="1284"/>
      <c r="W195" s="1284"/>
      <c r="X195" s="1284"/>
      <c r="Y195" s="1284"/>
      <c r="Z195" s="1284"/>
      <c r="AA195" s="1284"/>
      <c r="AB195" s="1284"/>
      <c r="AC195" s="1284"/>
      <c r="AD195" s="1284"/>
      <c r="AE195" s="1284"/>
      <c r="AF195" s="1284"/>
      <c r="AG195" s="1284"/>
      <c r="AH195" s="1284"/>
      <c r="AI195" s="1284"/>
      <c r="AJ195" s="1284"/>
      <c r="AK195" s="1287"/>
      <c r="AL195" s="1287"/>
      <c r="AM195" s="1287"/>
      <c r="AN195" s="1287"/>
      <c r="AO195" s="1287"/>
      <c r="AP195" s="1284"/>
      <c r="AQ195" s="1284"/>
      <c r="AS195" s="1060"/>
    </row>
    <row r="196" spans="1:51" s="411" customFormat="1" ht="16.5">
      <c r="A196" s="1044"/>
      <c r="B196" s="1044"/>
      <c r="C196" s="1044"/>
      <c r="D196" s="1221"/>
      <c r="E196" s="1231"/>
      <c r="F196" s="1231"/>
      <c r="G196" s="1047"/>
      <c r="H196" s="1047"/>
      <c r="I196" s="1047"/>
      <c r="J196" s="1047"/>
      <c r="K196" s="1047"/>
      <c r="L196" s="1047"/>
      <c r="M196" s="1047"/>
      <c r="N196" s="1047"/>
      <c r="O196" s="1047"/>
      <c r="P196" s="1055"/>
      <c r="Q196" s="1055"/>
      <c r="R196" s="1055"/>
      <c r="S196" s="1055"/>
      <c r="T196" s="1047"/>
      <c r="U196" s="1047"/>
      <c r="V196" s="1047"/>
      <c r="W196" s="1047"/>
      <c r="X196" s="1047"/>
      <c r="Y196" s="1232"/>
      <c r="Z196" s="1232"/>
      <c r="AB196" s="1232"/>
      <c r="AC196" s="1232"/>
      <c r="AD196" s="2458" t="s">
        <v>3392</v>
      </c>
      <c r="AE196" s="2458"/>
      <c r="AF196" s="2458"/>
      <c r="AG196" s="2458"/>
      <c r="AH196" s="2458"/>
      <c r="AI196" s="2458"/>
      <c r="AJ196" s="2458"/>
      <c r="AK196" s="2458"/>
      <c r="AL196" s="2458"/>
      <c r="AM196" s="2458"/>
      <c r="AN196" s="2458"/>
      <c r="AO196" s="2458"/>
      <c r="AP196" s="2458"/>
      <c r="AQ196" s="2458"/>
      <c r="AR196" s="2458"/>
      <c r="AS196" s="1321"/>
      <c r="AT196" s="1321"/>
      <c r="AU196" s="1232"/>
      <c r="AV196" s="1232"/>
      <c r="AW196" s="1232"/>
      <c r="AY196" s="1229"/>
    </row>
    <row r="197" spans="1:51" s="71" customFormat="1">
      <c r="A197" s="2460" t="s">
        <v>614</v>
      </c>
      <c r="B197" s="2460"/>
      <c r="C197" s="2460"/>
      <c r="D197" s="2460"/>
      <c r="F197" s="2459" t="s">
        <v>1945</v>
      </c>
      <c r="G197" s="2459"/>
      <c r="H197" s="2459"/>
      <c r="I197" s="2459"/>
      <c r="J197" s="2459"/>
      <c r="K197" s="2459"/>
      <c r="L197" s="2459"/>
      <c r="O197" s="2460" t="s">
        <v>616</v>
      </c>
      <c r="P197" s="2460"/>
      <c r="Q197" s="2460"/>
      <c r="R197" s="2460"/>
      <c r="S197" s="2460"/>
      <c r="T197" s="2460"/>
      <c r="U197" s="1283"/>
      <c r="W197" s="2460" t="s">
        <v>3002</v>
      </c>
      <c r="X197" s="2460"/>
      <c r="Y197" s="2460"/>
      <c r="Z197" s="2460"/>
      <c r="AA197" s="2460"/>
      <c r="AB197" s="2460"/>
      <c r="AC197" s="2460"/>
      <c r="AE197" s="2460" t="s">
        <v>2988</v>
      </c>
      <c r="AF197" s="2460"/>
      <c r="AG197" s="2460"/>
      <c r="AH197" s="2460"/>
      <c r="AI197" s="2460"/>
      <c r="AJ197" s="2460"/>
      <c r="AK197" s="2459" t="s">
        <v>612</v>
      </c>
      <c r="AL197" s="2459"/>
      <c r="AM197" s="2459"/>
      <c r="AN197" s="2459"/>
      <c r="AO197" s="2459"/>
      <c r="AP197" s="2459"/>
      <c r="AQ197" s="2459"/>
      <c r="AR197" s="2459"/>
    </row>
    <row r="198" spans="1:51">
      <c r="A198" s="1050"/>
      <c r="B198" s="1044"/>
      <c r="C198" s="1044"/>
      <c r="D198" s="1044"/>
      <c r="E198" s="142"/>
      <c r="F198" s="1044"/>
      <c r="G198" s="1044"/>
      <c r="H198" s="1044"/>
      <c r="I198" s="1044"/>
      <c r="J198" s="1044"/>
      <c r="K198" s="1031"/>
      <c r="L198" s="1047"/>
      <c r="M198" s="1047"/>
      <c r="N198" s="1047"/>
      <c r="O198" s="1047"/>
      <c r="P198" s="1047"/>
      <c r="Q198" s="1047"/>
      <c r="R198" s="1053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58"/>
      <c r="AF198" s="1058"/>
      <c r="AG198" s="1058"/>
      <c r="AH198" s="1058"/>
      <c r="AI198" s="1058"/>
      <c r="AJ198" s="1058"/>
      <c r="AK198" s="142"/>
      <c r="AL198" s="142"/>
      <c r="AM198" s="142"/>
      <c r="AN198" s="142"/>
      <c r="AO198" s="142"/>
      <c r="AP198" s="142"/>
      <c r="AQ198" s="142"/>
    </row>
    <row r="199" spans="1:51">
      <c r="A199" s="1050"/>
      <c r="B199" s="1044"/>
      <c r="C199" s="1044"/>
      <c r="D199" s="1044"/>
      <c r="E199" s="142"/>
      <c r="F199" s="1050"/>
      <c r="G199" s="1044"/>
      <c r="H199" s="1050"/>
      <c r="I199" s="1050"/>
      <c r="J199" s="1050"/>
      <c r="K199" s="1031"/>
      <c r="L199" s="1047"/>
      <c r="M199" s="1047"/>
      <c r="N199" s="1055"/>
      <c r="O199" s="1047"/>
      <c r="P199" s="1047"/>
      <c r="Q199" s="1047"/>
      <c r="R199" s="1053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58"/>
      <c r="AF199" s="1058"/>
      <c r="AG199" s="1058"/>
      <c r="AH199" s="1058"/>
      <c r="AI199" s="1058"/>
      <c r="AJ199" s="1058"/>
      <c r="AK199" s="142"/>
      <c r="AL199" s="142"/>
      <c r="AM199" s="142"/>
      <c r="AN199" s="142"/>
      <c r="AO199" s="142"/>
      <c r="AP199" s="142"/>
      <c r="AQ199" s="142"/>
    </row>
    <row r="200" spans="1:51">
      <c r="A200" s="1050"/>
      <c r="B200" s="1044"/>
      <c r="C200" s="1044"/>
      <c r="D200" s="1044"/>
      <c r="E200" s="1055"/>
      <c r="F200" s="1047"/>
      <c r="G200" s="1047"/>
      <c r="H200" s="1047"/>
      <c r="I200" s="1047"/>
      <c r="J200" s="1047"/>
      <c r="K200" s="1031"/>
      <c r="L200" s="1047"/>
      <c r="M200" s="1047"/>
      <c r="N200" s="1047"/>
      <c r="O200" s="1047"/>
      <c r="P200" s="1047"/>
      <c r="Q200" s="1047"/>
      <c r="R200" s="1053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58"/>
      <c r="AF200" s="1058"/>
      <c r="AG200" s="1058"/>
      <c r="AH200" s="1058"/>
      <c r="AI200" s="1058"/>
      <c r="AJ200" s="1058"/>
      <c r="AK200" s="1055"/>
      <c r="AL200" s="1055"/>
      <c r="AM200" s="1055"/>
      <c r="AN200" s="1055"/>
      <c r="AO200" s="1055"/>
      <c r="AP200" s="1055"/>
      <c r="AQ200" s="1055"/>
    </row>
    <row r="201" spans="1:51">
      <c r="A201" s="1050"/>
      <c r="B201" s="1044"/>
      <c r="C201" s="1044"/>
      <c r="D201" s="1044"/>
      <c r="E201" s="1055"/>
      <c r="F201" s="1047"/>
      <c r="G201" s="1047"/>
      <c r="H201" s="1047"/>
      <c r="I201" s="1047"/>
      <c r="J201" s="1047"/>
      <c r="K201" s="1031"/>
      <c r="L201" s="1047"/>
      <c r="M201" s="1047"/>
      <c r="N201" s="1047"/>
      <c r="O201" s="1047"/>
      <c r="P201" s="1047"/>
      <c r="Q201" s="1047"/>
      <c r="R201" s="1053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58"/>
      <c r="AF201" s="1058"/>
      <c r="AG201" s="1058"/>
      <c r="AH201" s="1058"/>
      <c r="AI201" s="1058"/>
      <c r="AJ201" s="1058"/>
      <c r="AK201" s="1055"/>
      <c r="AL201" s="1055"/>
      <c r="AM201" s="1055"/>
      <c r="AN201" s="1055"/>
      <c r="AO201" s="1055"/>
      <c r="AP201" s="1055"/>
      <c r="AQ201" s="1055"/>
    </row>
    <row r="202" spans="1:51" s="51" customFormat="1">
      <c r="A202" s="1050"/>
      <c r="B202" s="1051"/>
      <c r="C202" s="1051"/>
      <c r="D202" s="1051"/>
      <c r="E202" s="1044"/>
      <c r="F202" s="1047"/>
      <c r="G202" s="1047"/>
      <c r="H202" s="1047"/>
      <c r="I202" s="1047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4"/>
      <c r="AL202" s="1044"/>
      <c r="AM202" s="1044"/>
      <c r="AN202" s="1044"/>
      <c r="AO202" s="1044"/>
      <c r="AP202" s="1044"/>
      <c r="AQ202" s="1044"/>
    </row>
    <row r="203" spans="1:51" s="51" customFormat="1">
      <c r="A203" s="1050"/>
      <c r="B203" s="1051"/>
      <c r="C203" s="1051"/>
      <c r="D203" s="1051"/>
      <c r="E203" s="1051"/>
      <c r="F203" s="1052"/>
      <c r="G203" s="1052"/>
      <c r="H203" s="1052"/>
      <c r="I203" s="1052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1"/>
      <c r="AL203" s="1051"/>
      <c r="AM203" s="1051"/>
      <c r="AN203" s="1051"/>
      <c r="AO203" s="1051"/>
      <c r="AP203" s="1051"/>
      <c r="AQ203" s="1051"/>
    </row>
    <row r="204" spans="1:51" s="51" customFormat="1">
      <c r="A204" s="1050"/>
      <c r="B204" s="1051"/>
      <c r="C204" s="1051"/>
      <c r="D204" s="1051"/>
      <c r="E204" s="1051"/>
      <c r="F204" s="1052"/>
      <c r="G204" s="1052"/>
      <c r="H204" s="1052"/>
      <c r="I204" s="1052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2499"/>
      <c r="AL204" s="2499"/>
      <c r="AM204" s="2499"/>
      <c r="AN204" s="2499"/>
      <c r="AO204" s="2499"/>
      <c r="AP204" s="2499"/>
      <c r="AQ204" s="1051"/>
    </row>
    <row r="205" spans="1:51" s="51" customFormat="1">
      <c r="A205" s="1050"/>
      <c r="B205" s="1051"/>
      <c r="C205" s="1051"/>
      <c r="D205" s="1051"/>
      <c r="E205" s="1051"/>
      <c r="F205" s="1052"/>
      <c r="G205" s="1052"/>
      <c r="H205" s="1052"/>
      <c r="I205" s="1052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1"/>
      <c r="AL205" s="1051"/>
      <c r="AM205" s="1051"/>
      <c r="AN205" s="1051"/>
      <c r="AO205" s="1051"/>
      <c r="AP205" s="1051"/>
      <c r="AQ205" s="1051"/>
    </row>
    <row r="206" spans="1:51" s="51" customFormat="1">
      <c r="A206" s="1050"/>
      <c r="B206" s="1051"/>
      <c r="C206" s="1051"/>
      <c r="D206" s="1051"/>
      <c r="E206" s="1051"/>
      <c r="F206" s="1052"/>
      <c r="G206" s="1052"/>
      <c r="H206" s="1052"/>
      <c r="I206" s="1052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1"/>
      <c r="AL206" s="1051"/>
      <c r="AM206" s="1051"/>
      <c r="AN206" s="1051"/>
      <c r="AO206" s="1051"/>
      <c r="AP206" s="1051"/>
      <c r="AQ206" s="1051"/>
    </row>
    <row r="207" spans="1:51" s="51" customFormat="1">
      <c r="A207" s="1050"/>
      <c r="B207" s="1051"/>
      <c r="C207" s="1051"/>
      <c r="D207" s="1051"/>
      <c r="E207" s="1051"/>
      <c r="F207" s="1052"/>
      <c r="G207" s="1052"/>
      <c r="H207" s="1052"/>
      <c r="I207" s="1052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1"/>
      <c r="AL207" s="1051"/>
      <c r="AM207" s="1051"/>
      <c r="AN207" s="1051"/>
      <c r="AO207" s="1051"/>
      <c r="AP207" s="1051"/>
      <c r="AQ207" s="1051"/>
    </row>
    <row r="208" spans="1:51" s="51" customFormat="1">
      <c r="A208" s="1050"/>
      <c r="B208" s="1051"/>
      <c r="C208" s="1051"/>
      <c r="D208" s="1051"/>
      <c r="E208" s="1051"/>
      <c r="F208" s="1052"/>
      <c r="G208" s="1052"/>
      <c r="H208" s="1052"/>
      <c r="I208" s="1052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52"/>
      <c r="AF208" s="1052"/>
      <c r="AG208" s="1052"/>
      <c r="AH208" s="1052"/>
      <c r="AI208" s="1052"/>
      <c r="AJ208" s="1052"/>
      <c r="AK208" s="1051"/>
      <c r="AL208" s="1051"/>
      <c r="AM208" s="1051"/>
      <c r="AN208" s="1051"/>
      <c r="AO208" s="1051"/>
      <c r="AP208" s="1051"/>
      <c r="AQ208" s="1051"/>
    </row>
    <row r="209" spans="1:43" s="51" customFormat="1">
      <c r="A209" s="1050"/>
      <c r="B209" s="1051"/>
      <c r="C209" s="1051"/>
      <c r="D209" s="1051"/>
      <c r="E209" s="1051"/>
      <c r="F209" s="1052"/>
      <c r="G209" s="1052"/>
      <c r="H209" s="1052"/>
      <c r="I209" s="1052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52"/>
      <c r="AF209" s="1052"/>
      <c r="AG209" s="1052"/>
      <c r="AH209" s="1052"/>
      <c r="AI209" s="1052"/>
      <c r="AJ209" s="1052"/>
      <c r="AK209" s="1051"/>
      <c r="AL209" s="1051"/>
      <c r="AM209" s="1051"/>
      <c r="AN209" s="1051"/>
      <c r="AO209" s="1051"/>
      <c r="AP209" s="1051"/>
      <c r="AQ209" s="1051"/>
    </row>
    <row r="210" spans="1:43" s="51" customFormat="1">
      <c r="A210" s="1050"/>
      <c r="B210" s="1051"/>
      <c r="C210" s="1051"/>
      <c r="D210" s="1051"/>
      <c r="E210" s="1051"/>
      <c r="F210" s="1052"/>
      <c r="G210" s="1052"/>
      <c r="H210" s="1052"/>
      <c r="I210" s="1052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52"/>
      <c r="AF210" s="1052"/>
      <c r="AG210" s="1052"/>
      <c r="AH210" s="1052"/>
      <c r="AI210" s="1052"/>
      <c r="AJ210" s="1052"/>
      <c r="AK210" s="1051"/>
      <c r="AL210" s="1051"/>
      <c r="AM210" s="1051"/>
      <c r="AN210" s="1051"/>
      <c r="AO210" s="1051"/>
      <c r="AP210" s="1051"/>
      <c r="AQ210" s="1051"/>
    </row>
    <row r="211" spans="1:43" s="51" customFormat="1">
      <c r="A211" s="1050"/>
      <c r="B211" s="1051"/>
      <c r="C211" s="1051"/>
      <c r="D211" s="1051"/>
      <c r="E211" s="1051"/>
      <c r="F211" s="1052"/>
      <c r="G211" s="1052"/>
      <c r="H211" s="1052"/>
      <c r="I211" s="1052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52"/>
      <c r="AF211" s="1052"/>
      <c r="AG211" s="1052"/>
      <c r="AH211" s="1052"/>
      <c r="AI211" s="1052"/>
      <c r="AJ211" s="1052"/>
      <c r="AK211" s="1051"/>
      <c r="AL211" s="1051"/>
      <c r="AM211" s="1051"/>
      <c r="AN211" s="1051"/>
      <c r="AO211" s="1051"/>
      <c r="AP211" s="1051"/>
      <c r="AQ211" s="1051"/>
    </row>
    <row r="212" spans="1:43" s="51" customFormat="1">
      <c r="A212" s="1050"/>
      <c r="B212" s="1051"/>
      <c r="C212" s="1051"/>
      <c r="D212" s="1051"/>
      <c r="E212" s="1051"/>
      <c r="F212" s="1052"/>
      <c r="G212" s="1052"/>
      <c r="H212" s="1052"/>
      <c r="I212" s="1052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52"/>
      <c r="AF212" s="1052"/>
      <c r="AG212" s="1052"/>
      <c r="AH212" s="1052"/>
      <c r="AI212" s="1052"/>
      <c r="AJ212" s="1052"/>
      <c r="AK212" s="1051"/>
      <c r="AL212" s="1051"/>
      <c r="AM212" s="1051"/>
      <c r="AN212" s="1051"/>
      <c r="AO212" s="1051"/>
      <c r="AP212" s="1051"/>
      <c r="AQ212" s="1051"/>
    </row>
    <row r="213" spans="1:43" s="51" customFormat="1">
      <c r="A213" s="1050"/>
      <c r="B213" s="1051"/>
      <c r="C213" s="1051"/>
      <c r="D213" s="1051"/>
      <c r="E213" s="1051"/>
      <c r="F213" s="1051"/>
      <c r="G213" s="1051"/>
      <c r="H213" s="1051"/>
      <c r="I213" s="1052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52"/>
      <c r="AF213" s="1052"/>
      <c r="AG213" s="1052"/>
      <c r="AH213" s="1052"/>
      <c r="AI213" s="1052"/>
      <c r="AJ213" s="1052"/>
      <c r="AK213" s="1051"/>
      <c r="AL213" s="1051"/>
      <c r="AM213" s="1051"/>
      <c r="AN213" s="1051"/>
      <c r="AO213" s="1051"/>
      <c r="AP213" s="1051"/>
      <c r="AQ213" s="1051"/>
    </row>
    <row r="214" spans="1:43" s="51" customFormat="1">
      <c r="A214" s="1050"/>
      <c r="B214" s="1051"/>
      <c r="C214" s="1051"/>
      <c r="D214" s="1051"/>
      <c r="E214" s="1051"/>
      <c r="F214" s="1051"/>
      <c r="G214" s="1051"/>
      <c r="H214" s="1051"/>
      <c r="I214" s="1052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52"/>
      <c r="AF214" s="1052"/>
      <c r="AG214" s="1052"/>
      <c r="AH214" s="1052"/>
      <c r="AI214" s="1052"/>
      <c r="AJ214" s="1052"/>
      <c r="AK214" s="1051"/>
      <c r="AL214" s="1051"/>
      <c r="AM214" s="1051"/>
      <c r="AN214" s="1051"/>
      <c r="AO214" s="1051"/>
      <c r="AP214" s="1051"/>
      <c r="AQ214" s="1051"/>
    </row>
    <row r="215" spans="1:43" s="51" customFormat="1">
      <c r="A215" s="1050"/>
      <c r="B215" s="1051"/>
      <c r="C215" s="1051"/>
      <c r="D215" s="1051"/>
      <c r="E215" s="1051"/>
      <c r="F215" s="1051"/>
      <c r="G215" s="1051"/>
      <c r="H215" s="1051"/>
      <c r="I215" s="1052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52"/>
      <c r="AF215" s="1052"/>
      <c r="AG215" s="1052"/>
      <c r="AH215" s="1052"/>
      <c r="AI215" s="1052"/>
      <c r="AJ215" s="1052"/>
      <c r="AK215" s="1051"/>
      <c r="AL215" s="1051"/>
      <c r="AM215" s="1051"/>
      <c r="AN215" s="1051"/>
      <c r="AO215" s="1051"/>
      <c r="AP215" s="1051"/>
      <c r="AQ215" s="1051"/>
    </row>
    <row r="216" spans="1:43" s="51" customFormat="1">
      <c r="A216" s="1050"/>
      <c r="B216" s="1051"/>
      <c r="C216" s="1051"/>
      <c r="D216" s="1051"/>
      <c r="E216" s="1051"/>
      <c r="F216" s="1051"/>
      <c r="G216" s="1051"/>
      <c r="H216" s="1051"/>
      <c r="I216" s="1052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52"/>
      <c r="AF216" s="1052"/>
      <c r="AG216" s="1052"/>
      <c r="AH216" s="1052"/>
      <c r="AI216" s="1052"/>
      <c r="AJ216" s="1052"/>
      <c r="AK216" s="1051"/>
      <c r="AL216" s="1051"/>
      <c r="AM216" s="1051"/>
      <c r="AN216" s="1051"/>
      <c r="AO216" s="1051"/>
      <c r="AP216" s="1051"/>
      <c r="AQ216" s="1051"/>
    </row>
    <row r="217" spans="1:43" s="51" customFormat="1">
      <c r="A217" s="1050"/>
      <c r="B217" s="1051"/>
      <c r="C217" s="1051"/>
      <c r="D217" s="1051"/>
      <c r="E217" s="1051"/>
      <c r="F217" s="1051"/>
      <c r="G217" s="1051"/>
      <c r="H217" s="1051"/>
      <c r="I217" s="1052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52"/>
      <c r="AF217" s="1052"/>
      <c r="AG217" s="1052"/>
      <c r="AH217" s="1052"/>
      <c r="AI217" s="1052"/>
      <c r="AJ217" s="1052"/>
      <c r="AK217" s="1051"/>
      <c r="AL217" s="1051"/>
      <c r="AM217" s="1051"/>
      <c r="AN217" s="1051"/>
      <c r="AO217" s="1051"/>
      <c r="AP217" s="1051"/>
      <c r="AQ217" s="1051"/>
    </row>
    <row r="218" spans="1:43" s="51" customFormat="1">
      <c r="A218" s="1050"/>
      <c r="B218" s="1051"/>
      <c r="C218" s="1051"/>
      <c r="D218" s="1051"/>
      <c r="E218" s="1051"/>
      <c r="F218" s="1051"/>
      <c r="G218" s="1051"/>
      <c r="H218" s="1051"/>
      <c r="I218" s="1052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52"/>
      <c r="AF218" s="1052"/>
      <c r="AG218" s="1052"/>
      <c r="AH218" s="1052"/>
      <c r="AI218" s="1052"/>
      <c r="AJ218" s="1052"/>
      <c r="AK218" s="1051"/>
      <c r="AL218" s="1051"/>
      <c r="AM218" s="1051"/>
      <c r="AN218" s="1051"/>
      <c r="AO218" s="1051"/>
      <c r="AP218" s="1051"/>
      <c r="AQ218" s="1051"/>
    </row>
    <row r="219" spans="1:43" s="51" customFormat="1">
      <c r="A219" s="1050"/>
      <c r="B219" s="1051"/>
      <c r="C219" s="1051"/>
      <c r="D219" s="1051"/>
      <c r="E219" s="1051"/>
      <c r="F219" s="1051"/>
      <c r="G219" s="1051"/>
      <c r="H219" s="1051"/>
      <c r="I219" s="1052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52"/>
      <c r="AF219" s="1052"/>
      <c r="AG219" s="1052"/>
      <c r="AH219" s="1052"/>
      <c r="AI219" s="1052"/>
      <c r="AJ219" s="1052"/>
      <c r="AK219" s="1051"/>
      <c r="AL219" s="1051"/>
      <c r="AM219" s="1051"/>
      <c r="AN219" s="1051"/>
      <c r="AO219" s="1051"/>
      <c r="AP219" s="1051"/>
      <c r="AQ219" s="1051"/>
    </row>
    <row r="220" spans="1:43" s="51" customFormat="1">
      <c r="A220" s="1050"/>
      <c r="B220" s="1051"/>
      <c r="C220" s="1051"/>
      <c r="D220" s="1051"/>
      <c r="E220" s="1051"/>
      <c r="F220" s="1051"/>
      <c r="G220" s="1051"/>
      <c r="H220" s="1051"/>
      <c r="I220" s="1052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52"/>
      <c r="AF220" s="1052"/>
      <c r="AG220" s="1052"/>
      <c r="AH220" s="1052"/>
      <c r="AI220" s="1052"/>
      <c r="AJ220" s="1052"/>
      <c r="AK220" s="1051"/>
      <c r="AL220" s="1051"/>
      <c r="AM220" s="1051"/>
      <c r="AN220" s="1051"/>
      <c r="AO220" s="1051"/>
      <c r="AP220" s="1051"/>
      <c r="AQ220" s="1051"/>
    </row>
    <row r="221" spans="1:43" s="51" customFormat="1">
      <c r="A221" s="1050"/>
      <c r="B221" s="1051"/>
      <c r="C221" s="1051"/>
      <c r="D221" s="1051"/>
      <c r="E221" s="1051"/>
      <c r="F221" s="1051"/>
      <c r="G221" s="1051"/>
      <c r="H221" s="1051"/>
      <c r="I221" s="1052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52"/>
      <c r="AF221" s="1052"/>
      <c r="AG221" s="1052"/>
      <c r="AH221" s="1052"/>
      <c r="AI221" s="1052"/>
      <c r="AJ221" s="1052"/>
      <c r="AK221" s="1051"/>
      <c r="AL221" s="1051"/>
      <c r="AM221" s="1051"/>
      <c r="AN221" s="1051"/>
      <c r="AO221" s="1051"/>
      <c r="AP221" s="1051"/>
      <c r="AQ221" s="1051"/>
    </row>
    <row r="222" spans="1:43" s="51" customFormat="1">
      <c r="A222" s="1050"/>
      <c r="B222" s="1051"/>
      <c r="C222" s="1051"/>
      <c r="D222" s="1051"/>
      <c r="E222" s="1051"/>
      <c r="F222" s="1051"/>
      <c r="G222" s="1051"/>
      <c r="H222" s="1051"/>
      <c r="I222" s="1052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52"/>
      <c r="AF222" s="1052"/>
      <c r="AG222" s="1052"/>
      <c r="AH222" s="1052"/>
      <c r="AI222" s="1052"/>
      <c r="AJ222" s="1052"/>
      <c r="AK222" s="1051"/>
      <c r="AL222" s="1051"/>
      <c r="AM222" s="1051"/>
      <c r="AN222" s="1051"/>
      <c r="AO222" s="1051"/>
      <c r="AP222" s="1051"/>
      <c r="AQ222" s="1051"/>
    </row>
    <row r="223" spans="1:43" s="51" customFormat="1">
      <c r="A223" s="1050"/>
      <c r="B223" s="1051"/>
      <c r="C223" s="1051"/>
      <c r="D223" s="1051"/>
      <c r="E223" s="1051"/>
      <c r="F223" s="1051"/>
      <c r="G223" s="1051"/>
      <c r="H223" s="1051"/>
      <c r="I223" s="1052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52"/>
      <c r="AF223" s="1052"/>
      <c r="AG223" s="1052"/>
      <c r="AH223" s="1052"/>
      <c r="AI223" s="1052"/>
      <c r="AJ223" s="1052"/>
      <c r="AK223" s="1051"/>
      <c r="AL223" s="1051"/>
      <c r="AM223" s="1051"/>
      <c r="AN223" s="1051"/>
      <c r="AO223" s="1051"/>
      <c r="AP223" s="1051"/>
      <c r="AQ223" s="1051"/>
    </row>
    <row r="224" spans="1:43" s="51" customFormat="1">
      <c r="A224" s="1050"/>
      <c r="B224" s="1051"/>
      <c r="C224" s="1051"/>
      <c r="D224" s="1051"/>
      <c r="E224" s="1051"/>
      <c r="F224" s="1051"/>
      <c r="G224" s="1051"/>
      <c r="H224" s="1051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52"/>
      <c r="AF224" s="1052"/>
      <c r="AG224" s="1052"/>
      <c r="AH224" s="1052"/>
      <c r="AI224" s="1052"/>
      <c r="AJ224" s="1052"/>
      <c r="AK224" s="1051"/>
      <c r="AL224" s="1051"/>
      <c r="AM224" s="1051"/>
      <c r="AN224" s="1051"/>
      <c r="AO224" s="1051"/>
      <c r="AP224" s="1051"/>
      <c r="AQ224" s="1051"/>
    </row>
    <row r="225" spans="1:43" s="51" customFormat="1">
      <c r="A225" s="1050"/>
      <c r="B225" s="1051"/>
      <c r="C225" s="1051"/>
      <c r="D225" s="1051"/>
      <c r="E225" s="1051"/>
      <c r="F225" s="1051"/>
      <c r="G225" s="1051"/>
      <c r="H225" s="1051"/>
      <c r="I225" s="1052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52"/>
      <c r="AF225" s="1052"/>
      <c r="AG225" s="1052"/>
      <c r="AH225" s="1052"/>
      <c r="AI225" s="1052"/>
      <c r="AJ225" s="1052"/>
      <c r="AK225" s="1051"/>
      <c r="AL225" s="1051"/>
      <c r="AM225" s="1051"/>
      <c r="AN225" s="1051"/>
      <c r="AO225" s="1051"/>
      <c r="AP225" s="1051"/>
      <c r="AQ225" s="1051"/>
    </row>
    <row r="226" spans="1:43" s="51" customFormat="1">
      <c r="A226" s="1050"/>
      <c r="B226" s="1051"/>
      <c r="C226" s="1051"/>
      <c r="D226" s="1051"/>
      <c r="E226" s="1051"/>
      <c r="F226" s="1051"/>
      <c r="G226" s="1051"/>
      <c r="H226" s="1051"/>
      <c r="I226" s="1052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52"/>
      <c r="AF226" s="1052"/>
      <c r="AG226" s="1052"/>
      <c r="AH226" s="1052"/>
      <c r="AI226" s="1052"/>
      <c r="AJ226" s="1052"/>
      <c r="AK226" s="1051"/>
      <c r="AL226" s="1051"/>
      <c r="AM226" s="1051"/>
      <c r="AN226" s="1051"/>
      <c r="AO226" s="1051"/>
      <c r="AP226" s="1051"/>
      <c r="AQ226" s="1051"/>
    </row>
    <row r="227" spans="1:43" s="51" customFormat="1">
      <c r="A227" s="1050"/>
      <c r="B227" s="1051"/>
      <c r="C227" s="1051"/>
      <c r="D227" s="1051"/>
      <c r="E227" s="1051"/>
      <c r="F227" s="1051"/>
      <c r="G227" s="1051"/>
      <c r="H227" s="1051"/>
      <c r="I227" s="1052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52"/>
      <c r="AF227" s="1052"/>
      <c r="AG227" s="1052"/>
      <c r="AH227" s="1052"/>
      <c r="AI227" s="1052"/>
      <c r="AJ227" s="1052"/>
      <c r="AK227" s="1051"/>
      <c r="AL227" s="1051"/>
      <c r="AM227" s="1051"/>
      <c r="AN227" s="1051"/>
      <c r="AO227" s="1051"/>
      <c r="AP227" s="1051"/>
      <c r="AQ227" s="1051"/>
    </row>
    <row r="228" spans="1:43" s="51" customFormat="1">
      <c r="A228" s="1050"/>
      <c r="B228" s="1051"/>
      <c r="C228" s="1051"/>
      <c r="D228" s="1051"/>
      <c r="E228" s="1051"/>
      <c r="F228" s="1051"/>
      <c r="G228" s="1051"/>
      <c r="H228" s="1051"/>
      <c r="I228" s="1052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52"/>
      <c r="AF228" s="1052"/>
      <c r="AG228" s="1052"/>
      <c r="AH228" s="1052"/>
      <c r="AI228" s="1052"/>
      <c r="AJ228" s="1052"/>
      <c r="AK228" s="1051"/>
      <c r="AL228" s="1051"/>
      <c r="AM228" s="1051"/>
      <c r="AN228" s="1051"/>
      <c r="AO228" s="1051"/>
      <c r="AP228" s="1051"/>
      <c r="AQ228" s="1051"/>
    </row>
    <row r="229" spans="1:43" s="51" customFormat="1">
      <c r="A229" s="1050"/>
      <c r="B229" s="1051"/>
      <c r="C229" s="1051"/>
      <c r="D229" s="1051"/>
      <c r="E229" s="1051"/>
      <c r="F229" s="1051"/>
      <c r="G229" s="1051"/>
      <c r="H229" s="1051"/>
      <c r="I229" s="1052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52"/>
      <c r="AF229" s="1052"/>
      <c r="AG229" s="1052"/>
      <c r="AH229" s="1052"/>
      <c r="AI229" s="1052"/>
      <c r="AJ229" s="1052"/>
      <c r="AK229" s="1051"/>
      <c r="AL229" s="1051"/>
      <c r="AM229" s="1051"/>
      <c r="AN229" s="1051"/>
      <c r="AO229" s="1051"/>
      <c r="AP229" s="1051"/>
      <c r="AQ229" s="1051"/>
    </row>
    <row r="230" spans="1:43" s="51" customFormat="1">
      <c r="A230" s="1050"/>
      <c r="B230" s="1051"/>
      <c r="C230" s="1051"/>
      <c r="D230" s="1051"/>
      <c r="E230" s="1051"/>
      <c r="F230" s="1051"/>
      <c r="G230" s="1051"/>
      <c r="H230" s="1051"/>
      <c r="I230" s="1052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52"/>
      <c r="AF230" s="1052"/>
      <c r="AG230" s="1052"/>
      <c r="AH230" s="1052"/>
      <c r="AI230" s="1052"/>
      <c r="AJ230" s="1052"/>
      <c r="AK230" s="1051"/>
      <c r="AL230" s="1051"/>
      <c r="AM230" s="1051"/>
      <c r="AN230" s="1051"/>
      <c r="AO230" s="1051"/>
      <c r="AP230" s="1051"/>
      <c r="AQ230" s="1051"/>
    </row>
    <row r="231" spans="1:43" s="51" customFormat="1">
      <c r="A231" s="1050"/>
      <c r="B231" s="1051"/>
      <c r="C231" s="1051"/>
      <c r="D231" s="1051"/>
      <c r="E231" s="1051"/>
      <c r="F231" s="1051"/>
      <c r="G231" s="1051"/>
      <c r="H231" s="1051"/>
      <c r="I231" s="1052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52"/>
      <c r="AF231" s="1052"/>
      <c r="AG231" s="1052"/>
      <c r="AH231" s="1052"/>
      <c r="AI231" s="1052"/>
      <c r="AJ231" s="1052"/>
      <c r="AK231" s="1051"/>
      <c r="AL231" s="1051"/>
      <c r="AM231" s="1051"/>
      <c r="AN231" s="1051"/>
      <c r="AO231" s="1051"/>
      <c r="AP231" s="1051"/>
      <c r="AQ231" s="1051"/>
    </row>
    <row r="232" spans="1:43" s="51" customFormat="1">
      <c r="A232" s="1050"/>
      <c r="B232" s="1051"/>
      <c r="C232" s="1051"/>
      <c r="D232" s="1051"/>
      <c r="E232" s="1051"/>
      <c r="F232" s="1051"/>
      <c r="G232" s="1051"/>
      <c r="H232" s="1051"/>
      <c r="I232" s="1052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52"/>
      <c r="AF232" s="1052"/>
      <c r="AG232" s="1052"/>
      <c r="AH232" s="1052"/>
      <c r="AI232" s="1052"/>
      <c r="AJ232" s="1052"/>
      <c r="AK232" s="1051"/>
      <c r="AL232" s="1051"/>
      <c r="AM232" s="1051"/>
      <c r="AN232" s="1051"/>
      <c r="AO232" s="1051"/>
      <c r="AP232" s="1051"/>
      <c r="AQ232" s="1051"/>
    </row>
    <row r="233" spans="1:43" s="51" customFormat="1">
      <c r="A233" s="1050"/>
      <c r="B233" s="1051"/>
      <c r="C233" s="1051"/>
      <c r="D233" s="1051"/>
      <c r="E233" s="1051"/>
      <c r="F233" s="1051"/>
      <c r="G233" s="1051"/>
      <c r="H233" s="1051"/>
      <c r="I233" s="1052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52"/>
      <c r="AF233" s="1052"/>
      <c r="AG233" s="1052"/>
      <c r="AH233" s="1052"/>
      <c r="AI233" s="1052"/>
      <c r="AJ233" s="1052"/>
      <c r="AK233" s="1051"/>
      <c r="AL233" s="1051"/>
      <c r="AM233" s="1051"/>
      <c r="AN233" s="1051"/>
      <c r="AO233" s="1051"/>
      <c r="AP233" s="1051"/>
      <c r="AQ233" s="1051"/>
    </row>
    <row r="234" spans="1:43" s="51" customFormat="1">
      <c r="A234" s="1050"/>
      <c r="B234" s="1051"/>
      <c r="C234" s="1051"/>
      <c r="D234" s="1051"/>
      <c r="E234" s="1051"/>
      <c r="F234" s="1051"/>
      <c r="G234" s="1051"/>
      <c r="H234" s="1051"/>
      <c r="I234" s="1052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52"/>
      <c r="AF234" s="1052"/>
      <c r="AG234" s="1052"/>
      <c r="AH234" s="1052"/>
      <c r="AI234" s="1052"/>
      <c r="AJ234" s="1052"/>
      <c r="AK234" s="1051"/>
      <c r="AL234" s="1051"/>
      <c r="AM234" s="1051"/>
      <c r="AN234" s="1051"/>
      <c r="AO234" s="1051"/>
      <c r="AP234" s="1051"/>
      <c r="AQ234" s="1051"/>
    </row>
    <row r="235" spans="1:43" s="51" customFormat="1">
      <c r="A235" s="1050"/>
      <c r="B235" s="1051"/>
      <c r="C235" s="1051"/>
      <c r="D235" s="1051"/>
      <c r="E235" s="1051"/>
      <c r="F235" s="1051"/>
      <c r="G235" s="1051"/>
      <c r="H235" s="1051"/>
      <c r="I235" s="1052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52"/>
      <c r="AF235" s="1052"/>
      <c r="AG235" s="1052"/>
      <c r="AH235" s="1052"/>
      <c r="AI235" s="1052"/>
      <c r="AJ235" s="1052"/>
      <c r="AK235" s="1051"/>
      <c r="AL235" s="1051"/>
      <c r="AM235" s="1051"/>
      <c r="AN235" s="1051"/>
      <c r="AO235" s="1051"/>
      <c r="AP235" s="1051"/>
      <c r="AQ235" s="1051"/>
    </row>
    <row r="236" spans="1:43" s="51" customFormat="1">
      <c r="A236" s="1050"/>
      <c r="B236" s="1051"/>
      <c r="C236" s="1051"/>
      <c r="D236" s="1051"/>
      <c r="E236" s="1051"/>
      <c r="F236" s="1051"/>
      <c r="G236" s="1051"/>
      <c r="H236" s="1051"/>
      <c r="I236" s="1052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52"/>
      <c r="AF236" s="1052"/>
      <c r="AG236" s="1052"/>
      <c r="AH236" s="1052"/>
      <c r="AI236" s="1052"/>
      <c r="AJ236" s="1052"/>
      <c r="AK236" s="1051"/>
      <c r="AL236" s="1051"/>
      <c r="AM236" s="1051"/>
      <c r="AN236" s="1051"/>
      <c r="AO236" s="1051"/>
      <c r="AP236" s="1051"/>
      <c r="AQ236" s="1051"/>
    </row>
    <row r="237" spans="1:43" s="51" customFormat="1">
      <c r="A237" s="1050"/>
      <c r="B237" s="1051"/>
      <c r="C237" s="1051"/>
      <c r="D237" s="1051"/>
      <c r="E237" s="1051"/>
      <c r="F237" s="1051"/>
      <c r="G237" s="1051"/>
      <c r="H237" s="1051"/>
      <c r="I237" s="1052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52"/>
      <c r="AF237" s="1052"/>
      <c r="AG237" s="1052"/>
      <c r="AH237" s="1052"/>
      <c r="AI237" s="1052"/>
      <c r="AJ237" s="1052"/>
      <c r="AK237" s="1051"/>
      <c r="AL237" s="1051"/>
      <c r="AM237" s="1051"/>
      <c r="AN237" s="1051"/>
      <c r="AO237" s="1051"/>
      <c r="AP237" s="1051"/>
      <c r="AQ237" s="1051"/>
    </row>
    <row r="238" spans="1:43" s="51" customFormat="1">
      <c r="A238" s="1050"/>
      <c r="B238" s="1051"/>
      <c r="C238" s="1051"/>
      <c r="D238" s="1051"/>
      <c r="E238" s="1051"/>
      <c r="F238" s="1051"/>
      <c r="G238" s="1051"/>
      <c r="H238" s="1051"/>
      <c r="I238" s="1052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52"/>
      <c r="AF238" s="1052"/>
      <c r="AG238" s="1052"/>
      <c r="AH238" s="1052"/>
      <c r="AI238" s="1052"/>
      <c r="AJ238" s="1052"/>
      <c r="AK238" s="1051"/>
      <c r="AL238" s="1051"/>
      <c r="AM238" s="1051"/>
      <c r="AN238" s="1051"/>
      <c r="AO238" s="1051"/>
      <c r="AP238" s="1051"/>
      <c r="AQ238" s="1051"/>
    </row>
    <row r="239" spans="1:43" s="51" customFormat="1">
      <c r="A239" s="1050"/>
      <c r="B239" s="1051"/>
      <c r="C239" s="1051"/>
      <c r="D239" s="1051"/>
      <c r="E239" s="1051"/>
      <c r="F239" s="1051"/>
      <c r="G239" s="1051"/>
      <c r="H239" s="1051"/>
      <c r="I239" s="1052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1"/>
      <c r="AE239" s="1051"/>
      <c r="AF239" s="1051"/>
      <c r="AG239" s="1051"/>
      <c r="AH239" s="1051"/>
      <c r="AI239" s="1051"/>
      <c r="AJ239" s="1051"/>
      <c r="AK239" s="1051"/>
      <c r="AL239" s="1051"/>
      <c r="AM239" s="1051"/>
      <c r="AN239" s="1051"/>
      <c r="AO239" s="1051"/>
      <c r="AP239" s="1051"/>
      <c r="AQ239" s="1051"/>
    </row>
    <row r="240" spans="1:43" s="51" customFormat="1">
      <c r="A240" s="1050"/>
      <c r="B240" s="1051"/>
      <c r="C240" s="1051"/>
      <c r="D240" s="1051"/>
      <c r="E240" s="1051"/>
      <c r="F240" s="1051"/>
      <c r="G240" s="1051"/>
      <c r="H240" s="1051"/>
      <c r="I240" s="1052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1"/>
      <c r="AE240" s="1051"/>
      <c r="AF240" s="1051"/>
      <c r="AG240" s="1051"/>
      <c r="AH240" s="1051"/>
      <c r="AI240" s="1051"/>
      <c r="AJ240" s="1051"/>
      <c r="AK240" s="1051"/>
      <c r="AL240" s="1051"/>
      <c r="AM240" s="1051"/>
      <c r="AN240" s="1051"/>
      <c r="AO240" s="1051"/>
      <c r="AP240" s="1051"/>
      <c r="AQ240" s="1051"/>
    </row>
    <row r="241" spans="1:43" s="51" customFormat="1">
      <c r="A241" s="1050"/>
      <c r="B241" s="1051"/>
      <c r="C241" s="1051"/>
      <c r="D241" s="1051"/>
      <c r="E241" s="1051"/>
      <c r="F241" s="1051"/>
      <c r="G241" s="1051"/>
      <c r="H241" s="1051"/>
      <c r="I241" s="1052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1"/>
      <c r="AE241" s="1051"/>
      <c r="AF241" s="1051"/>
      <c r="AG241" s="1051"/>
      <c r="AH241" s="1051"/>
      <c r="AI241" s="1051"/>
      <c r="AJ241" s="1051"/>
      <c r="AK241" s="1051"/>
      <c r="AL241" s="1051"/>
      <c r="AM241" s="1051"/>
      <c r="AN241" s="1051"/>
      <c r="AO241" s="1051"/>
      <c r="AP241" s="1051"/>
      <c r="AQ241" s="1051"/>
    </row>
    <row r="242" spans="1:43" s="51" customFormat="1">
      <c r="A242" s="1050"/>
      <c r="B242" s="1051"/>
      <c r="C242" s="1051"/>
      <c r="D242" s="1051"/>
      <c r="E242" s="1051"/>
      <c r="F242" s="1051"/>
      <c r="G242" s="1051"/>
      <c r="H242" s="1051"/>
      <c r="I242" s="1052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1"/>
      <c r="AE242" s="1051"/>
      <c r="AF242" s="1051"/>
      <c r="AG242" s="1051"/>
      <c r="AH242" s="1051"/>
      <c r="AI242" s="1051"/>
      <c r="AJ242" s="1051"/>
      <c r="AK242" s="1051"/>
      <c r="AL242" s="1051"/>
      <c r="AM242" s="1051"/>
      <c r="AN242" s="1051"/>
      <c r="AO242" s="1051"/>
      <c r="AP242" s="1051"/>
      <c r="AQ242" s="1051"/>
    </row>
    <row r="243" spans="1:43" s="51" customFormat="1">
      <c r="A243" s="1050"/>
      <c r="B243" s="1051"/>
      <c r="C243" s="1051"/>
      <c r="D243" s="1051"/>
      <c r="E243" s="1051"/>
      <c r="F243" s="1051"/>
      <c r="G243" s="1051"/>
      <c r="H243" s="1051"/>
      <c r="I243" s="1052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1"/>
      <c r="AE243" s="1051"/>
      <c r="AF243" s="1051"/>
      <c r="AG243" s="1051"/>
      <c r="AH243" s="1051"/>
      <c r="AI243" s="1051"/>
      <c r="AJ243" s="1051"/>
      <c r="AK243" s="1051"/>
      <c r="AL243" s="1051"/>
      <c r="AM243" s="1051"/>
      <c r="AN243" s="1051"/>
      <c r="AO243" s="1051"/>
      <c r="AP243" s="1051"/>
      <c r="AQ243" s="1051"/>
    </row>
    <row r="244" spans="1:43" s="51" customFormat="1">
      <c r="A244" s="1050"/>
      <c r="B244" s="1051"/>
      <c r="C244" s="1051"/>
      <c r="D244" s="1051"/>
      <c r="E244" s="1051"/>
      <c r="F244" s="1051"/>
      <c r="G244" s="1051"/>
      <c r="H244" s="1051"/>
      <c r="I244" s="1052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1"/>
      <c r="AE244" s="1051"/>
      <c r="AF244" s="1051"/>
      <c r="AG244" s="1051"/>
      <c r="AH244" s="1051"/>
      <c r="AI244" s="1051"/>
      <c r="AJ244" s="1051"/>
      <c r="AK244" s="1051"/>
      <c r="AL244" s="1051"/>
      <c r="AM244" s="1051"/>
      <c r="AN244" s="1051"/>
      <c r="AO244" s="1051"/>
      <c r="AP244" s="1051"/>
      <c r="AQ244" s="1051"/>
    </row>
    <row r="245" spans="1:43" s="51" customFormat="1">
      <c r="A245" s="1050"/>
      <c r="B245" s="1051"/>
      <c r="C245" s="1051"/>
      <c r="D245" s="1051"/>
      <c r="E245" s="1051"/>
      <c r="F245" s="1051"/>
      <c r="G245" s="1051"/>
      <c r="H245" s="1051"/>
      <c r="I245" s="1052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1"/>
      <c r="AE245" s="1051"/>
      <c r="AF245" s="1051"/>
      <c r="AG245" s="1051"/>
      <c r="AH245" s="1051"/>
      <c r="AI245" s="1051"/>
      <c r="AJ245" s="1051"/>
      <c r="AK245" s="1051"/>
      <c r="AL245" s="1051"/>
      <c r="AM245" s="1051"/>
      <c r="AN245" s="1051"/>
      <c r="AO245" s="1051"/>
      <c r="AP245" s="1051"/>
      <c r="AQ245" s="1051"/>
    </row>
    <row r="246" spans="1:43" s="51" customFormat="1">
      <c r="A246" s="1050"/>
      <c r="B246" s="1051"/>
      <c r="C246" s="1051"/>
      <c r="D246" s="1051"/>
      <c r="E246" s="1051"/>
      <c r="F246" s="1051"/>
      <c r="G246" s="1051"/>
      <c r="H246" s="1051"/>
      <c r="I246" s="1052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1"/>
      <c r="AE246" s="1051"/>
      <c r="AF246" s="1051"/>
      <c r="AG246" s="1051"/>
      <c r="AH246" s="1051"/>
      <c r="AI246" s="1051"/>
      <c r="AJ246" s="1051"/>
      <c r="AK246" s="1051"/>
      <c r="AL246" s="1051"/>
      <c r="AM246" s="1051"/>
      <c r="AN246" s="1051"/>
      <c r="AO246" s="1051"/>
      <c r="AP246" s="1051"/>
      <c r="AQ246" s="1051"/>
    </row>
    <row r="247" spans="1:43" s="51" customFormat="1">
      <c r="A247" s="1050"/>
      <c r="B247" s="1051"/>
      <c r="C247" s="1051"/>
      <c r="D247" s="1051"/>
      <c r="E247" s="1051"/>
      <c r="F247" s="1051"/>
      <c r="G247" s="1051"/>
      <c r="H247" s="1051"/>
      <c r="I247" s="1052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1"/>
      <c r="AE247" s="1051"/>
      <c r="AF247" s="1051"/>
      <c r="AG247" s="1051"/>
      <c r="AH247" s="1051"/>
      <c r="AI247" s="1051"/>
      <c r="AJ247" s="1051"/>
      <c r="AK247" s="1051"/>
      <c r="AL247" s="1051"/>
      <c r="AM247" s="1051"/>
      <c r="AN247" s="1051"/>
      <c r="AO247" s="1051"/>
      <c r="AP247" s="1051"/>
      <c r="AQ247" s="1051"/>
    </row>
    <row r="248" spans="1:43" s="51" customFormat="1">
      <c r="A248" s="1050"/>
      <c r="B248" s="1051"/>
      <c r="C248" s="1051"/>
      <c r="D248" s="1051"/>
      <c r="E248" s="1051"/>
      <c r="F248" s="1051"/>
      <c r="G248" s="1051"/>
      <c r="H248" s="1051"/>
      <c r="I248" s="1052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1"/>
      <c r="AE248" s="1051"/>
      <c r="AF248" s="1051"/>
      <c r="AG248" s="1051"/>
      <c r="AH248" s="1051"/>
      <c r="AI248" s="1051"/>
      <c r="AJ248" s="1051"/>
      <c r="AK248" s="1051"/>
      <c r="AL248" s="1051"/>
      <c r="AM248" s="1051"/>
      <c r="AN248" s="1051"/>
      <c r="AO248" s="1051"/>
      <c r="AP248" s="1051"/>
      <c r="AQ248" s="1051"/>
    </row>
    <row r="249" spans="1:43" s="51" customFormat="1">
      <c r="A249" s="1050"/>
      <c r="B249" s="1051"/>
      <c r="C249" s="1051"/>
      <c r="D249" s="1051"/>
      <c r="E249" s="1051"/>
      <c r="F249" s="1051"/>
      <c r="G249" s="1051"/>
      <c r="H249" s="1051"/>
      <c r="I249" s="1052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1"/>
      <c r="AE249" s="1051"/>
      <c r="AF249" s="1051"/>
      <c r="AG249" s="1051"/>
      <c r="AH249" s="1051"/>
      <c r="AI249" s="1051"/>
      <c r="AJ249" s="1051"/>
      <c r="AK249" s="1051"/>
      <c r="AL249" s="1051"/>
      <c r="AM249" s="1051"/>
      <c r="AN249" s="1051"/>
      <c r="AO249" s="1051"/>
      <c r="AP249" s="1051"/>
      <c r="AQ249" s="1051"/>
    </row>
    <row r="250" spans="1:43" s="51" customFormat="1">
      <c r="A250" s="1050"/>
      <c r="B250" s="1051"/>
      <c r="C250" s="1051"/>
      <c r="D250" s="1051"/>
      <c r="E250" s="1051"/>
      <c r="F250" s="1051"/>
      <c r="G250" s="1051"/>
      <c r="H250" s="1051"/>
      <c r="I250" s="1052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1"/>
      <c r="AE250" s="1051"/>
      <c r="AF250" s="1051"/>
      <c r="AG250" s="1051"/>
      <c r="AH250" s="1051"/>
      <c r="AI250" s="1051"/>
      <c r="AJ250" s="1051"/>
      <c r="AK250" s="1051"/>
      <c r="AL250" s="1051"/>
      <c r="AM250" s="1051"/>
      <c r="AN250" s="1051"/>
      <c r="AO250" s="1051"/>
      <c r="AP250" s="1051"/>
      <c r="AQ250" s="1051"/>
    </row>
    <row r="251" spans="1:43" s="51" customFormat="1">
      <c r="A251" s="1050"/>
      <c r="B251" s="1051"/>
      <c r="C251" s="1051"/>
      <c r="D251" s="1051"/>
      <c r="E251" s="1051"/>
      <c r="F251" s="1051"/>
      <c r="G251" s="1051"/>
      <c r="H251" s="1051"/>
      <c r="I251" s="1052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1"/>
      <c r="AE251" s="1051"/>
      <c r="AF251" s="1051"/>
      <c r="AG251" s="1051"/>
      <c r="AH251" s="1051"/>
      <c r="AI251" s="1051"/>
      <c r="AJ251" s="1051"/>
      <c r="AK251" s="1051"/>
      <c r="AL251" s="1051"/>
      <c r="AM251" s="1051"/>
      <c r="AN251" s="1051"/>
      <c r="AO251" s="1051"/>
      <c r="AP251" s="1051"/>
      <c r="AQ251" s="1051"/>
    </row>
    <row r="252" spans="1:43" s="51" customFormat="1">
      <c r="A252" s="1050"/>
      <c r="B252" s="1051"/>
      <c r="C252" s="1051"/>
      <c r="D252" s="1051"/>
      <c r="E252" s="1051"/>
      <c r="F252" s="1051"/>
      <c r="G252" s="1051"/>
      <c r="H252" s="1051"/>
      <c r="I252" s="1052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1"/>
      <c r="AE252" s="1051"/>
      <c r="AF252" s="1051"/>
      <c r="AG252" s="1051"/>
      <c r="AH252" s="1051"/>
      <c r="AI252" s="1051"/>
      <c r="AJ252" s="1051"/>
      <c r="AK252" s="1051"/>
      <c r="AL252" s="1051"/>
      <c r="AM252" s="1051"/>
      <c r="AN252" s="1051"/>
      <c r="AO252" s="1051"/>
      <c r="AP252" s="1051"/>
      <c r="AQ252" s="1051"/>
    </row>
    <row r="253" spans="1:43" s="51" customFormat="1">
      <c r="A253" s="1050"/>
      <c r="B253" s="1051"/>
      <c r="C253" s="1051"/>
      <c r="D253" s="1051"/>
      <c r="E253" s="1051"/>
      <c r="F253" s="1051"/>
      <c r="G253" s="1051"/>
      <c r="H253" s="1051"/>
      <c r="I253" s="1052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1"/>
      <c r="AE253" s="1051"/>
      <c r="AF253" s="1051"/>
      <c r="AG253" s="1051"/>
      <c r="AH253" s="1051"/>
      <c r="AI253" s="1051"/>
      <c r="AJ253" s="1051"/>
      <c r="AK253" s="1051"/>
      <c r="AL253" s="1051"/>
      <c r="AM253" s="1051"/>
      <c r="AN253" s="1051"/>
      <c r="AO253" s="1051"/>
      <c r="AP253" s="1051"/>
      <c r="AQ253" s="1051"/>
    </row>
    <row r="254" spans="1:43" s="51" customFormat="1">
      <c r="A254" s="1050"/>
      <c r="B254" s="1051"/>
      <c r="C254" s="1051"/>
      <c r="D254" s="1051"/>
      <c r="E254" s="1051"/>
      <c r="F254" s="1051"/>
      <c r="G254" s="1051"/>
      <c r="H254" s="1051"/>
      <c r="I254" s="1052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1"/>
      <c r="AE254" s="1051"/>
      <c r="AF254" s="1051"/>
      <c r="AG254" s="1051"/>
      <c r="AH254" s="1051"/>
      <c r="AI254" s="1051"/>
      <c r="AJ254" s="1051"/>
      <c r="AK254" s="1051"/>
      <c r="AL254" s="1051"/>
      <c r="AM254" s="1051"/>
      <c r="AN254" s="1051"/>
      <c r="AO254" s="1051"/>
      <c r="AP254" s="1051"/>
      <c r="AQ254" s="1051"/>
    </row>
    <row r="255" spans="1:43" s="51" customFormat="1">
      <c r="A255" s="1050"/>
      <c r="B255" s="1051"/>
      <c r="C255" s="1051"/>
      <c r="D255" s="1051"/>
      <c r="E255" s="1051"/>
      <c r="F255" s="1051"/>
      <c r="G255" s="1051"/>
      <c r="H255" s="1051"/>
      <c r="I255" s="1052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1"/>
      <c r="AE255" s="1051"/>
      <c r="AF255" s="1051"/>
      <c r="AG255" s="1051"/>
      <c r="AH255" s="1051"/>
      <c r="AI255" s="1051"/>
      <c r="AJ255" s="1051"/>
      <c r="AK255" s="1051"/>
      <c r="AL255" s="1051"/>
      <c r="AM255" s="1051"/>
      <c r="AN255" s="1051"/>
      <c r="AO255" s="1051"/>
      <c r="AP255" s="1051"/>
      <c r="AQ255" s="1051"/>
    </row>
    <row r="256" spans="1:43" s="51" customFormat="1">
      <c r="A256" s="1050"/>
      <c r="B256" s="1051"/>
      <c r="C256" s="1051"/>
      <c r="D256" s="1051"/>
      <c r="E256" s="1051"/>
      <c r="F256" s="1051"/>
      <c r="G256" s="1051"/>
      <c r="H256" s="1051"/>
      <c r="I256" s="1052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1"/>
      <c r="AE256" s="1051"/>
      <c r="AF256" s="1051"/>
      <c r="AG256" s="1051"/>
      <c r="AH256" s="1051"/>
      <c r="AI256" s="1051"/>
      <c r="AJ256" s="1051"/>
      <c r="AK256" s="1051"/>
      <c r="AL256" s="1051"/>
      <c r="AM256" s="1051"/>
      <c r="AN256" s="1051"/>
      <c r="AO256" s="1051"/>
      <c r="AP256" s="1051"/>
      <c r="AQ256" s="1051"/>
    </row>
    <row r="257" spans="1:43" s="51" customFormat="1">
      <c r="A257" s="1050"/>
      <c r="B257" s="1051"/>
      <c r="C257" s="1051"/>
      <c r="D257" s="1051"/>
      <c r="E257" s="1051"/>
      <c r="F257" s="1051"/>
      <c r="G257" s="1051"/>
      <c r="H257" s="1051"/>
      <c r="I257" s="1052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1"/>
      <c r="AE257" s="1051"/>
      <c r="AF257" s="1051"/>
      <c r="AG257" s="1051"/>
      <c r="AH257" s="1051"/>
      <c r="AI257" s="1051"/>
      <c r="AJ257" s="1051"/>
      <c r="AK257" s="1051"/>
      <c r="AL257" s="1051"/>
      <c r="AM257" s="1051"/>
      <c r="AN257" s="1051"/>
      <c r="AO257" s="1051"/>
      <c r="AP257" s="1051"/>
      <c r="AQ257" s="1051"/>
    </row>
    <row r="258" spans="1:43" s="51" customFormat="1">
      <c r="A258" s="1050"/>
      <c r="B258" s="1051"/>
      <c r="C258" s="1051"/>
      <c r="D258" s="1051"/>
      <c r="E258" s="1051"/>
      <c r="F258" s="1051"/>
      <c r="G258" s="1051"/>
      <c r="H258" s="1051"/>
      <c r="I258" s="1052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1"/>
      <c r="AE258" s="1051"/>
      <c r="AF258" s="1051"/>
      <c r="AG258" s="1051"/>
      <c r="AH258" s="1051"/>
      <c r="AI258" s="1051"/>
      <c r="AJ258" s="1051"/>
      <c r="AK258" s="1051"/>
      <c r="AL258" s="1051"/>
      <c r="AM258" s="1051"/>
      <c r="AN258" s="1051"/>
      <c r="AO258" s="1051"/>
      <c r="AP258" s="1051"/>
      <c r="AQ258" s="1051"/>
    </row>
    <row r="259" spans="1:43" s="51" customFormat="1">
      <c r="A259" s="1050"/>
      <c r="B259" s="1051"/>
      <c r="C259" s="1051"/>
      <c r="D259" s="1051"/>
      <c r="E259" s="1051"/>
      <c r="F259" s="1051"/>
      <c r="G259" s="1051"/>
      <c r="H259" s="1051"/>
      <c r="I259" s="1052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1"/>
      <c r="AE259" s="1051"/>
      <c r="AF259" s="1051"/>
      <c r="AG259" s="1051"/>
      <c r="AH259" s="1051"/>
      <c r="AI259" s="1051"/>
      <c r="AJ259" s="1051"/>
      <c r="AK259" s="1051"/>
      <c r="AL259" s="1051"/>
      <c r="AM259" s="1051"/>
      <c r="AN259" s="1051"/>
      <c r="AO259" s="1051"/>
      <c r="AP259" s="1051"/>
      <c r="AQ259" s="1051"/>
    </row>
    <row r="260" spans="1:43" s="51" customFormat="1">
      <c r="A260" s="1050"/>
      <c r="B260" s="1051"/>
      <c r="C260" s="1051"/>
      <c r="D260" s="1051"/>
      <c r="E260" s="1051"/>
      <c r="F260" s="1051"/>
      <c r="G260" s="1051"/>
      <c r="H260" s="1051"/>
      <c r="I260" s="1052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1"/>
      <c r="AE260" s="1051"/>
      <c r="AF260" s="1051"/>
      <c r="AG260" s="1051"/>
      <c r="AH260" s="1051"/>
      <c r="AI260" s="1051"/>
      <c r="AJ260" s="1051"/>
      <c r="AK260" s="1051"/>
      <c r="AL260" s="1051"/>
      <c r="AM260" s="1051"/>
      <c r="AN260" s="1051"/>
      <c r="AO260" s="1051"/>
      <c r="AP260" s="1051"/>
      <c r="AQ260" s="1051"/>
    </row>
    <row r="261" spans="1:43" s="51" customFormat="1">
      <c r="A261" s="1050"/>
      <c r="B261" s="1051"/>
      <c r="C261" s="1051"/>
      <c r="D261" s="1051"/>
      <c r="E261" s="1051"/>
      <c r="F261" s="1051"/>
      <c r="G261" s="1051"/>
      <c r="H261" s="1051"/>
      <c r="I261" s="1052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1"/>
      <c r="AE261" s="1051"/>
      <c r="AF261" s="1051"/>
      <c r="AG261" s="1051"/>
      <c r="AH261" s="1051"/>
      <c r="AI261" s="1051"/>
      <c r="AJ261" s="1051"/>
      <c r="AK261" s="1051"/>
      <c r="AL261" s="1051"/>
      <c r="AM261" s="1051"/>
      <c r="AN261" s="1051"/>
      <c r="AO261" s="1051"/>
      <c r="AP261" s="1051"/>
      <c r="AQ261" s="1051"/>
    </row>
    <row r="262" spans="1:43" s="51" customFormat="1">
      <c r="A262" s="1050"/>
      <c r="B262" s="1051"/>
      <c r="C262" s="1051"/>
      <c r="D262" s="1051"/>
      <c r="E262" s="1051"/>
      <c r="F262" s="1051"/>
      <c r="G262" s="1051"/>
      <c r="H262" s="1051"/>
      <c r="I262" s="1052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1"/>
      <c r="AE262" s="1051"/>
      <c r="AF262" s="1051"/>
      <c r="AG262" s="1051"/>
      <c r="AH262" s="1051"/>
      <c r="AI262" s="1051"/>
      <c r="AJ262" s="1051"/>
      <c r="AK262" s="1051"/>
      <c r="AL262" s="1051"/>
      <c r="AM262" s="1051"/>
      <c r="AN262" s="1051"/>
      <c r="AO262" s="1051"/>
      <c r="AP262" s="1051"/>
      <c r="AQ262" s="1051"/>
    </row>
    <row r="263" spans="1:43" s="51" customFormat="1">
      <c r="A263" s="1050"/>
      <c r="B263" s="1051"/>
      <c r="C263" s="1051"/>
      <c r="D263" s="1051"/>
      <c r="E263" s="1051"/>
      <c r="F263" s="1051"/>
      <c r="G263" s="1051"/>
      <c r="H263" s="1051"/>
      <c r="I263" s="1052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1"/>
      <c r="AE263" s="1051"/>
      <c r="AF263" s="1051"/>
      <c r="AG263" s="1051"/>
      <c r="AH263" s="1051"/>
      <c r="AI263" s="1051"/>
      <c r="AJ263" s="1051"/>
      <c r="AK263" s="1051"/>
      <c r="AL263" s="1051"/>
      <c r="AM263" s="1051"/>
      <c r="AN263" s="1051"/>
      <c r="AO263" s="1051"/>
      <c r="AP263" s="1051"/>
      <c r="AQ263" s="1051"/>
    </row>
    <row r="264" spans="1:43" s="51" customFormat="1">
      <c r="A264" s="1050"/>
      <c r="B264" s="1051"/>
      <c r="C264" s="1051"/>
      <c r="D264" s="1051"/>
      <c r="E264" s="1051"/>
      <c r="F264" s="1051"/>
      <c r="G264" s="1051"/>
      <c r="H264" s="1051"/>
      <c r="I264" s="1052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1"/>
      <c r="AE264" s="1051"/>
      <c r="AF264" s="1051"/>
      <c r="AG264" s="1051"/>
      <c r="AH264" s="1051"/>
      <c r="AI264" s="1051"/>
      <c r="AJ264" s="1051"/>
      <c r="AK264" s="1051"/>
      <c r="AL264" s="1051"/>
      <c r="AM264" s="1051"/>
      <c r="AN264" s="1051"/>
      <c r="AO264" s="1051"/>
      <c r="AP264" s="1051"/>
      <c r="AQ264" s="1051"/>
    </row>
    <row r="265" spans="1:43" s="51" customFormat="1">
      <c r="A265" s="1050"/>
      <c r="B265" s="1051"/>
      <c r="C265" s="1051"/>
      <c r="D265" s="1051"/>
      <c r="E265" s="1051"/>
      <c r="F265" s="1051"/>
      <c r="G265" s="1051"/>
      <c r="H265" s="1051"/>
      <c r="I265" s="1052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1"/>
      <c r="AE265" s="1051"/>
      <c r="AF265" s="1051"/>
      <c r="AG265" s="1051"/>
      <c r="AH265" s="1051"/>
      <c r="AI265" s="1051"/>
      <c r="AJ265" s="1051"/>
      <c r="AK265" s="1051"/>
      <c r="AL265" s="1051"/>
      <c r="AM265" s="1051"/>
      <c r="AN265" s="1051"/>
      <c r="AO265" s="1051"/>
      <c r="AP265" s="1051"/>
      <c r="AQ265" s="1051"/>
    </row>
    <row r="266" spans="1:43" s="51" customFormat="1">
      <c r="A266" s="1050"/>
      <c r="B266" s="1051"/>
      <c r="C266" s="1051"/>
      <c r="D266" s="1051"/>
      <c r="E266" s="1051"/>
      <c r="F266" s="1051"/>
      <c r="G266" s="1051"/>
      <c r="H266" s="1051"/>
      <c r="I266" s="1052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1"/>
      <c r="AE266" s="1051"/>
      <c r="AF266" s="1051"/>
      <c r="AG266" s="1051"/>
      <c r="AH266" s="1051"/>
      <c r="AI266" s="1051"/>
      <c r="AJ266" s="1051"/>
      <c r="AK266" s="1051"/>
      <c r="AL266" s="1051"/>
      <c r="AM266" s="1051"/>
      <c r="AN266" s="1051"/>
      <c r="AO266" s="1051"/>
      <c r="AP266" s="1051"/>
      <c r="AQ266" s="1051"/>
    </row>
    <row r="267" spans="1:43" s="51" customFormat="1">
      <c r="A267" s="1050"/>
      <c r="B267" s="1051"/>
      <c r="C267" s="1051"/>
      <c r="D267" s="1051"/>
      <c r="E267" s="1051"/>
      <c r="F267" s="1051"/>
      <c r="G267" s="1051"/>
      <c r="H267" s="1051"/>
      <c r="I267" s="1052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1"/>
      <c r="AE267" s="1051"/>
      <c r="AF267" s="1051"/>
      <c r="AG267" s="1051"/>
      <c r="AH267" s="1051"/>
      <c r="AI267" s="1051"/>
      <c r="AJ267" s="1051"/>
      <c r="AK267" s="1051"/>
      <c r="AL267" s="1051"/>
      <c r="AM267" s="1051"/>
      <c r="AN267" s="1051"/>
      <c r="AO267" s="1051"/>
      <c r="AP267" s="1051"/>
      <c r="AQ267" s="1051"/>
    </row>
    <row r="268" spans="1:43" s="51" customFormat="1">
      <c r="A268" s="1050"/>
      <c r="B268" s="1051"/>
      <c r="C268" s="1051"/>
      <c r="D268" s="1051"/>
      <c r="E268" s="1051"/>
      <c r="F268" s="1051"/>
      <c r="G268" s="1051"/>
      <c r="H268" s="1051"/>
      <c r="I268" s="1052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1"/>
      <c r="AE268" s="1051"/>
      <c r="AF268" s="1051"/>
      <c r="AG268" s="1051"/>
      <c r="AH268" s="1051"/>
      <c r="AI268" s="1051"/>
      <c r="AJ268" s="1051"/>
      <c r="AK268" s="1051"/>
      <c r="AL268" s="1051"/>
      <c r="AM268" s="1051"/>
      <c r="AN268" s="1051"/>
      <c r="AO268" s="1051"/>
      <c r="AP268" s="1051"/>
      <c r="AQ268" s="1051"/>
    </row>
    <row r="269" spans="1:43" s="51" customFormat="1">
      <c r="A269" s="1050"/>
      <c r="B269" s="1051"/>
      <c r="C269" s="1051"/>
      <c r="D269" s="1051"/>
      <c r="E269" s="1051"/>
      <c r="F269" s="1051"/>
      <c r="G269" s="1051"/>
      <c r="H269" s="1051"/>
      <c r="I269" s="1052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1"/>
      <c r="AE269" s="1051"/>
      <c r="AF269" s="1051"/>
      <c r="AG269" s="1051"/>
      <c r="AH269" s="1051"/>
      <c r="AI269" s="1051"/>
      <c r="AJ269" s="1051"/>
      <c r="AK269" s="1051"/>
      <c r="AL269" s="1051"/>
      <c r="AM269" s="1051"/>
      <c r="AN269" s="1051"/>
      <c r="AO269" s="1051"/>
      <c r="AP269" s="1051"/>
      <c r="AQ269" s="1051"/>
    </row>
    <row r="270" spans="1:43" s="51" customFormat="1">
      <c r="A270" s="1050"/>
      <c r="B270" s="1051"/>
      <c r="C270" s="1051"/>
      <c r="D270" s="1051"/>
      <c r="E270" s="1051"/>
      <c r="F270" s="1051"/>
      <c r="G270" s="1051"/>
      <c r="H270" s="1051"/>
      <c r="I270" s="1052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1"/>
      <c r="AE270" s="1051"/>
      <c r="AF270" s="1051"/>
      <c r="AG270" s="1051"/>
      <c r="AH270" s="1051"/>
      <c r="AI270" s="1051"/>
      <c r="AJ270" s="1051"/>
      <c r="AK270" s="1051"/>
      <c r="AL270" s="1051"/>
      <c r="AM270" s="1051"/>
      <c r="AN270" s="1051"/>
      <c r="AO270" s="1051"/>
      <c r="AP270" s="1051"/>
      <c r="AQ270" s="1051"/>
    </row>
    <row r="271" spans="1:43" s="51" customFormat="1">
      <c r="A271" s="1050"/>
      <c r="B271" s="1051"/>
      <c r="C271" s="1051"/>
      <c r="D271" s="1051"/>
      <c r="E271" s="1051"/>
      <c r="F271" s="1051"/>
      <c r="G271" s="1051"/>
      <c r="H271" s="1051"/>
      <c r="I271" s="1052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1"/>
      <c r="AE271" s="1051"/>
      <c r="AF271" s="1051"/>
      <c r="AG271" s="1051"/>
      <c r="AH271" s="1051"/>
      <c r="AI271" s="1051"/>
      <c r="AJ271" s="1051"/>
      <c r="AK271" s="1051"/>
      <c r="AL271" s="1051"/>
      <c r="AM271" s="1051"/>
      <c r="AN271" s="1051"/>
      <c r="AO271" s="1051"/>
      <c r="AP271" s="1051"/>
      <c r="AQ271" s="1051"/>
    </row>
    <row r="272" spans="1:43" s="51" customFormat="1">
      <c r="A272" s="1050"/>
      <c r="B272" s="1051"/>
      <c r="C272" s="1051"/>
      <c r="D272" s="1051"/>
      <c r="E272" s="1051"/>
      <c r="F272" s="1051"/>
      <c r="G272" s="1051"/>
      <c r="H272" s="1051"/>
      <c r="I272" s="1052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1"/>
      <c r="AE272" s="1051"/>
      <c r="AF272" s="1051"/>
      <c r="AG272" s="1051"/>
      <c r="AH272" s="1051"/>
      <c r="AI272" s="1051"/>
      <c r="AJ272" s="1051"/>
      <c r="AK272" s="1051"/>
      <c r="AL272" s="1051"/>
      <c r="AM272" s="1051"/>
      <c r="AN272" s="1051"/>
      <c r="AO272" s="1051"/>
      <c r="AP272" s="1051"/>
      <c r="AQ272" s="1051"/>
    </row>
    <row r="273" spans="1:43" s="51" customFormat="1">
      <c r="A273" s="1050"/>
      <c r="B273" s="1051"/>
      <c r="C273" s="1051"/>
      <c r="D273" s="1051"/>
      <c r="E273" s="1051"/>
      <c r="F273" s="1051"/>
      <c r="G273" s="1051"/>
      <c r="H273" s="1051"/>
      <c r="I273" s="1052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1"/>
      <c r="AE273" s="1051"/>
      <c r="AF273" s="1051"/>
      <c r="AG273" s="1051"/>
      <c r="AH273" s="1051"/>
      <c r="AI273" s="1051"/>
      <c r="AJ273" s="1051"/>
      <c r="AK273" s="1051"/>
      <c r="AL273" s="1051"/>
      <c r="AM273" s="1051"/>
      <c r="AN273" s="1051"/>
      <c r="AO273" s="1051"/>
      <c r="AP273" s="1051"/>
      <c r="AQ273" s="1051"/>
    </row>
    <row r="274" spans="1:43" s="51" customFormat="1">
      <c r="A274" s="1050"/>
      <c r="B274" s="1051"/>
      <c r="C274" s="1051"/>
      <c r="D274" s="1051"/>
      <c r="E274" s="1051"/>
      <c r="F274" s="1051"/>
      <c r="G274" s="1051"/>
      <c r="H274" s="1051"/>
      <c r="I274" s="1052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1"/>
      <c r="AE274" s="1051"/>
      <c r="AF274" s="1051"/>
      <c r="AG274" s="1051"/>
      <c r="AH274" s="1051"/>
      <c r="AI274" s="1051"/>
      <c r="AJ274" s="1051"/>
      <c r="AK274" s="1051"/>
      <c r="AL274" s="1051"/>
      <c r="AM274" s="1051"/>
      <c r="AN274" s="1051"/>
      <c r="AO274" s="1051"/>
      <c r="AP274" s="1051"/>
      <c r="AQ274" s="1051"/>
    </row>
    <row r="275" spans="1:43" s="51" customFormat="1">
      <c r="A275" s="1050"/>
      <c r="B275" s="1051"/>
      <c r="C275" s="1051"/>
      <c r="D275" s="1051"/>
      <c r="E275" s="1051"/>
      <c r="F275" s="1051"/>
      <c r="G275" s="1051"/>
      <c r="H275" s="1051"/>
      <c r="I275" s="1052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1"/>
      <c r="AE275" s="1051"/>
      <c r="AF275" s="1051"/>
      <c r="AG275" s="1051"/>
      <c r="AH275" s="1051"/>
      <c r="AI275" s="1051"/>
      <c r="AJ275" s="1051"/>
      <c r="AK275" s="1051"/>
      <c r="AL275" s="1051"/>
      <c r="AM275" s="1051"/>
      <c r="AN275" s="1051"/>
      <c r="AO275" s="1051"/>
      <c r="AP275" s="1051"/>
      <c r="AQ275" s="1051"/>
    </row>
    <row r="276" spans="1:43" s="51" customFormat="1">
      <c r="A276" s="1050"/>
      <c r="B276" s="1051"/>
      <c r="C276" s="1051"/>
      <c r="D276" s="1051"/>
      <c r="E276" s="1051"/>
      <c r="F276" s="1051"/>
      <c r="G276" s="1051"/>
      <c r="H276" s="1051"/>
      <c r="I276" s="1052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1"/>
      <c r="AE276" s="1051"/>
      <c r="AF276" s="1051"/>
      <c r="AG276" s="1051"/>
      <c r="AH276" s="1051"/>
      <c r="AI276" s="1051"/>
      <c r="AJ276" s="1051"/>
      <c r="AK276" s="1051"/>
      <c r="AL276" s="1051"/>
      <c r="AM276" s="1051"/>
      <c r="AN276" s="1051"/>
      <c r="AO276" s="1051"/>
      <c r="AP276" s="1051"/>
      <c r="AQ276" s="1051"/>
    </row>
    <row r="277" spans="1:43" s="51" customFormat="1">
      <c r="A277" s="1050"/>
      <c r="B277" s="1051"/>
      <c r="C277" s="1051"/>
      <c r="D277" s="1051"/>
      <c r="E277" s="1051"/>
      <c r="F277" s="1051"/>
      <c r="G277" s="1051"/>
      <c r="H277" s="1051"/>
      <c r="I277" s="1052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1"/>
      <c r="AE277" s="1051"/>
      <c r="AF277" s="1051"/>
      <c r="AG277" s="1051"/>
      <c r="AH277" s="1051"/>
      <c r="AI277" s="1051"/>
      <c r="AJ277" s="1051"/>
      <c r="AK277" s="1051"/>
      <c r="AL277" s="1051"/>
      <c r="AM277" s="1051"/>
      <c r="AN277" s="1051"/>
      <c r="AO277" s="1051"/>
      <c r="AP277" s="1051"/>
      <c r="AQ277" s="1051"/>
    </row>
    <row r="278" spans="1:43" s="51" customFormat="1">
      <c r="A278" s="1050"/>
      <c r="B278" s="1051"/>
      <c r="C278" s="1051"/>
      <c r="D278" s="1051"/>
      <c r="E278" s="1051"/>
      <c r="F278" s="1051"/>
      <c r="G278" s="1051"/>
      <c r="H278" s="1051"/>
      <c r="I278" s="1052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1"/>
      <c r="AE278" s="1051"/>
      <c r="AF278" s="1051"/>
      <c r="AG278" s="1051"/>
      <c r="AH278" s="1051"/>
      <c r="AI278" s="1051"/>
      <c r="AJ278" s="1051"/>
      <c r="AK278" s="1051"/>
      <c r="AL278" s="1051"/>
      <c r="AM278" s="1051"/>
      <c r="AN278" s="1051"/>
      <c r="AO278" s="1051"/>
      <c r="AP278" s="1051"/>
      <c r="AQ278" s="1051"/>
    </row>
    <row r="279" spans="1:43" s="51" customFormat="1">
      <c r="A279" s="1050"/>
      <c r="B279" s="1051"/>
      <c r="C279" s="1051"/>
      <c r="D279" s="1051"/>
      <c r="E279" s="1051"/>
      <c r="F279" s="1051"/>
      <c r="G279" s="1051"/>
      <c r="H279" s="1051"/>
      <c r="I279" s="1052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1"/>
      <c r="AE279" s="1051"/>
      <c r="AF279" s="1051"/>
      <c r="AG279" s="1051"/>
      <c r="AH279" s="1051"/>
      <c r="AI279" s="1051"/>
      <c r="AJ279" s="1051"/>
      <c r="AK279" s="1051"/>
      <c r="AL279" s="1051"/>
      <c r="AM279" s="1051"/>
      <c r="AN279" s="1051"/>
      <c r="AO279" s="1051"/>
      <c r="AP279" s="1051"/>
      <c r="AQ279" s="1051"/>
    </row>
    <row r="280" spans="1:43" s="51" customFormat="1">
      <c r="A280" s="1050"/>
      <c r="B280" s="1051"/>
      <c r="C280" s="1051"/>
      <c r="D280" s="1051"/>
      <c r="E280" s="1051"/>
      <c r="F280" s="1051"/>
      <c r="G280" s="1051"/>
      <c r="H280" s="1051"/>
      <c r="I280" s="1052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1"/>
      <c r="AE280" s="1051"/>
      <c r="AF280" s="1051"/>
      <c r="AG280" s="1051"/>
      <c r="AH280" s="1051"/>
      <c r="AI280" s="1051"/>
      <c r="AJ280" s="1051"/>
      <c r="AK280" s="1051"/>
      <c r="AL280" s="1051"/>
      <c r="AM280" s="1051"/>
      <c r="AN280" s="1051"/>
      <c r="AO280" s="1051"/>
      <c r="AP280" s="1051"/>
      <c r="AQ280" s="1051"/>
    </row>
    <row r="281" spans="1:43" s="51" customFormat="1">
      <c r="A281" s="1050"/>
      <c r="B281" s="1051"/>
      <c r="C281" s="1051"/>
      <c r="D281" s="1051"/>
      <c r="E281" s="1051"/>
      <c r="F281" s="1051"/>
      <c r="G281" s="1051"/>
      <c r="H281" s="1051"/>
      <c r="I281" s="1052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1"/>
      <c r="AE281" s="1051"/>
      <c r="AF281" s="1051"/>
      <c r="AG281" s="1051"/>
      <c r="AH281" s="1051"/>
      <c r="AI281" s="1051"/>
      <c r="AJ281" s="1051"/>
      <c r="AK281" s="1051"/>
      <c r="AL281" s="1051"/>
      <c r="AM281" s="1051"/>
      <c r="AN281" s="1051"/>
      <c r="AO281" s="1051"/>
      <c r="AP281" s="1051"/>
      <c r="AQ281" s="1051"/>
    </row>
    <row r="282" spans="1:43" s="51" customFormat="1">
      <c r="A282" s="1050"/>
      <c r="B282" s="1051"/>
      <c r="C282" s="1051"/>
      <c r="D282" s="1051"/>
      <c r="E282" s="1051"/>
      <c r="F282" s="1051"/>
      <c r="G282" s="1051"/>
      <c r="H282" s="1051"/>
      <c r="I282" s="1052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1"/>
      <c r="AE282" s="1051"/>
      <c r="AF282" s="1051"/>
      <c r="AG282" s="1051"/>
      <c r="AH282" s="1051"/>
      <c r="AI282" s="1051"/>
      <c r="AJ282" s="1051"/>
      <c r="AK282" s="1051"/>
      <c r="AL282" s="1051"/>
      <c r="AM282" s="1051"/>
      <c r="AN282" s="1051"/>
      <c r="AO282" s="1051"/>
      <c r="AP282" s="1051"/>
      <c r="AQ282" s="1051"/>
    </row>
    <row r="283" spans="1:43" s="51" customFormat="1">
      <c r="A283" s="1050"/>
      <c r="B283" s="1051"/>
      <c r="C283" s="1051"/>
      <c r="D283" s="1051"/>
      <c r="E283" s="1051"/>
      <c r="F283" s="1051"/>
      <c r="G283" s="1051"/>
      <c r="H283" s="1051"/>
      <c r="I283" s="1052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1"/>
      <c r="AE283" s="1051"/>
      <c r="AF283" s="1051"/>
      <c r="AG283" s="1051"/>
      <c r="AH283" s="1051"/>
      <c r="AI283" s="1051"/>
      <c r="AJ283" s="1051"/>
      <c r="AK283" s="1051"/>
      <c r="AL283" s="1051"/>
      <c r="AM283" s="1051"/>
      <c r="AN283" s="1051"/>
      <c r="AO283" s="1051"/>
      <c r="AP283" s="1051"/>
      <c r="AQ283" s="1051"/>
    </row>
    <row r="284" spans="1:43" s="51" customFormat="1">
      <c r="A284" s="1050"/>
      <c r="B284" s="1051"/>
      <c r="C284" s="1051"/>
      <c r="D284" s="1051"/>
      <c r="E284" s="1051"/>
      <c r="F284" s="1051"/>
      <c r="G284" s="1051"/>
      <c r="H284" s="1051"/>
      <c r="I284" s="1052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1"/>
      <c r="AE284" s="1051"/>
      <c r="AF284" s="1051"/>
      <c r="AG284" s="1051"/>
      <c r="AH284" s="1051"/>
      <c r="AI284" s="1051"/>
      <c r="AJ284" s="1051"/>
      <c r="AK284" s="1051"/>
      <c r="AL284" s="1051"/>
      <c r="AM284" s="1051"/>
      <c r="AN284" s="1051"/>
      <c r="AO284" s="1051"/>
      <c r="AP284" s="1051"/>
      <c r="AQ284" s="1051"/>
    </row>
    <row r="285" spans="1:43" s="51" customFormat="1">
      <c r="A285" s="1050"/>
      <c r="B285" s="1051"/>
      <c r="C285" s="1051"/>
      <c r="D285" s="1051"/>
      <c r="E285" s="1051"/>
      <c r="F285" s="1051"/>
      <c r="G285" s="1051"/>
      <c r="H285" s="1051"/>
      <c r="I285" s="1052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1"/>
      <c r="AE285" s="1051"/>
      <c r="AF285" s="1051"/>
      <c r="AG285" s="1051"/>
      <c r="AH285" s="1051"/>
      <c r="AI285" s="1051"/>
      <c r="AJ285" s="1051"/>
      <c r="AK285" s="1051"/>
      <c r="AL285" s="1051"/>
      <c r="AM285" s="1051"/>
      <c r="AN285" s="1051"/>
      <c r="AO285" s="1051"/>
      <c r="AP285" s="1051"/>
      <c r="AQ285" s="1051"/>
    </row>
    <row r="286" spans="1:43" s="51" customFormat="1">
      <c r="A286" s="1050"/>
      <c r="B286" s="1051"/>
      <c r="C286" s="1051"/>
      <c r="D286" s="1051"/>
      <c r="E286" s="1051"/>
      <c r="F286" s="1051"/>
      <c r="G286" s="1051"/>
      <c r="H286" s="1051"/>
      <c r="I286" s="1052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1"/>
      <c r="AE286" s="1051"/>
      <c r="AF286" s="1051"/>
      <c r="AG286" s="1051"/>
      <c r="AH286" s="1051"/>
      <c r="AI286" s="1051"/>
      <c r="AJ286" s="1051"/>
      <c r="AK286" s="1051"/>
      <c r="AL286" s="1051"/>
      <c r="AM286" s="1051"/>
      <c r="AN286" s="1051"/>
      <c r="AO286" s="1051"/>
      <c r="AP286" s="1051"/>
      <c r="AQ286" s="1051"/>
    </row>
    <row r="287" spans="1:43" s="51" customFormat="1">
      <c r="A287" s="1050"/>
      <c r="B287" s="1051"/>
      <c r="C287" s="1051"/>
      <c r="D287" s="1051"/>
      <c r="E287" s="1051"/>
      <c r="F287" s="1051"/>
      <c r="G287" s="1051"/>
      <c r="H287" s="1051"/>
      <c r="I287" s="1052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1"/>
      <c r="AE287" s="1051"/>
      <c r="AF287" s="1051"/>
      <c r="AG287" s="1051"/>
      <c r="AH287" s="1051"/>
      <c r="AI287" s="1051"/>
      <c r="AJ287" s="1051"/>
      <c r="AK287" s="1051"/>
      <c r="AL287" s="1051"/>
      <c r="AM287" s="1051"/>
      <c r="AN287" s="1051"/>
      <c r="AO287" s="1051"/>
      <c r="AP287" s="1051"/>
      <c r="AQ287" s="1051"/>
    </row>
    <row r="288" spans="1:43" s="51" customFormat="1">
      <c r="A288" s="1050"/>
      <c r="B288" s="1051"/>
      <c r="C288" s="1051"/>
      <c r="D288" s="1051"/>
      <c r="E288" s="1051"/>
      <c r="F288" s="1051"/>
      <c r="G288" s="1051"/>
      <c r="H288" s="1051"/>
      <c r="I288" s="1052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1"/>
      <c r="AE288" s="1051"/>
      <c r="AF288" s="1051"/>
      <c r="AG288" s="1051"/>
      <c r="AH288" s="1051"/>
      <c r="AI288" s="1051"/>
      <c r="AJ288" s="1051"/>
      <c r="AK288" s="1051"/>
      <c r="AL288" s="1051"/>
      <c r="AM288" s="1051"/>
      <c r="AN288" s="1051"/>
      <c r="AO288" s="1051"/>
      <c r="AP288" s="1051"/>
      <c r="AQ288" s="1051"/>
    </row>
    <row r="289" spans="1:43" s="51" customFormat="1">
      <c r="A289" s="1050"/>
      <c r="B289" s="1051"/>
      <c r="C289" s="1051"/>
      <c r="D289" s="1051"/>
      <c r="E289" s="1051"/>
      <c r="F289" s="1051"/>
      <c r="G289" s="1051"/>
      <c r="H289" s="1051"/>
      <c r="I289" s="1052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1"/>
      <c r="AE289" s="1051"/>
      <c r="AF289" s="1051"/>
      <c r="AG289" s="1051"/>
      <c r="AH289" s="1051"/>
      <c r="AI289" s="1051"/>
      <c r="AJ289" s="1051"/>
      <c r="AK289" s="1051"/>
      <c r="AL289" s="1051"/>
      <c r="AM289" s="1051"/>
      <c r="AN289" s="1051"/>
      <c r="AO289" s="1051"/>
      <c r="AP289" s="1051"/>
      <c r="AQ289" s="1051"/>
    </row>
    <row r="290" spans="1:43" s="51" customFormat="1">
      <c r="A290" s="1050"/>
      <c r="B290" s="1051"/>
      <c r="C290" s="1051"/>
      <c r="D290" s="1051"/>
      <c r="E290" s="1051"/>
      <c r="F290" s="1051"/>
      <c r="G290" s="1051"/>
      <c r="H290" s="1051"/>
      <c r="I290" s="1052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1"/>
      <c r="AE290" s="1051"/>
      <c r="AF290" s="1051"/>
      <c r="AG290" s="1051"/>
      <c r="AH290" s="1051"/>
      <c r="AI290" s="1051"/>
      <c r="AJ290" s="1051"/>
      <c r="AK290" s="1051"/>
      <c r="AL290" s="1051"/>
      <c r="AM290" s="1051"/>
      <c r="AN290" s="1051"/>
      <c r="AO290" s="1051"/>
      <c r="AP290" s="1051"/>
      <c r="AQ290" s="1051"/>
    </row>
    <row r="291" spans="1:43" s="51" customFormat="1">
      <c r="A291" s="1050"/>
      <c r="B291" s="1051"/>
      <c r="C291" s="1051"/>
      <c r="D291" s="1051"/>
      <c r="E291" s="1051"/>
      <c r="F291" s="1051"/>
      <c r="G291" s="1051"/>
      <c r="H291" s="1051"/>
      <c r="I291" s="1052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1"/>
      <c r="AE291" s="1051"/>
      <c r="AF291" s="1051"/>
      <c r="AG291" s="1051"/>
      <c r="AH291" s="1051"/>
      <c r="AI291" s="1051"/>
      <c r="AJ291" s="1051"/>
      <c r="AK291" s="1051"/>
      <c r="AL291" s="1051"/>
      <c r="AM291" s="1051"/>
      <c r="AN291" s="1051"/>
      <c r="AO291" s="1051"/>
      <c r="AP291" s="1051"/>
      <c r="AQ291" s="1051"/>
    </row>
    <row r="292" spans="1:43" s="51" customFormat="1">
      <c r="A292" s="1050"/>
      <c r="B292" s="1051"/>
      <c r="C292" s="1051"/>
      <c r="D292" s="1051"/>
      <c r="E292" s="1051"/>
      <c r="F292" s="1051"/>
      <c r="G292" s="1051"/>
      <c r="H292" s="1051"/>
      <c r="I292" s="1052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1"/>
      <c r="AE292" s="1051"/>
      <c r="AF292" s="1051"/>
      <c r="AG292" s="1051"/>
      <c r="AH292" s="1051"/>
      <c r="AI292" s="1051"/>
      <c r="AJ292" s="1051"/>
      <c r="AK292" s="1051"/>
      <c r="AL292" s="1051"/>
      <c r="AM292" s="1051"/>
      <c r="AN292" s="1051"/>
      <c r="AO292" s="1051"/>
      <c r="AP292" s="1051"/>
      <c r="AQ292" s="1051"/>
    </row>
    <row r="293" spans="1:43" s="51" customFormat="1">
      <c r="A293" s="1050"/>
      <c r="B293" s="1051"/>
      <c r="C293" s="1051"/>
      <c r="D293" s="1051"/>
      <c r="E293" s="1051"/>
      <c r="F293" s="1051"/>
      <c r="G293" s="1051"/>
      <c r="H293" s="1051"/>
      <c r="I293" s="1052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1"/>
      <c r="AE293" s="1051"/>
      <c r="AF293" s="1051"/>
      <c r="AG293" s="1051"/>
      <c r="AH293" s="1051"/>
      <c r="AI293" s="1051"/>
      <c r="AJ293" s="1051"/>
      <c r="AK293" s="1051"/>
      <c r="AL293" s="1051"/>
      <c r="AM293" s="1051"/>
      <c r="AN293" s="1051"/>
      <c r="AO293" s="1051"/>
      <c r="AP293" s="1051"/>
      <c r="AQ293" s="1051"/>
    </row>
    <row r="294" spans="1:43" s="51" customFormat="1">
      <c r="A294" s="1050"/>
      <c r="B294" s="1051"/>
      <c r="C294" s="1051"/>
      <c r="D294" s="1051"/>
      <c r="E294" s="1051"/>
      <c r="F294" s="1051"/>
      <c r="G294" s="1051"/>
      <c r="H294" s="1051"/>
      <c r="I294" s="1052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1"/>
      <c r="AE294" s="1051"/>
      <c r="AF294" s="1051"/>
      <c r="AG294" s="1051"/>
      <c r="AH294" s="1051"/>
      <c r="AI294" s="1051"/>
      <c r="AJ294" s="1051"/>
      <c r="AK294" s="1051"/>
      <c r="AL294" s="1051"/>
      <c r="AM294" s="1051"/>
      <c r="AN294" s="1051"/>
      <c r="AO294" s="1051"/>
      <c r="AP294" s="1051"/>
      <c r="AQ294" s="1051"/>
    </row>
    <row r="295" spans="1:43" s="51" customFormat="1">
      <c r="A295" s="1050"/>
      <c r="B295" s="1051"/>
      <c r="C295" s="1051"/>
      <c r="D295" s="1051"/>
      <c r="E295" s="1051"/>
      <c r="F295" s="1051"/>
      <c r="G295" s="1051"/>
      <c r="H295" s="1051"/>
      <c r="I295" s="1052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1"/>
      <c r="AE295" s="1051"/>
      <c r="AF295" s="1051"/>
      <c r="AG295" s="1051"/>
      <c r="AH295" s="1051"/>
      <c r="AI295" s="1051"/>
      <c r="AJ295" s="1051"/>
      <c r="AK295" s="1051"/>
      <c r="AL295" s="1051"/>
      <c r="AM295" s="1051"/>
      <c r="AN295" s="1051"/>
      <c r="AO295" s="1051"/>
      <c r="AP295" s="1051"/>
      <c r="AQ295" s="1051"/>
    </row>
    <row r="296" spans="1:43" s="51" customFormat="1">
      <c r="A296" s="1050"/>
      <c r="B296" s="1051"/>
      <c r="C296" s="1051"/>
      <c r="D296" s="1051"/>
      <c r="E296" s="1051"/>
      <c r="F296" s="1051"/>
      <c r="G296" s="1051"/>
      <c r="H296" s="1051"/>
      <c r="I296" s="1052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1"/>
      <c r="AE296" s="1051"/>
      <c r="AF296" s="1051"/>
      <c r="AG296" s="1051"/>
      <c r="AH296" s="1051"/>
      <c r="AI296" s="1051"/>
      <c r="AJ296" s="1051"/>
      <c r="AK296" s="1051"/>
      <c r="AL296" s="1051"/>
      <c r="AM296" s="1051"/>
      <c r="AN296" s="1051"/>
      <c r="AO296" s="1051"/>
      <c r="AP296" s="1051"/>
      <c r="AQ296" s="1051"/>
    </row>
    <row r="297" spans="1:43" s="51" customFormat="1">
      <c r="A297" s="1050"/>
      <c r="B297" s="1051"/>
      <c r="C297" s="1051"/>
      <c r="D297" s="1051"/>
      <c r="E297" s="1051"/>
      <c r="F297" s="1051"/>
      <c r="G297" s="1051"/>
      <c r="H297" s="1051"/>
      <c r="I297" s="1052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1"/>
      <c r="AE297" s="1051"/>
      <c r="AF297" s="1051"/>
      <c r="AG297" s="1051"/>
      <c r="AH297" s="1051"/>
      <c r="AI297" s="1051"/>
      <c r="AJ297" s="1051"/>
      <c r="AK297" s="1051"/>
      <c r="AL297" s="1051"/>
      <c r="AM297" s="1051"/>
      <c r="AN297" s="1051"/>
      <c r="AO297" s="1051"/>
      <c r="AP297" s="1051"/>
      <c r="AQ297" s="1051"/>
    </row>
    <row r="298" spans="1:43" s="51" customFormat="1">
      <c r="A298" s="1050"/>
      <c r="B298" s="1051"/>
      <c r="C298" s="1051"/>
      <c r="D298" s="1051"/>
      <c r="E298" s="1051"/>
      <c r="F298" s="1051"/>
      <c r="G298" s="1051"/>
      <c r="H298" s="1051"/>
      <c r="I298" s="1052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1"/>
      <c r="AE298" s="1051"/>
      <c r="AF298" s="1051"/>
      <c r="AG298" s="1051"/>
      <c r="AH298" s="1051"/>
      <c r="AI298" s="1051"/>
      <c r="AJ298" s="1051"/>
      <c r="AK298" s="1051"/>
      <c r="AL298" s="1051"/>
      <c r="AM298" s="1051"/>
      <c r="AN298" s="1051"/>
      <c r="AO298" s="1051"/>
      <c r="AP298" s="1051"/>
      <c r="AQ298" s="1051"/>
    </row>
    <row r="299" spans="1:43" s="51" customFormat="1">
      <c r="A299" s="1050"/>
      <c r="B299" s="1051"/>
      <c r="C299" s="1051"/>
      <c r="D299" s="1051"/>
      <c r="E299" s="1051"/>
      <c r="F299" s="1051"/>
      <c r="G299" s="1051"/>
      <c r="H299" s="1051"/>
      <c r="I299" s="1052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1"/>
      <c r="AE299" s="1051"/>
      <c r="AF299" s="1051"/>
      <c r="AG299" s="1051"/>
      <c r="AH299" s="1051"/>
      <c r="AI299" s="1051"/>
      <c r="AJ299" s="1051"/>
      <c r="AK299" s="1051"/>
      <c r="AL299" s="1051"/>
      <c r="AM299" s="1051"/>
      <c r="AN299" s="1051"/>
      <c r="AO299" s="1051"/>
      <c r="AP299" s="1051"/>
      <c r="AQ299" s="1051"/>
    </row>
    <row r="300" spans="1:43" s="51" customFormat="1">
      <c r="A300" s="1050"/>
      <c r="B300" s="1051"/>
      <c r="C300" s="1051"/>
      <c r="D300" s="1051"/>
      <c r="E300" s="1051"/>
      <c r="F300" s="1051"/>
      <c r="G300" s="1051"/>
      <c r="H300" s="1051"/>
      <c r="I300" s="1052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1"/>
      <c r="AE300" s="1051"/>
      <c r="AF300" s="1051"/>
      <c r="AG300" s="1051"/>
      <c r="AH300" s="1051"/>
      <c r="AI300" s="1051"/>
      <c r="AJ300" s="1051"/>
      <c r="AK300" s="1051"/>
      <c r="AL300" s="1051"/>
      <c r="AM300" s="1051"/>
      <c r="AN300" s="1051"/>
      <c r="AO300" s="1051"/>
      <c r="AP300" s="1051"/>
      <c r="AQ300" s="1051"/>
    </row>
    <row r="301" spans="1:43" s="51" customFormat="1">
      <c r="A301" s="1050"/>
      <c r="B301" s="1051"/>
      <c r="C301" s="1051"/>
      <c r="D301" s="1051"/>
      <c r="E301" s="1051"/>
      <c r="F301" s="1051"/>
      <c r="G301" s="1051"/>
      <c r="H301" s="1051"/>
      <c r="I301" s="1052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1"/>
      <c r="AE301" s="1051"/>
      <c r="AF301" s="1051"/>
      <c r="AG301" s="1051"/>
      <c r="AH301" s="1051"/>
      <c r="AI301" s="1051"/>
      <c r="AJ301" s="1051"/>
      <c r="AK301" s="1051"/>
      <c r="AL301" s="1051"/>
      <c r="AM301" s="1051"/>
      <c r="AN301" s="1051"/>
      <c r="AO301" s="1051"/>
      <c r="AP301" s="1051"/>
      <c r="AQ301" s="1051"/>
    </row>
    <row r="302" spans="1:43" s="51" customFormat="1">
      <c r="A302" s="1050"/>
      <c r="B302" s="1051"/>
      <c r="C302" s="1051"/>
      <c r="D302" s="1051"/>
      <c r="E302" s="1051"/>
      <c r="F302" s="1051"/>
      <c r="G302" s="1051"/>
      <c r="H302" s="1051"/>
      <c r="I302" s="1052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1"/>
      <c r="AE302" s="1051"/>
      <c r="AF302" s="1051"/>
      <c r="AG302" s="1051"/>
      <c r="AH302" s="1051"/>
      <c r="AI302" s="1051"/>
      <c r="AJ302" s="1051"/>
      <c r="AK302" s="1051"/>
      <c r="AL302" s="1051"/>
      <c r="AM302" s="1051"/>
      <c r="AN302" s="1051"/>
      <c r="AO302" s="1051"/>
      <c r="AP302" s="1051"/>
      <c r="AQ302" s="1051"/>
    </row>
    <row r="303" spans="1:43" s="51" customFormat="1">
      <c r="A303" s="1050"/>
      <c r="B303" s="1051"/>
      <c r="C303" s="1051"/>
      <c r="D303" s="1051"/>
      <c r="E303" s="1051"/>
      <c r="F303" s="1051"/>
      <c r="G303" s="1051"/>
      <c r="H303" s="1051"/>
      <c r="I303" s="1052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1"/>
      <c r="AE303" s="1051"/>
      <c r="AF303" s="1051"/>
      <c r="AG303" s="1051"/>
      <c r="AH303" s="1051"/>
      <c r="AI303" s="1051"/>
      <c r="AJ303" s="1051"/>
      <c r="AK303" s="1051"/>
      <c r="AL303" s="1051"/>
      <c r="AM303" s="1051"/>
      <c r="AN303" s="1051"/>
      <c r="AO303" s="1051"/>
      <c r="AP303" s="1051"/>
      <c r="AQ303" s="1051"/>
    </row>
    <row r="304" spans="1:43">
      <c r="A304" s="1050"/>
      <c r="B304" s="1051"/>
      <c r="C304" s="1051"/>
      <c r="D304" s="1051"/>
      <c r="E304" s="1051"/>
      <c r="F304" s="1051"/>
      <c r="G304" s="1051"/>
      <c r="H304" s="1051"/>
      <c r="I304" s="1052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1"/>
      <c r="AE304" s="1051"/>
      <c r="AF304" s="1051"/>
      <c r="AG304" s="1051"/>
      <c r="AH304" s="1051"/>
      <c r="AI304" s="1051"/>
      <c r="AJ304" s="1051"/>
      <c r="AK304" s="1051"/>
      <c r="AL304" s="1051"/>
      <c r="AM304" s="1051"/>
      <c r="AN304" s="1051"/>
      <c r="AO304" s="1051"/>
      <c r="AP304" s="1051"/>
      <c r="AQ304" s="1051"/>
    </row>
    <row r="305" spans="1:43">
      <c r="A305" s="1050"/>
      <c r="B305" s="1051"/>
      <c r="C305" s="1051"/>
      <c r="D305" s="1051"/>
      <c r="E305" s="1051"/>
      <c r="F305" s="1051"/>
      <c r="G305" s="1051"/>
      <c r="H305" s="1051"/>
      <c r="I305" s="1052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1"/>
      <c r="AE305" s="1051"/>
      <c r="AF305" s="1051"/>
      <c r="AG305" s="1051"/>
      <c r="AH305" s="1051"/>
      <c r="AI305" s="1051"/>
      <c r="AJ305" s="1051"/>
      <c r="AK305" s="1051"/>
      <c r="AL305" s="1051"/>
      <c r="AM305" s="1051"/>
      <c r="AN305" s="1051"/>
      <c r="AO305" s="1051"/>
      <c r="AP305" s="1051"/>
      <c r="AQ305" s="1051"/>
    </row>
    <row r="306" spans="1:43">
      <c r="A306" s="1050"/>
      <c r="B306" s="1051"/>
      <c r="C306" s="1051"/>
      <c r="D306" s="1051"/>
      <c r="E306" s="1051"/>
      <c r="F306" s="1051"/>
      <c r="G306" s="1051"/>
      <c r="H306" s="1051"/>
      <c r="I306" s="1052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1"/>
      <c r="AE306" s="1051"/>
      <c r="AF306" s="1051"/>
      <c r="AG306" s="1051"/>
      <c r="AH306" s="1051"/>
      <c r="AI306" s="1051"/>
      <c r="AJ306" s="1051"/>
      <c r="AK306" s="1051"/>
      <c r="AL306" s="1051"/>
      <c r="AM306" s="1051"/>
      <c r="AN306" s="1051"/>
      <c r="AO306" s="1051"/>
      <c r="AP306" s="1051"/>
      <c r="AQ306" s="1051"/>
    </row>
    <row r="307" spans="1:43">
      <c r="A307" s="1050"/>
      <c r="B307" s="1044"/>
      <c r="C307" s="1044"/>
      <c r="D307" s="1044"/>
      <c r="E307" s="142"/>
      <c r="F307" s="142"/>
      <c r="G307" s="142"/>
      <c r="H307" s="142"/>
      <c r="I307" s="1047"/>
      <c r="J307" s="1047"/>
      <c r="K307" s="1053"/>
      <c r="L307" s="1047"/>
      <c r="M307" s="1047"/>
      <c r="N307" s="1047"/>
      <c r="O307" s="1047"/>
      <c r="P307" s="1047"/>
      <c r="Q307" s="1047"/>
      <c r="R307" s="1053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</row>
    <row r="308" spans="1:43">
      <c r="A308" s="1050"/>
      <c r="B308" s="1044"/>
      <c r="C308" s="1044"/>
      <c r="D308" s="1044"/>
      <c r="E308" s="142"/>
      <c r="F308" s="142"/>
      <c r="G308" s="142"/>
      <c r="H308" s="142"/>
      <c r="I308" s="1047"/>
      <c r="J308" s="1047"/>
      <c r="K308" s="1053"/>
      <c r="L308" s="1047"/>
      <c r="M308" s="1047"/>
      <c r="N308" s="1047"/>
      <c r="O308" s="1047"/>
      <c r="P308" s="1047"/>
      <c r="Q308" s="1047"/>
      <c r="R308" s="1053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</row>
    <row r="309" spans="1:43">
      <c r="A309" s="1050"/>
      <c r="B309" s="1044"/>
      <c r="C309" s="1044"/>
      <c r="D309" s="1044"/>
      <c r="E309" s="142"/>
      <c r="F309" s="142"/>
      <c r="G309" s="142"/>
      <c r="H309" s="142"/>
      <c r="I309" s="1047"/>
      <c r="J309" s="1047"/>
      <c r="K309" s="1053"/>
      <c r="L309" s="1047"/>
      <c r="M309" s="1047"/>
      <c r="N309" s="1047"/>
      <c r="O309" s="1047"/>
      <c r="P309" s="1047"/>
      <c r="Q309" s="1047"/>
      <c r="R309" s="1053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</row>
    <row r="310" spans="1:43">
      <c r="A310" s="1050"/>
      <c r="B310" s="1044"/>
      <c r="C310" s="1044"/>
      <c r="D310" s="1044"/>
      <c r="E310" s="142"/>
      <c r="F310" s="142"/>
      <c r="G310" s="142"/>
      <c r="H310" s="142"/>
      <c r="I310" s="1047"/>
      <c r="J310" s="1047"/>
      <c r="K310" s="1053"/>
      <c r="L310" s="1047"/>
      <c r="M310" s="1047"/>
      <c r="N310" s="1047"/>
      <c r="O310" s="1047"/>
      <c r="P310" s="1047"/>
      <c r="Q310" s="1047"/>
      <c r="R310" s="1053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</row>
    <row r="311" spans="1:43">
      <c r="A311" s="1050"/>
      <c r="B311" s="1044"/>
      <c r="C311" s="1044"/>
      <c r="D311" s="1044"/>
      <c r="E311" s="142"/>
      <c r="F311" s="142"/>
      <c r="G311" s="142"/>
      <c r="H311" s="142"/>
      <c r="I311" s="1047"/>
      <c r="J311" s="1047"/>
      <c r="K311" s="1053"/>
      <c r="L311" s="1047"/>
      <c r="M311" s="1047"/>
      <c r="N311" s="1047"/>
      <c r="O311" s="1047"/>
      <c r="P311" s="1047"/>
      <c r="Q311" s="1047"/>
      <c r="R311" s="1053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</row>
    <row r="312" spans="1:43">
      <c r="A312" s="1050"/>
      <c r="B312" s="1044"/>
      <c r="C312" s="1044"/>
      <c r="D312" s="1044"/>
      <c r="E312" s="142"/>
      <c r="F312" s="142"/>
      <c r="G312" s="142"/>
      <c r="H312" s="142"/>
      <c r="I312" s="1047"/>
      <c r="J312" s="1047"/>
      <c r="K312" s="1053"/>
      <c r="L312" s="1047"/>
      <c r="M312" s="1047"/>
      <c r="N312" s="1047"/>
      <c r="O312" s="1047"/>
      <c r="P312" s="1047"/>
      <c r="Q312" s="1047"/>
      <c r="R312" s="1053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>
      <c r="A313" s="1050"/>
      <c r="B313" s="1044"/>
      <c r="C313" s="1044"/>
      <c r="D313" s="1044"/>
      <c r="E313" s="142"/>
      <c r="F313" s="142"/>
      <c r="G313" s="142"/>
      <c r="H313" s="142"/>
      <c r="I313" s="1047"/>
      <c r="J313" s="1047"/>
      <c r="K313" s="1053"/>
      <c r="L313" s="1047"/>
      <c r="M313" s="1047"/>
      <c r="N313" s="1047"/>
      <c r="O313" s="1047"/>
      <c r="P313" s="1047"/>
      <c r="Q313" s="1047"/>
      <c r="R313" s="1053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>
      <c r="A314" s="1050"/>
      <c r="B314" s="1044"/>
      <c r="C314" s="1044"/>
      <c r="D314" s="1044"/>
      <c r="E314" s="142"/>
      <c r="F314" s="142"/>
      <c r="G314" s="142"/>
      <c r="H314" s="142"/>
      <c r="I314" s="1047"/>
      <c r="J314" s="1047"/>
      <c r="K314" s="1053"/>
      <c r="L314" s="1047"/>
      <c r="M314" s="1047"/>
      <c r="N314" s="1047"/>
      <c r="O314" s="1047"/>
      <c r="P314" s="1047"/>
      <c r="Q314" s="1047"/>
      <c r="R314" s="1053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>
      <c r="A315" s="1050"/>
      <c r="B315" s="1044"/>
      <c r="C315" s="1044"/>
      <c r="D315" s="1044"/>
      <c r="E315" s="142"/>
      <c r="F315" s="142"/>
      <c r="G315" s="142"/>
      <c r="H315" s="142"/>
      <c r="I315" s="1047"/>
      <c r="J315" s="1047"/>
      <c r="K315" s="1053"/>
      <c r="L315" s="1047"/>
      <c r="M315" s="1047"/>
      <c r="N315" s="1047"/>
      <c r="O315" s="1047"/>
      <c r="P315" s="1047"/>
      <c r="Q315" s="1047"/>
      <c r="R315" s="1053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>
      <c r="A316" s="1050"/>
      <c r="B316" s="1044"/>
      <c r="C316" s="1044"/>
      <c r="D316" s="1044"/>
      <c r="E316" s="142"/>
      <c r="F316" s="142"/>
      <c r="G316" s="142"/>
      <c r="H316" s="142"/>
      <c r="I316" s="1047"/>
      <c r="J316" s="1047"/>
      <c r="K316" s="1053"/>
      <c r="L316" s="1047"/>
      <c r="M316" s="1047"/>
      <c r="N316" s="1047"/>
      <c r="O316" s="1047"/>
      <c r="P316" s="1047"/>
      <c r="Q316" s="1047"/>
      <c r="R316" s="1053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>
      <c r="A317" s="1050"/>
      <c r="B317" s="1044"/>
      <c r="C317" s="1044"/>
      <c r="D317" s="1044"/>
      <c r="E317" s="142"/>
      <c r="F317" s="142"/>
      <c r="G317" s="142"/>
      <c r="H317" s="142"/>
      <c r="I317" s="1047"/>
      <c r="J317" s="1047"/>
      <c r="K317" s="1053"/>
      <c r="L317" s="1047"/>
      <c r="M317" s="1047"/>
      <c r="N317" s="1047"/>
      <c r="O317" s="1047"/>
      <c r="P317" s="1047"/>
      <c r="Q317" s="1047"/>
      <c r="R317" s="1053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>
      <c r="A318" s="1050"/>
      <c r="B318" s="1044"/>
      <c r="C318" s="1044"/>
      <c r="D318" s="1044"/>
      <c r="E318" s="142"/>
      <c r="F318" s="142"/>
      <c r="G318" s="142"/>
      <c r="H318" s="142"/>
      <c r="I318" s="1047"/>
      <c r="J318" s="1047"/>
      <c r="K318" s="1053"/>
      <c r="L318" s="1047"/>
      <c r="M318" s="1047"/>
      <c r="N318" s="1047"/>
      <c r="O318" s="1047"/>
      <c r="P318" s="1047"/>
      <c r="Q318" s="1047"/>
      <c r="R318" s="1053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>
      <c r="A319" s="1050"/>
      <c r="B319" s="1044"/>
      <c r="C319" s="1044"/>
      <c r="D319" s="1044"/>
      <c r="E319" s="142"/>
      <c r="F319" s="142"/>
      <c r="G319" s="142"/>
      <c r="H319" s="142"/>
      <c r="I319" s="1047"/>
      <c r="J319" s="1047"/>
      <c r="K319" s="1053"/>
      <c r="L319" s="1047"/>
      <c r="M319" s="1047"/>
      <c r="N319" s="1047"/>
      <c r="O319" s="1047"/>
      <c r="P319" s="1047"/>
      <c r="Q319" s="1047"/>
      <c r="R319" s="1053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>
      <c r="A320" s="1050"/>
      <c r="B320" s="1044"/>
      <c r="C320" s="1044"/>
      <c r="D320" s="1044"/>
      <c r="E320" s="142"/>
      <c r="F320" s="142"/>
      <c r="G320" s="142"/>
      <c r="H320" s="142"/>
      <c r="I320" s="1047"/>
      <c r="J320" s="1047"/>
      <c r="K320" s="1053"/>
      <c r="L320" s="1047"/>
      <c r="M320" s="1047"/>
      <c r="N320" s="1047"/>
      <c r="O320" s="1047"/>
      <c r="P320" s="1047"/>
      <c r="Q320" s="1047"/>
      <c r="R320" s="1053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>
      <c r="A321" s="1050"/>
      <c r="B321" s="1044"/>
      <c r="C321" s="1044"/>
      <c r="D321" s="1044"/>
      <c r="E321" s="142"/>
      <c r="F321" s="142"/>
      <c r="G321" s="142"/>
      <c r="H321" s="142"/>
      <c r="I321" s="1047"/>
      <c r="J321" s="1047"/>
      <c r="K321" s="1053"/>
      <c r="L321" s="1047"/>
      <c r="M321" s="1047"/>
      <c r="N321" s="1047"/>
      <c r="O321" s="1047"/>
      <c r="P321" s="1047"/>
      <c r="Q321" s="1047"/>
      <c r="R321" s="1053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 s="1024" customFormat="1">
      <c r="A322" s="1050"/>
      <c r="B322" s="1044"/>
      <c r="C322" s="1044"/>
      <c r="D322" s="1044"/>
      <c r="E322" s="142"/>
      <c r="F322" s="142"/>
      <c r="G322" s="142"/>
      <c r="H322" s="142"/>
      <c r="I322" s="1047"/>
      <c r="J322" s="1047"/>
      <c r="K322" s="1053"/>
      <c r="L322" s="1047"/>
      <c r="M322" s="1047"/>
      <c r="N322" s="1047"/>
      <c r="O322" s="1047"/>
      <c r="P322" s="1047"/>
      <c r="Q322" s="1047"/>
      <c r="R322" s="1053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 s="1024" customFormat="1">
      <c r="A323" s="1050"/>
      <c r="B323" s="1044"/>
      <c r="C323" s="1044"/>
      <c r="D323" s="1044"/>
      <c r="E323" s="142"/>
      <c r="F323" s="142"/>
      <c r="G323" s="142"/>
      <c r="H323" s="142"/>
      <c r="I323" s="1047"/>
      <c r="J323" s="1047"/>
      <c r="K323" s="1053"/>
      <c r="L323" s="1047"/>
      <c r="M323" s="1047"/>
      <c r="N323" s="1047"/>
      <c r="O323" s="1047"/>
      <c r="P323" s="1047"/>
      <c r="Q323" s="1047"/>
      <c r="R323" s="1053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 s="1024" customFormat="1">
      <c r="A324" s="1050"/>
      <c r="B324" s="1044"/>
      <c r="C324" s="1044"/>
      <c r="D324" s="1044"/>
      <c r="E324" s="142"/>
      <c r="F324" s="142"/>
      <c r="G324" s="142"/>
      <c r="H324" s="142"/>
      <c r="I324" s="1047"/>
      <c r="J324" s="1047"/>
      <c r="K324" s="1053"/>
      <c r="L324" s="1047"/>
      <c r="M324" s="1047"/>
      <c r="N324" s="1047"/>
      <c r="O324" s="1047"/>
      <c r="P324" s="1047"/>
      <c r="Q324" s="1047"/>
      <c r="R324" s="1053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 s="1024" customFormat="1">
      <c r="A325" s="1050"/>
      <c r="B325" s="1044"/>
      <c r="C325" s="1044"/>
      <c r="D325" s="1044"/>
      <c r="E325" s="142"/>
      <c r="F325" s="142"/>
      <c r="G325" s="142"/>
      <c r="H325" s="142"/>
      <c r="I325" s="1047"/>
      <c r="J325" s="1047"/>
      <c r="K325" s="1053"/>
      <c r="L325" s="1047"/>
      <c r="M325" s="1047"/>
      <c r="N325" s="1047"/>
      <c r="O325" s="1047"/>
      <c r="P325" s="1047"/>
      <c r="Q325" s="1047"/>
      <c r="R325" s="1053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 s="1024" customFormat="1">
      <c r="A326" s="1050"/>
      <c r="B326" s="1044"/>
      <c r="C326" s="1044"/>
      <c r="D326" s="1044"/>
      <c r="E326" s="142"/>
      <c r="F326" s="142"/>
      <c r="G326" s="142"/>
      <c r="H326" s="142"/>
      <c r="I326" s="1047"/>
      <c r="J326" s="1047"/>
      <c r="K326" s="1053"/>
      <c r="L326" s="1047"/>
      <c r="M326" s="1047"/>
      <c r="N326" s="1047"/>
      <c r="O326" s="1047"/>
      <c r="P326" s="1047"/>
      <c r="Q326" s="1047"/>
      <c r="R326" s="1053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s="1024" customFormat="1">
      <c r="A327" s="1050"/>
      <c r="B327" s="1044"/>
      <c r="C327" s="1044"/>
      <c r="D327" s="1044"/>
      <c r="E327" s="142"/>
      <c r="F327" s="142"/>
      <c r="G327" s="142"/>
      <c r="H327" s="142"/>
      <c r="I327" s="1047"/>
      <c r="J327" s="1047"/>
      <c r="K327" s="1053"/>
      <c r="L327" s="1047"/>
      <c r="M327" s="1047"/>
      <c r="N327" s="1047"/>
      <c r="O327" s="1047"/>
      <c r="P327" s="1047"/>
      <c r="Q327" s="1047"/>
      <c r="R327" s="1053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s="1024" customFormat="1">
      <c r="A328" s="1050"/>
      <c r="B328" s="1044"/>
      <c r="C328" s="1044"/>
      <c r="D328" s="1044"/>
      <c r="E328" s="142"/>
      <c r="F328" s="142"/>
      <c r="G328" s="142"/>
      <c r="H328" s="142"/>
      <c r="I328" s="1047"/>
      <c r="J328" s="1047"/>
      <c r="K328" s="1053"/>
      <c r="L328" s="1047"/>
      <c r="M328" s="1047"/>
      <c r="N328" s="1047"/>
      <c r="O328" s="1047"/>
      <c r="P328" s="1047"/>
      <c r="Q328" s="1047"/>
      <c r="R328" s="1053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s="1024" customFormat="1">
      <c r="A329" s="1050"/>
      <c r="B329" s="1044"/>
      <c r="C329" s="1044"/>
      <c r="D329" s="1044"/>
      <c r="E329" s="142"/>
      <c r="F329" s="142"/>
      <c r="G329" s="142"/>
      <c r="H329" s="142"/>
      <c r="I329" s="1047"/>
      <c r="J329" s="1047"/>
      <c r="K329" s="1053"/>
      <c r="L329" s="1047"/>
      <c r="M329" s="1047"/>
      <c r="N329" s="1047"/>
      <c r="O329" s="1047"/>
      <c r="P329" s="1047"/>
      <c r="Q329" s="1047"/>
      <c r="R329" s="1053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s="1024" customFormat="1">
      <c r="A330" s="1050"/>
      <c r="B330" s="1044"/>
      <c r="C330" s="1044"/>
      <c r="D330" s="1044"/>
      <c r="E330" s="142"/>
      <c r="F330" s="142"/>
      <c r="G330" s="142"/>
      <c r="H330" s="142"/>
      <c r="I330" s="1047"/>
      <c r="J330" s="1047"/>
      <c r="K330" s="1053"/>
      <c r="L330" s="1047"/>
      <c r="M330" s="1047"/>
      <c r="N330" s="1047"/>
      <c r="O330" s="1047"/>
      <c r="P330" s="1047"/>
      <c r="Q330" s="1047"/>
      <c r="R330" s="1053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s="1024" customFormat="1">
      <c r="A331" s="1050"/>
      <c r="B331" s="1044"/>
      <c r="C331" s="1044"/>
      <c r="D331" s="1044"/>
      <c r="E331" s="142"/>
      <c r="F331" s="142"/>
      <c r="G331" s="142"/>
      <c r="H331" s="142"/>
      <c r="I331" s="1047"/>
      <c r="J331" s="1047"/>
      <c r="K331" s="1053"/>
      <c r="L331" s="1047"/>
      <c r="M331" s="1047"/>
      <c r="N331" s="1047"/>
      <c r="O331" s="1047"/>
      <c r="P331" s="1047"/>
      <c r="Q331" s="1047"/>
      <c r="R331" s="1053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s="1024" customFormat="1">
      <c r="A332" s="1050"/>
      <c r="B332" s="1044"/>
      <c r="C332" s="1044"/>
      <c r="D332" s="1044"/>
      <c r="E332" s="142"/>
      <c r="F332" s="142"/>
      <c r="G332" s="142"/>
      <c r="H332" s="142"/>
      <c r="I332" s="1047"/>
      <c r="J332" s="1047"/>
      <c r="K332" s="1053"/>
      <c r="L332" s="1047"/>
      <c r="M332" s="1047"/>
      <c r="N332" s="1047"/>
      <c r="O332" s="1047"/>
      <c r="P332" s="1047"/>
      <c r="Q332" s="1047"/>
      <c r="R332" s="1053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s="1024" customFormat="1">
      <c r="A333" s="1050"/>
      <c r="B333" s="1044"/>
      <c r="C333" s="1044"/>
      <c r="D333" s="1044"/>
      <c r="E333" s="142"/>
      <c r="F333" s="142"/>
      <c r="G333" s="142"/>
      <c r="H333" s="142"/>
      <c r="I333" s="1047"/>
      <c r="J333" s="1047"/>
      <c r="K333" s="1053"/>
      <c r="L333" s="1047"/>
      <c r="M333" s="1047"/>
      <c r="N333" s="1047"/>
      <c r="O333" s="1047"/>
      <c r="P333" s="1047"/>
      <c r="Q333" s="1047"/>
      <c r="R333" s="1053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s="1024" customFormat="1">
      <c r="A334" s="1050"/>
      <c r="B334" s="1044"/>
      <c r="C334" s="1044"/>
      <c r="D334" s="1044"/>
      <c r="E334" s="142"/>
      <c r="F334" s="142"/>
      <c r="G334" s="142"/>
      <c r="H334" s="142"/>
      <c r="I334" s="1047"/>
      <c r="J334" s="1047"/>
      <c r="K334" s="1053"/>
      <c r="L334" s="1047"/>
      <c r="M334" s="1047"/>
      <c r="N334" s="1047"/>
      <c r="O334" s="1047"/>
      <c r="P334" s="1047"/>
      <c r="Q334" s="1047"/>
      <c r="R334" s="1053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s="1024" customFormat="1">
      <c r="A335" s="1050"/>
      <c r="B335" s="1044"/>
      <c r="C335" s="1044"/>
      <c r="D335" s="1044"/>
      <c r="E335" s="142"/>
      <c r="F335" s="142"/>
      <c r="G335" s="142"/>
      <c r="H335" s="142"/>
      <c r="I335" s="1047"/>
      <c r="J335" s="1047"/>
      <c r="K335" s="1053"/>
      <c r="L335" s="1047"/>
      <c r="M335" s="1047"/>
      <c r="N335" s="1047"/>
      <c r="O335" s="1047"/>
      <c r="P335" s="1047"/>
      <c r="Q335" s="1047"/>
      <c r="R335" s="1053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s="1024" customFormat="1">
      <c r="A336" s="1050"/>
      <c r="B336" s="1044"/>
      <c r="C336" s="1044"/>
      <c r="D336" s="1044"/>
      <c r="E336" s="142"/>
      <c r="F336" s="142"/>
      <c r="G336" s="142"/>
      <c r="H336" s="142"/>
      <c r="I336" s="1047"/>
      <c r="J336" s="1047"/>
      <c r="K336" s="1053"/>
      <c r="L336" s="1047"/>
      <c r="M336" s="1047"/>
      <c r="N336" s="1047"/>
      <c r="O336" s="1047"/>
      <c r="P336" s="1047"/>
      <c r="Q336" s="1047"/>
      <c r="R336" s="1053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s="1024" customFormat="1">
      <c r="A337" s="1050"/>
      <c r="B337" s="1044"/>
      <c r="C337" s="1044"/>
      <c r="D337" s="1044"/>
      <c r="E337" s="142"/>
      <c r="F337" s="142"/>
      <c r="G337" s="142"/>
      <c r="H337" s="142"/>
      <c r="I337" s="1047"/>
      <c r="J337" s="1047"/>
      <c r="K337" s="1053"/>
      <c r="L337" s="1047"/>
      <c r="M337" s="1047"/>
      <c r="N337" s="1047"/>
      <c r="O337" s="1047"/>
      <c r="P337" s="1047"/>
      <c r="Q337" s="1047"/>
      <c r="R337" s="1053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s="1024" customFormat="1">
      <c r="A338" s="1050"/>
      <c r="B338" s="1044"/>
      <c r="C338" s="1044"/>
      <c r="D338" s="1044"/>
      <c r="E338" s="142"/>
      <c r="F338" s="142"/>
      <c r="G338" s="142"/>
      <c r="H338" s="142"/>
      <c r="I338" s="1047"/>
      <c r="J338" s="1047"/>
      <c r="K338" s="1053"/>
      <c r="L338" s="1047"/>
      <c r="M338" s="1047"/>
      <c r="N338" s="1047"/>
      <c r="O338" s="1047"/>
      <c r="P338" s="1047"/>
      <c r="Q338" s="1047"/>
      <c r="R338" s="1053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s="1024" customFormat="1">
      <c r="A339" s="1050"/>
      <c r="B339" s="1044"/>
      <c r="C339" s="1044"/>
      <c r="D339" s="1044"/>
      <c r="E339" s="142"/>
      <c r="F339" s="142"/>
      <c r="G339" s="142"/>
      <c r="H339" s="142"/>
      <c r="I339" s="1047"/>
      <c r="J339" s="1047"/>
      <c r="K339" s="1053"/>
      <c r="L339" s="1047"/>
      <c r="M339" s="1047"/>
      <c r="N339" s="1047"/>
      <c r="O339" s="1047"/>
      <c r="P339" s="1047"/>
      <c r="Q339" s="1047"/>
      <c r="R339" s="1053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s="1024" customFormat="1">
      <c r="A340" s="1050"/>
      <c r="B340" s="1044"/>
      <c r="C340" s="1044"/>
      <c r="D340" s="1044"/>
      <c r="E340" s="142"/>
      <c r="F340" s="142"/>
      <c r="G340" s="142"/>
      <c r="H340" s="142"/>
      <c r="I340" s="1047"/>
      <c r="J340" s="1047"/>
      <c r="K340" s="1053"/>
      <c r="L340" s="1047"/>
      <c r="M340" s="1047"/>
      <c r="N340" s="1047"/>
      <c r="O340" s="1047"/>
      <c r="P340" s="1047"/>
      <c r="Q340" s="1047"/>
      <c r="R340" s="1053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s="1024" customFormat="1">
      <c r="A341" s="1050"/>
      <c r="B341" s="1044"/>
      <c r="C341" s="1044"/>
      <c r="D341" s="1044"/>
      <c r="E341" s="142"/>
      <c r="F341" s="142"/>
      <c r="G341" s="142"/>
      <c r="H341" s="142"/>
      <c r="I341" s="1047"/>
      <c r="J341" s="1047"/>
      <c r="K341" s="1053"/>
      <c r="L341" s="1047"/>
      <c r="M341" s="1047"/>
      <c r="N341" s="1047"/>
      <c r="O341" s="1047"/>
      <c r="P341" s="1047"/>
      <c r="Q341" s="1047"/>
      <c r="R341" s="1053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s="1024" customFormat="1">
      <c r="A342" s="1050"/>
      <c r="B342" s="1044"/>
      <c r="C342" s="1044"/>
      <c r="D342" s="1044"/>
      <c r="E342" s="142"/>
      <c r="F342" s="142"/>
      <c r="G342" s="142"/>
      <c r="H342" s="142"/>
      <c r="I342" s="1047"/>
      <c r="J342" s="1047"/>
      <c r="K342" s="1053"/>
      <c r="L342" s="1047"/>
      <c r="M342" s="1047"/>
      <c r="N342" s="1047"/>
      <c r="O342" s="1047"/>
      <c r="P342" s="1047"/>
      <c r="Q342" s="1047"/>
      <c r="R342" s="1053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s="1024" customFormat="1">
      <c r="A343" s="1050"/>
      <c r="B343" s="1044"/>
      <c r="C343" s="1044"/>
      <c r="D343" s="1044"/>
      <c r="E343" s="142"/>
      <c r="F343" s="142"/>
      <c r="G343" s="142"/>
      <c r="H343" s="142"/>
      <c r="I343" s="1047"/>
      <c r="J343" s="1047"/>
      <c r="K343" s="1053"/>
      <c r="L343" s="1047"/>
      <c r="M343" s="1047"/>
      <c r="N343" s="1047"/>
      <c r="O343" s="1047"/>
      <c r="P343" s="1047"/>
      <c r="Q343" s="1047"/>
      <c r="R343" s="1053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s="1024" customFormat="1">
      <c r="A344" s="1050"/>
      <c r="B344" s="1044"/>
      <c r="C344" s="1044"/>
      <c r="D344" s="1044"/>
      <c r="E344" s="142"/>
      <c r="F344" s="142"/>
      <c r="G344" s="142"/>
      <c r="H344" s="142"/>
      <c r="I344" s="1047"/>
      <c r="J344" s="1047"/>
      <c r="K344" s="1053"/>
      <c r="L344" s="1047"/>
      <c r="M344" s="1047"/>
      <c r="N344" s="1047"/>
      <c r="O344" s="1047"/>
      <c r="P344" s="1047"/>
      <c r="Q344" s="1047"/>
      <c r="R344" s="1053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s="1024" customFormat="1">
      <c r="A345" s="1050"/>
      <c r="B345" s="1044"/>
      <c r="C345" s="1044"/>
      <c r="D345" s="1044"/>
      <c r="E345" s="142"/>
      <c r="F345" s="142"/>
      <c r="G345" s="142"/>
      <c r="H345" s="142"/>
      <c r="I345" s="1047"/>
      <c r="J345" s="1047"/>
      <c r="K345" s="1053"/>
      <c r="L345" s="1047"/>
      <c r="M345" s="1047"/>
      <c r="N345" s="1047"/>
      <c r="O345" s="1047"/>
      <c r="P345" s="1047"/>
      <c r="Q345" s="1047"/>
      <c r="R345" s="1053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s="1024" customFormat="1">
      <c r="A346" s="1050"/>
      <c r="B346" s="1044"/>
      <c r="C346" s="1044"/>
      <c r="D346" s="1044"/>
      <c r="E346" s="142"/>
      <c r="F346" s="142"/>
      <c r="G346" s="142"/>
      <c r="H346" s="142"/>
      <c r="I346" s="1047"/>
      <c r="J346" s="1047"/>
      <c r="K346" s="1053"/>
      <c r="L346" s="1047"/>
      <c r="M346" s="1047"/>
      <c r="N346" s="1047"/>
      <c r="O346" s="1047"/>
      <c r="P346" s="1047"/>
      <c r="Q346" s="1047"/>
      <c r="R346" s="1053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s="1024" customFormat="1">
      <c r="A347" s="1050"/>
      <c r="B347" s="1044"/>
      <c r="C347" s="1044"/>
      <c r="D347" s="1044"/>
      <c r="E347" s="142"/>
      <c r="F347" s="142"/>
      <c r="G347" s="142"/>
      <c r="H347" s="142"/>
      <c r="I347" s="1047"/>
      <c r="J347" s="1047"/>
      <c r="K347" s="1053"/>
      <c r="L347" s="1047"/>
      <c r="M347" s="1047"/>
      <c r="N347" s="1047"/>
      <c r="O347" s="1047"/>
      <c r="P347" s="1047"/>
      <c r="Q347" s="1047"/>
      <c r="R347" s="1053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s="1024" customFormat="1">
      <c r="A348" s="1050"/>
      <c r="B348" s="1044"/>
      <c r="C348" s="1044"/>
      <c r="D348" s="1044"/>
      <c r="E348" s="142"/>
      <c r="F348" s="142"/>
      <c r="G348" s="142"/>
      <c r="H348" s="142"/>
      <c r="I348" s="1047"/>
      <c r="J348" s="1047"/>
      <c r="K348" s="1053"/>
      <c r="L348" s="1047"/>
      <c r="M348" s="1047"/>
      <c r="N348" s="1047"/>
      <c r="O348" s="1047"/>
      <c r="P348" s="1047"/>
      <c r="Q348" s="1047"/>
      <c r="R348" s="1053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s="1024" customFormat="1">
      <c r="A349" s="1050"/>
      <c r="B349" s="1044"/>
      <c r="C349" s="1044"/>
      <c r="D349" s="1044"/>
      <c r="E349" s="142"/>
      <c r="F349" s="142"/>
      <c r="G349" s="142"/>
      <c r="H349" s="142"/>
      <c r="I349" s="1047"/>
      <c r="J349" s="1047"/>
      <c r="K349" s="1053"/>
      <c r="L349" s="1047"/>
      <c r="M349" s="1047"/>
      <c r="N349" s="1047"/>
      <c r="O349" s="1047"/>
      <c r="P349" s="1047"/>
      <c r="Q349" s="1047"/>
      <c r="R349" s="1053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s="1024" customFormat="1">
      <c r="A350" s="1050"/>
      <c r="B350" s="1044"/>
      <c r="C350" s="1044"/>
      <c r="D350" s="1044"/>
      <c r="E350" s="142"/>
      <c r="F350" s="142"/>
      <c r="G350" s="142"/>
      <c r="H350" s="142"/>
      <c r="I350" s="1047"/>
      <c r="J350" s="1047"/>
      <c r="K350" s="1053"/>
      <c r="L350" s="1047"/>
      <c r="M350" s="1047"/>
      <c r="N350" s="1047"/>
      <c r="O350" s="1047"/>
      <c r="P350" s="1047"/>
      <c r="Q350" s="1047"/>
      <c r="R350" s="1053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s="1024" customFormat="1">
      <c r="A351" s="1050"/>
      <c r="B351" s="1044"/>
      <c r="C351" s="1044"/>
      <c r="D351" s="1044"/>
      <c r="E351" s="142"/>
      <c r="F351" s="142"/>
      <c r="G351" s="142"/>
      <c r="H351" s="142"/>
      <c r="I351" s="1047"/>
      <c r="J351" s="1047"/>
      <c r="K351" s="1053"/>
      <c r="L351" s="1047"/>
      <c r="M351" s="1047"/>
      <c r="N351" s="1047"/>
      <c r="O351" s="1047"/>
      <c r="P351" s="1047"/>
      <c r="Q351" s="1047"/>
      <c r="R351" s="1053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s="1024" customFormat="1">
      <c r="A352" s="1050"/>
      <c r="B352" s="1044"/>
      <c r="C352" s="1044"/>
      <c r="D352" s="1044"/>
      <c r="E352" s="142"/>
      <c r="F352" s="142"/>
      <c r="G352" s="142"/>
      <c r="H352" s="142"/>
      <c r="I352" s="1047"/>
      <c r="J352" s="1047"/>
      <c r="K352" s="1053"/>
      <c r="L352" s="1047"/>
      <c r="M352" s="1047"/>
      <c r="N352" s="1047"/>
      <c r="O352" s="1047"/>
      <c r="P352" s="1047"/>
      <c r="Q352" s="1047"/>
      <c r="R352" s="1053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s="1024" customFormat="1">
      <c r="A353" s="1050"/>
      <c r="B353" s="1044"/>
      <c r="C353" s="1044"/>
      <c r="D353" s="1044"/>
      <c r="E353" s="142"/>
      <c r="F353" s="142"/>
      <c r="G353" s="142"/>
      <c r="H353" s="142"/>
      <c r="I353" s="1047"/>
      <c r="J353" s="1047"/>
      <c r="K353" s="1053"/>
      <c r="L353" s="1047"/>
      <c r="M353" s="1047"/>
      <c r="N353" s="1047"/>
      <c r="O353" s="1047"/>
      <c r="P353" s="1047"/>
      <c r="Q353" s="1047"/>
      <c r="R353" s="1053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s="1024" customFormat="1">
      <c r="A354" s="1050"/>
      <c r="B354" s="1044"/>
      <c r="C354" s="1044"/>
      <c r="D354" s="1044"/>
      <c r="E354" s="142"/>
      <c r="F354" s="142"/>
      <c r="G354" s="142"/>
      <c r="H354" s="142"/>
      <c r="I354" s="1047"/>
      <c r="J354" s="1047"/>
      <c r="K354" s="1053"/>
      <c r="L354" s="1047"/>
      <c r="M354" s="1047"/>
      <c r="N354" s="1047"/>
      <c r="O354" s="1047"/>
      <c r="P354" s="1047"/>
      <c r="Q354" s="1047"/>
      <c r="R354" s="1053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s="1024" customFormat="1">
      <c r="A355" s="1050"/>
      <c r="B355" s="1044"/>
      <c r="C355" s="1044"/>
      <c r="D355" s="1044"/>
      <c r="E355" s="142"/>
      <c r="F355" s="142"/>
      <c r="G355" s="142"/>
      <c r="H355" s="142"/>
      <c r="I355" s="1047"/>
      <c r="J355" s="1047"/>
      <c r="K355" s="1053"/>
      <c r="L355" s="1047"/>
      <c r="M355" s="1047"/>
      <c r="N355" s="1047"/>
      <c r="O355" s="1047"/>
      <c r="P355" s="1047"/>
      <c r="Q355" s="1047"/>
      <c r="R355" s="1053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s="1024" customFormat="1">
      <c r="A356" s="1050"/>
      <c r="B356" s="1044"/>
      <c r="C356" s="1044"/>
      <c r="D356" s="1044"/>
      <c r="E356" s="142"/>
      <c r="F356" s="142"/>
      <c r="G356" s="142"/>
      <c r="H356" s="142"/>
      <c r="I356" s="1047"/>
      <c r="J356" s="1047"/>
      <c r="K356" s="1053"/>
      <c r="L356" s="1047"/>
      <c r="M356" s="1047"/>
      <c r="N356" s="1047"/>
      <c r="O356" s="1047"/>
      <c r="P356" s="1047"/>
      <c r="Q356" s="1047"/>
      <c r="R356" s="1053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s="1024" customFormat="1">
      <c r="A357" s="1050"/>
      <c r="B357" s="1044"/>
      <c r="C357" s="1044"/>
      <c r="D357" s="1044"/>
      <c r="E357" s="142"/>
      <c r="F357" s="142"/>
      <c r="G357" s="142"/>
      <c r="H357" s="142"/>
      <c r="I357" s="1047"/>
      <c r="J357" s="1047"/>
      <c r="K357" s="1053"/>
      <c r="L357" s="1047"/>
      <c r="M357" s="1047"/>
      <c r="N357" s="1047"/>
      <c r="O357" s="1047"/>
      <c r="P357" s="1047"/>
      <c r="Q357" s="1047"/>
      <c r="R357" s="1053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s="1024" customFormat="1">
      <c r="A358" s="1050"/>
      <c r="B358" s="1044"/>
      <c r="C358" s="1044"/>
      <c r="D358" s="1044"/>
      <c r="E358" s="142"/>
      <c r="F358" s="142"/>
      <c r="G358" s="142"/>
      <c r="H358" s="142"/>
      <c r="I358" s="1047"/>
      <c r="J358" s="1047"/>
      <c r="K358" s="1053"/>
      <c r="L358" s="1047"/>
      <c r="M358" s="1047"/>
      <c r="N358" s="1047"/>
      <c r="O358" s="1047"/>
      <c r="P358" s="1047"/>
      <c r="Q358" s="1047"/>
      <c r="R358" s="1053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s="1024" customFormat="1">
      <c r="A359" s="1050"/>
      <c r="B359" s="1044"/>
      <c r="C359" s="1044"/>
      <c r="D359" s="1044"/>
      <c r="E359" s="142"/>
      <c r="F359" s="142"/>
      <c r="G359" s="142"/>
      <c r="H359" s="142"/>
      <c r="I359" s="1047"/>
      <c r="J359" s="1047"/>
      <c r="K359" s="1053"/>
      <c r="L359" s="1047"/>
      <c r="M359" s="1047"/>
      <c r="N359" s="1047"/>
      <c r="O359" s="1047"/>
      <c r="P359" s="1047"/>
      <c r="Q359" s="1047"/>
      <c r="R359" s="1053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s="1024" customFormat="1">
      <c r="A360" s="1050"/>
      <c r="B360" s="1044"/>
      <c r="C360" s="1044"/>
      <c r="D360" s="1044"/>
      <c r="E360" s="142"/>
      <c r="F360" s="142"/>
      <c r="G360" s="142"/>
      <c r="H360" s="142"/>
      <c r="I360" s="1047"/>
      <c r="J360" s="1047"/>
      <c r="K360" s="1053"/>
      <c r="L360" s="1047"/>
      <c r="M360" s="1047"/>
      <c r="N360" s="1047"/>
      <c r="O360" s="1047"/>
      <c r="P360" s="1047"/>
      <c r="Q360" s="1047"/>
      <c r="R360" s="1053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s="1024" customFormat="1">
      <c r="A361" s="1050"/>
      <c r="B361" s="1044"/>
      <c r="C361" s="1044"/>
      <c r="D361" s="1044"/>
      <c r="E361" s="142"/>
      <c r="F361" s="142"/>
      <c r="G361" s="142"/>
      <c r="H361" s="142"/>
      <c r="I361" s="1047"/>
      <c r="J361" s="1047"/>
      <c r="K361" s="1053"/>
      <c r="L361" s="1047"/>
      <c r="M361" s="1047"/>
      <c r="N361" s="1047"/>
      <c r="O361" s="1047"/>
      <c r="P361" s="1047"/>
      <c r="Q361" s="1047"/>
      <c r="R361" s="1053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s="1024" customFormat="1">
      <c r="A362" s="1050"/>
      <c r="B362" s="1044"/>
      <c r="C362" s="1044"/>
      <c r="D362" s="1044"/>
      <c r="E362" s="142"/>
      <c r="F362" s="142"/>
      <c r="G362" s="142"/>
      <c r="H362" s="142"/>
      <c r="I362" s="1047"/>
      <c r="J362" s="1047"/>
      <c r="K362" s="1053"/>
      <c r="L362" s="1047"/>
      <c r="M362" s="1047"/>
      <c r="N362" s="1047"/>
      <c r="O362" s="1047"/>
      <c r="P362" s="1047"/>
      <c r="Q362" s="1047"/>
      <c r="R362" s="1053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s="1024" customFormat="1">
      <c r="A363" s="1050"/>
      <c r="B363" s="1044"/>
      <c r="C363" s="1044"/>
      <c r="D363" s="1044"/>
      <c r="E363" s="142"/>
      <c r="F363" s="142"/>
      <c r="G363" s="142"/>
      <c r="H363" s="142"/>
      <c r="I363" s="1047"/>
      <c r="J363" s="1047"/>
      <c r="K363" s="1053"/>
      <c r="L363" s="1047"/>
      <c r="M363" s="1047"/>
      <c r="N363" s="1047"/>
      <c r="O363" s="1047"/>
      <c r="P363" s="1047"/>
      <c r="Q363" s="1047"/>
      <c r="R363" s="1053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s="1024" customFormat="1">
      <c r="A364" s="1050"/>
      <c r="B364" s="1044"/>
      <c r="C364" s="1044"/>
      <c r="D364" s="1044"/>
      <c r="E364" s="142"/>
      <c r="F364" s="142"/>
      <c r="G364" s="142"/>
      <c r="H364" s="142"/>
      <c r="I364" s="1047"/>
      <c r="J364" s="1047"/>
      <c r="K364" s="1053"/>
      <c r="L364" s="1047"/>
      <c r="M364" s="1047"/>
      <c r="N364" s="1047"/>
      <c r="O364" s="1047"/>
      <c r="P364" s="1047"/>
      <c r="Q364" s="1047"/>
      <c r="R364" s="1053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s="1024" customFormat="1">
      <c r="A365" s="1050"/>
      <c r="B365" s="1044"/>
      <c r="C365" s="1044"/>
      <c r="D365" s="1044"/>
      <c r="E365" s="142"/>
      <c r="F365" s="142"/>
      <c r="G365" s="142"/>
      <c r="H365" s="142"/>
      <c r="I365" s="1047"/>
      <c r="J365" s="1047"/>
      <c r="K365" s="1053"/>
      <c r="L365" s="1047"/>
      <c r="M365" s="1047"/>
      <c r="N365" s="1047"/>
      <c r="O365" s="1047"/>
      <c r="P365" s="1047"/>
      <c r="Q365" s="1047"/>
      <c r="R365" s="1053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s="1024" customFormat="1">
      <c r="A366" s="1050"/>
      <c r="B366" s="1044"/>
      <c r="C366" s="1044"/>
      <c r="D366" s="1044"/>
      <c r="E366" s="142"/>
      <c r="F366" s="142"/>
      <c r="G366" s="142"/>
      <c r="H366" s="142"/>
      <c r="I366" s="1047"/>
      <c r="J366" s="1047"/>
      <c r="K366" s="1053"/>
      <c r="L366" s="1047"/>
      <c r="M366" s="1047"/>
      <c r="N366" s="1047"/>
      <c r="O366" s="1047"/>
      <c r="P366" s="1047"/>
      <c r="Q366" s="1047"/>
      <c r="R366" s="1053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s="1024" customFormat="1">
      <c r="A367" s="1050"/>
      <c r="B367" s="1044"/>
      <c r="C367" s="1044"/>
      <c r="D367" s="1044"/>
      <c r="E367" s="142"/>
      <c r="F367" s="142"/>
      <c r="G367" s="142"/>
      <c r="H367" s="142"/>
      <c r="I367" s="1047"/>
      <c r="J367" s="1047"/>
      <c r="K367" s="1053"/>
      <c r="L367" s="1047"/>
      <c r="M367" s="1047"/>
      <c r="N367" s="1047"/>
      <c r="O367" s="1047"/>
      <c r="P367" s="1047"/>
      <c r="Q367" s="1047"/>
      <c r="R367" s="1053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s="1024" customFormat="1">
      <c r="A368" s="1050"/>
      <c r="B368" s="1044"/>
      <c r="C368" s="1044"/>
      <c r="D368" s="1044"/>
      <c r="E368" s="142"/>
      <c r="F368" s="142"/>
      <c r="G368" s="142"/>
      <c r="H368" s="142"/>
      <c r="I368" s="1047"/>
      <c r="J368" s="1047"/>
      <c r="K368" s="1053"/>
      <c r="L368" s="1047"/>
      <c r="M368" s="1047"/>
      <c r="N368" s="1047"/>
      <c r="O368" s="1047"/>
      <c r="P368" s="1047"/>
      <c r="Q368" s="1047"/>
      <c r="R368" s="1053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s="1024" customFormat="1">
      <c r="A369" s="1050"/>
      <c r="B369" s="1044"/>
      <c r="C369" s="1044"/>
      <c r="D369" s="1044"/>
      <c r="E369" s="142"/>
      <c r="F369" s="142"/>
      <c r="G369" s="142"/>
      <c r="H369" s="142"/>
      <c r="I369" s="1047"/>
      <c r="J369" s="1047"/>
      <c r="K369" s="1053"/>
      <c r="L369" s="1047"/>
      <c r="M369" s="1047"/>
      <c r="N369" s="1047"/>
      <c r="O369" s="1047"/>
      <c r="P369" s="1047"/>
      <c r="Q369" s="1047"/>
      <c r="R369" s="1053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s="1024" customFormat="1">
      <c r="A370" s="1050"/>
      <c r="B370" s="1044"/>
      <c r="C370" s="1044"/>
      <c r="D370" s="1044"/>
      <c r="E370" s="142"/>
      <c r="F370" s="142"/>
      <c r="G370" s="142"/>
      <c r="H370" s="142"/>
      <c r="I370" s="1047"/>
      <c r="J370" s="1047"/>
      <c r="K370" s="1053"/>
      <c r="L370" s="1047"/>
      <c r="M370" s="1047"/>
      <c r="N370" s="1047"/>
      <c r="O370" s="1047"/>
      <c r="P370" s="1047"/>
      <c r="Q370" s="1047"/>
      <c r="R370" s="1053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s="1024" customFormat="1">
      <c r="A371" s="1050"/>
      <c r="B371" s="1044"/>
      <c r="C371" s="1044"/>
      <c r="D371" s="1044"/>
      <c r="E371" s="142"/>
      <c r="F371" s="142"/>
      <c r="G371" s="142"/>
      <c r="H371" s="142"/>
      <c r="I371" s="1047"/>
      <c r="J371" s="1047"/>
      <c r="K371" s="1053"/>
      <c r="L371" s="1047"/>
      <c r="M371" s="1047"/>
      <c r="N371" s="1047"/>
      <c r="O371" s="1047"/>
      <c r="P371" s="1047"/>
      <c r="Q371" s="1047"/>
      <c r="R371" s="1053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s="1024" customFormat="1">
      <c r="A372" s="1050"/>
      <c r="B372" s="1044"/>
      <c r="C372" s="1044"/>
      <c r="D372" s="1044"/>
      <c r="E372" s="142"/>
      <c r="F372" s="142"/>
      <c r="G372" s="142"/>
      <c r="H372" s="142"/>
      <c r="I372" s="1047"/>
      <c r="J372" s="1047"/>
      <c r="K372" s="1053"/>
      <c r="L372" s="1047"/>
      <c r="M372" s="1047"/>
      <c r="N372" s="1047"/>
      <c r="O372" s="1047"/>
      <c r="P372" s="1047"/>
      <c r="Q372" s="1047"/>
      <c r="R372" s="1053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s="1024" customFormat="1">
      <c r="A373" s="1050"/>
      <c r="B373" s="1044"/>
      <c r="C373" s="1044"/>
      <c r="D373" s="1044"/>
      <c r="E373" s="142"/>
      <c r="F373" s="142"/>
      <c r="G373" s="142"/>
      <c r="H373" s="142"/>
      <c r="I373" s="1047"/>
      <c r="J373" s="1047"/>
      <c r="K373" s="1053"/>
      <c r="L373" s="1047"/>
      <c r="M373" s="1047"/>
      <c r="N373" s="1047"/>
      <c r="O373" s="1047"/>
      <c r="P373" s="1047"/>
      <c r="Q373" s="1047"/>
      <c r="R373" s="1053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s="1024" customFormat="1">
      <c r="A374" s="1050"/>
      <c r="B374" s="1044"/>
      <c r="C374" s="1044"/>
      <c r="D374" s="1044"/>
      <c r="E374" s="142"/>
      <c r="F374" s="142"/>
      <c r="G374" s="142"/>
      <c r="H374" s="142"/>
      <c r="I374" s="1047"/>
      <c r="J374" s="1047"/>
      <c r="K374" s="1053"/>
      <c r="L374" s="1047"/>
      <c r="M374" s="1047"/>
      <c r="N374" s="1047"/>
      <c r="O374" s="1047"/>
      <c r="P374" s="1047"/>
      <c r="Q374" s="1047"/>
      <c r="R374" s="1053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s="1024" customFormat="1">
      <c r="A375" s="1050"/>
      <c r="B375" s="1044"/>
      <c r="C375" s="1044"/>
      <c r="D375" s="1044"/>
      <c r="E375" s="142"/>
      <c r="F375" s="142"/>
      <c r="G375" s="142"/>
      <c r="H375" s="142"/>
      <c r="I375" s="1047"/>
      <c r="J375" s="1047"/>
      <c r="K375" s="1053"/>
      <c r="L375" s="1047"/>
      <c r="M375" s="1047"/>
      <c r="N375" s="1047"/>
      <c r="O375" s="1047"/>
      <c r="P375" s="1047"/>
      <c r="Q375" s="1047"/>
      <c r="R375" s="1053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s="1024" customFormat="1">
      <c r="A376" s="1050"/>
      <c r="B376" s="1044"/>
      <c r="C376" s="1044"/>
      <c r="D376" s="1044"/>
      <c r="E376" s="142"/>
      <c r="F376" s="142"/>
      <c r="G376" s="142"/>
      <c r="H376" s="142"/>
      <c r="I376" s="1047"/>
      <c r="J376" s="1047"/>
      <c r="K376" s="1053"/>
      <c r="L376" s="1047"/>
      <c r="M376" s="1047"/>
      <c r="N376" s="1047"/>
      <c r="O376" s="1047"/>
      <c r="P376" s="1047"/>
      <c r="Q376" s="1047"/>
      <c r="R376" s="1053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s="1024" customFormat="1">
      <c r="A377" s="1050"/>
      <c r="B377" s="1044"/>
      <c r="C377" s="1044"/>
      <c r="D377" s="1044"/>
      <c r="E377" s="142"/>
      <c r="F377" s="142"/>
      <c r="G377" s="142"/>
      <c r="H377" s="142"/>
      <c r="I377" s="1047"/>
      <c r="J377" s="1047"/>
      <c r="K377" s="1053"/>
      <c r="L377" s="1047"/>
      <c r="M377" s="1047"/>
      <c r="N377" s="1047"/>
      <c r="O377" s="1047"/>
      <c r="P377" s="1047"/>
      <c r="Q377" s="1047"/>
      <c r="R377" s="1053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s="1024" customFormat="1">
      <c r="A378" s="1050"/>
      <c r="B378" s="1044"/>
      <c r="C378" s="1044"/>
      <c r="D378" s="1044"/>
      <c r="E378" s="142"/>
      <c r="F378" s="142"/>
      <c r="G378" s="142"/>
      <c r="H378" s="142"/>
      <c r="I378" s="1047"/>
      <c r="J378" s="1047"/>
      <c r="K378" s="1053"/>
      <c r="L378" s="1047"/>
      <c r="M378" s="1047"/>
      <c r="N378" s="1047"/>
      <c r="O378" s="1047"/>
      <c r="P378" s="1047"/>
      <c r="Q378" s="1047"/>
      <c r="R378" s="1053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s="1024" customFormat="1">
      <c r="A379" s="1050"/>
      <c r="B379" s="1044"/>
      <c r="C379" s="1044"/>
      <c r="D379" s="1044"/>
      <c r="E379" s="142"/>
      <c r="F379" s="142"/>
      <c r="G379" s="142"/>
      <c r="H379" s="142"/>
      <c r="I379" s="1047"/>
      <c r="J379" s="1047"/>
      <c r="K379" s="1053"/>
      <c r="L379" s="1047"/>
      <c r="M379" s="1047"/>
      <c r="N379" s="1047"/>
      <c r="O379" s="1047"/>
      <c r="P379" s="1047"/>
      <c r="Q379" s="1047"/>
      <c r="R379" s="1053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s="1024" customFormat="1">
      <c r="A380" s="1050"/>
      <c r="B380" s="1044"/>
      <c r="C380" s="1044"/>
      <c r="D380" s="1044"/>
      <c r="E380" s="142"/>
      <c r="F380" s="142"/>
      <c r="G380" s="142"/>
      <c r="H380" s="142"/>
      <c r="I380" s="1047"/>
      <c r="J380" s="1047"/>
      <c r="K380" s="1053"/>
      <c r="L380" s="1047"/>
      <c r="M380" s="1047"/>
      <c r="N380" s="1047"/>
      <c r="O380" s="1047"/>
      <c r="P380" s="1047"/>
      <c r="Q380" s="1047"/>
      <c r="R380" s="1053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s="1024" customFormat="1">
      <c r="A381" s="1050"/>
      <c r="B381" s="1044"/>
      <c r="C381" s="1044"/>
      <c r="D381" s="1044"/>
      <c r="E381" s="142"/>
      <c r="F381" s="142"/>
      <c r="G381" s="142"/>
      <c r="H381" s="142"/>
      <c r="I381" s="1047"/>
      <c r="J381" s="1047"/>
      <c r="K381" s="1053"/>
      <c r="L381" s="1047"/>
      <c r="M381" s="1047"/>
      <c r="N381" s="1047"/>
      <c r="O381" s="1047"/>
      <c r="P381" s="1047"/>
      <c r="Q381" s="1047"/>
      <c r="R381" s="1053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s="1024" customFormat="1">
      <c r="A382" s="1050"/>
      <c r="B382" s="1044"/>
      <c r="C382" s="1044"/>
      <c r="D382" s="1044"/>
      <c r="E382" s="142"/>
      <c r="F382" s="142"/>
      <c r="G382" s="142"/>
      <c r="H382" s="142"/>
      <c r="I382" s="1047"/>
      <c r="J382" s="1047"/>
      <c r="K382" s="1053"/>
      <c r="L382" s="1047"/>
      <c r="M382" s="1047"/>
      <c r="N382" s="1047"/>
      <c r="O382" s="1047"/>
      <c r="P382" s="1047"/>
      <c r="Q382" s="1047"/>
      <c r="R382" s="1053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s="1024" customFormat="1">
      <c r="A383" s="1050"/>
      <c r="B383" s="1044"/>
      <c r="C383" s="1044"/>
      <c r="D383" s="1044"/>
      <c r="E383" s="142"/>
      <c r="F383" s="142"/>
      <c r="G383" s="142"/>
      <c r="H383" s="142"/>
      <c r="I383" s="1047"/>
      <c r="J383" s="1047"/>
      <c r="K383" s="1053"/>
      <c r="L383" s="1047"/>
      <c r="M383" s="1047"/>
      <c r="N383" s="1047"/>
      <c r="O383" s="1047"/>
      <c r="P383" s="1047"/>
      <c r="Q383" s="1047"/>
      <c r="R383" s="1053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s="1024" customFormat="1">
      <c r="A384" s="1050"/>
      <c r="B384" s="1044"/>
      <c r="C384" s="1044"/>
      <c r="D384" s="1044"/>
      <c r="E384" s="142"/>
      <c r="F384" s="142"/>
      <c r="G384" s="142"/>
      <c r="H384" s="142"/>
      <c r="I384" s="1047"/>
      <c r="J384" s="1047"/>
      <c r="K384" s="1053"/>
      <c r="L384" s="1047"/>
      <c r="M384" s="1047"/>
      <c r="N384" s="1047"/>
      <c r="O384" s="1047"/>
      <c r="P384" s="1047"/>
      <c r="Q384" s="1047"/>
      <c r="R384" s="1053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s="1024" customFormat="1">
      <c r="A385" s="1050"/>
      <c r="B385" s="1044"/>
      <c r="C385" s="1044"/>
      <c r="D385" s="1044"/>
      <c r="E385" s="142"/>
      <c r="F385" s="142"/>
      <c r="G385" s="142"/>
      <c r="H385" s="142"/>
      <c r="I385" s="1047"/>
      <c r="J385" s="1047"/>
      <c r="K385" s="1053"/>
      <c r="L385" s="1047"/>
      <c r="M385" s="1047"/>
      <c r="N385" s="1047"/>
      <c r="O385" s="1047"/>
      <c r="P385" s="1047"/>
      <c r="Q385" s="1047"/>
      <c r="R385" s="1053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s="1024" customFormat="1">
      <c r="A386" s="1050"/>
      <c r="B386" s="1044"/>
      <c r="C386" s="1044"/>
      <c r="D386" s="1044"/>
      <c r="E386" s="142"/>
      <c r="F386" s="142"/>
      <c r="G386" s="142"/>
      <c r="H386" s="142"/>
      <c r="I386" s="1047"/>
      <c r="J386" s="1047"/>
      <c r="K386" s="1053"/>
      <c r="L386" s="1047"/>
      <c r="M386" s="1047"/>
      <c r="N386" s="1047"/>
      <c r="O386" s="1047"/>
      <c r="P386" s="1047"/>
      <c r="Q386" s="1047"/>
      <c r="R386" s="1053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s="1024" customFormat="1">
      <c r="A387" s="1050"/>
      <c r="B387" s="1044"/>
      <c r="C387" s="1044"/>
      <c r="D387" s="1044"/>
      <c r="E387" s="142"/>
      <c r="F387" s="142"/>
      <c r="G387" s="142"/>
      <c r="H387" s="142"/>
      <c r="I387" s="1047"/>
      <c r="J387" s="1047"/>
      <c r="K387" s="1053"/>
      <c r="L387" s="1047"/>
      <c r="M387" s="1047"/>
      <c r="N387" s="1047"/>
      <c r="O387" s="1047"/>
      <c r="P387" s="1047"/>
      <c r="Q387" s="1047"/>
      <c r="R387" s="1053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s="1024" customFormat="1">
      <c r="A388" s="1050"/>
      <c r="B388" s="1044"/>
      <c r="C388" s="1044"/>
      <c r="D388" s="1044"/>
      <c r="E388" s="142"/>
      <c r="F388" s="142"/>
      <c r="G388" s="142"/>
      <c r="H388" s="142"/>
      <c r="I388" s="1047"/>
      <c r="J388" s="1047"/>
      <c r="K388" s="1053"/>
      <c r="L388" s="1047"/>
      <c r="M388" s="1047"/>
      <c r="N388" s="1047"/>
      <c r="O388" s="1047"/>
      <c r="P388" s="1047"/>
      <c r="Q388" s="1047"/>
      <c r="R388" s="1053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s="1024" customFormat="1">
      <c r="A389" s="1050"/>
      <c r="B389" s="1044"/>
      <c r="C389" s="1044"/>
      <c r="D389" s="1044"/>
      <c r="E389" s="142"/>
      <c r="F389" s="142"/>
      <c r="G389" s="142"/>
      <c r="H389" s="142"/>
      <c r="I389" s="1047"/>
      <c r="J389" s="1047"/>
      <c r="K389" s="1053"/>
      <c r="L389" s="1047"/>
      <c r="M389" s="1047"/>
      <c r="N389" s="1047"/>
      <c r="O389" s="1047"/>
      <c r="P389" s="1047"/>
      <c r="Q389" s="1047"/>
      <c r="R389" s="1053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s="1024" customFormat="1">
      <c r="A390" s="1050"/>
      <c r="B390" s="1044"/>
      <c r="C390" s="1044"/>
      <c r="D390" s="1044"/>
      <c r="E390" s="142"/>
      <c r="F390" s="142"/>
      <c r="G390" s="142"/>
      <c r="H390" s="142"/>
      <c r="I390" s="1047"/>
      <c r="J390" s="1047"/>
      <c r="K390" s="1053"/>
      <c r="L390" s="1047"/>
      <c r="M390" s="1047"/>
      <c r="N390" s="1047"/>
      <c r="O390" s="1047"/>
      <c r="P390" s="1047"/>
      <c r="Q390" s="1047"/>
      <c r="R390" s="1053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s="1024" customFormat="1">
      <c r="A391" s="1050"/>
      <c r="B391" s="1044"/>
      <c r="C391" s="1044"/>
      <c r="D391" s="1044"/>
      <c r="E391" s="142"/>
      <c r="F391" s="142"/>
      <c r="G391" s="142"/>
      <c r="H391" s="142"/>
      <c r="I391" s="1047"/>
      <c r="J391" s="1047"/>
      <c r="K391" s="1053"/>
      <c r="L391" s="1047"/>
      <c r="M391" s="1047"/>
      <c r="N391" s="1047"/>
      <c r="O391" s="1047"/>
      <c r="P391" s="1047"/>
      <c r="Q391" s="1047"/>
      <c r="R391" s="1053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s="1024" customFormat="1">
      <c r="A392" s="1050"/>
      <c r="B392" s="1044"/>
      <c r="C392" s="1044"/>
      <c r="D392" s="1044"/>
      <c r="E392" s="142"/>
      <c r="F392" s="142"/>
      <c r="G392" s="142"/>
      <c r="H392" s="142"/>
      <c r="I392" s="1047"/>
      <c r="J392" s="1047"/>
      <c r="K392" s="1053"/>
      <c r="L392" s="1047"/>
      <c r="M392" s="1047"/>
      <c r="N392" s="1047"/>
      <c r="O392" s="1047"/>
      <c r="P392" s="1047"/>
      <c r="Q392" s="1047"/>
      <c r="R392" s="1053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s="1024" customFormat="1">
      <c r="A393" s="1050"/>
      <c r="B393" s="1044"/>
      <c r="C393" s="1044"/>
      <c r="D393" s="1044"/>
      <c r="E393" s="142"/>
      <c r="F393" s="142"/>
      <c r="G393" s="142"/>
      <c r="H393" s="142"/>
      <c r="I393" s="1047"/>
      <c r="J393" s="1047"/>
      <c r="K393" s="1053"/>
      <c r="L393" s="1047"/>
      <c r="M393" s="1047"/>
      <c r="N393" s="1047"/>
      <c r="O393" s="1047"/>
      <c r="P393" s="1047"/>
      <c r="Q393" s="1047"/>
      <c r="R393" s="1053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s="1024" customFormat="1">
      <c r="A394" s="1050"/>
      <c r="B394" s="1044"/>
      <c r="C394" s="1044"/>
      <c r="D394" s="1044"/>
      <c r="E394" s="142"/>
      <c r="F394" s="142"/>
      <c r="G394" s="142"/>
      <c r="H394" s="142"/>
      <c r="I394" s="1047"/>
      <c r="J394" s="1047"/>
      <c r="K394" s="1053"/>
      <c r="L394" s="1047"/>
      <c r="M394" s="1047"/>
      <c r="N394" s="1047"/>
      <c r="O394" s="1047"/>
      <c r="P394" s="1047"/>
      <c r="Q394" s="1047"/>
      <c r="R394" s="1053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s="1024" customFormat="1">
      <c r="A395" s="1050"/>
      <c r="B395" s="1044"/>
      <c r="C395" s="1044"/>
      <c r="D395" s="1044"/>
      <c r="E395" s="142"/>
      <c r="F395" s="142"/>
      <c r="G395" s="142"/>
      <c r="H395" s="142"/>
      <c r="I395" s="1047"/>
      <c r="J395" s="1047"/>
      <c r="K395" s="1053"/>
      <c r="L395" s="1047"/>
      <c r="M395" s="1047"/>
      <c r="N395" s="1047"/>
      <c r="O395" s="1047"/>
      <c r="P395" s="1047"/>
      <c r="Q395" s="1047"/>
      <c r="R395" s="1053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s="1024" customFormat="1">
      <c r="A396" s="1050"/>
      <c r="B396" s="1044"/>
      <c r="C396" s="1044"/>
      <c r="D396" s="1044"/>
      <c r="E396" s="142"/>
      <c r="F396" s="142"/>
      <c r="G396" s="142"/>
      <c r="H396" s="142"/>
      <c r="I396" s="1047"/>
      <c r="J396" s="1047"/>
      <c r="K396" s="1053"/>
      <c r="L396" s="1047"/>
      <c r="M396" s="1047"/>
      <c r="N396" s="1047"/>
      <c r="O396" s="1047"/>
      <c r="P396" s="1047"/>
      <c r="Q396" s="1047"/>
      <c r="R396" s="1053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s="1024" customFormat="1">
      <c r="A397" s="1050"/>
      <c r="B397" s="1044"/>
      <c r="C397" s="1044"/>
      <c r="D397" s="1044"/>
      <c r="E397" s="142"/>
      <c r="F397" s="142"/>
      <c r="G397" s="142"/>
      <c r="H397" s="142"/>
      <c r="I397" s="1047"/>
      <c r="J397" s="1047"/>
      <c r="K397" s="1053"/>
      <c r="L397" s="1047"/>
      <c r="M397" s="1047"/>
      <c r="N397" s="1047"/>
      <c r="O397" s="1047"/>
      <c r="P397" s="1047"/>
      <c r="Q397" s="1047"/>
      <c r="R397" s="1053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s="1024" customFormat="1">
      <c r="A398" s="1050"/>
      <c r="B398" s="1044"/>
      <c r="C398" s="1044"/>
      <c r="D398" s="1044"/>
      <c r="E398" s="142"/>
      <c r="F398" s="142"/>
      <c r="G398" s="142"/>
      <c r="H398" s="142"/>
      <c r="I398" s="1047"/>
      <c r="J398" s="1047"/>
      <c r="K398" s="1053"/>
      <c r="L398" s="1047"/>
      <c r="M398" s="1047"/>
      <c r="N398" s="1047"/>
      <c r="O398" s="1047"/>
      <c r="P398" s="1047"/>
      <c r="Q398" s="1047"/>
      <c r="R398" s="1053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s="1024" customFormat="1">
      <c r="A399" s="1050"/>
      <c r="B399" s="1044"/>
      <c r="C399" s="1044"/>
      <c r="D399" s="1044"/>
      <c r="E399" s="142"/>
      <c r="F399" s="142"/>
      <c r="G399" s="142"/>
      <c r="H399" s="142"/>
      <c r="I399" s="1047"/>
      <c r="J399" s="1047"/>
      <c r="K399" s="1053"/>
      <c r="L399" s="1047"/>
      <c r="M399" s="1047"/>
      <c r="N399" s="1047"/>
      <c r="O399" s="1047"/>
      <c r="P399" s="1047"/>
      <c r="Q399" s="1047"/>
      <c r="R399" s="1053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s="1024" customFormat="1">
      <c r="A400" s="1050"/>
      <c r="B400" s="1044"/>
      <c r="C400" s="1044"/>
      <c r="D400" s="1044"/>
      <c r="E400" s="142"/>
      <c r="F400" s="142"/>
      <c r="G400" s="142"/>
      <c r="H400" s="142"/>
      <c r="I400" s="1047"/>
      <c r="J400" s="1047"/>
      <c r="K400" s="1053"/>
      <c r="L400" s="1047"/>
      <c r="M400" s="1047"/>
      <c r="N400" s="1047"/>
      <c r="O400" s="1047"/>
      <c r="P400" s="1047"/>
      <c r="Q400" s="1047"/>
      <c r="R400" s="1053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s="1024" customFormat="1">
      <c r="A401" s="1050"/>
      <c r="B401" s="1044"/>
      <c r="C401" s="1044"/>
      <c r="D401" s="1044"/>
      <c r="E401" s="142"/>
      <c r="F401" s="142"/>
      <c r="G401" s="142"/>
      <c r="H401" s="142"/>
      <c r="I401" s="1047"/>
      <c r="J401" s="1047"/>
      <c r="K401" s="1053"/>
      <c r="L401" s="1047"/>
      <c r="M401" s="1047"/>
      <c r="N401" s="1047"/>
      <c r="O401" s="1047"/>
      <c r="P401" s="1047"/>
      <c r="Q401" s="1047"/>
      <c r="R401" s="1053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s="1024" customFormat="1">
      <c r="A402" s="1050"/>
      <c r="B402" s="1044"/>
      <c r="C402" s="1044"/>
      <c r="D402" s="1044"/>
      <c r="E402" s="142"/>
      <c r="F402" s="142"/>
      <c r="G402" s="142"/>
      <c r="H402" s="142"/>
      <c r="I402" s="1047"/>
      <c r="J402" s="1047"/>
      <c r="K402" s="1053"/>
      <c r="L402" s="1047"/>
      <c r="M402" s="1047"/>
      <c r="N402" s="1047"/>
      <c r="O402" s="1047"/>
      <c r="P402" s="1047"/>
      <c r="Q402" s="1047"/>
      <c r="R402" s="1053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s="1024" customFormat="1">
      <c r="A403" s="1050"/>
      <c r="B403" s="1044"/>
      <c r="C403" s="1044"/>
      <c r="D403" s="1044"/>
      <c r="E403" s="142"/>
      <c r="F403" s="142"/>
      <c r="G403" s="142"/>
      <c r="H403" s="142"/>
      <c r="I403" s="1047"/>
      <c r="J403" s="1047"/>
      <c r="K403" s="1053"/>
      <c r="L403" s="1047"/>
      <c r="M403" s="1047"/>
      <c r="N403" s="1047"/>
      <c r="O403" s="1047"/>
      <c r="P403" s="1047"/>
      <c r="Q403" s="1047"/>
      <c r="R403" s="1053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s="1024" customFormat="1">
      <c r="A404" s="1050"/>
      <c r="B404" s="1044"/>
      <c r="C404" s="1044"/>
      <c r="D404" s="1044"/>
      <c r="E404" s="142"/>
      <c r="F404" s="142"/>
      <c r="G404" s="142"/>
      <c r="H404" s="142"/>
      <c r="I404" s="1047"/>
      <c r="J404" s="1047"/>
      <c r="K404" s="1053"/>
      <c r="L404" s="1047"/>
      <c r="M404" s="1047"/>
      <c r="N404" s="1047"/>
      <c r="O404" s="1047"/>
      <c r="P404" s="1047"/>
      <c r="Q404" s="1047"/>
      <c r="R404" s="1053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s="1024" customFormat="1">
      <c r="A405" s="1050"/>
      <c r="B405" s="1044"/>
      <c r="C405" s="1044"/>
      <c r="D405" s="1044"/>
      <c r="E405" s="142"/>
      <c r="F405" s="142"/>
      <c r="G405" s="142"/>
      <c r="H405" s="142"/>
      <c r="I405" s="1047"/>
      <c r="J405" s="1047"/>
      <c r="K405" s="1053"/>
      <c r="L405" s="1047"/>
      <c r="M405" s="1047"/>
      <c r="N405" s="1047"/>
      <c r="O405" s="1047"/>
      <c r="P405" s="1047"/>
      <c r="Q405" s="1047"/>
      <c r="R405" s="1053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s="1024" customFormat="1">
      <c r="A406" s="1050"/>
      <c r="B406" s="1044"/>
      <c r="C406" s="1044"/>
      <c r="D406" s="1044"/>
      <c r="E406" s="142"/>
      <c r="F406" s="142"/>
      <c r="G406" s="142"/>
      <c r="H406" s="142"/>
      <c r="I406" s="1047"/>
      <c r="J406" s="1047"/>
      <c r="K406" s="1053"/>
      <c r="L406" s="1047"/>
      <c r="M406" s="1047"/>
      <c r="N406" s="1047"/>
      <c r="O406" s="1047"/>
      <c r="P406" s="1047"/>
      <c r="Q406" s="1047"/>
      <c r="R406" s="1053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s="1024" customFormat="1">
      <c r="A407" s="1050"/>
      <c r="B407" s="1044"/>
      <c r="C407" s="1044"/>
      <c r="D407" s="1044"/>
      <c r="E407" s="142"/>
      <c r="F407" s="142"/>
      <c r="G407" s="142"/>
      <c r="H407" s="142"/>
      <c r="I407" s="1047"/>
      <c r="J407" s="1047"/>
      <c r="K407" s="1053"/>
      <c r="L407" s="1047"/>
      <c r="M407" s="1047"/>
      <c r="N407" s="1047"/>
      <c r="O407" s="1047"/>
      <c r="P407" s="1047"/>
      <c r="Q407" s="1047"/>
      <c r="R407" s="1053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s="1024" customFormat="1">
      <c r="A408" s="1050"/>
      <c r="B408" s="1044"/>
      <c r="C408" s="1044"/>
      <c r="D408" s="1044"/>
      <c r="E408" s="142"/>
      <c r="F408" s="142"/>
      <c r="G408" s="142"/>
      <c r="H408" s="142"/>
      <c r="I408" s="1047"/>
      <c r="J408" s="1047"/>
      <c r="K408" s="1053"/>
      <c r="L408" s="1047"/>
      <c r="M408" s="1047"/>
      <c r="N408" s="1047"/>
      <c r="O408" s="1047"/>
      <c r="P408" s="1047"/>
      <c r="Q408" s="1047"/>
      <c r="R408" s="1053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s="1024" customFormat="1">
      <c r="A409" s="1050"/>
      <c r="B409" s="1044"/>
      <c r="C409" s="1044"/>
      <c r="D409" s="1044"/>
      <c r="E409" s="142"/>
      <c r="F409" s="142"/>
      <c r="G409" s="142"/>
      <c r="H409" s="142"/>
      <c r="I409" s="1047"/>
      <c r="J409" s="1047"/>
      <c r="K409" s="1053"/>
      <c r="L409" s="1047"/>
      <c r="M409" s="1047"/>
      <c r="N409" s="1047"/>
      <c r="O409" s="1047"/>
      <c r="P409" s="1047"/>
      <c r="Q409" s="1047"/>
      <c r="R409" s="1053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s="1024" customFormat="1">
      <c r="A410" s="1050"/>
      <c r="B410" s="1044"/>
      <c r="C410" s="1044"/>
      <c r="D410" s="1044"/>
      <c r="E410" s="142"/>
      <c r="F410" s="142"/>
      <c r="G410" s="142"/>
      <c r="H410" s="142"/>
      <c r="I410" s="1047"/>
      <c r="J410" s="1047"/>
      <c r="K410" s="1053"/>
      <c r="L410" s="1047"/>
      <c r="M410" s="1047"/>
      <c r="N410" s="1047"/>
      <c r="O410" s="1047"/>
      <c r="P410" s="1047"/>
      <c r="Q410" s="1047"/>
      <c r="R410" s="1053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s="1024" customFormat="1">
      <c r="A411" s="1050"/>
      <c r="B411" s="1044"/>
      <c r="C411" s="1044"/>
      <c r="D411" s="1044"/>
      <c r="E411" s="142"/>
      <c r="F411" s="142"/>
      <c r="G411" s="142"/>
      <c r="H411" s="142"/>
      <c r="I411" s="1047"/>
      <c r="J411" s="1047"/>
      <c r="K411" s="1053"/>
      <c r="L411" s="1047"/>
      <c r="M411" s="1047"/>
      <c r="N411" s="1047"/>
      <c r="O411" s="1047"/>
      <c r="P411" s="1047"/>
      <c r="Q411" s="1047"/>
      <c r="R411" s="1053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s="1024" customFormat="1">
      <c r="A412" s="1050"/>
      <c r="B412" s="1044"/>
      <c r="C412" s="1044"/>
      <c r="D412" s="1044"/>
      <c r="E412" s="142"/>
      <c r="F412" s="142"/>
      <c r="G412" s="142"/>
      <c r="H412" s="142"/>
      <c r="I412" s="1047"/>
      <c r="J412" s="1047"/>
      <c r="K412" s="1053"/>
      <c r="L412" s="1047"/>
      <c r="M412" s="1047"/>
      <c r="N412" s="1047"/>
      <c r="O412" s="1047"/>
      <c r="P412" s="1047"/>
      <c r="Q412" s="1047"/>
      <c r="R412" s="1053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s="1024" customFormat="1">
      <c r="A413" s="1050"/>
      <c r="B413" s="1044"/>
      <c r="C413" s="1044"/>
      <c r="D413" s="1044"/>
      <c r="E413" s="142"/>
      <c r="F413" s="142"/>
      <c r="G413" s="142"/>
      <c r="H413" s="142"/>
      <c r="I413" s="1047"/>
      <c r="J413" s="1047"/>
      <c r="K413" s="1053"/>
      <c r="L413" s="1047"/>
      <c r="M413" s="1047"/>
      <c r="N413" s="1047"/>
      <c r="O413" s="1047"/>
      <c r="P413" s="1047"/>
      <c r="Q413" s="1047"/>
      <c r="R413" s="1053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s="1024" customFormat="1">
      <c r="A414" s="1050"/>
      <c r="B414" s="1044"/>
      <c r="C414" s="1044"/>
      <c r="D414" s="1044"/>
      <c r="E414" s="142"/>
      <c r="F414" s="142"/>
      <c r="G414" s="142"/>
      <c r="H414" s="142"/>
      <c r="I414" s="1047"/>
      <c r="J414" s="1047"/>
      <c r="K414" s="1053"/>
      <c r="L414" s="1047"/>
      <c r="M414" s="1047"/>
      <c r="N414" s="1047"/>
      <c r="O414" s="1047"/>
      <c r="P414" s="1047"/>
      <c r="Q414" s="1047"/>
      <c r="R414" s="1053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s="1024" customFormat="1">
      <c r="A415" s="1050"/>
      <c r="B415" s="1044"/>
      <c r="C415" s="1044"/>
      <c r="D415" s="1044"/>
      <c r="E415" s="142"/>
      <c r="F415" s="142"/>
      <c r="G415" s="142"/>
      <c r="H415" s="142"/>
      <c r="I415" s="1047"/>
      <c r="J415" s="1047"/>
      <c r="K415" s="1053"/>
      <c r="L415" s="1047"/>
      <c r="M415" s="1047"/>
      <c r="N415" s="1047"/>
      <c r="O415" s="1047"/>
      <c r="P415" s="1047"/>
      <c r="Q415" s="1047"/>
      <c r="R415" s="1053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s="1024" customFormat="1">
      <c r="A416" s="1050"/>
      <c r="B416" s="1044"/>
      <c r="C416" s="1044"/>
      <c r="D416" s="1044"/>
      <c r="E416" s="142"/>
      <c r="F416" s="142"/>
      <c r="G416" s="142"/>
      <c r="H416" s="142"/>
      <c r="I416" s="1047"/>
      <c r="J416" s="1047"/>
      <c r="K416" s="1053"/>
      <c r="L416" s="1047"/>
      <c r="M416" s="1047"/>
      <c r="N416" s="1047"/>
      <c r="O416" s="1047"/>
      <c r="P416" s="1047"/>
      <c r="Q416" s="1047"/>
      <c r="R416" s="1053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s="1024" customFormat="1">
      <c r="A417" s="1050"/>
      <c r="B417" s="1044"/>
      <c r="C417" s="1044"/>
      <c r="D417" s="1044"/>
      <c r="E417" s="142"/>
      <c r="F417" s="142"/>
      <c r="G417" s="142"/>
      <c r="H417" s="142"/>
      <c r="I417" s="1047"/>
      <c r="J417" s="1047"/>
      <c r="K417" s="1053"/>
      <c r="L417" s="1047"/>
      <c r="M417" s="1047"/>
      <c r="N417" s="1047"/>
      <c r="O417" s="1047"/>
      <c r="P417" s="1047"/>
      <c r="Q417" s="1047"/>
      <c r="R417" s="1053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s="1024" customFormat="1">
      <c r="A418" s="1050"/>
      <c r="B418" s="1044"/>
      <c r="C418" s="1044"/>
      <c r="D418" s="1044"/>
      <c r="E418" s="142"/>
      <c r="F418" s="142"/>
      <c r="G418" s="142"/>
      <c r="H418" s="142"/>
      <c r="I418" s="1047"/>
      <c r="J418" s="1047"/>
      <c r="K418" s="1053"/>
      <c r="L418" s="1047"/>
      <c r="M418" s="1047"/>
      <c r="N418" s="1047"/>
      <c r="O418" s="1047"/>
      <c r="P418" s="1047"/>
      <c r="Q418" s="1047"/>
      <c r="R418" s="1053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s="1024" customFormat="1">
      <c r="A419" s="1050"/>
      <c r="B419" s="1044"/>
      <c r="C419" s="1044"/>
      <c r="D419" s="1044"/>
      <c r="E419" s="142"/>
      <c r="F419" s="142"/>
      <c r="G419" s="142"/>
      <c r="H419" s="142"/>
      <c r="I419" s="1047"/>
      <c r="J419" s="1047"/>
      <c r="K419" s="1053"/>
      <c r="L419" s="1047"/>
      <c r="M419" s="1047"/>
      <c r="N419" s="1047"/>
      <c r="O419" s="1047"/>
      <c r="P419" s="1047"/>
      <c r="Q419" s="1047"/>
      <c r="R419" s="1053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s="1024" customFormat="1">
      <c r="A420" s="1050"/>
      <c r="B420" s="1044"/>
      <c r="C420" s="1044"/>
      <c r="D420" s="1044"/>
      <c r="E420" s="142"/>
      <c r="F420" s="142"/>
      <c r="G420" s="142"/>
      <c r="H420" s="142"/>
      <c r="I420" s="1047"/>
      <c r="J420" s="1047"/>
      <c r="K420" s="1053"/>
      <c r="L420" s="1047"/>
      <c r="M420" s="1047"/>
      <c r="N420" s="1047"/>
      <c r="O420" s="1047"/>
      <c r="P420" s="1047"/>
      <c r="Q420" s="1047"/>
      <c r="R420" s="1053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s="1024" customFormat="1">
      <c r="A421" s="1050"/>
      <c r="B421" s="1044"/>
      <c r="C421" s="1044"/>
      <c r="D421" s="1044"/>
      <c r="E421" s="142"/>
      <c r="F421" s="142"/>
      <c r="G421" s="142"/>
      <c r="H421" s="142"/>
      <c r="I421" s="1047"/>
      <c r="J421" s="1047"/>
      <c r="K421" s="1053"/>
      <c r="L421" s="1047"/>
      <c r="M421" s="1047"/>
      <c r="N421" s="1047"/>
      <c r="O421" s="1047"/>
      <c r="P421" s="1047"/>
      <c r="Q421" s="1047"/>
      <c r="R421" s="1053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s="1024" customFormat="1">
      <c r="A422" s="1050"/>
      <c r="B422" s="1044"/>
      <c r="C422" s="1044"/>
      <c r="D422" s="1044"/>
      <c r="E422" s="142"/>
      <c r="F422" s="142"/>
      <c r="G422" s="142"/>
      <c r="H422" s="142"/>
      <c r="I422" s="1047"/>
      <c r="J422" s="1047"/>
      <c r="K422" s="1053"/>
      <c r="L422" s="1047"/>
      <c r="M422" s="1047"/>
      <c r="N422" s="1047"/>
      <c r="O422" s="1047"/>
      <c r="P422" s="1047"/>
      <c r="Q422" s="1047"/>
      <c r="R422" s="1053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s="1024" customFormat="1">
      <c r="A423" s="1050"/>
      <c r="B423" s="1044"/>
      <c r="C423" s="1044"/>
      <c r="D423" s="1044"/>
      <c r="E423" s="142"/>
      <c r="F423" s="142"/>
      <c r="G423" s="142"/>
      <c r="H423" s="142"/>
      <c r="I423" s="1047"/>
      <c r="J423" s="1047"/>
      <c r="K423" s="1053"/>
      <c r="L423" s="1047"/>
      <c r="M423" s="1047"/>
      <c r="N423" s="1047"/>
      <c r="O423" s="1047"/>
      <c r="P423" s="1047"/>
      <c r="Q423" s="1047"/>
      <c r="R423" s="1053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s="1024" customFormat="1">
      <c r="A424" s="1050"/>
      <c r="B424" s="1044"/>
      <c r="C424" s="1044"/>
      <c r="D424" s="1044"/>
      <c r="E424" s="142"/>
      <c r="F424" s="142"/>
      <c r="G424" s="142"/>
      <c r="H424" s="142"/>
      <c r="I424" s="1047"/>
      <c r="J424" s="1047"/>
      <c r="K424" s="1053"/>
      <c r="L424" s="1047"/>
      <c r="M424" s="1047"/>
      <c r="N424" s="1047"/>
      <c r="O424" s="1047"/>
      <c r="P424" s="1047"/>
      <c r="Q424" s="1047"/>
      <c r="R424" s="1053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s="1024" customFormat="1">
      <c r="A425" s="1050"/>
      <c r="B425" s="1044"/>
      <c r="C425" s="1044"/>
      <c r="D425" s="1044"/>
      <c r="E425" s="142"/>
      <c r="F425" s="142"/>
      <c r="G425" s="142"/>
      <c r="H425" s="142"/>
      <c r="I425" s="1047"/>
      <c r="J425" s="1047"/>
      <c r="K425" s="1053"/>
      <c r="L425" s="1047"/>
      <c r="M425" s="1047"/>
      <c r="N425" s="1047"/>
      <c r="O425" s="1047"/>
      <c r="P425" s="1047"/>
      <c r="Q425" s="1047"/>
      <c r="R425" s="1053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s="1024" customFormat="1">
      <c r="A426" s="1050"/>
      <c r="B426" s="1044"/>
      <c r="C426" s="1044"/>
      <c r="D426" s="1044"/>
      <c r="E426" s="142"/>
      <c r="F426" s="142"/>
      <c r="G426" s="142"/>
      <c r="H426" s="142"/>
      <c r="I426" s="1047"/>
      <c r="J426" s="1047"/>
      <c r="K426" s="1053"/>
      <c r="L426" s="1047"/>
      <c r="M426" s="1047"/>
      <c r="N426" s="1047"/>
      <c r="O426" s="1047"/>
      <c r="P426" s="1047"/>
      <c r="Q426" s="1047"/>
      <c r="R426" s="1053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s="1024" customFormat="1">
      <c r="A427" s="1050"/>
      <c r="B427" s="1044"/>
      <c r="C427" s="1044"/>
      <c r="D427" s="1044"/>
      <c r="E427" s="142"/>
      <c r="F427" s="142"/>
      <c r="G427" s="142"/>
      <c r="H427" s="142"/>
      <c r="I427" s="1047"/>
      <c r="J427" s="1047"/>
      <c r="K427" s="1053"/>
      <c r="L427" s="1047"/>
      <c r="M427" s="1047"/>
      <c r="N427" s="1047"/>
      <c r="O427" s="1047"/>
      <c r="P427" s="1047"/>
      <c r="Q427" s="1047"/>
      <c r="R427" s="1053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s="1024" customFormat="1">
      <c r="A428" s="1050"/>
      <c r="B428" s="1044"/>
      <c r="C428" s="1044"/>
      <c r="D428" s="1044"/>
      <c r="E428" s="142"/>
      <c r="F428" s="142"/>
      <c r="G428" s="142"/>
      <c r="H428" s="142"/>
      <c r="I428" s="1047"/>
      <c r="J428" s="1047"/>
      <c r="K428" s="1053"/>
      <c r="L428" s="1047"/>
      <c r="M428" s="1047"/>
      <c r="N428" s="1047"/>
      <c r="O428" s="1047"/>
      <c r="P428" s="1047"/>
      <c r="Q428" s="1047"/>
      <c r="R428" s="1053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s="1024" customFormat="1">
      <c r="A429" s="1050"/>
      <c r="B429" s="1044"/>
      <c r="C429" s="1044"/>
      <c r="D429" s="1044"/>
      <c r="E429" s="142"/>
      <c r="F429" s="142"/>
      <c r="G429" s="142"/>
      <c r="H429" s="142"/>
      <c r="I429" s="1047"/>
      <c r="J429" s="1047"/>
      <c r="K429" s="1053"/>
      <c r="L429" s="1047"/>
      <c r="M429" s="1047"/>
      <c r="N429" s="1047"/>
      <c r="O429" s="1047"/>
      <c r="P429" s="1047"/>
      <c r="Q429" s="1047"/>
      <c r="R429" s="1053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s="1024" customFormat="1">
      <c r="A430" s="1050"/>
      <c r="B430" s="1044"/>
      <c r="C430" s="1044"/>
      <c r="D430" s="1044"/>
      <c r="E430" s="142"/>
      <c r="F430" s="142"/>
      <c r="G430" s="142"/>
      <c r="H430" s="142"/>
      <c r="I430" s="1047"/>
      <c r="J430" s="1047"/>
      <c r="K430" s="1053"/>
      <c r="L430" s="1047"/>
      <c r="M430" s="1047"/>
      <c r="N430" s="1047"/>
      <c r="O430" s="1047"/>
      <c r="P430" s="1047"/>
      <c r="Q430" s="1047"/>
      <c r="R430" s="1053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s="1024" customFormat="1">
      <c r="A431" s="1050"/>
      <c r="B431" s="1044"/>
      <c r="C431" s="1044"/>
      <c r="D431" s="1044"/>
      <c r="E431" s="142"/>
      <c r="F431" s="142"/>
      <c r="G431" s="142"/>
      <c r="H431" s="142"/>
      <c r="I431" s="1047"/>
      <c r="J431" s="1047"/>
      <c r="K431" s="1053"/>
      <c r="L431" s="1047"/>
      <c r="M431" s="1047"/>
      <c r="N431" s="1047"/>
      <c r="O431" s="1047"/>
      <c r="P431" s="1047"/>
      <c r="Q431" s="1047"/>
      <c r="R431" s="1053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s="1024" customFormat="1">
      <c r="A432" s="1050"/>
      <c r="B432" s="1044"/>
      <c r="C432" s="1044"/>
      <c r="D432" s="1044"/>
      <c r="E432" s="142"/>
      <c r="F432" s="142"/>
      <c r="G432" s="142"/>
      <c r="H432" s="142"/>
      <c r="I432" s="1047"/>
      <c r="J432" s="1047"/>
      <c r="K432" s="1053"/>
      <c r="L432" s="1047"/>
      <c r="M432" s="1047"/>
      <c r="N432" s="1047"/>
      <c r="O432" s="1047"/>
      <c r="P432" s="1047"/>
      <c r="Q432" s="1047"/>
      <c r="R432" s="1053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s="1024" customFormat="1">
      <c r="A433" s="1050"/>
      <c r="B433" s="1044"/>
      <c r="C433" s="1044"/>
      <c r="D433" s="1044"/>
      <c r="E433" s="142"/>
      <c r="F433" s="142"/>
      <c r="G433" s="142"/>
      <c r="H433" s="142"/>
      <c r="I433" s="1047"/>
      <c r="J433" s="1047"/>
      <c r="K433" s="1053"/>
      <c r="L433" s="1047"/>
      <c r="M433" s="1047"/>
      <c r="N433" s="1047"/>
      <c r="O433" s="1047"/>
      <c r="P433" s="1047"/>
      <c r="Q433" s="1047"/>
      <c r="R433" s="1053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s="1024" customFormat="1">
      <c r="A434" s="1050"/>
      <c r="B434" s="1044"/>
      <c r="C434" s="1044"/>
      <c r="D434" s="1044"/>
      <c r="E434" s="142"/>
      <c r="F434" s="142"/>
      <c r="G434" s="142"/>
      <c r="H434" s="142"/>
      <c r="I434" s="1047"/>
      <c r="J434" s="1047"/>
      <c r="K434" s="1053"/>
      <c r="L434" s="1047"/>
      <c r="M434" s="1047"/>
      <c r="N434" s="1047"/>
      <c r="O434" s="1047"/>
      <c r="P434" s="1047"/>
      <c r="Q434" s="1047"/>
      <c r="R434" s="1053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s="1024" customFormat="1">
      <c r="A435" s="1050"/>
      <c r="B435" s="1044"/>
      <c r="C435" s="1044"/>
      <c r="D435" s="1044"/>
      <c r="E435" s="142"/>
      <c r="F435" s="142"/>
      <c r="G435" s="142"/>
      <c r="H435" s="142"/>
      <c r="I435" s="1047"/>
      <c r="J435" s="1047"/>
      <c r="K435" s="1053"/>
      <c r="L435" s="1047"/>
      <c r="M435" s="1047"/>
      <c r="N435" s="1047"/>
      <c r="O435" s="1047"/>
      <c r="P435" s="1047"/>
      <c r="Q435" s="1047"/>
      <c r="R435" s="1053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s="1024" customFormat="1">
      <c r="A436" s="1050"/>
      <c r="B436" s="1044"/>
      <c r="C436" s="1044"/>
      <c r="D436" s="1044"/>
      <c r="E436" s="142"/>
      <c r="F436" s="142"/>
      <c r="G436" s="142"/>
      <c r="H436" s="142"/>
      <c r="I436" s="1047"/>
      <c r="J436" s="1047"/>
      <c r="K436" s="1053"/>
      <c r="L436" s="1047"/>
      <c r="M436" s="1047"/>
      <c r="N436" s="1047"/>
      <c r="O436" s="1047"/>
      <c r="P436" s="1047"/>
      <c r="Q436" s="1047"/>
      <c r="R436" s="1053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s="1024" customFormat="1">
      <c r="A437" s="1050"/>
      <c r="B437" s="1044"/>
      <c r="C437" s="1044"/>
      <c r="D437" s="1044"/>
      <c r="E437" s="142"/>
      <c r="F437" s="142"/>
      <c r="G437" s="142"/>
      <c r="H437" s="142"/>
      <c r="I437" s="1047"/>
      <c r="J437" s="1047"/>
      <c r="K437" s="1053"/>
      <c r="L437" s="1047"/>
      <c r="M437" s="1047"/>
      <c r="N437" s="1047"/>
      <c r="O437" s="1047"/>
      <c r="P437" s="1047"/>
      <c r="Q437" s="1047"/>
      <c r="R437" s="1053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s="1024" customFormat="1">
      <c r="A438" s="1050"/>
      <c r="B438" s="1044"/>
      <c r="C438" s="1044"/>
      <c r="D438" s="1044"/>
      <c r="E438" s="142"/>
      <c r="F438" s="142"/>
      <c r="G438" s="142"/>
      <c r="H438" s="142"/>
      <c r="I438" s="1047"/>
      <c r="J438" s="1047"/>
      <c r="K438" s="1053"/>
      <c r="L438" s="1047"/>
      <c r="M438" s="1047"/>
      <c r="N438" s="1047"/>
      <c r="O438" s="1047"/>
      <c r="P438" s="1047"/>
      <c r="Q438" s="1047"/>
      <c r="R438" s="1053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s="1024" customFormat="1">
      <c r="A439" s="1050"/>
      <c r="B439" s="1044"/>
      <c r="C439" s="1044"/>
      <c r="D439" s="1044"/>
      <c r="E439" s="142"/>
      <c r="F439" s="142"/>
      <c r="G439" s="142"/>
      <c r="H439" s="142"/>
      <c r="I439" s="1047"/>
      <c r="J439" s="1047"/>
      <c r="K439" s="1053"/>
      <c r="L439" s="1047"/>
      <c r="M439" s="1047"/>
      <c r="N439" s="1047"/>
      <c r="O439" s="1047"/>
      <c r="P439" s="1047"/>
      <c r="Q439" s="1047"/>
      <c r="R439" s="1053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s="1024" customFormat="1">
      <c r="A440" s="1050"/>
      <c r="B440" s="1044"/>
      <c r="C440" s="1044"/>
      <c r="D440" s="1044"/>
      <c r="E440" s="142"/>
      <c r="F440" s="142"/>
      <c r="G440" s="142"/>
      <c r="H440" s="142"/>
      <c r="I440" s="1047"/>
      <c r="J440" s="1047"/>
      <c r="K440" s="1053"/>
      <c r="L440" s="1047"/>
      <c r="M440" s="1047"/>
      <c r="N440" s="1047"/>
      <c r="O440" s="1047"/>
      <c r="P440" s="1047"/>
      <c r="Q440" s="1047"/>
      <c r="R440" s="1053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s="1024" customFormat="1">
      <c r="A441" s="1050"/>
      <c r="B441" s="1044"/>
      <c r="C441" s="1044"/>
      <c r="D441" s="1044"/>
      <c r="E441" s="142"/>
      <c r="F441" s="142"/>
      <c r="G441" s="142"/>
      <c r="H441" s="142"/>
      <c r="I441" s="1047"/>
      <c r="J441" s="1047"/>
      <c r="K441" s="1053"/>
      <c r="L441" s="1047"/>
      <c r="M441" s="1047"/>
      <c r="N441" s="1047"/>
      <c r="O441" s="1047"/>
      <c r="P441" s="1047"/>
      <c r="Q441" s="1047"/>
      <c r="R441" s="1053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s="1024" customFormat="1">
      <c r="A442" s="1050"/>
      <c r="B442" s="1044"/>
      <c r="C442" s="1044"/>
      <c r="D442" s="1044"/>
      <c r="E442" s="142"/>
      <c r="F442" s="142"/>
      <c r="G442" s="142"/>
      <c r="H442" s="142"/>
      <c r="I442" s="1047"/>
      <c r="J442" s="1047"/>
      <c r="K442" s="1053"/>
      <c r="L442" s="1047"/>
      <c r="M442" s="1047"/>
      <c r="N442" s="1047"/>
      <c r="O442" s="1047"/>
      <c r="P442" s="1047"/>
      <c r="Q442" s="1047"/>
      <c r="R442" s="1053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s="1024" customFormat="1">
      <c r="A443" s="1050"/>
      <c r="B443" s="1044"/>
      <c r="C443" s="1044"/>
      <c r="D443" s="1044"/>
      <c r="E443" s="142"/>
      <c r="F443" s="142"/>
      <c r="G443" s="142"/>
      <c r="H443" s="142"/>
      <c r="I443" s="1047"/>
      <c r="J443" s="1047"/>
      <c r="K443" s="1053"/>
      <c r="L443" s="1047"/>
      <c r="M443" s="1047"/>
      <c r="N443" s="1047"/>
      <c r="O443" s="1047"/>
      <c r="P443" s="1047"/>
      <c r="Q443" s="1047"/>
      <c r="R443" s="1053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s="1024" customFormat="1">
      <c r="A444" s="1050"/>
      <c r="B444" s="1044"/>
      <c r="C444" s="1044"/>
      <c r="D444" s="1044"/>
      <c r="E444" s="142"/>
      <c r="F444" s="142"/>
      <c r="G444" s="142"/>
      <c r="H444" s="142"/>
      <c r="I444" s="1047"/>
      <c r="J444" s="1047"/>
      <c r="K444" s="1053"/>
      <c r="L444" s="1047"/>
      <c r="M444" s="1047"/>
      <c r="N444" s="1047"/>
      <c r="O444" s="1047"/>
      <c r="P444" s="1047"/>
      <c r="Q444" s="1047"/>
      <c r="R444" s="1053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s="1024" customFormat="1">
      <c r="A445" s="1050"/>
      <c r="B445" s="1044"/>
      <c r="C445" s="1044"/>
      <c r="D445" s="1044"/>
      <c r="E445" s="142"/>
      <c r="F445" s="142"/>
      <c r="G445" s="142"/>
      <c r="H445" s="142"/>
      <c r="I445" s="1047"/>
      <c r="J445" s="1047"/>
      <c r="K445" s="1053"/>
      <c r="L445" s="1047"/>
      <c r="M445" s="1047"/>
      <c r="N445" s="1047"/>
      <c r="O445" s="1047"/>
      <c r="P445" s="1047"/>
      <c r="Q445" s="1047"/>
      <c r="R445" s="1053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s="1024" customFormat="1">
      <c r="A446" s="1050"/>
      <c r="B446" s="1044"/>
      <c r="C446" s="1044"/>
      <c r="D446" s="1044"/>
      <c r="E446" s="142"/>
      <c r="F446" s="142"/>
      <c r="G446" s="142"/>
      <c r="H446" s="142"/>
      <c r="I446" s="1047"/>
      <c r="J446" s="1047"/>
      <c r="K446" s="1053"/>
      <c r="L446" s="1047"/>
      <c r="M446" s="1047"/>
      <c r="N446" s="1047"/>
      <c r="O446" s="1047"/>
      <c r="P446" s="1047"/>
      <c r="Q446" s="1047"/>
      <c r="R446" s="1053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s="1024" customFormat="1">
      <c r="A447" s="1050"/>
      <c r="B447" s="1044"/>
      <c r="C447" s="1044"/>
      <c r="D447" s="1044"/>
      <c r="E447" s="142"/>
      <c r="F447" s="142"/>
      <c r="G447" s="142"/>
      <c r="H447" s="142"/>
      <c r="I447" s="1047"/>
      <c r="J447" s="1047"/>
      <c r="K447" s="1053"/>
      <c r="L447" s="1047"/>
      <c r="M447" s="1047"/>
      <c r="N447" s="1047"/>
      <c r="O447" s="1047"/>
      <c r="P447" s="1047"/>
      <c r="Q447" s="1047"/>
      <c r="R447" s="1053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s="1024" customFormat="1">
      <c r="A448" s="1050"/>
      <c r="B448" s="1044"/>
      <c r="C448" s="1044"/>
      <c r="D448" s="1044"/>
      <c r="E448" s="142"/>
      <c r="F448" s="142"/>
      <c r="G448" s="142"/>
      <c r="H448" s="142"/>
      <c r="I448" s="1047"/>
      <c r="J448" s="1047"/>
      <c r="K448" s="1053"/>
      <c r="L448" s="1047"/>
      <c r="M448" s="1047"/>
      <c r="N448" s="1047"/>
      <c r="O448" s="1047"/>
      <c r="P448" s="1047"/>
      <c r="Q448" s="1047"/>
      <c r="R448" s="1053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s="1024" customFormat="1">
      <c r="A449" s="1050"/>
      <c r="B449" s="1044"/>
      <c r="C449" s="1044"/>
      <c r="D449" s="1044"/>
      <c r="E449" s="142"/>
      <c r="F449" s="142"/>
      <c r="G449" s="142"/>
      <c r="H449" s="142"/>
      <c r="I449" s="1047"/>
      <c r="J449" s="1047"/>
      <c r="K449" s="1053"/>
      <c r="L449" s="1047"/>
      <c r="M449" s="1047"/>
      <c r="N449" s="1047"/>
      <c r="O449" s="1047"/>
      <c r="P449" s="1047"/>
      <c r="Q449" s="1047"/>
      <c r="R449" s="1053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s="1024" customFormat="1">
      <c r="A450" s="1050"/>
      <c r="B450" s="1044"/>
      <c r="C450" s="1044"/>
      <c r="D450" s="1044"/>
      <c r="E450" s="142"/>
      <c r="F450" s="142"/>
      <c r="G450" s="142"/>
      <c r="H450" s="142"/>
      <c r="I450" s="1047"/>
      <c r="J450" s="1047"/>
      <c r="K450" s="1053"/>
      <c r="L450" s="1047"/>
      <c r="M450" s="1047"/>
      <c r="N450" s="1047"/>
      <c r="O450" s="1047"/>
      <c r="P450" s="1047"/>
      <c r="Q450" s="1047"/>
      <c r="R450" s="1053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s="1024" customFormat="1">
      <c r="A451" s="1050"/>
      <c r="B451" s="1044"/>
      <c r="C451" s="1044"/>
      <c r="D451" s="1044"/>
      <c r="E451" s="142"/>
      <c r="F451" s="142"/>
      <c r="G451" s="142"/>
      <c r="H451" s="142"/>
      <c r="I451" s="1047"/>
      <c r="J451" s="1047"/>
      <c r="K451" s="1053"/>
      <c r="L451" s="1047"/>
      <c r="M451" s="1047"/>
      <c r="N451" s="1047"/>
      <c r="O451" s="1047"/>
      <c r="P451" s="1047"/>
      <c r="Q451" s="1047"/>
      <c r="R451" s="1053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s="1024" customFormat="1">
      <c r="A452" s="1050"/>
      <c r="B452" s="1044"/>
      <c r="C452" s="1044"/>
      <c r="D452" s="1044"/>
      <c r="E452" s="142"/>
      <c r="F452" s="142"/>
      <c r="G452" s="142"/>
      <c r="H452" s="142"/>
      <c r="I452" s="1047"/>
      <c r="J452" s="1047"/>
      <c r="K452" s="1053"/>
      <c r="L452" s="1047"/>
      <c r="M452" s="1047"/>
      <c r="N452" s="1047"/>
      <c r="O452" s="1047"/>
      <c r="P452" s="1047"/>
      <c r="Q452" s="1047"/>
      <c r="R452" s="1053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s="1024" customFormat="1">
      <c r="A453" s="1050"/>
      <c r="B453" s="1044"/>
      <c r="C453" s="1044"/>
      <c r="D453" s="1044"/>
      <c r="E453" s="142"/>
      <c r="F453" s="142"/>
      <c r="G453" s="142"/>
      <c r="H453" s="142"/>
      <c r="I453" s="1047"/>
      <c r="J453" s="1047"/>
      <c r="K453" s="1053"/>
      <c r="L453" s="1047"/>
      <c r="M453" s="1047"/>
      <c r="N453" s="1047"/>
      <c r="O453" s="1047"/>
      <c r="P453" s="1047"/>
      <c r="Q453" s="1047"/>
      <c r="R453" s="1053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s="1024" customFormat="1">
      <c r="A454" s="1050"/>
      <c r="B454" s="1044"/>
      <c r="C454" s="1044"/>
      <c r="D454" s="1044"/>
      <c r="E454" s="142"/>
      <c r="F454" s="142"/>
      <c r="G454" s="142"/>
      <c r="H454" s="142"/>
      <c r="I454" s="1047"/>
      <c r="J454" s="1047"/>
      <c r="K454" s="1053"/>
      <c r="L454" s="1047"/>
      <c r="M454" s="1047"/>
      <c r="N454" s="1047"/>
      <c r="O454" s="1047"/>
      <c r="P454" s="1047"/>
      <c r="Q454" s="1047"/>
      <c r="R454" s="1053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s="1024" customFormat="1">
      <c r="A455" s="1050"/>
      <c r="B455" s="1044"/>
      <c r="C455" s="1044"/>
      <c r="D455" s="1044"/>
      <c r="E455" s="142"/>
      <c r="F455" s="142"/>
      <c r="G455" s="142"/>
      <c r="H455" s="142"/>
      <c r="I455" s="1047"/>
      <c r="J455" s="1047"/>
      <c r="K455" s="1053"/>
      <c r="L455" s="1047"/>
      <c r="M455" s="1047"/>
      <c r="N455" s="1047"/>
      <c r="O455" s="1047"/>
      <c r="P455" s="1047"/>
      <c r="Q455" s="1047"/>
      <c r="R455" s="1053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s="1024" customFormat="1">
      <c r="A456" s="1050"/>
      <c r="B456" s="1044"/>
      <c r="C456" s="1044"/>
      <c r="D456" s="1044"/>
      <c r="E456" s="142"/>
      <c r="F456" s="142"/>
      <c r="G456" s="142"/>
      <c r="H456" s="142"/>
      <c r="I456" s="1047"/>
      <c r="J456" s="1047"/>
      <c r="K456" s="1053"/>
      <c r="L456" s="1047"/>
      <c r="M456" s="1047"/>
      <c r="N456" s="1047"/>
      <c r="O456" s="1047"/>
      <c r="P456" s="1047"/>
      <c r="Q456" s="1047"/>
      <c r="R456" s="1053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s="1024" customFormat="1">
      <c r="A457" s="1050"/>
      <c r="B457" s="1044"/>
      <c r="C457" s="1044"/>
      <c r="D457" s="1044"/>
      <c r="E457" s="142"/>
      <c r="F457" s="142"/>
      <c r="G457" s="142"/>
      <c r="H457" s="142"/>
      <c r="I457" s="1047"/>
      <c r="J457" s="1047"/>
      <c r="K457" s="1053"/>
      <c r="L457" s="1047"/>
      <c r="M457" s="1047"/>
      <c r="N457" s="1047"/>
      <c r="O457" s="1047"/>
      <c r="P457" s="1047"/>
      <c r="Q457" s="1047"/>
      <c r="R457" s="1053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s="1024" customFormat="1">
      <c r="A458" s="1050"/>
      <c r="B458" s="1044"/>
      <c r="C458" s="1044"/>
      <c r="D458" s="1044"/>
      <c r="E458" s="142"/>
      <c r="F458" s="142"/>
      <c r="G458" s="142"/>
      <c r="H458" s="142"/>
      <c r="I458" s="1047"/>
      <c r="J458" s="1047"/>
      <c r="K458" s="1053"/>
      <c r="L458" s="1047"/>
      <c r="M458" s="1047"/>
      <c r="N458" s="1047"/>
      <c r="O458" s="1047"/>
      <c r="P458" s="1047"/>
      <c r="Q458" s="1047"/>
      <c r="R458" s="1053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s="1024" customFormat="1">
      <c r="A459" s="1050"/>
      <c r="B459" s="1044"/>
      <c r="C459" s="1044"/>
      <c r="D459" s="1044"/>
      <c r="E459" s="142"/>
      <c r="F459" s="142"/>
      <c r="G459" s="142"/>
      <c r="H459" s="142"/>
      <c r="I459" s="1047"/>
      <c r="J459" s="1047"/>
      <c r="K459" s="1053"/>
      <c r="L459" s="1047"/>
      <c r="M459" s="1047"/>
      <c r="N459" s="1047"/>
      <c r="O459" s="1047"/>
      <c r="P459" s="1047"/>
      <c r="Q459" s="1047"/>
      <c r="R459" s="1053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s="1024" customFormat="1">
      <c r="A460" s="1050"/>
      <c r="B460" s="1044"/>
      <c r="C460" s="1044"/>
      <c r="D460" s="1044"/>
      <c r="E460" s="142"/>
      <c r="F460" s="142"/>
      <c r="G460" s="142"/>
      <c r="H460" s="142"/>
      <c r="I460" s="1047"/>
      <c r="J460" s="1047"/>
      <c r="K460" s="1053"/>
      <c r="L460" s="1047"/>
      <c r="M460" s="1047"/>
      <c r="N460" s="1047"/>
      <c r="O460" s="1047"/>
      <c r="P460" s="1047"/>
      <c r="Q460" s="1047"/>
      <c r="R460" s="1053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s="1024" customFormat="1">
      <c r="A461" s="1050"/>
      <c r="B461" s="1044"/>
      <c r="C461" s="1044"/>
      <c r="D461" s="1044"/>
      <c r="E461" s="142"/>
      <c r="F461" s="142"/>
      <c r="G461" s="142"/>
      <c r="H461" s="142"/>
      <c r="I461" s="1047"/>
      <c r="J461" s="1047"/>
      <c r="K461" s="1053"/>
      <c r="L461" s="1047"/>
      <c r="M461" s="1047"/>
      <c r="N461" s="1047"/>
      <c r="O461" s="1047"/>
      <c r="P461" s="1047"/>
      <c r="Q461" s="1047"/>
      <c r="R461" s="1053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s="1024" customFormat="1">
      <c r="A462" s="1050"/>
      <c r="B462" s="1044"/>
      <c r="C462" s="1044"/>
      <c r="D462" s="1044"/>
      <c r="E462" s="142"/>
      <c r="F462" s="142"/>
      <c r="G462" s="142"/>
      <c r="H462" s="142"/>
      <c r="I462" s="1047"/>
      <c r="J462" s="1047"/>
      <c r="K462" s="1053"/>
      <c r="L462" s="1047"/>
      <c r="M462" s="1047"/>
      <c r="N462" s="1047"/>
      <c r="O462" s="1047"/>
      <c r="P462" s="1047"/>
      <c r="Q462" s="1047"/>
      <c r="R462" s="1053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s="1024" customFormat="1">
      <c r="A463" s="1050"/>
      <c r="B463" s="1044"/>
      <c r="C463" s="1044"/>
      <c r="D463" s="1044"/>
      <c r="E463" s="142"/>
      <c r="F463" s="142"/>
      <c r="G463" s="142"/>
      <c r="H463" s="142"/>
      <c r="I463" s="1047"/>
      <c r="J463" s="1047"/>
      <c r="K463" s="1053"/>
      <c r="L463" s="1047"/>
      <c r="M463" s="1047"/>
      <c r="N463" s="1047"/>
      <c r="O463" s="1047"/>
      <c r="P463" s="1047"/>
      <c r="Q463" s="1047"/>
      <c r="R463" s="1053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s="1024" customFormat="1">
      <c r="A464" s="1050"/>
      <c r="B464" s="1044"/>
      <c r="C464" s="1044"/>
      <c r="D464" s="1044"/>
      <c r="E464" s="142"/>
      <c r="F464" s="142"/>
      <c r="G464" s="142"/>
      <c r="H464" s="142"/>
      <c r="I464" s="1047"/>
      <c r="J464" s="1047"/>
      <c r="K464" s="1053"/>
      <c r="L464" s="1047"/>
      <c r="M464" s="1047"/>
      <c r="N464" s="1047"/>
      <c r="O464" s="1047"/>
      <c r="P464" s="1047"/>
      <c r="Q464" s="1047"/>
      <c r="R464" s="1053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s="1024" customFormat="1">
      <c r="A465" s="1050"/>
      <c r="B465" s="1044"/>
      <c r="C465" s="1044"/>
      <c r="D465" s="1044"/>
      <c r="E465" s="142"/>
      <c r="F465" s="142"/>
      <c r="G465" s="142"/>
      <c r="H465" s="142"/>
      <c r="I465" s="1047"/>
      <c r="J465" s="1047"/>
      <c r="K465" s="1053"/>
      <c r="L465" s="1047"/>
      <c r="M465" s="1047"/>
      <c r="N465" s="1047"/>
      <c r="O465" s="1047"/>
      <c r="P465" s="1047"/>
      <c r="Q465" s="1047"/>
      <c r="R465" s="1053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s="1024" customFormat="1">
      <c r="A466" s="1050"/>
      <c r="B466" s="1044"/>
      <c r="C466" s="1044"/>
      <c r="D466" s="1044"/>
      <c r="E466" s="142"/>
      <c r="F466" s="142"/>
      <c r="G466" s="142"/>
      <c r="H466" s="142"/>
      <c r="I466" s="1047"/>
      <c r="J466" s="1047"/>
      <c r="K466" s="1053"/>
      <c r="L466" s="1047"/>
      <c r="M466" s="1047"/>
      <c r="N466" s="1047"/>
      <c r="O466" s="1047"/>
      <c r="P466" s="1047"/>
      <c r="Q466" s="1047"/>
      <c r="R466" s="1053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s="1024" customFormat="1">
      <c r="A467" s="1050"/>
      <c r="B467" s="1044"/>
      <c r="C467" s="1044"/>
      <c r="D467" s="1044"/>
      <c r="E467" s="142"/>
      <c r="F467" s="142"/>
      <c r="G467" s="142"/>
      <c r="H467" s="142"/>
      <c r="I467" s="1047"/>
      <c r="J467" s="1047"/>
      <c r="K467" s="1053"/>
      <c r="L467" s="1047"/>
      <c r="M467" s="1047"/>
      <c r="N467" s="1047"/>
      <c r="O467" s="1047"/>
      <c r="P467" s="1047"/>
      <c r="Q467" s="1047"/>
      <c r="R467" s="1053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s="1024" customFormat="1">
      <c r="A468" s="1050"/>
      <c r="B468" s="1044"/>
      <c r="C468" s="1044"/>
      <c r="D468" s="1044"/>
      <c r="E468" s="142"/>
      <c r="F468" s="142"/>
      <c r="G468" s="142"/>
      <c r="H468" s="142"/>
      <c r="I468" s="1047"/>
      <c r="J468" s="1047"/>
      <c r="K468" s="1053"/>
      <c r="L468" s="1047"/>
      <c r="M468" s="1047"/>
      <c r="N468" s="1047"/>
      <c r="O468" s="1047"/>
      <c r="P468" s="1047"/>
      <c r="Q468" s="1047"/>
      <c r="R468" s="1053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s="1024" customFormat="1">
      <c r="A469" s="1050"/>
      <c r="B469" s="1044"/>
      <c r="C469" s="1044"/>
      <c r="D469" s="1044"/>
      <c r="E469" s="142"/>
      <c r="F469" s="142"/>
      <c r="G469" s="142"/>
      <c r="H469" s="142"/>
      <c r="I469" s="1047"/>
      <c r="J469" s="1047"/>
      <c r="K469" s="1053"/>
      <c r="L469" s="1047"/>
      <c r="M469" s="1047"/>
      <c r="N469" s="1047"/>
      <c r="O469" s="1047"/>
      <c r="P469" s="1047"/>
      <c r="Q469" s="1047"/>
      <c r="R469" s="1053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s="1024" customFormat="1">
      <c r="A470" s="1050"/>
      <c r="B470" s="1044"/>
      <c r="C470" s="1044"/>
      <c r="D470" s="1044"/>
      <c r="E470" s="142"/>
      <c r="F470" s="142"/>
      <c r="G470" s="142"/>
      <c r="H470" s="142"/>
      <c r="I470" s="1047"/>
      <c r="J470" s="1047"/>
      <c r="K470" s="1053"/>
      <c r="L470" s="1047"/>
      <c r="M470" s="1047"/>
      <c r="N470" s="1047"/>
      <c r="O470" s="1047"/>
      <c r="P470" s="1047"/>
      <c r="Q470" s="1047"/>
      <c r="R470" s="1053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s="1024" customFormat="1">
      <c r="A471" s="1050"/>
      <c r="B471" s="1044"/>
      <c r="C471" s="1044"/>
      <c r="D471" s="1044"/>
      <c r="E471" s="142"/>
      <c r="F471" s="142"/>
      <c r="G471" s="142"/>
      <c r="H471" s="142"/>
      <c r="I471" s="1047"/>
      <c r="J471" s="1047"/>
      <c r="K471" s="1053"/>
      <c r="L471" s="1047"/>
      <c r="M471" s="1047"/>
      <c r="N471" s="1047"/>
      <c r="O471" s="1047"/>
      <c r="P471" s="1047"/>
      <c r="Q471" s="1047"/>
      <c r="R471" s="1053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s="1024" customFormat="1">
      <c r="A472" s="1050"/>
      <c r="B472" s="1044"/>
      <c r="C472" s="1044"/>
      <c r="D472" s="1044"/>
      <c r="E472" s="142"/>
      <c r="F472" s="142"/>
      <c r="G472" s="142"/>
      <c r="H472" s="142"/>
      <c r="I472" s="1047"/>
      <c r="J472" s="1047"/>
      <c r="K472" s="1053"/>
      <c r="L472" s="1047"/>
      <c r="M472" s="1047"/>
      <c r="N472" s="1047"/>
      <c r="O472" s="1047"/>
      <c r="P472" s="1047"/>
      <c r="Q472" s="1047"/>
      <c r="R472" s="1053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s="1024" customFormat="1">
      <c r="A473" s="1050"/>
      <c r="B473" s="1044"/>
      <c r="C473" s="1044"/>
      <c r="D473" s="1044"/>
      <c r="E473" s="142"/>
      <c r="F473" s="142"/>
      <c r="G473" s="142"/>
      <c r="H473" s="142"/>
      <c r="I473" s="1047"/>
      <c r="J473" s="1047"/>
      <c r="K473" s="1053"/>
      <c r="L473" s="1047"/>
      <c r="M473" s="1047"/>
      <c r="N473" s="1047"/>
      <c r="O473" s="1047"/>
      <c r="P473" s="1047"/>
      <c r="Q473" s="1047"/>
      <c r="R473" s="1053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s="1024" customFormat="1">
      <c r="A474" s="1050"/>
      <c r="B474" s="1044"/>
      <c r="C474" s="1044"/>
      <c r="D474" s="1044"/>
      <c r="E474" s="142"/>
      <c r="F474" s="142"/>
      <c r="G474" s="142"/>
      <c r="H474" s="142"/>
      <c r="I474" s="1047"/>
      <c r="J474" s="1047"/>
      <c r="K474" s="1053"/>
      <c r="L474" s="1047"/>
      <c r="M474" s="1047"/>
      <c r="N474" s="1047"/>
      <c r="O474" s="1047"/>
      <c r="P474" s="1047"/>
      <c r="Q474" s="1047"/>
      <c r="R474" s="1053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s="1024" customFormat="1">
      <c r="A475" s="1050"/>
      <c r="B475" s="1044"/>
      <c r="C475" s="1044"/>
      <c r="D475" s="1044"/>
      <c r="E475" s="142"/>
      <c r="F475" s="142"/>
      <c r="G475" s="142"/>
      <c r="H475" s="142"/>
      <c r="I475" s="1047"/>
      <c r="J475" s="1047"/>
      <c r="K475" s="1053"/>
      <c r="L475" s="1047"/>
      <c r="M475" s="1047"/>
      <c r="N475" s="1047"/>
      <c r="O475" s="1047"/>
      <c r="P475" s="1047"/>
      <c r="Q475" s="1047"/>
      <c r="R475" s="1053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s="1024" customFormat="1">
      <c r="A476" s="1050"/>
      <c r="B476" s="1044"/>
      <c r="C476" s="1044"/>
      <c r="D476" s="1044"/>
      <c r="E476" s="142"/>
      <c r="F476" s="142"/>
      <c r="G476" s="142"/>
      <c r="H476" s="142"/>
      <c r="I476" s="1047"/>
      <c r="J476" s="1047"/>
      <c r="K476" s="1053"/>
      <c r="L476" s="1047"/>
      <c r="M476" s="1047"/>
      <c r="N476" s="1047"/>
      <c r="O476" s="1047"/>
      <c r="P476" s="1047"/>
      <c r="Q476" s="1047"/>
      <c r="R476" s="1053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s="1024" customFormat="1">
      <c r="A477" s="1050"/>
      <c r="B477" s="1044"/>
      <c r="C477" s="1044"/>
      <c r="D477" s="1044"/>
      <c r="E477" s="142"/>
      <c r="F477" s="142"/>
      <c r="G477" s="142"/>
      <c r="H477" s="142"/>
      <c r="I477" s="1047"/>
      <c r="J477" s="1047"/>
      <c r="K477" s="1053"/>
      <c r="L477" s="1047"/>
      <c r="M477" s="1047"/>
      <c r="N477" s="1047"/>
      <c r="O477" s="1047"/>
      <c r="P477" s="1047"/>
      <c r="Q477" s="1047"/>
      <c r="R477" s="1053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s="1024" customFormat="1">
      <c r="A478" s="1050"/>
      <c r="B478" s="1044"/>
      <c r="C478" s="1044"/>
      <c r="D478" s="1044"/>
      <c r="E478" s="142"/>
      <c r="F478" s="142"/>
      <c r="G478" s="142"/>
      <c r="H478" s="142"/>
      <c r="I478" s="1047"/>
      <c r="J478" s="1047"/>
      <c r="K478" s="1053"/>
      <c r="L478" s="1047"/>
      <c r="M478" s="1047"/>
      <c r="N478" s="1047"/>
      <c r="O478" s="1047"/>
      <c r="P478" s="1047"/>
      <c r="Q478" s="1047"/>
      <c r="R478" s="1053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s="1024" customFormat="1">
      <c r="A479" s="1050"/>
      <c r="B479" s="1044"/>
      <c r="C479" s="1044"/>
      <c r="D479" s="1044"/>
      <c r="E479" s="142"/>
      <c r="F479" s="142"/>
      <c r="G479" s="142"/>
      <c r="H479" s="142"/>
      <c r="I479" s="1047"/>
      <c r="J479" s="1047"/>
      <c r="K479" s="1053"/>
      <c r="L479" s="1047"/>
      <c r="M479" s="1047"/>
      <c r="N479" s="1047"/>
      <c r="O479" s="1047"/>
      <c r="P479" s="1047"/>
      <c r="Q479" s="1047"/>
      <c r="R479" s="1053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s="1024" customFormat="1">
      <c r="A480" s="1050"/>
      <c r="B480" s="1044"/>
      <c r="C480" s="1044"/>
      <c r="D480" s="1044"/>
      <c r="E480" s="142"/>
      <c r="F480" s="142"/>
      <c r="G480" s="142"/>
      <c r="H480" s="142"/>
      <c r="I480" s="1047"/>
      <c r="J480" s="1047"/>
      <c r="K480" s="1053"/>
      <c r="L480" s="1047"/>
      <c r="M480" s="1047"/>
      <c r="N480" s="1047"/>
      <c r="O480" s="1047"/>
      <c r="P480" s="1047"/>
      <c r="Q480" s="1047"/>
      <c r="R480" s="1053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s="1024" customFormat="1">
      <c r="A481" s="1050"/>
      <c r="B481" s="1044"/>
      <c r="C481" s="1044"/>
      <c r="D481" s="1044"/>
      <c r="E481" s="142"/>
      <c r="F481" s="142"/>
      <c r="G481" s="142"/>
      <c r="H481" s="142"/>
      <c r="I481" s="1047"/>
      <c r="J481" s="1047"/>
      <c r="K481" s="1053"/>
      <c r="L481" s="1047"/>
      <c r="M481" s="1047"/>
      <c r="N481" s="1047"/>
      <c r="O481" s="1047"/>
      <c r="P481" s="1047"/>
      <c r="Q481" s="1047"/>
      <c r="R481" s="1053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s="1024" customFormat="1">
      <c r="A482" s="1050"/>
      <c r="B482" s="1044"/>
      <c r="C482" s="1044"/>
      <c r="D482" s="1044"/>
      <c r="E482" s="142"/>
      <c r="F482" s="142"/>
      <c r="G482" s="142"/>
      <c r="H482" s="142"/>
      <c r="I482" s="1047"/>
      <c r="J482" s="1047"/>
      <c r="K482" s="1053"/>
      <c r="L482" s="1047"/>
      <c r="M482" s="1047"/>
      <c r="N482" s="1047"/>
      <c r="O482" s="1047"/>
      <c r="P482" s="1047"/>
      <c r="Q482" s="1047"/>
      <c r="R482" s="1053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s="1024" customFormat="1">
      <c r="A483" s="1050"/>
      <c r="B483" s="1044"/>
      <c r="C483" s="1044"/>
      <c r="D483" s="1044"/>
      <c r="E483" s="142"/>
      <c r="F483" s="142"/>
      <c r="G483" s="142"/>
      <c r="H483" s="142"/>
      <c r="I483" s="1047"/>
      <c r="J483" s="1047"/>
      <c r="K483" s="1053"/>
      <c r="L483" s="1047"/>
      <c r="M483" s="1047"/>
      <c r="N483" s="1047"/>
      <c r="O483" s="1047"/>
      <c r="P483" s="1047"/>
      <c r="Q483" s="1047"/>
      <c r="R483" s="1053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s="1024" customFormat="1">
      <c r="A484" s="1050"/>
      <c r="B484" s="1044"/>
      <c r="C484" s="1044"/>
      <c r="D484" s="1044"/>
      <c r="E484" s="142"/>
      <c r="F484" s="142"/>
      <c r="G484" s="142"/>
      <c r="H484" s="142"/>
      <c r="I484" s="1047"/>
      <c r="J484" s="1047"/>
      <c r="K484" s="1053"/>
      <c r="L484" s="1047"/>
      <c r="M484" s="1047"/>
      <c r="N484" s="1047"/>
      <c r="O484" s="1047"/>
      <c r="P484" s="1047"/>
      <c r="Q484" s="1047"/>
      <c r="R484" s="1053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s="1024" customFormat="1">
      <c r="A485" s="1050"/>
      <c r="B485" s="1044"/>
      <c r="C485" s="1044"/>
      <c r="D485" s="1044"/>
      <c r="E485" s="142"/>
      <c r="F485" s="142"/>
      <c r="G485" s="142"/>
      <c r="H485" s="142"/>
      <c r="I485" s="1047"/>
      <c r="J485" s="1047"/>
      <c r="K485" s="1053"/>
      <c r="L485" s="1047"/>
      <c r="M485" s="1047"/>
      <c r="N485" s="1047"/>
      <c r="O485" s="1047"/>
      <c r="P485" s="1047"/>
      <c r="Q485" s="1047"/>
      <c r="R485" s="1053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s="1024" customFormat="1">
      <c r="A486" s="1050"/>
      <c r="B486" s="1044"/>
      <c r="C486" s="1044"/>
      <c r="D486" s="1044"/>
      <c r="E486" s="142"/>
      <c r="F486" s="142"/>
      <c r="G486" s="142"/>
      <c r="H486" s="142"/>
      <c r="I486" s="1047"/>
      <c r="J486" s="1047"/>
      <c r="K486" s="1053"/>
      <c r="L486" s="1047"/>
      <c r="M486" s="1047"/>
      <c r="N486" s="1047"/>
      <c r="O486" s="1047"/>
      <c r="P486" s="1047"/>
      <c r="Q486" s="1047"/>
      <c r="R486" s="1053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s="1024" customFormat="1">
      <c r="A487" s="1050"/>
      <c r="B487" s="1044"/>
      <c r="C487" s="1044"/>
      <c r="D487" s="1044"/>
      <c r="E487" s="142"/>
      <c r="F487" s="142"/>
      <c r="G487" s="142"/>
      <c r="H487" s="142"/>
      <c r="I487" s="1047"/>
      <c r="J487" s="1047"/>
      <c r="K487" s="1053"/>
      <c r="L487" s="1047"/>
      <c r="M487" s="1047"/>
      <c r="N487" s="1047"/>
      <c r="O487" s="1047"/>
      <c r="P487" s="1047"/>
      <c r="Q487" s="1047"/>
      <c r="R487" s="1053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s="1024" customFormat="1">
      <c r="A488" s="1050"/>
      <c r="B488" s="1044"/>
      <c r="C488" s="1044"/>
      <c r="D488" s="1044"/>
      <c r="E488" s="142"/>
      <c r="F488" s="142"/>
      <c r="G488" s="142"/>
      <c r="H488" s="142"/>
      <c r="I488" s="1047"/>
      <c r="J488" s="1047"/>
      <c r="K488" s="1053"/>
      <c r="L488" s="1047"/>
      <c r="M488" s="1047"/>
      <c r="N488" s="1047"/>
      <c r="O488" s="1047"/>
      <c r="P488" s="1047"/>
      <c r="Q488" s="1047"/>
      <c r="R488" s="1053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s="1024" customFormat="1">
      <c r="A489" s="1050"/>
      <c r="B489" s="1044"/>
      <c r="C489" s="1044"/>
      <c r="D489" s="1044"/>
      <c r="E489" s="142"/>
      <c r="F489" s="142"/>
      <c r="G489" s="142"/>
      <c r="H489" s="142"/>
      <c r="I489" s="1047"/>
      <c r="J489" s="1047"/>
      <c r="K489" s="1053"/>
      <c r="L489" s="1047"/>
      <c r="M489" s="1047"/>
      <c r="N489" s="1047"/>
      <c r="O489" s="1047"/>
      <c r="P489" s="1047"/>
      <c r="Q489" s="1047"/>
      <c r="R489" s="1053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s="1024" customFormat="1">
      <c r="A490" s="1050"/>
      <c r="B490" s="1044"/>
      <c r="C490" s="1044"/>
      <c r="D490" s="1044"/>
      <c r="E490" s="142"/>
      <c r="F490" s="142"/>
      <c r="G490" s="142"/>
      <c r="H490" s="142"/>
      <c r="I490" s="1047"/>
      <c r="J490" s="1047"/>
      <c r="K490" s="1053"/>
      <c r="L490" s="1047"/>
      <c r="M490" s="1047"/>
      <c r="N490" s="1047"/>
      <c r="O490" s="1047"/>
      <c r="P490" s="1047"/>
      <c r="Q490" s="1047"/>
      <c r="R490" s="1053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s="1024" customFormat="1">
      <c r="A491" s="1050"/>
      <c r="B491" s="1044"/>
      <c r="C491" s="1044"/>
      <c r="D491" s="1044"/>
      <c r="E491" s="142"/>
      <c r="F491" s="142"/>
      <c r="G491" s="142"/>
      <c r="H491" s="142"/>
      <c r="I491" s="1047"/>
      <c r="J491" s="1047"/>
      <c r="K491" s="1053"/>
      <c r="L491" s="1047"/>
      <c r="M491" s="1047"/>
      <c r="N491" s="1047"/>
      <c r="O491" s="1047"/>
      <c r="P491" s="1047"/>
      <c r="Q491" s="1047"/>
      <c r="R491" s="1053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s="1024" customFormat="1">
      <c r="A492" s="1050"/>
      <c r="B492" s="1044"/>
      <c r="C492" s="1044"/>
      <c r="D492" s="1044"/>
      <c r="E492" s="142"/>
      <c r="F492" s="142"/>
      <c r="G492" s="142"/>
      <c r="H492" s="142"/>
      <c r="I492" s="1047"/>
      <c r="J492" s="1047"/>
      <c r="K492" s="1053"/>
      <c r="L492" s="1047"/>
      <c r="M492" s="1047"/>
      <c r="N492" s="1047"/>
      <c r="O492" s="1047"/>
      <c r="P492" s="1047"/>
      <c r="Q492" s="1047"/>
      <c r="R492" s="1053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s="1024" customFormat="1">
      <c r="A493" s="1050"/>
      <c r="B493" s="1044"/>
      <c r="C493" s="1044"/>
      <c r="D493" s="1044"/>
      <c r="E493" s="142"/>
      <c r="F493" s="142"/>
      <c r="G493" s="142"/>
      <c r="H493" s="142"/>
      <c r="I493" s="1047"/>
      <c r="J493" s="1047"/>
      <c r="K493" s="1053"/>
      <c r="L493" s="1047"/>
      <c r="M493" s="1047"/>
      <c r="N493" s="1047"/>
      <c r="O493" s="1047"/>
      <c r="P493" s="1047"/>
      <c r="Q493" s="1047"/>
      <c r="R493" s="1053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s="1024" customFormat="1">
      <c r="A494" s="1050"/>
      <c r="B494" s="1044"/>
      <c r="C494" s="1044"/>
      <c r="D494" s="1044"/>
      <c r="E494" s="142"/>
      <c r="F494" s="142"/>
      <c r="G494" s="142"/>
      <c r="H494" s="142"/>
      <c r="I494" s="1047"/>
      <c r="J494" s="1047"/>
      <c r="K494" s="1053"/>
      <c r="L494" s="1047"/>
      <c r="M494" s="1047"/>
      <c r="N494" s="1047"/>
      <c r="O494" s="1047"/>
      <c r="P494" s="1047"/>
      <c r="Q494" s="1047"/>
      <c r="R494" s="1053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s="1024" customFormat="1">
      <c r="A495" s="1050"/>
      <c r="B495" s="1044"/>
      <c r="C495" s="1044"/>
      <c r="D495" s="1044"/>
      <c r="E495" s="142"/>
      <c r="F495" s="142"/>
      <c r="G495" s="142"/>
      <c r="H495" s="142"/>
      <c r="I495" s="1047"/>
      <c r="J495" s="1047"/>
      <c r="K495" s="1053"/>
      <c r="L495" s="1047"/>
      <c r="M495" s="1047"/>
      <c r="N495" s="1047"/>
      <c r="O495" s="1047"/>
      <c r="P495" s="1047"/>
      <c r="Q495" s="1047"/>
      <c r="R495" s="1053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s="1024" customFormat="1">
      <c r="A496" s="1050"/>
      <c r="B496" s="1044"/>
      <c r="C496" s="1044"/>
      <c r="D496" s="1044"/>
      <c r="E496" s="142"/>
      <c r="F496" s="142"/>
      <c r="G496" s="142"/>
      <c r="H496" s="142"/>
      <c r="I496" s="1047"/>
      <c r="J496" s="1047"/>
      <c r="K496" s="1053"/>
      <c r="L496" s="1047"/>
      <c r="M496" s="1047"/>
      <c r="N496" s="1047"/>
      <c r="O496" s="1047"/>
      <c r="P496" s="1047"/>
      <c r="Q496" s="1047"/>
      <c r="R496" s="1053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s="1024" customFormat="1">
      <c r="A497" s="1050"/>
      <c r="B497" s="1044"/>
      <c r="C497" s="1044"/>
      <c r="D497" s="1044"/>
      <c r="E497" s="142"/>
      <c r="F497" s="142"/>
      <c r="G497" s="142"/>
      <c r="H497" s="142"/>
      <c r="I497" s="1047"/>
      <c r="J497" s="1047"/>
      <c r="K497" s="1053"/>
      <c r="L497" s="1047"/>
      <c r="M497" s="1047"/>
      <c r="N497" s="1047"/>
      <c r="O497" s="1047"/>
      <c r="P497" s="1047"/>
      <c r="Q497" s="1047"/>
      <c r="R497" s="1053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s="1024" customFormat="1">
      <c r="A498" s="1050"/>
      <c r="B498" s="1044"/>
      <c r="C498" s="1044"/>
      <c r="D498" s="1044"/>
      <c r="E498" s="142"/>
      <c r="F498" s="142"/>
      <c r="G498" s="142"/>
      <c r="H498" s="142"/>
      <c r="I498" s="1047"/>
      <c r="J498" s="1047"/>
      <c r="K498" s="1053"/>
      <c r="L498" s="1047"/>
      <c r="M498" s="1047"/>
      <c r="N498" s="1047"/>
      <c r="O498" s="1047"/>
      <c r="P498" s="1047"/>
      <c r="Q498" s="1047"/>
      <c r="R498" s="1053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s="1024" customFormat="1">
      <c r="A499" s="1050"/>
      <c r="B499" s="1044"/>
      <c r="C499" s="1044"/>
      <c r="D499" s="1044"/>
      <c r="E499" s="142"/>
      <c r="F499" s="142"/>
      <c r="G499" s="142"/>
      <c r="H499" s="142"/>
      <c r="I499" s="1047"/>
      <c r="J499" s="1047"/>
      <c r="K499" s="1053"/>
      <c r="L499" s="1047"/>
      <c r="M499" s="1047"/>
      <c r="N499" s="1047"/>
      <c r="O499" s="1047"/>
      <c r="P499" s="1047"/>
      <c r="Q499" s="1047"/>
      <c r="R499" s="1053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s="1024" customFormat="1">
      <c r="A500" s="1050"/>
      <c r="B500" s="1044"/>
      <c r="C500" s="1044"/>
      <c r="D500" s="1044"/>
      <c r="E500" s="142"/>
      <c r="F500" s="142"/>
      <c r="G500" s="142"/>
      <c r="H500" s="142"/>
      <c r="I500" s="1047"/>
      <c r="J500" s="1047"/>
      <c r="K500" s="1053"/>
      <c r="L500" s="1047"/>
      <c r="M500" s="1047"/>
      <c r="N500" s="1047"/>
      <c r="O500" s="1047"/>
      <c r="P500" s="1047"/>
      <c r="Q500" s="1047"/>
      <c r="R500" s="1053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s="1024" customFormat="1">
      <c r="A501" s="1050"/>
      <c r="B501" s="1044"/>
      <c r="C501" s="1044"/>
      <c r="D501" s="1044"/>
      <c r="E501" s="142"/>
      <c r="F501" s="142"/>
      <c r="G501" s="142"/>
      <c r="H501" s="142"/>
      <c r="I501" s="1047"/>
      <c r="J501" s="1047"/>
      <c r="K501" s="1053"/>
      <c r="L501" s="1047"/>
      <c r="M501" s="1047"/>
      <c r="N501" s="1047"/>
      <c r="O501" s="1047"/>
      <c r="P501" s="1047"/>
      <c r="Q501" s="1047"/>
      <c r="R501" s="1053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s="1024" customFormat="1">
      <c r="A502" s="1050"/>
      <c r="B502" s="1044"/>
      <c r="C502" s="1044"/>
      <c r="D502" s="1044"/>
      <c r="E502" s="142"/>
      <c r="F502" s="142"/>
      <c r="G502" s="142"/>
      <c r="H502" s="142"/>
      <c r="I502" s="1047"/>
      <c r="J502" s="1047"/>
      <c r="K502" s="1053"/>
      <c r="L502" s="1047"/>
      <c r="M502" s="1047"/>
      <c r="N502" s="1047"/>
      <c r="O502" s="1047"/>
      <c r="P502" s="1047"/>
      <c r="Q502" s="1047"/>
      <c r="R502" s="1053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s="1024" customFormat="1">
      <c r="A503" s="1050"/>
      <c r="B503" s="1044"/>
      <c r="C503" s="1044"/>
      <c r="D503" s="1044"/>
      <c r="E503" s="142"/>
      <c r="F503" s="142"/>
      <c r="G503" s="142"/>
      <c r="H503" s="142"/>
      <c r="I503" s="1047"/>
      <c r="J503" s="1047"/>
      <c r="K503" s="1053"/>
      <c r="L503" s="1047"/>
      <c r="M503" s="1047"/>
      <c r="N503" s="1047"/>
      <c r="O503" s="1047"/>
      <c r="P503" s="1047"/>
      <c r="Q503" s="1047"/>
      <c r="R503" s="1053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s="1024" customFormat="1">
      <c r="A504" s="1050"/>
      <c r="B504" s="1044"/>
      <c r="C504" s="1044"/>
      <c r="D504" s="1044"/>
      <c r="E504" s="142"/>
      <c r="F504" s="142"/>
      <c r="G504" s="142"/>
      <c r="H504" s="142"/>
      <c r="I504" s="1047"/>
      <c r="J504" s="1047"/>
      <c r="K504" s="1053"/>
      <c r="L504" s="1047"/>
      <c r="M504" s="1047"/>
      <c r="N504" s="1047"/>
      <c r="O504" s="1047"/>
      <c r="P504" s="1047"/>
      <c r="Q504" s="1047"/>
      <c r="R504" s="1053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s="1024" customFormat="1">
      <c r="A505" s="1050"/>
      <c r="B505" s="1044"/>
      <c r="C505" s="1044"/>
      <c r="D505" s="1044"/>
      <c r="E505" s="142"/>
      <c r="F505" s="142"/>
      <c r="G505" s="142"/>
      <c r="H505" s="142"/>
      <c r="I505" s="1047"/>
      <c r="J505" s="1047"/>
      <c r="K505" s="1053"/>
      <c r="L505" s="1047"/>
      <c r="M505" s="1047"/>
      <c r="N505" s="1047"/>
      <c r="O505" s="1047"/>
      <c r="P505" s="1047"/>
      <c r="Q505" s="1047"/>
      <c r="R505" s="1053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s="1024" customFormat="1">
      <c r="A506" s="1050"/>
      <c r="B506" s="1044"/>
      <c r="C506" s="1044"/>
      <c r="D506" s="1044"/>
      <c r="E506" s="142"/>
      <c r="F506" s="142"/>
      <c r="G506" s="142"/>
      <c r="H506" s="142"/>
      <c r="I506" s="1047"/>
      <c r="J506" s="1047"/>
      <c r="K506" s="1053"/>
      <c r="L506" s="1047"/>
      <c r="M506" s="1047"/>
      <c r="N506" s="1047"/>
      <c r="O506" s="1047"/>
      <c r="P506" s="1047"/>
      <c r="Q506" s="1047"/>
      <c r="R506" s="1053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s="1024" customFormat="1">
      <c r="A507" s="1050"/>
      <c r="B507" s="1044"/>
      <c r="C507" s="1044"/>
      <c r="D507" s="1044"/>
      <c r="E507" s="142"/>
      <c r="F507" s="142"/>
      <c r="G507" s="142"/>
      <c r="H507" s="142"/>
      <c r="I507" s="1047"/>
      <c r="J507" s="1047"/>
      <c r="K507" s="1053"/>
      <c r="L507" s="1047"/>
      <c r="M507" s="1047"/>
      <c r="N507" s="1047"/>
      <c r="O507" s="1047"/>
      <c r="P507" s="1047"/>
      <c r="Q507" s="1047"/>
      <c r="R507" s="1053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s="1024" customFormat="1">
      <c r="A508" s="1050"/>
      <c r="B508" s="1044"/>
      <c r="C508" s="1044"/>
      <c r="D508" s="1044"/>
      <c r="E508" s="142"/>
      <c r="F508" s="142"/>
      <c r="G508" s="142"/>
      <c r="H508" s="142"/>
      <c r="I508" s="1047"/>
      <c r="J508" s="1047"/>
      <c r="K508" s="1053"/>
      <c r="L508" s="1047"/>
      <c r="M508" s="1047"/>
      <c r="N508" s="1047"/>
      <c r="O508" s="1047"/>
      <c r="P508" s="1047"/>
      <c r="Q508" s="1047"/>
      <c r="R508" s="1053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s="1024" customFormat="1">
      <c r="A509" s="1050"/>
      <c r="B509" s="1044"/>
      <c r="C509" s="1044"/>
      <c r="D509" s="1044"/>
      <c r="E509" s="142"/>
      <c r="F509" s="142"/>
      <c r="G509" s="142"/>
      <c r="H509" s="142"/>
      <c r="I509" s="1047"/>
      <c r="J509" s="1047"/>
      <c r="K509" s="1053"/>
      <c r="L509" s="1047"/>
      <c r="M509" s="1047"/>
      <c r="N509" s="1047"/>
      <c r="O509" s="1047"/>
      <c r="P509" s="1047"/>
      <c r="Q509" s="1047"/>
      <c r="R509" s="1053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s="1024" customFormat="1">
      <c r="A510" s="1050"/>
      <c r="B510" s="1044"/>
      <c r="C510" s="1044"/>
      <c r="D510" s="1044"/>
      <c r="E510" s="142"/>
      <c r="F510" s="142"/>
      <c r="G510" s="142"/>
      <c r="H510" s="142"/>
      <c r="I510" s="1047"/>
      <c r="J510" s="1047"/>
      <c r="K510" s="1053"/>
      <c r="L510" s="1047"/>
      <c r="M510" s="1047"/>
      <c r="N510" s="1047"/>
      <c r="O510" s="1047"/>
      <c r="P510" s="1047"/>
      <c r="Q510" s="1047"/>
      <c r="R510" s="1053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s="1024" customFormat="1">
      <c r="A511" s="1050"/>
      <c r="B511" s="1044"/>
      <c r="C511" s="1044"/>
      <c r="D511" s="1044"/>
      <c r="E511" s="142"/>
      <c r="F511" s="142"/>
      <c r="G511" s="142"/>
      <c r="H511" s="142"/>
      <c r="I511" s="1047"/>
      <c r="J511" s="1047"/>
      <c r="K511" s="1053"/>
      <c r="L511" s="1047"/>
      <c r="M511" s="1047"/>
      <c r="N511" s="1047"/>
      <c r="O511" s="1047"/>
      <c r="P511" s="1047"/>
      <c r="Q511" s="1047"/>
      <c r="R511" s="1053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s="1024" customFormat="1">
      <c r="A512" s="1050"/>
      <c r="B512" s="1044"/>
      <c r="C512" s="1044"/>
      <c r="D512" s="1044"/>
      <c r="E512" s="142"/>
      <c r="F512" s="142"/>
      <c r="G512" s="142"/>
      <c r="H512" s="142"/>
      <c r="I512" s="1047"/>
      <c r="J512" s="1047"/>
      <c r="K512" s="1053"/>
      <c r="L512" s="1047"/>
      <c r="M512" s="1047"/>
      <c r="N512" s="1047"/>
      <c r="O512" s="1047"/>
      <c r="P512" s="1047"/>
      <c r="Q512" s="1047"/>
      <c r="R512" s="1053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s="1024" customFormat="1">
      <c r="A513" s="1050"/>
      <c r="B513" s="1044"/>
      <c r="C513" s="1044"/>
      <c r="D513" s="1044"/>
      <c r="E513" s="142"/>
      <c r="F513" s="142"/>
      <c r="G513" s="142"/>
      <c r="H513" s="142"/>
      <c r="I513" s="1047"/>
      <c r="J513" s="1047"/>
      <c r="K513" s="1053"/>
      <c r="L513" s="1047"/>
      <c r="M513" s="1047"/>
      <c r="N513" s="1047"/>
      <c r="O513" s="1047"/>
      <c r="P513" s="1047"/>
      <c r="Q513" s="1047"/>
      <c r="R513" s="1053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s="1024" customFormat="1">
      <c r="A514" s="1050"/>
      <c r="B514" s="1044"/>
      <c r="C514" s="1044"/>
      <c r="D514" s="1044"/>
      <c r="E514" s="142"/>
      <c r="F514" s="142"/>
      <c r="G514" s="142"/>
      <c r="H514" s="142"/>
      <c r="I514" s="1047"/>
      <c r="J514" s="1047"/>
      <c r="K514" s="1053"/>
      <c r="L514" s="1047"/>
      <c r="M514" s="1047"/>
      <c r="N514" s="1047"/>
      <c r="O514" s="1047"/>
      <c r="P514" s="1047"/>
      <c r="Q514" s="1047"/>
      <c r="R514" s="1053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s="1024" customFormat="1">
      <c r="A515" s="1050"/>
      <c r="B515" s="1044"/>
      <c r="C515" s="1044"/>
      <c r="D515" s="1044"/>
      <c r="E515" s="142"/>
      <c r="F515" s="142"/>
      <c r="G515" s="142"/>
      <c r="H515" s="142"/>
      <c r="I515" s="1047"/>
      <c r="J515" s="1047"/>
      <c r="K515" s="1053"/>
      <c r="L515" s="1047"/>
      <c r="M515" s="1047"/>
      <c r="N515" s="1047"/>
      <c r="O515" s="1047"/>
      <c r="P515" s="1047"/>
      <c r="Q515" s="1047"/>
      <c r="R515" s="1053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s="1024" customFormat="1">
      <c r="A516" s="1050"/>
      <c r="B516" s="1044"/>
      <c r="C516" s="1044"/>
      <c r="D516" s="1044"/>
      <c r="E516" s="142"/>
      <c r="F516" s="142"/>
      <c r="G516" s="142"/>
      <c r="H516" s="142"/>
      <c r="I516" s="1047"/>
      <c r="J516" s="1047"/>
      <c r="K516" s="1053"/>
      <c r="L516" s="1047"/>
      <c r="M516" s="1047"/>
      <c r="N516" s="1047"/>
      <c r="O516" s="1047"/>
      <c r="P516" s="1047"/>
      <c r="Q516" s="1047"/>
      <c r="R516" s="1053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s="1024" customFormat="1">
      <c r="A517" s="1050"/>
      <c r="B517" s="1044"/>
      <c r="C517" s="1044"/>
      <c r="D517" s="1044"/>
      <c r="E517" s="142"/>
      <c r="F517" s="142"/>
      <c r="G517" s="142"/>
      <c r="H517" s="142"/>
      <c r="I517" s="1047"/>
      <c r="J517" s="1047"/>
      <c r="K517" s="1053"/>
      <c r="L517" s="1047"/>
      <c r="M517" s="1047"/>
      <c r="N517" s="1047"/>
      <c r="O517" s="1047"/>
      <c r="P517" s="1047"/>
      <c r="Q517" s="1047"/>
      <c r="R517" s="1053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s="1024" customFormat="1">
      <c r="A518" s="1050"/>
      <c r="B518" s="1044"/>
      <c r="C518" s="1044"/>
      <c r="D518" s="1044"/>
      <c r="E518" s="142"/>
      <c r="F518" s="142"/>
      <c r="G518" s="142"/>
      <c r="H518" s="142"/>
      <c r="I518" s="1047"/>
      <c r="J518" s="1047"/>
      <c r="K518" s="1053"/>
      <c r="L518" s="1047"/>
      <c r="M518" s="1047"/>
      <c r="N518" s="1047"/>
      <c r="O518" s="1047"/>
      <c r="P518" s="1047"/>
      <c r="Q518" s="1047"/>
      <c r="R518" s="1053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  <row r="519" spans="1:43" s="1024" customFormat="1">
      <c r="A519" s="1050"/>
      <c r="B519" s="1044"/>
      <c r="C519" s="1044"/>
      <c r="D519" s="1044"/>
      <c r="E519" s="142"/>
      <c r="F519" s="142"/>
      <c r="G519" s="142"/>
      <c r="H519" s="142"/>
      <c r="I519" s="1047"/>
      <c r="J519" s="1047"/>
      <c r="K519" s="1053"/>
      <c r="L519" s="1047"/>
      <c r="M519" s="1047"/>
      <c r="N519" s="1047"/>
      <c r="O519" s="1047"/>
      <c r="P519" s="1047"/>
      <c r="Q519" s="1047"/>
      <c r="R519" s="1053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</row>
    <row r="520" spans="1:43" s="1024" customFormat="1">
      <c r="A520" s="1050"/>
      <c r="B520" s="1044"/>
      <c r="C520" s="1044"/>
      <c r="D520" s="1044"/>
      <c r="E520" s="142"/>
      <c r="F520" s="142"/>
      <c r="G520" s="142"/>
      <c r="H520" s="142"/>
      <c r="I520" s="1047"/>
      <c r="J520" s="1047"/>
      <c r="K520" s="1053"/>
      <c r="L520" s="1047"/>
      <c r="M520" s="1047"/>
      <c r="N520" s="1047"/>
      <c r="O520" s="1047"/>
      <c r="P520" s="1047"/>
      <c r="Q520" s="1047"/>
      <c r="R520" s="1053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</row>
    <row r="521" spans="1:43" s="1024" customFormat="1">
      <c r="A521" s="1050"/>
      <c r="B521" s="1044"/>
      <c r="C521" s="1044"/>
      <c r="D521" s="1044"/>
      <c r="E521" s="142"/>
      <c r="F521" s="142"/>
      <c r="G521" s="142"/>
      <c r="H521" s="142"/>
      <c r="I521" s="1047"/>
      <c r="J521" s="1047"/>
      <c r="K521" s="1053"/>
      <c r="L521" s="1047"/>
      <c r="M521" s="1047"/>
      <c r="N521" s="1047"/>
      <c r="O521" s="1047"/>
      <c r="P521" s="1047"/>
      <c r="Q521" s="1047"/>
      <c r="R521" s="1053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</row>
    <row r="522" spans="1:43" s="1024" customFormat="1">
      <c r="A522" s="1050"/>
      <c r="B522" s="1044"/>
      <c r="C522" s="1044"/>
      <c r="D522" s="1044"/>
      <c r="E522" s="142"/>
      <c r="F522" s="142"/>
      <c r="G522" s="142"/>
      <c r="H522" s="142"/>
      <c r="I522" s="1047"/>
      <c r="J522" s="1047"/>
      <c r="K522" s="1053"/>
      <c r="L522" s="1047"/>
      <c r="M522" s="1047"/>
      <c r="N522" s="1047"/>
      <c r="O522" s="1047"/>
      <c r="P522" s="1047"/>
      <c r="Q522" s="1047"/>
      <c r="R522" s="1053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</row>
    <row r="523" spans="1:43" s="1024" customFormat="1">
      <c r="A523" s="1050"/>
      <c r="B523" s="1044"/>
      <c r="C523" s="1044"/>
      <c r="D523" s="1044"/>
      <c r="E523" s="142"/>
      <c r="F523" s="142"/>
      <c r="G523" s="142"/>
      <c r="H523" s="142"/>
      <c r="I523" s="1047"/>
      <c r="J523" s="1047"/>
      <c r="K523" s="1053"/>
      <c r="L523" s="1047"/>
      <c r="M523" s="1047"/>
      <c r="N523" s="1047"/>
      <c r="O523" s="1047"/>
      <c r="P523" s="1047"/>
      <c r="Q523" s="1047"/>
      <c r="R523" s="1053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</row>
    <row r="524" spans="1:43" s="1024" customFormat="1">
      <c r="A524" s="1050"/>
      <c r="B524" s="1044"/>
      <c r="C524" s="1044"/>
      <c r="D524" s="1044"/>
      <c r="E524" s="142"/>
      <c r="F524" s="142"/>
      <c r="G524" s="142"/>
      <c r="H524" s="142"/>
      <c r="I524" s="1047"/>
      <c r="J524" s="1047"/>
      <c r="K524" s="1053"/>
      <c r="L524" s="1047"/>
      <c r="M524" s="1047"/>
      <c r="N524" s="1047"/>
      <c r="O524" s="1047"/>
      <c r="P524" s="1047"/>
      <c r="Q524" s="1047"/>
      <c r="R524" s="1053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</row>
    <row r="525" spans="1:43" s="1024" customFormat="1">
      <c r="A525" s="1050"/>
      <c r="B525" s="1044"/>
      <c r="C525" s="1044"/>
      <c r="D525" s="1044"/>
      <c r="E525" s="142"/>
      <c r="F525" s="142"/>
      <c r="G525" s="142"/>
      <c r="H525" s="142"/>
      <c r="I525" s="1047"/>
      <c r="J525" s="1047"/>
      <c r="K525" s="1053"/>
      <c r="L525" s="1047"/>
      <c r="M525" s="1047"/>
      <c r="N525" s="1047"/>
      <c r="O525" s="1047"/>
      <c r="P525" s="1047"/>
      <c r="Q525" s="1047"/>
      <c r="R525" s="1053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</row>
    <row r="526" spans="1:43" s="1024" customFormat="1">
      <c r="A526" s="1050"/>
      <c r="B526" s="1044"/>
      <c r="C526" s="1044"/>
      <c r="D526" s="1044"/>
      <c r="E526" s="142"/>
      <c r="F526" s="142"/>
      <c r="G526" s="142"/>
      <c r="H526" s="142"/>
      <c r="I526" s="1047"/>
      <c r="J526" s="1047"/>
      <c r="K526" s="1053"/>
      <c r="L526" s="1047"/>
      <c r="M526" s="1047"/>
      <c r="N526" s="1047"/>
      <c r="O526" s="1047"/>
      <c r="P526" s="1047"/>
      <c r="Q526" s="1047"/>
      <c r="R526" s="1053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</row>
    <row r="527" spans="1:43" s="1024" customFormat="1">
      <c r="A527" s="1050"/>
      <c r="B527" s="1044"/>
      <c r="C527" s="1044"/>
      <c r="D527" s="1044"/>
      <c r="E527" s="142"/>
      <c r="F527" s="142"/>
      <c r="G527" s="142"/>
      <c r="H527" s="142"/>
      <c r="I527" s="1047"/>
      <c r="J527" s="1047"/>
      <c r="K527" s="1053"/>
      <c r="L527" s="1047"/>
      <c r="M527" s="1047"/>
      <c r="N527" s="1047"/>
      <c r="O527" s="1047"/>
      <c r="P527" s="1047"/>
      <c r="Q527" s="1047"/>
      <c r="R527" s="1053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</row>
    <row r="528" spans="1:43" s="1024" customFormat="1">
      <c r="A528" s="1050"/>
      <c r="B528" s="1044"/>
      <c r="C528" s="1044"/>
      <c r="D528" s="1044"/>
      <c r="E528" s="142"/>
      <c r="F528" s="142"/>
      <c r="G528" s="142"/>
      <c r="H528" s="142"/>
      <c r="I528" s="1047"/>
      <c r="J528" s="1047"/>
      <c r="K528" s="1053"/>
      <c r="L528" s="1047"/>
      <c r="M528" s="1047"/>
      <c r="N528" s="1047"/>
      <c r="O528" s="1047"/>
      <c r="P528" s="1047"/>
      <c r="Q528" s="1047"/>
      <c r="R528" s="1053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</row>
    <row r="529" spans="1:43" s="1024" customFormat="1">
      <c r="A529" s="1050"/>
      <c r="B529" s="1044"/>
      <c r="C529" s="1044"/>
      <c r="D529" s="1044"/>
      <c r="E529" s="142"/>
      <c r="F529" s="142"/>
      <c r="G529" s="142"/>
      <c r="H529" s="142"/>
      <c r="I529" s="1047"/>
      <c r="J529" s="1047"/>
      <c r="K529" s="1053"/>
      <c r="L529" s="1047"/>
      <c r="M529" s="1047"/>
      <c r="N529" s="1047"/>
      <c r="O529" s="1047"/>
      <c r="P529" s="1047"/>
      <c r="Q529" s="1047"/>
      <c r="R529" s="1053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</row>
    <row r="530" spans="1:43" s="1024" customFormat="1">
      <c r="A530" s="1050"/>
      <c r="B530" s="1044"/>
      <c r="C530" s="1044"/>
      <c r="D530" s="1044"/>
      <c r="E530" s="142"/>
      <c r="F530" s="142"/>
      <c r="G530" s="142"/>
      <c r="H530" s="142"/>
      <c r="I530" s="1047"/>
      <c r="J530" s="1047"/>
      <c r="K530" s="1053"/>
      <c r="L530" s="1047"/>
      <c r="M530" s="1047"/>
      <c r="N530" s="1047"/>
      <c r="O530" s="1047"/>
      <c r="P530" s="1047"/>
      <c r="Q530" s="1047"/>
      <c r="R530" s="1053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</row>
    <row r="531" spans="1:43" s="1024" customFormat="1">
      <c r="A531" s="1050"/>
      <c r="B531" s="1044"/>
      <c r="C531" s="1044"/>
      <c r="D531" s="1044"/>
      <c r="E531" s="142"/>
      <c r="F531" s="142"/>
      <c r="G531" s="142"/>
      <c r="H531" s="142"/>
      <c r="I531" s="1047"/>
      <c r="J531" s="1047"/>
      <c r="K531" s="1053"/>
      <c r="L531" s="1047"/>
      <c r="M531" s="1047"/>
      <c r="N531" s="1047"/>
      <c r="O531" s="1047"/>
      <c r="P531" s="1047"/>
      <c r="Q531" s="1047"/>
      <c r="R531" s="1053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</row>
    <row r="532" spans="1:43" s="1024" customFormat="1">
      <c r="A532" s="1050"/>
      <c r="B532" s="1044"/>
      <c r="C532" s="1044"/>
      <c r="D532" s="1044"/>
      <c r="E532" s="142"/>
      <c r="F532" s="142"/>
      <c r="G532" s="142"/>
      <c r="H532" s="142"/>
      <c r="I532" s="1047"/>
      <c r="J532" s="1047"/>
      <c r="K532" s="1053"/>
      <c r="L532" s="1047"/>
      <c r="M532" s="1047"/>
      <c r="N532" s="1047"/>
      <c r="O532" s="1047"/>
      <c r="P532" s="1047"/>
      <c r="Q532" s="1047"/>
      <c r="R532" s="1053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</row>
    <row r="533" spans="1:43" s="1024" customFormat="1">
      <c r="A533" s="1050"/>
      <c r="B533" s="1044"/>
      <c r="C533" s="1044"/>
      <c r="D533" s="1044"/>
      <c r="E533" s="142"/>
      <c r="F533" s="142"/>
      <c r="G533" s="142"/>
      <c r="H533" s="142"/>
      <c r="I533" s="1047"/>
      <c r="J533" s="1047"/>
      <c r="K533" s="1053"/>
      <c r="L533" s="1047"/>
      <c r="M533" s="1047"/>
      <c r="N533" s="1047"/>
      <c r="O533" s="1047"/>
      <c r="P533" s="1047"/>
      <c r="Q533" s="1047"/>
      <c r="R533" s="1053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</row>
    <row r="534" spans="1:43" s="1024" customFormat="1">
      <c r="A534" s="1050"/>
      <c r="B534" s="1044"/>
      <c r="C534" s="1044"/>
      <c r="D534" s="1044"/>
      <c r="E534" s="142"/>
      <c r="F534" s="142"/>
      <c r="G534" s="142"/>
      <c r="H534" s="142"/>
      <c r="I534" s="1047"/>
      <c r="J534" s="1047"/>
      <c r="K534" s="1053"/>
      <c r="L534" s="1047"/>
      <c r="M534" s="1047"/>
      <c r="N534" s="1047"/>
      <c r="O534" s="1047"/>
      <c r="P534" s="1047"/>
      <c r="Q534" s="1047"/>
      <c r="R534" s="1053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</row>
    <row r="535" spans="1:43" s="1024" customFormat="1">
      <c r="A535" s="1050"/>
      <c r="B535" s="1044"/>
      <c r="C535" s="1044"/>
      <c r="D535" s="1044"/>
      <c r="E535" s="142"/>
      <c r="F535" s="142"/>
      <c r="G535" s="142"/>
      <c r="H535" s="142"/>
      <c r="I535" s="1047"/>
      <c r="J535" s="1047"/>
      <c r="K535" s="1053"/>
      <c r="L535" s="1047"/>
      <c r="M535" s="1047"/>
      <c r="N535" s="1047"/>
      <c r="O535" s="1047"/>
      <c r="P535" s="1047"/>
      <c r="Q535" s="1047"/>
      <c r="R535" s="1053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</row>
    <row r="536" spans="1:43" s="1024" customFormat="1">
      <c r="A536" s="1050"/>
      <c r="B536" s="1044"/>
      <c r="C536" s="1044"/>
      <c r="D536" s="1044"/>
      <c r="E536" s="142"/>
      <c r="F536" s="142"/>
      <c r="G536" s="142"/>
      <c r="H536" s="142"/>
      <c r="I536" s="1047"/>
      <c r="J536" s="1047"/>
      <c r="K536" s="1053"/>
      <c r="L536" s="1047"/>
      <c r="M536" s="1047"/>
      <c r="N536" s="1047"/>
      <c r="O536" s="1047"/>
      <c r="P536" s="1047"/>
      <c r="Q536" s="1047"/>
      <c r="R536" s="1053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</row>
    <row r="537" spans="1:43" s="1024" customFormat="1">
      <c r="A537" s="1050"/>
      <c r="B537" s="1044"/>
      <c r="C537" s="1044"/>
      <c r="D537" s="1044"/>
      <c r="E537" s="142"/>
      <c r="F537" s="142"/>
      <c r="G537" s="142"/>
      <c r="H537" s="142"/>
      <c r="I537" s="1047"/>
      <c r="J537" s="1047"/>
      <c r="K537" s="1053"/>
      <c r="L537" s="1047"/>
      <c r="M537" s="1047"/>
      <c r="N537" s="1047"/>
      <c r="O537" s="1047"/>
      <c r="P537" s="1047"/>
      <c r="Q537" s="1047"/>
      <c r="R537" s="1053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</row>
    <row r="538" spans="1:43" s="1024" customFormat="1">
      <c r="A538" s="1050"/>
      <c r="B538" s="1044"/>
      <c r="C538" s="1044"/>
      <c r="D538" s="1044"/>
      <c r="E538" s="142"/>
      <c r="F538" s="142"/>
      <c r="G538" s="142"/>
      <c r="H538" s="142"/>
      <c r="I538" s="1047"/>
      <c r="J538" s="1047"/>
      <c r="K538" s="1053"/>
      <c r="L538" s="1047"/>
      <c r="M538" s="1047"/>
      <c r="N538" s="1047"/>
      <c r="O538" s="1047"/>
      <c r="P538" s="1047"/>
      <c r="Q538" s="1047"/>
      <c r="R538" s="1053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</row>
    <row r="539" spans="1:43" s="1024" customFormat="1">
      <c r="A539" s="1050"/>
      <c r="B539" s="1044"/>
      <c r="C539" s="1044"/>
      <c r="D539" s="1044"/>
      <c r="E539" s="142"/>
      <c r="F539" s="142"/>
      <c r="G539" s="142"/>
      <c r="H539" s="142"/>
      <c r="I539" s="1047"/>
      <c r="J539" s="1047"/>
      <c r="K539" s="1053"/>
      <c r="L539" s="1047"/>
      <c r="M539" s="1047"/>
      <c r="N539" s="1047"/>
      <c r="O539" s="1047"/>
      <c r="P539" s="1047"/>
      <c r="Q539" s="1047"/>
      <c r="R539" s="1053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</row>
    <row r="540" spans="1:43" s="1024" customFormat="1">
      <c r="A540" s="1050"/>
      <c r="B540" s="1044"/>
      <c r="C540" s="1044"/>
      <c r="D540" s="1044"/>
      <c r="E540" s="142"/>
      <c r="F540" s="142"/>
      <c r="G540" s="142"/>
      <c r="H540" s="142"/>
      <c r="I540" s="1047"/>
      <c r="J540" s="1047"/>
      <c r="K540" s="1053"/>
      <c r="L540" s="1047"/>
      <c r="M540" s="1047"/>
      <c r="N540" s="1047"/>
      <c r="O540" s="1047"/>
      <c r="P540" s="1047"/>
      <c r="Q540" s="1047"/>
      <c r="R540" s="1053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</row>
    <row r="541" spans="1:43" s="1024" customFormat="1">
      <c r="A541" s="1050"/>
      <c r="B541" s="1044"/>
      <c r="C541" s="1044"/>
      <c r="D541" s="1044"/>
      <c r="E541" s="142"/>
      <c r="F541" s="142"/>
      <c r="G541" s="142"/>
      <c r="H541" s="142"/>
      <c r="I541" s="1047"/>
      <c r="J541" s="1047"/>
      <c r="K541" s="1053"/>
      <c r="L541" s="1047"/>
      <c r="M541" s="1047"/>
      <c r="N541" s="1047"/>
      <c r="O541" s="1047"/>
      <c r="P541" s="1047"/>
      <c r="Q541" s="1047"/>
      <c r="R541" s="1053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</row>
    <row r="542" spans="1:43" s="1024" customFormat="1">
      <c r="A542" s="1050"/>
      <c r="B542" s="1044"/>
      <c r="C542" s="1044"/>
      <c r="D542" s="1044"/>
      <c r="E542" s="142"/>
      <c r="F542" s="142"/>
      <c r="G542" s="142"/>
      <c r="H542" s="142"/>
      <c r="I542" s="1047"/>
      <c r="J542" s="1047"/>
      <c r="K542" s="1053"/>
      <c r="L542" s="1047"/>
      <c r="M542" s="1047"/>
      <c r="N542" s="1047"/>
      <c r="O542" s="1047"/>
      <c r="P542" s="1047"/>
      <c r="Q542" s="1047"/>
      <c r="R542" s="1053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</row>
    <row r="543" spans="1:43" s="1024" customFormat="1">
      <c r="A543" s="1050"/>
      <c r="B543" s="1044"/>
      <c r="C543" s="1044"/>
      <c r="D543" s="1044"/>
      <c r="E543" s="142"/>
      <c r="F543" s="142"/>
      <c r="G543" s="142"/>
      <c r="H543" s="142"/>
      <c r="I543" s="1047"/>
      <c r="J543" s="1047"/>
      <c r="K543" s="1053"/>
      <c r="L543" s="1047"/>
      <c r="M543" s="1047"/>
      <c r="N543" s="1047"/>
      <c r="O543" s="1047"/>
      <c r="P543" s="1047"/>
      <c r="Q543" s="1047"/>
      <c r="R543" s="1053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</row>
    <row r="544" spans="1:43" s="1024" customFormat="1">
      <c r="A544" s="1050"/>
      <c r="B544" s="1044"/>
      <c r="C544" s="1044"/>
      <c r="D544" s="1044"/>
      <c r="E544" s="142"/>
      <c r="F544" s="142"/>
      <c r="G544" s="142"/>
      <c r="H544" s="142"/>
      <c r="I544" s="1047"/>
      <c r="J544" s="1047"/>
      <c r="K544" s="1053"/>
      <c r="L544" s="1047"/>
      <c r="M544" s="1047"/>
      <c r="N544" s="1047"/>
      <c r="O544" s="1047"/>
      <c r="P544" s="1047"/>
      <c r="Q544" s="1047"/>
      <c r="R544" s="1053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</row>
    <row r="545" spans="1:43" s="1024" customFormat="1">
      <c r="A545" s="1050"/>
      <c r="B545" s="1044"/>
      <c r="C545" s="1044"/>
      <c r="D545" s="1044"/>
      <c r="E545" s="142"/>
      <c r="F545" s="142"/>
      <c r="G545" s="142"/>
      <c r="H545" s="142"/>
      <c r="I545" s="1047"/>
      <c r="J545" s="1047"/>
      <c r="K545" s="1053"/>
      <c r="L545" s="1047"/>
      <c r="M545" s="1047"/>
      <c r="N545" s="1047"/>
      <c r="O545" s="1047"/>
      <c r="P545" s="1047"/>
      <c r="Q545" s="1047"/>
      <c r="R545" s="1053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</row>
    <row r="546" spans="1:43" s="1024" customFormat="1">
      <c r="A546" s="1050"/>
      <c r="B546" s="1044"/>
      <c r="C546" s="1044"/>
      <c r="D546" s="1044"/>
      <c r="E546" s="142"/>
      <c r="F546" s="142"/>
      <c r="G546" s="142"/>
      <c r="H546" s="142"/>
      <c r="I546" s="1047"/>
      <c r="J546" s="1047"/>
      <c r="K546" s="1053"/>
      <c r="L546" s="1047"/>
      <c r="M546" s="1047"/>
      <c r="N546" s="1047"/>
      <c r="O546" s="1047"/>
      <c r="P546" s="1047"/>
      <c r="Q546" s="1047"/>
      <c r="R546" s="1053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</row>
    <row r="547" spans="1:43" s="1024" customFormat="1">
      <c r="A547" s="1050"/>
      <c r="B547" s="1044"/>
      <c r="C547" s="1044"/>
      <c r="D547" s="1044"/>
      <c r="E547" s="142"/>
      <c r="F547" s="142"/>
      <c r="G547" s="142"/>
      <c r="H547" s="142"/>
      <c r="I547" s="1047"/>
      <c r="J547" s="1047"/>
      <c r="K547" s="1053"/>
      <c r="L547" s="1047"/>
      <c r="M547" s="1047"/>
      <c r="N547" s="1047"/>
      <c r="O547" s="1047"/>
      <c r="P547" s="1047"/>
      <c r="Q547" s="1047"/>
      <c r="R547" s="1053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</row>
    <row r="548" spans="1:43" s="1024" customFormat="1">
      <c r="A548" s="1050"/>
      <c r="B548" s="1044"/>
      <c r="C548" s="1044"/>
      <c r="D548" s="1044"/>
      <c r="E548" s="142"/>
      <c r="F548" s="142"/>
      <c r="G548" s="142"/>
      <c r="H548" s="142"/>
      <c r="I548" s="1047"/>
      <c r="J548" s="1047"/>
      <c r="K548" s="1053"/>
      <c r="L548" s="1047"/>
      <c r="M548" s="1047"/>
      <c r="N548" s="1047"/>
      <c r="O548" s="1047"/>
      <c r="P548" s="1047"/>
      <c r="Q548" s="1047"/>
      <c r="R548" s="1053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</row>
    <row r="549" spans="1:43" s="1024" customFormat="1">
      <c r="A549" s="1050"/>
      <c r="B549" s="1044"/>
      <c r="C549" s="1044"/>
      <c r="D549" s="1044"/>
      <c r="E549" s="142"/>
      <c r="F549" s="142"/>
      <c r="G549" s="142"/>
      <c r="H549" s="142"/>
      <c r="I549" s="1047"/>
      <c r="J549" s="1047"/>
      <c r="K549" s="1053"/>
      <c r="L549" s="1047"/>
      <c r="M549" s="1047"/>
      <c r="N549" s="1047"/>
      <c r="O549" s="1047"/>
      <c r="P549" s="1047"/>
      <c r="Q549" s="1047"/>
      <c r="R549" s="1053"/>
      <c r="S549" s="1047"/>
      <c r="T549" s="1047"/>
      <c r="U549" s="1047"/>
      <c r="V549" s="1047"/>
      <c r="W549" s="1047"/>
      <c r="X549" s="1047"/>
      <c r="Y549" s="1047"/>
      <c r="Z549" s="1047"/>
      <c r="AA549" s="1047"/>
      <c r="AB549" s="1047"/>
      <c r="AC549" s="1047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</row>
    <row r="550" spans="1:43" s="1024" customFormat="1">
      <c r="A550" s="1050"/>
      <c r="B550" s="1044"/>
      <c r="C550" s="1044"/>
      <c r="D550" s="1044"/>
      <c r="E550" s="142"/>
      <c r="F550" s="142"/>
      <c r="G550" s="142"/>
      <c r="H550" s="142"/>
      <c r="I550" s="1047"/>
      <c r="J550" s="1047"/>
      <c r="K550" s="1053"/>
      <c r="L550" s="1047"/>
      <c r="M550" s="1047"/>
      <c r="N550" s="1047"/>
      <c r="O550" s="1047"/>
      <c r="P550" s="1047"/>
      <c r="Q550" s="1047"/>
      <c r="R550" s="1053"/>
      <c r="S550" s="1047"/>
      <c r="T550" s="1047"/>
      <c r="U550" s="1047"/>
      <c r="V550" s="1047"/>
      <c r="W550" s="1047"/>
      <c r="X550" s="1047"/>
      <c r="Y550" s="1047"/>
      <c r="Z550" s="1047"/>
      <c r="AA550" s="1047"/>
      <c r="AB550" s="1047"/>
      <c r="AC550" s="1047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</row>
    <row r="551" spans="1:43" s="1024" customFormat="1">
      <c r="A551" s="1050"/>
      <c r="B551" s="1044"/>
      <c r="C551" s="1044"/>
      <c r="D551" s="1044"/>
      <c r="E551" s="142"/>
      <c r="F551" s="142"/>
      <c r="G551" s="142"/>
      <c r="H551" s="142"/>
      <c r="I551" s="1047"/>
      <c r="J551" s="1047"/>
      <c r="K551" s="1053"/>
      <c r="L551" s="1047"/>
      <c r="M551" s="1047"/>
      <c r="N551" s="1047"/>
      <c r="O551" s="1047"/>
      <c r="P551" s="1047"/>
      <c r="Q551" s="1047"/>
      <c r="R551" s="1053"/>
      <c r="S551" s="1047"/>
      <c r="T551" s="1047"/>
      <c r="U551" s="1047"/>
      <c r="V551" s="1047"/>
      <c r="W551" s="1047"/>
      <c r="X551" s="1047"/>
      <c r="Y551" s="1047"/>
      <c r="Z551" s="1047"/>
      <c r="AA551" s="1047"/>
      <c r="AB551" s="1047"/>
      <c r="AC551" s="1047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</row>
    <row r="552" spans="1:43" s="1024" customFormat="1">
      <c r="A552" s="1050"/>
      <c r="B552" s="1044"/>
      <c r="C552" s="1044"/>
      <c r="D552" s="1044"/>
      <c r="E552" s="142"/>
      <c r="F552" s="142"/>
      <c r="G552" s="142"/>
      <c r="H552" s="142"/>
      <c r="I552" s="1047"/>
      <c r="J552" s="1047"/>
      <c r="K552" s="1053"/>
      <c r="L552" s="1047"/>
      <c r="M552" s="1047"/>
      <c r="N552" s="1047"/>
      <c r="O552" s="1047"/>
      <c r="P552" s="1047"/>
      <c r="Q552" s="1047"/>
      <c r="R552" s="1053"/>
      <c r="S552" s="1047"/>
      <c r="T552" s="1047"/>
      <c r="U552" s="1047"/>
      <c r="V552" s="1047"/>
      <c r="W552" s="1047"/>
      <c r="X552" s="1047"/>
      <c r="Y552" s="1047"/>
      <c r="Z552" s="1047"/>
      <c r="AA552" s="1047"/>
      <c r="AB552" s="1047"/>
      <c r="AC552" s="1047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</row>
    <row r="553" spans="1:43" s="1024" customFormat="1">
      <c r="A553" s="1050"/>
      <c r="B553" s="1044"/>
      <c r="C553" s="1044"/>
      <c r="D553" s="1044"/>
      <c r="E553" s="142"/>
      <c r="F553" s="142"/>
      <c r="G553" s="142"/>
      <c r="H553" s="142"/>
      <c r="I553" s="1047"/>
      <c r="J553" s="1047"/>
      <c r="K553" s="1053"/>
      <c r="L553" s="1047"/>
      <c r="M553" s="1047"/>
      <c r="N553" s="1047"/>
      <c r="O553" s="1047"/>
      <c r="P553" s="1047"/>
      <c r="Q553" s="1047"/>
      <c r="R553" s="1053"/>
      <c r="S553" s="1047"/>
      <c r="T553" s="1047"/>
      <c r="U553" s="1047"/>
      <c r="V553" s="1047"/>
      <c r="W553" s="1047"/>
      <c r="X553" s="1047"/>
      <c r="Y553" s="1047"/>
      <c r="Z553" s="1047"/>
      <c r="AA553" s="1047"/>
      <c r="AB553" s="1047"/>
      <c r="AC553" s="1047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</row>
    <row r="554" spans="1:43" s="1024" customFormat="1">
      <c r="A554" s="1050"/>
      <c r="B554" s="1044"/>
      <c r="C554" s="1044"/>
      <c r="D554" s="1044"/>
      <c r="E554" s="142"/>
      <c r="F554" s="142"/>
      <c r="G554" s="142"/>
      <c r="H554" s="142"/>
      <c r="I554" s="1047"/>
      <c r="J554" s="1047"/>
      <c r="K554" s="1053"/>
      <c r="L554" s="1047"/>
      <c r="M554" s="1047"/>
      <c r="N554" s="1047"/>
      <c r="O554" s="1047"/>
      <c r="P554" s="1047"/>
      <c r="Q554" s="1047"/>
      <c r="R554" s="1053"/>
      <c r="S554" s="1047"/>
      <c r="T554" s="1047"/>
      <c r="U554" s="1047"/>
      <c r="V554" s="1047"/>
      <c r="W554" s="1047"/>
      <c r="X554" s="1047"/>
      <c r="Y554" s="1047"/>
      <c r="Z554" s="1047"/>
      <c r="AA554" s="1047"/>
      <c r="AB554" s="1047"/>
      <c r="AC554" s="1047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</row>
    <row r="555" spans="1:43" s="1024" customFormat="1">
      <c r="A555" s="1050"/>
      <c r="B555" s="1044"/>
      <c r="C555" s="1044"/>
      <c r="D555" s="1044"/>
      <c r="E555" s="142"/>
      <c r="F555" s="142"/>
      <c r="G555" s="142"/>
      <c r="H555" s="142"/>
      <c r="I555" s="1047"/>
      <c r="J555" s="1047"/>
      <c r="K555" s="1053"/>
      <c r="L555" s="1047"/>
      <c r="M555" s="1047"/>
      <c r="N555" s="1047"/>
      <c r="O555" s="1047"/>
      <c r="P555" s="1047"/>
      <c r="Q555" s="1047"/>
      <c r="R555" s="1053"/>
      <c r="S555" s="1047"/>
      <c r="T555" s="1047"/>
      <c r="U555" s="1047"/>
      <c r="V555" s="1047"/>
      <c r="W555" s="1047"/>
      <c r="X555" s="1047"/>
      <c r="Y555" s="1047"/>
      <c r="Z555" s="1047"/>
      <c r="AA555" s="1047"/>
      <c r="AB555" s="1047"/>
      <c r="AC555" s="1047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</row>
    <row r="556" spans="1:43" s="1024" customFormat="1">
      <c r="A556" s="1050"/>
      <c r="B556" s="1044"/>
      <c r="C556" s="1044"/>
      <c r="D556" s="1044"/>
      <c r="E556" s="142"/>
      <c r="F556" s="142"/>
      <c r="G556" s="142"/>
      <c r="H556" s="142"/>
      <c r="I556" s="1047"/>
      <c r="J556" s="1047"/>
      <c r="K556" s="1053"/>
      <c r="L556" s="1047"/>
      <c r="M556" s="1047"/>
      <c r="N556" s="1047"/>
      <c r="O556" s="1047"/>
      <c r="P556" s="1047"/>
      <c r="Q556" s="1047"/>
      <c r="R556" s="1053"/>
      <c r="S556" s="1047"/>
      <c r="T556" s="1047"/>
      <c r="U556" s="1047"/>
      <c r="V556" s="1047"/>
      <c r="W556" s="1047"/>
      <c r="X556" s="1047"/>
      <c r="Y556" s="1047"/>
      <c r="Z556" s="1047"/>
      <c r="AA556" s="1047"/>
      <c r="AB556" s="1047"/>
      <c r="AC556" s="1047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</row>
    <row r="557" spans="1:43" s="1024" customFormat="1">
      <c r="A557" s="1050"/>
      <c r="B557" s="1044"/>
      <c r="C557" s="1044"/>
      <c r="D557" s="1044"/>
      <c r="E557" s="142"/>
      <c r="F557" s="142"/>
      <c r="G557" s="142"/>
      <c r="H557" s="142"/>
      <c r="I557" s="1047"/>
      <c r="J557" s="1047"/>
      <c r="K557" s="1053"/>
      <c r="L557" s="1047"/>
      <c r="M557" s="1047"/>
      <c r="N557" s="1047"/>
      <c r="O557" s="1047"/>
      <c r="P557" s="1047"/>
      <c r="Q557" s="1047"/>
      <c r="R557" s="1053"/>
      <c r="S557" s="1047"/>
      <c r="T557" s="1047"/>
      <c r="U557" s="1047"/>
      <c r="V557" s="1047"/>
      <c r="W557" s="1047"/>
      <c r="X557" s="1047"/>
      <c r="Y557" s="1047"/>
      <c r="Z557" s="1047"/>
      <c r="AA557" s="1047"/>
      <c r="AB557" s="1047"/>
      <c r="AC557" s="1047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</row>
    <row r="558" spans="1:43" s="1024" customFormat="1">
      <c r="A558" s="1050"/>
      <c r="B558" s="1044"/>
      <c r="C558" s="1044"/>
      <c r="D558" s="1044"/>
      <c r="E558" s="142"/>
      <c r="F558" s="142"/>
      <c r="G558" s="142"/>
      <c r="H558" s="142"/>
      <c r="I558" s="1047"/>
      <c r="J558" s="1047"/>
      <c r="K558" s="1053"/>
      <c r="L558" s="1047"/>
      <c r="M558" s="1047"/>
      <c r="N558" s="1047"/>
      <c r="O558" s="1047"/>
      <c r="P558" s="1047"/>
      <c r="Q558" s="1047"/>
      <c r="R558" s="1053"/>
      <c r="S558" s="1047"/>
      <c r="T558" s="1047"/>
      <c r="U558" s="1047"/>
      <c r="V558" s="1047"/>
      <c r="W558" s="1047"/>
      <c r="X558" s="1047"/>
      <c r="Y558" s="1047"/>
      <c r="Z558" s="1047"/>
      <c r="AA558" s="1047"/>
      <c r="AB558" s="1047"/>
      <c r="AC558" s="1047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</row>
    <row r="559" spans="1:43" s="1024" customFormat="1">
      <c r="A559" s="1050"/>
      <c r="B559" s="1044"/>
      <c r="C559" s="1044"/>
      <c r="D559" s="1044"/>
      <c r="E559" s="142"/>
      <c r="F559" s="142"/>
      <c r="G559" s="142"/>
      <c r="H559" s="142"/>
      <c r="I559" s="1047"/>
      <c r="J559" s="1047"/>
      <c r="K559" s="1053"/>
      <c r="L559" s="1047"/>
      <c r="M559" s="1047"/>
      <c r="N559" s="1047"/>
      <c r="O559" s="1047"/>
      <c r="P559" s="1047"/>
      <c r="Q559" s="1047"/>
      <c r="R559" s="1053"/>
      <c r="S559" s="1047"/>
      <c r="T559" s="1047"/>
      <c r="U559" s="1047"/>
      <c r="V559" s="1047"/>
      <c r="W559" s="1047"/>
      <c r="X559" s="1047"/>
      <c r="Y559" s="1047"/>
      <c r="Z559" s="1047"/>
      <c r="AA559" s="1047"/>
      <c r="AB559" s="1047"/>
      <c r="AC559" s="1047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</row>
    <row r="560" spans="1:43" s="1024" customFormat="1">
      <c r="A560" s="1050"/>
      <c r="B560" s="1044"/>
      <c r="C560" s="1044"/>
      <c r="D560" s="1044"/>
      <c r="E560" s="142"/>
      <c r="F560" s="142"/>
      <c r="G560" s="142"/>
      <c r="H560" s="142"/>
      <c r="I560" s="1047"/>
      <c r="J560" s="1047"/>
      <c r="K560" s="1053"/>
      <c r="L560" s="1047"/>
      <c r="M560" s="1047"/>
      <c r="N560" s="1047"/>
      <c r="O560" s="1047"/>
      <c r="P560" s="1047"/>
      <c r="Q560" s="1047"/>
      <c r="R560" s="1053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047"/>
      <c r="AC560" s="1047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</row>
    <row r="561" spans="1:43" s="1024" customFormat="1">
      <c r="A561" s="1050"/>
      <c r="B561" s="1044"/>
      <c r="C561" s="1044"/>
      <c r="D561" s="1044"/>
      <c r="E561" s="142"/>
      <c r="F561" s="142"/>
      <c r="G561" s="142"/>
      <c r="H561" s="142"/>
      <c r="I561" s="1047"/>
      <c r="J561" s="1047"/>
      <c r="K561" s="1053"/>
      <c r="L561" s="1047"/>
      <c r="M561" s="1047"/>
      <c r="N561" s="1047"/>
      <c r="O561" s="1047"/>
      <c r="P561" s="1047"/>
      <c r="Q561" s="1047"/>
      <c r="R561" s="1053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047"/>
      <c r="AC561" s="1047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</row>
    <row r="562" spans="1:43" s="1024" customFormat="1">
      <c r="A562" s="1050"/>
      <c r="B562" s="1044"/>
      <c r="C562" s="1044"/>
      <c r="D562" s="1044"/>
      <c r="E562" s="142"/>
      <c r="F562" s="142"/>
      <c r="G562" s="142"/>
      <c r="H562" s="142"/>
      <c r="I562" s="1047"/>
      <c r="J562" s="1047"/>
      <c r="K562" s="1053"/>
      <c r="L562" s="1047"/>
      <c r="M562" s="1047"/>
      <c r="N562" s="1047"/>
      <c r="O562" s="1047"/>
      <c r="P562" s="1047"/>
      <c r="Q562" s="1047"/>
      <c r="R562" s="1053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047"/>
      <c r="AC562" s="1047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</row>
    <row r="563" spans="1:43" s="1024" customFormat="1">
      <c r="A563" s="1050"/>
      <c r="B563" s="1044"/>
      <c r="C563" s="1044"/>
      <c r="D563" s="1044"/>
      <c r="E563" s="142"/>
      <c r="F563" s="142"/>
      <c r="G563" s="142"/>
      <c r="H563" s="142"/>
      <c r="I563" s="1047"/>
      <c r="J563" s="1047"/>
      <c r="K563" s="1053"/>
      <c r="L563" s="1047"/>
      <c r="M563" s="1047"/>
      <c r="N563" s="1047"/>
      <c r="O563" s="1047"/>
      <c r="P563" s="1047"/>
      <c r="Q563" s="1047"/>
      <c r="R563" s="1053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047"/>
      <c r="AC563" s="1047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</row>
    <row r="564" spans="1:43" s="1024" customFormat="1">
      <c r="A564" s="1050"/>
      <c r="B564" s="1044"/>
      <c r="C564" s="1044"/>
      <c r="D564" s="1044"/>
      <c r="E564" s="142"/>
      <c r="F564" s="142"/>
      <c r="G564" s="142"/>
      <c r="H564" s="142"/>
      <c r="I564" s="1047"/>
      <c r="J564" s="1047"/>
      <c r="K564" s="1053"/>
      <c r="L564" s="1047"/>
      <c r="M564" s="1047"/>
      <c r="N564" s="1047"/>
      <c r="O564" s="1047"/>
      <c r="P564" s="1047"/>
      <c r="Q564" s="1047"/>
      <c r="R564" s="1053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047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</row>
    <row r="565" spans="1:43" s="1024" customFormat="1">
      <c r="A565" s="1050"/>
      <c r="B565" s="1044"/>
      <c r="C565" s="1044"/>
      <c r="D565" s="1044"/>
      <c r="E565" s="142"/>
      <c r="F565" s="142"/>
      <c r="G565" s="142"/>
      <c r="H565" s="142"/>
      <c r="I565" s="1047"/>
      <c r="J565" s="1047"/>
      <c r="K565" s="1053"/>
      <c r="L565" s="1047"/>
      <c r="M565" s="1047"/>
      <c r="N565" s="1047"/>
      <c r="O565" s="1047"/>
      <c r="P565" s="1047"/>
      <c r="Q565" s="1047"/>
      <c r="R565" s="1053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047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</row>
    <row r="566" spans="1:43" s="1024" customFormat="1">
      <c r="A566" s="1050"/>
      <c r="B566" s="1044"/>
      <c r="C566" s="1044"/>
      <c r="D566" s="1044"/>
      <c r="E566" s="142"/>
      <c r="F566" s="142"/>
      <c r="G566" s="142"/>
      <c r="H566" s="142"/>
      <c r="I566" s="1047"/>
      <c r="J566" s="1047"/>
      <c r="K566" s="1053"/>
      <c r="L566" s="1047"/>
      <c r="M566" s="1047"/>
      <c r="N566" s="1047"/>
      <c r="O566" s="1047"/>
      <c r="P566" s="1047"/>
      <c r="Q566" s="1047"/>
      <c r="R566" s="1053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047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</row>
    <row r="567" spans="1:43" s="1024" customFormat="1">
      <c r="A567" s="1050"/>
      <c r="B567" s="1044"/>
      <c r="C567" s="1044"/>
      <c r="D567" s="1044"/>
      <c r="E567" s="142"/>
      <c r="F567" s="142"/>
      <c r="G567" s="142"/>
      <c r="H567" s="142"/>
      <c r="I567" s="1047"/>
      <c r="J567" s="1047"/>
      <c r="K567" s="1053"/>
      <c r="L567" s="1047"/>
      <c r="M567" s="1047"/>
      <c r="N567" s="1047"/>
      <c r="O567" s="1047"/>
      <c r="P567" s="1047"/>
      <c r="Q567" s="1047"/>
      <c r="R567" s="1053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047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</row>
    <row r="568" spans="1:43" s="1024" customFormat="1">
      <c r="A568" s="1050"/>
      <c r="B568" s="1044"/>
      <c r="C568" s="1044"/>
      <c r="D568" s="1044"/>
      <c r="E568" s="142"/>
      <c r="F568" s="142"/>
      <c r="G568" s="142"/>
      <c r="H568" s="142"/>
      <c r="I568" s="1047"/>
      <c r="J568" s="1047"/>
      <c r="K568" s="1053"/>
      <c r="L568" s="1047"/>
      <c r="M568" s="1047"/>
      <c r="N568" s="1047"/>
      <c r="O568" s="1047"/>
      <c r="P568" s="1047"/>
      <c r="Q568" s="1047"/>
      <c r="R568" s="1053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047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</row>
    <row r="569" spans="1:43" s="1024" customFormat="1">
      <c r="A569" s="1050"/>
      <c r="B569" s="1044"/>
      <c r="C569" s="1044"/>
      <c r="D569" s="1044"/>
      <c r="E569" s="142"/>
      <c r="F569" s="142"/>
      <c r="G569" s="142"/>
      <c r="H569" s="142"/>
      <c r="I569" s="1047"/>
      <c r="J569" s="1047"/>
      <c r="K569" s="1053"/>
      <c r="L569" s="1047"/>
      <c r="M569" s="1047"/>
      <c r="N569" s="1047"/>
      <c r="O569" s="1047"/>
      <c r="P569" s="1047"/>
      <c r="Q569" s="1047"/>
      <c r="R569" s="1053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047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</row>
    <row r="570" spans="1:43" s="1024" customFormat="1">
      <c r="A570" s="1050"/>
      <c r="B570" s="1044"/>
      <c r="C570" s="1044"/>
      <c r="D570" s="1044"/>
      <c r="E570" s="142"/>
      <c r="F570" s="142"/>
      <c r="G570" s="142"/>
      <c r="H570" s="142"/>
      <c r="I570" s="1047"/>
      <c r="J570" s="1047"/>
      <c r="K570" s="1053"/>
      <c r="L570" s="1047"/>
      <c r="M570" s="1047"/>
      <c r="N570" s="1047"/>
      <c r="O570" s="1047"/>
      <c r="P570" s="1047"/>
      <c r="Q570" s="1047"/>
      <c r="R570" s="1053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047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  <c r="AQ570" s="142"/>
    </row>
    <row r="571" spans="1:43" s="1024" customFormat="1">
      <c r="A571" s="1050"/>
      <c r="B571" s="1044"/>
      <c r="C571" s="1044"/>
      <c r="D571" s="1044"/>
      <c r="E571" s="142"/>
      <c r="F571" s="142"/>
      <c r="G571" s="142"/>
      <c r="H571" s="142"/>
      <c r="I571" s="1047"/>
      <c r="J571" s="1047"/>
      <c r="K571" s="1053"/>
      <c r="L571" s="1047"/>
      <c r="M571" s="1047"/>
      <c r="N571" s="1047"/>
      <c r="O571" s="1047"/>
      <c r="P571" s="1047"/>
      <c r="Q571" s="1047"/>
      <c r="R571" s="1053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047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  <c r="AQ571" s="142"/>
    </row>
    <row r="572" spans="1:43" s="1024" customFormat="1">
      <c r="A572" s="1050"/>
      <c r="B572" s="1044"/>
      <c r="C572" s="1044"/>
      <c r="D572" s="1044"/>
      <c r="E572" s="142"/>
      <c r="F572" s="142"/>
      <c r="G572" s="142"/>
      <c r="H572" s="142"/>
      <c r="I572" s="1047"/>
      <c r="J572" s="1047"/>
      <c r="K572" s="1053"/>
      <c r="L572" s="1047"/>
      <c r="M572" s="1047"/>
      <c r="N572" s="1047"/>
      <c r="O572" s="1047"/>
      <c r="P572" s="1047"/>
      <c r="Q572" s="1047"/>
      <c r="R572" s="1053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047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  <c r="AQ572" s="142"/>
    </row>
    <row r="573" spans="1:43" s="1024" customFormat="1">
      <c r="A573" s="1050"/>
      <c r="B573" s="1044"/>
      <c r="C573" s="1044"/>
      <c r="D573" s="1044"/>
      <c r="E573" s="142"/>
      <c r="F573" s="142"/>
      <c r="G573" s="142"/>
      <c r="H573" s="142"/>
      <c r="I573" s="1047"/>
      <c r="J573" s="1047"/>
      <c r="K573" s="1053"/>
      <c r="L573" s="1047"/>
      <c r="M573" s="1047"/>
      <c r="N573" s="1047"/>
      <c r="O573" s="1047"/>
      <c r="P573" s="1047"/>
      <c r="Q573" s="1047"/>
      <c r="R573" s="1053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047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  <c r="AQ573" s="142"/>
    </row>
    <row r="574" spans="1:43" s="1024" customFormat="1">
      <c r="A574" s="1050"/>
      <c r="B574" s="1044"/>
      <c r="C574" s="1044"/>
      <c r="D574" s="1044"/>
      <c r="E574" s="142"/>
      <c r="F574" s="142"/>
      <c r="G574" s="142"/>
      <c r="H574" s="142"/>
      <c r="I574" s="1047"/>
      <c r="J574" s="1047"/>
      <c r="K574" s="1053"/>
      <c r="L574" s="1047"/>
      <c r="M574" s="1047"/>
      <c r="N574" s="1047"/>
      <c r="O574" s="1047"/>
      <c r="P574" s="1047"/>
      <c r="Q574" s="1047"/>
      <c r="R574" s="1053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047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  <c r="AQ574" s="142"/>
    </row>
  </sheetData>
  <autoFilter ref="A13:AY170"/>
  <mergeCells count="207">
    <mergeCell ref="A170:D170"/>
    <mergeCell ref="A7:AQ7"/>
    <mergeCell ref="A8:AQ8"/>
    <mergeCell ref="F9:AJ9"/>
    <mergeCell ref="A11:D11"/>
    <mergeCell ref="C9:C10"/>
    <mergeCell ref="D9:D10"/>
    <mergeCell ref="AQ9:AQ11"/>
    <mergeCell ref="A4:P4"/>
    <mergeCell ref="A5:P5"/>
    <mergeCell ref="AP9:AP11"/>
    <mergeCell ref="AL9:AL11"/>
    <mergeCell ref="A9:B10"/>
    <mergeCell ref="AK9:AK11"/>
    <mergeCell ref="E9:E11"/>
    <mergeCell ref="AM9:AM11"/>
    <mergeCell ref="AN9:AN11"/>
    <mergeCell ref="AO9:AO11"/>
    <mergeCell ref="A1:AQ1"/>
    <mergeCell ref="A2:AQ2"/>
    <mergeCell ref="A3:AQ3"/>
    <mergeCell ref="AA176:AG176"/>
    <mergeCell ref="AK204:AP204"/>
    <mergeCell ref="AH177:AK177"/>
    <mergeCell ref="AH178:AK178"/>
    <mergeCell ref="AH179:AK179"/>
    <mergeCell ref="AH180:AK180"/>
    <mergeCell ref="D180:E180"/>
    <mergeCell ref="D179:E179"/>
    <mergeCell ref="D178:E178"/>
    <mergeCell ref="D177:E177"/>
    <mergeCell ref="F180:L180"/>
    <mergeCell ref="T180:Z180"/>
    <mergeCell ref="AA180:AG180"/>
    <mergeCell ref="F178:L178"/>
    <mergeCell ref="T178:Z178"/>
    <mergeCell ref="AA178:AG178"/>
    <mergeCell ref="F197:L197"/>
    <mergeCell ref="A197:D197"/>
    <mergeCell ref="D192:E192"/>
    <mergeCell ref="F192:L192"/>
    <mergeCell ref="M192:P192"/>
    <mergeCell ref="D190:E190"/>
    <mergeCell ref="F190:L190"/>
    <mergeCell ref="M190:P190"/>
    <mergeCell ref="Q190:S190"/>
    <mergeCell ref="T190:Z190"/>
    <mergeCell ref="AL172:AP173"/>
    <mergeCell ref="M173:P173"/>
    <mergeCell ref="Q173:S173"/>
    <mergeCell ref="D174:E174"/>
    <mergeCell ref="F174:L174"/>
    <mergeCell ref="M174:P174"/>
    <mergeCell ref="Q174:S174"/>
    <mergeCell ref="T174:Z174"/>
    <mergeCell ref="AH174:AK174"/>
    <mergeCell ref="AL174:AP174"/>
    <mergeCell ref="T173:Z173"/>
    <mergeCell ref="AA173:AG173"/>
    <mergeCell ref="AH173:AK173"/>
    <mergeCell ref="T172:AK172"/>
    <mergeCell ref="D172:E173"/>
    <mergeCell ref="F172:L173"/>
    <mergeCell ref="M172:S172"/>
    <mergeCell ref="AA174:AG174"/>
    <mergeCell ref="AL177:AP177"/>
    <mergeCell ref="M178:P178"/>
    <mergeCell ref="Q178:S178"/>
    <mergeCell ref="AL178:AP178"/>
    <mergeCell ref="AH175:AK175"/>
    <mergeCell ref="AL175:AP175"/>
    <mergeCell ref="D176:E176"/>
    <mergeCell ref="F176:L176"/>
    <mergeCell ref="M176:P176"/>
    <mergeCell ref="Q176:S176"/>
    <mergeCell ref="T176:Z176"/>
    <mergeCell ref="AH176:AK176"/>
    <mergeCell ref="AL176:AP176"/>
    <mergeCell ref="F177:L177"/>
    <mergeCell ref="M177:P177"/>
    <mergeCell ref="Q177:S177"/>
    <mergeCell ref="T177:Z177"/>
    <mergeCell ref="AA177:AG177"/>
    <mergeCell ref="D175:E175"/>
    <mergeCell ref="F175:L175"/>
    <mergeCell ref="M175:P175"/>
    <mergeCell ref="Q175:S175"/>
    <mergeCell ref="T175:Z175"/>
    <mergeCell ref="AA175:AG175"/>
    <mergeCell ref="AL179:AP179"/>
    <mergeCell ref="M180:P180"/>
    <mergeCell ref="D181:E181"/>
    <mergeCell ref="F181:L181"/>
    <mergeCell ref="M181:P181"/>
    <mergeCell ref="Q181:S181"/>
    <mergeCell ref="T181:Z181"/>
    <mergeCell ref="AA181:AG181"/>
    <mergeCell ref="AH181:AK181"/>
    <mergeCell ref="AL181:AP181"/>
    <mergeCell ref="Q180:S180"/>
    <mergeCell ref="AL180:AP180"/>
    <mergeCell ref="F179:L179"/>
    <mergeCell ref="M179:P179"/>
    <mergeCell ref="Q179:S179"/>
    <mergeCell ref="T179:Z179"/>
    <mergeCell ref="AA179:AG179"/>
    <mergeCell ref="AA182:AG182"/>
    <mergeCell ref="AH182:AK182"/>
    <mergeCell ref="AL182:AP182"/>
    <mergeCell ref="D183:E183"/>
    <mergeCell ref="F183:L183"/>
    <mergeCell ref="M183:P183"/>
    <mergeCell ref="Q183:S183"/>
    <mergeCell ref="T183:Z183"/>
    <mergeCell ref="AA183:AG183"/>
    <mergeCell ref="AH183:AK183"/>
    <mergeCell ref="AL183:AP183"/>
    <mergeCell ref="D182:E182"/>
    <mergeCell ref="F182:L182"/>
    <mergeCell ref="M182:P182"/>
    <mergeCell ref="Q182:S182"/>
    <mergeCell ref="T182:Z182"/>
    <mergeCell ref="AA184:AG184"/>
    <mergeCell ref="AH184:AK184"/>
    <mergeCell ref="AL184:AP184"/>
    <mergeCell ref="D185:E185"/>
    <mergeCell ref="F185:L185"/>
    <mergeCell ref="M185:P185"/>
    <mergeCell ref="Q185:S185"/>
    <mergeCell ref="T185:Z185"/>
    <mergeCell ref="AA185:AG185"/>
    <mergeCell ref="AH185:AK185"/>
    <mergeCell ref="AL185:AP185"/>
    <mergeCell ref="D184:E184"/>
    <mergeCell ref="F184:L184"/>
    <mergeCell ref="M184:P184"/>
    <mergeCell ref="Q184:S184"/>
    <mergeCell ref="T184:Z184"/>
    <mergeCell ref="D189:E189"/>
    <mergeCell ref="F189:L189"/>
    <mergeCell ref="M189:P189"/>
    <mergeCell ref="Q189:S189"/>
    <mergeCell ref="T189:Z189"/>
    <mergeCell ref="AA189:AG189"/>
    <mergeCell ref="AH189:AK189"/>
    <mergeCell ref="AL189:AP189"/>
    <mergeCell ref="D186:E186"/>
    <mergeCell ref="F186:L186"/>
    <mergeCell ref="M186:P186"/>
    <mergeCell ref="Q186:S186"/>
    <mergeCell ref="T186:Z186"/>
    <mergeCell ref="AA186:AG186"/>
    <mergeCell ref="AH186:AK186"/>
    <mergeCell ref="AL186:AP186"/>
    <mergeCell ref="D188:E188"/>
    <mergeCell ref="F188:L188"/>
    <mergeCell ref="M188:P188"/>
    <mergeCell ref="Q188:S188"/>
    <mergeCell ref="T188:Z188"/>
    <mergeCell ref="D187:E187"/>
    <mergeCell ref="F187:L187"/>
    <mergeCell ref="T187:Z187"/>
    <mergeCell ref="D194:E194"/>
    <mergeCell ref="F194:L194"/>
    <mergeCell ref="T194:Z194"/>
    <mergeCell ref="AA194:AG194"/>
    <mergeCell ref="AA192:AG192"/>
    <mergeCell ref="AH192:AK192"/>
    <mergeCell ref="AL192:AP192"/>
    <mergeCell ref="AA190:AG190"/>
    <mergeCell ref="AH190:AK190"/>
    <mergeCell ref="AL190:AP190"/>
    <mergeCell ref="D191:E191"/>
    <mergeCell ref="F191:L191"/>
    <mergeCell ref="M191:P191"/>
    <mergeCell ref="Q191:S191"/>
    <mergeCell ref="T191:Z191"/>
    <mergeCell ref="AA191:AG191"/>
    <mergeCell ref="AH191:AK191"/>
    <mergeCell ref="AL191:AP191"/>
    <mergeCell ref="D193:E193"/>
    <mergeCell ref="F193:L193"/>
    <mergeCell ref="M193:P193"/>
    <mergeCell ref="Q193:S193"/>
    <mergeCell ref="T193:Z193"/>
    <mergeCell ref="AA193:AG193"/>
    <mergeCell ref="AD196:AR196"/>
    <mergeCell ref="AK197:AR197"/>
    <mergeCell ref="W197:AC197"/>
    <mergeCell ref="O197:T197"/>
    <mergeCell ref="AE197:AJ197"/>
    <mergeCell ref="AL187:AP187"/>
    <mergeCell ref="M194:P194"/>
    <mergeCell ref="Q194:S194"/>
    <mergeCell ref="AH194:AK194"/>
    <mergeCell ref="AL194:AP194"/>
    <mergeCell ref="AL193:AP193"/>
    <mergeCell ref="AA188:AG188"/>
    <mergeCell ref="AH188:AK188"/>
    <mergeCell ref="AL188:AP188"/>
    <mergeCell ref="AH193:AK193"/>
    <mergeCell ref="AA187:AG187"/>
    <mergeCell ref="M187:P187"/>
    <mergeCell ref="Q187:S187"/>
    <mergeCell ref="AH187:AK187"/>
    <mergeCell ref="Q192:S192"/>
    <mergeCell ref="T192:Z192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192"/>
  <sheetViews>
    <sheetView zoomScale="25" zoomScaleNormal="25" workbookViewId="0">
      <selection activeCell="AJ17" sqref="AJ17"/>
    </sheetView>
  </sheetViews>
  <sheetFormatPr defaultColWidth="5.28515625" defaultRowHeight="15"/>
  <cols>
    <col min="1" max="1" width="8.42578125" style="1841" customWidth="1"/>
    <col min="2" max="2" width="35.5703125" style="1841" customWidth="1"/>
    <col min="3" max="32" width="19.42578125" style="1841" customWidth="1"/>
    <col min="33" max="33" width="30.85546875" style="1841" hidden="1" customWidth="1"/>
    <col min="34" max="34" width="30.85546875" style="1841" customWidth="1"/>
    <col min="35" max="35" width="31" style="1841" customWidth="1"/>
    <col min="36" max="36" width="34.85546875" style="1841" customWidth="1"/>
    <col min="37" max="37" width="14.85546875" style="1841" hidden="1" customWidth="1"/>
    <col min="38" max="38" width="31.42578125" style="1879" customWidth="1"/>
    <col min="39" max="39" width="5.28515625" style="1879"/>
    <col min="40" max="40" width="14.5703125" style="1879" customWidth="1"/>
    <col min="41" max="16384" width="5.28515625" style="1841"/>
  </cols>
  <sheetData>
    <row r="2" spans="1:40" ht="44.25" customHeight="1">
      <c r="A2" s="2529" t="s">
        <v>0</v>
      </c>
      <c r="B2" s="2529"/>
      <c r="C2" s="2529"/>
      <c r="D2" s="2529"/>
      <c r="E2" s="2529"/>
      <c r="F2" s="2529"/>
      <c r="G2" s="2529"/>
      <c r="H2" s="2529"/>
      <c r="I2" s="2529"/>
      <c r="J2" s="2529"/>
      <c r="K2" s="2529"/>
      <c r="L2" s="2529"/>
      <c r="M2" s="2529"/>
      <c r="N2" s="2529"/>
      <c r="O2" s="2529"/>
      <c r="P2" s="2529"/>
      <c r="Q2" s="2529"/>
      <c r="R2" s="2529"/>
      <c r="S2" s="2529"/>
      <c r="T2" s="2529"/>
      <c r="U2" s="2529"/>
      <c r="V2" s="2529"/>
      <c r="W2" s="2529"/>
      <c r="X2" s="2529"/>
      <c r="Y2" s="2529"/>
      <c r="Z2" s="2529"/>
      <c r="AA2" s="2529"/>
      <c r="AB2" s="2529"/>
      <c r="AC2" s="2529"/>
      <c r="AD2" s="2529"/>
      <c r="AE2" s="2529"/>
      <c r="AF2" s="2529"/>
      <c r="AG2" s="2529"/>
      <c r="AH2" s="2529"/>
      <c r="AI2" s="2529"/>
      <c r="AJ2" s="2529"/>
      <c r="AK2" s="2529"/>
      <c r="AL2" s="2529"/>
      <c r="AM2" s="1841"/>
      <c r="AN2" s="1841"/>
    </row>
    <row r="3" spans="1:40" ht="40.5" customHeight="1">
      <c r="A3" s="2529" t="s">
        <v>3236</v>
      </c>
      <c r="B3" s="2529"/>
      <c r="C3" s="2529"/>
      <c r="D3" s="2529"/>
      <c r="E3" s="2529"/>
      <c r="F3" s="2529"/>
      <c r="G3" s="2529"/>
      <c r="H3" s="2529"/>
      <c r="I3" s="2529"/>
      <c r="J3" s="2529"/>
      <c r="K3" s="2529"/>
      <c r="L3" s="2529"/>
      <c r="M3" s="2529"/>
      <c r="N3" s="2529"/>
      <c r="O3" s="2529"/>
      <c r="P3" s="2529"/>
      <c r="Q3" s="2529"/>
      <c r="R3" s="2529"/>
      <c r="S3" s="2529"/>
      <c r="T3" s="2529"/>
      <c r="U3" s="2529"/>
      <c r="V3" s="2529"/>
      <c r="W3" s="2529"/>
      <c r="X3" s="2529"/>
      <c r="Y3" s="2529"/>
      <c r="Z3" s="2529"/>
      <c r="AA3" s="2529"/>
      <c r="AB3" s="2529"/>
      <c r="AC3" s="2529"/>
      <c r="AD3" s="2529"/>
      <c r="AE3" s="2529"/>
      <c r="AF3" s="2529"/>
      <c r="AG3" s="2529"/>
      <c r="AH3" s="2529"/>
      <c r="AI3" s="2529"/>
      <c r="AJ3" s="2529"/>
      <c r="AK3" s="2529"/>
      <c r="AL3" s="2529"/>
      <c r="AM3" s="1841"/>
      <c r="AN3" s="1841"/>
    </row>
    <row r="4" spans="1:40" ht="36.75" customHeight="1">
      <c r="A4" s="2533" t="s">
        <v>3237</v>
      </c>
      <c r="B4" s="2533"/>
      <c r="C4" s="2533"/>
      <c r="D4" s="2533"/>
      <c r="E4" s="2533"/>
      <c r="F4" s="2533"/>
      <c r="G4" s="2533"/>
      <c r="H4" s="2533"/>
      <c r="I4" s="2533"/>
      <c r="J4" s="2533"/>
      <c r="K4" s="2533"/>
      <c r="L4" s="2533"/>
      <c r="M4" s="2533"/>
      <c r="N4" s="2533"/>
      <c r="O4" s="2533"/>
      <c r="P4" s="2533"/>
      <c r="Q4" s="2533"/>
      <c r="R4" s="2533"/>
      <c r="S4" s="2533"/>
      <c r="T4" s="2533"/>
      <c r="U4" s="2533"/>
      <c r="V4" s="2533"/>
      <c r="W4" s="2533"/>
      <c r="X4" s="2533"/>
      <c r="Y4" s="2533"/>
      <c r="Z4" s="2533"/>
      <c r="AA4" s="2533"/>
      <c r="AB4" s="2533"/>
      <c r="AC4" s="2533"/>
      <c r="AD4" s="2533"/>
      <c r="AE4" s="2533"/>
      <c r="AF4" s="2533"/>
      <c r="AG4" s="2533"/>
      <c r="AH4" s="2533"/>
      <c r="AI4" s="2533"/>
      <c r="AJ4" s="2533"/>
      <c r="AK4" s="2533"/>
      <c r="AL4" s="2533"/>
      <c r="AM4" s="1841"/>
      <c r="AN4" s="1841"/>
    </row>
    <row r="5" spans="1:40" ht="16.5" customHeight="1">
      <c r="A5" s="1842"/>
      <c r="B5" s="1842"/>
      <c r="C5" s="1842"/>
      <c r="D5" s="1842"/>
      <c r="E5" s="1842"/>
      <c r="F5" s="1842"/>
      <c r="G5" s="1842"/>
      <c r="H5" s="1842"/>
      <c r="I5" s="1842"/>
      <c r="J5" s="1842"/>
      <c r="K5" s="1842"/>
      <c r="L5" s="1842"/>
      <c r="M5" s="1843"/>
      <c r="N5" s="1843"/>
      <c r="O5" s="1843"/>
      <c r="P5" s="1843"/>
      <c r="Q5" s="1843"/>
      <c r="R5" s="1843"/>
      <c r="S5" s="1843"/>
      <c r="T5" s="1843"/>
      <c r="U5" s="1843"/>
      <c r="V5" s="1843"/>
      <c r="W5" s="1843"/>
      <c r="X5" s="1843"/>
      <c r="Y5" s="1843"/>
      <c r="Z5" s="1843"/>
      <c r="AA5" s="1843"/>
      <c r="AB5" s="1843"/>
      <c r="AC5" s="1843"/>
      <c r="AD5" s="1843"/>
      <c r="AE5" s="1843"/>
      <c r="AF5" s="1843"/>
      <c r="AG5" s="1843"/>
      <c r="AH5" s="1843"/>
      <c r="AI5" s="1843"/>
      <c r="AJ5" s="1844"/>
      <c r="AK5" s="1845"/>
      <c r="AL5" s="1845"/>
      <c r="AM5" s="1841"/>
      <c r="AN5" s="1841"/>
    </row>
    <row r="6" spans="1:40" ht="42" customHeight="1">
      <c r="A6" s="2529" t="s">
        <v>3244</v>
      </c>
      <c r="B6" s="2529"/>
      <c r="C6" s="2529"/>
      <c r="D6" s="2529"/>
      <c r="E6" s="2529"/>
      <c r="F6" s="2529"/>
      <c r="G6" s="2529"/>
      <c r="H6" s="2529"/>
      <c r="I6" s="2529"/>
      <c r="J6" s="2529"/>
      <c r="K6" s="2529"/>
      <c r="L6" s="2529"/>
      <c r="M6" s="2529"/>
      <c r="N6" s="2529"/>
      <c r="O6" s="2529"/>
      <c r="P6" s="1843"/>
      <c r="Q6" s="1843"/>
      <c r="R6" s="1843"/>
      <c r="S6" s="1843"/>
      <c r="T6" s="1843"/>
      <c r="U6" s="1843"/>
      <c r="V6" s="1843"/>
      <c r="W6" s="1843"/>
      <c r="X6" s="1843"/>
      <c r="Y6" s="1843"/>
      <c r="Z6" s="1843"/>
      <c r="AA6" s="1843"/>
      <c r="AB6" s="1843"/>
      <c r="AC6" s="1843"/>
      <c r="AD6" s="1843"/>
      <c r="AE6" s="1843"/>
      <c r="AF6" s="1843"/>
      <c r="AG6" s="1843"/>
      <c r="AH6" s="1843"/>
      <c r="AI6" s="1843"/>
      <c r="AJ6" s="1844"/>
      <c r="AK6" s="1845"/>
      <c r="AL6" s="1845"/>
      <c r="AM6" s="1841"/>
      <c r="AN6" s="1841"/>
    </row>
    <row r="7" spans="1:40" ht="39" customHeight="1">
      <c r="A7" s="2529" t="s">
        <v>3234</v>
      </c>
      <c r="B7" s="2529"/>
      <c r="C7" s="2529"/>
      <c r="D7" s="2529"/>
      <c r="E7" s="2529"/>
      <c r="F7" s="2529"/>
      <c r="G7" s="2529"/>
      <c r="H7" s="2529"/>
      <c r="I7" s="2529"/>
      <c r="J7" s="2529"/>
      <c r="K7" s="2529"/>
      <c r="L7" s="2529"/>
      <c r="M7" s="2529"/>
      <c r="N7" s="2529"/>
      <c r="O7" s="2529"/>
      <c r="P7" s="1843"/>
      <c r="Q7" s="1843"/>
      <c r="R7" s="1843"/>
      <c r="S7" s="1843"/>
      <c r="T7" s="1843"/>
      <c r="U7" s="1843"/>
      <c r="V7" s="1843"/>
      <c r="W7" s="1843"/>
      <c r="X7" s="1843"/>
      <c r="Y7" s="1843"/>
      <c r="Z7" s="1843"/>
      <c r="AA7" s="1843"/>
      <c r="AB7" s="1843"/>
      <c r="AC7" s="1843"/>
      <c r="AD7" s="1843"/>
      <c r="AE7" s="1843"/>
      <c r="AF7" s="1843"/>
      <c r="AG7" s="1843"/>
      <c r="AH7" s="1843"/>
      <c r="AI7" s="1843"/>
      <c r="AJ7" s="1844"/>
      <c r="AK7" s="1845"/>
      <c r="AL7" s="1845"/>
      <c r="AM7" s="1841"/>
      <c r="AN7" s="1841"/>
    </row>
    <row r="8" spans="1:40" ht="15" customHeight="1">
      <c r="A8" s="2529"/>
      <c r="B8" s="2529"/>
      <c r="C8" s="2529"/>
      <c r="D8" s="2529"/>
      <c r="E8" s="2529"/>
      <c r="F8" s="2529"/>
      <c r="G8" s="2529"/>
      <c r="H8" s="2529"/>
      <c r="I8" s="2529"/>
      <c r="J8" s="2529"/>
      <c r="K8" s="2529"/>
      <c r="L8" s="2529"/>
      <c r="M8" s="2529"/>
      <c r="N8" s="2529"/>
      <c r="O8" s="2529"/>
      <c r="P8" s="2529"/>
      <c r="Q8" s="2529"/>
      <c r="R8" s="2529"/>
      <c r="S8" s="2529"/>
      <c r="T8" s="2529"/>
      <c r="U8" s="2529"/>
      <c r="V8" s="2529"/>
      <c r="W8" s="2529"/>
      <c r="X8" s="2529"/>
      <c r="Y8" s="2529"/>
      <c r="Z8" s="2529"/>
      <c r="AA8" s="2529"/>
      <c r="AB8" s="2529"/>
      <c r="AC8" s="2529"/>
      <c r="AD8" s="2529"/>
      <c r="AE8" s="2529"/>
      <c r="AF8" s="2529"/>
      <c r="AG8" s="2529"/>
      <c r="AH8" s="2529"/>
      <c r="AI8" s="2529"/>
      <c r="AJ8" s="2529"/>
      <c r="AK8" s="1845"/>
      <c r="AL8" s="1845"/>
      <c r="AM8" s="1841"/>
      <c r="AN8" s="1841"/>
    </row>
    <row r="9" spans="1:40" ht="89.25" customHeight="1">
      <c r="A9" s="2531" t="s">
        <v>3450</v>
      </c>
      <c r="B9" s="2531"/>
      <c r="C9" s="2531"/>
      <c r="D9" s="2531"/>
      <c r="E9" s="2531"/>
      <c r="F9" s="2531"/>
      <c r="G9" s="2531"/>
      <c r="H9" s="2531"/>
      <c r="I9" s="2531"/>
      <c r="J9" s="2531"/>
      <c r="K9" s="2531"/>
      <c r="L9" s="2531"/>
      <c r="M9" s="2531"/>
      <c r="N9" s="2531"/>
      <c r="O9" s="2531"/>
      <c r="P9" s="2531"/>
      <c r="Q9" s="2531"/>
      <c r="R9" s="2531"/>
      <c r="S9" s="2531"/>
      <c r="T9" s="2531"/>
      <c r="U9" s="2531"/>
      <c r="V9" s="2531"/>
      <c r="W9" s="2531"/>
      <c r="X9" s="2531"/>
      <c r="Y9" s="2531"/>
      <c r="Z9" s="2531"/>
      <c r="AA9" s="2531"/>
      <c r="AB9" s="2531"/>
      <c r="AC9" s="2531"/>
      <c r="AD9" s="2531"/>
      <c r="AE9" s="2531"/>
      <c r="AF9" s="2531"/>
      <c r="AG9" s="2531"/>
      <c r="AH9" s="2531"/>
      <c r="AI9" s="2531"/>
      <c r="AJ9" s="2531"/>
      <c r="AL9" s="1841"/>
      <c r="AM9" s="1841"/>
      <c r="AN9" s="1841"/>
    </row>
    <row r="10" spans="1:40" ht="36.75" customHeight="1">
      <c r="A10" s="1846"/>
      <c r="B10" s="1846"/>
      <c r="C10" s="1846"/>
      <c r="D10" s="1846"/>
      <c r="E10" s="1846"/>
      <c r="F10" s="1846"/>
      <c r="G10" s="1846"/>
      <c r="H10" s="1846"/>
      <c r="I10" s="1846"/>
      <c r="J10" s="1846"/>
      <c r="K10" s="1846"/>
      <c r="L10" s="1846"/>
      <c r="M10" s="1846"/>
      <c r="N10" s="1846"/>
      <c r="O10" s="1846"/>
      <c r="P10" s="1846"/>
      <c r="Q10" s="1846"/>
      <c r="R10" s="1846"/>
      <c r="S10" s="1846"/>
      <c r="T10" s="1846"/>
      <c r="U10" s="1846"/>
      <c r="V10" s="1846"/>
      <c r="W10" s="1846"/>
      <c r="X10" s="1846"/>
      <c r="Y10" s="1846"/>
      <c r="Z10" s="1846"/>
      <c r="AA10" s="1846"/>
      <c r="AB10" s="1846"/>
      <c r="AC10" s="1846"/>
      <c r="AD10" s="1846"/>
      <c r="AE10" s="1846"/>
      <c r="AF10" s="1846"/>
      <c r="AG10" s="1846"/>
      <c r="AH10" s="2532"/>
      <c r="AI10" s="2532"/>
      <c r="AJ10" s="1847"/>
      <c r="AK10" s="1848" t="s">
        <v>1952</v>
      </c>
      <c r="AL10" s="1849"/>
      <c r="AM10" s="1841"/>
      <c r="AN10" s="1841"/>
    </row>
    <row r="11" spans="1:40" ht="48" customHeight="1">
      <c r="A11" s="2527" t="s">
        <v>623</v>
      </c>
      <c r="B11" s="2527" t="s">
        <v>356</v>
      </c>
      <c r="C11" s="2527" t="s">
        <v>1953</v>
      </c>
      <c r="D11" s="2527"/>
      <c r="E11" s="2527"/>
      <c r="F11" s="2527"/>
      <c r="G11" s="2527"/>
      <c r="H11" s="2527"/>
      <c r="I11" s="2527"/>
      <c r="J11" s="2527"/>
      <c r="K11" s="2527"/>
      <c r="L11" s="2527"/>
      <c r="M11" s="2527"/>
      <c r="N11" s="2527"/>
      <c r="O11" s="2527"/>
      <c r="P11" s="2527"/>
      <c r="Q11" s="2527"/>
      <c r="R11" s="2527"/>
      <c r="S11" s="2527"/>
      <c r="T11" s="2527"/>
      <c r="U11" s="2527"/>
      <c r="V11" s="2527"/>
      <c r="W11" s="2527"/>
      <c r="X11" s="2527"/>
      <c r="Y11" s="2527"/>
      <c r="Z11" s="2527"/>
      <c r="AA11" s="2527"/>
      <c r="AB11" s="2527"/>
      <c r="AC11" s="2527"/>
      <c r="AD11" s="2527"/>
      <c r="AE11" s="2527"/>
      <c r="AF11" s="2527"/>
      <c r="AG11" s="2527"/>
      <c r="AH11" s="2526" t="s">
        <v>3238</v>
      </c>
      <c r="AI11" s="2526" t="s">
        <v>3239</v>
      </c>
      <c r="AJ11" s="2526" t="s">
        <v>1955</v>
      </c>
      <c r="AK11" s="2526" t="s">
        <v>2012</v>
      </c>
      <c r="AL11" s="2527" t="s">
        <v>3240</v>
      </c>
      <c r="AM11" s="1841"/>
      <c r="AN11" s="1841"/>
    </row>
    <row r="12" spans="1:40" ht="99" customHeight="1">
      <c r="A12" s="2527"/>
      <c r="B12" s="2527"/>
      <c r="C12" s="1850">
        <v>1</v>
      </c>
      <c r="D12" s="1850">
        <v>2</v>
      </c>
      <c r="E12" s="1850">
        <v>3</v>
      </c>
      <c r="F12" s="1850">
        <v>4</v>
      </c>
      <c r="G12" s="1850">
        <v>5</v>
      </c>
      <c r="H12" s="1850">
        <v>6</v>
      </c>
      <c r="I12" s="1850">
        <v>7</v>
      </c>
      <c r="J12" s="1850">
        <v>8</v>
      </c>
      <c r="K12" s="1850">
        <v>9</v>
      </c>
      <c r="L12" s="1850">
        <v>10</v>
      </c>
      <c r="M12" s="1850">
        <v>11</v>
      </c>
      <c r="N12" s="1850">
        <v>12</v>
      </c>
      <c r="O12" s="1850">
        <v>13</v>
      </c>
      <c r="P12" s="1850">
        <v>14</v>
      </c>
      <c r="Q12" s="1850">
        <v>15</v>
      </c>
      <c r="R12" s="1850">
        <v>16</v>
      </c>
      <c r="S12" s="1850">
        <v>17</v>
      </c>
      <c r="T12" s="1850">
        <v>18</v>
      </c>
      <c r="U12" s="1850">
        <v>19</v>
      </c>
      <c r="V12" s="1850">
        <v>20</v>
      </c>
      <c r="W12" s="1850">
        <v>21</v>
      </c>
      <c r="X12" s="1850">
        <v>22</v>
      </c>
      <c r="Y12" s="1850">
        <v>23</v>
      </c>
      <c r="Z12" s="1850">
        <v>24</v>
      </c>
      <c r="AA12" s="1850">
        <v>25</v>
      </c>
      <c r="AB12" s="1850">
        <v>26</v>
      </c>
      <c r="AC12" s="1850">
        <v>27</v>
      </c>
      <c r="AD12" s="1850">
        <v>28</v>
      </c>
      <c r="AE12" s="1850">
        <v>29</v>
      </c>
      <c r="AF12" s="1850">
        <v>30</v>
      </c>
      <c r="AG12" s="1850"/>
      <c r="AH12" s="2526"/>
      <c r="AI12" s="2526"/>
      <c r="AJ12" s="2526"/>
      <c r="AK12" s="2526"/>
      <c r="AL12" s="2527"/>
      <c r="AM12" s="1841"/>
      <c r="AN12" s="1841"/>
    </row>
    <row r="13" spans="1:40" ht="99" customHeight="1">
      <c r="A13" s="2528" t="s">
        <v>3242</v>
      </c>
      <c r="B13" s="2528"/>
      <c r="C13" s="1851">
        <f>C14</f>
        <v>0</v>
      </c>
      <c r="D13" s="1851">
        <f t="shared" ref="D13:AD13" si="0">D14</f>
        <v>0</v>
      </c>
      <c r="E13" s="1851">
        <f t="shared" si="0"/>
        <v>0</v>
      </c>
      <c r="F13" s="1851">
        <f t="shared" si="0"/>
        <v>0</v>
      </c>
      <c r="G13" s="1851">
        <f t="shared" si="0"/>
        <v>0</v>
      </c>
      <c r="H13" s="1851">
        <f t="shared" si="0"/>
        <v>0</v>
      </c>
      <c r="I13" s="1852">
        <f t="shared" si="0"/>
        <v>0</v>
      </c>
      <c r="J13" s="1852">
        <f t="shared" si="0"/>
        <v>0</v>
      </c>
      <c r="K13" s="1852">
        <f t="shared" si="0"/>
        <v>0</v>
      </c>
      <c r="L13" s="1852">
        <f t="shared" si="0"/>
        <v>410</v>
      </c>
      <c r="M13" s="1852">
        <f t="shared" si="0"/>
        <v>0</v>
      </c>
      <c r="N13" s="1852">
        <f t="shared" si="0"/>
        <v>0</v>
      </c>
      <c r="O13" s="1852">
        <f t="shared" si="0"/>
        <v>0</v>
      </c>
      <c r="P13" s="1852">
        <f t="shared" si="0"/>
        <v>0</v>
      </c>
      <c r="Q13" s="1852">
        <f t="shared" si="0"/>
        <v>0</v>
      </c>
      <c r="R13" s="1852">
        <f t="shared" si="0"/>
        <v>0</v>
      </c>
      <c r="S13" s="1852">
        <f t="shared" si="0"/>
        <v>0</v>
      </c>
      <c r="T13" s="1852">
        <f t="shared" si="0"/>
        <v>0</v>
      </c>
      <c r="U13" s="1852">
        <f t="shared" si="0"/>
        <v>0</v>
      </c>
      <c r="V13" s="1852">
        <f t="shared" si="0"/>
        <v>0</v>
      </c>
      <c r="W13" s="1852">
        <f t="shared" si="0"/>
        <v>0</v>
      </c>
      <c r="X13" s="1852">
        <f t="shared" si="0"/>
        <v>0</v>
      </c>
      <c r="Y13" s="1852">
        <f t="shared" si="0"/>
        <v>0</v>
      </c>
      <c r="Z13" s="1852">
        <f t="shared" si="0"/>
        <v>0</v>
      </c>
      <c r="AA13" s="1852">
        <f t="shared" si="0"/>
        <v>0</v>
      </c>
      <c r="AB13" s="1852">
        <f t="shared" si="0"/>
        <v>0</v>
      </c>
      <c r="AC13" s="1852">
        <f t="shared" si="0"/>
        <v>0</v>
      </c>
      <c r="AD13" s="1852">
        <f t="shared" si="0"/>
        <v>0</v>
      </c>
      <c r="AE13" s="1852">
        <f>AE14</f>
        <v>500</v>
      </c>
      <c r="AF13" s="1852">
        <f t="shared" ref="AF13" si="1">AF14</f>
        <v>0</v>
      </c>
      <c r="AG13" s="1852"/>
      <c r="AH13" s="1852">
        <f>AH14</f>
        <v>910</v>
      </c>
      <c r="AI13" s="1853"/>
      <c r="AJ13" s="1852">
        <f t="shared" ref="AJ13:AK13" si="2">AJ14</f>
        <v>475.76400000000001</v>
      </c>
      <c r="AK13" s="1854">
        <f t="shared" si="2"/>
        <v>0</v>
      </c>
      <c r="AL13" s="1850"/>
      <c r="AM13" s="1841"/>
      <c r="AN13" s="1841"/>
    </row>
    <row r="14" spans="1:40" ht="99" customHeight="1">
      <c r="A14" s="1855">
        <v>1</v>
      </c>
      <c r="B14" s="1856" t="s">
        <v>3082</v>
      </c>
      <c r="C14" s="2336"/>
      <c r="D14" s="2336"/>
      <c r="E14" s="2336"/>
      <c r="F14" s="2336"/>
      <c r="G14" s="2336"/>
      <c r="H14" s="2336"/>
      <c r="I14" s="2337"/>
      <c r="J14" s="2337"/>
      <c r="K14" s="2337"/>
      <c r="L14" s="2337">
        <v>410</v>
      </c>
      <c r="M14" s="2337"/>
      <c r="N14" s="2337"/>
      <c r="O14" s="2337"/>
      <c r="P14" s="2337"/>
      <c r="Q14" s="2337"/>
      <c r="R14" s="2337"/>
      <c r="S14" s="2337"/>
      <c r="T14" s="2337"/>
      <c r="U14" s="2337"/>
      <c r="V14" s="2337"/>
      <c r="W14" s="2337"/>
      <c r="X14" s="2337"/>
      <c r="Y14" s="2337"/>
      <c r="Z14" s="2337"/>
      <c r="AA14" s="2337"/>
      <c r="AB14" s="2337"/>
      <c r="AC14" s="2337"/>
      <c r="AD14" s="2337"/>
      <c r="AE14" s="2337">
        <v>500</v>
      </c>
      <c r="AF14" s="2337"/>
      <c r="AG14" s="1857"/>
      <c r="AH14" s="1859">
        <f>SUM(C14:AG14)</f>
        <v>910</v>
      </c>
      <c r="AI14" s="1860">
        <v>52.281758241758247</v>
      </c>
      <c r="AJ14" s="1861">
        <f>AH14*AI14/100</f>
        <v>475.76400000000001</v>
      </c>
      <c r="AK14" s="1862"/>
      <c r="AL14" s="1850"/>
      <c r="AM14" s="1841"/>
      <c r="AN14" s="1841"/>
    </row>
    <row r="15" spans="1:40" s="1863" customFormat="1" ht="99" customHeight="1">
      <c r="A15" s="2528" t="s">
        <v>3243</v>
      </c>
      <c r="B15" s="2528"/>
      <c r="C15" s="1851">
        <f>C16</f>
        <v>0</v>
      </c>
      <c r="D15" s="1851">
        <f t="shared" ref="D15:AJ15" si="3">D16</f>
        <v>0</v>
      </c>
      <c r="E15" s="1851">
        <f t="shared" si="3"/>
        <v>0</v>
      </c>
      <c r="F15" s="1851">
        <f t="shared" si="3"/>
        <v>0</v>
      </c>
      <c r="G15" s="1851">
        <f t="shared" si="3"/>
        <v>0</v>
      </c>
      <c r="H15" s="1851">
        <f t="shared" si="3"/>
        <v>0</v>
      </c>
      <c r="I15" s="1852">
        <f t="shared" si="3"/>
        <v>0</v>
      </c>
      <c r="J15" s="1852">
        <f t="shared" si="3"/>
        <v>0</v>
      </c>
      <c r="K15" s="1852">
        <f t="shared" si="3"/>
        <v>0</v>
      </c>
      <c r="L15" s="1852">
        <f t="shared" si="3"/>
        <v>0</v>
      </c>
      <c r="M15" s="1852">
        <f t="shared" si="3"/>
        <v>0</v>
      </c>
      <c r="N15" s="1852">
        <f t="shared" si="3"/>
        <v>0</v>
      </c>
      <c r="O15" s="1852">
        <f t="shared" si="3"/>
        <v>0</v>
      </c>
      <c r="P15" s="1852">
        <f t="shared" si="3"/>
        <v>0</v>
      </c>
      <c r="Q15" s="1852">
        <f t="shared" si="3"/>
        <v>0</v>
      </c>
      <c r="R15" s="1852">
        <f>R16</f>
        <v>490</v>
      </c>
      <c r="S15" s="1852">
        <f t="shared" si="3"/>
        <v>0</v>
      </c>
      <c r="T15" s="1852">
        <f t="shared" si="3"/>
        <v>0</v>
      </c>
      <c r="U15" s="1852">
        <f t="shared" si="3"/>
        <v>0</v>
      </c>
      <c r="V15" s="1852">
        <f t="shared" si="3"/>
        <v>0</v>
      </c>
      <c r="W15" s="1852">
        <f t="shared" si="3"/>
        <v>0</v>
      </c>
      <c r="X15" s="1852">
        <f t="shared" si="3"/>
        <v>0</v>
      </c>
      <c r="Y15" s="1852">
        <f t="shared" si="3"/>
        <v>0</v>
      </c>
      <c r="Z15" s="1852">
        <f t="shared" si="3"/>
        <v>0</v>
      </c>
      <c r="AA15" s="1852">
        <f t="shared" si="3"/>
        <v>0</v>
      </c>
      <c r="AB15" s="1852">
        <f t="shared" si="3"/>
        <v>0</v>
      </c>
      <c r="AC15" s="1852">
        <f t="shared" si="3"/>
        <v>0</v>
      </c>
      <c r="AD15" s="1852">
        <f t="shared" si="3"/>
        <v>0</v>
      </c>
      <c r="AE15" s="1852">
        <f t="shared" si="3"/>
        <v>0</v>
      </c>
      <c r="AF15" s="1852">
        <f t="shared" si="3"/>
        <v>300</v>
      </c>
      <c r="AG15" s="1852"/>
      <c r="AH15" s="1852">
        <f t="shared" si="3"/>
        <v>790</v>
      </c>
      <c r="AI15" s="1853"/>
      <c r="AJ15" s="1852">
        <f t="shared" si="3"/>
        <v>332.00699999999989</v>
      </c>
      <c r="AK15" s="1862"/>
      <c r="AL15" s="1850"/>
    </row>
    <row r="16" spans="1:40" ht="99" customHeight="1">
      <c r="A16" s="1856">
        <v>1</v>
      </c>
      <c r="B16" s="1856" t="s">
        <v>3082</v>
      </c>
      <c r="C16" s="1856"/>
      <c r="D16" s="1856"/>
      <c r="E16" s="1856"/>
      <c r="F16" s="1856"/>
      <c r="G16" s="1856"/>
      <c r="H16" s="1856"/>
      <c r="I16" s="1858"/>
      <c r="J16" s="1858"/>
      <c r="K16" s="1858"/>
      <c r="L16" s="1858"/>
      <c r="M16" s="1858"/>
      <c r="N16" s="1858"/>
      <c r="O16" s="1858"/>
      <c r="P16" s="1858"/>
      <c r="Q16" s="1858"/>
      <c r="R16" s="1858">
        <v>490</v>
      </c>
      <c r="S16" s="1858"/>
      <c r="T16" s="1858"/>
      <c r="U16" s="1858"/>
      <c r="V16" s="1858"/>
      <c r="W16" s="1858"/>
      <c r="X16" s="1858"/>
      <c r="Y16" s="1858"/>
      <c r="Z16" s="1858"/>
      <c r="AA16" s="1858"/>
      <c r="AB16" s="1858"/>
      <c r="AC16" s="1858"/>
      <c r="AD16" s="1858"/>
      <c r="AE16" s="1858"/>
      <c r="AF16" s="1858">
        <v>300</v>
      </c>
      <c r="AG16" s="1858"/>
      <c r="AH16" s="1859">
        <f>SUM(C16:AG16)</f>
        <v>790</v>
      </c>
      <c r="AI16" s="1860">
        <v>42.026202531645559</v>
      </c>
      <c r="AJ16" s="1861">
        <f>AH16*AI16/100</f>
        <v>332.00699999999989</v>
      </c>
      <c r="AK16" s="1862"/>
      <c r="AL16" s="1850"/>
      <c r="AM16" s="1841"/>
      <c r="AN16" s="1841"/>
    </row>
    <row r="17" spans="1:44" s="1865" customFormat="1" ht="80.25" customHeight="1">
      <c r="A17" s="2527" t="s">
        <v>349</v>
      </c>
      <c r="B17" s="2527"/>
      <c r="C17" s="2034">
        <f>C13+C15</f>
        <v>0</v>
      </c>
      <c r="D17" s="2034">
        <f t="shared" ref="D17:AF17" si="4">D13+D15</f>
        <v>0</v>
      </c>
      <c r="E17" s="2034">
        <f t="shared" si="4"/>
        <v>0</v>
      </c>
      <c r="F17" s="2034">
        <f t="shared" si="4"/>
        <v>0</v>
      </c>
      <c r="G17" s="2034">
        <f t="shared" si="4"/>
        <v>0</v>
      </c>
      <c r="H17" s="2034">
        <f t="shared" si="4"/>
        <v>0</v>
      </c>
      <c r="I17" s="2034">
        <f t="shared" si="4"/>
        <v>0</v>
      </c>
      <c r="J17" s="2034">
        <f t="shared" si="4"/>
        <v>0</v>
      </c>
      <c r="K17" s="2034">
        <f t="shared" si="4"/>
        <v>0</v>
      </c>
      <c r="L17" s="2035">
        <f t="shared" si="4"/>
        <v>410</v>
      </c>
      <c r="M17" s="2034">
        <f t="shared" si="4"/>
        <v>0</v>
      </c>
      <c r="N17" s="2035">
        <f t="shared" si="4"/>
        <v>0</v>
      </c>
      <c r="O17" s="2034">
        <f t="shared" si="4"/>
        <v>0</v>
      </c>
      <c r="P17" s="2034">
        <f t="shared" si="4"/>
        <v>0</v>
      </c>
      <c r="Q17" s="2034">
        <f t="shared" si="4"/>
        <v>0</v>
      </c>
      <c r="R17" s="2035">
        <f t="shared" si="4"/>
        <v>490</v>
      </c>
      <c r="S17" s="2034">
        <f t="shared" si="4"/>
        <v>0</v>
      </c>
      <c r="T17" s="2034">
        <f t="shared" si="4"/>
        <v>0</v>
      </c>
      <c r="U17" s="2034">
        <f t="shared" si="4"/>
        <v>0</v>
      </c>
      <c r="V17" s="2034">
        <f t="shared" si="4"/>
        <v>0</v>
      </c>
      <c r="W17" s="2034">
        <f t="shared" si="4"/>
        <v>0</v>
      </c>
      <c r="X17" s="2034">
        <f t="shared" si="4"/>
        <v>0</v>
      </c>
      <c r="Y17" s="2034">
        <f t="shared" si="4"/>
        <v>0</v>
      </c>
      <c r="Z17" s="2034">
        <f t="shared" si="4"/>
        <v>0</v>
      </c>
      <c r="AA17" s="2034">
        <f t="shared" si="4"/>
        <v>0</v>
      </c>
      <c r="AB17" s="2034">
        <f t="shared" si="4"/>
        <v>0</v>
      </c>
      <c r="AC17" s="2034">
        <f t="shared" si="4"/>
        <v>0</v>
      </c>
      <c r="AD17" s="2034">
        <f t="shared" si="4"/>
        <v>0</v>
      </c>
      <c r="AE17" s="2035">
        <f t="shared" si="4"/>
        <v>500</v>
      </c>
      <c r="AF17" s="2035">
        <f t="shared" si="4"/>
        <v>300</v>
      </c>
      <c r="AG17" s="2036">
        <f t="shared" ref="AG17:AJ17" si="5">AG13+AG15</f>
        <v>0</v>
      </c>
      <c r="AH17" s="2036">
        <f t="shared" si="5"/>
        <v>1700</v>
      </c>
      <c r="AI17" s="2037"/>
      <c r="AJ17" s="2036">
        <f t="shared" si="5"/>
        <v>807.77099999999996</v>
      </c>
      <c r="AK17" s="1866" t="e">
        <f>AK13+AK15+#REF!+#REF!</f>
        <v>#REF!</v>
      </c>
      <c r="AL17" s="1864"/>
      <c r="AM17" s="1841"/>
      <c r="AN17" s="1841"/>
      <c r="AO17" s="1841"/>
      <c r="AP17" s="1841"/>
      <c r="AQ17" s="1841"/>
      <c r="AR17" s="1841"/>
    </row>
    <row r="18" spans="1:44" ht="41.25" customHeight="1">
      <c r="A18" s="1867"/>
      <c r="B18" s="1867"/>
      <c r="C18" s="1867"/>
      <c r="D18" s="1867"/>
      <c r="E18" s="1867"/>
      <c r="F18" s="1867"/>
      <c r="G18" s="1867"/>
      <c r="H18" s="1867"/>
      <c r="I18" s="1867"/>
      <c r="J18" s="1867"/>
      <c r="K18" s="1867"/>
      <c r="L18" s="1867"/>
      <c r="M18" s="1867"/>
      <c r="N18" s="1867"/>
      <c r="O18" s="1867"/>
      <c r="P18" s="1867"/>
      <c r="Q18" s="1867"/>
      <c r="R18" s="1867"/>
      <c r="S18" s="1867"/>
      <c r="T18" s="1867"/>
      <c r="U18" s="1867"/>
      <c r="V18" s="1867"/>
      <c r="W18" s="1867"/>
      <c r="X18" s="1868"/>
      <c r="Y18" s="1868"/>
      <c r="Z18" s="1868"/>
      <c r="AA18" s="1868"/>
      <c r="AB18" s="1868"/>
      <c r="AC18" s="1868"/>
      <c r="AD18" s="1868"/>
      <c r="AE18" s="1868"/>
      <c r="AF18" s="1868"/>
      <c r="AG18" s="1868"/>
      <c r="AH18" s="1868"/>
      <c r="AI18" s="1868"/>
      <c r="AJ18" s="1868"/>
      <c r="AK18" s="1868"/>
      <c r="AL18" s="1841"/>
      <c r="AM18" s="1841"/>
      <c r="AN18" s="1841"/>
    </row>
    <row r="19" spans="1:44" ht="79.5" customHeight="1">
      <c r="A19" s="1867"/>
      <c r="B19" s="1869"/>
      <c r="C19" s="1869"/>
      <c r="D19" s="1869"/>
      <c r="E19" s="1869"/>
      <c r="F19" s="1869"/>
      <c r="G19" s="1869"/>
      <c r="H19" s="1869"/>
      <c r="I19" s="1869"/>
      <c r="J19" s="1869"/>
      <c r="K19" s="1869"/>
      <c r="L19" s="1869"/>
      <c r="M19" s="1869"/>
      <c r="N19" s="1869"/>
      <c r="O19" s="1869"/>
      <c r="P19" s="1869"/>
      <c r="Q19" s="1869"/>
      <c r="R19" s="1869"/>
      <c r="S19" s="1869"/>
      <c r="T19" s="1869"/>
      <c r="U19" s="1869"/>
      <c r="V19" s="1869"/>
      <c r="W19" s="1869"/>
      <c r="X19" s="2525"/>
      <c r="Y19" s="2525"/>
      <c r="Z19" s="2525"/>
      <c r="AA19" s="2525"/>
      <c r="AB19" s="2525"/>
      <c r="AC19" s="2525"/>
      <c r="AD19" s="2525"/>
      <c r="AE19" s="2525"/>
      <c r="AF19" s="2525"/>
      <c r="AG19" s="2525"/>
      <c r="AH19" s="2525"/>
      <c r="AI19" s="2525"/>
      <c r="AJ19" s="2525"/>
      <c r="AK19" s="2525"/>
      <c r="AL19" s="1841"/>
      <c r="AM19" s="1841"/>
      <c r="AN19" s="1841"/>
    </row>
    <row r="20" spans="1:44" ht="106.5" customHeight="1">
      <c r="A20" s="1867"/>
      <c r="B20" s="2529" t="s">
        <v>614</v>
      </c>
      <c r="C20" s="2529"/>
      <c r="D20" s="2529"/>
      <c r="E20" s="2529"/>
      <c r="F20" s="1844"/>
      <c r="G20" s="1844"/>
      <c r="H20" s="1845"/>
      <c r="I20" s="1870"/>
      <c r="J20" s="1844" t="s">
        <v>3241</v>
      </c>
      <c r="K20" s="1870"/>
      <c r="L20" s="1844"/>
      <c r="M20" s="1845"/>
      <c r="N20" s="1870"/>
      <c r="O20" s="1870"/>
      <c r="Q20" s="1870"/>
      <c r="R20" s="1870" t="s">
        <v>1946</v>
      </c>
      <c r="S20" s="1870"/>
      <c r="T20" s="1870"/>
      <c r="U20" s="1845"/>
      <c r="V20" s="1845"/>
      <c r="W20" s="1844"/>
      <c r="Y20" s="1844"/>
      <c r="Z20" s="1844" t="s">
        <v>2086</v>
      </c>
      <c r="AA20" s="1844"/>
      <c r="AB20" s="1844"/>
      <c r="AC20" s="1870"/>
      <c r="AE20" s="1870"/>
      <c r="AG20" s="1870"/>
      <c r="AH20" s="2529" t="s">
        <v>1947</v>
      </c>
      <c r="AI20" s="2529"/>
      <c r="AJ20" s="2529"/>
      <c r="AK20" s="2529"/>
      <c r="AL20" s="1870"/>
      <c r="AM20" s="1841"/>
      <c r="AN20" s="1841"/>
    </row>
    <row r="21" spans="1:44" ht="28.5" customHeight="1">
      <c r="A21" s="1867"/>
      <c r="B21" s="1869"/>
      <c r="C21" s="1869"/>
      <c r="D21" s="1869"/>
      <c r="E21" s="1869"/>
      <c r="F21" s="1869"/>
      <c r="G21" s="1869"/>
      <c r="H21" s="1869"/>
      <c r="I21" s="1869"/>
      <c r="J21" s="1869"/>
      <c r="K21" s="1869"/>
      <c r="L21" s="1869"/>
      <c r="M21" s="1869"/>
      <c r="N21" s="1869"/>
      <c r="O21" s="1869"/>
      <c r="P21" s="1869"/>
      <c r="Q21" s="1869"/>
      <c r="R21" s="1869"/>
      <c r="S21" s="1869"/>
      <c r="T21" s="1869"/>
      <c r="U21" s="1869"/>
      <c r="V21" s="1869"/>
      <c r="W21" s="1869"/>
      <c r="X21" s="1871"/>
      <c r="Y21" s="1871"/>
      <c r="Z21" s="1871"/>
      <c r="AA21" s="1871"/>
      <c r="AB21" s="1871"/>
      <c r="AC21" s="1871"/>
      <c r="AD21" s="1871"/>
      <c r="AE21" s="1871"/>
      <c r="AF21" s="1871"/>
      <c r="AG21" s="1871"/>
      <c r="AH21" s="1871"/>
      <c r="AI21" s="1871"/>
      <c r="AJ21" s="1871"/>
      <c r="AK21" s="1845"/>
      <c r="AL21" s="1841"/>
      <c r="AM21" s="1841"/>
      <c r="AN21" s="1841"/>
    </row>
    <row r="22" spans="1:44" ht="28.5" customHeight="1">
      <c r="A22" s="1867"/>
      <c r="B22" s="1869"/>
      <c r="C22" s="1869"/>
      <c r="D22" s="1869"/>
      <c r="E22" s="1869"/>
      <c r="F22" s="1869"/>
      <c r="G22" s="1869"/>
      <c r="H22" s="1869"/>
      <c r="I22" s="1869"/>
      <c r="J22" s="1869"/>
      <c r="K22" s="1869"/>
      <c r="L22" s="1869"/>
      <c r="M22" s="1869"/>
      <c r="N22" s="1869"/>
      <c r="O22" s="1869"/>
      <c r="P22" s="1869"/>
      <c r="Q22" s="1869"/>
      <c r="R22" s="1869"/>
      <c r="S22" s="1869"/>
      <c r="T22" s="1869"/>
      <c r="U22" s="1869"/>
      <c r="V22" s="1869"/>
      <c r="W22" s="1869"/>
      <c r="X22" s="1871"/>
      <c r="Y22" s="1871"/>
      <c r="Z22" s="1871"/>
      <c r="AA22" s="1871"/>
      <c r="AB22" s="1871"/>
      <c r="AC22" s="1871"/>
      <c r="AD22" s="1871"/>
      <c r="AE22" s="1871"/>
      <c r="AF22" s="1871"/>
      <c r="AG22" s="1871"/>
      <c r="AH22" s="1871"/>
      <c r="AI22" s="1871"/>
      <c r="AJ22" s="1871"/>
      <c r="AK22" s="1845"/>
      <c r="AL22" s="1841"/>
      <c r="AM22" s="1841"/>
      <c r="AN22" s="1841"/>
    </row>
    <row r="23" spans="1:44" ht="28.5" customHeight="1">
      <c r="A23" s="1867"/>
      <c r="B23" s="1869"/>
      <c r="C23" s="1869"/>
      <c r="D23" s="1869"/>
      <c r="E23" s="1869"/>
      <c r="F23" s="1869"/>
      <c r="G23" s="1869"/>
      <c r="H23" s="1869"/>
      <c r="I23" s="1869"/>
      <c r="J23" s="1869"/>
      <c r="K23" s="1869"/>
      <c r="L23" s="1869"/>
      <c r="M23" s="1869"/>
      <c r="N23" s="1869"/>
      <c r="O23" s="1869"/>
      <c r="P23" s="1869"/>
      <c r="Q23" s="1869"/>
      <c r="R23" s="1869"/>
      <c r="S23" s="1869"/>
      <c r="T23" s="1869"/>
      <c r="U23" s="1869"/>
      <c r="V23" s="1869"/>
      <c r="W23" s="1869"/>
      <c r="X23" s="1871"/>
      <c r="Y23" s="1871"/>
      <c r="Z23" s="1871"/>
      <c r="AA23" s="1871"/>
      <c r="AB23" s="1871"/>
      <c r="AC23" s="1871"/>
      <c r="AD23" s="1871"/>
      <c r="AE23" s="1871"/>
      <c r="AF23" s="1871"/>
      <c r="AG23" s="1871"/>
      <c r="AH23" s="1871"/>
      <c r="AI23" s="1871"/>
      <c r="AJ23" s="1871"/>
      <c r="AK23" s="1845"/>
      <c r="AL23" s="1841"/>
      <c r="AM23" s="1841"/>
      <c r="AN23" s="1841"/>
    </row>
    <row r="24" spans="1:44" ht="28.5" customHeight="1">
      <c r="A24" s="1867"/>
      <c r="B24" s="1869"/>
      <c r="C24" s="1869"/>
      <c r="D24" s="1869"/>
      <c r="E24" s="1869"/>
      <c r="F24" s="1869"/>
      <c r="G24" s="1869"/>
      <c r="H24" s="1869"/>
      <c r="I24" s="1869"/>
      <c r="J24" s="1869"/>
      <c r="K24" s="1869"/>
      <c r="L24" s="1869"/>
      <c r="M24" s="1869"/>
      <c r="N24" s="1869"/>
      <c r="O24" s="1869"/>
      <c r="P24" s="1869"/>
      <c r="Q24" s="1869"/>
      <c r="R24" s="1869"/>
      <c r="S24" s="1869"/>
      <c r="T24" s="1869"/>
      <c r="U24" s="1869"/>
      <c r="V24" s="1869"/>
      <c r="W24" s="1869"/>
      <c r="X24" s="1871"/>
      <c r="Y24" s="1871"/>
      <c r="Z24" s="1871"/>
      <c r="AA24" s="1871"/>
      <c r="AB24" s="1871"/>
      <c r="AC24" s="1871"/>
      <c r="AD24" s="1871"/>
      <c r="AE24" s="1871"/>
      <c r="AF24" s="1871"/>
      <c r="AG24" s="1871"/>
      <c r="AH24" s="1871"/>
      <c r="AI24" s="1871"/>
      <c r="AJ24" s="1871"/>
      <c r="AK24" s="1845"/>
      <c r="AL24" s="1841"/>
      <c r="AM24" s="1841"/>
      <c r="AN24" s="1841"/>
    </row>
    <row r="25" spans="1:44" ht="28.5" customHeight="1">
      <c r="A25" s="1867"/>
      <c r="B25" s="1869"/>
      <c r="C25" s="1869"/>
      <c r="D25" s="1869"/>
      <c r="E25" s="1869"/>
      <c r="F25" s="1869"/>
      <c r="G25" s="1869"/>
      <c r="H25" s="1869"/>
      <c r="I25" s="1869"/>
      <c r="J25" s="1869"/>
      <c r="K25" s="1869"/>
      <c r="L25" s="1869"/>
      <c r="M25" s="1869"/>
      <c r="N25" s="1869"/>
      <c r="O25" s="1869"/>
      <c r="P25" s="1869"/>
      <c r="Q25" s="1869"/>
      <c r="R25" s="1869"/>
      <c r="S25" s="1869"/>
      <c r="T25" s="1869"/>
      <c r="U25" s="1869"/>
      <c r="V25" s="1869"/>
      <c r="W25" s="1869"/>
      <c r="X25" s="1871"/>
      <c r="Y25" s="1871"/>
      <c r="Z25" s="1871"/>
      <c r="AA25" s="1871"/>
      <c r="AB25" s="1871"/>
      <c r="AC25" s="1871"/>
      <c r="AD25" s="1871"/>
      <c r="AE25" s="1871"/>
      <c r="AF25" s="1871"/>
      <c r="AG25" s="1871"/>
      <c r="AH25" s="1871"/>
      <c r="AI25" s="1871"/>
      <c r="AJ25" s="1871"/>
      <c r="AK25" s="1845"/>
      <c r="AL25" s="1841"/>
      <c r="AM25" s="1841"/>
      <c r="AN25" s="1841"/>
    </row>
    <row r="26" spans="1:44" ht="28.5" customHeight="1">
      <c r="A26" s="1867"/>
      <c r="B26" s="1869"/>
      <c r="C26" s="1869"/>
      <c r="D26" s="1869"/>
      <c r="E26" s="1869"/>
      <c r="F26" s="1869"/>
      <c r="G26" s="1869"/>
      <c r="H26" s="1869"/>
      <c r="I26" s="1869"/>
      <c r="J26" s="1869"/>
      <c r="K26" s="1869"/>
      <c r="L26" s="1869"/>
      <c r="M26" s="1869"/>
      <c r="N26" s="1869"/>
      <c r="O26" s="1869"/>
      <c r="P26" s="1869"/>
      <c r="Q26" s="1869"/>
      <c r="R26" s="1869"/>
      <c r="S26" s="1869"/>
      <c r="T26" s="1869"/>
      <c r="U26" s="1869"/>
      <c r="V26" s="1869"/>
      <c r="W26" s="1869"/>
      <c r="X26" s="1871"/>
      <c r="Y26" s="1871"/>
      <c r="Z26" s="1871"/>
      <c r="AA26" s="1871"/>
      <c r="AB26" s="1871"/>
      <c r="AC26" s="1871"/>
      <c r="AD26" s="1871"/>
      <c r="AE26" s="1871"/>
      <c r="AF26" s="1871"/>
      <c r="AG26" s="1871"/>
      <c r="AH26" s="1871"/>
      <c r="AI26" s="1871"/>
      <c r="AJ26" s="1871"/>
      <c r="AK26" s="1845"/>
      <c r="AL26" s="1841"/>
      <c r="AM26" s="1841"/>
      <c r="AN26" s="1841"/>
    </row>
    <row r="27" spans="1:44" ht="28.5" customHeight="1">
      <c r="A27" s="1867"/>
      <c r="B27" s="1869"/>
      <c r="C27" s="1869"/>
      <c r="D27" s="1869"/>
      <c r="E27" s="1869"/>
      <c r="F27" s="1869"/>
      <c r="G27" s="1869"/>
      <c r="H27" s="1869"/>
      <c r="I27" s="1869"/>
      <c r="J27" s="1869"/>
      <c r="K27" s="1869"/>
      <c r="L27" s="1869"/>
      <c r="M27" s="1869"/>
      <c r="N27" s="1869"/>
      <c r="O27" s="1869"/>
      <c r="P27" s="1869"/>
      <c r="Q27" s="1869"/>
      <c r="R27" s="1869"/>
      <c r="S27" s="1869"/>
      <c r="T27" s="1869"/>
      <c r="U27" s="1869"/>
      <c r="V27" s="1869"/>
      <c r="W27" s="1869"/>
      <c r="X27" s="1871"/>
      <c r="Y27" s="1871"/>
      <c r="Z27" s="1871"/>
      <c r="AA27" s="1871"/>
      <c r="AB27" s="1871"/>
      <c r="AC27" s="1871"/>
      <c r="AD27" s="1871"/>
      <c r="AE27" s="1871"/>
      <c r="AF27" s="1871"/>
      <c r="AG27" s="1871"/>
      <c r="AH27" s="1871"/>
      <c r="AI27" s="1871"/>
      <c r="AJ27" s="1871"/>
      <c r="AK27" s="1845"/>
      <c r="AL27" s="1841"/>
      <c r="AM27" s="1841"/>
      <c r="AN27" s="1841"/>
    </row>
    <row r="28" spans="1:44" ht="85.5" customHeight="1">
      <c r="A28" s="1867"/>
      <c r="B28" s="1869"/>
      <c r="C28" s="1869"/>
      <c r="D28" s="1869"/>
      <c r="E28" s="1869"/>
      <c r="F28" s="1869"/>
      <c r="G28" s="1869"/>
      <c r="H28" s="1869"/>
      <c r="I28" s="1869"/>
      <c r="J28" s="1869"/>
      <c r="K28" s="1869"/>
      <c r="L28" s="1869"/>
      <c r="M28" s="1869"/>
      <c r="N28" s="1869"/>
      <c r="O28" s="1869"/>
      <c r="P28" s="1869"/>
      <c r="Q28" s="1869"/>
      <c r="R28" s="1869"/>
      <c r="S28" s="1869"/>
      <c r="T28" s="1869"/>
      <c r="U28" s="1869"/>
      <c r="V28" s="1869"/>
      <c r="W28" s="1869"/>
      <c r="X28" s="1871"/>
      <c r="Y28" s="1871"/>
      <c r="Z28" s="1871"/>
      <c r="AA28" s="1871"/>
      <c r="AB28" s="1871"/>
      <c r="AC28" s="1871"/>
      <c r="AE28" s="1845"/>
      <c r="AG28" s="1845"/>
      <c r="AH28" s="2530" t="s">
        <v>3099</v>
      </c>
      <c r="AI28" s="2530"/>
      <c r="AJ28" s="2530"/>
      <c r="AK28" s="2530"/>
      <c r="AL28" s="1841"/>
      <c r="AM28" s="1841"/>
      <c r="AN28" s="1841"/>
    </row>
    <row r="29" spans="1:44" ht="28.5" customHeight="1">
      <c r="A29" s="1867"/>
      <c r="B29" s="1869"/>
      <c r="C29" s="1869"/>
      <c r="D29" s="1869"/>
      <c r="E29" s="1869"/>
      <c r="F29" s="1869"/>
      <c r="G29" s="1869"/>
      <c r="H29" s="1869"/>
      <c r="I29" s="1869"/>
      <c r="J29" s="1869"/>
      <c r="K29" s="1869"/>
      <c r="L29" s="1869"/>
      <c r="M29" s="1869"/>
      <c r="N29" s="1869"/>
      <c r="O29" s="1869"/>
      <c r="P29" s="1869"/>
      <c r="Q29" s="1869"/>
      <c r="R29" s="1869"/>
      <c r="S29" s="1869"/>
      <c r="T29" s="1869"/>
      <c r="U29" s="1869"/>
      <c r="V29" s="1869"/>
      <c r="W29" s="1869"/>
      <c r="X29" s="1871"/>
      <c r="Y29" s="1871"/>
      <c r="Z29" s="1871"/>
      <c r="AA29" s="1871"/>
      <c r="AB29" s="1871"/>
      <c r="AC29" s="1871"/>
      <c r="AD29" s="1871"/>
      <c r="AE29" s="1871"/>
      <c r="AF29" s="1871"/>
      <c r="AG29" s="1871"/>
      <c r="AH29" s="1871"/>
      <c r="AI29" s="1871"/>
      <c r="AJ29" s="1871"/>
      <c r="AK29" s="1845"/>
      <c r="AL29" s="1841"/>
      <c r="AM29" s="1841"/>
      <c r="AN29" s="1841"/>
    </row>
    <row r="30" spans="1:44" ht="28.5" customHeight="1">
      <c r="A30" s="1872"/>
      <c r="B30" s="1869"/>
      <c r="C30" s="1869"/>
      <c r="D30" s="1869"/>
      <c r="E30" s="1869"/>
      <c r="F30" s="1869"/>
      <c r="G30" s="1869"/>
      <c r="H30" s="1869"/>
      <c r="I30" s="1869"/>
      <c r="J30" s="1869"/>
      <c r="K30" s="1869"/>
      <c r="L30" s="1869"/>
      <c r="M30" s="1869"/>
      <c r="N30" s="1869"/>
      <c r="O30" s="1869"/>
      <c r="P30" s="1869"/>
      <c r="Q30" s="1869"/>
      <c r="R30" s="1869"/>
      <c r="S30" s="1869"/>
      <c r="T30" s="1869"/>
      <c r="U30" s="1869"/>
      <c r="V30" s="1869"/>
      <c r="W30" s="1869"/>
      <c r="X30" s="1871"/>
      <c r="Y30" s="1871"/>
      <c r="Z30" s="1871"/>
      <c r="AA30" s="1871"/>
      <c r="AB30" s="1871"/>
      <c r="AC30" s="1871"/>
      <c r="AD30" s="1871"/>
      <c r="AE30" s="1871"/>
      <c r="AF30" s="1871"/>
      <c r="AG30" s="1871"/>
      <c r="AH30" s="1871"/>
      <c r="AI30" s="1871"/>
      <c r="AJ30" s="1871"/>
      <c r="AK30" s="1845"/>
      <c r="AL30" s="1841"/>
      <c r="AM30" s="1841"/>
      <c r="AN30" s="1841"/>
    </row>
    <row r="31" spans="1:44" ht="28.5" customHeight="1">
      <c r="A31" s="1872"/>
      <c r="B31" s="1869"/>
      <c r="C31" s="1869"/>
      <c r="D31" s="1869"/>
      <c r="E31" s="1869"/>
      <c r="F31" s="1869"/>
      <c r="G31" s="1869"/>
      <c r="H31" s="1869"/>
      <c r="I31" s="1869"/>
      <c r="J31" s="1869"/>
      <c r="K31" s="1869"/>
      <c r="L31" s="1869"/>
      <c r="M31" s="1869"/>
      <c r="N31" s="1869"/>
      <c r="O31" s="1869"/>
      <c r="P31" s="1869"/>
      <c r="Q31" s="1869"/>
      <c r="R31" s="1869"/>
      <c r="S31" s="1869"/>
      <c r="T31" s="1869"/>
      <c r="U31" s="1869"/>
      <c r="V31" s="1869"/>
      <c r="W31" s="1869"/>
      <c r="X31" s="1871"/>
      <c r="Y31" s="1871"/>
      <c r="Z31" s="1871"/>
      <c r="AA31" s="1871"/>
      <c r="AB31" s="2525"/>
      <c r="AC31" s="2525"/>
      <c r="AD31" s="1871"/>
      <c r="AE31" s="1871"/>
      <c r="AF31" s="1871"/>
      <c r="AG31" s="1871"/>
      <c r="AH31" s="1871"/>
      <c r="AI31" s="1871"/>
      <c r="AJ31" s="1871"/>
      <c r="AK31" s="1845"/>
      <c r="AL31" s="1841"/>
      <c r="AM31" s="1841"/>
      <c r="AN31" s="1841"/>
    </row>
    <row r="32" spans="1:44" ht="28.5" customHeight="1">
      <c r="A32" s="1872"/>
      <c r="B32" s="1869"/>
      <c r="C32" s="1869"/>
      <c r="D32" s="1869"/>
      <c r="E32" s="1869"/>
      <c r="F32" s="1869"/>
      <c r="G32" s="1869"/>
      <c r="H32" s="1869"/>
      <c r="I32" s="1869"/>
      <c r="J32" s="1869"/>
      <c r="K32" s="1869"/>
      <c r="L32" s="1869"/>
      <c r="M32" s="1869"/>
      <c r="N32" s="1869"/>
      <c r="O32" s="1869"/>
      <c r="P32" s="1869"/>
      <c r="Q32" s="1869"/>
      <c r="R32" s="1869"/>
      <c r="S32" s="1869"/>
      <c r="T32" s="1869"/>
      <c r="U32" s="1869"/>
      <c r="V32" s="1869"/>
      <c r="W32" s="1869"/>
      <c r="X32" s="1871"/>
      <c r="Y32" s="1871"/>
      <c r="Z32" s="1871"/>
      <c r="AA32" s="1871"/>
      <c r="AB32" s="1871"/>
      <c r="AC32" s="1871"/>
      <c r="AD32" s="1871"/>
      <c r="AE32" s="1871"/>
      <c r="AF32" s="1871"/>
      <c r="AG32" s="1871"/>
      <c r="AH32" s="1871"/>
      <c r="AI32" s="1871"/>
      <c r="AJ32" s="1871"/>
      <c r="AK32" s="1845"/>
      <c r="AL32" s="1841"/>
      <c r="AM32" s="1841"/>
      <c r="AN32" s="1841"/>
    </row>
    <row r="33" spans="1:40" ht="28.5" customHeight="1">
      <c r="A33" s="1872"/>
      <c r="B33" s="1872"/>
      <c r="C33" s="1872"/>
      <c r="D33" s="1872"/>
      <c r="E33" s="1872"/>
      <c r="F33" s="1872"/>
      <c r="G33" s="1872"/>
      <c r="H33" s="1872"/>
      <c r="I33" s="1872"/>
      <c r="J33" s="1872"/>
      <c r="K33" s="1872"/>
      <c r="L33" s="1872"/>
      <c r="M33" s="1872"/>
      <c r="N33" s="1872"/>
      <c r="O33" s="1872"/>
      <c r="P33" s="1872"/>
      <c r="Q33" s="1872"/>
      <c r="R33" s="1872"/>
      <c r="S33" s="1872"/>
      <c r="T33" s="1872"/>
      <c r="U33" s="1872"/>
      <c r="V33" s="1872"/>
      <c r="W33" s="1872"/>
      <c r="X33" s="1873"/>
      <c r="Y33" s="1873"/>
      <c r="Z33" s="1873"/>
      <c r="AA33" s="1873"/>
      <c r="AB33" s="1873"/>
      <c r="AC33" s="1873"/>
      <c r="AD33" s="1873"/>
      <c r="AE33" s="1873"/>
      <c r="AF33" s="1873"/>
      <c r="AG33" s="1873"/>
      <c r="AH33" s="1873"/>
      <c r="AI33" s="1873"/>
      <c r="AJ33" s="1873"/>
      <c r="AK33" s="1874"/>
      <c r="AL33" s="1841"/>
      <c r="AM33" s="1841"/>
      <c r="AN33" s="1841"/>
    </row>
    <row r="34" spans="1:40" ht="28.5" customHeight="1">
      <c r="A34" s="1872"/>
      <c r="B34" s="1872"/>
      <c r="C34" s="1872"/>
      <c r="D34" s="1872"/>
      <c r="E34" s="1872"/>
      <c r="F34" s="1872"/>
      <c r="G34" s="1872"/>
      <c r="H34" s="1872"/>
      <c r="I34" s="1872"/>
      <c r="J34" s="1872"/>
      <c r="K34" s="1872"/>
      <c r="L34" s="1872"/>
      <c r="M34" s="1872"/>
      <c r="N34" s="1872"/>
      <c r="O34" s="1872"/>
      <c r="P34" s="1872"/>
      <c r="Q34" s="1872"/>
      <c r="R34" s="1872"/>
      <c r="S34" s="1872"/>
      <c r="T34" s="1872"/>
      <c r="U34" s="1872"/>
      <c r="V34" s="1872"/>
      <c r="W34" s="1872"/>
      <c r="X34" s="1873"/>
      <c r="Y34" s="1873"/>
      <c r="Z34" s="1873"/>
      <c r="AA34" s="1873"/>
      <c r="AB34" s="1873"/>
      <c r="AC34" s="1873"/>
      <c r="AD34" s="1873"/>
      <c r="AE34" s="1873"/>
      <c r="AF34" s="1873"/>
      <c r="AG34" s="1873"/>
      <c r="AH34" s="1873"/>
      <c r="AI34" s="1873"/>
      <c r="AJ34" s="1873"/>
      <c r="AK34" s="1874"/>
      <c r="AL34" s="1841"/>
      <c r="AM34" s="1841"/>
      <c r="AN34" s="1841"/>
    </row>
    <row r="35" spans="1:40" ht="28.5" customHeight="1">
      <c r="A35" s="1872"/>
      <c r="B35" s="1872"/>
      <c r="C35" s="1872"/>
      <c r="D35" s="1872"/>
      <c r="E35" s="1872"/>
      <c r="F35" s="1872"/>
      <c r="G35" s="1872"/>
      <c r="H35" s="1872"/>
      <c r="I35" s="1872"/>
      <c r="J35" s="1872"/>
      <c r="K35" s="1872"/>
      <c r="L35" s="1872"/>
      <c r="M35" s="1872"/>
      <c r="N35" s="1872"/>
      <c r="O35" s="1872"/>
      <c r="P35" s="1872"/>
      <c r="Q35" s="1872"/>
      <c r="R35" s="1872"/>
      <c r="S35" s="1872"/>
      <c r="T35" s="1872"/>
      <c r="U35" s="1872"/>
      <c r="V35" s="1872"/>
      <c r="W35" s="1872"/>
      <c r="X35" s="1873"/>
      <c r="Y35" s="1873"/>
      <c r="Z35" s="1873"/>
      <c r="AA35" s="1873"/>
      <c r="AB35" s="1873"/>
      <c r="AC35" s="1873"/>
      <c r="AD35" s="1873"/>
      <c r="AE35" s="1873"/>
      <c r="AF35" s="1873"/>
      <c r="AG35" s="1873"/>
      <c r="AH35" s="1873"/>
      <c r="AI35" s="1873"/>
      <c r="AJ35" s="1873"/>
      <c r="AK35" s="1874"/>
      <c r="AL35" s="1841"/>
      <c r="AM35" s="1841"/>
      <c r="AN35" s="1841"/>
    </row>
    <row r="36" spans="1:40" ht="28.5" customHeight="1">
      <c r="A36" s="1872"/>
      <c r="B36" s="1872"/>
      <c r="C36" s="1872"/>
      <c r="D36" s="1872"/>
      <c r="E36" s="1872"/>
      <c r="F36" s="1872"/>
      <c r="G36" s="1872"/>
      <c r="H36" s="1872"/>
      <c r="I36" s="1872"/>
      <c r="J36" s="1872"/>
      <c r="K36" s="1872"/>
      <c r="L36" s="1872"/>
      <c r="M36" s="1872"/>
      <c r="N36" s="1872"/>
      <c r="O36" s="1872"/>
      <c r="P36" s="1872"/>
      <c r="Q36" s="1872"/>
      <c r="R36" s="1872"/>
      <c r="S36" s="1872"/>
      <c r="T36" s="1872"/>
      <c r="U36" s="1872"/>
      <c r="V36" s="1872"/>
      <c r="W36" s="1872"/>
      <c r="X36" s="1873"/>
      <c r="Y36" s="1873"/>
      <c r="Z36" s="1873"/>
      <c r="AA36" s="1873"/>
      <c r="AB36" s="1873"/>
      <c r="AC36" s="1873"/>
      <c r="AD36" s="1873"/>
      <c r="AE36" s="1873"/>
      <c r="AF36" s="1873"/>
      <c r="AG36" s="1873"/>
      <c r="AH36" s="1873"/>
      <c r="AI36" s="1873"/>
      <c r="AJ36" s="1873"/>
      <c r="AK36" s="1874"/>
      <c r="AL36" s="1841"/>
      <c r="AM36" s="1841"/>
      <c r="AN36" s="1841"/>
    </row>
    <row r="37" spans="1:40" ht="28.5" customHeight="1">
      <c r="A37" s="1872"/>
      <c r="B37" s="1872"/>
      <c r="C37" s="1872"/>
      <c r="D37" s="1872"/>
      <c r="E37" s="1872"/>
      <c r="F37" s="1872"/>
      <c r="G37" s="1872"/>
      <c r="H37" s="1872"/>
      <c r="I37" s="1872"/>
      <c r="J37" s="1872"/>
      <c r="K37" s="1872"/>
      <c r="L37" s="1872"/>
      <c r="M37" s="1872"/>
      <c r="N37" s="1872"/>
      <c r="O37" s="1872"/>
      <c r="P37" s="1872"/>
      <c r="Q37" s="1872"/>
      <c r="R37" s="1872"/>
      <c r="S37" s="1872"/>
      <c r="T37" s="1872"/>
      <c r="U37" s="1872"/>
      <c r="V37" s="1872"/>
      <c r="W37" s="1872"/>
      <c r="X37" s="1873"/>
      <c r="Y37" s="1873"/>
      <c r="Z37" s="1873"/>
      <c r="AA37" s="1873"/>
      <c r="AB37" s="1873"/>
      <c r="AC37" s="1873"/>
      <c r="AD37" s="1873"/>
      <c r="AE37" s="1873"/>
      <c r="AF37" s="1873"/>
      <c r="AG37" s="1873"/>
      <c r="AH37" s="1873"/>
      <c r="AI37" s="1873"/>
      <c r="AJ37" s="1873"/>
      <c r="AK37" s="1874"/>
      <c r="AL37" s="1841"/>
      <c r="AM37" s="1841"/>
      <c r="AN37" s="1841"/>
    </row>
    <row r="38" spans="1:40" ht="28.5" customHeight="1">
      <c r="A38" s="1872"/>
      <c r="B38" s="1872"/>
      <c r="C38" s="1872"/>
      <c r="D38" s="1872"/>
      <c r="E38" s="1872"/>
      <c r="F38" s="1872"/>
      <c r="G38" s="1872"/>
      <c r="H38" s="1872"/>
      <c r="I38" s="1872"/>
      <c r="J38" s="1872"/>
      <c r="K38" s="1872"/>
      <c r="L38" s="1872"/>
      <c r="M38" s="1872"/>
      <c r="N38" s="1872"/>
      <c r="O38" s="1872"/>
      <c r="P38" s="1872"/>
      <c r="Q38" s="1872"/>
      <c r="R38" s="1872"/>
      <c r="S38" s="1872"/>
      <c r="T38" s="1872"/>
      <c r="U38" s="1872"/>
      <c r="V38" s="1872"/>
      <c r="W38" s="1872"/>
      <c r="X38" s="1873"/>
      <c r="Y38" s="1873"/>
      <c r="Z38" s="1873"/>
      <c r="AA38" s="1873"/>
      <c r="AB38" s="1873"/>
      <c r="AC38" s="1873"/>
      <c r="AD38" s="1873"/>
      <c r="AE38" s="1873"/>
      <c r="AF38" s="1873"/>
      <c r="AG38" s="1873"/>
      <c r="AH38" s="1873"/>
      <c r="AI38" s="1873"/>
      <c r="AJ38" s="1873"/>
      <c r="AK38" s="1874"/>
      <c r="AL38" s="1841"/>
      <c r="AM38" s="1841"/>
      <c r="AN38" s="1841"/>
    </row>
    <row r="39" spans="1:40" ht="28.5" customHeight="1">
      <c r="A39" s="1872"/>
      <c r="B39" s="1872"/>
      <c r="C39" s="1872"/>
      <c r="D39" s="1872"/>
      <c r="E39" s="1872"/>
      <c r="F39" s="1872"/>
      <c r="G39" s="1872"/>
      <c r="H39" s="1872"/>
      <c r="I39" s="1872"/>
      <c r="J39" s="1872"/>
      <c r="K39" s="1872"/>
      <c r="L39" s="1872"/>
      <c r="M39" s="1872"/>
      <c r="N39" s="1872"/>
      <c r="O39" s="1872"/>
      <c r="P39" s="1872"/>
      <c r="Q39" s="1872"/>
      <c r="R39" s="1872"/>
      <c r="S39" s="1872"/>
      <c r="T39" s="1872"/>
      <c r="U39" s="1872"/>
      <c r="V39" s="1872"/>
      <c r="W39" s="1872"/>
      <c r="X39" s="1873"/>
      <c r="Y39" s="1873"/>
      <c r="Z39" s="1873"/>
      <c r="AA39" s="1873"/>
      <c r="AB39" s="1873"/>
      <c r="AC39" s="1873"/>
      <c r="AD39" s="1873"/>
      <c r="AE39" s="1873"/>
      <c r="AF39" s="1873"/>
      <c r="AG39" s="1873"/>
      <c r="AH39" s="1873"/>
      <c r="AI39" s="1873"/>
      <c r="AJ39" s="1873"/>
      <c r="AK39" s="1874"/>
      <c r="AL39" s="1841"/>
      <c r="AM39" s="1841"/>
      <c r="AN39" s="1841"/>
    </row>
    <row r="40" spans="1:40" ht="28.5" customHeight="1">
      <c r="A40" s="1872"/>
      <c r="B40" s="1872"/>
      <c r="C40" s="1872"/>
      <c r="D40" s="1872"/>
      <c r="E40" s="1872"/>
      <c r="F40" s="1872"/>
      <c r="G40" s="1872"/>
      <c r="H40" s="1872"/>
      <c r="I40" s="1872"/>
      <c r="J40" s="1872"/>
      <c r="K40" s="1872"/>
      <c r="L40" s="1872"/>
      <c r="M40" s="1872"/>
      <c r="N40" s="1872"/>
      <c r="O40" s="1872"/>
      <c r="P40" s="1872"/>
      <c r="Q40" s="1872"/>
      <c r="R40" s="1872"/>
      <c r="S40" s="1872"/>
      <c r="T40" s="1872"/>
      <c r="U40" s="1872"/>
      <c r="V40" s="1872"/>
      <c r="W40" s="1872"/>
      <c r="X40" s="1873"/>
      <c r="Y40" s="1873"/>
      <c r="Z40" s="1873"/>
      <c r="AA40" s="1873"/>
      <c r="AB40" s="1873"/>
      <c r="AC40" s="1873"/>
      <c r="AD40" s="1873"/>
      <c r="AE40" s="1873"/>
      <c r="AF40" s="1873"/>
      <c r="AG40" s="1873"/>
      <c r="AH40" s="1873"/>
      <c r="AI40" s="1873"/>
      <c r="AJ40" s="1873"/>
      <c r="AK40" s="1874"/>
      <c r="AL40" s="1841"/>
      <c r="AM40" s="1841"/>
      <c r="AN40" s="1841"/>
    </row>
    <row r="41" spans="1:40" ht="28.5" customHeight="1">
      <c r="A41" s="1872"/>
      <c r="B41" s="1872"/>
      <c r="C41" s="1872"/>
      <c r="D41" s="1872"/>
      <c r="E41" s="1872"/>
      <c r="F41" s="1872"/>
      <c r="G41" s="1872"/>
      <c r="H41" s="1872"/>
      <c r="I41" s="1872"/>
      <c r="J41" s="1872"/>
      <c r="K41" s="1872"/>
      <c r="L41" s="1872"/>
      <c r="M41" s="1872"/>
      <c r="N41" s="1872"/>
      <c r="O41" s="1872"/>
      <c r="P41" s="1872"/>
      <c r="Q41" s="1872"/>
      <c r="R41" s="1872"/>
      <c r="S41" s="1872"/>
      <c r="T41" s="1872"/>
      <c r="U41" s="1872"/>
      <c r="V41" s="1872"/>
      <c r="W41" s="1872"/>
      <c r="X41" s="1873"/>
      <c r="Y41" s="1873"/>
      <c r="Z41" s="1873"/>
      <c r="AA41" s="1873"/>
      <c r="AB41" s="1873"/>
      <c r="AC41" s="1873"/>
      <c r="AD41" s="1873"/>
      <c r="AE41" s="1873"/>
      <c r="AF41" s="1873"/>
      <c r="AG41" s="1873"/>
      <c r="AH41" s="1873"/>
      <c r="AI41" s="1873"/>
      <c r="AJ41" s="1873"/>
      <c r="AK41" s="1874"/>
      <c r="AL41" s="1841"/>
      <c r="AM41" s="1841"/>
      <c r="AN41" s="1841"/>
    </row>
    <row r="42" spans="1:40" ht="28.5" customHeight="1">
      <c r="A42" s="1872"/>
      <c r="B42" s="1872"/>
      <c r="C42" s="1872"/>
      <c r="D42" s="1872"/>
      <c r="E42" s="1872"/>
      <c r="F42" s="1872"/>
      <c r="G42" s="1872"/>
      <c r="H42" s="1872"/>
      <c r="I42" s="1872"/>
      <c r="J42" s="1872"/>
      <c r="K42" s="1872"/>
      <c r="L42" s="1872"/>
      <c r="M42" s="1872"/>
      <c r="N42" s="1872"/>
      <c r="O42" s="1872"/>
      <c r="P42" s="1872"/>
      <c r="Q42" s="1872"/>
      <c r="R42" s="1872"/>
      <c r="S42" s="1872"/>
      <c r="T42" s="1872"/>
      <c r="U42" s="1872"/>
      <c r="V42" s="1872"/>
      <c r="W42" s="1872"/>
      <c r="X42" s="1873"/>
      <c r="Y42" s="1873"/>
      <c r="Z42" s="1873"/>
      <c r="AA42" s="1873"/>
      <c r="AB42" s="1873"/>
      <c r="AC42" s="1873"/>
      <c r="AD42" s="1873"/>
      <c r="AE42" s="1873"/>
      <c r="AF42" s="1873"/>
      <c r="AG42" s="1873"/>
      <c r="AH42" s="1873"/>
      <c r="AI42" s="1873"/>
      <c r="AJ42" s="1873"/>
      <c r="AK42" s="1874"/>
      <c r="AL42" s="1841"/>
      <c r="AM42" s="1841"/>
      <c r="AN42" s="1841"/>
    </row>
    <row r="43" spans="1:40" ht="28.5" customHeight="1">
      <c r="A43" s="1872"/>
      <c r="B43" s="1872"/>
      <c r="C43" s="1872"/>
      <c r="D43" s="1872"/>
      <c r="E43" s="1872"/>
      <c r="F43" s="1872"/>
      <c r="G43" s="1872"/>
      <c r="H43" s="1872"/>
      <c r="I43" s="1872"/>
      <c r="J43" s="1872"/>
      <c r="K43" s="1872"/>
      <c r="L43" s="1872"/>
      <c r="M43" s="1872"/>
      <c r="N43" s="1872"/>
      <c r="O43" s="1872"/>
      <c r="P43" s="1872"/>
      <c r="Q43" s="1872"/>
      <c r="R43" s="1872"/>
      <c r="S43" s="1872"/>
      <c r="T43" s="1872"/>
      <c r="U43" s="1872"/>
      <c r="V43" s="1872"/>
      <c r="W43" s="1872"/>
      <c r="X43" s="1873"/>
      <c r="Y43" s="1873"/>
      <c r="Z43" s="1873"/>
      <c r="AA43" s="1873"/>
      <c r="AB43" s="1873"/>
      <c r="AC43" s="1873"/>
      <c r="AD43" s="1873"/>
      <c r="AE43" s="1873"/>
      <c r="AF43" s="1873"/>
      <c r="AG43" s="1873"/>
      <c r="AH43" s="1873"/>
      <c r="AI43" s="1873"/>
      <c r="AJ43" s="1873"/>
      <c r="AK43" s="1874"/>
      <c r="AL43" s="1841"/>
      <c r="AM43" s="1841"/>
      <c r="AN43" s="1841"/>
    </row>
    <row r="44" spans="1:40">
      <c r="AL44" s="1841"/>
      <c r="AM44" s="1841"/>
      <c r="AN44" s="1841"/>
    </row>
    <row r="45" spans="1:40" ht="16.5">
      <c r="A45" s="1875"/>
      <c r="B45" s="1875"/>
      <c r="C45" s="1874"/>
      <c r="D45" s="1874"/>
      <c r="E45" s="1874"/>
      <c r="F45" s="1874"/>
      <c r="G45" s="1874"/>
      <c r="H45" s="1874"/>
      <c r="I45" s="1874"/>
      <c r="J45" s="1874"/>
      <c r="K45" s="1874"/>
      <c r="L45" s="1874"/>
      <c r="M45" s="1874"/>
      <c r="N45" s="1874"/>
      <c r="O45" s="1874"/>
      <c r="P45" s="1874"/>
      <c r="Q45" s="1874"/>
      <c r="R45" s="1874"/>
      <c r="S45" s="1874"/>
      <c r="T45" s="1874"/>
      <c r="U45" s="1874"/>
      <c r="V45" s="1874"/>
      <c r="W45" s="1874"/>
      <c r="X45" s="1874"/>
      <c r="Y45" s="1874"/>
      <c r="Z45" s="1874"/>
      <c r="AA45" s="1874"/>
      <c r="AB45" s="1874"/>
      <c r="AC45" s="1874"/>
      <c r="AD45" s="1874"/>
      <c r="AE45" s="1874"/>
      <c r="AF45" s="1874"/>
      <c r="AG45" s="1874"/>
      <c r="AH45" s="1874"/>
      <c r="AI45" s="1874"/>
      <c r="AJ45" s="1874"/>
      <c r="AK45" s="1874"/>
      <c r="AL45" s="1841"/>
      <c r="AM45" s="1841"/>
      <c r="AN45" s="1841"/>
    </row>
    <row r="46" spans="1:40" ht="16.5">
      <c r="A46" s="1875"/>
      <c r="B46" s="1875"/>
      <c r="C46" s="1874"/>
      <c r="D46" s="1874"/>
      <c r="E46" s="1874"/>
      <c r="F46" s="1874"/>
      <c r="G46" s="1874"/>
      <c r="H46" s="1874"/>
      <c r="I46" s="1874"/>
      <c r="J46" s="1874"/>
      <c r="K46" s="1874"/>
      <c r="L46" s="1874"/>
      <c r="M46" s="1874"/>
      <c r="N46" s="1874"/>
      <c r="O46" s="1874"/>
      <c r="P46" s="1874"/>
      <c r="Q46" s="1874"/>
      <c r="R46" s="1874"/>
      <c r="S46" s="1874"/>
      <c r="T46" s="1874"/>
      <c r="U46" s="1874"/>
      <c r="V46" s="1874"/>
      <c r="W46" s="1874"/>
      <c r="X46" s="1874"/>
      <c r="Y46" s="1874"/>
      <c r="Z46" s="1874"/>
      <c r="AA46" s="1874"/>
      <c r="AB46" s="1874"/>
      <c r="AC46" s="1874"/>
      <c r="AD46" s="1874"/>
      <c r="AE46" s="1874"/>
      <c r="AF46" s="1874"/>
      <c r="AG46" s="1874"/>
      <c r="AH46" s="1874"/>
      <c r="AI46" s="1874"/>
      <c r="AJ46" s="1874"/>
      <c r="AK46" s="1874"/>
      <c r="AL46" s="1841"/>
      <c r="AM46" s="1841"/>
      <c r="AN46" s="1841"/>
    </row>
    <row r="47" spans="1:40" ht="16.5">
      <c r="A47" s="1875"/>
      <c r="B47" s="1875"/>
      <c r="C47" s="1874"/>
      <c r="D47" s="1874"/>
      <c r="E47" s="1874"/>
      <c r="F47" s="1874"/>
      <c r="G47" s="1874"/>
      <c r="H47" s="1874"/>
      <c r="I47" s="1874"/>
      <c r="J47" s="1874"/>
      <c r="K47" s="1874"/>
      <c r="L47" s="1874"/>
      <c r="M47" s="1874"/>
      <c r="N47" s="1874"/>
      <c r="O47" s="1874"/>
      <c r="P47" s="1874"/>
      <c r="Q47" s="1874"/>
      <c r="R47" s="1874"/>
      <c r="S47" s="1874"/>
      <c r="T47" s="1874"/>
      <c r="U47" s="1874"/>
      <c r="V47" s="1874"/>
      <c r="W47" s="1874"/>
      <c r="X47" s="1874"/>
      <c r="Y47" s="1874"/>
      <c r="Z47" s="1874"/>
      <c r="AA47" s="1874"/>
      <c r="AB47" s="1874"/>
      <c r="AC47" s="1874"/>
      <c r="AD47" s="1874"/>
      <c r="AE47" s="1874"/>
      <c r="AF47" s="1874"/>
      <c r="AG47" s="1874"/>
      <c r="AH47" s="1874"/>
      <c r="AI47" s="1874"/>
      <c r="AJ47" s="1874"/>
      <c r="AK47" s="1874"/>
      <c r="AL47" s="1841"/>
      <c r="AM47" s="1841"/>
      <c r="AN47" s="1841"/>
    </row>
    <row r="48" spans="1:40" ht="16.5">
      <c r="A48" s="1874"/>
      <c r="B48" s="1874"/>
      <c r="C48" s="1874"/>
      <c r="D48" s="1874"/>
      <c r="E48" s="1874"/>
      <c r="F48" s="1874"/>
      <c r="G48" s="1874"/>
      <c r="H48" s="1874"/>
      <c r="I48" s="1874"/>
      <c r="J48" s="1874"/>
      <c r="K48" s="1874"/>
      <c r="L48" s="1874"/>
      <c r="M48" s="1874"/>
      <c r="N48" s="1874"/>
      <c r="O48" s="1874"/>
      <c r="P48" s="1874"/>
      <c r="Q48" s="1874"/>
      <c r="R48" s="1874"/>
      <c r="S48" s="1874"/>
      <c r="T48" s="1874"/>
      <c r="U48" s="1874"/>
      <c r="V48" s="1874"/>
      <c r="W48" s="1874"/>
      <c r="X48" s="1874"/>
      <c r="Y48" s="1874"/>
      <c r="Z48" s="1874"/>
      <c r="AA48" s="1874"/>
      <c r="AB48" s="1874"/>
      <c r="AC48" s="1874"/>
      <c r="AD48" s="1874"/>
      <c r="AE48" s="1874"/>
      <c r="AF48" s="1874"/>
      <c r="AG48" s="1874"/>
      <c r="AH48" s="1874"/>
      <c r="AI48" s="1874"/>
      <c r="AJ48" s="1874"/>
      <c r="AK48" s="1874"/>
      <c r="AL48" s="1841"/>
      <c r="AM48" s="1841"/>
      <c r="AN48" s="1841"/>
    </row>
    <row r="49" spans="1:40" ht="15.75" customHeight="1">
      <c r="A49" s="1874"/>
      <c r="B49" s="1874"/>
      <c r="C49" s="1874"/>
      <c r="D49" s="1874"/>
      <c r="E49" s="1874"/>
      <c r="F49" s="1874"/>
      <c r="G49" s="1874"/>
      <c r="H49" s="1874"/>
      <c r="I49" s="1874"/>
      <c r="J49" s="1874"/>
      <c r="K49" s="1874"/>
      <c r="L49" s="1874"/>
      <c r="M49" s="1874"/>
      <c r="N49" s="1874"/>
      <c r="O49" s="1874"/>
      <c r="P49" s="1874"/>
      <c r="Q49" s="1874"/>
      <c r="R49" s="1874"/>
      <c r="S49" s="1874"/>
      <c r="T49" s="1874"/>
      <c r="U49" s="1874"/>
      <c r="V49" s="1874"/>
      <c r="W49" s="1874"/>
      <c r="X49" s="1874"/>
      <c r="Y49" s="1874"/>
      <c r="Z49" s="1874"/>
      <c r="AA49" s="1874"/>
      <c r="AB49" s="1874"/>
      <c r="AC49" s="1874"/>
      <c r="AD49" s="1874"/>
      <c r="AE49" s="1874"/>
      <c r="AF49" s="1874"/>
      <c r="AG49" s="1874"/>
      <c r="AH49" s="1874"/>
      <c r="AI49" s="1874"/>
      <c r="AJ49" s="1874"/>
      <c r="AK49" s="1874"/>
      <c r="AL49" s="1841"/>
      <c r="AM49" s="1841"/>
      <c r="AN49" s="1841"/>
    </row>
    <row r="50" spans="1:40" ht="16.5">
      <c r="A50" s="1874"/>
      <c r="B50" s="1874"/>
      <c r="C50" s="1874"/>
      <c r="D50" s="1874"/>
      <c r="E50" s="1874"/>
      <c r="F50" s="1874"/>
      <c r="G50" s="1874"/>
      <c r="H50" s="1874"/>
      <c r="I50" s="1874"/>
      <c r="J50" s="1874"/>
      <c r="K50" s="1874"/>
      <c r="L50" s="1874"/>
      <c r="M50" s="1874"/>
      <c r="N50" s="1874"/>
      <c r="O50" s="1874"/>
      <c r="P50" s="1874"/>
      <c r="Q50" s="1874"/>
      <c r="R50" s="1874"/>
      <c r="S50" s="1874"/>
      <c r="T50" s="1874"/>
      <c r="U50" s="1874"/>
      <c r="V50" s="1874"/>
      <c r="W50" s="1874"/>
      <c r="X50" s="1874"/>
      <c r="Y50" s="1874"/>
      <c r="Z50" s="1874"/>
      <c r="AA50" s="1874"/>
      <c r="AB50" s="1874"/>
      <c r="AC50" s="1874"/>
      <c r="AD50" s="1874"/>
      <c r="AE50" s="1874"/>
      <c r="AF50" s="1874"/>
      <c r="AG50" s="1874"/>
      <c r="AH50" s="1874"/>
      <c r="AI50" s="1874"/>
      <c r="AJ50" s="1874"/>
      <c r="AK50" s="1874"/>
      <c r="AL50" s="1841"/>
      <c r="AM50" s="1841"/>
      <c r="AN50" s="1841"/>
    </row>
    <row r="51" spans="1:40" ht="16.5">
      <c r="A51" s="1874"/>
      <c r="B51" s="1874"/>
      <c r="C51" s="1874"/>
      <c r="D51" s="2523"/>
      <c r="E51" s="2523"/>
      <c r="F51" s="2523"/>
      <c r="G51" s="2523"/>
      <c r="H51" s="2523"/>
      <c r="I51" s="1874"/>
      <c r="J51" s="1874"/>
      <c r="K51" s="1874"/>
      <c r="L51" s="1874"/>
      <c r="M51" s="2523"/>
      <c r="N51" s="2523"/>
      <c r="O51" s="2523"/>
      <c r="P51" s="2523"/>
      <c r="Q51" s="2523"/>
      <c r="R51" s="2523"/>
      <c r="S51" s="2523"/>
      <c r="T51" s="1874"/>
      <c r="U51" s="2523"/>
      <c r="V51" s="2523"/>
      <c r="W51" s="2523"/>
      <c r="X51" s="2523"/>
      <c r="Y51" s="2523"/>
      <c r="Z51" s="2523"/>
      <c r="AA51" s="2523"/>
      <c r="AB51" s="2523"/>
      <c r="AC51" s="1874"/>
      <c r="AK51" s="1874"/>
      <c r="AL51" s="1841"/>
      <c r="AM51" s="1841"/>
      <c r="AN51" s="1841"/>
    </row>
    <row r="52" spans="1:40">
      <c r="L52" s="1876"/>
      <c r="M52" s="1876"/>
      <c r="N52" s="1876"/>
      <c r="O52" s="1876"/>
      <c r="P52" s="1876"/>
      <c r="AL52" s="1841"/>
      <c r="AM52" s="1841"/>
      <c r="AN52" s="1841"/>
    </row>
    <row r="56" spans="1:40">
      <c r="A56" s="2524"/>
      <c r="B56" s="2524"/>
      <c r="C56" s="2524"/>
      <c r="AL56" s="1841"/>
      <c r="AM56" s="1841"/>
      <c r="AN56" s="1841"/>
    </row>
    <row r="57" spans="1:40">
      <c r="A57" s="1877"/>
      <c r="B57" s="1878"/>
      <c r="C57" s="2524"/>
      <c r="D57" s="2524"/>
      <c r="E57" s="2524"/>
      <c r="F57" s="2524"/>
      <c r="G57" s="2524"/>
      <c r="H57" s="2524"/>
      <c r="AL57" s="1841"/>
      <c r="AM57" s="1841"/>
      <c r="AN57" s="1841"/>
    </row>
    <row r="58" spans="1:40">
      <c r="A58" s="1846"/>
      <c r="B58" s="1876"/>
      <c r="C58" s="2522"/>
      <c r="D58" s="2522"/>
      <c r="E58" s="2522"/>
      <c r="F58" s="2522"/>
      <c r="G58" s="2522"/>
      <c r="H58" s="2522"/>
      <c r="AL58" s="1841"/>
      <c r="AM58" s="1841"/>
      <c r="AN58" s="1841"/>
    </row>
    <row r="59" spans="1:40">
      <c r="A59" s="1846"/>
      <c r="B59" s="1876"/>
      <c r="C59" s="2522"/>
      <c r="D59" s="2522"/>
      <c r="E59" s="2522"/>
      <c r="F59" s="2522"/>
      <c r="G59" s="2522"/>
      <c r="H59" s="2522"/>
      <c r="AL59" s="1841"/>
      <c r="AM59" s="1841"/>
      <c r="AN59" s="1841"/>
    </row>
    <row r="60" spans="1:40">
      <c r="A60" s="1846"/>
      <c r="B60" s="1876"/>
      <c r="C60" s="2522"/>
      <c r="D60" s="2522"/>
      <c r="E60" s="2522"/>
      <c r="F60" s="2522"/>
      <c r="G60" s="2522"/>
      <c r="H60" s="2522"/>
      <c r="AL60" s="1841"/>
      <c r="AM60" s="1841"/>
      <c r="AN60" s="1841"/>
    </row>
    <row r="61" spans="1:40">
      <c r="A61" s="1863"/>
      <c r="C61" s="2522"/>
      <c r="D61" s="2522"/>
      <c r="E61" s="2522"/>
      <c r="F61" s="2522"/>
      <c r="G61" s="2522"/>
      <c r="H61" s="2522"/>
      <c r="AL61" s="1841"/>
      <c r="AM61" s="1841"/>
      <c r="AN61" s="1841"/>
    </row>
    <row r="62" spans="1:40">
      <c r="A62" s="1863"/>
      <c r="C62" s="2522"/>
      <c r="D62" s="2522"/>
      <c r="E62" s="2522"/>
      <c r="F62" s="2522"/>
      <c r="G62" s="2522"/>
      <c r="H62" s="2522"/>
      <c r="AL62" s="1841"/>
      <c r="AM62" s="1841"/>
      <c r="AN62" s="1841"/>
    </row>
    <row r="63" spans="1:40">
      <c r="A63" s="1863"/>
      <c r="C63" s="2522"/>
      <c r="D63" s="2522"/>
      <c r="E63" s="2522"/>
      <c r="F63" s="2522"/>
      <c r="G63" s="2522"/>
      <c r="H63" s="2522"/>
      <c r="AL63" s="1841"/>
      <c r="AM63" s="1841"/>
      <c r="AN63" s="1841"/>
    </row>
    <row r="64" spans="1:40">
      <c r="A64" s="1863"/>
      <c r="C64" s="2522"/>
      <c r="D64" s="2522"/>
      <c r="E64" s="2522"/>
      <c r="F64" s="2522"/>
      <c r="G64" s="2522"/>
      <c r="H64" s="2522"/>
      <c r="AL64" s="1841"/>
      <c r="AM64" s="1841"/>
      <c r="AN64" s="1841"/>
    </row>
    <row r="192" spans="6:6">
      <c r="F192" s="1841">
        <f>F178+F185</f>
        <v>0</v>
      </c>
    </row>
  </sheetData>
  <mergeCells count="36">
    <mergeCell ref="A8:AJ8"/>
    <mergeCell ref="A2:AL2"/>
    <mergeCell ref="A3:AL3"/>
    <mergeCell ref="A4:AL4"/>
    <mergeCell ref="A6:O6"/>
    <mergeCell ref="A7:O7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8"/>
  <sheetViews>
    <sheetView topLeftCell="B9" zoomScale="115" zoomScaleNormal="115" zoomScaleSheetLayoutView="140" workbookViewId="0">
      <pane xSplit="4" ySplit="3" topLeftCell="F163" activePane="bottomRight" state="frozen"/>
      <selection activeCell="B9" sqref="B9"/>
      <selection pane="topRight" activeCell="F9" sqref="F9"/>
      <selection pane="bottomLeft" activeCell="B12" sqref="B12"/>
      <selection pane="bottomRight" activeCell="G98" sqref="G98:AK168"/>
    </sheetView>
  </sheetViews>
  <sheetFormatPr defaultColWidth="5.7109375" defaultRowHeight="12.75" outlineLevelRow="1"/>
  <cols>
    <col min="1" max="1" width="5" style="411" customWidth="1"/>
    <col min="2" max="2" width="4.140625" style="411" customWidth="1"/>
    <col min="3" max="3" width="9.42578125" style="411" customWidth="1"/>
    <col min="4" max="4" width="0" style="427" hidden="1" customWidth="1"/>
    <col min="5" max="5" width="12.5703125" style="411" customWidth="1"/>
    <col min="6" max="6" width="10.85546875" style="411" customWidth="1"/>
    <col min="7" max="37" width="3.7109375" style="411" customWidth="1"/>
    <col min="38" max="38" width="8.28515625" style="411" customWidth="1"/>
    <col min="39" max="39" width="6.5703125" style="411" customWidth="1"/>
    <col min="40" max="41" width="6.85546875" style="411" customWidth="1"/>
    <col min="42" max="42" width="8.140625" style="411" hidden="1" customWidth="1"/>
    <col min="43" max="43" width="5.7109375" style="411" hidden="1" customWidth="1"/>
    <col min="44" max="44" width="6.28515625" style="411" customWidth="1"/>
    <col min="45" max="16384" width="5.7109375" style="411"/>
  </cols>
  <sheetData>
    <row r="1" spans="1:47" ht="16.5">
      <c r="A1" s="2417" t="s">
        <v>1928</v>
      </c>
      <c r="B1" s="2417"/>
      <c r="C1" s="2417"/>
      <c r="D1" s="2417"/>
      <c r="E1" s="2417"/>
      <c r="F1" s="2417"/>
      <c r="G1" s="2417"/>
      <c r="H1" s="2417"/>
      <c r="I1" s="2417"/>
      <c r="J1" s="2417"/>
      <c r="K1" s="2417"/>
      <c r="L1" s="2417"/>
      <c r="M1" s="2417"/>
      <c r="N1" s="2417"/>
      <c r="O1" s="2417"/>
      <c r="P1" s="2417"/>
      <c r="Q1" s="2417"/>
      <c r="R1" s="2417"/>
      <c r="S1" s="2417"/>
      <c r="T1" s="2417"/>
      <c r="U1" s="2417"/>
      <c r="V1" s="2417"/>
      <c r="W1" s="2417"/>
      <c r="X1" s="2417"/>
      <c r="Y1" s="2417"/>
      <c r="Z1" s="2417"/>
      <c r="AA1" s="2417"/>
      <c r="AB1" s="2417"/>
      <c r="AC1" s="2417"/>
      <c r="AD1" s="2417"/>
      <c r="AE1" s="2417"/>
      <c r="AF1" s="2417"/>
      <c r="AG1" s="2417"/>
      <c r="AH1" s="2417"/>
      <c r="AI1" s="2417"/>
      <c r="AJ1" s="2417"/>
      <c r="AK1" s="2417"/>
      <c r="AL1" s="2417"/>
      <c r="AM1" s="2417"/>
      <c r="AN1" s="2417"/>
      <c r="AO1" s="2417"/>
      <c r="AP1" s="2417"/>
      <c r="AQ1" s="2417"/>
      <c r="AR1" s="2417"/>
    </row>
    <row r="2" spans="1:47" ht="16.5">
      <c r="A2" s="2417" t="s">
        <v>2030</v>
      </c>
      <c r="B2" s="2417"/>
      <c r="C2" s="2417"/>
      <c r="D2" s="2417"/>
      <c r="E2" s="2417"/>
      <c r="F2" s="2417"/>
      <c r="G2" s="2417"/>
      <c r="H2" s="2417"/>
      <c r="I2" s="2417"/>
      <c r="J2" s="2417"/>
      <c r="K2" s="2417"/>
      <c r="L2" s="2417"/>
      <c r="M2" s="2417"/>
      <c r="N2" s="2417"/>
      <c r="O2" s="2417"/>
      <c r="P2" s="2417"/>
      <c r="Q2" s="2417"/>
      <c r="R2" s="2417"/>
      <c r="S2" s="2417"/>
      <c r="T2" s="2417"/>
      <c r="U2" s="2417"/>
      <c r="V2" s="2417"/>
      <c r="W2" s="2417"/>
      <c r="X2" s="2417"/>
      <c r="Y2" s="2417"/>
      <c r="Z2" s="2417"/>
      <c r="AA2" s="2417"/>
      <c r="AB2" s="2417"/>
      <c r="AC2" s="2417"/>
      <c r="AD2" s="2417"/>
      <c r="AE2" s="2417"/>
      <c r="AF2" s="2417"/>
      <c r="AG2" s="2417"/>
      <c r="AH2" s="2417"/>
      <c r="AI2" s="2417"/>
      <c r="AJ2" s="2417"/>
      <c r="AK2" s="2417"/>
      <c r="AL2" s="2417"/>
      <c r="AM2" s="2417"/>
      <c r="AN2" s="2417"/>
      <c r="AO2" s="2417"/>
      <c r="AP2" s="2417"/>
      <c r="AQ2" s="2417"/>
      <c r="AR2" s="2417"/>
    </row>
    <row r="3" spans="1:47" ht="14.25" customHeight="1">
      <c r="A3" s="2541" t="s">
        <v>619</v>
      </c>
      <c r="B3" s="2541"/>
      <c r="C3" s="2541"/>
      <c r="D3" s="2541"/>
      <c r="E3" s="2541"/>
      <c r="F3" s="2541"/>
      <c r="G3" s="2541"/>
      <c r="H3" s="2541"/>
      <c r="I3" s="2541"/>
      <c r="J3" s="2541"/>
      <c r="K3" s="2541"/>
      <c r="L3" s="2541"/>
      <c r="M3" s="2541"/>
      <c r="N3" s="2541"/>
      <c r="O3" s="2541"/>
      <c r="P3" s="2541"/>
      <c r="Q3" s="2541"/>
      <c r="R3" s="2541"/>
      <c r="S3" s="2541"/>
      <c r="T3" s="2541"/>
      <c r="U3" s="2541"/>
      <c r="V3" s="2541"/>
      <c r="W3" s="2541"/>
      <c r="X3" s="2541"/>
      <c r="Y3" s="2541"/>
      <c r="Z3" s="2541"/>
      <c r="AA3" s="2541"/>
      <c r="AB3" s="2541"/>
      <c r="AC3" s="2541"/>
      <c r="AD3" s="2541"/>
      <c r="AE3" s="2541"/>
      <c r="AF3" s="2541"/>
      <c r="AG3" s="2541"/>
      <c r="AH3" s="2541"/>
      <c r="AI3" s="2541"/>
      <c r="AJ3" s="2541"/>
      <c r="AK3" s="2541"/>
      <c r="AL3" s="2541"/>
      <c r="AM3" s="2541"/>
      <c r="AN3" s="2541"/>
      <c r="AO3" s="2541"/>
      <c r="AP3" s="2541"/>
      <c r="AQ3" s="2541"/>
      <c r="AR3" s="2541"/>
    </row>
    <row r="4" spans="1:47" ht="17.25" customHeight="1">
      <c r="A4" s="2542" t="s">
        <v>3235</v>
      </c>
      <c r="B4" s="2542"/>
      <c r="C4" s="2542"/>
      <c r="D4" s="2542"/>
      <c r="E4" s="2542"/>
      <c r="F4" s="2542"/>
      <c r="G4" s="2542"/>
      <c r="H4" s="2542"/>
      <c r="I4" s="2542"/>
      <c r="J4" s="2542"/>
      <c r="K4" s="2542"/>
      <c r="L4" s="2542"/>
      <c r="M4" s="2542"/>
      <c r="N4" s="2542"/>
      <c r="O4" s="1044"/>
      <c r="P4" s="1044"/>
      <c r="Q4" s="1044"/>
      <c r="R4" s="1044"/>
      <c r="S4" s="1044"/>
      <c r="T4" s="1044"/>
      <c r="U4" s="1223"/>
      <c r="V4" s="1065"/>
      <c r="W4" s="1065"/>
      <c r="X4" s="1065"/>
      <c r="Y4" s="1065"/>
      <c r="Z4" s="1065"/>
      <c r="AA4" s="1065"/>
      <c r="AB4" s="1065"/>
      <c r="AC4" s="1065"/>
      <c r="AD4" s="1065"/>
      <c r="AE4" s="1065"/>
      <c r="AF4" s="1065"/>
      <c r="AG4" s="1065"/>
      <c r="AH4" s="1065"/>
      <c r="AI4" s="1065"/>
      <c r="AJ4" s="1065"/>
      <c r="AK4" s="1065"/>
      <c r="AL4" s="1065"/>
      <c r="AM4" s="1065"/>
      <c r="AN4" s="1065"/>
      <c r="AO4" s="1065"/>
      <c r="AP4" s="1065"/>
      <c r="AQ4" s="1065"/>
      <c r="AR4" s="1044"/>
    </row>
    <row r="5" spans="1:47" ht="17.25" customHeight="1">
      <c r="A5" s="2460" t="s">
        <v>3234</v>
      </c>
      <c r="B5" s="2460"/>
      <c r="C5" s="2460"/>
      <c r="D5" s="2460"/>
      <c r="E5" s="2460"/>
      <c r="F5" s="2460"/>
      <c r="G5" s="2460"/>
      <c r="H5" s="2460"/>
      <c r="I5" s="2460"/>
      <c r="J5" s="2460"/>
      <c r="K5" s="2460"/>
      <c r="L5" s="2460"/>
      <c r="M5" s="2460"/>
      <c r="N5" s="2460"/>
      <c r="O5" s="1044"/>
      <c r="P5" s="1044"/>
      <c r="Q5" s="1044"/>
      <c r="R5" s="1044"/>
      <c r="S5" s="1044"/>
      <c r="T5" s="1044"/>
      <c r="U5" s="1223"/>
      <c r="V5" s="1065"/>
      <c r="W5" s="1065"/>
      <c r="X5" s="1065"/>
      <c r="Y5" s="1065"/>
      <c r="Z5" s="1065"/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5"/>
      <c r="AN5" s="1065"/>
      <c r="AO5" s="1065"/>
      <c r="AP5" s="1065"/>
      <c r="AQ5" s="1065"/>
      <c r="AR5" s="1044"/>
    </row>
    <row r="6" spans="1:47" ht="18" customHeight="1">
      <c r="A6" s="1224"/>
      <c r="B6" s="1224"/>
      <c r="C6" s="1224"/>
      <c r="D6" s="1225"/>
      <c r="E6" s="1224"/>
      <c r="F6" s="1044"/>
      <c r="G6" s="1224"/>
      <c r="H6" s="1224"/>
      <c r="I6" s="1224"/>
      <c r="J6" s="1224"/>
      <c r="K6" s="1224"/>
      <c r="L6" s="1224"/>
      <c r="M6" s="1224"/>
      <c r="N6" s="1224"/>
      <c r="O6" s="1044"/>
      <c r="P6" s="1044"/>
      <c r="Q6" s="1044"/>
      <c r="R6" s="1044"/>
      <c r="S6" s="1044"/>
      <c r="T6" s="1044"/>
      <c r="U6" s="1223"/>
      <c r="V6" s="1065"/>
      <c r="W6" s="1065"/>
      <c r="X6" s="1065"/>
      <c r="Y6" s="1065"/>
      <c r="Z6" s="1065"/>
      <c r="AA6" s="1065"/>
      <c r="AB6" s="1065"/>
      <c r="AC6" s="1065"/>
      <c r="AD6" s="1065"/>
      <c r="AE6" s="1065"/>
      <c r="AF6" s="1065"/>
      <c r="AG6" s="1065"/>
      <c r="AH6" s="1065"/>
      <c r="AI6" s="1065"/>
      <c r="AJ6" s="1065"/>
      <c r="AK6" s="1065"/>
      <c r="AL6" s="1065"/>
      <c r="AM6" s="1065"/>
      <c r="AN6" s="1065"/>
      <c r="AO6" s="1065"/>
      <c r="AP6" s="1065"/>
      <c r="AQ6" s="1065"/>
      <c r="AR6" s="1044"/>
    </row>
    <row r="7" spans="1:47" ht="27.75" customHeight="1">
      <c r="A7" s="2418" t="s">
        <v>3065</v>
      </c>
      <c r="B7" s="2418"/>
      <c r="C7" s="2418"/>
      <c r="D7" s="2418"/>
      <c r="E7" s="2418"/>
      <c r="F7" s="2418"/>
      <c r="G7" s="2418"/>
      <c r="H7" s="2418"/>
      <c r="I7" s="2418"/>
      <c r="J7" s="2418"/>
      <c r="K7" s="2418"/>
      <c r="L7" s="2418"/>
      <c r="M7" s="2418"/>
      <c r="N7" s="2418"/>
      <c r="O7" s="2418"/>
      <c r="P7" s="2418"/>
      <c r="Q7" s="2418"/>
      <c r="R7" s="2418"/>
      <c r="S7" s="2418"/>
      <c r="T7" s="2418"/>
      <c r="U7" s="2418"/>
      <c r="V7" s="2418"/>
      <c r="W7" s="2418"/>
      <c r="X7" s="2418"/>
      <c r="Y7" s="2418"/>
      <c r="Z7" s="2418"/>
      <c r="AA7" s="2418"/>
      <c r="AB7" s="2418"/>
      <c r="AC7" s="2418"/>
      <c r="AD7" s="2418"/>
      <c r="AE7" s="2418"/>
      <c r="AF7" s="2418"/>
      <c r="AG7" s="2418"/>
      <c r="AH7" s="2418"/>
      <c r="AI7" s="2418"/>
      <c r="AJ7" s="2418"/>
      <c r="AK7" s="2418"/>
      <c r="AL7" s="2418"/>
      <c r="AM7" s="2418"/>
      <c r="AN7" s="2418"/>
      <c r="AO7" s="2418"/>
      <c r="AP7" s="2418"/>
      <c r="AQ7" s="2418"/>
      <c r="AR7" s="2418"/>
    </row>
    <row r="8" spans="1:47" ht="18.75" customHeight="1">
      <c r="A8" s="2543" t="s">
        <v>3258</v>
      </c>
      <c r="B8" s="2543"/>
      <c r="C8" s="2543"/>
      <c r="D8" s="2543"/>
      <c r="E8" s="2543"/>
      <c r="F8" s="2543"/>
      <c r="G8" s="2543"/>
      <c r="H8" s="2543"/>
      <c r="I8" s="2543"/>
      <c r="J8" s="2543"/>
      <c r="K8" s="2543"/>
      <c r="L8" s="2543"/>
      <c r="M8" s="2543"/>
      <c r="N8" s="2543"/>
      <c r="O8" s="2543"/>
      <c r="P8" s="2543"/>
      <c r="Q8" s="2543"/>
      <c r="R8" s="2543"/>
      <c r="S8" s="2543"/>
      <c r="T8" s="2543"/>
      <c r="U8" s="2543"/>
      <c r="V8" s="2543"/>
      <c r="W8" s="2543"/>
      <c r="X8" s="2543"/>
      <c r="Y8" s="2543"/>
      <c r="Z8" s="2543"/>
      <c r="AA8" s="2543"/>
      <c r="AB8" s="2543"/>
      <c r="AC8" s="2543"/>
      <c r="AD8" s="2543"/>
      <c r="AE8" s="2543"/>
      <c r="AF8" s="2543"/>
      <c r="AG8" s="2543"/>
      <c r="AH8" s="2543"/>
      <c r="AI8" s="2543"/>
      <c r="AJ8" s="2543"/>
      <c r="AK8" s="2543"/>
      <c r="AL8" s="2543"/>
      <c r="AM8" s="2543"/>
      <c r="AN8" s="2543"/>
      <c r="AO8" s="2543"/>
      <c r="AP8" s="2543"/>
      <c r="AQ8" s="2543"/>
      <c r="AR8" s="2543"/>
    </row>
    <row r="9" spans="1:47" ht="18.75" customHeight="1">
      <c r="A9" s="1226"/>
      <c r="B9" s="1226"/>
      <c r="C9" s="1226"/>
      <c r="D9" s="1227"/>
      <c r="E9" s="1226"/>
      <c r="F9" s="1226"/>
      <c r="G9" s="1226"/>
      <c r="H9" s="1226"/>
      <c r="I9" s="1226"/>
      <c r="J9" s="1226"/>
      <c r="K9" s="1226"/>
      <c r="L9" s="1226"/>
      <c r="M9" s="1226"/>
      <c r="N9" s="1226"/>
      <c r="O9" s="1226"/>
      <c r="P9" s="1226"/>
      <c r="Q9" s="1226"/>
      <c r="R9" s="1226"/>
      <c r="S9" s="1226"/>
      <c r="T9" s="1226"/>
      <c r="U9" s="1226"/>
      <c r="V9" s="1226"/>
      <c r="W9" s="1226"/>
      <c r="X9" s="1226"/>
      <c r="Y9" s="1226"/>
      <c r="Z9" s="1226"/>
      <c r="AA9" s="1226"/>
      <c r="AB9" s="1226"/>
      <c r="AC9" s="1226"/>
      <c r="AD9" s="1226"/>
      <c r="AE9" s="1226"/>
      <c r="AF9" s="1226"/>
      <c r="AG9" s="1226"/>
      <c r="AH9" s="1226"/>
      <c r="AI9" s="1226"/>
      <c r="AJ9" s="1226"/>
      <c r="AK9" s="1226"/>
      <c r="AL9" s="1226"/>
      <c r="AM9" s="1226"/>
      <c r="AN9" s="1226"/>
      <c r="AO9" s="1226"/>
      <c r="AP9" s="1226"/>
      <c r="AQ9" s="1226"/>
      <c r="AR9" s="1226"/>
    </row>
    <row r="10" spans="1:47" ht="27" customHeight="1">
      <c r="A10" s="2517" t="s">
        <v>623</v>
      </c>
      <c r="B10" s="2518"/>
      <c r="C10" s="2506" t="s">
        <v>1932</v>
      </c>
      <c r="D10" s="1357"/>
      <c r="E10" s="2506" t="s">
        <v>356</v>
      </c>
      <c r="F10" s="2540" t="s">
        <v>627</v>
      </c>
      <c r="G10" s="2506" t="s">
        <v>529</v>
      </c>
      <c r="H10" s="2506"/>
      <c r="I10" s="2506"/>
      <c r="J10" s="2506"/>
      <c r="K10" s="2506"/>
      <c r="L10" s="2506"/>
      <c r="M10" s="2506"/>
      <c r="N10" s="2506"/>
      <c r="O10" s="2506"/>
      <c r="P10" s="2506"/>
      <c r="Q10" s="2506"/>
      <c r="R10" s="2506"/>
      <c r="S10" s="2506"/>
      <c r="T10" s="2506"/>
      <c r="U10" s="2506"/>
      <c r="V10" s="2506"/>
      <c r="W10" s="2506"/>
      <c r="X10" s="2506"/>
      <c r="Y10" s="2506"/>
      <c r="Z10" s="2506"/>
      <c r="AA10" s="2506"/>
      <c r="AB10" s="2506"/>
      <c r="AC10" s="2506"/>
      <c r="AD10" s="2506"/>
      <c r="AE10" s="2506"/>
      <c r="AF10" s="2506"/>
      <c r="AG10" s="2506"/>
      <c r="AH10" s="2506"/>
      <c r="AI10" s="2506"/>
      <c r="AJ10" s="2506"/>
      <c r="AK10" s="2506"/>
      <c r="AL10" s="2539" t="s">
        <v>3008</v>
      </c>
      <c r="AM10" s="2539" t="s">
        <v>3009</v>
      </c>
      <c r="AN10" s="2539" t="s">
        <v>3010</v>
      </c>
      <c r="AO10" s="2539" t="s">
        <v>3231</v>
      </c>
      <c r="AP10" s="2539" t="s">
        <v>3011</v>
      </c>
      <c r="AQ10" s="2539" t="s">
        <v>1968</v>
      </c>
      <c r="AR10" s="2540" t="s">
        <v>525</v>
      </c>
    </row>
    <row r="11" spans="1:47" ht="36" customHeight="1">
      <c r="A11" s="2519"/>
      <c r="B11" s="2520"/>
      <c r="C11" s="2506"/>
      <c r="D11" s="1357"/>
      <c r="E11" s="2506"/>
      <c r="F11" s="2540"/>
      <c r="G11" s="2223">
        <v>1</v>
      </c>
      <c r="H11" s="2223">
        <v>2</v>
      </c>
      <c r="I11" s="2223">
        <v>3</v>
      </c>
      <c r="J11" s="2223">
        <v>4</v>
      </c>
      <c r="K11" s="2335">
        <v>5</v>
      </c>
      <c r="L11" s="2335">
        <v>6</v>
      </c>
      <c r="M11" s="2014">
        <v>7</v>
      </c>
      <c r="N11" s="2335">
        <v>8</v>
      </c>
      <c r="O11" s="2335">
        <v>9</v>
      </c>
      <c r="P11" s="2335">
        <v>10</v>
      </c>
      <c r="Q11" s="2335">
        <v>11</v>
      </c>
      <c r="R11" s="2335">
        <v>12</v>
      </c>
      <c r="S11" s="2335">
        <v>13</v>
      </c>
      <c r="T11" s="2014">
        <v>14</v>
      </c>
      <c r="U11" s="2335">
        <v>15</v>
      </c>
      <c r="V11" s="2335">
        <v>16</v>
      </c>
      <c r="W11" s="2335">
        <v>17</v>
      </c>
      <c r="X11" s="2335">
        <v>18</v>
      </c>
      <c r="Y11" s="2335">
        <v>19</v>
      </c>
      <c r="Z11" s="2335">
        <v>20</v>
      </c>
      <c r="AA11" s="2014">
        <v>21</v>
      </c>
      <c r="AB11" s="2335">
        <v>22</v>
      </c>
      <c r="AC11" s="2335">
        <v>23</v>
      </c>
      <c r="AD11" s="2335">
        <v>24</v>
      </c>
      <c r="AE11" s="2335">
        <v>25</v>
      </c>
      <c r="AF11" s="2335">
        <v>26</v>
      </c>
      <c r="AG11" s="2335">
        <v>27</v>
      </c>
      <c r="AH11" s="2014">
        <v>28</v>
      </c>
      <c r="AI11" s="2223">
        <v>29</v>
      </c>
      <c r="AJ11" s="2223">
        <v>30</v>
      </c>
      <c r="AK11" s="2223">
        <v>31</v>
      </c>
      <c r="AL11" s="2539"/>
      <c r="AM11" s="2539"/>
      <c r="AN11" s="2539"/>
      <c r="AO11" s="2539"/>
      <c r="AP11" s="2539"/>
      <c r="AQ11" s="2539"/>
      <c r="AR11" s="2540"/>
    </row>
    <row r="12" spans="1:47" s="410" customFormat="1" ht="15" customHeight="1" outlineLevel="1">
      <c r="A12" s="2534" t="s">
        <v>2985</v>
      </c>
      <c r="B12" s="2535"/>
      <c r="C12" s="1358"/>
      <c r="D12" s="1359"/>
      <c r="E12" s="1358"/>
      <c r="F12" s="1352"/>
      <c r="G12" s="1351">
        <f t="shared" ref="G12:AI12" si="0">COUNTIF(G13:G96,"X")+COUNTIF(G13:G96,"CN")+COUNTIF(G13:G96,"đ")+COUNTIF(G13:G96,"đc")</f>
        <v>74</v>
      </c>
      <c r="H12" s="1351">
        <f t="shared" si="0"/>
        <v>74</v>
      </c>
      <c r="I12" s="1351">
        <f t="shared" si="0"/>
        <v>74</v>
      </c>
      <c r="J12" s="1351">
        <f t="shared" si="0"/>
        <v>74</v>
      </c>
      <c r="K12" s="1351">
        <f t="shared" si="0"/>
        <v>74</v>
      </c>
      <c r="L12" s="1351">
        <f t="shared" si="0"/>
        <v>74</v>
      </c>
      <c r="M12" s="1351">
        <f t="shared" si="0"/>
        <v>74</v>
      </c>
      <c r="N12" s="1351">
        <f t="shared" si="0"/>
        <v>74</v>
      </c>
      <c r="O12" s="1351">
        <f t="shared" si="0"/>
        <v>74</v>
      </c>
      <c r="P12" s="1351">
        <f t="shared" si="0"/>
        <v>74</v>
      </c>
      <c r="Q12" s="1351">
        <f t="shared" si="0"/>
        <v>74</v>
      </c>
      <c r="R12" s="1351">
        <f t="shared" si="0"/>
        <v>74</v>
      </c>
      <c r="S12" s="1351">
        <f t="shared" si="0"/>
        <v>74</v>
      </c>
      <c r="T12" s="1351">
        <f t="shared" si="0"/>
        <v>74</v>
      </c>
      <c r="U12" s="1351">
        <f t="shared" si="0"/>
        <v>74</v>
      </c>
      <c r="V12" s="1351">
        <f t="shared" si="0"/>
        <v>74</v>
      </c>
      <c r="W12" s="1351">
        <f t="shared" si="0"/>
        <v>74</v>
      </c>
      <c r="X12" s="1351">
        <f t="shared" si="0"/>
        <v>74</v>
      </c>
      <c r="Y12" s="1351">
        <f t="shared" si="0"/>
        <v>74</v>
      </c>
      <c r="Z12" s="1351">
        <f t="shared" si="0"/>
        <v>74</v>
      </c>
      <c r="AA12" s="1351">
        <f t="shared" si="0"/>
        <v>74</v>
      </c>
      <c r="AB12" s="1351">
        <f t="shared" si="0"/>
        <v>74</v>
      </c>
      <c r="AC12" s="1351">
        <f t="shared" si="0"/>
        <v>74</v>
      </c>
      <c r="AD12" s="1351">
        <f t="shared" si="0"/>
        <v>74</v>
      </c>
      <c r="AE12" s="1351">
        <f t="shared" si="0"/>
        <v>74</v>
      </c>
      <c r="AF12" s="1351">
        <f t="shared" si="0"/>
        <v>74</v>
      </c>
      <c r="AG12" s="1351">
        <f t="shared" si="0"/>
        <v>74</v>
      </c>
      <c r="AH12" s="1351">
        <f t="shared" si="0"/>
        <v>74</v>
      </c>
      <c r="AI12" s="1351">
        <f t="shared" si="0"/>
        <v>74</v>
      </c>
      <c r="AJ12" s="1351">
        <f>COUNTIF(AJ13:AJ96,"X")+COUNTIF(AJ13:AJ96,"CN")+COUNTIF(AJ13:AJ96,"đ")+COUNTIF(AJ13:AJ96,"đc")</f>
        <v>74</v>
      </c>
      <c r="AK12" s="1351">
        <f t="shared" ref="AK12" si="1">COUNTIF(AK13:AK96,"X")+COUNTIF(AK13:AK96,"CN")+COUNTIF(AK13:AK96,"đ")</f>
        <v>74</v>
      </c>
      <c r="AL12" s="1352">
        <f t="shared" ref="AL12:AR12" si="2">SUM(AL13:AL96)</f>
        <v>1998</v>
      </c>
      <c r="AM12" s="1352">
        <f t="shared" si="2"/>
        <v>296</v>
      </c>
      <c r="AN12" s="1352">
        <f t="shared" si="2"/>
        <v>0</v>
      </c>
      <c r="AO12" s="1352">
        <f t="shared" si="2"/>
        <v>0</v>
      </c>
      <c r="AP12" s="1352">
        <f t="shared" si="2"/>
        <v>0</v>
      </c>
      <c r="AQ12" s="1352">
        <f t="shared" si="2"/>
        <v>0</v>
      </c>
      <c r="AR12" s="1352">
        <f t="shared" si="2"/>
        <v>2294</v>
      </c>
      <c r="AS12" s="1228"/>
    </row>
    <row r="13" spans="1:47" ht="16.149999999999999" customHeight="1" outlineLevel="1">
      <c r="A13" s="1353">
        <v>1</v>
      </c>
      <c r="B13" s="1353">
        <v>1</v>
      </c>
      <c r="C13" s="1353" t="str">
        <f>'sản lượng'!C14</f>
        <v>04086</v>
      </c>
      <c r="D13" s="1360" t="s">
        <v>357</v>
      </c>
      <c r="E13" s="1361" t="str">
        <f>TONGHOPCONGDOI!C11</f>
        <v>T. Lê</v>
      </c>
      <c r="F13" s="1355"/>
      <c r="G13" s="1353" t="s">
        <v>3246</v>
      </c>
      <c r="H13" s="1353" t="s">
        <v>3246</v>
      </c>
      <c r="I13" s="1353" t="s">
        <v>3246</v>
      </c>
      <c r="J13" s="1353" t="s">
        <v>3246</v>
      </c>
      <c r="K13" s="1353" t="s">
        <v>3246</v>
      </c>
      <c r="L13" s="1353" t="s">
        <v>3246</v>
      </c>
      <c r="M13" s="1353" t="s">
        <v>3424</v>
      </c>
      <c r="N13" s="1353" t="s">
        <v>3246</v>
      </c>
      <c r="O13" s="1353" t="s">
        <v>3246</v>
      </c>
      <c r="P13" s="1353" t="s">
        <v>3246</v>
      </c>
      <c r="Q13" s="1353" t="s">
        <v>3246</v>
      </c>
      <c r="R13" s="1353" t="s">
        <v>3246</v>
      </c>
      <c r="S13" s="1353" t="s">
        <v>3246</v>
      </c>
      <c r="T13" s="1353" t="s">
        <v>3424</v>
      </c>
      <c r="U13" s="1353" t="s">
        <v>3246</v>
      </c>
      <c r="V13" s="1353" t="s">
        <v>3246</v>
      </c>
      <c r="W13" s="1353" t="s">
        <v>3246</v>
      </c>
      <c r="X13" s="1353" t="s">
        <v>3246</v>
      </c>
      <c r="Y13" s="1353" t="s">
        <v>3246</v>
      </c>
      <c r="Z13" s="1353" t="s">
        <v>3246</v>
      </c>
      <c r="AA13" s="1353" t="s">
        <v>3424</v>
      </c>
      <c r="AB13" s="1353" t="s">
        <v>3246</v>
      </c>
      <c r="AC13" s="1353" t="s">
        <v>3246</v>
      </c>
      <c r="AD13" s="1353" t="s">
        <v>3246</v>
      </c>
      <c r="AE13" s="1353" t="s">
        <v>3246</v>
      </c>
      <c r="AF13" s="1353" t="s">
        <v>3246</v>
      </c>
      <c r="AG13" s="1353" t="s">
        <v>3246</v>
      </c>
      <c r="AH13" s="1353" t="s">
        <v>3424</v>
      </c>
      <c r="AI13" s="1353" t="s">
        <v>3246</v>
      </c>
      <c r="AJ13" s="1353" t="s">
        <v>3246</v>
      </c>
      <c r="AK13" s="1353" t="s">
        <v>3246</v>
      </c>
      <c r="AL13" s="1354">
        <f t="shared" ref="AL13" si="3">COUNTIF(G13:AK13,"X")</f>
        <v>27</v>
      </c>
      <c r="AM13" s="1354">
        <f>COUNTIF(G13:AK13,"CN")</f>
        <v>4</v>
      </c>
      <c r="AN13" s="1354">
        <f>COUNTIF(G13:AK13,"Đ")</f>
        <v>0</v>
      </c>
      <c r="AO13" s="1354">
        <f>COUNTIF(G13:AK13,"ĐC")</f>
        <v>0</v>
      </c>
      <c r="AP13" s="1354">
        <f t="shared" ref="AP13:AP55" si="4">COUNTIF(G13:AK13,"GT")</f>
        <v>0</v>
      </c>
      <c r="AQ13" s="1354">
        <f t="shared" ref="AQ13:AQ55" si="5">COUNTIF(G13:AK13,"CT")</f>
        <v>0</v>
      </c>
      <c r="AR13" s="1355">
        <f t="shared" ref="AR13:AR55" si="6">SUM(AL13:AQ13)</f>
        <v>31</v>
      </c>
      <c r="AS13" s="1229"/>
    </row>
    <row r="14" spans="1:47" ht="16.149999999999999" customHeight="1" outlineLevel="1">
      <c r="A14" s="1353">
        <v>2</v>
      </c>
      <c r="B14" s="1353">
        <v>2</v>
      </c>
      <c r="C14" s="1353" t="str">
        <f>'sản lượng'!C15</f>
        <v>02735</v>
      </c>
      <c r="D14" s="1360" t="s">
        <v>358</v>
      </c>
      <c r="E14" s="1361" t="str">
        <f>TONGHOPCONGDOI!C12</f>
        <v xml:space="preserve">Nang On Teng </v>
      </c>
      <c r="F14" s="1355"/>
      <c r="G14" s="1353" t="s">
        <v>3246</v>
      </c>
      <c r="H14" s="1353" t="s">
        <v>3246</v>
      </c>
      <c r="I14" s="1353" t="s">
        <v>3246</v>
      </c>
      <c r="J14" s="1353"/>
      <c r="K14" s="1353" t="s">
        <v>3246</v>
      </c>
      <c r="L14" s="1353" t="s">
        <v>3246</v>
      </c>
      <c r="M14" s="1353" t="s">
        <v>3424</v>
      </c>
      <c r="N14" s="1353" t="s">
        <v>3246</v>
      </c>
      <c r="O14" s="1353" t="s">
        <v>3246</v>
      </c>
      <c r="P14" s="1353" t="s">
        <v>3246</v>
      </c>
      <c r="Q14" s="1353" t="s">
        <v>3246</v>
      </c>
      <c r="R14" s="1353" t="s">
        <v>3246</v>
      </c>
      <c r="S14" s="1353" t="s">
        <v>3246</v>
      </c>
      <c r="T14" s="1353" t="s">
        <v>3424</v>
      </c>
      <c r="U14" s="1353" t="s">
        <v>3246</v>
      </c>
      <c r="V14" s="1353" t="s">
        <v>3246</v>
      </c>
      <c r="W14" s="1353"/>
      <c r="X14" s="1353" t="s">
        <v>3246</v>
      </c>
      <c r="Y14" s="1353" t="s">
        <v>3246</v>
      </c>
      <c r="Z14" s="1353" t="s">
        <v>3246</v>
      </c>
      <c r="AA14" s="1353" t="s">
        <v>3424</v>
      </c>
      <c r="AB14" s="1353" t="s">
        <v>3246</v>
      </c>
      <c r="AC14" s="1353"/>
      <c r="AD14" s="1353" t="s">
        <v>3246</v>
      </c>
      <c r="AE14" s="1353" t="s">
        <v>3246</v>
      </c>
      <c r="AF14" s="1353" t="s">
        <v>3246</v>
      </c>
      <c r="AG14" s="1353" t="s">
        <v>3246</v>
      </c>
      <c r="AH14" s="1353" t="s">
        <v>3424</v>
      </c>
      <c r="AI14" s="1353" t="s">
        <v>3246</v>
      </c>
      <c r="AJ14" s="1353" t="s">
        <v>3246</v>
      </c>
      <c r="AK14" s="1353" t="s">
        <v>3246</v>
      </c>
      <c r="AL14" s="1354">
        <f t="shared" ref="AL14:AL96" si="7">COUNTIF(G14:AK14,"X")</f>
        <v>24</v>
      </c>
      <c r="AM14" s="1354">
        <f t="shared" ref="AM14:AM96" si="8">COUNTIF(G14:AK14,"CN")</f>
        <v>4</v>
      </c>
      <c r="AN14" s="1354">
        <f t="shared" ref="AN14:AN96" si="9">COUNTIF(G14:AK14,"Đ")</f>
        <v>0</v>
      </c>
      <c r="AO14" s="1354">
        <f>COUNTIF(G14:AK14,"ĐC")</f>
        <v>0</v>
      </c>
      <c r="AP14" s="1354">
        <f t="shared" si="4"/>
        <v>0</v>
      </c>
      <c r="AQ14" s="1354">
        <f t="shared" si="5"/>
        <v>0</v>
      </c>
      <c r="AR14" s="1355">
        <f t="shared" si="6"/>
        <v>28</v>
      </c>
      <c r="AS14" s="1229"/>
    </row>
    <row r="15" spans="1:47" ht="16.149999999999999" customHeight="1" outlineLevel="1">
      <c r="A15" s="1353">
        <v>3</v>
      </c>
      <c r="B15" s="1353">
        <v>3</v>
      </c>
      <c r="C15" s="1353" t="str">
        <f>'sản lượng'!C16</f>
        <v>03518</v>
      </c>
      <c r="D15" s="1360" t="s">
        <v>385</v>
      </c>
      <c r="E15" s="1361" t="str">
        <f>TONGHOPCONGDOI!C13</f>
        <v>T. Đôn Ma</v>
      </c>
      <c r="F15" s="1355"/>
      <c r="G15" s="1353" t="s">
        <v>3246</v>
      </c>
      <c r="H15" s="1353" t="s">
        <v>3246</v>
      </c>
      <c r="I15" s="1353" t="s">
        <v>3246</v>
      </c>
      <c r="J15" s="1353"/>
      <c r="K15" s="1353" t="s">
        <v>3246</v>
      </c>
      <c r="L15" s="1353" t="s">
        <v>3246</v>
      </c>
      <c r="M15" s="1353" t="s">
        <v>3424</v>
      </c>
      <c r="N15" s="1353" t="s">
        <v>3246</v>
      </c>
      <c r="O15" s="1353" t="s">
        <v>3246</v>
      </c>
      <c r="P15" s="1353" t="s">
        <v>3246</v>
      </c>
      <c r="Q15" s="1353" t="s">
        <v>3246</v>
      </c>
      <c r="R15" s="1353" t="s">
        <v>3246</v>
      </c>
      <c r="S15" s="1353" t="s">
        <v>3246</v>
      </c>
      <c r="T15" s="1353" t="s">
        <v>3424</v>
      </c>
      <c r="U15" s="1353" t="s">
        <v>3246</v>
      </c>
      <c r="V15" s="1353" t="s">
        <v>3246</v>
      </c>
      <c r="W15" s="1353"/>
      <c r="X15" s="1353" t="s">
        <v>3246</v>
      </c>
      <c r="Y15" s="1353" t="s">
        <v>3246</v>
      </c>
      <c r="Z15" s="1353" t="s">
        <v>3246</v>
      </c>
      <c r="AA15" s="1353" t="s">
        <v>3424</v>
      </c>
      <c r="AB15" s="1353" t="s">
        <v>3246</v>
      </c>
      <c r="AC15" s="1353"/>
      <c r="AD15" s="1353" t="s">
        <v>3246</v>
      </c>
      <c r="AE15" s="1353" t="s">
        <v>3246</v>
      </c>
      <c r="AF15" s="1353" t="s">
        <v>3246</v>
      </c>
      <c r="AG15" s="1353" t="s">
        <v>3246</v>
      </c>
      <c r="AH15" s="1353" t="s">
        <v>3424</v>
      </c>
      <c r="AI15" s="1353" t="s">
        <v>3246</v>
      </c>
      <c r="AJ15" s="1353" t="s">
        <v>3246</v>
      </c>
      <c r="AK15" s="1353" t="s">
        <v>3246</v>
      </c>
      <c r="AL15" s="1354">
        <f t="shared" si="7"/>
        <v>24</v>
      </c>
      <c r="AM15" s="1354">
        <f t="shared" si="8"/>
        <v>4</v>
      </c>
      <c r="AN15" s="1354">
        <f t="shared" si="9"/>
        <v>0</v>
      </c>
      <c r="AO15" s="1354">
        <f t="shared" ref="AO15:AO78" si="10">COUNTIF(G15:AK15,"ĐC")</f>
        <v>0</v>
      </c>
      <c r="AP15" s="1354">
        <f t="shared" si="4"/>
        <v>0</v>
      </c>
      <c r="AQ15" s="1354">
        <f t="shared" si="5"/>
        <v>0</v>
      </c>
      <c r="AR15" s="1355">
        <f t="shared" si="6"/>
        <v>28</v>
      </c>
      <c r="AS15" s="1229"/>
    </row>
    <row r="16" spans="1:47" ht="16.149999999999999" customHeight="1" outlineLevel="1">
      <c r="A16" s="1353">
        <v>4</v>
      </c>
      <c r="B16" s="1353">
        <v>4</v>
      </c>
      <c r="C16" s="1353" t="str">
        <f>'sản lượng'!C17</f>
        <v>04087</v>
      </c>
      <c r="D16" s="1360" t="s">
        <v>1936</v>
      </c>
      <c r="E16" s="1361" t="str">
        <f>TONGHOPCONGDOI!C14</f>
        <v>N. La Ty</v>
      </c>
      <c r="F16" s="1355"/>
      <c r="G16" s="1353" t="s">
        <v>3246</v>
      </c>
      <c r="H16" s="1353" t="s">
        <v>3246</v>
      </c>
      <c r="I16" s="1353" t="s">
        <v>3246</v>
      </c>
      <c r="J16" s="1353" t="s">
        <v>3246</v>
      </c>
      <c r="K16" s="1353" t="s">
        <v>3246</v>
      </c>
      <c r="L16" s="1353" t="s">
        <v>3246</v>
      </c>
      <c r="M16" s="1353" t="s">
        <v>3424</v>
      </c>
      <c r="N16" s="1353" t="s">
        <v>3246</v>
      </c>
      <c r="O16" s="1353" t="s">
        <v>3246</v>
      </c>
      <c r="P16" s="1353" t="s">
        <v>3246</v>
      </c>
      <c r="Q16" s="1353" t="s">
        <v>3246</v>
      </c>
      <c r="R16" s="1353" t="s">
        <v>3246</v>
      </c>
      <c r="S16" s="1353" t="s">
        <v>3246</v>
      </c>
      <c r="T16" s="1353" t="s">
        <v>3424</v>
      </c>
      <c r="U16" s="1353" t="s">
        <v>3246</v>
      </c>
      <c r="V16" s="1353" t="s">
        <v>3246</v>
      </c>
      <c r="W16" s="1353" t="s">
        <v>3246</v>
      </c>
      <c r="X16" s="1353" t="s">
        <v>3246</v>
      </c>
      <c r="Y16" s="1353" t="s">
        <v>3246</v>
      </c>
      <c r="Z16" s="1353" t="s">
        <v>3246</v>
      </c>
      <c r="AA16" s="1353" t="s">
        <v>3424</v>
      </c>
      <c r="AB16" s="1353" t="s">
        <v>3246</v>
      </c>
      <c r="AC16" s="1353" t="s">
        <v>3246</v>
      </c>
      <c r="AD16" s="1353" t="s">
        <v>3246</v>
      </c>
      <c r="AE16" s="1353" t="s">
        <v>3246</v>
      </c>
      <c r="AF16" s="1353" t="s">
        <v>3246</v>
      </c>
      <c r="AG16" s="1353" t="s">
        <v>3246</v>
      </c>
      <c r="AH16" s="1353" t="s">
        <v>3424</v>
      </c>
      <c r="AI16" s="1353" t="s">
        <v>3246</v>
      </c>
      <c r="AJ16" s="1353" t="s">
        <v>3246</v>
      </c>
      <c r="AK16" s="1353" t="s">
        <v>3246</v>
      </c>
      <c r="AL16" s="1354">
        <f t="shared" si="7"/>
        <v>27</v>
      </c>
      <c r="AM16" s="1354">
        <f t="shared" si="8"/>
        <v>4</v>
      </c>
      <c r="AN16" s="1354">
        <f t="shared" si="9"/>
        <v>0</v>
      </c>
      <c r="AO16" s="1354">
        <f t="shared" si="10"/>
        <v>0</v>
      </c>
      <c r="AP16" s="1354">
        <f t="shared" si="4"/>
        <v>0</v>
      </c>
      <c r="AQ16" s="1354">
        <f t="shared" si="5"/>
        <v>0</v>
      </c>
      <c r="AR16" s="1355">
        <f t="shared" si="6"/>
        <v>31</v>
      </c>
      <c r="AS16" s="1229"/>
      <c r="AU16" s="1230"/>
    </row>
    <row r="17" spans="1:45" ht="16.149999999999999" customHeight="1" outlineLevel="1">
      <c r="A17" s="1353">
        <v>5</v>
      </c>
      <c r="B17" s="1353">
        <v>5</v>
      </c>
      <c r="C17" s="1353" t="str">
        <f>'sản lượng'!C18</f>
        <v>04088</v>
      </c>
      <c r="D17" s="1360" t="s">
        <v>387</v>
      </c>
      <c r="E17" s="1361" t="str">
        <f>TONGHOPCONGDOI!C15</f>
        <v>Thong Say</v>
      </c>
      <c r="F17" s="1355"/>
      <c r="G17" s="1353" t="s">
        <v>3246</v>
      </c>
      <c r="H17" s="1353" t="s">
        <v>3246</v>
      </c>
      <c r="I17" s="1353" t="s">
        <v>3246</v>
      </c>
      <c r="J17" s="1353" t="s">
        <v>3246</v>
      </c>
      <c r="K17" s="1353" t="s">
        <v>3246</v>
      </c>
      <c r="L17" s="1353" t="s">
        <v>3246</v>
      </c>
      <c r="M17" s="1353" t="s">
        <v>3424</v>
      </c>
      <c r="N17" s="1353" t="s">
        <v>3246</v>
      </c>
      <c r="O17" s="1353" t="s">
        <v>3246</v>
      </c>
      <c r="P17" s="1353" t="s">
        <v>3246</v>
      </c>
      <c r="Q17" s="1353" t="s">
        <v>3246</v>
      </c>
      <c r="R17" s="1353" t="s">
        <v>3246</v>
      </c>
      <c r="S17" s="1353" t="s">
        <v>3246</v>
      </c>
      <c r="T17" s="1353" t="s">
        <v>3424</v>
      </c>
      <c r="U17" s="1353" t="s">
        <v>3246</v>
      </c>
      <c r="V17" s="1353" t="s">
        <v>3246</v>
      </c>
      <c r="W17" s="1353" t="s">
        <v>3246</v>
      </c>
      <c r="X17" s="1353" t="s">
        <v>3246</v>
      </c>
      <c r="Y17" s="1353" t="s">
        <v>3246</v>
      </c>
      <c r="Z17" s="1353" t="s">
        <v>3246</v>
      </c>
      <c r="AA17" s="1353" t="s">
        <v>3424</v>
      </c>
      <c r="AB17" s="1353" t="s">
        <v>3246</v>
      </c>
      <c r="AC17" s="1353" t="s">
        <v>3246</v>
      </c>
      <c r="AD17" s="1353" t="s">
        <v>3246</v>
      </c>
      <c r="AE17" s="1353" t="s">
        <v>3246</v>
      </c>
      <c r="AF17" s="1353" t="s">
        <v>3246</v>
      </c>
      <c r="AG17" s="1353" t="s">
        <v>3246</v>
      </c>
      <c r="AH17" s="1353" t="s">
        <v>3424</v>
      </c>
      <c r="AI17" s="1353" t="s">
        <v>3246</v>
      </c>
      <c r="AJ17" s="1353" t="s">
        <v>3246</v>
      </c>
      <c r="AK17" s="1353" t="s">
        <v>3246</v>
      </c>
      <c r="AL17" s="1354">
        <f t="shared" si="7"/>
        <v>27</v>
      </c>
      <c r="AM17" s="1354">
        <f t="shared" si="8"/>
        <v>4</v>
      </c>
      <c r="AN17" s="1354">
        <f t="shared" si="9"/>
        <v>0</v>
      </c>
      <c r="AO17" s="1354">
        <f t="shared" si="10"/>
        <v>0</v>
      </c>
      <c r="AP17" s="1354">
        <f t="shared" si="4"/>
        <v>0</v>
      </c>
      <c r="AQ17" s="1354">
        <f t="shared" si="5"/>
        <v>0</v>
      </c>
      <c r="AR17" s="1355">
        <f t="shared" si="6"/>
        <v>31</v>
      </c>
      <c r="AS17" s="1229"/>
    </row>
    <row r="18" spans="1:45" ht="16.149999999999999" customHeight="1" outlineLevel="1">
      <c r="A18" s="1353">
        <v>6</v>
      </c>
      <c r="B18" s="1353">
        <v>6</v>
      </c>
      <c r="C18" s="1353" t="str">
        <f>'sản lượng'!C19</f>
        <v>03545</v>
      </c>
      <c r="D18" s="1360" t="s">
        <v>388</v>
      </c>
      <c r="E18" s="1361" t="str">
        <f>TONGHOPCONGDOI!C16</f>
        <v>Phon Xa Văn</v>
      </c>
      <c r="F18" s="1355"/>
      <c r="G18" s="1353" t="s">
        <v>3246</v>
      </c>
      <c r="H18" s="1353" t="s">
        <v>3246</v>
      </c>
      <c r="I18" s="1353" t="s">
        <v>3246</v>
      </c>
      <c r="J18" s="1353" t="s">
        <v>3246</v>
      </c>
      <c r="K18" s="1353" t="s">
        <v>3246</v>
      </c>
      <c r="L18" s="1353" t="s">
        <v>3246</v>
      </c>
      <c r="M18" s="1353" t="s">
        <v>3424</v>
      </c>
      <c r="N18" s="1353" t="s">
        <v>3246</v>
      </c>
      <c r="O18" s="1353" t="s">
        <v>3246</v>
      </c>
      <c r="P18" s="1353" t="s">
        <v>3246</v>
      </c>
      <c r="Q18" s="1353" t="s">
        <v>3246</v>
      </c>
      <c r="R18" s="1353" t="s">
        <v>3246</v>
      </c>
      <c r="S18" s="1353" t="s">
        <v>3246</v>
      </c>
      <c r="T18" s="1353" t="s">
        <v>3424</v>
      </c>
      <c r="U18" s="1353" t="s">
        <v>3246</v>
      </c>
      <c r="V18" s="1353" t="s">
        <v>3246</v>
      </c>
      <c r="W18" s="1353" t="s">
        <v>3246</v>
      </c>
      <c r="X18" s="1353" t="s">
        <v>3246</v>
      </c>
      <c r="Y18" s="1353" t="s">
        <v>3246</v>
      </c>
      <c r="Z18" s="1353" t="s">
        <v>3246</v>
      </c>
      <c r="AA18" s="1353" t="s">
        <v>3424</v>
      </c>
      <c r="AB18" s="1353" t="s">
        <v>3246</v>
      </c>
      <c r="AC18" s="1353" t="s">
        <v>3246</v>
      </c>
      <c r="AD18" s="1353" t="s">
        <v>3246</v>
      </c>
      <c r="AE18" s="1353" t="s">
        <v>3246</v>
      </c>
      <c r="AF18" s="1353" t="s">
        <v>3246</v>
      </c>
      <c r="AG18" s="1353" t="s">
        <v>3246</v>
      </c>
      <c r="AH18" s="1353" t="s">
        <v>3424</v>
      </c>
      <c r="AI18" s="1353" t="s">
        <v>3246</v>
      </c>
      <c r="AJ18" s="1353" t="s">
        <v>3246</v>
      </c>
      <c r="AK18" s="1353" t="s">
        <v>3246</v>
      </c>
      <c r="AL18" s="1354">
        <f t="shared" si="7"/>
        <v>27</v>
      </c>
      <c r="AM18" s="1354">
        <f t="shared" si="8"/>
        <v>4</v>
      </c>
      <c r="AN18" s="1354">
        <f t="shared" si="9"/>
        <v>0</v>
      </c>
      <c r="AO18" s="1354">
        <f t="shared" si="10"/>
        <v>0</v>
      </c>
      <c r="AP18" s="1354">
        <f t="shared" si="4"/>
        <v>0</v>
      </c>
      <c r="AQ18" s="1354">
        <f t="shared" si="5"/>
        <v>0</v>
      </c>
      <c r="AR18" s="1355">
        <f t="shared" si="6"/>
        <v>31</v>
      </c>
      <c r="AS18" s="1229"/>
    </row>
    <row r="19" spans="1:45" ht="16.149999999999999" customHeight="1" outlineLevel="1">
      <c r="A19" s="1353">
        <v>7</v>
      </c>
      <c r="B19" s="1353">
        <v>7</v>
      </c>
      <c r="C19" s="1353" t="str">
        <f>'sản lượng'!C20</f>
        <v>04089</v>
      </c>
      <c r="D19" s="1360" t="s">
        <v>389</v>
      </c>
      <c r="E19" s="1361" t="str">
        <f>TONGHOPCONGDOI!C17</f>
        <v>N. Tỏi</v>
      </c>
      <c r="F19" s="1355"/>
      <c r="G19" s="1353" t="s">
        <v>3246</v>
      </c>
      <c r="H19" s="1353" t="s">
        <v>3246</v>
      </c>
      <c r="I19" s="1353" t="s">
        <v>3246</v>
      </c>
      <c r="J19" s="1353" t="s">
        <v>3246</v>
      </c>
      <c r="K19" s="1353" t="s">
        <v>3246</v>
      </c>
      <c r="L19" s="1353" t="s">
        <v>3246</v>
      </c>
      <c r="M19" s="1353" t="s">
        <v>3424</v>
      </c>
      <c r="N19" s="1353" t="s">
        <v>3246</v>
      </c>
      <c r="O19" s="1353" t="s">
        <v>3246</v>
      </c>
      <c r="P19" s="1353" t="s">
        <v>3246</v>
      </c>
      <c r="Q19" s="1353" t="s">
        <v>3246</v>
      </c>
      <c r="R19" s="1353" t="s">
        <v>3246</v>
      </c>
      <c r="S19" s="1353" t="s">
        <v>3246</v>
      </c>
      <c r="T19" s="1353" t="s">
        <v>3424</v>
      </c>
      <c r="U19" s="1353" t="s">
        <v>3246</v>
      </c>
      <c r="V19" s="1353" t="s">
        <v>3246</v>
      </c>
      <c r="W19" s="1353" t="s">
        <v>3246</v>
      </c>
      <c r="X19" s="1353" t="s">
        <v>3246</v>
      </c>
      <c r="Y19" s="1353" t="s">
        <v>3246</v>
      </c>
      <c r="Z19" s="1353"/>
      <c r="AA19" s="1353" t="s">
        <v>3424</v>
      </c>
      <c r="AB19" s="1353" t="s">
        <v>3246</v>
      </c>
      <c r="AC19" s="1353"/>
      <c r="AD19" s="1353" t="s">
        <v>3246</v>
      </c>
      <c r="AE19" s="1353" t="s">
        <v>3246</v>
      </c>
      <c r="AF19" s="1353" t="s">
        <v>3246</v>
      </c>
      <c r="AG19" s="1353" t="s">
        <v>3246</v>
      </c>
      <c r="AH19" s="1353" t="s">
        <v>3424</v>
      </c>
      <c r="AI19" s="1353" t="s">
        <v>3246</v>
      </c>
      <c r="AJ19" s="1353" t="s">
        <v>3246</v>
      </c>
      <c r="AK19" s="1353" t="s">
        <v>3246</v>
      </c>
      <c r="AL19" s="1354">
        <f t="shared" si="7"/>
        <v>25</v>
      </c>
      <c r="AM19" s="1354">
        <f t="shared" si="8"/>
        <v>4</v>
      </c>
      <c r="AN19" s="1354">
        <f t="shared" si="9"/>
        <v>0</v>
      </c>
      <c r="AO19" s="1354">
        <f t="shared" si="10"/>
        <v>0</v>
      </c>
      <c r="AP19" s="1354">
        <f t="shared" si="4"/>
        <v>0</v>
      </c>
      <c r="AQ19" s="1354">
        <f t="shared" si="5"/>
        <v>0</v>
      </c>
      <c r="AR19" s="1355">
        <f t="shared" si="6"/>
        <v>29</v>
      </c>
      <c r="AS19" s="1229"/>
    </row>
    <row r="20" spans="1:45" ht="16.149999999999999" customHeight="1" outlineLevel="1">
      <c r="A20" s="1353">
        <v>8</v>
      </c>
      <c r="B20" s="1353">
        <v>8</v>
      </c>
      <c r="C20" s="1353">
        <f>'sản lượng'!C21</f>
        <v>0</v>
      </c>
      <c r="D20" s="1360" t="s">
        <v>263</v>
      </c>
      <c r="E20" s="1361" t="str">
        <f>TONGHOPCONGDOI!C18</f>
        <v>Na Ly</v>
      </c>
      <c r="F20" s="1355"/>
      <c r="G20" s="1353" t="s">
        <v>3246</v>
      </c>
      <c r="H20" s="1353" t="s">
        <v>3246</v>
      </c>
      <c r="I20" s="1353" t="s">
        <v>3246</v>
      </c>
      <c r="J20" s="1353" t="s">
        <v>3246</v>
      </c>
      <c r="K20" s="1353" t="s">
        <v>3246</v>
      </c>
      <c r="L20" s="1353" t="s">
        <v>3246</v>
      </c>
      <c r="M20" s="1353" t="s">
        <v>3424</v>
      </c>
      <c r="N20" s="1353" t="s">
        <v>3246</v>
      </c>
      <c r="O20" s="1353" t="s">
        <v>3246</v>
      </c>
      <c r="P20" s="1353" t="s">
        <v>3246</v>
      </c>
      <c r="Q20" s="1353" t="s">
        <v>3246</v>
      </c>
      <c r="R20" s="1353" t="s">
        <v>3246</v>
      </c>
      <c r="S20" s="1353" t="s">
        <v>3246</v>
      </c>
      <c r="T20" s="1353" t="s">
        <v>3424</v>
      </c>
      <c r="U20" s="1353" t="s">
        <v>3246</v>
      </c>
      <c r="V20" s="1353" t="s">
        <v>3246</v>
      </c>
      <c r="W20" s="1353" t="s">
        <v>3246</v>
      </c>
      <c r="X20" s="1353" t="s">
        <v>3246</v>
      </c>
      <c r="Y20" s="1353" t="s">
        <v>3246</v>
      </c>
      <c r="Z20" s="1353" t="s">
        <v>3246</v>
      </c>
      <c r="AA20" s="1353" t="s">
        <v>3424</v>
      </c>
      <c r="AB20" s="1353" t="s">
        <v>3246</v>
      </c>
      <c r="AC20" s="1353" t="s">
        <v>3246</v>
      </c>
      <c r="AD20" s="1353" t="s">
        <v>3246</v>
      </c>
      <c r="AE20" s="1353" t="s">
        <v>3246</v>
      </c>
      <c r="AF20" s="1353" t="s">
        <v>3246</v>
      </c>
      <c r="AG20" s="1353" t="s">
        <v>3246</v>
      </c>
      <c r="AH20" s="1353" t="s">
        <v>3424</v>
      </c>
      <c r="AI20" s="1353" t="s">
        <v>3246</v>
      </c>
      <c r="AJ20" s="1353" t="s">
        <v>3246</v>
      </c>
      <c r="AK20" s="1353" t="s">
        <v>3246</v>
      </c>
      <c r="AL20" s="1354">
        <f t="shared" si="7"/>
        <v>27</v>
      </c>
      <c r="AM20" s="1354">
        <f t="shared" si="8"/>
        <v>4</v>
      </c>
      <c r="AN20" s="1354">
        <f t="shared" si="9"/>
        <v>0</v>
      </c>
      <c r="AO20" s="1354">
        <f t="shared" si="10"/>
        <v>0</v>
      </c>
      <c r="AP20" s="1354">
        <f t="shared" si="4"/>
        <v>0</v>
      </c>
      <c r="AQ20" s="1354">
        <f t="shared" si="5"/>
        <v>0</v>
      </c>
      <c r="AR20" s="1355">
        <f t="shared" si="6"/>
        <v>31</v>
      </c>
      <c r="AS20" s="1229"/>
    </row>
    <row r="21" spans="1:45" ht="16.149999999999999" customHeight="1" outlineLevel="1">
      <c r="A21" s="1353">
        <v>9</v>
      </c>
      <c r="B21" s="1353">
        <v>9</v>
      </c>
      <c r="C21" s="1353" t="str">
        <f>'sản lượng'!C22</f>
        <v>02739</v>
      </c>
      <c r="D21" s="1360" t="s">
        <v>391</v>
      </c>
      <c r="E21" s="1361" t="str">
        <f>TONGHOPCONGDOI!C19</f>
        <v>Thảo Lẹ</v>
      </c>
      <c r="F21" s="1355"/>
      <c r="G21" s="1353" t="s">
        <v>3246</v>
      </c>
      <c r="H21" s="1353" t="s">
        <v>3246</v>
      </c>
      <c r="I21" s="1353" t="s">
        <v>3246</v>
      </c>
      <c r="J21" s="1353" t="s">
        <v>3246</v>
      </c>
      <c r="K21" s="1353" t="s">
        <v>3246</v>
      </c>
      <c r="L21" s="1353" t="s">
        <v>3246</v>
      </c>
      <c r="M21" s="1353" t="s">
        <v>3424</v>
      </c>
      <c r="N21" s="1353" t="s">
        <v>3246</v>
      </c>
      <c r="O21" s="1353" t="s">
        <v>3246</v>
      </c>
      <c r="P21" s="1353" t="s">
        <v>3246</v>
      </c>
      <c r="Q21" s="1353" t="s">
        <v>3246</v>
      </c>
      <c r="R21" s="1353" t="s">
        <v>3246</v>
      </c>
      <c r="S21" s="1353" t="s">
        <v>3246</v>
      </c>
      <c r="T21" s="1353" t="s">
        <v>3424</v>
      </c>
      <c r="U21" s="1353" t="s">
        <v>3246</v>
      </c>
      <c r="V21" s="1353" t="s">
        <v>3246</v>
      </c>
      <c r="W21" s="1353" t="s">
        <v>3246</v>
      </c>
      <c r="X21" s="1353" t="s">
        <v>3246</v>
      </c>
      <c r="Y21" s="1353" t="s">
        <v>3246</v>
      </c>
      <c r="Z21" s="1353" t="s">
        <v>3246</v>
      </c>
      <c r="AA21" s="1353" t="s">
        <v>3424</v>
      </c>
      <c r="AB21" s="1353" t="s">
        <v>3246</v>
      </c>
      <c r="AC21" s="1353" t="s">
        <v>3246</v>
      </c>
      <c r="AD21" s="1353" t="s">
        <v>3246</v>
      </c>
      <c r="AE21" s="1353" t="s">
        <v>3246</v>
      </c>
      <c r="AF21" s="1353" t="s">
        <v>3246</v>
      </c>
      <c r="AG21" s="1353" t="s">
        <v>3246</v>
      </c>
      <c r="AH21" s="1353" t="s">
        <v>3424</v>
      </c>
      <c r="AI21" s="1353" t="s">
        <v>3246</v>
      </c>
      <c r="AJ21" s="1353" t="s">
        <v>3246</v>
      </c>
      <c r="AK21" s="1353" t="s">
        <v>3246</v>
      </c>
      <c r="AL21" s="1354">
        <f t="shared" si="7"/>
        <v>27</v>
      </c>
      <c r="AM21" s="1354">
        <f t="shared" si="8"/>
        <v>4</v>
      </c>
      <c r="AN21" s="1354">
        <f t="shared" si="9"/>
        <v>0</v>
      </c>
      <c r="AO21" s="1354">
        <f t="shared" si="10"/>
        <v>0</v>
      </c>
      <c r="AP21" s="1354">
        <f t="shared" si="4"/>
        <v>0</v>
      </c>
      <c r="AQ21" s="1354">
        <f t="shared" si="5"/>
        <v>0</v>
      </c>
      <c r="AR21" s="1355">
        <f t="shared" si="6"/>
        <v>31</v>
      </c>
      <c r="AS21" s="1229"/>
    </row>
    <row r="22" spans="1:45" ht="16.149999999999999" customHeight="1" outlineLevel="1">
      <c r="A22" s="1353">
        <v>10</v>
      </c>
      <c r="B22" s="1353">
        <v>10</v>
      </c>
      <c r="C22" s="1353" t="str">
        <f>'sản lượng'!C23</f>
        <v>04090</v>
      </c>
      <c r="D22" s="1360" t="s">
        <v>392</v>
      </c>
      <c r="E22" s="1361" t="str">
        <f>TONGHOPCONGDOI!C20</f>
        <v>N. Đeng (2)</v>
      </c>
      <c r="F22" s="1355"/>
      <c r="G22" s="1353" t="s">
        <v>3246</v>
      </c>
      <c r="H22" s="1353" t="s">
        <v>3246</v>
      </c>
      <c r="I22" s="1353" t="s">
        <v>3246</v>
      </c>
      <c r="J22" s="1353" t="s">
        <v>3246</v>
      </c>
      <c r="K22" s="1353" t="s">
        <v>3246</v>
      </c>
      <c r="L22" s="1353" t="s">
        <v>3246</v>
      </c>
      <c r="M22" s="1353" t="s">
        <v>3424</v>
      </c>
      <c r="N22" s="1353" t="s">
        <v>3246</v>
      </c>
      <c r="O22" s="1353" t="s">
        <v>3246</v>
      </c>
      <c r="P22" s="1353" t="s">
        <v>3246</v>
      </c>
      <c r="Q22" s="1353" t="s">
        <v>3246</v>
      </c>
      <c r="R22" s="1353" t="s">
        <v>3246</v>
      </c>
      <c r="S22" s="1353" t="s">
        <v>3246</v>
      </c>
      <c r="T22" s="1353" t="s">
        <v>3424</v>
      </c>
      <c r="U22" s="1353" t="s">
        <v>3246</v>
      </c>
      <c r="V22" s="1353" t="s">
        <v>3246</v>
      </c>
      <c r="W22" s="1353" t="s">
        <v>3246</v>
      </c>
      <c r="X22" s="1353" t="s">
        <v>3246</v>
      </c>
      <c r="Y22" s="1353" t="s">
        <v>3246</v>
      </c>
      <c r="Z22" s="1353" t="s">
        <v>3246</v>
      </c>
      <c r="AA22" s="1353" t="s">
        <v>3424</v>
      </c>
      <c r="AB22" s="1353" t="s">
        <v>3246</v>
      </c>
      <c r="AC22" s="1353" t="s">
        <v>3246</v>
      </c>
      <c r="AD22" s="1353" t="s">
        <v>3246</v>
      </c>
      <c r="AE22" s="1353" t="s">
        <v>3246</v>
      </c>
      <c r="AF22" s="1353" t="s">
        <v>3246</v>
      </c>
      <c r="AG22" s="1353" t="s">
        <v>3246</v>
      </c>
      <c r="AH22" s="1353" t="s">
        <v>3424</v>
      </c>
      <c r="AI22" s="1353" t="s">
        <v>3246</v>
      </c>
      <c r="AJ22" s="1353" t="s">
        <v>3246</v>
      </c>
      <c r="AK22" s="1353" t="s">
        <v>3246</v>
      </c>
      <c r="AL22" s="1354">
        <f t="shared" si="7"/>
        <v>27</v>
      </c>
      <c r="AM22" s="1354">
        <f t="shared" si="8"/>
        <v>4</v>
      </c>
      <c r="AN22" s="1354">
        <f t="shared" si="9"/>
        <v>0</v>
      </c>
      <c r="AO22" s="1354">
        <f t="shared" si="10"/>
        <v>0</v>
      </c>
      <c r="AP22" s="1354">
        <f t="shared" si="4"/>
        <v>0</v>
      </c>
      <c r="AQ22" s="1354">
        <f t="shared" si="5"/>
        <v>0</v>
      </c>
      <c r="AR22" s="1355">
        <f t="shared" si="6"/>
        <v>31</v>
      </c>
      <c r="AS22" s="1229"/>
    </row>
    <row r="23" spans="1:45" ht="16.149999999999999" customHeight="1" outlineLevel="1">
      <c r="A23" s="1353">
        <v>11</v>
      </c>
      <c r="B23" s="1353">
        <v>11</v>
      </c>
      <c r="C23" s="1353" t="str">
        <f>'sản lượng'!C24</f>
        <v>03509</v>
      </c>
      <c r="D23" s="1360" t="s">
        <v>393</v>
      </c>
      <c r="E23" s="1361" t="str">
        <f>TONGHOPCONGDOI!C21</f>
        <v>T. May</v>
      </c>
      <c r="F23" s="1355"/>
      <c r="G23" s="1353" t="s">
        <v>3246</v>
      </c>
      <c r="H23" s="1353" t="s">
        <v>3246</v>
      </c>
      <c r="I23" s="1353" t="s">
        <v>3246</v>
      </c>
      <c r="J23" s="1353" t="s">
        <v>3246</v>
      </c>
      <c r="K23" s="1353" t="s">
        <v>3246</v>
      </c>
      <c r="L23" s="1353" t="s">
        <v>3246</v>
      </c>
      <c r="M23" s="1353" t="s">
        <v>3424</v>
      </c>
      <c r="N23" s="1353" t="s">
        <v>3246</v>
      </c>
      <c r="O23" s="1353" t="s">
        <v>3246</v>
      </c>
      <c r="P23" s="1353" t="s">
        <v>3246</v>
      </c>
      <c r="Q23" s="1353" t="s">
        <v>3246</v>
      </c>
      <c r="R23" s="1353" t="s">
        <v>3246</v>
      </c>
      <c r="S23" s="1353" t="s">
        <v>3246</v>
      </c>
      <c r="T23" s="1353" t="s">
        <v>3424</v>
      </c>
      <c r="U23" s="1353" t="s">
        <v>3246</v>
      </c>
      <c r="V23" s="1353" t="s">
        <v>3246</v>
      </c>
      <c r="W23" s="1353" t="s">
        <v>3246</v>
      </c>
      <c r="X23" s="1353" t="s">
        <v>3246</v>
      </c>
      <c r="Y23" s="1353" t="s">
        <v>3246</v>
      </c>
      <c r="Z23" s="1353" t="s">
        <v>3246</v>
      </c>
      <c r="AA23" s="1353" t="s">
        <v>3424</v>
      </c>
      <c r="AB23" s="1353" t="s">
        <v>3246</v>
      </c>
      <c r="AC23" s="1353" t="s">
        <v>3246</v>
      </c>
      <c r="AD23" s="1353" t="s">
        <v>3246</v>
      </c>
      <c r="AE23" s="1353" t="s">
        <v>3246</v>
      </c>
      <c r="AF23" s="1353" t="s">
        <v>3246</v>
      </c>
      <c r="AG23" s="1353" t="s">
        <v>3246</v>
      </c>
      <c r="AH23" s="1353" t="s">
        <v>3424</v>
      </c>
      <c r="AI23" s="1353" t="s">
        <v>3246</v>
      </c>
      <c r="AJ23" s="1353" t="s">
        <v>3246</v>
      </c>
      <c r="AK23" s="1353" t="s">
        <v>3246</v>
      </c>
      <c r="AL23" s="1354">
        <f t="shared" si="7"/>
        <v>27</v>
      </c>
      <c r="AM23" s="1354">
        <f t="shared" si="8"/>
        <v>4</v>
      </c>
      <c r="AN23" s="1354">
        <f t="shared" si="9"/>
        <v>0</v>
      </c>
      <c r="AO23" s="1354">
        <f t="shared" si="10"/>
        <v>0</v>
      </c>
      <c r="AP23" s="1354">
        <f t="shared" si="4"/>
        <v>0</v>
      </c>
      <c r="AQ23" s="1354">
        <f t="shared" si="5"/>
        <v>0</v>
      </c>
      <c r="AR23" s="1355">
        <f t="shared" si="6"/>
        <v>31</v>
      </c>
      <c r="AS23" s="1229"/>
    </row>
    <row r="24" spans="1:45" ht="16.149999999999999" customHeight="1" outlineLevel="1">
      <c r="A24" s="1353">
        <v>12</v>
      </c>
      <c r="B24" s="1353">
        <v>12</v>
      </c>
      <c r="C24" s="1353" t="str">
        <f>'sản lượng'!C25</f>
        <v>04091</v>
      </c>
      <c r="D24" s="1360" t="s">
        <v>394</v>
      </c>
      <c r="E24" s="1361" t="str">
        <f>TONGHOPCONGDOI!C22</f>
        <v>N. Bay</v>
      </c>
      <c r="F24" s="1355"/>
      <c r="G24" s="1353" t="s">
        <v>3246</v>
      </c>
      <c r="H24" s="1353" t="s">
        <v>3246</v>
      </c>
      <c r="I24" s="1353" t="s">
        <v>3246</v>
      </c>
      <c r="J24" s="1353" t="s">
        <v>3246</v>
      </c>
      <c r="K24" s="1353" t="s">
        <v>3246</v>
      </c>
      <c r="L24" s="1353" t="s">
        <v>3246</v>
      </c>
      <c r="M24" s="1353" t="s">
        <v>3424</v>
      </c>
      <c r="N24" s="1353" t="s">
        <v>3246</v>
      </c>
      <c r="O24" s="1353" t="s">
        <v>3246</v>
      </c>
      <c r="P24" s="1353" t="s">
        <v>3246</v>
      </c>
      <c r="Q24" s="1353" t="s">
        <v>3246</v>
      </c>
      <c r="R24" s="1353" t="s">
        <v>3246</v>
      </c>
      <c r="S24" s="1353" t="s">
        <v>3246</v>
      </c>
      <c r="T24" s="1353" t="s">
        <v>3424</v>
      </c>
      <c r="U24" s="1353" t="s">
        <v>3246</v>
      </c>
      <c r="V24" s="1353" t="s">
        <v>3246</v>
      </c>
      <c r="W24" s="1353" t="s">
        <v>3246</v>
      </c>
      <c r="X24" s="1353" t="s">
        <v>3246</v>
      </c>
      <c r="Y24" s="1353" t="s">
        <v>3246</v>
      </c>
      <c r="Z24" s="1353" t="s">
        <v>3246</v>
      </c>
      <c r="AA24" s="1353" t="s">
        <v>3424</v>
      </c>
      <c r="AB24" s="1353" t="s">
        <v>3246</v>
      </c>
      <c r="AC24" s="1353" t="s">
        <v>3246</v>
      </c>
      <c r="AD24" s="1353" t="s">
        <v>3246</v>
      </c>
      <c r="AE24" s="1353" t="s">
        <v>3246</v>
      </c>
      <c r="AF24" s="1353" t="s">
        <v>3246</v>
      </c>
      <c r="AG24" s="1353" t="s">
        <v>3246</v>
      </c>
      <c r="AH24" s="1353" t="s">
        <v>3424</v>
      </c>
      <c r="AI24" s="1353" t="s">
        <v>3246</v>
      </c>
      <c r="AJ24" s="1353" t="s">
        <v>3246</v>
      </c>
      <c r="AK24" s="1353" t="s">
        <v>3246</v>
      </c>
      <c r="AL24" s="1354">
        <f t="shared" si="7"/>
        <v>27</v>
      </c>
      <c r="AM24" s="1354">
        <f t="shared" si="8"/>
        <v>4</v>
      </c>
      <c r="AN24" s="1354">
        <f t="shared" si="9"/>
        <v>0</v>
      </c>
      <c r="AO24" s="1354">
        <f t="shared" si="10"/>
        <v>0</v>
      </c>
      <c r="AP24" s="1354">
        <f t="shared" si="4"/>
        <v>0</v>
      </c>
      <c r="AQ24" s="1354">
        <f t="shared" si="5"/>
        <v>0</v>
      </c>
      <c r="AR24" s="1355">
        <f t="shared" si="6"/>
        <v>31</v>
      </c>
      <c r="AS24" s="1229"/>
    </row>
    <row r="25" spans="1:45" ht="16.149999999999999" customHeight="1" outlineLevel="1">
      <c r="A25" s="1353">
        <v>13</v>
      </c>
      <c r="B25" s="1353">
        <v>13</v>
      </c>
      <c r="C25" s="1353" t="str">
        <f>'sản lượng'!C26</f>
        <v>03527</v>
      </c>
      <c r="D25" s="1360" t="s">
        <v>537</v>
      </c>
      <c r="E25" s="1361" t="str">
        <f>TONGHOPCONGDOI!C23</f>
        <v>T Núc</v>
      </c>
      <c r="F25" s="1355"/>
      <c r="G25" s="1353" t="s">
        <v>3246</v>
      </c>
      <c r="H25" s="1353" t="s">
        <v>3246</v>
      </c>
      <c r="I25" s="1353" t="s">
        <v>3246</v>
      </c>
      <c r="J25" s="1353" t="s">
        <v>3246</v>
      </c>
      <c r="K25" s="1353" t="s">
        <v>3246</v>
      </c>
      <c r="L25" s="1353" t="s">
        <v>3246</v>
      </c>
      <c r="M25" s="1353" t="s">
        <v>3424</v>
      </c>
      <c r="N25" s="1353" t="s">
        <v>3246</v>
      </c>
      <c r="O25" s="1353" t="s">
        <v>3246</v>
      </c>
      <c r="P25" s="1353" t="s">
        <v>3246</v>
      </c>
      <c r="Q25" s="1353" t="s">
        <v>3246</v>
      </c>
      <c r="R25" s="1353" t="s">
        <v>3246</v>
      </c>
      <c r="S25" s="1353" t="s">
        <v>3246</v>
      </c>
      <c r="T25" s="1353" t="s">
        <v>3424</v>
      </c>
      <c r="U25" s="1353" t="s">
        <v>3246</v>
      </c>
      <c r="V25" s="1353" t="s">
        <v>3246</v>
      </c>
      <c r="W25" s="1353" t="s">
        <v>3246</v>
      </c>
      <c r="X25" s="1353" t="s">
        <v>3246</v>
      </c>
      <c r="Y25" s="1353" t="s">
        <v>3246</v>
      </c>
      <c r="Z25" s="1353" t="s">
        <v>3246</v>
      </c>
      <c r="AA25" s="1353" t="s">
        <v>3424</v>
      </c>
      <c r="AB25" s="1353" t="s">
        <v>3246</v>
      </c>
      <c r="AC25" s="1353" t="s">
        <v>3246</v>
      </c>
      <c r="AD25" s="1353" t="s">
        <v>3246</v>
      </c>
      <c r="AE25" s="1353" t="s">
        <v>3246</v>
      </c>
      <c r="AF25" s="1353" t="s">
        <v>3246</v>
      </c>
      <c r="AG25" s="1353" t="s">
        <v>3246</v>
      </c>
      <c r="AH25" s="1353" t="s">
        <v>3424</v>
      </c>
      <c r="AI25" s="1353" t="s">
        <v>3246</v>
      </c>
      <c r="AJ25" s="1353" t="s">
        <v>3246</v>
      </c>
      <c r="AK25" s="1353" t="s">
        <v>3246</v>
      </c>
      <c r="AL25" s="1354">
        <f t="shared" si="7"/>
        <v>27</v>
      </c>
      <c r="AM25" s="1354">
        <f t="shared" si="8"/>
        <v>4</v>
      </c>
      <c r="AN25" s="1354">
        <f t="shared" si="9"/>
        <v>0</v>
      </c>
      <c r="AO25" s="1354">
        <f t="shared" si="10"/>
        <v>0</v>
      </c>
      <c r="AP25" s="1354">
        <f t="shared" si="4"/>
        <v>0</v>
      </c>
      <c r="AQ25" s="1354">
        <f t="shared" si="5"/>
        <v>0</v>
      </c>
      <c r="AR25" s="1355">
        <f t="shared" si="6"/>
        <v>31</v>
      </c>
      <c r="AS25" s="1229"/>
    </row>
    <row r="26" spans="1:45" ht="16.149999999999999" customHeight="1" outlineLevel="1">
      <c r="A26" s="1353">
        <v>14</v>
      </c>
      <c r="B26" s="1353">
        <v>14</v>
      </c>
      <c r="C26" s="1353" t="str">
        <f>'sản lượng'!C27</f>
        <v>03528</v>
      </c>
      <c r="D26" s="1360" t="s">
        <v>396</v>
      </c>
      <c r="E26" s="1361" t="str">
        <f>TONGHOPCONGDOI!C24</f>
        <v>T. Cô</v>
      </c>
      <c r="F26" s="1355"/>
      <c r="G26" s="1353" t="s">
        <v>3246</v>
      </c>
      <c r="H26" s="1353" t="s">
        <v>3246</v>
      </c>
      <c r="I26" s="1353" t="s">
        <v>3246</v>
      </c>
      <c r="J26" s="1353" t="s">
        <v>3246</v>
      </c>
      <c r="K26" s="1353" t="s">
        <v>3246</v>
      </c>
      <c r="L26" s="1353" t="s">
        <v>3246</v>
      </c>
      <c r="M26" s="1353" t="s">
        <v>3424</v>
      </c>
      <c r="N26" s="1353" t="s">
        <v>3246</v>
      </c>
      <c r="O26" s="1353" t="s">
        <v>3246</v>
      </c>
      <c r="P26" s="1353" t="s">
        <v>3246</v>
      </c>
      <c r="Q26" s="1353" t="s">
        <v>3246</v>
      </c>
      <c r="R26" s="1353" t="s">
        <v>3246</v>
      </c>
      <c r="S26" s="1353" t="s">
        <v>3246</v>
      </c>
      <c r="T26" s="1353" t="s">
        <v>3424</v>
      </c>
      <c r="U26" s="1353" t="s">
        <v>3246</v>
      </c>
      <c r="V26" s="1353" t="s">
        <v>3246</v>
      </c>
      <c r="W26" s="1353" t="s">
        <v>3246</v>
      </c>
      <c r="X26" s="1353" t="s">
        <v>3246</v>
      </c>
      <c r="Y26" s="1353" t="s">
        <v>3246</v>
      </c>
      <c r="Z26" s="1353" t="s">
        <v>3246</v>
      </c>
      <c r="AA26" s="1353" t="s">
        <v>3424</v>
      </c>
      <c r="AB26" s="1353" t="s">
        <v>3246</v>
      </c>
      <c r="AC26" s="1353" t="s">
        <v>3246</v>
      </c>
      <c r="AD26" s="1353" t="s">
        <v>3246</v>
      </c>
      <c r="AE26" s="1353" t="s">
        <v>3246</v>
      </c>
      <c r="AF26" s="1353" t="s">
        <v>3246</v>
      </c>
      <c r="AG26" s="1353" t="s">
        <v>3246</v>
      </c>
      <c r="AH26" s="1353" t="s">
        <v>3424</v>
      </c>
      <c r="AI26" s="1353" t="s">
        <v>3246</v>
      </c>
      <c r="AJ26" s="1353" t="s">
        <v>3246</v>
      </c>
      <c r="AK26" s="1353" t="s">
        <v>3246</v>
      </c>
      <c r="AL26" s="1354">
        <f t="shared" si="7"/>
        <v>27</v>
      </c>
      <c r="AM26" s="1354">
        <f t="shared" si="8"/>
        <v>4</v>
      </c>
      <c r="AN26" s="1354">
        <f t="shared" si="9"/>
        <v>0</v>
      </c>
      <c r="AO26" s="1354">
        <f t="shared" si="10"/>
        <v>0</v>
      </c>
      <c r="AP26" s="1354">
        <f t="shared" si="4"/>
        <v>0</v>
      </c>
      <c r="AQ26" s="1354">
        <f t="shared" si="5"/>
        <v>0</v>
      </c>
      <c r="AR26" s="1355">
        <f t="shared" si="6"/>
        <v>31</v>
      </c>
      <c r="AS26" s="1229"/>
    </row>
    <row r="27" spans="1:45" ht="16.149999999999999" customHeight="1" outlineLevel="1">
      <c r="A27" s="1353">
        <v>15</v>
      </c>
      <c r="B27" s="1353">
        <v>15</v>
      </c>
      <c r="C27" s="1353" t="str">
        <f>'sản lượng'!C28</f>
        <v>03524</v>
      </c>
      <c r="D27" s="1360" t="s">
        <v>397</v>
      </c>
      <c r="E27" s="1361" t="str">
        <f>TONGHOPCONGDOI!C25</f>
        <v>T. Nả</v>
      </c>
      <c r="F27" s="1355"/>
      <c r="G27" s="1353" t="s">
        <v>3246</v>
      </c>
      <c r="H27" s="1353" t="s">
        <v>3246</v>
      </c>
      <c r="I27" s="1353" t="s">
        <v>3246</v>
      </c>
      <c r="J27" s="1353" t="s">
        <v>3246</v>
      </c>
      <c r="K27" s="1353" t="s">
        <v>3246</v>
      </c>
      <c r="L27" s="1353" t="s">
        <v>3246</v>
      </c>
      <c r="M27" s="1353" t="s">
        <v>3424</v>
      </c>
      <c r="N27" s="1353" t="s">
        <v>3246</v>
      </c>
      <c r="O27" s="1353" t="s">
        <v>3246</v>
      </c>
      <c r="P27" s="1353" t="s">
        <v>3246</v>
      </c>
      <c r="Q27" s="1353" t="s">
        <v>3246</v>
      </c>
      <c r="R27" s="1353" t="s">
        <v>3246</v>
      </c>
      <c r="S27" s="1353" t="s">
        <v>3246</v>
      </c>
      <c r="T27" s="1353" t="s">
        <v>3424</v>
      </c>
      <c r="U27" s="1353" t="s">
        <v>3246</v>
      </c>
      <c r="V27" s="1353" t="s">
        <v>3246</v>
      </c>
      <c r="W27" s="1353" t="s">
        <v>3246</v>
      </c>
      <c r="X27" s="1353" t="s">
        <v>3246</v>
      </c>
      <c r="Y27" s="1353" t="s">
        <v>3246</v>
      </c>
      <c r="Z27" s="1353" t="s">
        <v>3246</v>
      </c>
      <c r="AA27" s="1353" t="s">
        <v>3424</v>
      </c>
      <c r="AB27" s="1353" t="s">
        <v>3246</v>
      </c>
      <c r="AC27" s="1353" t="s">
        <v>3246</v>
      </c>
      <c r="AD27" s="1353" t="s">
        <v>3246</v>
      </c>
      <c r="AE27" s="1353" t="s">
        <v>3246</v>
      </c>
      <c r="AF27" s="1353" t="s">
        <v>3246</v>
      </c>
      <c r="AG27" s="1353" t="s">
        <v>3246</v>
      </c>
      <c r="AH27" s="1353" t="s">
        <v>3424</v>
      </c>
      <c r="AI27" s="1353" t="s">
        <v>3246</v>
      </c>
      <c r="AJ27" s="1353" t="s">
        <v>3246</v>
      </c>
      <c r="AK27" s="1353" t="s">
        <v>3246</v>
      </c>
      <c r="AL27" s="1354">
        <f t="shared" si="7"/>
        <v>27</v>
      </c>
      <c r="AM27" s="1354">
        <f t="shared" si="8"/>
        <v>4</v>
      </c>
      <c r="AN27" s="1354">
        <f t="shared" si="9"/>
        <v>0</v>
      </c>
      <c r="AO27" s="1354">
        <f t="shared" si="10"/>
        <v>0</v>
      </c>
      <c r="AP27" s="1354">
        <f t="shared" si="4"/>
        <v>0</v>
      </c>
      <c r="AQ27" s="1354">
        <f t="shared" si="5"/>
        <v>0</v>
      </c>
      <c r="AR27" s="1355">
        <f t="shared" si="6"/>
        <v>31</v>
      </c>
      <c r="AS27" s="1229"/>
    </row>
    <row r="28" spans="1:45" ht="16.149999999999999" customHeight="1" outlineLevel="1">
      <c r="A28" s="1353">
        <v>16</v>
      </c>
      <c r="B28" s="1353">
        <v>16</v>
      </c>
      <c r="C28" s="1353" t="str">
        <f>'sản lượng'!C29</f>
        <v>03532</v>
      </c>
      <c r="D28" s="1360" t="s">
        <v>443</v>
      </c>
      <c r="E28" s="1361" t="str">
        <f>TONGHOPCONGDOI!C26</f>
        <v>N. Túc</v>
      </c>
      <c r="F28" s="1355"/>
      <c r="G28" s="1353" t="s">
        <v>3246</v>
      </c>
      <c r="H28" s="1353" t="s">
        <v>3246</v>
      </c>
      <c r="I28" s="1353" t="s">
        <v>3246</v>
      </c>
      <c r="J28" s="1353" t="s">
        <v>3246</v>
      </c>
      <c r="K28" s="1353" t="s">
        <v>3246</v>
      </c>
      <c r="L28" s="1353" t="s">
        <v>3246</v>
      </c>
      <c r="M28" s="1353" t="s">
        <v>3424</v>
      </c>
      <c r="N28" s="1353" t="s">
        <v>3246</v>
      </c>
      <c r="O28" s="1353" t="s">
        <v>3246</v>
      </c>
      <c r="P28" s="1353" t="s">
        <v>3246</v>
      </c>
      <c r="Q28" s="1353" t="s">
        <v>3246</v>
      </c>
      <c r="R28" s="1353" t="s">
        <v>3246</v>
      </c>
      <c r="S28" s="1353" t="s">
        <v>3246</v>
      </c>
      <c r="T28" s="1353" t="s">
        <v>3424</v>
      </c>
      <c r="U28" s="1353" t="s">
        <v>3246</v>
      </c>
      <c r="V28" s="1353" t="s">
        <v>3246</v>
      </c>
      <c r="W28" s="1353" t="s">
        <v>3246</v>
      </c>
      <c r="X28" s="1353" t="s">
        <v>3246</v>
      </c>
      <c r="Y28" s="1353" t="s">
        <v>3246</v>
      </c>
      <c r="Z28" s="1353" t="s">
        <v>3246</v>
      </c>
      <c r="AA28" s="1353" t="s">
        <v>3424</v>
      </c>
      <c r="AB28" s="1353" t="s">
        <v>3246</v>
      </c>
      <c r="AC28" s="1353" t="s">
        <v>3246</v>
      </c>
      <c r="AD28" s="1353" t="s">
        <v>3246</v>
      </c>
      <c r="AE28" s="1353" t="s">
        <v>3246</v>
      </c>
      <c r="AF28" s="1353" t="s">
        <v>3246</v>
      </c>
      <c r="AG28" s="1353" t="s">
        <v>3246</v>
      </c>
      <c r="AH28" s="1353" t="s">
        <v>3424</v>
      </c>
      <c r="AI28" s="1353" t="s">
        <v>3246</v>
      </c>
      <c r="AJ28" s="1353" t="s">
        <v>3246</v>
      </c>
      <c r="AK28" s="1353" t="s">
        <v>3246</v>
      </c>
      <c r="AL28" s="1354">
        <f t="shared" si="7"/>
        <v>27</v>
      </c>
      <c r="AM28" s="1354">
        <f t="shared" si="8"/>
        <v>4</v>
      </c>
      <c r="AN28" s="1354">
        <f t="shared" si="9"/>
        <v>0</v>
      </c>
      <c r="AO28" s="1354">
        <f t="shared" si="10"/>
        <v>0</v>
      </c>
      <c r="AP28" s="1354">
        <f t="shared" si="4"/>
        <v>0</v>
      </c>
      <c r="AQ28" s="1354">
        <f t="shared" si="5"/>
        <v>0</v>
      </c>
      <c r="AR28" s="1355">
        <f t="shared" si="6"/>
        <v>31</v>
      </c>
      <c r="AS28" s="1229"/>
    </row>
    <row r="29" spans="1:45" ht="16.149999999999999" customHeight="1" outlineLevel="1">
      <c r="A29" s="1353">
        <v>17</v>
      </c>
      <c r="B29" s="1353">
        <v>17</v>
      </c>
      <c r="C29" s="1353">
        <f>'sản lượng'!C30</f>
        <v>0</v>
      </c>
      <c r="D29" s="1360" t="s">
        <v>399</v>
      </c>
      <c r="E29" s="1361" t="str">
        <f>TONGHOPCONGDOI!C27</f>
        <v>Thảo Phút</v>
      </c>
      <c r="F29" s="1355"/>
      <c r="G29" s="1353" t="s">
        <v>3246</v>
      </c>
      <c r="H29" s="1353" t="s">
        <v>3246</v>
      </c>
      <c r="I29" s="1353" t="s">
        <v>3246</v>
      </c>
      <c r="J29" s="1353" t="s">
        <v>3246</v>
      </c>
      <c r="K29" s="1353" t="s">
        <v>3246</v>
      </c>
      <c r="L29" s="1353" t="s">
        <v>3246</v>
      </c>
      <c r="M29" s="1353" t="s">
        <v>3424</v>
      </c>
      <c r="N29" s="1353" t="s">
        <v>3246</v>
      </c>
      <c r="O29" s="1353" t="s">
        <v>3246</v>
      </c>
      <c r="P29" s="1353" t="s">
        <v>3246</v>
      </c>
      <c r="Q29" s="1353" t="s">
        <v>3246</v>
      </c>
      <c r="R29" s="1353" t="s">
        <v>3246</v>
      </c>
      <c r="S29" s="1353" t="s">
        <v>3246</v>
      </c>
      <c r="T29" s="1353" t="s">
        <v>3424</v>
      </c>
      <c r="U29" s="1353" t="s">
        <v>3246</v>
      </c>
      <c r="V29" s="1353" t="s">
        <v>3246</v>
      </c>
      <c r="W29" s="1353" t="s">
        <v>3246</v>
      </c>
      <c r="X29" s="1353" t="s">
        <v>3246</v>
      </c>
      <c r="Y29" s="1353" t="s">
        <v>3246</v>
      </c>
      <c r="Z29" s="1353" t="s">
        <v>3246</v>
      </c>
      <c r="AA29" s="1353" t="s">
        <v>3424</v>
      </c>
      <c r="AB29" s="1353" t="s">
        <v>3246</v>
      </c>
      <c r="AC29" s="1353" t="s">
        <v>3246</v>
      </c>
      <c r="AD29" s="1353" t="s">
        <v>3246</v>
      </c>
      <c r="AE29" s="1353" t="s">
        <v>3246</v>
      </c>
      <c r="AF29" s="1353" t="s">
        <v>3246</v>
      </c>
      <c r="AG29" s="1353" t="s">
        <v>3246</v>
      </c>
      <c r="AH29" s="1353" t="s">
        <v>3424</v>
      </c>
      <c r="AI29" s="1353" t="s">
        <v>3246</v>
      </c>
      <c r="AJ29" s="1353" t="s">
        <v>3246</v>
      </c>
      <c r="AK29" s="1353" t="s">
        <v>3246</v>
      </c>
      <c r="AL29" s="1354">
        <f t="shared" si="7"/>
        <v>27</v>
      </c>
      <c r="AM29" s="1354">
        <f t="shared" si="8"/>
        <v>4</v>
      </c>
      <c r="AN29" s="1354">
        <f t="shared" si="9"/>
        <v>0</v>
      </c>
      <c r="AO29" s="1354">
        <f t="shared" si="10"/>
        <v>0</v>
      </c>
      <c r="AP29" s="1354">
        <f t="shared" si="4"/>
        <v>0</v>
      </c>
      <c r="AQ29" s="1354">
        <f t="shared" si="5"/>
        <v>0</v>
      </c>
      <c r="AR29" s="1355">
        <f t="shared" si="6"/>
        <v>31</v>
      </c>
      <c r="AS29" s="1229"/>
    </row>
    <row r="30" spans="1:45" ht="16.149999999999999" customHeight="1" outlineLevel="1">
      <c r="A30" s="1353">
        <v>18</v>
      </c>
      <c r="B30" s="1353">
        <v>18</v>
      </c>
      <c r="C30" s="1353" t="str">
        <f>'sản lượng'!C31</f>
        <v>04093</v>
      </c>
      <c r="D30" s="1360" t="s">
        <v>400</v>
      </c>
      <c r="E30" s="1361" t="str">
        <f>TONGHOPCONGDOI!C28</f>
        <v>T. Lu</v>
      </c>
      <c r="F30" s="1355"/>
      <c r="G30" s="1353" t="s">
        <v>3246</v>
      </c>
      <c r="H30" s="1353" t="s">
        <v>3246</v>
      </c>
      <c r="I30" s="1353" t="s">
        <v>3246</v>
      </c>
      <c r="J30" s="1353" t="s">
        <v>3246</v>
      </c>
      <c r="K30" s="1353" t="s">
        <v>3246</v>
      </c>
      <c r="L30" s="1353" t="s">
        <v>3246</v>
      </c>
      <c r="M30" s="1353" t="s">
        <v>3424</v>
      </c>
      <c r="N30" s="1353" t="s">
        <v>3246</v>
      </c>
      <c r="O30" s="1353" t="s">
        <v>3246</v>
      </c>
      <c r="P30" s="1353" t="s">
        <v>3246</v>
      </c>
      <c r="Q30" s="1353" t="s">
        <v>3246</v>
      </c>
      <c r="R30" s="1353" t="s">
        <v>3246</v>
      </c>
      <c r="S30" s="1353" t="s">
        <v>3246</v>
      </c>
      <c r="T30" s="1353" t="s">
        <v>3424</v>
      </c>
      <c r="U30" s="1353" t="s">
        <v>3246</v>
      </c>
      <c r="V30" s="1353" t="s">
        <v>3246</v>
      </c>
      <c r="W30" s="1353" t="s">
        <v>3246</v>
      </c>
      <c r="X30" s="1353" t="s">
        <v>3246</v>
      </c>
      <c r="Y30" s="1353" t="s">
        <v>3246</v>
      </c>
      <c r="Z30" s="1353"/>
      <c r="AA30" s="1353" t="s">
        <v>3424</v>
      </c>
      <c r="AB30" s="1353" t="s">
        <v>3246</v>
      </c>
      <c r="AC30" s="1353" t="s">
        <v>3246</v>
      </c>
      <c r="AD30" s="1353" t="s">
        <v>3246</v>
      </c>
      <c r="AE30" s="1353"/>
      <c r="AF30" s="1353" t="s">
        <v>3246</v>
      </c>
      <c r="AG30" s="1353"/>
      <c r="AH30" s="1353" t="s">
        <v>3424</v>
      </c>
      <c r="AI30" s="1353" t="s">
        <v>3246</v>
      </c>
      <c r="AJ30" s="1353" t="s">
        <v>3246</v>
      </c>
      <c r="AK30" s="1353" t="s">
        <v>3246</v>
      </c>
      <c r="AL30" s="1354">
        <f t="shared" si="7"/>
        <v>24</v>
      </c>
      <c r="AM30" s="1354">
        <f t="shared" si="8"/>
        <v>4</v>
      </c>
      <c r="AN30" s="1354">
        <f t="shared" si="9"/>
        <v>0</v>
      </c>
      <c r="AO30" s="1354">
        <f t="shared" si="10"/>
        <v>0</v>
      </c>
      <c r="AP30" s="1354">
        <f t="shared" si="4"/>
        <v>0</v>
      </c>
      <c r="AQ30" s="1354">
        <f t="shared" si="5"/>
        <v>0</v>
      </c>
      <c r="AR30" s="1355">
        <f t="shared" si="6"/>
        <v>28</v>
      </c>
      <c r="AS30" s="1229"/>
    </row>
    <row r="31" spans="1:45" ht="16.149999999999999" customHeight="1" outlineLevel="1">
      <c r="A31" s="1353">
        <v>19</v>
      </c>
      <c r="B31" s="1353">
        <v>19</v>
      </c>
      <c r="C31" s="1353" t="str">
        <f>'sản lượng'!C32</f>
        <v xml:space="preserve">02709 </v>
      </c>
      <c r="D31" s="1360" t="s">
        <v>401</v>
      </c>
      <c r="E31" s="1361" t="str">
        <f>TONGHOPCONGDOI!C29</f>
        <v>T. Say</v>
      </c>
      <c r="F31" s="1355"/>
      <c r="G31" s="1353" t="s">
        <v>3246</v>
      </c>
      <c r="H31" s="1353" t="s">
        <v>3246</v>
      </c>
      <c r="I31" s="1353" t="s">
        <v>3246</v>
      </c>
      <c r="J31" s="1353" t="s">
        <v>3246</v>
      </c>
      <c r="K31" s="1353" t="s">
        <v>3246</v>
      </c>
      <c r="L31" s="1353" t="s">
        <v>3246</v>
      </c>
      <c r="M31" s="1353" t="s">
        <v>3424</v>
      </c>
      <c r="N31" s="1353" t="s">
        <v>3246</v>
      </c>
      <c r="O31" s="1353" t="s">
        <v>3246</v>
      </c>
      <c r="P31" s="1353" t="s">
        <v>3246</v>
      </c>
      <c r="Q31" s="1353" t="s">
        <v>3246</v>
      </c>
      <c r="R31" s="1353" t="s">
        <v>3246</v>
      </c>
      <c r="S31" s="1353" t="s">
        <v>3246</v>
      </c>
      <c r="T31" s="1353" t="s">
        <v>3424</v>
      </c>
      <c r="U31" s="1353" t="s">
        <v>3246</v>
      </c>
      <c r="V31" s="1353" t="s">
        <v>3246</v>
      </c>
      <c r="W31" s="1353" t="s">
        <v>3246</v>
      </c>
      <c r="X31" s="1353" t="s">
        <v>3246</v>
      </c>
      <c r="Y31" s="1353" t="s">
        <v>3246</v>
      </c>
      <c r="Z31" s="1353" t="s">
        <v>3246</v>
      </c>
      <c r="AA31" s="1353" t="s">
        <v>3424</v>
      </c>
      <c r="AB31" s="1353" t="s">
        <v>3246</v>
      </c>
      <c r="AC31" s="1353" t="s">
        <v>3246</v>
      </c>
      <c r="AD31" s="1353" t="s">
        <v>3246</v>
      </c>
      <c r="AE31" s="1353" t="s">
        <v>3246</v>
      </c>
      <c r="AF31" s="1353" t="s">
        <v>3246</v>
      </c>
      <c r="AG31" s="1353" t="s">
        <v>3246</v>
      </c>
      <c r="AH31" s="1353" t="s">
        <v>3424</v>
      </c>
      <c r="AI31" s="1353" t="s">
        <v>3246</v>
      </c>
      <c r="AJ31" s="1353" t="s">
        <v>3246</v>
      </c>
      <c r="AK31" s="1353" t="s">
        <v>3246</v>
      </c>
      <c r="AL31" s="1354">
        <f t="shared" si="7"/>
        <v>27</v>
      </c>
      <c r="AM31" s="1354">
        <f t="shared" si="8"/>
        <v>4</v>
      </c>
      <c r="AN31" s="1354">
        <f t="shared" si="9"/>
        <v>0</v>
      </c>
      <c r="AO31" s="1354">
        <f t="shared" si="10"/>
        <v>0</v>
      </c>
      <c r="AP31" s="1354">
        <f t="shared" si="4"/>
        <v>0</v>
      </c>
      <c r="AQ31" s="1354">
        <f t="shared" si="5"/>
        <v>0</v>
      </c>
      <c r="AR31" s="1355">
        <f t="shared" si="6"/>
        <v>31</v>
      </c>
      <c r="AS31" s="1229"/>
    </row>
    <row r="32" spans="1:45" ht="16.149999999999999" customHeight="1" outlineLevel="1">
      <c r="A32" s="1353">
        <v>20</v>
      </c>
      <c r="B32" s="1353">
        <v>20</v>
      </c>
      <c r="C32" s="1353" t="str">
        <f>'sản lượng'!C33</f>
        <v>04094</v>
      </c>
      <c r="D32" s="1360" t="s">
        <v>402</v>
      </c>
      <c r="E32" s="1361" t="str">
        <f>TONGHOPCONGDOI!C30</f>
        <v>N. Khun Mi</v>
      </c>
      <c r="F32" s="1355"/>
      <c r="G32" s="1353" t="s">
        <v>3246</v>
      </c>
      <c r="H32" s="1353" t="s">
        <v>3246</v>
      </c>
      <c r="I32" s="1353" t="s">
        <v>3246</v>
      </c>
      <c r="J32" s="1353" t="s">
        <v>3246</v>
      </c>
      <c r="K32" s="1353" t="s">
        <v>3246</v>
      </c>
      <c r="L32" s="1353" t="s">
        <v>3246</v>
      </c>
      <c r="M32" s="1353" t="s">
        <v>3424</v>
      </c>
      <c r="N32" s="1353" t="s">
        <v>3246</v>
      </c>
      <c r="O32" s="1353" t="s">
        <v>3246</v>
      </c>
      <c r="P32" s="1353" t="s">
        <v>3246</v>
      </c>
      <c r="Q32" s="1353" t="s">
        <v>3246</v>
      </c>
      <c r="R32" s="1353" t="s">
        <v>3246</v>
      </c>
      <c r="S32" s="1353" t="s">
        <v>3246</v>
      </c>
      <c r="T32" s="1353" t="s">
        <v>3424</v>
      </c>
      <c r="U32" s="1353" t="s">
        <v>3246</v>
      </c>
      <c r="V32" s="1353" t="s">
        <v>3246</v>
      </c>
      <c r="W32" s="1353" t="s">
        <v>3246</v>
      </c>
      <c r="X32" s="1353" t="s">
        <v>3246</v>
      </c>
      <c r="Y32" s="1353" t="s">
        <v>3246</v>
      </c>
      <c r="Z32" s="1353" t="s">
        <v>3246</v>
      </c>
      <c r="AA32" s="1353" t="s">
        <v>3424</v>
      </c>
      <c r="AB32" s="1353" t="s">
        <v>3246</v>
      </c>
      <c r="AC32" s="1353" t="s">
        <v>3246</v>
      </c>
      <c r="AD32" s="1353" t="s">
        <v>3246</v>
      </c>
      <c r="AE32" s="1353" t="s">
        <v>3246</v>
      </c>
      <c r="AF32" s="1353" t="s">
        <v>3246</v>
      </c>
      <c r="AG32" s="1353" t="s">
        <v>3246</v>
      </c>
      <c r="AH32" s="1353" t="s">
        <v>3424</v>
      </c>
      <c r="AI32" s="1353" t="s">
        <v>3246</v>
      </c>
      <c r="AJ32" s="1353" t="s">
        <v>3246</v>
      </c>
      <c r="AK32" s="1353" t="s">
        <v>3246</v>
      </c>
      <c r="AL32" s="1354">
        <f t="shared" si="7"/>
        <v>27</v>
      </c>
      <c r="AM32" s="1354">
        <f t="shared" si="8"/>
        <v>4</v>
      </c>
      <c r="AN32" s="1354">
        <f t="shared" si="9"/>
        <v>0</v>
      </c>
      <c r="AO32" s="1354">
        <f t="shared" si="10"/>
        <v>0</v>
      </c>
      <c r="AP32" s="1354">
        <f t="shared" si="4"/>
        <v>0</v>
      </c>
      <c r="AQ32" s="1354">
        <f t="shared" si="5"/>
        <v>0</v>
      </c>
      <c r="AR32" s="1355">
        <f t="shared" si="6"/>
        <v>31</v>
      </c>
      <c r="AS32" s="1229"/>
    </row>
    <row r="33" spans="1:45" ht="16.149999999999999" customHeight="1" outlineLevel="1">
      <c r="A33" s="1353">
        <v>21</v>
      </c>
      <c r="B33" s="1353">
        <v>21</v>
      </c>
      <c r="C33" s="1353" t="str">
        <f>'sản lượng'!C34</f>
        <v>03553</v>
      </c>
      <c r="D33" s="1360" t="s">
        <v>403</v>
      </c>
      <c r="E33" s="1361" t="str">
        <f>TONGHOPCONGDOI!C31</f>
        <v>A Tền</v>
      </c>
      <c r="F33" s="1355"/>
      <c r="G33" s="1353" t="s">
        <v>3246</v>
      </c>
      <c r="H33" s="1353" t="s">
        <v>3246</v>
      </c>
      <c r="I33" s="1353" t="s">
        <v>3246</v>
      </c>
      <c r="J33" s="1353" t="s">
        <v>3246</v>
      </c>
      <c r="K33" s="1353" t="s">
        <v>3246</v>
      </c>
      <c r="L33" s="1353" t="s">
        <v>3246</v>
      </c>
      <c r="M33" s="1353" t="s">
        <v>3424</v>
      </c>
      <c r="N33" s="1353" t="s">
        <v>3246</v>
      </c>
      <c r="O33" s="1353" t="s">
        <v>3246</v>
      </c>
      <c r="P33" s="1353" t="s">
        <v>3246</v>
      </c>
      <c r="Q33" s="1353" t="s">
        <v>3246</v>
      </c>
      <c r="R33" s="1353" t="s">
        <v>3246</v>
      </c>
      <c r="S33" s="1353" t="s">
        <v>3246</v>
      </c>
      <c r="T33" s="1353" t="s">
        <v>3424</v>
      </c>
      <c r="U33" s="1353" t="s">
        <v>3246</v>
      </c>
      <c r="V33" s="1353" t="s">
        <v>3246</v>
      </c>
      <c r="W33" s="1353" t="s">
        <v>3246</v>
      </c>
      <c r="X33" s="1353" t="s">
        <v>3246</v>
      </c>
      <c r="Y33" s="1353" t="s">
        <v>3246</v>
      </c>
      <c r="Z33" s="1353" t="s">
        <v>3246</v>
      </c>
      <c r="AA33" s="1353" t="s">
        <v>3424</v>
      </c>
      <c r="AB33" s="1353" t="s">
        <v>3246</v>
      </c>
      <c r="AC33" s="1353" t="s">
        <v>3246</v>
      </c>
      <c r="AD33" s="1353" t="s">
        <v>3246</v>
      </c>
      <c r="AE33" s="1353" t="s">
        <v>3246</v>
      </c>
      <c r="AF33" s="1353" t="s">
        <v>3246</v>
      </c>
      <c r="AG33" s="1353" t="s">
        <v>3246</v>
      </c>
      <c r="AH33" s="1353" t="s">
        <v>3424</v>
      </c>
      <c r="AI33" s="1353" t="s">
        <v>3246</v>
      </c>
      <c r="AJ33" s="1353" t="s">
        <v>3246</v>
      </c>
      <c r="AK33" s="1353" t="s">
        <v>3246</v>
      </c>
      <c r="AL33" s="1354">
        <f t="shared" si="7"/>
        <v>27</v>
      </c>
      <c r="AM33" s="1354">
        <f t="shared" si="8"/>
        <v>4</v>
      </c>
      <c r="AN33" s="1354">
        <f t="shared" si="9"/>
        <v>0</v>
      </c>
      <c r="AO33" s="1354">
        <f t="shared" si="10"/>
        <v>0</v>
      </c>
      <c r="AP33" s="1354">
        <f t="shared" si="4"/>
        <v>0</v>
      </c>
      <c r="AQ33" s="1354">
        <f t="shared" si="5"/>
        <v>0</v>
      </c>
      <c r="AR33" s="1355">
        <f t="shared" si="6"/>
        <v>31</v>
      </c>
      <c r="AS33" s="1229"/>
    </row>
    <row r="34" spans="1:45" ht="16.149999999999999" customHeight="1" outlineLevel="1">
      <c r="A34" s="1353">
        <v>22</v>
      </c>
      <c r="B34" s="1353">
        <v>22</v>
      </c>
      <c r="C34" s="1353" t="str">
        <f>'sản lượng'!C35</f>
        <v>04095</v>
      </c>
      <c r="D34" s="1360" t="s">
        <v>404</v>
      </c>
      <c r="E34" s="1361" t="str">
        <f>TONGHOPCONGDOI!C32</f>
        <v>T. Pon</v>
      </c>
      <c r="F34" s="1355"/>
      <c r="G34" s="1353" t="s">
        <v>3246</v>
      </c>
      <c r="H34" s="1353" t="s">
        <v>3246</v>
      </c>
      <c r="I34" s="1353" t="s">
        <v>3246</v>
      </c>
      <c r="J34" s="1353" t="s">
        <v>3246</v>
      </c>
      <c r="K34" s="1353" t="s">
        <v>3246</v>
      </c>
      <c r="L34" s="1353" t="s">
        <v>3246</v>
      </c>
      <c r="M34" s="1353" t="s">
        <v>3424</v>
      </c>
      <c r="N34" s="1353" t="s">
        <v>3246</v>
      </c>
      <c r="O34" s="1353" t="s">
        <v>3246</v>
      </c>
      <c r="P34" s="1353" t="s">
        <v>3246</v>
      </c>
      <c r="Q34" s="1353" t="s">
        <v>3246</v>
      </c>
      <c r="R34" s="1353" t="s">
        <v>3246</v>
      </c>
      <c r="S34" s="1353" t="s">
        <v>3246</v>
      </c>
      <c r="T34" s="1353" t="s">
        <v>3424</v>
      </c>
      <c r="U34" s="1353" t="s">
        <v>3246</v>
      </c>
      <c r="V34" s="1353" t="s">
        <v>3246</v>
      </c>
      <c r="W34" s="1353" t="s">
        <v>3246</v>
      </c>
      <c r="X34" s="1353" t="s">
        <v>3246</v>
      </c>
      <c r="Y34" s="1353" t="s">
        <v>3246</v>
      </c>
      <c r="Z34" s="1353" t="s">
        <v>3246</v>
      </c>
      <c r="AA34" s="1353" t="s">
        <v>3424</v>
      </c>
      <c r="AB34" s="1353" t="s">
        <v>3246</v>
      </c>
      <c r="AC34" s="1353" t="s">
        <v>3246</v>
      </c>
      <c r="AD34" s="1353" t="s">
        <v>3246</v>
      </c>
      <c r="AE34" s="1353" t="s">
        <v>3246</v>
      </c>
      <c r="AF34" s="1353" t="s">
        <v>3246</v>
      </c>
      <c r="AG34" s="1353" t="s">
        <v>3246</v>
      </c>
      <c r="AH34" s="1353" t="s">
        <v>3424</v>
      </c>
      <c r="AI34" s="1353" t="s">
        <v>3246</v>
      </c>
      <c r="AJ34" s="1353" t="s">
        <v>3246</v>
      </c>
      <c r="AK34" s="1353" t="s">
        <v>3246</v>
      </c>
      <c r="AL34" s="1354">
        <f t="shared" si="7"/>
        <v>27</v>
      </c>
      <c r="AM34" s="1354">
        <f t="shared" si="8"/>
        <v>4</v>
      </c>
      <c r="AN34" s="1354">
        <f t="shared" si="9"/>
        <v>0</v>
      </c>
      <c r="AO34" s="1354">
        <f t="shared" si="10"/>
        <v>0</v>
      </c>
      <c r="AP34" s="1354">
        <f t="shared" si="4"/>
        <v>0</v>
      </c>
      <c r="AQ34" s="1354">
        <f t="shared" si="5"/>
        <v>0</v>
      </c>
      <c r="AR34" s="1355">
        <f t="shared" si="6"/>
        <v>31</v>
      </c>
      <c r="AS34" s="1229"/>
    </row>
    <row r="35" spans="1:45" ht="16.149999999999999" customHeight="1" outlineLevel="1">
      <c r="A35" s="1353">
        <v>23</v>
      </c>
      <c r="B35" s="1353">
        <v>23</v>
      </c>
      <c r="C35" s="1353" t="str">
        <f>'sản lượng'!C36</f>
        <v>04096</v>
      </c>
      <c r="D35" s="1360" t="s">
        <v>405</v>
      </c>
      <c r="E35" s="1361" t="str">
        <f>TONGHOPCONGDOI!C33</f>
        <v>T. Ly</v>
      </c>
      <c r="F35" s="1355"/>
      <c r="G35" s="1353" t="s">
        <v>3246</v>
      </c>
      <c r="H35" s="1353" t="s">
        <v>3246</v>
      </c>
      <c r="I35" s="1353" t="s">
        <v>3246</v>
      </c>
      <c r="J35" s="1353" t="s">
        <v>3246</v>
      </c>
      <c r="K35" s="1353" t="s">
        <v>3246</v>
      </c>
      <c r="L35" s="1353" t="s">
        <v>3246</v>
      </c>
      <c r="M35" s="1353" t="s">
        <v>3424</v>
      </c>
      <c r="N35" s="1353" t="s">
        <v>3246</v>
      </c>
      <c r="O35" s="1353" t="s">
        <v>3246</v>
      </c>
      <c r="P35" s="1353" t="s">
        <v>3246</v>
      </c>
      <c r="Q35" s="1353" t="s">
        <v>3246</v>
      </c>
      <c r="R35" s="1353" t="s">
        <v>3246</v>
      </c>
      <c r="S35" s="1353" t="s">
        <v>3246</v>
      </c>
      <c r="T35" s="1353" t="s">
        <v>3424</v>
      </c>
      <c r="U35" s="1353"/>
      <c r="V35" s="1353" t="s">
        <v>3246</v>
      </c>
      <c r="W35" s="1353" t="s">
        <v>3246</v>
      </c>
      <c r="X35" s="1353" t="s">
        <v>3246</v>
      </c>
      <c r="Y35" s="1353" t="s">
        <v>3246</v>
      </c>
      <c r="Z35" s="1353" t="s">
        <v>3246</v>
      </c>
      <c r="AA35" s="1353" t="s">
        <v>3424</v>
      </c>
      <c r="AB35" s="1353" t="s">
        <v>3246</v>
      </c>
      <c r="AC35" s="1353" t="s">
        <v>3246</v>
      </c>
      <c r="AD35" s="1353" t="s">
        <v>3246</v>
      </c>
      <c r="AE35" s="1353"/>
      <c r="AF35" s="1353"/>
      <c r="AG35" s="1353" t="s">
        <v>3246</v>
      </c>
      <c r="AH35" s="1353" t="s">
        <v>3424</v>
      </c>
      <c r="AI35" s="1353" t="s">
        <v>3246</v>
      </c>
      <c r="AJ35" s="1353" t="s">
        <v>3246</v>
      </c>
      <c r="AK35" s="1353" t="s">
        <v>3246</v>
      </c>
      <c r="AL35" s="1354">
        <f t="shared" si="7"/>
        <v>24</v>
      </c>
      <c r="AM35" s="1354">
        <f t="shared" si="8"/>
        <v>4</v>
      </c>
      <c r="AN35" s="1354">
        <f t="shared" si="9"/>
        <v>0</v>
      </c>
      <c r="AO35" s="1354">
        <f t="shared" si="10"/>
        <v>0</v>
      </c>
      <c r="AP35" s="1354">
        <f t="shared" si="4"/>
        <v>0</v>
      </c>
      <c r="AQ35" s="1354">
        <f t="shared" si="5"/>
        <v>0</v>
      </c>
      <c r="AR35" s="1355">
        <f t="shared" si="6"/>
        <v>28</v>
      </c>
      <c r="AS35" s="1229"/>
    </row>
    <row r="36" spans="1:45" ht="16.149999999999999" customHeight="1" outlineLevel="1">
      <c r="A36" s="1353">
        <v>24</v>
      </c>
      <c r="B36" s="1353">
        <v>24</v>
      </c>
      <c r="C36" s="1353" t="str">
        <f>'sản lượng'!C37</f>
        <v>03537</v>
      </c>
      <c r="D36" s="1360" t="s">
        <v>406</v>
      </c>
      <c r="E36" s="1361" t="str">
        <f>TONGHOPCONGDOI!C34</f>
        <v>Văn Đi</v>
      </c>
      <c r="F36" s="1355"/>
      <c r="G36" s="1353" t="s">
        <v>3246</v>
      </c>
      <c r="H36" s="1353" t="s">
        <v>3246</v>
      </c>
      <c r="I36" s="1353" t="s">
        <v>3246</v>
      </c>
      <c r="J36" s="1353" t="s">
        <v>3246</v>
      </c>
      <c r="K36" s="1353" t="s">
        <v>3246</v>
      </c>
      <c r="L36" s="1353" t="s">
        <v>3246</v>
      </c>
      <c r="M36" s="1353" t="s">
        <v>3424</v>
      </c>
      <c r="N36" s="1353" t="s">
        <v>3246</v>
      </c>
      <c r="O36" s="1353" t="s">
        <v>3246</v>
      </c>
      <c r="P36" s="1353" t="s">
        <v>3246</v>
      </c>
      <c r="Q36" s="1353" t="s">
        <v>3246</v>
      </c>
      <c r="R36" s="1353" t="s">
        <v>3246</v>
      </c>
      <c r="S36" s="1353" t="s">
        <v>3246</v>
      </c>
      <c r="T36" s="1353" t="s">
        <v>3424</v>
      </c>
      <c r="U36" s="1353" t="s">
        <v>3246</v>
      </c>
      <c r="V36" s="1353" t="s">
        <v>3246</v>
      </c>
      <c r="W36" s="1353" t="s">
        <v>3246</v>
      </c>
      <c r="X36" s="1353" t="s">
        <v>3246</v>
      </c>
      <c r="Y36" s="1353" t="s">
        <v>3246</v>
      </c>
      <c r="Z36" s="1353" t="s">
        <v>3246</v>
      </c>
      <c r="AA36" s="1353" t="s">
        <v>3424</v>
      </c>
      <c r="AB36" s="1353" t="s">
        <v>3246</v>
      </c>
      <c r="AC36" s="1353" t="s">
        <v>3246</v>
      </c>
      <c r="AD36" s="1353" t="s">
        <v>3246</v>
      </c>
      <c r="AE36" s="1353" t="s">
        <v>3246</v>
      </c>
      <c r="AF36" s="1353" t="s">
        <v>3246</v>
      </c>
      <c r="AG36" s="1353" t="s">
        <v>3246</v>
      </c>
      <c r="AH36" s="1353" t="s">
        <v>3424</v>
      </c>
      <c r="AI36" s="1353" t="s">
        <v>3246</v>
      </c>
      <c r="AJ36" s="1353" t="s">
        <v>3246</v>
      </c>
      <c r="AK36" s="1353" t="s">
        <v>3246</v>
      </c>
      <c r="AL36" s="1354">
        <f t="shared" si="7"/>
        <v>27</v>
      </c>
      <c r="AM36" s="1354">
        <f t="shared" si="8"/>
        <v>4</v>
      </c>
      <c r="AN36" s="1354">
        <f t="shared" si="9"/>
        <v>0</v>
      </c>
      <c r="AO36" s="1354">
        <f t="shared" si="10"/>
        <v>0</v>
      </c>
      <c r="AP36" s="1354">
        <f t="shared" si="4"/>
        <v>0</v>
      </c>
      <c r="AQ36" s="1354">
        <f t="shared" si="5"/>
        <v>0</v>
      </c>
      <c r="AR36" s="1355">
        <f t="shared" si="6"/>
        <v>31</v>
      </c>
      <c r="AS36" s="1229"/>
    </row>
    <row r="37" spans="1:45" ht="16.149999999999999" customHeight="1" outlineLevel="1">
      <c r="A37" s="1353">
        <v>25</v>
      </c>
      <c r="B37" s="1353">
        <v>25</v>
      </c>
      <c r="C37" s="1353" t="str">
        <f>'sản lượng'!C38</f>
        <v>04097</v>
      </c>
      <c r="D37" s="1360" t="s">
        <v>407</v>
      </c>
      <c r="E37" s="1361" t="str">
        <f>TONGHOPCONGDOI!C35</f>
        <v xml:space="preserve">Chày </v>
      </c>
      <c r="F37" s="1355"/>
      <c r="G37" s="1353" t="s">
        <v>3246</v>
      </c>
      <c r="H37" s="1353" t="s">
        <v>3246</v>
      </c>
      <c r="I37" s="1353" t="s">
        <v>3246</v>
      </c>
      <c r="J37" s="1353" t="s">
        <v>3246</v>
      </c>
      <c r="K37" s="1353" t="s">
        <v>3246</v>
      </c>
      <c r="L37" s="1353" t="s">
        <v>3246</v>
      </c>
      <c r="M37" s="1353" t="s">
        <v>3424</v>
      </c>
      <c r="N37" s="1353" t="s">
        <v>3246</v>
      </c>
      <c r="O37" s="1353" t="s">
        <v>3246</v>
      </c>
      <c r="P37" s="1353" t="s">
        <v>3246</v>
      </c>
      <c r="Q37" s="1353" t="s">
        <v>3246</v>
      </c>
      <c r="R37" s="1353" t="s">
        <v>3246</v>
      </c>
      <c r="S37" s="1353" t="s">
        <v>3246</v>
      </c>
      <c r="T37" s="1353" t="s">
        <v>3424</v>
      </c>
      <c r="U37" s="1353" t="s">
        <v>3246</v>
      </c>
      <c r="V37" s="1353" t="s">
        <v>3246</v>
      </c>
      <c r="W37" s="1353" t="s">
        <v>3246</v>
      </c>
      <c r="X37" s="1353" t="s">
        <v>3246</v>
      </c>
      <c r="Y37" s="1353" t="s">
        <v>3246</v>
      </c>
      <c r="Z37" s="1353" t="s">
        <v>3246</v>
      </c>
      <c r="AA37" s="1353" t="s">
        <v>3424</v>
      </c>
      <c r="AB37" s="1353" t="s">
        <v>3246</v>
      </c>
      <c r="AC37" s="1353" t="s">
        <v>3246</v>
      </c>
      <c r="AD37" s="1353" t="s">
        <v>3246</v>
      </c>
      <c r="AE37" s="1353" t="s">
        <v>3246</v>
      </c>
      <c r="AF37" s="1353" t="s">
        <v>3246</v>
      </c>
      <c r="AG37" s="1353" t="s">
        <v>3246</v>
      </c>
      <c r="AH37" s="1353" t="s">
        <v>3424</v>
      </c>
      <c r="AI37" s="1353" t="s">
        <v>3246</v>
      </c>
      <c r="AJ37" s="1353" t="s">
        <v>3246</v>
      </c>
      <c r="AK37" s="1353" t="s">
        <v>3246</v>
      </c>
      <c r="AL37" s="1354">
        <f t="shared" si="7"/>
        <v>27</v>
      </c>
      <c r="AM37" s="1354">
        <f t="shared" si="8"/>
        <v>4</v>
      </c>
      <c r="AN37" s="1354">
        <f t="shared" si="9"/>
        <v>0</v>
      </c>
      <c r="AO37" s="1354">
        <f t="shared" si="10"/>
        <v>0</v>
      </c>
      <c r="AP37" s="1354">
        <f t="shared" si="4"/>
        <v>0</v>
      </c>
      <c r="AQ37" s="1354">
        <f t="shared" si="5"/>
        <v>0</v>
      </c>
      <c r="AR37" s="1355">
        <f t="shared" si="6"/>
        <v>31</v>
      </c>
      <c r="AS37" s="1229"/>
    </row>
    <row r="38" spans="1:45" ht="16.149999999999999" customHeight="1" outlineLevel="1">
      <c r="A38" s="1353">
        <v>26</v>
      </c>
      <c r="B38" s="1353">
        <v>26</v>
      </c>
      <c r="C38" s="1353">
        <f>'sản lượng'!C39</f>
        <v>0</v>
      </c>
      <c r="D38" s="1360" t="s">
        <v>408</v>
      </c>
      <c r="E38" s="1361" t="str">
        <f>TONGHOPCONGDOI!C36</f>
        <v>Thảo Thủy</v>
      </c>
      <c r="F38" s="1355"/>
      <c r="G38" s="1353" t="s">
        <v>3246</v>
      </c>
      <c r="H38" s="1353" t="s">
        <v>3246</v>
      </c>
      <c r="I38" s="1353" t="s">
        <v>3246</v>
      </c>
      <c r="J38" s="1353" t="s">
        <v>3246</v>
      </c>
      <c r="K38" s="1353" t="s">
        <v>3246</v>
      </c>
      <c r="L38" s="1353" t="s">
        <v>3246</v>
      </c>
      <c r="M38" s="1353" t="s">
        <v>3424</v>
      </c>
      <c r="N38" s="1353" t="s">
        <v>3246</v>
      </c>
      <c r="O38" s="1353" t="s">
        <v>3246</v>
      </c>
      <c r="P38" s="1353" t="s">
        <v>3246</v>
      </c>
      <c r="Q38" s="1353" t="s">
        <v>3246</v>
      </c>
      <c r="R38" s="1353" t="s">
        <v>3246</v>
      </c>
      <c r="S38" s="1353" t="s">
        <v>3246</v>
      </c>
      <c r="T38" s="1353" t="s">
        <v>3424</v>
      </c>
      <c r="U38" s="1353" t="s">
        <v>3246</v>
      </c>
      <c r="V38" s="1353" t="s">
        <v>3246</v>
      </c>
      <c r="W38" s="1353" t="s">
        <v>3246</v>
      </c>
      <c r="X38" s="1353" t="s">
        <v>3246</v>
      </c>
      <c r="Y38" s="1353" t="s">
        <v>3246</v>
      </c>
      <c r="Z38" s="1353" t="s">
        <v>3246</v>
      </c>
      <c r="AA38" s="1353" t="s">
        <v>3424</v>
      </c>
      <c r="AB38" s="1353" t="s">
        <v>3246</v>
      </c>
      <c r="AC38" s="1353" t="s">
        <v>3246</v>
      </c>
      <c r="AD38" s="1353" t="s">
        <v>3246</v>
      </c>
      <c r="AE38" s="1353" t="s">
        <v>3246</v>
      </c>
      <c r="AF38" s="1353" t="s">
        <v>3246</v>
      </c>
      <c r="AG38" s="1353" t="s">
        <v>3246</v>
      </c>
      <c r="AH38" s="1353" t="s">
        <v>3424</v>
      </c>
      <c r="AI38" s="1353" t="s">
        <v>3246</v>
      </c>
      <c r="AJ38" s="1353" t="s">
        <v>3246</v>
      </c>
      <c r="AK38" s="1353" t="s">
        <v>3246</v>
      </c>
      <c r="AL38" s="1354">
        <f t="shared" si="7"/>
        <v>27</v>
      </c>
      <c r="AM38" s="1354">
        <f t="shared" si="8"/>
        <v>4</v>
      </c>
      <c r="AN38" s="1354">
        <f t="shared" si="9"/>
        <v>0</v>
      </c>
      <c r="AO38" s="1354">
        <f t="shared" si="10"/>
        <v>0</v>
      </c>
      <c r="AP38" s="1354">
        <f t="shared" si="4"/>
        <v>0</v>
      </c>
      <c r="AQ38" s="1354">
        <f t="shared" si="5"/>
        <v>0</v>
      </c>
      <c r="AR38" s="1355">
        <f t="shared" si="6"/>
        <v>31</v>
      </c>
      <c r="AS38" s="1229"/>
    </row>
    <row r="39" spans="1:45" ht="16.149999999999999" customHeight="1" outlineLevel="1">
      <c r="A39" s="1353">
        <v>27</v>
      </c>
      <c r="B39" s="1353">
        <v>27</v>
      </c>
      <c r="C39" s="1353">
        <f>'sản lượng'!C40</f>
        <v>0</v>
      </c>
      <c r="D39" s="1360" t="s">
        <v>1939</v>
      </c>
      <c r="E39" s="1361" t="str">
        <f>TONGHOPCONGDOI!C37</f>
        <v>Thảo Ngân</v>
      </c>
      <c r="F39" s="1355"/>
      <c r="G39" s="1353" t="s">
        <v>3246</v>
      </c>
      <c r="H39" s="1353" t="s">
        <v>3246</v>
      </c>
      <c r="I39" s="1353" t="s">
        <v>3246</v>
      </c>
      <c r="J39" s="1353" t="s">
        <v>3246</v>
      </c>
      <c r="K39" s="1353" t="s">
        <v>3246</v>
      </c>
      <c r="L39" s="1353" t="s">
        <v>3246</v>
      </c>
      <c r="M39" s="1353" t="s">
        <v>3424</v>
      </c>
      <c r="N39" s="1353" t="s">
        <v>3246</v>
      </c>
      <c r="O39" s="1353" t="s">
        <v>3246</v>
      </c>
      <c r="P39" s="1353" t="s">
        <v>3246</v>
      </c>
      <c r="Q39" s="1353" t="s">
        <v>3246</v>
      </c>
      <c r="R39" s="1353" t="s">
        <v>3246</v>
      </c>
      <c r="S39" s="1353" t="s">
        <v>3246</v>
      </c>
      <c r="T39" s="1353" t="s">
        <v>3424</v>
      </c>
      <c r="U39" s="1353" t="s">
        <v>3246</v>
      </c>
      <c r="V39" s="1353" t="s">
        <v>3246</v>
      </c>
      <c r="W39" s="1353" t="s">
        <v>3246</v>
      </c>
      <c r="X39" s="1353" t="s">
        <v>3246</v>
      </c>
      <c r="Y39" s="1353" t="s">
        <v>3246</v>
      </c>
      <c r="Z39" s="1353" t="s">
        <v>3246</v>
      </c>
      <c r="AA39" s="1353" t="s">
        <v>3424</v>
      </c>
      <c r="AB39" s="1353" t="s">
        <v>3246</v>
      </c>
      <c r="AC39" s="1353" t="s">
        <v>3246</v>
      </c>
      <c r="AD39" s="1353" t="s">
        <v>3246</v>
      </c>
      <c r="AE39" s="1353" t="s">
        <v>3246</v>
      </c>
      <c r="AF39" s="1353" t="s">
        <v>3246</v>
      </c>
      <c r="AG39" s="1353" t="s">
        <v>3246</v>
      </c>
      <c r="AH39" s="1353" t="s">
        <v>3424</v>
      </c>
      <c r="AI39" s="1353" t="s">
        <v>3246</v>
      </c>
      <c r="AJ39" s="1353" t="s">
        <v>3246</v>
      </c>
      <c r="AK39" s="1353" t="s">
        <v>3246</v>
      </c>
      <c r="AL39" s="1354">
        <f t="shared" si="7"/>
        <v>27</v>
      </c>
      <c r="AM39" s="1354">
        <f t="shared" si="8"/>
        <v>4</v>
      </c>
      <c r="AN39" s="1354">
        <f t="shared" si="9"/>
        <v>0</v>
      </c>
      <c r="AO39" s="1354">
        <f t="shared" si="10"/>
        <v>0</v>
      </c>
      <c r="AP39" s="1354">
        <f t="shared" si="4"/>
        <v>0</v>
      </c>
      <c r="AQ39" s="1354">
        <f t="shared" si="5"/>
        <v>0</v>
      </c>
      <c r="AR39" s="1355">
        <f t="shared" si="6"/>
        <v>31</v>
      </c>
      <c r="AS39" s="1229"/>
    </row>
    <row r="40" spans="1:45" ht="16.149999999999999" customHeight="1" outlineLevel="1">
      <c r="A40" s="1353">
        <v>28</v>
      </c>
      <c r="B40" s="1353">
        <v>28</v>
      </c>
      <c r="C40" s="1353" t="str">
        <f>'sản lượng'!C41</f>
        <v>03541</v>
      </c>
      <c r="D40" s="1360" t="s">
        <v>410</v>
      </c>
      <c r="E40" s="1361" t="str">
        <f>TONGHOPCONGDOI!C38</f>
        <v>T Đeng</v>
      </c>
      <c r="F40" s="1355"/>
      <c r="G40" s="1353" t="s">
        <v>3246</v>
      </c>
      <c r="H40" s="1353" t="s">
        <v>3246</v>
      </c>
      <c r="I40" s="1353" t="s">
        <v>3246</v>
      </c>
      <c r="J40" s="1353" t="s">
        <v>3246</v>
      </c>
      <c r="K40" s="1353" t="s">
        <v>3246</v>
      </c>
      <c r="L40" s="1353" t="s">
        <v>3246</v>
      </c>
      <c r="M40" s="1353" t="s">
        <v>3424</v>
      </c>
      <c r="N40" s="1353" t="s">
        <v>3246</v>
      </c>
      <c r="O40" s="1353" t="s">
        <v>3246</v>
      </c>
      <c r="P40" s="1353" t="s">
        <v>3246</v>
      </c>
      <c r="Q40" s="1353" t="s">
        <v>3246</v>
      </c>
      <c r="R40" s="1353" t="s">
        <v>3246</v>
      </c>
      <c r="S40" s="1353" t="s">
        <v>3246</v>
      </c>
      <c r="T40" s="1353" t="s">
        <v>3424</v>
      </c>
      <c r="U40" s="1353" t="s">
        <v>3246</v>
      </c>
      <c r="V40" s="1353" t="s">
        <v>3246</v>
      </c>
      <c r="W40" s="1353" t="s">
        <v>3246</v>
      </c>
      <c r="X40" s="1353" t="s">
        <v>3246</v>
      </c>
      <c r="Y40" s="1353" t="s">
        <v>3246</v>
      </c>
      <c r="Z40" s="1353" t="s">
        <v>3246</v>
      </c>
      <c r="AA40" s="1353" t="s">
        <v>3424</v>
      </c>
      <c r="AB40" s="1353" t="s">
        <v>3246</v>
      </c>
      <c r="AC40" s="1353" t="s">
        <v>3246</v>
      </c>
      <c r="AD40" s="1353" t="s">
        <v>3246</v>
      </c>
      <c r="AE40" s="1353" t="s">
        <v>3246</v>
      </c>
      <c r="AF40" s="1353" t="s">
        <v>3246</v>
      </c>
      <c r="AG40" s="1353" t="s">
        <v>3246</v>
      </c>
      <c r="AH40" s="1353" t="s">
        <v>3424</v>
      </c>
      <c r="AI40" s="1353" t="s">
        <v>3246</v>
      </c>
      <c r="AJ40" s="1353" t="s">
        <v>3246</v>
      </c>
      <c r="AK40" s="1353" t="s">
        <v>3246</v>
      </c>
      <c r="AL40" s="1354">
        <f t="shared" si="7"/>
        <v>27</v>
      </c>
      <c r="AM40" s="1354">
        <f t="shared" si="8"/>
        <v>4</v>
      </c>
      <c r="AN40" s="1354">
        <f t="shared" si="9"/>
        <v>0</v>
      </c>
      <c r="AO40" s="1354">
        <f t="shared" si="10"/>
        <v>0</v>
      </c>
      <c r="AP40" s="1354">
        <f t="shared" si="4"/>
        <v>0</v>
      </c>
      <c r="AQ40" s="1354">
        <f t="shared" si="5"/>
        <v>0</v>
      </c>
      <c r="AR40" s="1355">
        <f t="shared" si="6"/>
        <v>31</v>
      </c>
      <c r="AS40" s="1229"/>
    </row>
    <row r="41" spans="1:45" ht="16.149999999999999" customHeight="1" outlineLevel="1">
      <c r="A41" s="1353">
        <v>29</v>
      </c>
      <c r="B41" s="1353">
        <v>29</v>
      </c>
      <c r="C41" s="1353">
        <f>'sản lượng'!C42</f>
        <v>0</v>
      </c>
      <c r="D41" s="1360" t="s">
        <v>411</v>
      </c>
      <c r="E41" s="1361" t="str">
        <f>TONGHOPCONGDOI!C39</f>
        <v>Thảo Xiều</v>
      </c>
      <c r="F41" s="1355"/>
      <c r="G41" s="1353" t="s">
        <v>3246</v>
      </c>
      <c r="H41" s="1353" t="s">
        <v>3246</v>
      </c>
      <c r="I41" s="1353" t="s">
        <v>3246</v>
      </c>
      <c r="J41" s="1353" t="s">
        <v>3246</v>
      </c>
      <c r="K41" s="1353" t="s">
        <v>3246</v>
      </c>
      <c r="L41" s="1353" t="s">
        <v>3246</v>
      </c>
      <c r="M41" s="1353" t="s">
        <v>3424</v>
      </c>
      <c r="N41" s="1353" t="s">
        <v>3246</v>
      </c>
      <c r="O41" s="1353" t="s">
        <v>3246</v>
      </c>
      <c r="P41" s="1353" t="s">
        <v>3246</v>
      </c>
      <c r="Q41" s="1353" t="s">
        <v>3246</v>
      </c>
      <c r="R41" s="1353" t="s">
        <v>3246</v>
      </c>
      <c r="S41" s="1353" t="s">
        <v>3246</v>
      </c>
      <c r="T41" s="1353" t="s">
        <v>3424</v>
      </c>
      <c r="U41" s="1353" t="s">
        <v>3246</v>
      </c>
      <c r="V41" s="1353" t="s">
        <v>3246</v>
      </c>
      <c r="W41" s="1353" t="s">
        <v>3246</v>
      </c>
      <c r="X41" s="1353" t="s">
        <v>3246</v>
      </c>
      <c r="Y41" s="1353" t="s">
        <v>3246</v>
      </c>
      <c r="Z41" s="1353" t="s">
        <v>3246</v>
      </c>
      <c r="AA41" s="1353" t="s">
        <v>3424</v>
      </c>
      <c r="AB41" s="1353" t="s">
        <v>3246</v>
      </c>
      <c r="AC41" s="1353" t="s">
        <v>3246</v>
      </c>
      <c r="AD41" s="1353" t="s">
        <v>3246</v>
      </c>
      <c r="AE41" s="1353" t="s">
        <v>3246</v>
      </c>
      <c r="AF41" s="1353" t="s">
        <v>3246</v>
      </c>
      <c r="AG41" s="1353" t="s">
        <v>3246</v>
      </c>
      <c r="AH41" s="1353" t="s">
        <v>3424</v>
      </c>
      <c r="AI41" s="1353" t="s">
        <v>3246</v>
      </c>
      <c r="AJ41" s="1353" t="s">
        <v>3246</v>
      </c>
      <c r="AK41" s="1353" t="s">
        <v>3246</v>
      </c>
      <c r="AL41" s="1354">
        <f t="shared" si="7"/>
        <v>27</v>
      </c>
      <c r="AM41" s="1354">
        <f t="shared" si="8"/>
        <v>4</v>
      </c>
      <c r="AN41" s="1354">
        <f t="shared" si="9"/>
        <v>0</v>
      </c>
      <c r="AO41" s="1354">
        <f t="shared" si="10"/>
        <v>0</v>
      </c>
      <c r="AP41" s="1354">
        <f t="shared" si="4"/>
        <v>0</v>
      </c>
      <c r="AQ41" s="1354">
        <f t="shared" si="5"/>
        <v>0</v>
      </c>
      <c r="AR41" s="1355">
        <f t="shared" si="6"/>
        <v>31</v>
      </c>
      <c r="AS41" s="1229"/>
    </row>
    <row r="42" spans="1:45" ht="16.149999999999999" customHeight="1" outlineLevel="1">
      <c r="A42" s="1353">
        <v>30</v>
      </c>
      <c r="B42" s="1353">
        <v>30</v>
      </c>
      <c r="C42" s="1353" t="str">
        <f>'sản lượng'!C43</f>
        <v>03543</v>
      </c>
      <c r="D42" s="1360" t="s">
        <v>412</v>
      </c>
      <c r="E42" s="1361" t="str">
        <f>TONGHOPCONGDOI!C40</f>
        <v>Văn Na Nọi</v>
      </c>
      <c r="F42" s="1355"/>
      <c r="G42" s="1353" t="s">
        <v>3246</v>
      </c>
      <c r="H42" s="1353" t="s">
        <v>3246</v>
      </c>
      <c r="I42" s="1353" t="s">
        <v>3246</v>
      </c>
      <c r="J42" s="1353" t="s">
        <v>3246</v>
      </c>
      <c r="K42" s="1353" t="s">
        <v>3246</v>
      </c>
      <c r="L42" s="1353" t="s">
        <v>3246</v>
      </c>
      <c r="M42" s="1353" t="s">
        <v>3424</v>
      </c>
      <c r="N42" s="1353" t="s">
        <v>3246</v>
      </c>
      <c r="O42" s="1353" t="s">
        <v>3246</v>
      </c>
      <c r="P42" s="1353" t="s">
        <v>3246</v>
      </c>
      <c r="Q42" s="1353" t="s">
        <v>3246</v>
      </c>
      <c r="R42" s="1353" t="s">
        <v>3246</v>
      </c>
      <c r="S42" s="1353" t="s">
        <v>3246</v>
      </c>
      <c r="T42" s="1353" t="s">
        <v>3424</v>
      </c>
      <c r="U42" s="1353" t="s">
        <v>3246</v>
      </c>
      <c r="V42" s="1353" t="s">
        <v>3246</v>
      </c>
      <c r="W42" s="1353" t="s">
        <v>3246</v>
      </c>
      <c r="X42" s="1353" t="s">
        <v>3246</v>
      </c>
      <c r="Y42" s="1353" t="s">
        <v>3246</v>
      </c>
      <c r="Z42" s="1353" t="s">
        <v>3246</v>
      </c>
      <c r="AA42" s="1353" t="s">
        <v>3424</v>
      </c>
      <c r="AB42" s="1353" t="s">
        <v>3246</v>
      </c>
      <c r="AC42" s="1353" t="s">
        <v>3246</v>
      </c>
      <c r="AD42" s="1353" t="s">
        <v>3246</v>
      </c>
      <c r="AE42" s="1353" t="s">
        <v>3246</v>
      </c>
      <c r="AF42" s="1353" t="s">
        <v>3246</v>
      </c>
      <c r="AG42" s="1353" t="s">
        <v>3246</v>
      </c>
      <c r="AH42" s="1353" t="s">
        <v>3424</v>
      </c>
      <c r="AI42" s="1353" t="s">
        <v>3246</v>
      </c>
      <c r="AJ42" s="1353" t="s">
        <v>3246</v>
      </c>
      <c r="AK42" s="1353" t="s">
        <v>3246</v>
      </c>
      <c r="AL42" s="1354">
        <f t="shared" si="7"/>
        <v>27</v>
      </c>
      <c r="AM42" s="1354">
        <f t="shared" si="8"/>
        <v>4</v>
      </c>
      <c r="AN42" s="1354">
        <f t="shared" si="9"/>
        <v>0</v>
      </c>
      <c r="AO42" s="1354">
        <f t="shared" si="10"/>
        <v>0</v>
      </c>
      <c r="AP42" s="1354">
        <f t="shared" si="4"/>
        <v>0</v>
      </c>
      <c r="AQ42" s="1354">
        <f t="shared" si="5"/>
        <v>0</v>
      </c>
      <c r="AR42" s="1355">
        <f t="shared" si="6"/>
        <v>31</v>
      </c>
      <c r="AS42" s="1229"/>
    </row>
    <row r="43" spans="1:45" ht="16.149999999999999" customHeight="1" outlineLevel="1">
      <c r="A43" s="1353">
        <v>31</v>
      </c>
      <c r="B43" s="1353">
        <v>31</v>
      </c>
      <c r="C43" s="1353" t="str">
        <f>'sản lượng'!C44</f>
        <v>03544</v>
      </c>
      <c r="D43" s="1360" t="s">
        <v>413</v>
      </c>
      <c r="E43" s="1361" t="str">
        <f>TONGHOPCONGDOI!C41</f>
        <v>T. Ta</v>
      </c>
      <c r="F43" s="1355"/>
      <c r="G43" s="1353" t="s">
        <v>3246</v>
      </c>
      <c r="H43" s="1353" t="s">
        <v>3246</v>
      </c>
      <c r="I43" s="1353" t="s">
        <v>3246</v>
      </c>
      <c r="J43" s="1353" t="s">
        <v>3246</v>
      </c>
      <c r="K43" s="1353" t="s">
        <v>3246</v>
      </c>
      <c r="L43" s="1353" t="s">
        <v>3246</v>
      </c>
      <c r="M43" s="1353" t="s">
        <v>3424</v>
      </c>
      <c r="N43" s="1353" t="s">
        <v>3246</v>
      </c>
      <c r="O43" s="1353" t="s">
        <v>3246</v>
      </c>
      <c r="P43" s="1353" t="s">
        <v>3246</v>
      </c>
      <c r="Q43" s="1353" t="s">
        <v>3246</v>
      </c>
      <c r="R43" s="1353" t="s">
        <v>3246</v>
      </c>
      <c r="S43" s="1353" t="s">
        <v>3246</v>
      </c>
      <c r="T43" s="1353" t="s">
        <v>3424</v>
      </c>
      <c r="U43" s="1353" t="s">
        <v>3246</v>
      </c>
      <c r="V43" s="1353" t="s">
        <v>3246</v>
      </c>
      <c r="W43" s="1353" t="s">
        <v>3246</v>
      </c>
      <c r="X43" s="1353" t="s">
        <v>3246</v>
      </c>
      <c r="Y43" s="1353" t="s">
        <v>3246</v>
      </c>
      <c r="Z43" s="1353" t="s">
        <v>3246</v>
      </c>
      <c r="AA43" s="1353" t="s">
        <v>3424</v>
      </c>
      <c r="AB43" s="1353" t="s">
        <v>3246</v>
      </c>
      <c r="AC43" s="1353" t="s">
        <v>3246</v>
      </c>
      <c r="AD43" s="1353" t="s">
        <v>3246</v>
      </c>
      <c r="AE43" s="1353" t="s">
        <v>3246</v>
      </c>
      <c r="AF43" s="1353" t="s">
        <v>3246</v>
      </c>
      <c r="AG43" s="1353" t="s">
        <v>3246</v>
      </c>
      <c r="AH43" s="1353" t="s">
        <v>3424</v>
      </c>
      <c r="AI43" s="1353" t="s">
        <v>3246</v>
      </c>
      <c r="AJ43" s="1353" t="s">
        <v>3246</v>
      </c>
      <c r="AK43" s="1353" t="s">
        <v>3246</v>
      </c>
      <c r="AL43" s="1354">
        <f t="shared" si="7"/>
        <v>27</v>
      </c>
      <c r="AM43" s="1354">
        <f t="shared" si="8"/>
        <v>4</v>
      </c>
      <c r="AN43" s="1354">
        <f t="shared" si="9"/>
        <v>0</v>
      </c>
      <c r="AO43" s="1354">
        <f t="shared" si="10"/>
        <v>0</v>
      </c>
      <c r="AP43" s="1354">
        <f t="shared" si="4"/>
        <v>0</v>
      </c>
      <c r="AQ43" s="1354">
        <f t="shared" si="5"/>
        <v>0</v>
      </c>
      <c r="AR43" s="1355">
        <f t="shared" si="6"/>
        <v>31</v>
      </c>
      <c r="AS43" s="1229"/>
    </row>
    <row r="44" spans="1:45" ht="16.149999999999999" customHeight="1" outlineLevel="1">
      <c r="A44" s="1353">
        <v>32</v>
      </c>
      <c r="B44" s="1353">
        <v>32</v>
      </c>
      <c r="C44" s="1353" t="str">
        <f>'sản lượng'!C45</f>
        <v>04099</v>
      </c>
      <c r="D44" s="1360" t="s">
        <v>414</v>
      </c>
      <c r="E44" s="1361" t="str">
        <f>TONGHOPCONGDOI!C42</f>
        <v>Phon Xa May</v>
      </c>
      <c r="F44" s="1355"/>
      <c r="G44" s="1353" t="s">
        <v>3246</v>
      </c>
      <c r="H44" s="1353" t="s">
        <v>3246</v>
      </c>
      <c r="I44" s="1353" t="s">
        <v>3246</v>
      </c>
      <c r="J44" s="1353" t="s">
        <v>3246</v>
      </c>
      <c r="K44" s="1353" t="s">
        <v>3246</v>
      </c>
      <c r="L44" s="1353" t="s">
        <v>3246</v>
      </c>
      <c r="M44" s="1353" t="s">
        <v>3424</v>
      </c>
      <c r="N44" s="1353" t="s">
        <v>3246</v>
      </c>
      <c r="O44" s="1353" t="s">
        <v>3246</v>
      </c>
      <c r="P44" s="1353" t="s">
        <v>3246</v>
      </c>
      <c r="Q44" s="1353" t="s">
        <v>3246</v>
      </c>
      <c r="R44" s="1353" t="s">
        <v>3246</v>
      </c>
      <c r="S44" s="1353" t="s">
        <v>3246</v>
      </c>
      <c r="T44" s="1353" t="s">
        <v>3424</v>
      </c>
      <c r="U44" s="1353" t="s">
        <v>3246</v>
      </c>
      <c r="V44" s="1353" t="s">
        <v>3246</v>
      </c>
      <c r="W44" s="1353" t="s">
        <v>3246</v>
      </c>
      <c r="X44" s="1353" t="s">
        <v>3246</v>
      </c>
      <c r="Y44" s="1353" t="s">
        <v>3246</v>
      </c>
      <c r="Z44" s="1353" t="s">
        <v>3246</v>
      </c>
      <c r="AA44" s="1353" t="s">
        <v>3424</v>
      </c>
      <c r="AB44" s="1353" t="s">
        <v>3246</v>
      </c>
      <c r="AC44" s="1353" t="s">
        <v>3246</v>
      </c>
      <c r="AD44" s="1353" t="s">
        <v>3246</v>
      </c>
      <c r="AE44" s="1353" t="s">
        <v>3246</v>
      </c>
      <c r="AF44" s="1353" t="s">
        <v>3246</v>
      </c>
      <c r="AG44" s="1353" t="s">
        <v>3246</v>
      </c>
      <c r="AH44" s="1353" t="s">
        <v>3424</v>
      </c>
      <c r="AI44" s="1353" t="s">
        <v>3246</v>
      </c>
      <c r="AJ44" s="1353" t="s">
        <v>3246</v>
      </c>
      <c r="AK44" s="1353" t="s">
        <v>3246</v>
      </c>
      <c r="AL44" s="1354">
        <f t="shared" si="7"/>
        <v>27</v>
      </c>
      <c r="AM44" s="1354">
        <f t="shared" si="8"/>
        <v>4</v>
      </c>
      <c r="AN44" s="1354">
        <f t="shared" si="9"/>
        <v>0</v>
      </c>
      <c r="AO44" s="1354">
        <f t="shared" si="10"/>
        <v>0</v>
      </c>
      <c r="AP44" s="1354">
        <f t="shared" si="4"/>
        <v>0</v>
      </c>
      <c r="AQ44" s="1354">
        <f t="shared" si="5"/>
        <v>0</v>
      </c>
      <c r="AR44" s="1355">
        <f t="shared" si="6"/>
        <v>31</v>
      </c>
      <c r="AS44" s="1229"/>
    </row>
    <row r="45" spans="1:45" ht="16.149999999999999" customHeight="1" outlineLevel="1">
      <c r="A45" s="1353">
        <v>33</v>
      </c>
      <c r="B45" s="1353">
        <v>33</v>
      </c>
      <c r="C45" s="1353" t="str">
        <f>'sản lượng'!C46</f>
        <v>04100</v>
      </c>
      <c r="D45" s="1360" t="s">
        <v>415</v>
      </c>
      <c r="E45" s="1361" t="str">
        <f>TONGHOPCONGDOI!C43</f>
        <v>T. Ừm</v>
      </c>
      <c r="F45" s="1355"/>
      <c r="G45" s="1353" t="s">
        <v>3246</v>
      </c>
      <c r="H45" s="1353" t="s">
        <v>3246</v>
      </c>
      <c r="I45" s="1353" t="s">
        <v>3246</v>
      </c>
      <c r="J45" s="1353" t="s">
        <v>3246</v>
      </c>
      <c r="K45" s="1353" t="s">
        <v>3246</v>
      </c>
      <c r="L45" s="1353" t="s">
        <v>3246</v>
      </c>
      <c r="M45" s="1353" t="s">
        <v>3424</v>
      </c>
      <c r="N45" s="1353" t="s">
        <v>3246</v>
      </c>
      <c r="O45" s="1353" t="s">
        <v>3246</v>
      </c>
      <c r="P45" s="1353" t="s">
        <v>3246</v>
      </c>
      <c r="Q45" s="1353" t="s">
        <v>3246</v>
      </c>
      <c r="R45" s="1353" t="s">
        <v>3246</v>
      </c>
      <c r="S45" s="1353" t="s">
        <v>3246</v>
      </c>
      <c r="T45" s="1353" t="s">
        <v>3424</v>
      </c>
      <c r="U45" s="1353" t="s">
        <v>3246</v>
      </c>
      <c r="V45" s="1353" t="s">
        <v>3246</v>
      </c>
      <c r="W45" s="1353" t="s">
        <v>3246</v>
      </c>
      <c r="X45" s="1353" t="s">
        <v>3246</v>
      </c>
      <c r="Y45" s="1353" t="s">
        <v>3246</v>
      </c>
      <c r="Z45" s="1353" t="s">
        <v>3246</v>
      </c>
      <c r="AA45" s="1353" t="s">
        <v>3424</v>
      </c>
      <c r="AB45" s="1353" t="s">
        <v>3246</v>
      </c>
      <c r="AC45" s="1353" t="s">
        <v>3246</v>
      </c>
      <c r="AD45" s="1353" t="s">
        <v>3246</v>
      </c>
      <c r="AE45" s="1353" t="s">
        <v>3246</v>
      </c>
      <c r="AF45" s="1353" t="s">
        <v>3246</v>
      </c>
      <c r="AG45" s="1353" t="s">
        <v>3246</v>
      </c>
      <c r="AH45" s="1353" t="s">
        <v>3424</v>
      </c>
      <c r="AI45" s="1353" t="s">
        <v>3246</v>
      </c>
      <c r="AJ45" s="1353" t="s">
        <v>3246</v>
      </c>
      <c r="AK45" s="1353" t="s">
        <v>3246</v>
      </c>
      <c r="AL45" s="1354">
        <f t="shared" si="7"/>
        <v>27</v>
      </c>
      <c r="AM45" s="1354">
        <f t="shared" si="8"/>
        <v>4</v>
      </c>
      <c r="AN45" s="1354">
        <f t="shared" si="9"/>
        <v>0</v>
      </c>
      <c r="AO45" s="1354">
        <f t="shared" si="10"/>
        <v>0</v>
      </c>
      <c r="AP45" s="1354">
        <f t="shared" si="4"/>
        <v>0</v>
      </c>
      <c r="AQ45" s="1354">
        <f t="shared" si="5"/>
        <v>0</v>
      </c>
      <c r="AR45" s="1355">
        <f t="shared" si="6"/>
        <v>31</v>
      </c>
      <c r="AS45" s="1229"/>
    </row>
    <row r="46" spans="1:45" ht="16.149999999999999" customHeight="1" outlineLevel="1">
      <c r="A46" s="1353">
        <v>34</v>
      </c>
      <c r="B46" s="1353">
        <v>34</v>
      </c>
      <c r="C46" s="1353" t="str">
        <f>'sản lượng'!C47</f>
        <v>03557</v>
      </c>
      <c r="D46" s="1360" t="s">
        <v>1940</v>
      </c>
      <c r="E46" s="1361" t="str">
        <f>TONGHOPCONGDOI!C44</f>
        <v>T. Phù</v>
      </c>
      <c r="F46" s="1355"/>
      <c r="G46" s="1353" t="s">
        <v>3246</v>
      </c>
      <c r="H46" s="1353" t="s">
        <v>3246</v>
      </c>
      <c r="I46" s="1353" t="s">
        <v>3246</v>
      </c>
      <c r="J46" s="1353" t="s">
        <v>3246</v>
      </c>
      <c r="K46" s="1353" t="s">
        <v>3246</v>
      </c>
      <c r="L46" s="1353" t="s">
        <v>3246</v>
      </c>
      <c r="M46" s="1353" t="s">
        <v>3424</v>
      </c>
      <c r="N46" s="1353" t="s">
        <v>3246</v>
      </c>
      <c r="O46" s="1353" t="s">
        <v>3246</v>
      </c>
      <c r="P46" s="1353" t="s">
        <v>3246</v>
      </c>
      <c r="Q46" s="1353" t="s">
        <v>3246</v>
      </c>
      <c r="R46" s="1353"/>
      <c r="S46" s="1353" t="s">
        <v>3246</v>
      </c>
      <c r="T46" s="1353" t="s">
        <v>3424</v>
      </c>
      <c r="U46" s="1353" t="s">
        <v>3246</v>
      </c>
      <c r="V46" s="1353" t="s">
        <v>3246</v>
      </c>
      <c r="W46" s="1353" t="s">
        <v>3246</v>
      </c>
      <c r="X46" s="1353" t="s">
        <v>3246</v>
      </c>
      <c r="Y46" s="1353" t="s">
        <v>3246</v>
      </c>
      <c r="Z46" s="1353" t="s">
        <v>3246</v>
      </c>
      <c r="AA46" s="1353" t="s">
        <v>3424</v>
      </c>
      <c r="AB46" s="1353" t="s">
        <v>3246</v>
      </c>
      <c r="AC46" s="1353" t="s">
        <v>3246</v>
      </c>
      <c r="AD46" s="1353" t="s">
        <v>3246</v>
      </c>
      <c r="AE46" s="1353" t="s">
        <v>3246</v>
      </c>
      <c r="AF46" s="1353" t="s">
        <v>3246</v>
      </c>
      <c r="AG46" s="1353"/>
      <c r="AH46" s="1353" t="s">
        <v>3424</v>
      </c>
      <c r="AI46" s="1353" t="s">
        <v>3246</v>
      </c>
      <c r="AJ46" s="1353" t="s">
        <v>3246</v>
      </c>
      <c r="AK46" s="1353" t="s">
        <v>3246</v>
      </c>
      <c r="AL46" s="1354">
        <f t="shared" si="7"/>
        <v>25</v>
      </c>
      <c r="AM46" s="1354">
        <f t="shared" si="8"/>
        <v>4</v>
      </c>
      <c r="AN46" s="1354">
        <f t="shared" si="9"/>
        <v>0</v>
      </c>
      <c r="AO46" s="1354">
        <f t="shared" si="10"/>
        <v>0</v>
      </c>
      <c r="AP46" s="1354">
        <f t="shared" si="4"/>
        <v>0</v>
      </c>
      <c r="AQ46" s="1354">
        <f t="shared" si="5"/>
        <v>0</v>
      </c>
      <c r="AR46" s="1355">
        <f t="shared" si="6"/>
        <v>29</v>
      </c>
      <c r="AS46" s="1229"/>
    </row>
    <row r="47" spans="1:45" ht="16.149999999999999" customHeight="1" outlineLevel="1">
      <c r="A47" s="1353">
        <v>35</v>
      </c>
      <c r="B47" s="1353">
        <v>35</v>
      </c>
      <c r="C47" s="1353" t="str">
        <f>'sản lượng'!C48</f>
        <v>04101</v>
      </c>
      <c r="D47" s="1360" t="s">
        <v>417</v>
      </c>
      <c r="E47" s="1361" t="str">
        <f>TONGHOPCONGDOI!C45</f>
        <v>N. Công Say</v>
      </c>
      <c r="F47" s="1355"/>
      <c r="G47" s="1353" t="s">
        <v>3246</v>
      </c>
      <c r="H47" s="1353" t="s">
        <v>3246</v>
      </c>
      <c r="I47" s="1353" t="s">
        <v>3246</v>
      </c>
      <c r="J47" s="1353" t="s">
        <v>3246</v>
      </c>
      <c r="K47" s="1353" t="s">
        <v>3246</v>
      </c>
      <c r="L47" s="1353" t="s">
        <v>3246</v>
      </c>
      <c r="M47" s="1353" t="s">
        <v>3424</v>
      </c>
      <c r="N47" s="1353" t="s">
        <v>3246</v>
      </c>
      <c r="O47" s="1353" t="s">
        <v>3246</v>
      </c>
      <c r="P47" s="1353" t="s">
        <v>3246</v>
      </c>
      <c r="Q47" s="1353" t="s">
        <v>3246</v>
      </c>
      <c r="R47" s="1353" t="s">
        <v>3246</v>
      </c>
      <c r="S47" s="1353" t="s">
        <v>3246</v>
      </c>
      <c r="T47" s="1353" t="s">
        <v>3424</v>
      </c>
      <c r="U47" s="1353" t="s">
        <v>3246</v>
      </c>
      <c r="V47" s="1353" t="s">
        <v>3246</v>
      </c>
      <c r="W47" s="1353" t="s">
        <v>3246</v>
      </c>
      <c r="X47" s="1353" t="s">
        <v>3246</v>
      </c>
      <c r="Y47" s="1353" t="s">
        <v>3246</v>
      </c>
      <c r="Z47" s="1353" t="s">
        <v>3246</v>
      </c>
      <c r="AA47" s="1353" t="s">
        <v>3424</v>
      </c>
      <c r="AB47" s="1353" t="s">
        <v>3246</v>
      </c>
      <c r="AC47" s="1353" t="s">
        <v>3246</v>
      </c>
      <c r="AD47" s="1353" t="s">
        <v>3246</v>
      </c>
      <c r="AE47" s="1353" t="s">
        <v>3246</v>
      </c>
      <c r="AF47" s="1353" t="s">
        <v>3246</v>
      </c>
      <c r="AG47" s="1353" t="s">
        <v>3246</v>
      </c>
      <c r="AH47" s="1353" t="s">
        <v>3424</v>
      </c>
      <c r="AI47" s="1353" t="s">
        <v>3246</v>
      </c>
      <c r="AJ47" s="1353" t="s">
        <v>3246</v>
      </c>
      <c r="AK47" s="1353" t="s">
        <v>3246</v>
      </c>
      <c r="AL47" s="1354">
        <f t="shared" si="7"/>
        <v>27</v>
      </c>
      <c r="AM47" s="1354">
        <f t="shared" si="8"/>
        <v>4</v>
      </c>
      <c r="AN47" s="1354">
        <f t="shared" si="9"/>
        <v>0</v>
      </c>
      <c r="AO47" s="1354">
        <f t="shared" si="10"/>
        <v>0</v>
      </c>
      <c r="AP47" s="1354">
        <f t="shared" si="4"/>
        <v>0</v>
      </c>
      <c r="AQ47" s="1354">
        <f t="shared" si="5"/>
        <v>0</v>
      </c>
      <c r="AR47" s="1355">
        <f t="shared" si="6"/>
        <v>31</v>
      </c>
      <c r="AS47" s="1229"/>
    </row>
    <row r="48" spans="1:45" ht="16.149999999999999" customHeight="1" outlineLevel="1">
      <c r="A48" s="1353">
        <v>36</v>
      </c>
      <c r="B48" s="1353">
        <v>36</v>
      </c>
      <c r="C48" s="1353" t="str">
        <f>'sản lượng'!C49</f>
        <v>03549</v>
      </c>
      <c r="D48" s="1360" t="s">
        <v>418</v>
      </c>
      <c r="E48" s="1361" t="str">
        <f>TONGHOPCONGDOI!C46</f>
        <v>N. Xi Xộm</v>
      </c>
      <c r="F48" s="1355"/>
      <c r="G48" s="1353" t="s">
        <v>3246</v>
      </c>
      <c r="H48" s="1353" t="s">
        <v>3246</v>
      </c>
      <c r="I48" s="1353" t="s">
        <v>3246</v>
      </c>
      <c r="J48" s="1353" t="s">
        <v>3246</v>
      </c>
      <c r="K48" s="1353" t="s">
        <v>3246</v>
      </c>
      <c r="L48" s="1353" t="s">
        <v>3246</v>
      </c>
      <c r="M48" s="1353" t="s">
        <v>3424</v>
      </c>
      <c r="N48" s="1353" t="s">
        <v>3246</v>
      </c>
      <c r="O48" s="1353" t="s">
        <v>3246</v>
      </c>
      <c r="P48" s="1353" t="s">
        <v>3246</v>
      </c>
      <c r="Q48" s="1353" t="s">
        <v>3246</v>
      </c>
      <c r="R48" s="1353" t="s">
        <v>3246</v>
      </c>
      <c r="S48" s="1353" t="s">
        <v>3246</v>
      </c>
      <c r="T48" s="1353" t="s">
        <v>3424</v>
      </c>
      <c r="U48" s="1353" t="s">
        <v>3246</v>
      </c>
      <c r="V48" s="1353" t="s">
        <v>3246</v>
      </c>
      <c r="W48" s="1353" t="s">
        <v>3246</v>
      </c>
      <c r="X48" s="1353" t="s">
        <v>3246</v>
      </c>
      <c r="Y48" s="1353" t="s">
        <v>3246</v>
      </c>
      <c r="Z48" s="1353" t="s">
        <v>3246</v>
      </c>
      <c r="AA48" s="1353" t="s">
        <v>3424</v>
      </c>
      <c r="AB48" s="1353" t="s">
        <v>3246</v>
      </c>
      <c r="AC48" s="1353" t="s">
        <v>3246</v>
      </c>
      <c r="AD48" s="1353" t="s">
        <v>3246</v>
      </c>
      <c r="AE48" s="1353" t="s">
        <v>3246</v>
      </c>
      <c r="AF48" s="1353" t="s">
        <v>3246</v>
      </c>
      <c r="AG48" s="1353" t="s">
        <v>3246</v>
      </c>
      <c r="AH48" s="1353" t="s">
        <v>3424</v>
      </c>
      <c r="AI48" s="1353" t="s">
        <v>3246</v>
      </c>
      <c r="AJ48" s="1353" t="s">
        <v>3246</v>
      </c>
      <c r="AK48" s="1353" t="s">
        <v>3246</v>
      </c>
      <c r="AL48" s="1354">
        <f t="shared" si="7"/>
        <v>27</v>
      </c>
      <c r="AM48" s="1354">
        <f t="shared" si="8"/>
        <v>4</v>
      </c>
      <c r="AN48" s="1354">
        <f t="shared" si="9"/>
        <v>0</v>
      </c>
      <c r="AO48" s="1354">
        <f t="shared" si="10"/>
        <v>0</v>
      </c>
      <c r="AP48" s="1354">
        <f t="shared" si="4"/>
        <v>0</v>
      </c>
      <c r="AQ48" s="1354">
        <f t="shared" si="5"/>
        <v>0</v>
      </c>
      <c r="AR48" s="1355">
        <f t="shared" si="6"/>
        <v>31</v>
      </c>
      <c r="AS48" s="1229"/>
    </row>
    <row r="49" spans="1:45" ht="16.149999999999999" customHeight="1" outlineLevel="1">
      <c r="A49" s="1353">
        <v>37</v>
      </c>
      <c r="B49" s="1353">
        <v>37</v>
      </c>
      <c r="C49" s="1353" t="str">
        <f>'sản lượng'!C50</f>
        <v>04102</v>
      </c>
      <c r="D49" s="1360" t="s">
        <v>419</v>
      </c>
      <c r="E49" s="1361" t="str">
        <f>TONGHOPCONGDOI!C47</f>
        <v>Son Xa May</v>
      </c>
      <c r="F49" s="1355"/>
      <c r="G49" s="1353" t="s">
        <v>3246</v>
      </c>
      <c r="H49" s="1353" t="s">
        <v>3246</v>
      </c>
      <c r="I49" s="1353" t="s">
        <v>3246</v>
      </c>
      <c r="J49" s="1353" t="s">
        <v>3246</v>
      </c>
      <c r="K49" s="1353" t="s">
        <v>3246</v>
      </c>
      <c r="L49" s="1353" t="s">
        <v>3246</v>
      </c>
      <c r="M49" s="1353" t="s">
        <v>3424</v>
      </c>
      <c r="N49" s="1353" t="s">
        <v>3246</v>
      </c>
      <c r="O49" s="1353" t="s">
        <v>3246</v>
      </c>
      <c r="P49" s="1353" t="s">
        <v>3246</v>
      </c>
      <c r="Q49" s="1353" t="s">
        <v>3246</v>
      </c>
      <c r="R49" s="1353" t="s">
        <v>3246</v>
      </c>
      <c r="S49" s="1353" t="s">
        <v>3246</v>
      </c>
      <c r="T49" s="1353" t="s">
        <v>3424</v>
      </c>
      <c r="U49" s="1353" t="s">
        <v>3246</v>
      </c>
      <c r="V49" s="1353" t="s">
        <v>3246</v>
      </c>
      <c r="W49" s="1353" t="s">
        <v>3246</v>
      </c>
      <c r="X49" s="1353" t="s">
        <v>3246</v>
      </c>
      <c r="Y49" s="1353" t="s">
        <v>3246</v>
      </c>
      <c r="Z49" s="1353" t="s">
        <v>3246</v>
      </c>
      <c r="AA49" s="1353" t="s">
        <v>3424</v>
      </c>
      <c r="AB49" s="1353" t="s">
        <v>3246</v>
      </c>
      <c r="AC49" s="1353" t="s">
        <v>3246</v>
      </c>
      <c r="AD49" s="1353" t="s">
        <v>3246</v>
      </c>
      <c r="AE49" s="1353" t="s">
        <v>3246</v>
      </c>
      <c r="AF49" s="1353" t="s">
        <v>3246</v>
      </c>
      <c r="AG49" s="1353" t="s">
        <v>3246</v>
      </c>
      <c r="AH49" s="1353" t="s">
        <v>3424</v>
      </c>
      <c r="AI49" s="1353" t="s">
        <v>3246</v>
      </c>
      <c r="AJ49" s="1353" t="s">
        <v>3246</v>
      </c>
      <c r="AK49" s="1353" t="s">
        <v>3246</v>
      </c>
      <c r="AL49" s="1354">
        <f t="shared" si="7"/>
        <v>27</v>
      </c>
      <c r="AM49" s="1354">
        <f t="shared" si="8"/>
        <v>4</v>
      </c>
      <c r="AN49" s="1354">
        <f t="shared" si="9"/>
        <v>0</v>
      </c>
      <c r="AO49" s="1354">
        <f t="shared" si="10"/>
        <v>0</v>
      </c>
      <c r="AP49" s="1354">
        <f t="shared" si="4"/>
        <v>0</v>
      </c>
      <c r="AQ49" s="1354">
        <f t="shared" si="5"/>
        <v>0</v>
      </c>
      <c r="AR49" s="1355">
        <f t="shared" si="6"/>
        <v>31</v>
      </c>
      <c r="AS49" s="1229"/>
    </row>
    <row r="50" spans="1:45" ht="16.149999999999999" customHeight="1" outlineLevel="1">
      <c r="A50" s="1353">
        <v>38</v>
      </c>
      <c r="B50" s="1353">
        <v>38</v>
      </c>
      <c r="C50" s="1353" t="str">
        <f>'sản lượng'!C51</f>
        <v>03551</v>
      </c>
      <c r="D50" s="1360" t="s">
        <v>420</v>
      </c>
      <c r="E50" s="1361" t="str">
        <f>TONGHOPCONGDOI!C48</f>
        <v>T . Pheng</v>
      </c>
      <c r="F50" s="1355"/>
      <c r="G50" s="1353" t="s">
        <v>3246</v>
      </c>
      <c r="H50" s="1353" t="s">
        <v>3246</v>
      </c>
      <c r="I50" s="1353" t="s">
        <v>3246</v>
      </c>
      <c r="J50" s="1353" t="s">
        <v>3246</v>
      </c>
      <c r="K50" s="1353" t="s">
        <v>3246</v>
      </c>
      <c r="L50" s="1353" t="s">
        <v>3246</v>
      </c>
      <c r="M50" s="1353" t="s">
        <v>3424</v>
      </c>
      <c r="N50" s="1353" t="s">
        <v>3246</v>
      </c>
      <c r="O50" s="1353"/>
      <c r="P50" s="1353" t="s">
        <v>3246</v>
      </c>
      <c r="Q50" s="1353" t="s">
        <v>3246</v>
      </c>
      <c r="R50" s="1353" t="s">
        <v>3246</v>
      </c>
      <c r="S50" s="1353" t="s">
        <v>3246</v>
      </c>
      <c r="T50" s="1353" t="s">
        <v>3424</v>
      </c>
      <c r="U50" s="1353" t="s">
        <v>3246</v>
      </c>
      <c r="V50" s="1353" t="s">
        <v>3246</v>
      </c>
      <c r="W50" s="1353" t="s">
        <v>3246</v>
      </c>
      <c r="X50" s="1353" t="s">
        <v>3246</v>
      </c>
      <c r="Y50" s="1353"/>
      <c r="Z50" s="1353"/>
      <c r="AA50" s="1353" t="s">
        <v>3424</v>
      </c>
      <c r="AB50" s="1353" t="s">
        <v>3246</v>
      </c>
      <c r="AC50" s="1353" t="s">
        <v>3246</v>
      </c>
      <c r="AD50" s="1353"/>
      <c r="AE50" s="1353" t="s">
        <v>3246</v>
      </c>
      <c r="AF50" s="1353"/>
      <c r="AG50" s="1353"/>
      <c r="AH50" s="1353"/>
      <c r="AI50" s="1353"/>
      <c r="AJ50" s="1353"/>
      <c r="AK50" s="1353"/>
      <c r="AL50" s="1354">
        <f t="shared" si="7"/>
        <v>18</v>
      </c>
      <c r="AM50" s="1354">
        <f t="shared" si="8"/>
        <v>3</v>
      </c>
      <c r="AN50" s="1354">
        <f t="shared" si="9"/>
        <v>0</v>
      </c>
      <c r="AO50" s="1354">
        <f t="shared" si="10"/>
        <v>0</v>
      </c>
      <c r="AP50" s="1354">
        <f t="shared" si="4"/>
        <v>0</v>
      </c>
      <c r="AQ50" s="1354">
        <f t="shared" si="5"/>
        <v>0</v>
      </c>
      <c r="AR50" s="1355">
        <f t="shared" si="6"/>
        <v>21</v>
      </c>
      <c r="AS50" s="1229"/>
    </row>
    <row r="51" spans="1:45" ht="16.149999999999999" customHeight="1" outlineLevel="1">
      <c r="A51" s="1353">
        <v>39</v>
      </c>
      <c r="B51" s="1353">
        <v>39</v>
      </c>
      <c r="C51" s="1353" t="str">
        <f>'sản lượng'!C52</f>
        <v>04103</v>
      </c>
      <c r="D51" s="1360" t="s">
        <v>421</v>
      </c>
      <c r="E51" s="1361" t="str">
        <f>TONGHOPCONGDOI!C49</f>
        <v>T. Nọi Ê</v>
      </c>
      <c r="F51" s="1355"/>
      <c r="G51" s="1353" t="s">
        <v>3246</v>
      </c>
      <c r="H51" s="1353" t="s">
        <v>3246</v>
      </c>
      <c r="I51" s="1353" t="s">
        <v>3246</v>
      </c>
      <c r="J51" s="1353" t="s">
        <v>3246</v>
      </c>
      <c r="K51" s="1353" t="s">
        <v>3246</v>
      </c>
      <c r="L51" s="1353" t="s">
        <v>3246</v>
      </c>
      <c r="M51" s="1353" t="s">
        <v>3424</v>
      </c>
      <c r="N51" s="1353" t="s">
        <v>3246</v>
      </c>
      <c r="O51" s="1353" t="s">
        <v>3246</v>
      </c>
      <c r="P51" s="1353" t="s">
        <v>3246</v>
      </c>
      <c r="Q51" s="1353" t="s">
        <v>3246</v>
      </c>
      <c r="R51" s="1353" t="s">
        <v>3246</v>
      </c>
      <c r="S51" s="1353" t="s">
        <v>3246</v>
      </c>
      <c r="T51" s="1353" t="s">
        <v>3424</v>
      </c>
      <c r="U51" s="1353" t="s">
        <v>3246</v>
      </c>
      <c r="V51" s="1353" t="s">
        <v>3246</v>
      </c>
      <c r="W51" s="1353" t="s">
        <v>3246</v>
      </c>
      <c r="X51" s="1353" t="s">
        <v>3246</v>
      </c>
      <c r="Y51" s="1353" t="s">
        <v>3246</v>
      </c>
      <c r="Z51" s="1353" t="s">
        <v>3246</v>
      </c>
      <c r="AA51" s="1353" t="s">
        <v>3424</v>
      </c>
      <c r="AB51" s="1353" t="s">
        <v>3246</v>
      </c>
      <c r="AC51" s="1353" t="s">
        <v>3246</v>
      </c>
      <c r="AD51" s="1353" t="s">
        <v>3246</v>
      </c>
      <c r="AE51" s="1353" t="s">
        <v>3246</v>
      </c>
      <c r="AF51" s="1353" t="s">
        <v>3246</v>
      </c>
      <c r="AG51" s="1353" t="s">
        <v>3246</v>
      </c>
      <c r="AH51" s="1353" t="s">
        <v>3424</v>
      </c>
      <c r="AI51" s="1353" t="s">
        <v>3246</v>
      </c>
      <c r="AJ51" s="1353" t="s">
        <v>3246</v>
      </c>
      <c r="AK51" s="1353" t="s">
        <v>3246</v>
      </c>
      <c r="AL51" s="1354">
        <f t="shared" si="7"/>
        <v>27</v>
      </c>
      <c r="AM51" s="1354">
        <f t="shared" si="8"/>
        <v>4</v>
      </c>
      <c r="AN51" s="1354">
        <f t="shared" si="9"/>
        <v>0</v>
      </c>
      <c r="AO51" s="1354">
        <f t="shared" si="10"/>
        <v>0</v>
      </c>
      <c r="AP51" s="1354">
        <f t="shared" si="4"/>
        <v>0</v>
      </c>
      <c r="AQ51" s="1354">
        <f t="shared" si="5"/>
        <v>0</v>
      </c>
      <c r="AR51" s="1355">
        <f t="shared" si="6"/>
        <v>31</v>
      </c>
      <c r="AS51" s="1229"/>
    </row>
    <row r="52" spans="1:45" ht="16.149999999999999" customHeight="1" outlineLevel="1">
      <c r="A52" s="1353">
        <v>40</v>
      </c>
      <c r="B52" s="1353">
        <v>40</v>
      </c>
      <c r="C52" s="1353" t="str">
        <f>'sản lượng'!C53</f>
        <v>03488</v>
      </c>
      <c r="D52" s="1360" t="s">
        <v>422</v>
      </c>
      <c r="E52" s="1361" t="str">
        <f>TONGHOPCONGDOI!C50</f>
        <v>N. Đeng</v>
      </c>
      <c r="F52" s="1355"/>
      <c r="G52" s="1353" t="s">
        <v>3246</v>
      </c>
      <c r="H52" s="1353" t="s">
        <v>3246</v>
      </c>
      <c r="I52" s="1353" t="s">
        <v>3246</v>
      </c>
      <c r="J52" s="1353" t="s">
        <v>3246</v>
      </c>
      <c r="K52" s="1353" t="s">
        <v>3246</v>
      </c>
      <c r="L52" s="1353" t="s">
        <v>3246</v>
      </c>
      <c r="M52" s="1353" t="s">
        <v>3424</v>
      </c>
      <c r="N52" s="1353" t="s">
        <v>3246</v>
      </c>
      <c r="O52" s="1353" t="s">
        <v>3246</v>
      </c>
      <c r="P52" s="1353" t="s">
        <v>3246</v>
      </c>
      <c r="Q52" s="1353" t="s">
        <v>3246</v>
      </c>
      <c r="R52" s="1353" t="s">
        <v>3246</v>
      </c>
      <c r="S52" s="1353" t="s">
        <v>3246</v>
      </c>
      <c r="T52" s="1353" t="s">
        <v>3424</v>
      </c>
      <c r="U52" s="1353" t="s">
        <v>3246</v>
      </c>
      <c r="V52" s="1353" t="s">
        <v>3246</v>
      </c>
      <c r="W52" s="1353" t="s">
        <v>3246</v>
      </c>
      <c r="X52" s="1353" t="s">
        <v>3246</v>
      </c>
      <c r="Y52" s="1353" t="s">
        <v>3246</v>
      </c>
      <c r="Z52" s="1353" t="s">
        <v>3246</v>
      </c>
      <c r="AA52" s="1353" t="s">
        <v>3424</v>
      </c>
      <c r="AB52" s="1353" t="s">
        <v>3246</v>
      </c>
      <c r="AC52" s="1353" t="s">
        <v>3246</v>
      </c>
      <c r="AD52" s="1353" t="s">
        <v>3246</v>
      </c>
      <c r="AE52" s="1353" t="s">
        <v>3246</v>
      </c>
      <c r="AF52" s="1353" t="s">
        <v>3246</v>
      </c>
      <c r="AG52" s="1353" t="s">
        <v>3246</v>
      </c>
      <c r="AH52" s="1353" t="s">
        <v>3424</v>
      </c>
      <c r="AI52" s="1353" t="s">
        <v>3246</v>
      </c>
      <c r="AJ52" s="1353" t="s">
        <v>3246</v>
      </c>
      <c r="AK52" s="1353" t="s">
        <v>3246</v>
      </c>
      <c r="AL52" s="1354">
        <f t="shared" si="7"/>
        <v>27</v>
      </c>
      <c r="AM52" s="1354">
        <f t="shared" si="8"/>
        <v>4</v>
      </c>
      <c r="AN52" s="1354">
        <f t="shared" si="9"/>
        <v>0</v>
      </c>
      <c r="AO52" s="1354">
        <f t="shared" si="10"/>
        <v>0</v>
      </c>
      <c r="AP52" s="1354">
        <f t="shared" si="4"/>
        <v>0</v>
      </c>
      <c r="AQ52" s="1354">
        <f t="shared" si="5"/>
        <v>0</v>
      </c>
      <c r="AR52" s="1355">
        <f t="shared" si="6"/>
        <v>31</v>
      </c>
      <c r="AS52" s="1229"/>
    </row>
    <row r="53" spans="1:45" ht="16.149999999999999" customHeight="1" outlineLevel="1">
      <c r="A53" s="1353">
        <v>41</v>
      </c>
      <c r="B53" s="1353">
        <v>41</v>
      </c>
      <c r="C53" s="1353" t="str">
        <f>'sản lượng'!C54</f>
        <v>04104</v>
      </c>
      <c r="D53" s="1360" t="s">
        <v>423</v>
      </c>
      <c r="E53" s="1361" t="str">
        <f>TONGHOPCONGDOI!C51</f>
        <v>Thảo Buồng</v>
      </c>
      <c r="F53" s="1355"/>
      <c r="G53" s="1353" t="s">
        <v>3246</v>
      </c>
      <c r="H53" s="1353" t="s">
        <v>3246</v>
      </c>
      <c r="I53" s="1353" t="s">
        <v>3246</v>
      </c>
      <c r="J53" s="1353" t="s">
        <v>3246</v>
      </c>
      <c r="K53" s="1353" t="s">
        <v>3246</v>
      </c>
      <c r="L53" s="1353" t="s">
        <v>3246</v>
      </c>
      <c r="M53" s="1353" t="s">
        <v>3424</v>
      </c>
      <c r="N53" s="1353" t="s">
        <v>3246</v>
      </c>
      <c r="O53" s="1353" t="s">
        <v>3246</v>
      </c>
      <c r="P53" s="1353" t="s">
        <v>3246</v>
      </c>
      <c r="Q53" s="1353" t="s">
        <v>3246</v>
      </c>
      <c r="R53" s="1353" t="s">
        <v>3246</v>
      </c>
      <c r="S53" s="1353" t="s">
        <v>3246</v>
      </c>
      <c r="T53" s="1353" t="s">
        <v>3424</v>
      </c>
      <c r="U53" s="1353" t="s">
        <v>3246</v>
      </c>
      <c r="V53" s="1353" t="s">
        <v>3246</v>
      </c>
      <c r="W53" s="1353" t="s">
        <v>3246</v>
      </c>
      <c r="X53" s="1353" t="s">
        <v>3246</v>
      </c>
      <c r="Y53" s="1353" t="s">
        <v>3246</v>
      </c>
      <c r="Z53" s="1353" t="s">
        <v>3246</v>
      </c>
      <c r="AA53" s="1353" t="s">
        <v>3424</v>
      </c>
      <c r="AB53" s="1353" t="s">
        <v>3246</v>
      </c>
      <c r="AC53" s="1353" t="s">
        <v>3246</v>
      </c>
      <c r="AD53" s="1353" t="s">
        <v>3246</v>
      </c>
      <c r="AE53" s="1353" t="s">
        <v>3246</v>
      </c>
      <c r="AF53" s="1353" t="s">
        <v>3246</v>
      </c>
      <c r="AG53" s="1353" t="s">
        <v>3246</v>
      </c>
      <c r="AH53" s="1353" t="s">
        <v>3424</v>
      </c>
      <c r="AI53" s="1353" t="s">
        <v>3246</v>
      </c>
      <c r="AJ53" s="1353" t="s">
        <v>3246</v>
      </c>
      <c r="AK53" s="1353" t="s">
        <v>3246</v>
      </c>
      <c r="AL53" s="1354">
        <f t="shared" si="7"/>
        <v>27</v>
      </c>
      <c r="AM53" s="1354">
        <f t="shared" si="8"/>
        <v>4</v>
      </c>
      <c r="AN53" s="1354">
        <f t="shared" si="9"/>
        <v>0</v>
      </c>
      <c r="AO53" s="1354">
        <f t="shared" si="10"/>
        <v>0</v>
      </c>
      <c r="AP53" s="1354">
        <f t="shared" si="4"/>
        <v>0</v>
      </c>
      <c r="AQ53" s="1354">
        <f t="shared" si="5"/>
        <v>0</v>
      </c>
      <c r="AR53" s="1355">
        <f t="shared" si="6"/>
        <v>31</v>
      </c>
      <c r="AS53" s="1229"/>
    </row>
    <row r="54" spans="1:45" ht="16.149999999999999" customHeight="1" outlineLevel="1">
      <c r="A54" s="1353">
        <v>42</v>
      </c>
      <c r="B54" s="1353">
        <v>42</v>
      </c>
      <c r="C54" s="1353" t="str">
        <f>'sản lượng'!C55</f>
        <v>03548</v>
      </c>
      <c r="D54" s="1360" t="s">
        <v>424</v>
      </c>
      <c r="E54" s="1361" t="str">
        <f>TONGHOPCONGDOI!C52</f>
        <v>T. Om</v>
      </c>
      <c r="F54" s="1355"/>
      <c r="G54" s="1353" t="s">
        <v>3246</v>
      </c>
      <c r="H54" s="1353" t="s">
        <v>3246</v>
      </c>
      <c r="I54" s="1353" t="s">
        <v>3246</v>
      </c>
      <c r="J54" s="1353" t="s">
        <v>3246</v>
      </c>
      <c r="K54" s="1353" t="s">
        <v>3246</v>
      </c>
      <c r="L54" s="1353" t="s">
        <v>3246</v>
      </c>
      <c r="M54" s="1353" t="s">
        <v>3424</v>
      </c>
      <c r="N54" s="1353" t="s">
        <v>3246</v>
      </c>
      <c r="O54" s="1353" t="s">
        <v>3246</v>
      </c>
      <c r="P54" s="1353" t="s">
        <v>3246</v>
      </c>
      <c r="Q54" s="1353" t="s">
        <v>3246</v>
      </c>
      <c r="R54" s="1353" t="s">
        <v>3246</v>
      </c>
      <c r="S54" s="1353" t="s">
        <v>3246</v>
      </c>
      <c r="T54" s="1353" t="s">
        <v>3424</v>
      </c>
      <c r="U54" s="1353" t="s">
        <v>3246</v>
      </c>
      <c r="V54" s="1353" t="s">
        <v>3246</v>
      </c>
      <c r="W54" s="1353" t="s">
        <v>3246</v>
      </c>
      <c r="X54" s="1353" t="s">
        <v>3246</v>
      </c>
      <c r="Y54" s="1353" t="s">
        <v>3246</v>
      </c>
      <c r="Z54" s="1353" t="s">
        <v>3246</v>
      </c>
      <c r="AA54" s="1353" t="s">
        <v>3424</v>
      </c>
      <c r="AB54" s="1353" t="s">
        <v>3246</v>
      </c>
      <c r="AC54" s="1353" t="s">
        <v>3246</v>
      </c>
      <c r="AD54" s="1353" t="s">
        <v>3246</v>
      </c>
      <c r="AE54" s="1353"/>
      <c r="AF54" s="1353"/>
      <c r="AG54" s="1353" t="s">
        <v>3246</v>
      </c>
      <c r="AH54" s="1353" t="s">
        <v>3424</v>
      </c>
      <c r="AI54" s="1353" t="s">
        <v>3246</v>
      </c>
      <c r="AJ54" s="1353" t="s">
        <v>3246</v>
      </c>
      <c r="AK54" s="1353" t="s">
        <v>3246</v>
      </c>
      <c r="AL54" s="1354">
        <f t="shared" si="7"/>
        <v>25</v>
      </c>
      <c r="AM54" s="1354">
        <f t="shared" si="8"/>
        <v>4</v>
      </c>
      <c r="AN54" s="1354">
        <f t="shared" si="9"/>
        <v>0</v>
      </c>
      <c r="AO54" s="1354">
        <f t="shared" si="10"/>
        <v>0</v>
      </c>
      <c r="AP54" s="1354">
        <f t="shared" si="4"/>
        <v>0</v>
      </c>
      <c r="AQ54" s="1354">
        <f t="shared" si="5"/>
        <v>0</v>
      </c>
      <c r="AR54" s="1355">
        <f t="shared" si="6"/>
        <v>29</v>
      </c>
      <c r="AS54" s="1229"/>
    </row>
    <row r="55" spans="1:45" ht="16.149999999999999" customHeight="1" outlineLevel="1">
      <c r="A55" s="1353">
        <v>43</v>
      </c>
      <c r="B55" s="1353">
        <v>43</v>
      </c>
      <c r="C55" s="1353" t="str">
        <f>'sản lượng'!C56</f>
        <v>04105</v>
      </c>
      <c r="D55" s="1360" t="s">
        <v>425</v>
      </c>
      <c r="E55" s="1361" t="str">
        <f>TONGHOPCONGDOI!C53</f>
        <v>T Xinh</v>
      </c>
      <c r="F55" s="1355"/>
      <c r="G55" s="1353" t="s">
        <v>3246</v>
      </c>
      <c r="H55" s="1353" t="s">
        <v>3246</v>
      </c>
      <c r="I55" s="1353" t="s">
        <v>3246</v>
      </c>
      <c r="J55" s="1353" t="s">
        <v>3246</v>
      </c>
      <c r="K55" s="1353" t="s">
        <v>3246</v>
      </c>
      <c r="L55" s="1353" t="s">
        <v>3246</v>
      </c>
      <c r="M55" s="1353" t="s">
        <v>3424</v>
      </c>
      <c r="N55" s="1353" t="s">
        <v>3246</v>
      </c>
      <c r="O55" s="1353" t="s">
        <v>3246</v>
      </c>
      <c r="P55" s="1353" t="s">
        <v>3246</v>
      </c>
      <c r="Q55" s="1353" t="s">
        <v>3246</v>
      </c>
      <c r="R55" s="1353" t="s">
        <v>3246</v>
      </c>
      <c r="S55" s="1353" t="s">
        <v>3246</v>
      </c>
      <c r="T55" s="1353" t="s">
        <v>3424</v>
      </c>
      <c r="U55" s="1353" t="s">
        <v>3246</v>
      </c>
      <c r="V55" s="1353" t="s">
        <v>3246</v>
      </c>
      <c r="W55" s="1353" t="s">
        <v>3246</v>
      </c>
      <c r="X55" s="1353" t="s">
        <v>3246</v>
      </c>
      <c r="Y55" s="1353" t="s">
        <v>3246</v>
      </c>
      <c r="Z55" s="1353" t="s">
        <v>3246</v>
      </c>
      <c r="AA55" s="1353" t="s">
        <v>3424</v>
      </c>
      <c r="AB55" s="1353" t="s">
        <v>3246</v>
      </c>
      <c r="AC55" s="1353" t="s">
        <v>3246</v>
      </c>
      <c r="AD55" s="1353" t="s">
        <v>3246</v>
      </c>
      <c r="AE55" s="1353" t="s">
        <v>3246</v>
      </c>
      <c r="AF55" s="1353" t="s">
        <v>3246</v>
      </c>
      <c r="AG55" s="1353" t="s">
        <v>3246</v>
      </c>
      <c r="AH55" s="1353" t="s">
        <v>3424</v>
      </c>
      <c r="AI55" s="1353" t="s">
        <v>3246</v>
      </c>
      <c r="AJ55" s="1353" t="s">
        <v>3246</v>
      </c>
      <c r="AK55" s="1353" t="s">
        <v>3246</v>
      </c>
      <c r="AL55" s="1354">
        <f t="shared" si="7"/>
        <v>27</v>
      </c>
      <c r="AM55" s="1354">
        <f t="shared" si="8"/>
        <v>4</v>
      </c>
      <c r="AN55" s="1354">
        <f t="shared" si="9"/>
        <v>0</v>
      </c>
      <c r="AO55" s="1354">
        <f t="shared" si="10"/>
        <v>0</v>
      </c>
      <c r="AP55" s="1354">
        <f t="shared" si="4"/>
        <v>0</v>
      </c>
      <c r="AQ55" s="1354">
        <f t="shared" si="5"/>
        <v>0</v>
      </c>
      <c r="AR55" s="1355">
        <f t="shared" si="6"/>
        <v>31</v>
      </c>
      <c r="AS55" s="1229"/>
    </row>
    <row r="56" spans="1:45" ht="16.149999999999999" customHeight="1" outlineLevel="1">
      <c r="A56" s="1353">
        <v>44</v>
      </c>
      <c r="B56" s="1353">
        <v>44</v>
      </c>
      <c r="C56" s="1353" t="str">
        <f>'sản lượng'!C57</f>
        <v>04106</v>
      </c>
      <c r="D56" s="1360" t="s">
        <v>406</v>
      </c>
      <c r="E56" s="1361" t="str">
        <f>TONGHOPCONGDOI!C54</f>
        <v>T. Thong A</v>
      </c>
      <c r="F56" s="1355"/>
      <c r="G56" s="1353" t="s">
        <v>3246</v>
      </c>
      <c r="H56" s="1353" t="s">
        <v>3246</v>
      </c>
      <c r="I56" s="1353" t="s">
        <v>3246</v>
      </c>
      <c r="J56" s="1353" t="s">
        <v>3246</v>
      </c>
      <c r="K56" s="1353" t="s">
        <v>3246</v>
      </c>
      <c r="L56" s="1353" t="s">
        <v>3246</v>
      </c>
      <c r="M56" s="1353" t="s">
        <v>3424</v>
      </c>
      <c r="N56" s="1353" t="s">
        <v>3246</v>
      </c>
      <c r="O56" s="1353" t="s">
        <v>3246</v>
      </c>
      <c r="P56" s="1353" t="s">
        <v>3246</v>
      </c>
      <c r="Q56" s="1353" t="s">
        <v>3246</v>
      </c>
      <c r="R56" s="1353"/>
      <c r="S56" s="1353"/>
      <c r="T56" s="1353" t="s">
        <v>3424</v>
      </c>
      <c r="U56" s="1353" t="s">
        <v>3246</v>
      </c>
      <c r="V56" s="1353" t="s">
        <v>3246</v>
      </c>
      <c r="W56" s="1353"/>
      <c r="X56" s="1353" t="s">
        <v>3246</v>
      </c>
      <c r="Y56" s="1353" t="s">
        <v>3246</v>
      </c>
      <c r="Z56" s="1353" t="s">
        <v>3246</v>
      </c>
      <c r="AA56" s="1353" t="s">
        <v>3424</v>
      </c>
      <c r="AB56" s="1353" t="s">
        <v>3246</v>
      </c>
      <c r="AC56" s="1353" t="s">
        <v>3246</v>
      </c>
      <c r="AD56" s="1353" t="s">
        <v>3246</v>
      </c>
      <c r="AE56" s="1353" t="s">
        <v>3246</v>
      </c>
      <c r="AF56" s="1353"/>
      <c r="AG56" s="1353" t="s">
        <v>3246</v>
      </c>
      <c r="AH56" s="1353" t="s">
        <v>3424</v>
      </c>
      <c r="AI56" s="1353" t="s">
        <v>3246</v>
      </c>
      <c r="AJ56" s="1353" t="s">
        <v>3246</v>
      </c>
      <c r="AK56" s="1353"/>
      <c r="AL56" s="1354">
        <f t="shared" ref="AL56:AL75" si="11">COUNTIF(G56:AK56,"X")</f>
        <v>22</v>
      </c>
      <c r="AM56" s="1354">
        <f t="shared" ref="AM56:AM75" si="12">COUNTIF(G56:AK56,"CN")</f>
        <v>4</v>
      </c>
      <c r="AN56" s="1354">
        <f t="shared" ref="AN56:AN75" si="13">COUNTIF(G56:AK56,"Đ")</f>
        <v>0</v>
      </c>
      <c r="AO56" s="1354">
        <f t="shared" si="10"/>
        <v>0</v>
      </c>
      <c r="AP56" s="1354">
        <f t="shared" ref="AP56:AP75" si="14">COUNTIF(G56:AK56,"GT")</f>
        <v>0</v>
      </c>
      <c r="AQ56" s="1354">
        <f t="shared" ref="AQ56:AQ75" si="15">COUNTIF(G56:AK56,"CT")</f>
        <v>0</v>
      </c>
      <c r="AR56" s="1355">
        <f t="shared" ref="AR56:AR75" si="16">SUM(AL56:AQ56)</f>
        <v>26</v>
      </c>
      <c r="AS56" s="1229"/>
    </row>
    <row r="57" spans="1:45" ht="16.149999999999999" customHeight="1" outlineLevel="1">
      <c r="A57" s="1353">
        <v>45</v>
      </c>
      <c r="B57" s="1353">
        <v>45</v>
      </c>
      <c r="C57" s="1353" t="str">
        <f>'sản lượng'!C58</f>
        <v>04107</v>
      </c>
      <c r="D57" s="1360" t="s">
        <v>407</v>
      </c>
      <c r="E57" s="1361" t="str">
        <f>TONGHOPCONGDOI!C55</f>
        <v>N. Đôn</v>
      </c>
      <c r="F57" s="1355"/>
      <c r="G57" s="1353" t="s">
        <v>3246</v>
      </c>
      <c r="H57" s="1353" t="s">
        <v>3246</v>
      </c>
      <c r="I57" s="1353" t="s">
        <v>3246</v>
      </c>
      <c r="J57" s="1353" t="s">
        <v>3246</v>
      </c>
      <c r="K57" s="1353" t="s">
        <v>3246</v>
      </c>
      <c r="L57" s="1353" t="s">
        <v>3246</v>
      </c>
      <c r="M57" s="1353" t="s">
        <v>3424</v>
      </c>
      <c r="N57" s="1353" t="s">
        <v>3246</v>
      </c>
      <c r="O57" s="1353" t="s">
        <v>3246</v>
      </c>
      <c r="P57" s="1353" t="s">
        <v>3246</v>
      </c>
      <c r="Q57" s="1353" t="s">
        <v>3246</v>
      </c>
      <c r="R57" s="1353" t="s">
        <v>3246</v>
      </c>
      <c r="S57" s="1353" t="s">
        <v>3246</v>
      </c>
      <c r="T57" s="1353" t="s">
        <v>3424</v>
      </c>
      <c r="U57" s="1353" t="s">
        <v>3246</v>
      </c>
      <c r="V57" s="1353" t="s">
        <v>3246</v>
      </c>
      <c r="W57" s="1353" t="s">
        <v>3246</v>
      </c>
      <c r="X57" s="1353" t="s">
        <v>3246</v>
      </c>
      <c r="Y57" s="1353" t="s">
        <v>3246</v>
      </c>
      <c r="Z57" s="1353" t="s">
        <v>3246</v>
      </c>
      <c r="AA57" s="1353" t="s">
        <v>3424</v>
      </c>
      <c r="AB57" s="1353" t="s">
        <v>3246</v>
      </c>
      <c r="AC57" s="1353" t="s">
        <v>3246</v>
      </c>
      <c r="AD57" s="1353" t="s">
        <v>3246</v>
      </c>
      <c r="AE57" s="1353" t="s">
        <v>3246</v>
      </c>
      <c r="AF57" s="1353" t="s">
        <v>3246</v>
      </c>
      <c r="AG57" s="1353" t="s">
        <v>3246</v>
      </c>
      <c r="AH57" s="1353" t="s">
        <v>3424</v>
      </c>
      <c r="AI57" s="1353" t="s">
        <v>3246</v>
      </c>
      <c r="AJ57" s="1353" t="s">
        <v>3246</v>
      </c>
      <c r="AK57" s="1353" t="s">
        <v>3246</v>
      </c>
      <c r="AL57" s="1354">
        <f t="shared" si="11"/>
        <v>27</v>
      </c>
      <c r="AM57" s="1354">
        <f t="shared" si="12"/>
        <v>4</v>
      </c>
      <c r="AN57" s="1354">
        <f t="shared" si="13"/>
        <v>0</v>
      </c>
      <c r="AO57" s="1354">
        <f t="shared" si="10"/>
        <v>0</v>
      </c>
      <c r="AP57" s="1354">
        <f t="shared" si="14"/>
        <v>0</v>
      </c>
      <c r="AQ57" s="1354">
        <f t="shared" si="15"/>
        <v>0</v>
      </c>
      <c r="AR57" s="1355">
        <f t="shared" si="16"/>
        <v>31</v>
      </c>
      <c r="AS57" s="1229"/>
    </row>
    <row r="58" spans="1:45" ht="16.149999999999999" customHeight="1" outlineLevel="1">
      <c r="A58" s="1353">
        <v>46</v>
      </c>
      <c r="B58" s="1353">
        <v>46</v>
      </c>
      <c r="C58" s="1353" t="str">
        <f>'sản lượng'!C59</f>
        <v>03559</v>
      </c>
      <c r="D58" s="1360" t="s">
        <v>408</v>
      </c>
      <c r="E58" s="1361" t="str">
        <f>TONGHOPCONGDOI!C56</f>
        <v>Viêng Khăm</v>
      </c>
      <c r="F58" s="1355"/>
      <c r="G58" s="1353" t="s">
        <v>3246</v>
      </c>
      <c r="H58" s="1353" t="s">
        <v>3246</v>
      </c>
      <c r="I58" s="1353" t="s">
        <v>3246</v>
      </c>
      <c r="J58" s="1353" t="s">
        <v>3246</v>
      </c>
      <c r="K58" s="1353" t="s">
        <v>3246</v>
      </c>
      <c r="L58" s="1353" t="s">
        <v>3246</v>
      </c>
      <c r="M58" s="1353" t="s">
        <v>3424</v>
      </c>
      <c r="N58" s="1353" t="s">
        <v>3246</v>
      </c>
      <c r="O58" s="1353" t="s">
        <v>3246</v>
      </c>
      <c r="P58" s="1353" t="s">
        <v>3246</v>
      </c>
      <c r="Q58" s="1353" t="s">
        <v>3246</v>
      </c>
      <c r="R58" s="1353" t="s">
        <v>3246</v>
      </c>
      <c r="S58" s="1353" t="s">
        <v>3246</v>
      </c>
      <c r="T58" s="1353" t="s">
        <v>3424</v>
      </c>
      <c r="U58" s="1353" t="s">
        <v>3246</v>
      </c>
      <c r="V58" s="1353" t="s">
        <v>3246</v>
      </c>
      <c r="W58" s="1353" t="s">
        <v>3246</v>
      </c>
      <c r="X58" s="1353" t="s">
        <v>3246</v>
      </c>
      <c r="Y58" s="1353" t="s">
        <v>3246</v>
      </c>
      <c r="Z58" s="1353" t="s">
        <v>3246</v>
      </c>
      <c r="AA58" s="1353" t="s">
        <v>3424</v>
      </c>
      <c r="AB58" s="1353" t="s">
        <v>3246</v>
      </c>
      <c r="AC58" s="1353" t="s">
        <v>3246</v>
      </c>
      <c r="AD58" s="1353" t="s">
        <v>3246</v>
      </c>
      <c r="AE58" s="1353" t="s">
        <v>3246</v>
      </c>
      <c r="AF58" s="1353" t="s">
        <v>3246</v>
      </c>
      <c r="AG58" s="1353" t="s">
        <v>3246</v>
      </c>
      <c r="AH58" s="1353" t="s">
        <v>3424</v>
      </c>
      <c r="AI58" s="1353" t="s">
        <v>3246</v>
      </c>
      <c r="AJ58" s="1353" t="s">
        <v>3246</v>
      </c>
      <c r="AK58" s="1353" t="s">
        <v>3246</v>
      </c>
      <c r="AL58" s="1354">
        <f t="shared" si="11"/>
        <v>27</v>
      </c>
      <c r="AM58" s="1354">
        <f t="shared" si="12"/>
        <v>4</v>
      </c>
      <c r="AN58" s="1354">
        <f t="shared" si="13"/>
        <v>0</v>
      </c>
      <c r="AO58" s="1354">
        <f t="shared" si="10"/>
        <v>0</v>
      </c>
      <c r="AP58" s="1354">
        <f t="shared" si="14"/>
        <v>0</v>
      </c>
      <c r="AQ58" s="1354">
        <f t="shared" si="15"/>
        <v>0</v>
      </c>
      <c r="AR58" s="1355">
        <f t="shared" si="16"/>
        <v>31</v>
      </c>
      <c r="AS58" s="1229"/>
    </row>
    <row r="59" spans="1:45" ht="16.149999999999999" customHeight="1" outlineLevel="1">
      <c r="A59" s="1353">
        <v>47</v>
      </c>
      <c r="B59" s="1353">
        <v>47</v>
      </c>
      <c r="C59" s="1353" t="str">
        <f>'sản lượng'!C60</f>
        <v>03560</v>
      </c>
      <c r="D59" s="1360" t="s">
        <v>1939</v>
      </c>
      <c r="E59" s="1361" t="str">
        <f>TONGHOPCONGDOI!C57</f>
        <v>Veo Khăm</v>
      </c>
      <c r="F59" s="1355"/>
      <c r="G59" s="1353" t="s">
        <v>3246</v>
      </c>
      <c r="H59" s="1353" t="s">
        <v>3246</v>
      </c>
      <c r="I59" s="1353" t="s">
        <v>3246</v>
      </c>
      <c r="J59" s="1353" t="s">
        <v>3246</v>
      </c>
      <c r="K59" s="1353" t="s">
        <v>3246</v>
      </c>
      <c r="L59" s="1353" t="s">
        <v>3246</v>
      </c>
      <c r="M59" s="1353" t="s">
        <v>3424</v>
      </c>
      <c r="N59" s="1353" t="s">
        <v>3246</v>
      </c>
      <c r="O59" s="1353" t="s">
        <v>3246</v>
      </c>
      <c r="P59" s="1353" t="s">
        <v>3246</v>
      </c>
      <c r="Q59" s="1353" t="s">
        <v>3246</v>
      </c>
      <c r="R59" s="1353" t="s">
        <v>3246</v>
      </c>
      <c r="S59" s="1353" t="s">
        <v>3246</v>
      </c>
      <c r="T59" s="1353" t="s">
        <v>3424</v>
      </c>
      <c r="U59" s="1353" t="s">
        <v>3246</v>
      </c>
      <c r="V59" s="1353" t="s">
        <v>3246</v>
      </c>
      <c r="W59" s="1353" t="s">
        <v>3246</v>
      </c>
      <c r="X59" s="1353" t="s">
        <v>3246</v>
      </c>
      <c r="Y59" s="1353" t="s">
        <v>3246</v>
      </c>
      <c r="Z59" s="1353" t="s">
        <v>3246</v>
      </c>
      <c r="AA59" s="1353" t="s">
        <v>3424</v>
      </c>
      <c r="AB59" s="1353" t="s">
        <v>3246</v>
      </c>
      <c r="AC59" s="1353" t="s">
        <v>3246</v>
      </c>
      <c r="AD59" s="1353" t="s">
        <v>3246</v>
      </c>
      <c r="AE59" s="1353" t="s">
        <v>3246</v>
      </c>
      <c r="AF59" s="1353" t="s">
        <v>3246</v>
      </c>
      <c r="AG59" s="1353" t="s">
        <v>3246</v>
      </c>
      <c r="AH59" s="1353" t="s">
        <v>3424</v>
      </c>
      <c r="AI59" s="1353" t="s">
        <v>3246</v>
      </c>
      <c r="AJ59" s="1353" t="s">
        <v>3246</v>
      </c>
      <c r="AK59" s="1353" t="s">
        <v>3246</v>
      </c>
      <c r="AL59" s="1354">
        <f t="shared" si="11"/>
        <v>27</v>
      </c>
      <c r="AM59" s="1354">
        <f t="shared" si="12"/>
        <v>4</v>
      </c>
      <c r="AN59" s="1354">
        <f t="shared" si="13"/>
        <v>0</v>
      </c>
      <c r="AO59" s="1354">
        <f t="shared" si="10"/>
        <v>0</v>
      </c>
      <c r="AP59" s="1354">
        <f t="shared" si="14"/>
        <v>0</v>
      </c>
      <c r="AQ59" s="1354">
        <f t="shared" si="15"/>
        <v>0</v>
      </c>
      <c r="AR59" s="1355">
        <f t="shared" si="16"/>
        <v>31</v>
      </c>
      <c r="AS59" s="1229"/>
    </row>
    <row r="60" spans="1:45" ht="16.149999999999999" customHeight="1" outlineLevel="1">
      <c r="A60" s="1353">
        <v>48</v>
      </c>
      <c r="B60" s="1353">
        <v>48</v>
      </c>
      <c r="C60" s="1353" t="str">
        <f>'sản lượng'!C61</f>
        <v>03581</v>
      </c>
      <c r="D60" s="1360" t="s">
        <v>410</v>
      </c>
      <c r="E60" s="1361" t="str">
        <f>TONGHOPCONGDOI!C58</f>
        <v>Chăn Đen</v>
      </c>
      <c r="F60" s="1355"/>
      <c r="G60" s="1353" t="s">
        <v>3246</v>
      </c>
      <c r="H60" s="1353" t="s">
        <v>3246</v>
      </c>
      <c r="I60" s="1353" t="s">
        <v>3246</v>
      </c>
      <c r="J60" s="1353" t="s">
        <v>3246</v>
      </c>
      <c r="K60" s="1353" t="s">
        <v>3246</v>
      </c>
      <c r="L60" s="1353" t="s">
        <v>3246</v>
      </c>
      <c r="M60" s="1353" t="s">
        <v>3424</v>
      </c>
      <c r="N60" s="1353" t="s">
        <v>3246</v>
      </c>
      <c r="O60" s="1353" t="s">
        <v>3246</v>
      </c>
      <c r="P60" s="1353" t="s">
        <v>3246</v>
      </c>
      <c r="Q60" s="1353" t="s">
        <v>3246</v>
      </c>
      <c r="R60" s="1353" t="s">
        <v>3246</v>
      </c>
      <c r="S60" s="1353" t="s">
        <v>3246</v>
      </c>
      <c r="T60" s="1353" t="s">
        <v>3424</v>
      </c>
      <c r="U60" s="1353" t="s">
        <v>3246</v>
      </c>
      <c r="V60" s="1353" t="s">
        <v>3246</v>
      </c>
      <c r="W60" s="1353" t="s">
        <v>3246</v>
      </c>
      <c r="X60" s="1353" t="s">
        <v>3246</v>
      </c>
      <c r="Y60" s="1353" t="s">
        <v>3246</v>
      </c>
      <c r="Z60" s="1353" t="s">
        <v>3246</v>
      </c>
      <c r="AA60" s="1353" t="s">
        <v>3424</v>
      </c>
      <c r="AB60" s="1353" t="s">
        <v>3246</v>
      </c>
      <c r="AC60" s="1353"/>
      <c r="AD60" s="1353" t="s">
        <v>3246</v>
      </c>
      <c r="AE60" s="1353" t="s">
        <v>3246</v>
      </c>
      <c r="AF60" s="1353"/>
      <c r="AG60" s="1353"/>
      <c r="AH60" s="1353"/>
      <c r="AI60" s="1353"/>
      <c r="AJ60" s="1353"/>
      <c r="AK60" s="1353" t="s">
        <v>3246</v>
      </c>
      <c r="AL60" s="1354">
        <f t="shared" si="11"/>
        <v>22</v>
      </c>
      <c r="AM60" s="1354">
        <f t="shared" si="12"/>
        <v>3</v>
      </c>
      <c r="AN60" s="1354">
        <f t="shared" si="13"/>
        <v>0</v>
      </c>
      <c r="AO60" s="1354">
        <f t="shared" si="10"/>
        <v>0</v>
      </c>
      <c r="AP60" s="1354">
        <f t="shared" si="14"/>
        <v>0</v>
      </c>
      <c r="AQ60" s="1354">
        <f t="shared" si="15"/>
        <v>0</v>
      </c>
      <c r="AR60" s="1355">
        <f t="shared" si="16"/>
        <v>25</v>
      </c>
      <c r="AS60" s="1229"/>
    </row>
    <row r="61" spans="1:45" ht="16.149999999999999" customHeight="1" outlineLevel="1">
      <c r="A61" s="1353">
        <v>49</v>
      </c>
      <c r="B61" s="1353">
        <v>49</v>
      </c>
      <c r="C61" s="1353" t="str">
        <f>'sản lượng'!C62</f>
        <v>03562</v>
      </c>
      <c r="D61" s="1360" t="s">
        <v>411</v>
      </c>
      <c r="E61" s="1361" t="str">
        <f>TONGHOPCONGDOI!C59</f>
        <v>N. Nun</v>
      </c>
      <c r="F61" s="1355"/>
      <c r="G61" s="1353" t="s">
        <v>3246</v>
      </c>
      <c r="H61" s="1353" t="s">
        <v>3246</v>
      </c>
      <c r="I61" s="1353" t="s">
        <v>3246</v>
      </c>
      <c r="J61" s="1353" t="s">
        <v>3246</v>
      </c>
      <c r="K61" s="1353" t="s">
        <v>3246</v>
      </c>
      <c r="L61" s="1353" t="s">
        <v>3246</v>
      </c>
      <c r="M61" s="1353" t="s">
        <v>3424</v>
      </c>
      <c r="N61" s="1353" t="s">
        <v>3246</v>
      </c>
      <c r="O61" s="1353" t="s">
        <v>3246</v>
      </c>
      <c r="P61" s="1353" t="s">
        <v>3246</v>
      </c>
      <c r="Q61" s="1353" t="s">
        <v>3246</v>
      </c>
      <c r="R61" s="1353" t="s">
        <v>3246</v>
      </c>
      <c r="S61" s="1353" t="s">
        <v>3246</v>
      </c>
      <c r="T61" s="1353" t="s">
        <v>3424</v>
      </c>
      <c r="U61" s="1353" t="s">
        <v>3246</v>
      </c>
      <c r="V61" s="1353" t="s">
        <v>3246</v>
      </c>
      <c r="W61" s="1353" t="s">
        <v>3246</v>
      </c>
      <c r="X61" s="1353" t="s">
        <v>3246</v>
      </c>
      <c r="Y61" s="1353" t="s">
        <v>3246</v>
      </c>
      <c r="Z61" s="1353" t="s">
        <v>3246</v>
      </c>
      <c r="AA61" s="1353" t="s">
        <v>3424</v>
      </c>
      <c r="AB61" s="1353" t="s">
        <v>3246</v>
      </c>
      <c r="AC61" s="1353" t="s">
        <v>3246</v>
      </c>
      <c r="AD61" s="1353" t="s">
        <v>3246</v>
      </c>
      <c r="AE61" s="1353" t="s">
        <v>3246</v>
      </c>
      <c r="AF61" s="1353" t="s">
        <v>3246</v>
      </c>
      <c r="AG61" s="1353" t="s">
        <v>3246</v>
      </c>
      <c r="AH61" s="1353" t="s">
        <v>3424</v>
      </c>
      <c r="AI61" s="1353" t="s">
        <v>3246</v>
      </c>
      <c r="AJ61" s="1353" t="s">
        <v>3246</v>
      </c>
      <c r="AK61" s="1353" t="s">
        <v>3246</v>
      </c>
      <c r="AL61" s="1354">
        <f t="shared" si="11"/>
        <v>27</v>
      </c>
      <c r="AM61" s="1354">
        <f t="shared" si="12"/>
        <v>4</v>
      </c>
      <c r="AN61" s="1354">
        <f t="shared" si="13"/>
        <v>0</v>
      </c>
      <c r="AO61" s="1354">
        <f t="shared" si="10"/>
        <v>0</v>
      </c>
      <c r="AP61" s="1354">
        <f t="shared" si="14"/>
        <v>0</v>
      </c>
      <c r="AQ61" s="1354">
        <f t="shared" si="15"/>
        <v>0</v>
      </c>
      <c r="AR61" s="1355">
        <f t="shared" si="16"/>
        <v>31</v>
      </c>
      <c r="AS61" s="1229"/>
    </row>
    <row r="62" spans="1:45" ht="16.149999999999999" customHeight="1" outlineLevel="1">
      <c r="A62" s="1353">
        <v>50</v>
      </c>
      <c r="B62" s="1353">
        <v>50</v>
      </c>
      <c r="C62" s="1353" t="str">
        <f>'sản lượng'!C63</f>
        <v>03563</v>
      </c>
      <c r="D62" s="1360" t="s">
        <v>412</v>
      </c>
      <c r="E62" s="1361" t="str">
        <f>TONGHOPCONGDOI!C60</f>
        <v>In Pông</v>
      </c>
      <c r="F62" s="1355"/>
      <c r="G62" s="1353" t="s">
        <v>3246</v>
      </c>
      <c r="H62" s="1353" t="s">
        <v>3246</v>
      </c>
      <c r="I62" s="1353" t="s">
        <v>3246</v>
      </c>
      <c r="J62" s="1353" t="s">
        <v>3246</v>
      </c>
      <c r="K62" s="1353" t="s">
        <v>3246</v>
      </c>
      <c r="L62" s="1353" t="s">
        <v>3246</v>
      </c>
      <c r="M62" s="1353" t="s">
        <v>3424</v>
      </c>
      <c r="N62" s="1353" t="s">
        <v>3246</v>
      </c>
      <c r="O62" s="1353" t="s">
        <v>3246</v>
      </c>
      <c r="P62" s="1353" t="s">
        <v>3246</v>
      </c>
      <c r="Q62" s="1353" t="s">
        <v>3246</v>
      </c>
      <c r="R62" s="1353" t="s">
        <v>3246</v>
      </c>
      <c r="S62" s="1353" t="s">
        <v>3246</v>
      </c>
      <c r="T62" s="1353" t="s">
        <v>3424</v>
      </c>
      <c r="U62" s="1353" t="s">
        <v>3246</v>
      </c>
      <c r="V62" s="1353" t="s">
        <v>3246</v>
      </c>
      <c r="W62" s="1353" t="s">
        <v>3246</v>
      </c>
      <c r="X62" s="1353" t="s">
        <v>3246</v>
      </c>
      <c r="Y62" s="1353" t="s">
        <v>3246</v>
      </c>
      <c r="Z62" s="1353" t="s">
        <v>3246</v>
      </c>
      <c r="AA62" s="1353" t="s">
        <v>3424</v>
      </c>
      <c r="AB62" s="1353" t="s">
        <v>3246</v>
      </c>
      <c r="AC62" s="1353" t="s">
        <v>3246</v>
      </c>
      <c r="AD62" s="1353" t="s">
        <v>3246</v>
      </c>
      <c r="AE62" s="1353"/>
      <c r="AF62" s="1353"/>
      <c r="AG62" s="1353" t="s">
        <v>3246</v>
      </c>
      <c r="AH62" s="1353" t="s">
        <v>3424</v>
      </c>
      <c r="AI62" s="1353" t="s">
        <v>3246</v>
      </c>
      <c r="AJ62" s="1353" t="s">
        <v>3246</v>
      </c>
      <c r="AK62" s="1353" t="s">
        <v>3246</v>
      </c>
      <c r="AL62" s="1354">
        <f t="shared" si="11"/>
        <v>25</v>
      </c>
      <c r="AM62" s="1354">
        <f t="shared" si="12"/>
        <v>4</v>
      </c>
      <c r="AN62" s="1354">
        <f t="shared" si="13"/>
        <v>0</v>
      </c>
      <c r="AO62" s="1354">
        <f t="shared" si="10"/>
        <v>0</v>
      </c>
      <c r="AP62" s="1354">
        <f t="shared" si="14"/>
        <v>0</v>
      </c>
      <c r="AQ62" s="1354">
        <f t="shared" si="15"/>
        <v>0</v>
      </c>
      <c r="AR62" s="1355">
        <f t="shared" si="16"/>
        <v>29</v>
      </c>
      <c r="AS62" s="1229"/>
    </row>
    <row r="63" spans="1:45" ht="16.149999999999999" customHeight="1" outlineLevel="1">
      <c r="A63" s="1353">
        <v>51</v>
      </c>
      <c r="B63" s="1353">
        <v>51</v>
      </c>
      <c r="C63" s="1353" t="str">
        <f>'sản lượng'!C64</f>
        <v>04108</v>
      </c>
      <c r="D63" s="1360" t="s">
        <v>413</v>
      </c>
      <c r="E63" s="1361" t="str">
        <f>TONGHOPCONGDOI!C61</f>
        <v>Pha Đi</v>
      </c>
      <c r="F63" s="1355"/>
      <c r="G63" s="1353" t="s">
        <v>3246</v>
      </c>
      <c r="H63" s="1353" t="s">
        <v>3246</v>
      </c>
      <c r="I63" s="1353" t="s">
        <v>3246</v>
      </c>
      <c r="J63" s="1353" t="s">
        <v>3246</v>
      </c>
      <c r="K63" s="1353" t="s">
        <v>3246</v>
      </c>
      <c r="L63" s="1353"/>
      <c r="M63" s="1353" t="s">
        <v>3424</v>
      </c>
      <c r="N63" s="1353" t="s">
        <v>3246</v>
      </c>
      <c r="O63" s="1353" t="s">
        <v>3246</v>
      </c>
      <c r="P63" s="1353" t="s">
        <v>3246</v>
      </c>
      <c r="Q63" s="1353" t="s">
        <v>3246</v>
      </c>
      <c r="R63" s="1353" t="s">
        <v>3246</v>
      </c>
      <c r="S63" s="1353" t="s">
        <v>3246</v>
      </c>
      <c r="T63" s="1353" t="s">
        <v>3424</v>
      </c>
      <c r="U63" s="1353" t="s">
        <v>3246</v>
      </c>
      <c r="V63" s="1353" t="s">
        <v>3246</v>
      </c>
      <c r="W63" s="1353" t="s">
        <v>3246</v>
      </c>
      <c r="X63" s="1353" t="s">
        <v>3246</v>
      </c>
      <c r="Y63" s="1353" t="s">
        <v>3246</v>
      </c>
      <c r="Z63" s="1353" t="s">
        <v>3246</v>
      </c>
      <c r="AA63" s="1353" t="s">
        <v>3424</v>
      </c>
      <c r="AB63" s="1353" t="s">
        <v>3246</v>
      </c>
      <c r="AC63" s="1353" t="s">
        <v>3246</v>
      </c>
      <c r="AD63" s="1353" t="s">
        <v>3246</v>
      </c>
      <c r="AE63" s="1353" t="s">
        <v>3246</v>
      </c>
      <c r="AF63" s="1353" t="s">
        <v>3246</v>
      </c>
      <c r="AG63" s="1353" t="s">
        <v>3246</v>
      </c>
      <c r="AH63" s="1353" t="s">
        <v>3424</v>
      </c>
      <c r="AI63" s="1353" t="s">
        <v>3246</v>
      </c>
      <c r="AJ63" s="1353" t="s">
        <v>3246</v>
      </c>
      <c r="AK63" s="1353" t="s">
        <v>3246</v>
      </c>
      <c r="AL63" s="1354">
        <f t="shared" si="11"/>
        <v>26</v>
      </c>
      <c r="AM63" s="1354">
        <f t="shared" si="12"/>
        <v>4</v>
      </c>
      <c r="AN63" s="1354">
        <f t="shared" si="13"/>
        <v>0</v>
      </c>
      <c r="AO63" s="1354">
        <f t="shared" si="10"/>
        <v>0</v>
      </c>
      <c r="AP63" s="1354">
        <f t="shared" si="14"/>
        <v>0</v>
      </c>
      <c r="AQ63" s="1354">
        <f t="shared" si="15"/>
        <v>0</v>
      </c>
      <c r="AR63" s="1355">
        <f t="shared" si="16"/>
        <v>30</v>
      </c>
      <c r="AS63" s="1229"/>
    </row>
    <row r="64" spans="1:45" ht="16.149999999999999" customHeight="1" outlineLevel="1">
      <c r="A64" s="1353">
        <v>52</v>
      </c>
      <c r="B64" s="1353">
        <v>52</v>
      </c>
      <c r="C64" s="1353" t="str">
        <f>'sản lượng'!C65</f>
        <v>04109</v>
      </c>
      <c r="D64" s="1360" t="s">
        <v>414</v>
      </c>
      <c r="E64" s="1361" t="str">
        <f>TONGHOPCONGDOI!C62</f>
        <v>Thảo Nọi B</v>
      </c>
      <c r="F64" s="1355"/>
      <c r="G64" s="1353" t="s">
        <v>3246</v>
      </c>
      <c r="H64" s="1353" t="s">
        <v>3246</v>
      </c>
      <c r="I64" s="1353" t="s">
        <v>3246</v>
      </c>
      <c r="J64" s="1353" t="s">
        <v>3246</v>
      </c>
      <c r="K64" s="1353" t="s">
        <v>3246</v>
      </c>
      <c r="L64" s="1353" t="s">
        <v>3246</v>
      </c>
      <c r="M64" s="1353" t="s">
        <v>3424</v>
      </c>
      <c r="N64" s="1353" t="s">
        <v>3246</v>
      </c>
      <c r="O64" s="1353" t="s">
        <v>3246</v>
      </c>
      <c r="P64" s="1353" t="s">
        <v>3246</v>
      </c>
      <c r="Q64" s="1353" t="s">
        <v>3246</v>
      </c>
      <c r="R64" s="1353" t="s">
        <v>3246</v>
      </c>
      <c r="S64" s="1353" t="s">
        <v>3246</v>
      </c>
      <c r="T64" s="1353" t="s">
        <v>3424</v>
      </c>
      <c r="U64" s="1353" t="s">
        <v>3246</v>
      </c>
      <c r="V64" s="1353" t="s">
        <v>3246</v>
      </c>
      <c r="W64" s="1353" t="s">
        <v>3246</v>
      </c>
      <c r="X64" s="1353" t="s">
        <v>3246</v>
      </c>
      <c r="Y64" s="1353" t="s">
        <v>3246</v>
      </c>
      <c r="Z64" s="1353" t="s">
        <v>3246</v>
      </c>
      <c r="AA64" s="1353" t="s">
        <v>3424</v>
      </c>
      <c r="AB64" s="1353" t="s">
        <v>3246</v>
      </c>
      <c r="AC64" s="1353" t="s">
        <v>3246</v>
      </c>
      <c r="AD64" s="1353" t="s">
        <v>3246</v>
      </c>
      <c r="AE64" s="1353" t="s">
        <v>3246</v>
      </c>
      <c r="AF64" s="1353" t="s">
        <v>3246</v>
      </c>
      <c r="AG64" s="1353" t="s">
        <v>3246</v>
      </c>
      <c r="AH64" s="1353" t="s">
        <v>3424</v>
      </c>
      <c r="AI64" s="1353" t="s">
        <v>3246</v>
      </c>
      <c r="AJ64" s="1353" t="s">
        <v>3246</v>
      </c>
      <c r="AK64" s="1353" t="s">
        <v>3246</v>
      </c>
      <c r="AL64" s="1354">
        <f t="shared" si="11"/>
        <v>27</v>
      </c>
      <c r="AM64" s="1354">
        <f t="shared" si="12"/>
        <v>4</v>
      </c>
      <c r="AN64" s="1354">
        <f t="shared" si="13"/>
        <v>0</v>
      </c>
      <c r="AO64" s="1354">
        <f t="shared" si="10"/>
        <v>0</v>
      </c>
      <c r="AP64" s="1354">
        <f t="shared" si="14"/>
        <v>0</v>
      </c>
      <c r="AQ64" s="1354">
        <f t="shared" si="15"/>
        <v>0</v>
      </c>
      <c r="AR64" s="1355">
        <f t="shared" si="16"/>
        <v>31</v>
      </c>
      <c r="AS64" s="1229"/>
    </row>
    <row r="65" spans="1:45" ht="16.149999999999999" customHeight="1" outlineLevel="1">
      <c r="A65" s="1353">
        <v>53</v>
      </c>
      <c r="B65" s="1353">
        <v>53</v>
      </c>
      <c r="C65" s="1353" t="str">
        <f>'sản lượng'!C66</f>
        <v>04110</v>
      </c>
      <c r="D65" s="1360" t="s">
        <v>415</v>
      </c>
      <c r="E65" s="1361" t="str">
        <f>TONGHOPCONGDOI!C63</f>
        <v xml:space="preserve">T. Lăm  </v>
      </c>
      <c r="F65" s="1355"/>
      <c r="G65" s="1353" t="s">
        <v>3246</v>
      </c>
      <c r="H65" s="1353" t="s">
        <v>3246</v>
      </c>
      <c r="I65" s="1353" t="s">
        <v>3246</v>
      </c>
      <c r="J65" s="1353" t="s">
        <v>3246</v>
      </c>
      <c r="K65" s="1353" t="s">
        <v>3246</v>
      </c>
      <c r="L65" s="1353" t="s">
        <v>3246</v>
      </c>
      <c r="M65" s="1353" t="s">
        <v>3424</v>
      </c>
      <c r="N65" s="1353" t="s">
        <v>3246</v>
      </c>
      <c r="O65" s="1353" t="s">
        <v>3246</v>
      </c>
      <c r="P65" s="1353" t="s">
        <v>3246</v>
      </c>
      <c r="Q65" s="1353" t="s">
        <v>3246</v>
      </c>
      <c r="R65" s="1353" t="s">
        <v>3246</v>
      </c>
      <c r="S65" s="1353" t="s">
        <v>3246</v>
      </c>
      <c r="T65" s="1353" t="s">
        <v>3424</v>
      </c>
      <c r="U65" s="1353" t="s">
        <v>3246</v>
      </c>
      <c r="V65" s="1353" t="s">
        <v>3246</v>
      </c>
      <c r="W65" s="1353" t="s">
        <v>3246</v>
      </c>
      <c r="X65" s="1353" t="s">
        <v>3246</v>
      </c>
      <c r="Y65" s="1353" t="s">
        <v>3246</v>
      </c>
      <c r="Z65" s="1353" t="s">
        <v>3246</v>
      </c>
      <c r="AA65" s="1353" t="s">
        <v>3424</v>
      </c>
      <c r="AB65" s="1353" t="s">
        <v>3246</v>
      </c>
      <c r="AC65" s="1353" t="s">
        <v>3246</v>
      </c>
      <c r="AD65" s="1353" t="s">
        <v>3246</v>
      </c>
      <c r="AE65" s="1353" t="s">
        <v>3246</v>
      </c>
      <c r="AF65" s="1353" t="s">
        <v>3246</v>
      </c>
      <c r="AG65" s="1353" t="s">
        <v>3246</v>
      </c>
      <c r="AH65" s="1353" t="s">
        <v>3424</v>
      </c>
      <c r="AI65" s="1353" t="s">
        <v>3246</v>
      </c>
      <c r="AJ65" s="1353" t="s">
        <v>3246</v>
      </c>
      <c r="AK65" s="1353" t="s">
        <v>3246</v>
      </c>
      <c r="AL65" s="1354">
        <f t="shared" si="11"/>
        <v>27</v>
      </c>
      <c r="AM65" s="1354">
        <f t="shared" si="12"/>
        <v>4</v>
      </c>
      <c r="AN65" s="1354">
        <f t="shared" si="13"/>
        <v>0</v>
      </c>
      <c r="AO65" s="1354">
        <f t="shared" si="10"/>
        <v>0</v>
      </c>
      <c r="AP65" s="1354">
        <f t="shared" si="14"/>
        <v>0</v>
      </c>
      <c r="AQ65" s="1354">
        <f t="shared" si="15"/>
        <v>0</v>
      </c>
      <c r="AR65" s="1355">
        <f t="shared" si="16"/>
        <v>31</v>
      </c>
      <c r="AS65" s="1229"/>
    </row>
    <row r="66" spans="1:45" ht="16.149999999999999" customHeight="1" outlineLevel="1">
      <c r="A66" s="1353">
        <v>54</v>
      </c>
      <c r="B66" s="1353">
        <v>54</v>
      </c>
      <c r="C66" s="1353" t="str">
        <f>'sản lượng'!C67</f>
        <v>03567</v>
      </c>
      <c r="D66" s="1360" t="s">
        <v>1940</v>
      </c>
      <c r="E66" s="1361" t="str">
        <f>TONGHOPCONGDOI!C64</f>
        <v>Khăm Phiêng</v>
      </c>
      <c r="F66" s="1355"/>
      <c r="G66" s="1353" t="s">
        <v>3246</v>
      </c>
      <c r="H66" s="1353" t="s">
        <v>3246</v>
      </c>
      <c r="I66" s="1353" t="s">
        <v>3246</v>
      </c>
      <c r="J66" s="1353" t="s">
        <v>3246</v>
      </c>
      <c r="K66" s="1353" t="s">
        <v>3246</v>
      </c>
      <c r="L66" s="1353" t="s">
        <v>3246</v>
      </c>
      <c r="M66" s="1353" t="s">
        <v>3424</v>
      </c>
      <c r="N66" s="1353" t="s">
        <v>3246</v>
      </c>
      <c r="O66" s="1353" t="s">
        <v>3246</v>
      </c>
      <c r="P66" s="1353" t="s">
        <v>3246</v>
      </c>
      <c r="Q66" s="1353" t="s">
        <v>3246</v>
      </c>
      <c r="R66" s="1353" t="s">
        <v>3246</v>
      </c>
      <c r="S66" s="1353" t="s">
        <v>3246</v>
      </c>
      <c r="T66" s="1353" t="s">
        <v>3424</v>
      </c>
      <c r="U66" s="1353" t="s">
        <v>3246</v>
      </c>
      <c r="V66" s="1353" t="s">
        <v>3246</v>
      </c>
      <c r="W66" s="1353" t="s">
        <v>3246</v>
      </c>
      <c r="X66" s="1353" t="s">
        <v>3246</v>
      </c>
      <c r="Y66" s="1353" t="s">
        <v>3246</v>
      </c>
      <c r="Z66" s="1353" t="s">
        <v>3246</v>
      </c>
      <c r="AA66" s="1353" t="s">
        <v>3424</v>
      </c>
      <c r="AB66" s="1353" t="s">
        <v>3246</v>
      </c>
      <c r="AC66" s="1353" t="s">
        <v>3246</v>
      </c>
      <c r="AD66" s="1353" t="s">
        <v>3246</v>
      </c>
      <c r="AE66" s="1353" t="s">
        <v>3246</v>
      </c>
      <c r="AF66" s="1353" t="s">
        <v>3246</v>
      </c>
      <c r="AG66" s="1353" t="s">
        <v>3246</v>
      </c>
      <c r="AH66" s="1353" t="s">
        <v>3424</v>
      </c>
      <c r="AI66" s="1353" t="s">
        <v>3246</v>
      </c>
      <c r="AJ66" s="1353" t="s">
        <v>3246</v>
      </c>
      <c r="AK66" s="1353" t="s">
        <v>3246</v>
      </c>
      <c r="AL66" s="1354">
        <f t="shared" si="11"/>
        <v>27</v>
      </c>
      <c r="AM66" s="1354">
        <f t="shared" si="12"/>
        <v>4</v>
      </c>
      <c r="AN66" s="1354">
        <f t="shared" si="13"/>
        <v>0</v>
      </c>
      <c r="AO66" s="1354">
        <f t="shared" si="10"/>
        <v>0</v>
      </c>
      <c r="AP66" s="1354">
        <f t="shared" si="14"/>
        <v>0</v>
      </c>
      <c r="AQ66" s="1354">
        <f t="shared" si="15"/>
        <v>0</v>
      </c>
      <c r="AR66" s="1355">
        <f t="shared" si="16"/>
        <v>31</v>
      </c>
      <c r="AS66" s="1229"/>
    </row>
    <row r="67" spans="1:45" ht="16.149999999999999" customHeight="1" outlineLevel="1">
      <c r="A67" s="1353">
        <v>55</v>
      </c>
      <c r="B67" s="1353">
        <v>55</v>
      </c>
      <c r="C67" s="1353" t="str">
        <f>'sản lượng'!C68</f>
        <v>03568</v>
      </c>
      <c r="D67" s="1360" t="s">
        <v>417</v>
      </c>
      <c r="E67" s="1361" t="str">
        <f>TONGHOPCONGDOI!C65</f>
        <v>Khiêng Khăm</v>
      </c>
      <c r="F67" s="1355"/>
      <c r="G67" s="1353" t="s">
        <v>3246</v>
      </c>
      <c r="H67" s="1353" t="s">
        <v>3246</v>
      </c>
      <c r="I67" s="1353" t="s">
        <v>3246</v>
      </c>
      <c r="J67" s="1353" t="s">
        <v>3246</v>
      </c>
      <c r="K67" s="1353" t="s">
        <v>3246</v>
      </c>
      <c r="L67" s="1353" t="s">
        <v>3246</v>
      </c>
      <c r="M67" s="1353" t="s">
        <v>3424</v>
      </c>
      <c r="N67" s="1353" t="s">
        <v>3246</v>
      </c>
      <c r="O67" s="1353" t="s">
        <v>3246</v>
      </c>
      <c r="P67" s="1353" t="s">
        <v>3246</v>
      </c>
      <c r="Q67" s="1353" t="s">
        <v>3246</v>
      </c>
      <c r="R67" s="1353" t="s">
        <v>3246</v>
      </c>
      <c r="S67" s="1353" t="s">
        <v>3246</v>
      </c>
      <c r="T67" s="1353" t="s">
        <v>3424</v>
      </c>
      <c r="U67" s="1353" t="s">
        <v>3246</v>
      </c>
      <c r="V67" s="1353" t="s">
        <v>3246</v>
      </c>
      <c r="W67" s="1353" t="s">
        <v>3246</v>
      </c>
      <c r="X67" s="1353" t="s">
        <v>3246</v>
      </c>
      <c r="Y67" s="1353" t="s">
        <v>3246</v>
      </c>
      <c r="Z67" s="1353" t="s">
        <v>3246</v>
      </c>
      <c r="AA67" s="1353" t="s">
        <v>3424</v>
      </c>
      <c r="AB67" s="1353" t="s">
        <v>3246</v>
      </c>
      <c r="AC67" s="1353" t="s">
        <v>3246</v>
      </c>
      <c r="AD67" s="1353" t="s">
        <v>3246</v>
      </c>
      <c r="AE67" s="1353" t="s">
        <v>3246</v>
      </c>
      <c r="AF67" s="1353" t="s">
        <v>3246</v>
      </c>
      <c r="AG67" s="1353" t="s">
        <v>3246</v>
      </c>
      <c r="AH67" s="1353" t="s">
        <v>3424</v>
      </c>
      <c r="AI67" s="1353" t="s">
        <v>3246</v>
      </c>
      <c r="AJ67" s="1353" t="s">
        <v>3246</v>
      </c>
      <c r="AK67" s="1353" t="s">
        <v>3246</v>
      </c>
      <c r="AL67" s="1354">
        <f t="shared" si="11"/>
        <v>27</v>
      </c>
      <c r="AM67" s="1354">
        <f t="shared" si="12"/>
        <v>4</v>
      </c>
      <c r="AN67" s="1354">
        <f t="shared" si="13"/>
        <v>0</v>
      </c>
      <c r="AO67" s="1354">
        <f t="shared" si="10"/>
        <v>0</v>
      </c>
      <c r="AP67" s="1354">
        <f t="shared" si="14"/>
        <v>0</v>
      </c>
      <c r="AQ67" s="1354">
        <f t="shared" si="15"/>
        <v>0</v>
      </c>
      <c r="AR67" s="1355">
        <f t="shared" si="16"/>
        <v>31</v>
      </c>
      <c r="AS67" s="1229"/>
    </row>
    <row r="68" spans="1:45" ht="16.149999999999999" customHeight="1" outlineLevel="1">
      <c r="A68" s="1353">
        <v>56</v>
      </c>
      <c r="B68" s="1353">
        <v>56</v>
      </c>
      <c r="C68" s="1353" t="str">
        <f>'sản lượng'!C69</f>
        <v>03569</v>
      </c>
      <c r="D68" s="1360" t="s">
        <v>418</v>
      </c>
      <c r="E68" s="1361" t="str">
        <f>TONGHOPCONGDOI!C66</f>
        <v>T. Kỷ</v>
      </c>
      <c r="F68" s="1355"/>
      <c r="G68" s="1353" t="s">
        <v>3246</v>
      </c>
      <c r="H68" s="1353" t="s">
        <v>3246</v>
      </c>
      <c r="I68" s="1353" t="s">
        <v>3246</v>
      </c>
      <c r="J68" s="1353" t="s">
        <v>3246</v>
      </c>
      <c r="K68" s="1353" t="s">
        <v>3246</v>
      </c>
      <c r="L68" s="1353" t="s">
        <v>3246</v>
      </c>
      <c r="M68" s="1353" t="s">
        <v>3424</v>
      </c>
      <c r="N68" s="1353" t="s">
        <v>3246</v>
      </c>
      <c r="O68" s="1353" t="s">
        <v>3246</v>
      </c>
      <c r="P68" s="1353" t="s">
        <v>3246</v>
      </c>
      <c r="Q68" s="1353" t="s">
        <v>3246</v>
      </c>
      <c r="R68" s="1353" t="s">
        <v>3246</v>
      </c>
      <c r="S68" s="1353" t="s">
        <v>3246</v>
      </c>
      <c r="T68" s="1353" t="s">
        <v>3424</v>
      </c>
      <c r="U68" s="1353" t="s">
        <v>3246</v>
      </c>
      <c r="V68" s="1353" t="s">
        <v>3246</v>
      </c>
      <c r="W68" s="1353" t="s">
        <v>3246</v>
      </c>
      <c r="X68" s="1353"/>
      <c r="Y68" s="1353" t="s">
        <v>3246</v>
      </c>
      <c r="Z68" s="1353" t="s">
        <v>3246</v>
      </c>
      <c r="AA68" s="1353" t="s">
        <v>3424</v>
      </c>
      <c r="AB68" s="1353" t="s">
        <v>3246</v>
      </c>
      <c r="AC68" s="1353" t="s">
        <v>3246</v>
      </c>
      <c r="AD68" s="1353" t="s">
        <v>3246</v>
      </c>
      <c r="AE68" s="1353" t="s">
        <v>3246</v>
      </c>
      <c r="AF68" s="1353" t="s">
        <v>3246</v>
      </c>
      <c r="AG68" s="1353" t="s">
        <v>3246</v>
      </c>
      <c r="AH68" s="1353" t="s">
        <v>3424</v>
      </c>
      <c r="AI68" s="1353" t="s">
        <v>3246</v>
      </c>
      <c r="AJ68" s="1353" t="s">
        <v>3246</v>
      </c>
      <c r="AK68" s="1353" t="s">
        <v>3246</v>
      </c>
      <c r="AL68" s="1354">
        <f t="shared" si="11"/>
        <v>26</v>
      </c>
      <c r="AM68" s="1354">
        <f t="shared" si="12"/>
        <v>4</v>
      </c>
      <c r="AN68" s="1354">
        <f t="shared" si="13"/>
        <v>0</v>
      </c>
      <c r="AO68" s="1354">
        <f t="shared" si="10"/>
        <v>0</v>
      </c>
      <c r="AP68" s="1354">
        <f t="shared" si="14"/>
        <v>0</v>
      </c>
      <c r="AQ68" s="1354">
        <f t="shared" si="15"/>
        <v>0</v>
      </c>
      <c r="AR68" s="1355">
        <f t="shared" si="16"/>
        <v>30</v>
      </c>
      <c r="AS68" s="1229"/>
    </row>
    <row r="69" spans="1:45" ht="16.149999999999999" customHeight="1" outlineLevel="1">
      <c r="A69" s="1353">
        <v>57</v>
      </c>
      <c r="B69" s="1353">
        <v>57</v>
      </c>
      <c r="C69" s="1353" t="str">
        <f>'sản lượng'!C70</f>
        <v>03570</v>
      </c>
      <c r="D69" s="1360" t="s">
        <v>419</v>
      </c>
      <c r="E69" s="1361" t="str">
        <f>TONGHOPCONGDOI!C67</f>
        <v>T. Vi Lai Văn</v>
      </c>
      <c r="F69" s="1355"/>
      <c r="G69" s="1353" t="s">
        <v>3246</v>
      </c>
      <c r="H69" s="1353" t="s">
        <v>3246</v>
      </c>
      <c r="I69" s="1353" t="s">
        <v>3246</v>
      </c>
      <c r="J69" s="1353" t="s">
        <v>3246</v>
      </c>
      <c r="K69" s="1353" t="s">
        <v>3246</v>
      </c>
      <c r="L69" s="1353" t="s">
        <v>3246</v>
      </c>
      <c r="M69" s="1353" t="s">
        <v>3424</v>
      </c>
      <c r="N69" s="1353" t="s">
        <v>3246</v>
      </c>
      <c r="O69" s="1353" t="s">
        <v>3246</v>
      </c>
      <c r="P69" s="1353" t="s">
        <v>3246</v>
      </c>
      <c r="Q69" s="1353" t="s">
        <v>3246</v>
      </c>
      <c r="R69" s="1353" t="s">
        <v>3246</v>
      </c>
      <c r="S69" s="1353" t="s">
        <v>3246</v>
      </c>
      <c r="T69" s="1353" t="s">
        <v>3424</v>
      </c>
      <c r="U69" s="1353" t="s">
        <v>3246</v>
      </c>
      <c r="V69" s="1353" t="s">
        <v>3246</v>
      </c>
      <c r="W69" s="1353" t="s">
        <v>3246</v>
      </c>
      <c r="X69" s="1353" t="s">
        <v>3246</v>
      </c>
      <c r="Y69" s="1353" t="s">
        <v>3246</v>
      </c>
      <c r="Z69" s="1353" t="s">
        <v>3246</v>
      </c>
      <c r="AA69" s="1353" t="s">
        <v>3424</v>
      </c>
      <c r="AB69" s="1353" t="s">
        <v>3246</v>
      </c>
      <c r="AC69" s="1353" t="s">
        <v>3246</v>
      </c>
      <c r="AD69" s="1353" t="s">
        <v>3246</v>
      </c>
      <c r="AE69" s="1353" t="s">
        <v>3246</v>
      </c>
      <c r="AF69" s="1353" t="s">
        <v>3246</v>
      </c>
      <c r="AG69" s="1353" t="s">
        <v>3246</v>
      </c>
      <c r="AH69" s="1353" t="s">
        <v>3424</v>
      </c>
      <c r="AI69" s="1353" t="s">
        <v>3246</v>
      </c>
      <c r="AJ69" s="1353" t="s">
        <v>3246</v>
      </c>
      <c r="AK69" s="1353" t="s">
        <v>3246</v>
      </c>
      <c r="AL69" s="1354">
        <f t="shared" si="11"/>
        <v>27</v>
      </c>
      <c r="AM69" s="1354">
        <f t="shared" si="12"/>
        <v>4</v>
      </c>
      <c r="AN69" s="1354">
        <f t="shared" si="13"/>
        <v>0</v>
      </c>
      <c r="AO69" s="1354">
        <f t="shared" si="10"/>
        <v>0</v>
      </c>
      <c r="AP69" s="1354">
        <f t="shared" si="14"/>
        <v>0</v>
      </c>
      <c r="AQ69" s="1354">
        <f t="shared" si="15"/>
        <v>0</v>
      </c>
      <c r="AR69" s="1355">
        <f t="shared" si="16"/>
        <v>31</v>
      </c>
      <c r="AS69" s="1229"/>
    </row>
    <row r="70" spans="1:45" ht="16.149999999999999" customHeight="1" outlineLevel="1">
      <c r="A70" s="1353">
        <v>58</v>
      </c>
      <c r="B70" s="1353">
        <v>58</v>
      </c>
      <c r="C70" s="1353" t="str">
        <f>'sản lượng'!C71</f>
        <v>03571</v>
      </c>
      <c r="D70" s="1360" t="s">
        <v>420</v>
      </c>
      <c r="E70" s="1361" t="str">
        <f>TONGHOPCONGDOI!C68</f>
        <v>T. Ê</v>
      </c>
      <c r="F70" s="1355"/>
      <c r="G70" s="1353" t="s">
        <v>3246</v>
      </c>
      <c r="H70" s="1353" t="s">
        <v>3246</v>
      </c>
      <c r="I70" s="1353" t="s">
        <v>3246</v>
      </c>
      <c r="J70" s="1353" t="s">
        <v>3246</v>
      </c>
      <c r="K70" s="1353" t="s">
        <v>3246</v>
      </c>
      <c r="L70" s="1353" t="s">
        <v>3246</v>
      </c>
      <c r="M70" s="1353" t="s">
        <v>3424</v>
      </c>
      <c r="N70" s="1353" t="s">
        <v>3246</v>
      </c>
      <c r="O70" s="1353" t="s">
        <v>3246</v>
      </c>
      <c r="P70" s="1353" t="s">
        <v>3246</v>
      </c>
      <c r="Q70" s="1353" t="s">
        <v>3246</v>
      </c>
      <c r="R70" s="1353" t="s">
        <v>3246</v>
      </c>
      <c r="S70" s="1353" t="s">
        <v>3246</v>
      </c>
      <c r="T70" s="1353" t="s">
        <v>3424</v>
      </c>
      <c r="U70" s="1353" t="s">
        <v>3246</v>
      </c>
      <c r="V70" s="1353" t="s">
        <v>3246</v>
      </c>
      <c r="W70" s="1353" t="s">
        <v>3246</v>
      </c>
      <c r="X70" s="1353" t="s">
        <v>3246</v>
      </c>
      <c r="Y70" s="1353" t="s">
        <v>3246</v>
      </c>
      <c r="Z70" s="1353" t="s">
        <v>3246</v>
      </c>
      <c r="AA70" s="1353" t="s">
        <v>3424</v>
      </c>
      <c r="AB70" s="1353" t="s">
        <v>3246</v>
      </c>
      <c r="AC70" s="1353" t="s">
        <v>3246</v>
      </c>
      <c r="AD70" s="1353" t="s">
        <v>3246</v>
      </c>
      <c r="AE70" s="1353" t="s">
        <v>3246</v>
      </c>
      <c r="AF70" s="1353" t="s">
        <v>3246</v>
      </c>
      <c r="AG70" s="1353" t="s">
        <v>3246</v>
      </c>
      <c r="AH70" s="1353" t="s">
        <v>3424</v>
      </c>
      <c r="AI70" s="1353" t="s">
        <v>3246</v>
      </c>
      <c r="AJ70" s="1353" t="s">
        <v>3246</v>
      </c>
      <c r="AK70" s="1353" t="s">
        <v>3246</v>
      </c>
      <c r="AL70" s="1354">
        <f t="shared" si="11"/>
        <v>27</v>
      </c>
      <c r="AM70" s="1354">
        <f t="shared" si="12"/>
        <v>4</v>
      </c>
      <c r="AN70" s="1354">
        <f t="shared" si="13"/>
        <v>0</v>
      </c>
      <c r="AO70" s="1354">
        <f t="shared" si="10"/>
        <v>0</v>
      </c>
      <c r="AP70" s="1354">
        <f t="shared" si="14"/>
        <v>0</v>
      </c>
      <c r="AQ70" s="1354">
        <f t="shared" si="15"/>
        <v>0</v>
      </c>
      <c r="AR70" s="1355">
        <f t="shared" si="16"/>
        <v>31</v>
      </c>
      <c r="AS70" s="1229"/>
    </row>
    <row r="71" spans="1:45" ht="16.149999999999999" customHeight="1" outlineLevel="1">
      <c r="A71" s="1353">
        <v>59</v>
      </c>
      <c r="B71" s="1353">
        <v>59</v>
      </c>
      <c r="C71" s="1353" t="str">
        <f>'sản lượng'!C72</f>
        <v>03572</v>
      </c>
      <c r="D71" s="1360" t="s">
        <v>421</v>
      </c>
      <c r="E71" s="1361" t="str">
        <f>TONGHOPCONGDOI!C69</f>
        <v>N. Lắt Đa</v>
      </c>
      <c r="F71" s="1355"/>
      <c r="G71" s="1353" t="s">
        <v>3246</v>
      </c>
      <c r="H71" s="1353" t="s">
        <v>3246</v>
      </c>
      <c r="I71" s="1353" t="s">
        <v>3246</v>
      </c>
      <c r="J71" s="1353" t="s">
        <v>3246</v>
      </c>
      <c r="K71" s="1353" t="s">
        <v>3246</v>
      </c>
      <c r="L71" s="1353" t="s">
        <v>3246</v>
      </c>
      <c r="M71" s="1353" t="s">
        <v>3424</v>
      </c>
      <c r="N71" s="1353" t="s">
        <v>3246</v>
      </c>
      <c r="O71" s="1353" t="s">
        <v>3246</v>
      </c>
      <c r="P71" s="1353" t="s">
        <v>3246</v>
      </c>
      <c r="Q71" s="1353" t="s">
        <v>3246</v>
      </c>
      <c r="R71" s="1353" t="s">
        <v>3246</v>
      </c>
      <c r="S71" s="1353" t="s">
        <v>3246</v>
      </c>
      <c r="T71" s="1353" t="s">
        <v>3424</v>
      </c>
      <c r="U71" s="1353" t="s">
        <v>3246</v>
      </c>
      <c r="V71" s="1353" t="s">
        <v>3246</v>
      </c>
      <c r="W71" s="1353" t="s">
        <v>3246</v>
      </c>
      <c r="X71" s="1353" t="s">
        <v>3246</v>
      </c>
      <c r="Y71" s="1353" t="s">
        <v>3246</v>
      </c>
      <c r="Z71" s="1353" t="s">
        <v>3246</v>
      </c>
      <c r="AA71" s="1353" t="s">
        <v>3424</v>
      </c>
      <c r="AB71" s="1353" t="s">
        <v>3246</v>
      </c>
      <c r="AC71" s="1353" t="s">
        <v>3246</v>
      </c>
      <c r="AD71" s="1353" t="s">
        <v>3246</v>
      </c>
      <c r="AE71" s="1353" t="s">
        <v>3246</v>
      </c>
      <c r="AF71" s="1353" t="s">
        <v>3246</v>
      </c>
      <c r="AG71" s="1353" t="s">
        <v>3246</v>
      </c>
      <c r="AH71" s="1353" t="s">
        <v>3424</v>
      </c>
      <c r="AI71" s="1353" t="s">
        <v>3246</v>
      </c>
      <c r="AJ71" s="1353" t="s">
        <v>3246</v>
      </c>
      <c r="AK71" s="1353" t="s">
        <v>3246</v>
      </c>
      <c r="AL71" s="1354">
        <f t="shared" si="11"/>
        <v>27</v>
      </c>
      <c r="AM71" s="1354">
        <f t="shared" si="12"/>
        <v>4</v>
      </c>
      <c r="AN71" s="1354">
        <f t="shared" si="13"/>
        <v>0</v>
      </c>
      <c r="AO71" s="1354">
        <f t="shared" si="10"/>
        <v>0</v>
      </c>
      <c r="AP71" s="1354">
        <f t="shared" si="14"/>
        <v>0</v>
      </c>
      <c r="AQ71" s="1354">
        <f t="shared" si="15"/>
        <v>0</v>
      </c>
      <c r="AR71" s="1355">
        <f t="shared" si="16"/>
        <v>31</v>
      </c>
      <c r="AS71" s="1229"/>
    </row>
    <row r="72" spans="1:45" ht="16.149999999999999" customHeight="1" outlineLevel="1">
      <c r="A72" s="1353">
        <v>60</v>
      </c>
      <c r="B72" s="1353">
        <v>60</v>
      </c>
      <c r="C72" s="1353" t="str">
        <f>'sản lượng'!C73</f>
        <v>03573</v>
      </c>
      <c r="D72" s="1360" t="s">
        <v>422</v>
      </c>
      <c r="E72" s="1361" t="str">
        <f>TONGHOPCONGDOI!C70</f>
        <v>N. Tieng Na</v>
      </c>
      <c r="F72" s="1355"/>
      <c r="G72" s="1353" t="s">
        <v>3246</v>
      </c>
      <c r="H72" s="1353" t="s">
        <v>3246</v>
      </c>
      <c r="I72" s="1353" t="s">
        <v>3246</v>
      </c>
      <c r="J72" s="1353" t="s">
        <v>3246</v>
      </c>
      <c r="K72" s="1353" t="s">
        <v>3246</v>
      </c>
      <c r="L72" s="1353" t="s">
        <v>3246</v>
      </c>
      <c r="M72" s="1353" t="s">
        <v>3424</v>
      </c>
      <c r="N72" s="1353" t="s">
        <v>3246</v>
      </c>
      <c r="O72" s="1353" t="s">
        <v>3246</v>
      </c>
      <c r="P72" s="1353" t="s">
        <v>3246</v>
      </c>
      <c r="Q72" s="1353" t="s">
        <v>3246</v>
      </c>
      <c r="R72" s="1353" t="s">
        <v>3246</v>
      </c>
      <c r="S72" s="1353" t="s">
        <v>3246</v>
      </c>
      <c r="T72" s="1353" t="s">
        <v>3424</v>
      </c>
      <c r="U72" s="1353" t="s">
        <v>3246</v>
      </c>
      <c r="V72" s="1353" t="s">
        <v>3246</v>
      </c>
      <c r="W72" s="1353" t="s">
        <v>3246</v>
      </c>
      <c r="X72" s="1353" t="s">
        <v>3246</v>
      </c>
      <c r="Y72" s="1353" t="s">
        <v>3246</v>
      </c>
      <c r="Z72" s="1353" t="s">
        <v>3246</v>
      </c>
      <c r="AA72" s="1353" t="s">
        <v>3424</v>
      </c>
      <c r="AB72" s="1353" t="s">
        <v>3246</v>
      </c>
      <c r="AC72" s="1353" t="s">
        <v>3246</v>
      </c>
      <c r="AD72" s="1353" t="s">
        <v>3246</v>
      </c>
      <c r="AE72" s="1353" t="s">
        <v>3246</v>
      </c>
      <c r="AF72" s="1353" t="s">
        <v>3246</v>
      </c>
      <c r="AG72" s="1353" t="s">
        <v>3246</v>
      </c>
      <c r="AH72" s="1353" t="s">
        <v>3424</v>
      </c>
      <c r="AI72" s="1353" t="s">
        <v>3246</v>
      </c>
      <c r="AJ72" s="1353" t="s">
        <v>3246</v>
      </c>
      <c r="AK72" s="1353" t="s">
        <v>3246</v>
      </c>
      <c r="AL72" s="1354">
        <f t="shared" si="11"/>
        <v>27</v>
      </c>
      <c r="AM72" s="1354">
        <f t="shared" si="12"/>
        <v>4</v>
      </c>
      <c r="AN72" s="1354">
        <f t="shared" si="13"/>
        <v>0</v>
      </c>
      <c r="AO72" s="1354">
        <f t="shared" si="10"/>
        <v>0</v>
      </c>
      <c r="AP72" s="1354">
        <f t="shared" si="14"/>
        <v>0</v>
      </c>
      <c r="AQ72" s="1354">
        <f t="shared" si="15"/>
        <v>0</v>
      </c>
      <c r="AR72" s="1355">
        <f t="shared" si="16"/>
        <v>31</v>
      </c>
      <c r="AS72" s="1229"/>
    </row>
    <row r="73" spans="1:45" ht="16.149999999999999" customHeight="1" outlineLevel="1">
      <c r="A73" s="1353">
        <v>61</v>
      </c>
      <c r="B73" s="1353">
        <v>61</v>
      </c>
      <c r="C73" s="1353" t="str">
        <f>'sản lượng'!C74</f>
        <v>04111</v>
      </c>
      <c r="D73" s="1360" t="s">
        <v>423</v>
      </c>
      <c r="E73" s="1361" t="str">
        <f>TONGHOPCONGDOI!C71</f>
        <v>A Nha</v>
      </c>
      <c r="F73" s="1355"/>
      <c r="G73" s="1353" t="s">
        <v>3246</v>
      </c>
      <c r="H73" s="1353" t="s">
        <v>3246</v>
      </c>
      <c r="I73" s="1353"/>
      <c r="J73" s="1353" t="s">
        <v>3246</v>
      </c>
      <c r="K73" s="1353" t="s">
        <v>3246</v>
      </c>
      <c r="L73" s="1353" t="s">
        <v>3246</v>
      </c>
      <c r="M73" s="1353" t="s">
        <v>3424</v>
      </c>
      <c r="N73" s="1353" t="s">
        <v>3246</v>
      </c>
      <c r="O73" s="1353" t="s">
        <v>3246</v>
      </c>
      <c r="P73" s="1353"/>
      <c r="Q73" s="1353"/>
      <c r="R73" s="1353" t="s">
        <v>3246</v>
      </c>
      <c r="S73" s="1353" t="s">
        <v>3246</v>
      </c>
      <c r="T73" s="1353" t="s">
        <v>3424</v>
      </c>
      <c r="U73" s="1353" t="s">
        <v>3246</v>
      </c>
      <c r="V73" s="1353" t="s">
        <v>3246</v>
      </c>
      <c r="W73" s="1353" t="s">
        <v>3246</v>
      </c>
      <c r="X73" s="1353" t="s">
        <v>3246</v>
      </c>
      <c r="Y73" s="1353" t="s">
        <v>3246</v>
      </c>
      <c r="Z73" s="1353" t="s">
        <v>3246</v>
      </c>
      <c r="AA73" s="1353" t="s">
        <v>3424</v>
      </c>
      <c r="AB73" s="1353" t="s">
        <v>3246</v>
      </c>
      <c r="AC73" s="1353" t="s">
        <v>3246</v>
      </c>
      <c r="AD73" s="1353"/>
      <c r="AE73" s="1353" t="s">
        <v>3246</v>
      </c>
      <c r="AF73" s="1353" t="s">
        <v>3246</v>
      </c>
      <c r="AG73" s="1353" t="s">
        <v>3246</v>
      </c>
      <c r="AH73" s="1353" t="s">
        <v>3424</v>
      </c>
      <c r="AI73" s="1353"/>
      <c r="AJ73" s="1353"/>
      <c r="AK73" s="1353" t="s">
        <v>3246</v>
      </c>
      <c r="AL73" s="1354">
        <f t="shared" si="11"/>
        <v>21</v>
      </c>
      <c r="AM73" s="1354">
        <f t="shared" si="12"/>
        <v>4</v>
      </c>
      <c r="AN73" s="1354">
        <f t="shared" si="13"/>
        <v>0</v>
      </c>
      <c r="AO73" s="1354">
        <f t="shared" si="10"/>
        <v>0</v>
      </c>
      <c r="AP73" s="1354">
        <f t="shared" si="14"/>
        <v>0</v>
      </c>
      <c r="AQ73" s="1354">
        <f t="shared" si="15"/>
        <v>0</v>
      </c>
      <c r="AR73" s="1355">
        <f t="shared" si="16"/>
        <v>25</v>
      </c>
      <c r="AS73" s="1229"/>
    </row>
    <row r="74" spans="1:45" ht="16.149999999999999" customHeight="1" outlineLevel="1">
      <c r="A74" s="1353">
        <v>62</v>
      </c>
      <c r="B74" s="1353">
        <v>62</v>
      </c>
      <c r="C74" s="1353" t="str">
        <f>'sản lượng'!C75</f>
        <v>03534</v>
      </c>
      <c r="D74" s="1360" t="s">
        <v>424</v>
      </c>
      <c r="E74" s="1361" t="str">
        <f>TONGHOPCONGDOI!C72</f>
        <v>T. Un</v>
      </c>
      <c r="F74" s="1355"/>
      <c r="G74" s="1353" t="s">
        <v>3246</v>
      </c>
      <c r="H74" s="1353" t="s">
        <v>3246</v>
      </c>
      <c r="I74" s="1353" t="s">
        <v>3246</v>
      </c>
      <c r="J74" s="1353" t="s">
        <v>3246</v>
      </c>
      <c r="K74" s="1353" t="s">
        <v>3246</v>
      </c>
      <c r="L74" s="1353" t="s">
        <v>3246</v>
      </c>
      <c r="M74" s="1353" t="s">
        <v>3424</v>
      </c>
      <c r="N74" s="1353" t="s">
        <v>3246</v>
      </c>
      <c r="O74" s="1353" t="s">
        <v>3246</v>
      </c>
      <c r="P74" s="1353" t="s">
        <v>3246</v>
      </c>
      <c r="Q74" s="1353" t="s">
        <v>3246</v>
      </c>
      <c r="R74" s="1353" t="s">
        <v>3246</v>
      </c>
      <c r="S74" s="1353" t="s">
        <v>3246</v>
      </c>
      <c r="T74" s="1353" t="s">
        <v>3424</v>
      </c>
      <c r="U74" s="1353" t="s">
        <v>3246</v>
      </c>
      <c r="V74" s="1353" t="s">
        <v>3246</v>
      </c>
      <c r="W74" s="1353" t="s">
        <v>3246</v>
      </c>
      <c r="X74" s="1353" t="s">
        <v>3246</v>
      </c>
      <c r="Y74" s="1353" t="s">
        <v>3246</v>
      </c>
      <c r="Z74" s="1353" t="s">
        <v>3246</v>
      </c>
      <c r="AA74" s="1353" t="s">
        <v>3424</v>
      </c>
      <c r="AB74" s="1353" t="s">
        <v>3246</v>
      </c>
      <c r="AC74" s="1353" t="s">
        <v>3246</v>
      </c>
      <c r="AD74" s="1353" t="s">
        <v>3246</v>
      </c>
      <c r="AE74" s="1353" t="s">
        <v>3246</v>
      </c>
      <c r="AF74" s="1353" t="s">
        <v>3246</v>
      </c>
      <c r="AG74" s="1353" t="s">
        <v>3246</v>
      </c>
      <c r="AH74" s="1353" t="s">
        <v>3424</v>
      </c>
      <c r="AI74" s="1353" t="s">
        <v>3246</v>
      </c>
      <c r="AJ74" s="1353" t="s">
        <v>3246</v>
      </c>
      <c r="AK74" s="1353" t="s">
        <v>3246</v>
      </c>
      <c r="AL74" s="1354">
        <f t="shared" si="11"/>
        <v>27</v>
      </c>
      <c r="AM74" s="1354">
        <f t="shared" si="12"/>
        <v>4</v>
      </c>
      <c r="AN74" s="1354">
        <f t="shared" si="13"/>
        <v>0</v>
      </c>
      <c r="AO74" s="1354">
        <f t="shared" si="10"/>
        <v>0</v>
      </c>
      <c r="AP74" s="1354">
        <f t="shared" si="14"/>
        <v>0</v>
      </c>
      <c r="AQ74" s="1354">
        <f t="shared" si="15"/>
        <v>0</v>
      </c>
      <c r="AR74" s="1355">
        <f t="shared" si="16"/>
        <v>31</v>
      </c>
      <c r="AS74" s="1229"/>
    </row>
    <row r="75" spans="1:45" ht="16.149999999999999" customHeight="1" outlineLevel="1">
      <c r="A75" s="1353">
        <v>63</v>
      </c>
      <c r="B75" s="1353">
        <v>63</v>
      </c>
      <c r="C75" s="1353" t="str">
        <f>'sản lượng'!C76</f>
        <v>03576</v>
      </c>
      <c r="D75" s="1360" t="s">
        <v>425</v>
      </c>
      <c r="E75" s="1361" t="str">
        <f>TONGHOPCONGDOI!C73</f>
        <v>T. Sinh</v>
      </c>
      <c r="F75" s="1355"/>
      <c r="G75" s="1353" t="s">
        <v>3246</v>
      </c>
      <c r="H75" s="1353" t="s">
        <v>3246</v>
      </c>
      <c r="I75" s="1353" t="s">
        <v>3246</v>
      </c>
      <c r="J75" s="1353" t="s">
        <v>3246</v>
      </c>
      <c r="K75" s="1353" t="s">
        <v>3246</v>
      </c>
      <c r="L75" s="1353"/>
      <c r="M75" s="1353" t="s">
        <v>3424</v>
      </c>
      <c r="N75" s="1353" t="s">
        <v>3246</v>
      </c>
      <c r="O75" s="1353" t="s">
        <v>3246</v>
      </c>
      <c r="P75" s="1353" t="s">
        <v>3246</v>
      </c>
      <c r="Q75" s="1353" t="s">
        <v>3246</v>
      </c>
      <c r="R75" s="1353" t="s">
        <v>3246</v>
      </c>
      <c r="S75" s="1353" t="s">
        <v>3246</v>
      </c>
      <c r="T75" s="1353" t="s">
        <v>3424</v>
      </c>
      <c r="U75" s="1353" t="s">
        <v>3246</v>
      </c>
      <c r="V75" s="1353" t="s">
        <v>3246</v>
      </c>
      <c r="W75" s="1353" t="s">
        <v>3246</v>
      </c>
      <c r="X75" s="1353" t="s">
        <v>3246</v>
      </c>
      <c r="Y75" s="1353" t="s">
        <v>3246</v>
      </c>
      <c r="Z75" s="1353" t="s">
        <v>3246</v>
      </c>
      <c r="AA75" s="1353" t="s">
        <v>3424</v>
      </c>
      <c r="AB75" s="1353" t="s">
        <v>3246</v>
      </c>
      <c r="AC75" s="1353" t="s">
        <v>3246</v>
      </c>
      <c r="AD75" s="1353" t="s">
        <v>3246</v>
      </c>
      <c r="AE75" s="1353" t="s">
        <v>3246</v>
      </c>
      <c r="AF75" s="1353" t="s">
        <v>3246</v>
      </c>
      <c r="AG75" s="1353" t="s">
        <v>3246</v>
      </c>
      <c r="AH75" s="1353" t="s">
        <v>3424</v>
      </c>
      <c r="AI75" s="1353" t="s">
        <v>3246</v>
      </c>
      <c r="AJ75" s="1353" t="s">
        <v>3246</v>
      </c>
      <c r="AK75" s="1353" t="s">
        <v>3246</v>
      </c>
      <c r="AL75" s="1354">
        <f t="shared" si="11"/>
        <v>26</v>
      </c>
      <c r="AM75" s="1354">
        <f t="shared" si="12"/>
        <v>4</v>
      </c>
      <c r="AN75" s="1354">
        <f t="shared" si="13"/>
        <v>0</v>
      </c>
      <c r="AO75" s="1354">
        <f t="shared" si="10"/>
        <v>0</v>
      </c>
      <c r="AP75" s="1354">
        <f t="shared" si="14"/>
        <v>0</v>
      </c>
      <c r="AQ75" s="1354">
        <f t="shared" si="15"/>
        <v>0</v>
      </c>
      <c r="AR75" s="1355">
        <f t="shared" si="16"/>
        <v>30</v>
      </c>
      <c r="AS75" s="1229"/>
    </row>
    <row r="76" spans="1:45" ht="16.149999999999999" customHeight="1" outlineLevel="1">
      <c r="A76" s="1353">
        <v>64</v>
      </c>
      <c r="B76" s="1353">
        <v>64</v>
      </c>
      <c r="C76" s="1353" t="str">
        <f>'sản lượng'!C77</f>
        <v>04112</v>
      </c>
      <c r="D76" s="1360" t="s">
        <v>406</v>
      </c>
      <c r="E76" s="1361" t="str">
        <f>TONGHOPCONGDOI!C74</f>
        <v>T. Khăm Công</v>
      </c>
      <c r="F76" s="1355"/>
      <c r="G76" s="1353" t="s">
        <v>3246</v>
      </c>
      <c r="H76" s="1353" t="s">
        <v>3246</v>
      </c>
      <c r="I76" s="1353"/>
      <c r="J76" s="1353" t="s">
        <v>3246</v>
      </c>
      <c r="K76" s="1353" t="s">
        <v>3246</v>
      </c>
      <c r="L76" s="1353" t="s">
        <v>3246</v>
      </c>
      <c r="M76" s="1353" t="s">
        <v>3424</v>
      </c>
      <c r="N76" s="1353" t="s">
        <v>3246</v>
      </c>
      <c r="O76" s="1353"/>
      <c r="P76" s="1353" t="s">
        <v>3246</v>
      </c>
      <c r="Q76" s="1353" t="s">
        <v>3246</v>
      </c>
      <c r="R76" s="1353" t="s">
        <v>3246</v>
      </c>
      <c r="S76" s="1353" t="s">
        <v>3246</v>
      </c>
      <c r="T76" s="1353" t="s">
        <v>3424</v>
      </c>
      <c r="U76" s="1353" t="s">
        <v>3246</v>
      </c>
      <c r="V76" s="1353" t="s">
        <v>3246</v>
      </c>
      <c r="W76" s="1353" t="s">
        <v>3246</v>
      </c>
      <c r="X76" s="1353" t="s">
        <v>3246</v>
      </c>
      <c r="Y76" s="1353" t="s">
        <v>3246</v>
      </c>
      <c r="Z76" s="1353"/>
      <c r="AA76" s="1353" t="s">
        <v>3424</v>
      </c>
      <c r="AB76" s="1353"/>
      <c r="AC76" s="1353"/>
      <c r="AD76" s="1353"/>
      <c r="AE76" s="1353" t="s">
        <v>3246</v>
      </c>
      <c r="AF76" s="1353" t="s">
        <v>3246</v>
      </c>
      <c r="AG76" s="1353" t="s">
        <v>3246</v>
      </c>
      <c r="AH76" s="1353" t="s">
        <v>3424</v>
      </c>
      <c r="AI76" s="1353" t="s">
        <v>3246</v>
      </c>
      <c r="AJ76" s="1353"/>
      <c r="AK76" s="1353" t="s">
        <v>3246</v>
      </c>
      <c r="AL76" s="1354">
        <f t="shared" si="7"/>
        <v>20</v>
      </c>
      <c r="AM76" s="1354">
        <f t="shared" si="8"/>
        <v>4</v>
      </c>
      <c r="AN76" s="1354">
        <f t="shared" si="9"/>
        <v>0</v>
      </c>
      <c r="AO76" s="1354">
        <f t="shared" si="10"/>
        <v>0</v>
      </c>
      <c r="AP76" s="1354">
        <f t="shared" ref="AP76:AP89" si="17">COUNTIF(G76:AK76,"GT")</f>
        <v>0</v>
      </c>
      <c r="AQ76" s="1354">
        <f t="shared" ref="AQ76:AQ89" si="18">COUNTIF(G76:AK76,"CT")</f>
        <v>0</v>
      </c>
      <c r="AR76" s="1355">
        <f t="shared" ref="AR76:AR89" si="19">SUM(AL76:AQ76)</f>
        <v>24</v>
      </c>
      <c r="AS76" s="1229"/>
    </row>
    <row r="77" spans="1:45" ht="16.149999999999999" customHeight="1" outlineLevel="1">
      <c r="A77" s="1353">
        <v>65</v>
      </c>
      <c r="B77" s="1353">
        <v>65</v>
      </c>
      <c r="C77" s="1353" t="str">
        <f>'sản lượng'!C78</f>
        <v>04113</v>
      </c>
      <c r="D77" s="1360" t="s">
        <v>407</v>
      </c>
      <c r="E77" s="1361" t="str">
        <f>TONGHOPCONGDOI!C75</f>
        <v>Un Seng</v>
      </c>
      <c r="F77" s="1355"/>
      <c r="G77" s="1353" t="s">
        <v>3246</v>
      </c>
      <c r="H77" s="1353" t="s">
        <v>3246</v>
      </c>
      <c r="I77" s="1353" t="s">
        <v>3246</v>
      </c>
      <c r="J77" s="1353" t="s">
        <v>3246</v>
      </c>
      <c r="K77" s="1353" t="s">
        <v>3246</v>
      </c>
      <c r="L77" s="1353" t="s">
        <v>3246</v>
      </c>
      <c r="M77" s="1353" t="s">
        <v>3424</v>
      </c>
      <c r="N77" s="1353" t="s">
        <v>3246</v>
      </c>
      <c r="O77" s="1353" t="s">
        <v>3246</v>
      </c>
      <c r="P77" s="1353" t="s">
        <v>3246</v>
      </c>
      <c r="Q77" s="1353" t="s">
        <v>3246</v>
      </c>
      <c r="R77" s="1353" t="s">
        <v>3246</v>
      </c>
      <c r="S77" s="1353" t="s">
        <v>3246</v>
      </c>
      <c r="T77" s="1353" t="s">
        <v>3424</v>
      </c>
      <c r="U77" s="1353" t="s">
        <v>3246</v>
      </c>
      <c r="V77" s="1353" t="s">
        <v>3246</v>
      </c>
      <c r="W77" s="1353" t="s">
        <v>3246</v>
      </c>
      <c r="X77" s="1353"/>
      <c r="Y77" s="1353" t="s">
        <v>3246</v>
      </c>
      <c r="Z77" s="1353" t="s">
        <v>3246</v>
      </c>
      <c r="AA77" s="1353" t="s">
        <v>3424</v>
      </c>
      <c r="AB77" s="1353" t="s">
        <v>3246</v>
      </c>
      <c r="AC77" s="1353" t="s">
        <v>3246</v>
      </c>
      <c r="AD77" s="1353" t="s">
        <v>3246</v>
      </c>
      <c r="AE77" s="1353" t="s">
        <v>3246</v>
      </c>
      <c r="AF77" s="1353" t="s">
        <v>3246</v>
      </c>
      <c r="AG77" s="1353" t="s">
        <v>3246</v>
      </c>
      <c r="AH77" s="1353" t="s">
        <v>3424</v>
      </c>
      <c r="AI77" s="1353" t="s">
        <v>3246</v>
      </c>
      <c r="AJ77" s="1353" t="s">
        <v>3246</v>
      </c>
      <c r="AK77" s="1353" t="s">
        <v>3246</v>
      </c>
      <c r="AL77" s="1354">
        <f t="shared" si="7"/>
        <v>26</v>
      </c>
      <c r="AM77" s="1354">
        <f t="shared" si="8"/>
        <v>4</v>
      </c>
      <c r="AN77" s="1354">
        <f t="shared" si="9"/>
        <v>0</v>
      </c>
      <c r="AO77" s="1354">
        <f t="shared" si="10"/>
        <v>0</v>
      </c>
      <c r="AP77" s="1354">
        <f t="shared" si="17"/>
        <v>0</v>
      </c>
      <c r="AQ77" s="1354">
        <f t="shared" si="18"/>
        <v>0</v>
      </c>
      <c r="AR77" s="1355">
        <f t="shared" si="19"/>
        <v>30</v>
      </c>
      <c r="AS77" s="1229"/>
    </row>
    <row r="78" spans="1:45" ht="16.149999999999999" customHeight="1" outlineLevel="1">
      <c r="A78" s="1353">
        <v>66</v>
      </c>
      <c r="B78" s="1353">
        <v>66</v>
      </c>
      <c r="C78" s="1353" t="str">
        <f>'sản lượng'!C79</f>
        <v>04114</v>
      </c>
      <c r="D78" s="1360" t="s">
        <v>408</v>
      </c>
      <c r="E78" s="1361" t="str">
        <f>TONGHOPCONGDOI!C76</f>
        <v>N . Lạ</v>
      </c>
      <c r="F78" s="1355"/>
      <c r="G78" s="1353" t="s">
        <v>3246</v>
      </c>
      <c r="H78" s="1353" t="s">
        <v>3246</v>
      </c>
      <c r="I78" s="1353" t="s">
        <v>3246</v>
      </c>
      <c r="J78" s="1353" t="s">
        <v>3246</v>
      </c>
      <c r="K78" s="1353" t="s">
        <v>3246</v>
      </c>
      <c r="L78" s="1353" t="s">
        <v>3246</v>
      </c>
      <c r="M78" s="1353" t="s">
        <v>3424</v>
      </c>
      <c r="N78" s="1353" t="s">
        <v>3246</v>
      </c>
      <c r="O78" s="1353" t="s">
        <v>3246</v>
      </c>
      <c r="P78" s="1353" t="s">
        <v>3246</v>
      </c>
      <c r="Q78" s="1353" t="s">
        <v>3246</v>
      </c>
      <c r="R78" s="1353" t="s">
        <v>3246</v>
      </c>
      <c r="S78" s="1353" t="s">
        <v>3246</v>
      </c>
      <c r="T78" s="1353" t="s">
        <v>3424</v>
      </c>
      <c r="U78" s="1353" t="s">
        <v>3246</v>
      </c>
      <c r="V78" s="1353" t="s">
        <v>3246</v>
      </c>
      <c r="W78" s="1353" t="s">
        <v>3246</v>
      </c>
      <c r="X78" s="1353" t="s">
        <v>3246</v>
      </c>
      <c r="Y78" s="1353" t="s">
        <v>3246</v>
      </c>
      <c r="Z78" s="1353" t="s">
        <v>3246</v>
      </c>
      <c r="AA78" s="1353" t="s">
        <v>3424</v>
      </c>
      <c r="AB78" s="1353" t="s">
        <v>3246</v>
      </c>
      <c r="AC78" s="1353" t="s">
        <v>3246</v>
      </c>
      <c r="AD78" s="1353" t="s">
        <v>3246</v>
      </c>
      <c r="AE78" s="1353" t="s">
        <v>3246</v>
      </c>
      <c r="AF78" s="1353" t="s">
        <v>3246</v>
      </c>
      <c r="AG78" s="1353" t="s">
        <v>3246</v>
      </c>
      <c r="AH78" s="1353" t="s">
        <v>3424</v>
      </c>
      <c r="AI78" s="1353" t="s">
        <v>3246</v>
      </c>
      <c r="AJ78" s="1353" t="s">
        <v>3246</v>
      </c>
      <c r="AK78" s="1353" t="s">
        <v>3246</v>
      </c>
      <c r="AL78" s="1354">
        <f t="shared" si="7"/>
        <v>27</v>
      </c>
      <c r="AM78" s="1354">
        <f t="shared" si="8"/>
        <v>4</v>
      </c>
      <c r="AN78" s="1354">
        <f t="shared" si="9"/>
        <v>0</v>
      </c>
      <c r="AO78" s="1354">
        <f t="shared" si="10"/>
        <v>0</v>
      </c>
      <c r="AP78" s="1354">
        <f t="shared" si="17"/>
        <v>0</v>
      </c>
      <c r="AQ78" s="1354">
        <f t="shared" si="18"/>
        <v>0</v>
      </c>
      <c r="AR78" s="1355">
        <f t="shared" si="19"/>
        <v>31</v>
      </c>
      <c r="AS78" s="1229"/>
    </row>
    <row r="79" spans="1:45" ht="16.149999999999999" customHeight="1" outlineLevel="1">
      <c r="A79" s="1353">
        <v>67</v>
      </c>
      <c r="B79" s="1353">
        <v>67</v>
      </c>
      <c r="C79" s="1353" t="str">
        <f>'sản lượng'!C80</f>
        <v>04115</v>
      </c>
      <c r="D79" s="1360" t="s">
        <v>1939</v>
      </c>
      <c r="E79" s="1361" t="str">
        <f>TONGHOPCONGDOI!C77</f>
        <v>T. Chỏ</v>
      </c>
      <c r="F79" s="1355"/>
      <c r="G79" s="1353" t="s">
        <v>3246</v>
      </c>
      <c r="H79" s="1353" t="s">
        <v>3246</v>
      </c>
      <c r="I79" s="1353"/>
      <c r="J79" s="1353" t="s">
        <v>3246</v>
      </c>
      <c r="K79" s="1353" t="s">
        <v>3246</v>
      </c>
      <c r="L79" s="1353" t="s">
        <v>3246</v>
      </c>
      <c r="M79" s="1353" t="s">
        <v>3424</v>
      </c>
      <c r="N79" s="1353" t="s">
        <v>3246</v>
      </c>
      <c r="O79" s="1353" t="s">
        <v>3246</v>
      </c>
      <c r="P79" s="1353"/>
      <c r="Q79" s="1353"/>
      <c r="R79" s="1353" t="s">
        <v>3246</v>
      </c>
      <c r="S79" s="1353" t="s">
        <v>3246</v>
      </c>
      <c r="T79" s="1353" t="s">
        <v>3424</v>
      </c>
      <c r="U79" s="1353" t="s">
        <v>3246</v>
      </c>
      <c r="V79" s="1353" t="s">
        <v>3246</v>
      </c>
      <c r="W79" s="1353" t="s">
        <v>3246</v>
      </c>
      <c r="X79" s="1353" t="s">
        <v>3246</v>
      </c>
      <c r="Y79" s="1353" t="s">
        <v>3246</v>
      </c>
      <c r="Z79" s="1353" t="s">
        <v>3246</v>
      </c>
      <c r="AA79" s="1353" t="s">
        <v>3424</v>
      </c>
      <c r="AB79" s="1353" t="s">
        <v>3246</v>
      </c>
      <c r="AC79" s="1353" t="s">
        <v>3246</v>
      </c>
      <c r="AD79" s="1353"/>
      <c r="AE79" s="1353" t="s">
        <v>3246</v>
      </c>
      <c r="AF79" s="1353" t="s">
        <v>3246</v>
      </c>
      <c r="AG79" s="1353" t="s">
        <v>3246</v>
      </c>
      <c r="AH79" s="1353" t="s">
        <v>3424</v>
      </c>
      <c r="AI79" s="1353"/>
      <c r="AJ79" s="1353"/>
      <c r="AK79" s="1353" t="s">
        <v>3246</v>
      </c>
      <c r="AL79" s="1354">
        <f t="shared" si="7"/>
        <v>21</v>
      </c>
      <c r="AM79" s="1354">
        <f t="shared" si="8"/>
        <v>4</v>
      </c>
      <c r="AN79" s="1354">
        <f t="shared" si="9"/>
        <v>0</v>
      </c>
      <c r="AO79" s="1354">
        <f t="shared" ref="AO79:AO142" si="20">COUNTIF(G79:AK79,"ĐC")</f>
        <v>0</v>
      </c>
      <c r="AP79" s="1354">
        <f t="shared" si="17"/>
        <v>0</v>
      </c>
      <c r="AQ79" s="1354">
        <f t="shared" si="18"/>
        <v>0</v>
      </c>
      <c r="AR79" s="1355">
        <f t="shared" si="19"/>
        <v>25</v>
      </c>
      <c r="AS79" s="1229"/>
    </row>
    <row r="80" spans="1:45" ht="16.149999999999999" customHeight="1" outlineLevel="1">
      <c r="A80" s="1353">
        <v>68</v>
      </c>
      <c r="B80" s="1353">
        <v>68</v>
      </c>
      <c r="C80" s="1353" t="str">
        <f>'sản lượng'!C81</f>
        <v>04116</v>
      </c>
      <c r="D80" s="1360" t="s">
        <v>410</v>
      </c>
      <c r="E80" s="1361" t="str">
        <f>TONGHOPCONGDOI!C78</f>
        <v>N. Xôm Pheng</v>
      </c>
      <c r="F80" s="1355"/>
      <c r="G80" s="1353" t="s">
        <v>3246</v>
      </c>
      <c r="H80" s="1353" t="s">
        <v>3246</v>
      </c>
      <c r="I80" s="1353" t="s">
        <v>3246</v>
      </c>
      <c r="J80" s="1353" t="s">
        <v>3246</v>
      </c>
      <c r="K80" s="1353" t="s">
        <v>3246</v>
      </c>
      <c r="L80" s="1353" t="s">
        <v>3246</v>
      </c>
      <c r="M80" s="1353" t="s">
        <v>3424</v>
      </c>
      <c r="N80" s="1353" t="s">
        <v>3246</v>
      </c>
      <c r="O80" s="1353" t="s">
        <v>3246</v>
      </c>
      <c r="P80" s="1353" t="s">
        <v>3246</v>
      </c>
      <c r="Q80" s="1353" t="s">
        <v>3246</v>
      </c>
      <c r="R80" s="1353" t="s">
        <v>3246</v>
      </c>
      <c r="S80" s="1353" t="s">
        <v>3246</v>
      </c>
      <c r="T80" s="1353" t="s">
        <v>3424</v>
      </c>
      <c r="U80" s="1353" t="s">
        <v>3246</v>
      </c>
      <c r="V80" s="1353" t="s">
        <v>3246</v>
      </c>
      <c r="W80" s="1353" t="s">
        <v>3246</v>
      </c>
      <c r="X80" s="1353" t="s">
        <v>3246</v>
      </c>
      <c r="Y80" s="1353" t="s">
        <v>3246</v>
      </c>
      <c r="Z80" s="1353" t="s">
        <v>3246</v>
      </c>
      <c r="AA80" s="1353" t="s">
        <v>3424</v>
      </c>
      <c r="AB80" s="1353" t="s">
        <v>3246</v>
      </c>
      <c r="AC80" s="1353" t="s">
        <v>3246</v>
      </c>
      <c r="AD80" s="1353" t="s">
        <v>3246</v>
      </c>
      <c r="AE80" s="1353" t="s">
        <v>3246</v>
      </c>
      <c r="AF80" s="1353" t="s">
        <v>3246</v>
      </c>
      <c r="AG80" s="1353" t="s">
        <v>3246</v>
      </c>
      <c r="AH80" s="1353" t="s">
        <v>3424</v>
      </c>
      <c r="AI80" s="1353" t="s">
        <v>3246</v>
      </c>
      <c r="AJ80" s="1353" t="s">
        <v>3246</v>
      </c>
      <c r="AK80" s="1353" t="s">
        <v>3246</v>
      </c>
      <c r="AL80" s="1354">
        <f t="shared" si="7"/>
        <v>27</v>
      </c>
      <c r="AM80" s="1354">
        <f t="shared" si="8"/>
        <v>4</v>
      </c>
      <c r="AN80" s="1354">
        <f t="shared" si="9"/>
        <v>0</v>
      </c>
      <c r="AO80" s="1354">
        <f t="shared" si="20"/>
        <v>0</v>
      </c>
      <c r="AP80" s="1354">
        <f t="shared" si="17"/>
        <v>0</v>
      </c>
      <c r="AQ80" s="1354">
        <f t="shared" si="18"/>
        <v>0</v>
      </c>
      <c r="AR80" s="1355">
        <f t="shared" si="19"/>
        <v>31</v>
      </c>
      <c r="AS80" s="1229"/>
    </row>
    <row r="81" spans="1:45" ht="16.149999999999999" customHeight="1" outlineLevel="1">
      <c r="A81" s="1353">
        <v>69</v>
      </c>
      <c r="B81" s="1353">
        <v>69</v>
      </c>
      <c r="C81" s="1353" t="str">
        <f>'sản lượng'!C82</f>
        <v>03456</v>
      </c>
      <c r="D81" s="1360" t="s">
        <v>411</v>
      </c>
      <c r="E81" s="1361" t="str">
        <f>TONGHOPCONGDOI!C79</f>
        <v>T. Vôn</v>
      </c>
      <c r="F81" s="1355"/>
      <c r="G81" s="1353" t="s">
        <v>3246</v>
      </c>
      <c r="H81" s="1353" t="s">
        <v>3246</v>
      </c>
      <c r="I81" s="1353" t="s">
        <v>3246</v>
      </c>
      <c r="J81" s="1353" t="s">
        <v>3246</v>
      </c>
      <c r="K81" s="1353" t="s">
        <v>3246</v>
      </c>
      <c r="L81" s="1353" t="s">
        <v>3246</v>
      </c>
      <c r="M81" s="1353" t="s">
        <v>3424</v>
      </c>
      <c r="N81" s="1353" t="s">
        <v>3246</v>
      </c>
      <c r="O81" s="1353" t="s">
        <v>3246</v>
      </c>
      <c r="P81" s="1353" t="s">
        <v>3246</v>
      </c>
      <c r="Q81" s="1353" t="s">
        <v>3246</v>
      </c>
      <c r="R81" s="1353" t="s">
        <v>3246</v>
      </c>
      <c r="S81" s="1353" t="s">
        <v>3246</v>
      </c>
      <c r="T81" s="1353" t="s">
        <v>3424</v>
      </c>
      <c r="U81" s="1353" t="s">
        <v>3246</v>
      </c>
      <c r="V81" s="1353" t="s">
        <v>3246</v>
      </c>
      <c r="W81" s="1353" t="s">
        <v>3246</v>
      </c>
      <c r="X81" s="1353" t="s">
        <v>3246</v>
      </c>
      <c r="Y81" s="1353" t="s">
        <v>3246</v>
      </c>
      <c r="Z81" s="1353" t="s">
        <v>3246</v>
      </c>
      <c r="AA81" s="1353" t="s">
        <v>3424</v>
      </c>
      <c r="AB81" s="1353" t="s">
        <v>3246</v>
      </c>
      <c r="AC81" s="1353" t="s">
        <v>3246</v>
      </c>
      <c r="AD81" s="1353" t="s">
        <v>3246</v>
      </c>
      <c r="AE81" s="1353" t="s">
        <v>3246</v>
      </c>
      <c r="AF81" s="1353" t="s">
        <v>3246</v>
      </c>
      <c r="AG81" s="1353" t="s">
        <v>3246</v>
      </c>
      <c r="AH81" s="1353" t="s">
        <v>3424</v>
      </c>
      <c r="AI81" s="1353" t="s">
        <v>3246</v>
      </c>
      <c r="AJ81" s="1353" t="s">
        <v>3246</v>
      </c>
      <c r="AK81" s="1353" t="s">
        <v>3246</v>
      </c>
      <c r="AL81" s="1354">
        <f t="shared" si="7"/>
        <v>27</v>
      </c>
      <c r="AM81" s="1354">
        <f t="shared" si="8"/>
        <v>4</v>
      </c>
      <c r="AN81" s="1354">
        <f t="shared" si="9"/>
        <v>0</v>
      </c>
      <c r="AO81" s="1354">
        <f t="shared" si="20"/>
        <v>0</v>
      </c>
      <c r="AP81" s="1354">
        <f t="shared" si="17"/>
        <v>0</v>
      </c>
      <c r="AQ81" s="1354">
        <f t="shared" si="18"/>
        <v>0</v>
      </c>
      <c r="AR81" s="1355">
        <f t="shared" si="19"/>
        <v>31</v>
      </c>
      <c r="AS81" s="1229"/>
    </row>
    <row r="82" spans="1:45" ht="16.149999999999999" customHeight="1" outlineLevel="1">
      <c r="A82" s="1353">
        <v>70</v>
      </c>
      <c r="B82" s="1353">
        <v>70</v>
      </c>
      <c r="C82" s="1353" t="str">
        <f>'sản lượng'!C83</f>
        <v>03583</v>
      </c>
      <c r="D82" s="1360" t="s">
        <v>412</v>
      </c>
      <c r="E82" s="1361" t="str">
        <f>TONGHOPCONGDOI!C80</f>
        <v>Đa Ly</v>
      </c>
      <c r="F82" s="1355"/>
      <c r="G82" s="1353" t="s">
        <v>3246</v>
      </c>
      <c r="H82" s="1353" t="s">
        <v>3246</v>
      </c>
      <c r="I82" s="1353" t="s">
        <v>3246</v>
      </c>
      <c r="J82" s="1353" t="s">
        <v>3246</v>
      </c>
      <c r="K82" s="1353" t="s">
        <v>3246</v>
      </c>
      <c r="L82" s="1353" t="s">
        <v>3246</v>
      </c>
      <c r="M82" s="1353" t="s">
        <v>3424</v>
      </c>
      <c r="N82" s="1353" t="s">
        <v>3246</v>
      </c>
      <c r="O82" s="1353" t="s">
        <v>3246</v>
      </c>
      <c r="P82" s="1353" t="s">
        <v>3246</v>
      </c>
      <c r="Q82" s="1353" t="s">
        <v>3246</v>
      </c>
      <c r="R82" s="1353" t="s">
        <v>3246</v>
      </c>
      <c r="S82" s="1353" t="s">
        <v>3246</v>
      </c>
      <c r="T82" s="1353" t="s">
        <v>3424</v>
      </c>
      <c r="U82" s="1353" t="s">
        <v>3246</v>
      </c>
      <c r="V82" s="1353" t="s">
        <v>3246</v>
      </c>
      <c r="W82" s="1353" t="s">
        <v>3246</v>
      </c>
      <c r="X82" s="1353" t="s">
        <v>3246</v>
      </c>
      <c r="Y82" s="1353" t="s">
        <v>3246</v>
      </c>
      <c r="Z82" s="1353" t="s">
        <v>3246</v>
      </c>
      <c r="AA82" s="1353" t="s">
        <v>3424</v>
      </c>
      <c r="AB82" s="1353" t="s">
        <v>3246</v>
      </c>
      <c r="AC82" s="1353" t="s">
        <v>3246</v>
      </c>
      <c r="AD82" s="1353" t="s">
        <v>3246</v>
      </c>
      <c r="AE82" s="1353" t="s">
        <v>3246</v>
      </c>
      <c r="AF82" s="1353" t="s">
        <v>3246</v>
      </c>
      <c r="AG82" s="1353" t="s">
        <v>3246</v>
      </c>
      <c r="AH82" s="1353" t="s">
        <v>3424</v>
      </c>
      <c r="AI82" s="1353" t="s">
        <v>3246</v>
      </c>
      <c r="AJ82" s="1353" t="s">
        <v>3246</v>
      </c>
      <c r="AK82" s="1353" t="s">
        <v>3246</v>
      </c>
      <c r="AL82" s="1354">
        <f t="shared" si="7"/>
        <v>27</v>
      </c>
      <c r="AM82" s="1354">
        <f t="shared" si="8"/>
        <v>4</v>
      </c>
      <c r="AN82" s="1354">
        <f t="shared" si="9"/>
        <v>0</v>
      </c>
      <c r="AO82" s="1354">
        <f t="shared" si="20"/>
        <v>0</v>
      </c>
      <c r="AP82" s="1354">
        <f t="shared" si="17"/>
        <v>0</v>
      </c>
      <c r="AQ82" s="1354">
        <f t="shared" si="18"/>
        <v>0</v>
      </c>
      <c r="AR82" s="1355">
        <f t="shared" si="19"/>
        <v>31</v>
      </c>
      <c r="AS82" s="1229"/>
    </row>
    <row r="83" spans="1:45" ht="16.149999999999999" customHeight="1" outlineLevel="1">
      <c r="A83" s="1353">
        <v>71</v>
      </c>
      <c r="B83" s="1353">
        <v>71</v>
      </c>
      <c r="C83" s="1353" t="str">
        <f>'sản lượng'!C84</f>
        <v>04117</v>
      </c>
      <c r="D83" s="1360" t="s">
        <v>413</v>
      </c>
      <c r="E83" s="1361" t="str">
        <f>TONGHOPCONGDOI!C81</f>
        <v>Khút Thong</v>
      </c>
      <c r="F83" s="1355"/>
      <c r="G83" s="1353" t="s">
        <v>3246</v>
      </c>
      <c r="H83" s="1353" t="s">
        <v>3246</v>
      </c>
      <c r="I83" s="1353" t="s">
        <v>3246</v>
      </c>
      <c r="J83" s="1353" t="s">
        <v>3246</v>
      </c>
      <c r="K83" s="1353" t="s">
        <v>3246</v>
      </c>
      <c r="L83" s="1353" t="s">
        <v>3246</v>
      </c>
      <c r="M83" s="1353" t="s">
        <v>3424</v>
      </c>
      <c r="N83" s="1353" t="s">
        <v>3246</v>
      </c>
      <c r="O83" s="1353" t="s">
        <v>3246</v>
      </c>
      <c r="P83" s="1353" t="s">
        <v>3246</v>
      </c>
      <c r="Q83" s="1353" t="s">
        <v>3246</v>
      </c>
      <c r="R83" s="1353" t="s">
        <v>3246</v>
      </c>
      <c r="S83" s="1353" t="s">
        <v>3246</v>
      </c>
      <c r="T83" s="1353"/>
      <c r="U83" s="1353" t="s">
        <v>3246</v>
      </c>
      <c r="V83" s="1353" t="s">
        <v>3246</v>
      </c>
      <c r="W83" s="1353" t="s">
        <v>3246</v>
      </c>
      <c r="X83" s="1353" t="s">
        <v>3246</v>
      </c>
      <c r="Y83" s="1353" t="s">
        <v>3246</v>
      </c>
      <c r="Z83" s="1353" t="s">
        <v>3246</v>
      </c>
      <c r="AA83" s="1353" t="s">
        <v>3424</v>
      </c>
      <c r="AB83" s="1353" t="s">
        <v>3246</v>
      </c>
      <c r="AC83" s="1353" t="s">
        <v>3246</v>
      </c>
      <c r="AD83" s="1353" t="s">
        <v>3246</v>
      </c>
      <c r="AE83" s="1353" t="s">
        <v>3246</v>
      </c>
      <c r="AF83" s="1353" t="s">
        <v>3246</v>
      </c>
      <c r="AG83" s="1353" t="s">
        <v>3246</v>
      </c>
      <c r="AH83" s="1353" t="s">
        <v>3424</v>
      </c>
      <c r="AI83" s="1353" t="s">
        <v>3246</v>
      </c>
      <c r="AJ83" s="1353" t="s">
        <v>3246</v>
      </c>
      <c r="AK83" s="1353" t="s">
        <v>3246</v>
      </c>
      <c r="AL83" s="1354">
        <f t="shared" si="7"/>
        <v>27</v>
      </c>
      <c r="AM83" s="1354">
        <f t="shared" si="8"/>
        <v>3</v>
      </c>
      <c r="AN83" s="1354">
        <f t="shared" si="9"/>
        <v>0</v>
      </c>
      <c r="AO83" s="1354">
        <f t="shared" si="20"/>
        <v>0</v>
      </c>
      <c r="AP83" s="1354">
        <f t="shared" si="17"/>
        <v>0</v>
      </c>
      <c r="AQ83" s="1354">
        <f t="shared" si="18"/>
        <v>0</v>
      </c>
      <c r="AR83" s="1355">
        <f t="shared" si="19"/>
        <v>30</v>
      </c>
      <c r="AS83" s="1229"/>
    </row>
    <row r="84" spans="1:45" ht="16.149999999999999" customHeight="1" outlineLevel="1">
      <c r="A84" s="1353">
        <v>72</v>
      </c>
      <c r="B84" s="1353">
        <v>72</v>
      </c>
      <c r="C84" s="1353" t="str">
        <f>'sản lượng'!C85</f>
        <v>03585</v>
      </c>
      <c r="D84" s="1360" t="s">
        <v>414</v>
      </c>
      <c r="E84" s="1361" t="str">
        <f>TONGHOPCONGDOI!C82</f>
        <v>Lắc Xa Mi</v>
      </c>
      <c r="F84" s="1355"/>
      <c r="G84" s="1353" t="s">
        <v>3246</v>
      </c>
      <c r="H84" s="1353" t="s">
        <v>3246</v>
      </c>
      <c r="I84" s="1353" t="s">
        <v>3246</v>
      </c>
      <c r="J84" s="1353" t="s">
        <v>3246</v>
      </c>
      <c r="K84" s="1353" t="s">
        <v>3246</v>
      </c>
      <c r="L84" s="1353" t="s">
        <v>3246</v>
      </c>
      <c r="M84" s="1353" t="s">
        <v>3424</v>
      </c>
      <c r="N84" s="1353" t="s">
        <v>3246</v>
      </c>
      <c r="O84" s="1353" t="s">
        <v>3246</v>
      </c>
      <c r="P84" s="1353" t="s">
        <v>3246</v>
      </c>
      <c r="Q84" s="1353" t="s">
        <v>3246</v>
      </c>
      <c r="R84" s="1353" t="s">
        <v>3246</v>
      </c>
      <c r="S84" s="1353" t="s">
        <v>3246</v>
      </c>
      <c r="T84" s="1353" t="s">
        <v>3424</v>
      </c>
      <c r="U84" s="1353" t="s">
        <v>3246</v>
      </c>
      <c r="V84" s="1353" t="s">
        <v>3246</v>
      </c>
      <c r="W84" s="1353" t="s">
        <v>3246</v>
      </c>
      <c r="X84" s="1353" t="s">
        <v>3246</v>
      </c>
      <c r="Y84" s="1353" t="s">
        <v>3246</v>
      </c>
      <c r="Z84" s="1353" t="s">
        <v>3246</v>
      </c>
      <c r="AA84" s="1353" t="s">
        <v>3424</v>
      </c>
      <c r="AB84" s="1353" t="s">
        <v>3246</v>
      </c>
      <c r="AC84" s="1353" t="s">
        <v>3246</v>
      </c>
      <c r="AD84" s="1353" t="s">
        <v>3246</v>
      </c>
      <c r="AE84" s="1353" t="s">
        <v>3246</v>
      </c>
      <c r="AF84" s="1353" t="s">
        <v>3246</v>
      </c>
      <c r="AG84" s="1353" t="s">
        <v>3246</v>
      </c>
      <c r="AH84" s="1353" t="s">
        <v>3424</v>
      </c>
      <c r="AI84" s="1353" t="s">
        <v>3246</v>
      </c>
      <c r="AJ84" s="1353" t="s">
        <v>3246</v>
      </c>
      <c r="AK84" s="1353" t="s">
        <v>3246</v>
      </c>
      <c r="AL84" s="1354">
        <f t="shared" si="7"/>
        <v>27</v>
      </c>
      <c r="AM84" s="1354">
        <f t="shared" si="8"/>
        <v>4</v>
      </c>
      <c r="AN84" s="1354">
        <f t="shared" si="9"/>
        <v>0</v>
      </c>
      <c r="AO84" s="1354">
        <f t="shared" si="20"/>
        <v>0</v>
      </c>
      <c r="AP84" s="1354">
        <f t="shared" si="17"/>
        <v>0</v>
      </c>
      <c r="AQ84" s="1354">
        <f t="shared" si="18"/>
        <v>0</v>
      </c>
      <c r="AR84" s="1355">
        <f t="shared" si="19"/>
        <v>31</v>
      </c>
      <c r="AS84" s="1229"/>
    </row>
    <row r="85" spans="1:45" ht="16.149999999999999" customHeight="1" outlineLevel="1">
      <c r="A85" s="1353">
        <v>73</v>
      </c>
      <c r="B85" s="1353">
        <v>73</v>
      </c>
      <c r="C85" s="1353" t="str">
        <f>'sản lượng'!C86</f>
        <v>04118</v>
      </c>
      <c r="D85" s="1360" t="s">
        <v>415</v>
      </c>
      <c r="E85" s="1361" t="str">
        <f>TONGHOPCONGDOI!C83</f>
        <v>A Xít</v>
      </c>
      <c r="F85" s="1355"/>
      <c r="G85" s="1353" t="s">
        <v>3246</v>
      </c>
      <c r="H85" s="1353" t="s">
        <v>3246</v>
      </c>
      <c r="I85" s="1353" t="s">
        <v>3246</v>
      </c>
      <c r="J85" s="1353"/>
      <c r="K85" s="1353" t="s">
        <v>3246</v>
      </c>
      <c r="L85" s="1353"/>
      <c r="M85" s="1353" t="s">
        <v>3424</v>
      </c>
      <c r="N85" s="1353" t="s">
        <v>3246</v>
      </c>
      <c r="O85" s="1353" t="s">
        <v>3246</v>
      </c>
      <c r="P85" s="1353" t="s">
        <v>3246</v>
      </c>
      <c r="Q85" s="1353" t="s">
        <v>3246</v>
      </c>
      <c r="R85" s="1353" t="s">
        <v>3246</v>
      </c>
      <c r="S85" s="1353" t="s">
        <v>3246</v>
      </c>
      <c r="T85" s="1353" t="s">
        <v>3424</v>
      </c>
      <c r="U85" s="1353" t="s">
        <v>3246</v>
      </c>
      <c r="V85" s="1353" t="s">
        <v>3246</v>
      </c>
      <c r="W85" s="1353" t="s">
        <v>3246</v>
      </c>
      <c r="X85" s="1353" t="s">
        <v>3246</v>
      </c>
      <c r="Y85" s="1353" t="s">
        <v>3246</v>
      </c>
      <c r="Z85" s="1353"/>
      <c r="AA85" s="1353"/>
      <c r="AB85" s="1353"/>
      <c r="AC85" s="1353"/>
      <c r="AD85" s="1353"/>
      <c r="AE85" s="1353"/>
      <c r="AF85" s="1353"/>
      <c r="AG85" s="1353"/>
      <c r="AH85" s="1353"/>
      <c r="AI85" s="1353"/>
      <c r="AJ85" s="1353"/>
      <c r="AK85" s="1353" t="s">
        <v>3246</v>
      </c>
      <c r="AL85" s="1354">
        <f t="shared" si="7"/>
        <v>16</v>
      </c>
      <c r="AM85" s="1354">
        <f t="shared" si="8"/>
        <v>2</v>
      </c>
      <c r="AN85" s="1354">
        <f t="shared" si="9"/>
        <v>0</v>
      </c>
      <c r="AO85" s="1354">
        <f t="shared" si="20"/>
        <v>0</v>
      </c>
      <c r="AP85" s="1354">
        <f t="shared" si="17"/>
        <v>0</v>
      </c>
      <c r="AQ85" s="1354">
        <f t="shared" si="18"/>
        <v>0</v>
      </c>
      <c r="AR85" s="1355">
        <f t="shared" si="19"/>
        <v>18</v>
      </c>
      <c r="AS85" s="1229"/>
    </row>
    <row r="86" spans="1:45" ht="16.149999999999999" customHeight="1" outlineLevel="1">
      <c r="A86" s="1353">
        <v>74</v>
      </c>
      <c r="B86" s="1353">
        <v>74</v>
      </c>
      <c r="C86" s="1353" t="str">
        <f>'sản lượng'!C87</f>
        <v>04119</v>
      </c>
      <c r="D86" s="1360" t="s">
        <v>1940</v>
      </c>
      <c r="E86" s="1361" t="str">
        <f>TONGHOPCONGDOI!C84</f>
        <v>A. Nóc</v>
      </c>
      <c r="F86" s="1355"/>
      <c r="G86" s="1353" t="s">
        <v>3246</v>
      </c>
      <c r="H86" s="1353" t="s">
        <v>3246</v>
      </c>
      <c r="I86" s="1353" t="s">
        <v>3246</v>
      </c>
      <c r="J86" s="1353" t="s">
        <v>3246</v>
      </c>
      <c r="K86" s="1353" t="s">
        <v>3246</v>
      </c>
      <c r="L86" s="1353" t="s">
        <v>3246</v>
      </c>
      <c r="M86" s="1353" t="s">
        <v>3424</v>
      </c>
      <c r="N86" s="1353" t="s">
        <v>3246</v>
      </c>
      <c r="O86" s="1353" t="s">
        <v>3246</v>
      </c>
      <c r="P86" s="1353" t="s">
        <v>3246</v>
      </c>
      <c r="Q86" s="1353" t="s">
        <v>3246</v>
      </c>
      <c r="R86" s="1353"/>
      <c r="S86" s="1353" t="s">
        <v>3246</v>
      </c>
      <c r="T86" s="1353" t="s">
        <v>3424</v>
      </c>
      <c r="U86" s="1353" t="s">
        <v>3246</v>
      </c>
      <c r="V86" s="1353" t="s">
        <v>3246</v>
      </c>
      <c r="W86" s="1353" t="s">
        <v>3246</v>
      </c>
      <c r="X86" s="1353" t="s">
        <v>3246</v>
      </c>
      <c r="Y86" s="1353" t="s">
        <v>3246</v>
      </c>
      <c r="Z86" s="1353" t="s">
        <v>3246</v>
      </c>
      <c r="AA86" s="1353" t="s">
        <v>3424</v>
      </c>
      <c r="AB86" s="1353" t="s">
        <v>3246</v>
      </c>
      <c r="AC86" s="1353" t="s">
        <v>3246</v>
      </c>
      <c r="AD86" s="1353" t="s">
        <v>3246</v>
      </c>
      <c r="AE86" s="1353" t="s">
        <v>3246</v>
      </c>
      <c r="AF86" s="1353" t="s">
        <v>3246</v>
      </c>
      <c r="AG86" s="1353" t="s">
        <v>3246</v>
      </c>
      <c r="AH86" s="1353"/>
      <c r="AI86" s="1353"/>
      <c r="AJ86" s="1353" t="s">
        <v>3246</v>
      </c>
      <c r="AK86" s="1353"/>
      <c r="AL86" s="1354">
        <f t="shared" si="7"/>
        <v>24</v>
      </c>
      <c r="AM86" s="1354">
        <f t="shared" si="8"/>
        <v>3</v>
      </c>
      <c r="AN86" s="1354">
        <f t="shared" si="9"/>
        <v>0</v>
      </c>
      <c r="AO86" s="1354">
        <f t="shared" si="20"/>
        <v>0</v>
      </c>
      <c r="AP86" s="1354">
        <f t="shared" si="17"/>
        <v>0</v>
      </c>
      <c r="AQ86" s="1354">
        <f t="shared" si="18"/>
        <v>0</v>
      </c>
      <c r="AR86" s="1355">
        <f t="shared" si="19"/>
        <v>27</v>
      </c>
      <c r="AS86" s="1229"/>
    </row>
    <row r="87" spans="1:45" ht="16.149999999999999" customHeight="1" outlineLevel="1">
      <c r="A87" s="1353">
        <v>75</v>
      </c>
      <c r="B87" s="1353">
        <v>75</v>
      </c>
      <c r="C87" s="1353"/>
      <c r="D87" s="1360" t="s">
        <v>417</v>
      </c>
      <c r="E87" s="1361" t="str">
        <f>TONGHOPCONGDOI!C85</f>
        <v>Nàng Keo (63)</v>
      </c>
      <c r="F87" s="1355"/>
      <c r="G87" s="1353"/>
      <c r="H87" s="1353"/>
      <c r="I87" s="1353" t="s">
        <v>3246</v>
      </c>
      <c r="J87" s="1353" t="s">
        <v>3246</v>
      </c>
      <c r="K87" s="1353"/>
      <c r="L87" s="1353" t="s">
        <v>3246</v>
      </c>
      <c r="M87" s="1353"/>
      <c r="N87" s="1353"/>
      <c r="O87" s="1353" t="s">
        <v>3246</v>
      </c>
      <c r="P87" s="1353" t="s">
        <v>3246</v>
      </c>
      <c r="Q87" s="1353" t="s">
        <v>3246</v>
      </c>
      <c r="R87" s="1353" t="s">
        <v>3246</v>
      </c>
      <c r="S87" s="1353" t="s">
        <v>3246</v>
      </c>
      <c r="T87" s="1353"/>
      <c r="U87" s="1353" t="s">
        <v>3246</v>
      </c>
      <c r="V87" s="1353"/>
      <c r="W87" s="1353"/>
      <c r="X87" s="1353" t="s">
        <v>3246</v>
      </c>
      <c r="Y87" s="1353" t="s">
        <v>3246</v>
      </c>
      <c r="Z87" s="1353"/>
      <c r="AA87" s="1353" t="s">
        <v>3424</v>
      </c>
      <c r="AB87" s="1353" t="s">
        <v>3246</v>
      </c>
      <c r="AC87" s="1353" t="s">
        <v>3246</v>
      </c>
      <c r="AD87" s="1353" t="s">
        <v>3246</v>
      </c>
      <c r="AE87" s="1353" t="s">
        <v>3246</v>
      </c>
      <c r="AF87" s="1353" t="s">
        <v>3246</v>
      </c>
      <c r="AG87" s="1353" t="s">
        <v>3246</v>
      </c>
      <c r="AH87" s="1353" t="s">
        <v>3424</v>
      </c>
      <c r="AI87" s="1353" t="s">
        <v>3246</v>
      </c>
      <c r="AJ87" s="1353" t="s">
        <v>3246</v>
      </c>
      <c r="AK87" s="1353" t="s">
        <v>3246</v>
      </c>
      <c r="AL87" s="1354">
        <f t="shared" si="7"/>
        <v>20</v>
      </c>
      <c r="AM87" s="1354">
        <f t="shared" si="8"/>
        <v>2</v>
      </c>
      <c r="AN87" s="1354">
        <f t="shared" si="9"/>
        <v>0</v>
      </c>
      <c r="AO87" s="1354">
        <f t="shared" si="20"/>
        <v>0</v>
      </c>
      <c r="AP87" s="1354">
        <f t="shared" si="17"/>
        <v>0</v>
      </c>
      <c r="AQ87" s="1354">
        <f t="shared" si="18"/>
        <v>0</v>
      </c>
      <c r="AR87" s="1355">
        <f t="shared" si="19"/>
        <v>22</v>
      </c>
      <c r="AS87" s="1229"/>
    </row>
    <row r="88" spans="1:45" ht="16.149999999999999" customHeight="1" outlineLevel="1">
      <c r="A88" s="1353">
        <v>76</v>
      </c>
      <c r="B88" s="1353">
        <v>76</v>
      </c>
      <c r="C88" s="1353"/>
      <c r="D88" s="1360" t="s">
        <v>418</v>
      </c>
      <c r="E88" s="1361" t="str">
        <f>TONGHOPCONGDOI!C86</f>
        <v>avan</v>
      </c>
      <c r="F88" s="1355"/>
      <c r="G88" s="1353"/>
      <c r="H88" s="1353"/>
      <c r="I88" s="1353" t="s">
        <v>3246</v>
      </c>
      <c r="J88" s="1353" t="s">
        <v>3246</v>
      </c>
      <c r="K88" s="1353"/>
      <c r="L88" s="1353" t="s">
        <v>3246</v>
      </c>
      <c r="M88" s="1353"/>
      <c r="N88" s="1353"/>
      <c r="O88" s="1353" t="s">
        <v>3246</v>
      </c>
      <c r="P88" s="1353" t="s">
        <v>3246</v>
      </c>
      <c r="Q88" s="1353" t="s">
        <v>3246</v>
      </c>
      <c r="R88" s="1353" t="s">
        <v>3246</v>
      </c>
      <c r="S88" s="1353"/>
      <c r="T88" s="1353"/>
      <c r="U88" s="1353"/>
      <c r="V88" s="1353"/>
      <c r="W88" s="1353"/>
      <c r="X88" s="1353" t="s">
        <v>3246</v>
      </c>
      <c r="Y88" s="1353"/>
      <c r="Z88" s="1353" t="s">
        <v>3246</v>
      </c>
      <c r="AA88" s="1353"/>
      <c r="AB88" s="1353" t="s">
        <v>3246</v>
      </c>
      <c r="AC88" s="1353" t="s">
        <v>3246</v>
      </c>
      <c r="AD88" s="1353" t="s">
        <v>3246</v>
      </c>
      <c r="AE88" s="1353" t="s">
        <v>3246</v>
      </c>
      <c r="AF88" s="1353" t="s">
        <v>3246</v>
      </c>
      <c r="AG88" s="1353" t="s">
        <v>3246</v>
      </c>
      <c r="AH88" s="1353" t="s">
        <v>3424</v>
      </c>
      <c r="AI88" s="1353" t="s">
        <v>3246</v>
      </c>
      <c r="AJ88" s="1353" t="s">
        <v>3246</v>
      </c>
      <c r="AK88" s="1353" t="s">
        <v>3246</v>
      </c>
      <c r="AL88" s="1354">
        <f t="shared" si="7"/>
        <v>18</v>
      </c>
      <c r="AM88" s="1354">
        <f t="shared" si="8"/>
        <v>1</v>
      </c>
      <c r="AN88" s="1354">
        <f t="shared" si="9"/>
        <v>0</v>
      </c>
      <c r="AO88" s="1354">
        <f t="shared" si="20"/>
        <v>0</v>
      </c>
      <c r="AP88" s="1354">
        <f t="shared" si="17"/>
        <v>0</v>
      </c>
      <c r="AQ88" s="1354">
        <f t="shared" si="18"/>
        <v>0</v>
      </c>
      <c r="AR88" s="1355">
        <f t="shared" si="19"/>
        <v>19</v>
      </c>
      <c r="AS88" s="1229"/>
    </row>
    <row r="89" spans="1:45" ht="16.149999999999999" customHeight="1" outlineLevel="1">
      <c r="A89" s="1353">
        <v>77</v>
      </c>
      <c r="B89" s="1353">
        <v>77</v>
      </c>
      <c r="C89" s="1353"/>
      <c r="D89" s="1360" t="s">
        <v>419</v>
      </c>
      <c r="E89" s="1361" t="str">
        <f>TONGHOPCONGDOI!C87</f>
        <v>A thít</v>
      </c>
      <c r="F89" s="1355"/>
      <c r="G89" s="1353"/>
      <c r="H89" s="1353"/>
      <c r="I89" s="1353" t="s">
        <v>3246</v>
      </c>
      <c r="J89" s="1353" t="s">
        <v>3246</v>
      </c>
      <c r="K89" s="1353"/>
      <c r="L89" s="1353" t="s">
        <v>3246</v>
      </c>
      <c r="M89" s="1353"/>
      <c r="N89" s="1353"/>
      <c r="O89" s="1353"/>
      <c r="P89" s="1353"/>
      <c r="Q89" s="1353"/>
      <c r="R89" s="1353" t="s">
        <v>3246</v>
      </c>
      <c r="S89" s="1353"/>
      <c r="T89" s="1353"/>
      <c r="U89" s="1353"/>
      <c r="V89" s="1353"/>
      <c r="W89" s="1353" t="s">
        <v>3246</v>
      </c>
      <c r="X89" s="1353"/>
      <c r="Y89" s="1353"/>
      <c r="Z89" s="1353" t="s">
        <v>3246</v>
      </c>
      <c r="AA89" s="1353"/>
      <c r="AB89" s="1353"/>
      <c r="AC89" s="1353" t="s">
        <v>3246</v>
      </c>
      <c r="AD89" s="1353" t="s">
        <v>3246</v>
      </c>
      <c r="AE89" s="1353" t="s">
        <v>3246</v>
      </c>
      <c r="AF89" s="1353" t="s">
        <v>3246</v>
      </c>
      <c r="AG89" s="1353" t="s">
        <v>3246</v>
      </c>
      <c r="AH89" s="1353" t="s">
        <v>3424</v>
      </c>
      <c r="AI89" s="1353" t="s">
        <v>3246</v>
      </c>
      <c r="AJ89" s="1353" t="s">
        <v>3246</v>
      </c>
      <c r="AK89" s="1353" t="s">
        <v>3246</v>
      </c>
      <c r="AL89" s="1354">
        <f t="shared" si="7"/>
        <v>14</v>
      </c>
      <c r="AM89" s="1354">
        <f t="shared" si="8"/>
        <v>1</v>
      </c>
      <c r="AN89" s="1354">
        <f t="shared" si="9"/>
        <v>0</v>
      </c>
      <c r="AO89" s="1354">
        <f t="shared" si="20"/>
        <v>0</v>
      </c>
      <c r="AP89" s="1354">
        <f t="shared" si="17"/>
        <v>0</v>
      </c>
      <c r="AQ89" s="1354">
        <f t="shared" si="18"/>
        <v>0</v>
      </c>
      <c r="AR89" s="1355">
        <f t="shared" si="19"/>
        <v>15</v>
      </c>
      <c r="AS89" s="1229"/>
    </row>
    <row r="90" spans="1:45" ht="16.149999999999999" customHeight="1" outlineLevel="1">
      <c r="A90" s="1353">
        <v>78</v>
      </c>
      <c r="B90" s="1353">
        <v>78</v>
      </c>
      <c r="C90" s="1353"/>
      <c r="D90" s="1360" t="s">
        <v>420</v>
      </c>
      <c r="E90" s="1361" t="str">
        <f>TONGHOPCONGDOI!C88</f>
        <v>Món</v>
      </c>
      <c r="F90" s="1355"/>
      <c r="G90" s="1353"/>
      <c r="H90" s="1353"/>
      <c r="I90" s="1353"/>
      <c r="J90" s="1353"/>
      <c r="K90" s="1353"/>
      <c r="L90" s="1353"/>
      <c r="M90" s="1353"/>
      <c r="N90" s="1353"/>
      <c r="O90" s="1353"/>
      <c r="P90" s="1353"/>
      <c r="Q90" s="1353"/>
      <c r="R90" s="1353"/>
      <c r="S90" s="1353"/>
      <c r="T90" s="1353" t="s">
        <v>3424</v>
      </c>
      <c r="U90" s="1353"/>
      <c r="V90" s="1353"/>
      <c r="W90" s="1353" t="s">
        <v>3246</v>
      </c>
      <c r="X90" s="1353"/>
      <c r="Y90" s="1353"/>
      <c r="Z90" s="1353" t="s">
        <v>3246</v>
      </c>
      <c r="AA90" s="1353"/>
      <c r="AB90" s="1353"/>
      <c r="AC90" s="1353" t="s">
        <v>3246</v>
      </c>
      <c r="AD90" s="1353" t="s">
        <v>3246</v>
      </c>
      <c r="AE90" s="1353" t="s">
        <v>3246</v>
      </c>
      <c r="AF90" s="1353" t="s">
        <v>3246</v>
      </c>
      <c r="AG90" s="1353" t="s">
        <v>3246</v>
      </c>
      <c r="AH90" s="1353" t="s">
        <v>3424</v>
      </c>
      <c r="AI90" s="1353" t="s">
        <v>3246</v>
      </c>
      <c r="AJ90" s="1353" t="s">
        <v>3246</v>
      </c>
      <c r="AK90" s="1353"/>
      <c r="AL90" s="1354">
        <f t="shared" ref="AL90:AL95" si="21">COUNTIF(G90:AK90,"X")</f>
        <v>9</v>
      </c>
      <c r="AM90" s="1354">
        <f t="shared" ref="AM90:AM95" si="22">COUNTIF(G90:AK90,"CN")</f>
        <v>2</v>
      </c>
      <c r="AN90" s="1354">
        <f t="shared" ref="AN90:AN95" si="23">COUNTIF(G90:AK90,"Đ")</f>
        <v>0</v>
      </c>
      <c r="AO90" s="1354">
        <f t="shared" si="20"/>
        <v>0</v>
      </c>
      <c r="AP90" s="1354">
        <f t="shared" ref="AP90:AP95" si="24">COUNTIF(G90:AK90,"GT")</f>
        <v>0</v>
      </c>
      <c r="AQ90" s="1354">
        <f t="shared" ref="AQ90:AQ95" si="25">COUNTIF(G90:AK90,"CT")</f>
        <v>0</v>
      </c>
      <c r="AR90" s="1355">
        <f t="shared" ref="AR90:AR95" si="26">SUM(AL90:AQ90)</f>
        <v>11</v>
      </c>
      <c r="AS90" s="1229"/>
    </row>
    <row r="91" spans="1:45" ht="16.149999999999999" customHeight="1" outlineLevel="1">
      <c r="A91" s="1353">
        <v>79</v>
      </c>
      <c r="B91" s="1353">
        <v>79</v>
      </c>
      <c r="C91" s="1353"/>
      <c r="D91" s="1360" t="s">
        <v>421</v>
      </c>
      <c r="E91" s="1361" t="str">
        <f>TONGHOPCONGDOI!C89</f>
        <v>A tèng</v>
      </c>
      <c r="F91" s="1355"/>
      <c r="G91" s="1353"/>
      <c r="H91" s="1353"/>
      <c r="I91" s="1353"/>
      <c r="J91" s="1353"/>
      <c r="K91" s="1353"/>
      <c r="L91" s="1353"/>
      <c r="M91" s="1353"/>
      <c r="N91" s="1353"/>
      <c r="O91" s="1353"/>
      <c r="P91" s="1353"/>
      <c r="Q91" s="1353"/>
      <c r="R91" s="1353"/>
      <c r="S91" s="1353"/>
      <c r="T91" s="1353"/>
      <c r="U91" s="1353"/>
      <c r="V91" s="1353"/>
      <c r="W91" s="1353" t="s">
        <v>3246</v>
      </c>
      <c r="X91" s="1353"/>
      <c r="Y91" s="1353"/>
      <c r="Z91" s="1353" t="s">
        <v>3246</v>
      </c>
      <c r="AA91" s="1353"/>
      <c r="AB91" s="1353"/>
      <c r="AC91" s="1353" t="s">
        <v>3246</v>
      </c>
      <c r="AD91" s="1353" t="s">
        <v>3246</v>
      </c>
      <c r="AE91" s="1353" t="s">
        <v>3246</v>
      </c>
      <c r="AF91" s="1353" t="s">
        <v>3246</v>
      </c>
      <c r="AG91" s="1353" t="s">
        <v>3246</v>
      </c>
      <c r="AH91" s="1353"/>
      <c r="AI91" s="1353" t="s">
        <v>3246</v>
      </c>
      <c r="AJ91" s="1353" t="s">
        <v>3246</v>
      </c>
      <c r="AK91" s="1353"/>
      <c r="AL91" s="1354">
        <f t="shared" si="21"/>
        <v>9</v>
      </c>
      <c r="AM91" s="1354">
        <f t="shared" si="22"/>
        <v>0</v>
      </c>
      <c r="AN91" s="1354">
        <f t="shared" si="23"/>
        <v>0</v>
      </c>
      <c r="AO91" s="1354">
        <f t="shared" si="20"/>
        <v>0</v>
      </c>
      <c r="AP91" s="1354">
        <f t="shared" si="24"/>
        <v>0</v>
      </c>
      <c r="AQ91" s="1354">
        <f t="shared" si="25"/>
        <v>0</v>
      </c>
      <c r="AR91" s="1355">
        <f t="shared" si="26"/>
        <v>9</v>
      </c>
      <c r="AS91" s="1229"/>
    </row>
    <row r="92" spans="1:45" ht="16.149999999999999" customHeight="1" outlineLevel="1">
      <c r="A92" s="1353">
        <v>80</v>
      </c>
      <c r="B92" s="1353">
        <v>80</v>
      </c>
      <c r="C92" s="1353"/>
      <c r="D92" s="1360" t="s">
        <v>422</v>
      </c>
      <c r="E92" s="1361" t="str">
        <f>TONGHOPCONGDOI!C90</f>
        <v xml:space="preserve">Đao </v>
      </c>
      <c r="F92" s="1355"/>
      <c r="G92" s="1353"/>
      <c r="H92" s="1353"/>
      <c r="I92" s="1353"/>
      <c r="J92" s="1353"/>
      <c r="K92" s="1353"/>
      <c r="L92" s="1353"/>
      <c r="M92" s="1353"/>
      <c r="N92" s="1353"/>
      <c r="O92" s="1353"/>
      <c r="P92" s="1353"/>
      <c r="Q92" s="1353"/>
      <c r="R92" s="1353"/>
      <c r="S92" s="1353"/>
      <c r="T92" s="1353"/>
      <c r="U92" s="1353"/>
      <c r="V92" s="1353"/>
      <c r="W92" s="1353"/>
      <c r="X92" s="1353"/>
      <c r="Y92" s="1353"/>
      <c r="Z92" s="1353" t="s">
        <v>3246</v>
      </c>
      <c r="AA92" s="1353"/>
      <c r="AB92" s="1353"/>
      <c r="AC92" s="1353" t="s">
        <v>3246</v>
      </c>
      <c r="AD92" s="1353"/>
      <c r="AE92" s="1353"/>
      <c r="AF92" s="1353" t="s">
        <v>3246</v>
      </c>
      <c r="AG92" s="1353"/>
      <c r="AH92" s="1353"/>
      <c r="AI92" s="1353" t="s">
        <v>3246</v>
      </c>
      <c r="AJ92" s="1353" t="s">
        <v>3246</v>
      </c>
      <c r="AK92" s="1353"/>
      <c r="AL92" s="1354">
        <f t="shared" si="21"/>
        <v>5</v>
      </c>
      <c r="AM92" s="1354">
        <f t="shared" si="22"/>
        <v>0</v>
      </c>
      <c r="AN92" s="1354">
        <f t="shared" si="23"/>
        <v>0</v>
      </c>
      <c r="AO92" s="1354">
        <f t="shared" si="20"/>
        <v>0</v>
      </c>
      <c r="AP92" s="1354">
        <f t="shared" si="24"/>
        <v>0</v>
      </c>
      <c r="AQ92" s="1354">
        <f t="shared" si="25"/>
        <v>0</v>
      </c>
      <c r="AR92" s="1355">
        <f t="shared" si="26"/>
        <v>5</v>
      </c>
      <c r="AS92" s="1229"/>
    </row>
    <row r="93" spans="1:45" ht="16.149999999999999" customHeight="1" outlineLevel="1">
      <c r="A93" s="1353">
        <v>81</v>
      </c>
      <c r="B93" s="1353">
        <v>81</v>
      </c>
      <c r="C93" s="1353"/>
      <c r="D93" s="1360" t="s">
        <v>423</v>
      </c>
      <c r="E93" s="1361" t="str">
        <f>TONGHOPCONGDOI!C91</f>
        <v>Lôn</v>
      </c>
      <c r="F93" s="1355"/>
      <c r="G93" s="1353"/>
      <c r="H93" s="1353"/>
      <c r="I93" s="1353"/>
      <c r="J93" s="1353"/>
      <c r="K93" s="1353"/>
      <c r="L93" s="1353"/>
      <c r="M93" s="1353"/>
      <c r="N93" s="1353"/>
      <c r="O93" s="1353"/>
      <c r="P93" s="1353"/>
      <c r="Q93" s="1353"/>
      <c r="R93" s="1353"/>
      <c r="S93" s="1353"/>
      <c r="T93" s="1353"/>
      <c r="U93" s="1353"/>
      <c r="V93" s="1353"/>
      <c r="W93" s="1353"/>
      <c r="X93" s="1353"/>
      <c r="Y93" s="1353"/>
      <c r="Z93" s="1353"/>
      <c r="AA93" s="1353"/>
      <c r="AB93" s="1353"/>
      <c r="AC93" s="1353"/>
      <c r="AD93" s="1353"/>
      <c r="AE93" s="1353"/>
      <c r="AF93" s="1353" t="s">
        <v>3246</v>
      </c>
      <c r="AG93" s="1353"/>
      <c r="AH93" s="1353"/>
      <c r="AI93" s="1353"/>
      <c r="AJ93" s="1353"/>
      <c r="AK93" s="1353"/>
      <c r="AL93" s="1354">
        <f t="shared" si="21"/>
        <v>1</v>
      </c>
      <c r="AM93" s="1354">
        <f t="shared" si="22"/>
        <v>0</v>
      </c>
      <c r="AN93" s="1354">
        <f t="shared" si="23"/>
        <v>0</v>
      </c>
      <c r="AO93" s="1354">
        <f t="shared" si="20"/>
        <v>0</v>
      </c>
      <c r="AP93" s="1354">
        <f t="shared" si="24"/>
        <v>0</v>
      </c>
      <c r="AQ93" s="1354">
        <f t="shared" si="25"/>
        <v>0</v>
      </c>
      <c r="AR93" s="1355">
        <f t="shared" si="26"/>
        <v>1</v>
      </c>
      <c r="AS93" s="1229"/>
    </row>
    <row r="94" spans="1:45" ht="16.149999999999999" customHeight="1" outlineLevel="1">
      <c r="A94" s="1353">
        <v>82</v>
      </c>
      <c r="B94" s="1353">
        <v>82</v>
      </c>
      <c r="C94" s="1353"/>
      <c r="D94" s="1360" t="s">
        <v>424</v>
      </c>
      <c r="E94" s="1361" t="str">
        <f>TONGHOPCONGDOI!C92</f>
        <v>Phay A</v>
      </c>
      <c r="F94" s="1355"/>
      <c r="G94" s="1353"/>
      <c r="H94" s="1353"/>
      <c r="I94" s="1353"/>
      <c r="J94" s="1353"/>
      <c r="K94" s="1353"/>
      <c r="L94" s="1353"/>
      <c r="M94" s="1353"/>
      <c r="N94" s="1353"/>
      <c r="O94" s="1353"/>
      <c r="P94" s="1353"/>
      <c r="Q94" s="1353"/>
      <c r="R94" s="1353"/>
      <c r="S94" s="1353"/>
      <c r="T94" s="1353"/>
      <c r="U94" s="1353"/>
      <c r="V94" s="1353"/>
      <c r="W94" s="1353"/>
      <c r="X94" s="1353"/>
      <c r="Y94" s="1353"/>
      <c r="Z94" s="1353"/>
      <c r="AA94" s="1353"/>
      <c r="AB94" s="1353"/>
      <c r="AC94" s="1353"/>
      <c r="AD94" s="1353"/>
      <c r="AE94" s="1353"/>
      <c r="AF94" s="1353"/>
      <c r="AG94" s="1353"/>
      <c r="AH94" s="1353"/>
      <c r="AI94" s="1353"/>
      <c r="AJ94" s="1353"/>
      <c r="AK94" s="1353"/>
      <c r="AL94" s="1354">
        <f t="shared" si="21"/>
        <v>0</v>
      </c>
      <c r="AM94" s="1354">
        <f t="shared" si="22"/>
        <v>0</v>
      </c>
      <c r="AN94" s="1354">
        <f t="shared" si="23"/>
        <v>0</v>
      </c>
      <c r="AO94" s="1354">
        <f t="shared" si="20"/>
        <v>0</v>
      </c>
      <c r="AP94" s="1354">
        <f t="shared" si="24"/>
        <v>0</v>
      </c>
      <c r="AQ94" s="1354">
        <f t="shared" si="25"/>
        <v>0</v>
      </c>
      <c r="AR94" s="1355">
        <f t="shared" si="26"/>
        <v>0</v>
      </c>
      <c r="AS94" s="1229"/>
    </row>
    <row r="95" spans="1:45" ht="16.149999999999999" customHeight="1" outlineLevel="1">
      <c r="A95" s="1353">
        <v>83</v>
      </c>
      <c r="B95" s="1353">
        <v>83</v>
      </c>
      <c r="C95" s="1353"/>
      <c r="D95" s="1360" t="s">
        <v>425</v>
      </c>
      <c r="E95" s="1361" t="str">
        <f>TONGHOPCONGDOI!C93</f>
        <v>Chày A</v>
      </c>
      <c r="F95" s="1355"/>
      <c r="G95" s="1353"/>
      <c r="H95" s="1353"/>
      <c r="I95" s="1353"/>
      <c r="J95" s="1353"/>
      <c r="K95" s="1353"/>
      <c r="L95" s="1353"/>
      <c r="M95" s="1353"/>
      <c r="N95" s="1353"/>
      <c r="O95" s="1353"/>
      <c r="P95" s="1353"/>
      <c r="Q95" s="1353"/>
      <c r="R95" s="1353"/>
      <c r="S95" s="1353"/>
      <c r="T95" s="1353"/>
      <c r="U95" s="1353"/>
      <c r="V95" s="1353"/>
      <c r="W95" s="1353"/>
      <c r="X95" s="1353"/>
      <c r="Y95" s="1353"/>
      <c r="Z95" s="1353"/>
      <c r="AA95" s="1353"/>
      <c r="AB95" s="1353"/>
      <c r="AC95" s="1353"/>
      <c r="AD95" s="1353"/>
      <c r="AE95" s="1353"/>
      <c r="AF95" s="1353"/>
      <c r="AG95" s="1353"/>
      <c r="AH95" s="1353"/>
      <c r="AI95" s="1353"/>
      <c r="AJ95" s="1353"/>
      <c r="AK95" s="1353"/>
      <c r="AL95" s="1354">
        <f t="shared" si="21"/>
        <v>0</v>
      </c>
      <c r="AM95" s="1354">
        <f t="shared" si="22"/>
        <v>0</v>
      </c>
      <c r="AN95" s="1354">
        <f t="shared" si="23"/>
        <v>0</v>
      </c>
      <c r="AO95" s="1354">
        <f t="shared" si="20"/>
        <v>0</v>
      </c>
      <c r="AP95" s="1354">
        <f t="shared" si="24"/>
        <v>0</v>
      </c>
      <c r="AQ95" s="1354">
        <f t="shared" si="25"/>
        <v>0</v>
      </c>
      <c r="AR95" s="1355">
        <f t="shared" si="26"/>
        <v>0</v>
      </c>
      <c r="AS95" s="1229"/>
    </row>
    <row r="96" spans="1:45" ht="16.149999999999999" customHeight="1" outlineLevel="1">
      <c r="A96" s="1353">
        <v>84</v>
      </c>
      <c r="B96" s="1353">
        <v>84</v>
      </c>
      <c r="C96" s="1353"/>
      <c r="D96" s="1360" t="s">
        <v>420</v>
      </c>
      <c r="E96" s="1361" t="str">
        <f>TONGHOPCONGDOI!C94</f>
        <v>MayA</v>
      </c>
      <c r="F96" s="1355"/>
      <c r="G96" s="1353"/>
      <c r="H96" s="1353"/>
      <c r="I96" s="1353"/>
      <c r="J96" s="1353"/>
      <c r="K96" s="1353"/>
      <c r="L96" s="1353"/>
      <c r="M96" s="1353"/>
      <c r="N96" s="1353"/>
      <c r="O96" s="1353"/>
      <c r="P96" s="1353"/>
      <c r="Q96" s="1353"/>
      <c r="R96" s="1353"/>
      <c r="S96" s="1353"/>
      <c r="T96" s="1353"/>
      <c r="U96" s="1353"/>
      <c r="V96" s="1353"/>
      <c r="W96" s="1353"/>
      <c r="X96" s="1353"/>
      <c r="Y96" s="1353"/>
      <c r="Z96" s="1353"/>
      <c r="AA96" s="1353"/>
      <c r="AB96" s="1353"/>
      <c r="AC96" s="1353"/>
      <c r="AD96" s="1353"/>
      <c r="AE96" s="1353"/>
      <c r="AF96" s="1353"/>
      <c r="AG96" s="1353"/>
      <c r="AH96" s="1353"/>
      <c r="AI96" s="1353"/>
      <c r="AJ96" s="1353"/>
      <c r="AK96" s="1353"/>
      <c r="AL96" s="1354">
        <f t="shared" si="7"/>
        <v>0</v>
      </c>
      <c r="AM96" s="1354">
        <f t="shared" si="8"/>
        <v>0</v>
      </c>
      <c r="AN96" s="1354">
        <f t="shared" si="9"/>
        <v>0</v>
      </c>
      <c r="AO96" s="1354">
        <f t="shared" si="20"/>
        <v>0</v>
      </c>
      <c r="AP96" s="1354">
        <f>COUNTIF(G96:AK96,"GT")</f>
        <v>0</v>
      </c>
      <c r="AQ96" s="1354">
        <f>COUNTIF(G96:AK96,"CT")</f>
        <v>0</v>
      </c>
      <c r="AR96" s="1355">
        <f>SUM(AL96:AQ96)</f>
        <v>0</v>
      </c>
      <c r="AS96" s="1229"/>
    </row>
    <row r="97" spans="1:45" s="410" customFormat="1" ht="16.149999999999999" customHeight="1" outlineLevel="1">
      <c r="A97" s="1358" t="s">
        <v>2986</v>
      </c>
      <c r="B97" s="1358"/>
      <c r="C97" s="1353"/>
      <c r="D97" s="1360"/>
      <c r="E97" s="1358"/>
      <c r="F97" s="1352"/>
      <c r="G97" s="1351">
        <f t="shared" ref="G97:S97" si="27">COUNTIF(G98:G168,"x")+COUNTIF(G98:G168,"cn")+COUNTIF(G98:G168,"đ")+COUNTIF(G98:G168,"đc")</f>
        <v>53</v>
      </c>
      <c r="H97" s="1351">
        <f t="shared" si="27"/>
        <v>53</v>
      </c>
      <c r="I97" s="1351">
        <f t="shared" si="27"/>
        <v>53</v>
      </c>
      <c r="J97" s="1351">
        <f t="shared" si="27"/>
        <v>53</v>
      </c>
      <c r="K97" s="1351">
        <f t="shared" si="27"/>
        <v>53</v>
      </c>
      <c r="L97" s="1351">
        <f t="shared" si="27"/>
        <v>53</v>
      </c>
      <c r="M97" s="1351">
        <f t="shared" si="27"/>
        <v>53</v>
      </c>
      <c r="N97" s="1351">
        <f t="shared" si="27"/>
        <v>51</v>
      </c>
      <c r="O97" s="1351">
        <f t="shared" si="27"/>
        <v>53</v>
      </c>
      <c r="P97" s="1351">
        <f t="shared" si="27"/>
        <v>53</v>
      </c>
      <c r="Q97" s="1351">
        <f t="shared" si="27"/>
        <v>52</v>
      </c>
      <c r="R97" s="1351">
        <f t="shared" si="27"/>
        <v>52</v>
      </c>
      <c r="S97" s="1351">
        <f t="shared" si="27"/>
        <v>53</v>
      </c>
      <c r="T97" s="1351">
        <f>COUNTIF(T98:T168,"x")+COUNTIF(T98:T168,"cn")+COUNTIF(T98:T168,"đ")+COUNTIF(T98:T168,"đc")</f>
        <v>53</v>
      </c>
      <c r="U97" s="1351">
        <f t="shared" ref="U97" si="28">COUNTIF(U98:U168,"x")+COUNTIF(U98:U168,"cn")+COUNTIF(U98:U168,"đ")+COUNTIF(U98:U168,"đc")</f>
        <v>53</v>
      </c>
      <c r="V97" s="1351">
        <f t="shared" ref="V97" si="29">COUNTIF(V98:V168,"x")+COUNTIF(V98:V168,"cn")+COUNTIF(V98:V168,"đ")+COUNTIF(V98:V168,"đc")</f>
        <v>53</v>
      </c>
      <c r="W97" s="1351">
        <f t="shared" ref="W97" si="30">COUNTIF(W98:W168,"x")+COUNTIF(W98:W168,"cn")+COUNTIF(W98:W168,"đ")+COUNTIF(W98:W168,"đc")</f>
        <v>53</v>
      </c>
      <c r="X97" s="1351">
        <f t="shared" ref="X97" si="31">COUNTIF(X98:X168,"x")+COUNTIF(X98:X168,"cn")+COUNTIF(X98:X168,"đ")+COUNTIF(X98:X168,"đc")</f>
        <v>53</v>
      </c>
      <c r="Y97" s="1351">
        <f t="shared" ref="Y97" si="32">COUNTIF(Y98:Y168,"x")+COUNTIF(Y98:Y168,"cn")+COUNTIF(Y98:Y168,"đ")+COUNTIF(Y98:Y168,"đc")</f>
        <v>53</v>
      </c>
      <c r="Z97" s="1351">
        <f t="shared" ref="Z97" si="33">COUNTIF(Z98:Z168,"x")+COUNTIF(Z98:Z168,"cn")+COUNTIF(Z98:Z168,"đ")+COUNTIF(Z98:Z168,"đc")</f>
        <v>53</v>
      </c>
      <c r="AA97" s="1351">
        <f t="shared" ref="AA97" si="34">COUNTIF(AA98:AA168,"x")+COUNTIF(AA98:AA168,"cn")+COUNTIF(AA98:AA168,"đ")+COUNTIF(AA98:AA168,"đc")</f>
        <v>53</v>
      </c>
      <c r="AB97" s="1351">
        <f t="shared" ref="AB97" si="35">COUNTIF(AB98:AB168,"x")+COUNTIF(AB98:AB168,"cn")+COUNTIF(AB98:AB168,"đ")+COUNTIF(AB98:AB168,"đc")</f>
        <v>52</v>
      </c>
      <c r="AC97" s="1351">
        <f t="shared" ref="AC97" si="36">COUNTIF(AC98:AC168,"x")+COUNTIF(AC98:AC168,"cn")+COUNTIF(AC98:AC168,"đ")+COUNTIF(AC98:AC168,"đc")</f>
        <v>51</v>
      </c>
      <c r="AD97" s="1351">
        <f t="shared" ref="AD97" si="37">COUNTIF(AD98:AD168,"x")+COUNTIF(AD98:AD168,"cn")+COUNTIF(AD98:AD168,"đ")+COUNTIF(AD98:AD168,"đc")</f>
        <v>53</v>
      </c>
      <c r="AE97" s="1351">
        <f t="shared" ref="AE97" si="38">COUNTIF(AE98:AE168,"x")+COUNTIF(AE98:AE168,"cn")+COUNTIF(AE98:AE168,"đ")+COUNTIF(AE98:AE168,"đc")</f>
        <v>53</v>
      </c>
      <c r="AF97" s="1351">
        <f t="shared" ref="AF97" si="39">COUNTIF(AF98:AF168,"x")+COUNTIF(AF98:AF168,"cn")+COUNTIF(AF98:AF168,"đ")+COUNTIF(AF98:AF168,"đc")</f>
        <v>53</v>
      </c>
      <c r="AG97" s="1351">
        <f t="shared" ref="AG97:AH97" si="40">COUNTIF(AG98:AG168,"x")+COUNTIF(AG98:AG168,"cn")+COUNTIF(AG98:AG168,"đ")+COUNTIF(AG98:AG168,"đc")</f>
        <v>53</v>
      </c>
      <c r="AH97" s="1351">
        <f t="shared" si="40"/>
        <v>53</v>
      </c>
      <c r="AI97" s="1351">
        <f t="shared" ref="AI97" si="41">COUNTIF(AI98:AI168,"x")+COUNTIF(AI98:AI168,"cn")+COUNTIF(AI98:AI168,"đ")+COUNTIF(AI98:AI168,"đc")</f>
        <v>53</v>
      </c>
      <c r="AJ97" s="1351">
        <f t="shared" ref="AJ97" si="42">COUNTIF(AJ98:AJ168,"x")+COUNTIF(AJ98:AJ168,"cn")+COUNTIF(AJ98:AJ168,"đ")+COUNTIF(AJ98:AJ168,"đc")</f>
        <v>53</v>
      </c>
      <c r="AK97" s="1351">
        <f t="shared" ref="AK97" si="43">COUNTIF(AK98:AK168,"X")+COUNTIF(AK98:AK108,"CN")+COUNTIF(AK98:AK168,"đ")</f>
        <v>53</v>
      </c>
      <c r="AL97" s="1352">
        <f>SUM(AL98:AL168)</f>
        <v>1194</v>
      </c>
      <c r="AM97" s="1352">
        <f t="shared" ref="AM97:AR97" si="44">SUM(AM98:AM168)</f>
        <v>212</v>
      </c>
      <c r="AN97" s="1352">
        <f t="shared" si="44"/>
        <v>230</v>
      </c>
      <c r="AO97" s="1352">
        <f t="shared" si="44"/>
        <v>0</v>
      </c>
      <c r="AP97" s="1352">
        <f t="shared" si="44"/>
        <v>0</v>
      </c>
      <c r="AQ97" s="1352">
        <f t="shared" si="44"/>
        <v>0</v>
      </c>
      <c r="AR97" s="1352">
        <f t="shared" si="44"/>
        <v>1636</v>
      </c>
      <c r="AS97" s="1229"/>
    </row>
    <row r="98" spans="1:45" ht="16.149999999999999" customHeight="1" outlineLevel="1">
      <c r="A98" s="1353">
        <v>105</v>
      </c>
      <c r="B98" s="1353">
        <v>1</v>
      </c>
      <c r="C98" s="1353" t="str">
        <f>'sản lượng'!C99</f>
        <v>04120</v>
      </c>
      <c r="D98" s="1362" t="s">
        <v>430</v>
      </c>
      <c r="E98" s="1361" t="str">
        <f>TONGHOPCONGDOI!C105</f>
        <v>Thảo Văn</v>
      </c>
      <c r="F98" s="1355"/>
      <c r="G98" s="1353" t="s">
        <v>3246</v>
      </c>
      <c r="H98" s="1353" t="s">
        <v>3246</v>
      </c>
      <c r="I98" s="1353" t="s">
        <v>3425</v>
      </c>
      <c r="J98" s="1353" t="s">
        <v>3246</v>
      </c>
      <c r="K98" s="1353" t="s">
        <v>3246</v>
      </c>
      <c r="L98" s="1353" t="s">
        <v>3246</v>
      </c>
      <c r="M98" s="1353" t="s">
        <v>3424</v>
      </c>
      <c r="N98" s="1353" t="s">
        <v>3246</v>
      </c>
      <c r="O98" s="1353" t="s">
        <v>3246</v>
      </c>
      <c r="P98" s="1353" t="s">
        <v>3246</v>
      </c>
      <c r="Q98" s="1353" t="s">
        <v>3246</v>
      </c>
      <c r="R98" s="1353" t="s">
        <v>3246</v>
      </c>
      <c r="S98" s="1353" t="s">
        <v>3246</v>
      </c>
      <c r="T98" s="1353" t="s">
        <v>3424</v>
      </c>
      <c r="U98" s="1353" t="s">
        <v>3246</v>
      </c>
      <c r="V98" s="1353" t="s">
        <v>3246</v>
      </c>
      <c r="W98" s="1353" t="s">
        <v>3425</v>
      </c>
      <c r="X98" s="1353" t="s">
        <v>3246</v>
      </c>
      <c r="Y98" s="1353" t="s">
        <v>3246</v>
      </c>
      <c r="Z98" s="1353" t="s">
        <v>3246</v>
      </c>
      <c r="AA98" s="1353" t="s">
        <v>3424</v>
      </c>
      <c r="AB98" s="1353" t="s">
        <v>3246</v>
      </c>
      <c r="AC98" s="1353" t="s">
        <v>3246</v>
      </c>
      <c r="AD98" s="1353" t="s">
        <v>3425</v>
      </c>
      <c r="AE98" s="1353" t="s">
        <v>3246</v>
      </c>
      <c r="AF98" s="1353" t="s">
        <v>3246</v>
      </c>
      <c r="AG98" s="1353" t="s">
        <v>3246</v>
      </c>
      <c r="AH98" s="1353" t="s">
        <v>3424</v>
      </c>
      <c r="AI98" s="1353" t="s">
        <v>3246</v>
      </c>
      <c r="AJ98" s="1353" t="s">
        <v>3246</v>
      </c>
      <c r="AK98" s="1353" t="s">
        <v>3425</v>
      </c>
      <c r="AL98" s="1354">
        <f t="shared" ref="AL98:AL119" si="45">COUNTIF(G98:AK98,"X")</f>
        <v>23</v>
      </c>
      <c r="AM98" s="1354">
        <f t="shared" ref="AM98:AM119" si="46">COUNTIF(G98:AK98,"CN")</f>
        <v>4</v>
      </c>
      <c r="AN98" s="1354">
        <f t="shared" ref="AN98:AN119" si="47">COUNTIF(G98:AK98,"Đ")</f>
        <v>4</v>
      </c>
      <c r="AO98" s="1354">
        <f t="shared" si="20"/>
        <v>0</v>
      </c>
      <c r="AP98" s="1354">
        <f t="shared" ref="AP98:AP119" si="48">COUNTIF(G98:AK98,"GT")</f>
        <v>0</v>
      </c>
      <c r="AQ98" s="1354">
        <f t="shared" ref="AQ98:AQ119" si="49">COUNTIF(G98:AK98,"CT")</f>
        <v>0</v>
      </c>
      <c r="AR98" s="1355">
        <f t="shared" ref="AR98:AR119" si="50">SUM(AL98:AQ98)</f>
        <v>31</v>
      </c>
      <c r="AS98" s="1229"/>
    </row>
    <row r="99" spans="1:45" ht="16.149999999999999" customHeight="1" outlineLevel="1">
      <c r="A99" s="1353">
        <v>106</v>
      </c>
      <c r="B99" s="1353">
        <v>2</v>
      </c>
      <c r="C99" s="1353" t="str">
        <f>'sản lượng'!C100</f>
        <v>03646</v>
      </c>
      <c r="D99" s="1362" t="s">
        <v>430</v>
      </c>
      <c r="E99" s="1361" t="str">
        <f>TONGHOPCONGDOI!C106</f>
        <v>T . Thau</v>
      </c>
      <c r="F99" s="1355"/>
      <c r="G99" s="1353" t="s">
        <v>3246</v>
      </c>
      <c r="H99" s="1353" t="s">
        <v>3246</v>
      </c>
      <c r="I99" s="1353" t="s">
        <v>3425</v>
      </c>
      <c r="J99" s="1353" t="s">
        <v>3246</v>
      </c>
      <c r="K99" s="1353" t="s">
        <v>3246</v>
      </c>
      <c r="L99" s="1353" t="s">
        <v>3246</v>
      </c>
      <c r="M99" s="1353" t="s">
        <v>3424</v>
      </c>
      <c r="N99" s="1353" t="s">
        <v>3246</v>
      </c>
      <c r="O99" s="1353" t="s">
        <v>3246</v>
      </c>
      <c r="P99" s="1353" t="s">
        <v>3425</v>
      </c>
      <c r="Q99" s="1353" t="s">
        <v>3246</v>
      </c>
      <c r="R99" s="1353" t="s">
        <v>3246</v>
      </c>
      <c r="S99" s="1353" t="s">
        <v>3246</v>
      </c>
      <c r="T99" s="1353" t="s">
        <v>3424</v>
      </c>
      <c r="U99" s="1353" t="s">
        <v>3246</v>
      </c>
      <c r="V99" s="1353" t="s">
        <v>3246</v>
      </c>
      <c r="W99" s="1353" t="s">
        <v>3425</v>
      </c>
      <c r="X99" s="1353" t="s">
        <v>3246</v>
      </c>
      <c r="Y99" s="1353" t="s">
        <v>3246</v>
      </c>
      <c r="Z99" s="1353" t="s">
        <v>3246</v>
      </c>
      <c r="AA99" s="1353" t="s">
        <v>3424</v>
      </c>
      <c r="AB99" s="1353" t="s">
        <v>3246</v>
      </c>
      <c r="AC99" s="1353" t="s">
        <v>3246</v>
      </c>
      <c r="AD99" s="1353" t="s">
        <v>3425</v>
      </c>
      <c r="AE99" s="1353" t="s">
        <v>3246</v>
      </c>
      <c r="AF99" s="1353" t="s">
        <v>3246</v>
      </c>
      <c r="AG99" s="1353" t="s">
        <v>3246</v>
      </c>
      <c r="AH99" s="1353" t="s">
        <v>3424</v>
      </c>
      <c r="AI99" s="1353" t="s">
        <v>3246</v>
      </c>
      <c r="AJ99" s="1353" t="s">
        <v>3246</v>
      </c>
      <c r="AK99" s="1353"/>
      <c r="AL99" s="1354">
        <f t="shared" si="45"/>
        <v>22</v>
      </c>
      <c r="AM99" s="1354">
        <f t="shared" si="46"/>
        <v>4</v>
      </c>
      <c r="AN99" s="1354">
        <f t="shared" si="47"/>
        <v>4</v>
      </c>
      <c r="AO99" s="1354">
        <f t="shared" si="20"/>
        <v>0</v>
      </c>
      <c r="AP99" s="1354">
        <f t="shared" si="48"/>
        <v>0</v>
      </c>
      <c r="AQ99" s="1354">
        <f t="shared" si="49"/>
        <v>0</v>
      </c>
      <c r="AR99" s="1355">
        <f t="shared" si="50"/>
        <v>30</v>
      </c>
      <c r="AS99" s="1229"/>
    </row>
    <row r="100" spans="1:45" ht="16.149999999999999" customHeight="1" outlineLevel="1">
      <c r="A100" s="1353">
        <v>107</v>
      </c>
      <c r="B100" s="1353">
        <v>3</v>
      </c>
      <c r="C100" s="1353">
        <f>'sản lượng'!C101</f>
        <v>0</v>
      </c>
      <c r="D100" s="1362" t="s">
        <v>430</v>
      </c>
      <c r="E100" s="1361" t="str">
        <f>TONGHOPCONGDOI!C107</f>
        <v>Nàng Lao</v>
      </c>
      <c r="F100" s="1355"/>
      <c r="G100" s="1353" t="s">
        <v>3246</v>
      </c>
      <c r="H100" s="1353" t="s">
        <v>3246</v>
      </c>
      <c r="I100" s="1353" t="s">
        <v>3425</v>
      </c>
      <c r="J100" s="1353" t="s">
        <v>3246</v>
      </c>
      <c r="K100" s="1353" t="s">
        <v>3246</v>
      </c>
      <c r="L100" s="1353" t="s">
        <v>3246</v>
      </c>
      <c r="M100" s="1353" t="s">
        <v>3424</v>
      </c>
      <c r="N100" s="1353" t="s">
        <v>3246</v>
      </c>
      <c r="O100" s="1353" t="s">
        <v>3246</v>
      </c>
      <c r="P100" s="1353" t="s">
        <v>3425</v>
      </c>
      <c r="Q100" s="1353" t="s">
        <v>3246</v>
      </c>
      <c r="R100" s="1353" t="s">
        <v>3246</v>
      </c>
      <c r="S100" s="1353" t="s">
        <v>3246</v>
      </c>
      <c r="T100" s="1353" t="s">
        <v>3424</v>
      </c>
      <c r="U100" s="1353" t="s">
        <v>3246</v>
      </c>
      <c r="V100" s="1353" t="s">
        <v>3246</v>
      </c>
      <c r="W100" s="1353" t="s">
        <v>3425</v>
      </c>
      <c r="X100" s="1353" t="s">
        <v>3246</v>
      </c>
      <c r="Y100" s="1353" t="s">
        <v>3246</v>
      </c>
      <c r="Z100" s="1353" t="s">
        <v>3246</v>
      </c>
      <c r="AA100" s="1353" t="s">
        <v>3424</v>
      </c>
      <c r="AB100" s="1353" t="s">
        <v>3246</v>
      </c>
      <c r="AC100" s="1353" t="s">
        <v>3246</v>
      </c>
      <c r="AD100" s="1353" t="s">
        <v>3425</v>
      </c>
      <c r="AE100" s="1353" t="s">
        <v>3246</v>
      </c>
      <c r="AF100" s="1353" t="s">
        <v>3246</v>
      </c>
      <c r="AG100" s="1353" t="s">
        <v>3246</v>
      </c>
      <c r="AH100" s="1353" t="s">
        <v>3424</v>
      </c>
      <c r="AI100" s="1353" t="s">
        <v>3246</v>
      </c>
      <c r="AJ100" s="1353" t="s">
        <v>3246</v>
      </c>
      <c r="AK100" s="1353" t="s">
        <v>3425</v>
      </c>
      <c r="AL100" s="1354">
        <f t="shared" si="45"/>
        <v>22</v>
      </c>
      <c r="AM100" s="1354">
        <f t="shared" si="46"/>
        <v>4</v>
      </c>
      <c r="AN100" s="1354">
        <f t="shared" si="47"/>
        <v>5</v>
      </c>
      <c r="AO100" s="1354">
        <f t="shared" si="20"/>
        <v>0</v>
      </c>
      <c r="AP100" s="1354">
        <f t="shared" si="48"/>
        <v>0</v>
      </c>
      <c r="AQ100" s="1354">
        <f t="shared" si="49"/>
        <v>0</v>
      </c>
      <c r="AR100" s="1355">
        <f t="shared" si="50"/>
        <v>31</v>
      </c>
      <c r="AS100" s="1229"/>
    </row>
    <row r="101" spans="1:45" ht="16.149999999999999" customHeight="1" outlineLevel="1">
      <c r="A101" s="1353">
        <v>108</v>
      </c>
      <c r="B101" s="1353">
        <v>4</v>
      </c>
      <c r="C101" s="1353" t="str">
        <f>'sản lượng'!C102</f>
        <v>04122</v>
      </c>
      <c r="D101" s="1362" t="s">
        <v>430</v>
      </c>
      <c r="E101" s="1361" t="str">
        <f>TONGHOPCONGDOI!C108</f>
        <v>Nàng Eng</v>
      </c>
      <c r="F101" s="1355"/>
      <c r="G101" s="1353" t="s">
        <v>3246</v>
      </c>
      <c r="H101" s="1353" t="s">
        <v>3246</v>
      </c>
      <c r="I101" s="1353" t="s">
        <v>3425</v>
      </c>
      <c r="J101" s="1353" t="s">
        <v>3246</v>
      </c>
      <c r="K101" s="1353" t="s">
        <v>3246</v>
      </c>
      <c r="L101" s="1353" t="s">
        <v>3246</v>
      </c>
      <c r="M101" s="1353" t="s">
        <v>3424</v>
      </c>
      <c r="N101" s="1353" t="s">
        <v>3246</v>
      </c>
      <c r="O101" s="1353" t="s">
        <v>3246</v>
      </c>
      <c r="P101" s="1353" t="s">
        <v>3425</v>
      </c>
      <c r="Q101" s="1353" t="s">
        <v>3246</v>
      </c>
      <c r="R101" s="1353" t="s">
        <v>3246</v>
      </c>
      <c r="S101" s="1353" t="s">
        <v>3246</v>
      </c>
      <c r="T101" s="1353" t="s">
        <v>3424</v>
      </c>
      <c r="U101" s="1353" t="s">
        <v>3246</v>
      </c>
      <c r="V101" s="1353" t="s">
        <v>3246</v>
      </c>
      <c r="W101" s="1353" t="s">
        <v>3425</v>
      </c>
      <c r="X101" s="1353" t="s">
        <v>3246</v>
      </c>
      <c r="Y101" s="1353" t="s">
        <v>3246</v>
      </c>
      <c r="Z101" s="1353" t="s">
        <v>3246</v>
      </c>
      <c r="AA101" s="1353" t="s">
        <v>3424</v>
      </c>
      <c r="AB101" s="1353" t="s">
        <v>3246</v>
      </c>
      <c r="AC101" s="1353" t="s">
        <v>3246</v>
      </c>
      <c r="AD101" s="1353"/>
      <c r="AE101" s="1353"/>
      <c r="AF101" s="1353" t="s">
        <v>3246</v>
      </c>
      <c r="AG101" s="1353" t="s">
        <v>3246</v>
      </c>
      <c r="AH101" s="1353" t="s">
        <v>3424</v>
      </c>
      <c r="AI101" s="1353" t="s">
        <v>3246</v>
      </c>
      <c r="AJ101" s="1353" t="s">
        <v>3246</v>
      </c>
      <c r="AK101" s="1353" t="s">
        <v>3425</v>
      </c>
      <c r="AL101" s="1354">
        <f t="shared" si="45"/>
        <v>21</v>
      </c>
      <c r="AM101" s="1354">
        <f t="shared" si="46"/>
        <v>4</v>
      </c>
      <c r="AN101" s="1354">
        <f t="shared" si="47"/>
        <v>4</v>
      </c>
      <c r="AO101" s="1354">
        <f t="shared" si="20"/>
        <v>0</v>
      </c>
      <c r="AP101" s="1354">
        <f t="shared" si="48"/>
        <v>0</v>
      </c>
      <c r="AQ101" s="1354">
        <f t="shared" si="49"/>
        <v>0</v>
      </c>
      <c r="AR101" s="1355">
        <f t="shared" si="50"/>
        <v>29</v>
      </c>
      <c r="AS101" s="1229"/>
    </row>
    <row r="102" spans="1:45" ht="16.149999999999999" customHeight="1" outlineLevel="1">
      <c r="A102" s="1353">
        <v>109</v>
      </c>
      <c r="B102" s="1353">
        <v>5</v>
      </c>
      <c r="C102" s="1353" t="str">
        <f>'sản lượng'!C103</f>
        <v>03649</v>
      </c>
      <c r="D102" s="1362" t="s">
        <v>430</v>
      </c>
      <c r="E102" s="1361" t="str">
        <f>TONGHOPCONGDOI!C109</f>
        <v>T. Ve</v>
      </c>
      <c r="F102" s="1355"/>
      <c r="G102" s="1353" t="s">
        <v>3246</v>
      </c>
      <c r="H102" s="1353" t="s">
        <v>3246</v>
      </c>
      <c r="I102" s="1353" t="s">
        <v>3425</v>
      </c>
      <c r="J102" s="1353" t="s">
        <v>3246</v>
      </c>
      <c r="K102" s="1353" t="s">
        <v>3246</v>
      </c>
      <c r="L102" s="1353" t="s">
        <v>3246</v>
      </c>
      <c r="M102" s="1353" t="s">
        <v>3424</v>
      </c>
      <c r="N102" s="1353" t="s">
        <v>3246</v>
      </c>
      <c r="O102" s="1353" t="s">
        <v>3246</v>
      </c>
      <c r="P102" s="1353" t="s">
        <v>3425</v>
      </c>
      <c r="Q102" s="1353" t="s">
        <v>3246</v>
      </c>
      <c r="R102" s="1353" t="s">
        <v>3246</v>
      </c>
      <c r="S102" s="1353" t="s">
        <v>3246</v>
      </c>
      <c r="T102" s="1353" t="s">
        <v>3424</v>
      </c>
      <c r="U102" s="1353" t="s">
        <v>3246</v>
      </c>
      <c r="V102" s="1353" t="s">
        <v>3246</v>
      </c>
      <c r="W102" s="1353" t="s">
        <v>3425</v>
      </c>
      <c r="X102" s="1353" t="s">
        <v>3246</v>
      </c>
      <c r="Y102" s="1353" t="s">
        <v>3246</v>
      </c>
      <c r="Z102" s="1353" t="s">
        <v>3246</v>
      </c>
      <c r="AA102" s="1353" t="s">
        <v>3424</v>
      </c>
      <c r="AB102" s="1353" t="s">
        <v>3246</v>
      </c>
      <c r="AC102" s="1353" t="s">
        <v>3246</v>
      </c>
      <c r="AD102" s="1353" t="s">
        <v>3425</v>
      </c>
      <c r="AE102" s="1353" t="s">
        <v>3246</v>
      </c>
      <c r="AF102" s="1353" t="s">
        <v>3246</v>
      </c>
      <c r="AG102" s="1353" t="s">
        <v>3246</v>
      </c>
      <c r="AH102" s="1353" t="s">
        <v>3424</v>
      </c>
      <c r="AI102" s="1353" t="s">
        <v>3246</v>
      </c>
      <c r="AJ102" s="1353" t="s">
        <v>3246</v>
      </c>
      <c r="AK102" s="1353"/>
      <c r="AL102" s="1354">
        <f t="shared" si="45"/>
        <v>22</v>
      </c>
      <c r="AM102" s="1354">
        <f t="shared" si="46"/>
        <v>4</v>
      </c>
      <c r="AN102" s="1354">
        <f t="shared" si="47"/>
        <v>4</v>
      </c>
      <c r="AO102" s="1354">
        <f t="shared" si="20"/>
        <v>0</v>
      </c>
      <c r="AP102" s="1354">
        <f t="shared" si="48"/>
        <v>0</v>
      </c>
      <c r="AQ102" s="1354">
        <f t="shared" si="49"/>
        <v>0</v>
      </c>
      <c r="AR102" s="1355">
        <f t="shared" si="50"/>
        <v>30</v>
      </c>
      <c r="AS102" s="1229"/>
    </row>
    <row r="103" spans="1:45" ht="16.149999999999999" customHeight="1" outlineLevel="1">
      <c r="A103" s="1353">
        <v>110</v>
      </c>
      <c r="B103" s="1353">
        <v>6</v>
      </c>
      <c r="C103" s="1353" t="str">
        <f>'sản lượng'!C104</f>
        <v>03675</v>
      </c>
      <c r="D103" s="1362" t="s">
        <v>430</v>
      </c>
      <c r="E103" s="1361" t="str">
        <f>TONGHOPCONGDOI!C110</f>
        <v>Thảo Khổ</v>
      </c>
      <c r="F103" s="1355"/>
      <c r="G103" s="1353" t="s">
        <v>3246</v>
      </c>
      <c r="H103" s="1353" t="s">
        <v>3246</v>
      </c>
      <c r="I103" s="1353" t="s">
        <v>3425</v>
      </c>
      <c r="J103" s="1353" t="s">
        <v>3246</v>
      </c>
      <c r="K103" s="1353" t="s">
        <v>3246</v>
      </c>
      <c r="L103" s="1353" t="s">
        <v>3246</v>
      </c>
      <c r="M103" s="1353" t="s">
        <v>3424</v>
      </c>
      <c r="N103" s="1353" t="s">
        <v>3246</v>
      </c>
      <c r="O103" s="1353" t="s">
        <v>3246</v>
      </c>
      <c r="P103" s="1353" t="s">
        <v>3425</v>
      </c>
      <c r="Q103" s="1353" t="s">
        <v>3246</v>
      </c>
      <c r="R103" s="1353" t="s">
        <v>3246</v>
      </c>
      <c r="S103" s="1353" t="s">
        <v>3246</v>
      </c>
      <c r="T103" s="1353" t="s">
        <v>3424</v>
      </c>
      <c r="U103" s="1353" t="s">
        <v>3246</v>
      </c>
      <c r="V103" s="1353" t="s">
        <v>3246</v>
      </c>
      <c r="W103" s="1353" t="s">
        <v>3246</v>
      </c>
      <c r="X103" s="1353" t="s">
        <v>3246</v>
      </c>
      <c r="Y103" s="1353" t="s">
        <v>3246</v>
      </c>
      <c r="Z103" s="1353" t="s">
        <v>3246</v>
      </c>
      <c r="AA103" s="1353" t="s">
        <v>3424</v>
      </c>
      <c r="AB103" s="1353" t="s">
        <v>3246</v>
      </c>
      <c r="AC103" s="1353" t="s">
        <v>3246</v>
      </c>
      <c r="AD103" s="1353" t="s">
        <v>3246</v>
      </c>
      <c r="AE103" s="1353" t="s">
        <v>3246</v>
      </c>
      <c r="AF103" s="1353" t="s">
        <v>3246</v>
      </c>
      <c r="AG103" s="1353" t="s">
        <v>3246</v>
      </c>
      <c r="AH103" s="1353" t="s">
        <v>3424</v>
      </c>
      <c r="AI103" s="1353" t="s">
        <v>3246</v>
      </c>
      <c r="AJ103" s="1353" t="s">
        <v>3246</v>
      </c>
      <c r="AK103" s="1353" t="s">
        <v>3246</v>
      </c>
      <c r="AL103" s="1354">
        <f t="shared" si="45"/>
        <v>25</v>
      </c>
      <c r="AM103" s="1354">
        <f t="shared" si="46"/>
        <v>4</v>
      </c>
      <c r="AN103" s="1354">
        <f t="shared" si="47"/>
        <v>2</v>
      </c>
      <c r="AO103" s="1354">
        <f t="shared" si="20"/>
        <v>0</v>
      </c>
      <c r="AP103" s="1354">
        <f t="shared" si="48"/>
        <v>0</v>
      </c>
      <c r="AQ103" s="1354">
        <f t="shared" si="49"/>
        <v>0</v>
      </c>
      <c r="AR103" s="1355">
        <f t="shared" si="50"/>
        <v>31</v>
      </c>
      <c r="AS103" s="1229"/>
    </row>
    <row r="104" spans="1:45" ht="16.149999999999999" customHeight="1" outlineLevel="1">
      <c r="A104" s="1353">
        <v>111</v>
      </c>
      <c r="B104" s="1353">
        <v>7</v>
      </c>
      <c r="C104" s="1353">
        <f>'sản lượng'!C105</f>
        <v>0</v>
      </c>
      <c r="D104" s="1362" t="s">
        <v>430</v>
      </c>
      <c r="E104" s="1361" t="str">
        <f>TONGHOPCONGDOI!C111</f>
        <v>Nàng Văn Đay</v>
      </c>
      <c r="F104" s="1355"/>
      <c r="G104" s="1353" t="s">
        <v>3246</v>
      </c>
      <c r="H104" s="1353" t="s">
        <v>3246</v>
      </c>
      <c r="I104" s="1353" t="s">
        <v>3425</v>
      </c>
      <c r="J104" s="1353" t="s">
        <v>3246</v>
      </c>
      <c r="K104" s="1353" t="s">
        <v>3246</v>
      </c>
      <c r="L104" s="1353" t="s">
        <v>3246</v>
      </c>
      <c r="M104" s="1353" t="s">
        <v>3424</v>
      </c>
      <c r="N104" s="1353" t="s">
        <v>3246</v>
      </c>
      <c r="O104" s="1353" t="s">
        <v>3246</v>
      </c>
      <c r="P104" s="1353" t="s">
        <v>3425</v>
      </c>
      <c r="Q104" s="1353" t="s">
        <v>3246</v>
      </c>
      <c r="R104" s="1353" t="s">
        <v>3246</v>
      </c>
      <c r="S104" s="1353" t="s">
        <v>3246</v>
      </c>
      <c r="T104" s="1353" t="s">
        <v>3424</v>
      </c>
      <c r="U104" s="1353" t="s">
        <v>3246</v>
      </c>
      <c r="V104" s="1353" t="s">
        <v>3246</v>
      </c>
      <c r="W104" s="1353" t="s">
        <v>3425</v>
      </c>
      <c r="X104" s="1353" t="s">
        <v>3246</v>
      </c>
      <c r="Y104" s="1353" t="s">
        <v>3246</v>
      </c>
      <c r="Z104" s="1353" t="s">
        <v>3246</v>
      </c>
      <c r="AA104" s="1353" t="s">
        <v>3424</v>
      </c>
      <c r="AB104" s="1353" t="s">
        <v>3246</v>
      </c>
      <c r="AC104" s="1353"/>
      <c r="AD104" s="1353" t="s">
        <v>3425</v>
      </c>
      <c r="AE104" s="1353" t="s">
        <v>3246</v>
      </c>
      <c r="AF104" s="1353" t="s">
        <v>3246</v>
      </c>
      <c r="AG104" s="1353" t="s">
        <v>3246</v>
      </c>
      <c r="AH104" s="1353" t="s">
        <v>3424</v>
      </c>
      <c r="AI104" s="1353" t="s">
        <v>3246</v>
      </c>
      <c r="AJ104" s="1353" t="s">
        <v>3246</v>
      </c>
      <c r="AK104" s="1353" t="s">
        <v>3425</v>
      </c>
      <c r="AL104" s="1354">
        <f t="shared" si="45"/>
        <v>21</v>
      </c>
      <c r="AM104" s="1354">
        <f t="shared" si="46"/>
        <v>4</v>
      </c>
      <c r="AN104" s="1354">
        <f t="shared" si="47"/>
        <v>5</v>
      </c>
      <c r="AO104" s="1354">
        <f t="shared" si="20"/>
        <v>0</v>
      </c>
      <c r="AP104" s="1354">
        <f t="shared" si="48"/>
        <v>0</v>
      </c>
      <c r="AQ104" s="1354">
        <f t="shared" si="49"/>
        <v>0</v>
      </c>
      <c r="AR104" s="1355">
        <f t="shared" si="50"/>
        <v>30</v>
      </c>
      <c r="AS104" s="1229"/>
    </row>
    <row r="105" spans="1:45" ht="16.149999999999999" customHeight="1" outlineLevel="1">
      <c r="A105" s="1353">
        <v>112</v>
      </c>
      <c r="B105" s="1353">
        <v>8</v>
      </c>
      <c r="C105" s="1353" t="str">
        <f>'sản lượng'!C106</f>
        <v>03652</v>
      </c>
      <c r="D105" s="1362" t="s">
        <v>430</v>
      </c>
      <c r="E105" s="1361" t="str">
        <f>TONGHOPCONGDOI!C112</f>
        <v>Nàng Ni Khăm</v>
      </c>
      <c r="F105" s="1355"/>
      <c r="G105" s="1353" t="s">
        <v>3246</v>
      </c>
      <c r="H105" s="1353" t="s">
        <v>3246</v>
      </c>
      <c r="I105" s="1353" t="s">
        <v>3425</v>
      </c>
      <c r="J105" s="1353" t="s">
        <v>3246</v>
      </c>
      <c r="K105" s="1353" t="s">
        <v>3246</v>
      </c>
      <c r="L105" s="1353" t="s">
        <v>3246</v>
      </c>
      <c r="M105" s="1353" t="s">
        <v>3424</v>
      </c>
      <c r="N105" s="1353" t="s">
        <v>3246</v>
      </c>
      <c r="O105" s="1353" t="s">
        <v>3246</v>
      </c>
      <c r="P105" s="1353" t="s">
        <v>3425</v>
      </c>
      <c r="Q105" s="1353" t="s">
        <v>3246</v>
      </c>
      <c r="R105" s="1353" t="s">
        <v>3246</v>
      </c>
      <c r="S105" s="1353" t="s">
        <v>3246</v>
      </c>
      <c r="T105" s="1353" t="s">
        <v>3424</v>
      </c>
      <c r="U105" s="1353" t="s">
        <v>3246</v>
      </c>
      <c r="V105" s="1353" t="s">
        <v>3246</v>
      </c>
      <c r="W105" s="1353" t="s">
        <v>3425</v>
      </c>
      <c r="X105" s="1353" t="s">
        <v>3246</v>
      </c>
      <c r="Y105" s="1353" t="s">
        <v>3246</v>
      </c>
      <c r="Z105" s="1353" t="s">
        <v>3246</v>
      </c>
      <c r="AA105" s="1353" t="s">
        <v>3424</v>
      </c>
      <c r="AB105" s="1353" t="s">
        <v>3246</v>
      </c>
      <c r="AC105" s="1353"/>
      <c r="AD105" s="1353" t="s">
        <v>3246</v>
      </c>
      <c r="AE105" s="1353" t="s">
        <v>3246</v>
      </c>
      <c r="AF105" s="1353" t="s">
        <v>3246</v>
      </c>
      <c r="AG105" s="1353" t="s">
        <v>3246</v>
      </c>
      <c r="AH105" s="1353" t="s">
        <v>3424</v>
      </c>
      <c r="AI105" s="1353" t="s">
        <v>3246</v>
      </c>
      <c r="AJ105" s="1353" t="s">
        <v>3246</v>
      </c>
      <c r="AK105" s="1353" t="s">
        <v>3425</v>
      </c>
      <c r="AL105" s="1354">
        <f t="shared" si="45"/>
        <v>22</v>
      </c>
      <c r="AM105" s="1354">
        <f t="shared" si="46"/>
        <v>4</v>
      </c>
      <c r="AN105" s="1354">
        <f t="shared" si="47"/>
        <v>4</v>
      </c>
      <c r="AO105" s="1354">
        <f t="shared" si="20"/>
        <v>0</v>
      </c>
      <c r="AP105" s="1354">
        <f t="shared" si="48"/>
        <v>0</v>
      </c>
      <c r="AQ105" s="1354">
        <f t="shared" si="49"/>
        <v>0</v>
      </c>
      <c r="AR105" s="1355">
        <f t="shared" si="50"/>
        <v>30</v>
      </c>
      <c r="AS105" s="1229"/>
    </row>
    <row r="106" spans="1:45" ht="16.149999999999999" customHeight="1" outlineLevel="1">
      <c r="A106" s="1353">
        <v>113</v>
      </c>
      <c r="B106" s="1353">
        <v>9</v>
      </c>
      <c r="C106" s="1353" t="str">
        <f>'sản lượng'!C107</f>
        <v>04124</v>
      </c>
      <c r="D106" s="1362" t="s">
        <v>430</v>
      </c>
      <c r="E106" s="1361" t="str">
        <f>TONGHOPCONGDOI!C113</f>
        <v>T. Lăm Chê</v>
      </c>
      <c r="F106" s="1355"/>
      <c r="G106" s="1353" t="s">
        <v>3246</v>
      </c>
      <c r="H106" s="1353" t="s">
        <v>3246</v>
      </c>
      <c r="I106" s="1353" t="s">
        <v>3425</v>
      </c>
      <c r="J106" s="1353" t="s">
        <v>3246</v>
      </c>
      <c r="K106" s="1353" t="s">
        <v>3246</v>
      </c>
      <c r="L106" s="1353" t="s">
        <v>3246</v>
      </c>
      <c r="M106" s="1353"/>
      <c r="N106" s="1353" t="s">
        <v>3246</v>
      </c>
      <c r="O106" s="1353" t="s">
        <v>3246</v>
      </c>
      <c r="P106" s="1353" t="s">
        <v>3425</v>
      </c>
      <c r="Q106" s="1353"/>
      <c r="R106" s="1353" t="s">
        <v>3246</v>
      </c>
      <c r="S106" s="1353" t="s">
        <v>3246</v>
      </c>
      <c r="T106" s="1353" t="s">
        <v>3424</v>
      </c>
      <c r="U106" s="1353" t="s">
        <v>3246</v>
      </c>
      <c r="V106" s="1353" t="s">
        <v>3246</v>
      </c>
      <c r="W106" s="1353" t="s">
        <v>3425</v>
      </c>
      <c r="X106" s="1353" t="s">
        <v>3246</v>
      </c>
      <c r="Y106" s="1353" t="s">
        <v>3246</v>
      </c>
      <c r="Z106" s="1353" t="s">
        <v>3246</v>
      </c>
      <c r="AA106" s="1353" t="s">
        <v>3424</v>
      </c>
      <c r="AB106" s="1353" t="s">
        <v>3246</v>
      </c>
      <c r="AC106" s="1353" t="s">
        <v>3246</v>
      </c>
      <c r="AD106" s="1353" t="s">
        <v>3425</v>
      </c>
      <c r="AE106" s="1353" t="s">
        <v>3246</v>
      </c>
      <c r="AF106" s="1353" t="s">
        <v>3246</v>
      </c>
      <c r="AG106" s="1353" t="s">
        <v>3246</v>
      </c>
      <c r="AH106" s="1353" t="s">
        <v>3424</v>
      </c>
      <c r="AI106" s="1353" t="s">
        <v>3246</v>
      </c>
      <c r="AJ106" s="1353" t="s">
        <v>3246</v>
      </c>
      <c r="AK106" s="1353" t="s">
        <v>3425</v>
      </c>
      <c r="AL106" s="1354">
        <f t="shared" si="45"/>
        <v>21</v>
      </c>
      <c r="AM106" s="1354">
        <f t="shared" si="46"/>
        <v>3</v>
      </c>
      <c r="AN106" s="1354">
        <f t="shared" si="47"/>
        <v>5</v>
      </c>
      <c r="AO106" s="1354">
        <f t="shared" si="20"/>
        <v>0</v>
      </c>
      <c r="AP106" s="1354">
        <f t="shared" si="48"/>
        <v>0</v>
      </c>
      <c r="AQ106" s="1354">
        <f t="shared" si="49"/>
        <v>0</v>
      </c>
      <c r="AR106" s="1355">
        <f t="shared" si="50"/>
        <v>29</v>
      </c>
      <c r="AS106" s="1229"/>
    </row>
    <row r="107" spans="1:45" ht="16.149999999999999" customHeight="1" outlineLevel="1">
      <c r="A107" s="1353">
        <v>114</v>
      </c>
      <c r="B107" s="1353">
        <v>10</v>
      </c>
      <c r="C107" s="1353" t="str">
        <f>'sản lượng'!C108</f>
        <v>03654</v>
      </c>
      <c r="D107" s="1362" t="s">
        <v>430</v>
      </c>
      <c r="E107" s="1361" t="str">
        <f>TONGHOPCONGDOI!C114</f>
        <v>T. Phim</v>
      </c>
      <c r="F107" s="1355"/>
      <c r="G107" s="1353"/>
      <c r="H107" s="1353" t="s">
        <v>3246</v>
      </c>
      <c r="I107" s="1353" t="s">
        <v>3425</v>
      </c>
      <c r="J107" s="1353" t="s">
        <v>3246</v>
      </c>
      <c r="K107" s="1353" t="s">
        <v>3246</v>
      </c>
      <c r="L107" s="1353" t="s">
        <v>3246</v>
      </c>
      <c r="M107" s="1353" t="s">
        <v>3424</v>
      </c>
      <c r="N107" s="1353" t="s">
        <v>3246</v>
      </c>
      <c r="O107" s="1353" t="s">
        <v>3246</v>
      </c>
      <c r="P107" s="1353" t="s">
        <v>3425</v>
      </c>
      <c r="Q107" s="1353" t="s">
        <v>3246</v>
      </c>
      <c r="R107" s="1353" t="s">
        <v>3246</v>
      </c>
      <c r="S107" s="1353" t="s">
        <v>3246</v>
      </c>
      <c r="T107" s="1353" t="s">
        <v>3424</v>
      </c>
      <c r="U107" s="1353" t="s">
        <v>3246</v>
      </c>
      <c r="V107" s="1353" t="s">
        <v>3246</v>
      </c>
      <c r="W107" s="1353" t="s">
        <v>3425</v>
      </c>
      <c r="X107" s="1353" t="s">
        <v>3246</v>
      </c>
      <c r="Y107" s="1353" t="s">
        <v>3246</v>
      </c>
      <c r="Z107" s="1353" t="s">
        <v>3246</v>
      </c>
      <c r="AA107" s="1353" t="s">
        <v>3424</v>
      </c>
      <c r="AB107" s="1353" t="s">
        <v>3246</v>
      </c>
      <c r="AC107" s="1353" t="s">
        <v>3246</v>
      </c>
      <c r="AD107" s="1353" t="s">
        <v>3425</v>
      </c>
      <c r="AE107" s="1353" t="s">
        <v>3246</v>
      </c>
      <c r="AF107" s="1353"/>
      <c r="AG107" s="1353"/>
      <c r="AH107" s="1353" t="s">
        <v>3424</v>
      </c>
      <c r="AI107" s="1353" t="s">
        <v>3246</v>
      </c>
      <c r="AJ107" s="1353" t="s">
        <v>3246</v>
      </c>
      <c r="AK107" s="1353" t="s">
        <v>3425</v>
      </c>
      <c r="AL107" s="1354">
        <f t="shared" si="45"/>
        <v>19</v>
      </c>
      <c r="AM107" s="1354">
        <f t="shared" si="46"/>
        <v>4</v>
      </c>
      <c r="AN107" s="1354">
        <f t="shared" si="47"/>
        <v>5</v>
      </c>
      <c r="AO107" s="1354">
        <f t="shared" si="20"/>
        <v>0</v>
      </c>
      <c r="AP107" s="1354">
        <f t="shared" si="48"/>
        <v>0</v>
      </c>
      <c r="AQ107" s="1354">
        <f t="shared" si="49"/>
        <v>0</v>
      </c>
      <c r="AR107" s="1355">
        <f t="shared" si="50"/>
        <v>28</v>
      </c>
      <c r="AS107" s="1229"/>
    </row>
    <row r="108" spans="1:45" ht="16.149999999999999" customHeight="1" outlineLevel="1">
      <c r="A108" s="1353">
        <v>115</v>
      </c>
      <c r="B108" s="1353">
        <v>11</v>
      </c>
      <c r="C108" s="1353" t="str">
        <f>'sản lượng'!C109</f>
        <v>04125</v>
      </c>
      <c r="D108" s="1362" t="s">
        <v>430</v>
      </c>
      <c r="E108" s="1361" t="str">
        <f>TONGHOPCONGDOI!C115</f>
        <v>T. Teo</v>
      </c>
      <c r="F108" s="1355"/>
      <c r="G108" s="1353" t="s">
        <v>3246</v>
      </c>
      <c r="H108" s="1353" t="s">
        <v>3246</v>
      </c>
      <c r="I108" s="1353" t="s">
        <v>3425</v>
      </c>
      <c r="J108" s="1353" t="s">
        <v>3246</v>
      </c>
      <c r="K108" s="1353" t="s">
        <v>3246</v>
      </c>
      <c r="L108" s="1353" t="s">
        <v>3246</v>
      </c>
      <c r="M108" s="1353"/>
      <c r="N108" s="1353" t="s">
        <v>3246</v>
      </c>
      <c r="O108" s="1353" t="s">
        <v>3246</v>
      </c>
      <c r="P108" s="1353" t="s">
        <v>3425</v>
      </c>
      <c r="Q108" s="1353" t="s">
        <v>3246</v>
      </c>
      <c r="R108" s="1353" t="s">
        <v>3246</v>
      </c>
      <c r="S108" s="1353" t="s">
        <v>3246</v>
      </c>
      <c r="T108" s="1353" t="s">
        <v>3424</v>
      </c>
      <c r="U108" s="1353" t="s">
        <v>3246</v>
      </c>
      <c r="V108" s="1353" t="s">
        <v>3246</v>
      </c>
      <c r="W108" s="1353" t="s">
        <v>3425</v>
      </c>
      <c r="X108" s="1353" t="s">
        <v>3246</v>
      </c>
      <c r="Y108" s="1353" t="s">
        <v>3246</v>
      </c>
      <c r="Z108" s="1353" t="s">
        <v>3246</v>
      </c>
      <c r="AA108" s="1353" t="s">
        <v>3424</v>
      </c>
      <c r="AB108" s="1353" t="s">
        <v>3246</v>
      </c>
      <c r="AC108" s="1353"/>
      <c r="AD108" s="1353" t="s">
        <v>3425</v>
      </c>
      <c r="AE108" s="1353" t="s">
        <v>3246</v>
      </c>
      <c r="AF108" s="1353" t="s">
        <v>3246</v>
      </c>
      <c r="AG108" s="1353" t="s">
        <v>3246</v>
      </c>
      <c r="AH108" s="1353" t="s">
        <v>3424</v>
      </c>
      <c r="AI108" s="1353"/>
      <c r="AJ108" s="1353" t="s">
        <v>3246</v>
      </c>
      <c r="AK108" s="1353" t="s">
        <v>3425</v>
      </c>
      <c r="AL108" s="1354">
        <f t="shared" si="45"/>
        <v>20</v>
      </c>
      <c r="AM108" s="1354">
        <f t="shared" si="46"/>
        <v>3</v>
      </c>
      <c r="AN108" s="1354">
        <f t="shared" si="47"/>
        <v>5</v>
      </c>
      <c r="AO108" s="1354">
        <f t="shared" si="20"/>
        <v>0</v>
      </c>
      <c r="AP108" s="1354">
        <f t="shared" si="48"/>
        <v>0</v>
      </c>
      <c r="AQ108" s="1354">
        <f t="shared" si="49"/>
        <v>0</v>
      </c>
      <c r="AR108" s="1355">
        <f t="shared" si="50"/>
        <v>28</v>
      </c>
      <c r="AS108" s="1229"/>
    </row>
    <row r="109" spans="1:45" ht="16.149999999999999" customHeight="1" outlineLevel="1">
      <c r="A109" s="1353">
        <v>116</v>
      </c>
      <c r="B109" s="1353">
        <v>12</v>
      </c>
      <c r="C109" s="1353" t="str">
        <f>'sản lượng'!C110</f>
        <v>03656</v>
      </c>
      <c r="D109" s="1362" t="s">
        <v>430</v>
      </c>
      <c r="E109" s="1361" t="str">
        <f>TONGHOPCONGDOI!C116</f>
        <v>N. Văn Thong</v>
      </c>
      <c r="F109" s="1355"/>
      <c r="G109" s="1353" t="s">
        <v>3246</v>
      </c>
      <c r="H109" s="1353" t="s">
        <v>3246</v>
      </c>
      <c r="I109" s="1353" t="s">
        <v>3425</v>
      </c>
      <c r="J109" s="1353" t="s">
        <v>3246</v>
      </c>
      <c r="K109" s="1353" t="s">
        <v>3246</v>
      </c>
      <c r="L109" s="1353" t="s">
        <v>3246</v>
      </c>
      <c r="M109" s="1353"/>
      <c r="N109" s="1353" t="s">
        <v>3246</v>
      </c>
      <c r="O109" s="1353" t="s">
        <v>3246</v>
      </c>
      <c r="P109" s="1353" t="s">
        <v>3425</v>
      </c>
      <c r="Q109" s="1353" t="s">
        <v>3246</v>
      </c>
      <c r="R109" s="1353" t="s">
        <v>3246</v>
      </c>
      <c r="S109" s="1353" t="s">
        <v>3246</v>
      </c>
      <c r="T109" s="1353" t="s">
        <v>3424</v>
      </c>
      <c r="U109" s="1353" t="s">
        <v>3246</v>
      </c>
      <c r="V109" s="1353" t="s">
        <v>3246</v>
      </c>
      <c r="W109" s="1353" t="s">
        <v>3425</v>
      </c>
      <c r="X109" s="1353" t="s">
        <v>3246</v>
      </c>
      <c r="Y109" s="1353" t="s">
        <v>3246</v>
      </c>
      <c r="Z109" s="1353" t="s">
        <v>3246</v>
      </c>
      <c r="AA109" s="1353" t="s">
        <v>3424</v>
      </c>
      <c r="AB109" s="1353" t="s">
        <v>3246</v>
      </c>
      <c r="AC109" s="1353" t="s">
        <v>3246</v>
      </c>
      <c r="AD109" s="1353" t="s">
        <v>3425</v>
      </c>
      <c r="AE109" s="1353" t="s">
        <v>3246</v>
      </c>
      <c r="AF109" s="1353" t="s">
        <v>3246</v>
      </c>
      <c r="AG109" s="1353" t="s">
        <v>3246</v>
      </c>
      <c r="AH109" s="1353" t="s">
        <v>3424</v>
      </c>
      <c r="AI109" s="1353"/>
      <c r="AJ109" s="1353" t="s">
        <v>3246</v>
      </c>
      <c r="AK109" s="1353" t="s">
        <v>3425</v>
      </c>
      <c r="AL109" s="1354">
        <f t="shared" si="45"/>
        <v>21</v>
      </c>
      <c r="AM109" s="1354">
        <f t="shared" si="46"/>
        <v>3</v>
      </c>
      <c r="AN109" s="1354">
        <f t="shared" si="47"/>
        <v>5</v>
      </c>
      <c r="AO109" s="1354">
        <f t="shared" si="20"/>
        <v>0</v>
      </c>
      <c r="AP109" s="1354">
        <f t="shared" si="48"/>
        <v>0</v>
      </c>
      <c r="AQ109" s="1354">
        <f t="shared" si="49"/>
        <v>0</v>
      </c>
      <c r="AR109" s="1355">
        <f t="shared" si="50"/>
        <v>29</v>
      </c>
      <c r="AS109" s="1229"/>
    </row>
    <row r="110" spans="1:45" ht="16.149999999999999" customHeight="1" outlineLevel="1">
      <c r="A110" s="1353">
        <v>117</v>
      </c>
      <c r="B110" s="1353">
        <v>13</v>
      </c>
      <c r="C110" s="1353" t="str">
        <f>'sản lượng'!C111</f>
        <v>03657</v>
      </c>
      <c r="D110" s="1362" t="s">
        <v>430</v>
      </c>
      <c r="E110" s="1361" t="str">
        <f>TONGHOPCONGDOI!C117</f>
        <v>Cong Khăm</v>
      </c>
      <c r="F110" s="1355"/>
      <c r="G110" s="1353" t="s">
        <v>3246</v>
      </c>
      <c r="H110" s="1353" t="s">
        <v>3246</v>
      </c>
      <c r="I110" s="1353" t="s">
        <v>3425</v>
      </c>
      <c r="J110" s="1353" t="s">
        <v>3246</v>
      </c>
      <c r="K110" s="1353" t="s">
        <v>3246</v>
      </c>
      <c r="L110" s="1353" t="s">
        <v>3246</v>
      </c>
      <c r="M110" s="1353" t="s">
        <v>3424</v>
      </c>
      <c r="N110" s="1353"/>
      <c r="O110" s="1353" t="s">
        <v>3246</v>
      </c>
      <c r="P110" s="1353" t="s">
        <v>3425</v>
      </c>
      <c r="Q110" s="1353" t="s">
        <v>3246</v>
      </c>
      <c r="R110" s="1353" t="s">
        <v>3246</v>
      </c>
      <c r="S110" s="1353" t="s">
        <v>3246</v>
      </c>
      <c r="T110" s="1353" t="s">
        <v>3424</v>
      </c>
      <c r="U110" s="1353" t="s">
        <v>3246</v>
      </c>
      <c r="V110" s="1353" t="s">
        <v>3246</v>
      </c>
      <c r="W110" s="1353" t="s">
        <v>3425</v>
      </c>
      <c r="X110" s="1353" t="s">
        <v>3246</v>
      </c>
      <c r="Y110" s="1353" t="s">
        <v>3246</v>
      </c>
      <c r="Z110" s="1353" t="s">
        <v>3246</v>
      </c>
      <c r="AA110" s="1353" t="s">
        <v>3424</v>
      </c>
      <c r="AB110" s="1353" t="s">
        <v>3246</v>
      </c>
      <c r="AC110" s="1353" t="s">
        <v>3246</v>
      </c>
      <c r="AD110" s="1353" t="s">
        <v>3425</v>
      </c>
      <c r="AE110" s="1353" t="s">
        <v>3246</v>
      </c>
      <c r="AF110" s="1353" t="s">
        <v>3246</v>
      </c>
      <c r="AG110" s="1353" t="s">
        <v>3246</v>
      </c>
      <c r="AH110" s="1353" t="s">
        <v>3424</v>
      </c>
      <c r="AI110" s="1353" t="s">
        <v>3246</v>
      </c>
      <c r="AJ110" s="1353" t="s">
        <v>3246</v>
      </c>
      <c r="AK110" s="1353" t="s">
        <v>3425</v>
      </c>
      <c r="AL110" s="1354">
        <f t="shared" si="45"/>
        <v>21</v>
      </c>
      <c r="AM110" s="1354">
        <f t="shared" si="46"/>
        <v>4</v>
      </c>
      <c r="AN110" s="1354">
        <f t="shared" si="47"/>
        <v>5</v>
      </c>
      <c r="AO110" s="1354">
        <f t="shared" si="20"/>
        <v>0</v>
      </c>
      <c r="AP110" s="1354">
        <f t="shared" si="48"/>
        <v>0</v>
      </c>
      <c r="AQ110" s="1354">
        <f t="shared" si="49"/>
        <v>0</v>
      </c>
      <c r="AR110" s="1355">
        <f t="shared" si="50"/>
        <v>30</v>
      </c>
      <c r="AS110" s="1229"/>
    </row>
    <row r="111" spans="1:45" ht="16.149999999999999" customHeight="1" outlineLevel="1">
      <c r="A111" s="1353">
        <v>118</v>
      </c>
      <c r="B111" s="1353">
        <v>14</v>
      </c>
      <c r="C111" s="1353" t="str">
        <f>'sản lượng'!C112</f>
        <v>03658</v>
      </c>
      <c r="D111" s="1362" t="s">
        <v>430</v>
      </c>
      <c r="E111" s="1361" t="str">
        <f>TONGHOPCONGDOI!C118</f>
        <v>Thảo Vông 1</v>
      </c>
      <c r="F111" s="1355"/>
      <c r="G111" s="1353" t="s">
        <v>3246</v>
      </c>
      <c r="H111" s="1353" t="s">
        <v>3246</v>
      </c>
      <c r="I111" s="1353" t="s">
        <v>3425</v>
      </c>
      <c r="J111" s="1353" t="s">
        <v>3246</v>
      </c>
      <c r="K111" s="1353" t="s">
        <v>3246</v>
      </c>
      <c r="L111" s="1353" t="s">
        <v>3246</v>
      </c>
      <c r="M111" s="1353" t="s">
        <v>3424</v>
      </c>
      <c r="N111" s="1353"/>
      <c r="O111" s="1353" t="s">
        <v>3246</v>
      </c>
      <c r="P111" s="1353"/>
      <c r="Q111" s="1353"/>
      <c r="R111" s="1353"/>
      <c r="S111" s="1353"/>
      <c r="T111" s="1353"/>
      <c r="U111" s="1353"/>
      <c r="V111" s="1353"/>
      <c r="W111" s="1353"/>
      <c r="X111" s="1353"/>
      <c r="Y111" s="1353"/>
      <c r="Z111" s="1353"/>
      <c r="AA111" s="1353"/>
      <c r="AB111" s="1353"/>
      <c r="AC111" s="1353"/>
      <c r="AD111" s="1353"/>
      <c r="AE111" s="1353"/>
      <c r="AF111" s="1353"/>
      <c r="AG111" s="1353"/>
      <c r="AH111" s="1353"/>
      <c r="AI111" s="1353"/>
      <c r="AJ111" s="1353"/>
      <c r="AK111" s="1353"/>
      <c r="AL111" s="1354">
        <f t="shared" si="45"/>
        <v>6</v>
      </c>
      <c r="AM111" s="1354">
        <f t="shared" si="46"/>
        <v>1</v>
      </c>
      <c r="AN111" s="1354">
        <f t="shared" si="47"/>
        <v>1</v>
      </c>
      <c r="AO111" s="1354">
        <f t="shared" si="20"/>
        <v>0</v>
      </c>
      <c r="AP111" s="1354">
        <f t="shared" si="48"/>
        <v>0</v>
      </c>
      <c r="AQ111" s="1354">
        <f t="shared" si="49"/>
        <v>0</v>
      </c>
      <c r="AR111" s="1355">
        <f t="shared" si="50"/>
        <v>8</v>
      </c>
      <c r="AS111" s="1229"/>
    </row>
    <row r="112" spans="1:45" ht="16.149999999999999" customHeight="1" outlineLevel="1">
      <c r="A112" s="1353">
        <v>119</v>
      </c>
      <c r="B112" s="1353">
        <v>15</v>
      </c>
      <c r="C112" s="1353" t="str">
        <f>'sản lượng'!C113</f>
        <v>04126</v>
      </c>
      <c r="D112" s="1362" t="s">
        <v>430</v>
      </c>
      <c r="E112" s="1361" t="str">
        <f>TONGHOPCONGDOI!C119</f>
        <v>N. Vông</v>
      </c>
      <c r="F112" s="1355"/>
      <c r="G112" s="1353" t="s">
        <v>3246</v>
      </c>
      <c r="H112" s="1353" t="s">
        <v>3246</v>
      </c>
      <c r="I112" s="1353" t="s">
        <v>3425</v>
      </c>
      <c r="J112" s="1353" t="s">
        <v>3246</v>
      </c>
      <c r="K112" s="1353" t="s">
        <v>3246</v>
      </c>
      <c r="L112" s="1353" t="s">
        <v>3246</v>
      </c>
      <c r="M112" s="1353" t="s">
        <v>3424</v>
      </c>
      <c r="N112" s="1353" t="s">
        <v>3246</v>
      </c>
      <c r="O112" s="1353" t="s">
        <v>3246</v>
      </c>
      <c r="P112" s="1353" t="s">
        <v>3425</v>
      </c>
      <c r="Q112" s="1353" t="s">
        <v>3246</v>
      </c>
      <c r="R112" s="1353" t="s">
        <v>3246</v>
      </c>
      <c r="S112" s="1353" t="s">
        <v>3246</v>
      </c>
      <c r="T112" s="1353" t="s">
        <v>3424</v>
      </c>
      <c r="U112" s="1353" t="s">
        <v>3246</v>
      </c>
      <c r="V112" s="1353" t="s">
        <v>3246</v>
      </c>
      <c r="W112" s="1353" t="s">
        <v>3425</v>
      </c>
      <c r="X112" s="1353" t="s">
        <v>3246</v>
      </c>
      <c r="Y112" s="1353" t="s">
        <v>3246</v>
      </c>
      <c r="Z112" s="1353" t="s">
        <v>3246</v>
      </c>
      <c r="AA112" s="1353" t="s">
        <v>3424</v>
      </c>
      <c r="AB112" s="1353" t="s">
        <v>3246</v>
      </c>
      <c r="AC112" s="1353" t="s">
        <v>3246</v>
      </c>
      <c r="AD112" s="1353" t="s">
        <v>3425</v>
      </c>
      <c r="AE112" s="1353" t="s">
        <v>3246</v>
      </c>
      <c r="AF112" s="1353" t="s">
        <v>3246</v>
      </c>
      <c r="AG112" s="1353" t="s">
        <v>3246</v>
      </c>
      <c r="AH112" s="1353" t="s">
        <v>3424</v>
      </c>
      <c r="AI112" s="1353" t="s">
        <v>3246</v>
      </c>
      <c r="AJ112" s="1353" t="s">
        <v>3246</v>
      </c>
      <c r="AK112" s="1353" t="s">
        <v>3425</v>
      </c>
      <c r="AL112" s="1354">
        <f t="shared" si="45"/>
        <v>22</v>
      </c>
      <c r="AM112" s="1354">
        <f t="shared" si="46"/>
        <v>4</v>
      </c>
      <c r="AN112" s="1354">
        <f t="shared" si="47"/>
        <v>5</v>
      </c>
      <c r="AO112" s="1354">
        <f t="shared" si="20"/>
        <v>0</v>
      </c>
      <c r="AP112" s="1354">
        <f t="shared" si="48"/>
        <v>0</v>
      </c>
      <c r="AQ112" s="1354">
        <f t="shared" si="49"/>
        <v>0</v>
      </c>
      <c r="AR112" s="1355">
        <f t="shared" si="50"/>
        <v>31</v>
      </c>
      <c r="AS112" s="1229"/>
    </row>
    <row r="113" spans="1:45" ht="16.149999999999999" customHeight="1" outlineLevel="1">
      <c r="A113" s="1353">
        <v>120</v>
      </c>
      <c r="B113" s="1353">
        <v>16</v>
      </c>
      <c r="C113" s="1353" t="str">
        <f>'sản lượng'!C114</f>
        <v>03494</v>
      </c>
      <c r="D113" s="1362" t="s">
        <v>430</v>
      </c>
      <c r="E113" s="1361" t="str">
        <f>TONGHOPCONGDOI!C120</f>
        <v>T. Đi</v>
      </c>
      <c r="F113" s="1355"/>
      <c r="G113" s="1353" t="s">
        <v>3246</v>
      </c>
      <c r="H113" s="1353" t="s">
        <v>3246</v>
      </c>
      <c r="I113" s="1353" t="s">
        <v>3425</v>
      </c>
      <c r="J113" s="1353" t="s">
        <v>3246</v>
      </c>
      <c r="K113" s="1353" t="s">
        <v>3246</v>
      </c>
      <c r="L113" s="1353" t="s">
        <v>3246</v>
      </c>
      <c r="M113" s="1353" t="s">
        <v>3424</v>
      </c>
      <c r="N113" s="1353" t="s">
        <v>3246</v>
      </c>
      <c r="O113" s="1353" t="s">
        <v>3246</v>
      </c>
      <c r="P113" s="1353" t="s">
        <v>3425</v>
      </c>
      <c r="Q113" s="1353" t="s">
        <v>3246</v>
      </c>
      <c r="R113" s="1353" t="s">
        <v>3246</v>
      </c>
      <c r="S113" s="1353" t="s">
        <v>3246</v>
      </c>
      <c r="T113" s="1353" t="s">
        <v>3424</v>
      </c>
      <c r="U113" s="1353" t="s">
        <v>3246</v>
      </c>
      <c r="V113" s="1353" t="s">
        <v>3246</v>
      </c>
      <c r="W113" s="1353" t="s">
        <v>3425</v>
      </c>
      <c r="X113" s="1353" t="s">
        <v>3246</v>
      </c>
      <c r="Y113" s="1353" t="s">
        <v>3246</v>
      </c>
      <c r="Z113" s="1353" t="s">
        <v>3246</v>
      </c>
      <c r="AA113" s="1353" t="s">
        <v>3424</v>
      </c>
      <c r="AB113" s="1353" t="s">
        <v>3246</v>
      </c>
      <c r="AC113" s="1353" t="s">
        <v>3246</v>
      </c>
      <c r="AD113" s="1353" t="s">
        <v>3425</v>
      </c>
      <c r="AE113" s="1353" t="s">
        <v>3246</v>
      </c>
      <c r="AF113" s="1353" t="s">
        <v>3246</v>
      </c>
      <c r="AG113" s="1353" t="s">
        <v>3246</v>
      </c>
      <c r="AH113" s="1353" t="s">
        <v>3424</v>
      </c>
      <c r="AI113" s="1353" t="s">
        <v>3246</v>
      </c>
      <c r="AJ113" s="1353" t="s">
        <v>3246</v>
      </c>
      <c r="AK113" s="1353" t="s">
        <v>3425</v>
      </c>
      <c r="AL113" s="1354">
        <f t="shared" si="45"/>
        <v>22</v>
      </c>
      <c r="AM113" s="1354">
        <f t="shared" si="46"/>
        <v>4</v>
      </c>
      <c r="AN113" s="1354">
        <f t="shared" si="47"/>
        <v>5</v>
      </c>
      <c r="AO113" s="1354">
        <f t="shared" si="20"/>
        <v>0</v>
      </c>
      <c r="AP113" s="1354">
        <f t="shared" si="48"/>
        <v>0</v>
      </c>
      <c r="AQ113" s="1354">
        <f t="shared" si="49"/>
        <v>0</v>
      </c>
      <c r="AR113" s="1355">
        <f t="shared" si="50"/>
        <v>31</v>
      </c>
      <c r="AS113" s="1229"/>
    </row>
    <row r="114" spans="1:45" ht="16.149999999999999" customHeight="1" outlineLevel="1">
      <c r="A114" s="1353">
        <v>121</v>
      </c>
      <c r="B114" s="1353">
        <v>17</v>
      </c>
      <c r="C114" s="1353">
        <f>'sản lượng'!C115</f>
        <v>0</v>
      </c>
      <c r="D114" s="1362" t="s">
        <v>430</v>
      </c>
      <c r="E114" s="1361" t="str">
        <f>TONGHOPCONGDOI!C121</f>
        <v>Nàng Lênh</v>
      </c>
      <c r="F114" s="1355"/>
      <c r="G114" s="1353" t="s">
        <v>3246</v>
      </c>
      <c r="H114" s="1353" t="s">
        <v>3246</v>
      </c>
      <c r="I114" s="1353" t="s">
        <v>3425</v>
      </c>
      <c r="J114" s="1353" t="s">
        <v>3246</v>
      </c>
      <c r="K114" s="1353" t="s">
        <v>3246</v>
      </c>
      <c r="L114" s="1353" t="s">
        <v>3246</v>
      </c>
      <c r="M114" s="1353" t="s">
        <v>3424</v>
      </c>
      <c r="N114" s="1353" t="s">
        <v>3246</v>
      </c>
      <c r="O114" s="1353" t="s">
        <v>3246</v>
      </c>
      <c r="P114" s="1353" t="s">
        <v>3425</v>
      </c>
      <c r="Q114" s="1353" t="s">
        <v>3246</v>
      </c>
      <c r="R114" s="1353" t="s">
        <v>3246</v>
      </c>
      <c r="S114" s="1353" t="s">
        <v>3246</v>
      </c>
      <c r="T114" s="1353" t="s">
        <v>3424</v>
      </c>
      <c r="U114" s="1353" t="s">
        <v>3246</v>
      </c>
      <c r="V114" s="1353" t="s">
        <v>3246</v>
      </c>
      <c r="W114" s="1353" t="s">
        <v>3425</v>
      </c>
      <c r="X114" s="1353" t="s">
        <v>3246</v>
      </c>
      <c r="Y114" s="1353" t="s">
        <v>3246</v>
      </c>
      <c r="Z114" s="1353" t="s">
        <v>3246</v>
      </c>
      <c r="AA114" s="1353" t="s">
        <v>3424</v>
      </c>
      <c r="AB114" s="1353" t="s">
        <v>3246</v>
      </c>
      <c r="AC114" s="1353"/>
      <c r="AD114" s="1353"/>
      <c r="AE114" s="1353" t="s">
        <v>3246</v>
      </c>
      <c r="AF114" s="1353" t="s">
        <v>3246</v>
      </c>
      <c r="AG114" s="1353" t="s">
        <v>3246</v>
      </c>
      <c r="AH114" s="1353" t="s">
        <v>3424</v>
      </c>
      <c r="AI114" s="1353" t="s">
        <v>3246</v>
      </c>
      <c r="AJ114" s="1353" t="s">
        <v>3246</v>
      </c>
      <c r="AK114" s="1353" t="s">
        <v>3425</v>
      </c>
      <c r="AL114" s="1354">
        <f t="shared" si="45"/>
        <v>21</v>
      </c>
      <c r="AM114" s="1354">
        <f t="shared" si="46"/>
        <v>4</v>
      </c>
      <c r="AN114" s="1354">
        <f t="shared" si="47"/>
        <v>4</v>
      </c>
      <c r="AO114" s="1354">
        <f t="shared" si="20"/>
        <v>0</v>
      </c>
      <c r="AP114" s="1354">
        <f t="shared" si="48"/>
        <v>0</v>
      </c>
      <c r="AQ114" s="1354">
        <f t="shared" si="49"/>
        <v>0</v>
      </c>
      <c r="AR114" s="1355">
        <f t="shared" si="50"/>
        <v>29</v>
      </c>
      <c r="AS114" s="1229"/>
    </row>
    <row r="115" spans="1:45" ht="16.149999999999999" customHeight="1" outlineLevel="1">
      <c r="A115" s="1353">
        <v>122</v>
      </c>
      <c r="B115" s="1353">
        <v>18</v>
      </c>
      <c r="C115" s="1353" t="str">
        <f>'sản lượng'!C116</f>
        <v>03662</v>
      </c>
      <c r="D115" s="1362" t="s">
        <v>430</v>
      </c>
      <c r="E115" s="1361" t="str">
        <f>TONGHOPCONGDOI!C122</f>
        <v>T.Xê</v>
      </c>
      <c r="F115" s="1355"/>
      <c r="G115" s="1353" t="s">
        <v>3246</v>
      </c>
      <c r="H115" s="1353" t="s">
        <v>3246</v>
      </c>
      <c r="I115" s="1353" t="s">
        <v>3425</v>
      </c>
      <c r="J115" s="1353" t="s">
        <v>3246</v>
      </c>
      <c r="K115" s="1353" t="s">
        <v>3246</v>
      </c>
      <c r="L115" s="1353" t="s">
        <v>3246</v>
      </c>
      <c r="M115" s="1353" t="s">
        <v>3424</v>
      </c>
      <c r="N115" s="1353" t="s">
        <v>3246</v>
      </c>
      <c r="O115" s="1353" t="s">
        <v>3246</v>
      </c>
      <c r="P115" s="1353" t="s">
        <v>3425</v>
      </c>
      <c r="Q115" s="1353" t="s">
        <v>3246</v>
      </c>
      <c r="R115" s="1353" t="s">
        <v>3246</v>
      </c>
      <c r="S115" s="1353" t="s">
        <v>3246</v>
      </c>
      <c r="T115" s="1353" t="s">
        <v>3424</v>
      </c>
      <c r="U115" s="1353" t="s">
        <v>3246</v>
      </c>
      <c r="V115" s="1353" t="s">
        <v>3246</v>
      </c>
      <c r="W115" s="1353" t="s">
        <v>3425</v>
      </c>
      <c r="X115" s="1353" t="s">
        <v>3246</v>
      </c>
      <c r="Y115" s="1353" t="s">
        <v>3246</v>
      </c>
      <c r="Z115" s="1353" t="s">
        <v>3246</v>
      </c>
      <c r="AA115" s="1353" t="s">
        <v>3424</v>
      </c>
      <c r="AB115" s="1353" t="s">
        <v>3246</v>
      </c>
      <c r="AC115" s="1353"/>
      <c r="AD115" s="1353" t="s">
        <v>3425</v>
      </c>
      <c r="AE115" s="1353" t="s">
        <v>3246</v>
      </c>
      <c r="AF115" s="1353" t="s">
        <v>3246</v>
      </c>
      <c r="AG115" s="1353" t="s">
        <v>3246</v>
      </c>
      <c r="AH115" s="1353" t="s">
        <v>3424</v>
      </c>
      <c r="AI115" s="1353" t="s">
        <v>3246</v>
      </c>
      <c r="AJ115" s="1353" t="s">
        <v>3246</v>
      </c>
      <c r="AK115" s="1353" t="s">
        <v>3425</v>
      </c>
      <c r="AL115" s="1354">
        <f t="shared" si="45"/>
        <v>21</v>
      </c>
      <c r="AM115" s="1354">
        <f t="shared" si="46"/>
        <v>4</v>
      </c>
      <c r="AN115" s="1354">
        <f t="shared" si="47"/>
        <v>5</v>
      </c>
      <c r="AO115" s="1354">
        <f t="shared" si="20"/>
        <v>0</v>
      </c>
      <c r="AP115" s="1354">
        <f t="shared" si="48"/>
        <v>0</v>
      </c>
      <c r="AQ115" s="1354">
        <f t="shared" si="49"/>
        <v>0</v>
      </c>
      <c r="AR115" s="1355">
        <f t="shared" si="50"/>
        <v>30</v>
      </c>
      <c r="AS115" s="1229"/>
    </row>
    <row r="116" spans="1:45" ht="16.149999999999999" customHeight="1" outlineLevel="1">
      <c r="A116" s="1353">
        <v>123</v>
      </c>
      <c r="B116" s="1353">
        <v>19</v>
      </c>
      <c r="C116" s="1353" t="str">
        <f>'sản lượng'!C117</f>
        <v>03663</v>
      </c>
      <c r="D116" s="1362" t="s">
        <v>430</v>
      </c>
      <c r="E116" s="1361" t="str">
        <f>TONGHOPCONGDOI!C123</f>
        <v>T. Hách</v>
      </c>
      <c r="F116" s="1355"/>
      <c r="G116" s="1353" t="s">
        <v>3246</v>
      </c>
      <c r="H116" s="1353" t="s">
        <v>3246</v>
      </c>
      <c r="I116" s="1353" t="s">
        <v>3425</v>
      </c>
      <c r="J116" s="1353" t="s">
        <v>3246</v>
      </c>
      <c r="K116" s="1353" t="s">
        <v>3246</v>
      </c>
      <c r="L116" s="1353" t="s">
        <v>3246</v>
      </c>
      <c r="M116" s="1353" t="s">
        <v>3424</v>
      </c>
      <c r="N116" s="1353" t="s">
        <v>3246</v>
      </c>
      <c r="O116" s="1353" t="s">
        <v>3246</v>
      </c>
      <c r="P116" s="1353" t="s">
        <v>3425</v>
      </c>
      <c r="Q116" s="1353" t="s">
        <v>3246</v>
      </c>
      <c r="R116" s="1353" t="s">
        <v>3246</v>
      </c>
      <c r="S116" s="1353" t="s">
        <v>3246</v>
      </c>
      <c r="T116" s="1353" t="s">
        <v>3424</v>
      </c>
      <c r="U116" s="1353" t="s">
        <v>3246</v>
      </c>
      <c r="V116" s="1353" t="s">
        <v>3246</v>
      </c>
      <c r="W116" s="1353" t="s">
        <v>3425</v>
      </c>
      <c r="X116" s="1353" t="s">
        <v>3246</v>
      </c>
      <c r="Y116" s="1353" t="s">
        <v>3246</v>
      </c>
      <c r="Z116" s="1353" t="s">
        <v>3246</v>
      </c>
      <c r="AA116" s="1353" t="s">
        <v>3424</v>
      </c>
      <c r="AB116" s="1353" t="s">
        <v>3246</v>
      </c>
      <c r="AC116" s="1353" t="s">
        <v>3246</v>
      </c>
      <c r="AD116" s="1353" t="s">
        <v>3425</v>
      </c>
      <c r="AE116" s="1353"/>
      <c r="AF116" s="1353" t="s">
        <v>3246</v>
      </c>
      <c r="AG116" s="1353"/>
      <c r="AH116" s="1353" t="s">
        <v>3424</v>
      </c>
      <c r="AI116" s="1353" t="s">
        <v>3246</v>
      </c>
      <c r="AJ116" s="1353" t="s">
        <v>3246</v>
      </c>
      <c r="AK116" s="1353" t="s">
        <v>3425</v>
      </c>
      <c r="AL116" s="1354">
        <f t="shared" si="45"/>
        <v>20</v>
      </c>
      <c r="AM116" s="1354">
        <f t="shared" si="46"/>
        <v>4</v>
      </c>
      <c r="AN116" s="1354">
        <f t="shared" si="47"/>
        <v>5</v>
      </c>
      <c r="AO116" s="1354">
        <f t="shared" si="20"/>
        <v>0</v>
      </c>
      <c r="AP116" s="1354">
        <f t="shared" si="48"/>
        <v>0</v>
      </c>
      <c r="AQ116" s="1354">
        <f t="shared" si="49"/>
        <v>0</v>
      </c>
      <c r="AR116" s="1355">
        <f t="shared" si="50"/>
        <v>29</v>
      </c>
      <c r="AS116" s="1229"/>
    </row>
    <row r="117" spans="1:45" ht="16.149999999999999" customHeight="1" outlineLevel="1">
      <c r="A117" s="1353">
        <v>124</v>
      </c>
      <c r="B117" s="1353">
        <v>20</v>
      </c>
      <c r="C117" s="1353" t="str">
        <f>'sản lượng'!C118</f>
        <v>03664</v>
      </c>
      <c r="D117" s="1362" t="s">
        <v>430</v>
      </c>
      <c r="E117" s="1361" t="str">
        <f>TONGHOPCONGDOI!C124</f>
        <v>Khay Khăm</v>
      </c>
      <c r="F117" s="1355"/>
      <c r="G117" s="1353" t="s">
        <v>3246</v>
      </c>
      <c r="H117" s="1353" t="s">
        <v>3246</v>
      </c>
      <c r="I117" s="1353" t="s">
        <v>3425</v>
      </c>
      <c r="J117" s="1353" t="s">
        <v>3246</v>
      </c>
      <c r="K117" s="1353" t="s">
        <v>3246</v>
      </c>
      <c r="L117" s="1353" t="s">
        <v>3246</v>
      </c>
      <c r="M117" s="1353" t="s">
        <v>3424</v>
      </c>
      <c r="N117" s="1353" t="s">
        <v>3246</v>
      </c>
      <c r="O117" s="1353" t="s">
        <v>3246</v>
      </c>
      <c r="P117" s="1353" t="s">
        <v>3425</v>
      </c>
      <c r="Q117" s="1353" t="s">
        <v>3246</v>
      </c>
      <c r="R117" s="1353" t="s">
        <v>3246</v>
      </c>
      <c r="S117" s="1353" t="s">
        <v>3246</v>
      </c>
      <c r="T117" s="1353" t="s">
        <v>3424</v>
      </c>
      <c r="U117" s="1353" t="s">
        <v>3246</v>
      </c>
      <c r="V117" s="1353" t="s">
        <v>3246</v>
      </c>
      <c r="W117" s="1353" t="s">
        <v>3425</v>
      </c>
      <c r="X117" s="1353" t="s">
        <v>3246</v>
      </c>
      <c r="Y117" s="1353" t="s">
        <v>3246</v>
      </c>
      <c r="Z117" s="1353" t="s">
        <v>3246</v>
      </c>
      <c r="AA117" s="1353" t="s">
        <v>3424</v>
      </c>
      <c r="AB117" s="1353" t="s">
        <v>3246</v>
      </c>
      <c r="AC117" s="1353" t="s">
        <v>3246</v>
      </c>
      <c r="AD117" s="1353" t="s">
        <v>3425</v>
      </c>
      <c r="AE117" s="1353" t="s">
        <v>3246</v>
      </c>
      <c r="AF117" s="1353" t="s">
        <v>3246</v>
      </c>
      <c r="AG117" s="1353" t="s">
        <v>3246</v>
      </c>
      <c r="AH117" s="1353" t="s">
        <v>3424</v>
      </c>
      <c r="AI117" s="1353" t="s">
        <v>3246</v>
      </c>
      <c r="AJ117" s="1353" t="s">
        <v>3246</v>
      </c>
      <c r="AK117" s="1353" t="s">
        <v>3425</v>
      </c>
      <c r="AL117" s="1354">
        <f t="shared" si="45"/>
        <v>22</v>
      </c>
      <c r="AM117" s="1354">
        <f t="shared" si="46"/>
        <v>4</v>
      </c>
      <c r="AN117" s="1354">
        <f t="shared" si="47"/>
        <v>5</v>
      </c>
      <c r="AO117" s="1354">
        <f t="shared" si="20"/>
        <v>0</v>
      </c>
      <c r="AP117" s="1354">
        <f t="shared" si="48"/>
        <v>0</v>
      </c>
      <c r="AQ117" s="1354">
        <f t="shared" si="49"/>
        <v>0</v>
      </c>
      <c r="AR117" s="1355">
        <f t="shared" si="50"/>
        <v>31</v>
      </c>
      <c r="AS117" s="1229"/>
    </row>
    <row r="118" spans="1:45" ht="16.149999999999999" customHeight="1" outlineLevel="1">
      <c r="A118" s="1353">
        <v>125</v>
      </c>
      <c r="B118" s="1353">
        <v>21</v>
      </c>
      <c r="C118" s="1353" t="str">
        <f>'sản lượng'!C119</f>
        <v>03637</v>
      </c>
      <c r="D118" s="1362" t="s">
        <v>430</v>
      </c>
      <c r="E118" s="1361" t="str">
        <f>TONGHOPCONGDOI!C125</f>
        <v>T. Vạt</v>
      </c>
      <c r="F118" s="1355"/>
      <c r="G118" s="1353" t="s">
        <v>3246</v>
      </c>
      <c r="H118" s="1353" t="s">
        <v>3246</v>
      </c>
      <c r="I118" s="1353" t="s">
        <v>3425</v>
      </c>
      <c r="J118" s="1353" t="s">
        <v>3246</v>
      </c>
      <c r="K118" s="1353" t="s">
        <v>3246</v>
      </c>
      <c r="L118" s="1353" t="s">
        <v>3246</v>
      </c>
      <c r="M118" s="1353" t="s">
        <v>3424</v>
      </c>
      <c r="N118" s="1353" t="s">
        <v>3246</v>
      </c>
      <c r="O118" s="1353" t="s">
        <v>3246</v>
      </c>
      <c r="P118" s="1353" t="s">
        <v>3425</v>
      </c>
      <c r="Q118" s="1353" t="s">
        <v>3246</v>
      </c>
      <c r="R118" s="1353" t="s">
        <v>3246</v>
      </c>
      <c r="S118" s="1353" t="s">
        <v>3246</v>
      </c>
      <c r="T118" s="1353" t="s">
        <v>3424</v>
      </c>
      <c r="U118" s="1353" t="s">
        <v>3246</v>
      </c>
      <c r="V118" s="1353" t="s">
        <v>3246</v>
      </c>
      <c r="W118" s="1353" t="s">
        <v>3425</v>
      </c>
      <c r="X118" s="1353" t="s">
        <v>3246</v>
      </c>
      <c r="Y118" s="1353" t="s">
        <v>3246</v>
      </c>
      <c r="Z118" s="1353" t="s">
        <v>3246</v>
      </c>
      <c r="AA118" s="1353" t="s">
        <v>3424</v>
      </c>
      <c r="AB118" s="1353" t="s">
        <v>3246</v>
      </c>
      <c r="AC118" s="1353" t="s">
        <v>3246</v>
      </c>
      <c r="AD118" s="1353" t="s">
        <v>3425</v>
      </c>
      <c r="AE118" s="1353" t="s">
        <v>3246</v>
      </c>
      <c r="AF118" s="1353" t="s">
        <v>3246</v>
      </c>
      <c r="AG118" s="1353" t="s">
        <v>3246</v>
      </c>
      <c r="AH118" s="1353" t="s">
        <v>3424</v>
      </c>
      <c r="AI118" s="1353" t="s">
        <v>3246</v>
      </c>
      <c r="AJ118" s="1353" t="s">
        <v>3246</v>
      </c>
      <c r="AK118" s="1353" t="s">
        <v>3425</v>
      </c>
      <c r="AL118" s="1354">
        <f t="shared" si="45"/>
        <v>22</v>
      </c>
      <c r="AM118" s="1354">
        <f t="shared" si="46"/>
        <v>4</v>
      </c>
      <c r="AN118" s="1354">
        <f t="shared" si="47"/>
        <v>5</v>
      </c>
      <c r="AO118" s="1354">
        <f t="shared" si="20"/>
        <v>0</v>
      </c>
      <c r="AP118" s="1354">
        <f t="shared" si="48"/>
        <v>0</v>
      </c>
      <c r="AQ118" s="1354">
        <f t="shared" si="49"/>
        <v>0</v>
      </c>
      <c r="AR118" s="1355">
        <f t="shared" si="50"/>
        <v>31</v>
      </c>
      <c r="AS118" s="1229"/>
    </row>
    <row r="119" spans="1:45" ht="16.149999999999999" customHeight="1" outlineLevel="1">
      <c r="A119" s="1353">
        <v>126</v>
      </c>
      <c r="B119" s="1353">
        <v>22</v>
      </c>
      <c r="C119" s="1353" t="str">
        <f>'sản lượng'!C120</f>
        <v>03666</v>
      </c>
      <c r="D119" s="1362" t="s">
        <v>430</v>
      </c>
      <c r="E119" s="1361" t="str">
        <f>TONGHOPCONGDOI!C126</f>
        <v>T. Chăn (4)</v>
      </c>
      <c r="F119" s="1355"/>
      <c r="G119" s="1353" t="s">
        <v>3246</v>
      </c>
      <c r="H119" s="1353" t="s">
        <v>3246</v>
      </c>
      <c r="I119" s="1353" t="s">
        <v>3425</v>
      </c>
      <c r="J119" s="1353" t="s">
        <v>3246</v>
      </c>
      <c r="K119" s="1353" t="s">
        <v>3246</v>
      </c>
      <c r="L119" s="1353" t="s">
        <v>3246</v>
      </c>
      <c r="M119" s="1353" t="s">
        <v>3424</v>
      </c>
      <c r="N119" s="1353" t="s">
        <v>3246</v>
      </c>
      <c r="O119" s="1353" t="s">
        <v>3246</v>
      </c>
      <c r="P119" s="1353" t="s">
        <v>3425</v>
      </c>
      <c r="Q119" s="1353"/>
      <c r="R119" s="1353" t="s">
        <v>3246</v>
      </c>
      <c r="S119" s="1353" t="s">
        <v>3246</v>
      </c>
      <c r="T119" s="1353" t="s">
        <v>3424</v>
      </c>
      <c r="U119" s="1353" t="s">
        <v>3246</v>
      </c>
      <c r="V119" s="1353" t="s">
        <v>3246</v>
      </c>
      <c r="W119" s="1353" t="s">
        <v>3425</v>
      </c>
      <c r="X119" s="1353" t="s">
        <v>3246</v>
      </c>
      <c r="Y119" s="1353" t="s">
        <v>3246</v>
      </c>
      <c r="Z119" s="1353" t="s">
        <v>3246</v>
      </c>
      <c r="AA119" s="1353" t="s">
        <v>3424</v>
      </c>
      <c r="AB119" s="1353" t="s">
        <v>3246</v>
      </c>
      <c r="AC119" s="1353" t="s">
        <v>3246</v>
      </c>
      <c r="AD119" s="1353" t="s">
        <v>3425</v>
      </c>
      <c r="AE119" s="1353" t="s">
        <v>3246</v>
      </c>
      <c r="AF119" s="1353" t="s">
        <v>3246</v>
      </c>
      <c r="AG119" s="1353"/>
      <c r="AH119" s="1353"/>
      <c r="AI119" s="1353"/>
      <c r="AJ119" s="1353" t="s">
        <v>3246</v>
      </c>
      <c r="AK119" s="1353" t="s">
        <v>3425</v>
      </c>
      <c r="AL119" s="1354">
        <f t="shared" si="45"/>
        <v>19</v>
      </c>
      <c r="AM119" s="1354">
        <f t="shared" si="46"/>
        <v>3</v>
      </c>
      <c r="AN119" s="1354">
        <f t="shared" si="47"/>
        <v>5</v>
      </c>
      <c r="AO119" s="1354">
        <f t="shared" si="20"/>
        <v>0</v>
      </c>
      <c r="AP119" s="1354">
        <f t="shared" si="48"/>
        <v>0</v>
      </c>
      <c r="AQ119" s="1354">
        <f t="shared" si="49"/>
        <v>0</v>
      </c>
      <c r="AR119" s="1355">
        <f t="shared" si="50"/>
        <v>27</v>
      </c>
      <c r="AS119" s="1229"/>
    </row>
    <row r="120" spans="1:45" ht="16.149999999999999" customHeight="1" outlineLevel="1">
      <c r="A120" s="1353">
        <v>127</v>
      </c>
      <c r="B120" s="1353">
        <v>23</v>
      </c>
      <c r="C120" s="1353" t="str">
        <f>'sản lượng'!C121</f>
        <v>04128</v>
      </c>
      <c r="D120" s="1362" t="s">
        <v>430</v>
      </c>
      <c r="E120" s="1361" t="str">
        <f>TONGHOPCONGDOI!C127</f>
        <v>Thảo Ca Thon</v>
      </c>
      <c r="F120" s="1355"/>
      <c r="G120" s="1353" t="s">
        <v>3246</v>
      </c>
      <c r="H120" s="1353" t="s">
        <v>3246</v>
      </c>
      <c r="I120" s="1353" t="s">
        <v>3425</v>
      </c>
      <c r="J120" s="1353" t="s">
        <v>3246</v>
      </c>
      <c r="K120" s="1353" t="s">
        <v>3246</v>
      </c>
      <c r="L120" s="1353" t="s">
        <v>3246</v>
      </c>
      <c r="M120" s="1353" t="s">
        <v>3424</v>
      </c>
      <c r="N120" s="1353" t="s">
        <v>3246</v>
      </c>
      <c r="O120" s="1353" t="s">
        <v>3246</v>
      </c>
      <c r="P120" s="1353" t="s">
        <v>3425</v>
      </c>
      <c r="Q120" s="1353" t="s">
        <v>3246</v>
      </c>
      <c r="R120" s="1353" t="s">
        <v>3246</v>
      </c>
      <c r="S120" s="1353" t="s">
        <v>3246</v>
      </c>
      <c r="T120" s="1353" t="s">
        <v>3424</v>
      </c>
      <c r="U120" s="1353" t="s">
        <v>3246</v>
      </c>
      <c r="V120" s="1353" t="s">
        <v>3246</v>
      </c>
      <c r="W120" s="1353" t="s">
        <v>3425</v>
      </c>
      <c r="X120" s="1353" t="s">
        <v>3246</v>
      </c>
      <c r="Y120" s="1353" t="s">
        <v>3246</v>
      </c>
      <c r="Z120" s="1353" t="s">
        <v>3246</v>
      </c>
      <c r="AA120" s="1353" t="s">
        <v>3424</v>
      </c>
      <c r="AB120" s="1353" t="s">
        <v>3246</v>
      </c>
      <c r="AC120" s="1353" t="s">
        <v>3246</v>
      </c>
      <c r="AD120" s="1353" t="s">
        <v>3425</v>
      </c>
      <c r="AE120" s="1353" t="s">
        <v>3246</v>
      </c>
      <c r="AF120" s="1353" t="s">
        <v>3246</v>
      </c>
      <c r="AG120" s="1353" t="s">
        <v>3246</v>
      </c>
      <c r="AH120" s="1353" t="s">
        <v>3424</v>
      </c>
      <c r="AI120" s="1353" t="s">
        <v>3246</v>
      </c>
      <c r="AJ120" s="1353" t="s">
        <v>3246</v>
      </c>
      <c r="AK120" s="1353" t="s">
        <v>3425</v>
      </c>
      <c r="AL120" s="1354">
        <f t="shared" ref="AL120:AL142" si="51">COUNTIF(G120:AK120,"X")</f>
        <v>22</v>
      </c>
      <c r="AM120" s="1354">
        <f t="shared" ref="AM120:AM142" si="52">COUNTIF(G120:AK120,"CN")</f>
        <v>4</v>
      </c>
      <c r="AN120" s="1354">
        <f t="shared" ref="AN120:AN142" si="53">COUNTIF(G120:AK120,"Đ")</f>
        <v>5</v>
      </c>
      <c r="AO120" s="1354">
        <f t="shared" si="20"/>
        <v>0</v>
      </c>
      <c r="AP120" s="1354">
        <f t="shared" ref="AP120:AP142" si="54">COUNTIF(G120:AK120,"GT")</f>
        <v>0</v>
      </c>
      <c r="AQ120" s="1354">
        <f t="shared" ref="AQ120:AQ142" si="55">COUNTIF(G120:AK120,"CT")</f>
        <v>0</v>
      </c>
      <c r="AR120" s="1355">
        <f t="shared" ref="AR120:AR142" si="56">SUM(AL120:AQ120)</f>
        <v>31</v>
      </c>
      <c r="AS120" s="1229"/>
    </row>
    <row r="121" spans="1:45" ht="16.149999999999999" customHeight="1" outlineLevel="1">
      <c r="A121" s="1353">
        <v>128</v>
      </c>
      <c r="B121" s="1353">
        <v>24</v>
      </c>
      <c r="C121" s="1353" t="str">
        <f>'sản lượng'!C122</f>
        <v>04129</v>
      </c>
      <c r="D121" s="1362" t="s">
        <v>430</v>
      </c>
      <c r="E121" s="1361" t="str">
        <f>TONGHOPCONGDOI!C128</f>
        <v>N.. Đeng</v>
      </c>
      <c r="F121" s="1355"/>
      <c r="G121" s="1353" t="s">
        <v>3246</v>
      </c>
      <c r="H121" s="1353" t="s">
        <v>3246</v>
      </c>
      <c r="I121" s="1353" t="s">
        <v>3425</v>
      </c>
      <c r="J121" s="1353" t="s">
        <v>3246</v>
      </c>
      <c r="K121" s="1353" t="s">
        <v>3246</v>
      </c>
      <c r="L121" s="1353" t="s">
        <v>3246</v>
      </c>
      <c r="M121" s="1353" t="s">
        <v>3424</v>
      </c>
      <c r="N121" s="1353" t="s">
        <v>3246</v>
      </c>
      <c r="O121" s="1353" t="s">
        <v>3246</v>
      </c>
      <c r="P121" s="1353" t="s">
        <v>3425</v>
      </c>
      <c r="Q121" s="1353"/>
      <c r="R121" s="1353" t="s">
        <v>3246</v>
      </c>
      <c r="S121" s="1353" t="s">
        <v>3246</v>
      </c>
      <c r="T121" s="1353" t="s">
        <v>3424</v>
      </c>
      <c r="U121" s="1353" t="s">
        <v>3246</v>
      </c>
      <c r="V121" s="1353" t="s">
        <v>3246</v>
      </c>
      <c r="W121" s="1353" t="s">
        <v>3425</v>
      </c>
      <c r="X121" s="1353" t="s">
        <v>3246</v>
      </c>
      <c r="Y121" s="1353" t="s">
        <v>3246</v>
      </c>
      <c r="Z121" s="1353" t="s">
        <v>3246</v>
      </c>
      <c r="AA121" s="1353" t="s">
        <v>3424</v>
      </c>
      <c r="AB121" s="1353" t="s">
        <v>3246</v>
      </c>
      <c r="AC121" s="1353" t="s">
        <v>3246</v>
      </c>
      <c r="AD121" s="1353" t="s">
        <v>3425</v>
      </c>
      <c r="AE121" s="1353" t="s">
        <v>3246</v>
      </c>
      <c r="AF121" s="1353" t="s">
        <v>3246</v>
      </c>
      <c r="AG121" s="1353"/>
      <c r="AH121" s="1353"/>
      <c r="AI121" s="1353"/>
      <c r="AJ121" s="1353" t="s">
        <v>3246</v>
      </c>
      <c r="AK121" s="1353" t="s">
        <v>3425</v>
      </c>
      <c r="AL121" s="1354">
        <f t="shared" si="51"/>
        <v>19</v>
      </c>
      <c r="AM121" s="1354">
        <f t="shared" si="52"/>
        <v>3</v>
      </c>
      <c r="AN121" s="1354">
        <f t="shared" si="53"/>
        <v>5</v>
      </c>
      <c r="AO121" s="1354">
        <f t="shared" si="20"/>
        <v>0</v>
      </c>
      <c r="AP121" s="1354">
        <f t="shared" si="54"/>
        <v>0</v>
      </c>
      <c r="AQ121" s="1354">
        <f t="shared" si="55"/>
        <v>0</v>
      </c>
      <c r="AR121" s="1355">
        <f t="shared" si="56"/>
        <v>27</v>
      </c>
      <c r="AS121" s="1229"/>
    </row>
    <row r="122" spans="1:45" ht="16.149999999999999" customHeight="1" outlineLevel="1">
      <c r="A122" s="1353">
        <v>129</v>
      </c>
      <c r="B122" s="1353">
        <v>25</v>
      </c>
      <c r="C122" s="1353" t="str">
        <f>'sản lượng'!C123</f>
        <v>03522</v>
      </c>
      <c r="D122" s="1362" t="s">
        <v>430</v>
      </c>
      <c r="E122" s="1361" t="str">
        <f>TONGHOPCONGDOI!C129</f>
        <v>N.T.T Trang (1)</v>
      </c>
      <c r="F122" s="1355"/>
      <c r="G122" s="1353" t="s">
        <v>3246</v>
      </c>
      <c r="H122" s="1353" t="s">
        <v>3246</v>
      </c>
      <c r="I122" s="1353" t="s">
        <v>3425</v>
      </c>
      <c r="J122" s="1353" t="s">
        <v>3246</v>
      </c>
      <c r="K122" s="1353" t="s">
        <v>3246</v>
      </c>
      <c r="L122" s="1353" t="s">
        <v>3246</v>
      </c>
      <c r="M122" s="1353" t="s">
        <v>3424</v>
      </c>
      <c r="N122" s="1353" t="s">
        <v>3246</v>
      </c>
      <c r="O122" s="1353" t="s">
        <v>3246</v>
      </c>
      <c r="P122" s="1353" t="s">
        <v>3246</v>
      </c>
      <c r="Q122" s="1353" t="s">
        <v>3246</v>
      </c>
      <c r="R122" s="1353" t="s">
        <v>3246</v>
      </c>
      <c r="S122" s="1353" t="s">
        <v>3246</v>
      </c>
      <c r="T122" s="1353" t="s">
        <v>3424</v>
      </c>
      <c r="U122" s="1353" t="s">
        <v>3246</v>
      </c>
      <c r="V122" s="1353" t="s">
        <v>3246</v>
      </c>
      <c r="W122" s="1353" t="s">
        <v>3425</v>
      </c>
      <c r="X122" s="1353" t="s">
        <v>3246</v>
      </c>
      <c r="Y122" s="1353" t="s">
        <v>3246</v>
      </c>
      <c r="Z122" s="1353" t="s">
        <v>3246</v>
      </c>
      <c r="AA122" s="1353" t="s">
        <v>3424</v>
      </c>
      <c r="AB122" s="1353" t="s">
        <v>3246</v>
      </c>
      <c r="AC122" s="1353" t="s">
        <v>3246</v>
      </c>
      <c r="AD122" s="1353" t="s">
        <v>3425</v>
      </c>
      <c r="AE122" s="1353" t="s">
        <v>3246</v>
      </c>
      <c r="AF122" s="1353" t="s">
        <v>3246</v>
      </c>
      <c r="AG122" s="1353" t="s">
        <v>3246</v>
      </c>
      <c r="AH122" s="1353" t="s">
        <v>3424</v>
      </c>
      <c r="AI122" s="1353" t="s">
        <v>3246</v>
      </c>
      <c r="AJ122" s="1353" t="s">
        <v>3246</v>
      </c>
      <c r="AK122" s="1353" t="s">
        <v>3425</v>
      </c>
      <c r="AL122" s="1354">
        <f t="shared" si="51"/>
        <v>23</v>
      </c>
      <c r="AM122" s="1354">
        <f t="shared" si="52"/>
        <v>4</v>
      </c>
      <c r="AN122" s="1354">
        <f t="shared" si="53"/>
        <v>4</v>
      </c>
      <c r="AO122" s="1354">
        <f t="shared" si="20"/>
        <v>0</v>
      </c>
      <c r="AP122" s="1354">
        <f t="shared" si="54"/>
        <v>0</v>
      </c>
      <c r="AQ122" s="1354">
        <f t="shared" si="55"/>
        <v>0</v>
      </c>
      <c r="AR122" s="1355">
        <f t="shared" si="56"/>
        <v>31</v>
      </c>
      <c r="AS122" s="1229"/>
    </row>
    <row r="123" spans="1:45" ht="16.149999999999999" customHeight="1" outlineLevel="1">
      <c r="A123" s="1353">
        <v>130</v>
      </c>
      <c r="B123" s="1353">
        <v>26</v>
      </c>
      <c r="C123" s="1353" t="str">
        <f>'sản lượng'!C124</f>
        <v>04130</v>
      </c>
      <c r="D123" s="1362" t="s">
        <v>430</v>
      </c>
      <c r="E123" s="1361" t="str">
        <f>TONGHOPCONGDOI!C130</f>
        <v>T. Chay</v>
      </c>
      <c r="F123" s="1355"/>
      <c r="G123" s="1353" t="s">
        <v>3246</v>
      </c>
      <c r="H123" s="1353" t="s">
        <v>3246</v>
      </c>
      <c r="I123" s="1353" t="s">
        <v>3246</v>
      </c>
      <c r="J123" s="1353"/>
      <c r="K123" s="1353" t="s">
        <v>3246</v>
      </c>
      <c r="L123" s="1353" t="s">
        <v>3246</v>
      </c>
      <c r="M123" s="1353" t="s">
        <v>3424</v>
      </c>
      <c r="N123" s="1353" t="s">
        <v>3246</v>
      </c>
      <c r="O123" s="1353" t="s">
        <v>3246</v>
      </c>
      <c r="P123" s="1353" t="s">
        <v>3425</v>
      </c>
      <c r="Q123" s="1353" t="s">
        <v>3246</v>
      </c>
      <c r="R123" s="1353" t="s">
        <v>3246</v>
      </c>
      <c r="S123" s="1353" t="s">
        <v>3246</v>
      </c>
      <c r="T123" s="1353" t="s">
        <v>3424</v>
      </c>
      <c r="U123" s="1353" t="s">
        <v>3246</v>
      </c>
      <c r="V123" s="1353" t="s">
        <v>3246</v>
      </c>
      <c r="W123" s="1353" t="s">
        <v>3246</v>
      </c>
      <c r="X123" s="1353" t="s">
        <v>3246</v>
      </c>
      <c r="Y123" s="1353" t="s">
        <v>3246</v>
      </c>
      <c r="Z123" s="1353" t="s">
        <v>3246</v>
      </c>
      <c r="AA123" s="1353" t="s">
        <v>3424</v>
      </c>
      <c r="AB123" s="1353" t="s">
        <v>3246</v>
      </c>
      <c r="AC123" s="1353" t="s">
        <v>3246</v>
      </c>
      <c r="AD123" s="1353" t="s">
        <v>3425</v>
      </c>
      <c r="AE123" s="1353" t="s">
        <v>3246</v>
      </c>
      <c r="AF123" s="1353" t="s">
        <v>3246</v>
      </c>
      <c r="AG123" s="1353" t="s">
        <v>3246</v>
      </c>
      <c r="AH123" s="1353" t="s">
        <v>3424</v>
      </c>
      <c r="AI123" s="1353"/>
      <c r="AJ123" s="1353" t="s">
        <v>3246</v>
      </c>
      <c r="AK123" s="1353" t="s">
        <v>3425</v>
      </c>
      <c r="AL123" s="1354">
        <f t="shared" si="51"/>
        <v>22</v>
      </c>
      <c r="AM123" s="1354">
        <f t="shared" si="52"/>
        <v>4</v>
      </c>
      <c r="AN123" s="1354">
        <f t="shared" si="53"/>
        <v>3</v>
      </c>
      <c r="AO123" s="1354">
        <f t="shared" si="20"/>
        <v>0</v>
      </c>
      <c r="AP123" s="1354">
        <f t="shared" si="54"/>
        <v>0</v>
      </c>
      <c r="AQ123" s="1354">
        <f t="shared" si="55"/>
        <v>0</v>
      </c>
      <c r="AR123" s="1355">
        <f t="shared" si="56"/>
        <v>29</v>
      </c>
      <c r="AS123" s="1229"/>
    </row>
    <row r="124" spans="1:45" ht="16.149999999999999" customHeight="1" outlineLevel="1">
      <c r="A124" s="1353">
        <v>131</v>
      </c>
      <c r="B124" s="1353">
        <v>27</v>
      </c>
      <c r="C124" s="1353" t="str">
        <f>'sản lượng'!C125</f>
        <v>04131</v>
      </c>
      <c r="D124" s="1362" t="s">
        <v>430</v>
      </c>
      <c r="E124" s="1361" t="str">
        <f>TONGHOPCONGDOI!C131</f>
        <v>T. Lê</v>
      </c>
      <c r="F124" s="1355"/>
      <c r="G124" s="1353" t="s">
        <v>3246</v>
      </c>
      <c r="H124" s="1353" t="s">
        <v>3246</v>
      </c>
      <c r="I124" s="1353" t="s">
        <v>3425</v>
      </c>
      <c r="J124" s="1353" t="s">
        <v>3246</v>
      </c>
      <c r="K124" s="1353" t="s">
        <v>3246</v>
      </c>
      <c r="L124" s="1353" t="s">
        <v>3246</v>
      </c>
      <c r="M124" s="1353" t="s">
        <v>3424</v>
      </c>
      <c r="N124" s="1353" t="s">
        <v>3246</v>
      </c>
      <c r="O124" s="1353" t="s">
        <v>3246</v>
      </c>
      <c r="P124" s="1353" t="s">
        <v>3425</v>
      </c>
      <c r="Q124" s="1353" t="s">
        <v>3246</v>
      </c>
      <c r="R124" s="1353" t="s">
        <v>3246</v>
      </c>
      <c r="S124" s="1353" t="s">
        <v>3246</v>
      </c>
      <c r="T124" s="1353" t="s">
        <v>3424</v>
      </c>
      <c r="U124" s="1353" t="s">
        <v>3246</v>
      </c>
      <c r="V124" s="1353" t="s">
        <v>3246</v>
      </c>
      <c r="W124" s="1353" t="s">
        <v>3425</v>
      </c>
      <c r="X124" s="1353" t="s">
        <v>3246</v>
      </c>
      <c r="Y124" s="1353" t="s">
        <v>3246</v>
      </c>
      <c r="Z124" s="1353" t="s">
        <v>3246</v>
      </c>
      <c r="AA124" s="1353" t="s">
        <v>3424</v>
      </c>
      <c r="AB124" s="1353" t="s">
        <v>3246</v>
      </c>
      <c r="AC124" s="1353"/>
      <c r="AD124" s="1353"/>
      <c r="AE124" s="1353" t="s">
        <v>3246</v>
      </c>
      <c r="AF124" s="1353" t="s">
        <v>3246</v>
      </c>
      <c r="AG124" s="1353" t="s">
        <v>3246</v>
      </c>
      <c r="AH124" s="1353" t="s">
        <v>3424</v>
      </c>
      <c r="AI124" s="1353" t="s">
        <v>3246</v>
      </c>
      <c r="AJ124" s="1353" t="s">
        <v>3246</v>
      </c>
      <c r="AK124" s="1353" t="s">
        <v>3425</v>
      </c>
      <c r="AL124" s="1354">
        <f t="shared" si="51"/>
        <v>21</v>
      </c>
      <c r="AM124" s="1354">
        <f t="shared" si="52"/>
        <v>4</v>
      </c>
      <c r="AN124" s="1354">
        <f t="shared" si="53"/>
        <v>4</v>
      </c>
      <c r="AO124" s="1354">
        <f t="shared" si="20"/>
        <v>0</v>
      </c>
      <c r="AP124" s="1354">
        <f t="shared" si="54"/>
        <v>0</v>
      </c>
      <c r="AQ124" s="1354">
        <f t="shared" si="55"/>
        <v>0</v>
      </c>
      <c r="AR124" s="1355">
        <f t="shared" si="56"/>
        <v>29</v>
      </c>
      <c r="AS124" s="1229"/>
    </row>
    <row r="125" spans="1:45" ht="16.149999999999999" customHeight="1" outlineLevel="1">
      <c r="A125" s="1353">
        <v>132</v>
      </c>
      <c r="B125" s="1353">
        <v>28</v>
      </c>
      <c r="C125" s="1353" t="str">
        <f>'sản lượng'!C126</f>
        <v>03672</v>
      </c>
      <c r="D125" s="1362" t="s">
        <v>430</v>
      </c>
      <c r="E125" s="1361" t="str">
        <f>TONGHOPCONGDOI!C132</f>
        <v>Nàng Chưa</v>
      </c>
      <c r="F125" s="1355"/>
      <c r="G125" s="1353" t="s">
        <v>3246</v>
      </c>
      <c r="H125" s="1353" t="s">
        <v>3246</v>
      </c>
      <c r="I125" s="1353" t="s">
        <v>3425</v>
      </c>
      <c r="J125" s="1353" t="s">
        <v>3246</v>
      </c>
      <c r="K125" s="1353" t="s">
        <v>3246</v>
      </c>
      <c r="L125" s="1353" t="s">
        <v>3246</v>
      </c>
      <c r="M125" s="1353" t="s">
        <v>3424</v>
      </c>
      <c r="N125" s="1353" t="s">
        <v>3246</v>
      </c>
      <c r="O125" s="1353" t="s">
        <v>3246</v>
      </c>
      <c r="P125" s="1353" t="s">
        <v>3425</v>
      </c>
      <c r="Q125" s="1353" t="s">
        <v>3246</v>
      </c>
      <c r="R125" s="1353" t="s">
        <v>3246</v>
      </c>
      <c r="S125" s="1353" t="s">
        <v>3246</v>
      </c>
      <c r="T125" s="1353" t="s">
        <v>3424</v>
      </c>
      <c r="U125" s="1353" t="s">
        <v>3246</v>
      </c>
      <c r="V125" s="1353" t="s">
        <v>3246</v>
      </c>
      <c r="W125" s="1353" t="s">
        <v>3246</v>
      </c>
      <c r="X125" s="1353" t="s">
        <v>3246</v>
      </c>
      <c r="Y125" s="1353" t="s">
        <v>3246</v>
      </c>
      <c r="Z125" s="1353" t="s">
        <v>3246</v>
      </c>
      <c r="AA125" s="1353" t="s">
        <v>3424</v>
      </c>
      <c r="AB125" s="1353" t="s">
        <v>3246</v>
      </c>
      <c r="AC125" s="1353" t="s">
        <v>3246</v>
      </c>
      <c r="AD125" s="1353" t="s">
        <v>3246</v>
      </c>
      <c r="AE125" s="1353" t="s">
        <v>3246</v>
      </c>
      <c r="AF125" s="1353" t="s">
        <v>3246</v>
      </c>
      <c r="AG125" s="1353" t="s">
        <v>3246</v>
      </c>
      <c r="AH125" s="1353" t="s">
        <v>3424</v>
      </c>
      <c r="AI125" s="1353" t="s">
        <v>3246</v>
      </c>
      <c r="AJ125" s="1353" t="s">
        <v>3246</v>
      </c>
      <c r="AK125" s="1353" t="s">
        <v>3246</v>
      </c>
      <c r="AL125" s="1354">
        <f t="shared" si="51"/>
        <v>25</v>
      </c>
      <c r="AM125" s="1354">
        <f t="shared" si="52"/>
        <v>4</v>
      </c>
      <c r="AN125" s="1354">
        <f t="shared" si="53"/>
        <v>2</v>
      </c>
      <c r="AO125" s="1354">
        <f t="shared" si="20"/>
        <v>0</v>
      </c>
      <c r="AP125" s="1354">
        <f t="shared" si="54"/>
        <v>0</v>
      </c>
      <c r="AQ125" s="1354">
        <f t="shared" si="55"/>
        <v>0</v>
      </c>
      <c r="AR125" s="1355">
        <f t="shared" si="56"/>
        <v>31</v>
      </c>
      <c r="AS125" s="1229"/>
    </row>
    <row r="126" spans="1:45" ht="16.149999999999999" customHeight="1" outlineLevel="1">
      <c r="A126" s="1353">
        <v>133</v>
      </c>
      <c r="B126" s="1353">
        <v>29</v>
      </c>
      <c r="C126" s="1353" t="str">
        <f>'sản lượng'!C127</f>
        <v>04132</v>
      </c>
      <c r="D126" s="1362" t="s">
        <v>430</v>
      </c>
      <c r="E126" s="1361" t="str">
        <f>TONGHOPCONGDOI!C133</f>
        <v>Hà Đức Văn</v>
      </c>
      <c r="F126" s="1355"/>
      <c r="G126" s="1353" t="s">
        <v>3246</v>
      </c>
      <c r="H126" s="1353" t="s">
        <v>3246</v>
      </c>
      <c r="I126" s="1353" t="s">
        <v>3425</v>
      </c>
      <c r="J126" s="1353" t="s">
        <v>3246</v>
      </c>
      <c r="K126" s="1353" t="s">
        <v>3246</v>
      </c>
      <c r="L126" s="1353" t="s">
        <v>3246</v>
      </c>
      <c r="M126" s="1353" t="s">
        <v>3424</v>
      </c>
      <c r="N126" s="1353" t="s">
        <v>3246</v>
      </c>
      <c r="O126" s="1353" t="s">
        <v>3246</v>
      </c>
      <c r="P126" s="1353" t="s">
        <v>3246</v>
      </c>
      <c r="Q126" s="1353" t="s">
        <v>3246</v>
      </c>
      <c r="R126" s="1353" t="s">
        <v>3246</v>
      </c>
      <c r="S126" s="1353" t="s">
        <v>3246</v>
      </c>
      <c r="T126" s="1353" t="s">
        <v>3424</v>
      </c>
      <c r="U126" s="1353" t="s">
        <v>3246</v>
      </c>
      <c r="V126" s="1353" t="s">
        <v>3246</v>
      </c>
      <c r="W126" s="1353" t="s">
        <v>3425</v>
      </c>
      <c r="X126" s="1353" t="s">
        <v>3246</v>
      </c>
      <c r="Y126" s="1353" t="s">
        <v>3246</v>
      </c>
      <c r="Z126" s="1353" t="s">
        <v>3246</v>
      </c>
      <c r="AA126" s="1353" t="s">
        <v>3424</v>
      </c>
      <c r="AB126" s="1353" t="s">
        <v>3246</v>
      </c>
      <c r="AC126" s="1353" t="s">
        <v>3246</v>
      </c>
      <c r="AD126" s="1353" t="s">
        <v>3425</v>
      </c>
      <c r="AE126" s="1353" t="s">
        <v>3246</v>
      </c>
      <c r="AF126" s="1353" t="s">
        <v>3246</v>
      </c>
      <c r="AG126" s="1353" t="s">
        <v>3246</v>
      </c>
      <c r="AH126" s="1353" t="s">
        <v>3424</v>
      </c>
      <c r="AI126" s="1353" t="s">
        <v>3246</v>
      </c>
      <c r="AJ126" s="1353" t="s">
        <v>3246</v>
      </c>
      <c r="AK126" s="1353" t="s">
        <v>3425</v>
      </c>
      <c r="AL126" s="1354">
        <f t="shared" si="51"/>
        <v>23</v>
      </c>
      <c r="AM126" s="1354">
        <f t="shared" si="52"/>
        <v>4</v>
      </c>
      <c r="AN126" s="1354">
        <f t="shared" si="53"/>
        <v>4</v>
      </c>
      <c r="AO126" s="1354">
        <f t="shared" si="20"/>
        <v>0</v>
      </c>
      <c r="AP126" s="1354">
        <f t="shared" si="54"/>
        <v>0</v>
      </c>
      <c r="AQ126" s="1354">
        <f t="shared" si="55"/>
        <v>0</v>
      </c>
      <c r="AR126" s="1355">
        <f t="shared" si="56"/>
        <v>31</v>
      </c>
      <c r="AS126" s="1229"/>
    </row>
    <row r="127" spans="1:45" ht="16.149999999999999" customHeight="1" outlineLevel="1">
      <c r="A127" s="1353">
        <v>134</v>
      </c>
      <c r="B127" s="1353">
        <v>30</v>
      </c>
      <c r="C127" s="1353" t="str">
        <f>'sản lượng'!C128</f>
        <v>03507</v>
      </c>
      <c r="D127" s="1362" t="s">
        <v>430</v>
      </c>
      <c r="E127" s="1361" t="str">
        <f>TONGHOPCONGDOI!C134</f>
        <v>N. Không</v>
      </c>
      <c r="F127" s="1355"/>
      <c r="G127" s="1353" t="s">
        <v>3246</v>
      </c>
      <c r="H127" s="1353" t="s">
        <v>3246</v>
      </c>
      <c r="I127" s="1353" t="s">
        <v>3425</v>
      </c>
      <c r="J127" s="1353" t="s">
        <v>3246</v>
      </c>
      <c r="K127" s="1353" t="s">
        <v>3246</v>
      </c>
      <c r="L127" s="1353" t="s">
        <v>3246</v>
      </c>
      <c r="M127" s="1353" t="s">
        <v>3424</v>
      </c>
      <c r="N127" s="1353" t="s">
        <v>3246</v>
      </c>
      <c r="O127" s="1353" t="s">
        <v>3246</v>
      </c>
      <c r="P127" s="1353" t="s">
        <v>3246</v>
      </c>
      <c r="Q127" s="1353" t="s">
        <v>3246</v>
      </c>
      <c r="R127" s="1353" t="s">
        <v>3246</v>
      </c>
      <c r="S127" s="1353" t="s">
        <v>3246</v>
      </c>
      <c r="T127" s="1353" t="s">
        <v>3424</v>
      </c>
      <c r="U127" s="1353" t="s">
        <v>3246</v>
      </c>
      <c r="V127" s="1353" t="s">
        <v>3246</v>
      </c>
      <c r="W127" s="1353" t="s">
        <v>3425</v>
      </c>
      <c r="X127" s="1353" t="s">
        <v>3246</v>
      </c>
      <c r="Y127" s="1353" t="s">
        <v>3246</v>
      </c>
      <c r="Z127" s="1353" t="s">
        <v>3246</v>
      </c>
      <c r="AA127" s="1353" t="s">
        <v>3424</v>
      </c>
      <c r="AB127" s="1353" t="s">
        <v>3246</v>
      </c>
      <c r="AC127" s="1353" t="s">
        <v>3246</v>
      </c>
      <c r="AD127" s="1353" t="s">
        <v>3246</v>
      </c>
      <c r="AE127" s="1353" t="s">
        <v>3246</v>
      </c>
      <c r="AF127" s="1353" t="s">
        <v>3246</v>
      </c>
      <c r="AG127" s="1353" t="s">
        <v>3246</v>
      </c>
      <c r="AH127" s="1353" t="s">
        <v>3424</v>
      </c>
      <c r="AI127" s="1353" t="s">
        <v>3246</v>
      </c>
      <c r="AJ127" s="1353" t="s">
        <v>3246</v>
      </c>
      <c r="AK127" s="1353" t="s">
        <v>3425</v>
      </c>
      <c r="AL127" s="1354">
        <f t="shared" si="51"/>
        <v>24</v>
      </c>
      <c r="AM127" s="1354">
        <f t="shared" si="52"/>
        <v>4</v>
      </c>
      <c r="AN127" s="1354">
        <f t="shared" si="53"/>
        <v>3</v>
      </c>
      <c r="AO127" s="1354">
        <f t="shared" si="20"/>
        <v>0</v>
      </c>
      <c r="AP127" s="1354">
        <f t="shared" si="54"/>
        <v>0</v>
      </c>
      <c r="AQ127" s="1354">
        <f t="shared" si="55"/>
        <v>0</v>
      </c>
      <c r="AR127" s="1355">
        <f t="shared" si="56"/>
        <v>31</v>
      </c>
      <c r="AS127" s="1229"/>
    </row>
    <row r="128" spans="1:45" ht="16.149999999999999" customHeight="1" outlineLevel="1">
      <c r="A128" s="1353">
        <v>135</v>
      </c>
      <c r="B128" s="1353">
        <v>31</v>
      </c>
      <c r="C128" s="1353" t="str">
        <f>'sản lượng'!C129</f>
        <v>03574</v>
      </c>
      <c r="D128" s="1362" t="s">
        <v>430</v>
      </c>
      <c r="E128" s="1361" t="str">
        <f>TONGHOPCONGDOI!C135</f>
        <v>T. Đăm</v>
      </c>
      <c r="F128" s="1355"/>
      <c r="G128" s="1353" t="s">
        <v>3246</v>
      </c>
      <c r="H128" s="1353" t="s">
        <v>3246</v>
      </c>
      <c r="I128" s="1353"/>
      <c r="J128" s="1353" t="s">
        <v>3246</v>
      </c>
      <c r="K128" s="1353" t="s">
        <v>3246</v>
      </c>
      <c r="L128" s="1353" t="s">
        <v>3246</v>
      </c>
      <c r="M128" s="1353" t="s">
        <v>3424</v>
      </c>
      <c r="N128" s="1353" t="s">
        <v>3246</v>
      </c>
      <c r="O128" s="1353" t="s">
        <v>3246</v>
      </c>
      <c r="P128" s="1353" t="s">
        <v>3246</v>
      </c>
      <c r="Q128" s="1353" t="s">
        <v>3246</v>
      </c>
      <c r="R128" s="1353" t="s">
        <v>3246</v>
      </c>
      <c r="S128" s="1353" t="s">
        <v>3246</v>
      </c>
      <c r="T128" s="1353" t="s">
        <v>3424</v>
      </c>
      <c r="U128" s="1353" t="s">
        <v>3246</v>
      </c>
      <c r="V128" s="1353" t="s">
        <v>3246</v>
      </c>
      <c r="W128" s="1353" t="s">
        <v>3425</v>
      </c>
      <c r="X128" s="1353" t="s">
        <v>3246</v>
      </c>
      <c r="Y128" s="1353" t="s">
        <v>3246</v>
      </c>
      <c r="Z128" s="1353" t="s">
        <v>3246</v>
      </c>
      <c r="AA128" s="1353" t="s">
        <v>3424</v>
      </c>
      <c r="AB128" s="1353" t="s">
        <v>3246</v>
      </c>
      <c r="AC128" s="1353" t="s">
        <v>3246</v>
      </c>
      <c r="AD128" s="1353" t="s">
        <v>3246</v>
      </c>
      <c r="AE128" s="1353" t="s">
        <v>3246</v>
      </c>
      <c r="AF128" s="1353" t="s">
        <v>3246</v>
      </c>
      <c r="AG128" s="1353" t="s">
        <v>3246</v>
      </c>
      <c r="AH128" s="1353" t="s">
        <v>3424</v>
      </c>
      <c r="AI128" s="1353" t="s">
        <v>3246</v>
      </c>
      <c r="AJ128" s="1353" t="s">
        <v>3246</v>
      </c>
      <c r="AK128" s="1353" t="s">
        <v>3425</v>
      </c>
      <c r="AL128" s="1354">
        <f t="shared" si="51"/>
        <v>24</v>
      </c>
      <c r="AM128" s="1354">
        <f t="shared" si="52"/>
        <v>4</v>
      </c>
      <c r="AN128" s="1354">
        <f t="shared" si="53"/>
        <v>2</v>
      </c>
      <c r="AO128" s="1354">
        <f t="shared" si="20"/>
        <v>0</v>
      </c>
      <c r="AP128" s="1354">
        <f t="shared" si="54"/>
        <v>0</v>
      </c>
      <c r="AQ128" s="1354">
        <f t="shared" si="55"/>
        <v>0</v>
      </c>
      <c r="AR128" s="1355">
        <f t="shared" si="56"/>
        <v>30</v>
      </c>
      <c r="AS128" s="1229"/>
    </row>
    <row r="129" spans="1:45" ht="16.149999999999999" customHeight="1" outlineLevel="1">
      <c r="A129" s="1353">
        <v>136</v>
      </c>
      <c r="B129" s="1353">
        <v>32</v>
      </c>
      <c r="C129" s="1353" t="str">
        <f>'sản lượng'!C130</f>
        <v>04133</v>
      </c>
      <c r="D129" s="1362" t="s">
        <v>430</v>
      </c>
      <c r="E129" s="1361" t="str">
        <f>TONGHOPCONGDOI!C136</f>
        <v xml:space="preserve">Văn Na  </v>
      </c>
      <c r="F129" s="1355"/>
      <c r="G129" s="1353" t="s">
        <v>3246</v>
      </c>
      <c r="H129" s="1353" t="s">
        <v>3246</v>
      </c>
      <c r="I129" s="1353" t="s">
        <v>3425</v>
      </c>
      <c r="J129" s="1353" t="s">
        <v>3246</v>
      </c>
      <c r="K129" s="1353"/>
      <c r="L129" s="1353" t="s">
        <v>3246</v>
      </c>
      <c r="M129" s="1353" t="s">
        <v>3424</v>
      </c>
      <c r="N129" s="1353" t="s">
        <v>3246</v>
      </c>
      <c r="O129" s="1353" t="s">
        <v>3246</v>
      </c>
      <c r="P129" s="1353" t="s">
        <v>3246</v>
      </c>
      <c r="Q129" s="1353" t="s">
        <v>3246</v>
      </c>
      <c r="R129" s="1353" t="s">
        <v>3246</v>
      </c>
      <c r="S129" s="1353" t="s">
        <v>3246</v>
      </c>
      <c r="T129" s="1353" t="s">
        <v>3424</v>
      </c>
      <c r="U129" s="1353" t="s">
        <v>3246</v>
      </c>
      <c r="V129" s="1353" t="s">
        <v>3246</v>
      </c>
      <c r="W129" s="1353" t="s">
        <v>3425</v>
      </c>
      <c r="X129" s="1353" t="s">
        <v>3246</v>
      </c>
      <c r="Y129" s="1353" t="s">
        <v>3246</v>
      </c>
      <c r="Z129" s="1353" t="s">
        <v>3246</v>
      </c>
      <c r="AA129" s="1353" t="s">
        <v>3424</v>
      </c>
      <c r="AB129" s="1353" t="s">
        <v>3246</v>
      </c>
      <c r="AC129" s="1353" t="s">
        <v>3246</v>
      </c>
      <c r="AD129" s="1353" t="s">
        <v>3246</v>
      </c>
      <c r="AE129" s="1353" t="s">
        <v>3246</v>
      </c>
      <c r="AF129" s="1353" t="s">
        <v>3246</v>
      </c>
      <c r="AG129" s="1353" t="s">
        <v>3246</v>
      </c>
      <c r="AH129" s="1353" t="s">
        <v>3424</v>
      </c>
      <c r="AI129" s="1353" t="s">
        <v>3246</v>
      </c>
      <c r="AJ129" s="1353" t="s">
        <v>3246</v>
      </c>
      <c r="AK129" s="1353" t="s">
        <v>3425</v>
      </c>
      <c r="AL129" s="1354">
        <f t="shared" si="51"/>
        <v>23</v>
      </c>
      <c r="AM129" s="1354">
        <f t="shared" si="52"/>
        <v>4</v>
      </c>
      <c r="AN129" s="1354">
        <f t="shared" si="53"/>
        <v>3</v>
      </c>
      <c r="AO129" s="1354">
        <f t="shared" si="20"/>
        <v>0</v>
      </c>
      <c r="AP129" s="1354">
        <f t="shared" si="54"/>
        <v>0</v>
      </c>
      <c r="AQ129" s="1354">
        <f t="shared" si="55"/>
        <v>0</v>
      </c>
      <c r="AR129" s="1355">
        <f t="shared" si="56"/>
        <v>30</v>
      </c>
      <c r="AS129" s="1229"/>
    </row>
    <row r="130" spans="1:45" ht="16.149999999999999" customHeight="1" outlineLevel="1">
      <c r="A130" s="1353">
        <v>137</v>
      </c>
      <c r="B130" s="1353">
        <v>33</v>
      </c>
      <c r="C130" s="1353" t="str">
        <f>'sản lượng'!C131</f>
        <v>03597</v>
      </c>
      <c r="D130" s="1362" t="s">
        <v>430</v>
      </c>
      <c r="E130" s="1361" t="str">
        <f>TONGHOPCONGDOI!C137</f>
        <v>N. Lẹ</v>
      </c>
      <c r="F130" s="1355"/>
      <c r="G130" s="1353" t="s">
        <v>3246</v>
      </c>
      <c r="H130" s="1353" t="s">
        <v>3246</v>
      </c>
      <c r="I130" s="1353" t="s">
        <v>3425</v>
      </c>
      <c r="J130" s="1353" t="s">
        <v>3246</v>
      </c>
      <c r="K130" s="1353" t="s">
        <v>3246</v>
      </c>
      <c r="L130" s="1353" t="s">
        <v>3246</v>
      </c>
      <c r="M130" s="1353" t="s">
        <v>3424</v>
      </c>
      <c r="N130" s="1353" t="s">
        <v>3246</v>
      </c>
      <c r="O130" s="1353" t="s">
        <v>3246</v>
      </c>
      <c r="P130" s="1353" t="s">
        <v>3246</v>
      </c>
      <c r="Q130" s="1353" t="s">
        <v>3246</v>
      </c>
      <c r="R130" s="1353" t="s">
        <v>3246</v>
      </c>
      <c r="S130" s="1353" t="s">
        <v>3246</v>
      </c>
      <c r="T130" s="1353" t="s">
        <v>3424</v>
      </c>
      <c r="U130" s="1353" t="s">
        <v>3246</v>
      </c>
      <c r="V130" s="1353" t="s">
        <v>3246</v>
      </c>
      <c r="W130" s="1353" t="s">
        <v>3425</v>
      </c>
      <c r="X130" s="1353" t="s">
        <v>3246</v>
      </c>
      <c r="Y130" s="1353" t="s">
        <v>3246</v>
      </c>
      <c r="Z130" s="1353" t="s">
        <v>3246</v>
      </c>
      <c r="AA130" s="1353" t="s">
        <v>3424</v>
      </c>
      <c r="AB130" s="1353" t="s">
        <v>3246</v>
      </c>
      <c r="AC130" s="1353" t="s">
        <v>3246</v>
      </c>
      <c r="AD130" s="1353" t="s">
        <v>3246</v>
      </c>
      <c r="AE130" s="1353" t="s">
        <v>3246</v>
      </c>
      <c r="AF130" s="1353" t="s">
        <v>3246</v>
      </c>
      <c r="AG130" s="1353" t="s">
        <v>3246</v>
      </c>
      <c r="AH130" s="1353" t="s">
        <v>3424</v>
      </c>
      <c r="AI130" s="1353" t="s">
        <v>3246</v>
      </c>
      <c r="AJ130" s="1353" t="s">
        <v>3246</v>
      </c>
      <c r="AK130" s="1353" t="s">
        <v>3425</v>
      </c>
      <c r="AL130" s="1354">
        <f t="shared" si="51"/>
        <v>24</v>
      </c>
      <c r="AM130" s="1354">
        <f t="shared" si="52"/>
        <v>4</v>
      </c>
      <c r="AN130" s="1354">
        <f t="shared" si="53"/>
        <v>3</v>
      </c>
      <c r="AO130" s="1354">
        <f t="shared" si="20"/>
        <v>0</v>
      </c>
      <c r="AP130" s="1354">
        <f t="shared" si="54"/>
        <v>0</v>
      </c>
      <c r="AQ130" s="1354">
        <f t="shared" si="55"/>
        <v>0</v>
      </c>
      <c r="AR130" s="1355">
        <f t="shared" si="56"/>
        <v>31</v>
      </c>
      <c r="AS130" s="1229"/>
    </row>
    <row r="131" spans="1:45" ht="16.149999999999999" customHeight="1" outlineLevel="1">
      <c r="A131" s="1353">
        <v>138</v>
      </c>
      <c r="B131" s="1353">
        <v>34</v>
      </c>
      <c r="C131" s="1353">
        <f>'sản lượng'!C132</f>
        <v>0</v>
      </c>
      <c r="D131" s="1362" t="s">
        <v>430</v>
      </c>
      <c r="E131" s="1361" t="str">
        <f>TONGHOPCONGDOI!C138</f>
        <v>T. Mi</v>
      </c>
      <c r="F131" s="1355"/>
      <c r="G131" s="1353" t="s">
        <v>3246</v>
      </c>
      <c r="H131" s="1353" t="s">
        <v>3246</v>
      </c>
      <c r="I131" s="1353" t="s">
        <v>3425</v>
      </c>
      <c r="J131" s="1353" t="s">
        <v>3246</v>
      </c>
      <c r="K131" s="1353" t="s">
        <v>3246</v>
      </c>
      <c r="L131" s="1353" t="s">
        <v>3246</v>
      </c>
      <c r="M131" s="1353"/>
      <c r="N131" s="1353" t="s">
        <v>3246</v>
      </c>
      <c r="O131" s="1353" t="s">
        <v>3246</v>
      </c>
      <c r="P131" s="1353" t="s">
        <v>3425</v>
      </c>
      <c r="Q131" s="1353"/>
      <c r="R131" s="1353" t="s">
        <v>3246</v>
      </c>
      <c r="S131" s="1353" t="s">
        <v>3246</v>
      </c>
      <c r="T131" s="1353" t="s">
        <v>3424</v>
      </c>
      <c r="U131" s="1353" t="s">
        <v>3246</v>
      </c>
      <c r="V131" s="1353" t="s">
        <v>3246</v>
      </c>
      <c r="W131" s="1353" t="s">
        <v>3425</v>
      </c>
      <c r="X131" s="1353" t="s">
        <v>3246</v>
      </c>
      <c r="Y131" s="1353" t="s">
        <v>3246</v>
      </c>
      <c r="Z131" s="1353" t="s">
        <v>3246</v>
      </c>
      <c r="AA131" s="1353" t="s">
        <v>3424</v>
      </c>
      <c r="AB131" s="1353" t="s">
        <v>3246</v>
      </c>
      <c r="AC131" s="1353" t="s">
        <v>3246</v>
      </c>
      <c r="AD131" s="1353" t="s">
        <v>3246</v>
      </c>
      <c r="AE131" s="1353" t="s">
        <v>3246</v>
      </c>
      <c r="AF131" s="1353" t="s">
        <v>3246</v>
      </c>
      <c r="AG131" s="1353" t="s">
        <v>3246</v>
      </c>
      <c r="AH131" s="1353" t="s">
        <v>3424</v>
      </c>
      <c r="AI131" s="1353" t="s">
        <v>3246</v>
      </c>
      <c r="AJ131" s="1353" t="s">
        <v>3246</v>
      </c>
      <c r="AK131" s="1353" t="s">
        <v>3425</v>
      </c>
      <c r="AL131" s="1354">
        <f t="shared" si="51"/>
        <v>22</v>
      </c>
      <c r="AM131" s="1354">
        <f t="shared" si="52"/>
        <v>3</v>
      </c>
      <c r="AN131" s="1354">
        <f t="shared" si="53"/>
        <v>4</v>
      </c>
      <c r="AO131" s="1354">
        <f t="shared" si="20"/>
        <v>0</v>
      </c>
      <c r="AP131" s="1354">
        <f t="shared" si="54"/>
        <v>0</v>
      </c>
      <c r="AQ131" s="1354">
        <f t="shared" si="55"/>
        <v>0</v>
      </c>
      <c r="AR131" s="1355">
        <f t="shared" si="56"/>
        <v>29</v>
      </c>
      <c r="AS131" s="1229"/>
    </row>
    <row r="132" spans="1:45" ht="16.149999999999999" customHeight="1" outlineLevel="1">
      <c r="A132" s="1353">
        <v>139</v>
      </c>
      <c r="B132" s="1353">
        <v>35</v>
      </c>
      <c r="C132" s="1353" t="str">
        <f>'sản lượng'!C133</f>
        <v>04135</v>
      </c>
      <c r="D132" s="1362" t="s">
        <v>430</v>
      </c>
      <c r="E132" s="1361" t="str">
        <f>TONGHOPCONGDOI!C139</f>
        <v>Thảo Pi</v>
      </c>
      <c r="F132" s="1355"/>
      <c r="G132" s="1353" t="s">
        <v>3246</v>
      </c>
      <c r="H132" s="1353" t="s">
        <v>3246</v>
      </c>
      <c r="I132" s="1353" t="s">
        <v>3425</v>
      </c>
      <c r="J132" s="1353" t="s">
        <v>3246</v>
      </c>
      <c r="K132" s="1353" t="s">
        <v>3246</v>
      </c>
      <c r="L132" s="1353" t="s">
        <v>3246</v>
      </c>
      <c r="M132" s="1353" t="s">
        <v>3424</v>
      </c>
      <c r="N132" s="1353"/>
      <c r="O132" s="1353" t="s">
        <v>3246</v>
      </c>
      <c r="P132" s="1353" t="s">
        <v>3425</v>
      </c>
      <c r="Q132" s="1353"/>
      <c r="R132" s="1353"/>
      <c r="S132" s="1353"/>
      <c r="T132" s="1353"/>
      <c r="U132" s="1353"/>
      <c r="V132" s="1353"/>
      <c r="W132" s="1353"/>
      <c r="X132" s="1353"/>
      <c r="Y132" s="1353"/>
      <c r="Z132" s="1353"/>
      <c r="AA132" s="1353"/>
      <c r="AB132" s="1353"/>
      <c r="AC132" s="1353"/>
      <c r="AD132" s="1353" t="s">
        <v>3246</v>
      </c>
      <c r="AE132" s="1353"/>
      <c r="AF132" s="1353"/>
      <c r="AG132" s="1353"/>
      <c r="AH132" s="1353"/>
      <c r="AI132" s="1353"/>
      <c r="AJ132" s="1353"/>
      <c r="AK132" s="1353"/>
      <c r="AL132" s="1354">
        <f t="shared" si="51"/>
        <v>7</v>
      </c>
      <c r="AM132" s="1354">
        <f t="shared" si="52"/>
        <v>1</v>
      </c>
      <c r="AN132" s="1354">
        <f t="shared" si="53"/>
        <v>2</v>
      </c>
      <c r="AO132" s="1354">
        <f t="shared" si="20"/>
        <v>0</v>
      </c>
      <c r="AP132" s="1354">
        <f t="shared" si="54"/>
        <v>0</v>
      </c>
      <c r="AQ132" s="1354">
        <f t="shared" si="55"/>
        <v>0</v>
      </c>
      <c r="AR132" s="1355">
        <f t="shared" si="56"/>
        <v>10</v>
      </c>
      <c r="AS132" s="1229"/>
    </row>
    <row r="133" spans="1:45" ht="16.149999999999999" customHeight="1" outlineLevel="1">
      <c r="A133" s="1353">
        <v>140</v>
      </c>
      <c r="B133" s="1353">
        <v>36</v>
      </c>
      <c r="C133" s="1353" t="str">
        <f>'sản lượng'!C134</f>
        <v>04136</v>
      </c>
      <c r="D133" s="1362" t="s">
        <v>430</v>
      </c>
      <c r="E133" s="1361" t="str">
        <f>TONGHOPCONGDOI!C140</f>
        <v>T. Mút</v>
      </c>
      <c r="F133" s="1355"/>
      <c r="G133" s="1353" t="s">
        <v>3246</v>
      </c>
      <c r="H133" s="1353" t="s">
        <v>3246</v>
      </c>
      <c r="I133" s="1353" t="s">
        <v>3425</v>
      </c>
      <c r="J133" s="1353" t="s">
        <v>3246</v>
      </c>
      <c r="K133" s="1353" t="s">
        <v>3246</v>
      </c>
      <c r="L133" s="1353" t="s">
        <v>3246</v>
      </c>
      <c r="M133" s="1353" t="s">
        <v>3424</v>
      </c>
      <c r="N133" s="1353" t="s">
        <v>3246</v>
      </c>
      <c r="O133" s="1353" t="s">
        <v>3246</v>
      </c>
      <c r="P133" s="1353" t="s">
        <v>3425</v>
      </c>
      <c r="Q133" s="1353" t="s">
        <v>3246</v>
      </c>
      <c r="R133" s="1353" t="s">
        <v>3246</v>
      </c>
      <c r="S133" s="1353" t="s">
        <v>3246</v>
      </c>
      <c r="T133" s="1353"/>
      <c r="U133" s="1353" t="s">
        <v>3246</v>
      </c>
      <c r="V133" s="1353" t="s">
        <v>3246</v>
      </c>
      <c r="W133" s="1353" t="s">
        <v>3425</v>
      </c>
      <c r="X133" s="1353" t="s">
        <v>3246</v>
      </c>
      <c r="Y133" s="1353" t="s">
        <v>3246</v>
      </c>
      <c r="Z133" s="1353" t="s">
        <v>3246</v>
      </c>
      <c r="AA133" s="1353" t="s">
        <v>3424</v>
      </c>
      <c r="AB133" s="1353" t="s">
        <v>3246</v>
      </c>
      <c r="AC133" s="1353" t="s">
        <v>3246</v>
      </c>
      <c r="AD133" s="1353" t="s">
        <v>3246</v>
      </c>
      <c r="AE133" s="1353" t="s">
        <v>3246</v>
      </c>
      <c r="AF133" s="1353" t="s">
        <v>3246</v>
      </c>
      <c r="AG133" s="1353" t="s">
        <v>3246</v>
      </c>
      <c r="AH133" s="1353" t="s">
        <v>3424</v>
      </c>
      <c r="AI133" s="1353" t="s">
        <v>3246</v>
      </c>
      <c r="AJ133" s="1353" t="s">
        <v>3246</v>
      </c>
      <c r="AK133" s="1353" t="s">
        <v>3425</v>
      </c>
      <c r="AL133" s="1354">
        <f t="shared" si="51"/>
        <v>23</v>
      </c>
      <c r="AM133" s="1354">
        <f t="shared" si="52"/>
        <v>3</v>
      </c>
      <c r="AN133" s="1354">
        <f t="shared" si="53"/>
        <v>4</v>
      </c>
      <c r="AO133" s="1354">
        <f t="shared" si="20"/>
        <v>0</v>
      </c>
      <c r="AP133" s="1354">
        <f t="shared" si="54"/>
        <v>0</v>
      </c>
      <c r="AQ133" s="1354">
        <f t="shared" si="55"/>
        <v>0</v>
      </c>
      <c r="AR133" s="1355">
        <f t="shared" si="56"/>
        <v>30</v>
      </c>
      <c r="AS133" s="1229"/>
    </row>
    <row r="134" spans="1:45" ht="16.149999999999999" customHeight="1" outlineLevel="1">
      <c r="A134" s="1353">
        <v>141</v>
      </c>
      <c r="B134" s="1353">
        <v>37</v>
      </c>
      <c r="C134" s="1353" t="str">
        <f>'sản lượng'!C135</f>
        <v>04137</v>
      </c>
      <c r="D134" s="1362" t="s">
        <v>430</v>
      </c>
      <c r="E134" s="1361" t="str">
        <f>TONGHOPCONGDOI!C141</f>
        <v>T. Lươn</v>
      </c>
      <c r="F134" s="1355"/>
      <c r="G134" s="1353" t="s">
        <v>3246</v>
      </c>
      <c r="H134" s="1353" t="s">
        <v>3246</v>
      </c>
      <c r="I134" s="1353"/>
      <c r="J134" s="1353"/>
      <c r="K134" s="1353" t="s">
        <v>3246</v>
      </c>
      <c r="L134" s="1353" t="s">
        <v>3246</v>
      </c>
      <c r="M134" s="1353" t="s">
        <v>3424</v>
      </c>
      <c r="N134" s="1353" t="s">
        <v>3246</v>
      </c>
      <c r="O134" s="1353" t="s">
        <v>3246</v>
      </c>
      <c r="P134" s="1353" t="s">
        <v>3425</v>
      </c>
      <c r="Q134" s="1353" t="s">
        <v>3246</v>
      </c>
      <c r="R134" s="1353" t="s">
        <v>3246</v>
      </c>
      <c r="S134" s="1353" t="s">
        <v>3246</v>
      </c>
      <c r="T134" s="1353" t="s">
        <v>3424</v>
      </c>
      <c r="U134" s="1353" t="s">
        <v>3246</v>
      </c>
      <c r="V134" s="1353" t="s">
        <v>3246</v>
      </c>
      <c r="W134" s="1353" t="s">
        <v>3425</v>
      </c>
      <c r="X134" s="1353" t="s">
        <v>3246</v>
      </c>
      <c r="Y134" s="1353" t="s">
        <v>3246</v>
      </c>
      <c r="Z134" s="1353"/>
      <c r="AA134" s="1353" t="s">
        <v>3424</v>
      </c>
      <c r="AB134" s="1353" t="s">
        <v>3246</v>
      </c>
      <c r="AC134" s="1353"/>
      <c r="AD134" s="1353" t="s">
        <v>3425</v>
      </c>
      <c r="AE134" s="1353" t="s">
        <v>3246</v>
      </c>
      <c r="AF134" s="1353" t="s">
        <v>3246</v>
      </c>
      <c r="AG134" s="1353" t="s">
        <v>3246</v>
      </c>
      <c r="AH134" s="1353" t="s">
        <v>3424</v>
      </c>
      <c r="AI134" s="1353" t="s">
        <v>3246</v>
      </c>
      <c r="AJ134" s="1353" t="s">
        <v>3246</v>
      </c>
      <c r="AK134" s="1353" t="s">
        <v>3425</v>
      </c>
      <c r="AL134" s="1354">
        <f t="shared" si="51"/>
        <v>19</v>
      </c>
      <c r="AM134" s="1354">
        <f t="shared" si="52"/>
        <v>4</v>
      </c>
      <c r="AN134" s="1354">
        <f t="shared" si="53"/>
        <v>4</v>
      </c>
      <c r="AO134" s="1354">
        <f t="shared" si="20"/>
        <v>0</v>
      </c>
      <c r="AP134" s="1354">
        <f t="shared" si="54"/>
        <v>0</v>
      </c>
      <c r="AQ134" s="1354">
        <f t="shared" si="55"/>
        <v>0</v>
      </c>
      <c r="AR134" s="1355">
        <f t="shared" si="56"/>
        <v>27</v>
      </c>
      <c r="AS134" s="1229"/>
    </row>
    <row r="135" spans="1:45" ht="16.149999999999999" customHeight="1" outlineLevel="1">
      <c r="A135" s="1353">
        <v>142</v>
      </c>
      <c r="B135" s="1353">
        <v>38</v>
      </c>
      <c r="C135" s="1353" t="str">
        <f>'sản lượng'!C136</f>
        <v>03512</v>
      </c>
      <c r="D135" s="1362" t="s">
        <v>430</v>
      </c>
      <c r="E135" s="1361" t="str">
        <f>TONGHOPCONGDOI!C142</f>
        <v>N. Đon</v>
      </c>
      <c r="F135" s="1355"/>
      <c r="G135" s="1353" t="s">
        <v>3246</v>
      </c>
      <c r="H135" s="1353" t="s">
        <v>3246</v>
      </c>
      <c r="I135" s="1353" t="s">
        <v>3425</v>
      </c>
      <c r="J135" s="1353" t="s">
        <v>3246</v>
      </c>
      <c r="K135" s="1353" t="s">
        <v>3246</v>
      </c>
      <c r="L135" s="1353" t="s">
        <v>3246</v>
      </c>
      <c r="M135" s="1353" t="s">
        <v>3424</v>
      </c>
      <c r="N135" s="1353" t="s">
        <v>3246</v>
      </c>
      <c r="O135" s="1353" t="s">
        <v>3246</v>
      </c>
      <c r="P135" s="1353" t="s">
        <v>3425</v>
      </c>
      <c r="Q135" s="1353" t="s">
        <v>3246</v>
      </c>
      <c r="R135" s="1353"/>
      <c r="S135" s="1353"/>
      <c r="T135" s="1353"/>
      <c r="U135" s="1353"/>
      <c r="V135" s="1353"/>
      <c r="W135" s="1353"/>
      <c r="X135" s="1353"/>
      <c r="Y135" s="1353"/>
      <c r="Z135" s="1353"/>
      <c r="AA135" s="1353"/>
      <c r="AB135" s="1353"/>
      <c r="AC135" s="1353" t="s">
        <v>3246</v>
      </c>
      <c r="AD135" s="1353"/>
      <c r="AE135" s="1353" t="s">
        <v>3246</v>
      </c>
      <c r="AF135" s="1353" t="s">
        <v>3246</v>
      </c>
      <c r="AG135" s="1353" t="s">
        <v>3246</v>
      </c>
      <c r="AH135" s="1353" t="s">
        <v>3424</v>
      </c>
      <c r="AI135" s="1353" t="s">
        <v>3246</v>
      </c>
      <c r="AJ135" s="1353" t="s">
        <v>3246</v>
      </c>
      <c r="AK135" s="1353" t="s">
        <v>3246</v>
      </c>
      <c r="AL135" s="1354">
        <f t="shared" si="51"/>
        <v>15</v>
      </c>
      <c r="AM135" s="1354">
        <f t="shared" si="52"/>
        <v>2</v>
      </c>
      <c r="AN135" s="1354">
        <f t="shared" si="53"/>
        <v>2</v>
      </c>
      <c r="AO135" s="1354">
        <f t="shared" si="20"/>
        <v>0</v>
      </c>
      <c r="AP135" s="1354">
        <f t="shared" si="54"/>
        <v>0</v>
      </c>
      <c r="AQ135" s="1354">
        <f t="shared" si="55"/>
        <v>0</v>
      </c>
      <c r="AR135" s="1355">
        <f t="shared" si="56"/>
        <v>19</v>
      </c>
      <c r="AS135" s="1229"/>
    </row>
    <row r="136" spans="1:45" ht="16.149999999999999" customHeight="1" outlineLevel="1">
      <c r="A136" s="1353">
        <v>143</v>
      </c>
      <c r="B136" s="1353">
        <v>39</v>
      </c>
      <c r="C136" s="1353" t="str">
        <f>'sản lượng'!C137</f>
        <v>03683</v>
      </c>
      <c r="D136" s="1362" t="s">
        <v>430</v>
      </c>
      <c r="E136" s="1361" t="str">
        <f>TONGHOPCONGDOI!C143</f>
        <v>T. Ô</v>
      </c>
      <c r="F136" s="1355"/>
      <c r="G136" s="1353" t="s">
        <v>3246</v>
      </c>
      <c r="H136" s="1353" t="s">
        <v>3246</v>
      </c>
      <c r="I136" s="1353" t="s">
        <v>3425</v>
      </c>
      <c r="J136" s="1353" t="s">
        <v>3246</v>
      </c>
      <c r="K136" s="1353" t="s">
        <v>3246</v>
      </c>
      <c r="L136" s="1353" t="s">
        <v>3246</v>
      </c>
      <c r="M136" s="1353" t="s">
        <v>3424</v>
      </c>
      <c r="N136" s="1353" t="s">
        <v>3246</v>
      </c>
      <c r="O136" s="1353" t="s">
        <v>3246</v>
      </c>
      <c r="P136" s="1353" t="s">
        <v>3425</v>
      </c>
      <c r="Q136" s="1353" t="s">
        <v>3246</v>
      </c>
      <c r="R136" s="1353" t="s">
        <v>3246</v>
      </c>
      <c r="S136" s="1353" t="s">
        <v>3246</v>
      </c>
      <c r="T136" s="1353" t="s">
        <v>3424</v>
      </c>
      <c r="U136" s="1353" t="s">
        <v>3246</v>
      </c>
      <c r="V136" s="1353" t="s">
        <v>3246</v>
      </c>
      <c r="W136" s="1353" t="s">
        <v>3425</v>
      </c>
      <c r="X136" s="1353" t="s">
        <v>3246</v>
      </c>
      <c r="Y136" s="1353" t="s">
        <v>3246</v>
      </c>
      <c r="Z136" s="1353"/>
      <c r="AA136" s="1353" t="s">
        <v>3424</v>
      </c>
      <c r="AB136" s="1353" t="s">
        <v>3246</v>
      </c>
      <c r="AC136" s="1353" t="s">
        <v>3246</v>
      </c>
      <c r="AD136" s="1353" t="s">
        <v>3425</v>
      </c>
      <c r="AE136" s="1353" t="s">
        <v>3246</v>
      </c>
      <c r="AF136" s="1353" t="s">
        <v>3246</v>
      </c>
      <c r="AG136" s="1353" t="s">
        <v>3246</v>
      </c>
      <c r="AH136" s="1353" t="s">
        <v>3424</v>
      </c>
      <c r="AI136" s="1353" t="s">
        <v>3246</v>
      </c>
      <c r="AJ136" s="1353" t="s">
        <v>3246</v>
      </c>
      <c r="AK136" s="1353" t="s">
        <v>3425</v>
      </c>
      <c r="AL136" s="1354">
        <f t="shared" si="51"/>
        <v>21</v>
      </c>
      <c r="AM136" s="1354">
        <f t="shared" si="52"/>
        <v>4</v>
      </c>
      <c r="AN136" s="1354">
        <f t="shared" si="53"/>
        <v>5</v>
      </c>
      <c r="AO136" s="1354">
        <f t="shared" si="20"/>
        <v>0</v>
      </c>
      <c r="AP136" s="1354">
        <f t="shared" si="54"/>
        <v>0</v>
      </c>
      <c r="AQ136" s="1354">
        <f t="shared" si="55"/>
        <v>0</v>
      </c>
      <c r="AR136" s="1355">
        <f t="shared" si="56"/>
        <v>30</v>
      </c>
      <c r="AS136" s="1229"/>
    </row>
    <row r="137" spans="1:45" ht="16.149999999999999" customHeight="1" outlineLevel="1">
      <c r="A137" s="1353">
        <v>144</v>
      </c>
      <c r="B137" s="1353">
        <v>40</v>
      </c>
      <c r="C137" s="1353" t="str">
        <f>'sản lượng'!C138</f>
        <v>04138</v>
      </c>
      <c r="D137" s="1362" t="s">
        <v>430</v>
      </c>
      <c r="E137" s="1361" t="str">
        <f>TONGHOPCONGDOI!C144</f>
        <v>N. Su Pha</v>
      </c>
      <c r="F137" s="1355"/>
      <c r="G137" s="1353" t="s">
        <v>3246</v>
      </c>
      <c r="H137" s="1353" t="s">
        <v>3246</v>
      </c>
      <c r="I137" s="1353" t="s">
        <v>3425</v>
      </c>
      <c r="J137" s="1353" t="s">
        <v>3246</v>
      </c>
      <c r="K137" s="1353" t="s">
        <v>3246</v>
      </c>
      <c r="L137" s="1353" t="s">
        <v>3246</v>
      </c>
      <c r="M137" s="1353" t="s">
        <v>3424</v>
      </c>
      <c r="N137" s="1353" t="s">
        <v>3246</v>
      </c>
      <c r="O137" s="1353" t="s">
        <v>3246</v>
      </c>
      <c r="P137" s="1353" t="s">
        <v>3425</v>
      </c>
      <c r="Q137" s="1353" t="s">
        <v>3246</v>
      </c>
      <c r="R137" s="1353" t="s">
        <v>3246</v>
      </c>
      <c r="S137" s="1353" t="s">
        <v>3246</v>
      </c>
      <c r="T137" s="1353" t="s">
        <v>3424</v>
      </c>
      <c r="U137" s="1353" t="s">
        <v>3246</v>
      </c>
      <c r="V137" s="1353" t="s">
        <v>3246</v>
      </c>
      <c r="W137" s="1353" t="s">
        <v>3425</v>
      </c>
      <c r="X137" s="1353" t="s">
        <v>3246</v>
      </c>
      <c r="Y137" s="1353" t="s">
        <v>3246</v>
      </c>
      <c r="Z137" s="1353"/>
      <c r="AA137" s="1353" t="s">
        <v>3424</v>
      </c>
      <c r="AB137" s="1353" t="s">
        <v>3246</v>
      </c>
      <c r="AC137" s="1353" t="s">
        <v>3246</v>
      </c>
      <c r="AD137" s="1353" t="s">
        <v>3425</v>
      </c>
      <c r="AE137" s="1353" t="s">
        <v>3246</v>
      </c>
      <c r="AF137" s="1353" t="s">
        <v>3246</v>
      </c>
      <c r="AG137" s="1353" t="s">
        <v>3246</v>
      </c>
      <c r="AH137" s="1353" t="s">
        <v>3424</v>
      </c>
      <c r="AI137" s="1353" t="s">
        <v>3246</v>
      </c>
      <c r="AJ137" s="1353" t="s">
        <v>3246</v>
      </c>
      <c r="AK137" s="1353" t="s">
        <v>3425</v>
      </c>
      <c r="AL137" s="1354">
        <f t="shared" si="51"/>
        <v>21</v>
      </c>
      <c r="AM137" s="1354">
        <f t="shared" si="52"/>
        <v>4</v>
      </c>
      <c r="AN137" s="1354">
        <f t="shared" si="53"/>
        <v>5</v>
      </c>
      <c r="AO137" s="1354">
        <f t="shared" si="20"/>
        <v>0</v>
      </c>
      <c r="AP137" s="1354">
        <f t="shared" si="54"/>
        <v>0</v>
      </c>
      <c r="AQ137" s="1354">
        <f t="shared" si="55"/>
        <v>0</v>
      </c>
      <c r="AR137" s="1355">
        <f t="shared" si="56"/>
        <v>30</v>
      </c>
      <c r="AS137" s="1229"/>
    </row>
    <row r="138" spans="1:45" ht="16.149999999999999" customHeight="1" outlineLevel="1">
      <c r="A138" s="1353">
        <v>145</v>
      </c>
      <c r="B138" s="1353">
        <v>41</v>
      </c>
      <c r="C138" s="1353" t="str">
        <f>'sản lượng'!C139</f>
        <v>04139</v>
      </c>
      <c r="D138" s="1362" t="s">
        <v>430</v>
      </c>
      <c r="E138" s="1361" t="str">
        <f>TONGHOPCONGDOI!C145</f>
        <v>N. Lọi</v>
      </c>
      <c r="F138" s="1355"/>
      <c r="G138" s="1353" t="s">
        <v>3246</v>
      </c>
      <c r="H138" s="1353" t="s">
        <v>3246</v>
      </c>
      <c r="I138" s="1353" t="s">
        <v>3425</v>
      </c>
      <c r="J138" s="1353" t="s">
        <v>3246</v>
      </c>
      <c r="K138" s="1353" t="s">
        <v>3246</v>
      </c>
      <c r="L138" s="1353" t="s">
        <v>3246</v>
      </c>
      <c r="M138" s="1353" t="s">
        <v>3424</v>
      </c>
      <c r="N138" s="1353" t="s">
        <v>3246</v>
      </c>
      <c r="O138" s="1353" t="s">
        <v>3246</v>
      </c>
      <c r="P138" s="1353" t="s">
        <v>3425</v>
      </c>
      <c r="Q138" s="1353" t="s">
        <v>3246</v>
      </c>
      <c r="R138" s="1353" t="s">
        <v>3246</v>
      </c>
      <c r="S138" s="1353" t="s">
        <v>3246</v>
      </c>
      <c r="T138" s="1353" t="s">
        <v>3424</v>
      </c>
      <c r="U138" s="1353" t="s">
        <v>3246</v>
      </c>
      <c r="V138" s="1353" t="s">
        <v>3246</v>
      </c>
      <c r="W138" s="1353" t="s">
        <v>3425</v>
      </c>
      <c r="X138" s="1353" t="s">
        <v>3246</v>
      </c>
      <c r="Y138" s="1353" t="s">
        <v>3246</v>
      </c>
      <c r="Z138" s="1353" t="s">
        <v>3246</v>
      </c>
      <c r="AA138" s="1353" t="s">
        <v>3424</v>
      </c>
      <c r="AB138" s="1353" t="s">
        <v>3246</v>
      </c>
      <c r="AC138" s="1353" t="s">
        <v>3246</v>
      </c>
      <c r="AD138" s="1353" t="s">
        <v>3425</v>
      </c>
      <c r="AE138" s="1353" t="s">
        <v>3246</v>
      </c>
      <c r="AF138" s="1353" t="s">
        <v>3246</v>
      </c>
      <c r="AG138" s="1353" t="s">
        <v>3246</v>
      </c>
      <c r="AH138" s="1353" t="s">
        <v>3424</v>
      </c>
      <c r="AI138" s="1353" t="s">
        <v>3246</v>
      </c>
      <c r="AJ138" s="1353" t="s">
        <v>3246</v>
      </c>
      <c r="AK138" s="1353" t="s">
        <v>3425</v>
      </c>
      <c r="AL138" s="1354">
        <f t="shared" si="51"/>
        <v>22</v>
      </c>
      <c r="AM138" s="1354">
        <f t="shared" si="52"/>
        <v>4</v>
      </c>
      <c r="AN138" s="1354">
        <f t="shared" si="53"/>
        <v>5</v>
      </c>
      <c r="AO138" s="1354">
        <f t="shared" si="20"/>
        <v>0</v>
      </c>
      <c r="AP138" s="1354">
        <f t="shared" si="54"/>
        <v>0</v>
      </c>
      <c r="AQ138" s="1354">
        <f t="shared" si="55"/>
        <v>0</v>
      </c>
      <c r="AR138" s="1355">
        <f t="shared" si="56"/>
        <v>31</v>
      </c>
      <c r="AS138" s="1229"/>
    </row>
    <row r="139" spans="1:45" ht="16.149999999999999" customHeight="1" outlineLevel="1">
      <c r="A139" s="1353">
        <v>146</v>
      </c>
      <c r="B139" s="1353">
        <v>42</v>
      </c>
      <c r="C139" s="1353" t="str">
        <f>'sản lượng'!C140</f>
        <v>04140</v>
      </c>
      <c r="D139" s="1362" t="s">
        <v>430</v>
      </c>
      <c r="E139" s="1361" t="str">
        <f>TONGHOPCONGDOI!C146</f>
        <v>T. Nin</v>
      </c>
      <c r="F139" s="1355"/>
      <c r="G139" s="1353" t="s">
        <v>3246</v>
      </c>
      <c r="H139" s="1353" t="s">
        <v>3246</v>
      </c>
      <c r="I139" s="1353" t="s">
        <v>3425</v>
      </c>
      <c r="J139" s="1353" t="s">
        <v>3246</v>
      </c>
      <c r="K139" s="1353" t="s">
        <v>3246</v>
      </c>
      <c r="L139" s="1353" t="s">
        <v>3246</v>
      </c>
      <c r="M139" s="1353" t="s">
        <v>3424</v>
      </c>
      <c r="N139" s="1353" t="s">
        <v>3246</v>
      </c>
      <c r="O139" s="1353" t="s">
        <v>3246</v>
      </c>
      <c r="P139" s="1353" t="s">
        <v>3425</v>
      </c>
      <c r="Q139" s="1353" t="s">
        <v>3246</v>
      </c>
      <c r="R139" s="1353" t="s">
        <v>3246</v>
      </c>
      <c r="S139" s="1353" t="s">
        <v>3246</v>
      </c>
      <c r="T139" s="1353" t="s">
        <v>3424</v>
      </c>
      <c r="U139" s="1353" t="s">
        <v>3246</v>
      </c>
      <c r="V139" s="1353" t="s">
        <v>3246</v>
      </c>
      <c r="W139" s="1353" t="s">
        <v>3425</v>
      </c>
      <c r="X139" s="1353" t="s">
        <v>3246</v>
      </c>
      <c r="Y139" s="1353" t="s">
        <v>3246</v>
      </c>
      <c r="Z139" s="1353" t="s">
        <v>3246</v>
      </c>
      <c r="AA139" s="1353" t="s">
        <v>3424</v>
      </c>
      <c r="AB139" s="1353" t="s">
        <v>3246</v>
      </c>
      <c r="AC139" s="1353" t="s">
        <v>3246</v>
      </c>
      <c r="AD139" s="1353" t="s">
        <v>3425</v>
      </c>
      <c r="AE139" s="1353" t="s">
        <v>3246</v>
      </c>
      <c r="AF139" s="1353" t="s">
        <v>3246</v>
      </c>
      <c r="AG139" s="1353" t="s">
        <v>3246</v>
      </c>
      <c r="AH139" s="1353" t="s">
        <v>3424</v>
      </c>
      <c r="AI139" s="1353" t="s">
        <v>3246</v>
      </c>
      <c r="AJ139" s="1353" t="s">
        <v>3246</v>
      </c>
      <c r="AK139" s="1353" t="s">
        <v>3425</v>
      </c>
      <c r="AL139" s="1354">
        <f t="shared" si="51"/>
        <v>22</v>
      </c>
      <c r="AM139" s="1354">
        <f t="shared" si="52"/>
        <v>4</v>
      </c>
      <c r="AN139" s="1354">
        <f t="shared" si="53"/>
        <v>5</v>
      </c>
      <c r="AO139" s="1354">
        <f t="shared" si="20"/>
        <v>0</v>
      </c>
      <c r="AP139" s="1354">
        <f t="shared" si="54"/>
        <v>0</v>
      </c>
      <c r="AQ139" s="1354">
        <f t="shared" si="55"/>
        <v>0</v>
      </c>
      <c r="AR139" s="1355">
        <f t="shared" si="56"/>
        <v>31</v>
      </c>
      <c r="AS139" s="1229"/>
    </row>
    <row r="140" spans="1:45" ht="16.149999999999999" customHeight="1" outlineLevel="1">
      <c r="A140" s="1353">
        <v>147</v>
      </c>
      <c r="B140" s="1353">
        <v>43</v>
      </c>
      <c r="C140" s="1353" t="str">
        <f>'sản lượng'!C141</f>
        <v>04141</v>
      </c>
      <c r="D140" s="1362" t="s">
        <v>430</v>
      </c>
      <c r="E140" s="1361" t="str">
        <f>TONGHOPCONGDOI!C147</f>
        <v>T. Vỹ</v>
      </c>
      <c r="F140" s="1355"/>
      <c r="G140" s="1353" t="s">
        <v>3246</v>
      </c>
      <c r="H140" s="1353" t="s">
        <v>3246</v>
      </c>
      <c r="I140" s="1353" t="s">
        <v>3425</v>
      </c>
      <c r="J140" s="1353" t="s">
        <v>3246</v>
      </c>
      <c r="K140" s="1353" t="s">
        <v>3246</v>
      </c>
      <c r="L140" s="1353" t="s">
        <v>3246</v>
      </c>
      <c r="M140" s="1353" t="s">
        <v>3424</v>
      </c>
      <c r="N140" s="1353" t="s">
        <v>3246</v>
      </c>
      <c r="O140" s="1353" t="s">
        <v>3246</v>
      </c>
      <c r="P140" s="1353" t="s">
        <v>3425</v>
      </c>
      <c r="Q140" s="1353" t="s">
        <v>3246</v>
      </c>
      <c r="R140" s="1353" t="s">
        <v>3246</v>
      </c>
      <c r="S140" s="1353" t="s">
        <v>3246</v>
      </c>
      <c r="T140" s="1353" t="s">
        <v>3424</v>
      </c>
      <c r="U140" s="1353" t="s">
        <v>3246</v>
      </c>
      <c r="V140" s="1353" t="s">
        <v>3246</v>
      </c>
      <c r="W140" s="1353" t="s">
        <v>3246</v>
      </c>
      <c r="X140" s="1353" t="s">
        <v>3246</v>
      </c>
      <c r="Y140" s="1353" t="s">
        <v>3246</v>
      </c>
      <c r="Z140" s="1353" t="s">
        <v>3246</v>
      </c>
      <c r="AA140" s="1353" t="s">
        <v>3424</v>
      </c>
      <c r="AB140" s="1353" t="s">
        <v>3246</v>
      </c>
      <c r="AC140" s="1353" t="s">
        <v>3246</v>
      </c>
      <c r="AD140" s="1353" t="s">
        <v>3246</v>
      </c>
      <c r="AE140" s="1353" t="s">
        <v>3246</v>
      </c>
      <c r="AF140" s="1353" t="s">
        <v>3246</v>
      </c>
      <c r="AG140" s="1353" t="s">
        <v>3246</v>
      </c>
      <c r="AH140" s="1353" t="s">
        <v>3424</v>
      </c>
      <c r="AI140" s="1353" t="s">
        <v>3246</v>
      </c>
      <c r="AJ140" s="1353" t="s">
        <v>3246</v>
      </c>
      <c r="AK140" s="1353" t="s">
        <v>3246</v>
      </c>
      <c r="AL140" s="1354">
        <f t="shared" si="51"/>
        <v>25</v>
      </c>
      <c r="AM140" s="1354">
        <f t="shared" si="52"/>
        <v>4</v>
      </c>
      <c r="AN140" s="1354">
        <f t="shared" si="53"/>
        <v>2</v>
      </c>
      <c r="AO140" s="1354">
        <f t="shared" si="20"/>
        <v>0</v>
      </c>
      <c r="AP140" s="1354">
        <f t="shared" si="54"/>
        <v>0</v>
      </c>
      <c r="AQ140" s="1354">
        <f t="shared" si="55"/>
        <v>0</v>
      </c>
      <c r="AR140" s="1355">
        <f t="shared" si="56"/>
        <v>31</v>
      </c>
      <c r="AS140" s="1229"/>
    </row>
    <row r="141" spans="1:45" ht="16.149999999999999" customHeight="1" outlineLevel="1">
      <c r="A141" s="1353">
        <v>148</v>
      </c>
      <c r="B141" s="1353">
        <v>44</v>
      </c>
      <c r="C141" s="1353" t="str">
        <f>'sản lượng'!C142</f>
        <v>04142</v>
      </c>
      <c r="D141" s="1362" t="s">
        <v>430</v>
      </c>
      <c r="E141" s="1361" t="str">
        <f>TONGHOPCONGDOI!C148</f>
        <v>Nàng Nhầy</v>
      </c>
      <c r="F141" s="1355"/>
      <c r="G141" s="1353" t="s">
        <v>3246</v>
      </c>
      <c r="H141" s="1353" t="s">
        <v>3246</v>
      </c>
      <c r="I141" s="1353" t="s">
        <v>3425</v>
      </c>
      <c r="J141" s="1353" t="s">
        <v>3246</v>
      </c>
      <c r="K141" s="1353" t="s">
        <v>3246</v>
      </c>
      <c r="L141" s="1353" t="s">
        <v>3246</v>
      </c>
      <c r="M141" s="1353" t="s">
        <v>3424</v>
      </c>
      <c r="N141" s="1353" t="s">
        <v>3246</v>
      </c>
      <c r="O141" s="1353" t="s">
        <v>3246</v>
      </c>
      <c r="P141" s="1353" t="s">
        <v>3425</v>
      </c>
      <c r="Q141" s="1353" t="s">
        <v>3246</v>
      </c>
      <c r="R141" s="1353"/>
      <c r="S141" s="1353"/>
      <c r="T141" s="1353"/>
      <c r="U141" s="1353"/>
      <c r="V141" s="1353"/>
      <c r="W141" s="1353"/>
      <c r="X141" s="1353"/>
      <c r="Y141" s="1353"/>
      <c r="Z141" s="1353"/>
      <c r="AA141" s="1353"/>
      <c r="AB141" s="1353"/>
      <c r="AC141" s="1353" t="s">
        <v>3246</v>
      </c>
      <c r="AD141" s="1353" t="s">
        <v>3246</v>
      </c>
      <c r="AE141" s="1353" t="s">
        <v>3246</v>
      </c>
      <c r="AF141" s="1353" t="s">
        <v>3246</v>
      </c>
      <c r="AG141" s="1353" t="s">
        <v>3246</v>
      </c>
      <c r="AH141" s="1353" t="s">
        <v>3424</v>
      </c>
      <c r="AI141" s="1353" t="s">
        <v>3246</v>
      </c>
      <c r="AJ141" s="1353" t="s">
        <v>3246</v>
      </c>
      <c r="AK141" s="1353" t="s">
        <v>3246</v>
      </c>
      <c r="AL141" s="1354">
        <f t="shared" si="51"/>
        <v>16</v>
      </c>
      <c r="AM141" s="1354">
        <f t="shared" si="52"/>
        <v>2</v>
      </c>
      <c r="AN141" s="1354">
        <f t="shared" si="53"/>
        <v>2</v>
      </c>
      <c r="AO141" s="1354">
        <f t="shared" si="20"/>
        <v>0</v>
      </c>
      <c r="AP141" s="1354">
        <f t="shared" si="54"/>
        <v>0</v>
      </c>
      <c r="AQ141" s="1354">
        <f t="shared" si="55"/>
        <v>0</v>
      </c>
      <c r="AR141" s="1355">
        <f t="shared" si="56"/>
        <v>20</v>
      </c>
      <c r="AS141" s="1229"/>
    </row>
    <row r="142" spans="1:45" ht="16.149999999999999" customHeight="1" outlineLevel="1">
      <c r="A142" s="1353">
        <v>149</v>
      </c>
      <c r="B142" s="1353">
        <v>45</v>
      </c>
      <c r="C142" s="1353" t="str">
        <f>'sản lượng'!C143</f>
        <v>02732</v>
      </c>
      <c r="D142" s="1362" t="s">
        <v>430</v>
      </c>
      <c r="E142" s="1361" t="str">
        <f>TONGHOPCONGDOI!C149</f>
        <v xml:space="preserve">N. Khăm </v>
      </c>
      <c r="F142" s="1355"/>
      <c r="G142" s="1353" t="s">
        <v>3246</v>
      </c>
      <c r="H142" s="1353" t="s">
        <v>3246</v>
      </c>
      <c r="I142" s="1353" t="s">
        <v>3425</v>
      </c>
      <c r="J142" s="1353"/>
      <c r="K142" s="1353"/>
      <c r="L142" s="1353" t="s">
        <v>3246</v>
      </c>
      <c r="M142" s="1353" t="s">
        <v>3424</v>
      </c>
      <c r="N142" s="1353"/>
      <c r="O142" s="1353" t="s">
        <v>3246</v>
      </c>
      <c r="P142" s="1353" t="s">
        <v>3425</v>
      </c>
      <c r="Q142" s="1353" t="s">
        <v>3246</v>
      </c>
      <c r="R142" s="1353" t="s">
        <v>3246</v>
      </c>
      <c r="S142" s="1353" t="s">
        <v>3246</v>
      </c>
      <c r="T142" s="1353" t="s">
        <v>3424</v>
      </c>
      <c r="U142" s="1353" t="s">
        <v>3246</v>
      </c>
      <c r="V142" s="1353" t="s">
        <v>3246</v>
      </c>
      <c r="W142" s="1353" t="s">
        <v>3425</v>
      </c>
      <c r="X142" s="1353" t="s">
        <v>3246</v>
      </c>
      <c r="Y142" s="1353" t="s">
        <v>3246</v>
      </c>
      <c r="Z142" s="1353" t="s">
        <v>3246</v>
      </c>
      <c r="AA142" s="1353" t="s">
        <v>3424</v>
      </c>
      <c r="AB142" s="1353" t="s">
        <v>3246</v>
      </c>
      <c r="AC142" s="1353" t="s">
        <v>3246</v>
      </c>
      <c r="AD142" s="1353" t="s">
        <v>3425</v>
      </c>
      <c r="AE142" s="1353" t="s">
        <v>3246</v>
      </c>
      <c r="AF142" s="1353" t="s">
        <v>3246</v>
      </c>
      <c r="AG142" s="1353" t="s">
        <v>3246</v>
      </c>
      <c r="AH142" s="1353" t="s">
        <v>3424</v>
      </c>
      <c r="AI142" s="1353" t="s">
        <v>3246</v>
      </c>
      <c r="AJ142" s="1353" t="s">
        <v>3246</v>
      </c>
      <c r="AK142" s="1353" t="s">
        <v>3425</v>
      </c>
      <c r="AL142" s="1354">
        <f t="shared" si="51"/>
        <v>19</v>
      </c>
      <c r="AM142" s="1354">
        <f t="shared" si="52"/>
        <v>4</v>
      </c>
      <c r="AN142" s="1354">
        <f t="shared" si="53"/>
        <v>5</v>
      </c>
      <c r="AO142" s="1354">
        <f t="shared" si="20"/>
        <v>0</v>
      </c>
      <c r="AP142" s="1354">
        <f t="shared" si="54"/>
        <v>0</v>
      </c>
      <c r="AQ142" s="1354">
        <f t="shared" si="55"/>
        <v>0</v>
      </c>
      <c r="AR142" s="1355">
        <f t="shared" si="56"/>
        <v>28</v>
      </c>
      <c r="AS142" s="1229"/>
    </row>
    <row r="143" spans="1:45" ht="16.149999999999999" customHeight="1" outlineLevel="1">
      <c r="A143" s="1353">
        <v>150</v>
      </c>
      <c r="B143" s="1353">
        <v>46</v>
      </c>
      <c r="C143" s="1353" t="str">
        <f>'sản lượng'!C144</f>
        <v>04143</v>
      </c>
      <c r="D143" s="1362" t="s">
        <v>430</v>
      </c>
      <c r="E143" s="1361" t="str">
        <f>TONGHOPCONGDOI!C150</f>
        <v>Thảo Mon</v>
      </c>
      <c r="F143" s="1355"/>
      <c r="G143" s="1353" t="s">
        <v>3246</v>
      </c>
      <c r="H143" s="1353" t="s">
        <v>3246</v>
      </c>
      <c r="I143" s="1353"/>
      <c r="J143" s="1353"/>
      <c r="K143" s="1353" t="s">
        <v>3246</v>
      </c>
      <c r="L143" s="1353" t="s">
        <v>3246</v>
      </c>
      <c r="M143" s="1353" t="s">
        <v>3424</v>
      </c>
      <c r="N143" s="1353" t="s">
        <v>3246</v>
      </c>
      <c r="O143" s="1353" t="s">
        <v>3246</v>
      </c>
      <c r="P143" s="1353" t="s">
        <v>3425</v>
      </c>
      <c r="Q143" s="1353" t="s">
        <v>3246</v>
      </c>
      <c r="R143" s="1353" t="s">
        <v>3246</v>
      </c>
      <c r="S143" s="1353" t="s">
        <v>3246</v>
      </c>
      <c r="T143" s="1353" t="s">
        <v>3424</v>
      </c>
      <c r="U143" s="1353" t="s">
        <v>3246</v>
      </c>
      <c r="V143" s="1353" t="s">
        <v>3246</v>
      </c>
      <c r="W143" s="1353" t="s">
        <v>3246</v>
      </c>
      <c r="X143" s="1353" t="s">
        <v>3246</v>
      </c>
      <c r="Y143" s="1353" t="s">
        <v>3246</v>
      </c>
      <c r="Z143" s="1353" t="s">
        <v>3246</v>
      </c>
      <c r="AA143" s="1353" t="s">
        <v>3424</v>
      </c>
      <c r="AB143" s="1353" t="s">
        <v>3246</v>
      </c>
      <c r="AC143" s="1353" t="s">
        <v>3246</v>
      </c>
      <c r="AD143" s="1353" t="s">
        <v>3425</v>
      </c>
      <c r="AE143" s="1353" t="s">
        <v>3246</v>
      </c>
      <c r="AF143" s="1353" t="s">
        <v>3246</v>
      </c>
      <c r="AG143" s="1353" t="s">
        <v>3246</v>
      </c>
      <c r="AH143" s="1353" t="s">
        <v>3424</v>
      </c>
      <c r="AI143" s="1353"/>
      <c r="AJ143" s="1353" t="s">
        <v>3246</v>
      </c>
      <c r="AK143" s="1353" t="s">
        <v>3425</v>
      </c>
      <c r="AL143" s="1354">
        <f t="shared" ref="AL143:AL165" si="57">COUNTIF(G143:AK143,"X")</f>
        <v>21</v>
      </c>
      <c r="AM143" s="1354">
        <f t="shared" ref="AM143:AM165" si="58">COUNTIF(G143:AK143,"CN")</f>
        <v>4</v>
      </c>
      <c r="AN143" s="1354">
        <f t="shared" ref="AN143:AN165" si="59">COUNTIF(G143:AK143,"Đ")</f>
        <v>3</v>
      </c>
      <c r="AO143" s="1354">
        <f t="shared" ref="AO143:AO165" si="60">COUNTIF(G143:AK143,"ĐC")</f>
        <v>0</v>
      </c>
      <c r="AP143" s="1354">
        <f t="shared" ref="AP143:AP165" si="61">COUNTIF(G143:AK143,"GT")</f>
        <v>0</v>
      </c>
      <c r="AQ143" s="1354">
        <f t="shared" ref="AQ143:AQ165" si="62">COUNTIF(G143:AK143,"CT")</f>
        <v>0</v>
      </c>
      <c r="AR143" s="1355">
        <f t="shared" ref="AR143:AR165" si="63">SUM(AL143:AQ143)</f>
        <v>28</v>
      </c>
      <c r="AS143" s="1229"/>
    </row>
    <row r="144" spans="1:45" ht="16.149999999999999" customHeight="1" outlineLevel="1">
      <c r="A144" s="1353">
        <v>151</v>
      </c>
      <c r="B144" s="1353">
        <v>47</v>
      </c>
      <c r="C144" s="1353" t="str">
        <f>'sản lượng'!C145</f>
        <v>04144</v>
      </c>
      <c r="D144" s="1362" t="s">
        <v>430</v>
      </c>
      <c r="E144" s="1361" t="str">
        <f>TONGHOPCONGDOI!C151</f>
        <v>Thảo Túy</v>
      </c>
      <c r="F144" s="1355"/>
      <c r="G144" s="1353" t="s">
        <v>3246</v>
      </c>
      <c r="H144" s="1353" t="s">
        <v>3246</v>
      </c>
      <c r="I144" s="1353" t="s">
        <v>3425</v>
      </c>
      <c r="J144" s="1353" t="s">
        <v>3246</v>
      </c>
      <c r="K144" s="1353" t="s">
        <v>3246</v>
      </c>
      <c r="L144" s="1353" t="s">
        <v>3246</v>
      </c>
      <c r="M144" s="1353" t="s">
        <v>3424</v>
      </c>
      <c r="N144" s="1353" t="s">
        <v>3246</v>
      </c>
      <c r="O144" s="1353" t="s">
        <v>3246</v>
      </c>
      <c r="P144" s="1353" t="s">
        <v>3425</v>
      </c>
      <c r="Q144" s="1353" t="s">
        <v>3246</v>
      </c>
      <c r="R144" s="1353" t="s">
        <v>3246</v>
      </c>
      <c r="S144" s="1353" t="s">
        <v>3246</v>
      </c>
      <c r="T144" s="1353" t="s">
        <v>3424</v>
      </c>
      <c r="U144" s="1353" t="s">
        <v>3246</v>
      </c>
      <c r="V144" s="1353" t="s">
        <v>3246</v>
      </c>
      <c r="W144" s="1353" t="s">
        <v>3425</v>
      </c>
      <c r="X144" s="1353" t="s">
        <v>3246</v>
      </c>
      <c r="Y144" s="1353" t="s">
        <v>3246</v>
      </c>
      <c r="Z144" s="1353" t="s">
        <v>3246</v>
      </c>
      <c r="AA144" s="1353" t="s">
        <v>3424</v>
      </c>
      <c r="AB144" s="1353" t="s">
        <v>3246</v>
      </c>
      <c r="AC144" s="1353" t="s">
        <v>3246</v>
      </c>
      <c r="AD144" s="1353" t="s">
        <v>3425</v>
      </c>
      <c r="AE144" s="1353"/>
      <c r="AF144" s="1353" t="s">
        <v>3246</v>
      </c>
      <c r="AG144" s="1353"/>
      <c r="AH144" s="1353" t="s">
        <v>3424</v>
      </c>
      <c r="AI144" s="1353" t="s">
        <v>3246</v>
      </c>
      <c r="AJ144" s="1353" t="s">
        <v>3246</v>
      </c>
      <c r="AK144" s="1353" t="s">
        <v>3425</v>
      </c>
      <c r="AL144" s="1354">
        <f t="shared" si="57"/>
        <v>20</v>
      </c>
      <c r="AM144" s="1354">
        <f t="shared" si="58"/>
        <v>4</v>
      </c>
      <c r="AN144" s="1354">
        <f t="shared" si="59"/>
        <v>5</v>
      </c>
      <c r="AO144" s="1354">
        <f t="shared" si="60"/>
        <v>0</v>
      </c>
      <c r="AP144" s="1354">
        <f t="shared" si="61"/>
        <v>0</v>
      </c>
      <c r="AQ144" s="1354">
        <f t="shared" si="62"/>
        <v>0</v>
      </c>
      <c r="AR144" s="1355">
        <f t="shared" si="63"/>
        <v>29</v>
      </c>
      <c r="AS144" s="1229"/>
    </row>
    <row r="145" spans="1:45" ht="16.149999999999999" customHeight="1" outlineLevel="1">
      <c r="A145" s="1353">
        <v>152</v>
      </c>
      <c r="B145" s="1353">
        <v>48</v>
      </c>
      <c r="C145" s="1353" t="str">
        <f>'sản lượng'!C146</f>
        <v>03692</v>
      </c>
      <c r="D145" s="1362" t="s">
        <v>430</v>
      </c>
      <c r="E145" s="1361" t="str">
        <f>TONGHOPCONGDOI!C152</f>
        <v>T. Choi</v>
      </c>
      <c r="F145" s="1355"/>
      <c r="G145" s="1353"/>
      <c r="H145" s="1353" t="s">
        <v>3246</v>
      </c>
      <c r="I145" s="1353" t="s">
        <v>3425</v>
      </c>
      <c r="J145" s="1353" t="s">
        <v>3246</v>
      </c>
      <c r="K145" s="1353" t="s">
        <v>3246</v>
      </c>
      <c r="L145" s="1353" t="s">
        <v>3246</v>
      </c>
      <c r="M145" s="1353" t="s">
        <v>3424</v>
      </c>
      <c r="N145" s="1353" t="s">
        <v>3246</v>
      </c>
      <c r="O145" s="1353" t="s">
        <v>3246</v>
      </c>
      <c r="P145" s="1353" t="s">
        <v>3425</v>
      </c>
      <c r="Q145" s="1353"/>
      <c r="R145" s="1353" t="s">
        <v>3246</v>
      </c>
      <c r="S145" s="1353" t="s">
        <v>3246</v>
      </c>
      <c r="T145" s="1353" t="s">
        <v>3424</v>
      </c>
      <c r="U145" s="1353" t="s">
        <v>3246</v>
      </c>
      <c r="V145" s="1353" t="s">
        <v>3246</v>
      </c>
      <c r="W145" s="1353" t="s">
        <v>3425</v>
      </c>
      <c r="X145" s="1353" t="s">
        <v>3246</v>
      </c>
      <c r="Y145" s="1353" t="s">
        <v>3246</v>
      </c>
      <c r="Z145" s="1353" t="s">
        <v>3246</v>
      </c>
      <c r="AA145" s="1353"/>
      <c r="AB145" s="1353"/>
      <c r="AC145" s="1353"/>
      <c r="AD145" s="1353" t="s">
        <v>3425</v>
      </c>
      <c r="AE145" s="1353" t="s">
        <v>3246</v>
      </c>
      <c r="AF145" s="1353" t="s">
        <v>3246</v>
      </c>
      <c r="AG145" s="1353" t="s">
        <v>3246</v>
      </c>
      <c r="AH145" s="1353" t="s">
        <v>3424</v>
      </c>
      <c r="AI145" s="1353" t="s">
        <v>3246</v>
      </c>
      <c r="AJ145" s="1353" t="s">
        <v>3246</v>
      </c>
      <c r="AK145" s="1353" t="s">
        <v>3425</v>
      </c>
      <c r="AL145" s="1354">
        <f t="shared" si="57"/>
        <v>18</v>
      </c>
      <c r="AM145" s="1354">
        <f t="shared" si="58"/>
        <v>3</v>
      </c>
      <c r="AN145" s="1354">
        <f t="shared" si="59"/>
        <v>5</v>
      </c>
      <c r="AO145" s="1354">
        <f t="shared" si="60"/>
        <v>0</v>
      </c>
      <c r="AP145" s="1354">
        <f t="shared" si="61"/>
        <v>0</v>
      </c>
      <c r="AQ145" s="1354">
        <f t="shared" si="62"/>
        <v>0</v>
      </c>
      <c r="AR145" s="1355">
        <f t="shared" si="63"/>
        <v>26</v>
      </c>
      <c r="AS145" s="1229"/>
    </row>
    <row r="146" spans="1:45" ht="16.149999999999999" customHeight="1" outlineLevel="1">
      <c r="A146" s="1353">
        <v>153</v>
      </c>
      <c r="B146" s="1353">
        <v>49</v>
      </c>
      <c r="C146" s="1353" t="str">
        <f>'sản lượng'!C147</f>
        <v>03693</v>
      </c>
      <c r="D146" s="1362" t="s">
        <v>430</v>
      </c>
      <c r="E146" s="1361" t="str">
        <f>TONGHOPCONGDOI!C153</f>
        <v>N. Phút</v>
      </c>
      <c r="F146" s="1355"/>
      <c r="G146" s="1353"/>
      <c r="H146" s="1353" t="s">
        <v>3246</v>
      </c>
      <c r="I146" s="1353" t="s">
        <v>3425</v>
      </c>
      <c r="J146" s="1353" t="s">
        <v>3246</v>
      </c>
      <c r="K146" s="1353" t="s">
        <v>3246</v>
      </c>
      <c r="L146" s="1353" t="s">
        <v>3246</v>
      </c>
      <c r="M146" s="1353" t="s">
        <v>3424</v>
      </c>
      <c r="N146" s="1353" t="s">
        <v>3246</v>
      </c>
      <c r="O146" s="1353" t="s">
        <v>3246</v>
      </c>
      <c r="P146" s="1353" t="s">
        <v>3425</v>
      </c>
      <c r="Q146" s="1353"/>
      <c r="R146" s="1353" t="s">
        <v>3246</v>
      </c>
      <c r="S146" s="1353" t="s">
        <v>3246</v>
      </c>
      <c r="T146" s="1353" t="s">
        <v>3424</v>
      </c>
      <c r="U146" s="1353" t="s">
        <v>3246</v>
      </c>
      <c r="V146" s="1353" t="s">
        <v>3246</v>
      </c>
      <c r="W146" s="1353" t="s">
        <v>3425</v>
      </c>
      <c r="X146" s="1353" t="s">
        <v>3246</v>
      </c>
      <c r="Y146" s="1353" t="s">
        <v>3246</v>
      </c>
      <c r="Z146" s="1353" t="s">
        <v>3246</v>
      </c>
      <c r="AA146" s="1353"/>
      <c r="AB146" s="1353"/>
      <c r="AC146" s="1353"/>
      <c r="AD146" s="1353" t="s">
        <v>3425</v>
      </c>
      <c r="AE146" s="1353" t="s">
        <v>3246</v>
      </c>
      <c r="AF146" s="1353" t="s">
        <v>3246</v>
      </c>
      <c r="AG146" s="1353" t="s">
        <v>3246</v>
      </c>
      <c r="AH146" s="1353" t="s">
        <v>3424</v>
      </c>
      <c r="AI146" s="1353" t="s">
        <v>3246</v>
      </c>
      <c r="AJ146" s="1353" t="s">
        <v>3246</v>
      </c>
      <c r="AK146" s="1353" t="s">
        <v>3425</v>
      </c>
      <c r="AL146" s="1354">
        <f t="shared" si="57"/>
        <v>18</v>
      </c>
      <c r="AM146" s="1354">
        <f t="shared" si="58"/>
        <v>3</v>
      </c>
      <c r="AN146" s="1354">
        <f t="shared" si="59"/>
        <v>5</v>
      </c>
      <c r="AO146" s="1354">
        <f t="shared" si="60"/>
        <v>0</v>
      </c>
      <c r="AP146" s="1354">
        <f t="shared" si="61"/>
        <v>0</v>
      </c>
      <c r="AQ146" s="1354">
        <f t="shared" si="62"/>
        <v>0</v>
      </c>
      <c r="AR146" s="1355">
        <f t="shared" si="63"/>
        <v>26</v>
      </c>
      <c r="AS146" s="1229"/>
    </row>
    <row r="147" spans="1:45" ht="16.149999999999999" customHeight="1" outlineLevel="1">
      <c r="A147" s="1353">
        <v>154</v>
      </c>
      <c r="B147" s="1353">
        <v>50</v>
      </c>
      <c r="C147" s="1353" t="str">
        <f>'sản lượng'!C148</f>
        <v>04145</v>
      </c>
      <c r="D147" s="1362" t="s">
        <v>430</v>
      </c>
      <c r="E147" s="1361" t="str">
        <f>TONGHOPCONGDOI!C154</f>
        <v>Nàng A Nẹp</v>
      </c>
      <c r="F147" s="1355"/>
      <c r="G147" s="1353" t="s">
        <v>3246</v>
      </c>
      <c r="H147" s="1353" t="s">
        <v>3246</v>
      </c>
      <c r="I147" s="1353" t="s">
        <v>3425</v>
      </c>
      <c r="J147" s="1353" t="s">
        <v>3246</v>
      </c>
      <c r="K147" s="1353" t="s">
        <v>3246</v>
      </c>
      <c r="L147" s="1353" t="s">
        <v>3246</v>
      </c>
      <c r="M147" s="1353" t="s">
        <v>3424</v>
      </c>
      <c r="N147" s="1353" t="s">
        <v>3246</v>
      </c>
      <c r="O147" s="1353" t="s">
        <v>3246</v>
      </c>
      <c r="P147" s="1353" t="s">
        <v>3425</v>
      </c>
      <c r="Q147" s="1353" t="s">
        <v>3246</v>
      </c>
      <c r="R147" s="1353" t="s">
        <v>3246</v>
      </c>
      <c r="S147" s="1353" t="s">
        <v>3246</v>
      </c>
      <c r="T147" s="1353" t="s">
        <v>3424</v>
      </c>
      <c r="U147" s="1353" t="s">
        <v>3246</v>
      </c>
      <c r="V147" s="1353" t="s">
        <v>3246</v>
      </c>
      <c r="W147" s="1353" t="s">
        <v>3246</v>
      </c>
      <c r="X147" s="1353" t="s">
        <v>3246</v>
      </c>
      <c r="Y147" s="1353" t="s">
        <v>3246</v>
      </c>
      <c r="Z147" s="1353" t="s">
        <v>3246</v>
      </c>
      <c r="AA147" s="1353" t="s">
        <v>3424</v>
      </c>
      <c r="AB147" s="1353" t="s">
        <v>3246</v>
      </c>
      <c r="AC147" s="1353" t="s">
        <v>3246</v>
      </c>
      <c r="AD147" s="1353" t="s">
        <v>3246</v>
      </c>
      <c r="AE147" s="1353" t="s">
        <v>3246</v>
      </c>
      <c r="AF147" s="1353" t="s">
        <v>3246</v>
      </c>
      <c r="AG147" s="1353" t="s">
        <v>3246</v>
      </c>
      <c r="AH147" s="1353" t="s">
        <v>3424</v>
      </c>
      <c r="AI147" s="1353" t="s">
        <v>3246</v>
      </c>
      <c r="AJ147" s="1353" t="s">
        <v>3246</v>
      </c>
      <c r="AK147" s="1353" t="s">
        <v>3246</v>
      </c>
      <c r="AL147" s="1354">
        <f t="shared" si="57"/>
        <v>25</v>
      </c>
      <c r="AM147" s="1354">
        <f t="shared" si="58"/>
        <v>4</v>
      </c>
      <c r="AN147" s="1354">
        <f t="shared" si="59"/>
        <v>2</v>
      </c>
      <c r="AO147" s="1354">
        <f t="shared" si="60"/>
        <v>0</v>
      </c>
      <c r="AP147" s="1354">
        <f t="shared" si="61"/>
        <v>0</v>
      </c>
      <c r="AQ147" s="1354">
        <f t="shared" si="62"/>
        <v>0</v>
      </c>
      <c r="AR147" s="1355">
        <f t="shared" si="63"/>
        <v>31</v>
      </c>
      <c r="AS147" s="1229"/>
    </row>
    <row r="148" spans="1:45" ht="16.149999999999999" customHeight="1" outlineLevel="1">
      <c r="A148" s="1353">
        <v>155</v>
      </c>
      <c r="B148" s="1353">
        <v>51</v>
      </c>
      <c r="C148" s="1353" t="str">
        <f>'sản lượng'!C149</f>
        <v>04146</v>
      </c>
      <c r="D148" s="1362" t="s">
        <v>430</v>
      </c>
      <c r="E148" s="1361" t="str">
        <f>TONGHOPCONGDOI!C155</f>
        <v>Thảo Nọi</v>
      </c>
      <c r="F148" s="1355"/>
      <c r="G148" s="1353" t="s">
        <v>3246</v>
      </c>
      <c r="H148" s="1353" t="s">
        <v>3246</v>
      </c>
      <c r="I148" s="1353" t="s">
        <v>3425</v>
      </c>
      <c r="J148" s="1353" t="s">
        <v>3246</v>
      </c>
      <c r="K148" s="1353" t="s">
        <v>3246</v>
      </c>
      <c r="L148" s="1353" t="s">
        <v>3246</v>
      </c>
      <c r="M148" s="1353" t="s">
        <v>3424</v>
      </c>
      <c r="N148" s="1353" t="s">
        <v>3246</v>
      </c>
      <c r="O148" s="1353" t="s">
        <v>3246</v>
      </c>
      <c r="P148" s="1353" t="s">
        <v>3425</v>
      </c>
      <c r="Q148" s="1353" t="s">
        <v>3246</v>
      </c>
      <c r="R148" s="1353" t="s">
        <v>3246</v>
      </c>
      <c r="S148" s="1353" t="s">
        <v>3246</v>
      </c>
      <c r="T148" s="1353" t="s">
        <v>3424</v>
      </c>
      <c r="U148" s="1353" t="s">
        <v>3246</v>
      </c>
      <c r="V148" s="1353" t="s">
        <v>3246</v>
      </c>
      <c r="W148" s="1353" t="s">
        <v>3425</v>
      </c>
      <c r="X148" s="1353" t="s">
        <v>3246</v>
      </c>
      <c r="Y148" s="1353" t="s">
        <v>3246</v>
      </c>
      <c r="Z148" s="1353" t="s">
        <v>3246</v>
      </c>
      <c r="AA148" s="1353" t="s">
        <v>3424</v>
      </c>
      <c r="AB148" s="1353" t="s">
        <v>3246</v>
      </c>
      <c r="AC148" s="1353" t="s">
        <v>3246</v>
      </c>
      <c r="AD148" s="1353"/>
      <c r="AE148" s="1353"/>
      <c r="AF148" s="1353" t="s">
        <v>3246</v>
      </c>
      <c r="AG148" s="1353" t="s">
        <v>3246</v>
      </c>
      <c r="AH148" s="1353" t="s">
        <v>3424</v>
      </c>
      <c r="AI148" s="1353" t="s">
        <v>3246</v>
      </c>
      <c r="AJ148" s="1353" t="s">
        <v>3246</v>
      </c>
      <c r="AK148" s="1353" t="s">
        <v>3425</v>
      </c>
      <c r="AL148" s="1354">
        <f t="shared" si="57"/>
        <v>21</v>
      </c>
      <c r="AM148" s="1354">
        <f t="shared" si="58"/>
        <v>4</v>
      </c>
      <c r="AN148" s="1354">
        <f t="shared" si="59"/>
        <v>4</v>
      </c>
      <c r="AO148" s="1354">
        <f t="shared" si="60"/>
        <v>0</v>
      </c>
      <c r="AP148" s="1354">
        <f t="shared" si="61"/>
        <v>0</v>
      </c>
      <c r="AQ148" s="1354">
        <f t="shared" si="62"/>
        <v>0</v>
      </c>
      <c r="AR148" s="1355">
        <f t="shared" si="63"/>
        <v>29</v>
      </c>
      <c r="AS148" s="1229"/>
    </row>
    <row r="149" spans="1:45" ht="16.149999999999999" customHeight="1" outlineLevel="1">
      <c r="A149" s="1353">
        <v>156</v>
      </c>
      <c r="B149" s="1353">
        <v>52</v>
      </c>
      <c r="C149" s="1353">
        <f>'sản lượng'!C150</f>
        <v>0</v>
      </c>
      <c r="D149" s="1362" t="s">
        <v>430</v>
      </c>
      <c r="E149" s="1361" t="str">
        <f>TONGHOPCONGDOI!C156</f>
        <v>Thảo Bun</v>
      </c>
      <c r="F149" s="1355"/>
      <c r="G149" s="1353" t="s">
        <v>3246</v>
      </c>
      <c r="H149" s="1353" t="s">
        <v>3246</v>
      </c>
      <c r="I149" s="1353" t="s">
        <v>3425</v>
      </c>
      <c r="J149" s="1353" t="s">
        <v>3246</v>
      </c>
      <c r="K149" s="1353" t="s">
        <v>3246</v>
      </c>
      <c r="L149" s="1353"/>
      <c r="M149" s="1353"/>
      <c r="N149" s="1353"/>
      <c r="O149" s="1353"/>
      <c r="P149" s="1353"/>
      <c r="Q149" s="1353"/>
      <c r="R149" s="1353"/>
      <c r="S149" s="1353"/>
      <c r="T149" s="1353"/>
      <c r="U149" s="1353"/>
      <c r="V149" s="1353"/>
      <c r="W149" s="1353"/>
      <c r="X149" s="1353"/>
      <c r="Y149" s="1353"/>
      <c r="Z149" s="1353"/>
      <c r="AA149" s="1353"/>
      <c r="AB149" s="1353"/>
      <c r="AC149" s="1353"/>
      <c r="AD149" s="1353"/>
      <c r="AE149" s="1353"/>
      <c r="AF149" s="1353"/>
      <c r="AG149" s="1353"/>
      <c r="AH149" s="1353"/>
      <c r="AI149" s="1353"/>
      <c r="AJ149" s="1353"/>
      <c r="AK149" s="1353"/>
      <c r="AL149" s="1354">
        <f t="shared" si="57"/>
        <v>4</v>
      </c>
      <c r="AM149" s="1354">
        <f t="shared" si="58"/>
        <v>0</v>
      </c>
      <c r="AN149" s="1354">
        <f t="shared" si="59"/>
        <v>1</v>
      </c>
      <c r="AO149" s="1354">
        <f t="shared" si="60"/>
        <v>0</v>
      </c>
      <c r="AP149" s="1354">
        <f t="shared" si="61"/>
        <v>0</v>
      </c>
      <c r="AQ149" s="1354">
        <f t="shared" si="62"/>
        <v>0</v>
      </c>
      <c r="AR149" s="1355">
        <f t="shared" si="63"/>
        <v>5</v>
      </c>
      <c r="AS149" s="1229"/>
    </row>
    <row r="150" spans="1:45" ht="16.149999999999999" customHeight="1" outlineLevel="1">
      <c r="A150" s="1353">
        <v>157</v>
      </c>
      <c r="B150" s="1353">
        <v>53</v>
      </c>
      <c r="C150" s="1353" t="str">
        <f>'sản lượng'!C151</f>
        <v>04147</v>
      </c>
      <c r="D150" s="1362" t="s">
        <v>430</v>
      </c>
      <c r="E150" s="1361" t="str">
        <f>TONGHOPCONGDOI!C157</f>
        <v>Nàng Pằng</v>
      </c>
      <c r="F150" s="1355"/>
      <c r="G150" s="1353" t="s">
        <v>3246</v>
      </c>
      <c r="H150" s="1353" t="s">
        <v>3246</v>
      </c>
      <c r="I150" s="1353" t="s">
        <v>3425</v>
      </c>
      <c r="J150" s="1353" t="s">
        <v>3246</v>
      </c>
      <c r="K150" s="1353" t="s">
        <v>3246</v>
      </c>
      <c r="L150" s="1353" t="s">
        <v>3246</v>
      </c>
      <c r="M150" s="1353" t="s">
        <v>3424</v>
      </c>
      <c r="N150" s="1353" t="s">
        <v>3246</v>
      </c>
      <c r="O150" s="1353" t="s">
        <v>3246</v>
      </c>
      <c r="P150" s="1353" t="s">
        <v>3425</v>
      </c>
      <c r="Q150" s="1353" t="s">
        <v>3246</v>
      </c>
      <c r="R150" s="1353" t="s">
        <v>3246</v>
      </c>
      <c r="S150" s="1353" t="s">
        <v>3246</v>
      </c>
      <c r="T150" s="1353" t="s">
        <v>3424</v>
      </c>
      <c r="U150" s="1353" t="s">
        <v>3246</v>
      </c>
      <c r="V150" s="1353" t="s">
        <v>3246</v>
      </c>
      <c r="W150" s="1353" t="s">
        <v>3425</v>
      </c>
      <c r="X150" s="1353" t="s">
        <v>3246</v>
      </c>
      <c r="Y150" s="1353" t="s">
        <v>3246</v>
      </c>
      <c r="Z150" s="1353" t="s">
        <v>3246</v>
      </c>
      <c r="AA150" s="1353" t="s">
        <v>3424</v>
      </c>
      <c r="AB150" s="1353" t="s">
        <v>3246</v>
      </c>
      <c r="AC150" s="1353" t="s">
        <v>3246</v>
      </c>
      <c r="AD150" s="1353" t="s">
        <v>3425</v>
      </c>
      <c r="AE150" s="1353"/>
      <c r="AF150" s="1353" t="s">
        <v>3246</v>
      </c>
      <c r="AG150" s="1353"/>
      <c r="AH150" s="1353" t="s">
        <v>3424</v>
      </c>
      <c r="AI150" s="1353" t="s">
        <v>3246</v>
      </c>
      <c r="AJ150" s="1353" t="s">
        <v>3246</v>
      </c>
      <c r="AK150" s="1353" t="s">
        <v>3425</v>
      </c>
      <c r="AL150" s="1354">
        <f t="shared" si="57"/>
        <v>20</v>
      </c>
      <c r="AM150" s="1354">
        <f t="shared" si="58"/>
        <v>4</v>
      </c>
      <c r="AN150" s="1354">
        <f t="shared" si="59"/>
        <v>5</v>
      </c>
      <c r="AO150" s="1354">
        <f t="shared" si="60"/>
        <v>0</v>
      </c>
      <c r="AP150" s="1354">
        <f t="shared" si="61"/>
        <v>0</v>
      </c>
      <c r="AQ150" s="1354">
        <f t="shared" si="62"/>
        <v>0</v>
      </c>
      <c r="AR150" s="1355">
        <f t="shared" si="63"/>
        <v>29</v>
      </c>
      <c r="AS150" s="1229"/>
    </row>
    <row r="151" spans="1:45" ht="16.149999999999999" customHeight="1" outlineLevel="1">
      <c r="A151" s="1353">
        <v>158</v>
      </c>
      <c r="B151" s="1353">
        <v>54</v>
      </c>
      <c r="C151" s="1353">
        <f>'sản lượng'!C152</f>
        <v>0</v>
      </c>
      <c r="D151" s="1362" t="s">
        <v>430</v>
      </c>
      <c r="E151" s="1361" t="str">
        <f>TONGHOPCONGDOI!C158</f>
        <v>Thảo Ỉa</v>
      </c>
      <c r="F151" s="1355"/>
      <c r="G151" s="1353" t="s">
        <v>3246</v>
      </c>
      <c r="H151" s="1353"/>
      <c r="I151" s="1353" t="s">
        <v>3425</v>
      </c>
      <c r="J151" s="1353" t="s">
        <v>3246</v>
      </c>
      <c r="K151" s="1353"/>
      <c r="L151" s="1353"/>
      <c r="M151" s="1353"/>
      <c r="N151" s="1353"/>
      <c r="O151" s="1353"/>
      <c r="P151" s="1353"/>
      <c r="Q151" s="1353"/>
      <c r="R151" s="1353"/>
      <c r="S151" s="1353"/>
      <c r="T151" s="1353"/>
      <c r="U151" s="1353" t="s">
        <v>3246</v>
      </c>
      <c r="V151" s="1353"/>
      <c r="W151" s="1353"/>
      <c r="X151" s="1353"/>
      <c r="Y151" s="1353"/>
      <c r="Z151" s="1353"/>
      <c r="AA151" s="1353"/>
      <c r="AB151" s="1353"/>
      <c r="AC151" s="1353"/>
      <c r="AD151" s="1353"/>
      <c r="AE151" s="1353"/>
      <c r="AF151" s="1353"/>
      <c r="AG151" s="1353"/>
      <c r="AH151" s="1353"/>
      <c r="AI151" s="1353"/>
      <c r="AJ151" s="1353"/>
      <c r="AK151" s="1353"/>
      <c r="AL151" s="1354">
        <f t="shared" si="57"/>
        <v>3</v>
      </c>
      <c r="AM151" s="1354">
        <f t="shared" si="58"/>
        <v>0</v>
      </c>
      <c r="AN151" s="1354">
        <f t="shared" si="59"/>
        <v>1</v>
      </c>
      <c r="AO151" s="1354">
        <f t="shared" si="60"/>
        <v>0</v>
      </c>
      <c r="AP151" s="1354">
        <f t="shared" si="61"/>
        <v>0</v>
      </c>
      <c r="AQ151" s="1354">
        <f t="shared" si="62"/>
        <v>0</v>
      </c>
      <c r="AR151" s="1355">
        <f t="shared" si="63"/>
        <v>4</v>
      </c>
      <c r="AS151" s="1229"/>
    </row>
    <row r="152" spans="1:45" ht="16.149999999999999" customHeight="1" outlineLevel="1">
      <c r="A152" s="1353">
        <v>159</v>
      </c>
      <c r="B152" s="1353">
        <v>55</v>
      </c>
      <c r="C152" s="1353">
        <f>'sản lượng'!C153</f>
        <v>0</v>
      </c>
      <c r="D152" s="1362" t="s">
        <v>430</v>
      </c>
      <c r="E152" s="1361" t="str">
        <f>TONGHOPCONGDOI!C159</f>
        <v>Thảo Khăm</v>
      </c>
      <c r="F152" s="1355"/>
      <c r="G152" s="1353" t="s">
        <v>3246</v>
      </c>
      <c r="H152" s="1353"/>
      <c r="I152" s="1353"/>
      <c r="J152" s="1353"/>
      <c r="K152" s="1353"/>
      <c r="L152" s="1353"/>
      <c r="M152" s="1353"/>
      <c r="N152" s="1353"/>
      <c r="O152" s="1353"/>
      <c r="P152" s="1353"/>
      <c r="Q152" s="1353"/>
      <c r="R152" s="1353"/>
      <c r="S152" s="1353"/>
      <c r="T152" s="1353"/>
      <c r="U152" s="1353" t="s">
        <v>3246</v>
      </c>
      <c r="V152" s="1353"/>
      <c r="W152" s="1353"/>
      <c r="X152" s="1353"/>
      <c r="Y152" s="1353"/>
      <c r="Z152" s="1353"/>
      <c r="AA152" s="1353"/>
      <c r="AB152" s="1353"/>
      <c r="AC152" s="1353"/>
      <c r="AD152" s="1353"/>
      <c r="AE152" s="1353"/>
      <c r="AF152" s="1353"/>
      <c r="AG152" s="1353"/>
      <c r="AH152" s="1353"/>
      <c r="AI152" s="1353"/>
      <c r="AJ152" s="1353"/>
      <c r="AK152" s="1353"/>
      <c r="AL152" s="1354">
        <f t="shared" si="57"/>
        <v>2</v>
      </c>
      <c r="AM152" s="1354">
        <f t="shared" si="58"/>
        <v>0</v>
      </c>
      <c r="AN152" s="1354">
        <f t="shared" si="59"/>
        <v>0</v>
      </c>
      <c r="AO152" s="1354">
        <f t="shared" si="60"/>
        <v>0</v>
      </c>
      <c r="AP152" s="1354">
        <f t="shared" si="61"/>
        <v>0</v>
      </c>
      <c r="AQ152" s="1354">
        <f t="shared" si="62"/>
        <v>0</v>
      </c>
      <c r="AR152" s="1355">
        <f t="shared" si="63"/>
        <v>2</v>
      </c>
      <c r="AS152" s="1229"/>
    </row>
    <row r="153" spans="1:45" ht="16.149999999999999" customHeight="1" outlineLevel="1">
      <c r="A153" s="1353">
        <v>160</v>
      </c>
      <c r="B153" s="1353">
        <v>56</v>
      </c>
      <c r="C153" s="1353">
        <f>'sản lượng'!C154</f>
        <v>0</v>
      </c>
      <c r="D153" s="1362" t="s">
        <v>430</v>
      </c>
      <c r="E153" s="1361" t="str">
        <f>TONGHOPCONGDOI!C160</f>
        <v>Thảo Phút râu</v>
      </c>
      <c r="F153" s="1355"/>
      <c r="G153" s="1353"/>
      <c r="H153" s="1353"/>
      <c r="I153" s="1353"/>
      <c r="J153" s="1353"/>
      <c r="K153" s="1353"/>
      <c r="L153" s="1353"/>
      <c r="M153" s="1353"/>
      <c r="N153" s="1353"/>
      <c r="O153" s="1353"/>
      <c r="P153" s="1353"/>
      <c r="Q153" s="1353"/>
      <c r="R153" s="1353"/>
      <c r="S153" s="1353"/>
      <c r="T153" s="1353"/>
      <c r="U153" s="1353"/>
      <c r="V153" s="1353"/>
      <c r="W153" s="1353"/>
      <c r="X153" s="1353"/>
      <c r="Y153" s="1353"/>
      <c r="Z153" s="1353"/>
      <c r="AA153" s="1353"/>
      <c r="AB153" s="1353"/>
      <c r="AC153" s="1353"/>
      <c r="AD153" s="1353"/>
      <c r="AE153" s="1353"/>
      <c r="AF153" s="1353"/>
      <c r="AG153" s="1353"/>
      <c r="AH153" s="1353"/>
      <c r="AI153" s="1353"/>
      <c r="AJ153" s="1353"/>
      <c r="AK153" s="1353"/>
      <c r="AL153" s="1354">
        <f t="shared" si="57"/>
        <v>0</v>
      </c>
      <c r="AM153" s="1354">
        <f t="shared" si="58"/>
        <v>0</v>
      </c>
      <c r="AN153" s="1354">
        <f t="shared" si="59"/>
        <v>0</v>
      </c>
      <c r="AO153" s="1354">
        <f t="shared" si="60"/>
        <v>0</v>
      </c>
      <c r="AP153" s="1354">
        <f t="shared" si="61"/>
        <v>0</v>
      </c>
      <c r="AQ153" s="1354">
        <f t="shared" si="62"/>
        <v>0</v>
      </c>
      <c r="AR153" s="1355">
        <f t="shared" si="63"/>
        <v>0</v>
      </c>
      <c r="AS153" s="1229"/>
    </row>
    <row r="154" spans="1:45" ht="16.149999999999999" customHeight="1" outlineLevel="1">
      <c r="A154" s="1353">
        <v>161</v>
      </c>
      <c r="B154" s="1353">
        <v>57</v>
      </c>
      <c r="C154" s="1353">
        <f>'sản lượng'!C155</f>
        <v>0</v>
      </c>
      <c r="D154" s="1362" t="s">
        <v>430</v>
      </c>
      <c r="E154" s="1361" t="str">
        <f>TONGHOPCONGDOI!C161</f>
        <v>Thảo Hung</v>
      </c>
      <c r="F154" s="1355"/>
      <c r="G154" s="1353"/>
      <c r="H154" s="1353"/>
      <c r="I154" s="1353"/>
      <c r="J154" s="1353"/>
      <c r="K154" s="1353"/>
      <c r="L154" s="1353"/>
      <c r="M154" s="1353"/>
      <c r="N154" s="1353"/>
      <c r="O154" s="1353"/>
      <c r="P154" s="1353"/>
      <c r="Q154" s="1353"/>
      <c r="R154" s="1353"/>
      <c r="S154" s="1353"/>
      <c r="T154" s="1353"/>
      <c r="U154" s="1353"/>
      <c r="V154" s="1353"/>
      <c r="W154" s="1353"/>
      <c r="X154" s="1353"/>
      <c r="Y154" s="1353"/>
      <c r="Z154" s="1353"/>
      <c r="AA154" s="1353"/>
      <c r="AB154" s="1353"/>
      <c r="AC154" s="1353"/>
      <c r="AD154" s="1353"/>
      <c r="AE154" s="1353"/>
      <c r="AF154" s="1353"/>
      <c r="AG154" s="1353"/>
      <c r="AH154" s="1353"/>
      <c r="AI154" s="1353"/>
      <c r="AJ154" s="1353"/>
      <c r="AK154" s="1353"/>
      <c r="AL154" s="1354">
        <f t="shared" si="57"/>
        <v>0</v>
      </c>
      <c r="AM154" s="1354">
        <f t="shared" si="58"/>
        <v>0</v>
      </c>
      <c r="AN154" s="1354">
        <f t="shared" si="59"/>
        <v>0</v>
      </c>
      <c r="AO154" s="1354">
        <f t="shared" si="60"/>
        <v>0</v>
      </c>
      <c r="AP154" s="1354">
        <f t="shared" si="61"/>
        <v>0</v>
      </c>
      <c r="AQ154" s="1354">
        <f t="shared" si="62"/>
        <v>0</v>
      </c>
      <c r="AR154" s="1355">
        <f t="shared" si="63"/>
        <v>0</v>
      </c>
      <c r="AS154" s="1229"/>
    </row>
    <row r="155" spans="1:45" ht="16.149999999999999" customHeight="1" outlineLevel="1">
      <c r="A155" s="1353">
        <v>162</v>
      </c>
      <c r="B155" s="1353">
        <v>58</v>
      </c>
      <c r="C155" s="1353">
        <f>'sản lượng'!C156</f>
        <v>0</v>
      </c>
      <c r="D155" s="1362" t="s">
        <v>430</v>
      </c>
      <c r="E155" s="1361" t="str">
        <f>TONGHOPCONGDOI!C162</f>
        <v>Thảo Khẹt</v>
      </c>
      <c r="F155" s="1355"/>
      <c r="G155" s="1353"/>
      <c r="H155" s="1353"/>
      <c r="I155" s="1353"/>
      <c r="J155" s="1353"/>
      <c r="K155" s="1353"/>
      <c r="L155" s="1353"/>
      <c r="M155" s="1353"/>
      <c r="N155" s="1353" t="s">
        <v>3246</v>
      </c>
      <c r="O155" s="1353" t="s">
        <v>3246</v>
      </c>
      <c r="P155" s="1353" t="s">
        <v>3425</v>
      </c>
      <c r="Q155" s="1353" t="s">
        <v>3246</v>
      </c>
      <c r="R155" s="1353" t="s">
        <v>3246</v>
      </c>
      <c r="S155" s="1353" t="s">
        <v>3246</v>
      </c>
      <c r="T155" s="1353" t="s">
        <v>3424</v>
      </c>
      <c r="U155" s="1353" t="s">
        <v>3246</v>
      </c>
      <c r="V155" s="1353" t="s">
        <v>3246</v>
      </c>
      <c r="W155" s="1353" t="s">
        <v>3425</v>
      </c>
      <c r="X155" s="1353" t="s">
        <v>3246</v>
      </c>
      <c r="Y155" s="1353" t="s">
        <v>3246</v>
      </c>
      <c r="Z155" s="1353" t="s">
        <v>3246</v>
      </c>
      <c r="AA155" s="1353" t="s">
        <v>3424</v>
      </c>
      <c r="AB155" s="1353" t="s">
        <v>3246</v>
      </c>
      <c r="AC155" s="1353" t="s">
        <v>3246</v>
      </c>
      <c r="AD155" s="1353" t="s">
        <v>3425</v>
      </c>
      <c r="AE155" s="1353" t="s">
        <v>3246</v>
      </c>
      <c r="AF155" s="1353" t="s">
        <v>3246</v>
      </c>
      <c r="AG155" s="1353" t="s">
        <v>3246</v>
      </c>
      <c r="AH155" s="1353" t="s">
        <v>3424</v>
      </c>
      <c r="AI155" s="1353" t="s">
        <v>3246</v>
      </c>
      <c r="AJ155" s="1353" t="s">
        <v>3246</v>
      </c>
      <c r="AK155" s="1353" t="s">
        <v>3425</v>
      </c>
      <c r="AL155" s="1354">
        <f t="shared" si="57"/>
        <v>17</v>
      </c>
      <c r="AM155" s="1354">
        <f t="shared" si="58"/>
        <v>3</v>
      </c>
      <c r="AN155" s="1354">
        <f t="shared" si="59"/>
        <v>4</v>
      </c>
      <c r="AO155" s="1354">
        <f t="shared" si="60"/>
        <v>0</v>
      </c>
      <c r="AP155" s="1354">
        <f t="shared" si="61"/>
        <v>0</v>
      </c>
      <c r="AQ155" s="1354">
        <f t="shared" si="62"/>
        <v>0</v>
      </c>
      <c r="AR155" s="1355">
        <f t="shared" si="63"/>
        <v>24</v>
      </c>
      <c r="AS155" s="1229"/>
    </row>
    <row r="156" spans="1:45" ht="16.149999999999999" customHeight="1" outlineLevel="1">
      <c r="A156" s="1353">
        <v>163</v>
      </c>
      <c r="B156" s="1353">
        <v>59</v>
      </c>
      <c r="C156" s="1353">
        <f>'sản lượng'!C157</f>
        <v>0</v>
      </c>
      <c r="D156" s="1362" t="s">
        <v>430</v>
      </c>
      <c r="E156" s="1361" t="str">
        <f>TONGHOPCONGDOI!C163</f>
        <v>Thảo Khun</v>
      </c>
      <c r="F156" s="1355"/>
      <c r="G156" s="1353"/>
      <c r="H156" s="1353"/>
      <c r="I156" s="1353"/>
      <c r="J156" s="1353"/>
      <c r="K156" s="1353"/>
      <c r="L156" s="1353"/>
      <c r="M156" s="1353"/>
      <c r="N156" s="1353"/>
      <c r="O156" s="1353"/>
      <c r="P156" s="1353"/>
      <c r="Q156" s="1353"/>
      <c r="R156" s="1353"/>
      <c r="S156" s="1353"/>
      <c r="T156" s="1353"/>
      <c r="U156" s="1353"/>
      <c r="V156" s="1353"/>
      <c r="W156" s="1353"/>
      <c r="X156" s="1353"/>
      <c r="Y156" s="1353"/>
      <c r="Z156" s="1353"/>
      <c r="AA156" s="1353"/>
      <c r="AB156" s="1353"/>
      <c r="AC156" s="1353"/>
      <c r="AD156" s="1353"/>
      <c r="AE156" s="1353"/>
      <c r="AF156" s="1353"/>
      <c r="AG156" s="1353"/>
      <c r="AH156" s="1353"/>
      <c r="AI156" s="1353"/>
      <c r="AJ156" s="1353"/>
      <c r="AK156" s="1353"/>
      <c r="AL156" s="1354">
        <f t="shared" si="57"/>
        <v>0</v>
      </c>
      <c r="AM156" s="1354">
        <f t="shared" si="58"/>
        <v>0</v>
      </c>
      <c r="AN156" s="1354">
        <f t="shared" si="59"/>
        <v>0</v>
      </c>
      <c r="AO156" s="1354">
        <f t="shared" si="60"/>
        <v>0</v>
      </c>
      <c r="AP156" s="1354">
        <f t="shared" si="61"/>
        <v>0</v>
      </c>
      <c r="AQ156" s="1354">
        <f t="shared" si="62"/>
        <v>0</v>
      </c>
      <c r="AR156" s="1355">
        <f t="shared" si="63"/>
        <v>0</v>
      </c>
      <c r="AS156" s="1229"/>
    </row>
    <row r="157" spans="1:45" ht="16.149999999999999" customHeight="1" outlineLevel="1">
      <c r="A157" s="1353">
        <v>164</v>
      </c>
      <c r="B157" s="1353">
        <v>60</v>
      </c>
      <c r="C157" s="1353">
        <f>'sản lượng'!C158</f>
        <v>0</v>
      </c>
      <c r="D157" s="1362" t="s">
        <v>430</v>
      </c>
      <c r="E157" s="1361" t="str">
        <f>TONGHOPCONGDOI!C164</f>
        <v>Thảo Linh</v>
      </c>
      <c r="F157" s="1355"/>
      <c r="G157" s="1353" t="s">
        <v>3246</v>
      </c>
      <c r="H157" s="1353"/>
      <c r="I157" s="1353" t="s">
        <v>3425</v>
      </c>
      <c r="J157" s="1353" t="s">
        <v>3246</v>
      </c>
      <c r="K157" s="1353" t="s">
        <v>3246</v>
      </c>
      <c r="L157" s="1353" t="s">
        <v>3246</v>
      </c>
      <c r="M157" s="1353" t="s">
        <v>3424</v>
      </c>
      <c r="N157" s="1353" t="s">
        <v>3246</v>
      </c>
      <c r="O157" s="1353"/>
      <c r="P157" s="1353" t="s">
        <v>3425</v>
      </c>
      <c r="Q157" s="1353" t="s">
        <v>3246</v>
      </c>
      <c r="R157" s="1353" t="s">
        <v>3246</v>
      </c>
      <c r="S157" s="1353" t="s">
        <v>3246</v>
      </c>
      <c r="T157" s="1353" t="s">
        <v>3424</v>
      </c>
      <c r="U157" s="1353" t="s">
        <v>3246</v>
      </c>
      <c r="V157" s="1353" t="s">
        <v>3246</v>
      </c>
      <c r="W157" s="1353" t="s">
        <v>3425</v>
      </c>
      <c r="X157" s="1353" t="s">
        <v>3246</v>
      </c>
      <c r="Y157" s="1353" t="s">
        <v>3246</v>
      </c>
      <c r="Z157" s="1353" t="s">
        <v>3246</v>
      </c>
      <c r="AA157" s="1353" t="s">
        <v>3424</v>
      </c>
      <c r="AB157" s="1353" t="s">
        <v>3246</v>
      </c>
      <c r="AC157" s="1353" t="s">
        <v>3246</v>
      </c>
      <c r="AD157" s="1353" t="s">
        <v>3425</v>
      </c>
      <c r="AE157" s="1353" t="s">
        <v>3246</v>
      </c>
      <c r="AF157" s="1353" t="s">
        <v>3246</v>
      </c>
      <c r="AG157" s="1353" t="s">
        <v>3246</v>
      </c>
      <c r="AH157" s="1353" t="s">
        <v>3424</v>
      </c>
      <c r="AI157" s="1353" t="s">
        <v>3246</v>
      </c>
      <c r="AJ157" s="1353" t="s">
        <v>3246</v>
      </c>
      <c r="AK157" s="1353" t="s">
        <v>3425</v>
      </c>
      <c r="AL157" s="1354">
        <f t="shared" si="57"/>
        <v>20</v>
      </c>
      <c r="AM157" s="1354">
        <f t="shared" si="58"/>
        <v>4</v>
      </c>
      <c r="AN157" s="1354">
        <f t="shared" si="59"/>
        <v>5</v>
      </c>
      <c r="AO157" s="1354">
        <f t="shared" si="60"/>
        <v>0</v>
      </c>
      <c r="AP157" s="1354">
        <f t="shared" si="61"/>
        <v>0</v>
      </c>
      <c r="AQ157" s="1354">
        <f t="shared" si="62"/>
        <v>0</v>
      </c>
      <c r="AR157" s="1355">
        <f t="shared" si="63"/>
        <v>29</v>
      </c>
      <c r="AS157" s="1229"/>
    </row>
    <row r="158" spans="1:45" ht="16.149999999999999" customHeight="1" outlineLevel="1">
      <c r="A158" s="1353">
        <v>165</v>
      </c>
      <c r="B158" s="1353">
        <v>61</v>
      </c>
      <c r="C158" s="1353">
        <f>'sản lượng'!C159</f>
        <v>0</v>
      </c>
      <c r="D158" s="1362" t="s">
        <v>430</v>
      </c>
      <c r="E158" s="1361" t="str">
        <f>TONGHOPCONGDOI!C165</f>
        <v>Thảo Han</v>
      </c>
      <c r="F158" s="1355"/>
      <c r="G158" s="1353"/>
      <c r="H158" s="1353"/>
      <c r="I158" s="1353" t="s">
        <v>3425</v>
      </c>
      <c r="J158" s="1353" t="s">
        <v>3246</v>
      </c>
      <c r="K158" s="1353" t="s">
        <v>3246</v>
      </c>
      <c r="L158" s="1353"/>
      <c r="M158" s="1353" t="s">
        <v>3424</v>
      </c>
      <c r="N158" s="1353" t="s">
        <v>3246</v>
      </c>
      <c r="O158" s="1353"/>
      <c r="P158" s="1353"/>
      <c r="Q158" s="1353" t="s">
        <v>3246</v>
      </c>
      <c r="R158" s="1353" t="s">
        <v>3246</v>
      </c>
      <c r="S158" s="1353" t="s">
        <v>3246</v>
      </c>
      <c r="T158" s="1353" t="s">
        <v>3424</v>
      </c>
      <c r="U158" s="1353"/>
      <c r="V158" s="1353" t="s">
        <v>3246</v>
      </c>
      <c r="W158" s="1353" t="s">
        <v>3425</v>
      </c>
      <c r="X158" s="1353" t="s">
        <v>3246</v>
      </c>
      <c r="Y158" s="1353" t="s">
        <v>3246</v>
      </c>
      <c r="Z158" s="1353" t="s">
        <v>3246</v>
      </c>
      <c r="AA158" s="1353" t="s">
        <v>3424</v>
      </c>
      <c r="AB158" s="1353" t="s">
        <v>3246</v>
      </c>
      <c r="AC158" s="1353" t="s">
        <v>3246</v>
      </c>
      <c r="AD158" s="1353" t="s">
        <v>3425</v>
      </c>
      <c r="AE158" s="1353" t="s">
        <v>3246</v>
      </c>
      <c r="AF158" s="1353" t="s">
        <v>3246</v>
      </c>
      <c r="AG158" s="1353" t="s">
        <v>3246</v>
      </c>
      <c r="AH158" s="1353" t="s">
        <v>3424</v>
      </c>
      <c r="AI158" s="1353" t="s">
        <v>3246</v>
      </c>
      <c r="AJ158" s="1353"/>
      <c r="AK158" s="1353" t="s">
        <v>3425</v>
      </c>
      <c r="AL158" s="1354">
        <f t="shared" si="57"/>
        <v>16</v>
      </c>
      <c r="AM158" s="1354">
        <f t="shared" si="58"/>
        <v>4</v>
      </c>
      <c r="AN158" s="1354">
        <f t="shared" si="59"/>
        <v>4</v>
      </c>
      <c r="AO158" s="1354">
        <f t="shared" si="60"/>
        <v>0</v>
      </c>
      <c r="AP158" s="1354">
        <f t="shared" si="61"/>
        <v>0</v>
      </c>
      <c r="AQ158" s="1354">
        <f t="shared" si="62"/>
        <v>0</v>
      </c>
      <c r="AR158" s="1355">
        <f t="shared" si="63"/>
        <v>24</v>
      </c>
      <c r="AS158" s="1229"/>
    </row>
    <row r="159" spans="1:45" ht="16.149999999999999" customHeight="1" outlineLevel="1">
      <c r="A159" s="1830"/>
      <c r="B159" s="1353">
        <v>62</v>
      </c>
      <c r="C159" s="1353">
        <f>'sản lượng'!C160</f>
        <v>0</v>
      </c>
      <c r="D159" s="2018"/>
      <c r="E159" s="1361" t="str">
        <f>TONGHOPCONGDOI!C166</f>
        <v>Thảo Ê</v>
      </c>
      <c r="F159" s="1831"/>
      <c r="G159" s="1830"/>
      <c r="H159" s="1830"/>
      <c r="I159" s="1830"/>
      <c r="J159" s="1830" t="s">
        <v>3246</v>
      </c>
      <c r="K159" s="1830"/>
      <c r="L159" s="1830"/>
      <c r="M159" s="1830" t="s">
        <v>3424</v>
      </c>
      <c r="N159" s="1830"/>
      <c r="O159" s="1830"/>
      <c r="P159" s="1830"/>
      <c r="Q159" s="1830" t="s">
        <v>3246</v>
      </c>
      <c r="R159" s="1830"/>
      <c r="S159" s="1830" t="s">
        <v>3246</v>
      </c>
      <c r="T159" s="1830" t="s">
        <v>3424</v>
      </c>
      <c r="U159" s="1830"/>
      <c r="V159" s="1830" t="s">
        <v>3246</v>
      </c>
      <c r="W159" s="1830" t="s">
        <v>3425</v>
      </c>
      <c r="X159" s="1830" t="s">
        <v>3246</v>
      </c>
      <c r="Y159" s="1830" t="s">
        <v>3246</v>
      </c>
      <c r="Z159" s="1830" t="s">
        <v>3246</v>
      </c>
      <c r="AA159" s="1830" t="s">
        <v>3424</v>
      </c>
      <c r="AB159" s="1830" t="s">
        <v>3246</v>
      </c>
      <c r="AC159" s="1830" t="s">
        <v>3246</v>
      </c>
      <c r="AD159" s="1830" t="s">
        <v>3425</v>
      </c>
      <c r="AE159" s="1830" t="s">
        <v>3246</v>
      </c>
      <c r="AF159" s="1830"/>
      <c r="AG159" s="1830" t="s">
        <v>3246</v>
      </c>
      <c r="AH159" s="1830" t="s">
        <v>3424</v>
      </c>
      <c r="AI159" s="1830" t="s">
        <v>3246</v>
      </c>
      <c r="AJ159" s="1830"/>
      <c r="AK159" s="1830" t="s">
        <v>3425</v>
      </c>
      <c r="AL159" s="1354">
        <f t="shared" ref="AL159:AL164" si="64">COUNTIF(G159:AK159,"X")</f>
        <v>12</v>
      </c>
      <c r="AM159" s="1354">
        <f t="shared" ref="AM159:AM164" si="65">COUNTIF(G159:AK159,"CN")</f>
        <v>4</v>
      </c>
      <c r="AN159" s="1354">
        <f t="shared" ref="AN159:AN164" si="66">COUNTIF(G159:AK159,"Đ")</f>
        <v>3</v>
      </c>
      <c r="AO159" s="1354">
        <f t="shared" ref="AO159:AO164" si="67">COUNTIF(G159:AK159,"ĐC")</f>
        <v>0</v>
      </c>
      <c r="AP159" s="1354">
        <f t="shared" ref="AP159:AP164" si="68">COUNTIF(G159:AK159,"GT")</f>
        <v>0</v>
      </c>
      <c r="AQ159" s="1354">
        <f t="shared" ref="AQ159:AQ164" si="69">COUNTIF(G159:AK159,"CT")</f>
        <v>0</v>
      </c>
      <c r="AR159" s="1355">
        <f t="shared" ref="AR159:AR164" si="70">SUM(AL159:AQ159)</f>
        <v>19</v>
      </c>
      <c r="AS159" s="1229"/>
    </row>
    <row r="160" spans="1:45" ht="16.149999999999999" customHeight="1" outlineLevel="1">
      <c r="A160" s="1830"/>
      <c r="B160" s="1353">
        <v>63</v>
      </c>
      <c r="C160" s="1353">
        <f>'sản lượng'!C161</f>
        <v>0</v>
      </c>
      <c r="D160" s="2018"/>
      <c r="E160" s="1361" t="str">
        <f>TONGHOPCONGDOI!C167</f>
        <v>Thảo Tô</v>
      </c>
      <c r="F160" s="1831"/>
      <c r="G160" s="1830"/>
      <c r="H160" s="1830"/>
      <c r="I160" s="1830"/>
      <c r="J160" s="1830"/>
      <c r="K160" s="1830"/>
      <c r="L160" s="1830"/>
      <c r="M160" s="1830" t="s">
        <v>3424</v>
      </c>
      <c r="N160" s="1830"/>
      <c r="O160" s="1830"/>
      <c r="P160" s="1830"/>
      <c r="Q160" s="1830" t="s">
        <v>3246</v>
      </c>
      <c r="R160" s="1830"/>
      <c r="S160" s="1830"/>
      <c r="T160" s="1830" t="s">
        <v>3424</v>
      </c>
      <c r="U160" s="1830"/>
      <c r="V160" s="1830"/>
      <c r="W160" s="1830"/>
      <c r="X160" s="1830"/>
      <c r="Y160" s="1830"/>
      <c r="Z160" s="1830" t="s">
        <v>3246</v>
      </c>
      <c r="AA160" s="1830" t="s">
        <v>3424</v>
      </c>
      <c r="AB160" s="1830" t="s">
        <v>3246</v>
      </c>
      <c r="AC160" s="1830" t="s">
        <v>3246</v>
      </c>
      <c r="AD160" s="1830" t="s">
        <v>3246</v>
      </c>
      <c r="AE160" s="1830" t="s">
        <v>3246</v>
      </c>
      <c r="AF160" s="1830"/>
      <c r="AG160" s="1830" t="s">
        <v>3246</v>
      </c>
      <c r="AH160" s="1830"/>
      <c r="AI160" s="1830" t="s">
        <v>3246</v>
      </c>
      <c r="AJ160" s="1830"/>
      <c r="AK160" s="1830"/>
      <c r="AL160" s="1354">
        <f t="shared" si="64"/>
        <v>8</v>
      </c>
      <c r="AM160" s="1354">
        <f t="shared" si="65"/>
        <v>3</v>
      </c>
      <c r="AN160" s="1354">
        <f t="shared" si="66"/>
        <v>0</v>
      </c>
      <c r="AO160" s="1354">
        <f t="shared" si="67"/>
        <v>0</v>
      </c>
      <c r="AP160" s="1354">
        <f t="shared" si="68"/>
        <v>0</v>
      </c>
      <c r="AQ160" s="1354">
        <f t="shared" si="69"/>
        <v>0</v>
      </c>
      <c r="AR160" s="1355">
        <f t="shared" si="70"/>
        <v>11</v>
      </c>
      <c r="AS160" s="1229"/>
    </row>
    <row r="161" spans="1:49" ht="16.149999999999999" customHeight="1" outlineLevel="1">
      <c r="A161" s="1830"/>
      <c r="B161" s="1353">
        <v>64</v>
      </c>
      <c r="C161" s="1353">
        <f>'sản lượng'!C162</f>
        <v>0</v>
      </c>
      <c r="D161" s="2018"/>
      <c r="E161" s="1361" t="str">
        <f>TONGHOPCONGDOI!C168</f>
        <v>Nàng Son</v>
      </c>
      <c r="F161" s="1831"/>
      <c r="G161" s="1830"/>
      <c r="H161" s="1830"/>
      <c r="I161" s="1830"/>
      <c r="J161" s="1830"/>
      <c r="K161" s="1830"/>
      <c r="L161" s="1830"/>
      <c r="M161" s="1830" t="s">
        <v>3424</v>
      </c>
      <c r="N161" s="1830"/>
      <c r="O161" s="1830"/>
      <c r="P161" s="1830"/>
      <c r="Q161" s="1830" t="s">
        <v>3246</v>
      </c>
      <c r="R161" s="1830"/>
      <c r="S161" s="1830"/>
      <c r="T161" s="1830"/>
      <c r="U161" s="1830"/>
      <c r="V161" s="1830"/>
      <c r="W161" s="1830"/>
      <c r="X161" s="1830"/>
      <c r="Y161" s="1830"/>
      <c r="Z161" s="1830" t="s">
        <v>3246</v>
      </c>
      <c r="AA161" s="1830" t="s">
        <v>3424</v>
      </c>
      <c r="AB161" s="1830"/>
      <c r="AC161" s="1830" t="s">
        <v>3246</v>
      </c>
      <c r="AD161" s="1830" t="s">
        <v>3246</v>
      </c>
      <c r="AE161" s="1830" t="s">
        <v>3246</v>
      </c>
      <c r="AF161" s="1830"/>
      <c r="AG161" s="1830" t="s">
        <v>3246</v>
      </c>
      <c r="AH161" s="1830"/>
      <c r="AI161" s="1830" t="s">
        <v>3246</v>
      </c>
      <c r="AJ161" s="1830"/>
      <c r="AK161" s="1830"/>
      <c r="AL161" s="1354">
        <f t="shared" si="64"/>
        <v>7</v>
      </c>
      <c r="AM161" s="1354">
        <f t="shared" si="65"/>
        <v>2</v>
      </c>
      <c r="AN161" s="1354">
        <f t="shared" si="66"/>
        <v>0</v>
      </c>
      <c r="AO161" s="1354">
        <f t="shared" si="67"/>
        <v>0</v>
      </c>
      <c r="AP161" s="1354">
        <f t="shared" si="68"/>
        <v>0</v>
      </c>
      <c r="AQ161" s="1354">
        <f t="shared" si="69"/>
        <v>0</v>
      </c>
      <c r="AR161" s="1355">
        <f t="shared" si="70"/>
        <v>9</v>
      </c>
      <c r="AS161" s="1229"/>
    </row>
    <row r="162" spans="1:49" ht="16.149999999999999" customHeight="1" outlineLevel="1">
      <c r="A162" s="1830"/>
      <c r="B162" s="1353">
        <v>65</v>
      </c>
      <c r="C162" s="1353">
        <f>'sản lượng'!C163</f>
        <v>0</v>
      </c>
      <c r="D162" s="2018"/>
      <c r="E162" s="1361" t="str">
        <f>TONGHOPCONGDOI!C169</f>
        <v>Thảo Keo</v>
      </c>
      <c r="F162" s="1831"/>
      <c r="G162" s="1830"/>
      <c r="H162" s="1830"/>
      <c r="I162" s="1830"/>
      <c r="J162" s="1830"/>
      <c r="K162" s="1830"/>
      <c r="L162" s="1830"/>
      <c r="M162" s="1830"/>
      <c r="N162" s="1830"/>
      <c r="O162" s="1830"/>
      <c r="P162" s="1830"/>
      <c r="Q162" s="1830" t="s">
        <v>3246</v>
      </c>
      <c r="R162" s="1830"/>
      <c r="S162" s="1830"/>
      <c r="T162" s="1830"/>
      <c r="U162" s="1830"/>
      <c r="V162" s="1830"/>
      <c r="W162" s="1830"/>
      <c r="X162" s="1830"/>
      <c r="Y162" s="1830"/>
      <c r="Z162" s="1830" t="s">
        <v>3246</v>
      </c>
      <c r="AA162" s="1830"/>
      <c r="AB162" s="1830"/>
      <c r="AC162" s="1830" t="s">
        <v>3246</v>
      </c>
      <c r="AD162" s="1830"/>
      <c r="AE162" s="1830" t="s">
        <v>3246</v>
      </c>
      <c r="AF162" s="1830"/>
      <c r="AG162" s="1830" t="s">
        <v>3246</v>
      </c>
      <c r="AH162" s="1830"/>
      <c r="AI162" s="1830" t="s">
        <v>3246</v>
      </c>
      <c r="AJ162" s="1830"/>
      <c r="AK162" s="1830"/>
      <c r="AL162" s="1354">
        <f t="shared" si="64"/>
        <v>6</v>
      </c>
      <c r="AM162" s="1354">
        <f t="shared" si="65"/>
        <v>0</v>
      </c>
      <c r="AN162" s="1354">
        <f t="shared" si="66"/>
        <v>0</v>
      </c>
      <c r="AO162" s="1354">
        <f t="shared" si="67"/>
        <v>0</v>
      </c>
      <c r="AP162" s="1354">
        <f t="shared" si="68"/>
        <v>0</v>
      </c>
      <c r="AQ162" s="1354">
        <f t="shared" si="69"/>
        <v>0</v>
      </c>
      <c r="AR162" s="1355">
        <f t="shared" si="70"/>
        <v>6</v>
      </c>
      <c r="AS162" s="1229"/>
    </row>
    <row r="163" spans="1:49" ht="16.149999999999999" customHeight="1" outlineLevel="1">
      <c r="A163" s="1830"/>
      <c r="B163" s="1353">
        <v>66</v>
      </c>
      <c r="C163" s="1353">
        <f>'sản lượng'!C164</f>
        <v>0</v>
      </c>
      <c r="D163" s="2018"/>
      <c r="E163" s="1361" t="str">
        <f>TONGHOPCONGDOI!C170</f>
        <v>Thảo Tun</v>
      </c>
      <c r="F163" s="1831"/>
      <c r="G163" s="1830"/>
      <c r="H163" s="1830"/>
      <c r="I163" s="1830"/>
      <c r="J163" s="1830"/>
      <c r="K163" s="1830"/>
      <c r="L163" s="1830"/>
      <c r="M163" s="1830"/>
      <c r="N163" s="1830"/>
      <c r="O163" s="1830"/>
      <c r="P163" s="1830"/>
      <c r="Q163" s="1830" t="s">
        <v>3246</v>
      </c>
      <c r="R163" s="1830"/>
      <c r="S163" s="1830"/>
      <c r="T163" s="1830"/>
      <c r="U163" s="1830"/>
      <c r="V163" s="1830"/>
      <c r="W163" s="1830"/>
      <c r="X163" s="1830"/>
      <c r="Y163" s="1830"/>
      <c r="Z163" s="1830"/>
      <c r="AA163" s="1830"/>
      <c r="AB163" s="1830"/>
      <c r="AC163" s="1830" t="s">
        <v>3246</v>
      </c>
      <c r="AD163" s="1830"/>
      <c r="AE163" s="1830"/>
      <c r="AF163" s="1830"/>
      <c r="AG163" s="1830" t="s">
        <v>3246</v>
      </c>
      <c r="AH163" s="1830"/>
      <c r="AI163" s="1830" t="s">
        <v>3246</v>
      </c>
      <c r="AJ163" s="1830"/>
      <c r="AK163" s="1830"/>
      <c r="AL163" s="1354">
        <f t="shared" si="64"/>
        <v>4</v>
      </c>
      <c r="AM163" s="1354">
        <f t="shared" si="65"/>
        <v>0</v>
      </c>
      <c r="AN163" s="1354">
        <f t="shared" si="66"/>
        <v>0</v>
      </c>
      <c r="AO163" s="1354">
        <f t="shared" si="67"/>
        <v>0</v>
      </c>
      <c r="AP163" s="1354">
        <f t="shared" si="68"/>
        <v>0</v>
      </c>
      <c r="AQ163" s="1354">
        <f t="shared" si="69"/>
        <v>0</v>
      </c>
      <c r="AR163" s="1355">
        <f t="shared" si="70"/>
        <v>4</v>
      </c>
      <c r="AS163" s="1229"/>
    </row>
    <row r="164" spans="1:49" ht="16.149999999999999" customHeight="1" outlineLevel="1">
      <c r="A164" s="1353">
        <v>166</v>
      </c>
      <c r="B164" s="1353">
        <v>67</v>
      </c>
      <c r="C164" s="1353">
        <f>'sản lượng'!C165</f>
        <v>0</v>
      </c>
      <c r="D164" s="1362" t="s">
        <v>430</v>
      </c>
      <c r="E164" s="1361" t="str">
        <f>TONGHOPCONGDOI!C171</f>
        <v>Thảo Xiêm</v>
      </c>
      <c r="F164" s="1355"/>
      <c r="G164" s="1353"/>
      <c r="H164" s="1353"/>
      <c r="I164" s="1353"/>
      <c r="J164" s="1353"/>
      <c r="K164" s="1353"/>
      <c r="L164" s="1353"/>
      <c r="M164" s="1353"/>
      <c r="N164" s="1353"/>
      <c r="O164" s="1353"/>
      <c r="P164" s="1353"/>
      <c r="Q164" s="1353"/>
      <c r="R164" s="1353"/>
      <c r="S164" s="1353"/>
      <c r="T164" s="1353"/>
      <c r="U164" s="1353"/>
      <c r="V164" s="1353"/>
      <c r="W164" s="1353"/>
      <c r="X164" s="1353"/>
      <c r="Y164" s="1353"/>
      <c r="Z164" s="1353"/>
      <c r="AA164" s="1353"/>
      <c r="AB164" s="1353"/>
      <c r="AC164" s="1353" t="s">
        <v>3246</v>
      </c>
      <c r="AD164" s="1353"/>
      <c r="AE164" s="1353"/>
      <c r="AF164" s="1353"/>
      <c r="AG164" s="1353"/>
      <c r="AH164" s="1353"/>
      <c r="AI164" s="1353"/>
      <c r="AJ164" s="1353"/>
      <c r="AK164" s="1353"/>
      <c r="AL164" s="1354">
        <f t="shared" si="64"/>
        <v>1</v>
      </c>
      <c r="AM164" s="1354">
        <f t="shared" si="65"/>
        <v>0</v>
      </c>
      <c r="AN164" s="1354">
        <f t="shared" si="66"/>
        <v>0</v>
      </c>
      <c r="AO164" s="1354">
        <f t="shared" si="67"/>
        <v>0</v>
      </c>
      <c r="AP164" s="1354">
        <f t="shared" si="68"/>
        <v>0</v>
      </c>
      <c r="AQ164" s="1354">
        <f t="shared" si="69"/>
        <v>0</v>
      </c>
      <c r="AR164" s="1355">
        <f t="shared" si="70"/>
        <v>1</v>
      </c>
      <c r="AS164" s="1229"/>
    </row>
    <row r="165" spans="1:49" ht="16.149999999999999" customHeight="1" outlineLevel="1">
      <c r="A165" s="1353">
        <v>167</v>
      </c>
      <c r="B165" s="1353">
        <v>68</v>
      </c>
      <c r="C165" s="1353">
        <f>'sản lượng'!C166</f>
        <v>0</v>
      </c>
      <c r="D165" s="1362" t="s">
        <v>430</v>
      </c>
      <c r="E165" s="1361" t="str">
        <f>TONGHOPCONGDOI!C172</f>
        <v>Thảo Cốp</v>
      </c>
      <c r="F165" s="1355"/>
      <c r="G165" s="1353"/>
      <c r="H165" s="1353"/>
      <c r="I165" s="1353"/>
      <c r="J165" s="1353"/>
      <c r="K165" s="1353"/>
      <c r="L165" s="1353"/>
      <c r="M165" s="1353"/>
      <c r="N165" s="1353"/>
      <c r="O165" s="1353"/>
      <c r="P165" s="1353"/>
      <c r="Q165" s="1353"/>
      <c r="R165" s="1353"/>
      <c r="S165" s="1353"/>
      <c r="T165" s="1353"/>
      <c r="U165" s="1353"/>
      <c r="V165" s="1353"/>
      <c r="W165" s="1353"/>
      <c r="X165" s="1353"/>
      <c r="Y165" s="1353"/>
      <c r="Z165" s="1353"/>
      <c r="AA165" s="1353"/>
      <c r="AB165" s="1353"/>
      <c r="AC165" s="1353"/>
      <c r="AD165" s="1353"/>
      <c r="AE165" s="1353"/>
      <c r="AF165" s="1353"/>
      <c r="AG165" s="1353"/>
      <c r="AH165" s="1353"/>
      <c r="AI165" s="1353"/>
      <c r="AJ165" s="1353"/>
      <c r="AK165" s="1353"/>
      <c r="AL165" s="1354">
        <f t="shared" si="57"/>
        <v>0</v>
      </c>
      <c r="AM165" s="1354">
        <f t="shared" si="58"/>
        <v>0</v>
      </c>
      <c r="AN165" s="1354">
        <f t="shared" si="59"/>
        <v>0</v>
      </c>
      <c r="AO165" s="1354">
        <f t="shared" si="60"/>
        <v>0</v>
      </c>
      <c r="AP165" s="1354">
        <f t="shared" si="61"/>
        <v>0</v>
      </c>
      <c r="AQ165" s="1354">
        <f t="shared" si="62"/>
        <v>0</v>
      </c>
      <c r="AR165" s="1355">
        <f t="shared" si="63"/>
        <v>0</v>
      </c>
      <c r="AS165" s="1229"/>
    </row>
    <row r="166" spans="1:49" ht="16.149999999999999" customHeight="1" outlineLevel="1">
      <c r="A166" s="1353">
        <v>168</v>
      </c>
      <c r="B166" s="1353">
        <v>69</v>
      </c>
      <c r="C166" s="1353">
        <f>'sản lượng'!C162</f>
        <v>0</v>
      </c>
      <c r="D166" s="1362" t="s">
        <v>430</v>
      </c>
      <c r="E166" s="1361" t="str">
        <f>TONGHOPCONGDOI!C173</f>
        <v>Nàng Căm</v>
      </c>
      <c r="F166" s="1831"/>
      <c r="G166" s="1830"/>
      <c r="H166" s="1830"/>
      <c r="I166" s="1830"/>
      <c r="J166" s="1830"/>
      <c r="K166" s="1830"/>
      <c r="L166" s="1830"/>
      <c r="M166" s="1830"/>
      <c r="N166" s="1830"/>
      <c r="O166" s="1830"/>
      <c r="P166" s="1830"/>
      <c r="Q166" s="1830"/>
      <c r="R166" s="1830"/>
      <c r="S166" s="1830"/>
      <c r="T166" s="1830"/>
      <c r="U166" s="1830"/>
      <c r="V166" s="1830"/>
      <c r="W166" s="1830"/>
      <c r="X166" s="1830"/>
      <c r="Y166" s="1830"/>
      <c r="Z166" s="1830"/>
      <c r="AA166" s="1830"/>
      <c r="AB166" s="1830"/>
      <c r="AC166" s="1830"/>
      <c r="AD166" s="1830"/>
      <c r="AE166" s="1830"/>
      <c r="AF166" s="1830"/>
      <c r="AG166" s="1830"/>
      <c r="AH166" s="1830"/>
      <c r="AI166" s="1830"/>
      <c r="AJ166" s="1830"/>
      <c r="AK166" s="1830"/>
      <c r="AL166" s="1354">
        <f t="shared" ref="AL166:AL168" si="71">COUNTIF(G166:AK166,"X")</f>
        <v>0</v>
      </c>
      <c r="AM166" s="1354">
        <f t="shared" ref="AM166:AM168" si="72">COUNTIF(G166:AK166,"CN")</f>
        <v>0</v>
      </c>
      <c r="AN166" s="1354">
        <f t="shared" ref="AN166:AN168" si="73">COUNTIF(G166:AK166,"Đ")</f>
        <v>0</v>
      </c>
      <c r="AO166" s="1354">
        <f t="shared" ref="AO166:AO168" si="74">COUNTIF(G166:AK166,"ĐC")</f>
        <v>0</v>
      </c>
      <c r="AP166" s="1354">
        <f t="shared" ref="AP166:AP168" si="75">COUNTIF(G166:AK166,"GT")</f>
        <v>0</v>
      </c>
      <c r="AQ166" s="1354">
        <f t="shared" ref="AQ166:AQ168" si="76">COUNTIF(G166:AK166,"CT")</f>
        <v>0</v>
      </c>
      <c r="AR166" s="1355">
        <f t="shared" ref="AR166:AR168" si="77">SUM(AL166:AQ166)</f>
        <v>0</v>
      </c>
      <c r="AS166" s="1229"/>
    </row>
    <row r="167" spans="1:49" ht="16.149999999999999" customHeight="1" outlineLevel="1">
      <c r="A167" s="1353">
        <v>169</v>
      </c>
      <c r="B167" s="1353">
        <v>70</v>
      </c>
      <c r="C167" s="1353">
        <f>'sản lượng'!C163</f>
        <v>0</v>
      </c>
      <c r="D167" s="1362" t="s">
        <v>430</v>
      </c>
      <c r="E167" s="1361" t="str">
        <f>TONGHOPCONGDOI!C174</f>
        <v>Thảo Khọp</v>
      </c>
      <c r="F167" s="1355"/>
      <c r="G167" s="1353"/>
      <c r="H167" s="1353"/>
      <c r="I167" s="1353"/>
      <c r="J167" s="1353"/>
      <c r="K167" s="1353"/>
      <c r="L167" s="1353"/>
      <c r="M167" s="1353"/>
      <c r="N167" s="1353"/>
      <c r="O167" s="1353"/>
      <c r="P167" s="1353"/>
      <c r="Q167" s="1353"/>
      <c r="R167" s="1353"/>
      <c r="S167" s="1353"/>
      <c r="T167" s="1353"/>
      <c r="U167" s="1353"/>
      <c r="V167" s="1353"/>
      <c r="W167" s="1353"/>
      <c r="X167" s="1353"/>
      <c r="Y167" s="1353"/>
      <c r="Z167" s="1353"/>
      <c r="AA167" s="1353"/>
      <c r="AB167" s="1353"/>
      <c r="AC167" s="1353"/>
      <c r="AD167" s="1353"/>
      <c r="AE167" s="1353"/>
      <c r="AF167" s="1353"/>
      <c r="AG167" s="1353"/>
      <c r="AH167" s="1353"/>
      <c r="AI167" s="1353"/>
      <c r="AJ167" s="1353"/>
      <c r="AK167" s="1353"/>
      <c r="AL167" s="1354">
        <f t="shared" si="71"/>
        <v>0</v>
      </c>
      <c r="AM167" s="1354">
        <f t="shared" si="72"/>
        <v>0</v>
      </c>
      <c r="AN167" s="1354">
        <f t="shared" si="73"/>
        <v>0</v>
      </c>
      <c r="AO167" s="1354">
        <f t="shared" si="74"/>
        <v>0</v>
      </c>
      <c r="AP167" s="1354">
        <f t="shared" si="75"/>
        <v>0</v>
      </c>
      <c r="AQ167" s="1354">
        <f t="shared" si="76"/>
        <v>0</v>
      </c>
      <c r="AR167" s="1355">
        <f t="shared" si="77"/>
        <v>0</v>
      </c>
      <c r="AS167" s="1229"/>
    </row>
    <row r="168" spans="1:49" ht="16.149999999999999" customHeight="1" outlineLevel="1">
      <c r="A168" s="1353">
        <v>170</v>
      </c>
      <c r="B168" s="1353">
        <v>71</v>
      </c>
      <c r="C168" s="1353">
        <f>'sản lượng'!C169</f>
        <v>0</v>
      </c>
      <c r="D168" s="1362" t="s">
        <v>430</v>
      </c>
      <c r="E168" s="1361" t="str">
        <f>TONGHOPCONGDOI!C175</f>
        <v>Thảo La</v>
      </c>
      <c r="F168" s="1355"/>
      <c r="G168" s="1353"/>
      <c r="H168" s="1353"/>
      <c r="I168" s="1353"/>
      <c r="J168" s="1353"/>
      <c r="K168" s="1353"/>
      <c r="L168" s="1353"/>
      <c r="M168" s="1353"/>
      <c r="N168" s="1353"/>
      <c r="O168" s="1353"/>
      <c r="P168" s="1353"/>
      <c r="Q168" s="1353"/>
      <c r="R168" s="1353" t="s">
        <v>3246</v>
      </c>
      <c r="S168" s="1353" t="s">
        <v>3246</v>
      </c>
      <c r="T168" s="1353" t="s">
        <v>3424</v>
      </c>
      <c r="U168" s="1353" t="s">
        <v>3246</v>
      </c>
      <c r="V168" s="1353" t="s">
        <v>3246</v>
      </c>
      <c r="W168" s="1353" t="s">
        <v>3425</v>
      </c>
      <c r="X168" s="1353" t="s">
        <v>3246</v>
      </c>
      <c r="Y168" s="1353" t="s">
        <v>3246</v>
      </c>
      <c r="Z168" s="1353" t="s">
        <v>3246</v>
      </c>
      <c r="AA168" s="1353" t="s">
        <v>3424</v>
      </c>
      <c r="AB168" s="1353" t="s">
        <v>3246</v>
      </c>
      <c r="AC168" s="1353" t="s">
        <v>3246</v>
      </c>
      <c r="AD168" s="1353" t="s">
        <v>3425</v>
      </c>
      <c r="AE168" s="1353" t="s">
        <v>3246</v>
      </c>
      <c r="AF168" s="1353" t="s">
        <v>3246</v>
      </c>
      <c r="AG168" s="1353" t="s">
        <v>3246</v>
      </c>
      <c r="AH168" s="1353" t="s">
        <v>3424</v>
      </c>
      <c r="AI168" s="1353" t="s">
        <v>3246</v>
      </c>
      <c r="AJ168" s="1353" t="s">
        <v>3246</v>
      </c>
      <c r="AK168" s="1353" t="s">
        <v>3425</v>
      </c>
      <c r="AL168" s="1354">
        <f t="shared" si="71"/>
        <v>14</v>
      </c>
      <c r="AM168" s="1354">
        <f t="shared" si="72"/>
        <v>3</v>
      </c>
      <c r="AN168" s="1354">
        <f t="shared" si="73"/>
        <v>3</v>
      </c>
      <c r="AO168" s="1354">
        <f t="shared" si="74"/>
        <v>0</v>
      </c>
      <c r="AP168" s="1354">
        <f t="shared" si="75"/>
        <v>0</v>
      </c>
      <c r="AQ168" s="1354">
        <f t="shared" si="76"/>
        <v>0</v>
      </c>
      <c r="AR168" s="1355">
        <f t="shared" si="77"/>
        <v>20</v>
      </c>
      <c r="AS168" s="1229"/>
    </row>
    <row r="169" spans="1:49" s="244" customFormat="1" ht="15" customHeight="1">
      <c r="A169" s="2505" t="s">
        <v>525</v>
      </c>
      <c r="B169" s="2505"/>
      <c r="C169" s="2505"/>
      <c r="D169" s="2505"/>
      <c r="E169" s="2505"/>
      <c r="F169" s="1363"/>
      <c r="G169" s="1363">
        <f t="shared" ref="G169:AN169" si="78">SUM(G97,G12)</f>
        <v>127</v>
      </c>
      <c r="H169" s="1363">
        <f t="shared" si="78"/>
        <v>127</v>
      </c>
      <c r="I169" s="1363">
        <f t="shared" si="78"/>
        <v>127</v>
      </c>
      <c r="J169" s="1363">
        <f t="shared" si="78"/>
        <v>127</v>
      </c>
      <c r="K169" s="1363">
        <f t="shared" si="78"/>
        <v>127</v>
      </c>
      <c r="L169" s="1363">
        <f t="shared" si="78"/>
        <v>127</v>
      </c>
      <c r="M169" s="1363">
        <f t="shared" si="78"/>
        <v>127</v>
      </c>
      <c r="N169" s="1363">
        <f t="shared" si="78"/>
        <v>125</v>
      </c>
      <c r="O169" s="1363">
        <f t="shared" si="78"/>
        <v>127</v>
      </c>
      <c r="P169" s="1363">
        <f t="shared" si="78"/>
        <v>127</v>
      </c>
      <c r="Q169" s="1363">
        <f t="shared" si="78"/>
        <v>126</v>
      </c>
      <c r="R169" s="1363">
        <f t="shared" si="78"/>
        <v>126</v>
      </c>
      <c r="S169" s="1363">
        <f t="shared" si="78"/>
        <v>127</v>
      </c>
      <c r="T169" s="1363">
        <f t="shared" si="78"/>
        <v>127</v>
      </c>
      <c r="U169" s="1363">
        <f t="shared" si="78"/>
        <v>127</v>
      </c>
      <c r="V169" s="1363">
        <f t="shared" si="78"/>
        <v>127</v>
      </c>
      <c r="W169" s="1363">
        <f t="shared" si="78"/>
        <v>127</v>
      </c>
      <c r="X169" s="1363">
        <f t="shared" si="78"/>
        <v>127</v>
      </c>
      <c r="Y169" s="1363">
        <f t="shared" si="78"/>
        <v>127</v>
      </c>
      <c r="Z169" s="1363">
        <f t="shared" si="78"/>
        <v>127</v>
      </c>
      <c r="AA169" s="1363">
        <f t="shared" si="78"/>
        <v>127</v>
      </c>
      <c r="AB169" s="1363">
        <f t="shared" si="78"/>
        <v>126</v>
      </c>
      <c r="AC169" s="1363">
        <f t="shared" si="78"/>
        <v>125</v>
      </c>
      <c r="AD169" s="1363">
        <f t="shared" si="78"/>
        <v>127</v>
      </c>
      <c r="AE169" s="1363">
        <f t="shared" si="78"/>
        <v>127</v>
      </c>
      <c r="AF169" s="1363">
        <f t="shared" si="78"/>
        <v>127</v>
      </c>
      <c r="AG169" s="1363">
        <f t="shared" si="78"/>
        <v>127</v>
      </c>
      <c r="AH169" s="1363">
        <f t="shared" si="78"/>
        <v>127</v>
      </c>
      <c r="AI169" s="1363">
        <f t="shared" si="78"/>
        <v>127</v>
      </c>
      <c r="AJ169" s="1363">
        <f t="shared" si="78"/>
        <v>127</v>
      </c>
      <c r="AK169" s="1363">
        <f t="shared" si="78"/>
        <v>127</v>
      </c>
      <c r="AL169" s="1363">
        <f t="shared" si="78"/>
        <v>3192</v>
      </c>
      <c r="AM169" s="1363">
        <f t="shared" si="78"/>
        <v>508</v>
      </c>
      <c r="AN169" s="1363">
        <f t="shared" si="78"/>
        <v>230</v>
      </c>
      <c r="AO169" s="1363">
        <f t="shared" ref="AO169:AQ169" si="79">SUM(AO97,AO12)</f>
        <v>0</v>
      </c>
      <c r="AP169" s="1363">
        <f t="shared" si="79"/>
        <v>0</v>
      </c>
      <c r="AQ169" s="1363">
        <f t="shared" si="79"/>
        <v>0</v>
      </c>
      <c r="AR169" s="1363">
        <f>SUM(AR97,AR12)</f>
        <v>3930</v>
      </c>
      <c r="AS169" s="1233"/>
    </row>
    <row r="170" spans="1:49">
      <c r="A170" s="1044"/>
      <c r="B170" s="1044"/>
      <c r="C170" s="1044"/>
      <c r="D170" s="1221"/>
      <c r="E170" s="1231"/>
      <c r="F170" s="1231"/>
      <c r="G170" s="1047"/>
      <c r="H170" s="1047"/>
      <c r="I170" s="1047"/>
      <c r="J170" s="1047"/>
      <c r="K170" s="1047"/>
      <c r="L170" s="1047"/>
      <c r="M170" s="1047"/>
      <c r="N170" s="1047"/>
      <c r="O170" s="1047"/>
      <c r="P170" s="1055"/>
      <c r="Q170" s="1055"/>
      <c r="R170" s="1055"/>
      <c r="S170" s="1055"/>
      <c r="T170" s="1047"/>
      <c r="U170" s="1047"/>
      <c r="V170" s="1047"/>
      <c r="W170" s="1047"/>
      <c r="X170" s="1047"/>
      <c r="Y170" s="1232"/>
      <c r="Z170" s="1232"/>
      <c r="AA170" s="2538"/>
      <c r="AB170" s="2538"/>
      <c r="AC170" s="2538"/>
      <c r="AD170" s="2538"/>
      <c r="AE170" s="2538"/>
      <c r="AF170" s="2538"/>
      <c r="AG170" s="2538"/>
      <c r="AH170" s="2538"/>
      <c r="AI170" s="2538"/>
      <c r="AJ170" s="2538"/>
      <c r="AK170" s="2538"/>
      <c r="AL170" s="2538"/>
      <c r="AM170" s="2538"/>
      <c r="AN170" s="2538"/>
      <c r="AO170" s="2538"/>
      <c r="AP170" s="2538"/>
      <c r="AQ170" s="2538"/>
      <c r="AR170" s="2538"/>
    </row>
    <row r="171" spans="1:49" ht="15" customHeight="1">
      <c r="A171" s="2537" t="s">
        <v>2007</v>
      </c>
      <c r="B171" s="2537"/>
      <c r="C171" s="2537"/>
      <c r="D171" s="1222"/>
      <c r="E171" s="1044"/>
      <c r="F171" s="410"/>
      <c r="G171" s="1044"/>
      <c r="H171" s="1044"/>
      <c r="K171" s="410"/>
      <c r="S171" s="1048"/>
      <c r="T171" s="1048"/>
      <c r="U171" s="1048"/>
      <c r="V171" s="1048"/>
      <c r="W171" s="1048"/>
      <c r="X171" s="1048"/>
      <c r="Y171" s="1048"/>
      <c r="Z171" s="1048"/>
      <c r="AA171" s="1048"/>
      <c r="AB171" s="1048"/>
      <c r="AC171" s="1048"/>
      <c r="AD171" s="1048"/>
      <c r="AH171" s="2544"/>
      <c r="AI171" s="2544"/>
      <c r="AJ171" s="2544"/>
      <c r="AK171" s="2544"/>
      <c r="AL171" s="2544"/>
      <c r="AM171" s="2544"/>
      <c r="AN171" s="66"/>
      <c r="AO171" s="1658"/>
      <c r="AP171" s="66"/>
      <c r="AQ171" s="66"/>
      <c r="AR171" s="410"/>
    </row>
    <row r="172" spans="1:49">
      <c r="A172" s="1044" t="s">
        <v>3007</v>
      </c>
      <c r="B172" s="1044"/>
      <c r="C172" s="1044"/>
      <c r="D172" s="1221"/>
      <c r="E172" s="1044"/>
      <c r="F172" s="1044"/>
      <c r="G172" s="1044"/>
      <c r="H172" s="1044"/>
      <c r="I172" s="1044"/>
      <c r="J172" s="1044"/>
      <c r="K172" s="1044"/>
      <c r="L172" s="1044"/>
      <c r="M172" s="1047"/>
      <c r="N172" s="1047"/>
      <c r="O172" s="1047"/>
      <c r="P172" s="1047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047"/>
      <c r="AC172" s="1047"/>
      <c r="AD172" s="1047"/>
      <c r="AE172" s="1047"/>
      <c r="AF172" s="1047"/>
      <c r="AG172" s="1047"/>
      <c r="AH172" s="1047"/>
      <c r="AI172" s="1047"/>
      <c r="AJ172" s="1047"/>
      <c r="AK172" s="1047"/>
      <c r="AM172" s="1047"/>
      <c r="AN172" s="1047"/>
      <c r="AO172" s="1047"/>
      <c r="AP172" s="1047"/>
      <c r="AQ172" s="1047"/>
      <c r="AR172" s="1044"/>
    </row>
    <row r="173" spans="1:49">
      <c r="A173" s="1044" t="s">
        <v>3006</v>
      </c>
      <c r="B173" s="1044"/>
      <c r="C173" s="1044"/>
      <c r="D173" s="1221"/>
      <c r="E173" s="1044"/>
      <c r="F173" s="1044"/>
      <c r="G173" s="1044"/>
      <c r="H173" s="1044"/>
      <c r="I173" s="1044"/>
      <c r="J173" s="1044"/>
      <c r="K173" s="1044"/>
      <c r="L173" s="1044"/>
      <c r="M173" s="1047"/>
      <c r="N173" s="1047"/>
      <c r="O173" s="1055"/>
      <c r="P173" s="1047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047"/>
      <c r="AC173" s="1047"/>
      <c r="AD173" s="1047"/>
      <c r="AE173" s="1047"/>
      <c r="AF173" s="1047"/>
      <c r="AG173" s="1047"/>
      <c r="AH173" s="1047"/>
      <c r="AI173" s="1047"/>
      <c r="AJ173" s="1047"/>
      <c r="AK173" s="1047"/>
      <c r="AL173" s="1047"/>
      <c r="AM173" s="1047"/>
      <c r="AN173" s="1047"/>
      <c r="AO173" s="1047"/>
      <c r="AP173" s="1047"/>
      <c r="AQ173" s="1047"/>
      <c r="AR173" s="1044"/>
    </row>
    <row r="174" spans="1:49" hidden="1">
      <c r="A174" s="1044" t="s">
        <v>2008</v>
      </c>
      <c r="B174" s="1044"/>
      <c r="C174" s="1044"/>
      <c r="D174" s="1221"/>
      <c r="E174" s="1044"/>
      <c r="F174" s="1044"/>
      <c r="G174" s="1044"/>
      <c r="H174" s="1044"/>
      <c r="I174" s="1044"/>
      <c r="J174" s="1044"/>
      <c r="K174" s="1044"/>
      <c r="L174" s="1044"/>
      <c r="M174" s="1047"/>
      <c r="N174" s="1047"/>
      <c r="O174" s="1055"/>
      <c r="P174" s="1047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047"/>
      <c r="AC174" s="1047"/>
      <c r="AD174" s="1047"/>
      <c r="AE174" s="1047"/>
      <c r="AF174" s="1047"/>
      <c r="AG174" s="1047"/>
      <c r="AH174" s="1047"/>
      <c r="AI174" s="1047"/>
      <c r="AJ174" s="1047"/>
      <c r="AK174" s="1047"/>
      <c r="AL174" s="1047"/>
      <c r="AM174" s="1047"/>
      <c r="AN174" s="1047"/>
      <c r="AO174" s="1047"/>
      <c r="AP174" s="1047"/>
      <c r="AQ174" s="1047"/>
      <c r="AR174" s="1044"/>
    </row>
    <row r="175" spans="1:49" ht="13.5" customHeight="1">
      <c r="A175" s="1044"/>
      <c r="B175" s="1044"/>
      <c r="C175" s="1044"/>
      <c r="D175" s="1221"/>
      <c r="E175" s="1231"/>
      <c r="F175" s="1231"/>
      <c r="G175" s="1047"/>
      <c r="H175" s="1047"/>
      <c r="I175" s="1047"/>
      <c r="J175" s="1047"/>
      <c r="K175" s="1047"/>
      <c r="L175" s="1047"/>
      <c r="M175" s="1047"/>
      <c r="N175" s="1047"/>
      <c r="O175" s="1047"/>
      <c r="P175" s="1055"/>
      <c r="Q175" s="1055"/>
      <c r="R175" s="1055"/>
      <c r="S175" s="1055"/>
      <c r="T175" s="1047"/>
      <c r="U175" s="1047"/>
      <c r="V175" s="1047"/>
      <c r="W175" s="1047"/>
      <c r="X175" s="1047"/>
      <c r="Y175" s="1232"/>
      <c r="Z175" s="1232"/>
      <c r="AB175" s="1232"/>
      <c r="AC175" s="1232"/>
      <c r="AD175" s="1232"/>
      <c r="AE175" s="2536" t="s">
        <v>3060</v>
      </c>
      <c r="AF175" s="2536"/>
      <c r="AG175" s="2536"/>
      <c r="AH175" s="2536"/>
      <c r="AI175" s="2536"/>
      <c r="AJ175" s="2536"/>
      <c r="AK175" s="2536"/>
      <c r="AL175" s="2536"/>
      <c r="AM175" s="2536"/>
      <c r="AN175" s="2536"/>
      <c r="AO175" s="2536"/>
      <c r="AP175" s="2536"/>
      <c r="AQ175" s="2536"/>
      <c r="AR175" s="2536"/>
      <c r="AS175" s="1232"/>
      <c r="AT175" s="1232"/>
      <c r="AU175" s="1232"/>
      <c r="AW175" s="1229"/>
    </row>
    <row r="176" spans="1:49" s="71" customFormat="1" ht="17.25" customHeight="1">
      <c r="A176" s="2460" t="s">
        <v>614</v>
      </c>
      <c r="B176" s="2460"/>
      <c r="C176" s="2460"/>
      <c r="D176" s="2460"/>
      <c r="E176" s="2460"/>
      <c r="F176" s="2459" t="s">
        <v>1945</v>
      </c>
      <c r="G176" s="2459"/>
      <c r="H176" s="2459"/>
      <c r="I176" s="2459"/>
      <c r="J176" s="2459"/>
      <c r="K176" s="2459"/>
      <c r="M176" s="1283" t="s">
        <v>616</v>
      </c>
      <c r="O176" s="1283"/>
      <c r="P176" s="1283"/>
      <c r="Q176" s="1283"/>
      <c r="R176" s="1283"/>
      <c r="S176" s="1283"/>
      <c r="U176" s="1283" t="s">
        <v>3002</v>
      </c>
      <c r="W176" s="1283"/>
      <c r="X176" s="1283"/>
      <c r="Y176" s="1283"/>
      <c r="Z176" s="1283"/>
      <c r="AA176" s="1283"/>
      <c r="AB176" s="1283"/>
      <c r="AC176" s="1283"/>
      <c r="AD176" s="1283" t="s">
        <v>2988</v>
      </c>
      <c r="AE176" s="1283"/>
      <c r="AF176" s="1283"/>
      <c r="AG176" s="1283"/>
      <c r="AH176" s="1283"/>
      <c r="AI176" s="1283"/>
      <c r="AJ176" s="1283"/>
      <c r="AK176" s="2459" t="s">
        <v>612</v>
      </c>
      <c r="AL176" s="2459"/>
      <c r="AM176" s="2459"/>
      <c r="AN176" s="2459"/>
      <c r="AO176" s="2459"/>
      <c r="AP176" s="2459"/>
      <c r="AQ176" s="2459"/>
      <c r="AR176" s="2459"/>
    </row>
    <row r="177" spans="1:44">
      <c r="A177" s="1044"/>
      <c r="B177" s="1044"/>
      <c r="C177" s="1044"/>
      <c r="D177" s="1221"/>
      <c r="E177" s="1044"/>
      <c r="F177" s="1044"/>
      <c r="G177" s="1047"/>
      <c r="H177" s="1047"/>
      <c r="I177" s="1047"/>
      <c r="J177" s="1047"/>
      <c r="K177" s="1047"/>
      <c r="L177" s="1047"/>
      <c r="M177" s="1047"/>
      <c r="N177" s="1047"/>
      <c r="O177" s="1047"/>
      <c r="P177" s="1047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047"/>
      <c r="AC177" s="1047"/>
      <c r="AD177" s="1047"/>
      <c r="AE177" s="1047"/>
      <c r="AF177" s="1047"/>
      <c r="AG177" s="1047"/>
      <c r="AI177" s="1047"/>
      <c r="AJ177" s="1047"/>
      <c r="AK177" s="1047"/>
      <c r="AL177" s="1047"/>
      <c r="AM177" s="1047"/>
      <c r="AN177" s="1047"/>
      <c r="AO177" s="1047"/>
      <c r="AP177" s="1047"/>
      <c r="AQ177" s="1047"/>
      <c r="AR177" s="1044"/>
    </row>
    <row r="178" spans="1:44">
      <c r="A178" s="1044"/>
      <c r="B178" s="1044"/>
      <c r="C178" s="1044"/>
      <c r="D178" s="1221"/>
      <c r="E178" s="1044"/>
      <c r="F178" s="1044"/>
      <c r="G178" s="1047"/>
      <c r="H178" s="1047"/>
      <c r="I178" s="1047"/>
      <c r="J178" s="1047"/>
      <c r="K178" s="1047"/>
      <c r="L178" s="1047"/>
      <c r="M178" s="1047"/>
      <c r="N178" s="1047"/>
      <c r="O178" s="1047"/>
      <c r="P178" s="1047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047"/>
      <c r="AC178" s="1047"/>
      <c r="AD178" s="1047"/>
      <c r="AE178" s="1047"/>
      <c r="AF178" s="1047"/>
      <c r="AG178" s="1047"/>
      <c r="AH178" s="1047"/>
      <c r="AI178" s="1047"/>
      <c r="AJ178" s="1047"/>
      <c r="AK178" s="1047"/>
      <c r="AL178" s="1047"/>
      <c r="AM178" s="1047"/>
      <c r="AN178" s="1047"/>
      <c r="AO178" s="1047"/>
      <c r="AP178" s="1047"/>
      <c r="AQ178" s="1047"/>
      <c r="AR178" s="1044"/>
    </row>
    <row r="179" spans="1:44">
      <c r="A179" s="1044"/>
      <c r="B179" s="1044"/>
      <c r="C179" s="1044"/>
      <c r="D179" s="1221"/>
      <c r="E179" s="1044"/>
      <c r="F179" s="1044"/>
      <c r="G179" s="1047"/>
      <c r="H179" s="1047"/>
      <c r="I179" s="1047"/>
      <c r="J179" s="1047"/>
      <c r="K179" s="1047"/>
      <c r="L179" s="1047"/>
      <c r="M179" s="1047"/>
      <c r="N179" s="1047"/>
      <c r="O179" s="1047"/>
      <c r="P179" s="1047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047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7"/>
      <c r="AN179" s="1047"/>
      <c r="AO179" s="1047"/>
      <c r="AP179" s="1047"/>
      <c r="AQ179" s="1047"/>
      <c r="AR179" s="1044"/>
    </row>
    <row r="180" spans="1:44">
      <c r="A180" s="1044"/>
      <c r="B180" s="1044"/>
      <c r="C180" s="1044"/>
      <c r="D180" s="1221"/>
      <c r="E180" s="1044"/>
      <c r="F180" s="1044"/>
      <c r="G180" s="1047"/>
      <c r="H180" s="1047"/>
      <c r="I180" s="1047"/>
      <c r="J180" s="1047"/>
      <c r="K180" s="1047"/>
      <c r="L180" s="1047"/>
      <c r="M180" s="1047"/>
      <c r="N180" s="1047"/>
      <c r="O180" s="1047"/>
      <c r="P180" s="1047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047"/>
      <c r="AC180" s="1047"/>
      <c r="AD180" s="1047"/>
      <c r="AE180" s="1047"/>
      <c r="AF180" s="1047"/>
      <c r="AG180" s="1047"/>
      <c r="AH180" s="1047"/>
      <c r="AI180" s="1047"/>
      <c r="AJ180" s="1047"/>
      <c r="AK180" s="1047"/>
      <c r="AL180" s="1047"/>
      <c r="AM180" s="1047"/>
      <c r="AN180" s="1047"/>
      <c r="AO180" s="1047"/>
      <c r="AP180" s="1047"/>
      <c r="AQ180" s="1047"/>
      <c r="AR180" s="1044"/>
    </row>
    <row r="181" spans="1:44">
      <c r="A181" s="1044"/>
      <c r="B181" s="1044"/>
      <c r="C181" s="1044"/>
      <c r="D181" s="1221"/>
      <c r="E181" s="1044"/>
      <c r="F181" s="1044"/>
      <c r="G181" s="1047"/>
      <c r="H181" s="1047"/>
      <c r="I181" s="1047"/>
      <c r="J181" s="1047"/>
      <c r="K181" s="1047"/>
      <c r="L181" s="1047"/>
      <c r="M181" s="1047"/>
      <c r="N181" s="1047"/>
      <c r="O181" s="1047"/>
      <c r="P181" s="1047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047"/>
      <c r="AC181" s="1047"/>
      <c r="AD181" s="1047"/>
      <c r="AE181" s="1047"/>
      <c r="AF181" s="1047"/>
      <c r="AG181" s="1047"/>
      <c r="AH181" s="1047"/>
      <c r="AI181" s="1047"/>
      <c r="AJ181" s="1047"/>
      <c r="AK181" s="1047"/>
      <c r="AL181" s="1047"/>
      <c r="AM181" s="1047"/>
      <c r="AN181" s="1047"/>
      <c r="AO181" s="1047"/>
      <c r="AP181" s="1047"/>
      <c r="AQ181" s="1047"/>
      <c r="AR181" s="1044"/>
    </row>
    <row r="182" spans="1:44">
      <c r="A182" s="1044"/>
      <c r="B182" s="1044"/>
      <c r="C182" s="1044"/>
      <c r="D182" s="1221"/>
      <c r="E182" s="1044"/>
      <c r="F182" s="1044"/>
      <c r="G182" s="1047"/>
      <c r="H182" s="1047"/>
      <c r="I182" s="1047"/>
      <c r="J182" s="1047"/>
      <c r="K182" s="1047"/>
      <c r="L182" s="1047"/>
      <c r="M182" s="1047"/>
      <c r="N182" s="1047"/>
      <c r="O182" s="1047"/>
      <c r="P182" s="1047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047"/>
      <c r="AC182" s="1047"/>
      <c r="AD182" s="1047"/>
      <c r="AE182" s="1047"/>
      <c r="AF182" s="1047"/>
      <c r="AG182" s="1047"/>
      <c r="AH182" s="1047"/>
      <c r="AI182" s="1047"/>
      <c r="AJ182" s="1047"/>
      <c r="AK182" s="1047"/>
      <c r="AL182" s="1047"/>
      <c r="AM182" s="1047"/>
      <c r="AN182" s="1047"/>
      <c r="AO182" s="1047"/>
      <c r="AP182" s="1047"/>
      <c r="AQ182" s="1047"/>
      <c r="AR182" s="1044"/>
    </row>
    <row r="183" spans="1:44">
      <c r="A183" s="1044"/>
      <c r="B183" s="1044"/>
      <c r="C183" s="1044"/>
      <c r="D183" s="1221"/>
      <c r="E183" s="1044"/>
      <c r="F183" s="1044"/>
      <c r="G183" s="1047"/>
      <c r="H183" s="1047"/>
      <c r="I183" s="1047"/>
      <c r="J183" s="1047"/>
      <c r="K183" s="1047"/>
      <c r="L183" s="1047"/>
      <c r="M183" s="1047"/>
      <c r="N183" s="1047"/>
      <c r="O183" s="1047"/>
      <c r="P183" s="1047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047"/>
      <c r="AC183" s="1047"/>
      <c r="AD183" s="1047"/>
      <c r="AE183" s="1047"/>
      <c r="AF183" s="1047"/>
      <c r="AG183" s="1047"/>
      <c r="AH183" s="1047"/>
      <c r="AI183" s="1047"/>
      <c r="AJ183" s="1047"/>
      <c r="AK183" s="1047"/>
      <c r="AL183" s="1047"/>
      <c r="AM183" s="1047"/>
      <c r="AN183" s="1047"/>
      <c r="AO183" s="1047"/>
      <c r="AP183" s="1047"/>
      <c r="AQ183" s="1047"/>
      <c r="AR183" s="1044"/>
    </row>
    <row r="184" spans="1:44">
      <c r="A184" s="1044"/>
      <c r="B184" s="1044"/>
      <c r="C184" s="1044"/>
      <c r="D184" s="1221"/>
      <c r="E184" s="1044"/>
      <c r="F184" s="1044"/>
      <c r="G184" s="1047"/>
      <c r="H184" s="1047"/>
      <c r="I184" s="1047"/>
      <c r="J184" s="1047"/>
      <c r="K184" s="1047"/>
      <c r="L184" s="1047"/>
      <c r="M184" s="1047"/>
      <c r="N184" s="1047"/>
      <c r="O184" s="1047"/>
      <c r="P184" s="1047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047"/>
      <c r="AC184" s="1047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4"/>
    </row>
    <row r="185" spans="1:44">
      <c r="A185" s="1044"/>
      <c r="B185" s="1044"/>
      <c r="C185" s="1044"/>
      <c r="D185" s="1221"/>
      <c r="E185" s="1044"/>
      <c r="F185" s="1044"/>
      <c r="G185" s="1047"/>
      <c r="H185" s="1047"/>
      <c r="I185" s="1047"/>
      <c r="J185" s="1047"/>
      <c r="K185" s="1047"/>
      <c r="L185" s="1047"/>
      <c r="M185" s="1047"/>
      <c r="N185" s="1047"/>
      <c r="O185" s="1047"/>
      <c r="P185" s="1047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047"/>
      <c r="AC185" s="1047"/>
      <c r="AD185" s="1047"/>
      <c r="AE185" s="1047"/>
      <c r="AF185" s="1047"/>
      <c r="AG185" s="1047"/>
      <c r="AH185" s="1047"/>
      <c r="AI185" s="1047"/>
      <c r="AJ185" s="1047"/>
      <c r="AK185" s="1047"/>
      <c r="AL185" s="1047"/>
      <c r="AM185" s="1047"/>
      <c r="AN185" s="1047"/>
      <c r="AO185" s="1047"/>
      <c r="AP185" s="1047"/>
      <c r="AQ185" s="1047"/>
      <c r="AR185" s="1044"/>
    </row>
    <row r="186" spans="1:44">
      <c r="A186" s="1044"/>
      <c r="B186" s="1044"/>
      <c r="C186" s="1044"/>
      <c r="D186" s="1221"/>
      <c r="E186" s="1044"/>
      <c r="F186" s="1044"/>
      <c r="G186" s="1047"/>
      <c r="H186" s="1047"/>
      <c r="I186" s="1047"/>
      <c r="J186" s="1047"/>
      <c r="K186" s="1047"/>
      <c r="L186" s="1047"/>
      <c r="M186" s="1047"/>
      <c r="N186" s="1047"/>
      <c r="O186" s="1047"/>
      <c r="P186" s="1047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047"/>
      <c r="AC186" s="1047"/>
      <c r="AD186" s="1047"/>
      <c r="AE186" s="1047"/>
      <c r="AF186" s="1047"/>
      <c r="AG186" s="1047"/>
      <c r="AH186" s="1047"/>
      <c r="AI186" s="1047"/>
      <c r="AJ186" s="1047"/>
      <c r="AK186" s="1047"/>
      <c r="AL186" s="1047"/>
      <c r="AM186" s="1047"/>
      <c r="AN186" s="1047"/>
      <c r="AO186" s="1047"/>
      <c r="AP186" s="1047"/>
      <c r="AQ186" s="1047"/>
      <c r="AR186" s="1044"/>
    </row>
    <row r="187" spans="1:44">
      <c r="A187" s="1044"/>
      <c r="B187" s="1044"/>
      <c r="C187" s="1044"/>
      <c r="D187" s="1221"/>
      <c r="E187" s="1044"/>
      <c r="F187" s="1044"/>
      <c r="G187" s="1044"/>
      <c r="H187" s="1044"/>
      <c r="I187" s="1044"/>
      <c r="J187" s="1047"/>
      <c r="K187" s="1047"/>
      <c r="L187" s="1047"/>
      <c r="M187" s="1047"/>
      <c r="N187" s="1047"/>
      <c r="O187" s="1047"/>
      <c r="P187" s="1047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047"/>
      <c r="AC187" s="1047"/>
      <c r="AD187" s="1047"/>
      <c r="AE187" s="1047"/>
      <c r="AF187" s="1047"/>
      <c r="AG187" s="1047"/>
      <c r="AH187" s="1047"/>
      <c r="AI187" s="1047"/>
      <c r="AJ187" s="1047"/>
      <c r="AK187" s="1047"/>
      <c r="AL187" s="1047"/>
      <c r="AM187" s="1047"/>
      <c r="AN187" s="1047"/>
      <c r="AO187" s="1047"/>
      <c r="AP187" s="1047"/>
      <c r="AQ187" s="1047"/>
      <c r="AR187" s="1044"/>
    </row>
    <row r="188" spans="1:44">
      <c r="A188" s="1044"/>
      <c r="B188" s="1044"/>
      <c r="C188" s="1044"/>
      <c r="D188" s="1221"/>
      <c r="E188" s="1044"/>
      <c r="F188" s="1044"/>
      <c r="G188" s="1044"/>
      <c r="H188" s="1044"/>
      <c r="I188" s="1044"/>
      <c r="J188" s="1047"/>
      <c r="K188" s="1047"/>
      <c r="L188" s="1047"/>
      <c r="M188" s="1047"/>
      <c r="N188" s="1047"/>
      <c r="O188" s="1047"/>
      <c r="P188" s="1047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047"/>
      <c r="AC188" s="1047"/>
      <c r="AD188" s="1047"/>
      <c r="AE188" s="1047"/>
      <c r="AF188" s="1047"/>
      <c r="AG188" s="1047"/>
      <c r="AH188" s="1047"/>
      <c r="AI188" s="1047"/>
      <c r="AJ188" s="1047"/>
      <c r="AK188" s="1047"/>
      <c r="AL188" s="1047"/>
      <c r="AM188" s="1047"/>
      <c r="AN188" s="1047"/>
      <c r="AO188" s="1047"/>
      <c r="AP188" s="1047"/>
      <c r="AQ188" s="1047"/>
      <c r="AR188" s="1044"/>
    </row>
    <row r="189" spans="1:44">
      <c r="A189" s="1044"/>
      <c r="B189" s="1044"/>
      <c r="C189" s="1044"/>
      <c r="D189" s="1221"/>
      <c r="E189" s="1044"/>
      <c r="F189" s="1044"/>
      <c r="G189" s="1044"/>
      <c r="H189" s="1044"/>
      <c r="I189" s="1044"/>
      <c r="J189" s="1047"/>
      <c r="K189" s="1047"/>
      <c r="L189" s="1047"/>
      <c r="M189" s="1047"/>
      <c r="N189" s="1047"/>
      <c r="O189" s="1047"/>
      <c r="P189" s="1047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047"/>
      <c r="AC189" s="1047"/>
      <c r="AD189" s="1047"/>
      <c r="AE189" s="1047"/>
      <c r="AF189" s="1047"/>
      <c r="AG189" s="1047"/>
      <c r="AH189" s="1047"/>
      <c r="AI189" s="1047"/>
      <c r="AJ189" s="1047"/>
      <c r="AK189" s="1047"/>
      <c r="AL189" s="1047"/>
      <c r="AM189" s="1047"/>
      <c r="AN189" s="1047"/>
      <c r="AO189" s="1047"/>
      <c r="AP189" s="1047"/>
      <c r="AQ189" s="1047"/>
      <c r="AR189" s="1044"/>
    </row>
    <row r="190" spans="1:44">
      <c r="A190" s="1044"/>
      <c r="B190" s="1044"/>
      <c r="C190" s="1044"/>
      <c r="D190" s="1221"/>
      <c r="E190" s="1044"/>
      <c r="F190" s="1044"/>
      <c r="G190" s="1044"/>
      <c r="H190" s="1044"/>
      <c r="I190" s="1044"/>
      <c r="J190" s="1047"/>
      <c r="K190" s="1047"/>
      <c r="L190" s="1047"/>
      <c r="M190" s="1047"/>
      <c r="N190" s="1047"/>
      <c r="O190" s="1047"/>
      <c r="P190" s="1047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047"/>
      <c r="AC190" s="1047"/>
      <c r="AD190" s="1047"/>
      <c r="AE190" s="1047"/>
      <c r="AF190" s="1047"/>
      <c r="AG190" s="1047"/>
      <c r="AH190" s="1047"/>
      <c r="AI190" s="1047"/>
      <c r="AJ190" s="1047"/>
      <c r="AK190" s="1047"/>
      <c r="AL190" s="1047"/>
      <c r="AM190" s="1047"/>
      <c r="AN190" s="1047"/>
      <c r="AO190" s="1047"/>
      <c r="AP190" s="1047"/>
      <c r="AQ190" s="1047"/>
      <c r="AR190" s="1044"/>
    </row>
    <row r="191" spans="1:44">
      <c r="A191" s="1044"/>
      <c r="B191" s="1044"/>
      <c r="C191" s="1044"/>
      <c r="D191" s="1221"/>
      <c r="E191" s="1044"/>
      <c r="F191" s="1044"/>
      <c r="G191" s="1044"/>
      <c r="H191" s="1044"/>
      <c r="I191" s="1044"/>
      <c r="J191" s="1047"/>
      <c r="K191" s="1047"/>
      <c r="L191" s="1047"/>
      <c r="M191" s="1047"/>
      <c r="N191" s="1047"/>
      <c r="O191" s="1047"/>
      <c r="P191" s="1047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047"/>
      <c r="AC191" s="1047"/>
      <c r="AD191" s="1047"/>
      <c r="AE191" s="1047"/>
      <c r="AF191" s="1047"/>
      <c r="AG191" s="1047"/>
      <c r="AH191" s="1047"/>
      <c r="AI191" s="1047"/>
      <c r="AJ191" s="1047"/>
      <c r="AK191" s="1047"/>
      <c r="AL191" s="1047"/>
      <c r="AM191" s="1047"/>
      <c r="AN191" s="1047"/>
      <c r="AO191" s="1047"/>
      <c r="AP191" s="1047"/>
      <c r="AQ191" s="1047"/>
      <c r="AR191" s="1044"/>
    </row>
    <row r="192" spans="1:44">
      <c r="A192" s="1044"/>
      <c r="B192" s="1044"/>
      <c r="C192" s="1044"/>
      <c r="D192" s="1221"/>
      <c r="E192" s="1044"/>
      <c r="F192" s="1044"/>
      <c r="G192" s="1044"/>
      <c r="H192" s="1044"/>
      <c r="I192" s="1044"/>
      <c r="J192" s="1047"/>
      <c r="K192" s="1047"/>
      <c r="L192" s="1047"/>
      <c r="M192" s="1047"/>
      <c r="N192" s="1047"/>
      <c r="O192" s="1047"/>
      <c r="P192" s="1047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047"/>
      <c r="AC192" s="1047"/>
      <c r="AD192" s="1047"/>
      <c r="AE192" s="1047"/>
      <c r="AF192" s="1047"/>
      <c r="AG192" s="1047"/>
      <c r="AH192" s="1047"/>
      <c r="AI192" s="1047"/>
      <c r="AJ192" s="1047"/>
      <c r="AK192" s="1047"/>
      <c r="AL192" s="1047"/>
      <c r="AM192" s="1047"/>
      <c r="AN192" s="1047"/>
      <c r="AO192" s="1047"/>
      <c r="AP192" s="1047"/>
      <c r="AQ192" s="1047"/>
      <c r="AR192" s="1044"/>
    </row>
    <row r="193" spans="1:44">
      <c r="A193" s="1044"/>
      <c r="B193" s="1044"/>
      <c r="C193" s="1044"/>
      <c r="D193" s="1221"/>
      <c r="E193" s="1044"/>
      <c r="F193" s="1044"/>
      <c r="G193" s="1044"/>
      <c r="H193" s="1044"/>
      <c r="I193" s="1044"/>
      <c r="J193" s="1047"/>
      <c r="K193" s="1047"/>
      <c r="L193" s="1047"/>
      <c r="M193" s="1047"/>
      <c r="N193" s="1047"/>
      <c r="O193" s="1047"/>
      <c r="P193" s="1047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047"/>
      <c r="AC193" s="1047"/>
      <c r="AD193" s="1047"/>
      <c r="AE193" s="1047"/>
      <c r="AF193" s="1047"/>
      <c r="AG193" s="1047"/>
      <c r="AH193" s="1047"/>
      <c r="AI193" s="1047"/>
      <c r="AJ193" s="1047"/>
      <c r="AK193" s="1047"/>
      <c r="AL193" s="1047"/>
      <c r="AM193" s="1047"/>
      <c r="AN193" s="1047"/>
      <c r="AO193" s="1047"/>
      <c r="AP193" s="1047"/>
      <c r="AQ193" s="1047"/>
      <c r="AR193" s="1044"/>
    </row>
    <row r="194" spans="1:44">
      <c r="A194" s="1044"/>
      <c r="B194" s="1044"/>
      <c r="C194" s="1044"/>
      <c r="D194" s="1221"/>
      <c r="E194" s="1044"/>
      <c r="F194" s="1044"/>
      <c r="G194" s="1044"/>
      <c r="H194" s="1044"/>
      <c r="I194" s="1044"/>
      <c r="J194" s="1047"/>
      <c r="K194" s="1047"/>
      <c r="L194" s="1047"/>
      <c r="M194" s="1047"/>
      <c r="N194" s="1047"/>
      <c r="O194" s="1047"/>
      <c r="P194" s="1047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047"/>
      <c r="AC194" s="1047"/>
      <c r="AD194" s="1047"/>
      <c r="AE194" s="1047"/>
      <c r="AF194" s="1047"/>
      <c r="AG194" s="1047"/>
      <c r="AH194" s="1047"/>
      <c r="AI194" s="1047"/>
      <c r="AJ194" s="1047"/>
      <c r="AK194" s="1047"/>
      <c r="AL194" s="1047"/>
      <c r="AM194" s="1047"/>
      <c r="AN194" s="1047"/>
      <c r="AO194" s="1047"/>
      <c r="AP194" s="1047"/>
      <c r="AQ194" s="1047"/>
      <c r="AR194" s="1044"/>
    </row>
    <row r="195" spans="1:44">
      <c r="A195" s="1044"/>
      <c r="B195" s="1044"/>
      <c r="C195" s="1044"/>
      <c r="D195" s="1221"/>
      <c r="E195" s="1044"/>
      <c r="F195" s="1044"/>
      <c r="G195" s="1044"/>
      <c r="H195" s="1044"/>
      <c r="I195" s="1044"/>
      <c r="J195" s="1047"/>
      <c r="K195" s="1047"/>
      <c r="L195" s="1047"/>
      <c r="M195" s="1047"/>
      <c r="N195" s="1047"/>
      <c r="O195" s="1047"/>
      <c r="P195" s="1047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047"/>
      <c r="AC195" s="1047"/>
      <c r="AD195" s="1047"/>
      <c r="AE195" s="1047"/>
      <c r="AF195" s="1047"/>
      <c r="AG195" s="1047"/>
      <c r="AH195" s="1047"/>
      <c r="AI195" s="1047"/>
      <c r="AJ195" s="1047"/>
      <c r="AK195" s="1047"/>
      <c r="AL195" s="1047"/>
      <c r="AM195" s="1047"/>
      <c r="AN195" s="1047"/>
      <c r="AO195" s="1047"/>
      <c r="AP195" s="1047"/>
      <c r="AQ195" s="1047"/>
      <c r="AR195" s="1044"/>
    </row>
    <row r="196" spans="1:44">
      <c r="A196" s="1044"/>
      <c r="B196" s="1044"/>
      <c r="C196" s="1044"/>
      <c r="D196" s="1221"/>
      <c r="E196" s="1044"/>
      <c r="F196" s="1044"/>
      <c r="G196" s="1044"/>
      <c r="H196" s="1044"/>
      <c r="I196" s="1044"/>
      <c r="J196" s="1047"/>
      <c r="K196" s="1047"/>
      <c r="L196" s="1047"/>
      <c r="M196" s="1047"/>
      <c r="N196" s="1047"/>
      <c r="O196" s="1047"/>
      <c r="P196" s="1047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7"/>
      <c r="AL196" s="1047"/>
      <c r="AM196" s="1047"/>
      <c r="AN196" s="1047"/>
      <c r="AO196" s="1047"/>
      <c r="AP196" s="1047"/>
      <c r="AQ196" s="1047"/>
      <c r="AR196" s="1044"/>
    </row>
    <row r="197" spans="1:44">
      <c r="A197" s="1044"/>
      <c r="B197" s="1044"/>
      <c r="C197" s="1044"/>
      <c r="D197" s="1221"/>
      <c r="E197" s="1044"/>
      <c r="F197" s="1044"/>
      <c r="G197" s="1044"/>
      <c r="H197" s="1044"/>
      <c r="I197" s="1044"/>
      <c r="J197" s="1047"/>
      <c r="K197" s="1047"/>
      <c r="L197" s="1047"/>
      <c r="M197" s="1047"/>
      <c r="N197" s="1047"/>
      <c r="O197" s="1047"/>
      <c r="P197" s="1047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047"/>
      <c r="AC197" s="1047"/>
      <c r="AD197" s="1047"/>
      <c r="AE197" s="1047"/>
      <c r="AF197" s="1047"/>
      <c r="AG197" s="1047"/>
      <c r="AH197" s="1047"/>
      <c r="AI197" s="1047"/>
      <c r="AJ197" s="1047"/>
      <c r="AK197" s="1047"/>
      <c r="AL197" s="1047"/>
      <c r="AM197" s="1047"/>
      <c r="AN197" s="1047"/>
      <c r="AO197" s="1047"/>
      <c r="AP197" s="1047"/>
      <c r="AQ197" s="1047"/>
      <c r="AR197" s="1044"/>
    </row>
    <row r="198" spans="1:44">
      <c r="A198" s="1044"/>
      <c r="B198" s="1044"/>
      <c r="C198" s="1044"/>
      <c r="D198" s="1221"/>
      <c r="E198" s="1044"/>
      <c r="F198" s="1044"/>
      <c r="G198" s="1044"/>
      <c r="H198" s="1044"/>
      <c r="I198" s="1044"/>
      <c r="J198" s="1047"/>
      <c r="K198" s="1047"/>
      <c r="L198" s="1047"/>
      <c r="M198" s="1047"/>
      <c r="N198" s="1047"/>
      <c r="O198" s="1047"/>
      <c r="P198" s="1047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47"/>
      <c r="AF198" s="1047"/>
      <c r="AG198" s="1047"/>
      <c r="AH198" s="1047"/>
      <c r="AI198" s="1047"/>
      <c r="AJ198" s="1047"/>
      <c r="AK198" s="1047"/>
      <c r="AL198" s="1047"/>
      <c r="AM198" s="1047"/>
      <c r="AN198" s="1047"/>
      <c r="AO198" s="1047"/>
      <c r="AP198" s="1047"/>
      <c r="AQ198" s="1047"/>
      <c r="AR198" s="1044"/>
    </row>
    <row r="199" spans="1:44">
      <c r="A199" s="1044"/>
      <c r="B199" s="1044"/>
      <c r="C199" s="1044"/>
      <c r="D199" s="1221"/>
      <c r="E199" s="1044"/>
      <c r="F199" s="1044"/>
      <c r="G199" s="1044"/>
      <c r="H199" s="1044"/>
      <c r="I199" s="1044"/>
      <c r="J199" s="1047"/>
      <c r="K199" s="1047"/>
      <c r="L199" s="1047"/>
      <c r="M199" s="1047"/>
      <c r="N199" s="1047"/>
      <c r="O199" s="1047"/>
      <c r="P199" s="1047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47"/>
      <c r="AF199" s="1047"/>
      <c r="AG199" s="1047"/>
      <c r="AH199" s="1047"/>
      <c r="AI199" s="1047"/>
      <c r="AJ199" s="1047"/>
      <c r="AK199" s="1047"/>
      <c r="AL199" s="1047"/>
      <c r="AM199" s="1047"/>
      <c r="AN199" s="1047"/>
      <c r="AO199" s="1047"/>
      <c r="AP199" s="1047"/>
      <c r="AQ199" s="1047"/>
      <c r="AR199" s="1044"/>
    </row>
    <row r="200" spans="1:44">
      <c r="A200" s="1044"/>
      <c r="B200" s="1044"/>
      <c r="C200" s="1044"/>
      <c r="D200" s="1221"/>
      <c r="E200" s="1044"/>
      <c r="F200" s="1044"/>
      <c r="G200" s="1044"/>
      <c r="H200" s="1044"/>
      <c r="I200" s="1044"/>
      <c r="J200" s="1047"/>
      <c r="K200" s="1047"/>
      <c r="L200" s="1047"/>
      <c r="M200" s="1047"/>
      <c r="N200" s="1047"/>
      <c r="O200" s="1047"/>
      <c r="P200" s="1047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47"/>
      <c r="AF200" s="1047"/>
      <c r="AG200" s="1047"/>
      <c r="AH200" s="1047"/>
      <c r="AI200" s="1047"/>
      <c r="AJ200" s="1047"/>
      <c r="AK200" s="1047"/>
      <c r="AL200" s="1047"/>
      <c r="AM200" s="1047"/>
      <c r="AN200" s="1047"/>
      <c r="AO200" s="1047"/>
      <c r="AP200" s="1047"/>
      <c r="AQ200" s="1047"/>
      <c r="AR200" s="1044"/>
    </row>
    <row r="201" spans="1:44">
      <c r="A201" s="1044"/>
      <c r="B201" s="1044"/>
      <c r="C201" s="1044"/>
      <c r="D201" s="1221"/>
      <c r="E201" s="1044"/>
      <c r="F201" s="1044"/>
      <c r="G201" s="1044"/>
      <c r="H201" s="1044"/>
      <c r="I201" s="1044"/>
      <c r="J201" s="1047"/>
      <c r="K201" s="1047"/>
      <c r="L201" s="1047"/>
      <c r="M201" s="1047"/>
      <c r="N201" s="1047"/>
      <c r="O201" s="1047"/>
      <c r="P201" s="1047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47"/>
      <c r="AF201" s="1047"/>
      <c r="AG201" s="1047"/>
      <c r="AH201" s="1047"/>
      <c r="AI201" s="1047"/>
      <c r="AJ201" s="1047"/>
      <c r="AK201" s="1047"/>
      <c r="AL201" s="1047"/>
      <c r="AM201" s="1047"/>
      <c r="AN201" s="1047"/>
      <c r="AO201" s="1047"/>
      <c r="AP201" s="1047"/>
      <c r="AQ201" s="1047"/>
      <c r="AR201" s="1044"/>
    </row>
    <row r="202" spans="1:44">
      <c r="A202" s="1044"/>
      <c r="B202" s="1044"/>
      <c r="C202" s="1044"/>
      <c r="D202" s="1221"/>
      <c r="E202" s="1044"/>
      <c r="F202" s="1044"/>
      <c r="G202" s="1044"/>
      <c r="H202" s="1044"/>
      <c r="I202" s="1044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7"/>
      <c r="AL202" s="1047"/>
      <c r="AM202" s="1047"/>
      <c r="AN202" s="1047"/>
      <c r="AO202" s="1047"/>
      <c r="AP202" s="1047"/>
      <c r="AQ202" s="1047"/>
      <c r="AR202" s="1044"/>
    </row>
    <row r="203" spans="1:44">
      <c r="A203" s="1044"/>
      <c r="B203" s="1044"/>
      <c r="C203" s="1044"/>
      <c r="D203" s="1221"/>
      <c r="E203" s="1044"/>
      <c r="F203" s="1044"/>
      <c r="G203" s="1044"/>
      <c r="H203" s="1044"/>
      <c r="I203" s="1044"/>
      <c r="J203" s="1047"/>
      <c r="K203" s="1047"/>
      <c r="L203" s="1047"/>
      <c r="M203" s="1047"/>
      <c r="N203" s="1047"/>
      <c r="O203" s="1047"/>
      <c r="P203" s="1047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047"/>
      <c r="AC203" s="1047"/>
      <c r="AD203" s="1047"/>
      <c r="AE203" s="1047"/>
      <c r="AF203" s="1047"/>
      <c r="AG203" s="1047"/>
      <c r="AH203" s="1047"/>
      <c r="AI203" s="1047"/>
      <c r="AJ203" s="1047"/>
      <c r="AK203" s="1047"/>
      <c r="AL203" s="1047"/>
      <c r="AM203" s="1047"/>
      <c r="AN203" s="1047"/>
      <c r="AO203" s="1047"/>
      <c r="AP203" s="1047"/>
      <c r="AQ203" s="1047"/>
      <c r="AR203" s="1044"/>
    </row>
    <row r="204" spans="1:44">
      <c r="A204" s="1044"/>
      <c r="B204" s="1044"/>
      <c r="C204" s="1044"/>
      <c r="D204" s="1221"/>
      <c r="E204" s="1044"/>
      <c r="F204" s="1044"/>
      <c r="G204" s="1044"/>
      <c r="H204" s="1044"/>
      <c r="I204" s="1044"/>
      <c r="J204" s="1047"/>
      <c r="K204" s="1047"/>
      <c r="L204" s="1047"/>
      <c r="M204" s="1047"/>
      <c r="N204" s="1047"/>
      <c r="O204" s="1047"/>
      <c r="P204" s="1047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047"/>
      <c r="AC204" s="1047"/>
      <c r="AD204" s="1047"/>
      <c r="AE204" s="1047"/>
      <c r="AF204" s="1047"/>
      <c r="AG204" s="1047"/>
      <c r="AH204" s="1047"/>
      <c r="AI204" s="1047"/>
      <c r="AJ204" s="1047"/>
      <c r="AK204" s="1047"/>
      <c r="AL204" s="1047"/>
      <c r="AM204" s="1047"/>
      <c r="AN204" s="1047"/>
      <c r="AO204" s="1047"/>
      <c r="AP204" s="1047"/>
      <c r="AQ204" s="1047"/>
      <c r="AR204" s="1044"/>
    </row>
    <row r="205" spans="1:44">
      <c r="A205" s="1044"/>
      <c r="B205" s="1044"/>
      <c r="C205" s="1044"/>
      <c r="D205" s="1221"/>
      <c r="E205" s="1044"/>
      <c r="F205" s="1044"/>
      <c r="G205" s="1044"/>
      <c r="H205" s="1044"/>
      <c r="I205" s="1044"/>
      <c r="J205" s="1047"/>
      <c r="K205" s="1047"/>
      <c r="L205" s="1047"/>
      <c r="M205" s="1047"/>
      <c r="N205" s="1047"/>
      <c r="O205" s="1047"/>
      <c r="P205" s="1047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047"/>
      <c r="AC205" s="1047"/>
      <c r="AD205" s="1047"/>
      <c r="AE205" s="1047"/>
      <c r="AF205" s="1047"/>
      <c r="AG205" s="1047"/>
      <c r="AH205" s="1047"/>
      <c r="AI205" s="1047"/>
      <c r="AJ205" s="1047"/>
      <c r="AK205" s="1047"/>
      <c r="AL205" s="1047"/>
      <c r="AM205" s="1047"/>
      <c r="AN205" s="1047"/>
      <c r="AO205" s="1047"/>
      <c r="AP205" s="1047"/>
      <c r="AQ205" s="1047"/>
      <c r="AR205" s="1044"/>
    </row>
    <row r="206" spans="1:44">
      <c r="A206" s="1044"/>
      <c r="B206" s="1044"/>
      <c r="C206" s="1044"/>
      <c r="D206" s="1221"/>
      <c r="E206" s="1044"/>
      <c r="F206" s="1044"/>
      <c r="G206" s="1044"/>
      <c r="H206" s="1044"/>
      <c r="I206" s="1044"/>
      <c r="J206" s="1047"/>
      <c r="K206" s="1047"/>
      <c r="L206" s="1047"/>
      <c r="M206" s="1047"/>
      <c r="N206" s="1047"/>
      <c r="O206" s="1047"/>
      <c r="P206" s="1047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047"/>
      <c r="AC206" s="1047"/>
      <c r="AD206" s="1047"/>
      <c r="AE206" s="1047"/>
      <c r="AF206" s="1047"/>
      <c r="AG206" s="1047"/>
      <c r="AH206" s="1047"/>
      <c r="AI206" s="1047"/>
      <c r="AJ206" s="1047"/>
      <c r="AK206" s="1047"/>
      <c r="AL206" s="1047"/>
      <c r="AM206" s="1047"/>
      <c r="AN206" s="1047"/>
      <c r="AO206" s="1047"/>
      <c r="AP206" s="1047"/>
      <c r="AQ206" s="1047"/>
      <c r="AR206" s="1044"/>
    </row>
    <row r="207" spans="1:44">
      <c r="A207" s="1044"/>
      <c r="B207" s="1044"/>
      <c r="C207" s="1044"/>
      <c r="D207" s="1221"/>
      <c r="E207" s="1044"/>
      <c r="F207" s="1044"/>
      <c r="G207" s="1044"/>
      <c r="H207" s="1044"/>
      <c r="I207" s="1044"/>
      <c r="J207" s="1047"/>
      <c r="K207" s="1047"/>
      <c r="L207" s="1047"/>
      <c r="M207" s="1047"/>
      <c r="N207" s="1047"/>
      <c r="O207" s="1047"/>
      <c r="P207" s="1047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047"/>
      <c r="AC207" s="1047"/>
      <c r="AD207" s="1047"/>
      <c r="AE207" s="1047"/>
      <c r="AF207" s="1047"/>
      <c r="AG207" s="1047"/>
      <c r="AH207" s="1047"/>
      <c r="AI207" s="1047"/>
      <c r="AJ207" s="1047"/>
      <c r="AK207" s="1047"/>
      <c r="AL207" s="1047"/>
      <c r="AM207" s="1047"/>
      <c r="AN207" s="1047"/>
      <c r="AO207" s="1047"/>
      <c r="AP207" s="1047"/>
      <c r="AQ207" s="1047"/>
      <c r="AR207" s="1044"/>
    </row>
    <row r="208" spans="1:44">
      <c r="A208" s="1044"/>
      <c r="B208" s="1044"/>
      <c r="C208" s="1044"/>
      <c r="D208" s="1221"/>
      <c r="E208" s="1044"/>
      <c r="F208" s="1044"/>
      <c r="G208" s="1044"/>
      <c r="H208" s="1044"/>
      <c r="I208" s="1044"/>
      <c r="J208" s="1047"/>
      <c r="K208" s="1047"/>
      <c r="L208" s="1047"/>
      <c r="M208" s="1047"/>
      <c r="N208" s="1047"/>
      <c r="O208" s="1047"/>
      <c r="P208" s="1047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047"/>
      <c r="AC208" s="1047"/>
      <c r="AD208" s="1047"/>
      <c r="AE208" s="1047"/>
      <c r="AF208" s="1047"/>
      <c r="AG208" s="1047"/>
      <c r="AH208" s="1047"/>
      <c r="AI208" s="1047"/>
      <c r="AJ208" s="1047"/>
      <c r="AK208" s="1047"/>
      <c r="AL208" s="1047"/>
      <c r="AM208" s="1047"/>
      <c r="AN208" s="1047"/>
      <c r="AO208" s="1047"/>
      <c r="AP208" s="1047"/>
      <c r="AQ208" s="1047"/>
      <c r="AR208" s="1044"/>
    </row>
    <row r="209" spans="1:44">
      <c r="A209" s="1044"/>
      <c r="B209" s="1044"/>
      <c r="C209" s="1044"/>
      <c r="D209" s="1221"/>
      <c r="E209" s="1044"/>
      <c r="F209" s="1044"/>
      <c r="G209" s="1044"/>
      <c r="H209" s="1044"/>
      <c r="I209" s="1044"/>
      <c r="J209" s="1047"/>
      <c r="K209" s="1047"/>
      <c r="L209" s="1047"/>
      <c r="M209" s="1047"/>
      <c r="N209" s="1047"/>
      <c r="O209" s="1047"/>
      <c r="P209" s="1047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047"/>
      <c r="AC209" s="1047"/>
      <c r="AD209" s="1047"/>
      <c r="AE209" s="1047"/>
      <c r="AF209" s="1047"/>
      <c r="AG209" s="1047"/>
      <c r="AH209" s="1047"/>
      <c r="AI209" s="1047"/>
      <c r="AJ209" s="1047"/>
      <c r="AK209" s="1047"/>
      <c r="AL209" s="1047"/>
      <c r="AM209" s="1047"/>
      <c r="AN209" s="1047"/>
      <c r="AO209" s="1047"/>
      <c r="AP209" s="1047"/>
      <c r="AQ209" s="1047"/>
      <c r="AR209" s="1044"/>
    </row>
    <row r="210" spans="1:44">
      <c r="A210" s="1044"/>
      <c r="B210" s="1044"/>
      <c r="C210" s="1044"/>
      <c r="D210" s="1221"/>
      <c r="E210" s="1044"/>
      <c r="F210" s="1044"/>
      <c r="G210" s="1044"/>
      <c r="H210" s="1044"/>
      <c r="I210" s="1044"/>
      <c r="J210" s="1047"/>
      <c r="K210" s="1047"/>
      <c r="L210" s="1047"/>
      <c r="M210" s="1047"/>
      <c r="N210" s="1047"/>
      <c r="O210" s="1047"/>
      <c r="P210" s="1047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047"/>
      <c r="AC210" s="1047"/>
      <c r="AD210" s="1047"/>
      <c r="AE210" s="1047"/>
      <c r="AF210" s="1047"/>
      <c r="AG210" s="1047"/>
      <c r="AH210" s="1047"/>
      <c r="AI210" s="1047"/>
      <c r="AJ210" s="1047"/>
      <c r="AK210" s="1047"/>
      <c r="AL210" s="1047"/>
      <c r="AM210" s="1047"/>
      <c r="AN210" s="1047"/>
      <c r="AO210" s="1047"/>
      <c r="AP210" s="1047"/>
      <c r="AQ210" s="1047"/>
      <c r="AR210" s="1044"/>
    </row>
    <row r="211" spans="1:44">
      <c r="A211" s="1044"/>
      <c r="B211" s="1044"/>
      <c r="C211" s="1044"/>
      <c r="D211" s="1221"/>
      <c r="E211" s="1044"/>
      <c r="F211" s="1044"/>
      <c r="G211" s="1044"/>
      <c r="H211" s="1044"/>
      <c r="I211" s="1044"/>
      <c r="J211" s="1047"/>
      <c r="K211" s="1047"/>
      <c r="L211" s="1047"/>
      <c r="M211" s="1047"/>
      <c r="N211" s="1047"/>
      <c r="O211" s="1047"/>
      <c r="P211" s="1047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047"/>
      <c r="AC211" s="1047"/>
      <c r="AD211" s="1047"/>
      <c r="AE211" s="1047"/>
      <c r="AF211" s="1047"/>
      <c r="AG211" s="1047"/>
      <c r="AH211" s="1047"/>
      <c r="AI211" s="1047"/>
      <c r="AJ211" s="1047"/>
      <c r="AK211" s="1047"/>
      <c r="AL211" s="1047"/>
      <c r="AM211" s="1047"/>
      <c r="AN211" s="1047"/>
      <c r="AO211" s="1047"/>
      <c r="AP211" s="1047"/>
      <c r="AQ211" s="1047"/>
      <c r="AR211" s="1044"/>
    </row>
    <row r="212" spans="1:44">
      <c r="A212" s="1044"/>
      <c r="B212" s="1044"/>
      <c r="C212" s="1044"/>
      <c r="D212" s="1221"/>
      <c r="E212" s="1044"/>
      <c r="F212" s="1044"/>
      <c r="G212" s="1044"/>
      <c r="H212" s="1044"/>
      <c r="I212" s="1044"/>
      <c r="J212" s="1047"/>
      <c r="K212" s="1047"/>
      <c r="L212" s="1047"/>
      <c r="M212" s="1047"/>
      <c r="N212" s="1047"/>
      <c r="O212" s="1047"/>
      <c r="P212" s="1047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047"/>
      <c r="AC212" s="1047"/>
      <c r="AD212" s="1047"/>
      <c r="AE212" s="1047"/>
      <c r="AF212" s="1047"/>
      <c r="AG212" s="1047"/>
      <c r="AH212" s="1047"/>
      <c r="AI212" s="1047"/>
      <c r="AJ212" s="1047"/>
      <c r="AK212" s="1047"/>
      <c r="AL212" s="1047"/>
      <c r="AM212" s="1047"/>
      <c r="AN212" s="1047"/>
      <c r="AO212" s="1047"/>
      <c r="AP212" s="1047"/>
      <c r="AQ212" s="1047"/>
      <c r="AR212" s="1044"/>
    </row>
    <row r="213" spans="1:44">
      <c r="A213" s="1044"/>
      <c r="B213" s="1044"/>
      <c r="C213" s="1044"/>
      <c r="D213" s="1221"/>
      <c r="E213" s="1044"/>
      <c r="F213" s="1044"/>
      <c r="G213" s="1044"/>
      <c r="H213" s="1044"/>
      <c r="I213" s="1044"/>
      <c r="J213" s="1047"/>
      <c r="K213" s="1047"/>
      <c r="L213" s="1047"/>
      <c r="M213" s="1047"/>
      <c r="N213" s="1047"/>
      <c r="O213" s="1047"/>
      <c r="P213" s="1047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047"/>
      <c r="AC213" s="1047"/>
      <c r="AD213" s="1047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4"/>
    </row>
    <row r="214" spans="1:44">
      <c r="A214" s="1044"/>
      <c r="B214" s="1044"/>
      <c r="C214" s="1044"/>
      <c r="D214" s="1221"/>
      <c r="E214" s="1044"/>
      <c r="F214" s="1044"/>
      <c r="G214" s="1044"/>
      <c r="H214" s="1044"/>
      <c r="I214" s="1044"/>
      <c r="J214" s="1047"/>
      <c r="K214" s="1047"/>
      <c r="L214" s="1047"/>
      <c r="M214" s="1047"/>
      <c r="N214" s="1047"/>
      <c r="O214" s="1047"/>
      <c r="P214" s="1047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047"/>
      <c r="AC214" s="1047"/>
      <c r="AD214" s="1047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4"/>
    </row>
    <row r="215" spans="1:44">
      <c r="A215" s="1044"/>
      <c r="B215" s="1044"/>
      <c r="C215" s="1044"/>
      <c r="D215" s="1221"/>
      <c r="E215" s="1044"/>
      <c r="F215" s="1044"/>
      <c r="G215" s="1044"/>
      <c r="H215" s="1044"/>
      <c r="I215" s="1044"/>
      <c r="J215" s="1047"/>
      <c r="K215" s="1047"/>
      <c r="L215" s="1047"/>
      <c r="M215" s="1047"/>
      <c r="N215" s="1047"/>
      <c r="O215" s="1047"/>
      <c r="P215" s="1047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047"/>
      <c r="AC215" s="1047"/>
      <c r="AD215" s="1047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4"/>
    </row>
    <row r="216" spans="1:44">
      <c r="A216" s="1044"/>
      <c r="B216" s="1044"/>
      <c r="C216" s="1044"/>
      <c r="D216" s="1221"/>
      <c r="E216" s="1044"/>
      <c r="F216" s="1044"/>
      <c r="G216" s="1044"/>
      <c r="H216" s="1044"/>
      <c r="I216" s="1044"/>
      <c r="J216" s="1047"/>
      <c r="K216" s="1047"/>
      <c r="L216" s="1047"/>
      <c r="M216" s="1047"/>
      <c r="N216" s="1047"/>
      <c r="O216" s="1047"/>
      <c r="P216" s="1047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047"/>
      <c r="AC216" s="1047"/>
      <c r="AD216" s="1047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4"/>
    </row>
    <row r="217" spans="1:44">
      <c r="A217" s="1044"/>
      <c r="B217" s="1044"/>
      <c r="C217" s="1044"/>
      <c r="D217" s="1221"/>
      <c r="E217" s="1044"/>
      <c r="F217" s="1044"/>
      <c r="G217" s="1044"/>
      <c r="H217" s="1044"/>
      <c r="I217" s="1044"/>
      <c r="J217" s="1047"/>
      <c r="K217" s="1047"/>
      <c r="L217" s="1047"/>
      <c r="M217" s="1047"/>
      <c r="N217" s="1047"/>
      <c r="O217" s="1047"/>
      <c r="P217" s="1047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047"/>
      <c r="AC217" s="1047"/>
      <c r="AD217" s="1047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4"/>
    </row>
    <row r="218" spans="1:44">
      <c r="A218" s="1044"/>
      <c r="B218" s="1044"/>
      <c r="C218" s="1044"/>
      <c r="D218" s="1221"/>
      <c r="E218" s="1044"/>
      <c r="F218" s="1044"/>
      <c r="G218" s="1044"/>
      <c r="H218" s="1044"/>
      <c r="I218" s="1044"/>
      <c r="J218" s="1047"/>
      <c r="K218" s="1047"/>
      <c r="L218" s="1047"/>
      <c r="M218" s="1047"/>
      <c r="N218" s="1047"/>
      <c r="O218" s="1047"/>
      <c r="P218" s="1047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047"/>
      <c r="AC218" s="1047"/>
      <c r="AD218" s="1047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4"/>
    </row>
    <row r="219" spans="1:44">
      <c r="A219" s="1044"/>
      <c r="B219" s="1044"/>
      <c r="C219" s="1044"/>
      <c r="D219" s="1221"/>
      <c r="E219" s="1044"/>
      <c r="F219" s="1044"/>
      <c r="G219" s="1044"/>
      <c r="H219" s="1044"/>
      <c r="I219" s="1044"/>
      <c r="J219" s="1047"/>
      <c r="K219" s="1047"/>
      <c r="L219" s="1047"/>
      <c r="M219" s="1047"/>
      <c r="N219" s="1047"/>
      <c r="O219" s="1047"/>
      <c r="P219" s="1047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047"/>
      <c r="AC219" s="1047"/>
      <c r="AD219" s="1047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4"/>
    </row>
    <row r="220" spans="1:44">
      <c r="A220" s="1044"/>
      <c r="B220" s="1044"/>
      <c r="C220" s="1044"/>
      <c r="D220" s="1221"/>
      <c r="E220" s="1044"/>
      <c r="F220" s="1044"/>
      <c r="G220" s="1044"/>
      <c r="H220" s="1044"/>
      <c r="I220" s="1044"/>
      <c r="J220" s="1047"/>
      <c r="K220" s="1047"/>
      <c r="L220" s="1047"/>
      <c r="M220" s="1047"/>
      <c r="N220" s="1047"/>
      <c r="O220" s="1047"/>
      <c r="P220" s="1047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047"/>
      <c r="AC220" s="1047"/>
      <c r="AD220" s="1047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4"/>
    </row>
    <row r="221" spans="1:44">
      <c r="A221" s="1044"/>
      <c r="B221" s="1044"/>
      <c r="C221" s="1044"/>
      <c r="D221" s="1221"/>
      <c r="E221" s="1044"/>
      <c r="F221" s="1044"/>
      <c r="G221" s="1044"/>
      <c r="H221" s="1044"/>
      <c r="I221" s="1044"/>
      <c r="J221" s="1047"/>
      <c r="K221" s="1047"/>
      <c r="L221" s="1047"/>
      <c r="M221" s="1047"/>
      <c r="N221" s="1047"/>
      <c r="O221" s="1047"/>
      <c r="P221" s="1047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047"/>
      <c r="AC221" s="1047"/>
      <c r="AD221" s="1047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4"/>
    </row>
    <row r="222" spans="1:44">
      <c r="A222" s="1044"/>
      <c r="B222" s="1044"/>
      <c r="C222" s="1044"/>
      <c r="D222" s="1221"/>
      <c r="E222" s="1044"/>
      <c r="F222" s="1044"/>
      <c r="G222" s="1044"/>
      <c r="H222" s="1044"/>
      <c r="I222" s="1044"/>
      <c r="J222" s="1047"/>
      <c r="K222" s="1047"/>
      <c r="L222" s="1047"/>
      <c r="M222" s="1047"/>
      <c r="N222" s="1047"/>
      <c r="O222" s="1047"/>
      <c r="P222" s="1047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047"/>
      <c r="AC222" s="1047"/>
      <c r="AD222" s="1047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4"/>
    </row>
    <row r="223" spans="1:44">
      <c r="A223" s="1044"/>
      <c r="B223" s="1044"/>
      <c r="C223" s="1044"/>
      <c r="D223" s="1221"/>
      <c r="E223" s="1044"/>
      <c r="F223" s="1044"/>
      <c r="G223" s="1044"/>
      <c r="H223" s="1044"/>
      <c r="I223" s="1044"/>
      <c r="J223" s="1047"/>
      <c r="K223" s="1047"/>
      <c r="L223" s="1047"/>
      <c r="M223" s="1047"/>
      <c r="N223" s="1047"/>
      <c r="O223" s="1047"/>
      <c r="P223" s="1047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047"/>
      <c r="AC223" s="1047"/>
      <c r="AD223" s="1047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4"/>
    </row>
    <row r="224" spans="1:44">
      <c r="A224" s="1044"/>
      <c r="B224" s="1044"/>
      <c r="C224" s="1044"/>
      <c r="D224" s="1221"/>
      <c r="E224" s="1044"/>
      <c r="F224" s="1044"/>
      <c r="G224" s="1044"/>
      <c r="H224" s="1044"/>
      <c r="I224" s="1044"/>
      <c r="J224" s="1047"/>
      <c r="K224" s="1047"/>
      <c r="L224" s="1047"/>
      <c r="M224" s="1047"/>
      <c r="N224" s="1047"/>
      <c r="O224" s="1047"/>
      <c r="P224" s="1047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047"/>
      <c r="AC224" s="1047"/>
      <c r="AD224" s="1047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4"/>
    </row>
    <row r="225" spans="1:44">
      <c r="A225" s="1044"/>
      <c r="B225" s="1044"/>
      <c r="C225" s="1044"/>
      <c r="D225" s="1221"/>
      <c r="E225" s="1044"/>
      <c r="F225" s="1044"/>
      <c r="G225" s="1044"/>
      <c r="H225" s="1044"/>
      <c r="I225" s="1044"/>
      <c r="J225" s="1047"/>
      <c r="K225" s="1047"/>
      <c r="L225" s="1047"/>
      <c r="M225" s="1047"/>
      <c r="N225" s="1047"/>
      <c r="O225" s="1047"/>
      <c r="P225" s="1047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047"/>
      <c r="AC225" s="1047"/>
      <c r="AD225" s="1047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4"/>
    </row>
    <row r="226" spans="1:44">
      <c r="A226" s="1044"/>
      <c r="B226" s="1044"/>
      <c r="C226" s="1044"/>
      <c r="D226" s="1221"/>
      <c r="E226" s="1044"/>
      <c r="F226" s="1044"/>
      <c r="G226" s="1044"/>
      <c r="H226" s="1044"/>
      <c r="I226" s="1044"/>
      <c r="J226" s="1047"/>
      <c r="K226" s="1047"/>
      <c r="L226" s="1047"/>
      <c r="M226" s="1047"/>
      <c r="N226" s="1047"/>
      <c r="O226" s="1047"/>
      <c r="P226" s="1047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047"/>
      <c r="AC226" s="1047"/>
      <c r="AD226" s="1047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4"/>
    </row>
    <row r="227" spans="1:44">
      <c r="A227" s="1044"/>
      <c r="B227" s="1044"/>
      <c r="C227" s="1044"/>
      <c r="D227" s="1221"/>
      <c r="E227" s="1044"/>
      <c r="F227" s="1044"/>
      <c r="G227" s="1044"/>
      <c r="H227" s="1044"/>
      <c r="I227" s="1044"/>
      <c r="J227" s="1047"/>
      <c r="K227" s="1047"/>
      <c r="L227" s="1047"/>
      <c r="M227" s="1047"/>
      <c r="N227" s="1047"/>
      <c r="O227" s="1047"/>
      <c r="P227" s="1047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047"/>
      <c r="AC227" s="1047"/>
      <c r="AD227" s="1047"/>
      <c r="AE227" s="1044"/>
      <c r="AF227" s="1044"/>
      <c r="AG227" s="1044"/>
      <c r="AH227" s="1044"/>
      <c r="AI227" s="1044"/>
      <c r="AJ227" s="1044"/>
      <c r="AK227" s="1044"/>
      <c r="AL227" s="1044"/>
      <c r="AM227" s="1044"/>
      <c r="AN227" s="1044"/>
      <c r="AO227" s="1044"/>
      <c r="AP227" s="1044"/>
      <c r="AQ227" s="1044"/>
      <c r="AR227" s="1044"/>
    </row>
    <row r="228" spans="1:44">
      <c r="A228" s="1044"/>
      <c r="B228" s="1044"/>
      <c r="C228" s="1044"/>
      <c r="D228" s="1221"/>
      <c r="E228" s="1044"/>
      <c r="F228" s="1044"/>
      <c r="G228" s="1044"/>
      <c r="H228" s="1044"/>
      <c r="I228" s="1044"/>
      <c r="J228" s="1047"/>
      <c r="K228" s="1047"/>
      <c r="L228" s="1047"/>
      <c r="M228" s="1047"/>
      <c r="N228" s="1047"/>
      <c r="O228" s="1047"/>
      <c r="P228" s="1047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047"/>
      <c r="AC228" s="1047"/>
      <c r="AD228" s="1047"/>
      <c r="AE228" s="1044"/>
      <c r="AF228" s="1044"/>
      <c r="AG228" s="1044"/>
      <c r="AH228" s="1044"/>
      <c r="AI228" s="1044"/>
      <c r="AJ228" s="1044"/>
      <c r="AK228" s="1044"/>
      <c r="AL228" s="1044"/>
      <c r="AM228" s="1044"/>
      <c r="AN228" s="1044"/>
      <c r="AO228" s="1044"/>
      <c r="AP228" s="1044"/>
      <c r="AQ228" s="1044"/>
      <c r="AR228" s="1044"/>
    </row>
    <row r="229" spans="1:44">
      <c r="A229" s="1044"/>
      <c r="B229" s="1044"/>
      <c r="C229" s="1044"/>
      <c r="D229" s="1221"/>
      <c r="E229" s="1044"/>
      <c r="F229" s="1044"/>
      <c r="G229" s="1044"/>
      <c r="H229" s="1044"/>
      <c r="I229" s="1044"/>
      <c r="J229" s="1047"/>
      <c r="K229" s="1047"/>
      <c r="L229" s="1047"/>
      <c r="M229" s="1047"/>
      <c r="N229" s="1047"/>
      <c r="O229" s="1047"/>
      <c r="P229" s="1047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047"/>
      <c r="AC229" s="1047"/>
      <c r="AD229" s="1047"/>
      <c r="AE229" s="1044"/>
      <c r="AF229" s="1044"/>
      <c r="AG229" s="1044"/>
      <c r="AH229" s="1044"/>
      <c r="AI229" s="1044"/>
      <c r="AJ229" s="1044"/>
      <c r="AK229" s="1044"/>
      <c r="AL229" s="1044"/>
      <c r="AM229" s="1044"/>
      <c r="AN229" s="1044"/>
      <c r="AO229" s="1044"/>
      <c r="AP229" s="1044"/>
      <c r="AQ229" s="1044"/>
      <c r="AR229" s="1044"/>
    </row>
    <row r="230" spans="1:44">
      <c r="A230" s="1044"/>
      <c r="B230" s="1044"/>
      <c r="C230" s="1044"/>
      <c r="D230" s="1221"/>
      <c r="E230" s="1044"/>
      <c r="F230" s="1044"/>
      <c r="G230" s="1044"/>
      <c r="H230" s="1044"/>
      <c r="I230" s="1044"/>
      <c r="J230" s="1047"/>
      <c r="K230" s="1047"/>
      <c r="L230" s="1047"/>
      <c r="M230" s="1047"/>
      <c r="N230" s="1047"/>
      <c r="O230" s="1047"/>
      <c r="P230" s="1047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047"/>
      <c r="AC230" s="1047"/>
      <c r="AD230" s="1047"/>
      <c r="AE230" s="1044"/>
      <c r="AF230" s="1044"/>
      <c r="AG230" s="1044"/>
      <c r="AH230" s="1044"/>
      <c r="AI230" s="1044"/>
      <c r="AJ230" s="1044"/>
      <c r="AK230" s="1044"/>
      <c r="AL230" s="1044"/>
      <c r="AM230" s="1044"/>
      <c r="AN230" s="1044"/>
      <c r="AO230" s="1044"/>
      <c r="AP230" s="1044"/>
      <c r="AQ230" s="1044"/>
      <c r="AR230" s="1044"/>
    </row>
    <row r="231" spans="1:44">
      <c r="A231" s="1044"/>
      <c r="B231" s="1044"/>
      <c r="C231" s="1044"/>
      <c r="D231" s="1221"/>
      <c r="E231" s="1044"/>
      <c r="F231" s="1044"/>
      <c r="G231" s="1044"/>
      <c r="H231" s="1044"/>
      <c r="I231" s="1044"/>
      <c r="J231" s="1047"/>
      <c r="K231" s="1047"/>
      <c r="L231" s="1047"/>
      <c r="M231" s="1047"/>
      <c r="N231" s="1047"/>
      <c r="O231" s="1047"/>
      <c r="P231" s="1047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047"/>
      <c r="AC231" s="1047"/>
      <c r="AD231" s="1047"/>
      <c r="AE231" s="1044"/>
      <c r="AF231" s="1044"/>
      <c r="AG231" s="1044"/>
      <c r="AH231" s="1044"/>
      <c r="AI231" s="1044"/>
      <c r="AJ231" s="1044"/>
      <c r="AK231" s="1044"/>
      <c r="AL231" s="1044"/>
      <c r="AM231" s="1044"/>
      <c r="AN231" s="1044"/>
      <c r="AO231" s="1044"/>
      <c r="AP231" s="1044"/>
      <c r="AQ231" s="1044"/>
      <c r="AR231" s="1044"/>
    </row>
    <row r="232" spans="1:44">
      <c r="A232" s="1044"/>
      <c r="B232" s="1044"/>
      <c r="C232" s="1044"/>
      <c r="D232" s="1221"/>
      <c r="E232" s="1044"/>
      <c r="F232" s="1044"/>
      <c r="G232" s="1044"/>
      <c r="H232" s="1044"/>
      <c r="I232" s="1044"/>
      <c r="J232" s="1047"/>
      <c r="K232" s="1047"/>
      <c r="L232" s="1047"/>
      <c r="M232" s="1047"/>
      <c r="N232" s="1047"/>
      <c r="O232" s="1047"/>
      <c r="P232" s="1047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047"/>
      <c r="AC232" s="1047"/>
      <c r="AD232" s="1047"/>
      <c r="AE232" s="1044"/>
      <c r="AF232" s="1044"/>
      <c r="AG232" s="1044"/>
      <c r="AH232" s="1044"/>
      <c r="AI232" s="1044"/>
      <c r="AJ232" s="1044"/>
      <c r="AK232" s="1044"/>
      <c r="AL232" s="1044"/>
      <c r="AM232" s="1044"/>
      <c r="AN232" s="1044"/>
      <c r="AO232" s="1044"/>
      <c r="AP232" s="1044"/>
      <c r="AQ232" s="1044"/>
      <c r="AR232" s="1044"/>
    </row>
    <row r="233" spans="1:44">
      <c r="A233" s="1044"/>
      <c r="B233" s="1044"/>
      <c r="C233" s="1044"/>
      <c r="D233" s="1221"/>
      <c r="E233" s="1044"/>
      <c r="F233" s="1044"/>
      <c r="G233" s="1044"/>
      <c r="H233" s="1044"/>
      <c r="I233" s="1044"/>
      <c r="J233" s="1047"/>
      <c r="K233" s="1047"/>
      <c r="L233" s="1047"/>
      <c r="M233" s="1047"/>
      <c r="N233" s="1047"/>
      <c r="O233" s="1047"/>
      <c r="P233" s="1047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047"/>
      <c r="AC233" s="1047"/>
      <c r="AD233" s="1047"/>
      <c r="AE233" s="1044"/>
      <c r="AF233" s="1044"/>
      <c r="AG233" s="1044"/>
      <c r="AH233" s="1044"/>
      <c r="AI233" s="1044"/>
      <c r="AJ233" s="1044"/>
      <c r="AK233" s="1044"/>
      <c r="AL233" s="1044"/>
      <c r="AM233" s="1044"/>
      <c r="AN233" s="1044"/>
      <c r="AO233" s="1044"/>
      <c r="AP233" s="1044"/>
      <c r="AQ233" s="1044"/>
      <c r="AR233" s="1044"/>
    </row>
    <row r="234" spans="1:44">
      <c r="A234" s="1044"/>
      <c r="B234" s="1044"/>
      <c r="C234" s="1044"/>
      <c r="D234" s="1221"/>
      <c r="E234" s="1044"/>
      <c r="F234" s="1044"/>
      <c r="G234" s="1044"/>
      <c r="H234" s="1044"/>
      <c r="I234" s="1044"/>
      <c r="J234" s="1047"/>
      <c r="K234" s="1047"/>
      <c r="L234" s="1047"/>
      <c r="M234" s="1047"/>
      <c r="N234" s="1047"/>
      <c r="O234" s="1047"/>
      <c r="P234" s="1047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047"/>
      <c r="AC234" s="1047"/>
      <c r="AD234" s="1047"/>
      <c r="AE234" s="1044"/>
      <c r="AF234" s="1044"/>
      <c r="AG234" s="1044"/>
      <c r="AH234" s="1044"/>
      <c r="AI234" s="1044"/>
      <c r="AJ234" s="1044"/>
      <c r="AK234" s="1044"/>
      <c r="AL234" s="1044"/>
      <c r="AM234" s="1044"/>
      <c r="AN234" s="1044"/>
      <c r="AO234" s="1044"/>
      <c r="AP234" s="1044"/>
      <c r="AQ234" s="1044"/>
      <c r="AR234" s="1044"/>
    </row>
    <row r="235" spans="1:44">
      <c r="A235" s="1044"/>
      <c r="B235" s="1044"/>
      <c r="C235" s="1044"/>
      <c r="D235" s="1221"/>
      <c r="E235" s="1044"/>
      <c r="F235" s="1044"/>
      <c r="G235" s="1044"/>
      <c r="H235" s="1044"/>
      <c r="I235" s="1044"/>
      <c r="J235" s="1047"/>
      <c r="K235" s="1047"/>
      <c r="L235" s="1047"/>
      <c r="M235" s="1047"/>
      <c r="N235" s="1047"/>
      <c r="O235" s="1047"/>
      <c r="P235" s="1047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047"/>
      <c r="AC235" s="1047"/>
      <c r="AD235" s="1047"/>
      <c r="AE235" s="1044"/>
      <c r="AF235" s="1044"/>
      <c r="AG235" s="1044"/>
      <c r="AH235" s="1044"/>
      <c r="AI235" s="1044"/>
      <c r="AJ235" s="1044"/>
      <c r="AK235" s="1044"/>
      <c r="AL235" s="1044"/>
      <c r="AM235" s="1044"/>
      <c r="AN235" s="1044"/>
      <c r="AO235" s="1044"/>
      <c r="AP235" s="1044"/>
      <c r="AQ235" s="1044"/>
      <c r="AR235" s="1044"/>
    </row>
    <row r="236" spans="1:44">
      <c r="A236" s="1044"/>
      <c r="B236" s="1044"/>
      <c r="C236" s="1044"/>
      <c r="D236" s="1221"/>
      <c r="E236" s="1044"/>
      <c r="F236" s="1044"/>
      <c r="G236" s="1044"/>
      <c r="H236" s="1044"/>
      <c r="I236" s="1044"/>
      <c r="J236" s="1047"/>
      <c r="K236" s="1047"/>
      <c r="L236" s="1047"/>
      <c r="M236" s="1047"/>
      <c r="N236" s="1047"/>
      <c r="O236" s="1047"/>
      <c r="P236" s="1047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047"/>
      <c r="AC236" s="1047"/>
      <c r="AD236" s="1047"/>
      <c r="AE236" s="1044"/>
      <c r="AF236" s="1044"/>
      <c r="AG236" s="1044"/>
      <c r="AH236" s="1044"/>
      <c r="AI236" s="1044"/>
      <c r="AJ236" s="1044"/>
      <c r="AK236" s="1044"/>
      <c r="AL236" s="1044"/>
      <c r="AM236" s="1044"/>
      <c r="AN236" s="1044"/>
      <c r="AO236" s="1044"/>
      <c r="AP236" s="1044"/>
      <c r="AQ236" s="1044"/>
      <c r="AR236" s="1044"/>
    </row>
    <row r="237" spans="1:44">
      <c r="A237" s="1044"/>
      <c r="B237" s="1044"/>
      <c r="C237" s="1044"/>
      <c r="D237" s="1221"/>
      <c r="E237" s="1044"/>
      <c r="F237" s="1044"/>
      <c r="G237" s="1044"/>
      <c r="H237" s="1044"/>
      <c r="I237" s="1044"/>
      <c r="J237" s="1047"/>
      <c r="K237" s="1047"/>
      <c r="L237" s="1047"/>
      <c r="M237" s="1047"/>
      <c r="N237" s="1047"/>
      <c r="O237" s="1047"/>
      <c r="P237" s="1047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047"/>
      <c r="AC237" s="1047"/>
      <c r="AD237" s="1047"/>
      <c r="AE237" s="1044"/>
      <c r="AF237" s="1044"/>
      <c r="AG237" s="1044"/>
      <c r="AH237" s="1044"/>
      <c r="AI237" s="1044"/>
      <c r="AJ237" s="1044"/>
      <c r="AK237" s="1044"/>
      <c r="AL237" s="1044"/>
      <c r="AM237" s="1044"/>
      <c r="AN237" s="1044"/>
      <c r="AO237" s="1044"/>
      <c r="AP237" s="1044"/>
      <c r="AQ237" s="1044"/>
      <c r="AR237" s="1044"/>
    </row>
    <row r="238" spans="1:44">
      <c r="A238" s="1044"/>
      <c r="B238" s="1044"/>
      <c r="C238" s="1044"/>
      <c r="D238" s="1221"/>
      <c r="E238" s="1044"/>
      <c r="F238" s="1044"/>
      <c r="G238" s="1044"/>
      <c r="H238" s="1044"/>
      <c r="I238" s="1044"/>
      <c r="J238" s="1047"/>
      <c r="K238" s="1047"/>
      <c r="L238" s="1047"/>
      <c r="M238" s="1047"/>
      <c r="N238" s="1047"/>
      <c r="O238" s="1047"/>
      <c r="P238" s="1047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047"/>
      <c r="AC238" s="1047"/>
      <c r="AD238" s="1047"/>
      <c r="AE238" s="1044"/>
      <c r="AF238" s="1044"/>
      <c r="AG238" s="1044"/>
      <c r="AH238" s="1044"/>
      <c r="AI238" s="1044"/>
      <c r="AJ238" s="1044"/>
      <c r="AK238" s="1044"/>
      <c r="AL238" s="1044"/>
      <c r="AM238" s="1044"/>
      <c r="AN238" s="1044"/>
      <c r="AO238" s="1044"/>
      <c r="AP238" s="1044"/>
      <c r="AQ238" s="1044"/>
      <c r="AR238" s="1044"/>
    </row>
    <row r="239" spans="1:44">
      <c r="A239" s="1044"/>
      <c r="B239" s="1044"/>
      <c r="C239" s="1044"/>
      <c r="D239" s="1221"/>
      <c r="E239" s="1044"/>
      <c r="F239" s="1044"/>
      <c r="G239" s="1044"/>
      <c r="H239" s="1044"/>
      <c r="I239" s="1044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4"/>
      <c r="AF239" s="1044"/>
      <c r="AG239" s="1044"/>
      <c r="AH239" s="1044"/>
      <c r="AI239" s="1044"/>
      <c r="AJ239" s="1044"/>
      <c r="AK239" s="1044"/>
      <c r="AL239" s="1044"/>
      <c r="AM239" s="1044"/>
      <c r="AN239" s="1044"/>
      <c r="AO239" s="1044"/>
      <c r="AP239" s="1044"/>
      <c r="AQ239" s="1044"/>
      <c r="AR239" s="1044"/>
    </row>
    <row r="240" spans="1:44">
      <c r="A240" s="1044"/>
      <c r="B240" s="1044"/>
      <c r="C240" s="1044"/>
      <c r="D240" s="1221"/>
      <c r="E240" s="1044"/>
      <c r="F240" s="1044"/>
      <c r="G240" s="1044"/>
      <c r="H240" s="1044"/>
      <c r="I240" s="1044"/>
      <c r="J240" s="1047"/>
      <c r="K240" s="1047"/>
      <c r="L240" s="1047"/>
      <c r="M240" s="1047"/>
      <c r="N240" s="1047"/>
      <c r="O240" s="1047"/>
      <c r="P240" s="1047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047"/>
      <c r="AC240" s="1047"/>
      <c r="AD240" s="1047"/>
      <c r="AE240" s="1044"/>
      <c r="AF240" s="1044"/>
      <c r="AG240" s="1044"/>
      <c r="AH240" s="1044"/>
      <c r="AI240" s="1044"/>
      <c r="AJ240" s="1044"/>
      <c r="AK240" s="1044"/>
      <c r="AL240" s="1044"/>
      <c r="AM240" s="1044"/>
      <c r="AN240" s="1044"/>
      <c r="AO240" s="1044"/>
      <c r="AP240" s="1044"/>
      <c r="AQ240" s="1044"/>
      <c r="AR240" s="1044"/>
    </row>
    <row r="241" spans="1:44">
      <c r="A241" s="1044"/>
      <c r="B241" s="1044"/>
      <c r="C241" s="1044"/>
      <c r="D241" s="1221"/>
      <c r="E241" s="1044"/>
      <c r="F241" s="1044"/>
      <c r="G241" s="1044"/>
      <c r="H241" s="1044"/>
      <c r="I241" s="1044"/>
      <c r="J241" s="1047"/>
      <c r="K241" s="1047"/>
      <c r="L241" s="1047"/>
      <c r="M241" s="1047"/>
      <c r="N241" s="1047"/>
      <c r="O241" s="1047"/>
      <c r="P241" s="1047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047"/>
      <c r="AC241" s="1047"/>
      <c r="AD241" s="1047"/>
      <c r="AE241" s="1044"/>
      <c r="AF241" s="1044"/>
      <c r="AG241" s="1044"/>
      <c r="AH241" s="1044"/>
      <c r="AI241" s="1044"/>
      <c r="AJ241" s="1044"/>
      <c r="AK241" s="1044"/>
      <c r="AL241" s="1044"/>
      <c r="AM241" s="1044"/>
      <c r="AN241" s="1044"/>
      <c r="AO241" s="1044"/>
      <c r="AP241" s="1044"/>
      <c r="AQ241" s="1044"/>
      <c r="AR241" s="1044"/>
    </row>
    <row r="242" spans="1:44">
      <c r="A242" s="1044"/>
      <c r="B242" s="1044"/>
      <c r="C242" s="1044"/>
      <c r="D242" s="1221"/>
      <c r="E242" s="1044"/>
      <c r="F242" s="1044"/>
      <c r="G242" s="1044"/>
      <c r="H242" s="1044"/>
      <c r="I242" s="1044"/>
      <c r="J242" s="1047"/>
      <c r="K242" s="1047"/>
      <c r="L242" s="1047"/>
      <c r="M242" s="1047"/>
      <c r="N242" s="1047"/>
      <c r="O242" s="1047"/>
      <c r="P242" s="1047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047"/>
      <c r="AC242" s="1047"/>
      <c r="AD242" s="1047"/>
      <c r="AE242" s="1044"/>
      <c r="AF242" s="1044"/>
      <c r="AG242" s="1044"/>
      <c r="AH242" s="1044"/>
      <c r="AI242" s="1044"/>
      <c r="AJ242" s="1044"/>
      <c r="AK242" s="1044"/>
      <c r="AL242" s="1044"/>
      <c r="AM242" s="1044"/>
      <c r="AN242" s="1044"/>
      <c r="AO242" s="1044"/>
      <c r="AP242" s="1044"/>
      <c r="AQ242" s="1044"/>
      <c r="AR242" s="1044"/>
    </row>
    <row r="243" spans="1:44">
      <c r="A243" s="1044"/>
      <c r="B243" s="1044"/>
      <c r="C243" s="1044"/>
      <c r="D243" s="1221"/>
      <c r="E243" s="1044"/>
      <c r="F243" s="1044"/>
      <c r="G243" s="1044"/>
      <c r="H243" s="1044"/>
      <c r="I243" s="1044"/>
      <c r="J243" s="1047"/>
      <c r="K243" s="1047"/>
      <c r="L243" s="1047"/>
      <c r="M243" s="1047"/>
      <c r="N243" s="1047"/>
      <c r="O243" s="1047"/>
      <c r="P243" s="1047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047"/>
      <c r="AC243" s="1047"/>
      <c r="AD243" s="1047"/>
      <c r="AE243" s="1044"/>
      <c r="AF243" s="1044"/>
      <c r="AG243" s="1044"/>
      <c r="AH243" s="1044"/>
      <c r="AI243" s="1044"/>
      <c r="AJ243" s="1044"/>
      <c r="AK243" s="1044"/>
      <c r="AL243" s="1044"/>
      <c r="AM243" s="1044"/>
      <c r="AN243" s="1044"/>
      <c r="AO243" s="1044"/>
      <c r="AP243" s="1044"/>
      <c r="AQ243" s="1044"/>
      <c r="AR243" s="1044"/>
    </row>
    <row r="244" spans="1:44">
      <c r="A244" s="1044"/>
      <c r="B244" s="1044"/>
      <c r="C244" s="1044"/>
      <c r="D244" s="1221"/>
      <c r="E244" s="1044"/>
      <c r="F244" s="1044"/>
      <c r="G244" s="1044"/>
      <c r="H244" s="1044"/>
      <c r="I244" s="1044"/>
      <c r="J244" s="1047"/>
      <c r="K244" s="1047"/>
      <c r="L244" s="1047"/>
      <c r="M244" s="1047"/>
      <c r="N244" s="1047"/>
      <c r="O244" s="1047"/>
      <c r="P244" s="1047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047"/>
      <c r="AC244" s="1047"/>
      <c r="AD244" s="1047"/>
      <c r="AE244" s="1044"/>
      <c r="AF244" s="1044"/>
      <c r="AG244" s="1044"/>
      <c r="AH244" s="1044"/>
      <c r="AI244" s="1044"/>
      <c r="AJ244" s="1044"/>
      <c r="AK244" s="1044"/>
      <c r="AL244" s="1044"/>
      <c r="AM244" s="1044"/>
      <c r="AN244" s="1044"/>
      <c r="AO244" s="1044"/>
      <c r="AP244" s="1044"/>
      <c r="AQ244" s="1044"/>
      <c r="AR244" s="1044"/>
    </row>
    <row r="245" spans="1:44">
      <c r="A245" s="1044"/>
      <c r="B245" s="1044"/>
      <c r="C245" s="1044"/>
      <c r="D245" s="1221"/>
      <c r="E245" s="1044"/>
      <c r="F245" s="1044"/>
      <c r="G245" s="1044"/>
      <c r="H245" s="1044"/>
      <c r="I245" s="1044"/>
      <c r="J245" s="1047"/>
      <c r="K245" s="1047"/>
      <c r="L245" s="1047"/>
      <c r="M245" s="1047"/>
      <c r="N245" s="1047"/>
      <c r="O245" s="1047"/>
      <c r="P245" s="1047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047"/>
      <c r="AC245" s="1047"/>
      <c r="AD245" s="1047"/>
      <c r="AE245" s="1044"/>
      <c r="AF245" s="1044"/>
      <c r="AG245" s="1044"/>
      <c r="AH245" s="1044"/>
      <c r="AI245" s="1044"/>
      <c r="AJ245" s="1044"/>
      <c r="AK245" s="1044"/>
      <c r="AL245" s="1044"/>
      <c r="AM245" s="1044"/>
      <c r="AN245" s="1044"/>
      <c r="AO245" s="1044"/>
      <c r="AP245" s="1044"/>
      <c r="AQ245" s="1044"/>
      <c r="AR245" s="1044"/>
    </row>
    <row r="246" spans="1:44">
      <c r="A246" s="1044"/>
      <c r="B246" s="1044"/>
      <c r="C246" s="1044"/>
      <c r="D246" s="1221"/>
      <c r="E246" s="1044"/>
      <c r="F246" s="1044"/>
      <c r="G246" s="1044"/>
      <c r="H246" s="1044"/>
      <c r="I246" s="1044"/>
      <c r="J246" s="1047"/>
      <c r="K246" s="1047"/>
      <c r="L246" s="1047"/>
      <c r="M246" s="1047"/>
      <c r="N246" s="1047"/>
      <c r="O246" s="1047"/>
      <c r="P246" s="1047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047"/>
      <c r="AC246" s="1047"/>
      <c r="AD246" s="1047"/>
      <c r="AE246" s="1044"/>
      <c r="AF246" s="1044"/>
      <c r="AG246" s="1044"/>
      <c r="AH246" s="1044"/>
      <c r="AI246" s="1044"/>
      <c r="AJ246" s="1044"/>
      <c r="AK246" s="1044"/>
      <c r="AL246" s="1044"/>
      <c r="AM246" s="1044"/>
      <c r="AN246" s="1044"/>
      <c r="AO246" s="1044"/>
      <c r="AP246" s="1044"/>
      <c r="AQ246" s="1044"/>
      <c r="AR246" s="1044"/>
    </row>
    <row r="247" spans="1:44">
      <c r="A247" s="1044"/>
      <c r="B247" s="1044"/>
      <c r="C247" s="1044"/>
      <c r="D247" s="1221"/>
      <c r="E247" s="1044"/>
      <c r="F247" s="1044"/>
      <c r="G247" s="1044"/>
      <c r="H247" s="1044"/>
      <c r="I247" s="1044"/>
      <c r="J247" s="1047"/>
      <c r="K247" s="1047"/>
      <c r="L247" s="1047"/>
      <c r="M247" s="1047"/>
      <c r="N247" s="1047"/>
      <c r="O247" s="1047"/>
      <c r="P247" s="1047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047"/>
      <c r="AC247" s="1047"/>
      <c r="AD247" s="1047"/>
      <c r="AE247" s="1044"/>
      <c r="AF247" s="1044"/>
      <c r="AG247" s="1044"/>
      <c r="AH247" s="1044"/>
      <c r="AI247" s="1044"/>
      <c r="AJ247" s="1044"/>
      <c r="AK247" s="1044"/>
      <c r="AL247" s="1044"/>
      <c r="AM247" s="1044"/>
      <c r="AN247" s="1044"/>
      <c r="AO247" s="1044"/>
      <c r="AP247" s="1044"/>
      <c r="AQ247" s="1044"/>
      <c r="AR247" s="1044"/>
    </row>
    <row r="248" spans="1:44">
      <c r="A248" s="1044"/>
      <c r="B248" s="1044"/>
      <c r="C248" s="1044"/>
      <c r="D248" s="1221"/>
      <c r="E248" s="1044"/>
      <c r="F248" s="1044"/>
      <c r="G248" s="1044"/>
      <c r="H248" s="1044"/>
      <c r="I248" s="1044"/>
      <c r="J248" s="1047"/>
      <c r="K248" s="1047"/>
      <c r="L248" s="1047"/>
      <c r="M248" s="1047"/>
      <c r="N248" s="1047"/>
      <c r="O248" s="1047"/>
      <c r="P248" s="1047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047"/>
      <c r="AC248" s="1047"/>
      <c r="AD248" s="1047"/>
      <c r="AE248" s="1044"/>
      <c r="AF248" s="1044"/>
      <c r="AG248" s="1044"/>
      <c r="AH248" s="1044"/>
      <c r="AI248" s="1044"/>
      <c r="AJ248" s="1044"/>
      <c r="AK248" s="1044"/>
      <c r="AL248" s="1044"/>
      <c r="AM248" s="1044"/>
      <c r="AN248" s="1044"/>
      <c r="AO248" s="1044"/>
      <c r="AP248" s="1044"/>
      <c r="AQ248" s="1044"/>
      <c r="AR248" s="1044"/>
    </row>
    <row r="249" spans="1:44">
      <c r="A249" s="1044"/>
      <c r="B249" s="1044"/>
      <c r="C249" s="1044"/>
      <c r="D249" s="1221"/>
      <c r="E249" s="1044"/>
      <c r="F249" s="1044"/>
      <c r="G249" s="1044"/>
      <c r="H249" s="1044"/>
      <c r="I249" s="1044"/>
      <c r="J249" s="1047"/>
      <c r="K249" s="1047"/>
      <c r="L249" s="1047"/>
      <c r="M249" s="1047"/>
      <c r="N249" s="1047"/>
      <c r="O249" s="1047"/>
      <c r="P249" s="1047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047"/>
      <c r="AC249" s="1047"/>
      <c r="AD249" s="1047"/>
      <c r="AE249" s="1044"/>
      <c r="AF249" s="1044"/>
      <c r="AG249" s="1044"/>
      <c r="AH249" s="1044"/>
      <c r="AI249" s="1044"/>
      <c r="AJ249" s="1044"/>
      <c r="AK249" s="1044"/>
      <c r="AL249" s="1044"/>
      <c r="AM249" s="1044"/>
      <c r="AN249" s="1044"/>
      <c r="AO249" s="1044"/>
      <c r="AP249" s="1044"/>
      <c r="AQ249" s="1044"/>
      <c r="AR249" s="1044"/>
    </row>
    <row r="250" spans="1:44">
      <c r="A250" s="1044"/>
      <c r="B250" s="1044"/>
      <c r="C250" s="1044"/>
      <c r="D250" s="1221"/>
      <c r="E250" s="1044"/>
      <c r="F250" s="1044"/>
      <c r="G250" s="1044"/>
      <c r="H250" s="1044"/>
      <c r="I250" s="1044"/>
      <c r="J250" s="1047"/>
      <c r="K250" s="1047"/>
      <c r="L250" s="1047"/>
      <c r="M250" s="1047"/>
      <c r="N250" s="1047"/>
      <c r="O250" s="1047"/>
      <c r="P250" s="1047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047"/>
      <c r="AC250" s="1047"/>
      <c r="AD250" s="1047"/>
      <c r="AE250" s="1044"/>
      <c r="AF250" s="1044"/>
      <c r="AG250" s="1044"/>
      <c r="AH250" s="1044"/>
      <c r="AI250" s="1044"/>
      <c r="AJ250" s="1044"/>
      <c r="AK250" s="1044"/>
      <c r="AL250" s="1044"/>
      <c r="AM250" s="1044"/>
      <c r="AN250" s="1044"/>
      <c r="AO250" s="1044"/>
      <c r="AP250" s="1044"/>
      <c r="AQ250" s="1044"/>
      <c r="AR250" s="1044"/>
    </row>
    <row r="251" spans="1:44">
      <c r="A251" s="1044"/>
      <c r="B251" s="1044"/>
      <c r="C251" s="1044"/>
      <c r="D251" s="1221"/>
      <c r="E251" s="1044"/>
      <c r="F251" s="1044"/>
      <c r="G251" s="1044"/>
      <c r="H251" s="1044"/>
      <c r="I251" s="1044"/>
      <c r="J251" s="1047"/>
      <c r="K251" s="1047"/>
      <c r="L251" s="1047"/>
      <c r="M251" s="1047"/>
      <c r="N251" s="1047"/>
      <c r="O251" s="1047"/>
      <c r="P251" s="1047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047"/>
      <c r="AC251" s="1047"/>
      <c r="AD251" s="1047"/>
      <c r="AE251" s="1044"/>
      <c r="AF251" s="1044"/>
      <c r="AG251" s="1044"/>
      <c r="AH251" s="1044"/>
      <c r="AI251" s="1044"/>
      <c r="AJ251" s="1044"/>
      <c r="AK251" s="1044"/>
      <c r="AL251" s="1044"/>
      <c r="AM251" s="1044"/>
      <c r="AN251" s="1044"/>
      <c r="AO251" s="1044"/>
      <c r="AP251" s="1044"/>
      <c r="AQ251" s="1044"/>
      <c r="AR251" s="1044"/>
    </row>
    <row r="252" spans="1:44">
      <c r="A252" s="1044"/>
      <c r="B252" s="1044"/>
      <c r="C252" s="1044"/>
      <c r="D252" s="1221"/>
      <c r="E252" s="1044"/>
      <c r="F252" s="1044"/>
      <c r="G252" s="1044"/>
      <c r="H252" s="1044"/>
      <c r="I252" s="1044"/>
      <c r="J252" s="1047"/>
      <c r="K252" s="1047"/>
      <c r="L252" s="1047"/>
      <c r="M252" s="1047"/>
      <c r="N252" s="1047"/>
      <c r="O252" s="1047"/>
      <c r="P252" s="1047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047"/>
      <c r="AC252" s="1047"/>
      <c r="AD252" s="1047"/>
      <c r="AE252" s="1044"/>
      <c r="AF252" s="1044"/>
      <c r="AG252" s="1044"/>
      <c r="AH252" s="1044"/>
      <c r="AI252" s="1044"/>
      <c r="AJ252" s="1044"/>
      <c r="AK252" s="1044"/>
      <c r="AL252" s="1044"/>
      <c r="AM252" s="1044"/>
      <c r="AN252" s="1044"/>
      <c r="AO252" s="1044"/>
      <c r="AP252" s="1044"/>
      <c r="AQ252" s="1044"/>
      <c r="AR252" s="1044"/>
    </row>
    <row r="253" spans="1:44">
      <c r="A253" s="1044"/>
      <c r="B253" s="1044"/>
      <c r="C253" s="1044"/>
      <c r="D253" s="1221"/>
      <c r="E253" s="1044"/>
      <c r="F253" s="1044"/>
      <c r="G253" s="1044"/>
      <c r="H253" s="1044"/>
      <c r="I253" s="1044"/>
      <c r="J253" s="1047"/>
      <c r="K253" s="1047"/>
      <c r="L253" s="1047"/>
      <c r="M253" s="1047"/>
      <c r="N253" s="1047"/>
      <c r="O253" s="1047"/>
      <c r="P253" s="1047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047"/>
      <c r="AC253" s="1047"/>
      <c r="AD253" s="1047"/>
      <c r="AE253" s="1044"/>
      <c r="AF253" s="1044"/>
      <c r="AG253" s="1044"/>
      <c r="AH253" s="1044"/>
      <c r="AI253" s="1044"/>
      <c r="AJ253" s="1044"/>
      <c r="AK253" s="1044"/>
      <c r="AL253" s="1044"/>
      <c r="AM253" s="1044"/>
      <c r="AN253" s="1044"/>
      <c r="AO253" s="1044"/>
      <c r="AP253" s="1044"/>
      <c r="AQ253" s="1044"/>
      <c r="AR253" s="1044"/>
    </row>
    <row r="254" spans="1:44">
      <c r="A254" s="1044"/>
      <c r="B254" s="1044"/>
      <c r="C254" s="1044"/>
      <c r="D254" s="1221"/>
      <c r="E254" s="1044"/>
      <c r="F254" s="1044"/>
      <c r="G254" s="1044"/>
      <c r="H254" s="1044"/>
      <c r="I254" s="1044"/>
      <c r="J254" s="1047"/>
      <c r="K254" s="1047"/>
      <c r="L254" s="1047"/>
      <c r="M254" s="1047"/>
      <c r="N254" s="1047"/>
      <c r="O254" s="1047"/>
      <c r="P254" s="1047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047"/>
      <c r="AC254" s="1047"/>
      <c r="AD254" s="1047"/>
      <c r="AE254" s="1044"/>
      <c r="AF254" s="1044"/>
      <c r="AG254" s="1044"/>
      <c r="AH254" s="1044"/>
      <c r="AI254" s="1044"/>
      <c r="AJ254" s="1044"/>
      <c r="AK254" s="1044"/>
      <c r="AL254" s="1044"/>
      <c r="AM254" s="1044"/>
      <c r="AN254" s="1044"/>
      <c r="AO254" s="1044"/>
      <c r="AP254" s="1044"/>
      <c r="AQ254" s="1044"/>
      <c r="AR254" s="1044"/>
    </row>
    <row r="255" spans="1:44">
      <c r="A255" s="1044"/>
      <c r="B255" s="1044"/>
      <c r="C255" s="1044"/>
      <c r="D255" s="1221"/>
      <c r="E255" s="1044"/>
      <c r="F255" s="1044"/>
      <c r="G255" s="1044"/>
      <c r="H255" s="1044"/>
      <c r="I255" s="1044"/>
      <c r="J255" s="1047"/>
      <c r="K255" s="1047"/>
      <c r="L255" s="1047"/>
      <c r="M255" s="1047"/>
      <c r="N255" s="1047"/>
      <c r="O255" s="1047"/>
      <c r="P255" s="1047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047"/>
      <c r="AC255" s="1047"/>
      <c r="AD255" s="1047"/>
      <c r="AE255" s="1044"/>
      <c r="AF255" s="1044"/>
      <c r="AG255" s="1044"/>
      <c r="AH255" s="1044"/>
      <c r="AI255" s="1044"/>
      <c r="AJ255" s="1044"/>
      <c r="AK255" s="1044"/>
      <c r="AL255" s="1044"/>
      <c r="AM255" s="1044"/>
      <c r="AN255" s="1044"/>
      <c r="AO255" s="1044"/>
      <c r="AP255" s="1044"/>
      <c r="AQ255" s="1044"/>
      <c r="AR255" s="1044"/>
    </row>
    <row r="256" spans="1:44">
      <c r="A256" s="1044"/>
      <c r="B256" s="1044"/>
      <c r="C256" s="1044"/>
      <c r="D256" s="1221"/>
      <c r="E256" s="1044"/>
      <c r="F256" s="1044"/>
      <c r="G256" s="1044"/>
      <c r="H256" s="1044"/>
      <c r="I256" s="1044"/>
      <c r="J256" s="1047"/>
      <c r="K256" s="1047"/>
      <c r="L256" s="1047"/>
      <c r="M256" s="1047"/>
      <c r="N256" s="1047"/>
      <c r="O256" s="1047"/>
      <c r="P256" s="1047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047"/>
      <c r="AC256" s="1047"/>
      <c r="AD256" s="1047"/>
      <c r="AE256" s="1044"/>
      <c r="AF256" s="1044"/>
      <c r="AG256" s="1044"/>
      <c r="AH256" s="1044"/>
      <c r="AI256" s="1044"/>
      <c r="AJ256" s="1044"/>
      <c r="AK256" s="1044"/>
      <c r="AL256" s="1044"/>
      <c r="AM256" s="1044"/>
      <c r="AN256" s="1044"/>
      <c r="AO256" s="1044"/>
      <c r="AP256" s="1044"/>
      <c r="AQ256" s="1044"/>
      <c r="AR256" s="1044"/>
    </row>
    <row r="257" spans="1:44">
      <c r="A257" s="1044"/>
      <c r="B257" s="1044"/>
      <c r="C257" s="1044"/>
      <c r="D257" s="1221"/>
      <c r="E257" s="1044"/>
      <c r="F257" s="1044"/>
      <c r="G257" s="1044"/>
      <c r="H257" s="1044"/>
      <c r="I257" s="1044"/>
      <c r="J257" s="1047"/>
      <c r="K257" s="1047"/>
      <c r="L257" s="1047"/>
      <c r="M257" s="1047"/>
      <c r="N257" s="1047"/>
      <c r="O257" s="1047"/>
      <c r="P257" s="1047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047"/>
      <c r="AC257" s="1047"/>
      <c r="AD257" s="1047"/>
      <c r="AE257" s="1044"/>
      <c r="AF257" s="1044"/>
      <c r="AG257" s="1044"/>
      <c r="AH257" s="1044"/>
      <c r="AI257" s="1044"/>
      <c r="AJ257" s="1044"/>
      <c r="AK257" s="1044"/>
      <c r="AL257" s="1044"/>
      <c r="AM257" s="1044"/>
      <c r="AN257" s="1044"/>
      <c r="AO257" s="1044"/>
      <c r="AP257" s="1044"/>
      <c r="AQ257" s="1044"/>
      <c r="AR257" s="1044"/>
    </row>
    <row r="258" spans="1:44">
      <c r="A258" s="1044"/>
      <c r="B258" s="1044"/>
      <c r="C258" s="1044"/>
      <c r="D258" s="1221"/>
      <c r="E258" s="1044"/>
      <c r="F258" s="1044"/>
      <c r="G258" s="1044"/>
      <c r="H258" s="1044"/>
      <c r="I258" s="1044"/>
      <c r="J258" s="1047"/>
      <c r="K258" s="1047"/>
      <c r="L258" s="1047"/>
      <c r="M258" s="1047"/>
      <c r="N258" s="1047"/>
      <c r="O258" s="1047"/>
      <c r="P258" s="1047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047"/>
      <c r="AC258" s="1047"/>
      <c r="AD258" s="1047"/>
      <c r="AE258" s="1044"/>
      <c r="AF258" s="1044"/>
      <c r="AG258" s="1044"/>
      <c r="AH258" s="1044"/>
      <c r="AI258" s="1044"/>
      <c r="AJ258" s="1044"/>
      <c r="AK258" s="1044"/>
      <c r="AL258" s="1044"/>
      <c r="AM258" s="1044"/>
      <c r="AN258" s="1044"/>
      <c r="AO258" s="1044"/>
      <c r="AP258" s="1044"/>
      <c r="AQ258" s="1044"/>
      <c r="AR258" s="1044"/>
    </row>
    <row r="259" spans="1:44">
      <c r="A259" s="1044"/>
      <c r="B259" s="1044"/>
      <c r="C259" s="1044"/>
      <c r="D259" s="1221"/>
      <c r="E259" s="1044"/>
      <c r="F259" s="1044"/>
      <c r="G259" s="1044"/>
      <c r="H259" s="1044"/>
      <c r="I259" s="1044"/>
      <c r="J259" s="1047"/>
      <c r="K259" s="1047"/>
      <c r="L259" s="1047"/>
      <c r="M259" s="1047"/>
      <c r="N259" s="1047"/>
      <c r="O259" s="1047"/>
      <c r="P259" s="1047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047"/>
      <c r="AC259" s="1047"/>
      <c r="AD259" s="1047"/>
      <c r="AE259" s="1044"/>
      <c r="AF259" s="1044"/>
      <c r="AG259" s="1044"/>
      <c r="AH259" s="1044"/>
      <c r="AI259" s="1044"/>
      <c r="AJ259" s="1044"/>
      <c r="AK259" s="1044"/>
      <c r="AL259" s="1044"/>
      <c r="AM259" s="1044"/>
      <c r="AN259" s="1044"/>
      <c r="AO259" s="1044"/>
      <c r="AP259" s="1044"/>
      <c r="AQ259" s="1044"/>
      <c r="AR259" s="1044"/>
    </row>
    <row r="260" spans="1:44">
      <c r="A260" s="1044"/>
      <c r="B260" s="1044"/>
      <c r="C260" s="1044"/>
      <c r="D260" s="1221"/>
      <c r="E260" s="1044"/>
      <c r="F260" s="1044"/>
      <c r="G260" s="1044"/>
      <c r="H260" s="1044"/>
      <c r="I260" s="1044"/>
      <c r="J260" s="1047"/>
      <c r="K260" s="1047"/>
      <c r="L260" s="1047"/>
      <c r="M260" s="1047"/>
      <c r="N260" s="1047"/>
      <c r="O260" s="1047"/>
      <c r="P260" s="1047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047"/>
      <c r="AC260" s="1047"/>
      <c r="AD260" s="1047"/>
      <c r="AE260" s="1044"/>
      <c r="AF260" s="1044"/>
      <c r="AG260" s="1044"/>
      <c r="AH260" s="1044"/>
      <c r="AI260" s="1044"/>
      <c r="AJ260" s="1044"/>
      <c r="AK260" s="1044"/>
      <c r="AL260" s="1044"/>
      <c r="AM260" s="1044"/>
      <c r="AN260" s="1044"/>
      <c r="AO260" s="1044"/>
      <c r="AP260" s="1044"/>
      <c r="AQ260" s="1044"/>
      <c r="AR260" s="1044"/>
    </row>
    <row r="261" spans="1:44">
      <c r="A261" s="1044"/>
      <c r="B261" s="1044"/>
      <c r="C261" s="1044"/>
      <c r="D261" s="1221"/>
      <c r="E261" s="1044"/>
      <c r="F261" s="1044"/>
      <c r="G261" s="1044"/>
      <c r="H261" s="1044"/>
      <c r="I261" s="1044"/>
      <c r="J261" s="1047"/>
      <c r="K261" s="1047"/>
      <c r="L261" s="1047"/>
      <c r="M261" s="1047"/>
      <c r="N261" s="1047"/>
      <c r="O261" s="1047"/>
      <c r="P261" s="1047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047"/>
      <c r="AC261" s="1047"/>
      <c r="AD261" s="1047"/>
      <c r="AE261" s="1044"/>
      <c r="AF261" s="1044"/>
      <c r="AG261" s="1044"/>
      <c r="AH261" s="1044"/>
      <c r="AI261" s="1044"/>
      <c r="AJ261" s="1044"/>
      <c r="AK261" s="1044"/>
      <c r="AL261" s="1044"/>
      <c r="AM261" s="1044"/>
      <c r="AN261" s="1044"/>
      <c r="AO261" s="1044"/>
      <c r="AP261" s="1044"/>
      <c r="AQ261" s="1044"/>
      <c r="AR261" s="1044"/>
    </row>
    <row r="262" spans="1:44">
      <c r="A262" s="1044"/>
      <c r="B262" s="1044"/>
      <c r="C262" s="1044"/>
      <c r="D262" s="1221"/>
      <c r="E262" s="1044"/>
      <c r="F262" s="1044"/>
      <c r="G262" s="1044"/>
      <c r="H262" s="1044"/>
      <c r="I262" s="1044"/>
      <c r="J262" s="1047"/>
      <c r="K262" s="1047"/>
      <c r="L262" s="1047"/>
      <c r="M262" s="1047"/>
      <c r="N262" s="1047"/>
      <c r="O262" s="1047"/>
      <c r="P262" s="1047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047"/>
      <c r="AC262" s="1047"/>
      <c r="AD262" s="1047"/>
      <c r="AE262" s="1044"/>
      <c r="AF262" s="1044"/>
      <c r="AG262" s="1044"/>
      <c r="AH262" s="1044"/>
      <c r="AI262" s="1044"/>
      <c r="AJ262" s="1044"/>
      <c r="AK262" s="1044"/>
      <c r="AL262" s="1044"/>
      <c r="AM262" s="1044"/>
      <c r="AN262" s="1044"/>
      <c r="AO262" s="1044"/>
      <c r="AP262" s="1044"/>
      <c r="AQ262" s="1044"/>
      <c r="AR262" s="1044"/>
    </row>
    <row r="263" spans="1:44">
      <c r="A263" s="1044"/>
      <c r="B263" s="1044"/>
      <c r="C263" s="1044"/>
      <c r="D263" s="1221"/>
      <c r="E263" s="1044"/>
      <c r="F263" s="1044"/>
      <c r="G263" s="1044"/>
      <c r="H263" s="1044"/>
      <c r="I263" s="1044"/>
      <c r="J263" s="1047"/>
      <c r="K263" s="1047"/>
      <c r="L263" s="1047"/>
      <c r="M263" s="1047"/>
      <c r="N263" s="1047"/>
      <c r="O263" s="1047"/>
      <c r="P263" s="1047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047"/>
      <c r="AC263" s="1047"/>
      <c r="AD263" s="1047"/>
      <c r="AE263" s="1044"/>
      <c r="AF263" s="1044"/>
      <c r="AG263" s="1044"/>
      <c r="AH263" s="1044"/>
      <c r="AI263" s="1044"/>
      <c r="AJ263" s="1044"/>
      <c r="AK263" s="1044"/>
      <c r="AL263" s="1044"/>
      <c r="AM263" s="1044"/>
      <c r="AN263" s="1044"/>
      <c r="AO263" s="1044"/>
      <c r="AP263" s="1044"/>
      <c r="AQ263" s="1044"/>
      <c r="AR263" s="1044"/>
    </row>
    <row r="264" spans="1:44">
      <c r="A264" s="1044"/>
      <c r="B264" s="1044"/>
      <c r="C264" s="1044"/>
      <c r="D264" s="1221"/>
      <c r="E264" s="1044"/>
      <c r="F264" s="1044"/>
      <c r="G264" s="1044"/>
      <c r="H264" s="1044"/>
      <c r="I264" s="1044"/>
      <c r="J264" s="1047"/>
      <c r="K264" s="1047"/>
      <c r="L264" s="1047"/>
      <c r="M264" s="1047"/>
      <c r="N264" s="1047"/>
      <c r="O264" s="1047"/>
      <c r="P264" s="1047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047"/>
      <c r="AC264" s="1047"/>
      <c r="AD264" s="1047"/>
      <c r="AE264" s="1044"/>
      <c r="AF264" s="1044"/>
      <c r="AG264" s="1044"/>
      <c r="AH264" s="1044"/>
      <c r="AI264" s="1044"/>
      <c r="AJ264" s="1044"/>
      <c r="AK264" s="1044"/>
      <c r="AL264" s="1044"/>
      <c r="AM264" s="1044"/>
      <c r="AN264" s="1044"/>
      <c r="AO264" s="1044"/>
      <c r="AP264" s="1044"/>
      <c r="AQ264" s="1044"/>
      <c r="AR264" s="1044"/>
    </row>
    <row r="265" spans="1:44">
      <c r="A265" s="1044"/>
      <c r="B265" s="1044"/>
      <c r="C265" s="1044"/>
      <c r="D265" s="1221"/>
      <c r="E265" s="1044"/>
      <c r="F265" s="1044"/>
      <c r="G265" s="1044"/>
      <c r="H265" s="1044"/>
      <c r="I265" s="1044"/>
      <c r="J265" s="1047"/>
      <c r="K265" s="1047"/>
      <c r="L265" s="1047"/>
      <c r="M265" s="1047"/>
      <c r="N265" s="1047"/>
      <c r="O265" s="1047"/>
      <c r="P265" s="1047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047"/>
      <c r="AC265" s="1047"/>
      <c r="AD265" s="1047"/>
      <c r="AE265" s="1044"/>
      <c r="AF265" s="1044"/>
      <c r="AG265" s="1044"/>
      <c r="AH265" s="1044"/>
      <c r="AI265" s="1044"/>
      <c r="AJ265" s="1044"/>
      <c r="AK265" s="1044"/>
      <c r="AL265" s="1044"/>
      <c r="AM265" s="1044"/>
      <c r="AN265" s="1044"/>
      <c r="AO265" s="1044"/>
      <c r="AP265" s="1044"/>
      <c r="AQ265" s="1044"/>
      <c r="AR265" s="1044"/>
    </row>
    <row r="266" spans="1:44">
      <c r="A266" s="1044"/>
      <c r="B266" s="1044"/>
      <c r="C266" s="1044"/>
      <c r="D266" s="1221"/>
      <c r="E266" s="1044"/>
      <c r="F266" s="1044"/>
      <c r="G266" s="1044"/>
      <c r="H266" s="1044"/>
      <c r="I266" s="1044"/>
      <c r="J266" s="1047"/>
      <c r="K266" s="1047"/>
      <c r="L266" s="1047"/>
      <c r="M266" s="1047"/>
      <c r="N266" s="1047"/>
      <c r="O266" s="1047"/>
      <c r="P266" s="1047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047"/>
      <c r="AC266" s="1047"/>
      <c r="AD266" s="1047"/>
      <c r="AE266" s="1044"/>
      <c r="AF266" s="1044"/>
      <c r="AG266" s="1044"/>
      <c r="AH266" s="1044"/>
      <c r="AI266" s="1044"/>
      <c r="AJ266" s="1044"/>
      <c r="AK266" s="1044"/>
      <c r="AL266" s="1044"/>
      <c r="AM266" s="1044"/>
      <c r="AN266" s="1044"/>
      <c r="AO266" s="1044"/>
      <c r="AP266" s="1044"/>
      <c r="AQ266" s="1044"/>
      <c r="AR266" s="1044"/>
    </row>
    <row r="267" spans="1:44">
      <c r="A267" s="1044"/>
      <c r="B267" s="1044"/>
      <c r="C267" s="1044"/>
      <c r="D267" s="1221"/>
      <c r="E267" s="1044"/>
      <c r="F267" s="1044"/>
      <c r="G267" s="1044"/>
      <c r="H267" s="1044"/>
      <c r="I267" s="1044"/>
      <c r="J267" s="1047"/>
      <c r="K267" s="1047"/>
      <c r="L267" s="1047"/>
      <c r="M267" s="1047"/>
      <c r="N267" s="1047"/>
      <c r="O267" s="1047"/>
      <c r="P267" s="1047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047"/>
      <c r="AC267" s="1047"/>
      <c r="AD267" s="1047"/>
      <c r="AE267" s="1044"/>
      <c r="AF267" s="1044"/>
      <c r="AG267" s="1044"/>
      <c r="AH267" s="1044"/>
      <c r="AI267" s="1044"/>
      <c r="AJ267" s="1044"/>
      <c r="AK267" s="1044"/>
      <c r="AL267" s="1044"/>
      <c r="AM267" s="1044"/>
      <c r="AN267" s="1044"/>
      <c r="AO267" s="1044"/>
      <c r="AP267" s="1044"/>
      <c r="AQ267" s="1044"/>
      <c r="AR267" s="1044"/>
    </row>
    <row r="268" spans="1:44">
      <c r="A268" s="1044"/>
      <c r="B268" s="1044"/>
      <c r="C268" s="1044"/>
      <c r="D268" s="1221"/>
      <c r="E268" s="1044"/>
      <c r="F268" s="1044"/>
      <c r="G268" s="1044"/>
      <c r="H268" s="1044"/>
      <c r="I268" s="1044"/>
      <c r="J268" s="1047"/>
      <c r="K268" s="1047"/>
      <c r="L268" s="1047"/>
      <c r="M268" s="1047"/>
      <c r="N268" s="1047"/>
      <c r="O268" s="1047"/>
      <c r="P268" s="1047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047"/>
      <c r="AC268" s="1047"/>
      <c r="AD268" s="1047"/>
      <c r="AE268" s="1044"/>
      <c r="AF268" s="1044"/>
      <c r="AG268" s="1044"/>
      <c r="AH268" s="1044"/>
      <c r="AI268" s="1044"/>
      <c r="AJ268" s="1044"/>
      <c r="AK268" s="1044"/>
      <c r="AL268" s="1044"/>
      <c r="AM268" s="1044"/>
      <c r="AN268" s="1044"/>
      <c r="AO268" s="1044"/>
      <c r="AP268" s="1044"/>
      <c r="AQ268" s="1044"/>
      <c r="AR268" s="1044"/>
    </row>
    <row r="269" spans="1:44">
      <c r="A269" s="1044"/>
      <c r="B269" s="1044"/>
      <c r="C269" s="1044"/>
      <c r="D269" s="1221"/>
      <c r="E269" s="1044"/>
      <c r="F269" s="1044"/>
      <c r="G269" s="1044"/>
      <c r="H269" s="1044"/>
      <c r="I269" s="1044"/>
      <c r="J269" s="1047"/>
      <c r="K269" s="1047"/>
      <c r="L269" s="1047"/>
      <c r="M269" s="1047"/>
      <c r="N269" s="1047"/>
      <c r="O269" s="1047"/>
      <c r="P269" s="1047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047"/>
      <c r="AC269" s="1047"/>
      <c r="AD269" s="1047"/>
      <c r="AE269" s="1044"/>
      <c r="AF269" s="1044"/>
      <c r="AG269" s="1044"/>
      <c r="AH269" s="1044"/>
      <c r="AI269" s="1044"/>
      <c r="AJ269" s="1044"/>
      <c r="AK269" s="1044"/>
      <c r="AL269" s="1044"/>
      <c r="AM269" s="1044"/>
      <c r="AN269" s="1044"/>
      <c r="AO269" s="1044"/>
      <c r="AP269" s="1044"/>
      <c r="AQ269" s="1044"/>
      <c r="AR269" s="1044"/>
    </row>
    <row r="270" spans="1:44">
      <c r="A270" s="1044"/>
      <c r="B270" s="1044"/>
      <c r="C270" s="1044"/>
      <c r="D270" s="1221"/>
      <c r="E270" s="1044"/>
      <c r="F270" s="1044"/>
      <c r="G270" s="1044"/>
      <c r="H270" s="1044"/>
      <c r="I270" s="1044"/>
      <c r="J270" s="1047"/>
      <c r="K270" s="1047"/>
      <c r="L270" s="1047"/>
      <c r="M270" s="1047"/>
      <c r="N270" s="1047"/>
      <c r="O270" s="1047"/>
      <c r="P270" s="1047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047"/>
      <c r="AC270" s="1047"/>
      <c r="AD270" s="1047"/>
      <c r="AE270" s="1044"/>
      <c r="AF270" s="1044"/>
      <c r="AG270" s="1044"/>
      <c r="AH270" s="1044"/>
      <c r="AI270" s="1044"/>
      <c r="AJ270" s="1044"/>
      <c r="AK270" s="1044"/>
      <c r="AL270" s="1044"/>
      <c r="AM270" s="1044"/>
      <c r="AN270" s="1044"/>
      <c r="AO270" s="1044"/>
      <c r="AP270" s="1044"/>
      <c r="AQ270" s="1044"/>
      <c r="AR270" s="1044"/>
    </row>
    <row r="271" spans="1:44">
      <c r="A271" s="1044"/>
      <c r="B271" s="1044"/>
      <c r="C271" s="1044"/>
      <c r="D271" s="1221"/>
      <c r="E271" s="1044"/>
      <c r="F271" s="1044"/>
      <c r="G271" s="1044"/>
      <c r="H271" s="1044"/>
      <c r="I271" s="1044"/>
      <c r="J271" s="1047"/>
      <c r="K271" s="1047"/>
      <c r="L271" s="1047"/>
      <c r="M271" s="1047"/>
      <c r="N271" s="1047"/>
      <c r="O271" s="1047"/>
      <c r="P271" s="1047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047"/>
      <c r="AC271" s="1047"/>
      <c r="AD271" s="1047"/>
      <c r="AE271" s="1044"/>
      <c r="AF271" s="1044"/>
      <c r="AG271" s="1044"/>
      <c r="AH271" s="1044"/>
      <c r="AI271" s="1044"/>
      <c r="AJ271" s="1044"/>
      <c r="AK271" s="1044"/>
      <c r="AL271" s="1044"/>
      <c r="AM271" s="1044"/>
      <c r="AN271" s="1044"/>
      <c r="AO271" s="1044"/>
      <c r="AP271" s="1044"/>
      <c r="AQ271" s="1044"/>
      <c r="AR271" s="1044"/>
    </row>
    <row r="272" spans="1:44">
      <c r="A272" s="1044"/>
      <c r="B272" s="1044"/>
      <c r="C272" s="1044"/>
      <c r="D272" s="1221"/>
      <c r="E272" s="1044"/>
      <c r="F272" s="1044"/>
      <c r="G272" s="1044"/>
      <c r="H272" s="1044"/>
      <c r="I272" s="1044"/>
      <c r="J272" s="1047"/>
      <c r="K272" s="1047"/>
      <c r="L272" s="1047"/>
      <c r="M272" s="1047"/>
      <c r="N272" s="1047"/>
      <c r="O272" s="1047"/>
      <c r="P272" s="1047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047"/>
      <c r="AC272" s="1047"/>
      <c r="AD272" s="1047"/>
      <c r="AE272" s="1044"/>
      <c r="AF272" s="1044"/>
      <c r="AG272" s="1044"/>
      <c r="AH272" s="1044"/>
      <c r="AI272" s="1044"/>
      <c r="AJ272" s="1044"/>
      <c r="AK272" s="1044"/>
      <c r="AL272" s="1044"/>
      <c r="AM272" s="1044"/>
      <c r="AN272" s="1044"/>
      <c r="AO272" s="1044"/>
      <c r="AP272" s="1044"/>
      <c r="AQ272" s="1044"/>
      <c r="AR272" s="1044"/>
    </row>
    <row r="273" spans="1:44">
      <c r="A273" s="1044"/>
      <c r="B273" s="1044"/>
      <c r="C273" s="1044"/>
      <c r="D273" s="1221"/>
      <c r="E273" s="1044"/>
      <c r="F273" s="1044"/>
      <c r="G273" s="1044"/>
      <c r="H273" s="1044"/>
      <c r="I273" s="1044"/>
      <c r="J273" s="1047"/>
      <c r="K273" s="1047"/>
      <c r="L273" s="1047"/>
      <c r="M273" s="1047"/>
      <c r="N273" s="1047"/>
      <c r="O273" s="1047"/>
      <c r="P273" s="1047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047"/>
      <c r="AC273" s="1047"/>
      <c r="AD273" s="1047"/>
      <c r="AE273" s="1044"/>
      <c r="AF273" s="1044"/>
      <c r="AG273" s="1044"/>
      <c r="AH273" s="1044"/>
      <c r="AI273" s="1044"/>
      <c r="AJ273" s="1044"/>
      <c r="AK273" s="1044"/>
      <c r="AL273" s="1044"/>
      <c r="AM273" s="1044"/>
      <c r="AN273" s="1044"/>
      <c r="AO273" s="1044"/>
      <c r="AP273" s="1044"/>
      <c r="AQ273" s="1044"/>
      <c r="AR273" s="1044"/>
    </row>
    <row r="274" spans="1:44">
      <c r="A274" s="1044"/>
      <c r="B274" s="1044"/>
      <c r="C274" s="1044"/>
      <c r="D274" s="1221"/>
      <c r="E274" s="1044"/>
      <c r="F274" s="1044"/>
      <c r="G274" s="1044"/>
      <c r="H274" s="1044"/>
      <c r="I274" s="1044"/>
      <c r="J274" s="1047"/>
      <c r="K274" s="1047"/>
      <c r="L274" s="1047"/>
      <c r="M274" s="1047"/>
      <c r="N274" s="1047"/>
      <c r="O274" s="1047"/>
      <c r="P274" s="1047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047"/>
      <c r="AC274" s="1047"/>
      <c r="AD274" s="1047"/>
      <c r="AE274" s="1044"/>
      <c r="AF274" s="1044"/>
      <c r="AG274" s="1044"/>
      <c r="AH274" s="1044"/>
      <c r="AI274" s="1044"/>
      <c r="AJ274" s="1044"/>
      <c r="AK274" s="1044"/>
      <c r="AL274" s="1044"/>
      <c r="AM274" s="1044"/>
      <c r="AN274" s="1044"/>
      <c r="AO274" s="1044"/>
      <c r="AP274" s="1044"/>
      <c r="AQ274" s="1044"/>
      <c r="AR274" s="1044"/>
    </row>
    <row r="275" spans="1:44">
      <c r="A275" s="1044"/>
      <c r="B275" s="1044"/>
      <c r="C275" s="1044"/>
      <c r="D275" s="1221"/>
      <c r="E275" s="1044"/>
      <c r="F275" s="1044"/>
      <c r="G275" s="1044"/>
      <c r="H275" s="1044"/>
      <c r="I275" s="1044"/>
      <c r="J275" s="1047"/>
      <c r="K275" s="1047"/>
      <c r="L275" s="1047"/>
      <c r="M275" s="1047"/>
      <c r="N275" s="1047"/>
      <c r="O275" s="1047"/>
      <c r="P275" s="1047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047"/>
      <c r="AC275" s="1047"/>
      <c r="AD275" s="1047"/>
      <c r="AE275" s="1044"/>
      <c r="AF275" s="1044"/>
      <c r="AG275" s="1044"/>
      <c r="AH275" s="1044"/>
      <c r="AI275" s="1044"/>
      <c r="AJ275" s="1044"/>
      <c r="AK275" s="1044"/>
      <c r="AL275" s="1044"/>
      <c r="AM275" s="1044"/>
      <c r="AN275" s="1044"/>
      <c r="AO275" s="1044"/>
      <c r="AP275" s="1044"/>
      <c r="AQ275" s="1044"/>
      <c r="AR275" s="1044"/>
    </row>
    <row r="276" spans="1:44">
      <c r="A276" s="1044"/>
      <c r="B276" s="1044"/>
      <c r="C276" s="1044"/>
      <c r="D276" s="1221"/>
      <c r="E276" s="1044"/>
      <c r="F276" s="1044"/>
      <c r="G276" s="1044"/>
      <c r="H276" s="1044"/>
      <c r="I276" s="1044"/>
      <c r="J276" s="1047"/>
      <c r="K276" s="1047"/>
      <c r="L276" s="1047"/>
      <c r="M276" s="1047"/>
      <c r="N276" s="1047"/>
      <c r="O276" s="1047"/>
      <c r="P276" s="1047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047"/>
      <c r="AC276" s="1047"/>
      <c r="AD276" s="1047"/>
      <c r="AE276" s="1044"/>
      <c r="AF276" s="1044"/>
      <c r="AG276" s="1044"/>
      <c r="AH276" s="1044"/>
      <c r="AI276" s="1044"/>
      <c r="AJ276" s="1044"/>
      <c r="AK276" s="1044"/>
      <c r="AL276" s="1044"/>
      <c r="AM276" s="1044"/>
      <c r="AN276" s="1044"/>
      <c r="AO276" s="1044"/>
      <c r="AP276" s="1044"/>
      <c r="AQ276" s="1044"/>
      <c r="AR276" s="1044"/>
    </row>
    <row r="277" spans="1:44">
      <c r="A277" s="1044"/>
      <c r="B277" s="1044"/>
      <c r="C277" s="1044"/>
      <c r="D277" s="1221"/>
      <c r="E277" s="1044"/>
      <c r="F277" s="1044"/>
      <c r="G277" s="1044"/>
      <c r="H277" s="1044"/>
      <c r="I277" s="1044"/>
      <c r="J277" s="1047"/>
      <c r="K277" s="1047"/>
      <c r="L277" s="1047"/>
      <c r="M277" s="1047"/>
      <c r="N277" s="1047"/>
      <c r="O277" s="1047"/>
      <c r="P277" s="1047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047"/>
      <c r="AC277" s="1047"/>
      <c r="AD277" s="1047"/>
      <c r="AE277" s="1044"/>
      <c r="AF277" s="1044"/>
      <c r="AG277" s="1044"/>
      <c r="AH277" s="1044"/>
      <c r="AI277" s="1044"/>
      <c r="AJ277" s="1044"/>
      <c r="AK277" s="1044"/>
      <c r="AL277" s="1044"/>
      <c r="AM277" s="1044"/>
      <c r="AN277" s="1044"/>
      <c r="AO277" s="1044"/>
      <c r="AP277" s="1044"/>
      <c r="AQ277" s="1044"/>
      <c r="AR277" s="1044"/>
    </row>
    <row r="278" spans="1:44">
      <c r="A278" s="1044"/>
      <c r="B278" s="1044"/>
      <c r="C278" s="1044"/>
      <c r="D278" s="1221"/>
      <c r="E278" s="1044"/>
      <c r="F278" s="1044"/>
      <c r="G278" s="1044"/>
      <c r="H278" s="1044"/>
      <c r="I278" s="1044"/>
      <c r="J278" s="1047"/>
      <c r="K278" s="1047"/>
      <c r="L278" s="1047"/>
      <c r="M278" s="1047"/>
      <c r="N278" s="1047"/>
      <c r="O278" s="1047"/>
      <c r="P278" s="1047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047"/>
      <c r="AC278" s="1047"/>
      <c r="AD278" s="1047"/>
      <c r="AE278" s="1044"/>
      <c r="AF278" s="1044"/>
      <c r="AG278" s="1044"/>
      <c r="AH278" s="1044"/>
      <c r="AI278" s="1044"/>
      <c r="AJ278" s="1044"/>
      <c r="AK278" s="1044"/>
      <c r="AL278" s="1044"/>
      <c r="AM278" s="1044"/>
      <c r="AN278" s="1044"/>
      <c r="AO278" s="1044"/>
      <c r="AP278" s="1044"/>
      <c r="AQ278" s="1044"/>
      <c r="AR278" s="1044"/>
    </row>
    <row r="279" spans="1:44">
      <c r="A279" s="1044"/>
      <c r="B279" s="1044"/>
      <c r="C279" s="1044"/>
      <c r="D279" s="1221"/>
      <c r="E279" s="1044"/>
      <c r="F279" s="1044"/>
      <c r="G279" s="1044"/>
      <c r="H279" s="1044"/>
      <c r="I279" s="1044"/>
      <c r="J279" s="1047"/>
      <c r="K279" s="1047"/>
      <c r="L279" s="1047"/>
      <c r="M279" s="1047"/>
      <c r="N279" s="1047"/>
      <c r="O279" s="1047"/>
      <c r="P279" s="1047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047"/>
      <c r="AC279" s="1047"/>
      <c r="AD279" s="1047"/>
      <c r="AE279" s="1044"/>
      <c r="AF279" s="1044"/>
      <c r="AG279" s="1044"/>
      <c r="AH279" s="1044"/>
      <c r="AI279" s="1044"/>
      <c r="AJ279" s="1044"/>
      <c r="AK279" s="1044"/>
      <c r="AL279" s="1044"/>
      <c r="AM279" s="1044"/>
      <c r="AN279" s="1044"/>
      <c r="AO279" s="1044"/>
      <c r="AP279" s="1044"/>
      <c r="AQ279" s="1044"/>
      <c r="AR279" s="1044"/>
    </row>
    <row r="280" spans="1:44">
      <c r="A280" s="1044"/>
      <c r="B280" s="1044"/>
      <c r="C280" s="1044"/>
      <c r="D280" s="1221"/>
      <c r="E280" s="1044"/>
      <c r="F280" s="1044"/>
      <c r="G280" s="1044"/>
      <c r="H280" s="1044"/>
      <c r="I280" s="1044"/>
      <c r="J280" s="1047"/>
      <c r="K280" s="1047"/>
      <c r="L280" s="1047"/>
      <c r="M280" s="1047"/>
      <c r="N280" s="1047"/>
      <c r="O280" s="1047"/>
      <c r="P280" s="1047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047"/>
      <c r="AC280" s="1047"/>
      <c r="AD280" s="1047"/>
      <c r="AE280" s="1044"/>
      <c r="AF280" s="1044"/>
      <c r="AG280" s="1044"/>
      <c r="AH280" s="1044"/>
      <c r="AI280" s="1044"/>
      <c r="AJ280" s="1044"/>
      <c r="AK280" s="1044"/>
      <c r="AL280" s="1044"/>
      <c r="AM280" s="1044"/>
      <c r="AN280" s="1044"/>
      <c r="AO280" s="1044"/>
      <c r="AP280" s="1044"/>
      <c r="AQ280" s="1044"/>
      <c r="AR280" s="1044"/>
    </row>
    <row r="281" spans="1:44">
      <c r="A281" s="1044"/>
      <c r="B281" s="1044"/>
      <c r="C281" s="1044"/>
      <c r="D281" s="1221"/>
      <c r="E281" s="1044"/>
      <c r="F281" s="1044"/>
      <c r="G281" s="1044"/>
      <c r="H281" s="1044"/>
      <c r="I281" s="1044"/>
      <c r="J281" s="1047"/>
      <c r="K281" s="1047"/>
      <c r="L281" s="1047"/>
      <c r="M281" s="1047"/>
      <c r="N281" s="1047"/>
      <c r="O281" s="1047"/>
      <c r="P281" s="1047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047"/>
      <c r="AC281" s="1047"/>
      <c r="AD281" s="1047"/>
      <c r="AE281" s="1044"/>
      <c r="AF281" s="1044"/>
      <c r="AG281" s="1044"/>
      <c r="AH281" s="1044"/>
      <c r="AI281" s="1044"/>
      <c r="AJ281" s="1044"/>
      <c r="AK281" s="1044"/>
      <c r="AL281" s="1044"/>
      <c r="AM281" s="1044"/>
      <c r="AN281" s="1044"/>
      <c r="AO281" s="1044"/>
      <c r="AP281" s="1044"/>
      <c r="AQ281" s="1044"/>
      <c r="AR281" s="1044"/>
    </row>
    <row r="282" spans="1:44">
      <c r="A282" s="1044"/>
      <c r="B282" s="1044"/>
      <c r="C282" s="1044"/>
      <c r="D282" s="1221"/>
      <c r="E282" s="1044"/>
      <c r="F282" s="1044"/>
      <c r="G282" s="1044"/>
      <c r="H282" s="1044"/>
      <c r="I282" s="1044"/>
      <c r="J282" s="1047"/>
      <c r="K282" s="1047"/>
      <c r="L282" s="1047"/>
      <c r="M282" s="1047"/>
      <c r="N282" s="1047"/>
      <c r="O282" s="1047"/>
      <c r="P282" s="1047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047"/>
      <c r="AC282" s="1047"/>
      <c r="AD282" s="1047"/>
      <c r="AE282" s="1044"/>
      <c r="AF282" s="1044"/>
      <c r="AG282" s="1044"/>
      <c r="AH282" s="1044"/>
      <c r="AI282" s="1044"/>
      <c r="AJ282" s="1044"/>
      <c r="AK282" s="1044"/>
      <c r="AL282" s="1044"/>
      <c r="AM282" s="1044"/>
      <c r="AN282" s="1044"/>
      <c r="AO282" s="1044"/>
      <c r="AP282" s="1044"/>
      <c r="AQ282" s="1044"/>
      <c r="AR282" s="1044"/>
    </row>
    <row r="283" spans="1:44">
      <c r="A283" s="1044"/>
      <c r="B283" s="1044"/>
      <c r="C283" s="1044"/>
      <c r="D283" s="1221"/>
      <c r="E283" s="1044"/>
      <c r="F283" s="1044"/>
      <c r="G283" s="1044"/>
      <c r="H283" s="1044"/>
      <c r="I283" s="1044"/>
      <c r="J283" s="1047"/>
      <c r="K283" s="1047"/>
      <c r="L283" s="1047"/>
      <c r="M283" s="1047"/>
      <c r="N283" s="1047"/>
      <c r="O283" s="1047"/>
      <c r="P283" s="1047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047"/>
      <c r="AC283" s="1047"/>
      <c r="AD283" s="1047"/>
      <c r="AE283" s="1044"/>
      <c r="AF283" s="1044"/>
      <c r="AG283" s="1044"/>
      <c r="AH283" s="1044"/>
      <c r="AI283" s="1044"/>
      <c r="AJ283" s="1044"/>
      <c r="AK283" s="1044"/>
      <c r="AL283" s="1044"/>
      <c r="AM283" s="1044"/>
      <c r="AN283" s="1044"/>
      <c r="AO283" s="1044"/>
      <c r="AP283" s="1044"/>
      <c r="AQ283" s="1044"/>
      <c r="AR283" s="1044"/>
    </row>
    <row r="284" spans="1:44">
      <c r="A284" s="1044"/>
      <c r="B284" s="1044"/>
      <c r="C284" s="1044"/>
      <c r="D284" s="1221"/>
      <c r="E284" s="1044"/>
      <c r="F284" s="1044"/>
      <c r="G284" s="1044"/>
      <c r="H284" s="1044"/>
      <c r="I284" s="1044"/>
      <c r="J284" s="1047"/>
      <c r="K284" s="1047"/>
      <c r="L284" s="1047"/>
      <c r="M284" s="1047"/>
      <c r="N284" s="1047"/>
      <c r="O284" s="1047"/>
      <c r="P284" s="1047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047"/>
      <c r="AC284" s="1047"/>
      <c r="AD284" s="1047"/>
      <c r="AE284" s="1044"/>
      <c r="AF284" s="1044"/>
      <c r="AG284" s="1044"/>
      <c r="AH284" s="1044"/>
      <c r="AI284" s="1044"/>
      <c r="AJ284" s="1044"/>
      <c r="AK284" s="1044"/>
      <c r="AL284" s="1044"/>
      <c r="AM284" s="1044"/>
      <c r="AN284" s="1044"/>
      <c r="AO284" s="1044"/>
      <c r="AP284" s="1044"/>
      <c r="AQ284" s="1044"/>
      <c r="AR284" s="1044"/>
    </row>
    <row r="285" spans="1:44">
      <c r="A285" s="1044"/>
      <c r="B285" s="1044"/>
      <c r="C285" s="1044"/>
      <c r="D285" s="1221"/>
      <c r="E285" s="1044"/>
      <c r="F285" s="1044"/>
      <c r="G285" s="1044"/>
      <c r="H285" s="1044"/>
      <c r="I285" s="1044"/>
      <c r="J285" s="1047"/>
      <c r="K285" s="1047"/>
      <c r="L285" s="1047"/>
      <c r="M285" s="1047"/>
      <c r="N285" s="1047"/>
      <c r="O285" s="1047"/>
      <c r="P285" s="1047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047"/>
      <c r="AC285" s="1047"/>
      <c r="AD285" s="1047"/>
      <c r="AE285" s="1044"/>
      <c r="AF285" s="1044"/>
      <c r="AG285" s="1044"/>
      <c r="AH285" s="1044"/>
      <c r="AI285" s="1044"/>
      <c r="AJ285" s="1044"/>
      <c r="AK285" s="1044"/>
      <c r="AL285" s="1044"/>
      <c r="AM285" s="1044"/>
      <c r="AN285" s="1044"/>
      <c r="AO285" s="1044"/>
      <c r="AP285" s="1044"/>
      <c r="AQ285" s="1044"/>
      <c r="AR285" s="1044"/>
    </row>
    <row r="286" spans="1:44">
      <c r="A286" s="1044"/>
      <c r="B286" s="1044"/>
      <c r="C286" s="1044"/>
      <c r="D286" s="1221"/>
      <c r="E286" s="1044"/>
      <c r="F286" s="1044"/>
      <c r="G286" s="1044"/>
      <c r="H286" s="1044"/>
      <c r="I286" s="1044"/>
      <c r="J286" s="1047"/>
      <c r="K286" s="1047"/>
      <c r="L286" s="1047"/>
      <c r="M286" s="1047"/>
      <c r="N286" s="1047"/>
      <c r="O286" s="1047"/>
      <c r="P286" s="1047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047"/>
      <c r="AC286" s="1047"/>
      <c r="AD286" s="1047"/>
      <c r="AE286" s="1044"/>
      <c r="AF286" s="1044"/>
      <c r="AG286" s="1044"/>
      <c r="AH286" s="1044"/>
      <c r="AI286" s="1044"/>
      <c r="AJ286" s="1044"/>
      <c r="AK286" s="1044"/>
      <c r="AL286" s="1044"/>
      <c r="AM286" s="1044"/>
      <c r="AN286" s="1044"/>
      <c r="AO286" s="1044"/>
      <c r="AP286" s="1044"/>
      <c r="AQ286" s="1044"/>
      <c r="AR286" s="1044"/>
    </row>
    <row r="287" spans="1:44">
      <c r="A287" s="1044"/>
      <c r="B287" s="1044"/>
      <c r="C287" s="1044"/>
      <c r="D287" s="1221"/>
      <c r="E287" s="1044"/>
      <c r="F287" s="1044"/>
      <c r="G287" s="1044"/>
      <c r="H287" s="1044"/>
      <c r="I287" s="1044"/>
      <c r="J287" s="1047"/>
      <c r="K287" s="1047"/>
      <c r="L287" s="1047"/>
      <c r="M287" s="1047"/>
      <c r="N287" s="1047"/>
      <c r="O287" s="1047"/>
      <c r="P287" s="1047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047"/>
      <c r="AC287" s="1047"/>
      <c r="AD287" s="1047"/>
      <c r="AE287" s="1044"/>
      <c r="AF287" s="1044"/>
      <c r="AG287" s="1044"/>
      <c r="AH287" s="1044"/>
      <c r="AI287" s="1044"/>
      <c r="AJ287" s="1044"/>
      <c r="AK287" s="1044"/>
      <c r="AL287" s="1044"/>
      <c r="AM287" s="1044"/>
      <c r="AN287" s="1044"/>
      <c r="AO287" s="1044"/>
      <c r="AP287" s="1044"/>
      <c r="AQ287" s="1044"/>
      <c r="AR287" s="1044"/>
    </row>
    <row r="288" spans="1:44">
      <c r="A288" s="1044"/>
      <c r="B288" s="1044"/>
      <c r="C288" s="1044"/>
      <c r="D288" s="1221"/>
      <c r="E288" s="1044"/>
      <c r="F288" s="1044"/>
      <c r="G288" s="1044"/>
      <c r="H288" s="1044"/>
      <c r="I288" s="1044"/>
      <c r="J288" s="1047"/>
      <c r="K288" s="1047"/>
      <c r="L288" s="1047"/>
      <c r="M288" s="1047"/>
      <c r="N288" s="1047"/>
      <c r="O288" s="1047"/>
      <c r="P288" s="1047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047"/>
      <c r="AC288" s="1047"/>
      <c r="AD288" s="1047"/>
      <c r="AE288" s="1044"/>
      <c r="AF288" s="1044"/>
      <c r="AG288" s="1044"/>
      <c r="AH288" s="1044"/>
      <c r="AI288" s="1044"/>
      <c r="AJ288" s="1044"/>
      <c r="AK288" s="1044"/>
      <c r="AL288" s="1044"/>
      <c r="AM288" s="1044"/>
      <c r="AN288" s="1044"/>
      <c r="AO288" s="1044"/>
      <c r="AP288" s="1044"/>
      <c r="AQ288" s="1044"/>
      <c r="AR288" s="1044"/>
    </row>
    <row r="289" spans="1:44">
      <c r="A289" s="1044"/>
      <c r="B289" s="1044"/>
      <c r="C289" s="1044"/>
      <c r="D289" s="1221"/>
      <c r="E289" s="1044"/>
      <c r="F289" s="1044"/>
      <c r="G289" s="1044"/>
      <c r="H289" s="1044"/>
      <c r="I289" s="1044"/>
      <c r="J289" s="1047"/>
      <c r="K289" s="1047"/>
      <c r="L289" s="1047"/>
      <c r="M289" s="1047"/>
      <c r="N289" s="1047"/>
      <c r="O289" s="1047"/>
      <c r="P289" s="1047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047"/>
      <c r="AC289" s="1047"/>
      <c r="AD289" s="1047"/>
      <c r="AE289" s="1044"/>
      <c r="AF289" s="1044"/>
      <c r="AG289" s="1044"/>
      <c r="AH289" s="1044"/>
      <c r="AI289" s="1044"/>
      <c r="AJ289" s="1044"/>
      <c r="AK289" s="1044"/>
      <c r="AL289" s="1044"/>
      <c r="AM289" s="1044"/>
      <c r="AN289" s="1044"/>
      <c r="AO289" s="1044"/>
      <c r="AP289" s="1044"/>
      <c r="AQ289" s="1044"/>
      <c r="AR289" s="1044"/>
    </row>
    <row r="290" spans="1:44">
      <c r="A290" s="1044"/>
      <c r="B290" s="1044"/>
      <c r="C290" s="1044"/>
      <c r="D290" s="1221"/>
      <c r="E290" s="1044"/>
      <c r="F290" s="1044"/>
      <c r="G290" s="1044"/>
      <c r="H290" s="1044"/>
      <c r="I290" s="1044"/>
      <c r="J290" s="1047"/>
      <c r="K290" s="1047"/>
      <c r="L290" s="1047"/>
      <c r="M290" s="1047"/>
      <c r="N290" s="1047"/>
      <c r="O290" s="1047"/>
      <c r="P290" s="1047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047"/>
      <c r="AC290" s="1047"/>
      <c r="AD290" s="1047"/>
      <c r="AE290" s="1044"/>
      <c r="AF290" s="1044"/>
      <c r="AG290" s="1044"/>
      <c r="AH290" s="1044"/>
      <c r="AI290" s="1044"/>
      <c r="AJ290" s="1044"/>
      <c r="AK290" s="1044"/>
      <c r="AL290" s="1044"/>
      <c r="AM290" s="1044"/>
      <c r="AN290" s="1044"/>
      <c r="AO290" s="1044"/>
      <c r="AP290" s="1044"/>
      <c r="AQ290" s="1044"/>
      <c r="AR290" s="1044"/>
    </row>
    <row r="291" spans="1:44">
      <c r="A291" s="1044"/>
      <c r="B291" s="1044"/>
      <c r="C291" s="1044"/>
      <c r="D291" s="1221"/>
      <c r="E291" s="1044"/>
      <c r="F291" s="1044"/>
      <c r="G291" s="1044"/>
      <c r="H291" s="1044"/>
      <c r="I291" s="1044"/>
      <c r="J291" s="1047"/>
      <c r="K291" s="1047"/>
      <c r="L291" s="1047"/>
      <c r="M291" s="1047"/>
      <c r="N291" s="1047"/>
      <c r="O291" s="1047"/>
      <c r="P291" s="1047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047"/>
      <c r="AC291" s="1047"/>
      <c r="AD291" s="1047"/>
      <c r="AE291" s="1044"/>
      <c r="AF291" s="1044"/>
      <c r="AG291" s="1044"/>
      <c r="AH291" s="1044"/>
      <c r="AI291" s="1044"/>
      <c r="AJ291" s="1044"/>
      <c r="AK291" s="1044"/>
      <c r="AL291" s="1044"/>
      <c r="AM291" s="1044"/>
      <c r="AN291" s="1044"/>
      <c r="AO291" s="1044"/>
      <c r="AP291" s="1044"/>
      <c r="AQ291" s="1044"/>
      <c r="AR291" s="1044"/>
    </row>
    <row r="292" spans="1:44">
      <c r="A292" s="1044"/>
      <c r="B292" s="1044"/>
      <c r="C292" s="1044"/>
      <c r="D292" s="1221"/>
      <c r="E292" s="1044"/>
      <c r="F292" s="1044"/>
      <c r="G292" s="1044"/>
      <c r="H292" s="1044"/>
      <c r="I292" s="1044"/>
      <c r="J292" s="1047"/>
      <c r="K292" s="1047"/>
      <c r="L292" s="1047"/>
      <c r="M292" s="1047"/>
      <c r="N292" s="1047"/>
      <c r="O292" s="1047"/>
      <c r="P292" s="1047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047"/>
      <c r="AC292" s="1047"/>
      <c r="AD292" s="1047"/>
      <c r="AE292" s="1044"/>
      <c r="AF292" s="1044"/>
      <c r="AG292" s="1044"/>
      <c r="AH292" s="1044"/>
      <c r="AI292" s="1044"/>
      <c r="AJ292" s="1044"/>
      <c r="AK292" s="1044"/>
      <c r="AL292" s="1044"/>
      <c r="AM292" s="1044"/>
      <c r="AN292" s="1044"/>
      <c r="AO292" s="1044"/>
      <c r="AP292" s="1044"/>
      <c r="AQ292" s="1044"/>
      <c r="AR292" s="1044"/>
    </row>
    <row r="293" spans="1:44">
      <c r="A293" s="1044"/>
      <c r="B293" s="1044"/>
      <c r="C293" s="1044"/>
      <c r="D293" s="1221"/>
      <c r="E293" s="1044"/>
      <c r="F293" s="1044"/>
      <c r="G293" s="1044"/>
      <c r="H293" s="1044"/>
      <c r="I293" s="1044"/>
      <c r="J293" s="1047"/>
      <c r="K293" s="1047"/>
      <c r="L293" s="1047"/>
      <c r="M293" s="1047"/>
      <c r="N293" s="1047"/>
      <c r="O293" s="1047"/>
      <c r="P293" s="1047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047"/>
      <c r="AC293" s="1047"/>
      <c r="AD293" s="1047"/>
      <c r="AE293" s="1044"/>
      <c r="AF293" s="1044"/>
      <c r="AG293" s="1044"/>
      <c r="AH293" s="1044"/>
      <c r="AI293" s="1044"/>
      <c r="AJ293" s="1044"/>
      <c r="AK293" s="1044"/>
      <c r="AL293" s="1044"/>
      <c r="AM293" s="1044"/>
      <c r="AN293" s="1044"/>
      <c r="AO293" s="1044"/>
      <c r="AP293" s="1044"/>
      <c r="AQ293" s="1044"/>
      <c r="AR293" s="1044"/>
    </row>
    <row r="294" spans="1:44">
      <c r="A294" s="1044"/>
      <c r="B294" s="1044"/>
      <c r="C294" s="1044"/>
      <c r="D294" s="1221"/>
      <c r="E294" s="1044"/>
      <c r="F294" s="1044"/>
      <c r="G294" s="1044"/>
      <c r="H294" s="1044"/>
      <c r="I294" s="1044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4"/>
      <c r="AF294" s="1044"/>
      <c r="AG294" s="1044"/>
      <c r="AH294" s="1044"/>
      <c r="AI294" s="1044"/>
      <c r="AJ294" s="1044"/>
      <c r="AK294" s="1044"/>
      <c r="AL294" s="1044"/>
      <c r="AM294" s="1044"/>
      <c r="AN294" s="1044"/>
      <c r="AO294" s="1044"/>
      <c r="AP294" s="1044"/>
      <c r="AQ294" s="1044"/>
      <c r="AR294" s="1044"/>
    </row>
    <row r="295" spans="1:44">
      <c r="A295" s="1044"/>
      <c r="B295" s="1044"/>
      <c r="C295" s="1044"/>
      <c r="D295" s="1221"/>
      <c r="E295" s="1044"/>
      <c r="F295" s="1044"/>
      <c r="G295" s="1044"/>
      <c r="H295" s="1044"/>
      <c r="I295" s="1044"/>
      <c r="J295" s="1047"/>
      <c r="K295" s="1047"/>
      <c r="L295" s="1047"/>
      <c r="M295" s="1047"/>
      <c r="N295" s="1047"/>
      <c r="O295" s="1047"/>
      <c r="P295" s="1047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047"/>
      <c r="AC295" s="1047"/>
      <c r="AD295" s="1047"/>
      <c r="AE295" s="1044"/>
      <c r="AF295" s="1044"/>
      <c r="AG295" s="1044"/>
      <c r="AH295" s="1044"/>
      <c r="AI295" s="1044"/>
      <c r="AJ295" s="1044"/>
      <c r="AK295" s="1044"/>
      <c r="AL295" s="1044"/>
      <c r="AM295" s="1044"/>
      <c r="AN295" s="1044"/>
      <c r="AO295" s="1044"/>
      <c r="AP295" s="1044"/>
      <c r="AQ295" s="1044"/>
      <c r="AR295" s="1044"/>
    </row>
    <row r="296" spans="1:44">
      <c r="A296" s="1044"/>
      <c r="B296" s="1044"/>
      <c r="C296" s="1044"/>
      <c r="D296" s="1221"/>
      <c r="E296" s="1044"/>
      <c r="F296" s="1044"/>
      <c r="G296" s="1044"/>
      <c r="H296" s="1044"/>
      <c r="I296" s="1044"/>
      <c r="J296" s="1047"/>
      <c r="K296" s="1047"/>
      <c r="L296" s="1047"/>
      <c r="M296" s="1047"/>
      <c r="N296" s="1047"/>
      <c r="O296" s="1047"/>
      <c r="P296" s="1047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047"/>
      <c r="AC296" s="1047"/>
      <c r="AD296" s="1047"/>
      <c r="AE296" s="1044"/>
      <c r="AF296" s="1044"/>
      <c r="AG296" s="1044"/>
      <c r="AH296" s="1044"/>
      <c r="AI296" s="1044"/>
      <c r="AJ296" s="1044"/>
      <c r="AK296" s="1044"/>
      <c r="AL296" s="1044"/>
      <c r="AM296" s="1044"/>
      <c r="AN296" s="1044"/>
      <c r="AO296" s="1044"/>
      <c r="AP296" s="1044"/>
      <c r="AQ296" s="1044"/>
      <c r="AR296" s="1044"/>
    </row>
    <row r="297" spans="1:44">
      <c r="A297" s="1044"/>
      <c r="B297" s="1044"/>
      <c r="C297" s="1044"/>
      <c r="D297" s="1221"/>
      <c r="E297" s="1044"/>
      <c r="F297" s="1044"/>
      <c r="G297" s="1044"/>
      <c r="H297" s="1044"/>
      <c r="I297" s="1044"/>
      <c r="J297" s="1047"/>
      <c r="K297" s="1047"/>
      <c r="L297" s="1047"/>
      <c r="M297" s="1047"/>
      <c r="N297" s="1047"/>
      <c r="O297" s="1047"/>
      <c r="P297" s="1047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047"/>
      <c r="AC297" s="1047"/>
      <c r="AD297" s="1047"/>
      <c r="AE297" s="1044"/>
      <c r="AF297" s="1044"/>
      <c r="AG297" s="1044"/>
      <c r="AH297" s="1044"/>
      <c r="AI297" s="1044"/>
      <c r="AJ297" s="1044"/>
      <c r="AK297" s="1044"/>
      <c r="AL297" s="1044"/>
      <c r="AM297" s="1044"/>
      <c r="AN297" s="1044"/>
      <c r="AO297" s="1044"/>
      <c r="AP297" s="1044"/>
      <c r="AQ297" s="1044"/>
      <c r="AR297" s="1044"/>
    </row>
    <row r="298" spans="1:44">
      <c r="A298" s="1044"/>
      <c r="B298" s="1044"/>
      <c r="C298" s="1044"/>
      <c r="D298" s="1221"/>
      <c r="E298" s="1044"/>
      <c r="F298" s="1044"/>
      <c r="G298" s="1044"/>
      <c r="H298" s="1044"/>
      <c r="I298" s="1044"/>
      <c r="J298" s="1047"/>
      <c r="K298" s="1047"/>
      <c r="L298" s="1047"/>
      <c r="M298" s="1047"/>
      <c r="N298" s="1047"/>
      <c r="O298" s="1047"/>
      <c r="P298" s="1047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047"/>
      <c r="AC298" s="1047"/>
      <c r="AD298" s="1047"/>
      <c r="AE298" s="1044"/>
      <c r="AF298" s="1044"/>
      <c r="AG298" s="1044"/>
      <c r="AH298" s="1044"/>
      <c r="AI298" s="1044"/>
      <c r="AJ298" s="1044"/>
      <c r="AK298" s="1044"/>
      <c r="AL298" s="1044"/>
      <c r="AM298" s="1044"/>
      <c r="AN298" s="1044"/>
      <c r="AO298" s="1044"/>
      <c r="AP298" s="1044"/>
      <c r="AQ298" s="1044"/>
      <c r="AR298" s="1044"/>
    </row>
    <row r="299" spans="1:44">
      <c r="A299" s="1044"/>
      <c r="B299" s="1044"/>
      <c r="C299" s="1044"/>
      <c r="D299" s="1221"/>
      <c r="E299" s="1044"/>
      <c r="F299" s="1044"/>
      <c r="G299" s="1044"/>
      <c r="H299" s="1044"/>
      <c r="I299" s="1044"/>
      <c r="J299" s="1047"/>
      <c r="K299" s="1047"/>
      <c r="L299" s="1047"/>
      <c r="M299" s="1047"/>
      <c r="N299" s="1047"/>
      <c r="O299" s="1047"/>
      <c r="P299" s="1047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047"/>
      <c r="AC299" s="1047"/>
      <c r="AD299" s="1047"/>
      <c r="AE299" s="1044"/>
      <c r="AF299" s="1044"/>
      <c r="AG299" s="1044"/>
      <c r="AH299" s="1044"/>
      <c r="AI299" s="1044"/>
      <c r="AJ299" s="1044"/>
      <c r="AK299" s="1044"/>
      <c r="AL299" s="1044"/>
      <c r="AM299" s="1044"/>
      <c r="AN299" s="1044"/>
      <c r="AO299" s="1044"/>
      <c r="AP299" s="1044"/>
      <c r="AQ299" s="1044"/>
      <c r="AR299" s="1044"/>
    </row>
    <row r="300" spans="1:44">
      <c r="A300" s="1044"/>
      <c r="B300" s="1044"/>
      <c r="C300" s="1044"/>
      <c r="D300" s="1221"/>
      <c r="E300" s="1044"/>
      <c r="F300" s="1044"/>
      <c r="G300" s="1044"/>
      <c r="H300" s="1044"/>
      <c r="I300" s="1044"/>
      <c r="J300" s="1047"/>
      <c r="K300" s="1047"/>
      <c r="L300" s="1047"/>
      <c r="M300" s="1047"/>
      <c r="N300" s="1047"/>
      <c r="O300" s="1047"/>
      <c r="P300" s="1047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047"/>
      <c r="AC300" s="1047"/>
      <c r="AD300" s="1047"/>
      <c r="AE300" s="1044"/>
      <c r="AF300" s="1044"/>
      <c r="AG300" s="1044"/>
      <c r="AH300" s="1044"/>
      <c r="AI300" s="1044"/>
      <c r="AJ300" s="1044"/>
      <c r="AK300" s="1044"/>
      <c r="AL300" s="1044"/>
      <c r="AM300" s="1044"/>
      <c r="AN300" s="1044"/>
      <c r="AO300" s="1044"/>
      <c r="AP300" s="1044"/>
      <c r="AQ300" s="1044"/>
      <c r="AR300" s="1044"/>
    </row>
    <row r="301" spans="1:44">
      <c r="A301" s="1044"/>
      <c r="B301" s="1044"/>
      <c r="C301" s="1044"/>
      <c r="D301" s="1221"/>
      <c r="E301" s="1044"/>
      <c r="F301" s="1044"/>
      <c r="G301" s="1044"/>
      <c r="H301" s="1044"/>
      <c r="I301" s="1044"/>
      <c r="J301" s="1047"/>
      <c r="K301" s="1047"/>
      <c r="L301" s="1047"/>
      <c r="M301" s="1047"/>
      <c r="N301" s="1047"/>
      <c r="O301" s="1047"/>
      <c r="P301" s="1047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047"/>
      <c r="AC301" s="1047"/>
      <c r="AD301" s="1047"/>
      <c r="AE301" s="1044"/>
      <c r="AF301" s="1044"/>
      <c r="AG301" s="1044"/>
      <c r="AH301" s="1044"/>
      <c r="AI301" s="1044"/>
      <c r="AJ301" s="1044"/>
      <c r="AK301" s="1044"/>
      <c r="AL301" s="1044"/>
      <c r="AM301" s="1044"/>
      <c r="AN301" s="1044"/>
      <c r="AO301" s="1044"/>
      <c r="AP301" s="1044"/>
      <c r="AQ301" s="1044"/>
      <c r="AR301" s="1044"/>
    </row>
    <row r="302" spans="1:44">
      <c r="A302" s="1044"/>
      <c r="B302" s="1044"/>
      <c r="C302" s="1044"/>
      <c r="D302" s="1221"/>
      <c r="E302" s="1044"/>
      <c r="F302" s="1044"/>
      <c r="G302" s="1044"/>
      <c r="H302" s="1044"/>
      <c r="I302" s="1044"/>
      <c r="J302" s="1047"/>
      <c r="K302" s="1047"/>
      <c r="L302" s="1047"/>
      <c r="M302" s="1047"/>
      <c r="N302" s="1047"/>
      <c r="O302" s="1047"/>
      <c r="P302" s="1047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047"/>
      <c r="AC302" s="1047"/>
      <c r="AD302" s="1047"/>
      <c r="AE302" s="1044"/>
      <c r="AF302" s="1044"/>
      <c r="AG302" s="1044"/>
      <c r="AH302" s="1044"/>
      <c r="AI302" s="1044"/>
      <c r="AJ302" s="1044"/>
      <c r="AK302" s="1044"/>
      <c r="AL302" s="1044"/>
      <c r="AM302" s="1044"/>
      <c r="AN302" s="1044"/>
      <c r="AO302" s="1044"/>
      <c r="AP302" s="1044"/>
      <c r="AQ302" s="1044"/>
      <c r="AR302" s="1044"/>
    </row>
    <row r="303" spans="1:44">
      <c r="A303" s="1044"/>
      <c r="B303" s="1044"/>
      <c r="C303" s="1044"/>
      <c r="D303" s="1221"/>
      <c r="E303" s="1044"/>
      <c r="F303" s="1044"/>
      <c r="G303" s="1044"/>
      <c r="H303" s="1044"/>
      <c r="I303" s="1044"/>
      <c r="J303" s="1047"/>
      <c r="K303" s="1047"/>
      <c r="L303" s="1047"/>
      <c r="M303" s="1047"/>
      <c r="N303" s="1047"/>
      <c r="O303" s="1047"/>
      <c r="P303" s="1047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047"/>
      <c r="AC303" s="1047"/>
      <c r="AD303" s="1047"/>
      <c r="AE303" s="1044"/>
      <c r="AF303" s="1044"/>
      <c r="AG303" s="1044"/>
      <c r="AH303" s="1044"/>
      <c r="AI303" s="1044"/>
      <c r="AJ303" s="1044"/>
      <c r="AK303" s="1044"/>
      <c r="AL303" s="1044"/>
      <c r="AM303" s="1044"/>
      <c r="AN303" s="1044"/>
      <c r="AO303" s="1044"/>
      <c r="AP303" s="1044"/>
      <c r="AQ303" s="1044"/>
      <c r="AR303" s="1044"/>
    </row>
    <row r="304" spans="1:44">
      <c r="A304" s="1044"/>
      <c r="B304" s="1044"/>
      <c r="C304" s="1044"/>
      <c r="D304" s="1221"/>
      <c r="E304" s="1044"/>
      <c r="F304" s="1044"/>
      <c r="G304" s="1044"/>
      <c r="H304" s="1044"/>
      <c r="I304" s="1044"/>
      <c r="J304" s="1047"/>
      <c r="K304" s="1047"/>
      <c r="L304" s="1047"/>
      <c r="M304" s="1047"/>
      <c r="N304" s="1047"/>
      <c r="O304" s="1047"/>
      <c r="P304" s="1047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047"/>
      <c r="AC304" s="1047"/>
      <c r="AD304" s="1047"/>
      <c r="AE304" s="1044"/>
      <c r="AF304" s="1044"/>
      <c r="AG304" s="1044"/>
      <c r="AH304" s="1044"/>
      <c r="AI304" s="1044"/>
      <c r="AJ304" s="1044"/>
      <c r="AK304" s="1044"/>
      <c r="AL304" s="1044"/>
      <c r="AM304" s="1044"/>
      <c r="AN304" s="1044"/>
      <c r="AO304" s="1044"/>
      <c r="AP304" s="1044"/>
      <c r="AQ304" s="1044"/>
      <c r="AR304" s="1044"/>
    </row>
    <row r="305" spans="1:44">
      <c r="A305" s="1044"/>
      <c r="B305" s="1044"/>
      <c r="C305" s="1044"/>
      <c r="D305" s="1221"/>
      <c r="E305" s="1044"/>
      <c r="F305" s="1044"/>
      <c r="G305" s="1044"/>
      <c r="H305" s="1044"/>
      <c r="I305" s="1044"/>
      <c r="J305" s="1047"/>
      <c r="K305" s="1047"/>
      <c r="L305" s="1047"/>
      <c r="M305" s="1047"/>
      <c r="N305" s="1047"/>
      <c r="O305" s="1047"/>
      <c r="P305" s="1047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047"/>
      <c r="AC305" s="1047"/>
      <c r="AD305" s="1047"/>
      <c r="AE305" s="1044"/>
      <c r="AF305" s="1044"/>
      <c r="AG305" s="1044"/>
      <c r="AH305" s="1044"/>
      <c r="AI305" s="1044"/>
      <c r="AJ305" s="1044"/>
      <c r="AK305" s="1044"/>
      <c r="AL305" s="1044"/>
      <c r="AM305" s="1044"/>
      <c r="AN305" s="1044"/>
      <c r="AO305" s="1044"/>
      <c r="AP305" s="1044"/>
      <c r="AQ305" s="1044"/>
      <c r="AR305" s="1044"/>
    </row>
    <row r="306" spans="1:44">
      <c r="A306" s="1044"/>
      <c r="B306" s="1044"/>
      <c r="C306" s="1044"/>
      <c r="D306" s="1221"/>
      <c r="E306" s="1044"/>
      <c r="F306" s="1044"/>
      <c r="G306" s="1044"/>
      <c r="H306" s="1044"/>
      <c r="I306" s="1044"/>
      <c r="J306" s="1047"/>
      <c r="K306" s="1047"/>
      <c r="L306" s="1047"/>
      <c r="M306" s="1047"/>
      <c r="N306" s="1047"/>
      <c r="O306" s="1047"/>
      <c r="P306" s="1047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047"/>
      <c r="AC306" s="1047"/>
      <c r="AD306" s="1047"/>
      <c r="AE306" s="1044"/>
      <c r="AF306" s="1044"/>
      <c r="AG306" s="1044"/>
      <c r="AH306" s="1044"/>
      <c r="AI306" s="1044"/>
      <c r="AJ306" s="1044"/>
      <c r="AK306" s="1044"/>
      <c r="AL306" s="1044"/>
      <c r="AM306" s="1044"/>
      <c r="AN306" s="1044"/>
      <c r="AO306" s="1044"/>
      <c r="AP306" s="1044"/>
      <c r="AQ306" s="1044"/>
      <c r="AR306" s="1044"/>
    </row>
    <row r="307" spans="1:44">
      <c r="A307" s="1044"/>
      <c r="B307" s="1044"/>
      <c r="C307" s="1044"/>
      <c r="D307" s="1221"/>
      <c r="E307" s="1044"/>
      <c r="F307" s="1044"/>
      <c r="G307" s="1044"/>
      <c r="H307" s="1044"/>
      <c r="I307" s="1044"/>
      <c r="J307" s="1047"/>
      <c r="K307" s="1047"/>
      <c r="L307" s="1047"/>
      <c r="M307" s="1047"/>
      <c r="N307" s="1047"/>
      <c r="O307" s="1047"/>
      <c r="P307" s="1047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047"/>
      <c r="AE307" s="1044"/>
      <c r="AF307" s="1044"/>
      <c r="AG307" s="1044"/>
      <c r="AH307" s="1044"/>
      <c r="AI307" s="1044"/>
      <c r="AJ307" s="1044"/>
      <c r="AK307" s="1044"/>
      <c r="AL307" s="1044"/>
      <c r="AM307" s="1044"/>
      <c r="AN307" s="1044"/>
      <c r="AO307" s="1044"/>
      <c r="AP307" s="1044"/>
      <c r="AQ307" s="1044"/>
      <c r="AR307" s="1044"/>
    </row>
    <row r="308" spans="1:44">
      <c r="A308" s="1044"/>
      <c r="B308" s="1044"/>
      <c r="C308" s="1044"/>
      <c r="D308" s="1221"/>
      <c r="E308" s="1044"/>
      <c r="F308" s="1044"/>
      <c r="G308" s="1044"/>
      <c r="H308" s="1044"/>
      <c r="I308" s="1044"/>
      <c r="J308" s="1047"/>
      <c r="K308" s="1047"/>
      <c r="L308" s="1047"/>
      <c r="M308" s="1047"/>
      <c r="N308" s="1047"/>
      <c r="O308" s="1047"/>
      <c r="P308" s="1047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047"/>
      <c r="AE308" s="1044"/>
      <c r="AF308" s="1044"/>
      <c r="AG308" s="1044"/>
      <c r="AH308" s="1044"/>
      <c r="AI308" s="1044"/>
      <c r="AJ308" s="1044"/>
      <c r="AK308" s="1044"/>
      <c r="AL308" s="1044"/>
      <c r="AM308" s="1044"/>
      <c r="AN308" s="1044"/>
      <c r="AO308" s="1044"/>
      <c r="AP308" s="1044"/>
      <c r="AQ308" s="1044"/>
      <c r="AR308" s="1044"/>
    </row>
    <row r="309" spans="1:44">
      <c r="A309" s="1044"/>
      <c r="B309" s="1044"/>
      <c r="C309" s="1044"/>
      <c r="D309" s="1221"/>
      <c r="E309" s="1044"/>
      <c r="F309" s="1044"/>
      <c r="G309" s="1044"/>
      <c r="H309" s="1044"/>
      <c r="I309" s="1044"/>
      <c r="J309" s="1047"/>
      <c r="K309" s="1047"/>
      <c r="L309" s="1047"/>
      <c r="M309" s="1047"/>
      <c r="N309" s="1047"/>
      <c r="O309" s="1047"/>
      <c r="P309" s="1047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047"/>
      <c r="AE309" s="1044"/>
      <c r="AF309" s="1044"/>
      <c r="AG309" s="1044"/>
      <c r="AH309" s="1044"/>
      <c r="AI309" s="1044"/>
      <c r="AJ309" s="1044"/>
      <c r="AK309" s="1044"/>
      <c r="AL309" s="1044"/>
      <c r="AM309" s="1044"/>
      <c r="AN309" s="1044"/>
      <c r="AO309" s="1044"/>
      <c r="AP309" s="1044"/>
      <c r="AQ309" s="1044"/>
      <c r="AR309" s="1044"/>
    </row>
    <row r="310" spans="1:44">
      <c r="A310" s="1044"/>
      <c r="B310" s="1044"/>
      <c r="C310" s="1044"/>
      <c r="D310" s="1221"/>
      <c r="E310" s="1044"/>
      <c r="F310" s="1044"/>
      <c r="G310" s="1044"/>
      <c r="H310" s="1044"/>
      <c r="I310" s="1044"/>
      <c r="J310" s="1047"/>
      <c r="K310" s="1047"/>
      <c r="L310" s="1047"/>
      <c r="M310" s="1047"/>
      <c r="N310" s="1047"/>
      <c r="O310" s="1047"/>
      <c r="P310" s="1047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047"/>
      <c r="AE310" s="1044"/>
      <c r="AF310" s="1044"/>
      <c r="AG310" s="1044"/>
      <c r="AH310" s="1044"/>
      <c r="AI310" s="1044"/>
      <c r="AJ310" s="1044"/>
      <c r="AK310" s="1044"/>
      <c r="AL310" s="1044"/>
      <c r="AM310" s="1044"/>
      <c r="AN310" s="1044"/>
      <c r="AO310" s="1044"/>
      <c r="AP310" s="1044"/>
      <c r="AQ310" s="1044"/>
      <c r="AR310" s="1044"/>
    </row>
    <row r="311" spans="1:44">
      <c r="A311" s="1044"/>
      <c r="B311" s="1044"/>
      <c r="C311" s="1044"/>
      <c r="D311" s="1221"/>
      <c r="E311" s="1044"/>
      <c r="F311" s="1044"/>
      <c r="G311" s="1044"/>
      <c r="H311" s="1044"/>
      <c r="I311" s="1044"/>
      <c r="J311" s="1047"/>
      <c r="K311" s="1047"/>
      <c r="L311" s="1047"/>
      <c r="M311" s="1047"/>
      <c r="N311" s="1047"/>
      <c r="O311" s="1047"/>
      <c r="P311" s="1047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047"/>
      <c r="AE311" s="1044"/>
      <c r="AF311" s="1044"/>
      <c r="AG311" s="1044"/>
      <c r="AH311" s="1044"/>
      <c r="AI311" s="1044"/>
      <c r="AJ311" s="1044"/>
      <c r="AK311" s="1044"/>
      <c r="AL311" s="1044"/>
      <c r="AM311" s="1044"/>
      <c r="AN311" s="1044"/>
      <c r="AO311" s="1044"/>
      <c r="AP311" s="1044"/>
      <c r="AQ311" s="1044"/>
      <c r="AR311" s="1044"/>
    </row>
    <row r="312" spans="1:44">
      <c r="A312" s="1044"/>
      <c r="B312" s="1044"/>
      <c r="C312" s="1044"/>
      <c r="D312" s="1221"/>
      <c r="E312" s="1044"/>
      <c r="F312" s="1044"/>
      <c r="G312" s="1044"/>
      <c r="H312" s="1044"/>
      <c r="I312" s="1044"/>
      <c r="J312" s="1047"/>
      <c r="K312" s="1047"/>
      <c r="L312" s="1047"/>
      <c r="M312" s="1047"/>
      <c r="N312" s="1047"/>
      <c r="O312" s="1047"/>
      <c r="P312" s="1047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047"/>
      <c r="AE312" s="1044"/>
      <c r="AF312" s="1044"/>
      <c r="AG312" s="1044"/>
      <c r="AH312" s="1044"/>
      <c r="AI312" s="1044"/>
      <c r="AJ312" s="1044"/>
      <c r="AK312" s="1044"/>
      <c r="AL312" s="1044"/>
      <c r="AM312" s="1044"/>
      <c r="AN312" s="1044"/>
      <c r="AO312" s="1044"/>
      <c r="AP312" s="1044"/>
      <c r="AQ312" s="1044"/>
      <c r="AR312" s="1044"/>
    </row>
    <row r="313" spans="1:44">
      <c r="A313" s="1044"/>
      <c r="B313" s="1044"/>
      <c r="C313" s="1044"/>
      <c r="D313" s="1221"/>
      <c r="E313" s="1044"/>
      <c r="F313" s="1044"/>
      <c r="G313" s="1044"/>
      <c r="H313" s="1044"/>
      <c r="I313" s="1044"/>
      <c r="J313" s="1047"/>
      <c r="K313" s="1047"/>
      <c r="L313" s="1047"/>
      <c r="M313" s="1047"/>
      <c r="N313" s="1047"/>
      <c r="O313" s="1047"/>
      <c r="P313" s="1047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047"/>
      <c r="AE313" s="1044"/>
      <c r="AF313" s="1044"/>
      <c r="AG313" s="1044"/>
      <c r="AH313" s="1044"/>
      <c r="AI313" s="1044"/>
      <c r="AJ313" s="1044"/>
      <c r="AK313" s="1044"/>
      <c r="AL313" s="1044"/>
      <c r="AM313" s="1044"/>
      <c r="AN313" s="1044"/>
      <c r="AO313" s="1044"/>
      <c r="AP313" s="1044"/>
      <c r="AQ313" s="1044"/>
      <c r="AR313" s="1044"/>
    </row>
    <row r="314" spans="1:44">
      <c r="A314" s="1044"/>
      <c r="B314" s="1044"/>
      <c r="C314" s="1044"/>
      <c r="D314" s="1221"/>
      <c r="E314" s="1044"/>
      <c r="F314" s="1044"/>
      <c r="G314" s="1044"/>
      <c r="H314" s="1044"/>
      <c r="I314" s="1044"/>
      <c r="J314" s="1047"/>
      <c r="K314" s="1047"/>
      <c r="L314" s="1047"/>
      <c r="M314" s="1047"/>
      <c r="N314" s="1047"/>
      <c r="O314" s="1047"/>
      <c r="P314" s="1047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047"/>
      <c r="AE314" s="1044"/>
      <c r="AF314" s="1044"/>
      <c r="AG314" s="1044"/>
      <c r="AH314" s="1044"/>
      <c r="AI314" s="1044"/>
      <c r="AJ314" s="1044"/>
      <c r="AK314" s="1044"/>
      <c r="AL314" s="1044"/>
      <c r="AM314" s="1044"/>
      <c r="AN314" s="1044"/>
      <c r="AO314" s="1044"/>
      <c r="AP314" s="1044"/>
      <c r="AQ314" s="1044"/>
      <c r="AR314" s="1044"/>
    </row>
    <row r="315" spans="1:44">
      <c r="A315" s="1044"/>
      <c r="B315" s="1044"/>
      <c r="C315" s="1044"/>
      <c r="D315" s="1221"/>
      <c r="E315" s="1044"/>
      <c r="F315" s="1044"/>
      <c r="G315" s="1044"/>
      <c r="H315" s="1044"/>
      <c r="I315" s="1044"/>
      <c r="J315" s="1047"/>
      <c r="K315" s="1047"/>
      <c r="L315" s="1047"/>
      <c r="M315" s="1047"/>
      <c r="N315" s="1047"/>
      <c r="O315" s="1047"/>
      <c r="P315" s="1047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047"/>
      <c r="AE315" s="1044"/>
      <c r="AF315" s="1044"/>
      <c r="AG315" s="1044"/>
      <c r="AH315" s="1044"/>
      <c r="AI315" s="1044"/>
      <c r="AJ315" s="1044"/>
      <c r="AK315" s="1044"/>
      <c r="AL315" s="1044"/>
      <c r="AM315" s="1044"/>
      <c r="AN315" s="1044"/>
      <c r="AO315" s="1044"/>
      <c r="AP315" s="1044"/>
      <c r="AQ315" s="1044"/>
      <c r="AR315" s="1044"/>
    </row>
    <row r="316" spans="1:44">
      <c r="A316" s="1044"/>
      <c r="B316" s="1044"/>
      <c r="C316" s="1044"/>
      <c r="D316" s="1221"/>
      <c r="E316" s="1044"/>
      <c r="F316" s="1044"/>
      <c r="G316" s="1044"/>
      <c r="H316" s="1044"/>
      <c r="I316" s="1044"/>
      <c r="J316" s="1047"/>
      <c r="K316" s="1047"/>
      <c r="L316" s="1047"/>
      <c r="M316" s="1047"/>
      <c r="N316" s="1047"/>
      <c r="O316" s="1047"/>
      <c r="P316" s="1047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047"/>
      <c r="AE316" s="1044"/>
      <c r="AF316" s="1044"/>
      <c r="AG316" s="1044"/>
      <c r="AH316" s="1044"/>
      <c r="AI316" s="1044"/>
      <c r="AJ316" s="1044"/>
      <c r="AK316" s="1044"/>
      <c r="AL316" s="1044"/>
      <c r="AM316" s="1044"/>
      <c r="AN316" s="1044"/>
      <c r="AO316" s="1044"/>
      <c r="AP316" s="1044"/>
      <c r="AQ316" s="1044"/>
      <c r="AR316" s="1044"/>
    </row>
    <row r="317" spans="1:44">
      <c r="A317" s="1044"/>
      <c r="B317" s="1044"/>
      <c r="C317" s="1044"/>
      <c r="D317" s="1221"/>
      <c r="E317" s="1044"/>
      <c r="F317" s="1044"/>
      <c r="G317" s="1044"/>
      <c r="H317" s="1044"/>
      <c r="I317" s="1044"/>
      <c r="J317" s="1047"/>
      <c r="K317" s="1047"/>
      <c r="L317" s="1047"/>
      <c r="M317" s="1047"/>
      <c r="N317" s="1047"/>
      <c r="O317" s="1047"/>
      <c r="P317" s="1047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047"/>
      <c r="AE317" s="1044"/>
      <c r="AF317" s="1044"/>
      <c r="AG317" s="1044"/>
      <c r="AH317" s="1044"/>
      <c r="AI317" s="1044"/>
      <c r="AJ317" s="1044"/>
      <c r="AK317" s="1044"/>
      <c r="AL317" s="1044"/>
      <c r="AM317" s="1044"/>
      <c r="AN317" s="1044"/>
      <c r="AO317" s="1044"/>
      <c r="AP317" s="1044"/>
      <c r="AQ317" s="1044"/>
      <c r="AR317" s="1044"/>
    </row>
    <row r="318" spans="1:44">
      <c r="A318" s="1044"/>
      <c r="B318" s="1044"/>
      <c r="C318" s="1044"/>
      <c r="D318" s="1221"/>
      <c r="E318" s="1044"/>
      <c r="F318" s="1044"/>
      <c r="G318" s="1044"/>
      <c r="H318" s="1044"/>
      <c r="I318" s="1044"/>
      <c r="J318" s="1047"/>
      <c r="K318" s="1047"/>
      <c r="L318" s="1047"/>
      <c r="M318" s="1047"/>
      <c r="N318" s="1047"/>
      <c r="O318" s="1047"/>
      <c r="P318" s="1047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047"/>
      <c r="AE318" s="1044"/>
      <c r="AF318" s="1044"/>
      <c r="AG318" s="1044"/>
      <c r="AH318" s="1044"/>
      <c r="AI318" s="1044"/>
      <c r="AJ318" s="1044"/>
      <c r="AK318" s="1044"/>
      <c r="AL318" s="1044"/>
      <c r="AM318" s="1044"/>
      <c r="AN318" s="1044"/>
      <c r="AO318" s="1044"/>
      <c r="AP318" s="1044"/>
      <c r="AQ318" s="1044"/>
      <c r="AR318" s="1044"/>
    </row>
    <row r="319" spans="1:44">
      <c r="A319" s="1044"/>
      <c r="B319" s="1044"/>
      <c r="C319" s="1044"/>
      <c r="D319" s="1221"/>
      <c r="E319" s="1044"/>
      <c r="F319" s="1044"/>
      <c r="G319" s="1044"/>
      <c r="H319" s="1044"/>
      <c r="I319" s="1044"/>
      <c r="J319" s="1047"/>
      <c r="K319" s="1047"/>
      <c r="L319" s="1047"/>
      <c r="M319" s="1047"/>
      <c r="N319" s="1047"/>
      <c r="O319" s="1047"/>
      <c r="P319" s="1047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047"/>
      <c r="AE319" s="1044"/>
      <c r="AF319" s="1044"/>
      <c r="AG319" s="1044"/>
      <c r="AH319" s="1044"/>
      <c r="AI319" s="1044"/>
      <c r="AJ319" s="1044"/>
      <c r="AK319" s="1044"/>
      <c r="AL319" s="1044"/>
      <c r="AM319" s="1044"/>
      <c r="AN319" s="1044"/>
      <c r="AO319" s="1044"/>
      <c r="AP319" s="1044"/>
      <c r="AQ319" s="1044"/>
      <c r="AR319" s="1044"/>
    </row>
    <row r="320" spans="1:44">
      <c r="A320" s="1044"/>
      <c r="B320" s="1044"/>
      <c r="C320" s="1044"/>
      <c r="D320" s="1221"/>
      <c r="E320" s="1044"/>
      <c r="F320" s="1044"/>
      <c r="G320" s="1044"/>
      <c r="H320" s="1044"/>
      <c r="I320" s="1044"/>
      <c r="J320" s="1047"/>
      <c r="K320" s="1047"/>
      <c r="L320" s="1047"/>
      <c r="M320" s="1047"/>
      <c r="N320" s="1047"/>
      <c r="O320" s="1047"/>
      <c r="P320" s="1047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047"/>
      <c r="AE320" s="1044"/>
      <c r="AF320" s="1044"/>
      <c r="AG320" s="1044"/>
      <c r="AH320" s="1044"/>
      <c r="AI320" s="1044"/>
      <c r="AJ320" s="1044"/>
      <c r="AK320" s="1044"/>
      <c r="AL320" s="1044"/>
      <c r="AM320" s="1044"/>
      <c r="AN320" s="1044"/>
      <c r="AO320" s="1044"/>
      <c r="AP320" s="1044"/>
      <c r="AQ320" s="1044"/>
      <c r="AR320" s="1044"/>
    </row>
    <row r="321" spans="1:44">
      <c r="A321" s="1044"/>
      <c r="B321" s="1044"/>
      <c r="C321" s="1044"/>
      <c r="D321" s="1221"/>
      <c r="E321" s="1044"/>
      <c r="F321" s="1044"/>
      <c r="G321" s="1044"/>
      <c r="H321" s="1044"/>
      <c r="I321" s="1044"/>
      <c r="J321" s="1047"/>
      <c r="K321" s="1047"/>
      <c r="L321" s="1047"/>
      <c r="M321" s="1047"/>
      <c r="N321" s="1047"/>
      <c r="O321" s="1047"/>
      <c r="P321" s="1047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047"/>
      <c r="AE321" s="1044"/>
      <c r="AF321" s="1044"/>
      <c r="AG321" s="1044"/>
      <c r="AH321" s="1044"/>
      <c r="AI321" s="1044"/>
      <c r="AJ321" s="1044"/>
      <c r="AK321" s="1044"/>
      <c r="AL321" s="1044"/>
      <c r="AM321" s="1044"/>
      <c r="AN321" s="1044"/>
      <c r="AO321" s="1044"/>
      <c r="AP321" s="1044"/>
      <c r="AQ321" s="1044"/>
      <c r="AR321" s="1044"/>
    </row>
    <row r="322" spans="1:44">
      <c r="A322" s="1044"/>
      <c r="B322" s="1044"/>
      <c r="C322" s="1044"/>
      <c r="D322" s="1221"/>
      <c r="E322" s="1044"/>
      <c r="F322" s="1044"/>
      <c r="G322" s="1044"/>
      <c r="H322" s="1044"/>
      <c r="I322" s="1044"/>
      <c r="J322" s="1047"/>
      <c r="K322" s="1047"/>
      <c r="L322" s="1047"/>
      <c r="M322" s="1047"/>
      <c r="N322" s="1047"/>
      <c r="O322" s="1047"/>
      <c r="P322" s="1047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047"/>
      <c r="AE322" s="1044"/>
      <c r="AF322" s="1044"/>
      <c r="AG322" s="1044"/>
      <c r="AH322" s="1044"/>
      <c r="AI322" s="1044"/>
      <c r="AJ322" s="1044"/>
      <c r="AK322" s="1044"/>
      <c r="AL322" s="1044"/>
      <c r="AM322" s="1044"/>
      <c r="AN322" s="1044"/>
      <c r="AO322" s="1044"/>
      <c r="AP322" s="1044"/>
      <c r="AQ322" s="1044"/>
      <c r="AR322" s="1044"/>
    </row>
    <row r="323" spans="1:44">
      <c r="A323" s="1044"/>
      <c r="B323" s="1044"/>
      <c r="C323" s="1044"/>
      <c r="D323" s="1221"/>
      <c r="E323" s="1044"/>
      <c r="F323" s="1044"/>
      <c r="G323" s="1044"/>
      <c r="H323" s="1044"/>
      <c r="I323" s="1044"/>
      <c r="J323" s="1047"/>
      <c r="K323" s="1047"/>
      <c r="L323" s="1047"/>
      <c r="M323" s="1047"/>
      <c r="N323" s="1047"/>
      <c r="O323" s="1047"/>
      <c r="P323" s="1047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047"/>
      <c r="AE323" s="1044"/>
      <c r="AF323" s="1044"/>
      <c r="AG323" s="1044"/>
      <c r="AH323" s="1044"/>
      <c r="AI323" s="1044"/>
      <c r="AJ323" s="1044"/>
      <c r="AK323" s="1044"/>
      <c r="AL323" s="1044"/>
      <c r="AM323" s="1044"/>
      <c r="AN323" s="1044"/>
      <c r="AO323" s="1044"/>
      <c r="AP323" s="1044"/>
      <c r="AQ323" s="1044"/>
      <c r="AR323" s="1044"/>
    </row>
    <row r="324" spans="1:44">
      <c r="A324" s="1044"/>
      <c r="B324" s="1044"/>
      <c r="C324" s="1044"/>
      <c r="D324" s="1221"/>
      <c r="E324" s="1044"/>
      <c r="F324" s="1044"/>
      <c r="G324" s="1044"/>
      <c r="H324" s="1044"/>
      <c r="I324" s="1044"/>
      <c r="J324" s="1047"/>
      <c r="K324" s="1047"/>
      <c r="L324" s="1047"/>
      <c r="M324" s="1047"/>
      <c r="N324" s="1047"/>
      <c r="O324" s="1047"/>
      <c r="P324" s="1047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047"/>
      <c r="AE324" s="1044"/>
      <c r="AF324" s="1044"/>
      <c r="AG324" s="1044"/>
      <c r="AH324" s="1044"/>
      <c r="AI324" s="1044"/>
      <c r="AJ324" s="1044"/>
      <c r="AK324" s="1044"/>
      <c r="AL324" s="1044"/>
      <c r="AM324" s="1044"/>
      <c r="AN324" s="1044"/>
      <c r="AO324" s="1044"/>
      <c r="AP324" s="1044"/>
      <c r="AQ324" s="1044"/>
      <c r="AR324" s="1044"/>
    </row>
    <row r="325" spans="1:44">
      <c r="A325" s="1044"/>
      <c r="B325" s="1044"/>
      <c r="C325" s="1044"/>
      <c r="D325" s="1221"/>
      <c r="E325" s="1044"/>
      <c r="F325" s="1044"/>
      <c r="G325" s="1044"/>
      <c r="H325" s="1044"/>
      <c r="I325" s="1044"/>
      <c r="J325" s="1047"/>
      <c r="K325" s="1047"/>
      <c r="L325" s="1047"/>
      <c r="M325" s="1047"/>
      <c r="N325" s="1047"/>
      <c r="O325" s="1047"/>
      <c r="P325" s="1047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047"/>
      <c r="AE325" s="1044"/>
      <c r="AF325" s="1044"/>
      <c r="AG325" s="1044"/>
      <c r="AH325" s="1044"/>
      <c r="AI325" s="1044"/>
      <c r="AJ325" s="1044"/>
      <c r="AK325" s="1044"/>
      <c r="AL325" s="1044"/>
      <c r="AM325" s="1044"/>
      <c r="AN325" s="1044"/>
      <c r="AO325" s="1044"/>
      <c r="AP325" s="1044"/>
      <c r="AQ325" s="1044"/>
      <c r="AR325" s="1044"/>
    </row>
    <row r="326" spans="1:44">
      <c r="A326" s="1044"/>
      <c r="B326" s="1044"/>
      <c r="C326" s="1044"/>
      <c r="D326" s="1221"/>
      <c r="E326" s="1044"/>
      <c r="F326" s="1044"/>
      <c r="G326" s="1044"/>
      <c r="H326" s="1044"/>
      <c r="I326" s="1044"/>
      <c r="J326" s="1047"/>
      <c r="K326" s="1047"/>
      <c r="L326" s="1047"/>
      <c r="M326" s="1047"/>
      <c r="N326" s="1047"/>
      <c r="O326" s="1047"/>
      <c r="P326" s="1047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047"/>
      <c r="AE326" s="1044"/>
      <c r="AF326" s="1044"/>
      <c r="AG326" s="1044"/>
      <c r="AH326" s="1044"/>
      <c r="AI326" s="1044"/>
      <c r="AJ326" s="1044"/>
      <c r="AK326" s="1044"/>
      <c r="AL326" s="1044"/>
      <c r="AM326" s="1044"/>
      <c r="AN326" s="1044"/>
      <c r="AO326" s="1044"/>
      <c r="AP326" s="1044"/>
      <c r="AQ326" s="1044"/>
      <c r="AR326" s="1044"/>
    </row>
    <row r="327" spans="1:44">
      <c r="A327" s="1044"/>
      <c r="B327" s="1044"/>
      <c r="C327" s="1044"/>
      <c r="D327" s="1221"/>
      <c r="E327" s="1044"/>
      <c r="F327" s="1044"/>
      <c r="G327" s="1044"/>
      <c r="H327" s="1044"/>
      <c r="I327" s="1044"/>
      <c r="J327" s="1047"/>
      <c r="K327" s="1047"/>
      <c r="L327" s="1047"/>
      <c r="M327" s="1047"/>
      <c r="N327" s="1047"/>
      <c r="O327" s="1047"/>
      <c r="P327" s="1047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047"/>
      <c r="AE327" s="1044"/>
      <c r="AF327" s="1044"/>
      <c r="AG327" s="1044"/>
      <c r="AH327" s="1044"/>
      <c r="AI327" s="1044"/>
      <c r="AJ327" s="1044"/>
      <c r="AK327" s="1044"/>
      <c r="AL327" s="1044"/>
      <c r="AM327" s="1044"/>
      <c r="AN327" s="1044"/>
      <c r="AO327" s="1044"/>
      <c r="AP327" s="1044"/>
      <c r="AQ327" s="1044"/>
      <c r="AR327" s="1044"/>
    </row>
    <row r="328" spans="1:44">
      <c r="A328" s="1044"/>
      <c r="B328" s="1044"/>
      <c r="C328" s="1044"/>
      <c r="D328" s="1221"/>
      <c r="E328" s="1044"/>
      <c r="F328" s="1044"/>
      <c r="G328" s="1044"/>
      <c r="H328" s="1044"/>
      <c r="I328" s="1044"/>
      <c r="J328" s="1047"/>
      <c r="K328" s="1047"/>
      <c r="L328" s="1047"/>
      <c r="M328" s="1047"/>
      <c r="N328" s="1047"/>
      <c r="O328" s="1047"/>
      <c r="P328" s="1047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047"/>
      <c r="AE328" s="1044"/>
      <c r="AF328" s="1044"/>
      <c r="AG328" s="1044"/>
      <c r="AH328" s="1044"/>
      <c r="AI328" s="1044"/>
      <c r="AJ328" s="1044"/>
      <c r="AK328" s="1044"/>
      <c r="AL328" s="1044"/>
      <c r="AM328" s="1044"/>
      <c r="AN328" s="1044"/>
      <c r="AO328" s="1044"/>
      <c r="AP328" s="1044"/>
      <c r="AQ328" s="1044"/>
      <c r="AR328" s="1044"/>
    </row>
    <row r="329" spans="1:44">
      <c r="A329" s="1044"/>
      <c r="B329" s="1044"/>
      <c r="C329" s="1044"/>
      <c r="D329" s="1221"/>
      <c r="E329" s="1044"/>
      <c r="F329" s="1044"/>
      <c r="G329" s="1044"/>
      <c r="H329" s="1044"/>
      <c r="I329" s="1044"/>
      <c r="J329" s="1047"/>
      <c r="K329" s="1047"/>
      <c r="L329" s="1047"/>
      <c r="M329" s="1047"/>
      <c r="N329" s="1047"/>
      <c r="O329" s="1047"/>
      <c r="P329" s="1047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047"/>
      <c r="AE329" s="1044"/>
      <c r="AF329" s="1044"/>
      <c r="AG329" s="1044"/>
      <c r="AH329" s="1044"/>
      <c r="AI329" s="1044"/>
      <c r="AJ329" s="1044"/>
      <c r="AK329" s="1044"/>
      <c r="AL329" s="1044"/>
      <c r="AM329" s="1044"/>
      <c r="AN329" s="1044"/>
      <c r="AO329" s="1044"/>
      <c r="AP329" s="1044"/>
      <c r="AQ329" s="1044"/>
      <c r="AR329" s="1044"/>
    </row>
    <row r="330" spans="1:44">
      <c r="A330" s="1044"/>
      <c r="B330" s="1044"/>
      <c r="C330" s="1044"/>
      <c r="D330" s="1221"/>
      <c r="E330" s="1044"/>
      <c r="F330" s="1044"/>
      <c r="G330" s="1044"/>
      <c r="H330" s="1044"/>
      <c r="I330" s="1044"/>
      <c r="J330" s="1047"/>
      <c r="K330" s="1047"/>
      <c r="L330" s="1047"/>
      <c r="M330" s="1047"/>
      <c r="N330" s="1047"/>
      <c r="O330" s="1047"/>
      <c r="P330" s="1047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047"/>
      <c r="AE330" s="1044"/>
      <c r="AF330" s="1044"/>
      <c r="AG330" s="1044"/>
      <c r="AH330" s="1044"/>
      <c r="AI330" s="1044"/>
      <c r="AJ330" s="1044"/>
      <c r="AK330" s="1044"/>
      <c r="AL330" s="1044"/>
      <c r="AM330" s="1044"/>
      <c r="AN330" s="1044"/>
      <c r="AO330" s="1044"/>
      <c r="AP330" s="1044"/>
      <c r="AQ330" s="1044"/>
      <c r="AR330" s="1044"/>
    </row>
    <row r="331" spans="1:44">
      <c r="A331" s="1044"/>
      <c r="B331" s="1044"/>
      <c r="C331" s="1044"/>
      <c r="D331" s="1221"/>
      <c r="E331" s="1044"/>
      <c r="F331" s="1044"/>
      <c r="G331" s="1044"/>
      <c r="H331" s="1044"/>
      <c r="I331" s="1044"/>
      <c r="J331" s="1047"/>
      <c r="K331" s="1047"/>
      <c r="L331" s="1047"/>
      <c r="M331" s="1047"/>
      <c r="N331" s="1047"/>
      <c r="O331" s="1047"/>
      <c r="P331" s="1047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047"/>
      <c r="AE331" s="1044"/>
      <c r="AF331" s="1044"/>
      <c r="AG331" s="1044"/>
      <c r="AH331" s="1044"/>
      <c r="AI331" s="1044"/>
      <c r="AJ331" s="1044"/>
      <c r="AK331" s="1044"/>
      <c r="AL331" s="1044"/>
      <c r="AM331" s="1044"/>
      <c r="AN331" s="1044"/>
      <c r="AO331" s="1044"/>
      <c r="AP331" s="1044"/>
      <c r="AQ331" s="1044"/>
      <c r="AR331" s="1044"/>
    </row>
    <row r="332" spans="1:44">
      <c r="A332" s="1044"/>
      <c r="B332" s="1044"/>
      <c r="C332" s="1044"/>
      <c r="D332" s="1221"/>
      <c r="E332" s="1044"/>
      <c r="F332" s="1044"/>
      <c r="G332" s="1044"/>
      <c r="H332" s="1044"/>
      <c r="I332" s="1044"/>
      <c r="J332" s="1047"/>
      <c r="K332" s="1047"/>
      <c r="L332" s="1047"/>
      <c r="M332" s="1047"/>
      <c r="N332" s="1047"/>
      <c r="O332" s="1047"/>
      <c r="P332" s="1047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047"/>
      <c r="AE332" s="1044"/>
      <c r="AF332" s="1044"/>
      <c r="AG332" s="1044"/>
      <c r="AH332" s="1044"/>
      <c r="AI332" s="1044"/>
      <c r="AJ332" s="1044"/>
      <c r="AK332" s="1044"/>
      <c r="AL332" s="1044"/>
      <c r="AM332" s="1044"/>
      <c r="AN332" s="1044"/>
      <c r="AO332" s="1044"/>
      <c r="AP332" s="1044"/>
      <c r="AQ332" s="1044"/>
      <c r="AR332" s="1044"/>
    </row>
    <row r="333" spans="1:44">
      <c r="A333" s="1044"/>
      <c r="B333" s="1044"/>
      <c r="C333" s="1044"/>
      <c r="D333" s="1221"/>
      <c r="E333" s="1044"/>
      <c r="F333" s="1044"/>
      <c r="G333" s="1044"/>
      <c r="H333" s="1044"/>
      <c r="I333" s="1044"/>
      <c r="J333" s="1047"/>
      <c r="K333" s="1047"/>
      <c r="L333" s="1047"/>
      <c r="M333" s="1047"/>
      <c r="N333" s="1047"/>
      <c r="O333" s="1047"/>
      <c r="P333" s="1047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047"/>
      <c r="AE333" s="1044"/>
      <c r="AF333" s="1044"/>
      <c r="AG333" s="1044"/>
      <c r="AH333" s="1044"/>
      <c r="AI333" s="1044"/>
      <c r="AJ333" s="1044"/>
      <c r="AK333" s="1044"/>
      <c r="AL333" s="1044"/>
      <c r="AM333" s="1044"/>
      <c r="AN333" s="1044"/>
      <c r="AO333" s="1044"/>
      <c r="AP333" s="1044"/>
      <c r="AQ333" s="1044"/>
      <c r="AR333" s="1044"/>
    </row>
    <row r="334" spans="1:44">
      <c r="A334" s="1044"/>
      <c r="B334" s="1044"/>
      <c r="C334" s="1044"/>
      <c r="D334" s="1221"/>
      <c r="E334" s="1044"/>
      <c r="F334" s="1044"/>
      <c r="G334" s="1044"/>
      <c r="H334" s="1044"/>
      <c r="I334" s="1044"/>
      <c r="J334" s="1047"/>
      <c r="K334" s="1047"/>
      <c r="L334" s="1047"/>
      <c r="M334" s="1047"/>
      <c r="N334" s="1047"/>
      <c r="O334" s="1047"/>
      <c r="P334" s="1047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047"/>
      <c r="AE334" s="1044"/>
      <c r="AF334" s="1044"/>
      <c r="AG334" s="1044"/>
      <c r="AH334" s="1044"/>
      <c r="AI334" s="1044"/>
      <c r="AJ334" s="1044"/>
      <c r="AK334" s="1044"/>
      <c r="AL334" s="1044"/>
      <c r="AM334" s="1044"/>
      <c r="AN334" s="1044"/>
      <c r="AO334" s="1044"/>
      <c r="AP334" s="1044"/>
      <c r="AQ334" s="1044"/>
      <c r="AR334" s="1044"/>
    </row>
    <row r="335" spans="1:44">
      <c r="A335" s="1044"/>
      <c r="B335" s="1044"/>
      <c r="C335" s="1044"/>
      <c r="D335" s="1221"/>
      <c r="E335" s="1044"/>
      <c r="F335" s="1044"/>
      <c r="G335" s="1044"/>
      <c r="H335" s="1044"/>
      <c r="I335" s="1044"/>
      <c r="J335" s="1047"/>
      <c r="K335" s="1047"/>
      <c r="L335" s="1047"/>
      <c r="M335" s="1047"/>
      <c r="N335" s="1047"/>
      <c r="O335" s="1047"/>
      <c r="P335" s="1047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047"/>
      <c r="AE335" s="1044"/>
      <c r="AF335" s="1044"/>
      <c r="AG335" s="1044"/>
      <c r="AH335" s="1044"/>
      <c r="AI335" s="1044"/>
      <c r="AJ335" s="1044"/>
      <c r="AK335" s="1044"/>
      <c r="AL335" s="1044"/>
      <c r="AM335" s="1044"/>
      <c r="AN335" s="1044"/>
      <c r="AO335" s="1044"/>
      <c r="AP335" s="1044"/>
      <c r="AQ335" s="1044"/>
      <c r="AR335" s="1044"/>
    </row>
    <row r="336" spans="1:44">
      <c r="A336" s="1044"/>
      <c r="B336" s="1044"/>
      <c r="C336" s="1044"/>
      <c r="D336" s="1221"/>
      <c r="E336" s="1044"/>
      <c r="F336" s="1044"/>
      <c r="G336" s="1044"/>
      <c r="H336" s="1044"/>
      <c r="I336" s="1044"/>
      <c r="J336" s="1047"/>
      <c r="K336" s="1047"/>
      <c r="L336" s="1047"/>
      <c r="M336" s="1047"/>
      <c r="N336" s="1047"/>
      <c r="O336" s="1047"/>
      <c r="P336" s="1047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047"/>
      <c r="AE336" s="1044"/>
      <c r="AF336" s="1044"/>
      <c r="AG336" s="1044"/>
      <c r="AH336" s="1044"/>
      <c r="AI336" s="1044"/>
      <c r="AJ336" s="1044"/>
      <c r="AK336" s="1044"/>
      <c r="AL336" s="1044"/>
      <c r="AM336" s="1044"/>
      <c r="AN336" s="1044"/>
      <c r="AO336" s="1044"/>
      <c r="AP336" s="1044"/>
      <c r="AQ336" s="1044"/>
      <c r="AR336" s="1044"/>
    </row>
    <row r="337" spans="1:44">
      <c r="A337" s="1044"/>
      <c r="B337" s="1044"/>
      <c r="C337" s="1044"/>
      <c r="D337" s="1221"/>
      <c r="E337" s="1044"/>
      <c r="F337" s="1044"/>
      <c r="G337" s="1044"/>
      <c r="H337" s="1044"/>
      <c r="I337" s="1044"/>
      <c r="J337" s="1047"/>
      <c r="K337" s="1047"/>
      <c r="L337" s="1047"/>
      <c r="M337" s="1047"/>
      <c r="N337" s="1047"/>
      <c r="O337" s="1047"/>
      <c r="P337" s="1047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047"/>
      <c r="AE337" s="1044"/>
      <c r="AF337" s="1044"/>
      <c r="AG337" s="1044"/>
      <c r="AH337" s="1044"/>
      <c r="AI337" s="1044"/>
      <c r="AJ337" s="1044"/>
      <c r="AK337" s="1044"/>
      <c r="AL337" s="1044"/>
      <c r="AM337" s="1044"/>
      <c r="AN337" s="1044"/>
      <c r="AO337" s="1044"/>
      <c r="AP337" s="1044"/>
      <c r="AQ337" s="1044"/>
      <c r="AR337" s="1044"/>
    </row>
    <row r="338" spans="1:44">
      <c r="A338" s="1044"/>
      <c r="B338" s="1044"/>
      <c r="C338" s="1044"/>
      <c r="D338" s="1221"/>
      <c r="E338" s="1044"/>
      <c r="F338" s="1044"/>
      <c r="G338" s="1044"/>
      <c r="H338" s="1044"/>
      <c r="I338" s="1044"/>
      <c r="J338" s="1047"/>
      <c r="K338" s="1047"/>
      <c r="L338" s="1047"/>
      <c r="M338" s="1047"/>
      <c r="N338" s="1047"/>
      <c r="O338" s="1047"/>
      <c r="P338" s="1047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047"/>
      <c r="AE338" s="1044"/>
      <c r="AF338" s="1044"/>
      <c r="AG338" s="1044"/>
      <c r="AH338" s="1044"/>
      <c r="AI338" s="1044"/>
      <c r="AJ338" s="1044"/>
      <c r="AK338" s="1044"/>
      <c r="AL338" s="1044"/>
      <c r="AM338" s="1044"/>
      <c r="AN338" s="1044"/>
      <c r="AO338" s="1044"/>
      <c r="AP338" s="1044"/>
      <c r="AQ338" s="1044"/>
      <c r="AR338" s="1044"/>
    </row>
    <row r="339" spans="1:44">
      <c r="A339" s="1044"/>
      <c r="B339" s="1044"/>
      <c r="C339" s="1044"/>
      <c r="D339" s="1221"/>
      <c r="E339" s="1044"/>
      <c r="F339" s="1044"/>
      <c r="G339" s="1044"/>
      <c r="H339" s="1044"/>
      <c r="I339" s="1044"/>
      <c r="J339" s="1047"/>
      <c r="K339" s="1047"/>
      <c r="L339" s="1047"/>
      <c r="M339" s="1047"/>
      <c r="N339" s="1047"/>
      <c r="O339" s="1047"/>
      <c r="P339" s="1047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047"/>
      <c r="AE339" s="1044"/>
      <c r="AF339" s="1044"/>
      <c r="AG339" s="1044"/>
      <c r="AH339" s="1044"/>
      <c r="AI339" s="1044"/>
      <c r="AJ339" s="1044"/>
      <c r="AK339" s="1044"/>
      <c r="AL339" s="1044"/>
      <c r="AM339" s="1044"/>
      <c r="AN339" s="1044"/>
      <c r="AO339" s="1044"/>
      <c r="AP339" s="1044"/>
      <c r="AQ339" s="1044"/>
      <c r="AR339" s="1044"/>
    </row>
    <row r="340" spans="1:44">
      <c r="A340" s="1044"/>
      <c r="B340" s="1044"/>
      <c r="C340" s="1044"/>
      <c r="D340" s="1221"/>
      <c r="E340" s="1044"/>
      <c r="F340" s="1044"/>
      <c r="G340" s="1044"/>
      <c r="H340" s="1044"/>
      <c r="I340" s="1044"/>
      <c r="J340" s="1047"/>
      <c r="K340" s="1047"/>
      <c r="L340" s="1047"/>
      <c r="M340" s="1047"/>
      <c r="N340" s="1047"/>
      <c r="O340" s="1047"/>
      <c r="P340" s="1047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047"/>
      <c r="AE340" s="1044"/>
      <c r="AF340" s="1044"/>
      <c r="AG340" s="1044"/>
      <c r="AH340" s="1044"/>
      <c r="AI340" s="1044"/>
      <c r="AJ340" s="1044"/>
      <c r="AK340" s="1044"/>
      <c r="AL340" s="1044"/>
      <c r="AM340" s="1044"/>
      <c r="AN340" s="1044"/>
      <c r="AO340" s="1044"/>
      <c r="AP340" s="1044"/>
      <c r="AQ340" s="1044"/>
      <c r="AR340" s="1044"/>
    </row>
    <row r="341" spans="1:44">
      <c r="A341" s="1044"/>
      <c r="B341" s="1044"/>
      <c r="C341" s="1044"/>
      <c r="D341" s="1221"/>
      <c r="E341" s="1044"/>
      <c r="F341" s="1044"/>
      <c r="G341" s="1044"/>
      <c r="H341" s="1044"/>
      <c r="I341" s="1044"/>
      <c r="J341" s="1047"/>
      <c r="K341" s="1047"/>
      <c r="L341" s="1047"/>
      <c r="M341" s="1047"/>
      <c r="N341" s="1047"/>
      <c r="O341" s="1047"/>
      <c r="P341" s="1047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047"/>
      <c r="AE341" s="1044"/>
      <c r="AF341" s="1044"/>
      <c r="AG341" s="1044"/>
      <c r="AH341" s="1044"/>
      <c r="AI341" s="1044"/>
      <c r="AJ341" s="1044"/>
      <c r="AK341" s="1044"/>
      <c r="AL341" s="1044"/>
      <c r="AM341" s="1044"/>
      <c r="AN341" s="1044"/>
      <c r="AO341" s="1044"/>
      <c r="AP341" s="1044"/>
      <c r="AQ341" s="1044"/>
      <c r="AR341" s="1044"/>
    </row>
    <row r="342" spans="1:44">
      <c r="A342" s="1044"/>
      <c r="B342" s="1044"/>
      <c r="C342" s="1044"/>
      <c r="D342" s="1221"/>
      <c r="E342" s="1044"/>
      <c r="F342" s="1044"/>
      <c r="G342" s="1044"/>
      <c r="H342" s="1044"/>
      <c r="I342" s="1044"/>
      <c r="J342" s="1047"/>
      <c r="K342" s="1047"/>
      <c r="L342" s="1047"/>
      <c r="M342" s="1047"/>
      <c r="N342" s="1047"/>
      <c r="O342" s="1047"/>
      <c r="P342" s="1047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047"/>
      <c r="AE342" s="1044"/>
      <c r="AF342" s="1044"/>
      <c r="AG342" s="1044"/>
      <c r="AH342" s="1044"/>
      <c r="AI342" s="1044"/>
      <c r="AJ342" s="1044"/>
      <c r="AK342" s="1044"/>
      <c r="AL342" s="1044"/>
      <c r="AM342" s="1044"/>
      <c r="AN342" s="1044"/>
      <c r="AO342" s="1044"/>
      <c r="AP342" s="1044"/>
      <c r="AQ342" s="1044"/>
      <c r="AR342" s="1044"/>
    </row>
    <row r="343" spans="1:44">
      <c r="A343" s="1044"/>
      <c r="B343" s="1044"/>
      <c r="C343" s="1044"/>
      <c r="D343" s="1221"/>
      <c r="E343" s="1044"/>
      <c r="F343" s="1044"/>
      <c r="G343" s="1044"/>
      <c r="H343" s="1044"/>
      <c r="I343" s="1044"/>
      <c r="J343" s="1047"/>
      <c r="K343" s="1047"/>
      <c r="L343" s="1047"/>
      <c r="M343" s="1047"/>
      <c r="N343" s="1047"/>
      <c r="O343" s="1047"/>
      <c r="P343" s="1047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047"/>
      <c r="AE343" s="1044"/>
      <c r="AF343" s="1044"/>
      <c r="AG343" s="1044"/>
      <c r="AH343" s="1044"/>
      <c r="AI343" s="1044"/>
      <c r="AJ343" s="1044"/>
      <c r="AK343" s="1044"/>
      <c r="AL343" s="1044"/>
      <c r="AM343" s="1044"/>
      <c r="AN343" s="1044"/>
      <c r="AO343" s="1044"/>
      <c r="AP343" s="1044"/>
      <c r="AQ343" s="1044"/>
      <c r="AR343" s="1044"/>
    </row>
    <row r="344" spans="1:44">
      <c r="A344" s="1044"/>
      <c r="B344" s="1044"/>
      <c r="C344" s="1044"/>
      <c r="D344" s="1221"/>
      <c r="E344" s="1044"/>
      <c r="F344" s="1044"/>
      <c r="G344" s="1044"/>
      <c r="H344" s="1044"/>
      <c r="I344" s="1044"/>
      <c r="J344" s="1047"/>
      <c r="K344" s="1047"/>
      <c r="L344" s="1047"/>
      <c r="M344" s="1047"/>
      <c r="N344" s="1047"/>
      <c r="O344" s="1047"/>
      <c r="P344" s="1047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047"/>
      <c r="AE344" s="1044"/>
      <c r="AF344" s="1044"/>
      <c r="AG344" s="1044"/>
      <c r="AH344" s="1044"/>
      <c r="AI344" s="1044"/>
      <c r="AJ344" s="1044"/>
      <c r="AK344" s="1044"/>
      <c r="AL344" s="1044"/>
      <c r="AM344" s="1044"/>
      <c r="AN344" s="1044"/>
      <c r="AO344" s="1044"/>
      <c r="AP344" s="1044"/>
      <c r="AQ344" s="1044"/>
      <c r="AR344" s="1044"/>
    </row>
    <row r="345" spans="1:44">
      <c r="A345" s="1044"/>
      <c r="B345" s="1044"/>
      <c r="C345" s="1044"/>
      <c r="D345" s="1221"/>
      <c r="E345" s="1044"/>
      <c r="F345" s="1044"/>
      <c r="G345" s="1044"/>
      <c r="H345" s="1044"/>
      <c r="I345" s="1044"/>
      <c r="J345" s="1047"/>
      <c r="K345" s="1047"/>
      <c r="L345" s="1047"/>
      <c r="M345" s="1047"/>
      <c r="N345" s="1047"/>
      <c r="O345" s="1047"/>
      <c r="P345" s="1047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047"/>
      <c r="AE345" s="1044"/>
      <c r="AF345" s="1044"/>
      <c r="AG345" s="1044"/>
      <c r="AH345" s="1044"/>
      <c r="AI345" s="1044"/>
      <c r="AJ345" s="1044"/>
      <c r="AK345" s="1044"/>
      <c r="AL345" s="1044"/>
      <c r="AM345" s="1044"/>
      <c r="AN345" s="1044"/>
      <c r="AO345" s="1044"/>
      <c r="AP345" s="1044"/>
      <c r="AQ345" s="1044"/>
      <c r="AR345" s="1044"/>
    </row>
    <row r="346" spans="1:44">
      <c r="A346" s="1044"/>
      <c r="B346" s="1044"/>
      <c r="C346" s="1044"/>
      <c r="D346" s="1221"/>
      <c r="E346" s="1044"/>
      <c r="F346" s="1044"/>
      <c r="G346" s="1044"/>
      <c r="H346" s="1044"/>
      <c r="I346" s="1044"/>
      <c r="J346" s="1047"/>
      <c r="K346" s="1047"/>
      <c r="L346" s="1047"/>
      <c r="M346" s="1047"/>
      <c r="N346" s="1047"/>
      <c r="O346" s="1047"/>
      <c r="P346" s="1047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047"/>
      <c r="AE346" s="1044"/>
      <c r="AF346" s="1044"/>
      <c r="AG346" s="1044"/>
      <c r="AH346" s="1044"/>
      <c r="AI346" s="1044"/>
      <c r="AJ346" s="1044"/>
      <c r="AK346" s="1044"/>
      <c r="AL346" s="1044"/>
      <c r="AM346" s="1044"/>
      <c r="AN346" s="1044"/>
      <c r="AO346" s="1044"/>
      <c r="AP346" s="1044"/>
      <c r="AQ346" s="1044"/>
      <c r="AR346" s="1044"/>
    </row>
    <row r="347" spans="1:44">
      <c r="A347" s="1044"/>
      <c r="B347" s="1044"/>
      <c r="C347" s="1044"/>
      <c r="D347" s="1221"/>
      <c r="E347" s="1044"/>
      <c r="F347" s="1044"/>
      <c r="G347" s="1044"/>
      <c r="H347" s="1044"/>
      <c r="I347" s="1044"/>
      <c r="J347" s="1047"/>
      <c r="K347" s="1047"/>
      <c r="L347" s="1047"/>
      <c r="M347" s="1047"/>
      <c r="N347" s="1047"/>
      <c r="O347" s="1047"/>
      <c r="P347" s="1047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047"/>
      <c r="AE347" s="1044"/>
      <c r="AF347" s="1044"/>
      <c r="AG347" s="1044"/>
      <c r="AH347" s="1044"/>
      <c r="AI347" s="1044"/>
      <c r="AJ347" s="1044"/>
      <c r="AK347" s="1044"/>
      <c r="AL347" s="1044"/>
      <c r="AM347" s="1044"/>
      <c r="AN347" s="1044"/>
      <c r="AO347" s="1044"/>
      <c r="AP347" s="1044"/>
      <c r="AQ347" s="1044"/>
      <c r="AR347" s="1044"/>
    </row>
    <row r="348" spans="1:44">
      <c r="A348" s="1044"/>
      <c r="B348" s="1044"/>
      <c r="C348" s="1044"/>
      <c r="D348" s="1221"/>
      <c r="E348" s="1044"/>
      <c r="F348" s="1044"/>
      <c r="G348" s="1044"/>
      <c r="H348" s="1044"/>
      <c r="I348" s="1044"/>
      <c r="J348" s="1047"/>
      <c r="K348" s="1047"/>
      <c r="L348" s="1047"/>
      <c r="M348" s="1047"/>
      <c r="N348" s="1047"/>
      <c r="O348" s="1047"/>
      <c r="P348" s="1047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047"/>
      <c r="AE348" s="1044"/>
      <c r="AF348" s="1044"/>
      <c r="AG348" s="1044"/>
      <c r="AH348" s="1044"/>
      <c r="AI348" s="1044"/>
      <c r="AJ348" s="1044"/>
      <c r="AK348" s="1044"/>
      <c r="AL348" s="1044"/>
      <c r="AM348" s="1044"/>
      <c r="AN348" s="1044"/>
      <c r="AO348" s="1044"/>
      <c r="AP348" s="1044"/>
      <c r="AQ348" s="1044"/>
      <c r="AR348" s="1044"/>
    </row>
    <row r="349" spans="1:44">
      <c r="A349" s="1044"/>
      <c r="B349" s="1044"/>
      <c r="C349" s="1044"/>
      <c r="D349" s="1221"/>
      <c r="E349" s="1044"/>
      <c r="F349" s="1044"/>
      <c r="G349" s="1044"/>
      <c r="H349" s="1044"/>
      <c r="I349" s="1044"/>
      <c r="J349" s="1047"/>
      <c r="K349" s="1047"/>
      <c r="L349" s="1047"/>
      <c r="M349" s="1047"/>
      <c r="N349" s="1047"/>
      <c r="O349" s="1047"/>
      <c r="P349" s="1047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047"/>
      <c r="AE349" s="1044"/>
      <c r="AF349" s="1044"/>
      <c r="AG349" s="1044"/>
      <c r="AH349" s="1044"/>
      <c r="AI349" s="1044"/>
      <c r="AJ349" s="1044"/>
      <c r="AK349" s="1044"/>
      <c r="AL349" s="1044"/>
      <c r="AM349" s="1044"/>
      <c r="AN349" s="1044"/>
      <c r="AO349" s="1044"/>
      <c r="AP349" s="1044"/>
      <c r="AQ349" s="1044"/>
      <c r="AR349" s="1044"/>
    </row>
    <row r="350" spans="1:44">
      <c r="A350" s="1044"/>
      <c r="B350" s="1044"/>
      <c r="C350" s="1044"/>
      <c r="D350" s="1221"/>
      <c r="E350" s="1044"/>
      <c r="F350" s="1044"/>
      <c r="G350" s="1044"/>
      <c r="H350" s="1044"/>
      <c r="I350" s="1044"/>
      <c r="J350" s="1047"/>
      <c r="K350" s="1047"/>
      <c r="L350" s="1047"/>
      <c r="M350" s="1047"/>
      <c r="N350" s="1047"/>
      <c r="O350" s="1047"/>
      <c r="P350" s="1047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047"/>
      <c r="AE350" s="1044"/>
      <c r="AF350" s="1044"/>
      <c r="AG350" s="1044"/>
      <c r="AH350" s="1044"/>
      <c r="AI350" s="1044"/>
      <c r="AJ350" s="1044"/>
      <c r="AK350" s="1044"/>
      <c r="AL350" s="1044"/>
      <c r="AM350" s="1044"/>
      <c r="AN350" s="1044"/>
      <c r="AO350" s="1044"/>
      <c r="AP350" s="1044"/>
      <c r="AQ350" s="1044"/>
      <c r="AR350" s="1044"/>
    </row>
    <row r="351" spans="1:44">
      <c r="A351" s="1044"/>
      <c r="B351" s="1044"/>
      <c r="C351" s="1044"/>
      <c r="D351" s="1221"/>
      <c r="E351" s="1044"/>
      <c r="F351" s="1044"/>
      <c r="G351" s="1044"/>
      <c r="H351" s="1044"/>
      <c r="I351" s="1044"/>
      <c r="J351" s="1047"/>
      <c r="K351" s="1047"/>
      <c r="L351" s="1047"/>
      <c r="M351" s="1047"/>
      <c r="N351" s="1047"/>
      <c r="O351" s="1047"/>
      <c r="P351" s="1047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047"/>
      <c r="AE351" s="1044"/>
      <c r="AF351" s="1044"/>
      <c r="AG351" s="1044"/>
      <c r="AH351" s="1044"/>
      <c r="AI351" s="1044"/>
      <c r="AJ351" s="1044"/>
      <c r="AK351" s="1044"/>
      <c r="AL351" s="1044"/>
      <c r="AM351" s="1044"/>
      <c r="AN351" s="1044"/>
      <c r="AO351" s="1044"/>
      <c r="AP351" s="1044"/>
      <c r="AQ351" s="1044"/>
      <c r="AR351" s="1044"/>
    </row>
    <row r="352" spans="1:44">
      <c r="A352" s="1044"/>
      <c r="B352" s="1044"/>
      <c r="C352" s="1044"/>
      <c r="D352" s="1221"/>
      <c r="E352" s="1044"/>
      <c r="F352" s="1044"/>
      <c r="G352" s="1044"/>
      <c r="H352" s="1044"/>
      <c r="I352" s="1044"/>
      <c r="J352" s="1047"/>
      <c r="K352" s="1047"/>
      <c r="L352" s="1047"/>
      <c r="M352" s="1047"/>
      <c r="N352" s="1047"/>
      <c r="O352" s="1047"/>
      <c r="P352" s="1047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047"/>
      <c r="AE352" s="1044"/>
      <c r="AF352" s="1044"/>
      <c r="AG352" s="1044"/>
      <c r="AH352" s="1044"/>
      <c r="AI352" s="1044"/>
      <c r="AJ352" s="1044"/>
      <c r="AK352" s="1044"/>
      <c r="AL352" s="1044"/>
      <c r="AM352" s="1044"/>
      <c r="AN352" s="1044"/>
      <c r="AO352" s="1044"/>
      <c r="AP352" s="1044"/>
      <c r="AQ352" s="1044"/>
      <c r="AR352" s="1044"/>
    </row>
    <row r="353" spans="1:44">
      <c r="A353" s="1044"/>
      <c r="B353" s="1044"/>
      <c r="C353" s="1044"/>
      <c r="D353" s="1221"/>
      <c r="E353" s="1044"/>
      <c r="F353" s="1044"/>
      <c r="G353" s="1044"/>
      <c r="H353" s="1044"/>
      <c r="I353" s="1044"/>
      <c r="J353" s="1047"/>
      <c r="K353" s="1047"/>
      <c r="L353" s="1047"/>
      <c r="M353" s="1047"/>
      <c r="N353" s="1047"/>
      <c r="O353" s="1047"/>
      <c r="P353" s="1047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047"/>
      <c r="AE353" s="1044"/>
      <c r="AF353" s="1044"/>
      <c r="AG353" s="1044"/>
      <c r="AH353" s="1044"/>
      <c r="AI353" s="1044"/>
      <c r="AJ353" s="1044"/>
      <c r="AK353" s="1044"/>
      <c r="AL353" s="1044"/>
      <c r="AM353" s="1044"/>
      <c r="AN353" s="1044"/>
      <c r="AO353" s="1044"/>
      <c r="AP353" s="1044"/>
      <c r="AQ353" s="1044"/>
      <c r="AR353" s="1044"/>
    </row>
    <row r="354" spans="1:44">
      <c r="A354" s="1044"/>
      <c r="B354" s="1044"/>
      <c r="C354" s="1044"/>
      <c r="D354" s="1221"/>
      <c r="E354" s="1044"/>
      <c r="F354" s="1044"/>
      <c r="G354" s="1044"/>
      <c r="H354" s="1044"/>
      <c r="I354" s="1044"/>
      <c r="J354" s="1047"/>
      <c r="K354" s="1047"/>
      <c r="L354" s="1047"/>
      <c r="M354" s="1047"/>
      <c r="N354" s="1047"/>
      <c r="O354" s="1047"/>
      <c r="P354" s="1047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047"/>
      <c r="AE354" s="1044"/>
      <c r="AF354" s="1044"/>
      <c r="AG354" s="1044"/>
      <c r="AH354" s="1044"/>
      <c r="AI354" s="1044"/>
      <c r="AJ354" s="1044"/>
      <c r="AK354" s="1044"/>
      <c r="AL354" s="1044"/>
      <c r="AM354" s="1044"/>
      <c r="AN354" s="1044"/>
      <c r="AO354" s="1044"/>
      <c r="AP354" s="1044"/>
      <c r="AQ354" s="1044"/>
      <c r="AR354" s="1044"/>
    </row>
    <row r="355" spans="1:44">
      <c r="A355" s="1044"/>
      <c r="B355" s="1044"/>
      <c r="C355" s="1044"/>
      <c r="D355" s="1221"/>
      <c r="E355" s="1044"/>
      <c r="F355" s="1044"/>
      <c r="G355" s="1044"/>
      <c r="H355" s="1044"/>
      <c r="I355" s="1044"/>
      <c r="J355" s="1047"/>
      <c r="K355" s="1047"/>
      <c r="L355" s="1047"/>
      <c r="M355" s="1047"/>
      <c r="N355" s="1047"/>
      <c r="O355" s="1047"/>
      <c r="P355" s="1047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047"/>
      <c r="AE355" s="1044"/>
      <c r="AF355" s="1044"/>
      <c r="AG355" s="1044"/>
      <c r="AH355" s="1044"/>
      <c r="AI355" s="1044"/>
      <c r="AJ355" s="1044"/>
      <c r="AK355" s="1044"/>
      <c r="AL355" s="1044"/>
      <c r="AM355" s="1044"/>
      <c r="AN355" s="1044"/>
      <c r="AO355" s="1044"/>
      <c r="AP355" s="1044"/>
      <c r="AQ355" s="1044"/>
      <c r="AR355" s="1044"/>
    </row>
    <row r="356" spans="1:44">
      <c r="A356" s="1044"/>
      <c r="B356" s="1044"/>
      <c r="C356" s="1044"/>
      <c r="D356" s="1221"/>
      <c r="E356" s="1044"/>
      <c r="F356" s="1044"/>
      <c r="G356" s="1044"/>
      <c r="H356" s="1044"/>
      <c r="I356" s="1044"/>
      <c r="J356" s="1047"/>
      <c r="K356" s="1047"/>
      <c r="L356" s="1047"/>
      <c r="M356" s="1047"/>
      <c r="N356" s="1047"/>
      <c r="O356" s="1047"/>
      <c r="P356" s="1047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047"/>
      <c r="AE356" s="1044"/>
      <c r="AF356" s="1044"/>
      <c r="AG356" s="1044"/>
      <c r="AH356" s="1044"/>
      <c r="AI356" s="1044"/>
      <c r="AJ356" s="1044"/>
      <c r="AK356" s="1044"/>
      <c r="AL356" s="1044"/>
      <c r="AM356" s="1044"/>
      <c r="AN356" s="1044"/>
      <c r="AO356" s="1044"/>
      <c r="AP356" s="1044"/>
      <c r="AQ356" s="1044"/>
      <c r="AR356" s="1044"/>
    </row>
    <row r="357" spans="1:44">
      <c r="A357" s="1044"/>
      <c r="B357" s="1044"/>
      <c r="C357" s="1044"/>
      <c r="D357" s="1221"/>
      <c r="E357" s="1044"/>
      <c r="F357" s="1044"/>
      <c r="G357" s="1044"/>
      <c r="H357" s="1044"/>
      <c r="I357" s="1044"/>
      <c r="J357" s="1047"/>
      <c r="K357" s="1047"/>
      <c r="L357" s="1047"/>
      <c r="M357" s="1047"/>
      <c r="N357" s="1047"/>
      <c r="O357" s="1047"/>
      <c r="P357" s="1047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047"/>
      <c r="AE357" s="1044"/>
      <c r="AF357" s="1044"/>
      <c r="AG357" s="1044"/>
      <c r="AH357" s="1044"/>
      <c r="AI357" s="1044"/>
      <c r="AJ357" s="1044"/>
      <c r="AK357" s="1044"/>
      <c r="AL357" s="1044"/>
      <c r="AM357" s="1044"/>
      <c r="AN357" s="1044"/>
      <c r="AO357" s="1044"/>
      <c r="AP357" s="1044"/>
      <c r="AQ357" s="1044"/>
      <c r="AR357" s="1044"/>
    </row>
    <row r="358" spans="1:44">
      <c r="A358" s="1044"/>
      <c r="B358" s="1044"/>
      <c r="C358" s="1044"/>
      <c r="D358" s="1221"/>
      <c r="E358" s="1044"/>
      <c r="F358" s="1044"/>
      <c r="G358" s="1044"/>
      <c r="H358" s="1044"/>
      <c r="I358" s="1044"/>
      <c r="J358" s="1047"/>
      <c r="K358" s="1047"/>
      <c r="L358" s="1047"/>
      <c r="M358" s="1047"/>
      <c r="N358" s="1047"/>
      <c r="O358" s="1047"/>
      <c r="P358" s="1047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047"/>
      <c r="AE358" s="1044"/>
      <c r="AF358" s="1044"/>
      <c r="AG358" s="1044"/>
      <c r="AH358" s="1044"/>
      <c r="AI358" s="1044"/>
      <c r="AJ358" s="1044"/>
      <c r="AK358" s="1044"/>
      <c r="AL358" s="1044"/>
      <c r="AM358" s="1044"/>
      <c r="AN358" s="1044"/>
      <c r="AO358" s="1044"/>
      <c r="AP358" s="1044"/>
      <c r="AQ358" s="1044"/>
      <c r="AR358" s="1044"/>
    </row>
    <row r="359" spans="1:44">
      <c r="A359" s="1044"/>
      <c r="B359" s="1044"/>
      <c r="C359" s="1044"/>
      <c r="D359" s="1221"/>
      <c r="E359" s="1044"/>
      <c r="F359" s="1044"/>
      <c r="G359" s="1044"/>
      <c r="H359" s="1044"/>
      <c r="I359" s="1044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4"/>
      <c r="AF359" s="1044"/>
      <c r="AG359" s="1044"/>
      <c r="AH359" s="1044"/>
      <c r="AI359" s="1044"/>
      <c r="AJ359" s="1044"/>
      <c r="AK359" s="1044"/>
      <c r="AL359" s="1044"/>
      <c r="AM359" s="1044"/>
      <c r="AN359" s="1044"/>
      <c r="AO359" s="1044"/>
      <c r="AP359" s="1044"/>
      <c r="AQ359" s="1044"/>
      <c r="AR359" s="1044"/>
    </row>
    <row r="360" spans="1:44">
      <c r="A360" s="1044"/>
      <c r="B360" s="1044"/>
      <c r="C360" s="1044"/>
      <c r="D360" s="1221"/>
      <c r="E360" s="1044"/>
      <c r="F360" s="1044"/>
      <c r="G360" s="1044"/>
      <c r="H360" s="1044"/>
      <c r="I360" s="1044"/>
      <c r="J360" s="1047"/>
      <c r="K360" s="1047"/>
      <c r="L360" s="1047"/>
      <c r="M360" s="1047"/>
      <c r="N360" s="1047"/>
      <c r="O360" s="1047"/>
      <c r="P360" s="1047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047"/>
      <c r="AE360" s="1044"/>
      <c r="AF360" s="1044"/>
      <c r="AG360" s="1044"/>
      <c r="AH360" s="1044"/>
      <c r="AI360" s="1044"/>
      <c r="AJ360" s="1044"/>
      <c r="AK360" s="1044"/>
      <c r="AL360" s="1044"/>
      <c r="AM360" s="1044"/>
      <c r="AN360" s="1044"/>
      <c r="AO360" s="1044"/>
      <c r="AP360" s="1044"/>
      <c r="AQ360" s="1044"/>
      <c r="AR360" s="1044"/>
    </row>
    <row r="361" spans="1:44">
      <c r="A361" s="1044"/>
      <c r="B361" s="1044"/>
      <c r="C361" s="1044"/>
      <c r="D361" s="1221"/>
      <c r="E361" s="1044"/>
      <c r="F361" s="1044"/>
      <c r="G361" s="1044"/>
      <c r="H361" s="1044"/>
      <c r="I361" s="1044"/>
      <c r="J361" s="1047"/>
      <c r="K361" s="1047"/>
      <c r="L361" s="1047"/>
      <c r="M361" s="1047"/>
      <c r="N361" s="1047"/>
      <c r="O361" s="1047"/>
      <c r="P361" s="1047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047"/>
      <c r="AE361" s="1044"/>
      <c r="AF361" s="1044"/>
      <c r="AG361" s="1044"/>
      <c r="AH361" s="1044"/>
      <c r="AI361" s="1044"/>
      <c r="AJ361" s="1044"/>
      <c r="AK361" s="1044"/>
      <c r="AL361" s="1044"/>
      <c r="AM361" s="1044"/>
      <c r="AN361" s="1044"/>
      <c r="AO361" s="1044"/>
      <c r="AP361" s="1044"/>
      <c r="AQ361" s="1044"/>
      <c r="AR361" s="1044"/>
    </row>
    <row r="362" spans="1:44">
      <c r="A362" s="1044"/>
      <c r="B362" s="1044"/>
      <c r="C362" s="1044"/>
      <c r="D362" s="1221"/>
      <c r="E362" s="1044"/>
      <c r="F362" s="1044"/>
      <c r="G362" s="1044"/>
      <c r="H362" s="1044"/>
      <c r="I362" s="1044"/>
      <c r="J362" s="1047"/>
      <c r="K362" s="1047"/>
      <c r="L362" s="1047"/>
      <c r="M362" s="1047"/>
      <c r="N362" s="1047"/>
      <c r="O362" s="1047"/>
      <c r="P362" s="1047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047"/>
      <c r="AE362" s="1044"/>
      <c r="AF362" s="1044"/>
      <c r="AG362" s="1044"/>
      <c r="AH362" s="1044"/>
      <c r="AI362" s="1044"/>
      <c r="AJ362" s="1044"/>
      <c r="AK362" s="1044"/>
      <c r="AL362" s="1044"/>
      <c r="AM362" s="1044"/>
      <c r="AN362" s="1044"/>
      <c r="AO362" s="1044"/>
      <c r="AP362" s="1044"/>
      <c r="AQ362" s="1044"/>
      <c r="AR362" s="1044"/>
    </row>
    <row r="363" spans="1:44">
      <c r="A363" s="1044"/>
      <c r="B363" s="1044"/>
      <c r="C363" s="1044"/>
      <c r="D363" s="1221"/>
      <c r="E363" s="1044"/>
      <c r="F363" s="1044"/>
      <c r="G363" s="1044"/>
      <c r="H363" s="1044"/>
      <c r="I363" s="1044"/>
      <c r="J363" s="1047"/>
      <c r="K363" s="1047"/>
      <c r="L363" s="1047"/>
      <c r="M363" s="1047"/>
      <c r="N363" s="1047"/>
      <c r="O363" s="1047"/>
      <c r="P363" s="1047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047"/>
      <c r="AE363" s="1044"/>
      <c r="AF363" s="1044"/>
      <c r="AG363" s="1044"/>
      <c r="AH363" s="1044"/>
      <c r="AI363" s="1044"/>
      <c r="AJ363" s="1044"/>
      <c r="AK363" s="1044"/>
      <c r="AL363" s="1044"/>
      <c r="AM363" s="1044"/>
      <c r="AN363" s="1044"/>
      <c r="AO363" s="1044"/>
      <c r="AP363" s="1044"/>
      <c r="AQ363" s="1044"/>
      <c r="AR363" s="1044"/>
    </row>
    <row r="364" spans="1:44">
      <c r="A364" s="1044"/>
      <c r="B364" s="1044"/>
      <c r="C364" s="1044"/>
      <c r="D364" s="1221"/>
      <c r="E364" s="1044"/>
      <c r="F364" s="1044"/>
      <c r="G364" s="1044"/>
      <c r="H364" s="1044"/>
      <c r="I364" s="1044"/>
      <c r="J364" s="1047"/>
      <c r="K364" s="1047"/>
      <c r="L364" s="1047"/>
      <c r="M364" s="1047"/>
      <c r="N364" s="1047"/>
      <c r="O364" s="1047"/>
      <c r="P364" s="1047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047"/>
      <c r="AE364" s="1044"/>
      <c r="AF364" s="1044"/>
      <c r="AG364" s="1044"/>
      <c r="AH364" s="1044"/>
      <c r="AI364" s="1044"/>
      <c r="AJ364" s="1044"/>
      <c r="AK364" s="1044"/>
      <c r="AL364" s="1044"/>
      <c r="AM364" s="1044"/>
      <c r="AN364" s="1044"/>
      <c r="AO364" s="1044"/>
      <c r="AP364" s="1044"/>
      <c r="AQ364" s="1044"/>
      <c r="AR364" s="1044"/>
    </row>
    <row r="365" spans="1:44">
      <c r="A365" s="1044"/>
      <c r="B365" s="1044"/>
      <c r="C365" s="1044"/>
      <c r="D365" s="1221"/>
      <c r="E365" s="1044"/>
      <c r="F365" s="1044"/>
      <c r="G365" s="1044"/>
      <c r="H365" s="1044"/>
      <c r="I365" s="1044"/>
      <c r="J365" s="1047"/>
      <c r="K365" s="1047"/>
      <c r="L365" s="1047"/>
      <c r="M365" s="1047"/>
      <c r="N365" s="1047"/>
      <c r="O365" s="1047"/>
      <c r="P365" s="1047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047"/>
      <c r="AE365" s="1044"/>
      <c r="AF365" s="1044"/>
      <c r="AG365" s="1044"/>
      <c r="AH365" s="1044"/>
      <c r="AI365" s="1044"/>
      <c r="AJ365" s="1044"/>
      <c r="AK365" s="1044"/>
      <c r="AL365" s="1044"/>
      <c r="AM365" s="1044"/>
      <c r="AN365" s="1044"/>
      <c r="AO365" s="1044"/>
      <c r="AP365" s="1044"/>
      <c r="AQ365" s="1044"/>
      <c r="AR365" s="1044"/>
    </row>
    <row r="366" spans="1:44">
      <c r="A366" s="1044"/>
      <c r="B366" s="1044"/>
      <c r="C366" s="1044"/>
      <c r="D366" s="1221"/>
      <c r="E366" s="1044"/>
      <c r="F366" s="1044"/>
      <c r="G366" s="1044"/>
      <c r="H366" s="1044"/>
      <c r="I366" s="1044"/>
      <c r="J366" s="1047"/>
      <c r="K366" s="1047"/>
      <c r="L366" s="1047"/>
      <c r="M366" s="1047"/>
      <c r="N366" s="1047"/>
      <c r="O366" s="1047"/>
      <c r="P366" s="1047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047"/>
      <c r="AE366" s="1044"/>
      <c r="AF366" s="1044"/>
      <c r="AG366" s="1044"/>
      <c r="AH366" s="1044"/>
      <c r="AI366" s="1044"/>
      <c r="AJ366" s="1044"/>
      <c r="AK366" s="1044"/>
      <c r="AL366" s="1044"/>
      <c r="AM366" s="1044"/>
      <c r="AN366" s="1044"/>
      <c r="AO366" s="1044"/>
      <c r="AP366" s="1044"/>
      <c r="AQ366" s="1044"/>
      <c r="AR366" s="1044"/>
    </row>
    <row r="367" spans="1:44">
      <c r="A367" s="1044"/>
      <c r="B367" s="1044"/>
      <c r="C367" s="1044"/>
      <c r="D367" s="1221"/>
      <c r="E367" s="1044"/>
      <c r="F367" s="1044"/>
      <c r="G367" s="1044"/>
      <c r="H367" s="1044"/>
      <c r="I367" s="1044"/>
      <c r="J367" s="1047"/>
      <c r="K367" s="1047"/>
      <c r="L367" s="1047"/>
      <c r="M367" s="1047"/>
      <c r="N367" s="1047"/>
      <c r="O367" s="1047"/>
      <c r="P367" s="1047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047"/>
      <c r="AE367" s="1044"/>
      <c r="AF367" s="1044"/>
      <c r="AG367" s="1044"/>
      <c r="AH367" s="1044"/>
      <c r="AI367" s="1044"/>
      <c r="AJ367" s="1044"/>
      <c r="AK367" s="1044"/>
      <c r="AL367" s="1044"/>
      <c r="AM367" s="1044"/>
      <c r="AN367" s="1044"/>
      <c r="AO367" s="1044"/>
      <c r="AP367" s="1044"/>
      <c r="AQ367" s="1044"/>
      <c r="AR367" s="1044"/>
    </row>
    <row r="368" spans="1:44">
      <c r="A368" s="1044"/>
      <c r="B368" s="1044"/>
      <c r="C368" s="1044"/>
      <c r="D368" s="1221"/>
      <c r="E368" s="1044"/>
      <c r="F368" s="1044"/>
      <c r="G368" s="1044"/>
      <c r="H368" s="1044"/>
      <c r="I368" s="1044"/>
      <c r="J368" s="1047"/>
      <c r="K368" s="1047"/>
      <c r="L368" s="1047"/>
      <c r="M368" s="1047"/>
      <c r="N368" s="1047"/>
      <c r="O368" s="1047"/>
      <c r="P368" s="1047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047"/>
      <c r="AE368" s="1044"/>
      <c r="AF368" s="1044"/>
      <c r="AG368" s="1044"/>
      <c r="AH368" s="1044"/>
      <c r="AI368" s="1044"/>
      <c r="AJ368" s="1044"/>
      <c r="AK368" s="1044"/>
      <c r="AL368" s="1044"/>
      <c r="AM368" s="1044"/>
      <c r="AN368" s="1044"/>
      <c r="AO368" s="1044"/>
      <c r="AP368" s="1044"/>
      <c r="AQ368" s="1044"/>
      <c r="AR368" s="1044"/>
    </row>
    <row r="369" spans="1:44">
      <c r="A369" s="1044"/>
      <c r="B369" s="1044"/>
      <c r="C369" s="1044"/>
      <c r="D369" s="1221"/>
      <c r="E369" s="1044"/>
      <c r="F369" s="1044"/>
      <c r="G369" s="1044"/>
      <c r="H369" s="1044"/>
      <c r="I369" s="1044"/>
      <c r="J369" s="1047"/>
      <c r="K369" s="1047"/>
      <c r="L369" s="1047"/>
      <c r="M369" s="1047"/>
      <c r="N369" s="1047"/>
      <c r="O369" s="1047"/>
      <c r="P369" s="1047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047"/>
      <c r="AE369" s="1044"/>
      <c r="AF369" s="1044"/>
      <c r="AG369" s="1044"/>
      <c r="AH369" s="1044"/>
      <c r="AI369" s="1044"/>
      <c r="AJ369" s="1044"/>
      <c r="AK369" s="1044"/>
      <c r="AL369" s="1044"/>
      <c r="AM369" s="1044"/>
      <c r="AN369" s="1044"/>
      <c r="AO369" s="1044"/>
      <c r="AP369" s="1044"/>
      <c r="AQ369" s="1044"/>
      <c r="AR369" s="1044"/>
    </row>
    <row r="370" spans="1:44">
      <c r="A370" s="1044"/>
      <c r="B370" s="1044"/>
      <c r="C370" s="1044"/>
      <c r="D370" s="1221"/>
      <c r="E370" s="1044"/>
      <c r="F370" s="1044"/>
      <c r="G370" s="1044"/>
      <c r="H370" s="1044"/>
      <c r="I370" s="1044"/>
      <c r="J370" s="1047"/>
      <c r="K370" s="1047"/>
      <c r="L370" s="1047"/>
      <c r="M370" s="1047"/>
      <c r="N370" s="1047"/>
      <c r="O370" s="1047"/>
      <c r="P370" s="1047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047"/>
      <c r="AE370" s="1044"/>
      <c r="AF370" s="1044"/>
      <c r="AG370" s="1044"/>
      <c r="AH370" s="1044"/>
      <c r="AI370" s="1044"/>
      <c r="AJ370" s="1044"/>
      <c r="AK370" s="1044"/>
      <c r="AL370" s="1044"/>
      <c r="AM370" s="1044"/>
      <c r="AN370" s="1044"/>
      <c r="AO370" s="1044"/>
      <c r="AP370" s="1044"/>
      <c r="AQ370" s="1044"/>
      <c r="AR370" s="1044"/>
    </row>
    <row r="371" spans="1:44">
      <c r="A371" s="1044"/>
      <c r="B371" s="1044"/>
      <c r="C371" s="1044"/>
      <c r="D371" s="1221"/>
      <c r="E371" s="1044"/>
      <c r="F371" s="1044"/>
      <c r="G371" s="1044"/>
      <c r="H371" s="1044"/>
      <c r="I371" s="1044"/>
      <c r="J371" s="1047"/>
      <c r="K371" s="1047"/>
      <c r="L371" s="1047"/>
      <c r="M371" s="1047"/>
      <c r="N371" s="1047"/>
      <c r="O371" s="1047"/>
      <c r="P371" s="1047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047"/>
      <c r="AE371" s="1044"/>
      <c r="AF371" s="1044"/>
      <c r="AG371" s="1044"/>
      <c r="AH371" s="1044"/>
      <c r="AI371" s="1044"/>
      <c r="AJ371" s="1044"/>
      <c r="AK371" s="1044"/>
      <c r="AL371" s="1044"/>
      <c r="AM371" s="1044"/>
      <c r="AN371" s="1044"/>
      <c r="AO371" s="1044"/>
      <c r="AP371" s="1044"/>
      <c r="AQ371" s="1044"/>
      <c r="AR371" s="1044"/>
    </row>
    <row r="372" spans="1:44">
      <c r="A372" s="1044"/>
      <c r="B372" s="1044"/>
      <c r="C372" s="1044"/>
      <c r="D372" s="1221"/>
      <c r="E372" s="1044"/>
      <c r="F372" s="1044"/>
      <c r="G372" s="1044"/>
      <c r="H372" s="1044"/>
      <c r="I372" s="1044"/>
      <c r="J372" s="1047"/>
      <c r="K372" s="1047"/>
      <c r="L372" s="1047"/>
      <c r="M372" s="1047"/>
      <c r="N372" s="1047"/>
      <c r="O372" s="1047"/>
      <c r="P372" s="1047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047"/>
      <c r="AE372" s="1044"/>
      <c r="AF372" s="1044"/>
      <c r="AG372" s="1044"/>
      <c r="AH372" s="1044"/>
      <c r="AI372" s="1044"/>
      <c r="AJ372" s="1044"/>
      <c r="AK372" s="1044"/>
      <c r="AL372" s="1044"/>
      <c r="AM372" s="1044"/>
      <c r="AN372" s="1044"/>
      <c r="AO372" s="1044"/>
      <c r="AP372" s="1044"/>
      <c r="AQ372" s="1044"/>
      <c r="AR372" s="1044"/>
    </row>
    <row r="373" spans="1:44">
      <c r="A373" s="1044"/>
      <c r="B373" s="1044"/>
      <c r="C373" s="1044"/>
      <c r="D373" s="1221"/>
      <c r="E373" s="1044"/>
      <c r="F373" s="1044"/>
      <c r="G373" s="1044"/>
      <c r="H373" s="1044"/>
      <c r="I373" s="1044"/>
      <c r="J373" s="1047"/>
      <c r="K373" s="1047"/>
      <c r="L373" s="1047"/>
      <c r="M373" s="1047"/>
      <c r="N373" s="1047"/>
      <c r="O373" s="1047"/>
      <c r="P373" s="1047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047"/>
      <c r="AE373" s="1044"/>
      <c r="AF373" s="1044"/>
      <c r="AG373" s="1044"/>
      <c r="AH373" s="1044"/>
      <c r="AI373" s="1044"/>
      <c r="AJ373" s="1044"/>
      <c r="AK373" s="1044"/>
      <c r="AL373" s="1044"/>
      <c r="AM373" s="1044"/>
      <c r="AN373" s="1044"/>
      <c r="AO373" s="1044"/>
      <c r="AP373" s="1044"/>
      <c r="AQ373" s="1044"/>
      <c r="AR373" s="1044"/>
    </row>
    <row r="374" spans="1:44">
      <c r="A374" s="1044"/>
      <c r="B374" s="1044"/>
      <c r="C374" s="1044"/>
      <c r="D374" s="1221"/>
      <c r="E374" s="1044"/>
      <c r="F374" s="1044"/>
      <c r="G374" s="1044"/>
      <c r="H374" s="1044"/>
      <c r="I374" s="1044"/>
      <c r="J374" s="1047"/>
      <c r="K374" s="1047"/>
      <c r="L374" s="1047"/>
      <c r="M374" s="1047"/>
      <c r="N374" s="1047"/>
      <c r="O374" s="1047"/>
      <c r="P374" s="1047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047"/>
      <c r="AE374" s="1044"/>
      <c r="AF374" s="1044"/>
      <c r="AG374" s="1044"/>
      <c r="AH374" s="1044"/>
      <c r="AI374" s="1044"/>
      <c r="AJ374" s="1044"/>
      <c r="AK374" s="1044"/>
      <c r="AL374" s="1044"/>
      <c r="AM374" s="1044"/>
      <c r="AN374" s="1044"/>
      <c r="AO374" s="1044"/>
      <c r="AP374" s="1044"/>
      <c r="AQ374" s="1044"/>
      <c r="AR374" s="1044"/>
    </row>
    <row r="375" spans="1:44">
      <c r="A375" s="1044"/>
      <c r="B375" s="1044"/>
      <c r="C375" s="1044"/>
      <c r="D375" s="1221"/>
      <c r="E375" s="1044"/>
      <c r="F375" s="1044"/>
      <c r="G375" s="1044"/>
      <c r="H375" s="1044"/>
      <c r="I375" s="1044"/>
      <c r="J375" s="1047"/>
      <c r="K375" s="1047"/>
      <c r="L375" s="1047"/>
      <c r="M375" s="1047"/>
      <c r="N375" s="1047"/>
      <c r="O375" s="1047"/>
      <c r="P375" s="1047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047"/>
      <c r="AE375" s="1044"/>
      <c r="AF375" s="1044"/>
      <c r="AG375" s="1044"/>
      <c r="AH375" s="1044"/>
      <c r="AI375" s="1044"/>
      <c r="AJ375" s="1044"/>
      <c r="AK375" s="1044"/>
      <c r="AL375" s="1044"/>
      <c r="AM375" s="1044"/>
      <c r="AN375" s="1044"/>
      <c r="AO375" s="1044"/>
      <c r="AP375" s="1044"/>
      <c r="AQ375" s="1044"/>
      <c r="AR375" s="1044"/>
    </row>
    <row r="376" spans="1:44">
      <c r="A376" s="1044"/>
      <c r="B376" s="1044"/>
      <c r="C376" s="1044"/>
      <c r="D376" s="1221"/>
      <c r="E376" s="1044"/>
      <c r="F376" s="1044"/>
      <c r="G376" s="1044"/>
      <c r="H376" s="1044"/>
      <c r="I376" s="1044"/>
      <c r="J376" s="1047"/>
      <c r="K376" s="1047"/>
      <c r="L376" s="1047"/>
      <c r="M376" s="1047"/>
      <c r="N376" s="1047"/>
      <c r="O376" s="1047"/>
      <c r="P376" s="1047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047"/>
      <c r="AE376" s="1044"/>
      <c r="AF376" s="1044"/>
      <c r="AG376" s="1044"/>
      <c r="AH376" s="1044"/>
      <c r="AI376" s="1044"/>
      <c r="AJ376" s="1044"/>
      <c r="AK376" s="1044"/>
      <c r="AL376" s="1044"/>
      <c r="AM376" s="1044"/>
      <c r="AN376" s="1044"/>
      <c r="AO376" s="1044"/>
      <c r="AP376" s="1044"/>
      <c r="AQ376" s="1044"/>
      <c r="AR376" s="1044"/>
    </row>
    <row r="377" spans="1:44">
      <c r="A377" s="1044"/>
      <c r="B377" s="1044"/>
      <c r="C377" s="1044"/>
      <c r="D377" s="1221"/>
      <c r="E377" s="1044"/>
      <c r="F377" s="1044"/>
      <c r="G377" s="1044"/>
      <c r="H377" s="1044"/>
      <c r="I377" s="1044"/>
      <c r="J377" s="1047"/>
      <c r="K377" s="1047"/>
      <c r="L377" s="1047"/>
      <c r="M377" s="1047"/>
      <c r="N377" s="1047"/>
      <c r="O377" s="1047"/>
      <c r="P377" s="1047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047"/>
      <c r="AE377" s="1044"/>
      <c r="AF377" s="1044"/>
      <c r="AG377" s="1044"/>
      <c r="AH377" s="1044"/>
      <c r="AI377" s="1044"/>
      <c r="AJ377" s="1044"/>
      <c r="AK377" s="1044"/>
      <c r="AL377" s="1044"/>
      <c r="AM377" s="1044"/>
      <c r="AN377" s="1044"/>
      <c r="AO377" s="1044"/>
      <c r="AP377" s="1044"/>
      <c r="AQ377" s="1044"/>
      <c r="AR377" s="1044"/>
    </row>
    <row r="378" spans="1:44">
      <c r="A378" s="1044"/>
      <c r="B378" s="1044"/>
      <c r="C378" s="1044"/>
      <c r="D378" s="1221"/>
      <c r="E378" s="1044"/>
      <c r="F378" s="1044"/>
      <c r="G378" s="1044"/>
      <c r="H378" s="1044"/>
      <c r="I378" s="1044"/>
      <c r="J378" s="1047"/>
      <c r="K378" s="1047"/>
      <c r="L378" s="1047"/>
      <c r="M378" s="1047"/>
      <c r="N378" s="1047"/>
      <c r="O378" s="1047"/>
      <c r="P378" s="1047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047"/>
      <c r="AE378" s="1044"/>
      <c r="AF378" s="1044"/>
      <c r="AG378" s="1044"/>
      <c r="AH378" s="1044"/>
      <c r="AI378" s="1044"/>
      <c r="AJ378" s="1044"/>
      <c r="AK378" s="1044"/>
      <c r="AL378" s="1044"/>
      <c r="AM378" s="1044"/>
      <c r="AN378" s="1044"/>
      <c r="AO378" s="1044"/>
      <c r="AP378" s="1044"/>
      <c r="AQ378" s="1044"/>
      <c r="AR378" s="1044"/>
    </row>
    <row r="379" spans="1:44">
      <c r="A379" s="1044"/>
      <c r="B379" s="1044"/>
      <c r="C379" s="1044"/>
      <c r="D379" s="1221"/>
      <c r="E379" s="1044"/>
      <c r="F379" s="1044"/>
      <c r="G379" s="1044"/>
      <c r="H379" s="1044"/>
      <c r="I379" s="1044"/>
      <c r="J379" s="1047"/>
      <c r="K379" s="1047"/>
      <c r="L379" s="1047"/>
      <c r="M379" s="1047"/>
      <c r="N379" s="1047"/>
      <c r="O379" s="1047"/>
      <c r="P379" s="1047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047"/>
      <c r="AE379" s="1044"/>
      <c r="AF379" s="1044"/>
      <c r="AG379" s="1044"/>
      <c r="AH379" s="1044"/>
      <c r="AI379" s="1044"/>
      <c r="AJ379" s="1044"/>
      <c r="AK379" s="1044"/>
      <c r="AL379" s="1044"/>
      <c r="AM379" s="1044"/>
      <c r="AN379" s="1044"/>
      <c r="AO379" s="1044"/>
      <c r="AP379" s="1044"/>
      <c r="AQ379" s="1044"/>
      <c r="AR379" s="1044"/>
    </row>
    <row r="380" spans="1:44">
      <c r="A380" s="1044"/>
      <c r="B380" s="1044"/>
      <c r="C380" s="1044"/>
      <c r="D380" s="1221"/>
      <c r="E380" s="1044"/>
      <c r="F380" s="1044"/>
      <c r="G380" s="1044"/>
      <c r="H380" s="1044"/>
      <c r="I380" s="1044"/>
      <c r="J380" s="1047"/>
      <c r="K380" s="1047"/>
      <c r="L380" s="1047"/>
      <c r="M380" s="1047"/>
      <c r="N380" s="1047"/>
      <c r="O380" s="1047"/>
      <c r="P380" s="1047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047"/>
      <c r="AE380" s="1044"/>
      <c r="AF380" s="1044"/>
      <c r="AG380" s="1044"/>
      <c r="AH380" s="1044"/>
      <c r="AI380" s="1044"/>
      <c r="AJ380" s="1044"/>
      <c r="AK380" s="1044"/>
      <c r="AL380" s="1044"/>
      <c r="AM380" s="1044"/>
      <c r="AN380" s="1044"/>
      <c r="AO380" s="1044"/>
      <c r="AP380" s="1044"/>
      <c r="AQ380" s="1044"/>
      <c r="AR380" s="1044"/>
    </row>
    <row r="381" spans="1:44">
      <c r="A381" s="1044"/>
      <c r="B381" s="1044"/>
      <c r="C381" s="1044"/>
      <c r="D381" s="1221"/>
      <c r="E381" s="1044"/>
      <c r="F381" s="1044"/>
      <c r="G381" s="1044"/>
      <c r="H381" s="1044"/>
      <c r="I381" s="1044"/>
      <c r="J381" s="1047"/>
      <c r="K381" s="1047"/>
      <c r="L381" s="1047"/>
      <c r="M381" s="1047"/>
      <c r="N381" s="1047"/>
      <c r="O381" s="1047"/>
      <c r="P381" s="1047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047"/>
      <c r="AE381" s="1044"/>
      <c r="AF381" s="1044"/>
      <c r="AG381" s="1044"/>
      <c r="AH381" s="1044"/>
      <c r="AI381" s="1044"/>
      <c r="AJ381" s="1044"/>
      <c r="AK381" s="1044"/>
      <c r="AL381" s="1044"/>
      <c r="AM381" s="1044"/>
      <c r="AN381" s="1044"/>
      <c r="AO381" s="1044"/>
      <c r="AP381" s="1044"/>
      <c r="AQ381" s="1044"/>
      <c r="AR381" s="1044"/>
    </row>
    <row r="382" spans="1:44">
      <c r="A382" s="1044"/>
      <c r="B382" s="1044"/>
      <c r="C382" s="1044"/>
      <c r="D382" s="1221"/>
      <c r="E382" s="1044"/>
      <c r="F382" s="1044"/>
      <c r="G382" s="1044"/>
      <c r="H382" s="1044"/>
      <c r="I382" s="1044"/>
      <c r="J382" s="1047"/>
      <c r="K382" s="1047"/>
      <c r="L382" s="1047"/>
      <c r="M382" s="1047"/>
      <c r="N382" s="1047"/>
      <c r="O382" s="1047"/>
      <c r="P382" s="1047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047"/>
      <c r="AE382" s="1044"/>
      <c r="AF382" s="1044"/>
      <c r="AG382" s="1044"/>
      <c r="AH382" s="1044"/>
      <c r="AI382" s="1044"/>
      <c r="AJ382" s="1044"/>
      <c r="AK382" s="1044"/>
      <c r="AL382" s="1044"/>
      <c r="AM382" s="1044"/>
      <c r="AN382" s="1044"/>
      <c r="AO382" s="1044"/>
      <c r="AP382" s="1044"/>
      <c r="AQ382" s="1044"/>
      <c r="AR382" s="1044"/>
    </row>
    <row r="383" spans="1:44">
      <c r="A383" s="1044"/>
      <c r="B383" s="1044"/>
      <c r="C383" s="1044"/>
      <c r="D383" s="1221"/>
      <c r="E383" s="1044"/>
      <c r="F383" s="1044"/>
      <c r="G383" s="1044"/>
      <c r="H383" s="1044"/>
      <c r="I383" s="1044"/>
      <c r="J383" s="1047"/>
      <c r="K383" s="1047"/>
      <c r="L383" s="1047"/>
      <c r="M383" s="1047"/>
      <c r="N383" s="1047"/>
      <c r="O383" s="1047"/>
      <c r="P383" s="1047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047"/>
      <c r="AE383" s="1044"/>
      <c r="AF383" s="1044"/>
      <c r="AG383" s="1044"/>
      <c r="AH383" s="1044"/>
      <c r="AI383" s="1044"/>
      <c r="AJ383" s="1044"/>
      <c r="AK383" s="1044"/>
      <c r="AL383" s="1044"/>
      <c r="AM383" s="1044"/>
      <c r="AN383" s="1044"/>
      <c r="AO383" s="1044"/>
      <c r="AP383" s="1044"/>
      <c r="AQ383" s="1044"/>
      <c r="AR383" s="1044"/>
    </row>
    <row r="384" spans="1:44">
      <c r="A384" s="1044"/>
      <c r="B384" s="1044"/>
      <c r="C384" s="1044"/>
      <c r="D384" s="1221"/>
      <c r="E384" s="1044"/>
      <c r="F384" s="1044"/>
      <c r="G384" s="1044"/>
      <c r="H384" s="1044"/>
      <c r="I384" s="1044"/>
      <c r="J384" s="1047"/>
      <c r="K384" s="1047"/>
      <c r="L384" s="1047"/>
      <c r="M384" s="1047"/>
      <c r="N384" s="1047"/>
      <c r="O384" s="1047"/>
      <c r="P384" s="1047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047"/>
      <c r="AE384" s="1044"/>
      <c r="AF384" s="1044"/>
      <c r="AG384" s="1044"/>
      <c r="AH384" s="1044"/>
      <c r="AI384" s="1044"/>
      <c r="AJ384" s="1044"/>
      <c r="AK384" s="1044"/>
      <c r="AL384" s="1044"/>
      <c r="AM384" s="1044"/>
      <c r="AN384" s="1044"/>
      <c r="AO384" s="1044"/>
      <c r="AP384" s="1044"/>
      <c r="AQ384" s="1044"/>
      <c r="AR384" s="1044"/>
    </row>
    <row r="385" spans="1:44">
      <c r="A385" s="1044"/>
      <c r="B385" s="1044"/>
      <c r="C385" s="1044"/>
      <c r="D385" s="1221"/>
      <c r="E385" s="1044"/>
      <c r="F385" s="1044"/>
      <c r="G385" s="1044"/>
      <c r="H385" s="1044"/>
      <c r="I385" s="1044"/>
      <c r="J385" s="1047"/>
      <c r="K385" s="1047"/>
      <c r="L385" s="1047"/>
      <c r="M385" s="1047"/>
      <c r="N385" s="1047"/>
      <c r="O385" s="1047"/>
      <c r="P385" s="1047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047"/>
      <c r="AE385" s="1044"/>
      <c r="AF385" s="1044"/>
      <c r="AG385" s="1044"/>
      <c r="AH385" s="1044"/>
      <c r="AI385" s="1044"/>
      <c r="AJ385" s="1044"/>
      <c r="AK385" s="1044"/>
      <c r="AL385" s="1044"/>
      <c r="AM385" s="1044"/>
      <c r="AN385" s="1044"/>
      <c r="AO385" s="1044"/>
      <c r="AP385" s="1044"/>
      <c r="AQ385" s="1044"/>
      <c r="AR385" s="1044"/>
    </row>
    <row r="386" spans="1:44">
      <c r="A386" s="1044"/>
      <c r="B386" s="1044"/>
      <c r="C386" s="1044"/>
      <c r="D386" s="1221"/>
      <c r="E386" s="1044"/>
      <c r="F386" s="1044"/>
      <c r="G386" s="1044"/>
      <c r="H386" s="1044"/>
      <c r="I386" s="1044"/>
      <c r="J386" s="1047"/>
      <c r="K386" s="1047"/>
      <c r="L386" s="1047"/>
      <c r="M386" s="1047"/>
      <c r="N386" s="1047"/>
      <c r="O386" s="1047"/>
      <c r="P386" s="1047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047"/>
      <c r="AE386" s="1044"/>
      <c r="AF386" s="1044"/>
      <c r="AG386" s="1044"/>
      <c r="AH386" s="1044"/>
      <c r="AI386" s="1044"/>
      <c r="AJ386" s="1044"/>
      <c r="AK386" s="1044"/>
      <c r="AL386" s="1044"/>
      <c r="AM386" s="1044"/>
      <c r="AN386" s="1044"/>
      <c r="AO386" s="1044"/>
      <c r="AP386" s="1044"/>
      <c r="AQ386" s="1044"/>
      <c r="AR386" s="1044"/>
    </row>
    <row r="387" spans="1:44">
      <c r="A387" s="1044"/>
      <c r="B387" s="1044"/>
      <c r="C387" s="1044"/>
      <c r="D387" s="1221"/>
      <c r="E387" s="1044"/>
      <c r="F387" s="1044"/>
      <c r="G387" s="1044"/>
      <c r="H387" s="1044"/>
      <c r="I387" s="1044"/>
      <c r="J387" s="1047"/>
      <c r="K387" s="1047"/>
      <c r="L387" s="1047"/>
      <c r="M387" s="1047"/>
      <c r="N387" s="1047"/>
      <c r="O387" s="1047"/>
      <c r="P387" s="1047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047"/>
      <c r="AE387" s="1044"/>
      <c r="AF387" s="1044"/>
      <c r="AG387" s="1044"/>
      <c r="AH387" s="1044"/>
      <c r="AI387" s="1044"/>
      <c r="AJ387" s="1044"/>
      <c r="AK387" s="1044"/>
      <c r="AL387" s="1044"/>
      <c r="AM387" s="1044"/>
      <c r="AN387" s="1044"/>
      <c r="AO387" s="1044"/>
      <c r="AP387" s="1044"/>
      <c r="AQ387" s="1044"/>
      <c r="AR387" s="1044"/>
    </row>
    <row r="388" spans="1:44">
      <c r="A388" s="1044"/>
      <c r="B388" s="1044"/>
      <c r="C388" s="1044"/>
      <c r="D388" s="1221"/>
      <c r="E388" s="1044"/>
      <c r="F388" s="1044"/>
      <c r="G388" s="1044"/>
      <c r="H388" s="1044"/>
      <c r="I388" s="1044"/>
      <c r="J388" s="1047"/>
      <c r="K388" s="1047"/>
      <c r="L388" s="1047"/>
      <c r="M388" s="1047"/>
      <c r="N388" s="1047"/>
      <c r="O388" s="1047"/>
      <c r="P388" s="1047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047"/>
      <c r="AE388" s="1044"/>
      <c r="AF388" s="1044"/>
      <c r="AG388" s="1044"/>
      <c r="AH388" s="1044"/>
      <c r="AI388" s="1044"/>
      <c r="AJ388" s="1044"/>
      <c r="AK388" s="1044"/>
      <c r="AL388" s="1044"/>
      <c r="AM388" s="1044"/>
      <c r="AN388" s="1044"/>
      <c r="AO388" s="1044"/>
      <c r="AP388" s="1044"/>
      <c r="AQ388" s="1044"/>
      <c r="AR388" s="1044"/>
    </row>
    <row r="389" spans="1:44">
      <c r="A389" s="1044"/>
      <c r="B389" s="1044"/>
      <c r="C389" s="1044"/>
      <c r="D389" s="1221"/>
      <c r="E389" s="1044"/>
      <c r="F389" s="1044"/>
      <c r="G389" s="1044"/>
      <c r="H389" s="1044"/>
      <c r="I389" s="1044"/>
      <c r="J389" s="1047"/>
      <c r="K389" s="1047"/>
      <c r="L389" s="1047"/>
      <c r="M389" s="1047"/>
      <c r="N389" s="1047"/>
      <c r="O389" s="1047"/>
      <c r="P389" s="1047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047"/>
      <c r="AE389" s="1044"/>
      <c r="AF389" s="1044"/>
      <c r="AG389" s="1044"/>
      <c r="AH389" s="1044"/>
      <c r="AI389" s="1044"/>
      <c r="AJ389" s="1044"/>
      <c r="AK389" s="1044"/>
      <c r="AL389" s="1044"/>
      <c r="AM389" s="1044"/>
      <c r="AN389" s="1044"/>
      <c r="AO389" s="1044"/>
      <c r="AP389" s="1044"/>
      <c r="AQ389" s="1044"/>
      <c r="AR389" s="1044"/>
    </row>
    <row r="390" spans="1:44">
      <c r="A390" s="1044"/>
      <c r="B390" s="1044"/>
      <c r="C390" s="1044"/>
      <c r="D390" s="1221"/>
      <c r="E390" s="1044"/>
      <c r="F390" s="1044"/>
      <c r="G390" s="1044"/>
      <c r="H390" s="1044"/>
      <c r="I390" s="1044"/>
      <c r="J390" s="1047"/>
      <c r="K390" s="1047"/>
      <c r="L390" s="1047"/>
      <c r="M390" s="1047"/>
      <c r="N390" s="1047"/>
      <c r="O390" s="1047"/>
      <c r="P390" s="1047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047"/>
      <c r="AE390" s="1044"/>
      <c r="AF390" s="1044"/>
      <c r="AG390" s="1044"/>
      <c r="AH390" s="1044"/>
      <c r="AI390" s="1044"/>
      <c r="AJ390" s="1044"/>
      <c r="AK390" s="1044"/>
      <c r="AL390" s="1044"/>
      <c r="AM390" s="1044"/>
      <c r="AN390" s="1044"/>
      <c r="AO390" s="1044"/>
      <c r="AP390" s="1044"/>
      <c r="AQ390" s="1044"/>
      <c r="AR390" s="1044"/>
    </row>
    <row r="391" spans="1:44">
      <c r="A391" s="1044"/>
      <c r="B391" s="1044"/>
      <c r="C391" s="1044"/>
      <c r="D391" s="1221"/>
      <c r="E391" s="1044"/>
      <c r="F391" s="1044"/>
      <c r="G391" s="1044"/>
      <c r="H391" s="1044"/>
      <c r="I391" s="1044"/>
      <c r="J391" s="1047"/>
      <c r="K391" s="1047"/>
      <c r="L391" s="1047"/>
      <c r="M391" s="1047"/>
      <c r="N391" s="1047"/>
      <c r="O391" s="1047"/>
      <c r="P391" s="1047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047"/>
      <c r="AE391" s="1044"/>
      <c r="AF391" s="1044"/>
      <c r="AG391" s="1044"/>
      <c r="AH391" s="1044"/>
      <c r="AI391" s="1044"/>
      <c r="AJ391" s="1044"/>
      <c r="AK391" s="1044"/>
      <c r="AL391" s="1044"/>
      <c r="AM391" s="1044"/>
      <c r="AN391" s="1044"/>
      <c r="AO391" s="1044"/>
      <c r="AP391" s="1044"/>
      <c r="AQ391" s="1044"/>
      <c r="AR391" s="1044"/>
    </row>
    <row r="392" spans="1:44">
      <c r="A392" s="1044"/>
      <c r="B392" s="1044"/>
      <c r="C392" s="1044"/>
      <c r="D392" s="1221"/>
      <c r="E392" s="1044"/>
      <c r="F392" s="1044"/>
      <c r="G392" s="1044"/>
      <c r="H392" s="1044"/>
      <c r="I392" s="1044"/>
      <c r="J392" s="1047"/>
      <c r="K392" s="1047"/>
      <c r="L392" s="1047"/>
      <c r="M392" s="1047"/>
      <c r="N392" s="1047"/>
      <c r="O392" s="1047"/>
      <c r="P392" s="1047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047"/>
      <c r="AE392" s="1044"/>
      <c r="AF392" s="1044"/>
      <c r="AG392" s="1044"/>
      <c r="AH392" s="1044"/>
      <c r="AI392" s="1044"/>
      <c r="AJ392" s="1044"/>
      <c r="AK392" s="1044"/>
      <c r="AL392" s="1044"/>
      <c r="AM392" s="1044"/>
      <c r="AN392" s="1044"/>
      <c r="AO392" s="1044"/>
      <c r="AP392" s="1044"/>
      <c r="AQ392" s="1044"/>
      <c r="AR392" s="1044"/>
    </row>
    <row r="393" spans="1:44">
      <c r="A393" s="1044"/>
      <c r="B393" s="1044"/>
      <c r="C393" s="1044"/>
      <c r="D393" s="1221"/>
      <c r="E393" s="1044"/>
      <c r="F393" s="1044"/>
      <c r="G393" s="1044"/>
      <c r="H393" s="1044"/>
      <c r="I393" s="1044"/>
      <c r="J393" s="1047"/>
      <c r="K393" s="1047"/>
      <c r="L393" s="1047"/>
      <c r="M393" s="1047"/>
      <c r="N393" s="1047"/>
      <c r="O393" s="1047"/>
      <c r="P393" s="1047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047"/>
      <c r="AE393" s="1044"/>
      <c r="AF393" s="1044"/>
      <c r="AG393" s="1044"/>
      <c r="AH393" s="1044"/>
      <c r="AI393" s="1044"/>
      <c r="AJ393" s="1044"/>
      <c r="AK393" s="1044"/>
      <c r="AL393" s="1044"/>
      <c r="AM393" s="1044"/>
      <c r="AN393" s="1044"/>
      <c r="AO393" s="1044"/>
      <c r="AP393" s="1044"/>
      <c r="AQ393" s="1044"/>
      <c r="AR393" s="1044"/>
    </row>
    <row r="394" spans="1:44">
      <c r="A394" s="1044"/>
      <c r="B394" s="1044"/>
      <c r="C394" s="1044"/>
      <c r="D394" s="1221"/>
      <c r="E394" s="1044"/>
      <c r="F394" s="1044"/>
      <c r="G394" s="1044"/>
      <c r="H394" s="1044"/>
      <c r="I394" s="1044"/>
      <c r="J394" s="1047"/>
      <c r="K394" s="1047"/>
      <c r="L394" s="1047"/>
      <c r="M394" s="1047"/>
      <c r="N394" s="1047"/>
      <c r="O394" s="1047"/>
      <c r="P394" s="1047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047"/>
      <c r="AE394" s="1044"/>
      <c r="AF394" s="1044"/>
      <c r="AG394" s="1044"/>
      <c r="AH394" s="1044"/>
      <c r="AI394" s="1044"/>
      <c r="AJ394" s="1044"/>
      <c r="AK394" s="1044"/>
      <c r="AL394" s="1044"/>
      <c r="AM394" s="1044"/>
      <c r="AN394" s="1044"/>
      <c r="AO394" s="1044"/>
      <c r="AP394" s="1044"/>
      <c r="AQ394" s="1044"/>
      <c r="AR394" s="1044"/>
    </row>
    <row r="395" spans="1:44">
      <c r="A395" s="1044"/>
      <c r="B395" s="1044"/>
      <c r="C395" s="1044"/>
      <c r="D395" s="1221"/>
      <c r="E395" s="1044"/>
      <c r="F395" s="1044"/>
      <c r="G395" s="1044"/>
      <c r="H395" s="1044"/>
      <c r="I395" s="1044"/>
      <c r="J395" s="1047"/>
      <c r="K395" s="1047"/>
      <c r="L395" s="1047"/>
      <c r="M395" s="1047"/>
      <c r="N395" s="1047"/>
      <c r="O395" s="1047"/>
      <c r="P395" s="1047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047"/>
      <c r="AE395" s="1044"/>
      <c r="AF395" s="1044"/>
      <c r="AG395" s="1044"/>
      <c r="AH395" s="1044"/>
      <c r="AI395" s="1044"/>
      <c r="AJ395" s="1044"/>
      <c r="AK395" s="1044"/>
      <c r="AL395" s="1044"/>
      <c r="AM395" s="1044"/>
      <c r="AN395" s="1044"/>
      <c r="AO395" s="1044"/>
      <c r="AP395" s="1044"/>
      <c r="AQ395" s="1044"/>
      <c r="AR395" s="1044"/>
    </row>
    <row r="396" spans="1:44">
      <c r="A396" s="1044"/>
      <c r="B396" s="1044"/>
      <c r="C396" s="1044"/>
      <c r="D396" s="1221"/>
      <c r="E396" s="1044"/>
      <c r="F396" s="1044"/>
      <c r="G396" s="1044"/>
      <c r="H396" s="1044"/>
      <c r="I396" s="1044"/>
      <c r="J396" s="1047"/>
      <c r="K396" s="1047"/>
      <c r="L396" s="1047"/>
      <c r="M396" s="1047"/>
      <c r="N396" s="1047"/>
      <c r="O396" s="1047"/>
      <c r="P396" s="1047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047"/>
      <c r="AE396" s="1044"/>
      <c r="AF396" s="1044"/>
      <c r="AG396" s="1044"/>
      <c r="AH396" s="1044"/>
      <c r="AI396" s="1044"/>
      <c r="AJ396" s="1044"/>
      <c r="AK396" s="1044"/>
      <c r="AL396" s="1044"/>
      <c r="AM396" s="1044"/>
      <c r="AN396" s="1044"/>
      <c r="AO396" s="1044"/>
      <c r="AP396" s="1044"/>
      <c r="AQ396" s="1044"/>
      <c r="AR396" s="1044"/>
    </row>
    <row r="397" spans="1:44">
      <c r="A397" s="1044"/>
      <c r="B397" s="1044"/>
      <c r="C397" s="1044"/>
      <c r="D397" s="1221"/>
      <c r="E397" s="1044"/>
      <c r="F397" s="1044"/>
      <c r="G397" s="1044"/>
      <c r="H397" s="1044"/>
      <c r="I397" s="1044"/>
      <c r="J397" s="1047"/>
      <c r="K397" s="1047"/>
      <c r="L397" s="1047"/>
      <c r="M397" s="1047"/>
      <c r="N397" s="1047"/>
      <c r="O397" s="1047"/>
      <c r="P397" s="1047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047"/>
      <c r="AE397" s="1044"/>
      <c r="AF397" s="1044"/>
      <c r="AG397" s="1044"/>
      <c r="AH397" s="1044"/>
      <c r="AI397" s="1044"/>
      <c r="AJ397" s="1044"/>
      <c r="AK397" s="1044"/>
      <c r="AL397" s="1044"/>
      <c r="AM397" s="1044"/>
      <c r="AN397" s="1044"/>
      <c r="AO397" s="1044"/>
      <c r="AP397" s="1044"/>
      <c r="AQ397" s="1044"/>
      <c r="AR397" s="1044"/>
    </row>
    <row r="398" spans="1:44">
      <c r="A398" s="1044"/>
      <c r="B398" s="1044"/>
      <c r="C398" s="1044"/>
      <c r="D398" s="1221"/>
      <c r="E398" s="1044"/>
      <c r="F398" s="1044"/>
      <c r="G398" s="1044"/>
      <c r="H398" s="1044"/>
      <c r="I398" s="1044"/>
      <c r="J398" s="1047"/>
      <c r="K398" s="1047"/>
      <c r="L398" s="1047"/>
      <c r="M398" s="1047"/>
      <c r="N398" s="1047"/>
      <c r="O398" s="1047"/>
      <c r="P398" s="1047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047"/>
      <c r="AE398" s="1044"/>
      <c r="AF398" s="1044"/>
      <c r="AG398" s="1044"/>
      <c r="AH398" s="1044"/>
      <c r="AI398" s="1044"/>
      <c r="AJ398" s="1044"/>
      <c r="AK398" s="1044"/>
      <c r="AL398" s="1044"/>
      <c r="AM398" s="1044"/>
      <c r="AN398" s="1044"/>
      <c r="AO398" s="1044"/>
      <c r="AP398" s="1044"/>
      <c r="AQ398" s="1044"/>
      <c r="AR398" s="1044"/>
    </row>
    <row r="399" spans="1:44">
      <c r="A399" s="1044"/>
      <c r="B399" s="1044"/>
      <c r="C399" s="1044"/>
      <c r="D399" s="1221"/>
      <c r="E399" s="1044"/>
      <c r="F399" s="1044"/>
      <c r="G399" s="1044"/>
      <c r="H399" s="1044"/>
      <c r="I399" s="1044"/>
      <c r="J399" s="1047"/>
      <c r="K399" s="1047"/>
      <c r="L399" s="1047"/>
      <c r="M399" s="1047"/>
      <c r="N399" s="1047"/>
      <c r="O399" s="1047"/>
      <c r="P399" s="1047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047"/>
      <c r="AE399" s="1044"/>
      <c r="AF399" s="1044"/>
      <c r="AG399" s="1044"/>
      <c r="AH399" s="1044"/>
      <c r="AI399" s="1044"/>
      <c r="AJ399" s="1044"/>
      <c r="AK399" s="1044"/>
      <c r="AL399" s="1044"/>
      <c r="AM399" s="1044"/>
      <c r="AN399" s="1044"/>
      <c r="AO399" s="1044"/>
      <c r="AP399" s="1044"/>
      <c r="AQ399" s="1044"/>
      <c r="AR399" s="1044"/>
    </row>
    <row r="400" spans="1:44">
      <c r="A400" s="1044"/>
      <c r="B400" s="1044"/>
      <c r="C400" s="1044"/>
      <c r="D400" s="1221"/>
      <c r="E400" s="1044"/>
      <c r="F400" s="1044"/>
      <c r="G400" s="1044"/>
      <c r="H400" s="1044"/>
      <c r="I400" s="1044"/>
      <c r="J400" s="1047"/>
      <c r="K400" s="1047"/>
      <c r="L400" s="1047"/>
      <c r="M400" s="1047"/>
      <c r="N400" s="1047"/>
      <c r="O400" s="1047"/>
      <c r="P400" s="1047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047"/>
      <c r="AE400" s="1044"/>
      <c r="AF400" s="1044"/>
      <c r="AG400" s="1044"/>
      <c r="AH400" s="1044"/>
      <c r="AI400" s="1044"/>
      <c r="AJ400" s="1044"/>
      <c r="AK400" s="1044"/>
      <c r="AL400" s="1044"/>
      <c r="AM400" s="1044"/>
      <c r="AN400" s="1044"/>
      <c r="AO400" s="1044"/>
      <c r="AP400" s="1044"/>
      <c r="AQ400" s="1044"/>
      <c r="AR400" s="1044"/>
    </row>
    <row r="401" spans="1:44">
      <c r="A401" s="1044"/>
      <c r="B401" s="1044"/>
      <c r="C401" s="1044"/>
      <c r="D401" s="1221"/>
      <c r="E401" s="1044"/>
      <c r="F401" s="1044"/>
      <c r="G401" s="1044"/>
      <c r="H401" s="1044"/>
      <c r="I401" s="1044"/>
      <c r="J401" s="1047"/>
      <c r="K401" s="1047"/>
      <c r="L401" s="1047"/>
      <c r="M401" s="1047"/>
      <c r="N401" s="1047"/>
      <c r="O401" s="1047"/>
      <c r="P401" s="1047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047"/>
      <c r="AE401" s="1044"/>
      <c r="AF401" s="1044"/>
      <c r="AG401" s="1044"/>
      <c r="AH401" s="1044"/>
      <c r="AI401" s="1044"/>
      <c r="AJ401" s="1044"/>
      <c r="AK401" s="1044"/>
      <c r="AL401" s="1044"/>
      <c r="AM401" s="1044"/>
      <c r="AN401" s="1044"/>
      <c r="AO401" s="1044"/>
      <c r="AP401" s="1044"/>
      <c r="AQ401" s="1044"/>
      <c r="AR401" s="1044"/>
    </row>
    <row r="402" spans="1:44">
      <c r="A402" s="1044"/>
      <c r="B402" s="1044"/>
      <c r="C402" s="1044"/>
      <c r="D402" s="1221"/>
      <c r="E402" s="1044"/>
      <c r="F402" s="1044"/>
      <c r="G402" s="1044"/>
      <c r="H402" s="1044"/>
      <c r="I402" s="1044"/>
      <c r="J402" s="1047"/>
      <c r="K402" s="1047"/>
      <c r="L402" s="1047"/>
      <c r="M402" s="1047"/>
      <c r="N402" s="1047"/>
      <c r="O402" s="1047"/>
      <c r="P402" s="1047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047"/>
      <c r="AE402" s="1044"/>
      <c r="AF402" s="1044"/>
      <c r="AG402" s="1044"/>
      <c r="AH402" s="1044"/>
      <c r="AI402" s="1044"/>
      <c r="AJ402" s="1044"/>
      <c r="AK402" s="1044"/>
      <c r="AL402" s="1044"/>
      <c r="AM402" s="1044"/>
      <c r="AN402" s="1044"/>
      <c r="AO402" s="1044"/>
      <c r="AP402" s="1044"/>
      <c r="AQ402" s="1044"/>
      <c r="AR402" s="1044"/>
    </row>
    <row r="403" spans="1:44">
      <c r="A403" s="1044"/>
      <c r="B403" s="1044"/>
      <c r="C403" s="1044"/>
      <c r="D403" s="1221"/>
      <c r="E403" s="1044"/>
      <c r="F403" s="1044"/>
      <c r="G403" s="1044"/>
      <c r="H403" s="1044"/>
      <c r="I403" s="1044"/>
      <c r="J403" s="1047"/>
      <c r="K403" s="1047"/>
      <c r="L403" s="1047"/>
      <c r="M403" s="1047"/>
      <c r="N403" s="1047"/>
      <c r="O403" s="1047"/>
      <c r="P403" s="1047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047"/>
      <c r="AE403" s="1044"/>
      <c r="AF403" s="1044"/>
      <c r="AG403" s="1044"/>
      <c r="AH403" s="1044"/>
      <c r="AI403" s="1044"/>
      <c r="AJ403" s="1044"/>
      <c r="AK403" s="1044"/>
      <c r="AL403" s="1044"/>
      <c r="AM403" s="1044"/>
      <c r="AN403" s="1044"/>
      <c r="AO403" s="1044"/>
      <c r="AP403" s="1044"/>
      <c r="AQ403" s="1044"/>
      <c r="AR403" s="1044"/>
    </row>
    <row r="404" spans="1:44">
      <c r="A404" s="1044"/>
      <c r="B404" s="1044"/>
      <c r="C404" s="1044"/>
      <c r="D404" s="1221"/>
      <c r="E404" s="1044"/>
      <c r="F404" s="1044"/>
      <c r="G404" s="1044"/>
      <c r="H404" s="1044"/>
      <c r="I404" s="1044"/>
      <c r="J404" s="1047"/>
      <c r="K404" s="1047"/>
      <c r="L404" s="1047"/>
      <c r="M404" s="1047"/>
      <c r="N404" s="1047"/>
      <c r="O404" s="1047"/>
      <c r="P404" s="1047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047"/>
      <c r="AE404" s="1044"/>
      <c r="AF404" s="1044"/>
      <c r="AG404" s="1044"/>
      <c r="AH404" s="1044"/>
      <c r="AI404" s="1044"/>
      <c r="AJ404" s="1044"/>
      <c r="AK404" s="1044"/>
      <c r="AL404" s="1044"/>
      <c r="AM404" s="1044"/>
      <c r="AN404" s="1044"/>
      <c r="AO404" s="1044"/>
      <c r="AP404" s="1044"/>
      <c r="AQ404" s="1044"/>
      <c r="AR404" s="1044"/>
    </row>
    <row r="405" spans="1:44">
      <c r="A405" s="1044"/>
      <c r="B405" s="1044"/>
      <c r="C405" s="1044"/>
      <c r="D405" s="1221"/>
      <c r="E405" s="1044"/>
      <c r="F405" s="1044"/>
      <c r="G405" s="1044"/>
      <c r="H405" s="1044"/>
      <c r="I405" s="1044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4"/>
      <c r="AF405" s="1044"/>
      <c r="AG405" s="1044"/>
      <c r="AH405" s="1044"/>
      <c r="AI405" s="1044"/>
      <c r="AJ405" s="1044"/>
      <c r="AK405" s="1044"/>
      <c r="AL405" s="1044"/>
      <c r="AM405" s="1044"/>
      <c r="AN405" s="1044"/>
      <c r="AO405" s="1044"/>
      <c r="AP405" s="1044"/>
      <c r="AQ405" s="1044"/>
      <c r="AR405" s="1044"/>
    </row>
    <row r="406" spans="1:44">
      <c r="A406" s="1044"/>
      <c r="B406" s="1044"/>
      <c r="C406" s="1044"/>
      <c r="D406" s="1221"/>
      <c r="E406" s="1044"/>
      <c r="F406" s="1044"/>
      <c r="G406" s="1044"/>
      <c r="H406" s="1044"/>
      <c r="I406" s="1044"/>
      <c r="J406" s="1047"/>
      <c r="K406" s="1047"/>
      <c r="L406" s="1047"/>
      <c r="M406" s="1047"/>
      <c r="N406" s="1047"/>
      <c r="O406" s="1047"/>
      <c r="P406" s="1047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047"/>
      <c r="AE406" s="1044"/>
      <c r="AF406" s="1044"/>
      <c r="AG406" s="1044"/>
      <c r="AH406" s="1044"/>
      <c r="AI406" s="1044"/>
      <c r="AJ406" s="1044"/>
      <c r="AK406" s="1044"/>
      <c r="AL406" s="1044"/>
      <c r="AM406" s="1044"/>
      <c r="AN406" s="1044"/>
      <c r="AO406" s="1044"/>
      <c r="AP406" s="1044"/>
      <c r="AQ406" s="1044"/>
      <c r="AR406" s="1044"/>
    </row>
    <row r="407" spans="1:44">
      <c r="A407" s="1044"/>
      <c r="B407" s="1044"/>
      <c r="C407" s="1044"/>
      <c r="D407" s="1221"/>
      <c r="E407" s="1044"/>
      <c r="F407" s="1044"/>
      <c r="G407" s="1044"/>
      <c r="H407" s="1044"/>
      <c r="I407" s="1044"/>
      <c r="J407" s="1047"/>
      <c r="K407" s="1047"/>
      <c r="L407" s="1047"/>
      <c r="M407" s="1047"/>
      <c r="N407" s="1047"/>
      <c r="O407" s="1047"/>
      <c r="P407" s="1047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047"/>
      <c r="AE407" s="1044"/>
      <c r="AF407" s="1044"/>
      <c r="AG407" s="1044"/>
      <c r="AH407" s="1044"/>
      <c r="AI407" s="1044"/>
      <c r="AJ407" s="1044"/>
      <c r="AK407" s="1044"/>
      <c r="AL407" s="1044"/>
      <c r="AM407" s="1044"/>
      <c r="AN407" s="1044"/>
      <c r="AO407" s="1044"/>
      <c r="AP407" s="1044"/>
      <c r="AQ407" s="1044"/>
      <c r="AR407" s="1044"/>
    </row>
    <row r="408" spans="1:44">
      <c r="A408" s="1044"/>
      <c r="B408" s="1044"/>
      <c r="C408" s="1044"/>
      <c r="D408" s="1221"/>
      <c r="E408" s="1044"/>
      <c r="F408" s="1044"/>
      <c r="G408" s="1044"/>
      <c r="H408" s="1044"/>
      <c r="I408" s="1044"/>
      <c r="J408" s="1047"/>
      <c r="K408" s="1047"/>
      <c r="L408" s="1047"/>
      <c r="M408" s="1047"/>
      <c r="N408" s="1047"/>
      <c r="O408" s="1047"/>
      <c r="P408" s="1047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047"/>
      <c r="AE408" s="1044"/>
      <c r="AF408" s="1044"/>
      <c r="AG408" s="1044"/>
      <c r="AH408" s="1044"/>
      <c r="AI408" s="1044"/>
      <c r="AJ408" s="1044"/>
      <c r="AK408" s="1044"/>
      <c r="AL408" s="1044"/>
      <c r="AM408" s="1044"/>
      <c r="AN408" s="1044"/>
      <c r="AO408" s="1044"/>
      <c r="AP408" s="1044"/>
      <c r="AQ408" s="1044"/>
      <c r="AR408" s="1044"/>
    </row>
    <row r="409" spans="1:44">
      <c r="A409" s="1044"/>
      <c r="B409" s="1044"/>
      <c r="C409" s="1044"/>
      <c r="D409" s="1221"/>
      <c r="E409" s="1044"/>
      <c r="F409" s="1044"/>
      <c r="G409" s="1044"/>
      <c r="H409" s="1044"/>
      <c r="I409" s="1044"/>
      <c r="J409" s="1047"/>
      <c r="K409" s="1047"/>
      <c r="L409" s="1047"/>
      <c r="M409" s="1047"/>
      <c r="N409" s="1047"/>
      <c r="O409" s="1047"/>
      <c r="P409" s="1047"/>
      <c r="Q409" s="1047"/>
      <c r="R409" s="1047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047"/>
      <c r="AE409" s="1044"/>
      <c r="AF409" s="1044"/>
      <c r="AG409" s="1044"/>
      <c r="AH409" s="1044"/>
      <c r="AI409" s="1044"/>
      <c r="AJ409" s="1044"/>
      <c r="AK409" s="1044"/>
      <c r="AL409" s="1044"/>
      <c r="AM409" s="1044"/>
      <c r="AN409" s="1044"/>
      <c r="AO409" s="1044"/>
      <c r="AP409" s="1044"/>
      <c r="AQ409" s="1044"/>
      <c r="AR409" s="1044"/>
    </row>
    <row r="410" spans="1:44">
      <c r="A410" s="1044"/>
      <c r="B410" s="1044"/>
      <c r="C410" s="1044"/>
      <c r="D410" s="1221"/>
      <c r="E410" s="1044"/>
      <c r="F410" s="1044"/>
      <c r="G410" s="1044"/>
      <c r="H410" s="1044"/>
      <c r="I410" s="1044"/>
      <c r="J410" s="1047"/>
      <c r="K410" s="1047"/>
      <c r="L410" s="1047"/>
      <c r="M410" s="1047"/>
      <c r="N410" s="1047"/>
      <c r="O410" s="1047"/>
      <c r="P410" s="1047"/>
      <c r="Q410" s="1047"/>
      <c r="R410" s="1047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047"/>
      <c r="AE410" s="1044"/>
      <c r="AF410" s="1044"/>
      <c r="AG410" s="1044"/>
      <c r="AH410" s="1044"/>
      <c r="AI410" s="1044"/>
      <c r="AJ410" s="1044"/>
      <c r="AK410" s="1044"/>
      <c r="AL410" s="1044"/>
      <c r="AM410" s="1044"/>
      <c r="AN410" s="1044"/>
      <c r="AO410" s="1044"/>
      <c r="AP410" s="1044"/>
      <c r="AQ410" s="1044"/>
      <c r="AR410" s="1044"/>
    </row>
    <row r="411" spans="1:44">
      <c r="A411" s="1044"/>
      <c r="B411" s="1044"/>
      <c r="C411" s="1044"/>
      <c r="D411" s="1221"/>
      <c r="E411" s="1044"/>
      <c r="F411" s="1044"/>
      <c r="G411" s="1044"/>
      <c r="H411" s="1044"/>
      <c r="I411" s="1044"/>
      <c r="J411" s="1047"/>
      <c r="K411" s="1047"/>
      <c r="L411" s="1047"/>
      <c r="M411" s="1047"/>
      <c r="N411" s="1047"/>
      <c r="O411" s="1047"/>
      <c r="P411" s="1047"/>
      <c r="Q411" s="1047"/>
      <c r="R411" s="1047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047"/>
      <c r="AE411" s="1044"/>
      <c r="AF411" s="1044"/>
      <c r="AG411" s="1044"/>
      <c r="AH411" s="1044"/>
      <c r="AI411" s="1044"/>
      <c r="AJ411" s="1044"/>
      <c r="AK411" s="1044"/>
      <c r="AL411" s="1044"/>
      <c r="AM411" s="1044"/>
      <c r="AN411" s="1044"/>
      <c r="AO411" s="1044"/>
      <c r="AP411" s="1044"/>
      <c r="AQ411" s="1044"/>
      <c r="AR411" s="1044"/>
    </row>
    <row r="412" spans="1:44">
      <c r="A412" s="1044"/>
      <c r="B412" s="1044"/>
      <c r="C412" s="1044"/>
      <c r="D412" s="1221"/>
      <c r="E412" s="1044"/>
      <c r="F412" s="1044"/>
      <c r="G412" s="1044"/>
      <c r="H412" s="1044"/>
      <c r="I412" s="1044"/>
      <c r="J412" s="1047"/>
      <c r="K412" s="1047"/>
      <c r="L412" s="1047"/>
      <c r="M412" s="1047"/>
      <c r="N412" s="1047"/>
      <c r="O412" s="1047"/>
      <c r="P412" s="1047"/>
      <c r="Q412" s="1047"/>
      <c r="R412" s="1047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047"/>
      <c r="AE412" s="1044"/>
      <c r="AF412" s="1044"/>
      <c r="AG412" s="1044"/>
      <c r="AH412" s="1044"/>
      <c r="AI412" s="1044"/>
      <c r="AJ412" s="1044"/>
      <c r="AK412" s="1044"/>
      <c r="AL412" s="1044"/>
      <c r="AM412" s="1044"/>
      <c r="AN412" s="1044"/>
      <c r="AO412" s="1044"/>
      <c r="AP412" s="1044"/>
      <c r="AQ412" s="1044"/>
      <c r="AR412" s="1044"/>
    </row>
    <row r="413" spans="1:44">
      <c r="A413" s="1044"/>
      <c r="B413" s="1044"/>
      <c r="C413" s="1044"/>
      <c r="D413" s="1221"/>
      <c r="E413" s="1044"/>
      <c r="F413" s="1044"/>
      <c r="G413" s="1044"/>
      <c r="H413" s="1044"/>
      <c r="I413" s="1044"/>
      <c r="J413" s="1047"/>
      <c r="K413" s="1047"/>
      <c r="L413" s="1047"/>
      <c r="M413" s="1047"/>
      <c r="N413" s="1047"/>
      <c r="O413" s="1047"/>
      <c r="P413" s="1047"/>
      <c r="Q413" s="1047"/>
      <c r="R413" s="1047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047"/>
      <c r="AE413" s="1044"/>
      <c r="AF413" s="1044"/>
      <c r="AG413" s="1044"/>
      <c r="AH413" s="1044"/>
      <c r="AI413" s="1044"/>
      <c r="AJ413" s="1044"/>
      <c r="AK413" s="1044"/>
      <c r="AL413" s="1044"/>
      <c r="AM413" s="1044"/>
      <c r="AN413" s="1044"/>
      <c r="AO413" s="1044"/>
      <c r="AP413" s="1044"/>
      <c r="AQ413" s="1044"/>
      <c r="AR413" s="1044"/>
    </row>
    <row r="414" spans="1:44">
      <c r="A414" s="1044"/>
      <c r="B414" s="1044"/>
      <c r="C414" s="1044"/>
      <c r="D414" s="1221"/>
      <c r="E414" s="1044"/>
      <c r="F414" s="1044"/>
      <c r="G414" s="1044"/>
      <c r="H414" s="1044"/>
      <c r="I414" s="1044"/>
      <c r="J414" s="1047"/>
      <c r="K414" s="1047"/>
      <c r="L414" s="1047"/>
      <c r="M414" s="1047"/>
      <c r="N414" s="1047"/>
      <c r="O414" s="1047"/>
      <c r="P414" s="1047"/>
      <c r="Q414" s="1047"/>
      <c r="R414" s="1047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047"/>
      <c r="AE414" s="1044"/>
      <c r="AF414" s="1044"/>
      <c r="AG414" s="1044"/>
      <c r="AH414" s="1044"/>
      <c r="AI414" s="1044"/>
      <c r="AJ414" s="1044"/>
      <c r="AK414" s="1044"/>
      <c r="AL414" s="1044"/>
      <c r="AM414" s="1044"/>
      <c r="AN414" s="1044"/>
      <c r="AO414" s="1044"/>
      <c r="AP414" s="1044"/>
      <c r="AQ414" s="1044"/>
      <c r="AR414" s="1044"/>
    </row>
    <row r="415" spans="1:44">
      <c r="A415" s="1044"/>
      <c r="B415" s="1044"/>
      <c r="C415" s="1044"/>
      <c r="D415" s="1221"/>
      <c r="E415" s="1044"/>
      <c r="F415" s="1044"/>
      <c r="G415" s="1044"/>
      <c r="H415" s="1044"/>
      <c r="I415" s="1044"/>
      <c r="J415" s="1047"/>
      <c r="K415" s="1047"/>
      <c r="L415" s="1047"/>
      <c r="M415" s="1047"/>
      <c r="N415" s="1047"/>
      <c r="O415" s="1047"/>
      <c r="P415" s="1047"/>
      <c r="Q415" s="1047"/>
      <c r="R415" s="1047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047"/>
      <c r="AE415" s="1044"/>
      <c r="AF415" s="1044"/>
      <c r="AG415" s="1044"/>
      <c r="AH415" s="1044"/>
      <c r="AI415" s="1044"/>
      <c r="AJ415" s="1044"/>
      <c r="AK415" s="1044"/>
      <c r="AL415" s="1044"/>
      <c r="AM415" s="1044"/>
      <c r="AN415" s="1044"/>
      <c r="AO415" s="1044"/>
      <c r="AP415" s="1044"/>
      <c r="AQ415" s="1044"/>
      <c r="AR415" s="1044"/>
    </row>
    <row r="416" spans="1:44">
      <c r="A416" s="1044"/>
      <c r="B416" s="1044"/>
      <c r="C416" s="1044"/>
      <c r="D416" s="1221"/>
      <c r="E416" s="1044"/>
      <c r="F416" s="1044"/>
      <c r="G416" s="1044"/>
      <c r="H416" s="1044"/>
      <c r="I416" s="1044"/>
      <c r="J416" s="1047"/>
      <c r="K416" s="1047"/>
      <c r="L416" s="1047"/>
      <c r="M416" s="1047"/>
      <c r="N416" s="1047"/>
      <c r="O416" s="1047"/>
      <c r="P416" s="1047"/>
      <c r="Q416" s="1047"/>
      <c r="R416" s="1047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047"/>
      <c r="AE416" s="1044"/>
      <c r="AF416" s="1044"/>
      <c r="AG416" s="1044"/>
      <c r="AH416" s="1044"/>
      <c r="AI416" s="1044"/>
      <c r="AJ416" s="1044"/>
      <c r="AK416" s="1044"/>
      <c r="AL416" s="1044"/>
      <c r="AM416" s="1044"/>
      <c r="AN416" s="1044"/>
      <c r="AO416" s="1044"/>
      <c r="AP416" s="1044"/>
      <c r="AQ416" s="1044"/>
      <c r="AR416" s="1044"/>
    </row>
    <row r="417" spans="1:44">
      <c r="A417" s="1044"/>
      <c r="B417" s="1044"/>
      <c r="C417" s="1044"/>
      <c r="D417" s="1221"/>
      <c r="E417" s="1044"/>
      <c r="F417" s="1044"/>
      <c r="G417" s="1044"/>
      <c r="H417" s="1044"/>
      <c r="I417" s="1044"/>
      <c r="J417" s="1047"/>
      <c r="K417" s="1047"/>
      <c r="L417" s="1047"/>
      <c r="M417" s="1047"/>
      <c r="N417" s="1047"/>
      <c r="O417" s="1047"/>
      <c r="P417" s="1047"/>
      <c r="Q417" s="1047"/>
      <c r="R417" s="1047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047"/>
      <c r="AE417" s="1044"/>
      <c r="AF417" s="1044"/>
      <c r="AG417" s="1044"/>
      <c r="AH417" s="1044"/>
      <c r="AI417" s="1044"/>
      <c r="AJ417" s="1044"/>
      <c r="AK417" s="1044"/>
      <c r="AL417" s="1044"/>
      <c r="AM417" s="1044"/>
      <c r="AN417" s="1044"/>
      <c r="AO417" s="1044"/>
      <c r="AP417" s="1044"/>
      <c r="AQ417" s="1044"/>
      <c r="AR417" s="1044"/>
    </row>
    <row r="418" spans="1:44">
      <c r="A418" s="1044"/>
      <c r="B418" s="1044"/>
      <c r="C418" s="1044"/>
      <c r="D418" s="1221"/>
      <c r="E418" s="1044"/>
      <c r="F418" s="1044"/>
      <c r="G418" s="1044"/>
      <c r="H418" s="1044"/>
      <c r="I418" s="1044"/>
      <c r="J418" s="1047"/>
      <c r="K418" s="1047"/>
      <c r="L418" s="1047"/>
      <c r="M418" s="1047"/>
      <c r="N418" s="1047"/>
      <c r="O418" s="1047"/>
      <c r="P418" s="1047"/>
      <c r="Q418" s="1047"/>
      <c r="R418" s="1047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047"/>
      <c r="AE418" s="1044"/>
      <c r="AF418" s="1044"/>
      <c r="AG418" s="1044"/>
      <c r="AH418" s="1044"/>
      <c r="AI418" s="1044"/>
      <c r="AJ418" s="1044"/>
      <c r="AK418" s="1044"/>
      <c r="AL418" s="1044"/>
      <c r="AM418" s="1044"/>
      <c r="AN418" s="1044"/>
      <c r="AO418" s="1044"/>
      <c r="AP418" s="1044"/>
      <c r="AQ418" s="1044"/>
      <c r="AR418" s="1044"/>
    </row>
    <row r="419" spans="1:44">
      <c r="A419" s="1044"/>
      <c r="B419" s="1044"/>
      <c r="C419" s="1044"/>
      <c r="D419" s="1221"/>
      <c r="E419" s="1044"/>
      <c r="F419" s="1044"/>
      <c r="G419" s="1044"/>
      <c r="H419" s="1044"/>
      <c r="I419" s="1044"/>
      <c r="J419" s="1047"/>
      <c r="K419" s="1047"/>
      <c r="L419" s="1047"/>
      <c r="M419" s="1047"/>
      <c r="N419" s="1047"/>
      <c r="O419" s="1047"/>
      <c r="P419" s="1047"/>
      <c r="Q419" s="1047"/>
      <c r="R419" s="1047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047"/>
      <c r="AE419" s="1044"/>
      <c r="AF419" s="1044"/>
      <c r="AG419" s="1044"/>
      <c r="AH419" s="1044"/>
      <c r="AI419" s="1044"/>
      <c r="AJ419" s="1044"/>
      <c r="AK419" s="1044"/>
      <c r="AL419" s="1044"/>
      <c r="AM419" s="1044"/>
      <c r="AN419" s="1044"/>
      <c r="AO419" s="1044"/>
      <c r="AP419" s="1044"/>
      <c r="AQ419" s="1044"/>
      <c r="AR419" s="1044"/>
    </row>
    <row r="420" spans="1:44">
      <c r="A420" s="1044"/>
      <c r="B420" s="1044"/>
      <c r="C420" s="1044"/>
      <c r="D420" s="1221"/>
      <c r="E420" s="1044"/>
      <c r="F420" s="1044"/>
      <c r="G420" s="1044"/>
      <c r="H420" s="1044"/>
      <c r="I420" s="1044"/>
      <c r="J420" s="1047"/>
      <c r="K420" s="1047"/>
      <c r="L420" s="1047"/>
      <c r="M420" s="1047"/>
      <c r="N420" s="1047"/>
      <c r="O420" s="1047"/>
      <c r="P420" s="1047"/>
      <c r="Q420" s="1047"/>
      <c r="R420" s="1047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047"/>
      <c r="AE420" s="1044"/>
      <c r="AF420" s="1044"/>
      <c r="AG420" s="1044"/>
      <c r="AH420" s="1044"/>
      <c r="AI420" s="1044"/>
      <c r="AJ420" s="1044"/>
      <c r="AK420" s="1044"/>
      <c r="AL420" s="1044"/>
      <c r="AM420" s="1044"/>
      <c r="AN420" s="1044"/>
      <c r="AO420" s="1044"/>
      <c r="AP420" s="1044"/>
      <c r="AQ420" s="1044"/>
      <c r="AR420" s="1044"/>
    </row>
    <row r="421" spans="1:44">
      <c r="A421" s="1044"/>
      <c r="B421" s="1044"/>
      <c r="C421" s="1044"/>
      <c r="D421" s="1221"/>
      <c r="E421" s="1044"/>
      <c r="F421" s="1044"/>
      <c r="G421" s="1044"/>
      <c r="H421" s="1044"/>
      <c r="I421" s="1044"/>
      <c r="J421" s="1047"/>
      <c r="K421" s="1047"/>
      <c r="L421" s="1047"/>
      <c r="M421" s="1047"/>
      <c r="N421" s="1047"/>
      <c r="O421" s="1047"/>
      <c r="P421" s="1047"/>
      <c r="Q421" s="1047"/>
      <c r="R421" s="1047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047"/>
      <c r="AE421" s="1044"/>
      <c r="AF421" s="1044"/>
      <c r="AG421" s="1044"/>
      <c r="AH421" s="1044"/>
      <c r="AI421" s="1044"/>
      <c r="AJ421" s="1044"/>
      <c r="AK421" s="1044"/>
      <c r="AL421" s="1044"/>
      <c r="AM421" s="1044"/>
      <c r="AN421" s="1044"/>
      <c r="AO421" s="1044"/>
      <c r="AP421" s="1044"/>
      <c r="AQ421" s="1044"/>
      <c r="AR421" s="1044"/>
    </row>
    <row r="422" spans="1:44">
      <c r="A422" s="1044"/>
      <c r="B422" s="1044"/>
      <c r="C422" s="1044"/>
      <c r="D422" s="1221"/>
      <c r="E422" s="1044"/>
      <c r="F422" s="1044"/>
      <c r="G422" s="1044"/>
      <c r="H422" s="1044"/>
      <c r="I422" s="1044"/>
      <c r="J422" s="1047"/>
      <c r="K422" s="1047"/>
      <c r="L422" s="1047"/>
      <c r="M422" s="1047"/>
      <c r="N422" s="1047"/>
      <c r="O422" s="1047"/>
      <c r="P422" s="1047"/>
      <c r="Q422" s="1047"/>
      <c r="R422" s="1047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047"/>
      <c r="AE422" s="1044"/>
      <c r="AF422" s="1044"/>
      <c r="AG422" s="1044"/>
      <c r="AH422" s="1044"/>
      <c r="AI422" s="1044"/>
      <c r="AJ422" s="1044"/>
      <c r="AK422" s="1044"/>
      <c r="AL422" s="1044"/>
      <c r="AM422" s="1044"/>
      <c r="AN422" s="1044"/>
      <c r="AO422" s="1044"/>
      <c r="AP422" s="1044"/>
      <c r="AQ422" s="1044"/>
      <c r="AR422" s="1044"/>
    </row>
    <row r="423" spans="1:44">
      <c r="A423" s="1044"/>
      <c r="B423" s="1044"/>
      <c r="C423" s="1044"/>
      <c r="D423" s="1221"/>
      <c r="E423" s="1044"/>
      <c r="F423" s="1044"/>
      <c r="G423" s="1044"/>
      <c r="H423" s="1044"/>
      <c r="I423" s="1044"/>
      <c r="J423" s="1047"/>
      <c r="K423" s="1047"/>
      <c r="L423" s="1047"/>
      <c r="M423" s="1047"/>
      <c r="N423" s="1047"/>
      <c r="O423" s="1047"/>
      <c r="P423" s="1047"/>
      <c r="Q423" s="1047"/>
      <c r="R423" s="1047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047"/>
      <c r="AE423" s="1044"/>
      <c r="AF423" s="1044"/>
      <c r="AG423" s="1044"/>
      <c r="AH423" s="1044"/>
      <c r="AI423" s="1044"/>
      <c r="AJ423" s="1044"/>
      <c r="AK423" s="1044"/>
      <c r="AL423" s="1044"/>
      <c r="AM423" s="1044"/>
      <c r="AN423" s="1044"/>
      <c r="AO423" s="1044"/>
      <c r="AP423" s="1044"/>
      <c r="AQ423" s="1044"/>
      <c r="AR423" s="1044"/>
    </row>
    <row r="424" spans="1:44">
      <c r="A424" s="1044"/>
      <c r="B424" s="1044"/>
      <c r="C424" s="1044"/>
      <c r="D424" s="1221"/>
      <c r="E424" s="1044"/>
      <c r="F424" s="1044"/>
      <c r="G424" s="1044"/>
      <c r="H424" s="1044"/>
      <c r="I424" s="1044"/>
      <c r="J424" s="1047"/>
      <c r="K424" s="1047"/>
      <c r="L424" s="1047"/>
      <c r="M424" s="1047"/>
      <c r="N424" s="1047"/>
      <c r="O424" s="1047"/>
      <c r="P424" s="1047"/>
      <c r="Q424" s="1047"/>
      <c r="R424" s="1047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047"/>
      <c r="AE424" s="1044"/>
      <c r="AF424" s="1044"/>
      <c r="AG424" s="1044"/>
      <c r="AH424" s="1044"/>
      <c r="AI424" s="1044"/>
      <c r="AJ424" s="1044"/>
      <c r="AK424" s="1044"/>
      <c r="AL424" s="1044"/>
      <c r="AM424" s="1044"/>
      <c r="AN424" s="1044"/>
      <c r="AO424" s="1044"/>
      <c r="AP424" s="1044"/>
      <c r="AQ424" s="1044"/>
      <c r="AR424" s="1044"/>
    </row>
    <row r="425" spans="1:44">
      <c r="A425" s="1044"/>
      <c r="B425" s="1044"/>
      <c r="C425" s="1044"/>
      <c r="D425" s="1221"/>
      <c r="E425" s="1044"/>
      <c r="F425" s="1044"/>
      <c r="G425" s="1044"/>
      <c r="H425" s="1044"/>
      <c r="I425" s="1044"/>
      <c r="J425" s="1047"/>
      <c r="K425" s="1047"/>
      <c r="L425" s="1047"/>
      <c r="M425" s="1047"/>
      <c r="N425" s="1047"/>
      <c r="O425" s="1047"/>
      <c r="P425" s="1047"/>
      <c r="Q425" s="1047"/>
      <c r="R425" s="1047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047"/>
      <c r="AE425" s="1044"/>
      <c r="AF425" s="1044"/>
      <c r="AG425" s="1044"/>
      <c r="AH425" s="1044"/>
      <c r="AI425" s="1044"/>
      <c r="AJ425" s="1044"/>
      <c r="AK425" s="1044"/>
      <c r="AL425" s="1044"/>
      <c r="AM425" s="1044"/>
      <c r="AN425" s="1044"/>
      <c r="AO425" s="1044"/>
      <c r="AP425" s="1044"/>
      <c r="AQ425" s="1044"/>
      <c r="AR425" s="1044"/>
    </row>
    <row r="426" spans="1:44">
      <c r="A426" s="1044"/>
      <c r="B426" s="1044"/>
      <c r="C426" s="1044"/>
      <c r="D426" s="1221"/>
      <c r="E426" s="1044"/>
      <c r="F426" s="1044"/>
      <c r="G426" s="1044"/>
      <c r="H426" s="1044"/>
      <c r="I426" s="1044"/>
      <c r="J426" s="1047"/>
      <c r="K426" s="1047"/>
      <c r="L426" s="1047"/>
      <c r="M426" s="1047"/>
      <c r="N426" s="1047"/>
      <c r="O426" s="1047"/>
      <c r="P426" s="1047"/>
      <c r="Q426" s="1047"/>
      <c r="R426" s="1047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047"/>
      <c r="AE426" s="1044"/>
      <c r="AF426" s="1044"/>
      <c r="AG426" s="1044"/>
      <c r="AH426" s="1044"/>
      <c r="AI426" s="1044"/>
      <c r="AJ426" s="1044"/>
      <c r="AK426" s="1044"/>
      <c r="AL426" s="1044"/>
      <c r="AM426" s="1044"/>
      <c r="AN426" s="1044"/>
      <c r="AO426" s="1044"/>
      <c r="AP426" s="1044"/>
      <c r="AQ426" s="1044"/>
      <c r="AR426" s="1044"/>
    </row>
    <row r="427" spans="1:44">
      <c r="A427" s="1044"/>
      <c r="B427" s="1044"/>
      <c r="C427" s="1044"/>
      <c r="D427" s="1221"/>
      <c r="E427" s="1044"/>
      <c r="F427" s="1044"/>
      <c r="G427" s="1044"/>
      <c r="H427" s="1044"/>
      <c r="I427" s="1044"/>
      <c r="J427" s="1047"/>
      <c r="K427" s="1047"/>
      <c r="L427" s="1047"/>
      <c r="M427" s="1047"/>
      <c r="N427" s="1047"/>
      <c r="O427" s="1047"/>
      <c r="P427" s="1047"/>
      <c r="Q427" s="1047"/>
      <c r="R427" s="1047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047"/>
      <c r="AE427" s="1044"/>
      <c r="AF427" s="1044"/>
      <c r="AG427" s="1044"/>
      <c r="AH427" s="1044"/>
      <c r="AI427" s="1044"/>
      <c r="AJ427" s="1044"/>
      <c r="AK427" s="1044"/>
      <c r="AL427" s="1044"/>
      <c r="AM427" s="1044"/>
      <c r="AN427" s="1044"/>
      <c r="AO427" s="1044"/>
      <c r="AP427" s="1044"/>
      <c r="AQ427" s="1044"/>
      <c r="AR427" s="1044"/>
    </row>
    <row r="428" spans="1:44">
      <c r="A428" s="1044"/>
      <c r="B428" s="1044"/>
      <c r="C428" s="1044"/>
      <c r="D428" s="1221"/>
      <c r="E428" s="1044"/>
      <c r="F428" s="1044"/>
      <c r="G428" s="1044"/>
      <c r="H428" s="1044"/>
      <c r="I428" s="1044"/>
      <c r="J428" s="1047"/>
      <c r="K428" s="1047"/>
      <c r="L428" s="1047"/>
      <c r="M428" s="1047"/>
      <c r="N428" s="1047"/>
      <c r="O428" s="1047"/>
      <c r="P428" s="1047"/>
      <c r="Q428" s="1047"/>
      <c r="R428" s="1047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047"/>
      <c r="AE428" s="1044"/>
      <c r="AF428" s="1044"/>
      <c r="AG428" s="1044"/>
      <c r="AH428" s="1044"/>
      <c r="AI428" s="1044"/>
      <c r="AJ428" s="1044"/>
      <c r="AK428" s="1044"/>
      <c r="AL428" s="1044"/>
      <c r="AM428" s="1044"/>
      <c r="AN428" s="1044"/>
      <c r="AO428" s="1044"/>
      <c r="AP428" s="1044"/>
      <c r="AQ428" s="1044"/>
      <c r="AR428" s="1044"/>
    </row>
    <row r="429" spans="1:44">
      <c r="A429" s="1044"/>
      <c r="B429" s="1044"/>
      <c r="C429" s="1044"/>
      <c r="D429" s="1221"/>
      <c r="E429" s="1044"/>
      <c r="F429" s="1044"/>
      <c r="G429" s="1044"/>
      <c r="H429" s="1044"/>
      <c r="I429" s="1044"/>
      <c r="J429" s="1047"/>
      <c r="K429" s="1047"/>
      <c r="L429" s="1047"/>
      <c r="M429" s="1047"/>
      <c r="N429" s="1047"/>
      <c r="O429" s="1047"/>
      <c r="P429" s="1047"/>
      <c r="Q429" s="1047"/>
      <c r="R429" s="1047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047"/>
      <c r="AE429" s="1044"/>
      <c r="AF429" s="1044"/>
      <c r="AG429" s="1044"/>
      <c r="AH429" s="1044"/>
      <c r="AI429" s="1044"/>
      <c r="AJ429" s="1044"/>
      <c r="AK429" s="1044"/>
      <c r="AL429" s="1044"/>
      <c r="AM429" s="1044"/>
      <c r="AN429" s="1044"/>
      <c r="AO429" s="1044"/>
      <c r="AP429" s="1044"/>
      <c r="AQ429" s="1044"/>
      <c r="AR429" s="1044"/>
    </row>
    <row r="430" spans="1:44">
      <c r="A430" s="1044"/>
      <c r="B430" s="1044"/>
      <c r="C430" s="1044"/>
      <c r="D430" s="1221"/>
      <c r="E430" s="1044"/>
      <c r="F430" s="1044"/>
      <c r="G430" s="1044"/>
      <c r="H430" s="1044"/>
      <c r="I430" s="1044"/>
      <c r="J430" s="1047"/>
      <c r="K430" s="1047"/>
      <c r="L430" s="1047"/>
      <c r="M430" s="1047"/>
      <c r="N430" s="1047"/>
      <c r="O430" s="1047"/>
      <c r="P430" s="1047"/>
      <c r="Q430" s="1047"/>
      <c r="R430" s="1047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047"/>
      <c r="AE430" s="1044"/>
      <c r="AF430" s="1044"/>
      <c r="AG430" s="1044"/>
      <c r="AH430" s="1044"/>
      <c r="AI430" s="1044"/>
      <c r="AJ430" s="1044"/>
      <c r="AK430" s="1044"/>
      <c r="AL430" s="1044"/>
      <c r="AM430" s="1044"/>
      <c r="AN430" s="1044"/>
      <c r="AO430" s="1044"/>
      <c r="AP430" s="1044"/>
      <c r="AQ430" s="1044"/>
      <c r="AR430" s="1044"/>
    </row>
    <row r="431" spans="1:44">
      <c r="A431" s="1044"/>
      <c r="B431" s="1044"/>
      <c r="C431" s="1044"/>
      <c r="D431" s="1221"/>
      <c r="E431" s="1044"/>
      <c r="F431" s="1044"/>
      <c r="G431" s="1044"/>
      <c r="H431" s="1044"/>
      <c r="I431" s="1044"/>
      <c r="J431" s="1047"/>
      <c r="K431" s="1047"/>
      <c r="L431" s="1047"/>
      <c r="M431" s="1047"/>
      <c r="N431" s="1047"/>
      <c r="O431" s="1047"/>
      <c r="P431" s="1047"/>
      <c r="Q431" s="1047"/>
      <c r="R431" s="1047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047"/>
      <c r="AE431" s="1044"/>
      <c r="AF431" s="1044"/>
      <c r="AG431" s="1044"/>
      <c r="AH431" s="1044"/>
      <c r="AI431" s="1044"/>
      <c r="AJ431" s="1044"/>
      <c r="AK431" s="1044"/>
      <c r="AL431" s="1044"/>
      <c r="AM431" s="1044"/>
      <c r="AN431" s="1044"/>
      <c r="AO431" s="1044"/>
      <c r="AP431" s="1044"/>
      <c r="AQ431" s="1044"/>
      <c r="AR431" s="1044"/>
    </row>
    <row r="432" spans="1:44">
      <c r="A432" s="1044"/>
      <c r="B432" s="1044"/>
      <c r="C432" s="1044"/>
      <c r="D432" s="1221"/>
      <c r="E432" s="1044"/>
      <c r="F432" s="1044"/>
      <c r="G432" s="1044"/>
      <c r="H432" s="1044"/>
      <c r="I432" s="1044"/>
      <c r="J432" s="1047"/>
      <c r="K432" s="1047"/>
      <c r="L432" s="1047"/>
      <c r="M432" s="1047"/>
      <c r="N432" s="1047"/>
      <c r="O432" s="1047"/>
      <c r="P432" s="1047"/>
      <c r="Q432" s="1047"/>
      <c r="R432" s="1047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047"/>
      <c r="AE432" s="1044"/>
      <c r="AF432" s="1044"/>
      <c r="AG432" s="1044"/>
      <c r="AH432" s="1044"/>
      <c r="AI432" s="1044"/>
      <c r="AJ432" s="1044"/>
      <c r="AK432" s="1044"/>
      <c r="AL432" s="1044"/>
      <c r="AM432" s="1044"/>
      <c r="AN432" s="1044"/>
      <c r="AO432" s="1044"/>
      <c r="AP432" s="1044"/>
      <c r="AQ432" s="1044"/>
      <c r="AR432" s="1044"/>
    </row>
    <row r="433" spans="1:44">
      <c r="A433" s="1044"/>
      <c r="B433" s="1044"/>
      <c r="C433" s="1044"/>
      <c r="D433" s="1221"/>
      <c r="E433" s="1044"/>
      <c r="F433" s="1044"/>
      <c r="G433" s="1044"/>
      <c r="H433" s="1044"/>
      <c r="I433" s="1044"/>
      <c r="J433" s="1047"/>
      <c r="K433" s="1047"/>
      <c r="L433" s="1047"/>
      <c r="M433" s="1047"/>
      <c r="N433" s="1047"/>
      <c r="O433" s="1047"/>
      <c r="P433" s="1047"/>
      <c r="Q433" s="1047"/>
      <c r="R433" s="1047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047"/>
      <c r="AE433" s="1044"/>
      <c r="AF433" s="1044"/>
      <c r="AG433" s="1044"/>
      <c r="AH433" s="1044"/>
      <c r="AI433" s="1044"/>
      <c r="AJ433" s="1044"/>
      <c r="AK433" s="1044"/>
      <c r="AL433" s="1044"/>
      <c r="AM433" s="1044"/>
      <c r="AN433" s="1044"/>
      <c r="AO433" s="1044"/>
      <c r="AP433" s="1044"/>
      <c r="AQ433" s="1044"/>
      <c r="AR433" s="1044"/>
    </row>
    <row r="434" spans="1:44">
      <c r="A434" s="1044"/>
      <c r="B434" s="1044"/>
      <c r="C434" s="1044"/>
      <c r="D434" s="1221"/>
      <c r="E434" s="1044"/>
      <c r="F434" s="1044"/>
      <c r="G434" s="1044"/>
      <c r="H434" s="1044"/>
      <c r="I434" s="1044"/>
      <c r="J434" s="1047"/>
      <c r="K434" s="1047"/>
      <c r="L434" s="1047"/>
      <c r="M434" s="1047"/>
      <c r="N434" s="1047"/>
      <c r="O434" s="1047"/>
      <c r="P434" s="1047"/>
      <c r="Q434" s="1047"/>
      <c r="R434" s="1047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047"/>
      <c r="AE434" s="1044"/>
      <c r="AF434" s="1044"/>
      <c r="AG434" s="1044"/>
      <c r="AH434" s="1044"/>
      <c r="AI434" s="1044"/>
      <c r="AJ434" s="1044"/>
      <c r="AK434" s="1044"/>
      <c r="AL434" s="1044"/>
      <c r="AM434" s="1044"/>
      <c r="AN434" s="1044"/>
      <c r="AO434" s="1044"/>
      <c r="AP434" s="1044"/>
      <c r="AQ434" s="1044"/>
      <c r="AR434" s="1044"/>
    </row>
    <row r="435" spans="1:44">
      <c r="A435" s="1044"/>
      <c r="B435" s="1044"/>
      <c r="C435" s="1044"/>
      <c r="D435" s="1221"/>
      <c r="E435" s="1044"/>
      <c r="F435" s="1044"/>
      <c r="G435" s="1044"/>
      <c r="H435" s="1044"/>
      <c r="I435" s="1044"/>
      <c r="J435" s="1047"/>
      <c r="K435" s="1047"/>
      <c r="L435" s="1047"/>
      <c r="M435" s="1047"/>
      <c r="N435" s="1047"/>
      <c r="O435" s="1047"/>
      <c r="P435" s="1047"/>
      <c r="Q435" s="1047"/>
      <c r="R435" s="1047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047"/>
      <c r="AE435" s="1044"/>
      <c r="AF435" s="1044"/>
      <c r="AG435" s="1044"/>
      <c r="AH435" s="1044"/>
      <c r="AI435" s="1044"/>
      <c r="AJ435" s="1044"/>
      <c r="AK435" s="1044"/>
      <c r="AL435" s="1044"/>
      <c r="AM435" s="1044"/>
      <c r="AN435" s="1044"/>
      <c r="AO435" s="1044"/>
      <c r="AP435" s="1044"/>
      <c r="AQ435" s="1044"/>
      <c r="AR435" s="1044"/>
    </row>
    <row r="436" spans="1:44">
      <c r="A436" s="1044"/>
      <c r="B436" s="1044"/>
      <c r="C436" s="1044"/>
      <c r="D436" s="1221"/>
      <c r="E436" s="1044"/>
      <c r="F436" s="1044"/>
      <c r="G436" s="1044"/>
      <c r="H436" s="1044"/>
      <c r="I436" s="1044"/>
      <c r="J436" s="1047"/>
      <c r="K436" s="1047"/>
      <c r="L436" s="1047"/>
      <c r="M436" s="1047"/>
      <c r="N436" s="1047"/>
      <c r="O436" s="1047"/>
      <c r="P436" s="1047"/>
      <c r="Q436" s="1047"/>
      <c r="R436" s="1047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047"/>
      <c r="AE436" s="1044"/>
      <c r="AF436" s="1044"/>
      <c r="AG436" s="1044"/>
      <c r="AH436" s="1044"/>
      <c r="AI436" s="1044"/>
      <c r="AJ436" s="1044"/>
      <c r="AK436" s="1044"/>
      <c r="AL436" s="1044"/>
      <c r="AM436" s="1044"/>
      <c r="AN436" s="1044"/>
      <c r="AO436" s="1044"/>
      <c r="AP436" s="1044"/>
      <c r="AQ436" s="1044"/>
      <c r="AR436" s="1044"/>
    </row>
    <row r="437" spans="1:44">
      <c r="A437" s="1044"/>
      <c r="B437" s="1044"/>
      <c r="C437" s="1044"/>
      <c r="D437" s="1221"/>
      <c r="E437" s="1044"/>
      <c r="F437" s="1044"/>
      <c r="G437" s="1044"/>
      <c r="H437" s="1044"/>
      <c r="I437" s="1044"/>
      <c r="J437" s="1047"/>
      <c r="K437" s="1047"/>
      <c r="L437" s="1047"/>
      <c r="M437" s="1047"/>
      <c r="N437" s="1047"/>
      <c r="O437" s="1047"/>
      <c r="P437" s="1047"/>
      <c r="Q437" s="1047"/>
      <c r="R437" s="1047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047"/>
      <c r="AE437" s="1044"/>
      <c r="AF437" s="1044"/>
      <c r="AG437" s="1044"/>
      <c r="AH437" s="1044"/>
      <c r="AI437" s="1044"/>
      <c r="AJ437" s="1044"/>
      <c r="AK437" s="1044"/>
      <c r="AL437" s="1044"/>
      <c r="AM437" s="1044"/>
      <c r="AN437" s="1044"/>
      <c r="AO437" s="1044"/>
      <c r="AP437" s="1044"/>
      <c r="AQ437" s="1044"/>
      <c r="AR437" s="1044"/>
    </row>
    <row r="438" spans="1:44">
      <c r="A438" s="1044"/>
      <c r="B438" s="1044"/>
      <c r="C438" s="1044"/>
      <c r="D438" s="1221"/>
      <c r="E438" s="1044"/>
      <c r="F438" s="1044"/>
      <c r="G438" s="1044"/>
      <c r="H438" s="1044"/>
      <c r="I438" s="1044"/>
      <c r="J438" s="1047"/>
      <c r="K438" s="1047"/>
      <c r="L438" s="1047"/>
      <c r="M438" s="1047"/>
      <c r="N438" s="1047"/>
      <c r="O438" s="1047"/>
      <c r="P438" s="1047"/>
      <c r="Q438" s="1047"/>
      <c r="R438" s="1047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047"/>
      <c r="AE438" s="1044"/>
      <c r="AF438" s="1044"/>
      <c r="AG438" s="1044"/>
      <c r="AH438" s="1044"/>
      <c r="AI438" s="1044"/>
      <c r="AJ438" s="1044"/>
      <c r="AK438" s="1044"/>
      <c r="AL438" s="1044"/>
      <c r="AM438" s="1044"/>
      <c r="AN438" s="1044"/>
      <c r="AO438" s="1044"/>
      <c r="AP438" s="1044"/>
      <c r="AQ438" s="1044"/>
      <c r="AR438" s="1044"/>
    </row>
    <row r="439" spans="1:44">
      <c r="A439" s="1044"/>
      <c r="B439" s="1044"/>
      <c r="C439" s="1044"/>
      <c r="D439" s="1221"/>
      <c r="E439" s="1044"/>
      <c r="F439" s="1044"/>
      <c r="G439" s="1044"/>
      <c r="H439" s="1044"/>
      <c r="I439" s="1044"/>
      <c r="J439" s="1047"/>
      <c r="K439" s="1047"/>
      <c r="L439" s="1047"/>
      <c r="M439" s="1047"/>
      <c r="N439" s="1047"/>
      <c r="O439" s="1047"/>
      <c r="P439" s="1047"/>
      <c r="Q439" s="1047"/>
      <c r="R439" s="1047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047"/>
      <c r="AE439" s="1044"/>
      <c r="AF439" s="1044"/>
      <c r="AG439" s="1044"/>
      <c r="AH439" s="1044"/>
      <c r="AI439" s="1044"/>
      <c r="AJ439" s="1044"/>
      <c r="AK439" s="1044"/>
      <c r="AL439" s="1044"/>
      <c r="AM439" s="1044"/>
      <c r="AN439" s="1044"/>
      <c r="AO439" s="1044"/>
      <c r="AP439" s="1044"/>
      <c r="AQ439" s="1044"/>
      <c r="AR439" s="1044"/>
    </row>
    <row r="440" spans="1:44">
      <c r="A440" s="1044"/>
      <c r="B440" s="1044"/>
      <c r="C440" s="1044"/>
      <c r="D440" s="1221"/>
      <c r="E440" s="1044"/>
      <c r="F440" s="1044"/>
      <c r="G440" s="1044"/>
      <c r="H440" s="1044"/>
      <c r="I440" s="1044"/>
      <c r="J440" s="1047"/>
      <c r="K440" s="1047"/>
      <c r="L440" s="1047"/>
      <c r="M440" s="1047"/>
      <c r="N440" s="1047"/>
      <c r="O440" s="1047"/>
      <c r="P440" s="1047"/>
      <c r="Q440" s="1047"/>
      <c r="R440" s="1047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047"/>
      <c r="AE440" s="1044"/>
      <c r="AF440" s="1044"/>
      <c r="AG440" s="1044"/>
      <c r="AH440" s="1044"/>
      <c r="AI440" s="1044"/>
      <c r="AJ440" s="1044"/>
      <c r="AK440" s="1044"/>
      <c r="AL440" s="1044"/>
      <c r="AM440" s="1044"/>
      <c r="AN440" s="1044"/>
      <c r="AO440" s="1044"/>
      <c r="AP440" s="1044"/>
      <c r="AQ440" s="1044"/>
      <c r="AR440" s="1044"/>
    </row>
    <row r="441" spans="1:44">
      <c r="A441" s="1044"/>
      <c r="B441" s="1044"/>
      <c r="C441" s="1044"/>
      <c r="D441" s="1221"/>
      <c r="E441" s="1044"/>
      <c r="F441" s="1044"/>
      <c r="G441" s="1044"/>
      <c r="H441" s="1044"/>
      <c r="I441" s="1044"/>
      <c r="J441" s="1047"/>
      <c r="K441" s="1047"/>
      <c r="L441" s="1047"/>
      <c r="M441" s="1047"/>
      <c r="N441" s="1047"/>
      <c r="O441" s="1047"/>
      <c r="P441" s="1047"/>
      <c r="Q441" s="1047"/>
      <c r="R441" s="1047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047"/>
      <c r="AE441" s="1044"/>
      <c r="AF441" s="1044"/>
      <c r="AG441" s="1044"/>
      <c r="AH441" s="1044"/>
      <c r="AI441" s="1044"/>
      <c r="AJ441" s="1044"/>
      <c r="AK441" s="1044"/>
      <c r="AL441" s="1044"/>
      <c r="AM441" s="1044"/>
      <c r="AN441" s="1044"/>
      <c r="AO441" s="1044"/>
      <c r="AP441" s="1044"/>
      <c r="AQ441" s="1044"/>
      <c r="AR441" s="1044"/>
    </row>
    <row r="442" spans="1:44">
      <c r="A442" s="1044"/>
      <c r="B442" s="1044"/>
      <c r="C442" s="1044"/>
      <c r="D442" s="1221"/>
      <c r="E442" s="1044"/>
      <c r="F442" s="1044"/>
      <c r="G442" s="1044"/>
      <c r="H442" s="1044"/>
      <c r="I442" s="1044"/>
      <c r="J442" s="1047"/>
      <c r="K442" s="1047"/>
      <c r="L442" s="1047"/>
      <c r="M442" s="1047"/>
      <c r="N442" s="1047"/>
      <c r="O442" s="1047"/>
      <c r="P442" s="1047"/>
      <c r="Q442" s="1047"/>
      <c r="R442" s="1047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047"/>
      <c r="AE442" s="1044"/>
      <c r="AF442" s="1044"/>
      <c r="AG442" s="1044"/>
      <c r="AH442" s="1044"/>
      <c r="AI442" s="1044"/>
      <c r="AJ442" s="1044"/>
      <c r="AK442" s="1044"/>
      <c r="AL442" s="1044"/>
      <c r="AM442" s="1044"/>
      <c r="AN442" s="1044"/>
      <c r="AO442" s="1044"/>
      <c r="AP442" s="1044"/>
      <c r="AQ442" s="1044"/>
      <c r="AR442" s="1044"/>
    </row>
    <row r="443" spans="1:44">
      <c r="A443" s="1044"/>
      <c r="B443" s="1044"/>
      <c r="C443" s="1044"/>
      <c r="D443" s="1221"/>
      <c r="E443" s="1044"/>
      <c r="F443" s="1044"/>
      <c r="G443" s="1044"/>
      <c r="H443" s="1044"/>
      <c r="I443" s="1044"/>
      <c r="J443" s="1047"/>
      <c r="K443" s="1047"/>
      <c r="L443" s="1047"/>
      <c r="M443" s="1047"/>
      <c r="N443" s="1047"/>
      <c r="O443" s="1047"/>
      <c r="P443" s="1047"/>
      <c r="Q443" s="1047"/>
      <c r="R443" s="1047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047"/>
      <c r="AE443" s="1044"/>
      <c r="AF443" s="1044"/>
      <c r="AG443" s="1044"/>
      <c r="AH443" s="1044"/>
      <c r="AI443" s="1044"/>
      <c r="AJ443" s="1044"/>
      <c r="AK443" s="1044"/>
      <c r="AL443" s="1044"/>
      <c r="AM443" s="1044"/>
      <c r="AN443" s="1044"/>
      <c r="AO443" s="1044"/>
      <c r="AP443" s="1044"/>
      <c r="AQ443" s="1044"/>
      <c r="AR443" s="1044"/>
    </row>
    <row r="444" spans="1:44">
      <c r="A444" s="1044"/>
      <c r="B444" s="1044"/>
      <c r="C444" s="1044"/>
      <c r="D444" s="1221"/>
      <c r="E444" s="1044"/>
      <c r="F444" s="1044"/>
      <c r="G444" s="1044"/>
      <c r="H444" s="1044"/>
      <c r="I444" s="1044"/>
      <c r="J444" s="1047"/>
      <c r="K444" s="1047"/>
      <c r="L444" s="1047"/>
      <c r="M444" s="1047"/>
      <c r="N444" s="1047"/>
      <c r="O444" s="1047"/>
      <c r="P444" s="1047"/>
      <c r="Q444" s="1047"/>
      <c r="R444" s="1047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047"/>
      <c r="AE444" s="1044"/>
      <c r="AF444" s="1044"/>
      <c r="AG444" s="1044"/>
      <c r="AH444" s="1044"/>
      <c r="AI444" s="1044"/>
      <c r="AJ444" s="1044"/>
      <c r="AK444" s="1044"/>
      <c r="AL444" s="1044"/>
      <c r="AM444" s="1044"/>
      <c r="AN444" s="1044"/>
      <c r="AO444" s="1044"/>
      <c r="AP444" s="1044"/>
      <c r="AQ444" s="1044"/>
      <c r="AR444" s="1044"/>
    </row>
    <row r="445" spans="1:44">
      <c r="A445" s="1044"/>
      <c r="B445" s="1044"/>
      <c r="C445" s="1044"/>
      <c r="D445" s="1221"/>
      <c r="E445" s="1044"/>
      <c r="F445" s="1044"/>
      <c r="G445" s="1044"/>
      <c r="H445" s="1044"/>
      <c r="I445" s="1044"/>
      <c r="J445" s="1047"/>
      <c r="K445" s="1047"/>
      <c r="L445" s="1047"/>
      <c r="M445" s="1047"/>
      <c r="N445" s="1047"/>
      <c r="O445" s="1047"/>
      <c r="P445" s="1047"/>
      <c r="Q445" s="1047"/>
      <c r="R445" s="1047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047"/>
      <c r="AE445" s="1044"/>
      <c r="AF445" s="1044"/>
      <c r="AG445" s="1044"/>
      <c r="AH445" s="1044"/>
      <c r="AI445" s="1044"/>
      <c r="AJ445" s="1044"/>
      <c r="AK445" s="1044"/>
      <c r="AL445" s="1044"/>
      <c r="AM445" s="1044"/>
      <c r="AN445" s="1044"/>
      <c r="AO445" s="1044"/>
      <c r="AP445" s="1044"/>
      <c r="AQ445" s="1044"/>
      <c r="AR445" s="1044"/>
    </row>
    <row r="446" spans="1:44">
      <c r="A446" s="1044"/>
      <c r="B446" s="1044"/>
      <c r="C446" s="1044"/>
      <c r="D446" s="1221"/>
      <c r="E446" s="1044"/>
      <c r="F446" s="1044"/>
      <c r="G446" s="1044"/>
      <c r="H446" s="1044"/>
      <c r="I446" s="1044"/>
      <c r="J446" s="1047"/>
      <c r="K446" s="1047"/>
      <c r="L446" s="1047"/>
      <c r="M446" s="1047"/>
      <c r="N446" s="1047"/>
      <c r="O446" s="1047"/>
      <c r="P446" s="1047"/>
      <c r="Q446" s="1047"/>
      <c r="R446" s="1047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047"/>
      <c r="AE446" s="1044"/>
      <c r="AF446" s="1044"/>
      <c r="AG446" s="1044"/>
      <c r="AH446" s="1044"/>
      <c r="AI446" s="1044"/>
      <c r="AJ446" s="1044"/>
      <c r="AK446" s="1044"/>
      <c r="AL446" s="1044"/>
      <c r="AM446" s="1044"/>
      <c r="AN446" s="1044"/>
      <c r="AO446" s="1044"/>
      <c r="AP446" s="1044"/>
      <c r="AQ446" s="1044"/>
      <c r="AR446" s="1044"/>
    </row>
    <row r="447" spans="1:44">
      <c r="A447" s="1044"/>
      <c r="B447" s="1044"/>
      <c r="C447" s="1044"/>
      <c r="D447" s="1221"/>
      <c r="E447" s="1044"/>
      <c r="F447" s="1044"/>
      <c r="G447" s="1044"/>
      <c r="H447" s="1044"/>
      <c r="I447" s="1044"/>
      <c r="J447" s="1047"/>
      <c r="K447" s="1047"/>
      <c r="L447" s="1047"/>
      <c r="M447" s="1047"/>
      <c r="N447" s="1047"/>
      <c r="O447" s="1047"/>
      <c r="P447" s="1047"/>
      <c r="Q447" s="1047"/>
      <c r="R447" s="1047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047"/>
      <c r="AE447" s="1044"/>
      <c r="AF447" s="1044"/>
      <c r="AG447" s="1044"/>
      <c r="AH447" s="1044"/>
      <c r="AI447" s="1044"/>
      <c r="AJ447" s="1044"/>
      <c r="AK447" s="1044"/>
      <c r="AL447" s="1044"/>
      <c r="AM447" s="1044"/>
      <c r="AN447" s="1044"/>
      <c r="AO447" s="1044"/>
      <c r="AP447" s="1044"/>
      <c r="AQ447" s="1044"/>
      <c r="AR447" s="1044"/>
    </row>
    <row r="448" spans="1:44">
      <c r="A448" s="1044"/>
      <c r="B448" s="1044"/>
      <c r="C448" s="1044"/>
      <c r="D448" s="1221"/>
      <c r="E448" s="1044"/>
      <c r="F448" s="1044"/>
      <c r="G448" s="1044"/>
      <c r="H448" s="1044"/>
      <c r="I448" s="1044"/>
      <c r="J448" s="1047"/>
      <c r="K448" s="1047"/>
      <c r="L448" s="1047"/>
      <c r="M448" s="1047"/>
      <c r="N448" s="1047"/>
      <c r="O448" s="1047"/>
      <c r="P448" s="1047"/>
      <c r="Q448" s="1047"/>
      <c r="R448" s="1047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047"/>
      <c r="AE448" s="1044"/>
      <c r="AF448" s="1044"/>
      <c r="AG448" s="1044"/>
      <c r="AH448" s="1044"/>
      <c r="AI448" s="1044"/>
      <c r="AJ448" s="1044"/>
      <c r="AK448" s="1044"/>
      <c r="AL448" s="1044"/>
      <c r="AM448" s="1044"/>
      <c r="AN448" s="1044"/>
      <c r="AO448" s="1044"/>
      <c r="AP448" s="1044"/>
      <c r="AQ448" s="1044"/>
      <c r="AR448" s="1044"/>
    </row>
    <row r="449" spans="1:44">
      <c r="A449" s="1044"/>
      <c r="B449" s="1044"/>
      <c r="C449" s="1044"/>
      <c r="D449" s="1221"/>
      <c r="E449" s="1044"/>
      <c r="F449" s="1044"/>
      <c r="G449" s="1044"/>
      <c r="H449" s="1044"/>
      <c r="I449" s="1044"/>
      <c r="J449" s="1047"/>
      <c r="K449" s="1047"/>
      <c r="L449" s="1047"/>
      <c r="M449" s="1047"/>
      <c r="N449" s="1047"/>
      <c r="O449" s="1047"/>
      <c r="P449" s="1047"/>
      <c r="Q449" s="1047"/>
      <c r="R449" s="1047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047"/>
      <c r="AE449" s="1044"/>
      <c r="AF449" s="1044"/>
      <c r="AG449" s="1044"/>
      <c r="AH449" s="1044"/>
      <c r="AI449" s="1044"/>
      <c r="AJ449" s="1044"/>
      <c r="AK449" s="1044"/>
      <c r="AL449" s="1044"/>
      <c r="AM449" s="1044"/>
      <c r="AN449" s="1044"/>
      <c r="AO449" s="1044"/>
      <c r="AP449" s="1044"/>
      <c r="AQ449" s="1044"/>
      <c r="AR449" s="1044"/>
    </row>
    <row r="450" spans="1:44">
      <c r="A450" s="1044"/>
      <c r="B450" s="1044"/>
      <c r="C450" s="1044"/>
      <c r="D450" s="1221"/>
      <c r="E450" s="1044"/>
      <c r="F450" s="1044"/>
      <c r="G450" s="1044"/>
      <c r="H450" s="1044"/>
      <c r="I450" s="1044"/>
      <c r="J450" s="1047"/>
      <c r="K450" s="1047"/>
      <c r="L450" s="1047"/>
      <c r="M450" s="1047"/>
      <c r="N450" s="1047"/>
      <c r="O450" s="1047"/>
      <c r="P450" s="1047"/>
      <c r="Q450" s="1047"/>
      <c r="R450" s="1047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047"/>
      <c r="AE450" s="1044"/>
      <c r="AF450" s="1044"/>
      <c r="AG450" s="1044"/>
      <c r="AH450" s="1044"/>
      <c r="AI450" s="1044"/>
      <c r="AJ450" s="1044"/>
      <c r="AK450" s="1044"/>
      <c r="AL450" s="1044"/>
      <c r="AM450" s="1044"/>
      <c r="AN450" s="1044"/>
      <c r="AO450" s="1044"/>
      <c r="AP450" s="1044"/>
      <c r="AQ450" s="1044"/>
      <c r="AR450" s="1044"/>
    </row>
    <row r="451" spans="1:44">
      <c r="A451" s="1044"/>
      <c r="B451" s="1044"/>
      <c r="C451" s="1044"/>
      <c r="D451" s="1221"/>
      <c r="E451" s="1044"/>
      <c r="F451" s="1044"/>
      <c r="G451" s="1044"/>
      <c r="H451" s="1044"/>
      <c r="I451" s="1044"/>
      <c r="J451" s="1047"/>
      <c r="K451" s="1047"/>
      <c r="L451" s="1047"/>
      <c r="M451" s="1047"/>
      <c r="N451" s="1047"/>
      <c r="O451" s="1047"/>
      <c r="P451" s="1047"/>
      <c r="Q451" s="1047"/>
      <c r="R451" s="1047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047"/>
      <c r="AE451" s="1044"/>
      <c r="AF451" s="1044"/>
      <c r="AG451" s="1044"/>
      <c r="AH451" s="1044"/>
      <c r="AI451" s="1044"/>
      <c r="AJ451" s="1044"/>
      <c r="AK451" s="1044"/>
      <c r="AL451" s="1044"/>
      <c r="AM451" s="1044"/>
      <c r="AN451" s="1044"/>
      <c r="AO451" s="1044"/>
      <c r="AP451" s="1044"/>
      <c r="AQ451" s="1044"/>
      <c r="AR451" s="1044"/>
    </row>
    <row r="452" spans="1:44">
      <c r="A452" s="1044"/>
      <c r="B452" s="1044"/>
      <c r="C452" s="1044"/>
      <c r="D452" s="1221"/>
      <c r="E452" s="1044"/>
      <c r="F452" s="1044"/>
      <c r="G452" s="1044"/>
      <c r="H452" s="1044"/>
      <c r="I452" s="1044"/>
      <c r="J452" s="1047"/>
      <c r="K452" s="1047"/>
      <c r="L452" s="1047"/>
      <c r="M452" s="1047"/>
      <c r="N452" s="1047"/>
      <c r="O452" s="1047"/>
      <c r="P452" s="1047"/>
      <c r="Q452" s="1047"/>
      <c r="R452" s="1047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047"/>
      <c r="AE452" s="1044"/>
      <c r="AF452" s="1044"/>
      <c r="AG452" s="1044"/>
      <c r="AH452" s="1044"/>
      <c r="AI452" s="1044"/>
      <c r="AJ452" s="1044"/>
      <c r="AK452" s="1044"/>
      <c r="AL452" s="1044"/>
      <c r="AM452" s="1044"/>
      <c r="AN452" s="1044"/>
      <c r="AO452" s="1044"/>
      <c r="AP452" s="1044"/>
      <c r="AQ452" s="1044"/>
      <c r="AR452" s="1044"/>
    </row>
    <row r="453" spans="1:44">
      <c r="A453" s="1044"/>
      <c r="B453" s="1044"/>
      <c r="C453" s="1044"/>
      <c r="D453" s="1221"/>
      <c r="E453" s="1044"/>
      <c r="F453" s="1044"/>
      <c r="G453" s="1044"/>
      <c r="H453" s="1044"/>
      <c r="I453" s="1044"/>
      <c r="J453" s="1047"/>
      <c r="K453" s="1047"/>
      <c r="L453" s="1047"/>
      <c r="M453" s="1047"/>
      <c r="N453" s="1047"/>
      <c r="O453" s="1047"/>
      <c r="P453" s="1047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047"/>
      <c r="AE453" s="1044"/>
      <c r="AF453" s="1044"/>
      <c r="AG453" s="1044"/>
      <c r="AH453" s="1044"/>
      <c r="AI453" s="1044"/>
      <c r="AJ453" s="1044"/>
      <c r="AK453" s="1044"/>
      <c r="AL453" s="1044"/>
      <c r="AM453" s="1044"/>
      <c r="AN453" s="1044"/>
      <c r="AO453" s="1044"/>
      <c r="AP453" s="1044"/>
      <c r="AQ453" s="1044"/>
      <c r="AR453" s="1044"/>
    </row>
    <row r="454" spans="1:44">
      <c r="A454" s="1044"/>
      <c r="B454" s="1044"/>
      <c r="C454" s="1044"/>
      <c r="D454" s="1221"/>
      <c r="E454" s="1044"/>
      <c r="F454" s="1044"/>
      <c r="G454" s="1044"/>
      <c r="H454" s="1044"/>
      <c r="I454" s="1044"/>
      <c r="J454" s="1047"/>
      <c r="K454" s="1047"/>
      <c r="L454" s="1047"/>
      <c r="M454" s="1047"/>
      <c r="N454" s="1047"/>
      <c r="O454" s="1047"/>
      <c r="P454" s="1047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047"/>
      <c r="AE454" s="1044"/>
      <c r="AF454" s="1044"/>
      <c r="AG454" s="1044"/>
      <c r="AH454" s="1044"/>
      <c r="AI454" s="1044"/>
      <c r="AJ454" s="1044"/>
      <c r="AK454" s="1044"/>
      <c r="AL454" s="1044"/>
      <c r="AM454" s="1044"/>
      <c r="AN454" s="1044"/>
      <c r="AO454" s="1044"/>
      <c r="AP454" s="1044"/>
      <c r="AQ454" s="1044"/>
      <c r="AR454" s="1044"/>
    </row>
    <row r="455" spans="1:44">
      <c r="A455" s="1044"/>
      <c r="B455" s="1044"/>
      <c r="C455" s="1044"/>
      <c r="D455" s="1221"/>
      <c r="E455" s="1044"/>
      <c r="F455" s="1044"/>
      <c r="G455" s="1044"/>
      <c r="H455" s="1044"/>
      <c r="I455" s="1044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4"/>
      <c r="AF455" s="1044"/>
      <c r="AG455" s="1044"/>
      <c r="AH455" s="1044"/>
      <c r="AI455" s="1044"/>
      <c r="AJ455" s="1044"/>
      <c r="AK455" s="1044"/>
      <c r="AL455" s="1044"/>
      <c r="AM455" s="1044"/>
      <c r="AN455" s="1044"/>
      <c r="AO455" s="1044"/>
      <c r="AP455" s="1044"/>
      <c r="AQ455" s="1044"/>
      <c r="AR455" s="1044"/>
    </row>
    <row r="456" spans="1:44">
      <c r="A456" s="1044"/>
      <c r="B456" s="1044"/>
      <c r="C456" s="1044"/>
      <c r="D456" s="1221"/>
      <c r="E456" s="1044"/>
      <c r="F456" s="1044"/>
      <c r="G456" s="1044"/>
      <c r="H456" s="1044"/>
      <c r="I456" s="1044"/>
      <c r="J456" s="1047"/>
      <c r="K456" s="1047"/>
      <c r="L456" s="1047"/>
      <c r="M456" s="1047"/>
      <c r="N456" s="1047"/>
      <c r="O456" s="1047"/>
      <c r="P456" s="1047"/>
      <c r="Q456" s="1047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47"/>
      <c r="AE456" s="1044"/>
      <c r="AF456" s="1044"/>
      <c r="AG456" s="1044"/>
      <c r="AH456" s="1044"/>
      <c r="AI456" s="1044"/>
      <c r="AJ456" s="1044"/>
      <c r="AK456" s="1044"/>
      <c r="AL456" s="1044"/>
      <c r="AM456" s="1044"/>
      <c r="AN456" s="1044"/>
      <c r="AO456" s="1044"/>
      <c r="AP456" s="1044"/>
      <c r="AQ456" s="1044"/>
      <c r="AR456" s="1044"/>
    </row>
    <row r="457" spans="1:44">
      <c r="A457" s="1044"/>
      <c r="B457" s="1044"/>
      <c r="C457" s="1044"/>
      <c r="D457" s="1221"/>
      <c r="E457" s="1044"/>
      <c r="F457" s="1044"/>
      <c r="G457" s="1044"/>
      <c r="H457" s="1044"/>
      <c r="I457" s="1044"/>
      <c r="J457" s="1047"/>
      <c r="K457" s="1047"/>
      <c r="L457" s="1047"/>
      <c r="M457" s="1047"/>
      <c r="N457" s="1047"/>
      <c r="O457" s="1047"/>
      <c r="P457" s="1047"/>
      <c r="Q457" s="1047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47"/>
      <c r="AE457" s="1044"/>
      <c r="AF457" s="1044"/>
      <c r="AG457" s="1044"/>
      <c r="AH457" s="1044"/>
      <c r="AI457" s="1044"/>
      <c r="AJ457" s="1044"/>
      <c r="AK457" s="1044"/>
      <c r="AL457" s="1044"/>
      <c r="AM457" s="1044"/>
      <c r="AN457" s="1044"/>
      <c r="AO457" s="1044"/>
      <c r="AP457" s="1044"/>
      <c r="AQ457" s="1044"/>
      <c r="AR457" s="1044"/>
    </row>
    <row r="458" spans="1:44">
      <c r="A458" s="1044"/>
      <c r="B458" s="1044"/>
      <c r="C458" s="1044"/>
      <c r="D458" s="1221"/>
      <c r="E458" s="1044"/>
      <c r="F458" s="1044"/>
      <c r="G458" s="1044"/>
      <c r="H458" s="1044"/>
      <c r="I458" s="1044"/>
      <c r="J458" s="1047"/>
      <c r="K458" s="1047"/>
      <c r="L458" s="1047"/>
      <c r="M458" s="1047"/>
      <c r="N458" s="1047"/>
      <c r="O458" s="1047"/>
      <c r="P458" s="1047"/>
      <c r="Q458" s="1047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47"/>
      <c r="AE458" s="1044"/>
      <c r="AF458" s="1044"/>
      <c r="AG458" s="1044"/>
      <c r="AH458" s="1044"/>
      <c r="AI458" s="1044"/>
      <c r="AJ458" s="1044"/>
      <c r="AK458" s="1044"/>
      <c r="AL458" s="1044"/>
      <c r="AM458" s="1044"/>
      <c r="AN458" s="1044"/>
      <c r="AO458" s="1044"/>
      <c r="AP458" s="1044"/>
      <c r="AQ458" s="1044"/>
      <c r="AR458" s="1044"/>
    </row>
    <row r="459" spans="1:44">
      <c r="A459" s="1044"/>
      <c r="B459" s="1044"/>
      <c r="C459" s="1044"/>
      <c r="D459" s="1221"/>
      <c r="E459" s="1044"/>
      <c r="F459" s="1044"/>
      <c r="G459" s="1044"/>
      <c r="H459" s="1044"/>
      <c r="I459" s="1044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4"/>
      <c r="AF459" s="1044"/>
      <c r="AG459" s="1044"/>
      <c r="AH459" s="1044"/>
      <c r="AI459" s="1044"/>
      <c r="AJ459" s="1044"/>
      <c r="AK459" s="1044"/>
      <c r="AL459" s="1044"/>
      <c r="AM459" s="1044"/>
      <c r="AN459" s="1044"/>
      <c r="AO459" s="1044"/>
      <c r="AP459" s="1044"/>
      <c r="AQ459" s="1044"/>
      <c r="AR459" s="1044"/>
    </row>
    <row r="460" spans="1:44">
      <c r="A460" s="1044"/>
      <c r="B460" s="1044"/>
      <c r="C460" s="1044"/>
      <c r="D460" s="1221"/>
      <c r="E460" s="1044"/>
      <c r="F460" s="1044"/>
      <c r="G460" s="1044"/>
      <c r="H460" s="1044"/>
      <c r="I460" s="1044"/>
      <c r="J460" s="1047"/>
      <c r="K460" s="1047"/>
      <c r="L460" s="1047"/>
      <c r="M460" s="1047"/>
      <c r="N460" s="1047"/>
      <c r="O460" s="1047"/>
      <c r="P460" s="1047"/>
      <c r="Q460" s="1047"/>
      <c r="R460" s="1047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047"/>
      <c r="AE460" s="1044"/>
      <c r="AF460" s="1044"/>
      <c r="AG460" s="1044"/>
      <c r="AH460" s="1044"/>
      <c r="AI460" s="1044"/>
      <c r="AJ460" s="1044"/>
      <c r="AK460" s="1044"/>
      <c r="AL460" s="1044"/>
      <c r="AM460" s="1044"/>
      <c r="AN460" s="1044"/>
      <c r="AO460" s="1044"/>
      <c r="AP460" s="1044"/>
      <c r="AQ460" s="1044"/>
      <c r="AR460" s="1044"/>
    </row>
    <row r="461" spans="1:44">
      <c r="A461" s="1044"/>
      <c r="B461" s="1044"/>
      <c r="C461" s="1044"/>
      <c r="D461" s="1221"/>
      <c r="E461" s="1044"/>
      <c r="F461" s="1044"/>
      <c r="G461" s="1044"/>
      <c r="H461" s="1044"/>
      <c r="I461" s="1044"/>
      <c r="J461" s="1047"/>
      <c r="K461" s="1047"/>
      <c r="L461" s="1047"/>
      <c r="M461" s="1047"/>
      <c r="N461" s="1047"/>
      <c r="O461" s="1047"/>
      <c r="P461" s="1047"/>
      <c r="Q461" s="1047"/>
      <c r="R461" s="1047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047"/>
      <c r="AE461" s="1044"/>
      <c r="AF461" s="1044"/>
      <c r="AG461" s="1044"/>
      <c r="AH461" s="1044"/>
      <c r="AI461" s="1044"/>
      <c r="AJ461" s="1044"/>
      <c r="AK461" s="1044"/>
      <c r="AL461" s="1044"/>
      <c r="AM461" s="1044"/>
      <c r="AN461" s="1044"/>
      <c r="AO461" s="1044"/>
      <c r="AP461" s="1044"/>
      <c r="AQ461" s="1044"/>
      <c r="AR461" s="1044"/>
    </row>
    <row r="462" spans="1:44">
      <c r="A462" s="1044"/>
      <c r="B462" s="1044"/>
      <c r="C462" s="1044"/>
      <c r="D462" s="1221"/>
      <c r="E462" s="1044"/>
      <c r="F462" s="1044"/>
      <c r="G462" s="1044"/>
      <c r="H462" s="1044"/>
      <c r="I462" s="1044"/>
      <c r="J462" s="1047"/>
      <c r="K462" s="1047"/>
      <c r="L462" s="1047"/>
      <c r="M462" s="1047"/>
      <c r="N462" s="1047"/>
      <c r="O462" s="1047"/>
      <c r="P462" s="1047"/>
      <c r="Q462" s="1047"/>
      <c r="R462" s="1047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047"/>
      <c r="AE462" s="1044"/>
      <c r="AF462" s="1044"/>
      <c r="AG462" s="1044"/>
      <c r="AH462" s="1044"/>
      <c r="AI462" s="1044"/>
      <c r="AJ462" s="1044"/>
      <c r="AK462" s="1044"/>
      <c r="AL462" s="1044"/>
      <c r="AM462" s="1044"/>
      <c r="AN462" s="1044"/>
      <c r="AO462" s="1044"/>
      <c r="AP462" s="1044"/>
      <c r="AQ462" s="1044"/>
      <c r="AR462" s="1044"/>
    </row>
    <row r="463" spans="1:44">
      <c r="A463" s="1044"/>
      <c r="B463" s="1044"/>
      <c r="C463" s="1044"/>
      <c r="D463" s="1221"/>
      <c r="E463" s="1044"/>
      <c r="F463" s="1044"/>
      <c r="G463" s="1044"/>
      <c r="H463" s="1044"/>
      <c r="I463" s="1044"/>
      <c r="J463" s="1047"/>
      <c r="K463" s="1047"/>
      <c r="L463" s="1047"/>
      <c r="M463" s="1047"/>
      <c r="N463" s="1047"/>
      <c r="O463" s="1047"/>
      <c r="P463" s="1047"/>
      <c r="Q463" s="1047"/>
      <c r="R463" s="1047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047"/>
      <c r="AE463" s="1044"/>
      <c r="AF463" s="1044"/>
      <c r="AG463" s="1044"/>
      <c r="AH463" s="1044"/>
      <c r="AI463" s="1044"/>
      <c r="AJ463" s="1044"/>
      <c r="AK463" s="1044"/>
      <c r="AL463" s="1044"/>
      <c r="AM463" s="1044"/>
      <c r="AN463" s="1044"/>
      <c r="AO463" s="1044"/>
      <c r="AP463" s="1044"/>
      <c r="AQ463" s="1044"/>
      <c r="AR463" s="1044"/>
    </row>
    <row r="464" spans="1:44">
      <c r="A464" s="1044"/>
      <c r="B464" s="1044"/>
      <c r="C464" s="1044"/>
      <c r="D464" s="1221"/>
      <c r="E464" s="1044"/>
      <c r="F464" s="1044"/>
      <c r="G464" s="1044"/>
      <c r="H464" s="1044"/>
      <c r="I464" s="1044"/>
      <c r="J464" s="1047"/>
      <c r="K464" s="1047"/>
      <c r="L464" s="1047"/>
      <c r="M464" s="1047"/>
      <c r="N464" s="1047"/>
      <c r="O464" s="1047"/>
      <c r="P464" s="1047"/>
      <c r="Q464" s="1047"/>
      <c r="R464" s="1047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047"/>
      <c r="AE464" s="1044"/>
      <c r="AF464" s="1044"/>
      <c r="AG464" s="1044"/>
      <c r="AH464" s="1044"/>
      <c r="AI464" s="1044"/>
      <c r="AJ464" s="1044"/>
      <c r="AK464" s="1044"/>
      <c r="AL464" s="1044"/>
      <c r="AM464" s="1044"/>
      <c r="AN464" s="1044"/>
      <c r="AO464" s="1044"/>
      <c r="AP464" s="1044"/>
      <c r="AQ464" s="1044"/>
      <c r="AR464" s="1044"/>
    </row>
    <row r="465" spans="1:44">
      <c r="A465" s="1044"/>
      <c r="B465" s="1044"/>
      <c r="C465" s="1044"/>
      <c r="D465" s="1221"/>
      <c r="E465" s="1044"/>
      <c r="F465" s="1044"/>
      <c r="G465" s="1044"/>
      <c r="H465" s="1044"/>
      <c r="I465" s="1044"/>
      <c r="J465" s="1047"/>
      <c r="K465" s="1047"/>
      <c r="L465" s="1047"/>
      <c r="M465" s="1047"/>
      <c r="N465" s="1047"/>
      <c r="O465" s="1047"/>
      <c r="P465" s="1047"/>
      <c r="Q465" s="1047"/>
      <c r="R465" s="1047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047"/>
      <c r="AE465" s="1044"/>
      <c r="AF465" s="1044"/>
      <c r="AG465" s="1044"/>
      <c r="AH465" s="1044"/>
      <c r="AI465" s="1044"/>
      <c r="AJ465" s="1044"/>
      <c r="AK465" s="1044"/>
      <c r="AL465" s="1044"/>
      <c r="AM465" s="1044"/>
      <c r="AN465" s="1044"/>
      <c r="AO465" s="1044"/>
      <c r="AP465" s="1044"/>
      <c r="AQ465" s="1044"/>
      <c r="AR465" s="1044"/>
    </row>
    <row r="466" spans="1:44">
      <c r="A466" s="1044"/>
      <c r="B466" s="1044"/>
      <c r="C466" s="1044"/>
      <c r="D466" s="1221"/>
      <c r="E466" s="1044"/>
      <c r="F466" s="1044"/>
      <c r="G466" s="1044"/>
      <c r="H466" s="1044"/>
      <c r="I466" s="1044"/>
      <c r="J466" s="1047"/>
      <c r="K466" s="1047"/>
      <c r="L466" s="1047"/>
      <c r="M466" s="1047"/>
      <c r="N466" s="1047"/>
      <c r="O466" s="1047"/>
      <c r="P466" s="1047"/>
      <c r="Q466" s="1047"/>
      <c r="R466" s="1047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047"/>
      <c r="AE466" s="1044"/>
      <c r="AF466" s="1044"/>
      <c r="AG466" s="1044"/>
      <c r="AH466" s="1044"/>
      <c r="AI466" s="1044"/>
      <c r="AJ466" s="1044"/>
      <c r="AK466" s="1044"/>
      <c r="AL466" s="1044"/>
      <c r="AM466" s="1044"/>
      <c r="AN466" s="1044"/>
      <c r="AO466" s="1044"/>
      <c r="AP466" s="1044"/>
      <c r="AQ466" s="1044"/>
      <c r="AR466" s="1044"/>
    </row>
    <row r="467" spans="1:44">
      <c r="A467" s="1044"/>
      <c r="B467" s="1044"/>
      <c r="C467" s="1044"/>
      <c r="D467" s="1221"/>
      <c r="E467" s="1044"/>
      <c r="F467" s="1044"/>
      <c r="G467" s="1044"/>
      <c r="H467" s="1044"/>
      <c r="I467" s="1044"/>
      <c r="J467" s="1047"/>
      <c r="K467" s="1047"/>
      <c r="L467" s="1047"/>
      <c r="M467" s="1047"/>
      <c r="N467" s="1047"/>
      <c r="O467" s="1047"/>
      <c r="P467" s="1047"/>
      <c r="Q467" s="1047"/>
      <c r="R467" s="1047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047"/>
      <c r="AE467" s="1044"/>
      <c r="AF467" s="1044"/>
      <c r="AG467" s="1044"/>
      <c r="AH467" s="1044"/>
      <c r="AI467" s="1044"/>
      <c r="AJ467" s="1044"/>
      <c r="AK467" s="1044"/>
      <c r="AL467" s="1044"/>
      <c r="AM467" s="1044"/>
      <c r="AN467" s="1044"/>
      <c r="AO467" s="1044"/>
      <c r="AP467" s="1044"/>
      <c r="AQ467" s="1044"/>
      <c r="AR467" s="1044"/>
    </row>
    <row r="468" spans="1:44">
      <c r="A468" s="1044"/>
      <c r="B468" s="1044"/>
      <c r="C468" s="1044"/>
      <c r="D468" s="1221"/>
      <c r="E468" s="1044"/>
      <c r="F468" s="1044"/>
      <c r="G468" s="1044"/>
      <c r="H468" s="1044"/>
      <c r="I468" s="1044"/>
      <c r="J468" s="1047"/>
      <c r="K468" s="1047"/>
      <c r="L468" s="1047"/>
      <c r="M468" s="1047"/>
      <c r="N468" s="1047"/>
      <c r="O468" s="1047"/>
      <c r="P468" s="1047"/>
      <c r="Q468" s="1047"/>
      <c r="R468" s="1047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047"/>
      <c r="AE468" s="1044"/>
      <c r="AF468" s="1044"/>
      <c r="AG468" s="1044"/>
      <c r="AH468" s="1044"/>
      <c r="AI468" s="1044"/>
      <c r="AJ468" s="1044"/>
      <c r="AK468" s="1044"/>
      <c r="AL468" s="1044"/>
      <c r="AM468" s="1044"/>
      <c r="AN468" s="1044"/>
      <c r="AO468" s="1044"/>
      <c r="AP468" s="1044"/>
      <c r="AQ468" s="1044"/>
      <c r="AR468" s="1044"/>
    </row>
    <row r="469" spans="1:44">
      <c r="A469" s="1044"/>
      <c r="B469" s="1044"/>
      <c r="C469" s="1044"/>
      <c r="D469" s="1221"/>
      <c r="E469" s="1044"/>
      <c r="F469" s="1044"/>
      <c r="G469" s="1044"/>
      <c r="H469" s="1044"/>
      <c r="I469" s="1044"/>
      <c r="J469" s="1047"/>
      <c r="K469" s="1047"/>
      <c r="L469" s="1047"/>
      <c r="M469" s="1047"/>
      <c r="N469" s="1047"/>
      <c r="O469" s="1047"/>
      <c r="P469" s="1047"/>
      <c r="Q469" s="1047"/>
      <c r="R469" s="1047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047"/>
      <c r="AE469" s="1044"/>
      <c r="AF469" s="1044"/>
      <c r="AG469" s="1044"/>
      <c r="AH469" s="1044"/>
      <c r="AI469" s="1044"/>
      <c r="AJ469" s="1044"/>
      <c r="AK469" s="1044"/>
      <c r="AL469" s="1044"/>
      <c r="AM469" s="1044"/>
      <c r="AN469" s="1044"/>
      <c r="AO469" s="1044"/>
      <c r="AP469" s="1044"/>
      <c r="AQ469" s="1044"/>
      <c r="AR469" s="1044"/>
    </row>
    <row r="470" spans="1:44">
      <c r="A470" s="1044"/>
      <c r="B470" s="1044"/>
      <c r="C470" s="1044"/>
      <c r="D470" s="1221"/>
      <c r="E470" s="1044"/>
      <c r="F470" s="1044"/>
      <c r="G470" s="1044"/>
      <c r="H470" s="1044"/>
      <c r="I470" s="1044"/>
      <c r="J470" s="1047"/>
      <c r="K470" s="1047"/>
      <c r="L470" s="1047"/>
      <c r="M470" s="1047"/>
      <c r="N470" s="1047"/>
      <c r="O470" s="1047"/>
      <c r="P470" s="1047"/>
      <c r="Q470" s="1047"/>
      <c r="R470" s="1047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047"/>
      <c r="AE470" s="1044"/>
      <c r="AF470" s="1044"/>
      <c r="AG470" s="1044"/>
      <c r="AH470" s="1044"/>
      <c r="AI470" s="1044"/>
      <c r="AJ470" s="1044"/>
      <c r="AK470" s="1044"/>
      <c r="AL470" s="1044"/>
      <c r="AM470" s="1044"/>
      <c r="AN470" s="1044"/>
      <c r="AO470" s="1044"/>
      <c r="AP470" s="1044"/>
      <c r="AQ470" s="1044"/>
      <c r="AR470" s="1044"/>
    </row>
    <row r="471" spans="1:44">
      <c r="A471" s="1044"/>
      <c r="B471" s="1044"/>
      <c r="C471" s="1044"/>
      <c r="D471" s="1221"/>
      <c r="E471" s="1044"/>
      <c r="F471" s="1044"/>
      <c r="G471" s="1044"/>
      <c r="H471" s="1044"/>
      <c r="I471" s="1044"/>
      <c r="J471" s="1047"/>
      <c r="K471" s="1047"/>
      <c r="L471" s="1047"/>
      <c r="M471" s="1047"/>
      <c r="N471" s="1047"/>
      <c r="O471" s="1047"/>
      <c r="P471" s="1047"/>
      <c r="Q471" s="1047"/>
      <c r="R471" s="1047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047"/>
      <c r="AE471" s="1044"/>
      <c r="AF471" s="1044"/>
      <c r="AG471" s="1044"/>
      <c r="AH471" s="1044"/>
      <c r="AI471" s="1044"/>
      <c r="AJ471" s="1044"/>
      <c r="AK471" s="1044"/>
      <c r="AL471" s="1044"/>
      <c r="AM471" s="1044"/>
      <c r="AN471" s="1044"/>
      <c r="AO471" s="1044"/>
      <c r="AP471" s="1044"/>
      <c r="AQ471" s="1044"/>
      <c r="AR471" s="1044"/>
    </row>
    <row r="472" spans="1:44">
      <c r="A472" s="1044"/>
      <c r="B472" s="1044"/>
      <c r="C472" s="1044"/>
      <c r="D472" s="1221"/>
      <c r="E472" s="1044"/>
      <c r="F472" s="1044"/>
      <c r="G472" s="1044"/>
      <c r="H472" s="1044"/>
      <c r="I472" s="1044"/>
      <c r="J472" s="1047"/>
      <c r="K472" s="1047"/>
      <c r="L472" s="1047"/>
      <c r="M472" s="1047"/>
      <c r="N472" s="1047"/>
      <c r="O472" s="1047"/>
      <c r="P472" s="1047"/>
      <c r="Q472" s="1047"/>
      <c r="R472" s="1047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047"/>
      <c r="AE472" s="1044"/>
      <c r="AF472" s="1044"/>
      <c r="AG472" s="1044"/>
      <c r="AH472" s="1044"/>
      <c r="AI472" s="1044"/>
      <c r="AJ472" s="1044"/>
      <c r="AK472" s="1044"/>
      <c r="AL472" s="1044"/>
      <c r="AM472" s="1044"/>
      <c r="AN472" s="1044"/>
      <c r="AO472" s="1044"/>
      <c r="AP472" s="1044"/>
      <c r="AQ472" s="1044"/>
      <c r="AR472" s="1044"/>
    </row>
    <row r="473" spans="1:44">
      <c r="A473" s="1044"/>
      <c r="B473" s="1044"/>
      <c r="C473" s="1044"/>
      <c r="D473" s="1221"/>
      <c r="E473" s="1044"/>
      <c r="F473" s="1044"/>
      <c r="G473" s="1044"/>
      <c r="H473" s="1044"/>
      <c r="I473" s="1044"/>
      <c r="J473" s="1047"/>
      <c r="K473" s="1047"/>
      <c r="L473" s="1047"/>
      <c r="M473" s="1047"/>
      <c r="N473" s="1047"/>
      <c r="O473" s="1047"/>
      <c r="P473" s="1047"/>
      <c r="Q473" s="1047"/>
      <c r="R473" s="1047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047"/>
      <c r="AE473" s="1044"/>
      <c r="AF473" s="1044"/>
      <c r="AG473" s="1044"/>
      <c r="AH473" s="1044"/>
      <c r="AI473" s="1044"/>
      <c r="AJ473" s="1044"/>
      <c r="AK473" s="1044"/>
      <c r="AL473" s="1044"/>
      <c r="AM473" s="1044"/>
      <c r="AN473" s="1044"/>
      <c r="AO473" s="1044"/>
      <c r="AP473" s="1044"/>
      <c r="AQ473" s="1044"/>
      <c r="AR473" s="1044"/>
    </row>
    <row r="474" spans="1:44">
      <c r="A474" s="1044"/>
      <c r="B474" s="1044"/>
      <c r="C474" s="1044"/>
      <c r="D474" s="1221"/>
      <c r="E474" s="1044"/>
      <c r="F474" s="1044"/>
      <c r="G474" s="1044"/>
      <c r="H474" s="1044"/>
      <c r="I474" s="1044"/>
      <c r="J474" s="1047"/>
      <c r="K474" s="1047"/>
      <c r="L474" s="1047"/>
      <c r="M474" s="1047"/>
      <c r="N474" s="1047"/>
      <c r="O474" s="1047"/>
      <c r="P474" s="1047"/>
      <c r="Q474" s="1047"/>
      <c r="R474" s="1047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047"/>
      <c r="AE474" s="1044"/>
      <c r="AF474" s="1044"/>
      <c r="AG474" s="1044"/>
      <c r="AH474" s="1044"/>
      <c r="AI474" s="1044"/>
      <c r="AJ474" s="1044"/>
      <c r="AK474" s="1044"/>
      <c r="AL474" s="1044"/>
      <c r="AM474" s="1044"/>
      <c r="AN474" s="1044"/>
      <c r="AO474" s="1044"/>
      <c r="AP474" s="1044"/>
      <c r="AQ474" s="1044"/>
      <c r="AR474" s="1044"/>
    </row>
    <row r="475" spans="1:44">
      <c r="A475" s="1044"/>
      <c r="B475" s="1044"/>
      <c r="C475" s="1044"/>
      <c r="D475" s="1221"/>
      <c r="E475" s="1044"/>
      <c r="F475" s="1044"/>
      <c r="G475" s="1044"/>
      <c r="H475" s="1044"/>
      <c r="I475" s="1044"/>
      <c r="J475" s="1047"/>
      <c r="K475" s="1047"/>
      <c r="L475" s="1047"/>
      <c r="M475" s="1047"/>
      <c r="N475" s="1047"/>
      <c r="O475" s="1047"/>
      <c r="P475" s="1047"/>
      <c r="Q475" s="1047"/>
      <c r="R475" s="1047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047"/>
      <c r="AE475" s="1044"/>
      <c r="AF475" s="1044"/>
      <c r="AG475" s="1044"/>
      <c r="AH475" s="1044"/>
      <c r="AI475" s="1044"/>
      <c r="AJ475" s="1044"/>
      <c r="AK475" s="1044"/>
      <c r="AL475" s="1044"/>
      <c r="AM475" s="1044"/>
      <c r="AN475" s="1044"/>
      <c r="AO475" s="1044"/>
      <c r="AP475" s="1044"/>
      <c r="AQ475" s="1044"/>
      <c r="AR475" s="1044"/>
    </row>
    <row r="476" spans="1:44">
      <c r="A476" s="1044"/>
      <c r="B476" s="1044"/>
      <c r="C476" s="1044"/>
      <c r="D476" s="1221"/>
      <c r="E476" s="1044"/>
      <c r="F476" s="1044"/>
      <c r="G476" s="1044"/>
      <c r="H476" s="1044"/>
      <c r="I476" s="1044"/>
      <c r="J476" s="1047"/>
      <c r="K476" s="1047"/>
      <c r="L476" s="1047"/>
      <c r="M476" s="1047"/>
      <c r="N476" s="1047"/>
      <c r="O476" s="1047"/>
      <c r="P476" s="1047"/>
      <c r="Q476" s="1047"/>
      <c r="R476" s="1047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047"/>
      <c r="AE476" s="1044"/>
      <c r="AF476" s="1044"/>
      <c r="AG476" s="1044"/>
      <c r="AH476" s="1044"/>
      <c r="AI476" s="1044"/>
      <c r="AJ476" s="1044"/>
      <c r="AK476" s="1044"/>
      <c r="AL476" s="1044"/>
      <c r="AM476" s="1044"/>
      <c r="AN476" s="1044"/>
      <c r="AO476" s="1044"/>
      <c r="AP476" s="1044"/>
      <c r="AQ476" s="1044"/>
      <c r="AR476" s="1044"/>
    </row>
    <row r="477" spans="1:44">
      <c r="A477" s="1044"/>
      <c r="B477" s="1044"/>
      <c r="C477" s="1044"/>
      <c r="D477" s="1221"/>
      <c r="E477" s="1044"/>
      <c r="F477" s="1044"/>
      <c r="G477" s="1044"/>
      <c r="H477" s="1044"/>
      <c r="I477" s="1044"/>
      <c r="J477" s="1047"/>
      <c r="K477" s="1047"/>
      <c r="L477" s="1047"/>
      <c r="M477" s="1047"/>
      <c r="N477" s="1047"/>
      <c r="O477" s="1047"/>
      <c r="P477" s="1047"/>
      <c r="Q477" s="1047"/>
      <c r="R477" s="1047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047"/>
      <c r="AE477" s="1044"/>
      <c r="AF477" s="1044"/>
      <c r="AG477" s="1044"/>
      <c r="AH477" s="1044"/>
      <c r="AI477" s="1044"/>
      <c r="AJ477" s="1044"/>
      <c r="AK477" s="1044"/>
      <c r="AL477" s="1044"/>
      <c r="AM477" s="1044"/>
      <c r="AN477" s="1044"/>
      <c r="AO477" s="1044"/>
      <c r="AP477" s="1044"/>
      <c r="AQ477" s="1044"/>
      <c r="AR477" s="1044"/>
    </row>
    <row r="478" spans="1:44">
      <c r="A478" s="1044"/>
      <c r="B478" s="1044"/>
      <c r="C478" s="1044"/>
      <c r="D478" s="1221"/>
      <c r="E478" s="1044"/>
      <c r="F478" s="1044"/>
      <c r="G478" s="1044"/>
      <c r="H478" s="1044"/>
      <c r="I478" s="1044"/>
      <c r="J478" s="1047"/>
      <c r="K478" s="1047"/>
      <c r="L478" s="1047"/>
      <c r="M478" s="1047"/>
      <c r="N478" s="1047"/>
      <c r="O478" s="1047"/>
      <c r="P478" s="1047"/>
      <c r="Q478" s="1047"/>
      <c r="R478" s="1047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047"/>
      <c r="AE478" s="1044"/>
      <c r="AF478" s="1044"/>
      <c r="AG478" s="1044"/>
      <c r="AH478" s="1044"/>
      <c r="AI478" s="1044"/>
      <c r="AJ478" s="1044"/>
      <c r="AK478" s="1044"/>
      <c r="AL478" s="1044"/>
      <c r="AM478" s="1044"/>
      <c r="AN478" s="1044"/>
      <c r="AO478" s="1044"/>
      <c r="AP478" s="1044"/>
      <c r="AQ478" s="1044"/>
      <c r="AR478" s="1044"/>
    </row>
    <row r="479" spans="1:44">
      <c r="A479" s="1044"/>
      <c r="B479" s="1044"/>
      <c r="C479" s="1044"/>
      <c r="D479" s="1221"/>
      <c r="E479" s="1044"/>
      <c r="F479" s="1044"/>
      <c r="G479" s="1044"/>
      <c r="H479" s="1044"/>
      <c r="I479" s="1044"/>
      <c r="J479" s="1047"/>
      <c r="K479" s="1047"/>
      <c r="L479" s="1047"/>
      <c r="M479" s="1047"/>
      <c r="N479" s="1047"/>
      <c r="O479" s="1047"/>
      <c r="P479" s="1047"/>
      <c r="Q479" s="1047"/>
      <c r="R479" s="1047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047"/>
      <c r="AE479" s="1044"/>
      <c r="AF479" s="1044"/>
      <c r="AG479" s="1044"/>
      <c r="AH479" s="1044"/>
      <c r="AI479" s="1044"/>
      <c r="AJ479" s="1044"/>
      <c r="AK479" s="1044"/>
      <c r="AL479" s="1044"/>
      <c r="AM479" s="1044"/>
      <c r="AN479" s="1044"/>
      <c r="AO479" s="1044"/>
      <c r="AP479" s="1044"/>
      <c r="AQ479" s="1044"/>
      <c r="AR479" s="1044"/>
    </row>
    <row r="480" spans="1:44">
      <c r="A480" s="1044"/>
      <c r="B480" s="1044"/>
      <c r="C480" s="1044"/>
      <c r="D480" s="1221"/>
      <c r="E480" s="1044"/>
      <c r="F480" s="1044"/>
      <c r="G480" s="1044"/>
      <c r="H480" s="1044"/>
      <c r="I480" s="1044"/>
      <c r="J480" s="1047"/>
      <c r="K480" s="1047"/>
      <c r="L480" s="1047"/>
      <c r="M480" s="1047"/>
      <c r="N480" s="1047"/>
      <c r="O480" s="1047"/>
      <c r="P480" s="1047"/>
      <c r="Q480" s="1047"/>
      <c r="R480" s="1047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047"/>
      <c r="AE480" s="1044"/>
      <c r="AF480" s="1044"/>
      <c r="AG480" s="1044"/>
      <c r="AH480" s="1044"/>
      <c r="AI480" s="1044"/>
      <c r="AJ480" s="1044"/>
      <c r="AK480" s="1044"/>
      <c r="AL480" s="1044"/>
      <c r="AM480" s="1044"/>
      <c r="AN480" s="1044"/>
      <c r="AO480" s="1044"/>
      <c r="AP480" s="1044"/>
      <c r="AQ480" s="1044"/>
      <c r="AR480" s="1044"/>
    </row>
    <row r="481" spans="1:44">
      <c r="A481" s="1044"/>
      <c r="B481" s="1044"/>
      <c r="C481" s="1044"/>
      <c r="D481" s="1221"/>
      <c r="E481" s="1044"/>
      <c r="F481" s="1044"/>
      <c r="G481" s="1044"/>
      <c r="H481" s="1044"/>
      <c r="I481" s="1044"/>
      <c r="J481" s="1047"/>
      <c r="K481" s="1047"/>
      <c r="L481" s="1047"/>
      <c r="M481" s="1047"/>
      <c r="N481" s="1047"/>
      <c r="O481" s="1047"/>
      <c r="P481" s="1047"/>
      <c r="Q481" s="1047"/>
      <c r="R481" s="1047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047"/>
      <c r="AE481" s="1044"/>
      <c r="AF481" s="1044"/>
      <c r="AG481" s="1044"/>
      <c r="AH481" s="1044"/>
      <c r="AI481" s="1044"/>
      <c r="AJ481" s="1044"/>
      <c r="AK481" s="1044"/>
      <c r="AL481" s="1044"/>
      <c r="AM481" s="1044"/>
      <c r="AN481" s="1044"/>
      <c r="AO481" s="1044"/>
      <c r="AP481" s="1044"/>
      <c r="AQ481" s="1044"/>
      <c r="AR481" s="1044"/>
    </row>
    <row r="482" spans="1:44">
      <c r="A482" s="1044"/>
      <c r="B482" s="1044"/>
      <c r="C482" s="1044"/>
      <c r="D482" s="1221"/>
      <c r="E482" s="1044"/>
      <c r="F482" s="1044"/>
      <c r="G482" s="1044"/>
      <c r="H482" s="1044"/>
      <c r="I482" s="1044"/>
      <c r="J482" s="1047"/>
      <c r="K482" s="1047"/>
      <c r="L482" s="1047"/>
      <c r="M482" s="1047"/>
      <c r="N482" s="1047"/>
      <c r="O482" s="1047"/>
      <c r="P482" s="1047"/>
      <c r="Q482" s="1047"/>
      <c r="R482" s="1047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047"/>
      <c r="AE482" s="1044"/>
      <c r="AF482" s="1044"/>
      <c r="AG482" s="1044"/>
      <c r="AH482" s="1044"/>
      <c r="AI482" s="1044"/>
      <c r="AJ482" s="1044"/>
      <c r="AK482" s="1044"/>
      <c r="AL482" s="1044"/>
      <c r="AM482" s="1044"/>
      <c r="AN482" s="1044"/>
      <c r="AO482" s="1044"/>
      <c r="AP482" s="1044"/>
      <c r="AQ482" s="1044"/>
      <c r="AR482" s="1044"/>
    </row>
    <row r="483" spans="1:44">
      <c r="A483" s="1044"/>
      <c r="B483" s="1044"/>
      <c r="C483" s="1044"/>
      <c r="D483" s="1221"/>
      <c r="E483" s="1044"/>
      <c r="F483" s="1044"/>
      <c r="G483" s="1044"/>
      <c r="H483" s="1044"/>
      <c r="I483" s="1044"/>
      <c r="J483" s="1047"/>
      <c r="K483" s="1047"/>
      <c r="L483" s="1047"/>
      <c r="M483" s="1047"/>
      <c r="N483" s="1047"/>
      <c r="O483" s="1047"/>
      <c r="P483" s="1047"/>
      <c r="Q483" s="1047"/>
      <c r="R483" s="1047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047"/>
      <c r="AE483" s="1044"/>
      <c r="AF483" s="1044"/>
      <c r="AG483" s="1044"/>
      <c r="AH483" s="1044"/>
      <c r="AI483" s="1044"/>
      <c r="AJ483" s="1044"/>
      <c r="AK483" s="1044"/>
      <c r="AL483" s="1044"/>
      <c r="AM483" s="1044"/>
      <c r="AN483" s="1044"/>
      <c r="AO483" s="1044"/>
      <c r="AP483" s="1044"/>
      <c r="AQ483" s="1044"/>
      <c r="AR483" s="1044"/>
    </row>
    <row r="484" spans="1:44">
      <c r="A484" s="1044"/>
      <c r="B484" s="1044"/>
      <c r="C484" s="1044"/>
      <c r="D484" s="1221"/>
      <c r="E484" s="1044"/>
      <c r="F484" s="1044"/>
      <c r="G484" s="1044"/>
      <c r="H484" s="1044"/>
      <c r="I484" s="1044"/>
      <c r="J484" s="1047"/>
      <c r="K484" s="1047"/>
      <c r="L484" s="1047"/>
      <c r="M484" s="1047"/>
      <c r="N484" s="1047"/>
      <c r="O484" s="1047"/>
      <c r="P484" s="1047"/>
      <c r="Q484" s="1047"/>
      <c r="R484" s="1047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047"/>
      <c r="AE484" s="1044"/>
      <c r="AF484" s="1044"/>
      <c r="AG484" s="1044"/>
      <c r="AH484" s="1044"/>
      <c r="AI484" s="1044"/>
      <c r="AJ484" s="1044"/>
      <c r="AK484" s="1044"/>
      <c r="AL484" s="1044"/>
      <c r="AM484" s="1044"/>
      <c r="AN484" s="1044"/>
      <c r="AO484" s="1044"/>
      <c r="AP484" s="1044"/>
      <c r="AQ484" s="1044"/>
      <c r="AR484" s="1044"/>
    </row>
    <row r="485" spans="1:44">
      <c r="A485" s="1044"/>
      <c r="B485" s="1044"/>
      <c r="C485" s="1044"/>
      <c r="D485" s="1221"/>
      <c r="E485" s="1044"/>
      <c r="F485" s="1044"/>
      <c r="G485" s="1044"/>
      <c r="H485" s="1044"/>
      <c r="I485" s="1044"/>
      <c r="J485" s="1047"/>
      <c r="K485" s="1047"/>
      <c r="L485" s="1047"/>
      <c r="M485" s="1047"/>
      <c r="N485" s="1047"/>
      <c r="O485" s="1047"/>
      <c r="P485" s="1047"/>
      <c r="Q485" s="1047"/>
      <c r="R485" s="1047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047"/>
      <c r="AE485" s="1044"/>
      <c r="AF485" s="1044"/>
      <c r="AG485" s="1044"/>
      <c r="AH485" s="1044"/>
      <c r="AI485" s="1044"/>
      <c r="AJ485" s="1044"/>
      <c r="AK485" s="1044"/>
      <c r="AL485" s="1044"/>
      <c r="AM485" s="1044"/>
      <c r="AN485" s="1044"/>
      <c r="AO485" s="1044"/>
      <c r="AP485" s="1044"/>
      <c r="AQ485" s="1044"/>
      <c r="AR485" s="1044"/>
    </row>
    <row r="486" spans="1:44">
      <c r="A486" s="1044"/>
      <c r="B486" s="1044"/>
      <c r="C486" s="1044"/>
      <c r="D486" s="1221"/>
      <c r="E486" s="1044"/>
      <c r="F486" s="1044"/>
      <c r="G486" s="1044"/>
      <c r="H486" s="1044"/>
      <c r="I486" s="1044"/>
      <c r="J486" s="1047"/>
      <c r="K486" s="1047"/>
      <c r="L486" s="1047"/>
      <c r="M486" s="1047"/>
      <c r="N486" s="1047"/>
      <c r="O486" s="1047"/>
      <c r="P486" s="1047"/>
      <c r="Q486" s="1047"/>
      <c r="R486" s="1047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047"/>
      <c r="AE486" s="1044"/>
      <c r="AF486" s="1044"/>
      <c r="AG486" s="1044"/>
      <c r="AH486" s="1044"/>
      <c r="AI486" s="1044"/>
      <c r="AJ486" s="1044"/>
      <c r="AK486" s="1044"/>
      <c r="AL486" s="1044"/>
      <c r="AM486" s="1044"/>
      <c r="AN486" s="1044"/>
      <c r="AO486" s="1044"/>
      <c r="AP486" s="1044"/>
      <c r="AQ486" s="1044"/>
      <c r="AR486" s="1044"/>
    </row>
    <row r="487" spans="1:44">
      <c r="A487" s="1044"/>
      <c r="B487" s="1044"/>
      <c r="C487" s="1044"/>
      <c r="D487" s="1221"/>
      <c r="E487" s="1044"/>
      <c r="F487" s="1044"/>
      <c r="G487" s="1044"/>
      <c r="H487" s="1044"/>
      <c r="I487" s="1044"/>
      <c r="J487" s="1047"/>
      <c r="K487" s="1047"/>
      <c r="L487" s="1047"/>
      <c r="M487" s="1047"/>
      <c r="N487" s="1047"/>
      <c r="O487" s="1047"/>
      <c r="P487" s="1047"/>
      <c r="Q487" s="1047"/>
      <c r="R487" s="1047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047"/>
      <c r="AE487" s="1044"/>
      <c r="AF487" s="1044"/>
      <c r="AG487" s="1044"/>
      <c r="AH487" s="1044"/>
      <c r="AI487" s="1044"/>
      <c r="AJ487" s="1044"/>
      <c r="AK487" s="1044"/>
      <c r="AL487" s="1044"/>
      <c r="AM487" s="1044"/>
      <c r="AN487" s="1044"/>
      <c r="AO487" s="1044"/>
      <c r="AP487" s="1044"/>
      <c r="AQ487" s="1044"/>
      <c r="AR487" s="1044"/>
    </row>
    <row r="488" spans="1:44">
      <c r="A488" s="1044"/>
      <c r="B488" s="1044"/>
      <c r="C488" s="1044"/>
      <c r="D488" s="1221"/>
      <c r="E488" s="1044"/>
      <c r="F488" s="1044"/>
      <c r="G488" s="1044"/>
      <c r="H488" s="1044"/>
      <c r="I488" s="1044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4"/>
      <c r="AF488" s="1044"/>
      <c r="AG488" s="1044"/>
      <c r="AH488" s="1044"/>
      <c r="AI488" s="1044"/>
      <c r="AJ488" s="1044"/>
      <c r="AK488" s="1044"/>
      <c r="AL488" s="1044"/>
      <c r="AM488" s="1044"/>
      <c r="AN488" s="1044"/>
      <c r="AO488" s="1044"/>
      <c r="AP488" s="1044"/>
      <c r="AQ488" s="1044"/>
      <c r="AR488" s="1044"/>
    </row>
    <row r="489" spans="1:44">
      <c r="A489" s="1044"/>
      <c r="B489" s="1044"/>
      <c r="C489" s="1044"/>
      <c r="D489" s="1221"/>
      <c r="E489" s="1044"/>
      <c r="F489" s="1044"/>
      <c r="G489" s="1044"/>
      <c r="H489" s="1044"/>
      <c r="I489" s="1044"/>
      <c r="J489" s="1047"/>
      <c r="K489" s="1047"/>
      <c r="L489" s="1047"/>
      <c r="M489" s="1047"/>
      <c r="N489" s="1047"/>
      <c r="O489" s="1047"/>
      <c r="P489" s="1047"/>
      <c r="Q489" s="1047"/>
      <c r="R489" s="1047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047"/>
      <c r="AE489" s="1044"/>
      <c r="AF489" s="1044"/>
      <c r="AG489" s="1044"/>
      <c r="AH489" s="1044"/>
      <c r="AI489" s="1044"/>
      <c r="AJ489" s="1044"/>
      <c r="AK489" s="1044"/>
      <c r="AL489" s="1044"/>
      <c r="AM489" s="1044"/>
      <c r="AN489" s="1044"/>
      <c r="AO489" s="1044"/>
      <c r="AP489" s="1044"/>
      <c r="AQ489" s="1044"/>
      <c r="AR489" s="1044"/>
    </row>
    <row r="490" spans="1:44">
      <c r="A490" s="1044"/>
      <c r="B490" s="1044"/>
      <c r="C490" s="1044"/>
      <c r="D490" s="1221"/>
      <c r="E490" s="1044"/>
      <c r="F490" s="1044"/>
      <c r="G490" s="1044"/>
      <c r="H490" s="1044"/>
      <c r="I490" s="1044"/>
      <c r="J490" s="1047"/>
      <c r="K490" s="1047"/>
      <c r="L490" s="1047"/>
      <c r="M490" s="1047"/>
      <c r="N490" s="1047"/>
      <c r="O490" s="1047"/>
      <c r="P490" s="1047"/>
      <c r="Q490" s="1047"/>
      <c r="R490" s="1047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047"/>
      <c r="AE490" s="1044"/>
      <c r="AF490" s="1044"/>
      <c r="AG490" s="1044"/>
      <c r="AH490" s="1044"/>
      <c r="AI490" s="1044"/>
      <c r="AJ490" s="1044"/>
      <c r="AK490" s="1044"/>
      <c r="AL490" s="1044"/>
      <c r="AM490" s="1044"/>
      <c r="AN490" s="1044"/>
      <c r="AO490" s="1044"/>
      <c r="AP490" s="1044"/>
      <c r="AQ490" s="1044"/>
      <c r="AR490" s="1044"/>
    </row>
    <row r="491" spans="1:44">
      <c r="A491" s="1044"/>
      <c r="B491" s="1044"/>
      <c r="C491" s="1044"/>
      <c r="D491" s="1221"/>
      <c r="E491" s="1044"/>
      <c r="F491" s="1044"/>
      <c r="G491" s="1044"/>
      <c r="H491" s="1044"/>
      <c r="I491" s="1044"/>
      <c r="J491" s="1047"/>
      <c r="K491" s="1047"/>
      <c r="L491" s="1047"/>
      <c r="M491" s="1047"/>
      <c r="N491" s="1047"/>
      <c r="O491" s="1047"/>
      <c r="P491" s="1047"/>
      <c r="Q491" s="1047"/>
      <c r="R491" s="1047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047"/>
      <c r="AE491" s="1044"/>
      <c r="AF491" s="1044"/>
      <c r="AG491" s="1044"/>
      <c r="AH491" s="1044"/>
      <c r="AI491" s="1044"/>
      <c r="AJ491" s="1044"/>
      <c r="AK491" s="1044"/>
      <c r="AL491" s="1044"/>
      <c r="AM491" s="1044"/>
      <c r="AN491" s="1044"/>
      <c r="AO491" s="1044"/>
      <c r="AP491" s="1044"/>
      <c r="AQ491" s="1044"/>
      <c r="AR491" s="1044"/>
    </row>
    <row r="492" spans="1:44">
      <c r="A492" s="1044"/>
      <c r="B492" s="1044"/>
      <c r="C492" s="1044"/>
      <c r="D492" s="1221"/>
      <c r="E492" s="1044"/>
      <c r="F492" s="1044"/>
      <c r="G492" s="1044"/>
      <c r="H492" s="1044"/>
      <c r="I492" s="1044"/>
      <c r="J492" s="1047"/>
      <c r="K492" s="1047"/>
      <c r="L492" s="1047"/>
      <c r="M492" s="1047"/>
      <c r="N492" s="1047"/>
      <c r="O492" s="1047"/>
      <c r="P492" s="1047"/>
      <c r="Q492" s="1047"/>
      <c r="R492" s="1047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047"/>
      <c r="AE492" s="1044"/>
      <c r="AF492" s="1044"/>
      <c r="AG492" s="1044"/>
      <c r="AH492" s="1044"/>
      <c r="AI492" s="1044"/>
      <c r="AJ492" s="1044"/>
      <c r="AK492" s="1044"/>
      <c r="AL492" s="1044"/>
      <c r="AM492" s="1044"/>
      <c r="AN492" s="1044"/>
      <c r="AO492" s="1044"/>
      <c r="AP492" s="1044"/>
      <c r="AQ492" s="1044"/>
      <c r="AR492" s="1044"/>
    </row>
    <row r="493" spans="1:44">
      <c r="A493" s="1044"/>
      <c r="B493" s="1044"/>
      <c r="C493" s="1044"/>
      <c r="D493" s="1221"/>
      <c r="E493" s="1044"/>
      <c r="F493" s="1044"/>
      <c r="G493" s="1044"/>
      <c r="H493" s="1044"/>
      <c r="I493" s="1044"/>
      <c r="J493" s="1047"/>
      <c r="K493" s="1047"/>
      <c r="L493" s="1047"/>
      <c r="M493" s="1047"/>
      <c r="N493" s="1047"/>
      <c r="O493" s="1047"/>
      <c r="P493" s="1047"/>
      <c r="Q493" s="1047"/>
      <c r="R493" s="1047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047"/>
      <c r="AE493" s="1044"/>
      <c r="AF493" s="1044"/>
      <c r="AG493" s="1044"/>
      <c r="AH493" s="1044"/>
      <c r="AI493" s="1044"/>
      <c r="AJ493" s="1044"/>
      <c r="AK493" s="1044"/>
      <c r="AL493" s="1044"/>
      <c r="AM493" s="1044"/>
      <c r="AN493" s="1044"/>
      <c r="AO493" s="1044"/>
      <c r="AP493" s="1044"/>
      <c r="AQ493" s="1044"/>
      <c r="AR493" s="1044"/>
    </row>
    <row r="494" spans="1:44">
      <c r="A494" s="1044"/>
      <c r="B494" s="1044"/>
      <c r="C494" s="1044"/>
      <c r="D494" s="1221"/>
      <c r="E494" s="1044"/>
      <c r="F494" s="1044"/>
      <c r="G494" s="1044"/>
      <c r="H494" s="1044"/>
      <c r="I494" s="1044"/>
      <c r="J494" s="1047"/>
      <c r="K494" s="1047"/>
      <c r="L494" s="1047"/>
      <c r="M494" s="1047"/>
      <c r="N494" s="1047"/>
      <c r="O494" s="1047"/>
      <c r="P494" s="1047"/>
      <c r="Q494" s="1047"/>
      <c r="R494" s="1047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047"/>
      <c r="AE494" s="1044"/>
      <c r="AF494" s="1044"/>
      <c r="AG494" s="1044"/>
      <c r="AH494" s="1044"/>
      <c r="AI494" s="1044"/>
      <c r="AJ494" s="1044"/>
      <c r="AK494" s="1044"/>
      <c r="AL494" s="1044"/>
      <c r="AM494" s="1044"/>
      <c r="AN494" s="1044"/>
      <c r="AO494" s="1044"/>
      <c r="AP494" s="1044"/>
      <c r="AQ494" s="1044"/>
      <c r="AR494" s="1044"/>
    </row>
    <row r="495" spans="1:44">
      <c r="A495" s="1044"/>
      <c r="B495" s="1044"/>
      <c r="C495" s="1044"/>
      <c r="D495" s="1221"/>
      <c r="E495" s="1044"/>
      <c r="F495" s="1044"/>
      <c r="G495" s="1044"/>
      <c r="H495" s="1044"/>
      <c r="I495" s="1044"/>
      <c r="J495" s="1047"/>
      <c r="K495" s="1047"/>
      <c r="L495" s="1047"/>
      <c r="M495" s="1047"/>
      <c r="N495" s="1047"/>
      <c r="O495" s="1047"/>
      <c r="P495" s="1047"/>
      <c r="Q495" s="1047"/>
      <c r="R495" s="1047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047"/>
      <c r="AE495" s="1044"/>
      <c r="AF495" s="1044"/>
      <c r="AG495" s="1044"/>
      <c r="AH495" s="1044"/>
      <c r="AI495" s="1044"/>
      <c r="AJ495" s="1044"/>
      <c r="AK495" s="1044"/>
      <c r="AL495" s="1044"/>
      <c r="AM495" s="1044"/>
      <c r="AN495" s="1044"/>
      <c r="AO495" s="1044"/>
      <c r="AP495" s="1044"/>
      <c r="AQ495" s="1044"/>
      <c r="AR495" s="1044"/>
    </row>
    <row r="496" spans="1:44">
      <c r="A496" s="1044"/>
      <c r="B496" s="1044"/>
      <c r="C496" s="1044"/>
      <c r="D496" s="1221"/>
      <c r="E496" s="1044"/>
      <c r="F496" s="1044"/>
      <c r="G496" s="1044"/>
      <c r="H496" s="1044"/>
      <c r="I496" s="1044"/>
      <c r="J496" s="1047"/>
      <c r="K496" s="1047"/>
      <c r="L496" s="1047"/>
      <c r="M496" s="1047"/>
      <c r="N496" s="1047"/>
      <c r="O496" s="1047"/>
      <c r="P496" s="1047"/>
      <c r="Q496" s="1047"/>
      <c r="R496" s="1047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047"/>
      <c r="AE496" s="1044"/>
      <c r="AF496" s="1044"/>
      <c r="AG496" s="1044"/>
      <c r="AH496" s="1044"/>
      <c r="AI496" s="1044"/>
      <c r="AJ496" s="1044"/>
      <c r="AK496" s="1044"/>
      <c r="AL496" s="1044"/>
      <c r="AM496" s="1044"/>
      <c r="AN496" s="1044"/>
      <c r="AO496" s="1044"/>
      <c r="AP496" s="1044"/>
      <c r="AQ496" s="1044"/>
      <c r="AR496" s="1044"/>
    </row>
    <row r="497" spans="1:44">
      <c r="A497" s="1044"/>
      <c r="B497" s="1044"/>
      <c r="C497" s="1044"/>
      <c r="D497" s="1221"/>
      <c r="E497" s="1044"/>
      <c r="F497" s="1044"/>
      <c r="G497" s="1044"/>
      <c r="H497" s="1044"/>
      <c r="I497" s="1044"/>
      <c r="J497" s="1047"/>
      <c r="K497" s="1047"/>
      <c r="L497" s="1047"/>
      <c r="M497" s="1047"/>
      <c r="N497" s="1047"/>
      <c r="O497" s="1047"/>
      <c r="P497" s="1047"/>
      <c r="Q497" s="1047"/>
      <c r="R497" s="1047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047"/>
      <c r="AE497" s="1044"/>
      <c r="AF497" s="1044"/>
      <c r="AG497" s="1044"/>
      <c r="AH497" s="1044"/>
      <c r="AI497" s="1044"/>
      <c r="AJ497" s="1044"/>
      <c r="AK497" s="1044"/>
      <c r="AL497" s="1044"/>
      <c r="AM497" s="1044"/>
      <c r="AN497" s="1044"/>
      <c r="AO497" s="1044"/>
      <c r="AP497" s="1044"/>
      <c r="AQ497" s="1044"/>
      <c r="AR497" s="1044"/>
    </row>
    <row r="498" spans="1:44">
      <c r="A498" s="1044"/>
      <c r="B498" s="1044"/>
      <c r="C498" s="1044"/>
      <c r="D498" s="1221"/>
      <c r="E498" s="1044"/>
      <c r="F498" s="1044"/>
      <c r="G498" s="1044"/>
      <c r="H498" s="1044"/>
      <c r="I498" s="1044"/>
      <c r="J498" s="1047"/>
      <c r="K498" s="1047"/>
      <c r="L498" s="1047"/>
      <c r="M498" s="1047"/>
      <c r="N498" s="1047"/>
      <c r="O498" s="1047"/>
      <c r="P498" s="1047"/>
      <c r="Q498" s="1047"/>
      <c r="R498" s="1047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047"/>
      <c r="AE498" s="1044"/>
      <c r="AF498" s="1044"/>
      <c r="AG498" s="1044"/>
      <c r="AH498" s="1044"/>
      <c r="AI498" s="1044"/>
      <c r="AJ498" s="1044"/>
      <c r="AK498" s="1044"/>
      <c r="AL498" s="1044"/>
      <c r="AM498" s="1044"/>
      <c r="AN498" s="1044"/>
      <c r="AO498" s="1044"/>
      <c r="AP498" s="1044"/>
      <c r="AQ498" s="1044"/>
      <c r="AR498" s="1044"/>
    </row>
    <row r="499" spans="1:44">
      <c r="A499" s="1044"/>
      <c r="B499" s="1044"/>
      <c r="C499" s="1044"/>
      <c r="D499" s="1221"/>
      <c r="E499" s="1044"/>
      <c r="F499" s="1044"/>
      <c r="G499" s="1044"/>
      <c r="H499" s="1044"/>
      <c r="I499" s="1044"/>
      <c r="J499" s="1047"/>
      <c r="K499" s="1047"/>
      <c r="L499" s="1047"/>
      <c r="M499" s="1047"/>
      <c r="N499" s="1047"/>
      <c r="O499" s="1047"/>
      <c r="P499" s="1047"/>
      <c r="Q499" s="1047"/>
      <c r="R499" s="1047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047"/>
      <c r="AE499" s="1044"/>
      <c r="AF499" s="1044"/>
      <c r="AG499" s="1044"/>
      <c r="AH499" s="1044"/>
      <c r="AI499" s="1044"/>
      <c r="AJ499" s="1044"/>
      <c r="AK499" s="1044"/>
      <c r="AL499" s="1044"/>
      <c r="AM499" s="1044"/>
      <c r="AN499" s="1044"/>
      <c r="AO499" s="1044"/>
      <c r="AP499" s="1044"/>
      <c r="AQ499" s="1044"/>
      <c r="AR499" s="1044"/>
    </row>
    <row r="500" spans="1:44">
      <c r="A500" s="1044"/>
      <c r="B500" s="1044"/>
      <c r="C500" s="1044"/>
      <c r="D500" s="1221"/>
      <c r="E500" s="1044"/>
      <c r="F500" s="1044"/>
      <c r="G500" s="1044"/>
      <c r="H500" s="1044"/>
      <c r="I500" s="1044"/>
      <c r="J500" s="1047"/>
      <c r="K500" s="1047"/>
      <c r="L500" s="1047"/>
      <c r="M500" s="1047"/>
      <c r="N500" s="1047"/>
      <c r="O500" s="1047"/>
      <c r="P500" s="1047"/>
      <c r="Q500" s="1047"/>
      <c r="R500" s="1047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047"/>
      <c r="AE500" s="1044"/>
      <c r="AF500" s="1044"/>
      <c r="AG500" s="1044"/>
      <c r="AH500" s="1044"/>
      <c r="AI500" s="1044"/>
      <c r="AJ500" s="1044"/>
      <c r="AK500" s="1044"/>
      <c r="AL500" s="1044"/>
      <c r="AM500" s="1044"/>
      <c r="AN500" s="1044"/>
      <c r="AO500" s="1044"/>
      <c r="AP500" s="1044"/>
      <c r="AQ500" s="1044"/>
      <c r="AR500" s="1044"/>
    </row>
    <row r="501" spans="1:44">
      <c r="A501" s="1044"/>
      <c r="B501" s="1044"/>
      <c r="C501" s="1044"/>
      <c r="D501" s="1221"/>
      <c r="E501" s="1044"/>
      <c r="F501" s="1044"/>
      <c r="G501" s="1044"/>
      <c r="H501" s="1044"/>
      <c r="I501" s="1044"/>
      <c r="J501" s="1047"/>
      <c r="K501" s="1047"/>
      <c r="L501" s="1047"/>
      <c r="M501" s="1047"/>
      <c r="N501" s="1047"/>
      <c r="O501" s="1047"/>
      <c r="P501" s="1047"/>
      <c r="Q501" s="1047"/>
      <c r="R501" s="1047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047"/>
      <c r="AE501" s="1044"/>
      <c r="AF501" s="1044"/>
      <c r="AG501" s="1044"/>
      <c r="AH501" s="1044"/>
      <c r="AI501" s="1044"/>
      <c r="AJ501" s="1044"/>
      <c r="AK501" s="1044"/>
      <c r="AL501" s="1044"/>
      <c r="AM501" s="1044"/>
      <c r="AN501" s="1044"/>
      <c r="AO501" s="1044"/>
      <c r="AP501" s="1044"/>
      <c r="AQ501" s="1044"/>
      <c r="AR501" s="1044"/>
    </row>
    <row r="502" spans="1:44">
      <c r="A502" s="1044"/>
      <c r="B502" s="1044"/>
      <c r="C502" s="1044"/>
      <c r="D502" s="1221"/>
      <c r="E502" s="1044"/>
      <c r="F502" s="1044"/>
      <c r="G502" s="1044"/>
      <c r="H502" s="1044"/>
      <c r="I502" s="1044"/>
      <c r="J502" s="1047"/>
      <c r="K502" s="1047"/>
      <c r="L502" s="1047"/>
      <c r="M502" s="1047"/>
      <c r="N502" s="1047"/>
      <c r="O502" s="1047"/>
      <c r="P502" s="1047"/>
      <c r="Q502" s="1047"/>
      <c r="R502" s="1047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047"/>
      <c r="AE502" s="1044"/>
      <c r="AF502" s="1044"/>
      <c r="AG502" s="1044"/>
      <c r="AH502" s="1044"/>
      <c r="AI502" s="1044"/>
      <c r="AJ502" s="1044"/>
      <c r="AK502" s="1044"/>
      <c r="AL502" s="1044"/>
      <c r="AM502" s="1044"/>
      <c r="AN502" s="1044"/>
      <c r="AO502" s="1044"/>
      <c r="AP502" s="1044"/>
      <c r="AQ502" s="1044"/>
      <c r="AR502" s="1044"/>
    </row>
    <row r="503" spans="1:44">
      <c r="A503" s="1044"/>
      <c r="B503" s="1044"/>
      <c r="C503" s="1044"/>
      <c r="D503" s="1221"/>
      <c r="E503" s="1044"/>
      <c r="F503" s="1044"/>
      <c r="G503" s="1044"/>
      <c r="H503" s="1044"/>
      <c r="I503" s="1044"/>
      <c r="J503" s="1047"/>
      <c r="K503" s="1047"/>
      <c r="L503" s="1047"/>
      <c r="M503" s="1047"/>
      <c r="N503" s="1047"/>
      <c r="O503" s="1047"/>
      <c r="P503" s="1047"/>
      <c r="Q503" s="1047"/>
      <c r="R503" s="1047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047"/>
      <c r="AE503" s="1044"/>
      <c r="AF503" s="1044"/>
      <c r="AG503" s="1044"/>
      <c r="AH503" s="1044"/>
      <c r="AI503" s="1044"/>
      <c r="AJ503" s="1044"/>
      <c r="AK503" s="1044"/>
      <c r="AL503" s="1044"/>
      <c r="AM503" s="1044"/>
      <c r="AN503" s="1044"/>
      <c r="AO503" s="1044"/>
      <c r="AP503" s="1044"/>
      <c r="AQ503" s="1044"/>
      <c r="AR503" s="1044"/>
    </row>
    <row r="504" spans="1:44">
      <c r="A504" s="1044"/>
      <c r="B504" s="1044"/>
      <c r="C504" s="1044"/>
      <c r="D504" s="1221"/>
      <c r="E504" s="1044"/>
      <c r="F504" s="1044"/>
      <c r="G504" s="1044"/>
      <c r="H504" s="1044"/>
      <c r="I504" s="1044"/>
      <c r="J504" s="1047"/>
      <c r="K504" s="1047"/>
      <c r="L504" s="1047"/>
      <c r="M504" s="1047"/>
      <c r="N504" s="1047"/>
      <c r="O504" s="1047"/>
      <c r="P504" s="1047"/>
      <c r="Q504" s="1047"/>
      <c r="R504" s="1047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047"/>
      <c r="AE504" s="1044"/>
      <c r="AF504" s="1044"/>
      <c r="AG504" s="1044"/>
      <c r="AH504" s="1044"/>
      <c r="AI504" s="1044"/>
      <c r="AJ504" s="1044"/>
      <c r="AK504" s="1044"/>
      <c r="AL504" s="1044"/>
      <c r="AM504" s="1044"/>
      <c r="AN504" s="1044"/>
      <c r="AO504" s="1044"/>
      <c r="AP504" s="1044"/>
      <c r="AQ504" s="1044"/>
      <c r="AR504" s="1044"/>
    </row>
    <row r="505" spans="1:44">
      <c r="A505" s="1044"/>
      <c r="B505" s="1044"/>
      <c r="C505" s="1044"/>
      <c r="D505" s="1221"/>
      <c r="E505" s="1044"/>
      <c r="F505" s="1044"/>
      <c r="G505" s="1044"/>
      <c r="H505" s="1044"/>
      <c r="I505" s="1044"/>
      <c r="J505" s="1047"/>
      <c r="K505" s="1047"/>
      <c r="L505" s="1047"/>
      <c r="M505" s="1047"/>
      <c r="N505" s="1047"/>
      <c r="O505" s="1047"/>
      <c r="P505" s="1047"/>
      <c r="Q505" s="1047"/>
      <c r="R505" s="1047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047"/>
      <c r="AE505" s="1044"/>
      <c r="AF505" s="1044"/>
      <c r="AG505" s="1044"/>
      <c r="AH505" s="1044"/>
      <c r="AI505" s="1044"/>
      <c r="AJ505" s="1044"/>
      <c r="AK505" s="1044"/>
      <c r="AL505" s="1044"/>
      <c r="AM505" s="1044"/>
      <c r="AN505" s="1044"/>
      <c r="AO505" s="1044"/>
      <c r="AP505" s="1044"/>
      <c r="AQ505" s="1044"/>
      <c r="AR505" s="1044"/>
    </row>
    <row r="506" spans="1:44">
      <c r="A506" s="1044"/>
      <c r="B506" s="1044"/>
      <c r="C506" s="1044"/>
      <c r="D506" s="1221"/>
      <c r="E506" s="1044"/>
      <c r="F506" s="1044"/>
      <c r="G506" s="1044"/>
      <c r="H506" s="1044"/>
      <c r="I506" s="1044"/>
      <c r="J506" s="1047"/>
      <c r="K506" s="1047"/>
      <c r="L506" s="1047"/>
      <c r="M506" s="1047"/>
      <c r="N506" s="1047"/>
      <c r="O506" s="1047"/>
      <c r="P506" s="1047"/>
      <c r="Q506" s="1047"/>
      <c r="R506" s="1047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047"/>
      <c r="AE506" s="1044"/>
      <c r="AF506" s="1044"/>
      <c r="AG506" s="1044"/>
      <c r="AH506" s="1044"/>
      <c r="AI506" s="1044"/>
      <c r="AJ506" s="1044"/>
      <c r="AK506" s="1044"/>
      <c r="AL506" s="1044"/>
      <c r="AM506" s="1044"/>
      <c r="AN506" s="1044"/>
      <c r="AO506" s="1044"/>
      <c r="AP506" s="1044"/>
      <c r="AQ506" s="1044"/>
      <c r="AR506" s="1044"/>
    </row>
    <row r="507" spans="1:44">
      <c r="A507" s="1044"/>
      <c r="B507" s="1044"/>
      <c r="C507" s="1044"/>
      <c r="D507" s="1221"/>
      <c r="E507" s="1044"/>
      <c r="F507" s="1044"/>
      <c r="G507" s="1044"/>
      <c r="H507" s="1044"/>
      <c r="I507" s="1044"/>
      <c r="J507" s="1047"/>
      <c r="K507" s="1047"/>
      <c r="L507" s="1047"/>
      <c r="M507" s="1047"/>
      <c r="N507" s="1047"/>
      <c r="O507" s="1047"/>
      <c r="P507" s="1047"/>
      <c r="Q507" s="1047"/>
      <c r="R507" s="1047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047"/>
      <c r="AE507" s="1044"/>
      <c r="AF507" s="1044"/>
      <c r="AG507" s="1044"/>
      <c r="AH507" s="1044"/>
      <c r="AI507" s="1044"/>
      <c r="AJ507" s="1044"/>
      <c r="AK507" s="1044"/>
      <c r="AL507" s="1044"/>
      <c r="AM507" s="1044"/>
      <c r="AN507" s="1044"/>
      <c r="AO507" s="1044"/>
      <c r="AP507" s="1044"/>
      <c r="AQ507" s="1044"/>
      <c r="AR507" s="1044"/>
    </row>
    <row r="508" spans="1:44">
      <c r="A508" s="1044"/>
      <c r="B508" s="1044"/>
      <c r="C508" s="1044"/>
      <c r="D508" s="1221"/>
      <c r="E508" s="1044"/>
      <c r="F508" s="1044"/>
      <c r="G508" s="1044"/>
      <c r="H508" s="1044"/>
      <c r="I508" s="1044"/>
      <c r="J508" s="1047"/>
      <c r="K508" s="1047"/>
      <c r="L508" s="1047"/>
      <c r="M508" s="1047"/>
      <c r="N508" s="1047"/>
      <c r="O508" s="1047"/>
      <c r="P508" s="1047"/>
      <c r="Q508" s="1047"/>
      <c r="R508" s="1047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047"/>
      <c r="AE508" s="1044"/>
      <c r="AF508" s="1044"/>
      <c r="AG508" s="1044"/>
      <c r="AH508" s="1044"/>
      <c r="AI508" s="1044"/>
      <c r="AJ508" s="1044"/>
      <c r="AK508" s="1044"/>
      <c r="AL508" s="1044"/>
      <c r="AM508" s="1044"/>
      <c r="AN508" s="1044"/>
      <c r="AO508" s="1044"/>
      <c r="AP508" s="1044"/>
      <c r="AQ508" s="1044"/>
      <c r="AR508" s="1044"/>
    </row>
    <row r="509" spans="1:44">
      <c r="A509" s="1044"/>
      <c r="B509" s="1044"/>
      <c r="C509" s="1044"/>
      <c r="D509" s="1221"/>
      <c r="E509" s="1044"/>
      <c r="F509" s="1044"/>
      <c r="G509" s="1044"/>
      <c r="H509" s="1044"/>
      <c r="I509" s="1044"/>
      <c r="J509" s="1047"/>
      <c r="K509" s="1047"/>
      <c r="L509" s="1047"/>
      <c r="M509" s="1047"/>
      <c r="N509" s="1047"/>
      <c r="O509" s="1047"/>
      <c r="P509" s="1047"/>
      <c r="Q509" s="1047"/>
      <c r="R509" s="1047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047"/>
      <c r="AE509" s="1044"/>
      <c r="AF509" s="1044"/>
      <c r="AG509" s="1044"/>
      <c r="AH509" s="1044"/>
      <c r="AI509" s="1044"/>
      <c r="AJ509" s="1044"/>
      <c r="AK509" s="1044"/>
      <c r="AL509" s="1044"/>
      <c r="AM509" s="1044"/>
      <c r="AN509" s="1044"/>
      <c r="AO509" s="1044"/>
      <c r="AP509" s="1044"/>
      <c r="AQ509" s="1044"/>
      <c r="AR509" s="1044"/>
    </row>
    <row r="510" spans="1:44">
      <c r="A510" s="1044"/>
      <c r="B510" s="1044"/>
      <c r="C510" s="1044"/>
      <c r="D510" s="1221"/>
      <c r="E510" s="1044"/>
      <c r="F510" s="1044"/>
      <c r="G510" s="1044"/>
      <c r="H510" s="1044"/>
      <c r="I510" s="1044"/>
      <c r="J510" s="1047"/>
      <c r="K510" s="1047"/>
      <c r="L510" s="1047"/>
      <c r="M510" s="1047"/>
      <c r="N510" s="1047"/>
      <c r="O510" s="1047"/>
      <c r="P510" s="1047"/>
      <c r="Q510" s="1047"/>
      <c r="R510" s="1047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047"/>
      <c r="AE510" s="1044"/>
      <c r="AF510" s="1044"/>
      <c r="AG510" s="1044"/>
      <c r="AH510" s="1044"/>
      <c r="AI510" s="1044"/>
      <c r="AJ510" s="1044"/>
      <c r="AK510" s="1044"/>
      <c r="AL510" s="1044"/>
      <c r="AM510" s="1044"/>
      <c r="AN510" s="1044"/>
      <c r="AO510" s="1044"/>
      <c r="AP510" s="1044"/>
      <c r="AQ510" s="1044"/>
      <c r="AR510" s="1044"/>
    </row>
    <row r="511" spans="1:44">
      <c r="A511" s="1044"/>
      <c r="B511" s="1044"/>
      <c r="C511" s="1044"/>
      <c r="D511" s="1221"/>
      <c r="E511" s="1044"/>
      <c r="F511" s="1044"/>
      <c r="G511" s="1044"/>
      <c r="H511" s="1044"/>
      <c r="I511" s="1044"/>
      <c r="J511" s="1047"/>
      <c r="K511" s="1047"/>
      <c r="L511" s="1047"/>
      <c r="M511" s="1047"/>
      <c r="N511" s="1047"/>
      <c r="O511" s="1047"/>
      <c r="P511" s="1047"/>
      <c r="Q511" s="1047"/>
      <c r="R511" s="1047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047"/>
      <c r="AE511" s="1044"/>
      <c r="AF511" s="1044"/>
      <c r="AG511" s="1044"/>
      <c r="AH511" s="1044"/>
      <c r="AI511" s="1044"/>
      <c r="AJ511" s="1044"/>
      <c r="AK511" s="1044"/>
      <c r="AL511" s="1044"/>
      <c r="AM511" s="1044"/>
      <c r="AN511" s="1044"/>
      <c r="AO511" s="1044"/>
      <c r="AP511" s="1044"/>
      <c r="AQ511" s="1044"/>
      <c r="AR511" s="1044"/>
    </row>
    <row r="512" spans="1:44">
      <c r="A512" s="1044"/>
      <c r="B512" s="1044"/>
      <c r="C512" s="1044"/>
      <c r="D512" s="1221"/>
      <c r="E512" s="1044"/>
      <c r="F512" s="1044"/>
      <c r="G512" s="1044"/>
      <c r="H512" s="1044"/>
      <c r="I512" s="1044"/>
      <c r="J512" s="1047"/>
      <c r="K512" s="1047"/>
      <c r="L512" s="1047"/>
      <c r="M512" s="1047"/>
      <c r="N512" s="1047"/>
      <c r="O512" s="1047"/>
      <c r="P512" s="1047"/>
      <c r="Q512" s="1047"/>
      <c r="R512" s="1047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047"/>
      <c r="AE512" s="1044"/>
      <c r="AF512" s="1044"/>
      <c r="AG512" s="1044"/>
      <c r="AH512" s="1044"/>
      <c r="AI512" s="1044"/>
      <c r="AJ512" s="1044"/>
      <c r="AK512" s="1044"/>
      <c r="AL512" s="1044"/>
      <c r="AM512" s="1044"/>
      <c r="AN512" s="1044"/>
      <c r="AO512" s="1044"/>
      <c r="AP512" s="1044"/>
      <c r="AQ512" s="1044"/>
      <c r="AR512" s="1044"/>
    </row>
    <row r="513" spans="1:44">
      <c r="A513" s="1044"/>
      <c r="B513" s="1044"/>
      <c r="C513" s="1044"/>
      <c r="D513" s="1221"/>
      <c r="E513" s="1044"/>
      <c r="F513" s="1044"/>
      <c r="G513" s="1044"/>
      <c r="H513" s="1044"/>
      <c r="I513" s="1044"/>
      <c r="J513" s="1047"/>
      <c r="K513" s="1047"/>
      <c r="L513" s="1047"/>
      <c r="M513" s="1047"/>
      <c r="N513" s="1047"/>
      <c r="O513" s="1047"/>
      <c r="P513" s="1047"/>
      <c r="Q513" s="1047"/>
      <c r="R513" s="1047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047"/>
      <c r="AE513" s="1044"/>
      <c r="AF513" s="1044"/>
      <c r="AG513" s="1044"/>
      <c r="AH513" s="1044"/>
      <c r="AI513" s="1044"/>
      <c r="AJ513" s="1044"/>
      <c r="AK513" s="1044"/>
      <c r="AL513" s="1044"/>
      <c r="AM513" s="1044"/>
      <c r="AN513" s="1044"/>
      <c r="AO513" s="1044"/>
      <c r="AP513" s="1044"/>
      <c r="AQ513" s="1044"/>
      <c r="AR513" s="1044"/>
    </row>
    <row r="514" spans="1:44">
      <c r="A514" s="1044"/>
      <c r="B514" s="1044"/>
      <c r="C514" s="1044"/>
      <c r="D514" s="1221"/>
      <c r="E514" s="1044"/>
      <c r="F514" s="1044"/>
      <c r="G514" s="1044"/>
      <c r="H514" s="1044"/>
      <c r="I514" s="1044"/>
      <c r="J514" s="1047"/>
      <c r="K514" s="1047"/>
      <c r="L514" s="1047"/>
      <c r="M514" s="1047"/>
      <c r="N514" s="1047"/>
      <c r="O514" s="1047"/>
      <c r="P514" s="1047"/>
      <c r="Q514" s="1047"/>
      <c r="R514" s="1047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047"/>
      <c r="AE514" s="1044"/>
      <c r="AF514" s="1044"/>
      <c r="AG514" s="1044"/>
      <c r="AH514" s="1044"/>
      <c r="AI514" s="1044"/>
      <c r="AJ514" s="1044"/>
      <c r="AK514" s="1044"/>
      <c r="AL514" s="1044"/>
      <c r="AM514" s="1044"/>
      <c r="AN514" s="1044"/>
      <c r="AO514" s="1044"/>
      <c r="AP514" s="1044"/>
      <c r="AQ514" s="1044"/>
      <c r="AR514" s="1044"/>
    </row>
    <row r="515" spans="1:44">
      <c r="A515" s="1044"/>
      <c r="B515" s="1044"/>
      <c r="C515" s="1044"/>
      <c r="D515" s="1221"/>
      <c r="E515" s="1044"/>
      <c r="F515" s="1044"/>
      <c r="G515" s="1044"/>
      <c r="H515" s="1044"/>
      <c r="I515" s="1044"/>
      <c r="J515" s="1047"/>
      <c r="K515" s="1047"/>
      <c r="L515" s="1047"/>
      <c r="M515" s="1047"/>
      <c r="N515" s="1047"/>
      <c r="O515" s="1047"/>
      <c r="P515" s="1047"/>
      <c r="Q515" s="1047"/>
      <c r="R515" s="1047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047"/>
      <c r="AE515" s="1044"/>
      <c r="AF515" s="1044"/>
      <c r="AG515" s="1044"/>
      <c r="AH515" s="1044"/>
      <c r="AI515" s="1044"/>
      <c r="AJ515" s="1044"/>
      <c r="AK515" s="1044"/>
      <c r="AL515" s="1044"/>
      <c r="AM515" s="1044"/>
      <c r="AN515" s="1044"/>
      <c r="AO515" s="1044"/>
      <c r="AP515" s="1044"/>
      <c r="AQ515" s="1044"/>
      <c r="AR515" s="1044"/>
    </row>
    <row r="516" spans="1:44">
      <c r="A516" s="1044"/>
      <c r="B516" s="1044"/>
      <c r="C516" s="1044"/>
      <c r="D516" s="1221"/>
      <c r="E516" s="1044"/>
      <c r="F516" s="1044"/>
      <c r="G516" s="1044"/>
      <c r="H516" s="1044"/>
      <c r="I516" s="1044"/>
      <c r="J516" s="1047"/>
      <c r="K516" s="1047"/>
      <c r="L516" s="1047"/>
      <c r="M516" s="1047"/>
      <c r="N516" s="1047"/>
      <c r="O516" s="1047"/>
      <c r="P516" s="1047"/>
      <c r="Q516" s="1047"/>
      <c r="R516" s="1047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047"/>
      <c r="AE516" s="1044"/>
      <c r="AF516" s="1044"/>
      <c r="AG516" s="1044"/>
      <c r="AH516" s="1044"/>
      <c r="AI516" s="1044"/>
      <c r="AJ516" s="1044"/>
      <c r="AK516" s="1044"/>
      <c r="AL516" s="1044"/>
      <c r="AM516" s="1044"/>
      <c r="AN516" s="1044"/>
      <c r="AO516" s="1044"/>
      <c r="AP516" s="1044"/>
      <c r="AQ516" s="1044"/>
      <c r="AR516" s="1044"/>
    </row>
    <row r="517" spans="1:44">
      <c r="A517" s="1044"/>
      <c r="B517" s="1044"/>
      <c r="C517" s="1044"/>
      <c r="D517" s="1221"/>
      <c r="E517" s="1044"/>
      <c r="F517" s="1044"/>
      <c r="G517" s="1044"/>
      <c r="H517" s="1044"/>
      <c r="I517" s="1044"/>
      <c r="J517" s="1047"/>
      <c r="K517" s="1047"/>
      <c r="L517" s="1047"/>
      <c r="M517" s="1047"/>
      <c r="N517" s="1047"/>
      <c r="O517" s="1047"/>
      <c r="P517" s="1047"/>
      <c r="Q517" s="1047"/>
      <c r="R517" s="1047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047"/>
      <c r="AE517" s="1044"/>
      <c r="AF517" s="1044"/>
      <c r="AG517" s="1044"/>
      <c r="AH517" s="1044"/>
      <c r="AI517" s="1044"/>
      <c r="AJ517" s="1044"/>
      <c r="AK517" s="1044"/>
      <c r="AL517" s="1044"/>
      <c r="AM517" s="1044"/>
      <c r="AN517" s="1044"/>
      <c r="AO517" s="1044"/>
      <c r="AP517" s="1044"/>
      <c r="AQ517" s="1044"/>
      <c r="AR517" s="1044"/>
    </row>
    <row r="518" spans="1:44">
      <c r="A518" s="1044"/>
      <c r="B518" s="1044"/>
      <c r="C518" s="1044"/>
      <c r="D518" s="1221"/>
      <c r="E518" s="1044"/>
      <c r="F518" s="1044"/>
      <c r="G518" s="1044"/>
      <c r="H518" s="1044"/>
      <c r="I518" s="1044"/>
      <c r="J518" s="1047"/>
      <c r="K518" s="1047"/>
      <c r="L518" s="1047"/>
      <c r="M518" s="1047"/>
      <c r="N518" s="1047"/>
      <c r="O518" s="1047"/>
      <c r="P518" s="1047"/>
      <c r="Q518" s="1047"/>
      <c r="R518" s="1047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047"/>
      <c r="AE518" s="1044"/>
      <c r="AF518" s="1044"/>
      <c r="AG518" s="1044"/>
      <c r="AH518" s="1044"/>
      <c r="AI518" s="1044"/>
      <c r="AJ518" s="1044"/>
      <c r="AK518" s="1044"/>
      <c r="AL518" s="1044"/>
      <c r="AM518" s="1044"/>
      <c r="AN518" s="1044"/>
      <c r="AO518" s="1044"/>
      <c r="AP518" s="1044"/>
      <c r="AQ518" s="1044"/>
      <c r="AR518" s="1044"/>
    </row>
    <row r="519" spans="1:44">
      <c r="A519" s="1044"/>
      <c r="B519" s="1044"/>
      <c r="C519" s="1044"/>
      <c r="D519" s="1221"/>
      <c r="E519" s="1044"/>
      <c r="F519" s="1044"/>
      <c r="G519" s="1044"/>
      <c r="H519" s="1044"/>
      <c r="I519" s="1044"/>
      <c r="J519" s="1047"/>
      <c r="K519" s="1047"/>
      <c r="L519" s="1047"/>
      <c r="M519" s="1047"/>
      <c r="N519" s="1047"/>
      <c r="O519" s="1047"/>
      <c r="P519" s="1047"/>
      <c r="Q519" s="1047"/>
      <c r="R519" s="1047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047"/>
      <c r="AE519" s="1044"/>
      <c r="AF519" s="1044"/>
      <c r="AG519" s="1044"/>
      <c r="AH519" s="1044"/>
      <c r="AI519" s="1044"/>
      <c r="AJ519" s="1044"/>
      <c r="AK519" s="1044"/>
      <c r="AL519" s="1044"/>
      <c r="AM519" s="1044"/>
      <c r="AN519" s="1044"/>
      <c r="AO519" s="1044"/>
      <c r="AP519" s="1044"/>
      <c r="AQ519" s="1044"/>
      <c r="AR519" s="1044"/>
    </row>
    <row r="520" spans="1:44">
      <c r="A520" s="1044"/>
      <c r="B520" s="1044"/>
      <c r="C520" s="1044"/>
      <c r="D520" s="1221"/>
      <c r="E520" s="1044"/>
      <c r="F520" s="1044"/>
      <c r="G520" s="1044"/>
      <c r="H520" s="1044"/>
      <c r="I520" s="1044"/>
      <c r="J520" s="1047"/>
      <c r="K520" s="1047"/>
      <c r="L520" s="1047"/>
      <c r="M520" s="1047"/>
      <c r="N520" s="1047"/>
      <c r="O520" s="1047"/>
      <c r="P520" s="1047"/>
      <c r="Q520" s="1047"/>
      <c r="R520" s="1047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047"/>
      <c r="AE520" s="1044"/>
      <c r="AF520" s="1044"/>
      <c r="AG520" s="1044"/>
      <c r="AH520" s="1044"/>
      <c r="AI520" s="1044"/>
      <c r="AJ520" s="1044"/>
      <c r="AK520" s="1044"/>
      <c r="AL520" s="1044"/>
      <c r="AM520" s="1044"/>
      <c r="AN520" s="1044"/>
      <c r="AO520" s="1044"/>
      <c r="AP520" s="1044"/>
      <c r="AQ520" s="1044"/>
      <c r="AR520" s="1044"/>
    </row>
    <row r="521" spans="1:44">
      <c r="A521" s="1044"/>
      <c r="B521" s="1044"/>
      <c r="C521" s="1044"/>
      <c r="D521" s="1221"/>
      <c r="E521" s="1044"/>
      <c r="F521" s="1044"/>
      <c r="G521" s="1044"/>
      <c r="H521" s="1044"/>
      <c r="I521" s="1044"/>
      <c r="J521" s="1047"/>
      <c r="K521" s="1047"/>
      <c r="L521" s="1047"/>
      <c r="M521" s="1047"/>
      <c r="N521" s="1047"/>
      <c r="O521" s="1047"/>
      <c r="P521" s="1047"/>
      <c r="Q521" s="1047"/>
      <c r="R521" s="1047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047"/>
      <c r="AE521" s="1044"/>
      <c r="AF521" s="1044"/>
      <c r="AG521" s="1044"/>
      <c r="AH521" s="1044"/>
      <c r="AI521" s="1044"/>
      <c r="AJ521" s="1044"/>
      <c r="AK521" s="1044"/>
      <c r="AL521" s="1044"/>
      <c r="AM521" s="1044"/>
      <c r="AN521" s="1044"/>
      <c r="AO521" s="1044"/>
      <c r="AP521" s="1044"/>
      <c r="AQ521" s="1044"/>
      <c r="AR521" s="1044"/>
    </row>
    <row r="522" spans="1:44">
      <c r="A522" s="1044"/>
      <c r="B522" s="1044"/>
      <c r="C522" s="1044"/>
      <c r="D522" s="1221"/>
      <c r="E522" s="1044"/>
      <c r="F522" s="1044"/>
      <c r="G522" s="1044"/>
      <c r="H522" s="1044"/>
      <c r="I522" s="1044"/>
      <c r="J522" s="1047"/>
      <c r="K522" s="1047"/>
      <c r="L522" s="1047"/>
      <c r="M522" s="1047"/>
      <c r="N522" s="1047"/>
      <c r="O522" s="1047"/>
      <c r="P522" s="1047"/>
      <c r="Q522" s="1047"/>
      <c r="R522" s="1047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047"/>
      <c r="AE522" s="1044"/>
      <c r="AF522" s="1044"/>
      <c r="AG522" s="1044"/>
      <c r="AH522" s="1044"/>
      <c r="AI522" s="1044"/>
      <c r="AJ522" s="1044"/>
      <c r="AK522" s="1044"/>
      <c r="AL522" s="1044"/>
      <c r="AM522" s="1044"/>
      <c r="AN522" s="1044"/>
      <c r="AO522" s="1044"/>
      <c r="AP522" s="1044"/>
      <c r="AQ522" s="1044"/>
      <c r="AR522" s="1044"/>
    </row>
    <row r="523" spans="1:44">
      <c r="A523" s="1044"/>
      <c r="B523" s="1044"/>
      <c r="C523" s="1044"/>
      <c r="D523" s="1221"/>
      <c r="E523" s="1044"/>
      <c r="F523" s="1044"/>
      <c r="G523" s="1044"/>
      <c r="H523" s="1044"/>
      <c r="I523" s="1044"/>
      <c r="J523" s="1047"/>
      <c r="K523" s="1047"/>
      <c r="L523" s="1047"/>
      <c r="M523" s="1047"/>
      <c r="N523" s="1047"/>
      <c r="O523" s="1047"/>
      <c r="P523" s="1047"/>
      <c r="Q523" s="1047"/>
      <c r="R523" s="1047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047"/>
      <c r="AE523" s="1044"/>
      <c r="AF523" s="1044"/>
      <c r="AG523" s="1044"/>
      <c r="AH523" s="1044"/>
      <c r="AI523" s="1044"/>
      <c r="AJ523" s="1044"/>
      <c r="AK523" s="1044"/>
      <c r="AL523" s="1044"/>
      <c r="AM523" s="1044"/>
      <c r="AN523" s="1044"/>
      <c r="AO523" s="1044"/>
      <c r="AP523" s="1044"/>
      <c r="AQ523" s="1044"/>
      <c r="AR523" s="1044"/>
    </row>
    <row r="524" spans="1:44">
      <c r="A524" s="1044"/>
      <c r="B524" s="1044"/>
      <c r="C524" s="1044"/>
      <c r="D524" s="1221"/>
      <c r="E524" s="1044"/>
      <c r="F524" s="1044"/>
      <c r="G524" s="1044"/>
      <c r="H524" s="1044"/>
      <c r="I524" s="1044"/>
      <c r="J524" s="1047"/>
      <c r="K524" s="1047"/>
      <c r="L524" s="1047"/>
      <c r="M524" s="1047"/>
      <c r="N524" s="1047"/>
      <c r="O524" s="1047"/>
      <c r="P524" s="1047"/>
      <c r="Q524" s="1047"/>
      <c r="R524" s="1047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047"/>
      <c r="AE524" s="1044"/>
      <c r="AF524" s="1044"/>
      <c r="AG524" s="1044"/>
      <c r="AH524" s="1044"/>
      <c r="AI524" s="1044"/>
      <c r="AJ524" s="1044"/>
      <c r="AK524" s="1044"/>
      <c r="AL524" s="1044"/>
      <c r="AM524" s="1044"/>
      <c r="AN524" s="1044"/>
      <c r="AO524" s="1044"/>
      <c r="AP524" s="1044"/>
      <c r="AQ524" s="1044"/>
      <c r="AR524" s="1044"/>
    </row>
    <row r="525" spans="1:44">
      <c r="A525" s="1044"/>
      <c r="B525" s="1044"/>
      <c r="C525" s="1044"/>
      <c r="D525" s="1221"/>
      <c r="E525" s="1044"/>
      <c r="F525" s="1044"/>
      <c r="G525" s="1044"/>
      <c r="H525" s="1044"/>
      <c r="I525" s="1044"/>
      <c r="J525" s="1047"/>
      <c r="K525" s="1047"/>
      <c r="L525" s="1047"/>
      <c r="M525" s="1047"/>
      <c r="N525" s="1047"/>
      <c r="O525" s="1047"/>
      <c r="P525" s="1047"/>
      <c r="Q525" s="1047"/>
      <c r="R525" s="1047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047"/>
      <c r="AE525" s="1044"/>
      <c r="AF525" s="1044"/>
      <c r="AG525" s="1044"/>
      <c r="AH525" s="1044"/>
      <c r="AI525" s="1044"/>
      <c r="AJ525" s="1044"/>
      <c r="AK525" s="1044"/>
      <c r="AL525" s="1044"/>
      <c r="AM525" s="1044"/>
      <c r="AN525" s="1044"/>
      <c r="AO525" s="1044"/>
      <c r="AP525" s="1044"/>
      <c r="AQ525" s="1044"/>
      <c r="AR525" s="1044"/>
    </row>
    <row r="526" spans="1:44">
      <c r="A526" s="1044"/>
      <c r="B526" s="1044"/>
      <c r="C526" s="1044"/>
      <c r="D526" s="1221"/>
      <c r="E526" s="1044"/>
      <c r="F526" s="1044"/>
      <c r="G526" s="1044"/>
      <c r="H526" s="1044"/>
      <c r="I526" s="1044"/>
      <c r="J526" s="1047"/>
      <c r="K526" s="1047"/>
      <c r="L526" s="1047"/>
      <c r="M526" s="1047"/>
      <c r="N526" s="1047"/>
      <c r="O526" s="1047"/>
      <c r="P526" s="1047"/>
      <c r="Q526" s="1047"/>
      <c r="R526" s="1047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047"/>
      <c r="AE526" s="1044"/>
      <c r="AF526" s="1044"/>
      <c r="AG526" s="1044"/>
      <c r="AH526" s="1044"/>
      <c r="AI526" s="1044"/>
      <c r="AJ526" s="1044"/>
      <c r="AK526" s="1044"/>
      <c r="AL526" s="1044"/>
      <c r="AM526" s="1044"/>
      <c r="AN526" s="1044"/>
      <c r="AO526" s="1044"/>
      <c r="AP526" s="1044"/>
      <c r="AQ526" s="1044"/>
      <c r="AR526" s="1044"/>
    </row>
    <row r="527" spans="1:44">
      <c r="A527" s="1044"/>
      <c r="B527" s="1044"/>
      <c r="C527" s="1044"/>
      <c r="D527" s="1221"/>
      <c r="E527" s="1044"/>
      <c r="F527" s="1044"/>
      <c r="G527" s="1044"/>
      <c r="H527" s="1044"/>
      <c r="I527" s="1044"/>
      <c r="J527" s="1047"/>
      <c r="K527" s="1047"/>
      <c r="L527" s="1047"/>
      <c r="M527" s="1047"/>
      <c r="N527" s="1047"/>
      <c r="O527" s="1047"/>
      <c r="P527" s="1047"/>
      <c r="Q527" s="1047"/>
      <c r="R527" s="1047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047"/>
      <c r="AE527" s="1044"/>
      <c r="AF527" s="1044"/>
      <c r="AG527" s="1044"/>
      <c r="AH527" s="1044"/>
      <c r="AI527" s="1044"/>
      <c r="AJ527" s="1044"/>
      <c r="AK527" s="1044"/>
      <c r="AL527" s="1044"/>
      <c r="AM527" s="1044"/>
      <c r="AN527" s="1044"/>
      <c r="AO527" s="1044"/>
      <c r="AP527" s="1044"/>
      <c r="AQ527" s="1044"/>
      <c r="AR527" s="1044"/>
    </row>
    <row r="528" spans="1:44">
      <c r="A528" s="1044"/>
      <c r="B528" s="1044"/>
      <c r="C528" s="1044"/>
      <c r="D528" s="1221"/>
      <c r="E528" s="1044"/>
      <c r="F528" s="1044"/>
      <c r="G528" s="1044"/>
      <c r="H528" s="1044"/>
      <c r="I528" s="1044"/>
      <c r="J528" s="1047"/>
      <c r="K528" s="1047"/>
      <c r="L528" s="1047"/>
      <c r="M528" s="1047"/>
      <c r="N528" s="1047"/>
      <c r="O528" s="1047"/>
      <c r="P528" s="1047"/>
      <c r="Q528" s="1047"/>
      <c r="R528" s="1047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047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1044"/>
      <c r="AQ528" s="1044"/>
      <c r="AR528" s="1044"/>
    </row>
    <row r="529" spans="1:44">
      <c r="A529" s="1044"/>
      <c r="B529" s="1044"/>
      <c r="C529" s="1044"/>
      <c r="D529" s="1221"/>
      <c r="E529" s="1044"/>
      <c r="F529" s="1044"/>
      <c r="G529" s="1044"/>
      <c r="H529" s="1044"/>
      <c r="I529" s="1044"/>
      <c r="J529" s="1047"/>
      <c r="K529" s="1047"/>
      <c r="L529" s="1047"/>
      <c r="M529" s="1047"/>
      <c r="N529" s="1047"/>
      <c r="O529" s="1047"/>
      <c r="P529" s="1047"/>
      <c r="Q529" s="1047"/>
      <c r="R529" s="1047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047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1044"/>
      <c r="AQ529" s="1044"/>
      <c r="AR529" s="1044"/>
    </row>
    <row r="530" spans="1:44">
      <c r="A530" s="1044"/>
      <c r="B530" s="1044"/>
      <c r="C530" s="1044"/>
      <c r="D530" s="1221"/>
      <c r="E530" s="1044"/>
      <c r="F530" s="1044"/>
      <c r="G530" s="1044"/>
      <c r="H530" s="1044"/>
      <c r="I530" s="1044"/>
      <c r="J530" s="1047"/>
      <c r="K530" s="1047"/>
      <c r="L530" s="1047"/>
      <c r="M530" s="1047"/>
      <c r="N530" s="1047"/>
      <c r="O530" s="1047"/>
      <c r="P530" s="1047"/>
      <c r="Q530" s="1047"/>
      <c r="R530" s="1047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047"/>
      <c r="AE530" s="1044"/>
      <c r="AF530" s="1044"/>
      <c r="AG530" s="1044"/>
      <c r="AH530" s="1044"/>
      <c r="AI530" s="1044"/>
      <c r="AJ530" s="1044"/>
      <c r="AK530" s="1044"/>
      <c r="AL530" s="1044"/>
      <c r="AM530" s="1044"/>
      <c r="AN530" s="1044"/>
      <c r="AO530" s="1044"/>
      <c r="AP530" s="1044"/>
      <c r="AQ530" s="1044"/>
      <c r="AR530" s="1044"/>
    </row>
    <row r="531" spans="1:44">
      <c r="A531" s="1044"/>
      <c r="B531" s="1044"/>
      <c r="C531" s="1044"/>
      <c r="D531" s="1221"/>
      <c r="E531" s="1044"/>
      <c r="F531" s="1044"/>
      <c r="G531" s="1044"/>
      <c r="H531" s="1044"/>
      <c r="I531" s="1044"/>
      <c r="J531" s="1047"/>
      <c r="K531" s="1047"/>
      <c r="L531" s="1047"/>
      <c r="M531" s="1047"/>
      <c r="N531" s="1047"/>
      <c r="O531" s="1047"/>
      <c r="P531" s="1047"/>
      <c r="Q531" s="1047"/>
      <c r="R531" s="1047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047"/>
      <c r="AE531" s="1044"/>
      <c r="AF531" s="1044"/>
      <c r="AG531" s="1044"/>
      <c r="AH531" s="1044"/>
      <c r="AI531" s="1044"/>
      <c r="AJ531" s="1044"/>
      <c r="AK531" s="1044"/>
      <c r="AL531" s="1044"/>
      <c r="AM531" s="1044"/>
      <c r="AN531" s="1044"/>
      <c r="AO531" s="1044"/>
      <c r="AP531" s="1044"/>
      <c r="AQ531" s="1044"/>
      <c r="AR531" s="1044"/>
    </row>
    <row r="532" spans="1:44">
      <c r="A532" s="1044"/>
      <c r="B532" s="1044"/>
      <c r="C532" s="1044"/>
      <c r="D532" s="1221"/>
      <c r="E532" s="1044"/>
      <c r="F532" s="1044"/>
      <c r="G532" s="1044"/>
      <c r="H532" s="1044"/>
      <c r="I532" s="1044"/>
      <c r="J532" s="1047"/>
      <c r="K532" s="1047"/>
      <c r="L532" s="1047"/>
      <c r="M532" s="1047"/>
      <c r="N532" s="1047"/>
      <c r="O532" s="1047"/>
      <c r="P532" s="1047"/>
      <c r="Q532" s="1047"/>
      <c r="R532" s="1047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047"/>
      <c r="AE532" s="1044"/>
      <c r="AF532" s="1044"/>
      <c r="AG532" s="1044"/>
      <c r="AH532" s="1044"/>
      <c r="AI532" s="1044"/>
      <c r="AJ532" s="1044"/>
      <c r="AK532" s="1044"/>
      <c r="AL532" s="1044"/>
      <c r="AM532" s="1044"/>
      <c r="AN532" s="1044"/>
      <c r="AO532" s="1044"/>
      <c r="AP532" s="1044"/>
      <c r="AQ532" s="1044"/>
      <c r="AR532" s="1044"/>
    </row>
    <row r="533" spans="1:44">
      <c r="A533" s="1044"/>
      <c r="B533" s="1044"/>
      <c r="C533" s="1044"/>
      <c r="D533" s="1221"/>
      <c r="E533" s="1044"/>
      <c r="F533" s="1044"/>
      <c r="G533" s="1044"/>
      <c r="H533" s="1044"/>
      <c r="I533" s="1044"/>
      <c r="J533" s="1047"/>
      <c r="K533" s="1047"/>
      <c r="L533" s="1047"/>
      <c r="M533" s="1047"/>
      <c r="N533" s="1047"/>
      <c r="O533" s="1047"/>
      <c r="P533" s="1047"/>
      <c r="Q533" s="1047"/>
      <c r="R533" s="1047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047"/>
      <c r="AE533" s="1044"/>
      <c r="AF533" s="1044"/>
      <c r="AG533" s="1044"/>
      <c r="AH533" s="1044"/>
      <c r="AI533" s="1044"/>
      <c r="AJ533" s="1044"/>
      <c r="AK533" s="1044"/>
      <c r="AL533" s="1044"/>
      <c r="AM533" s="1044"/>
      <c r="AN533" s="1044"/>
      <c r="AO533" s="1044"/>
      <c r="AP533" s="1044"/>
      <c r="AQ533" s="1044"/>
      <c r="AR533" s="1044"/>
    </row>
    <row r="534" spans="1:44">
      <c r="A534" s="1044"/>
      <c r="B534" s="1044"/>
      <c r="C534" s="1044"/>
      <c r="D534" s="1221"/>
      <c r="E534" s="1044"/>
      <c r="F534" s="1044"/>
      <c r="G534" s="1044"/>
      <c r="H534" s="1044"/>
      <c r="I534" s="1044"/>
      <c r="J534" s="1047"/>
      <c r="K534" s="1047"/>
      <c r="L534" s="1047"/>
      <c r="M534" s="1047"/>
      <c r="N534" s="1047"/>
      <c r="O534" s="1047"/>
      <c r="P534" s="1047"/>
      <c r="Q534" s="1047"/>
      <c r="R534" s="1047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047"/>
      <c r="AE534" s="1044"/>
      <c r="AF534" s="1044"/>
      <c r="AG534" s="1044"/>
      <c r="AH534" s="1044"/>
      <c r="AI534" s="1044"/>
      <c r="AJ534" s="1044"/>
      <c r="AK534" s="1044"/>
      <c r="AL534" s="1044"/>
      <c r="AM534" s="1044"/>
      <c r="AN534" s="1044"/>
      <c r="AO534" s="1044"/>
      <c r="AP534" s="1044"/>
      <c r="AQ534" s="1044"/>
      <c r="AR534" s="1044"/>
    </row>
    <row r="535" spans="1:44">
      <c r="A535" s="1044"/>
      <c r="B535" s="1044"/>
      <c r="C535" s="1044"/>
      <c r="D535" s="1221"/>
      <c r="E535" s="1044"/>
      <c r="F535" s="1044"/>
      <c r="G535" s="1044"/>
      <c r="H535" s="1044"/>
      <c r="I535" s="1044"/>
      <c r="J535" s="1047"/>
      <c r="K535" s="1047"/>
      <c r="L535" s="1047"/>
      <c r="M535" s="1047"/>
      <c r="N535" s="1047"/>
      <c r="O535" s="1047"/>
      <c r="P535" s="1047"/>
      <c r="Q535" s="1047"/>
      <c r="R535" s="1047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047"/>
      <c r="AE535" s="1044"/>
      <c r="AF535" s="1044"/>
      <c r="AG535" s="1044"/>
      <c r="AH535" s="1044"/>
      <c r="AI535" s="1044"/>
      <c r="AJ535" s="1044"/>
      <c r="AK535" s="1044"/>
      <c r="AL535" s="1044"/>
      <c r="AM535" s="1044"/>
      <c r="AN535" s="1044"/>
      <c r="AO535" s="1044"/>
      <c r="AP535" s="1044"/>
      <c r="AQ535" s="1044"/>
      <c r="AR535" s="1044"/>
    </row>
    <row r="536" spans="1:44">
      <c r="A536" s="1044"/>
      <c r="B536" s="1044"/>
      <c r="C536" s="1044"/>
      <c r="D536" s="1221"/>
      <c r="E536" s="1044"/>
      <c r="F536" s="1044"/>
      <c r="G536" s="1044"/>
      <c r="H536" s="1044"/>
      <c r="I536" s="1044"/>
      <c r="J536" s="1047"/>
      <c r="K536" s="1047"/>
      <c r="L536" s="1047"/>
      <c r="M536" s="1047"/>
      <c r="N536" s="1047"/>
      <c r="O536" s="1047"/>
      <c r="P536" s="1047"/>
      <c r="Q536" s="1047"/>
      <c r="R536" s="1047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047"/>
      <c r="AE536" s="1044"/>
      <c r="AF536" s="1044"/>
      <c r="AG536" s="1044"/>
      <c r="AH536" s="1044"/>
      <c r="AI536" s="1044"/>
      <c r="AJ536" s="1044"/>
      <c r="AK536" s="1044"/>
      <c r="AL536" s="1044"/>
      <c r="AM536" s="1044"/>
      <c r="AN536" s="1044"/>
      <c r="AO536" s="1044"/>
      <c r="AP536" s="1044"/>
      <c r="AQ536" s="1044"/>
      <c r="AR536" s="1044"/>
    </row>
    <row r="537" spans="1:44">
      <c r="A537" s="1044"/>
      <c r="B537" s="1044"/>
      <c r="C537" s="1044"/>
      <c r="D537" s="1221"/>
      <c r="E537" s="1044"/>
      <c r="F537" s="1044"/>
      <c r="G537" s="1044"/>
      <c r="H537" s="1044"/>
      <c r="I537" s="1044"/>
      <c r="J537" s="1047"/>
      <c r="K537" s="1047"/>
      <c r="L537" s="1047"/>
      <c r="M537" s="1047"/>
      <c r="N537" s="1047"/>
      <c r="O537" s="1047"/>
      <c r="P537" s="1047"/>
      <c r="Q537" s="1047"/>
      <c r="R537" s="1047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047"/>
      <c r="AE537" s="1044"/>
      <c r="AF537" s="1044"/>
      <c r="AG537" s="1044"/>
      <c r="AH537" s="1044"/>
      <c r="AI537" s="1044"/>
      <c r="AJ537" s="1044"/>
      <c r="AK537" s="1044"/>
      <c r="AL537" s="1044"/>
      <c r="AM537" s="1044"/>
      <c r="AN537" s="1044"/>
      <c r="AO537" s="1044"/>
      <c r="AP537" s="1044"/>
      <c r="AQ537" s="1044"/>
      <c r="AR537" s="1044"/>
    </row>
    <row r="538" spans="1:44">
      <c r="A538" s="1044"/>
      <c r="B538" s="1044"/>
      <c r="C538" s="1044"/>
      <c r="D538" s="1221"/>
      <c r="E538" s="1044"/>
      <c r="F538" s="1044"/>
      <c r="G538" s="1044"/>
      <c r="H538" s="1044"/>
      <c r="I538" s="1044"/>
      <c r="J538" s="1047"/>
      <c r="K538" s="1047"/>
      <c r="L538" s="1047"/>
      <c r="M538" s="1047"/>
      <c r="N538" s="1047"/>
      <c r="O538" s="1047"/>
      <c r="P538" s="1047"/>
      <c r="Q538" s="1047"/>
      <c r="R538" s="1047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047"/>
      <c r="AE538" s="1044"/>
      <c r="AF538" s="1044"/>
      <c r="AG538" s="1044"/>
      <c r="AH538" s="1044"/>
      <c r="AI538" s="1044"/>
      <c r="AJ538" s="1044"/>
      <c r="AK538" s="1044"/>
      <c r="AL538" s="1044"/>
      <c r="AM538" s="1044"/>
      <c r="AN538" s="1044"/>
      <c r="AO538" s="1044"/>
      <c r="AP538" s="1044"/>
      <c r="AQ538" s="1044"/>
      <c r="AR538" s="1044"/>
    </row>
    <row r="539" spans="1:44">
      <c r="A539" s="1044"/>
      <c r="B539" s="1044"/>
      <c r="C539" s="1044"/>
      <c r="D539" s="1221"/>
      <c r="E539" s="1044"/>
      <c r="F539" s="1044"/>
      <c r="G539" s="1044"/>
      <c r="H539" s="1044"/>
      <c r="I539" s="1044"/>
      <c r="J539" s="1047"/>
      <c r="K539" s="1047"/>
      <c r="L539" s="1047"/>
      <c r="M539" s="1047"/>
      <c r="N539" s="1047"/>
      <c r="O539" s="1047"/>
      <c r="P539" s="1047"/>
      <c r="Q539" s="1047"/>
      <c r="R539" s="1047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047"/>
      <c r="AE539" s="1044"/>
      <c r="AF539" s="1044"/>
      <c r="AG539" s="1044"/>
      <c r="AH539" s="1044"/>
      <c r="AI539" s="1044"/>
      <c r="AJ539" s="1044"/>
      <c r="AK539" s="1044"/>
      <c r="AL539" s="1044"/>
      <c r="AM539" s="1044"/>
      <c r="AN539" s="1044"/>
      <c r="AO539" s="1044"/>
      <c r="AP539" s="1044"/>
      <c r="AQ539" s="1044"/>
      <c r="AR539" s="1044"/>
    </row>
    <row r="540" spans="1:44">
      <c r="A540" s="1044"/>
      <c r="B540" s="1044"/>
      <c r="C540" s="1044"/>
      <c r="D540" s="1221"/>
      <c r="E540" s="1044"/>
      <c r="F540" s="1044"/>
      <c r="G540" s="1044"/>
      <c r="H540" s="1044"/>
      <c r="I540" s="1044"/>
      <c r="J540" s="1047"/>
      <c r="K540" s="1047"/>
      <c r="L540" s="1047"/>
      <c r="M540" s="1047"/>
      <c r="N540" s="1047"/>
      <c r="O540" s="1047"/>
      <c r="P540" s="1047"/>
      <c r="Q540" s="1047"/>
      <c r="R540" s="1047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047"/>
      <c r="AE540" s="1044"/>
      <c r="AF540" s="1044"/>
      <c r="AG540" s="1044"/>
      <c r="AH540" s="1044"/>
      <c r="AI540" s="1044"/>
      <c r="AJ540" s="1044"/>
      <c r="AK540" s="1044"/>
      <c r="AL540" s="1044"/>
      <c r="AM540" s="1044"/>
      <c r="AN540" s="1044"/>
      <c r="AO540" s="1044"/>
      <c r="AP540" s="1044"/>
      <c r="AQ540" s="1044"/>
      <c r="AR540" s="1044"/>
    </row>
    <row r="541" spans="1:44">
      <c r="A541" s="1044"/>
      <c r="B541" s="1044"/>
      <c r="C541" s="1044"/>
      <c r="D541" s="1221"/>
      <c r="E541" s="1044"/>
      <c r="F541" s="1044"/>
      <c r="G541" s="1044"/>
      <c r="H541" s="1044"/>
      <c r="I541" s="1044"/>
      <c r="J541" s="1047"/>
      <c r="K541" s="1047"/>
      <c r="L541" s="1047"/>
      <c r="M541" s="1047"/>
      <c r="N541" s="1047"/>
      <c r="O541" s="1047"/>
      <c r="P541" s="1047"/>
      <c r="Q541" s="1047"/>
      <c r="R541" s="1047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047"/>
      <c r="AE541" s="1044"/>
      <c r="AF541" s="1044"/>
      <c r="AG541" s="1044"/>
      <c r="AH541" s="1044"/>
      <c r="AI541" s="1044"/>
      <c r="AJ541" s="1044"/>
      <c r="AK541" s="1044"/>
      <c r="AL541" s="1044"/>
      <c r="AM541" s="1044"/>
      <c r="AN541" s="1044"/>
      <c r="AO541" s="1044"/>
      <c r="AP541" s="1044"/>
      <c r="AQ541" s="1044"/>
      <c r="AR541" s="1044"/>
    </row>
    <row r="542" spans="1:44">
      <c r="A542" s="1044"/>
      <c r="B542" s="1044"/>
      <c r="C542" s="1044"/>
      <c r="D542" s="1221"/>
      <c r="E542" s="1044"/>
      <c r="F542" s="1044"/>
      <c r="G542" s="1044"/>
      <c r="H542" s="1044"/>
      <c r="I542" s="1044"/>
      <c r="J542" s="1047"/>
      <c r="K542" s="1047"/>
      <c r="L542" s="1047"/>
      <c r="M542" s="1047"/>
      <c r="N542" s="1047"/>
      <c r="O542" s="1047"/>
      <c r="P542" s="1047"/>
      <c r="Q542" s="1047"/>
      <c r="R542" s="1047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047"/>
      <c r="AE542" s="1044"/>
      <c r="AF542" s="1044"/>
      <c r="AG542" s="1044"/>
      <c r="AH542" s="1044"/>
      <c r="AI542" s="1044"/>
      <c r="AJ542" s="1044"/>
      <c r="AK542" s="1044"/>
      <c r="AL542" s="1044"/>
      <c r="AM542" s="1044"/>
      <c r="AN542" s="1044"/>
      <c r="AO542" s="1044"/>
      <c r="AP542" s="1044"/>
      <c r="AQ542" s="1044"/>
      <c r="AR542" s="1044"/>
    </row>
    <row r="543" spans="1:44">
      <c r="A543" s="1044"/>
      <c r="B543" s="1044"/>
      <c r="C543" s="1044"/>
      <c r="D543" s="1221"/>
      <c r="E543" s="1044"/>
      <c r="F543" s="1044"/>
      <c r="G543" s="1044"/>
      <c r="H543" s="1044"/>
      <c r="I543" s="1044"/>
      <c r="J543" s="1047"/>
      <c r="K543" s="1047"/>
      <c r="L543" s="1047"/>
      <c r="M543" s="1047"/>
      <c r="N543" s="1047"/>
      <c r="O543" s="1047"/>
      <c r="P543" s="1047"/>
      <c r="Q543" s="1047"/>
      <c r="R543" s="1047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047"/>
      <c r="AE543" s="1044"/>
      <c r="AF543" s="1044"/>
      <c r="AG543" s="1044"/>
      <c r="AH543" s="1044"/>
      <c r="AI543" s="1044"/>
      <c r="AJ543" s="1044"/>
      <c r="AK543" s="1044"/>
      <c r="AL543" s="1044"/>
      <c r="AM543" s="1044"/>
      <c r="AN543" s="1044"/>
      <c r="AO543" s="1044"/>
      <c r="AP543" s="1044"/>
      <c r="AQ543" s="1044"/>
      <c r="AR543" s="1044"/>
    </row>
    <row r="544" spans="1:44">
      <c r="A544" s="1044"/>
      <c r="B544" s="1044"/>
      <c r="C544" s="1044"/>
      <c r="D544" s="1221"/>
      <c r="E544" s="1044"/>
      <c r="F544" s="1044"/>
      <c r="G544" s="1044"/>
      <c r="H544" s="1044"/>
      <c r="I544" s="1044"/>
      <c r="J544" s="1047"/>
      <c r="K544" s="1047"/>
      <c r="L544" s="1047"/>
      <c r="M544" s="1047"/>
      <c r="N544" s="1047"/>
      <c r="O544" s="1047"/>
      <c r="P544" s="1047"/>
      <c r="Q544" s="1047"/>
      <c r="R544" s="1047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047"/>
      <c r="AE544" s="1044"/>
      <c r="AF544" s="1044"/>
      <c r="AG544" s="1044"/>
      <c r="AH544" s="1044"/>
      <c r="AI544" s="1044"/>
      <c r="AJ544" s="1044"/>
      <c r="AK544" s="1044"/>
      <c r="AL544" s="1044"/>
      <c r="AM544" s="1044"/>
      <c r="AN544" s="1044"/>
      <c r="AO544" s="1044"/>
      <c r="AP544" s="1044"/>
      <c r="AQ544" s="1044"/>
      <c r="AR544" s="1044"/>
    </row>
    <row r="545" spans="1:44">
      <c r="A545" s="1044"/>
      <c r="B545" s="1044"/>
      <c r="C545" s="1044"/>
      <c r="D545" s="1221"/>
      <c r="E545" s="1044"/>
      <c r="F545" s="1044"/>
      <c r="G545" s="1044"/>
      <c r="H545" s="1044"/>
      <c r="I545" s="1044"/>
      <c r="J545" s="1047"/>
      <c r="K545" s="1047"/>
      <c r="L545" s="1047"/>
      <c r="M545" s="1047"/>
      <c r="N545" s="1047"/>
      <c r="O545" s="1047"/>
      <c r="P545" s="1047"/>
      <c r="Q545" s="1047"/>
      <c r="R545" s="1047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047"/>
      <c r="AE545" s="1044"/>
      <c r="AF545" s="1044"/>
      <c r="AG545" s="1044"/>
      <c r="AH545" s="1044"/>
      <c r="AI545" s="1044"/>
      <c r="AJ545" s="1044"/>
      <c r="AK545" s="1044"/>
      <c r="AL545" s="1044"/>
      <c r="AM545" s="1044"/>
      <c r="AN545" s="1044"/>
      <c r="AO545" s="1044"/>
      <c r="AP545" s="1044"/>
      <c r="AQ545" s="1044"/>
      <c r="AR545" s="1044"/>
    </row>
    <row r="546" spans="1:44">
      <c r="A546" s="1044"/>
      <c r="B546" s="1044"/>
      <c r="C546" s="1044"/>
      <c r="D546" s="1221"/>
      <c r="E546" s="1044"/>
      <c r="F546" s="1044"/>
      <c r="G546" s="1044"/>
      <c r="H546" s="1044"/>
      <c r="I546" s="1044"/>
      <c r="J546" s="1047"/>
      <c r="K546" s="1047"/>
      <c r="L546" s="1047"/>
      <c r="M546" s="1047"/>
      <c r="N546" s="1047"/>
      <c r="O546" s="1047"/>
      <c r="P546" s="1047"/>
      <c r="Q546" s="1047"/>
      <c r="R546" s="1047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047"/>
      <c r="AE546" s="1044"/>
      <c r="AF546" s="1044"/>
      <c r="AG546" s="1044"/>
      <c r="AH546" s="1044"/>
      <c r="AI546" s="1044"/>
      <c r="AJ546" s="1044"/>
      <c r="AK546" s="1044"/>
      <c r="AL546" s="1044"/>
      <c r="AM546" s="1044"/>
      <c r="AN546" s="1044"/>
      <c r="AO546" s="1044"/>
      <c r="AP546" s="1044"/>
      <c r="AQ546" s="1044"/>
      <c r="AR546" s="1044"/>
    </row>
    <row r="547" spans="1:44">
      <c r="A547" s="1044"/>
      <c r="B547" s="1044"/>
      <c r="C547" s="1044"/>
      <c r="D547" s="1221"/>
      <c r="E547" s="1044"/>
      <c r="F547" s="1044"/>
      <c r="G547" s="1044"/>
      <c r="H547" s="1044"/>
      <c r="I547" s="1044"/>
      <c r="J547" s="1047"/>
      <c r="K547" s="1047"/>
      <c r="L547" s="1047"/>
      <c r="M547" s="1047"/>
      <c r="N547" s="1047"/>
      <c r="O547" s="1047"/>
      <c r="P547" s="1047"/>
      <c r="Q547" s="1047"/>
      <c r="R547" s="1047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047"/>
      <c r="AE547" s="1044"/>
      <c r="AF547" s="1044"/>
      <c r="AG547" s="1044"/>
      <c r="AH547" s="1044"/>
      <c r="AI547" s="1044"/>
      <c r="AJ547" s="1044"/>
      <c r="AK547" s="1044"/>
      <c r="AL547" s="1044"/>
      <c r="AM547" s="1044"/>
      <c r="AN547" s="1044"/>
      <c r="AO547" s="1044"/>
      <c r="AP547" s="1044"/>
      <c r="AQ547" s="1044"/>
      <c r="AR547" s="1044"/>
    </row>
    <row r="548" spans="1:44">
      <c r="A548" s="1044"/>
      <c r="B548" s="1044"/>
      <c r="C548" s="1044"/>
      <c r="D548" s="1221"/>
      <c r="E548" s="1044"/>
      <c r="F548" s="1044"/>
      <c r="G548" s="1044"/>
      <c r="H548" s="1044"/>
      <c r="I548" s="1044"/>
      <c r="J548" s="1047"/>
      <c r="K548" s="1047"/>
      <c r="L548" s="1047"/>
      <c r="M548" s="1047"/>
      <c r="N548" s="1047"/>
      <c r="O548" s="1047"/>
      <c r="P548" s="1047"/>
      <c r="Q548" s="1047"/>
      <c r="R548" s="1047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047"/>
      <c r="AE548" s="1044"/>
      <c r="AF548" s="1044"/>
      <c r="AG548" s="1044"/>
      <c r="AH548" s="1044"/>
      <c r="AI548" s="1044"/>
      <c r="AJ548" s="1044"/>
      <c r="AK548" s="1044"/>
      <c r="AL548" s="1044"/>
      <c r="AM548" s="1044"/>
      <c r="AN548" s="1044"/>
      <c r="AO548" s="1044"/>
      <c r="AP548" s="1044"/>
      <c r="AQ548" s="1044"/>
      <c r="AR548" s="1044"/>
    </row>
  </sheetData>
  <mergeCells count="28">
    <mergeCell ref="A1:AR1"/>
    <mergeCell ref="A2:AR2"/>
    <mergeCell ref="A3:AR3"/>
    <mergeCell ref="A176:E176"/>
    <mergeCell ref="A10:B11"/>
    <mergeCell ref="A4:N4"/>
    <mergeCell ref="A5:N5"/>
    <mergeCell ref="A7:AR7"/>
    <mergeCell ref="A8:AR8"/>
    <mergeCell ref="G10:AK10"/>
    <mergeCell ref="A169:E169"/>
    <mergeCell ref="AH171:AM171"/>
    <mergeCell ref="C10:C11"/>
    <mergeCell ref="E10:E11"/>
    <mergeCell ref="AL10:AL11"/>
    <mergeCell ref="AM10:AM11"/>
    <mergeCell ref="AN10:AN11"/>
    <mergeCell ref="AP10:AP11"/>
    <mergeCell ref="AQ10:AQ11"/>
    <mergeCell ref="AR10:AR11"/>
    <mergeCell ref="F10:F11"/>
    <mergeCell ref="AO10:AO11"/>
    <mergeCell ref="A12:B12"/>
    <mergeCell ref="AE175:AR175"/>
    <mergeCell ref="AK176:AR176"/>
    <mergeCell ref="F176:K176"/>
    <mergeCell ref="A171:C171"/>
    <mergeCell ref="AA170:AR17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28"/>
  <sheetViews>
    <sheetView topLeftCell="A7" zoomScale="70" zoomScaleNormal="70" workbookViewId="0">
      <pane xSplit="4" ySplit="2" topLeftCell="E87" activePane="bottomRight" state="frozen"/>
      <selection activeCell="A7" sqref="A7"/>
      <selection pane="topRight" activeCell="E7" sqref="E7"/>
      <selection pane="bottomLeft" activeCell="A9" sqref="A9"/>
      <selection pane="bottomRight" activeCell="J99" sqref="J99"/>
    </sheetView>
  </sheetViews>
  <sheetFormatPr defaultColWidth="9.140625" defaultRowHeight="15"/>
  <cols>
    <col min="1" max="1" width="3.28515625" style="1666" customWidth="1"/>
    <col min="2" max="2" width="11.5703125" style="1666" customWidth="1"/>
    <col min="3" max="3" width="15" style="1666" customWidth="1"/>
    <col min="4" max="4" width="7.28515625" style="1666" customWidth="1"/>
    <col min="5" max="5" width="11.42578125" style="1666" customWidth="1"/>
    <col min="6" max="6" width="12" style="1666" customWidth="1"/>
    <col min="7" max="7" width="12" style="1667" customWidth="1"/>
    <col min="8" max="8" width="11.7109375" style="1667" customWidth="1"/>
    <col min="9" max="9" width="8.7109375" style="1667" customWidth="1"/>
    <col min="10" max="10" width="12.5703125" style="1667" customWidth="1"/>
    <col min="11" max="12" width="12.7109375" style="1667" customWidth="1"/>
    <col min="13" max="13" width="9.42578125" style="1667" customWidth="1"/>
    <col min="14" max="15" width="9.5703125" style="1667" customWidth="1"/>
    <col min="16" max="16" width="10.28515625" style="1667" customWidth="1"/>
    <col min="17" max="17" width="14" style="1666" customWidth="1"/>
    <col min="18" max="18" width="16.42578125" style="1668" bestFit="1" customWidth="1"/>
    <col min="19" max="19" width="12.85546875" style="1669" customWidth="1"/>
    <col min="20" max="20" width="12.28515625" style="1666" customWidth="1"/>
    <col min="21" max="21" width="15.140625" style="1666" customWidth="1"/>
    <col min="22" max="28" width="10.140625" style="1666" customWidth="1"/>
    <col min="29" max="29" width="13.42578125" style="1670" customWidth="1"/>
    <col min="30" max="30" width="10" style="1666" customWidth="1"/>
    <col min="31" max="31" width="14.28515625" style="1666" customWidth="1"/>
    <col min="32" max="32" width="15.28515625" style="1666" bestFit="1" customWidth="1"/>
    <col min="33" max="33" width="12.5703125" style="1666" customWidth="1"/>
    <col min="34" max="34" width="10.85546875" style="1666" customWidth="1"/>
    <col min="35" max="35" width="12.42578125" style="1666" bestFit="1" customWidth="1"/>
    <col min="36" max="36" width="10.140625" style="1666" customWidth="1"/>
    <col min="37" max="37" width="11.85546875" style="1666" customWidth="1"/>
    <col min="38" max="38" width="13.140625" style="1666" customWidth="1"/>
    <col min="39" max="40" width="10.140625" style="1666" customWidth="1"/>
    <col min="41" max="16384" width="9.140625" style="1666"/>
  </cols>
  <sheetData>
    <row r="1" spans="1:46" ht="8.25" customHeight="1"/>
    <row r="2" spans="1:46" ht="15.75">
      <c r="A2" s="2547" t="s">
        <v>2028</v>
      </c>
      <c r="B2" s="2547"/>
      <c r="C2" s="2547"/>
      <c r="D2" s="2547"/>
      <c r="E2" s="2547"/>
      <c r="F2" s="2547"/>
      <c r="G2" s="2547"/>
      <c r="H2" s="1671"/>
      <c r="I2" s="1671"/>
      <c r="J2" s="1671"/>
      <c r="K2" s="1671"/>
      <c r="L2" s="1671"/>
      <c r="M2" s="1671"/>
      <c r="N2" s="1671"/>
      <c r="O2" s="1671"/>
      <c r="P2" s="1671"/>
      <c r="R2" s="2568" t="s">
        <v>0</v>
      </c>
      <c r="S2" s="2568"/>
      <c r="T2" s="2568"/>
      <c r="U2" s="2568"/>
      <c r="V2" s="2568"/>
      <c r="W2" s="2568"/>
      <c r="X2" s="2568"/>
      <c r="Y2" s="2568"/>
      <c r="Z2" s="2568"/>
      <c r="AA2" s="2568"/>
      <c r="AB2" s="2568"/>
      <c r="AC2" s="2568"/>
      <c r="AD2" s="2568"/>
      <c r="AE2" s="2568"/>
    </row>
    <row r="3" spans="1:46" ht="15.75">
      <c r="A3" s="2569" t="s">
        <v>3071</v>
      </c>
      <c r="B3" s="2569"/>
      <c r="C3" s="2569"/>
      <c r="D3" s="2569"/>
      <c r="E3" s="2569"/>
      <c r="F3" s="2569"/>
      <c r="G3" s="2569"/>
      <c r="H3" s="1672"/>
      <c r="I3" s="1672"/>
      <c r="J3" s="1673"/>
      <c r="K3" s="1672"/>
      <c r="L3" s="1672"/>
      <c r="M3" s="1672"/>
      <c r="N3" s="1672">
        <f>144/0.67</f>
        <v>214.92537313432834</v>
      </c>
      <c r="O3" s="1672"/>
      <c r="P3" s="1672"/>
      <c r="Q3" s="1674"/>
      <c r="R3" s="2570" t="s">
        <v>1</v>
      </c>
      <c r="S3" s="2570"/>
      <c r="T3" s="2570"/>
      <c r="U3" s="2570"/>
      <c r="V3" s="2570"/>
      <c r="W3" s="2570"/>
      <c r="X3" s="2570"/>
      <c r="Y3" s="2570"/>
      <c r="Z3" s="2570"/>
      <c r="AA3" s="2570"/>
      <c r="AB3" s="2570"/>
      <c r="AC3" s="2570"/>
      <c r="AD3" s="2570"/>
      <c r="AE3" s="2570"/>
    </row>
    <row r="4" spans="1:46" ht="15.75">
      <c r="A4" s="2571" t="s">
        <v>3100</v>
      </c>
      <c r="B4" s="2571"/>
      <c r="C4" s="2571"/>
      <c r="D4" s="2571"/>
      <c r="E4" s="2571"/>
      <c r="F4" s="2571"/>
      <c r="G4" s="2571"/>
      <c r="H4" s="1675"/>
      <c r="I4" s="1675"/>
      <c r="J4" s="1675" t="e">
        <f>#REF!*25000</f>
        <v>#REF!</v>
      </c>
      <c r="K4" s="1676" t="e">
        <f>#REF!*25000</f>
        <v>#REF!</v>
      </c>
      <c r="L4" s="1675"/>
      <c r="M4" s="1675"/>
      <c r="N4" s="1675"/>
      <c r="O4" s="1675"/>
      <c r="P4" s="1675"/>
      <c r="Q4" s="1677"/>
      <c r="R4" s="1678"/>
      <c r="S4" s="1679"/>
      <c r="T4" s="1680">
        <f>Q9-19035.02</f>
        <v>-18623.28052</v>
      </c>
      <c r="U4" s="1681"/>
      <c r="V4" s="1681"/>
      <c r="W4" s="1681"/>
      <c r="X4" s="1681"/>
      <c r="Y4" s="1681"/>
      <c r="Z4" s="1681"/>
      <c r="AA4" s="1681"/>
      <c r="AB4" s="1681"/>
      <c r="AC4" s="1682"/>
      <c r="AD4" s="1681"/>
      <c r="AE4" s="1683"/>
    </row>
    <row r="5" spans="1:46" ht="19.5" customHeight="1">
      <c r="A5" s="2567" t="s">
        <v>3072</v>
      </c>
      <c r="B5" s="2567"/>
      <c r="C5" s="2567"/>
      <c r="D5" s="2567"/>
      <c r="E5" s="2567"/>
      <c r="F5" s="2567"/>
      <c r="G5" s="2567"/>
      <c r="H5" s="2567"/>
      <c r="I5" s="2567"/>
      <c r="J5" s="2567"/>
      <c r="K5" s="2567"/>
      <c r="L5" s="2567"/>
      <c r="M5" s="2567"/>
      <c r="N5" s="2567"/>
      <c r="O5" s="2567"/>
      <c r="P5" s="2567"/>
      <c r="Q5" s="2567"/>
      <c r="R5" s="2567"/>
      <c r="S5" s="2567"/>
      <c r="T5" s="2567"/>
      <c r="U5" s="2567"/>
      <c r="V5" s="2567"/>
      <c r="W5" s="2567"/>
      <c r="X5" s="2567"/>
      <c r="Y5" s="2567"/>
      <c r="Z5" s="2567"/>
      <c r="AA5" s="2567"/>
      <c r="AB5" s="2567"/>
      <c r="AC5" s="2567"/>
      <c r="AD5" s="2567"/>
      <c r="AE5" s="2567"/>
      <c r="AG5" s="1684"/>
    </row>
    <row r="6" spans="1:46" ht="16.5" customHeight="1">
      <c r="A6" s="2550" t="s">
        <v>6</v>
      </c>
      <c r="B6" s="2555" t="s">
        <v>3073</v>
      </c>
      <c r="C6" s="2550" t="s">
        <v>3074</v>
      </c>
      <c r="D6" s="2555" t="s">
        <v>9</v>
      </c>
      <c r="E6" s="2555"/>
      <c r="F6" s="2555"/>
      <c r="G6" s="2555"/>
      <c r="H6" s="2555"/>
      <c r="I6" s="2555"/>
      <c r="J6" s="2555"/>
      <c r="K6" s="2555"/>
      <c r="L6" s="2555"/>
      <c r="M6" s="2555"/>
      <c r="N6" s="2555"/>
      <c r="O6" s="2555"/>
      <c r="P6" s="2555"/>
      <c r="Q6" s="2555"/>
      <c r="R6" s="2555"/>
      <c r="S6" s="2555"/>
      <c r="T6" s="2555"/>
      <c r="U6" s="2555"/>
      <c r="V6" s="2555"/>
      <c r="W6" s="2555"/>
      <c r="X6" s="2555"/>
      <c r="Y6" s="2555"/>
      <c r="Z6" s="2555"/>
      <c r="AA6" s="2555"/>
      <c r="AB6" s="2555"/>
      <c r="AC6" s="2555"/>
      <c r="AD6" s="2555"/>
      <c r="AE6" s="2555"/>
    </row>
    <row r="7" spans="1:46" ht="15.75" customHeight="1">
      <c r="A7" s="2550"/>
      <c r="B7" s="2555"/>
      <c r="C7" s="2550"/>
      <c r="D7" s="2555"/>
      <c r="E7" s="2556" t="s">
        <v>3033</v>
      </c>
      <c r="F7" s="2554" t="s">
        <v>3272</v>
      </c>
      <c r="G7" s="2554" t="s">
        <v>3075</v>
      </c>
      <c r="H7" s="2557" t="s">
        <v>3416</v>
      </c>
      <c r="I7" s="2548" t="s">
        <v>3412</v>
      </c>
      <c r="J7" s="2548" t="s">
        <v>3413</v>
      </c>
      <c r="K7" s="2548" t="s">
        <v>3414</v>
      </c>
      <c r="L7" s="2548" t="s">
        <v>3415</v>
      </c>
      <c r="M7" s="2561" t="s">
        <v>2047</v>
      </c>
      <c r="N7" s="2557" t="s">
        <v>3417</v>
      </c>
      <c r="O7" s="2557" t="s">
        <v>3418</v>
      </c>
      <c r="P7" s="2555" t="s">
        <v>3076</v>
      </c>
      <c r="Q7" s="2564" t="s">
        <v>3077</v>
      </c>
      <c r="R7" s="2550" t="s">
        <v>3078</v>
      </c>
      <c r="S7" s="2550"/>
      <c r="T7" s="2550"/>
      <c r="U7" s="1685"/>
      <c r="V7" s="2559" t="s">
        <v>3079</v>
      </c>
      <c r="W7" s="2560"/>
      <c r="X7" s="2560"/>
      <c r="Y7" s="1686"/>
      <c r="Z7" s="1686"/>
      <c r="AA7" s="1686"/>
      <c r="AB7" s="1687"/>
      <c r="AC7" s="2565" t="s">
        <v>3080</v>
      </c>
      <c r="AD7" s="2562" t="s">
        <v>3081</v>
      </c>
      <c r="AE7" s="2555" t="s">
        <v>2069</v>
      </c>
      <c r="AF7" s="1688"/>
    </row>
    <row r="8" spans="1:46" ht="88.5" customHeight="1">
      <c r="A8" s="2550"/>
      <c r="B8" s="2555"/>
      <c r="C8" s="2550"/>
      <c r="D8" s="2555"/>
      <c r="E8" s="2556"/>
      <c r="F8" s="2554"/>
      <c r="G8" s="2554"/>
      <c r="H8" s="2557"/>
      <c r="I8" s="2548"/>
      <c r="J8" s="2548"/>
      <c r="K8" s="2548"/>
      <c r="L8" s="2548"/>
      <c r="M8" s="2561"/>
      <c r="N8" s="2557"/>
      <c r="O8" s="2557"/>
      <c r="P8" s="2555"/>
      <c r="Q8" s="2564"/>
      <c r="R8" s="1689" t="s">
        <v>2037</v>
      </c>
      <c r="S8" s="1690" t="s">
        <v>3082</v>
      </c>
      <c r="T8" s="1691" t="s">
        <v>3083</v>
      </c>
      <c r="U8" s="1691" t="s">
        <v>3084</v>
      </c>
      <c r="V8" s="1692" t="s">
        <v>3085</v>
      </c>
      <c r="W8" s="1692" t="s">
        <v>3086</v>
      </c>
      <c r="X8" s="1692" t="s">
        <v>3087</v>
      </c>
      <c r="Y8" s="1692" t="s">
        <v>3088</v>
      </c>
      <c r="Z8" s="1692" t="s">
        <v>3089</v>
      </c>
      <c r="AA8" s="1692" t="s">
        <v>3090</v>
      </c>
      <c r="AB8" s="2029" t="s">
        <v>3317</v>
      </c>
      <c r="AC8" s="2566"/>
      <c r="AD8" s="2563"/>
      <c r="AE8" s="2558"/>
      <c r="AF8" s="1693"/>
      <c r="AG8" s="1694"/>
      <c r="AH8" s="1693"/>
      <c r="AI8" s="1695">
        <f>5308.01-Q9</f>
        <v>4896.2705200000009</v>
      </c>
      <c r="AJ8" s="1693"/>
      <c r="AK8" s="1693"/>
      <c r="AL8" s="1693"/>
      <c r="AM8" s="1693"/>
      <c r="AN8" s="1693"/>
      <c r="AO8" s="1693"/>
      <c r="AP8" s="1693"/>
      <c r="AQ8" s="1693"/>
      <c r="AR8" s="1693"/>
      <c r="AS8" s="1693"/>
      <c r="AT8" s="1693"/>
    </row>
    <row r="9" spans="1:46" s="1702" customFormat="1" ht="31.5" customHeight="1">
      <c r="A9" s="1696" t="s">
        <v>2213</v>
      </c>
      <c r="B9" s="2550" t="s">
        <v>3091</v>
      </c>
      <c r="C9" s="2550"/>
      <c r="D9" s="2550"/>
      <c r="E9" s="1988">
        <f t="shared" ref="E9:AC9" si="0">E10+E104</f>
        <v>396.79999999999961</v>
      </c>
      <c r="F9" s="1988">
        <f t="shared" si="0"/>
        <v>0</v>
      </c>
      <c r="G9" s="1697">
        <f t="shared" si="0"/>
        <v>0</v>
      </c>
      <c r="H9" s="1697">
        <f t="shared" si="0"/>
        <v>0</v>
      </c>
      <c r="I9" s="1697">
        <f t="shared" si="0"/>
        <v>0</v>
      </c>
      <c r="J9" s="1697">
        <f t="shared" si="0"/>
        <v>0</v>
      </c>
      <c r="K9" s="1697">
        <f t="shared" si="0"/>
        <v>0</v>
      </c>
      <c r="L9" s="1697">
        <f t="shared" si="0"/>
        <v>0</v>
      </c>
      <c r="M9" s="1697">
        <f t="shared" si="0"/>
        <v>14.939480000000003</v>
      </c>
      <c r="N9" s="1697">
        <f t="shared" si="0"/>
        <v>0</v>
      </c>
      <c r="O9" s="1697">
        <f t="shared" si="0"/>
        <v>0</v>
      </c>
      <c r="P9" s="1697">
        <f t="shared" si="0"/>
        <v>0</v>
      </c>
      <c r="Q9" s="1698">
        <f t="shared" si="0"/>
        <v>411.73947999999962</v>
      </c>
      <c r="R9" s="1697">
        <f t="shared" si="0"/>
        <v>221410.83800000008</v>
      </c>
      <c r="S9" s="1697">
        <f t="shared" si="0"/>
        <v>0</v>
      </c>
      <c r="T9" s="1697">
        <f t="shared" si="0"/>
        <v>0</v>
      </c>
      <c r="U9" s="1697">
        <f t="shared" si="0"/>
        <v>221410.83800000008</v>
      </c>
      <c r="V9" s="1697">
        <f t="shared" si="0"/>
        <v>3192</v>
      </c>
      <c r="W9" s="1697">
        <f t="shared" si="0"/>
        <v>508</v>
      </c>
      <c r="X9" s="1697">
        <f t="shared" si="0"/>
        <v>230</v>
      </c>
      <c r="Y9" s="1697">
        <f t="shared" si="0"/>
        <v>0</v>
      </c>
      <c r="Z9" s="1697">
        <f t="shared" si="0"/>
        <v>0</v>
      </c>
      <c r="AA9" s="1697">
        <f t="shared" si="0"/>
        <v>0</v>
      </c>
      <c r="AB9" s="1697">
        <f t="shared" si="0"/>
        <v>1417</v>
      </c>
      <c r="AC9" s="1697">
        <f t="shared" si="0"/>
        <v>411.73947999999962</v>
      </c>
      <c r="AD9" s="1699"/>
      <c r="AE9" s="1687"/>
      <c r="AF9" s="1700">
        <v>6716.8</v>
      </c>
      <c r="AG9" s="1701">
        <f>6716.8-Q9</f>
        <v>6305.0605200000009</v>
      </c>
      <c r="AH9" s="1693"/>
      <c r="AI9" s="1693"/>
      <c r="AJ9" s="1693"/>
      <c r="AK9" s="1693"/>
      <c r="AL9" s="1693"/>
      <c r="AM9" s="1693"/>
      <c r="AN9" s="1693"/>
      <c r="AO9" s="1693"/>
      <c r="AP9" s="1693"/>
      <c r="AQ9" s="1693"/>
      <c r="AR9" s="1693"/>
      <c r="AS9" s="1693"/>
      <c r="AT9" s="1693"/>
    </row>
    <row r="10" spans="1:46" ht="18.75" customHeight="1">
      <c r="A10" s="1703"/>
      <c r="B10" s="2551" t="s">
        <v>2985</v>
      </c>
      <c r="C10" s="2551"/>
      <c r="D10" s="2551"/>
      <c r="E10" s="1987">
        <f t="shared" ref="E10:AC10" si="1">SUM(E11:E103)</f>
        <v>236.79999999999967</v>
      </c>
      <c r="F10" s="1987">
        <f t="shared" si="1"/>
        <v>0</v>
      </c>
      <c r="G10" s="1704">
        <f t="shared" si="1"/>
        <v>0</v>
      </c>
      <c r="H10" s="1704">
        <f t="shared" si="1"/>
        <v>0</v>
      </c>
      <c r="I10" s="1704">
        <f t="shared" si="1"/>
        <v>0</v>
      </c>
      <c r="J10" s="1704">
        <f t="shared" si="1"/>
        <v>0</v>
      </c>
      <c r="K10" s="1704">
        <f t="shared" si="1"/>
        <v>0</v>
      </c>
      <c r="L10" s="1704">
        <f t="shared" si="1"/>
        <v>0</v>
      </c>
      <c r="M10" s="1705">
        <f t="shared" si="1"/>
        <v>14.939480000000003</v>
      </c>
      <c r="N10" s="1704">
        <f t="shared" si="1"/>
        <v>0</v>
      </c>
      <c r="O10" s="1704">
        <f t="shared" si="1"/>
        <v>0</v>
      </c>
      <c r="P10" s="1704">
        <f t="shared" si="1"/>
        <v>0</v>
      </c>
      <c r="Q10" s="1704">
        <f t="shared" si="1"/>
        <v>251.73947999999967</v>
      </c>
      <c r="R10" s="1704">
        <f t="shared" si="1"/>
        <v>143193.10746912705</v>
      </c>
      <c r="S10" s="1704">
        <f t="shared" si="1"/>
        <v>0</v>
      </c>
      <c r="T10" s="1704">
        <f t="shared" si="1"/>
        <v>0</v>
      </c>
      <c r="U10" s="1704">
        <f t="shared" si="1"/>
        <v>143193.10746912705</v>
      </c>
      <c r="V10" s="1704">
        <f t="shared" si="1"/>
        <v>1998</v>
      </c>
      <c r="W10" s="1704">
        <f t="shared" si="1"/>
        <v>296</v>
      </c>
      <c r="X10" s="1704">
        <f t="shared" si="1"/>
        <v>0</v>
      </c>
      <c r="Y10" s="1704">
        <f t="shared" si="1"/>
        <v>0</v>
      </c>
      <c r="Z10" s="1704">
        <f t="shared" si="1"/>
        <v>0</v>
      </c>
      <c r="AA10" s="1704">
        <f t="shared" si="1"/>
        <v>0</v>
      </c>
      <c r="AB10" s="1704">
        <f t="shared" si="1"/>
        <v>0</v>
      </c>
      <c r="AC10" s="1704">
        <f t="shared" si="1"/>
        <v>251.73947999999967</v>
      </c>
      <c r="AD10" s="1706"/>
      <c r="AE10" s="1707"/>
      <c r="AF10" s="1708">
        <v>1456</v>
      </c>
      <c r="AG10" s="1709">
        <v>182</v>
      </c>
      <c r="AH10" s="1710"/>
      <c r="AI10" s="1711"/>
      <c r="AJ10" s="1712"/>
      <c r="AK10" s="1712"/>
      <c r="AL10" s="1712"/>
      <c r="AM10" s="1712"/>
      <c r="AN10" s="1712"/>
      <c r="AO10" s="1712"/>
    </row>
    <row r="11" spans="1:46" ht="18.75" customHeight="1">
      <c r="A11" s="1713">
        <v>1</v>
      </c>
      <c r="B11" s="1714" t="s">
        <v>3107</v>
      </c>
      <c r="C11" s="1715" t="s">
        <v>3357</v>
      </c>
      <c r="D11" s="1716" t="s">
        <v>15</v>
      </c>
      <c r="E11" s="1717">
        <v>3.2</v>
      </c>
      <c r="F11" s="1717"/>
      <c r="G11" s="1717"/>
      <c r="H11" s="1717"/>
      <c r="I11" s="1717"/>
      <c r="J11" s="1718"/>
      <c r="K11" s="1719"/>
      <c r="L11" s="1719"/>
      <c r="M11" s="1720"/>
      <c r="N11" s="1721"/>
      <c r="O11" s="1721"/>
      <c r="P11" s="1721"/>
      <c r="Q11" s="1722">
        <f>SUM(E11:P11)</f>
        <v>3.2</v>
      </c>
      <c r="R11" s="1723">
        <f>VLOOKUP(C11,'sản lượng'!$D$14:$AP$97,35,0)</f>
        <v>2004.4306367838913</v>
      </c>
      <c r="S11" s="1724"/>
      <c r="T11" s="1725">
        <f>S11*50/100</f>
        <v>0</v>
      </c>
      <c r="U11" s="1726">
        <f>R11</f>
        <v>2004.4306367838913</v>
      </c>
      <c r="V11" s="1727">
        <f>VLOOKUP(TONGHOPCONGDOI!C11,'CHẤM CÔNG '!$E$13:$AL$96,34,0)</f>
        <v>27</v>
      </c>
      <c r="W11" s="1727">
        <f>VLOOKUP(C11,'CHẤM CÔNG '!$E$13:$AM$96,35,0)</f>
        <v>4</v>
      </c>
      <c r="X11" s="1727">
        <f>VLOOKUP(C11,'CHẤM CÔNG '!$E$13:$AR$96,36,0)</f>
        <v>0</v>
      </c>
      <c r="Y11" s="1729">
        <f>VLOOKUP(C11,'CHẤM CÔNG '!$E$13:$AQ$96,37,0)</f>
        <v>0</v>
      </c>
      <c r="Z11" s="1729">
        <f>VLOOKUP(C11,'CHẤM CÔNG '!$E$13:$AQ$96,38,0)</f>
        <v>0</v>
      </c>
      <c r="AA11" s="1729">
        <f>VLOOKUP(C11,'CHẤM CÔNG '!$E$13:$AQ$96,39,0)</f>
        <v>0</v>
      </c>
      <c r="AB11" s="1730"/>
      <c r="AC11" s="1731">
        <f>Q11</f>
        <v>3.2</v>
      </c>
      <c r="AD11" s="1834">
        <f>VLOOKUP(C11,'sản lượng'!$D$14:$AP$97,36,0)</f>
        <v>4716</v>
      </c>
      <c r="AE11" s="1732"/>
      <c r="AF11" s="1708"/>
      <c r="AH11" s="1710"/>
      <c r="AI11" s="1711"/>
      <c r="AJ11" s="1712"/>
      <c r="AK11" s="1712"/>
      <c r="AL11" s="1712"/>
      <c r="AM11" s="1712"/>
      <c r="AN11" s="1712"/>
      <c r="AO11" s="1712"/>
    </row>
    <row r="12" spans="1:46" ht="18.75" customHeight="1">
      <c r="A12" s="1733">
        <v>2</v>
      </c>
      <c r="B12" s="1714" t="s">
        <v>3108</v>
      </c>
      <c r="C12" s="1715" t="s">
        <v>762</v>
      </c>
      <c r="D12" s="1734" t="s">
        <v>15</v>
      </c>
      <c r="E12" s="1717">
        <v>3.2</v>
      </c>
      <c r="F12" s="1717"/>
      <c r="G12" s="1717"/>
      <c r="H12" s="1717"/>
      <c r="I12" s="1717"/>
      <c r="J12" s="1718"/>
      <c r="K12" s="1719"/>
      <c r="L12" s="1719"/>
      <c r="M12" s="1720"/>
      <c r="N12" s="1721"/>
      <c r="O12" s="1721"/>
      <c r="P12" s="1721"/>
      <c r="Q12" s="1722">
        <f>SUM(E12:P12)</f>
        <v>3.2</v>
      </c>
      <c r="R12" s="1723">
        <f>VLOOKUP(C12,'sản lượng'!$D$14:$AP$97,35,0)</f>
        <v>1619.3555398953829</v>
      </c>
      <c r="S12" s="1724"/>
      <c r="T12" s="1725">
        <f t="shared" ref="T12:T75" si="2">S12*50/100</f>
        <v>0</v>
      </c>
      <c r="U12" s="1726">
        <f t="shared" ref="U12:U74" si="3">R12</f>
        <v>1619.3555398953829</v>
      </c>
      <c r="V12" s="1727">
        <f>VLOOKUP(TONGHOPCONGDOI!C12,'CHẤM CÔNG '!$E$13:$AL$96,34,0)</f>
        <v>24</v>
      </c>
      <c r="W12" s="1727">
        <f>VLOOKUP(C12,'CHẤM CÔNG '!$E$13:$AM$96,35,0)</f>
        <v>4</v>
      </c>
      <c r="X12" s="1727">
        <f>VLOOKUP(C12,'CHẤM CÔNG '!$E$13:$AR$96,36,0)</f>
        <v>0</v>
      </c>
      <c r="Y12" s="1729">
        <f>VLOOKUP(C12,'CHẤM CÔNG '!$E$13:$AQ$96,37,0)</f>
        <v>0</v>
      </c>
      <c r="Z12" s="1729">
        <f>VLOOKUP(C12,'CHẤM CÔNG '!$E$13:$AQ$96,38,0)</f>
        <v>0</v>
      </c>
      <c r="AA12" s="1729">
        <f>VLOOKUP(C12,'CHẤM CÔNG '!$E$13:$AQ$96,39,0)</f>
        <v>0</v>
      </c>
      <c r="AB12" s="1730"/>
      <c r="AC12" s="1735">
        <f t="shared" ref="AC12:AC75" si="4">Q12</f>
        <v>3.2</v>
      </c>
      <c r="AD12" s="1834">
        <f>VLOOKUP(C12,'sản lượng'!$D$14:$AP$97,36,0)</f>
        <v>3810</v>
      </c>
      <c r="AE12" s="1736"/>
      <c r="AF12" s="1708"/>
      <c r="AH12" s="1710"/>
      <c r="AI12" s="1711"/>
      <c r="AJ12" s="1712"/>
      <c r="AK12" s="1712"/>
      <c r="AL12" s="1712"/>
      <c r="AM12" s="1712"/>
      <c r="AN12" s="1712"/>
      <c r="AO12" s="1712"/>
    </row>
    <row r="13" spans="1:46" ht="18.75" customHeight="1">
      <c r="A13" s="1713">
        <v>3</v>
      </c>
      <c r="B13" s="1714" t="s">
        <v>3109</v>
      </c>
      <c r="C13" s="1715" t="s">
        <v>763</v>
      </c>
      <c r="D13" s="1734" t="s">
        <v>15</v>
      </c>
      <c r="E13" s="1717">
        <v>3.2</v>
      </c>
      <c r="F13" s="1717"/>
      <c r="G13" s="1717"/>
      <c r="H13" s="1717"/>
      <c r="I13" s="1717"/>
      <c r="J13" s="1718"/>
      <c r="K13" s="1719"/>
      <c r="L13" s="1719"/>
      <c r="M13" s="1720"/>
      <c r="N13" s="1721"/>
      <c r="O13" s="1721"/>
      <c r="P13" s="1721"/>
      <c r="Q13" s="1722">
        <f t="shared" ref="Q13:Q76" si="5">SUM(E13:P13)</f>
        <v>3.2</v>
      </c>
      <c r="R13" s="1723">
        <f>VLOOKUP(C13,'sản lượng'!$D$14:$AP$97,35,0)</f>
        <v>1622.7557615014623</v>
      </c>
      <c r="S13" s="1724"/>
      <c r="T13" s="1725">
        <f t="shared" si="2"/>
        <v>0</v>
      </c>
      <c r="U13" s="1726">
        <f t="shared" si="3"/>
        <v>1622.7557615014623</v>
      </c>
      <c r="V13" s="1727">
        <f>VLOOKUP(TONGHOPCONGDOI!C13,'CHẤM CÔNG '!$E$13:$AL$96,34,0)</f>
        <v>24</v>
      </c>
      <c r="W13" s="1727">
        <f>VLOOKUP(C13,'CHẤM CÔNG '!$E$13:$AM$96,35,0)</f>
        <v>4</v>
      </c>
      <c r="X13" s="1727">
        <f>VLOOKUP(C13,'CHẤM CÔNG '!$E$13:$AR$96,36,0)</f>
        <v>0</v>
      </c>
      <c r="Y13" s="1729">
        <f>VLOOKUP(C13,'CHẤM CÔNG '!$E$13:$AQ$96,37,0)</f>
        <v>0</v>
      </c>
      <c r="Z13" s="1729">
        <f>VLOOKUP(C13,'CHẤM CÔNG '!$E$13:$AQ$96,38,0)</f>
        <v>0</v>
      </c>
      <c r="AA13" s="1729">
        <f>VLOOKUP(C13,'CHẤM CÔNG '!$E$13:$AQ$96,39,0)</f>
        <v>0</v>
      </c>
      <c r="AB13" s="1730"/>
      <c r="AC13" s="1735">
        <f t="shared" si="4"/>
        <v>3.2</v>
      </c>
      <c r="AD13" s="1834">
        <f>VLOOKUP(C13,'sản lượng'!$D$14:$AP$97,36,0)</f>
        <v>3818</v>
      </c>
      <c r="AE13" s="1736"/>
      <c r="AF13" s="1708"/>
      <c r="AH13" s="1710"/>
      <c r="AI13" s="1711"/>
      <c r="AJ13" s="1712"/>
      <c r="AK13" s="1712"/>
      <c r="AL13" s="1712"/>
      <c r="AM13" s="1712"/>
      <c r="AN13" s="1712"/>
      <c r="AO13" s="1712"/>
    </row>
    <row r="14" spans="1:46" ht="18.75" customHeight="1">
      <c r="A14" s="1733">
        <v>4</v>
      </c>
      <c r="B14" s="1714" t="s">
        <v>3110</v>
      </c>
      <c r="C14" s="1715" t="s">
        <v>3358</v>
      </c>
      <c r="D14" s="1734" t="s">
        <v>15</v>
      </c>
      <c r="E14" s="1717">
        <v>3.2</v>
      </c>
      <c r="F14" s="1717"/>
      <c r="G14" s="1717"/>
      <c r="H14" s="1717"/>
      <c r="I14" s="1717"/>
      <c r="J14" s="1718"/>
      <c r="K14" s="1719"/>
      <c r="L14" s="1719"/>
      <c r="M14" s="1720"/>
      <c r="N14" s="1721"/>
      <c r="O14" s="1721"/>
      <c r="P14" s="1721"/>
      <c r="Q14" s="1722">
        <f t="shared" si="5"/>
        <v>3.2</v>
      </c>
      <c r="R14" s="1723">
        <f>VLOOKUP(C14,'sản lượng'!$D$14:$AP$97,35,0)</f>
        <v>1914.7497919235432</v>
      </c>
      <c r="S14" s="1724"/>
      <c r="T14" s="1725">
        <f t="shared" si="2"/>
        <v>0</v>
      </c>
      <c r="U14" s="1726">
        <f t="shared" si="3"/>
        <v>1914.7497919235432</v>
      </c>
      <c r="V14" s="1727">
        <f>VLOOKUP(TONGHOPCONGDOI!C14,'CHẤM CÔNG '!$E$13:$AL$96,34,0)</f>
        <v>27</v>
      </c>
      <c r="W14" s="1727">
        <f>VLOOKUP(C14,'CHẤM CÔNG '!$E$13:$AM$96,35,0)</f>
        <v>4</v>
      </c>
      <c r="X14" s="1727">
        <f>VLOOKUP(C14,'CHẤM CÔNG '!$E$13:$AR$96,36,0)</f>
        <v>0</v>
      </c>
      <c r="Y14" s="1729">
        <f>VLOOKUP(C14,'CHẤM CÔNG '!$E$13:$AQ$96,37,0)</f>
        <v>0</v>
      </c>
      <c r="Z14" s="1729">
        <f>VLOOKUP(C14,'CHẤM CÔNG '!$E$13:$AQ$96,38,0)</f>
        <v>0</v>
      </c>
      <c r="AA14" s="1729">
        <f>VLOOKUP(C14,'CHẤM CÔNG '!$E$13:$AQ$96,39,0)</f>
        <v>0</v>
      </c>
      <c r="AB14" s="1730"/>
      <c r="AC14" s="1735">
        <f t="shared" si="4"/>
        <v>3.2</v>
      </c>
      <c r="AD14" s="1834">
        <f>VLOOKUP(C14,'sản lượng'!$D$14:$AP$97,36,0)</f>
        <v>4505</v>
      </c>
      <c r="AE14" s="1736"/>
      <c r="AF14" s="1708"/>
      <c r="AH14" s="1710"/>
      <c r="AI14" s="1711"/>
      <c r="AJ14" s="1712"/>
      <c r="AK14" s="1712"/>
      <c r="AL14" s="1712"/>
      <c r="AM14" s="1712"/>
      <c r="AN14" s="1712"/>
      <c r="AO14" s="1712"/>
    </row>
    <row r="15" spans="1:46" ht="18.75" customHeight="1">
      <c r="A15" s="1713">
        <v>5</v>
      </c>
      <c r="B15" s="1714" t="s">
        <v>3111</v>
      </c>
      <c r="C15" s="1715" t="s">
        <v>1750</v>
      </c>
      <c r="D15" s="1734" t="s">
        <v>15</v>
      </c>
      <c r="E15" s="1717">
        <v>3.2</v>
      </c>
      <c r="F15" s="1717"/>
      <c r="G15" s="1717"/>
      <c r="H15" s="1717"/>
      <c r="I15" s="1717"/>
      <c r="J15" s="1718"/>
      <c r="K15" s="1719"/>
      <c r="L15" s="1719"/>
      <c r="M15" s="1720"/>
      <c r="N15" s="1721"/>
      <c r="O15" s="1721"/>
      <c r="P15" s="1721"/>
      <c r="Q15" s="1722">
        <f t="shared" si="5"/>
        <v>3.2</v>
      </c>
      <c r="R15" s="1723">
        <f>VLOOKUP(C15,'sản lượng'!$D$14:$AP$97,35,0)</f>
        <v>1675.0341686949355</v>
      </c>
      <c r="S15" s="1724"/>
      <c r="T15" s="1725">
        <f t="shared" si="2"/>
        <v>0</v>
      </c>
      <c r="U15" s="1726">
        <f t="shared" si="3"/>
        <v>1675.0341686949355</v>
      </c>
      <c r="V15" s="1727">
        <f>VLOOKUP(TONGHOPCONGDOI!C15,'CHẤM CÔNG '!$E$13:$AL$96,34,0)</f>
        <v>27</v>
      </c>
      <c r="W15" s="1727">
        <f>VLOOKUP(C15,'CHẤM CÔNG '!$E$13:$AM$96,35,0)</f>
        <v>4</v>
      </c>
      <c r="X15" s="1727">
        <f>VLOOKUP(C15,'CHẤM CÔNG '!$E$13:$AR$96,36,0)</f>
        <v>0</v>
      </c>
      <c r="Y15" s="1729">
        <f>VLOOKUP(C15,'CHẤM CÔNG '!$E$13:$AQ$96,37,0)</f>
        <v>0</v>
      </c>
      <c r="Z15" s="1729">
        <f>VLOOKUP(C15,'CHẤM CÔNG '!$E$13:$AQ$96,38,0)</f>
        <v>0</v>
      </c>
      <c r="AA15" s="1729">
        <f>VLOOKUP(C15,'CHẤM CÔNG '!$E$13:$AQ$96,39,0)</f>
        <v>0</v>
      </c>
      <c r="AB15" s="1730"/>
      <c r="AC15" s="1735">
        <f t="shared" si="4"/>
        <v>3.2</v>
      </c>
      <c r="AD15" s="1834">
        <f>VLOOKUP(C15,'sản lượng'!$D$14:$AP$97,36,0)</f>
        <v>3941</v>
      </c>
      <c r="AE15" s="1736"/>
      <c r="AF15" s="1708"/>
      <c r="AH15" s="1710"/>
      <c r="AI15" s="1711"/>
      <c r="AJ15" s="1712"/>
      <c r="AK15" s="1712"/>
      <c r="AL15" s="1712"/>
      <c r="AM15" s="1712"/>
      <c r="AN15" s="1712"/>
      <c r="AO15" s="1712"/>
    </row>
    <row r="16" spans="1:46" ht="18.75" customHeight="1">
      <c r="A16" s="1733">
        <v>6</v>
      </c>
      <c r="B16" s="1714" t="s">
        <v>3112</v>
      </c>
      <c r="C16" s="1715" t="s">
        <v>1725</v>
      </c>
      <c r="D16" s="1734" t="s">
        <v>15</v>
      </c>
      <c r="E16" s="1717">
        <v>3.2</v>
      </c>
      <c r="F16" s="1717"/>
      <c r="G16" s="1717"/>
      <c r="H16" s="1717"/>
      <c r="I16" s="1717"/>
      <c r="J16" s="1718"/>
      <c r="K16" s="1719"/>
      <c r="L16" s="1719"/>
      <c r="M16" s="1720"/>
      <c r="N16" s="1721"/>
      <c r="O16" s="1721"/>
      <c r="P16" s="1721"/>
      <c r="Q16" s="1722">
        <f t="shared" si="5"/>
        <v>3.2</v>
      </c>
      <c r="R16" s="1723">
        <f>VLOOKUP(C16,'sản lượng'!$D$14:$AP$97,35,0)</f>
        <v>1879.8975204612279</v>
      </c>
      <c r="S16" s="1724"/>
      <c r="T16" s="1725">
        <f t="shared" si="2"/>
        <v>0</v>
      </c>
      <c r="U16" s="1726">
        <f t="shared" si="3"/>
        <v>1879.8975204612279</v>
      </c>
      <c r="V16" s="1727">
        <f>VLOOKUP(TONGHOPCONGDOI!C16,'CHẤM CÔNG '!$E$13:$AL$96,34,0)</f>
        <v>27</v>
      </c>
      <c r="W16" s="1727">
        <f>VLOOKUP(C16,'CHẤM CÔNG '!$E$13:$AM$96,35,0)</f>
        <v>4</v>
      </c>
      <c r="X16" s="1727">
        <f>VLOOKUP(C16,'CHẤM CÔNG '!$E$13:$AR$96,36,0)</f>
        <v>0</v>
      </c>
      <c r="Y16" s="1729">
        <f>VLOOKUP(C16,'CHẤM CÔNG '!$E$13:$AQ$96,37,0)</f>
        <v>0</v>
      </c>
      <c r="Z16" s="1729">
        <f>VLOOKUP(C16,'CHẤM CÔNG '!$E$13:$AQ$96,38,0)</f>
        <v>0</v>
      </c>
      <c r="AA16" s="1729">
        <f>VLOOKUP(C16,'CHẤM CÔNG '!$E$13:$AQ$96,39,0)</f>
        <v>0</v>
      </c>
      <c r="AB16" s="1730"/>
      <c r="AC16" s="1735">
        <f t="shared" si="4"/>
        <v>3.2</v>
      </c>
      <c r="AD16" s="1834">
        <f>VLOOKUP(C16,'sản lượng'!$D$14:$AP$97,36,0)</f>
        <v>4423</v>
      </c>
      <c r="AE16" s="1736"/>
      <c r="AF16" s="1708"/>
      <c r="AH16" s="1710"/>
      <c r="AI16" s="1711"/>
      <c r="AJ16" s="1712"/>
      <c r="AK16" s="1712"/>
      <c r="AL16" s="1712"/>
      <c r="AM16" s="1712"/>
      <c r="AN16" s="1712"/>
      <c r="AO16" s="1712"/>
    </row>
    <row r="17" spans="1:41" ht="18.75" customHeight="1">
      <c r="A17" s="1713">
        <v>7</v>
      </c>
      <c r="B17" s="1714" t="s">
        <v>3113</v>
      </c>
      <c r="C17" s="1715" t="s">
        <v>3359</v>
      </c>
      <c r="D17" s="1734" t="s">
        <v>15</v>
      </c>
      <c r="E17" s="1717">
        <v>3.2</v>
      </c>
      <c r="F17" s="1717"/>
      <c r="G17" s="1717"/>
      <c r="H17" s="1717"/>
      <c r="I17" s="1717"/>
      <c r="J17" s="1718"/>
      <c r="K17" s="1719"/>
      <c r="L17" s="1719"/>
      <c r="M17" s="1720"/>
      <c r="N17" s="1721"/>
      <c r="O17" s="1721"/>
      <c r="P17" s="1721"/>
      <c r="Q17" s="1722">
        <f t="shared" si="5"/>
        <v>3.2</v>
      </c>
      <c r="R17" s="1723">
        <f>VLOOKUP(C17,'sản lượng'!$D$14:$AP$97,35,0)</f>
        <v>1717.1119110701698</v>
      </c>
      <c r="S17" s="1724"/>
      <c r="T17" s="1725">
        <f t="shared" si="2"/>
        <v>0</v>
      </c>
      <c r="U17" s="1726">
        <f t="shared" si="3"/>
        <v>1717.1119110701698</v>
      </c>
      <c r="V17" s="1727">
        <f>VLOOKUP(TONGHOPCONGDOI!C17,'CHẤM CÔNG '!$E$13:$AL$96,34,0)</f>
        <v>25</v>
      </c>
      <c r="W17" s="1727">
        <f>VLOOKUP(C17,'CHẤM CÔNG '!$E$13:$AM$96,35,0)</f>
        <v>4</v>
      </c>
      <c r="X17" s="1727">
        <f>VLOOKUP(C17,'CHẤM CÔNG '!$E$13:$AR$96,36,0)</f>
        <v>0</v>
      </c>
      <c r="Y17" s="1729">
        <f>VLOOKUP(C17,'CHẤM CÔNG '!$E$13:$AQ$96,37,0)</f>
        <v>0</v>
      </c>
      <c r="Z17" s="1729">
        <f>VLOOKUP(C17,'CHẤM CÔNG '!$E$13:$AQ$96,38,0)</f>
        <v>0</v>
      </c>
      <c r="AA17" s="1729">
        <f>VLOOKUP(C17,'CHẤM CÔNG '!$E$13:$AQ$96,39,0)</f>
        <v>0</v>
      </c>
      <c r="AB17" s="1730"/>
      <c r="AC17" s="1735">
        <f t="shared" si="4"/>
        <v>3.2</v>
      </c>
      <c r="AD17" s="1834">
        <f>VLOOKUP(C17,'sản lượng'!$D$14:$AP$97,36,0)</f>
        <v>4040</v>
      </c>
      <c r="AE17" s="1736"/>
      <c r="AF17" s="1708"/>
      <c r="AH17" s="1710"/>
      <c r="AI17" s="1711"/>
      <c r="AJ17" s="1712"/>
      <c r="AK17" s="1712"/>
      <c r="AL17" s="1712"/>
      <c r="AM17" s="1712"/>
      <c r="AN17" s="1712"/>
      <c r="AO17" s="1712"/>
    </row>
    <row r="18" spans="1:41" ht="18.75" customHeight="1">
      <c r="A18" s="1733">
        <v>8</v>
      </c>
      <c r="B18" s="2220"/>
      <c r="C18" s="2221" t="s">
        <v>471</v>
      </c>
      <c r="D18" s="1734" t="s">
        <v>15</v>
      </c>
      <c r="E18" s="1717">
        <v>3.2</v>
      </c>
      <c r="F18" s="1717"/>
      <c r="G18" s="1717"/>
      <c r="H18" s="1717"/>
      <c r="I18" s="1717"/>
      <c r="J18" s="1718"/>
      <c r="K18" s="1719"/>
      <c r="L18" s="1719"/>
      <c r="M18" s="1720"/>
      <c r="N18" s="1721"/>
      <c r="O18" s="1721"/>
      <c r="P18" s="1721"/>
      <c r="Q18" s="1722">
        <f t="shared" si="5"/>
        <v>3.2</v>
      </c>
      <c r="R18" s="1723">
        <f>VLOOKUP(C18,'sản lượng'!$D$14:$AP$97,35,0)</f>
        <v>2020.581689412769</v>
      </c>
      <c r="S18" s="1724"/>
      <c r="T18" s="1725">
        <f t="shared" si="2"/>
        <v>0</v>
      </c>
      <c r="U18" s="1726">
        <f t="shared" si="3"/>
        <v>2020.581689412769</v>
      </c>
      <c r="V18" s="1727">
        <f>VLOOKUP(TONGHOPCONGDOI!C18,'CHẤM CÔNG '!$E$13:$AL$96,34,0)</f>
        <v>27</v>
      </c>
      <c r="W18" s="1727">
        <f>VLOOKUP(C18,'CHẤM CÔNG '!$E$13:$AM$96,35,0)</f>
        <v>4</v>
      </c>
      <c r="X18" s="1727">
        <f>VLOOKUP(C18,'CHẤM CÔNG '!$E$13:$AR$96,36,0)</f>
        <v>0</v>
      </c>
      <c r="Y18" s="1729">
        <f>VLOOKUP(C18,'CHẤM CÔNG '!$E$13:$AQ$96,37,0)</f>
        <v>0</v>
      </c>
      <c r="Z18" s="1729">
        <f>VLOOKUP(C18,'CHẤM CÔNG '!$E$13:$AQ$96,38,0)</f>
        <v>0</v>
      </c>
      <c r="AA18" s="1729">
        <f>VLOOKUP(C18,'CHẤM CÔNG '!$E$13:$AQ$96,39,0)</f>
        <v>0</v>
      </c>
      <c r="AB18" s="1730"/>
      <c r="AC18" s="1735">
        <f t="shared" si="4"/>
        <v>3.2</v>
      </c>
      <c r="AD18" s="1834">
        <f>VLOOKUP(C18,'sản lượng'!$D$14:$AP$97,36,0)</f>
        <v>4754</v>
      </c>
      <c r="AE18" s="1736"/>
      <c r="AF18" s="1708"/>
      <c r="AH18" s="1710"/>
      <c r="AI18" s="1711"/>
      <c r="AJ18" s="1712"/>
      <c r="AK18" s="1712"/>
      <c r="AL18" s="1712"/>
      <c r="AM18" s="1712"/>
      <c r="AN18" s="1712"/>
      <c r="AO18" s="1712"/>
    </row>
    <row r="19" spans="1:41" ht="18.75" customHeight="1">
      <c r="A19" s="1713">
        <v>9</v>
      </c>
      <c r="B19" s="1714" t="s">
        <v>3114</v>
      </c>
      <c r="C19" s="1715" t="s">
        <v>769</v>
      </c>
      <c r="D19" s="1734" t="s">
        <v>15</v>
      </c>
      <c r="E19" s="1717">
        <v>3.2</v>
      </c>
      <c r="F19" s="1717"/>
      <c r="G19" s="1717"/>
      <c r="H19" s="1717"/>
      <c r="I19" s="1717"/>
      <c r="J19" s="1718"/>
      <c r="K19" s="1719"/>
      <c r="L19" s="1719"/>
      <c r="M19" s="1720"/>
      <c r="N19" s="1721"/>
      <c r="O19" s="1721"/>
      <c r="P19" s="1721"/>
      <c r="Q19" s="1722">
        <f t="shared" si="5"/>
        <v>3.2</v>
      </c>
      <c r="R19" s="1723">
        <f>VLOOKUP(C19,'sản lượng'!$D$14:$AP$97,35,0)</f>
        <v>2289.6242239938128</v>
      </c>
      <c r="S19" s="1724"/>
      <c r="T19" s="1725">
        <f t="shared" si="2"/>
        <v>0</v>
      </c>
      <c r="U19" s="1726">
        <f t="shared" si="3"/>
        <v>2289.6242239938128</v>
      </c>
      <c r="V19" s="1727">
        <f>VLOOKUP(TONGHOPCONGDOI!C19,'CHẤM CÔNG '!$E$13:$AL$96,34,0)</f>
        <v>27</v>
      </c>
      <c r="W19" s="1727">
        <f>VLOOKUP(C19,'CHẤM CÔNG '!$E$13:$AM$96,35,0)</f>
        <v>4</v>
      </c>
      <c r="X19" s="1727">
        <f>VLOOKUP(C19,'CHẤM CÔNG '!$E$13:$AR$96,36,0)</f>
        <v>0</v>
      </c>
      <c r="Y19" s="1729">
        <f>VLOOKUP(C19,'CHẤM CÔNG '!$E$13:$AQ$96,37,0)</f>
        <v>0</v>
      </c>
      <c r="Z19" s="1729">
        <f>VLOOKUP(C19,'CHẤM CÔNG '!$E$13:$AQ$96,38,0)</f>
        <v>0</v>
      </c>
      <c r="AA19" s="1729">
        <f>VLOOKUP(C19,'CHẤM CÔNG '!$E$13:$AQ$96,39,0)</f>
        <v>0</v>
      </c>
      <c r="AB19" s="1730"/>
      <c r="AC19" s="1735">
        <f t="shared" si="4"/>
        <v>3.2</v>
      </c>
      <c r="AD19" s="1834">
        <f>VLOOKUP(C19,'sản lượng'!$D$14:$AP$97,36,0)</f>
        <v>5387</v>
      </c>
      <c r="AE19" s="1736"/>
      <c r="AF19" s="1708"/>
      <c r="AH19" s="1710"/>
      <c r="AI19" s="1711"/>
      <c r="AJ19" s="1712"/>
      <c r="AK19" s="1712"/>
      <c r="AL19" s="1712"/>
      <c r="AM19" s="1712"/>
      <c r="AN19" s="1712"/>
      <c r="AO19" s="1712"/>
    </row>
    <row r="20" spans="1:41" ht="18.75" customHeight="1">
      <c r="A20" s="1733">
        <v>10</v>
      </c>
      <c r="B20" s="1714" t="s">
        <v>3115</v>
      </c>
      <c r="C20" s="1715" t="s">
        <v>3360</v>
      </c>
      <c r="D20" s="1734" t="s">
        <v>15</v>
      </c>
      <c r="E20" s="1717">
        <v>3.2</v>
      </c>
      <c r="F20" s="1717"/>
      <c r="G20" s="1717"/>
      <c r="H20" s="1717"/>
      <c r="I20" s="1717"/>
      <c r="J20" s="1718"/>
      <c r="K20" s="1719"/>
      <c r="L20" s="1719"/>
      <c r="M20" s="1737"/>
      <c r="N20" s="1721"/>
      <c r="O20" s="1737"/>
      <c r="P20" s="1737"/>
      <c r="Q20" s="1722">
        <f t="shared" si="5"/>
        <v>3.2</v>
      </c>
      <c r="R20" s="1723">
        <f>VLOOKUP(C20,'sản lượng'!$D$14:$AP$97,35,0)</f>
        <v>1852.6957476125915</v>
      </c>
      <c r="S20" s="1724"/>
      <c r="T20" s="1725">
        <f t="shared" si="2"/>
        <v>0</v>
      </c>
      <c r="U20" s="1726">
        <f t="shared" si="3"/>
        <v>1852.6957476125915</v>
      </c>
      <c r="V20" s="1727">
        <f>VLOOKUP(TONGHOPCONGDOI!C20,'CHẤM CÔNG '!$E$13:$AL$96,34,0)</f>
        <v>27</v>
      </c>
      <c r="W20" s="1727">
        <f>VLOOKUP(C20,'CHẤM CÔNG '!$E$13:$AM$96,35,0)</f>
        <v>4</v>
      </c>
      <c r="X20" s="1727">
        <f>VLOOKUP(C20,'CHẤM CÔNG '!$E$13:$AR$96,36,0)</f>
        <v>0</v>
      </c>
      <c r="Y20" s="1729">
        <f>VLOOKUP(C20,'CHẤM CÔNG '!$E$13:$AQ$96,37,0)</f>
        <v>0</v>
      </c>
      <c r="Z20" s="1729">
        <f>VLOOKUP(C20,'CHẤM CÔNG '!$E$13:$AQ$96,38,0)</f>
        <v>0</v>
      </c>
      <c r="AA20" s="1729">
        <f>VLOOKUP(C20,'CHẤM CÔNG '!$E$13:$AQ$96,39,0)</f>
        <v>0</v>
      </c>
      <c r="AB20" s="1730"/>
      <c r="AC20" s="1735">
        <f t="shared" si="4"/>
        <v>3.2</v>
      </c>
      <c r="AD20" s="1834">
        <f>VLOOKUP(C20,'sản lượng'!$D$14:$AP$97,36,0)</f>
        <v>4359</v>
      </c>
      <c r="AE20" s="1736"/>
      <c r="AF20" s="1708"/>
      <c r="AH20" s="1710"/>
      <c r="AI20" s="1711"/>
      <c r="AJ20" s="1712"/>
      <c r="AK20" s="1712"/>
      <c r="AL20" s="1712"/>
      <c r="AM20" s="1712"/>
      <c r="AN20" s="1712"/>
      <c r="AO20" s="1712"/>
    </row>
    <row r="21" spans="1:41" ht="18.75" customHeight="1">
      <c r="A21" s="1713">
        <v>11</v>
      </c>
      <c r="B21" s="1714" t="s">
        <v>3116</v>
      </c>
      <c r="C21" s="1715" t="s">
        <v>1535</v>
      </c>
      <c r="D21" s="1734" t="s">
        <v>15</v>
      </c>
      <c r="E21" s="1717">
        <v>3.2</v>
      </c>
      <c r="F21" s="1717"/>
      <c r="G21" s="1717"/>
      <c r="H21" s="1717"/>
      <c r="I21" s="1717"/>
      <c r="J21" s="1718"/>
      <c r="K21" s="1719"/>
      <c r="L21" s="1719"/>
      <c r="M21" s="1720"/>
      <c r="N21" s="1721"/>
      <c r="O21" s="1737"/>
      <c r="P21" s="1737"/>
      <c r="Q21" s="1722">
        <f t="shared" si="5"/>
        <v>3.2</v>
      </c>
      <c r="R21" s="1723">
        <f>VLOOKUP(C21,'sản lượng'!$D$14:$AP$97,35,0)</f>
        <v>2283.248808482414</v>
      </c>
      <c r="S21" s="1724"/>
      <c r="T21" s="1725">
        <f t="shared" si="2"/>
        <v>0</v>
      </c>
      <c r="U21" s="1726">
        <f t="shared" si="3"/>
        <v>2283.248808482414</v>
      </c>
      <c r="V21" s="1727">
        <f>VLOOKUP(TONGHOPCONGDOI!C21,'CHẤM CÔNG '!$E$13:$AL$96,34,0)</f>
        <v>27</v>
      </c>
      <c r="W21" s="1727">
        <f>VLOOKUP(C21,'CHẤM CÔNG '!$E$13:$AM$96,35,0)</f>
        <v>4</v>
      </c>
      <c r="X21" s="1727">
        <f>VLOOKUP(C21,'CHẤM CÔNG '!$E$13:$AR$96,36,0)</f>
        <v>0</v>
      </c>
      <c r="Y21" s="1729">
        <f>VLOOKUP(C21,'CHẤM CÔNG '!$E$13:$AQ$96,37,0)</f>
        <v>0</v>
      </c>
      <c r="Z21" s="1729">
        <f>VLOOKUP(C21,'CHẤM CÔNG '!$E$13:$AQ$96,38,0)</f>
        <v>0</v>
      </c>
      <c r="AA21" s="1729">
        <f>VLOOKUP(C21,'CHẤM CÔNG '!$E$13:$AQ$96,39,0)</f>
        <v>0</v>
      </c>
      <c r="AB21" s="1730"/>
      <c r="AC21" s="1735">
        <f t="shared" si="4"/>
        <v>3.2</v>
      </c>
      <c r="AD21" s="1834">
        <f>VLOOKUP(C21,'sản lượng'!$D$14:$AP$97,36,0)</f>
        <v>5372</v>
      </c>
      <c r="AE21" s="1736"/>
      <c r="AF21" s="1708"/>
      <c r="AH21" s="1710"/>
      <c r="AI21" s="1711"/>
      <c r="AJ21" s="1712"/>
      <c r="AK21" s="1712"/>
      <c r="AL21" s="1712"/>
      <c r="AM21" s="1712"/>
      <c r="AN21" s="1712"/>
      <c r="AO21" s="1712"/>
    </row>
    <row r="22" spans="1:41" ht="18.75" customHeight="1">
      <c r="A22" s="1733">
        <v>12</v>
      </c>
      <c r="B22" s="1714" t="s">
        <v>3117</v>
      </c>
      <c r="C22" s="1715" t="s">
        <v>3361</v>
      </c>
      <c r="D22" s="1734" t="s">
        <v>15</v>
      </c>
      <c r="E22" s="1717">
        <v>3.2</v>
      </c>
      <c r="F22" s="1717"/>
      <c r="G22" s="1717"/>
      <c r="H22" s="1717"/>
      <c r="I22" s="1717"/>
      <c r="J22" s="1718"/>
      <c r="K22" s="1719"/>
      <c r="L22" s="1719"/>
      <c r="M22" s="1718"/>
      <c r="N22" s="1721"/>
      <c r="O22" s="1737"/>
      <c r="P22" s="1737"/>
      <c r="Q22" s="1722">
        <f t="shared" si="5"/>
        <v>3.2</v>
      </c>
      <c r="R22" s="1723">
        <f>VLOOKUP(C22,'sản lượng'!$D$14:$AP$97,35,0)</f>
        <v>1287.8339333026272</v>
      </c>
      <c r="S22" s="1724"/>
      <c r="T22" s="1725">
        <f t="shared" si="2"/>
        <v>0</v>
      </c>
      <c r="U22" s="1726">
        <f t="shared" si="3"/>
        <v>1287.8339333026272</v>
      </c>
      <c r="V22" s="1727">
        <f>VLOOKUP(TONGHOPCONGDOI!C22,'CHẤM CÔNG '!$E$13:$AL$96,34,0)</f>
        <v>27</v>
      </c>
      <c r="W22" s="1727">
        <f>VLOOKUP(C22,'CHẤM CÔNG '!$E$13:$AM$96,35,0)</f>
        <v>4</v>
      </c>
      <c r="X22" s="1727">
        <f>VLOOKUP(C22,'CHẤM CÔNG '!$E$13:$AR$96,36,0)</f>
        <v>0</v>
      </c>
      <c r="Y22" s="1729">
        <f>VLOOKUP(C22,'CHẤM CÔNG '!$E$13:$AQ$96,37,0)</f>
        <v>0</v>
      </c>
      <c r="Z22" s="1729">
        <f>VLOOKUP(C22,'CHẤM CÔNG '!$E$13:$AQ$96,38,0)</f>
        <v>0</v>
      </c>
      <c r="AA22" s="1729">
        <f>VLOOKUP(C22,'CHẤM CÔNG '!$E$13:$AQ$96,39,0)</f>
        <v>0</v>
      </c>
      <c r="AB22" s="1730"/>
      <c r="AC22" s="1735">
        <f t="shared" si="4"/>
        <v>3.2</v>
      </c>
      <c r="AD22" s="1834">
        <f>VLOOKUP(C22,'sản lượng'!$D$14:$AP$97,36,0)</f>
        <v>3030</v>
      </c>
      <c r="AE22" s="1736"/>
      <c r="AF22" s="1708"/>
      <c r="AH22" s="1710"/>
      <c r="AI22" s="1711"/>
      <c r="AJ22" s="1712"/>
      <c r="AK22" s="1712"/>
      <c r="AL22" s="1712"/>
      <c r="AM22" s="1712"/>
      <c r="AN22" s="1712"/>
      <c r="AO22" s="1712"/>
    </row>
    <row r="23" spans="1:41" ht="18.75" customHeight="1">
      <c r="A23" s="1713">
        <v>13</v>
      </c>
      <c r="B23" s="1714" t="s">
        <v>3118</v>
      </c>
      <c r="C23" s="1715" t="s">
        <v>771</v>
      </c>
      <c r="D23" s="1734" t="s">
        <v>15</v>
      </c>
      <c r="E23" s="1717">
        <v>3.2</v>
      </c>
      <c r="F23" s="1717"/>
      <c r="G23" s="1717"/>
      <c r="H23" s="1717"/>
      <c r="I23" s="1717"/>
      <c r="J23" s="1718"/>
      <c r="K23" s="1719"/>
      <c r="L23" s="1719"/>
      <c r="M23" s="1718"/>
      <c r="N23" s="1721"/>
      <c r="O23" s="1737"/>
      <c r="P23" s="1737"/>
      <c r="Q23" s="1722">
        <f t="shared" si="5"/>
        <v>3.2</v>
      </c>
      <c r="R23" s="1723">
        <f>VLOOKUP(C23,'sản lượng'!$D$14:$AP$97,35,0)</f>
        <v>1292.0842103102268</v>
      </c>
      <c r="S23" s="1724"/>
      <c r="T23" s="1725">
        <f t="shared" si="2"/>
        <v>0</v>
      </c>
      <c r="U23" s="1726">
        <f t="shared" si="3"/>
        <v>1292.0842103102268</v>
      </c>
      <c r="V23" s="1727">
        <f>VLOOKUP(TONGHOPCONGDOI!C23,'CHẤM CÔNG '!$E$13:$AL$96,34,0)</f>
        <v>27</v>
      </c>
      <c r="W23" s="1727">
        <f>VLOOKUP(C23,'CHẤM CÔNG '!$E$13:$AM$96,35,0)</f>
        <v>4</v>
      </c>
      <c r="X23" s="1727">
        <f>VLOOKUP(C23,'CHẤM CÔNG '!$E$13:$AR$96,36,0)</f>
        <v>0</v>
      </c>
      <c r="Y23" s="1729">
        <f>VLOOKUP(C23,'CHẤM CÔNG '!$E$13:$AQ$96,37,0)</f>
        <v>0</v>
      </c>
      <c r="Z23" s="1729">
        <f>VLOOKUP(C23,'CHẤM CÔNG '!$E$13:$AQ$96,38,0)</f>
        <v>0</v>
      </c>
      <c r="AA23" s="1729">
        <f>VLOOKUP(C23,'CHẤM CÔNG '!$E$13:$AQ$96,39,0)</f>
        <v>0</v>
      </c>
      <c r="AB23" s="1730"/>
      <c r="AC23" s="1735">
        <f t="shared" si="4"/>
        <v>3.2</v>
      </c>
      <c r="AD23" s="1834">
        <f>VLOOKUP(C23,'sản lượng'!$D$14:$AP$97,36,0)</f>
        <v>3040</v>
      </c>
      <c r="AE23" s="1736"/>
      <c r="AF23" s="1708"/>
      <c r="AH23" s="1710"/>
      <c r="AI23" s="1711"/>
      <c r="AJ23" s="1712"/>
      <c r="AK23" s="1712"/>
      <c r="AL23" s="1712"/>
      <c r="AM23" s="1712"/>
      <c r="AN23" s="1712"/>
      <c r="AO23" s="1712"/>
    </row>
    <row r="24" spans="1:41" ht="18.75" customHeight="1">
      <c r="A24" s="1733">
        <v>14</v>
      </c>
      <c r="B24" s="1714" t="s">
        <v>3119</v>
      </c>
      <c r="C24" s="1715" t="s">
        <v>1782</v>
      </c>
      <c r="D24" s="1734" t="s">
        <v>15</v>
      </c>
      <c r="E24" s="1717">
        <v>3.2</v>
      </c>
      <c r="F24" s="1717"/>
      <c r="G24" s="1717"/>
      <c r="H24" s="1717"/>
      <c r="I24" s="1717"/>
      <c r="J24" s="1718"/>
      <c r="K24" s="1719"/>
      <c r="L24" s="1719"/>
      <c r="M24" s="1718"/>
      <c r="N24" s="1721"/>
      <c r="O24" s="1737"/>
      <c r="P24" s="1737"/>
      <c r="Q24" s="1722">
        <f t="shared" si="5"/>
        <v>3.2</v>
      </c>
      <c r="R24" s="1723">
        <f>VLOOKUP(C24,'sản lượng'!$D$14:$AP$97,35,0)</f>
        <v>1869.6968556429892</v>
      </c>
      <c r="S24" s="1724"/>
      <c r="T24" s="1725">
        <f t="shared" si="2"/>
        <v>0</v>
      </c>
      <c r="U24" s="1726">
        <f t="shared" si="3"/>
        <v>1869.6968556429892</v>
      </c>
      <c r="V24" s="1727">
        <f>VLOOKUP(TONGHOPCONGDOI!C24,'CHẤM CÔNG '!$E$13:$AL$96,34,0)</f>
        <v>27</v>
      </c>
      <c r="W24" s="1727">
        <f>VLOOKUP(C24,'CHẤM CÔNG '!$E$13:$AM$96,35,0)</f>
        <v>4</v>
      </c>
      <c r="X24" s="1727">
        <f>VLOOKUP(C24,'CHẤM CÔNG '!$E$13:$AR$96,36,0)</f>
        <v>0</v>
      </c>
      <c r="Y24" s="1729">
        <f>VLOOKUP(C24,'CHẤM CÔNG '!$E$13:$AQ$96,37,0)</f>
        <v>0</v>
      </c>
      <c r="Z24" s="1729">
        <f>VLOOKUP(C24,'CHẤM CÔNG '!$E$13:$AQ$96,38,0)</f>
        <v>0</v>
      </c>
      <c r="AA24" s="1729">
        <f>VLOOKUP(C24,'CHẤM CÔNG '!$E$13:$AQ$96,39,0)</f>
        <v>0</v>
      </c>
      <c r="AB24" s="1730"/>
      <c r="AC24" s="1735">
        <f t="shared" si="4"/>
        <v>3.2</v>
      </c>
      <c r="AD24" s="1834">
        <f>VLOOKUP(C24,'sản lượng'!$D$14:$AP$97,36,0)</f>
        <v>4399</v>
      </c>
      <c r="AE24" s="1736"/>
      <c r="AF24" s="1708"/>
      <c r="AH24" s="1710"/>
      <c r="AI24" s="1711"/>
      <c r="AJ24" s="1712"/>
      <c r="AK24" s="1712"/>
      <c r="AL24" s="1712"/>
      <c r="AM24" s="1712"/>
      <c r="AN24" s="1712"/>
      <c r="AO24" s="1712"/>
    </row>
    <row r="25" spans="1:41" ht="18.75" customHeight="1">
      <c r="A25" s="1713">
        <v>15</v>
      </c>
      <c r="B25" s="1714" t="s">
        <v>3120</v>
      </c>
      <c r="C25" s="1715" t="s">
        <v>1707</v>
      </c>
      <c r="D25" s="1734" t="s">
        <v>15</v>
      </c>
      <c r="E25" s="1717">
        <v>3.2</v>
      </c>
      <c r="F25" s="1717"/>
      <c r="G25" s="1717"/>
      <c r="H25" s="1717"/>
      <c r="I25" s="1717"/>
      <c r="J25" s="1718"/>
      <c r="K25" s="1719"/>
      <c r="L25" s="1719"/>
      <c r="M25" s="1718"/>
      <c r="N25" s="1721"/>
      <c r="O25" s="1737"/>
      <c r="P25" s="1737"/>
      <c r="Q25" s="1722">
        <f t="shared" si="5"/>
        <v>3.2</v>
      </c>
      <c r="R25" s="1723">
        <f>VLOOKUP(C25,'sản lượng'!$D$14:$AP$97,35,0)</f>
        <v>1816.9934207487563</v>
      </c>
      <c r="S25" s="1724"/>
      <c r="T25" s="1725">
        <f t="shared" si="2"/>
        <v>0</v>
      </c>
      <c r="U25" s="1726">
        <f t="shared" si="3"/>
        <v>1816.9934207487563</v>
      </c>
      <c r="V25" s="1727">
        <f>VLOOKUP(TONGHOPCONGDOI!C25,'CHẤM CÔNG '!$E$13:$AL$96,34,0)</f>
        <v>27</v>
      </c>
      <c r="W25" s="1727">
        <f>VLOOKUP(C25,'CHẤM CÔNG '!$E$13:$AM$96,35,0)</f>
        <v>4</v>
      </c>
      <c r="X25" s="1727">
        <f>VLOOKUP(C25,'CHẤM CÔNG '!$E$13:$AR$96,36,0)</f>
        <v>0</v>
      </c>
      <c r="Y25" s="1729">
        <f>VLOOKUP(C25,'CHẤM CÔNG '!$E$13:$AQ$96,37,0)</f>
        <v>0</v>
      </c>
      <c r="Z25" s="1729">
        <f>VLOOKUP(C25,'CHẤM CÔNG '!$E$13:$AQ$96,38,0)</f>
        <v>0</v>
      </c>
      <c r="AA25" s="1729">
        <f>VLOOKUP(C25,'CHẤM CÔNG '!$E$13:$AQ$96,39,0)</f>
        <v>0</v>
      </c>
      <c r="AB25" s="1730"/>
      <c r="AC25" s="1735">
        <f t="shared" si="4"/>
        <v>3.2</v>
      </c>
      <c r="AD25" s="1834">
        <f>VLOOKUP(C25,'sản lượng'!$D$14:$AP$97,36,0)</f>
        <v>4275</v>
      </c>
      <c r="AE25" s="1736"/>
      <c r="AF25" s="1708"/>
      <c r="AH25" s="1710"/>
      <c r="AI25" s="1711"/>
      <c r="AJ25" s="1712"/>
      <c r="AK25" s="1712"/>
      <c r="AL25" s="1712"/>
      <c r="AM25" s="1712"/>
      <c r="AN25" s="1712"/>
      <c r="AO25" s="1712"/>
    </row>
    <row r="26" spans="1:41" ht="18.75" customHeight="1">
      <c r="A26" s="1733">
        <v>16</v>
      </c>
      <c r="B26" s="1714" t="s">
        <v>3121</v>
      </c>
      <c r="C26" s="1715" t="s">
        <v>1711</v>
      </c>
      <c r="D26" s="1734" t="s">
        <v>15</v>
      </c>
      <c r="E26" s="1717">
        <v>3.2</v>
      </c>
      <c r="F26" s="1717"/>
      <c r="G26" s="1717"/>
      <c r="H26" s="1717"/>
      <c r="I26" s="1717"/>
      <c r="J26" s="1718"/>
      <c r="K26" s="1719"/>
      <c r="L26" s="1719"/>
      <c r="M26" s="1718"/>
      <c r="N26" s="1721"/>
      <c r="O26" s="1737"/>
      <c r="P26" s="1737"/>
      <c r="Q26" s="1722">
        <f t="shared" si="5"/>
        <v>3.2</v>
      </c>
      <c r="R26" s="1723">
        <f>VLOOKUP(C26,'sản lượng'!$D$14:$AP$97,35,0)</f>
        <v>1925.8005121433018</v>
      </c>
      <c r="S26" s="1724"/>
      <c r="T26" s="1725">
        <f t="shared" si="2"/>
        <v>0</v>
      </c>
      <c r="U26" s="1726">
        <f t="shared" si="3"/>
        <v>1925.8005121433018</v>
      </c>
      <c r="V26" s="1727">
        <f>VLOOKUP(TONGHOPCONGDOI!C26,'CHẤM CÔNG '!$E$13:$AL$96,34,0)</f>
        <v>27</v>
      </c>
      <c r="W26" s="1727">
        <f>VLOOKUP(C26,'CHẤM CÔNG '!$E$13:$AM$96,35,0)</f>
        <v>4</v>
      </c>
      <c r="X26" s="1727">
        <f>VLOOKUP(C26,'CHẤM CÔNG '!$E$13:$AR$96,36,0)</f>
        <v>0</v>
      </c>
      <c r="Y26" s="1729">
        <f>VLOOKUP(C26,'CHẤM CÔNG '!$E$13:$AQ$96,37,0)</f>
        <v>0</v>
      </c>
      <c r="Z26" s="1729">
        <f>VLOOKUP(C26,'CHẤM CÔNG '!$E$13:$AQ$96,38,0)</f>
        <v>0</v>
      </c>
      <c r="AA26" s="1729">
        <f>VLOOKUP(C26,'CHẤM CÔNG '!$E$13:$AQ$96,39,0)</f>
        <v>0</v>
      </c>
      <c r="AB26" s="1730"/>
      <c r="AC26" s="1735">
        <f t="shared" si="4"/>
        <v>3.2</v>
      </c>
      <c r="AD26" s="1834">
        <f>VLOOKUP(C26,'sản lượng'!$D$14:$AP$97,36,0)</f>
        <v>4531</v>
      </c>
      <c r="AE26" s="1736"/>
      <c r="AF26" s="1708"/>
      <c r="AH26" s="1710"/>
      <c r="AI26" s="1711"/>
      <c r="AJ26" s="1712"/>
      <c r="AK26" s="1712"/>
      <c r="AL26" s="1712"/>
      <c r="AM26" s="1712"/>
      <c r="AN26" s="1712"/>
      <c r="AO26" s="1712"/>
    </row>
    <row r="27" spans="1:41" ht="18.75" customHeight="1">
      <c r="A27" s="1713">
        <v>17</v>
      </c>
      <c r="B27" s="2220"/>
      <c r="C27" s="2221" t="s">
        <v>3307</v>
      </c>
      <c r="D27" s="1734" t="s">
        <v>15</v>
      </c>
      <c r="E27" s="1717">
        <v>3.2</v>
      </c>
      <c r="F27" s="1717"/>
      <c r="G27" s="1717"/>
      <c r="H27" s="1717"/>
      <c r="I27" s="1717"/>
      <c r="J27" s="1718"/>
      <c r="K27" s="1719"/>
      <c r="L27" s="1719"/>
      <c r="M27" s="1720"/>
      <c r="N27" s="1721"/>
      <c r="O27" s="1721"/>
      <c r="P27" s="1721"/>
      <c r="Q27" s="1722">
        <f t="shared" si="5"/>
        <v>3.2</v>
      </c>
      <c r="R27" s="1723">
        <f>VLOOKUP(C27,'sản lượng'!$D$14:$AP$97,35,0)</f>
        <v>1899.0237669954254</v>
      </c>
      <c r="S27" s="1724"/>
      <c r="T27" s="1725">
        <f t="shared" si="2"/>
        <v>0</v>
      </c>
      <c r="U27" s="1726">
        <f t="shared" si="3"/>
        <v>1899.0237669954254</v>
      </c>
      <c r="V27" s="1727">
        <f>VLOOKUP(TONGHOPCONGDOI!C27,'CHẤM CÔNG '!$E$13:$AL$96,34,0)</f>
        <v>27</v>
      </c>
      <c r="W27" s="1727">
        <f>VLOOKUP(C27,'CHẤM CÔNG '!$E$13:$AM$96,35,0)</f>
        <v>4</v>
      </c>
      <c r="X27" s="1727">
        <f>VLOOKUP(C27,'CHẤM CÔNG '!$E$13:$AR$96,36,0)</f>
        <v>0</v>
      </c>
      <c r="Y27" s="1729">
        <f>VLOOKUP(C27,'CHẤM CÔNG '!$E$13:$AQ$96,37,0)</f>
        <v>0</v>
      </c>
      <c r="Z27" s="1729">
        <f>VLOOKUP(C27,'CHẤM CÔNG '!$E$13:$AQ$96,38,0)</f>
        <v>0</v>
      </c>
      <c r="AA27" s="1729">
        <f>VLOOKUP(C27,'CHẤM CÔNG '!$E$13:$AQ$96,39,0)</f>
        <v>0</v>
      </c>
      <c r="AB27" s="1730"/>
      <c r="AC27" s="1735">
        <f t="shared" si="4"/>
        <v>3.2</v>
      </c>
      <c r="AD27" s="1834">
        <f>VLOOKUP(C27,'sản lượng'!$D$14:$AP$97,36,0)</f>
        <v>4468</v>
      </c>
      <c r="AE27" s="1736"/>
      <c r="AF27" s="1708"/>
      <c r="AH27" s="1710"/>
      <c r="AI27" s="1711"/>
      <c r="AJ27" s="1712"/>
      <c r="AK27" s="1712"/>
      <c r="AL27" s="1712"/>
      <c r="AM27" s="1712"/>
      <c r="AN27" s="1712"/>
      <c r="AO27" s="1712"/>
    </row>
    <row r="28" spans="1:41" ht="18.75" customHeight="1">
      <c r="A28" s="1733">
        <v>18</v>
      </c>
      <c r="B28" s="1714" t="s">
        <v>3122</v>
      </c>
      <c r="C28" s="1715" t="s">
        <v>3362</v>
      </c>
      <c r="D28" s="1734" t="s">
        <v>15</v>
      </c>
      <c r="E28" s="1717">
        <v>3.2</v>
      </c>
      <c r="F28" s="1717"/>
      <c r="G28" s="1717"/>
      <c r="H28" s="1717"/>
      <c r="I28" s="1717"/>
      <c r="J28" s="1718"/>
      <c r="K28" s="1719"/>
      <c r="L28" s="1719"/>
      <c r="M28" s="1720"/>
      <c r="N28" s="1721"/>
      <c r="O28" s="1721"/>
      <c r="P28" s="1721"/>
      <c r="Q28" s="1722">
        <f t="shared" si="5"/>
        <v>3.2</v>
      </c>
      <c r="R28" s="1723">
        <f>VLOOKUP(C28,'sản lượng'!$D$14:$AP$97,35,0)</f>
        <v>1439.9938501746869</v>
      </c>
      <c r="S28" s="1724"/>
      <c r="T28" s="1725">
        <f t="shared" si="2"/>
        <v>0</v>
      </c>
      <c r="U28" s="1726">
        <f t="shared" si="3"/>
        <v>1439.9938501746869</v>
      </c>
      <c r="V28" s="1727">
        <f>VLOOKUP(TONGHOPCONGDOI!C28,'CHẤM CÔNG '!$E$13:$AL$96,34,0)</f>
        <v>24</v>
      </c>
      <c r="W28" s="1727">
        <f>VLOOKUP(C28,'CHẤM CÔNG '!$E$13:$AM$96,35,0)</f>
        <v>4</v>
      </c>
      <c r="X28" s="1727">
        <f>VLOOKUP(C28,'CHẤM CÔNG '!$E$13:$AR$96,36,0)</f>
        <v>0</v>
      </c>
      <c r="Y28" s="1729">
        <f>VLOOKUP(C28,'CHẤM CÔNG '!$E$13:$AQ$96,37,0)</f>
        <v>0</v>
      </c>
      <c r="Z28" s="1729">
        <f>VLOOKUP(C28,'CHẤM CÔNG '!$E$13:$AQ$96,38,0)</f>
        <v>0</v>
      </c>
      <c r="AA28" s="1729">
        <f>VLOOKUP(C28,'CHẤM CÔNG '!$E$13:$AQ$96,39,0)</f>
        <v>0</v>
      </c>
      <c r="AB28" s="1730"/>
      <c r="AC28" s="1735">
        <f t="shared" si="4"/>
        <v>3.2</v>
      </c>
      <c r="AD28" s="1834">
        <f>VLOOKUP(C28,'sản lượng'!$D$14:$AP$97,36,0)</f>
        <v>3388</v>
      </c>
      <c r="AE28" s="1736"/>
      <c r="AF28" s="1708"/>
      <c r="AH28" s="1710"/>
      <c r="AI28" s="1711"/>
      <c r="AJ28" s="1712"/>
      <c r="AK28" s="1712"/>
      <c r="AL28" s="1712"/>
      <c r="AM28" s="1712"/>
      <c r="AN28" s="1712"/>
      <c r="AO28" s="1712"/>
    </row>
    <row r="29" spans="1:41" ht="18.75" customHeight="1">
      <c r="A29" s="1713">
        <v>19</v>
      </c>
      <c r="B29" s="1714" t="s">
        <v>3123</v>
      </c>
      <c r="C29" s="1715" t="s">
        <v>1712</v>
      </c>
      <c r="D29" s="1734" t="s">
        <v>15</v>
      </c>
      <c r="E29" s="1717">
        <v>3.2</v>
      </c>
      <c r="F29" s="1717"/>
      <c r="G29" s="1717"/>
      <c r="H29" s="1717"/>
      <c r="I29" s="1717"/>
      <c r="J29" s="1718"/>
      <c r="K29" s="1719"/>
      <c r="L29" s="1719"/>
      <c r="M29" s="1720"/>
      <c r="N29" s="1721"/>
      <c r="O29" s="1737"/>
      <c r="P29" s="1737"/>
      <c r="Q29" s="1722">
        <f t="shared" si="5"/>
        <v>3.2</v>
      </c>
      <c r="R29" s="1723">
        <f>VLOOKUP(C29,'sản lượng'!$D$14:$AP$97,35,0)</f>
        <v>1797.8671742145589</v>
      </c>
      <c r="S29" s="1724"/>
      <c r="T29" s="1725">
        <f t="shared" si="2"/>
        <v>0</v>
      </c>
      <c r="U29" s="1726">
        <f t="shared" si="3"/>
        <v>1797.8671742145589</v>
      </c>
      <c r="V29" s="1727">
        <f>VLOOKUP(TONGHOPCONGDOI!C29,'CHẤM CÔNG '!$E$13:$AL$96,34,0)</f>
        <v>27</v>
      </c>
      <c r="W29" s="1727">
        <f>VLOOKUP(C29,'CHẤM CÔNG '!$E$13:$AM$96,35,0)</f>
        <v>4</v>
      </c>
      <c r="X29" s="1727">
        <f>VLOOKUP(C29,'CHẤM CÔNG '!$E$13:$AR$96,36,0)</f>
        <v>0</v>
      </c>
      <c r="Y29" s="1729">
        <f>VLOOKUP(C29,'CHẤM CÔNG '!$E$13:$AQ$96,37,0)</f>
        <v>0</v>
      </c>
      <c r="Z29" s="1729">
        <f>VLOOKUP(C29,'CHẤM CÔNG '!$E$13:$AQ$96,38,0)</f>
        <v>0</v>
      </c>
      <c r="AA29" s="1729">
        <f>VLOOKUP(C29,'CHẤM CÔNG '!$E$13:$AQ$96,39,0)</f>
        <v>0</v>
      </c>
      <c r="AB29" s="1730"/>
      <c r="AC29" s="1735">
        <f t="shared" si="4"/>
        <v>3.2</v>
      </c>
      <c r="AD29" s="1834">
        <f>VLOOKUP(C29,'sản lượng'!$D$14:$AP$97,36,0)</f>
        <v>4230</v>
      </c>
      <c r="AE29" s="1736"/>
      <c r="AF29" s="1708"/>
      <c r="AH29" s="1710"/>
      <c r="AI29" s="1711"/>
      <c r="AJ29" s="1712"/>
      <c r="AK29" s="1712"/>
      <c r="AL29" s="1712"/>
      <c r="AM29" s="1712"/>
      <c r="AN29" s="1712"/>
      <c r="AO29" s="1712"/>
    </row>
    <row r="30" spans="1:41" ht="18.75" customHeight="1">
      <c r="A30" s="1733">
        <v>20</v>
      </c>
      <c r="B30" s="1714" t="s">
        <v>3124</v>
      </c>
      <c r="C30" s="1715" t="s">
        <v>3363</v>
      </c>
      <c r="D30" s="1734" t="s">
        <v>15</v>
      </c>
      <c r="E30" s="1717">
        <v>3.2</v>
      </c>
      <c r="F30" s="1717"/>
      <c r="G30" s="1717"/>
      <c r="H30" s="1717"/>
      <c r="I30" s="1717"/>
      <c r="J30" s="1718"/>
      <c r="K30" s="1719"/>
      <c r="L30" s="1719"/>
      <c r="M30" s="1720"/>
      <c r="N30" s="1721"/>
      <c r="O30" s="1737"/>
      <c r="P30" s="1737"/>
      <c r="Q30" s="1722">
        <f t="shared" si="5"/>
        <v>3.2</v>
      </c>
      <c r="R30" s="1723">
        <f>VLOOKUP(C30,'sản lượng'!$D$14:$AP$97,35,0)</f>
        <v>1692.035276725333</v>
      </c>
      <c r="S30" s="1724"/>
      <c r="T30" s="1725">
        <f t="shared" si="2"/>
        <v>0</v>
      </c>
      <c r="U30" s="1726">
        <f t="shared" si="3"/>
        <v>1692.035276725333</v>
      </c>
      <c r="V30" s="1727">
        <f>VLOOKUP(TONGHOPCONGDOI!C30,'CHẤM CÔNG '!$E$13:$AL$96,34,0)</f>
        <v>27</v>
      </c>
      <c r="W30" s="1727">
        <f>VLOOKUP(C30,'CHẤM CÔNG '!$E$13:$AM$96,35,0)</f>
        <v>4</v>
      </c>
      <c r="X30" s="1727">
        <f>VLOOKUP(C30,'CHẤM CÔNG '!$E$13:$AR$96,36,0)</f>
        <v>0</v>
      </c>
      <c r="Y30" s="1729">
        <f>VLOOKUP(C30,'CHẤM CÔNG '!$E$13:$AQ$96,37,0)</f>
        <v>0</v>
      </c>
      <c r="Z30" s="1729">
        <f>VLOOKUP(C30,'CHẤM CÔNG '!$E$13:$AQ$96,38,0)</f>
        <v>0</v>
      </c>
      <c r="AA30" s="1729">
        <f>VLOOKUP(C30,'CHẤM CÔNG '!$E$13:$AQ$96,39,0)</f>
        <v>0</v>
      </c>
      <c r="AB30" s="1730"/>
      <c r="AC30" s="1735">
        <f t="shared" si="4"/>
        <v>3.2</v>
      </c>
      <c r="AD30" s="1834">
        <f>VLOOKUP(C30,'sản lượng'!$D$14:$AP$97,36,0)</f>
        <v>3981</v>
      </c>
      <c r="AE30" s="1736"/>
      <c r="AF30" s="1708"/>
      <c r="AH30" s="1710"/>
      <c r="AI30" s="1738"/>
      <c r="AJ30" s="1712"/>
      <c r="AK30" s="1712"/>
      <c r="AL30" s="1712"/>
      <c r="AM30" s="1712"/>
      <c r="AN30" s="1712"/>
      <c r="AO30" s="1712"/>
    </row>
    <row r="31" spans="1:41" ht="18.75" customHeight="1">
      <c r="A31" s="1713">
        <v>21</v>
      </c>
      <c r="B31" s="1714" t="s">
        <v>3125</v>
      </c>
      <c r="C31" s="1715" t="s">
        <v>1732</v>
      </c>
      <c r="D31" s="1734" t="s">
        <v>15</v>
      </c>
      <c r="E31" s="1717">
        <v>3.2</v>
      </c>
      <c r="F31" s="1717"/>
      <c r="G31" s="1717"/>
      <c r="H31" s="1717"/>
      <c r="I31" s="1717"/>
      <c r="J31" s="1718"/>
      <c r="K31" s="1719"/>
      <c r="L31" s="1719"/>
      <c r="M31" s="1720"/>
      <c r="N31" s="1721"/>
      <c r="O31" s="1721"/>
      <c r="P31" s="1721"/>
      <c r="Q31" s="1722">
        <f t="shared" si="5"/>
        <v>3.2</v>
      </c>
      <c r="R31" s="1723">
        <f>VLOOKUP(C31,'sản lượng'!$D$14:$AP$97,35,0)</f>
        <v>1570.9023820087493</v>
      </c>
      <c r="S31" s="1724"/>
      <c r="T31" s="1725">
        <f t="shared" si="2"/>
        <v>0</v>
      </c>
      <c r="U31" s="1726">
        <f t="shared" si="3"/>
        <v>1570.9023820087493</v>
      </c>
      <c r="V31" s="1727">
        <f>VLOOKUP(TONGHOPCONGDOI!C31,'CHẤM CÔNG '!$E$13:$AL$96,34,0)</f>
        <v>27</v>
      </c>
      <c r="W31" s="1727">
        <f>VLOOKUP(C31,'CHẤM CÔNG '!$E$13:$AM$96,35,0)</f>
        <v>4</v>
      </c>
      <c r="X31" s="1727">
        <f>VLOOKUP(C31,'CHẤM CÔNG '!$E$13:$AR$96,36,0)</f>
        <v>0</v>
      </c>
      <c r="Y31" s="1729">
        <f>VLOOKUP(C31,'CHẤM CÔNG '!$E$13:$AQ$96,37,0)</f>
        <v>0</v>
      </c>
      <c r="Z31" s="1729">
        <f>VLOOKUP(C31,'CHẤM CÔNG '!$E$13:$AQ$96,38,0)</f>
        <v>0</v>
      </c>
      <c r="AA31" s="1729">
        <f>VLOOKUP(C31,'CHẤM CÔNG '!$E$13:$AQ$96,39,0)</f>
        <v>0</v>
      </c>
      <c r="AB31" s="1730"/>
      <c r="AC31" s="1735">
        <f t="shared" si="4"/>
        <v>3.2</v>
      </c>
      <c r="AD31" s="1834">
        <f>VLOOKUP(C31,'sản lượng'!$D$14:$AP$97,36,0)</f>
        <v>3696</v>
      </c>
      <c r="AE31" s="1736"/>
      <c r="AF31" s="1708"/>
      <c r="AH31" s="1710"/>
      <c r="AI31" s="1711"/>
      <c r="AJ31" s="1712"/>
      <c r="AK31" s="1712"/>
      <c r="AL31" s="1712"/>
      <c r="AM31" s="1712"/>
      <c r="AN31" s="1712"/>
      <c r="AO31" s="1712"/>
    </row>
    <row r="32" spans="1:41" ht="18.75" customHeight="1">
      <c r="A32" s="1733">
        <v>22</v>
      </c>
      <c r="B32" s="1714" t="s">
        <v>3126</v>
      </c>
      <c r="C32" s="1715" t="s">
        <v>3364</v>
      </c>
      <c r="D32" s="1734" t="s">
        <v>15</v>
      </c>
      <c r="E32" s="1717">
        <v>3.2</v>
      </c>
      <c r="F32" s="1717"/>
      <c r="G32" s="1717"/>
      <c r="H32" s="1717"/>
      <c r="I32" s="1717"/>
      <c r="J32" s="1718"/>
      <c r="K32" s="1719"/>
      <c r="L32" s="1719"/>
      <c r="M32" s="1720"/>
      <c r="N32" s="1721"/>
      <c r="O32" s="1721"/>
      <c r="P32" s="1721"/>
      <c r="Q32" s="1722">
        <f t="shared" si="5"/>
        <v>3.2</v>
      </c>
      <c r="R32" s="1723">
        <f>VLOOKUP(C32,'sản lượng'!$D$14:$AP$97,35,0)</f>
        <v>1878.622437358948</v>
      </c>
      <c r="S32" s="1724"/>
      <c r="T32" s="1725">
        <f t="shared" si="2"/>
        <v>0</v>
      </c>
      <c r="U32" s="1726">
        <f t="shared" si="3"/>
        <v>1878.622437358948</v>
      </c>
      <c r="V32" s="1727">
        <f>VLOOKUP(TONGHOPCONGDOI!C32,'CHẤM CÔNG '!$E$13:$AL$96,34,0)</f>
        <v>27</v>
      </c>
      <c r="W32" s="1727">
        <f>VLOOKUP(C32,'CHẤM CÔNG '!$E$13:$AM$96,35,0)</f>
        <v>4</v>
      </c>
      <c r="X32" s="1727">
        <f>VLOOKUP(C32,'CHẤM CÔNG '!$E$13:$AR$96,36,0)</f>
        <v>0</v>
      </c>
      <c r="Y32" s="1729">
        <f>VLOOKUP(C32,'CHẤM CÔNG '!$E$13:$AQ$96,37,0)</f>
        <v>0</v>
      </c>
      <c r="Z32" s="1729">
        <f>VLOOKUP(C32,'CHẤM CÔNG '!$E$13:$AQ$96,38,0)</f>
        <v>0</v>
      </c>
      <c r="AA32" s="1729">
        <f>VLOOKUP(C32,'CHẤM CÔNG '!$E$13:$AQ$96,39,0)</f>
        <v>0</v>
      </c>
      <c r="AB32" s="1730"/>
      <c r="AC32" s="1735">
        <f t="shared" si="4"/>
        <v>3.2</v>
      </c>
      <c r="AD32" s="1834">
        <f>VLOOKUP(C32,'sản lượng'!$D$14:$AP$97,36,0)</f>
        <v>4420</v>
      </c>
      <c r="AE32" s="1736"/>
      <c r="AF32" s="1708"/>
      <c r="AH32" s="1710"/>
      <c r="AI32" s="1711"/>
      <c r="AJ32" s="1712"/>
      <c r="AK32" s="1712"/>
      <c r="AL32" s="1712"/>
      <c r="AM32" s="1712"/>
      <c r="AN32" s="1712"/>
      <c r="AO32" s="1712"/>
    </row>
    <row r="33" spans="1:41" ht="18.75" customHeight="1">
      <c r="A33" s="1713">
        <v>23</v>
      </c>
      <c r="B33" s="1714" t="s">
        <v>3127</v>
      </c>
      <c r="C33" s="1715" t="s">
        <v>3365</v>
      </c>
      <c r="D33" s="1734" t="s">
        <v>15</v>
      </c>
      <c r="E33" s="1717">
        <v>3.2</v>
      </c>
      <c r="F33" s="1717"/>
      <c r="G33" s="1717"/>
      <c r="H33" s="1717"/>
      <c r="I33" s="1717"/>
      <c r="J33" s="1718"/>
      <c r="K33" s="1719"/>
      <c r="L33" s="1719"/>
      <c r="M33" s="1720"/>
      <c r="N33" s="1721"/>
      <c r="O33" s="1721"/>
      <c r="P33" s="1721"/>
      <c r="Q33" s="1722">
        <f t="shared" si="5"/>
        <v>3.2</v>
      </c>
      <c r="R33" s="1723">
        <f>VLOOKUP(C33,'sản lượng'!$D$14:$AP$97,35,0)</f>
        <v>1451.0445703944454</v>
      </c>
      <c r="S33" s="1724"/>
      <c r="T33" s="1725">
        <f t="shared" si="2"/>
        <v>0</v>
      </c>
      <c r="U33" s="1726">
        <f t="shared" si="3"/>
        <v>1451.0445703944454</v>
      </c>
      <c r="V33" s="1727">
        <f>VLOOKUP(TONGHOPCONGDOI!C33,'CHẤM CÔNG '!$E$13:$AL$96,34,0)</f>
        <v>24</v>
      </c>
      <c r="W33" s="1727">
        <f>VLOOKUP(C33,'CHẤM CÔNG '!$E$13:$AM$96,35,0)</f>
        <v>4</v>
      </c>
      <c r="X33" s="1727">
        <f>VLOOKUP(C33,'CHẤM CÔNG '!$E$13:$AR$96,36,0)</f>
        <v>0</v>
      </c>
      <c r="Y33" s="1729">
        <f>VLOOKUP(C33,'CHẤM CÔNG '!$E$13:$AQ$96,37,0)</f>
        <v>0</v>
      </c>
      <c r="Z33" s="1729">
        <f>VLOOKUP(C33,'CHẤM CÔNG '!$E$13:$AQ$96,38,0)</f>
        <v>0</v>
      </c>
      <c r="AA33" s="1729">
        <f>VLOOKUP(C33,'CHẤM CÔNG '!$E$13:$AQ$96,39,0)</f>
        <v>0</v>
      </c>
      <c r="AB33" s="1730"/>
      <c r="AC33" s="1735">
        <f t="shared" si="4"/>
        <v>3.2</v>
      </c>
      <c r="AD33" s="1834">
        <f>VLOOKUP(C33,'sản lượng'!$D$14:$AP$97,36,0)</f>
        <v>3414</v>
      </c>
      <c r="AE33" s="1736"/>
      <c r="AF33" s="1708"/>
      <c r="AH33" s="1710"/>
      <c r="AI33" s="1711"/>
      <c r="AJ33" s="1712"/>
      <c r="AK33" s="1712"/>
      <c r="AL33" s="1712"/>
      <c r="AM33" s="1712"/>
      <c r="AN33" s="1712"/>
      <c r="AO33" s="1712"/>
    </row>
    <row r="34" spans="1:41" ht="18.75" customHeight="1">
      <c r="A34" s="1733">
        <v>24</v>
      </c>
      <c r="B34" s="1714" t="s">
        <v>3128</v>
      </c>
      <c r="C34" s="1715" t="s">
        <v>1717</v>
      </c>
      <c r="D34" s="1734" t="s">
        <v>15</v>
      </c>
      <c r="E34" s="1717">
        <v>3.2</v>
      </c>
      <c r="F34" s="1717"/>
      <c r="G34" s="1717"/>
      <c r="H34" s="1717"/>
      <c r="I34" s="1717"/>
      <c r="J34" s="1718"/>
      <c r="K34" s="1719"/>
      <c r="L34" s="1719"/>
      <c r="M34" s="1720"/>
      <c r="N34" s="1721"/>
      <c r="O34" s="1721"/>
      <c r="P34" s="1721"/>
      <c r="Q34" s="1722">
        <f t="shared" si="5"/>
        <v>3.2</v>
      </c>
      <c r="R34" s="1723">
        <f>VLOOKUP(C34,'sản lượng'!$D$14:$AP$97,35,0)</f>
        <v>2011.2310799960503</v>
      </c>
      <c r="S34" s="1724"/>
      <c r="T34" s="1725">
        <f t="shared" si="2"/>
        <v>0</v>
      </c>
      <c r="U34" s="1726">
        <f t="shared" si="3"/>
        <v>2011.2310799960503</v>
      </c>
      <c r="V34" s="1727">
        <f>VLOOKUP(TONGHOPCONGDOI!C34,'CHẤM CÔNG '!$E$13:$AL$96,34,0)</f>
        <v>27</v>
      </c>
      <c r="W34" s="1727">
        <f>VLOOKUP(C34,'CHẤM CÔNG '!$E$13:$AM$96,35,0)</f>
        <v>4</v>
      </c>
      <c r="X34" s="1727">
        <f>VLOOKUP(C34,'CHẤM CÔNG '!$E$13:$AR$96,36,0)</f>
        <v>0</v>
      </c>
      <c r="Y34" s="1729">
        <f>VLOOKUP(C34,'CHẤM CÔNG '!$E$13:$AQ$96,37,0)</f>
        <v>0</v>
      </c>
      <c r="Z34" s="1729">
        <f>VLOOKUP(C34,'CHẤM CÔNG '!$E$13:$AQ$96,38,0)</f>
        <v>0</v>
      </c>
      <c r="AA34" s="1729">
        <f>VLOOKUP(C34,'CHẤM CÔNG '!$E$13:$AQ$96,39,0)</f>
        <v>0</v>
      </c>
      <c r="AB34" s="1730"/>
      <c r="AC34" s="1735">
        <f t="shared" si="4"/>
        <v>3.2</v>
      </c>
      <c r="AD34" s="1834">
        <f>VLOOKUP(C34,'sản lượng'!$D$14:$AP$97,36,0)</f>
        <v>4732</v>
      </c>
      <c r="AE34" s="1736"/>
      <c r="AF34" s="1708"/>
      <c r="AH34" s="1710"/>
      <c r="AI34" s="1711"/>
      <c r="AJ34" s="1712"/>
      <c r="AK34" s="1712"/>
      <c r="AL34" s="1712"/>
      <c r="AM34" s="1712"/>
      <c r="AN34" s="1712"/>
      <c r="AO34" s="1712"/>
    </row>
    <row r="35" spans="1:41" ht="18.75" customHeight="1">
      <c r="A35" s="1713">
        <v>25</v>
      </c>
      <c r="B35" s="1714" t="s">
        <v>3129</v>
      </c>
      <c r="C35" s="1715" t="s">
        <v>3366</v>
      </c>
      <c r="D35" s="1734" t="s">
        <v>15</v>
      </c>
      <c r="E35" s="1717">
        <v>3.2</v>
      </c>
      <c r="F35" s="1717"/>
      <c r="G35" s="1717"/>
      <c r="H35" s="1717"/>
      <c r="I35" s="1717"/>
      <c r="J35" s="1718"/>
      <c r="K35" s="1719"/>
      <c r="L35" s="1719"/>
      <c r="M35" s="1737"/>
      <c r="N35" s="1721"/>
      <c r="O35" s="1737"/>
      <c r="P35" s="1737"/>
      <c r="Q35" s="1722">
        <f t="shared" si="5"/>
        <v>3.2</v>
      </c>
      <c r="R35" s="1723">
        <f>VLOOKUP(C35,'sản lượng'!$D$14:$AP$97,35,0)</f>
        <v>2286.2240023877334</v>
      </c>
      <c r="S35" s="1724"/>
      <c r="T35" s="1725">
        <f t="shared" si="2"/>
        <v>0</v>
      </c>
      <c r="U35" s="1726">
        <f t="shared" si="3"/>
        <v>2286.2240023877334</v>
      </c>
      <c r="V35" s="1727">
        <f>VLOOKUP(TONGHOPCONGDOI!C35,'CHẤM CÔNG '!$E$13:$AL$96,34,0)</f>
        <v>27</v>
      </c>
      <c r="W35" s="1727">
        <f>VLOOKUP(C35,'CHẤM CÔNG '!$E$13:$AM$96,35,0)</f>
        <v>4</v>
      </c>
      <c r="X35" s="1727">
        <f>VLOOKUP(C35,'CHẤM CÔNG '!$E$13:$AR$96,36,0)</f>
        <v>0</v>
      </c>
      <c r="Y35" s="1729">
        <f>VLOOKUP(C35,'CHẤM CÔNG '!$E$13:$AQ$96,37,0)</f>
        <v>0</v>
      </c>
      <c r="Z35" s="1729">
        <f>VLOOKUP(C35,'CHẤM CÔNG '!$E$13:$AQ$96,38,0)</f>
        <v>0</v>
      </c>
      <c r="AA35" s="1729">
        <f>VLOOKUP(C35,'CHẤM CÔNG '!$E$13:$AQ$96,39,0)</f>
        <v>0</v>
      </c>
      <c r="AB35" s="1730"/>
      <c r="AC35" s="1735">
        <f t="shared" si="4"/>
        <v>3.2</v>
      </c>
      <c r="AD35" s="1834">
        <f>VLOOKUP(C35,'sản lượng'!$D$14:$AP$97,36,0)</f>
        <v>5379</v>
      </c>
      <c r="AE35" s="1736"/>
      <c r="AF35" s="1708"/>
      <c r="AH35" s="1710"/>
      <c r="AI35" s="1711"/>
      <c r="AJ35" s="1712"/>
      <c r="AK35" s="1712"/>
      <c r="AL35" s="1712"/>
      <c r="AM35" s="1712"/>
      <c r="AN35" s="1712"/>
      <c r="AO35" s="1712"/>
    </row>
    <row r="36" spans="1:41" ht="18.75" customHeight="1">
      <c r="A36" s="1733">
        <v>26</v>
      </c>
      <c r="B36" s="2220"/>
      <c r="C36" s="2221" t="s">
        <v>3308</v>
      </c>
      <c r="D36" s="1734" t="s">
        <v>15</v>
      </c>
      <c r="E36" s="1717">
        <v>3.2</v>
      </c>
      <c r="F36" s="1717"/>
      <c r="G36" s="1717"/>
      <c r="H36" s="1717"/>
      <c r="I36" s="1717"/>
      <c r="J36" s="1718"/>
      <c r="K36" s="1719"/>
      <c r="L36" s="1719"/>
      <c r="M36" s="1720"/>
      <c r="N36" s="1721"/>
      <c r="O36" s="1737"/>
      <c r="P36" s="1737"/>
      <c r="Q36" s="1722">
        <f t="shared" si="5"/>
        <v>3.2</v>
      </c>
      <c r="R36" s="1723">
        <f>VLOOKUP(C36,'sản lượng'!$D$14:$AP$97,35,0)</f>
        <v>2141.2895564285927</v>
      </c>
      <c r="S36" s="1724"/>
      <c r="T36" s="1725">
        <f t="shared" si="2"/>
        <v>0</v>
      </c>
      <c r="U36" s="1726">
        <f t="shared" si="3"/>
        <v>2141.2895564285927</v>
      </c>
      <c r="V36" s="1727">
        <f>VLOOKUP(TONGHOPCONGDOI!C36,'CHẤM CÔNG '!$E$13:$AL$96,34,0)</f>
        <v>27</v>
      </c>
      <c r="W36" s="1727">
        <f>VLOOKUP(C36,'CHẤM CÔNG '!$E$13:$AM$96,35,0)</f>
        <v>4</v>
      </c>
      <c r="X36" s="1727">
        <f>VLOOKUP(C36,'CHẤM CÔNG '!$E$13:$AR$96,36,0)</f>
        <v>0</v>
      </c>
      <c r="Y36" s="1729">
        <f>VLOOKUP(C36,'CHẤM CÔNG '!$E$13:$AQ$96,37,0)</f>
        <v>0</v>
      </c>
      <c r="Z36" s="1729">
        <f>VLOOKUP(C36,'CHẤM CÔNG '!$E$13:$AQ$96,38,0)</f>
        <v>0</v>
      </c>
      <c r="AA36" s="1729">
        <f>VLOOKUP(C36,'CHẤM CÔNG '!$E$13:$AQ$96,39,0)</f>
        <v>0</v>
      </c>
      <c r="AB36" s="1730"/>
      <c r="AC36" s="1735">
        <f t="shared" si="4"/>
        <v>3.2</v>
      </c>
      <c r="AD36" s="1834">
        <f>VLOOKUP(C36,'sản lượng'!$D$14:$AP$97,36,0)</f>
        <v>5038</v>
      </c>
      <c r="AE36" s="1736"/>
      <c r="AF36" s="1708"/>
      <c r="AH36" s="1710"/>
      <c r="AI36" s="1711"/>
      <c r="AJ36" s="1712"/>
      <c r="AK36" s="1712"/>
      <c r="AL36" s="1712"/>
      <c r="AM36" s="1712"/>
      <c r="AN36" s="1712"/>
      <c r="AO36" s="1712"/>
    </row>
    <row r="37" spans="1:41" ht="18.75" customHeight="1">
      <c r="A37" s="1713">
        <v>27</v>
      </c>
      <c r="B37" s="2220"/>
      <c r="C37" s="2221" t="s">
        <v>3309</v>
      </c>
      <c r="D37" s="1734" t="s">
        <v>15</v>
      </c>
      <c r="E37" s="1717">
        <v>3.2</v>
      </c>
      <c r="F37" s="1717"/>
      <c r="G37" s="1717"/>
      <c r="H37" s="1717"/>
      <c r="I37" s="1717"/>
      <c r="J37" s="1718"/>
      <c r="K37" s="1719"/>
      <c r="L37" s="1719"/>
      <c r="M37" s="1720"/>
      <c r="N37" s="1721"/>
      <c r="O37" s="1737"/>
      <c r="P37" s="1737"/>
      <c r="Q37" s="1722">
        <f t="shared" si="5"/>
        <v>3.2</v>
      </c>
      <c r="R37" s="1723">
        <f>VLOOKUP(C37,'sản lượng'!$D$14:$AP$97,35,0)</f>
        <v>1995.9300827686923</v>
      </c>
      <c r="S37" s="1724"/>
      <c r="T37" s="1725">
        <f t="shared" si="2"/>
        <v>0</v>
      </c>
      <c r="U37" s="1726">
        <f t="shared" si="3"/>
        <v>1995.9300827686923</v>
      </c>
      <c r="V37" s="1727">
        <f>VLOOKUP(TONGHOPCONGDOI!C37,'CHẤM CÔNG '!$E$13:$AL$96,34,0)</f>
        <v>27</v>
      </c>
      <c r="W37" s="1727">
        <f>VLOOKUP(C37,'CHẤM CÔNG '!$E$13:$AM$96,35,0)</f>
        <v>4</v>
      </c>
      <c r="X37" s="1727">
        <f>VLOOKUP(C37,'CHẤM CÔNG '!$E$13:$AR$96,36,0)</f>
        <v>0</v>
      </c>
      <c r="Y37" s="1729">
        <f>VLOOKUP(C37,'CHẤM CÔNG '!$E$13:$AQ$96,37,0)</f>
        <v>0</v>
      </c>
      <c r="Z37" s="1729">
        <f>VLOOKUP(C37,'CHẤM CÔNG '!$E$13:$AQ$96,38,0)</f>
        <v>0</v>
      </c>
      <c r="AA37" s="1729">
        <f>VLOOKUP(C37,'CHẤM CÔNG '!$E$13:$AQ$96,39,0)</f>
        <v>0</v>
      </c>
      <c r="AB37" s="1730"/>
      <c r="AC37" s="1735">
        <f t="shared" si="4"/>
        <v>3.2</v>
      </c>
      <c r="AD37" s="1834">
        <f>VLOOKUP(C37,'sản lượng'!$D$14:$AP$97,36,0)</f>
        <v>4696</v>
      </c>
      <c r="AE37" s="1736"/>
      <c r="AF37" s="1708"/>
      <c r="AH37" s="1710"/>
      <c r="AI37" s="1711"/>
      <c r="AJ37" s="1712"/>
      <c r="AK37" s="1712"/>
      <c r="AL37" s="1712"/>
      <c r="AM37" s="1712"/>
      <c r="AN37" s="1712"/>
      <c r="AO37" s="1712"/>
    </row>
    <row r="38" spans="1:41" ht="18.75" customHeight="1">
      <c r="A38" s="1733">
        <v>28</v>
      </c>
      <c r="B38" s="1714" t="s">
        <v>3130</v>
      </c>
      <c r="C38" s="1715" t="s">
        <v>1721</v>
      </c>
      <c r="D38" s="1734" t="s">
        <v>15</v>
      </c>
      <c r="E38" s="1717">
        <v>3.2</v>
      </c>
      <c r="F38" s="1717"/>
      <c r="G38" s="1717"/>
      <c r="H38" s="1717"/>
      <c r="I38" s="1717"/>
      <c r="J38" s="1718"/>
      <c r="K38" s="1719"/>
      <c r="L38" s="1719"/>
      <c r="M38" s="1720"/>
      <c r="N38" s="1721"/>
      <c r="O38" s="1737"/>
      <c r="P38" s="1737"/>
      <c r="Q38" s="1722">
        <f t="shared" si="5"/>
        <v>3.2</v>
      </c>
      <c r="R38" s="1723">
        <f>VLOOKUP(C38,'sản lượng'!$D$14:$AP$97,35,0)</f>
        <v>2391.6308721761993</v>
      </c>
      <c r="S38" s="1724"/>
      <c r="T38" s="1725">
        <f t="shared" si="2"/>
        <v>0</v>
      </c>
      <c r="U38" s="1726">
        <f t="shared" si="3"/>
        <v>2391.6308721761993</v>
      </c>
      <c r="V38" s="1727">
        <f>VLOOKUP(TONGHOPCONGDOI!C38,'CHẤM CÔNG '!$E$13:$AL$96,34,0)</f>
        <v>27</v>
      </c>
      <c r="W38" s="1727">
        <f>VLOOKUP(C38,'CHẤM CÔNG '!$E$13:$AM$96,35,0)</f>
        <v>4</v>
      </c>
      <c r="X38" s="1727">
        <f>VLOOKUP(C38,'CHẤM CÔNG '!$E$13:$AR$96,36,0)</f>
        <v>0</v>
      </c>
      <c r="Y38" s="1729">
        <f>VLOOKUP(C38,'CHẤM CÔNG '!$E$13:$AQ$96,37,0)</f>
        <v>0</v>
      </c>
      <c r="Z38" s="1729">
        <f>VLOOKUP(C38,'CHẤM CÔNG '!$E$13:$AQ$96,38,0)</f>
        <v>0</v>
      </c>
      <c r="AA38" s="1729">
        <f>VLOOKUP(C38,'CHẤM CÔNG '!$E$13:$AQ$96,39,0)</f>
        <v>0</v>
      </c>
      <c r="AB38" s="1730"/>
      <c r="AC38" s="1735">
        <f t="shared" si="4"/>
        <v>3.2</v>
      </c>
      <c r="AD38" s="1834">
        <f>VLOOKUP(C38,'sản lượng'!$D$14:$AP$97,36,0)</f>
        <v>5627</v>
      </c>
      <c r="AE38" s="1736"/>
      <c r="AF38" s="1708"/>
      <c r="AH38" s="1710"/>
      <c r="AI38" s="1711"/>
      <c r="AJ38" s="1712"/>
      <c r="AK38" s="1712"/>
      <c r="AL38" s="1712"/>
      <c r="AM38" s="1712"/>
      <c r="AN38" s="1712"/>
      <c r="AO38" s="1712"/>
    </row>
    <row r="39" spans="1:41" ht="18.75" customHeight="1">
      <c r="A39" s="1713">
        <v>29</v>
      </c>
      <c r="B39" s="2220"/>
      <c r="C39" s="2221" t="s">
        <v>3306</v>
      </c>
      <c r="D39" s="1734" t="s">
        <v>15</v>
      </c>
      <c r="E39" s="1717">
        <v>3.2</v>
      </c>
      <c r="F39" s="1717"/>
      <c r="G39" s="1717"/>
      <c r="H39" s="1717"/>
      <c r="I39" s="1717"/>
      <c r="J39" s="1718"/>
      <c r="K39" s="1719"/>
      <c r="L39" s="1719"/>
      <c r="M39" s="1737"/>
      <c r="N39" s="1721"/>
      <c r="O39" s="1737"/>
      <c r="P39" s="1737"/>
      <c r="Q39" s="1722">
        <f t="shared" si="5"/>
        <v>3.2</v>
      </c>
      <c r="R39" s="1723">
        <f>VLOOKUP(C39,'sản lượng'!$D$14:$AP$97,35,0)</f>
        <v>1910.0744872151838</v>
      </c>
      <c r="S39" s="1724"/>
      <c r="T39" s="1725">
        <f t="shared" si="2"/>
        <v>0</v>
      </c>
      <c r="U39" s="1726">
        <f t="shared" si="3"/>
        <v>1910.0744872151838</v>
      </c>
      <c r="V39" s="1727">
        <f>VLOOKUP(TONGHOPCONGDOI!C39,'CHẤM CÔNG '!$E$13:$AL$96,34,0)</f>
        <v>27</v>
      </c>
      <c r="W39" s="1727">
        <f>VLOOKUP(C39,'CHẤM CÔNG '!$E$13:$AM$96,35,0)</f>
        <v>4</v>
      </c>
      <c r="X39" s="1727">
        <f>VLOOKUP(C39,'CHẤM CÔNG '!$E$13:$AR$96,36,0)</f>
        <v>0</v>
      </c>
      <c r="Y39" s="1729">
        <f>VLOOKUP(C39,'CHẤM CÔNG '!$E$13:$AQ$96,37,0)</f>
        <v>0</v>
      </c>
      <c r="Z39" s="1729">
        <f>VLOOKUP(C39,'CHẤM CÔNG '!$E$13:$AQ$96,38,0)</f>
        <v>0</v>
      </c>
      <c r="AA39" s="1729">
        <f>VLOOKUP(C39,'CHẤM CÔNG '!$E$13:$AQ$96,39,0)</f>
        <v>0</v>
      </c>
      <c r="AB39" s="1730"/>
      <c r="AC39" s="1735">
        <f t="shared" si="4"/>
        <v>3.2</v>
      </c>
      <c r="AD39" s="1834">
        <f>VLOOKUP(C39,'sản lượng'!$D$14:$AP$97,36,0)</f>
        <v>4494</v>
      </c>
      <c r="AE39" s="1736"/>
      <c r="AF39" s="1708"/>
      <c r="AH39" s="1710"/>
      <c r="AI39" s="1711"/>
      <c r="AJ39" s="1712"/>
      <c r="AK39" s="1712"/>
      <c r="AL39" s="1712"/>
      <c r="AM39" s="1712"/>
      <c r="AN39" s="1712"/>
      <c r="AO39" s="1712"/>
    </row>
    <row r="40" spans="1:41" ht="18.75" customHeight="1">
      <c r="A40" s="1733">
        <v>30</v>
      </c>
      <c r="B40" s="1714" t="s">
        <v>3131</v>
      </c>
      <c r="C40" s="1715" t="s">
        <v>1723</v>
      </c>
      <c r="D40" s="1734" t="s">
        <v>15</v>
      </c>
      <c r="E40" s="1717">
        <v>3.2</v>
      </c>
      <c r="F40" s="1717"/>
      <c r="G40" s="1717"/>
      <c r="H40" s="1717"/>
      <c r="I40" s="1717"/>
      <c r="J40" s="1718"/>
      <c r="K40" s="1719"/>
      <c r="L40" s="1719"/>
      <c r="M40" s="1737"/>
      <c r="N40" s="1721"/>
      <c r="O40" s="1737"/>
      <c r="P40" s="1737"/>
      <c r="Q40" s="1722">
        <f t="shared" si="5"/>
        <v>3.2</v>
      </c>
      <c r="R40" s="1723">
        <f>VLOOKUP(C40,'sản lượng'!$D$14:$AP$97,35,0)</f>
        <v>2176.5668555916682</v>
      </c>
      <c r="S40" s="1724"/>
      <c r="T40" s="1725">
        <f t="shared" si="2"/>
        <v>0</v>
      </c>
      <c r="U40" s="1726">
        <f t="shared" si="3"/>
        <v>2176.5668555916682</v>
      </c>
      <c r="V40" s="1727">
        <f>VLOOKUP(TONGHOPCONGDOI!C40,'CHẤM CÔNG '!$E$13:$AL$96,34,0)</f>
        <v>27</v>
      </c>
      <c r="W40" s="1727">
        <f>VLOOKUP(C40,'CHẤM CÔNG '!$E$13:$AM$96,35,0)</f>
        <v>4</v>
      </c>
      <c r="X40" s="1727">
        <f>VLOOKUP(C40,'CHẤM CÔNG '!$E$13:$AR$96,36,0)</f>
        <v>0</v>
      </c>
      <c r="Y40" s="1729">
        <f>VLOOKUP(C40,'CHẤM CÔNG '!$E$13:$AQ$96,37,0)</f>
        <v>0</v>
      </c>
      <c r="Z40" s="1729">
        <f>VLOOKUP(C40,'CHẤM CÔNG '!$E$13:$AQ$96,38,0)</f>
        <v>0</v>
      </c>
      <c r="AA40" s="1729">
        <f>VLOOKUP(C40,'CHẤM CÔNG '!$E$13:$AQ$96,39,0)</f>
        <v>0</v>
      </c>
      <c r="AB40" s="1730"/>
      <c r="AC40" s="1735">
        <f t="shared" si="4"/>
        <v>3.2</v>
      </c>
      <c r="AD40" s="1834">
        <f>VLOOKUP(C40,'sản lượng'!$D$14:$AP$97,36,0)</f>
        <v>5121</v>
      </c>
      <c r="AE40" s="1736"/>
      <c r="AF40" s="1708"/>
      <c r="AH40" s="1710"/>
      <c r="AI40" s="1711"/>
      <c r="AJ40" s="1712"/>
      <c r="AK40" s="1712"/>
      <c r="AL40" s="1712"/>
      <c r="AM40" s="1712"/>
      <c r="AN40" s="1712"/>
      <c r="AO40" s="1712"/>
    </row>
    <row r="41" spans="1:41" ht="18.75" customHeight="1">
      <c r="A41" s="1713">
        <v>31</v>
      </c>
      <c r="B41" s="1714" t="s">
        <v>3132</v>
      </c>
      <c r="C41" s="1715" t="s">
        <v>1724</v>
      </c>
      <c r="D41" s="1734" t="s">
        <v>15</v>
      </c>
      <c r="E41" s="1717">
        <v>3.2</v>
      </c>
      <c r="F41" s="1717"/>
      <c r="G41" s="1717"/>
      <c r="H41" s="1717"/>
      <c r="I41" s="1717"/>
      <c r="J41" s="1718"/>
      <c r="K41" s="1719"/>
      <c r="L41" s="1719"/>
      <c r="M41" s="1737"/>
      <c r="N41" s="1721"/>
      <c r="O41" s="1737"/>
      <c r="P41" s="1737"/>
      <c r="Q41" s="1722">
        <f t="shared" si="5"/>
        <v>3.2</v>
      </c>
      <c r="R41" s="1723">
        <f>VLOOKUP(C41,'sản lượng'!$D$14:$AP$97,35,0)</f>
        <v>1965.3280883139764</v>
      </c>
      <c r="S41" s="1724"/>
      <c r="T41" s="1725">
        <f t="shared" si="2"/>
        <v>0</v>
      </c>
      <c r="U41" s="1726">
        <f t="shared" si="3"/>
        <v>1965.3280883139764</v>
      </c>
      <c r="V41" s="1727">
        <f>VLOOKUP(TONGHOPCONGDOI!C41,'CHẤM CÔNG '!$E$13:$AL$96,34,0)</f>
        <v>27</v>
      </c>
      <c r="W41" s="1727">
        <f>VLOOKUP(C41,'CHẤM CÔNG '!$E$13:$AM$96,35,0)</f>
        <v>4</v>
      </c>
      <c r="X41" s="1727">
        <f>VLOOKUP(C41,'CHẤM CÔNG '!$E$13:$AR$96,36,0)</f>
        <v>0</v>
      </c>
      <c r="Y41" s="1729">
        <f>VLOOKUP(C41,'CHẤM CÔNG '!$E$13:$AQ$96,37,0)</f>
        <v>0</v>
      </c>
      <c r="Z41" s="1729">
        <f>VLOOKUP(C41,'CHẤM CÔNG '!$E$13:$AQ$96,38,0)</f>
        <v>0</v>
      </c>
      <c r="AA41" s="1729">
        <f>VLOOKUP(C41,'CHẤM CÔNG '!$E$13:$AQ$96,39,0)</f>
        <v>0</v>
      </c>
      <c r="AB41" s="1730"/>
      <c r="AC41" s="1735">
        <f t="shared" si="4"/>
        <v>3.2</v>
      </c>
      <c r="AD41" s="1834">
        <f>VLOOKUP(C41,'sản lượng'!$D$14:$AP$97,36,0)</f>
        <v>4624</v>
      </c>
      <c r="AE41" s="1736"/>
      <c r="AF41" s="1708"/>
      <c r="AH41" s="1710"/>
      <c r="AI41" s="1711"/>
      <c r="AJ41" s="1712"/>
      <c r="AK41" s="1712"/>
      <c r="AL41" s="1712"/>
      <c r="AM41" s="1712"/>
      <c r="AN41" s="1712"/>
      <c r="AO41" s="1712"/>
    </row>
    <row r="42" spans="1:41" ht="18.75" customHeight="1">
      <c r="A42" s="1733">
        <v>32</v>
      </c>
      <c r="B42" s="1714" t="s">
        <v>3133</v>
      </c>
      <c r="C42" s="1715" t="s">
        <v>3101</v>
      </c>
      <c r="D42" s="1734" t="s">
        <v>15</v>
      </c>
      <c r="E42" s="1717">
        <v>3.2</v>
      </c>
      <c r="F42" s="1717"/>
      <c r="G42" s="1717"/>
      <c r="H42" s="1717"/>
      <c r="I42" s="1717"/>
      <c r="J42" s="1718"/>
      <c r="K42" s="1719"/>
      <c r="L42" s="1719"/>
      <c r="M42" s="1737"/>
      <c r="N42" s="1721"/>
      <c r="O42" s="1737"/>
      <c r="P42" s="1737"/>
      <c r="Q42" s="1722">
        <f t="shared" si="5"/>
        <v>3.2</v>
      </c>
      <c r="R42" s="1723">
        <f>VLOOKUP(C42,'sản lượng'!$D$14:$AP$97,35,0)</f>
        <v>1970.8534484238558</v>
      </c>
      <c r="S42" s="1724"/>
      <c r="T42" s="1725">
        <f t="shared" si="2"/>
        <v>0</v>
      </c>
      <c r="U42" s="1726">
        <f t="shared" si="3"/>
        <v>1970.8534484238558</v>
      </c>
      <c r="V42" s="1727">
        <f>VLOOKUP(TONGHOPCONGDOI!C42,'CHẤM CÔNG '!$E$13:$AL$96,34,0)</f>
        <v>27</v>
      </c>
      <c r="W42" s="1727">
        <f>VLOOKUP(C42,'CHẤM CÔNG '!$E$13:$AM$96,35,0)</f>
        <v>4</v>
      </c>
      <c r="X42" s="1727">
        <f>VLOOKUP(C42,'CHẤM CÔNG '!$E$13:$AR$96,36,0)</f>
        <v>0</v>
      </c>
      <c r="Y42" s="1729">
        <f>VLOOKUP(C42,'CHẤM CÔNG '!$E$13:$AQ$96,37,0)</f>
        <v>0</v>
      </c>
      <c r="Z42" s="1729">
        <f>VLOOKUP(C42,'CHẤM CÔNG '!$E$13:$AQ$96,38,0)</f>
        <v>0</v>
      </c>
      <c r="AA42" s="1729">
        <f>VLOOKUP(C42,'CHẤM CÔNG '!$E$13:$AQ$96,39,0)</f>
        <v>0</v>
      </c>
      <c r="AB42" s="1730"/>
      <c r="AC42" s="1735">
        <f t="shared" si="4"/>
        <v>3.2</v>
      </c>
      <c r="AD42" s="1834">
        <f>VLOOKUP(C42,'sản lượng'!$D$14:$AP$97,36,0)</f>
        <v>4637</v>
      </c>
      <c r="AE42" s="1736"/>
      <c r="AF42" s="1708"/>
      <c r="AG42" s="1710"/>
      <c r="AH42" s="1710"/>
      <c r="AI42" s="1711"/>
      <c r="AJ42" s="1712"/>
      <c r="AK42" s="1712"/>
      <c r="AL42" s="1712"/>
      <c r="AM42" s="1712"/>
      <c r="AN42" s="1712"/>
      <c r="AO42" s="1712"/>
    </row>
    <row r="43" spans="1:41" ht="18.75" customHeight="1">
      <c r="A43" s="1713">
        <v>33</v>
      </c>
      <c r="B43" s="1714" t="s">
        <v>3134</v>
      </c>
      <c r="C43" s="1715" t="s">
        <v>3367</v>
      </c>
      <c r="D43" s="1734" t="s">
        <v>15</v>
      </c>
      <c r="E43" s="1717">
        <v>3.2</v>
      </c>
      <c r="F43" s="1717"/>
      <c r="G43" s="1717"/>
      <c r="H43" s="1717"/>
      <c r="I43" s="1717"/>
      <c r="J43" s="1718"/>
      <c r="K43" s="1719"/>
      <c r="L43" s="1719"/>
      <c r="M43" s="1737"/>
      <c r="N43" s="1721"/>
      <c r="O43" s="1737"/>
      <c r="P43" s="1737"/>
      <c r="Q43" s="1722">
        <f t="shared" si="5"/>
        <v>3.2</v>
      </c>
      <c r="R43" s="1723">
        <f>VLOOKUP(C43,'sản lượng'!$D$14:$AP$97,35,0)</f>
        <v>1617.2304013915832</v>
      </c>
      <c r="S43" s="1724"/>
      <c r="T43" s="1725">
        <f t="shared" si="2"/>
        <v>0</v>
      </c>
      <c r="U43" s="1726">
        <f t="shared" si="3"/>
        <v>1617.2304013915832</v>
      </c>
      <c r="V43" s="1727">
        <f>VLOOKUP(TONGHOPCONGDOI!C43,'CHẤM CÔNG '!$E$13:$AL$96,34,0)</f>
        <v>27</v>
      </c>
      <c r="W43" s="1727">
        <f>VLOOKUP(C43,'CHẤM CÔNG '!$E$13:$AM$96,35,0)</f>
        <v>4</v>
      </c>
      <c r="X43" s="1727">
        <f>VLOOKUP(C43,'CHẤM CÔNG '!$E$13:$AR$96,36,0)</f>
        <v>0</v>
      </c>
      <c r="Y43" s="1729">
        <f>VLOOKUP(C43,'CHẤM CÔNG '!$E$13:$AQ$96,37,0)</f>
        <v>0</v>
      </c>
      <c r="Z43" s="1729">
        <f>VLOOKUP(C43,'CHẤM CÔNG '!$E$13:$AQ$96,38,0)</f>
        <v>0</v>
      </c>
      <c r="AA43" s="1729">
        <f>VLOOKUP(C43,'CHẤM CÔNG '!$E$13:$AQ$96,39,0)</f>
        <v>0</v>
      </c>
      <c r="AB43" s="1730"/>
      <c r="AC43" s="1735">
        <f t="shared" si="4"/>
        <v>3.2</v>
      </c>
      <c r="AD43" s="1834">
        <f>VLOOKUP(C43,'sản lượng'!$D$14:$AP$97,36,0)</f>
        <v>3805</v>
      </c>
      <c r="AE43" s="1736"/>
      <c r="AF43" s="1708"/>
      <c r="AG43" s="1710"/>
      <c r="AH43" s="1710"/>
      <c r="AI43" s="1711"/>
      <c r="AJ43" s="1712"/>
      <c r="AK43" s="1712"/>
      <c r="AL43" s="1712"/>
      <c r="AM43" s="1712"/>
      <c r="AN43" s="1712"/>
      <c r="AO43" s="1712"/>
    </row>
    <row r="44" spans="1:41" ht="18.75" customHeight="1">
      <c r="A44" s="1733">
        <v>34</v>
      </c>
      <c r="B44" s="1714" t="s">
        <v>3135</v>
      </c>
      <c r="C44" s="1715" t="s">
        <v>3368</v>
      </c>
      <c r="D44" s="1734" t="s">
        <v>15</v>
      </c>
      <c r="E44" s="1717">
        <v>3.2</v>
      </c>
      <c r="F44" s="1717"/>
      <c r="G44" s="1717"/>
      <c r="H44" s="1717"/>
      <c r="I44" s="1717"/>
      <c r="J44" s="1718"/>
      <c r="K44" s="1719"/>
      <c r="L44" s="1719"/>
      <c r="M44" s="1737"/>
      <c r="N44" s="1721"/>
      <c r="O44" s="1737"/>
      <c r="P44" s="1737"/>
      <c r="Q44" s="1722">
        <f t="shared" si="5"/>
        <v>3.2</v>
      </c>
      <c r="R44" s="1723">
        <f>VLOOKUP(C44,'sản lượng'!$D$14:$AP$97,35,0)</f>
        <v>1742.1885454150063</v>
      </c>
      <c r="S44" s="1724"/>
      <c r="T44" s="1725">
        <f t="shared" si="2"/>
        <v>0</v>
      </c>
      <c r="U44" s="1726">
        <f t="shared" si="3"/>
        <v>1742.1885454150063</v>
      </c>
      <c r="V44" s="1727">
        <f>VLOOKUP(TONGHOPCONGDOI!C44,'CHẤM CÔNG '!$E$13:$AL$96,34,0)</f>
        <v>25</v>
      </c>
      <c r="W44" s="1727">
        <f>VLOOKUP(C44,'CHẤM CÔNG '!$E$13:$AM$96,35,0)</f>
        <v>4</v>
      </c>
      <c r="X44" s="1727">
        <f>VLOOKUP(C44,'CHẤM CÔNG '!$E$13:$AR$96,36,0)</f>
        <v>0</v>
      </c>
      <c r="Y44" s="1729">
        <f>VLOOKUP(C44,'CHẤM CÔNG '!$E$13:$AQ$96,37,0)</f>
        <v>0</v>
      </c>
      <c r="Z44" s="1729">
        <f>VLOOKUP(C44,'CHẤM CÔNG '!$E$13:$AQ$96,38,0)</f>
        <v>0</v>
      </c>
      <c r="AA44" s="1729">
        <f>VLOOKUP(C44,'CHẤM CÔNG '!$E$13:$AQ$96,39,0)</f>
        <v>0</v>
      </c>
      <c r="AB44" s="1730"/>
      <c r="AC44" s="1735">
        <f t="shared" si="4"/>
        <v>3.2</v>
      </c>
      <c r="AD44" s="1834">
        <f>VLOOKUP(C44,'sản lượng'!$D$14:$AP$97,36,0)</f>
        <v>4099</v>
      </c>
      <c r="AE44" s="1736"/>
      <c r="AF44" s="1708"/>
      <c r="AG44" s="1710"/>
      <c r="AH44" s="1710"/>
      <c r="AI44" s="1711"/>
      <c r="AJ44" s="1712"/>
      <c r="AK44" s="1712"/>
      <c r="AL44" s="1712"/>
      <c r="AM44" s="1712"/>
      <c r="AN44" s="1712"/>
      <c r="AO44" s="1712"/>
    </row>
    <row r="45" spans="1:41" ht="18.75" customHeight="1">
      <c r="A45" s="1713">
        <v>35</v>
      </c>
      <c r="B45" s="1714" t="s">
        <v>3136</v>
      </c>
      <c r="C45" s="1715" t="s">
        <v>1727</v>
      </c>
      <c r="D45" s="1734" t="s">
        <v>15</v>
      </c>
      <c r="E45" s="1717">
        <v>3.2</v>
      </c>
      <c r="F45" s="1717"/>
      <c r="G45" s="1717"/>
      <c r="H45" s="1717"/>
      <c r="I45" s="1717"/>
      <c r="J45" s="1718"/>
      <c r="K45" s="1719"/>
      <c r="L45" s="1719"/>
      <c r="M45" s="1737"/>
      <c r="N45" s="1721"/>
      <c r="O45" s="1737"/>
      <c r="P45" s="1737"/>
      <c r="Q45" s="1722">
        <f t="shared" si="5"/>
        <v>3.2</v>
      </c>
      <c r="R45" s="1723">
        <f>VLOOKUP(C45,'sản lượng'!$D$14:$AP$97,35,0)</f>
        <v>2074.1351797085217</v>
      </c>
      <c r="S45" s="1724"/>
      <c r="T45" s="1725">
        <f t="shared" si="2"/>
        <v>0</v>
      </c>
      <c r="U45" s="1726">
        <f t="shared" si="3"/>
        <v>2074.1351797085217</v>
      </c>
      <c r="V45" s="1727">
        <f>VLOOKUP(TONGHOPCONGDOI!C45,'CHẤM CÔNG '!$E$13:$AL$96,34,0)</f>
        <v>27</v>
      </c>
      <c r="W45" s="1727">
        <f>VLOOKUP(C45,'CHẤM CÔNG '!$E$13:$AM$96,35,0)</f>
        <v>4</v>
      </c>
      <c r="X45" s="1727">
        <f>VLOOKUP(C45,'CHẤM CÔNG '!$E$13:$AR$96,36,0)</f>
        <v>0</v>
      </c>
      <c r="Y45" s="1729">
        <f>VLOOKUP(C45,'CHẤM CÔNG '!$E$13:$AQ$96,37,0)</f>
        <v>0</v>
      </c>
      <c r="Z45" s="1729">
        <f>VLOOKUP(C45,'CHẤM CÔNG '!$E$13:$AQ$96,38,0)</f>
        <v>0</v>
      </c>
      <c r="AA45" s="1729">
        <f>VLOOKUP(C45,'CHẤM CÔNG '!$E$13:$AQ$96,39,0)</f>
        <v>0</v>
      </c>
      <c r="AB45" s="1730"/>
      <c r="AC45" s="1735">
        <f t="shared" si="4"/>
        <v>3.2</v>
      </c>
      <c r="AD45" s="1834">
        <f>VLOOKUP(C45,'sản lượng'!$D$14:$AP$97,36,0)</f>
        <v>4880</v>
      </c>
      <c r="AE45" s="1736"/>
      <c r="AF45" s="1708"/>
      <c r="AH45" s="1710"/>
      <c r="AI45" s="1711"/>
      <c r="AJ45" s="1712"/>
      <c r="AK45" s="1712"/>
      <c r="AL45" s="1712"/>
      <c r="AM45" s="1712"/>
      <c r="AN45" s="1712"/>
      <c r="AO45" s="1712"/>
    </row>
    <row r="46" spans="1:41" ht="18.75" customHeight="1">
      <c r="A46" s="1733">
        <v>36</v>
      </c>
      <c r="B46" s="1714" t="s">
        <v>3137</v>
      </c>
      <c r="C46" s="1715" t="s">
        <v>1728</v>
      </c>
      <c r="D46" s="1734" t="s">
        <v>15</v>
      </c>
      <c r="E46" s="1717">
        <v>3.2</v>
      </c>
      <c r="F46" s="1717"/>
      <c r="G46" s="1717"/>
      <c r="H46" s="1717"/>
      <c r="I46" s="1717"/>
      <c r="J46" s="1718"/>
      <c r="K46" s="1719"/>
      <c r="L46" s="1719"/>
      <c r="M46" s="1737"/>
      <c r="N46" s="1721"/>
      <c r="O46" s="1737"/>
      <c r="P46" s="1737"/>
      <c r="Q46" s="1722">
        <f t="shared" si="5"/>
        <v>3.2</v>
      </c>
      <c r="R46" s="1723">
        <f>VLOOKUP(C46,'sản lượng'!$D$14:$AP$97,35,0)</f>
        <v>2016.7564401059296</v>
      </c>
      <c r="S46" s="1724"/>
      <c r="T46" s="1725">
        <f t="shared" si="2"/>
        <v>0</v>
      </c>
      <c r="U46" s="1726">
        <f t="shared" si="3"/>
        <v>2016.7564401059296</v>
      </c>
      <c r="V46" s="1727">
        <f>VLOOKUP(TONGHOPCONGDOI!C46,'CHẤM CÔNG '!$E$13:$AL$96,34,0)</f>
        <v>27</v>
      </c>
      <c r="W46" s="1727">
        <f>VLOOKUP(C46,'CHẤM CÔNG '!$E$13:$AM$96,35,0)</f>
        <v>4</v>
      </c>
      <c r="X46" s="1727">
        <f>VLOOKUP(C46,'CHẤM CÔNG '!$E$13:$AR$96,36,0)</f>
        <v>0</v>
      </c>
      <c r="Y46" s="1729">
        <f>VLOOKUP(C46,'CHẤM CÔNG '!$E$13:$AQ$96,37,0)</f>
        <v>0</v>
      </c>
      <c r="Z46" s="1729">
        <f>VLOOKUP(C46,'CHẤM CÔNG '!$E$13:$AQ$96,38,0)</f>
        <v>0</v>
      </c>
      <c r="AA46" s="1729">
        <f>VLOOKUP(C46,'CHẤM CÔNG '!$E$13:$AQ$96,39,0)</f>
        <v>0</v>
      </c>
      <c r="AB46" s="1730"/>
      <c r="AC46" s="1735">
        <f t="shared" si="4"/>
        <v>3.2</v>
      </c>
      <c r="AD46" s="1834">
        <f>VLOOKUP(C46,'sản lượng'!$D$14:$AP$97,36,0)</f>
        <v>4745</v>
      </c>
      <c r="AE46" s="1736"/>
      <c r="AF46" s="1708"/>
      <c r="AH46" s="1710"/>
      <c r="AI46" s="1711"/>
      <c r="AJ46" s="1712"/>
      <c r="AK46" s="1712"/>
      <c r="AL46" s="1712"/>
      <c r="AM46" s="1712"/>
      <c r="AN46" s="1712"/>
      <c r="AO46" s="1712"/>
    </row>
    <row r="47" spans="1:41" ht="18.75" customHeight="1">
      <c r="A47" s="1713">
        <v>37</v>
      </c>
      <c r="B47" s="1714" t="s">
        <v>3138</v>
      </c>
      <c r="C47" s="1715" t="s">
        <v>3102</v>
      </c>
      <c r="D47" s="1734" t="s">
        <v>15</v>
      </c>
      <c r="E47" s="1717">
        <v>3.2</v>
      </c>
      <c r="F47" s="1717"/>
      <c r="G47" s="1717"/>
      <c r="H47" s="1717"/>
      <c r="I47" s="1717"/>
      <c r="J47" s="1718"/>
      <c r="K47" s="1719"/>
      <c r="L47" s="1719"/>
      <c r="M47" s="1737"/>
      <c r="N47" s="1721"/>
      <c r="O47" s="1737"/>
      <c r="P47" s="1737"/>
      <c r="Q47" s="1722">
        <f t="shared" si="5"/>
        <v>3.2</v>
      </c>
      <c r="R47" s="1723">
        <f>VLOOKUP(C47,'sản lượng'!$D$14:$AP$97,35,0)</f>
        <v>1784.2662877902408</v>
      </c>
      <c r="S47" s="1724"/>
      <c r="T47" s="1725">
        <f t="shared" si="2"/>
        <v>0</v>
      </c>
      <c r="U47" s="1726">
        <f t="shared" si="3"/>
        <v>1784.2662877902408</v>
      </c>
      <c r="V47" s="1727">
        <f>VLOOKUP(TONGHOPCONGDOI!C47,'CHẤM CÔNG '!$E$13:$AL$96,34,0)</f>
        <v>27</v>
      </c>
      <c r="W47" s="1727">
        <f>VLOOKUP(C47,'CHẤM CÔNG '!$E$13:$AM$96,35,0)</f>
        <v>4</v>
      </c>
      <c r="X47" s="1727">
        <f>VLOOKUP(C47,'CHẤM CÔNG '!$E$13:$AR$96,36,0)</f>
        <v>0</v>
      </c>
      <c r="Y47" s="1729">
        <f>VLOOKUP(C47,'CHẤM CÔNG '!$E$13:$AQ$96,37,0)</f>
        <v>0</v>
      </c>
      <c r="Z47" s="1729">
        <f>VLOOKUP(C47,'CHẤM CÔNG '!$E$13:$AQ$96,38,0)</f>
        <v>0</v>
      </c>
      <c r="AA47" s="1729">
        <f>VLOOKUP(C47,'CHẤM CÔNG '!$E$13:$AQ$96,39,0)</f>
        <v>0</v>
      </c>
      <c r="AB47" s="1730"/>
      <c r="AC47" s="1735">
        <f t="shared" si="4"/>
        <v>3.2</v>
      </c>
      <c r="AD47" s="1834">
        <f>VLOOKUP(C47,'sản lượng'!$D$14:$AP$97,36,0)</f>
        <v>4198</v>
      </c>
      <c r="AE47" s="1736"/>
      <c r="AF47" s="1708"/>
      <c r="AH47" s="1710"/>
      <c r="AI47" s="1711"/>
      <c r="AJ47" s="1712"/>
      <c r="AK47" s="1712"/>
      <c r="AL47" s="1712"/>
      <c r="AM47" s="1712"/>
      <c r="AN47" s="1712"/>
      <c r="AO47" s="1712"/>
    </row>
    <row r="48" spans="1:41" ht="18.75" customHeight="1">
      <c r="A48" s="1733">
        <v>38</v>
      </c>
      <c r="B48" s="1714" t="s">
        <v>3139</v>
      </c>
      <c r="C48" s="1715" t="s">
        <v>1730</v>
      </c>
      <c r="D48" s="1734" t="s">
        <v>15</v>
      </c>
      <c r="E48" s="1717">
        <v>3.2</v>
      </c>
      <c r="F48" s="1717"/>
      <c r="G48" s="1717"/>
      <c r="H48" s="1717"/>
      <c r="I48" s="1717"/>
      <c r="J48" s="1718"/>
      <c r="K48" s="1719"/>
      <c r="L48" s="1719"/>
      <c r="M48" s="1737"/>
      <c r="N48" s="1721"/>
      <c r="O48" s="1737"/>
      <c r="P48" s="1737"/>
      <c r="Q48" s="1722">
        <f t="shared" si="5"/>
        <v>3.2</v>
      </c>
      <c r="R48" s="1723">
        <f>VLOOKUP(C48,'sản lượng'!$D$14:$AP$97,35,0)</f>
        <v>1146.7247366503261</v>
      </c>
      <c r="S48" s="1724"/>
      <c r="T48" s="1725">
        <f t="shared" si="2"/>
        <v>0</v>
      </c>
      <c r="U48" s="1726">
        <f t="shared" si="3"/>
        <v>1146.7247366503261</v>
      </c>
      <c r="V48" s="1727">
        <f>VLOOKUP(TONGHOPCONGDOI!C48,'CHẤM CÔNG '!$E$13:$AL$96,34,0)</f>
        <v>18</v>
      </c>
      <c r="W48" s="1727">
        <f>VLOOKUP(C48,'CHẤM CÔNG '!$E$13:$AM$96,35,0)</f>
        <v>3</v>
      </c>
      <c r="X48" s="1727">
        <f>VLOOKUP(C48,'CHẤM CÔNG '!$E$13:$AR$96,36,0)</f>
        <v>0</v>
      </c>
      <c r="Y48" s="1729">
        <f>VLOOKUP(C48,'CHẤM CÔNG '!$E$13:$AQ$96,37,0)</f>
        <v>0</v>
      </c>
      <c r="Z48" s="1729">
        <f>VLOOKUP(C48,'CHẤM CÔNG '!$E$13:$AQ$96,38,0)</f>
        <v>0</v>
      </c>
      <c r="AA48" s="1729">
        <f>VLOOKUP(C48,'CHẤM CÔNG '!$E$13:$AQ$96,39,0)</f>
        <v>0</v>
      </c>
      <c r="AB48" s="1730"/>
      <c r="AC48" s="1735">
        <f t="shared" si="4"/>
        <v>3.2</v>
      </c>
      <c r="AD48" s="1834">
        <f>VLOOKUP(C48,'sản lượng'!$D$14:$AP$97,36,0)</f>
        <v>2698</v>
      </c>
      <c r="AE48" s="1736"/>
      <c r="AF48" s="1708"/>
      <c r="AH48" s="1710"/>
      <c r="AI48" s="1711"/>
      <c r="AJ48" s="1712"/>
      <c r="AK48" s="1712"/>
      <c r="AL48" s="1712"/>
      <c r="AM48" s="1712"/>
      <c r="AN48" s="1712"/>
      <c r="AO48" s="1712"/>
    </row>
    <row r="49" spans="1:41" ht="18.75" customHeight="1">
      <c r="A49" s="1713">
        <v>39</v>
      </c>
      <c r="B49" s="1714" t="s">
        <v>3140</v>
      </c>
      <c r="C49" s="1715" t="s">
        <v>1731</v>
      </c>
      <c r="D49" s="1734" t="s">
        <v>15</v>
      </c>
      <c r="E49" s="1717">
        <v>3.2</v>
      </c>
      <c r="F49" s="1717"/>
      <c r="G49" s="1717"/>
      <c r="H49" s="1717"/>
      <c r="I49" s="1717"/>
      <c r="J49" s="1718"/>
      <c r="K49" s="1719"/>
      <c r="L49" s="1719"/>
      <c r="M49" s="1737"/>
      <c r="N49" s="1721"/>
      <c r="O49" s="1737"/>
      <c r="P49" s="1737"/>
      <c r="Q49" s="1722">
        <f t="shared" si="5"/>
        <v>3.2</v>
      </c>
      <c r="R49" s="1723">
        <f>VLOOKUP(C49,'sản lượng'!$D$14:$AP$97,35,0)</f>
        <v>2077.5354013146016</v>
      </c>
      <c r="S49" s="1724"/>
      <c r="T49" s="1725">
        <f t="shared" si="2"/>
        <v>0</v>
      </c>
      <c r="U49" s="1726">
        <f t="shared" si="3"/>
        <v>2077.5354013146016</v>
      </c>
      <c r="V49" s="1727">
        <f>VLOOKUP(TONGHOPCONGDOI!C49,'CHẤM CÔNG '!$E$13:$AL$96,34,0)</f>
        <v>27</v>
      </c>
      <c r="W49" s="1727">
        <f>VLOOKUP(C49,'CHẤM CÔNG '!$E$13:$AM$96,35,0)</f>
        <v>4</v>
      </c>
      <c r="X49" s="1727">
        <f>VLOOKUP(C49,'CHẤM CÔNG '!$E$13:$AR$96,36,0)</f>
        <v>0</v>
      </c>
      <c r="Y49" s="1729">
        <f>VLOOKUP(C49,'CHẤM CÔNG '!$E$13:$AQ$96,37,0)</f>
        <v>0</v>
      </c>
      <c r="Z49" s="1729">
        <f>VLOOKUP(C49,'CHẤM CÔNG '!$E$13:$AQ$96,38,0)</f>
        <v>0</v>
      </c>
      <c r="AA49" s="1729">
        <f>VLOOKUP(C49,'CHẤM CÔNG '!$E$13:$AQ$96,39,0)</f>
        <v>0</v>
      </c>
      <c r="AB49" s="1730"/>
      <c r="AC49" s="1735">
        <f t="shared" si="4"/>
        <v>3.2</v>
      </c>
      <c r="AD49" s="1834">
        <f>VLOOKUP(C49,'sản lượng'!$D$14:$AP$97,36,0)</f>
        <v>4888</v>
      </c>
      <c r="AE49" s="1736"/>
      <c r="AF49" s="1708"/>
      <c r="AH49" s="1712"/>
      <c r="AI49" s="1738"/>
      <c r="AJ49" s="1712"/>
      <c r="AK49" s="1712"/>
      <c r="AL49" s="1712"/>
      <c r="AM49" s="1712"/>
      <c r="AN49" s="1712"/>
      <c r="AO49" s="1712"/>
    </row>
    <row r="50" spans="1:41" ht="18.75" customHeight="1">
      <c r="A50" s="1733">
        <v>40</v>
      </c>
      <c r="B50" s="1714" t="s">
        <v>3141</v>
      </c>
      <c r="C50" s="1715" t="s">
        <v>1492</v>
      </c>
      <c r="D50" s="1734" t="s">
        <v>15</v>
      </c>
      <c r="E50" s="1717">
        <v>3.2</v>
      </c>
      <c r="F50" s="1717"/>
      <c r="G50" s="1717"/>
      <c r="H50" s="1717"/>
      <c r="I50" s="1717"/>
      <c r="J50" s="1718"/>
      <c r="K50" s="1719"/>
      <c r="L50" s="1719"/>
      <c r="M50" s="1737"/>
      <c r="N50" s="1721"/>
      <c r="O50" s="1737"/>
      <c r="P50" s="1737"/>
      <c r="Q50" s="1722">
        <f t="shared" si="5"/>
        <v>3.2</v>
      </c>
      <c r="R50" s="1723">
        <f>VLOOKUP(C50,'sản lượng'!$D$14:$AP$97,35,0)</f>
        <v>1859.0711631239908</v>
      </c>
      <c r="S50" s="1724"/>
      <c r="T50" s="1725">
        <f t="shared" si="2"/>
        <v>0</v>
      </c>
      <c r="U50" s="1726">
        <f t="shared" si="3"/>
        <v>1859.0711631239908</v>
      </c>
      <c r="V50" s="1727">
        <f>VLOOKUP(TONGHOPCONGDOI!C50,'CHẤM CÔNG '!$E$13:$AL$96,34,0)</f>
        <v>27</v>
      </c>
      <c r="W50" s="1727">
        <f>VLOOKUP(C50,'CHẤM CÔNG '!$E$13:$AM$96,35,0)</f>
        <v>4</v>
      </c>
      <c r="X50" s="1727">
        <f>VLOOKUP(C50,'CHẤM CÔNG '!$E$13:$AR$96,36,0)</f>
        <v>0</v>
      </c>
      <c r="Y50" s="1729">
        <f>VLOOKUP(C50,'CHẤM CÔNG '!$E$13:$AQ$96,37,0)</f>
        <v>0</v>
      </c>
      <c r="Z50" s="1729">
        <f>VLOOKUP(C50,'CHẤM CÔNG '!$E$13:$AQ$96,38,0)</f>
        <v>0</v>
      </c>
      <c r="AA50" s="1729">
        <f>VLOOKUP(C50,'CHẤM CÔNG '!$E$13:$AQ$96,39,0)</f>
        <v>0</v>
      </c>
      <c r="AB50" s="1730"/>
      <c r="AC50" s="1735">
        <f t="shared" si="4"/>
        <v>3.2</v>
      </c>
      <c r="AD50" s="1834">
        <f>VLOOKUP(C50,'sản lượng'!$D$14:$AP$97,36,0)</f>
        <v>4374</v>
      </c>
      <c r="AE50" s="1736"/>
      <c r="AF50" s="1708"/>
      <c r="AG50" s="1710"/>
      <c r="AH50" s="1712"/>
      <c r="AI50" s="1738"/>
      <c r="AJ50" s="1712"/>
      <c r="AK50" s="1712"/>
      <c r="AL50" s="1712"/>
      <c r="AM50" s="1712"/>
      <c r="AN50" s="1712"/>
      <c r="AO50" s="1712"/>
    </row>
    <row r="51" spans="1:41" ht="18.75" customHeight="1">
      <c r="A51" s="1713">
        <v>41</v>
      </c>
      <c r="B51" s="2220"/>
      <c r="C51" s="2221" t="s">
        <v>3398</v>
      </c>
      <c r="D51" s="1734" t="s">
        <v>15</v>
      </c>
      <c r="E51" s="1717">
        <v>3.2</v>
      </c>
      <c r="F51" s="1717"/>
      <c r="G51" s="1717"/>
      <c r="H51" s="1717"/>
      <c r="I51" s="1717"/>
      <c r="J51" s="1718"/>
      <c r="K51" s="1719"/>
      <c r="L51" s="1719"/>
      <c r="M51" s="1737"/>
      <c r="N51" s="1721"/>
      <c r="O51" s="1737"/>
      <c r="P51" s="1737"/>
      <c r="Q51" s="1722">
        <f t="shared" si="5"/>
        <v>3.2</v>
      </c>
      <c r="R51" s="1723">
        <f>VLOOKUP(C51,'sản lượng'!$D$14:$AP$97,35,0)</f>
        <v>2219.4946533684224</v>
      </c>
      <c r="S51" s="1724"/>
      <c r="T51" s="1725">
        <f t="shared" si="2"/>
        <v>0</v>
      </c>
      <c r="U51" s="1726">
        <f t="shared" si="3"/>
        <v>2219.4946533684224</v>
      </c>
      <c r="V51" s="1727">
        <f>VLOOKUP(TONGHOPCONGDOI!C51,'CHẤM CÔNG '!$E$13:$AL$96,34,0)</f>
        <v>27</v>
      </c>
      <c r="W51" s="1727">
        <f>VLOOKUP(C51,'CHẤM CÔNG '!$E$13:$AM$96,35,0)</f>
        <v>4</v>
      </c>
      <c r="X51" s="1727">
        <f>VLOOKUP(C51,'CHẤM CÔNG '!$E$13:$AR$96,36,0)</f>
        <v>0</v>
      </c>
      <c r="Y51" s="1729">
        <f>VLOOKUP(C51,'CHẤM CÔNG '!$E$13:$AQ$96,37,0)</f>
        <v>0</v>
      </c>
      <c r="Z51" s="1729">
        <f>VLOOKUP(C51,'CHẤM CÔNG '!$E$13:$AQ$96,38,0)</f>
        <v>0</v>
      </c>
      <c r="AA51" s="1729">
        <f>VLOOKUP(C51,'CHẤM CÔNG '!$E$13:$AQ$96,39,0)</f>
        <v>0</v>
      </c>
      <c r="AB51" s="1730"/>
      <c r="AC51" s="1735">
        <f t="shared" si="4"/>
        <v>3.2</v>
      </c>
      <c r="AD51" s="1834">
        <f>VLOOKUP(C51,'sản lượng'!$D$14:$AP$97,36,0)</f>
        <v>5222</v>
      </c>
      <c r="AE51" s="1736"/>
      <c r="AF51" s="1708"/>
      <c r="AH51" s="1712"/>
      <c r="AI51" s="1738"/>
      <c r="AJ51" s="1712"/>
      <c r="AK51" s="1712"/>
      <c r="AL51" s="1712"/>
      <c r="AM51" s="1712"/>
      <c r="AN51" s="1712"/>
      <c r="AO51" s="1712"/>
    </row>
    <row r="52" spans="1:41" ht="18.75" customHeight="1">
      <c r="A52" s="1733">
        <v>42</v>
      </c>
      <c r="B52" s="1714" t="s">
        <v>3143</v>
      </c>
      <c r="C52" s="1715" t="s">
        <v>3369</v>
      </c>
      <c r="D52" s="1734" t="s">
        <v>15</v>
      </c>
      <c r="E52" s="1717">
        <v>3.2</v>
      </c>
      <c r="F52" s="1717"/>
      <c r="G52" s="1717"/>
      <c r="H52" s="1717"/>
      <c r="I52" s="1717"/>
      <c r="J52" s="1718"/>
      <c r="K52" s="1719"/>
      <c r="L52" s="1719"/>
      <c r="M52" s="1737"/>
      <c r="N52" s="1721"/>
      <c r="O52" s="1737"/>
      <c r="P52" s="1737"/>
      <c r="Q52" s="1722">
        <f t="shared" si="5"/>
        <v>3.2</v>
      </c>
      <c r="R52" s="1723">
        <f>VLOOKUP(C52,'sản lượng'!$D$14:$AP$97,35,0)</f>
        <v>1979.3540024390545</v>
      </c>
      <c r="S52" s="1724"/>
      <c r="T52" s="1725">
        <f t="shared" si="2"/>
        <v>0</v>
      </c>
      <c r="U52" s="1726">
        <f t="shared" si="3"/>
        <v>1979.3540024390545</v>
      </c>
      <c r="V52" s="1727">
        <f>VLOOKUP(TONGHOPCONGDOI!C52,'CHẤM CÔNG '!$E$13:$AL$96,34,0)</f>
        <v>25</v>
      </c>
      <c r="W52" s="1727">
        <f>VLOOKUP(C52,'CHẤM CÔNG '!$E$13:$AM$96,35,0)</f>
        <v>4</v>
      </c>
      <c r="X52" s="1727">
        <f>VLOOKUP(C52,'CHẤM CÔNG '!$E$13:$AR$96,36,0)</f>
        <v>0</v>
      </c>
      <c r="Y52" s="1729">
        <f>VLOOKUP(C52,'CHẤM CÔNG '!$E$13:$AQ$96,37,0)</f>
        <v>0</v>
      </c>
      <c r="Z52" s="1729">
        <f>VLOOKUP(C52,'CHẤM CÔNG '!$E$13:$AQ$96,38,0)</f>
        <v>0</v>
      </c>
      <c r="AA52" s="1729">
        <f>VLOOKUP(C52,'CHẤM CÔNG '!$E$13:$AQ$96,39,0)</f>
        <v>0</v>
      </c>
      <c r="AB52" s="1730"/>
      <c r="AC52" s="1735">
        <f t="shared" si="4"/>
        <v>3.2</v>
      </c>
      <c r="AD52" s="1834">
        <f>VLOOKUP(C52,'sản lượng'!$D$14:$AP$97,36,0)</f>
        <v>4657</v>
      </c>
      <c r="AE52" s="1736"/>
      <c r="AF52" s="1708"/>
      <c r="AH52" s="1712"/>
      <c r="AI52" s="1711"/>
      <c r="AJ52" s="1712"/>
      <c r="AK52" s="1712"/>
      <c r="AL52" s="1712"/>
      <c r="AM52" s="1712"/>
      <c r="AN52" s="1712"/>
      <c r="AO52" s="1712"/>
    </row>
    <row r="53" spans="1:41" ht="18.75" customHeight="1">
      <c r="A53" s="1713">
        <v>43</v>
      </c>
      <c r="B53" s="1714" t="s">
        <v>3144</v>
      </c>
      <c r="C53" s="1715" t="s">
        <v>3370</v>
      </c>
      <c r="D53" s="1734" t="s">
        <v>15</v>
      </c>
      <c r="E53" s="1717">
        <v>3.2</v>
      </c>
      <c r="F53" s="1717"/>
      <c r="G53" s="1717"/>
      <c r="H53" s="1717"/>
      <c r="I53" s="1717"/>
      <c r="J53" s="1718"/>
      <c r="K53" s="1719"/>
      <c r="L53" s="1719"/>
      <c r="M53" s="1720"/>
      <c r="N53" s="1721"/>
      <c r="O53" s="1721"/>
      <c r="P53" s="1721"/>
      <c r="Q53" s="1722">
        <f t="shared" si="5"/>
        <v>3.2</v>
      </c>
      <c r="R53" s="1723">
        <f>VLOOKUP(C53,'sản lượng'!$D$14:$AP$97,35,0)</f>
        <v>1971.2784761246157</v>
      </c>
      <c r="S53" s="1724"/>
      <c r="T53" s="1725">
        <f t="shared" si="2"/>
        <v>0</v>
      </c>
      <c r="U53" s="1726">
        <f t="shared" si="3"/>
        <v>1971.2784761246157</v>
      </c>
      <c r="V53" s="1727">
        <f>VLOOKUP(TONGHOPCONGDOI!C53,'CHẤM CÔNG '!$E$13:$AL$96,34,0)</f>
        <v>27</v>
      </c>
      <c r="W53" s="1727">
        <f>VLOOKUP(C53,'CHẤM CÔNG '!$E$13:$AM$96,35,0)</f>
        <v>4</v>
      </c>
      <c r="X53" s="1727">
        <f>VLOOKUP(C53,'CHẤM CÔNG '!$E$13:$AR$96,36,0)</f>
        <v>0</v>
      </c>
      <c r="Y53" s="1729">
        <f>VLOOKUP(C53,'CHẤM CÔNG '!$E$13:$AQ$96,37,0)</f>
        <v>0</v>
      </c>
      <c r="Z53" s="1729">
        <f>VLOOKUP(C53,'CHẤM CÔNG '!$E$13:$AQ$96,38,0)</f>
        <v>0</v>
      </c>
      <c r="AA53" s="1729">
        <f>VLOOKUP(C53,'CHẤM CÔNG '!$E$13:$AQ$96,39,0)</f>
        <v>0</v>
      </c>
      <c r="AB53" s="1730"/>
      <c r="AC53" s="1735">
        <f t="shared" si="4"/>
        <v>3.2</v>
      </c>
      <c r="AD53" s="1834">
        <f>VLOOKUP(C53,'sản lượng'!$D$14:$AP$97,36,0)</f>
        <v>4638</v>
      </c>
      <c r="AE53" s="1736"/>
      <c r="AF53" s="1708"/>
      <c r="AH53" s="1712"/>
      <c r="AI53" s="1711"/>
      <c r="AJ53" s="1712"/>
      <c r="AK53" s="1712"/>
      <c r="AL53" s="1712"/>
      <c r="AM53" s="1712"/>
      <c r="AN53" s="1712"/>
      <c r="AO53" s="1712"/>
    </row>
    <row r="54" spans="1:41" ht="18.75" customHeight="1">
      <c r="A54" s="1733">
        <v>44</v>
      </c>
      <c r="B54" s="1714" t="s">
        <v>3145</v>
      </c>
      <c r="C54" s="1715" t="s">
        <v>1735</v>
      </c>
      <c r="D54" s="1734" t="s">
        <v>15</v>
      </c>
      <c r="E54" s="1717">
        <v>3.2</v>
      </c>
      <c r="F54" s="1717"/>
      <c r="G54" s="1717"/>
      <c r="H54" s="1717"/>
      <c r="I54" s="1717"/>
      <c r="J54" s="1718"/>
      <c r="K54" s="1719"/>
      <c r="L54" s="1719"/>
      <c r="M54" s="1720"/>
      <c r="N54" s="1721"/>
      <c r="O54" s="1721"/>
      <c r="P54" s="1721"/>
      <c r="Q54" s="1722">
        <f t="shared" si="5"/>
        <v>3.2</v>
      </c>
      <c r="R54" s="1723">
        <f>VLOOKUP(C54,'sản lượng'!$D$14:$AP$97,35,0)</f>
        <v>1618.5054844938629</v>
      </c>
      <c r="S54" s="1724"/>
      <c r="T54" s="1725">
        <f t="shared" si="2"/>
        <v>0</v>
      </c>
      <c r="U54" s="1726">
        <f t="shared" si="3"/>
        <v>1618.5054844938629</v>
      </c>
      <c r="V54" s="1727">
        <f>VLOOKUP(TONGHOPCONGDOI!C54,'CHẤM CÔNG '!$E$13:$AL$96,34,0)</f>
        <v>22</v>
      </c>
      <c r="W54" s="1727">
        <f>VLOOKUP(C54,'CHẤM CÔNG '!$E$13:$AM$96,35,0)</f>
        <v>4</v>
      </c>
      <c r="X54" s="1727">
        <f>VLOOKUP(C54,'CHẤM CÔNG '!$E$13:$AR$96,36,0)</f>
        <v>0</v>
      </c>
      <c r="Y54" s="1729">
        <f>VLOOKUP(C54,'CHẤM CÔNG '!$E$13:$AQ$96,37,0)</f>
        <v>0</v>
      </c>
      <c r="Z54" s="1729">
        <f>VLOOKUP(C54,'CHẤM CÔNG '!$E$13:$AQ$96,38,0)</f>
        <v>0</v>
      </c>
      <c r="AA54" s="1729">
        <f>VLOOKUP(C54,'CHẤM CÔNG '!$E$13:$AQ$96,39,0)</f>
        <v>0</v>
      </c>
      <c r="AB54" s="1730"/>
      <c r="AC54" s="1735">
        <f t="shared" si="4"/>
        <v>3.2</v>
      </c>
      <c r="AD54" s="1834">
        <f>VLOOKUP(C54,'sản lượng'!$D$14:$AP$97,36,0)</f>
        <v>3808</v>
      </c>
      <c r="AE54" s="1736"/>
      <c r="AF54" s="1708"/>
      <c r="AH54" s="1712"/>
      <c r="AI54" s="1738"/>
      <c r="AJ54" s="1712"/>
      <c r="AK54" s="1712"/>
      <c r="AL54" s="1712"/>
      <c r="AM54" s="1712"/>
      <c r="AN54" s="1712"/>
      <c r="AO54" s="1712"/>
    </row>
    <row r="55" spans="1:41" ht="18.75" customHeight="1">
      <c r="A55" s="1713">
        <v>45</v>
      </c>
      <c r="B55" s="1714" t="s">
        <v>3146</v>
      </c>
      <c r="C55" s="1715" t="s">
        <v>3371</v>
      </c>
      <c r="D55" s="1734" t="s">
        <v>15</v>
      </c>
      <c r="E55" s="1717">
        <v>3.2</v>
      </c>
      <c r="F55" s="1717"/>
      <c r="G55" s="1717"/>
      <c r="H55" s="1717"/>
      <c r="I55" s="1717"/>
      <c r="J55" s="1718"/>
      <c r="K55" s="1719"/>
      <c r="L55" s="1719"/>
      <c r="M55" s="1737"/>
      <c r="N55" s="1721"/>
      <c r="O55" s="1721"/>
      <c r="P55" s="1721"/>
      <c r="Q55" s="1722">
        <f t="shared" si="5"/>
        <v>3.2</v>
      </c>
      <c r="R55" s="1723">
        <f>VLOOKUP(C55,'sản lượng'!$D$14:$AP$97,35,0)</f>
        <v>2175.2917724893882</v>
      </c>
      <c r="S55" s="1724"/>
      <c r="T55" s="1725">
        <f t="shared" si="2"/>
        <v>0</v>
      </c>
      <c r="U55" s="1726">
        <f t="shared" si="3"/>
        <v>2175.2917724893882</v>
      </c>
      <c r="V55" s="1727">
        <f>VLOOKUP(TONGHOPCONGDOI!C55,'CHẤM CÔNG '!$E$13:$AL$96,34,0)</f>
        <v>27</v>
      </c>
      <c r="W55" s="1727">
        <f>VLOOKUP(C55,'CHẤM CÔNG '!$E$13:$AM$96,35,0)</f>
        <v>4</v>
      </c>
      <c r="X55" s="1727">
        <f>VLOOKUP(C55,'CHẤM CÔNG '!$E$13:$AR$96,36,0)</f>
        <v>0</v>
      </c>
      <c r="Y55" s="1729">
        <f>VLOOKUP(C55,'CHẤM CÔNG '!$E$13:$AQ$96,37,0)</f>
        <v>0</v>
      </c>
      <c r="Z55" s="1729">
        <f>VLOOKUP(C55,'CHẤM CÔNG '!$E$13:$AQ$96,38,0)</f>
        <v>0</v>
      </c>
      <c r="AA55" s="1729">
        <f>VLOOKUP(C55,'CHẤM CÔNG '!$E$13:$AQ$96,39,0)</f>
        <v>0</v>
      </c>
      <c r="AB55" s="1730"/>
      <c r="AC55" s="1735">
        <f t="shared" si="4"/>
        <v>3.2</v>
      </c>
      <c r="AD55" s="1834">
        <f>VLOOKUP(C55,'sản lượng'!$D$14:$AP$97,36,0)</f>
        <v>5118</v>
      </c>
      <c r="AE55" s="1736"/>
      <c r="AF55" s="1708"/>
      <c r="AH55" s="1712"/>
      <c r="AI55" s="1738"/>
      <c r="AJ55" s="1712"/>
      <c r="AK55" s="1712"/>
      <c r="AL55" s="1712"/>
      <c r="AM55" s="1712"/>
      <c r="AN55" s="1712"/>
      <c r="AO55" s="1712"/>
    </row>
    <row r="56" spans="1:41" ht="18.75" customHeight="1">
      <c r="A56" s="1733">
        <v>46</v>
      </c>
      <c r="B56" s="1714" t="s">
        <v>3147</v>
      </c>
      <c r="C56" s="1715" t="s">
        <v>1737</v>
      </c>
      <c r="D56" s="1734" t="s">
        <v>15</v>
      </c>
      <c r="E56" s="1717">
        <v>3.2</v>
      </c>
      <c r="F56" s="1717"/>
      <c r="G56" s="1717"/>
      <c r="H56" s="1717"/>
      <c r="I56" s="1717"/>
      <c r="J56" s="1718"/>
      <c r="K56" s="1719"/>
      <c r="L56" s="1719"/>
      <c r="M56" s="1720"/>
      <c r="N56" s="1721"/>
      <c r="O56" s="1721"/>
      <c r="P56" s="1721"/>
      <c r="Q56" s="1722">
        <f t="shared" si="5"/>
        <v>3.2</v>
      </c>
      <c r="R56" s="1723">
        <f>VLOOKUP(C56,'sản lượng'!$D$14:$AP$97,35,0)</f>
        <v>1709.0363847557308</v>
      </c>
      <c r="S56" s="1724"/>
      <c r="T56" s="1725">
        <f t="shared" si="2"/>
        <v>0</v>
      </c>
      <c r="U56" s="1726">
        <f t="shared" si="3"/>
        <v>1709.0363847557308</v>
      </c>
      <c r="V56" s="1727">
        <f>VLOOKUP(TONGHOPCONGDOI!C56,'CHẤM CÔNG '!$E$13:$AL$96,34,0)</f>
        <v>27</v>
      </c>
      <c r="W56" s="1727">
        <f>VLOOKUP(C56,'CHẤM CÔNG '!$E$13:$AM$96,35,0)</f>
        <v>4</v>
      </c>
      <c r="X56" s="1727">
        <f>VLOOKUP(C56,'CHẤM CÔNG '!$E$13:$AR$96,36,0)</f>
        <v>0</v>
      </c>
      <c r="Y56" s="1729">
        <f>VLOOKUP(C56,'CHẤM CÔNG '!$E$13:$AQ$96,37,0)</f>
        <v>0</v>
      </c>
      <c r="Z56" s="1729">
        <f>VLOOKUP(C56,'CHẤM CÔNG '!$E$13:$AQ$96,38,0)</f>
        <v>0</v>
      </c>
      <c r="AA56" s="1729">
        <f>VLOOKUP(C56,'CHẤM CÔNG '!$E$13:$AQ$96,39,0)</f>
        <v>0</v>
      </c>
      <c r="AB56" s="1730"/>
      <c r="AC56" s="1735">
        <f t="shared" si="4"/>
        <v>3.2</v>
      </c>
      <c r="AD56" s="1834">
        <f>VLOOKUP(C56,'sản lượng'!$D$14:$AP$97,36,0)</f>
        <v>4021</v>
      </c>
      <c r="AE56" s="1736"/>
      <c r="AF56" s="1708"/>
      <c r="AH56" s="1712"/>
      <c r="AI56" s="1711"/>
      <c r="AJ56" s="1712"/>
      <c r="AK56" s="1712"/>
      <c r="AL56" s="1712"/>
      <c r="AM56" s="1712"/>
      <c r="AN56" s="1712"/>
      <c r="AO56" s="1712"/>
    </row>
    <row r="57" spans="1:41" ht="18.75" customHeight="1">
      <c r="A57" s="1713">
        <v>47</v>
      </c>
      <c r="B57" s="1714" t="s">
        <v>3148</v>
      </c>
      <c r="C57" s="1715" t="s">
        <v>1738</v>
      </c>
      <c r="D57" s="1734" t="s">
        <v>15</v>
      </c>
      <c r="E57" s="1717">
        <v>3.2</v>
      </c>
      <c r="F57" s="1717"/>
      <c r="G57" s="1717"/>
      <c r="H57" s="1717"/>
      <c r="I57" s="1717"/>
      <c r="J57" s="1718"/>
      <c r="K57" s="1719"/>
      <c r="L57" s="1719"/>
      <c r="M57" s="1720"/>
      <c r="N57" s="1721"/>
      <c r="O57" s="1721"/>
      <c r="P57" s="1721"/>
      <c r="Q57" s="1722">
        <f t="shared" si="5"/>
        <v>3.2</v>
      </c>
      <c r="R57" s="1723">
        <f>VLOOKUP(C57,'sản lượng'!$D$14:$AP$97,35,0)</f>
        <v>1715.8368279678898</v>
      </c>
      <c r="S57" s="1724"/>
      <c r="T57" s="1725">
        <f t="shared" si="2"/>
        <v>0</v>
      </c>
      <c r="U57" s="1726">
        <f t="shared" si="3"/>
        <v>1715.8368279678898</v>
      </c>
      <c r="V57" s="1727">
        <f>VLOOKUP(TONGHOPCONGDOI!C57,'CHẤM CÔNG '!$E$13:$AL$96,34,0)</f>
        <v>27</v>
      </c>
      <c r="W57" s="1727">
        <f>VLOOKUP(C57,'CHẤM CÔNG '!$E$13:$AM$96,35,0)</f>
        <v>4</v>
      </c>
      <c r="X57" s="1727">
        <f>VLOOKUP(C57,'CHẤM CÔNG '!$E$13:$AR$96,36,0)</f>
        <v>0</v>
      </c>
      <c r="Y57" s="1729">
        <f>VLOOKUP(C57,'CHẤM CÔNG '!$E$13:$AQ$96,37,0)</f>
        <v>0</v>
      </c>
      <c r="Z57" s="1729">
        <f>VLOOKUP(C57,'CHẤM CÔNG '!$E$13:$AQ$96,38,0)</f>
        <v>0</v>
      </c>
      <c r="AA57" s="1729">
        <f>VLOOKUP(C57,'CHẤM CÔNG '!$E$13:$AQ$96,39,0)</f>
        <v>0</v>
      </c>
      <c r="AB57" s="1730"/>
      <c r="AC57" s="1735">
        <f t="shared" si="4"/>
        <v>3.2</v>
      </c>
      <c r="AD57" s="1834">
        <f>VLOOKUP(C57,'sản lượng'!$D$14:$AP$97,36,0)</f>
        <v>4037</v>
      </c>
      <c r="AE57" s="1736"/>
      <c r="AF57" s="1708"/>
      <c r="AH57" s="1712"/>
      <c r="AI57" s="1738"/>
      <c r="AJ57" s="1712"/>
      <c r="AK57" s="1712"/>
      <c r="AL57" s="1712"/>
      <c r="AM57" s="1712"/>
      <c r="AN57" s="1712"/>
      <c r="AO57" s="1712"/>
    </row>
    <row r="58" spans="1:41" ht="18.75" customHeight="1">
      <c r="A58" s="1733">
        <v>48</v>
      </c>
      <c r="B58" s="1714" t="s">
        <v>3149</v>
      </c>
      <c r="C58" s="1715" t="s">
        <v>3372</v>
      </c>
      <c r="D58" s="1734" t="s">
        <v>15</v>
      </c>
      <c r="E58" s="1717">
        <v>3.2</v>
      </c>
      <c r="F58" s="1717"/>
      <c r="G58" s="1717"/>
      <c r="H58" s="1717"/>
      <c r="I58" s="1717"/>
      <c r="J58" s="1718"/>
      <c r="K58" s="1719"/>
      <c r="L58" s="1719"/>
      <c r="M58" s="1720"/>
      <c r="N58" s="1721"/>
      <c r="O58" s="1721"/>
      <c r="P58" s="1721"/>
      <c r="Q58" s="1722">
        <f t="shared" si="5"/>
        <v>3.2</v>
      </c>
      <c r="R58" s="1723">
        <f>VLOOKUP(C58,'sản lượng'!$D$14:$AP$97,35,0)</f>
        <v>1698.4106922367323</v>
      </c>
      <c r="S58" s="1724"/>
      <c r="T58" s="1725">
        <f t="shared" si="2"/>
        <v>0</v>
      </c>
      <c r="U58" s="1726">
        <f t="shared" si="3"/>
        <v>1698.4106922367323</v>
      </c>
      <c r="V58" s="1727">
        <f>VLOOKUP(TONGHOPCONGDOI!C58,'CHẤM CÔNG '!$E$13:$AL$96,34,0)</f>
        <v>22</v>
      </c>
      <c r="W58" s="1727">
        <f>VLOOKUP(C58,'CHẤM CÔNG '!$E$13:$AM$96,35,0)</f>
        <v>3</v>
      </c>
      <c r="X58" s="1727">
        <f>VLOOKUP(C58,'CHẤM CÔNG '!$E$13:$AR$96,36,0)</f>
        <v>0</v>
      </c>
      <c r="Y58" s="1729">
        <f>VLOOKUP(C58,'CHẤM CÔNG '!$E$13:$AQ$96,37,0)</f>
        <v>0</v>
      </c>
      <c r="Z58" s="1729">
        <f>VLOOKUP(C58,'CHẤM CÔNG '!$E$13:$AQ$96,38,0)</f>
        <v>0</v>
      </c>
      <c r="AA58" s="1729">
        <f>VLOOKUP(C58,'CHẤM CÔNG '!$E$13:$AQ$96,39,0)</f>
        <v>0</v>
      </c>
      <c r="AB58" s="1730"/>
      <c r="AC58" s="1735">
        <f t="shared" si="4"/>
        <v>3.2</v>
      </c>
      <c r="AD58" s="1834">
        <f>VLOOKUP(C58,'sản lượng'!$D$14:$AP$97,36,0)</f>
        <v>3996</v>
      </c>
      <c r="AE58" s="1736"/>
      <c r="AF58" s="1708"/>
      <c r="AH58" s="1712"/>
      <c r="AI58" s="1738"/>
      <c r="AJ58" s="1712"/>
      <c r="AK58" s="1712"/>
      <c r="AL58" s="1712"/>
      <c r="AM58" s="1712"/>
      <c r="AN58" s="1712"/>
      <c r="AO58" s="1712"/>
    </row>
    <row r="59" spans="1:41" ht="18.75" customHeight="1">
      <c r="A59" s="1713">
        <v>49</v>
      </c>
      <c r="B59" s="1714" t="s">
        <v>3150</v>
      </c>
      <c r="C59" s="1715" t="s">
        <v>1740</v>
      </c>
      <c r="D59" s="1734" t="s">
        <v>15</v>
      </c>
      <c r="E59" s="1717">
        <v>3.2</v>
      </c>
      <c r="F59" s="1717"/>
      <c r="G59" s="1717"/>
      <c r="H59" s="1717"/>
      <c r="I59" s="1717"/>
      <c r="J59" s="1718"/>
      <c r="K59" s="1719"/>
      <c r="L59" s="1719"/>
      <c r="M59" s="1737"/>
      <c r="N59" s="1721"/>
      <c r="O59" s="1737"/>
      <c r="P59" s="1737"/>
      <c r="Q59" s="1722">
        <f t="shared" si="5"/>
        <v>3.2</v>
      </c>
      <c r="R59" s="1723">
        <f>VLOOKUP(C59,'sản lượng'!$D$14:$AP$97,35,0)</f>
        <v>1887.122991374147</v>
      </c>
      <c r="S59" s="1724"/>
      <c r="T59" s="1725">
        <f t="shared" si="2"/>
        <v>0</v>
      </c>
      <c r="U59" s="1726">
        <f t="shared" si="3"/>
        <v>1887.122991374147</v>
      </c>
      <c r="V59" s="1727">
        <f>VLOOKUP(TONGHOPCONGDOI!C59,'CHẤM CÔNG '!$E$13:$AL$96,34,0)</f>
        <v>27</v>
      </c>
      <c r="W59" s="1727">
        <f>VLOOKUP(C59,'CHẤM CÔNG '!$E$13:$AM$96,35,0)</f>
        <v>4</v>
      </c>
      <c r="X59" s="1727">
        <f>VLOOKUP(C59,'CHẤM CÔNG '!$E$13:$AR$96,36,0)</f>
        <v>0</v>
      </c>
      <c r="Y59" s="1729">
        <f>VLOOKUP(C59,'CHẤM CÔNG '!$E$13:$AQ$96,37,0)</f>
        <v>0</v>
      </c>
      <c r="Z59" s="1729">
        <f>VLOOKUP(C59,'CHẤM CÔNG '!$E$13:$AQ$96,38,0)</f>
        <v>0</v>
      </c>
      <c r="AA59" s="1729">
        <f>VLOOKUP(C59,'CHẤM CÔNG '!$E$13:$AQ$96,39,0)</f>
        <v>0</v>
      </c>
      <c r="AB59" s="1730"/>
      <c r="AC59" s="1735">
        <f t="shared" si="4"/>
        <v>3.2</v>
      </c>
      <c r="AD59" s="1834">
        <f>VLOOKUP(C59,'sản lượng'!$D$14:$AP$97,36,0)</f>
        <v>4440</v>
      </c>
      <c r="AE59" s="1736"/>
      <c r="AF59" s="1708"/>
      <c r="AH59" s="1712"/>
      <c r="AI59" s="1738"/>
      <c r="AJ59" s="1712"/>
      <c r="AK59" s="1712"/>
      <c r="AL59" s="1712"/>
      <c r="AM59" s="1712"/>
      <c r="AN59" s="1712"/>
      <c r="AO59" s="1712"/>
    </row>
    <row r="60" spans="1:41" ht="18.75" customHeight="1">
      <c r="A60" s="1733">
        <v>50</v>
      </c>
      <c r="B60" s="1714" t="s">
        <v>3151</v>
      </c>
      <c r="C60" s="1715" t="s">
        <v>1741</v>
      </c>
      <c r="D60" s="1734" t="s">
        <v>15</v>
      </c>
      <c r="E60" s="1717">
        <v>3.2</v>
      </c>
      <c r="F60" s="1717"/>
      <c r="G60" s="1717"/>
      <c r="H60" s="1717"/>
      <c r="I60" s="1717"/>
      <c r="J60" s="1718"/>
      <c r="K60" s="1719"/>
      <c r="L60" s="1719"/>
      <c r="M60" s="1737"/>
      <c r="N60" s="1721"/>
      <c r="O60" s="1737"/>
      <c r="P60" s="1737"/>
      <c r="Q60" s="1722">
        <f t="shared" si="5"/>
        <v>3.2</v>
      </c>
      <c r="R60" s="1723">
        <f>VLOOKUP(C60,'sản lượng'!$D$14:$AP$97,35,0)</f>
        <v>1580.2529914254681</v>
      </c>
      <c r="S60" s="1724"/>
      <c r="T60" s="1725">
        <f t="shared" si="2"/>
        <v>0</v>
      </c>
      <c r="U60" s="1726">
        <f t="shared" si="3"/>
        <v>1580.2529914254681</v>
      </c>
      <c r="V60" s="1727">
        <f>VLOOKUP(TONGHOPCONGDOI!C60,'CHẤM CÔNG '!$E$13:$AL$96,34,0)</f>
        <v>25</v>
      </c>
      <c r="W60" s="1727">
        <f>VLOOKUP(C60,'CHẤM CÔNG '!$E$13:$AM$96,35,0)</f>
        <v>4</v>
      </c>
      <c r="X60" s="1727">
        <f>VLOOKUP(C60,'CHẤM CÔNG '!$E$13:$AR$96,36,0)</f>
        <v>0</v>
      </c>
      <c r="Y60" s="1729">
        <f>VLOOKUP(C60,'CHẤM CÔNG '!$E$13:$AQ$96,37,0)</f>
        <v>0</v>
      </c>
      <c r="Z60" s="1729">
        <f>VLOOKUP(C60,'CHẤM CÔNG '!$E$13:$AQ$96,38,0)</f>
        <v>0</v>
      </c>
      <c r="AA60" s="1729">
        <f>VLOOKUP(C60,'CHẤM CÔNG '!$E$13:$AQ$96,39,0)</f>
        <v>0</v>
      </c>
      <c r="AB60" s="1730"/>
      <c r="AC60" s="1735">
        <f t="shared" si="4"/>
        <v>3.2</v>
      </c>
      <c r="AD60" s="1834">
        <f>VLOOKUP(C60,'sản lượng'!$D$14:$AP$97,36,0)</f>
        <v>3718</v>
      </c>
      <c r="AE60" s="1736"/>
      <c r="AF60" s="1708"/>
      <c r="AH60" s="1710"/>
      <c r="AI60" s="1711"/>
      <c r="AJ60" s="1712"/>
      <c r="AK60" s="1712"/>
      <c r="AL60" s="1712"/>
      <c r="AM60" s="1712"/>
      <c r="AN60" s="1712"/>
      <c r="AO60" s="1712"/>
    </row>
    <row r="61" spans="1:41" ht="18.75" customHeight="1">
      <c r="A61" s="1713">
        <v>51</v>
      </c>
      <c r="B61" s="1714" t="s">
        <v>3152</v>
      </c>
      <c r="C61" s="1715" t="s">
        <v>3103</v>
      </c>
      <c r="D61" s="1734" t="s">
        <v>15</v>
      </c>
      <c r="E61" s="1717">
        <v>3.2</v>
      </c>
      <c r="F61" s="1717"/>
      <c r="G61" s="1717"/>
      <c r="H61" s="1717"/>
      <c r="I61" s="1717"/>
      <c r="J61" s="1718"/>
      <c r="K61" s="1719"/>
      <c r="L61" s="1719"/>
      <c r="M61" s="1720"/>
      <c r="N61" s="1721"/>
      <c r="O61" s="1721"/>
      <c r="P61" s="1721"/>
      <c r="Q61" s="1722">
        <f t="shared" si="5"/>
        <v>3.2</v>
      </c>
      <c r="R61" s="1723">
        <f>VLOOKUP(C61,'sản lượng'!$D$14:$AP$97,35,0)</f>
        <v>1618.0804567931029</v>
      </c>
      <c r="S61" s="1724"/>
      <c r="T61" s="1725">
        <f t="shared" si="2"/>
        <v>0</v>
      </c>
      <c r="U61" s="1726">
        <f t="shared" si="3"/>
        <v>1618.0804567931029</v>
      </c>
      <c r="V61" s="1727">
        <f>VLOOKUP(TONGHOPCONGDOI!C61,'CHẤM CÔNG '!$E$13:$AL$96,34,0)</f>
        <v>26</v>
      </c>
      <c r="W61" s="1727">
        <f>VLOOKUP(C61,'CHẤM CÔNG '!$E$13:$AM$96,35,0)</f>
        <v>4</v>
      </c>
      <c r="X61" s="1727">
        <f>VLOOKUP(C61,'CHẤM CÔNG '!$E$13:$AR$96,36,0)</f>
        <v>0</v>
      </c>
      <c r="Y61" s="1729">
        <f>VLOOKUP(C61,'CHẤM CÔNG '!$E$13:$AQ$96,37,0)</f>
        <v>0</v>
      </c>
      <c r="Z61" s="1729">
        <f>VLOOKUP(C61,'CHẤM CÔNG '!$E$13:$AQ$96,38,0)</f>
        <v>0</v>
      </c>
      <c r="AA61" s="1729">
        <f>VLOOKUP(C61,'CHẤM CÔNG '!$E$13:$AQ$96,39,0)</f>
        <v>0</v>
      </c>
      <c r="AB61" s="1730"/>
      <c r="AC61" s="1735">
        <f t="shared" si="4"/>
        <v>3.2</v>
      </c>
      <c r="AD61" s="1834">
        <f>VLOOKUP(C61,'sản lượng'!$D$14:$AP$97,36,0)</f>
        <v>3807</v>
      </c>
      <c r="AE61" s="1736"/>
      <c r="AF61" s="1708"/>
      <c r="AH61" s="1710"/>
      <c r="AI61" s="1711"/>
      <c r="AJ61" s="1712"/>
      <c r="AK61" s="1712"/>
      <c r="AL61" s="1712"/>
      <c r="AM61" s="1712"/>
      <c r="AN61" s="1712"/>
      <c r="AO61" s="1712"/>
    </row>
    <row r="62" spans="1:41" ht="18.75" customHeight="1">
      <c r="A62" s="1733">
        <v>52</v>
      </c>
      <c r="B62" s="1714"/>
      <c r="C62" s="1715" t="s">
        <v>3316</v>
      </c>
      <c r="D62" s="1734" t="s">
        <v>15</v>
      </c>
      <c r="E62" s="1717">
        <v>3.2</v>
      </c>
      <c r="F62" s="1717"/>
      <c r="G62" s="1717"/>
      <c r="H62" s="1717"/>
      <c r="I62" s="1717"/>
      <c r="J62" s="1718"/>
      <c r="K62" s="1719"/>
      <c r="L62" s="1719"/>
      <c r="M62" s="1720"/>
      <c r="N62" s="1721"/>
      <c r="O62" s="1721"/>
      <c r="P62" s="1721"/>
      <c r="Q62" s="1722">
        <f t="shared" si="5"/>
        <v>3.2</v>
      </c>
      <c r="R62" s="1723">
        <f>VLOOKUP(C62,'sản lượng'!$D$14:$AP$97,35,0)</f>
        <v>1789.7916479001201</v>
      </c>
      <c r="S62" s="1724"/>
      <c r="T62" s="1725">
        <f t="shared" si="2"/>
        <v>0</v>
      </c>
      <c r="U62" s="1726">
        <f t="shared" si="3"/>
        <v>1789.7916479001201</v>
      </c>
      <c r="V62" s="1727">
        <f>VLOOKUP(TONGHOPCONGDOI!C62,'CHẤM CÔNG '!$E$13:$AL$96,34,0)</f>
        <v>27</v>
      </c>
      <c r="W62" s="1727">
        <f>VLOOKUP(C62,'CHẤM CÔNG '!$E$13:$AM$96,35,0)</f>
        <v>4</v>
      </c>
      <c r="X62" s="1727">
        <f>VLOOKUP(C62,'CHẤM CÔNG '!$E$13:$AR$96,36,0)</f>
        <v>0</v>
      </c>
      <c r="Y62" s="1729">
        <f>VLOOKUP(C62,'CHẤM CÔNG '!$E$13:$AQ$96,37,0)</f>
        <v>0</v>
      </c>
      <c r="Z62" s="1729">
        <f>VLOOKUP(C62,'CHẤM CÔNG '!$E$13:$AQ$96,38,0)</f>
        <v>0</v>
      </c>
      <c r="AA62" s="1729">
        <f>VLOOKUP(C62,'CHẤM CÔNG '!$E$13:$AQ$96,39,0)</f>
        <v>0</v>
      </c>
      <c r="AB62" s="1730"/>
      <c r="AC62" s="1735">
        <f t="shared" si="4"/>
        <v>3.2</v>
      </c>
      <c r="AD62" s="1834">
        <f>VLOOKUP(C62,'sản lượng'!$D$14:$AP$97,36,0)</f>
        <v>4211</v>
      </c>
      <c r="AE62" s="1736"/>
      <c r="AF62" s="1708"/>
      <c r="AH62" s="1710"/>
      <c r="AI62" s="1711"/>
      <c r="AJ62" s="1712"/>
      <c r="AK62" s="1712"/>
      <c r="AL62" s="1712"/>
      <c r="AM62" s="1712"/>
      <c r="AN62" s="1712"/>
      <c r="AO62" s="1712"/>
    </row>
    <row r="63" spans="1:41" ht="18.75" customHeight="1">
      <c r="A63" s="1713">
        <v>53</v>
      </c>
      <c r="B63" s="1714" t="s">
        <v>3154</v>
      </c>
      <c r="C63" s="1715" t="s">
        <v>3373</v>
      </c>
      <c r="D63" s="1734" t="s">
        <v>15</v>
      </c>
      <c r="E63" s="1717">
        <v>3.2</v>
      </c>
      <c r="F63" s="1717"/>
      <c r="G63" s="1717"/>
      <c r="H63" s="1717"/>
      <c r="I63" s="1717"/>
      <c r="J63" s="1718"/>
      <c r="K63" s="1719"/>
      <c r="L63" s="1719"/>
      <c r="M63" s="1720"/>
      <c r="N63" s="1721"/>
      <c r="O63" s="1721"/>
      <c r="P63" s="1721"/>
      <c r="Q63" s="1722">
        <f t="shared" si="5"/>
        <v>3.2</v>
      </c>
      <c r="R63" s="1723">
        <f>VLOOKUP(C63,'sản lượng'!$D$14:$AP$97,35,0)</f>
        <v>1346.4877560074995</v>
      </c>
      <c r="S63" s="1724"/>
      <c r="T63" s="1725">
        <f t="shared" si="2"/>
        <v>0</v>
      </c>
      <c r="U63" s="1726">
        <f t="shared" si="3"/>
        <v>1346.4877560074995</v>
      </c>
      <c r="V63" s="1727">
        <f>VLOOKUP(TONGHOPCONGDOI!C63,'CHẤM CÔNG '!$E$13:$AL$96,34,0)</f>
        <v>27</v>
      </c>
      <c r="W63" s="1727">
        <f>VLOOKUP(C63,'CHẤM CÔNG '!$E$13:$AM$96,35,0)</f>
        <v>4</v>
      </c>
      <c r="X63" s="1727">
        <f>VLOOKUP(C63,'CHẤM CÔNG '!$E$13:$AR$96,36,0)</f>
        <v>0</v>
      </c>
      <c r="Y63" s="1729">
        <f>VLOOKUP(C63,'CHẤM CÔNG '!$E$13:$AQ$96,37,0)</f>
        <v>0</v>
      </c>
      <c r="Z63" s="1729">
        <f>VLOOKUP(C63,'CHẤM CÔNG '!$E$13:$AQ$96,38,0)</f>
        <v>0</v>
      </c>
      <c r="AA63" s="1729">
        <f>VLOOKUP(C63,'CHẤM CÔNG '!$E$13:$AQ$96,39,0)</f>
        <v>0</v>
      </c>
      <c r="AB63" s="1730"/>
      <c r="AC63" s="1735">
        <f t="shared" si="4"/>
        <v>3.2</v>
      </c>
      <c r="AD63" s="1834">
        <f>VLOOKUP(C63,'sản lượng'!$D$14:$AP$97,36,0)</f>
        <v>3168</v>
      </c>
      <c r="AE63" s="1736"/>
      <c r="AF63" s="1708"/>
      <c r="AH63" s="1710"/>
      <c r="AI63" s="1711"/>
      <c r="AJ63" s="1712"/>
      <c r="AK63" s="1712"/>
      <c r="AL63" s="1712"/>
      <c r="AM63" s="1712"/>
      <c r="AN63" s="1712"/>
      <c r="AO63" s="1712"/>
    </row>
    <row r="64" spans="1:41" ht="18.75" customHeight="1">
      <c r="A64" s="1733">
        <v>54</v>
      </c>
      <c r="B64" s="1714" t="s">
        <v>3155</v>
      </c>
      <c r="C64" s="1715" t="s">
        <v>780</v>
      </c>
      <c r="D64" s="1734" t="s">
        <v>15</v>
      </c>
      <c r="E64" s="1717">
        <v>3.2</v>
      </c>
      <c r="F64" s="1717"/>
      <c r="G64" s="1717"/>
      <c r="H64" s="1717"/>
      <c r="I64" s="1717"/>
      <c r="J64" s="1718"/>
      <c r="K64" s="1719"/>
      <c r="L64" s="1719"/>
      <c r="M64" s="1720"/>
      <c r="N64" s="1721"/>
      <c r="O64" s="1721"/>
      <c r="P64" s="1721"/>
      <c r="Q64" s="1722">
        <f t="shared" si="5"/>
        <v>3.2</v>
      </c>
      <c r="R64" s="1723">
        <f>VLOOKUP(C64,'sản lượng'!$D$14:$AP$97,35,0)</f>
        <v>1966.1781437154964</v>
      </c>
      <c r="S64" s="1724"/>
      <c r="T64" s="1725">
        <f t="shared" si="2"/>
        <v>0</v>
      </c>
      <c r="U64" s="1726">
        <f t="shared" si="3"/>
        <v>1966.1781437154964</v>
      </c>
      <c r="V64" s="1727">
        <f>VLOOKUP(TONGHOPCONGDOI!C64,'CHẤM CÔNG '!$E$13:$AL$96,34,0)</f>
        <v>27</v>
      </c>
      <c r="W64" s="1727">
        <f>VLOOKUP(C64,'CHẤM CÔNG '!$E$13:$AM$96,35,0)</f>
        <v>4</v>
      </c>
      <c r="X64" s="1727">
        <f>VLOOKUP(C64,'CHẤM CÔNG '!$E$13:$AR$96,36,0)</f>
        <v>0</v>
      </c>
      <c r="Y64" s="1729">
        <f>VLOOKUP(C64,'CHẤM CÔNG '!$E$13:$AQ$96,37,0)</f>
        <v>0</v>
      </c>
      <c r="Z64" s="1729">
        <f>VLOOKUP(C64,'CHẤM CÔNG '!$E$13:$AQ$96,38,0)</f>
        <v>0</v>
      </c>
      <c r="AA64" s="1729">
        <f>VLOOKUP(C64,'CHẤM CÔNG '!$E$13:$AQ$96,39,0)</f>
        <v>0</v>
      </c>
      <c r="AB64" s="1730"/>
      <c r="AC64" s="1735">
        <f t="shared" si="4"/>
        <v>3.2</v>
      </c>
      <c r="AD64" s="1834">
        <f>VLOOKUP(C64,'sản lượng'!$D$14:$AP$97,36,0)</f>
        <v>4626</v>
      </c>
      <c r="AE64" s="1736"/>
      <c r="AF64" s="1708"/>
      <c r="AH64" s="1710"/>
      <c r="AI64" s="1711"/>
      <c r="AJ64" s="1712"/>
      <c r="AK64" s="1712"/>
      <c r="AL64" s="1712"/>
      <c r="AM64" s="1712"/>
      <c r="AN64" s="1712"/>
      <c r="AO64" s="1712"/>
    </row>
    <row r="65" spans="1:41" ht="18.75" customHeight="1">
      <c r="A65" s="1713">
        <v>55</v>
      </c>
      <c r="B65" s="1714" t="s">
        <v>3156</v>
      </c>
      <c r="C65" s="1715" t="s">
        <v>781</v>
      </c>
      <c r="D65" s="1734" t="s">
        <v>15</v>
      </c>
      <c r="E65" s="1717">
        <v>3.2</v>
      </c>
      <c r="F65" s="1717"/>
      <c r="G65" s="1717"/>
      <c r="H65" s="1717"/>
      <c r="I65" s="1717"/>
      <c r="J65" s="1718"/>
      <c r="K65" s="1719"/>
      <c r="L65" s="1719"/>
      <c r="M65" s="1720"/>
      <c r="N65" s="1721"/>
      <c r="O65" s="1721"/>
      <c r="P65" s="1721"/>
      <c r="Q65" s="1722">
        <f t="shared" si="5"/>
        <v>3.2</v>
      </c>
      <c r="R65" s="1723">
        <f>VLOOKUP(C65,'sản lượng'!$D$14:$AP$97,35,0)</f>
        <v>1966.6031714162564</v>
      </c>
      <c r="S65" s="1724"/>
      <c r="T65" s="1725">
        <f t="shared" si="2"/>
        <v>0</v>
      </c>
      <c r="U65" s="1726">
        <f t="shared" si="3"/>
        <v>1966.6031714162564</v>
      </c>
      <c r="V65" s="1727">
        <f>VLOOKUP(TONGHOPCONGDOI!C65,'CHẤM CÔNG '!$E$13:$AL$96,34,0)</f>
        <v>27</v>
      </c>
      <c r="W65" s="1727">
        <f>VLOOKUP(C65,'CHẤM CÔNG '!$E$13:$AM$96,35,0)</f>
        <v>4</v>
      </c>
      <c r="X65" s="1727">
        <f>VLOOKUP(C65,'CHẤM CÔNG '!$E$13:$AR$96,36,0)</f>
        <v>0</v>
      </c>
      <c r="Y65" s="1729">
        <f>VLOOKUP(C65,'CHẤM CÔNG '!$E$13:$AQ$96,37,0)</f>
        <v>0</v>
      </c>
      <c r="Z65" s="1729">
        <f>VLOOKUP(C65,'CHẤM CÔNG '!$E$13:$AQ$96,38,0)</f>
        <v>0</v>
      </c>
      <c r="AA65" s="1729">
        <f>VLOOKUP(C65,'CHẤM CÔNG '!$E$13:$AQ$96,39,0)</f>
        <v>0</v>
      </c>
      <c r="AB65" s="1730"/>
      <c r="AC65" s="1735">
        <f t="shared" si="4"/>
        <v>3.2</v>
      </c>
      <c r="AD65" s="1834">
        <f>VLOOKUP(C65,'sản lượng'!$D$14:$AP$97,36,0)</f>
        <v>4627</v>
      </c>
      <c r="AE65" s="1736"/>
      <c r="AF65" s="1708"/>
      <c r="AH65" s="1710"/>
      <c r="AI65" s="1738"/>
      <c r="AJ65" s="1712"/>
      <c r="AK65" s="1712"/>
      <c r="AL65" s="1712"/>
      <c r="AM65" s="1712"/>
      <c r="AN65" s="1712"/>
      <c r="AO65" s="1712"/>
    </row>
    <row r="66" spans="1:41" ht="18.75" customHeight="1">
      <c r="A66" s="1733">
        <v>56</v>
      </c>
      <c r="B66" s="1714" t="s">
        <v>3157</v>
      </c>
      <c r="C66" s="1715" t="s">
        <v>1745</v>
      </c>
      <c r="D66" s="1734" t="s">
        <v>15</v>
      </c>
      <c r="E66" s="1717">
        <v>3.2</v>
      </c>
      <c r="F66" s="1717"/>
      <c r="G66" s="1717"/>
      <c r="H66" s="1717"/>
      <c r="I66" s="1717"/>
      <c r="J66" s="1718"/>
      <c r="K66" s="1719"/>
      <c r="L66" s="1719"/>
      <c r="M66" s="1737"/>
      <c r="N66" s="1721"/>
      <c r="O66" s="1737"/>
      <c r="P66" s="1737"/>
      <c r="Q66" s="1722">
        <f t="shared" si="5"/>
        <v>3.2</v>
      </c>
      <c r="R66" s="1723">
        <f>VLOOKUP(C66,'sản lượng'!$D$14:$AP$97,35,0)</f>
        <v>2168.0663015764694</v>
      </c>
      <c r="S66" s="1724"/>
      <c r="T66" s="1725">
        <f t="shared" si="2"/>
        <v>0</v>
      </c>
      <c r="U66" s="1726">
        <f t="shared" si="3"/>
        <v>2168.0663015764694</v>
      </c>
      <c r="V66" s="1727">
        <f>VLOOKUP(TONGHOPCONGDOI!C66,'CHẤM CÔNG '!$E$13:$AL$96,34,0)</f>
        <v>26</v>
      </c>
      <c r="W66" s="1727">
        <f>VLOOKUP(C66,'CHẤM CÔNG '!$E$13:$AM$96,35,0)</f>
        <v>4</v>
      </c>
      <c r="X66" s="1727">
        <f>VLOOKUP(C66,'CHẤM CÔNG '!$E$13:$AR$96,36,0)</f>
        <v>0</v>
      </c>
      <c r="Y66" s="1729">
        <f>VLOOKUP(C66,'CHẤM CÔNG '!$E$13:$AQ$96,37,0)</f>
        <v>0</v>
      </c>
      <c r="Z66" s="1729">
        <f>VLOOKUP(C66,'CHẤM CÔNG '!$E$13:$AQ$96,38,0)</f>
        <v>0</v>
      </c>
      <c r="AA66" s="1729">
        <f>VLOOKUP(C66,'CHẤM CÔNG '!$E$13:$AQ$96,39,0)</f>
        <v>0</v>
      </c>
      <c r="AB66" s="1730"/>
      <c r="AC66" s="1735">
        <f t="shared" si="4"/>
        <v>3.2</v>
      </c>
      <c r="AD66" s="1834">
        <f>VLOOKUP(C66,'sản lượng'!$D$14:$AP$97,36,0)</f>
        <v>5101</v>
      </c>
      <c r="AE66" s="1736"/>
      <c r="AF66" s="1708"/>
      <c r="AH66" s="1710"/>
      <c r="AI66" s="1738"/>
      <c r="AJ66" s="1712"/>
      <c r="AK66" s="1712"/>
      <c r="AL66" s="1712"/>
      <c r="AM66" s="1712"/>
      <c r="AN66" s="1712"/>
      <c r="AO66" s="1712"/>
    </row>
    <row r="67" spans="1:41" ht="18.75" customHeight="1">
      <c r="A67" s="1713">
        <v>57</v>
      </c>
      <c r="B67" s="1714" t="s">
        <v>3158</v>
      </c>
      <c r="C67" s="1715" t="s">
        <v>1746</v>
      </c>
      <c r="D67" s="1734" t="s">
        <v>15</v>
      </c>
      <c r="E67" s="1717">
        <v>3.2</v>
      </c>
      <c r="F67" s="1717"/>
      <c r="G67" s="1717"/>
      <c r="H67" s="1717"/>
      <c r="I67" s="1717"/>
      <c r="J67" s="1718"/>
      <c r="K67" s="1719"/>
      <c r="L67" s="1719"/>
      <c r="M67" s="1737"/>
      <c r="N67" s="1721"/>
      <c r="O67" s="1737"/>
      <c r="P67" s="1737"/>
      <c r="Q67" s="1722">
        <f t="shared" si="5"/>
        <v>3.2</v>
      </c>
      <c r="R67" s="1723">
        <f>VLOOKUP(C67,'sản lượng'!$D$14:$AP$97,35,0)</f>
        <v>1888.8231021771867</v>
      </c>
      <c r="S67" s="1724"/>
      <c r="T67" s="1725">
        <f t="shared" si="2"/>
        <v>0</v>
      </c>
      <c r="U67" s="1726">
        <f t="shared" si="3"/>
        <v>1888.8231021771867</v>
      </c>
      <c r="V67" s="1727">
        <f>VLOOKUP(TONGHOPCONGDOI!C67,'CHẤM CÔNG '!$E$13:$AL$96,34,0)</f>
        <v>27</v>
      </c>
      <c r="W67" s="1727">
        <f>VLOOKUP(C67,'CHẤM CÔNG '!$E$13:$AM$96,35,0)</f>
        <v>4</v>
      </c>
      <c r="X67" s="1727">
        <f>VLOOKUP(C67,'CHẤM CÔNG '!$E$13:$AR$96,36,0)</f>
        <v>0</v>
      </c>
      <c r="Y67" s="1729">
        <f>VLOOKUP(C67,'CHẤM CÔNG '!$E$13:$AQ$96,37,0)</f>
        <v>0</v>
      </c>
      <c r="Z67" s="1729">
        <f>VLOOKUP(C67,'CHẤM CÔNG '!$E$13:$AQ$96,38,0)</f>
        <v>0</v>
      </c>
      <c r="AA67" s="1729">
        <f>VLOOKUP(C67,'CHẤM CÔNG '!$E$13:$AQ$96,39,0)</f>
        <v>0</v>
      </c>
      <c r="AB67" s="1730"/>
      <c r="AC67" s="1735">
        <f t="shared" si="4"/>
        <v>3.2</v>
      </c>
      <c r="AD67" s="1834">
        <f>VLOOKUP(C67,'sản lượng'!$D$14:$AP$97,36,0)</f>
        <v>4444</v>
      </c>
      <c r="AE67" s="1736"/>
      <c r="AF67" s="1708"/>
      <c r="AH67" s="1710"/>
      <c r="AI67" s="1738"/>
      <c r="AJ67" s="1712"/>
      <c r="AK67" s="1712"/>
      <c r="AL67" s="1712"/>
      <c r="AM67" s="1712"/>
      <c r="AN67" s="1712"/>
      <c r="AO67" s="1712"/>
    </row>
    <row r="68" spans="1:41" ht="18.75" customHeight="1">
      <c r="A68" s="1733">
        <v>58</v>
      </c>
      <c r="B68" s="1714" t="s">
        <v>3159</v>
      </c>
      <c r="C68" s="1715" t="s">
        <v>1747</v>
      </c>
      <c r="D68" s="1734" t="s">
        <v>15</v>
      </c>
      <c r="E68" s="1717">
        <v>3.2</v>
      </c>
      <c r="F68" s="1717"/>
      <c r="G68" s="1717"/>
      <c r="H68" s="1717"/>
      <c r="I68" s="1717"/>
      <c r="J68" s="1718"/>
      <c r="K68" s="1719"/>
      <c r="L68" s="1719"/>
      <c r="M68" s="1737"/>
      <c r="N68" s="1721"/>
      <c r="O68" s="1737"/>
      <c r="P68" s="1737"/>
      <c r="Q68" s="1722">
        <f t="shared" si="5"/>
        <v>3.2</v>
      </c>
      <c r="R68" s="1723">
        <f>VLOOKUP(C68,'sản lượng'!$D$14:$AP$97,35,0)</f>
        <v>2624.5460521926479</v>
      </c>
      <c r="S68" s="1724"/>
      <c r="T68" s="1725">
        <f t="shared" si="2"/>
        <v>0</v>
      </c>
      <c r="U68" s="1726">
        <f t="shared" si="3"/>
        <v>2624.5460521926479</v>
      </c>
      <c r="V68" s="1727">
        <f>VLOOKUP(TONGHOPCONGDOI!C68,'CHẤM CÔNG '!$E$13:$AL$96,34,0)</f>
        <v>27</v>
      </c>
      <c r="W68" s="1727">
        <f>VLOOKUP(C68,'CHẤM CÔNG '!$E$13:$AM$96,35,0)</f>
        <v>4</v>
      </c>
      <c r="X68" s="1727">
        <f>VLOOKUP(C68,'CHẤM CÔNG '!$E$13:$AR$96,36,0)</f>
        <v>0</v>
      </c>
      <c r="Y68" s="1729">
        <f>VLOOKUP(C68,'CHẤM CÔNG '!$E$13:$AQ$96,37,0)</f>
        <v>0</v>
      </c>
      <c r="Z68" s="1729">
        <f>VLOOKUP(C68,'CHẤM CÔNG '!$E$13:$AQ$96,38,0)</f>
        <v>0</v>
      </c>
      <c r="AA68" s="1729">
        <f>VLOOKUP(C68,'CHẤM CÔNG '!$E$13:$AQ$96,39,0)</f>
        <v>0</v>
      </c>
      <c r="AB68" s="1730"/>
      <c r="AC68" s="1735">
        <f t="shared" si="4"/>
        <v>3.2</v>
      </c>
      <c r="AD68" s="1834">
        <f>VLOOKUP(C68,'sản lượng'!$D$14:$AP$97,36,0)</f>
        <v>6175</v>
      </c>
      <c r="AE68" s="1736"/>
      <c r="AF68" s="1708"/>
      <c r="AH68" s="1710"/>
      <c r="AI68" s="1738"/>
      <c r="AJ68" s="1712"/>
      <c r="AK68" s="1712"/>
      <c r="AL68" s="1712"/>
      <c r="AM68" s="1712"/>
      <c r="AN68" s="1712"/>
      <c r="AO68" s="1712"/>
    </row>
    <row r="69" spans="1:41" ht="18.75" customHeight="1">
      <c r="A69" s="1713">
        <v>59</v>
      </c>
      <c r="B69" s="1714" t="s">
        <v>3160</v>
      </c>
      <c r="C69" s="1715" t="s">
        <v>1610</v>
      </c>
      <c r="D69" s="1734" t="s">
        <v>15</v>
      </c>
      <c r="E69" s="1717">
        <v>3.2</v>
      </c>
      <c r="F69" s="1717"/>
      <c r="G69" s="1717"/>
      <c r="H69" s="1717"/>
      <c r="I69" s="1717"/>
      <c r="J69" s="1718"/>
      <c r="K69" s="1719"/>
      <c r="L69" s="1719"/>
      <c r="M69" s="1737"/>
      <c r="N69" s="1721"/>
      <c r="O69" s="1737"/>
      <c r="P69" s="1737"/>
      <c r="Q69" s="1722">
        <f t="shared" si="5"/>
        <v>3.2</v>
      </c>
      <c r="R69" s="1723">
        <f>VLOOKUP(C69,'sản lượng'!$D$14:$AP$97,35,0)</f>
        <v>2687.0251242043596</v>
      </c>
      <c r="S69" s="1724"/>
      <c r="T69" s="1725">
        <f t="shared" si="2"/>
        <v>0</v>
      </c>
      <c r="U69" s="1726">
        <f t="shared" si="3"/>
        <v>2687.0251242043596</v>
      </c>
      <c r="V69" s="1727">
        <f>VLOOKUP(TONGHOPCONGDOI!C69,'CHẤM CÔNG '!$E$13:$AL$96,34,0)</f>
        <v>27</v>
      </c>
      <c r="W69" s="1727">
        <f>VLOOKUP(C69,'CHẤM CÔNG '!$E$13:$AM$96,35,0)</f>
        <v>4</v>
      </c>
      <c r="X69" s="1727">
        <f>VLOOKUP(C69,'CHẤM CÔNG '!$E$13:$AR$96,36,0)</f>
        <v>0</v>
      </c>
      <c r="Y69" s="1729">
        <f>VLOOKUP(C69,'CHẤM CÔNG '!$E$13:$AQ$96,37,0)</f>
        <v>0</v>
      </c>
      <c r="Z69" s="1729">
        <f>VLOOKUP(C69,'CHẤM CÔNG '!$E$13:$AQ$96,38,0)</f>
        <v>0</v>
      </c>
      <c r="AA69" s="1729">
        <f>VLOOKUP(C69,'CHẤM CÔNG '!$E$13:$AQ$96,39,0)</f>
        <v>0</v>
      </c>
      <c r="AB69" s="1730"/>
      <c r="AC69" s="1735">
        <f t="shared" si="4"/>
        <v>3.2</v>
      </c>
      <c r="AD69" s="1834">
        <f>VLOOKUP(C69,'sản lượng'!$D$14:$AP$97,36,0)</f>
        <v>6322</v>
      </c>
      <c r="AE69" s="1736"/>
      <c r="AF69" s="1708"/>
      <c r="AH69" s="1710"/>
      <c r="AI69" s="1738"/>
      <c r="AJ69" s="1712"/>
      <c r="AK69" s="1712"/>
      <c r="AL69" s="1712"/>
      <c r="AM69" s="1712"/>
      <c r="AN69" s="1712"/>
      <c r="AO69" s="1712"/>
    </row>
    <row r="70" spans="1:41" ht="18.75" customHeight="1">
      <c r="A70" s="1733">
        <v>60</v>
      </c>
      <c r="B70" s="1714" t="s">
        <v>3161</v>
      </c>
      <c r="C70" s="1715" t="s">
        <v>782</v>
      </c>
      <c r="D70" s="1734" t="s">
        <v>15</v>
      </c>
      <c r="E70" s="1717">
        <v>3.2</v>
      </c>
      <c r="F70" s="1717"/>
      <c r="G70" s="1717"/>
      <c r="H70" s="1717"/>
      <c r="I70" s="1717"/>
      <c r="J70" s="1718"/>
      <c r="K70" s="1719"/>
      <c r="L70" s="1719"/>
      <c r="M70" s="1720"/>
      <c r="N70" s="1721"/>
      <c r="O70" s="1737"/>
      <c r="P70" s="1737"/>
      <c r="Q70" s="1722">
        <f t="shared" si="5"/>
        <v>3.2</v>
      </c>
      <c r="R70" s="1723">
        <f>VLOOKUP(C70,'sản lượng'!$D$14:$AP$97,35,0)</f>
        <v>1970.8534484238558</v>
      </c>
      <c r="S70" s="1724"/>
      <c r="T70" s="1725">
        <f t="shared" si="2"/>
        <v>0</v>
      </c>
      <c r="U70" s="1726">
        <f t="shared" si="3"/>
        <v>1970.8534484238558</v>
      </c>
      <c r="V70" s="1727">
        <f>VLOOKUP(TONGHOPCONGDOI!C70,'CHẤM CÔNG '!$E$13:$AL$96,34,0)</f>
        <v>27</v>
      </c>
      <c r="W70" s="1727">
        <f>VLOOKUP(C70,'CHẤM CÔNG '!$E$13:$AM$96,35,0)</f>
        <v>4</v>
      </c>
      <c r="X70" s="1727">
        <f>VLOOKUP(C70,'CHẤM CÔNG '!$E$13:$AR$96,36,0)</f>
        <v>0</v>
      </c>
      <c r="Y70" s="1729">
        <f>VLOOKUP(C70,'CHẤM CÔNG '!$E$13:$AQ$96,37,0)</f>
        <v>0</v>
      </c>
      <c r="Z70" s="1729">
        <f>VLOOKUP(C70,'CHẤM CÔNG '!$E$13:$AQ$96,38,0)</f>
        <v>0</v>
      </c>
      <c r="AA70" s="1729">
        <f>VLOOKUP(C70,'CHẤM CÔNG '!$E$13:$AQ$96,39,0)</f>
        <v>0</v>
      </c>
      <c r="AB70" s="1730"/>
      <c r="AC70" s="1735">
        <f t="shared" si="4"/>
        <v>3.2</v>
      </c>
      <c r="AD70" s="1834">
        <f>VLOOKUP(C70,'sản lượng'!$D$14:$AP$97,36,0)</f>
        <v>4637</v>
      </c>
      <c r="AE70" s="1736"/>
      <c r="AF70" s="1708"/>
      <c r="AH70" s="1710"/>
      <c r="AI70" s="1738"/>
      <c r="AJ70" s="1712"/>
      <c r="AK70" s="1712"/>
      <c r="AL70" s="1712"/>
      <c r="AM70" s="1712"/>
      <c r="AN70" s="1712"/>
      <c r="AO70" s="1712"/>
    </row>
    <row r="71" spans="1:41" ht="18.75" customHeight="1">
      <c r="A71" s="1713">
        <v>61</v>
      </c>
      <c r="B71" s="1714" t="s">
        <v>3162</v>
      </c>
      <c r="C71" s="1715" t="s">
        <v>271</v>
      </c>
      <c r="D71" s="1734" t="s">
        <v>15</v>
      </c>
      <c r="E71" s="1717">
        <v>3.2</v>
      </c>
      <c r="F71" s="1717"/>
      <c r="G71" s="1717"/>
      <c r="H71" s="1717"/>
      <c r="I71" s="1717"/>
      <c r="J71" s="1718"/>
      <c r="K71" s="1719"/>
      <c r="L71" s="1719"/>
      <c r="M71" s="1737"/>
      <c r="N71" s="1721"/>
      <c r="O71" s="1737"/>
      <c r="P71" s="1737"/>
      <c r="Q71" s="1722">
        <f t="shared" si="5"/>
        <v>3.2</v>
      </c>
      <c r="R71" s="1723">
        <f>VLOOKUP(C71,'sản lượng'!$D$14:$AP$97,35,0)</f>
        <v>1316.3107892535436</v>
      </c>
      <c r="S71" s="1724"/>
      <c r="T71" s="1725">
        <f t="shared" si="2"/>
        <v>0</v>
      </c>
      <c r="U71" s="1726">
        <f t="shared" si="3"/>
        <v>1316.3107892535436</v>
      </c>
      <c r="V71" s="1727">
        <f>VLOOKUP(TONGHOPCONGDOI!C71,'CHẤM CÔNG '!$E$13:$AL$96,34,0)</f>
        <v>21</v>
      </c>
      <c r="W71" s="1727">
        <f>VLOOKUP(C71,'CHẤM CÔNG '!$E$13:$AM$96,35,0)</f>
        <v>4</v>
      </c>
      <c r="X71" s="1727">
        <f>VLOOKUP(C71,'CHẤM CÔNG '!$E$13:$AR$96,36,0)</f>
        <v>0</v>
      </c>
      <c r="Y71" s="1729">
        <f>VLOOKUP(C71,'CHẤM CÔNG '!$E$13:$AQ$96,37,0)</f>
        <v>0</v>
      </c>
      <c r="Z71" s="1729">
        <f>VLOOKUP(C71,'CHẤM CÔNG '!$E$13:$AQ$96,38,0)</f>
        <v>0</v>
      </c>
      <c r="AA71" s="1729">
        <f>VLOOKUP(C71,'CHẤM CÔNG '!$E$13:$AQ$96,39,0)</f>
        <v>0</v>
      </c>
      <c r="AB71" s="1730"/>
      <c r="AC71" s="1735">
        <f t="shared" si="4"/>
        <v>3.2</v>
      </c>
      <c r="AD71" s="1834">
        <f>VLOOKUP(C71,'sản lượng'!$D$14:$AP$97,36,0)</f>
        <v>3097</v>
      </c>
      <c r="AE71" s="1736"/>
      <c r="AF71" s="1708"/>
      <c r="AH71" s="1710"/>
      <c r="AI71" s="1738"/>
      <c r="AJ71" s="1712"/>
      <c r="AK71" s="1712"/>
      <c r="AL71" s="1712"/>
      <c r="AM71" s="1712"/>
      <c r="AN71" s="1712"/>
      <c r="AO71" s="1712"/>
    </row>
    <row r="72" spans="1:41" ht="18.75" customHeight="1">
      <c r="A72" s="1733">
        <v>62</v>
      </c>
      <c r="B72" s="1714" t="s">
        <v>3163</v>
      </c>
      <c r="C72" s="1715" t="s">
        <v>1714</v>
      </c>
      <c r="D72" s="1734" t="s">
        <v>15</v>
      </c>
      <c r="E72" s="1717">
        <v>3.2</v>
      </c>
      <c r="F72" s="1717"/>
      <c r="G72" s="1717"/>
      <c r="H72" s="1717"/>
      <c r="I72" s="1717"/>
      <c r="J72" s="1718"/>
      <c r="K72" s="1719"/>
      <c r="L72" s="1719"/>
      <c r="M72" s="1737"/>
      <c r="N72" s="1739"/>
      <c r="O72" s="1739"/>
      <c r="P72" s="1739"/>
      <c r="Q72" s="1722">
        <f t="shared" si="5"/>
        <v>3.2</v>
      </c>
      <c r="R72" s="1723">
        <f>VLOOKUP(C72,'sản lượng'!$D$14:$AP$97,35,0)</f>
        <v>2434.5586699529536</v>
      </c>
      <c r="S72" s="1724"/>
      <c r="T72" s="1725">
        <f t="shared" si="2"/>
        <v>0</v>
      </c>
      <c r="U72" s="1726">
        <f t="shared" si="3"/>
        <v>2434.5586699529536</v>
      </c>
      <c r="V72" s="1727">
        <f>VLOOKUP(TONGHOPCONGDOI!C72,'CHẤM CÔNG '!$E$13:$AL$96,34,0)</f>
        <v>27</v>
      </c>
      <c r="W72" s="1727">
        <f>VLOOKUP(C72,'CHẤM CÔNG '!$E$13:$AM$96,35,0)</f>
        <v>4</v>
      </c>
      <c r="X72" s="1727">
        <f>VLOOKUP(C72,'CHẤM CÔNG '!$E$13:$AR$96,36,0)</f>
        <v>0</v>
      </c>
      <c r="Y72" s="1729">
        <f>VLOOKUP(C72,'CHẤM CÔNG '!$E$13:$AQ$96,37,0)</f>
        <v>0</v>
      </c>
      <c r="Z72" s="1729">
        <f>VLOOKUP(C72,'CHẤM CÔNG '!$E$13:$AQ$96,38,0)</f>
        <v>0</v>
      </c>
      <c r="AA72" s="1729">
        <f>VLOOKUP(C72,'CHẤM CÔNG '!$E$13:$AQ$96,39,0)</f>
        <v>0</v>
      </c>
      <c r="AB72" s="1730"/>
      <c r="AC72" s="1735">
        <f t="shared" si="4"/>
        <v>3.2</v>
      </c>
      <c r="AD72" s="1834">
        <f>VLOOKUP(C72,'sản lượng'!$D$14:$AP$97,36,0)</f>
        <v>5728</v>
      </c>
      <c r="AE72" s="1740"/>
      <c r="AF72" s="1708"/>
      <c r="AH72" s="1710"/>
      <c r="AI72" s="1738"/>
      <c r="AJ72" s="1712"/>
      <c r="AK72" s="1712"/>
      <c r="AL72" s="1712"/>
      <c r="AM72" s="1712"/>
      <c r="AN72" s="1712"/>
      <c r="AO72" s="1712"/>
    </row>
    <row r="73" spans="1:41" ht="18.75" customHeight="1">
      <c r="A73" s="1713">
        <v>63</v>
      </c>
      <c r="B73" s="1714" t="s">
        <v>3164</v>
      </c>
      <c r="C73" s="1715" t="s">
        <v>1617</v>
      </c>
      <c r="D73" s="1734" t="s">
        <v>15</v>
      </c>
      <c r="E73" s="1717">
        <v>3.2</v>
      </c>
      <c r="F73" s="1717"/>
      <c r="G73" s="1717"/>
      <c r="H73" s="1717"/>
      <c r="I73" s="1717"/>
      <c r="J73" s="1718"/>
      <c r="K73" s="1719"/>
      <c r="L73" s="1719"/>
      <c r="M73" s="1737"/>
      <c r="N73" s="1739"/>
      <c r="O73" s="1739"/>
      <c r="P73" s="1739"/>
      <c r="Q73" s="1722">
        <f t="shared" si="5"/>
        <v>3.2</v>
      </c>
      <c r="R73" s="1723">
        <f>VLOOKUP(C73,'sản lượng'!$D$14:$AP$97,35,0)</f>
        <v>1930.9008445524212</v>
      </c>
      <c r="S73" s="1724"/>
      <c r="T73" s="1725">
        <f t="shared" si="2"/>
        <v>0</v>
      </c>
      <c r="U73" s="1726">
        <f t="shared" si="3"/>
        <v>1930.9008445524212</v>
      </c>
      <c r="V73" s="1727">
        <f>VLOOKUP(TONGHOPCONGDOI!C73,'CHẤM CÔNG '!$E$13:$AL$96,34,0)</f>
        <v>26</v>
      </c>
      <c r="W73" s="1727">
        <f>VLOOKUP(C73,'CHẤM CÔNG '!$E$13:$AM$96,35,0)</f>
        <v>4</v>
      </c>
      <c r="X73" s="1727">
        <f>VLOOKUP(C73,'CHẤM CÔNG '!$E$13:$AR$96,36,0)</f>
        <v>0</v>
      </c>
      <c r="Y73" s="1729">
        <f>VLOOKUP(C73,'CHẤM CÔNG '!$E$13:$AQ$96,37,0)</f>
        <v>0</v>
      </c>
      <c r="Z73" s="1729">
        <f>VLOOKUP(C73,'CHẤM CÔNG '!$E$13:$AQ$96,38,0)</f>
        <v>0</v>
      </c>
      <c r="AA73" s="1729">
        <f>VLOOKUP(C73,'CHẤM CÔNG '!$E$13:$AQ$96,39,0)</f>
        <v>0</v>
      </c>
      <c r="AB73" s="1730"/>
      <c r="AC73" s="1735">
        <f t="shared" si="4"/>
        <v>3.2</v>
      </c>
      <c r="AD73" s="1834">
        <f>VLOOKUP(C73,'sản lượng'!$D$14:$AP$97,36,0)</f>
        <v>4543</v>
      </c>
      <c r="AE73" s="1740"/>
      <c r="AF73" s="1708"/>
      <c r="AH73" s="1710"/>
      <c r="AI73" s="1738"/>
      <c r="AJ73" s="1712"/>
      <c r="AK73" s="1712"/>
      <c r="AL73" s="1712"/>
      <c r="AM73" s="1712"/>
      <c r="AN73" s="1712"/>
      <c r="AO73" s="1712"/>
    </row>
    <row r="74" spans="1:41" ht="18.75" customHeight="1">
      <c r="A74" s="1733">
        <v>64</v>
      </c>
      <c r="B74" s="1714" t="s">
        <v>3165</v>
      </c>
      <c r="C74" s="1715" t="s">
        <v>1619</v>
      </c>
      <c r="D74" s="1734" t="s">
        <v>15</v>
      </c>
      <c r="E74" s="1717">
        <v>3.2</v>
      </c>
      <c r="F74" s="1717"/>
      <c r="G74" s="1717"/>
      <c r="H74" s="1717"/>
      <c r="I74" s="1717"/>
      <c r="J74" s="1718"/>
      <c r="K74" s="1719"/>
      <c r="L74" s="1719"/>
      <c r="M74" s="1737"/>
      <c r="N74" s="1739"/>
      <c r="O74" s="1739"/>
      <c r="P74" s="1739"/>
      <c r="Q74" s="1722">
        <f t="shared" si="5"/>
        <v>3.2</v>
      </c>
      <c r="R74" s="1723">
        <f>VLOOKUP(C74,'sản lượng'!$D$14:$AP$97,35,0)</f>
        <v>1808.0678390327976</v>
      </c>
      <c r="S74" s="1724"/>
      <c r="T74" s="1725">
        <f t="shared" si="2"/>
        <v>0</v>
      </c>
      <c r="U74" s="1726">
        <f t="shared" si="3"/>
        <v>1808.0678390327976</v>
      </c>
      <c r="V74" s="1727">
        <f>VLOOKUP(TONGHOPCONGDOI!C74,'CHẤM CÔNG '!$E$13:$AL$96,34,0)</f>
        <v>20</v>
      </c>
      <c r="W74" s="1727">
        <f>VLOOKUP(C74,'CHẤM CÔNG '!$E$13:$AM$96,35,0)</f>
        <v>4</v>
      </c>
      <c r="X74" s="1727">
        <f>VLOOKUP(C74,'CHẤM CÔNG '!$E$13:$AR$96,36,0)</f>
        <v>0</v>
      </c>
      <c r="Y74" s="1729">
        <f>VLOOKUP(C74,'CHẤM CÔNG '!$E$13:$AQ$96,37,0)</f>
        <v>0</v>
      </c>
      <c r="Z74" s="1729">
        <f>VLOOKUP(C74,'CHẤM CÔNG '!$E$13:$AQ$96,38,0)</f>
        <v>0</v>
      </c>
      <c r="AA74" s="1729">
        <f>VLOOKUP(C74,'CHẤM CÔNG '!$E$13:$AQ$96,39,0)</f>
        <v>0</v>
      </c>
      <c r="AB74" s="1730"/>
      <c r="AC74" s="1735">
        <f t="shared" si="4"/>
        <v>3.2</v>
      </c>
      <c r="AD74" s="1834">
        <f>VLOOKUP(C74,'sản lượng'!$D$14:$AP$97,36,0)</f>
        <v>4254</v>
      </c>
      <c r="AE74" s="1740"/>
      <c r="AF74" s="1708"/>
      <c r="AH74" s="1710"/>
      <c r="AI74" s="1738"/>
      <c r="AJ74" s="1712"/>
      <c r="AK74" s="1712"/>
      <c r="AL74" s="1712"/>
      <c r="AM74" s="1712"/>
      <c r="AN74" s="1712"/>
      <c r="AO74" s="1712"/>
    </row>
    <row r="75" spans="1:41" ht="18.75" customHeight="1">
      <c r="A75" s="1713">
        <v>65</v>
      </c>
      <c r="B75" s="1714" t="s">
        <v>3166</v>
      </c>
      <c r="C75" s="1715" t="s">
        <v>3374</v>
      </c>
      <c r="D75" s="1734" t="s">
        <v>15</v>
      </c>
      <c r="E75" s="1717">
        <v>3.2</v>
      </c>
      <c r="F75" s="1717"/>
      <c r="G75" s="1717"/>
      <c r="H75" s="1717"/>
      <c r="I75" s="1717"/>
      <c r="J75" s="1718"/>
      <c r="K75" s="1719"/>
      <c r="L75" s="1719"/>
      <c r="M75" s="1737"/>
      <c r="N75" s="1721"/>
      <c r="O75" s="1739"/>
      <c r="P75" s="1739"/>
      <c r="Q75" s="1722">
        <f t="shared" si="5"/>
        <v>3.2</v>
      </c>
      <c r="R75" s="1723">
        <f>VLOOKUP(C75,'sản lượng'!$D$14:$AP$97,35,0)</f>
        <v>1604.0545426680249</v>
      </c>
      <c r="S75" s="1724"/>
      <c r="T75" s="1725">
        <f t="shared" si="2"/>
        <v>0</v>
      </c>
      <c r="U75" s="1726">
        <f t="shared" ref="U75:U94" si="6">R75</f>
        <v>1604.0545426680249</v>
      </c>
      <c r="V75" s="1727">
        <f>VLOOKUP(TONGHOPCONGDOI!C75,'CHẤM CÔNG '!$E$13:$AL$96,34,0)</f>
        <v>26</v>
      </c>
      <c r="W75" s="1727">
        <f>VLOOKUP(C75,'CHẤM CÔNG '!$E$13:$AM$96,35,0)</f>
        <v>4</v>
      </c>
      <c r="X75" s="1727">
        <f>VLOOKUP(C75,'CHẤM CÔNG '!$E$13:$AR$96,36,0)</f>
        <v>0</v>
      </c>
      <c r="Y75" s="1729">
        <f>VLOOKUP(C75,'CHẤM CÔNG '!$E$13:$AQ$96,37,0)</f>
        <v>0</v>
      </c>
      <c r="Z75" s="1729">
        <f>VLOOKUP(C75,'CHẤM CÔNG '!$E$13:$AQ$96,38,0)</f>
        <v>0</v>
      </c>
      <c r="AA75" s="1729">
        <f>VLOOKUP(C75,'CHẤM CÔNG '!$E$13:$AQ$96,39,0)</f>
        <v>0</v>
      </c>
      <c r="AB75" s="1730"/>
      <c r="AC75" s="1735">
        <f t="shared" si="4"/>
        <v>3.2</v>
      </c>
      <c r="AD75" s="1834">
        <f>VLOOKUP(C75,'sản lượng'!$D$14:$AP$97,36,0)</f>
        <v>3774</v>
      </c>
      <c r="AE75" s="1740"/>
      <c r="AF75" s="1708"/>
      <c r="AH75" s="1710"/>
      <c r="AI75" s="1738"/>
      <c r="AJ75" s="1712"/>
      <c r="AK75" s="1712"/>
      <c r="AL75" s="1712"/>
      <c r="AM75" s="1712"/>
      <c r="AN75" s="1712"/>
      <c r="AO75" s="1712"/>
    </row>
    <row r="76" spans="1:41" ht="18.75" customHeight="1">
      <c r="A76" s="1733">
        <v>66</v>
      </c>
      <c r="B76" s="1714" t="s">
        <v>3167</v>
      </c>
      <c r="C76" s="1715" t="s">
        <v>3375</v>
      </c>
      <c r="D76" s="1734" t="s">
        <v>15</v>
      </c>
      <c r="E76" s="1717">
        <v>3.2</v>
      </c>
      <c r="F76" s="1717"/>
      <c r="G76" s="1717"/>
      <c r="H76" s="1717"/>
      <c r="I76" s="1717"/>
      <c r="J76" s="1718"/>
      <c r="K76" s="1719"/>
      <c r="L76" s="1719"/>
      <c r="M76" s="1737"/>
      <c r="N76" s="1739"/>
      <c r="O76" s="1739"/>
      <c r="P76" s="1739"/>
      <c r="Q76" s="1722">
        <f t="shared" si="5"/>
        <v>3.2</v>
      </c>
      <c r="R76" s="1723">
        <f>VLOOKUP(C76,'sản lượng'!$D$14:$AP$97,35,0)</f>
        <v>2132.363974712634</v>
      </c>
      <c r="S76" s="1724"/>
      <c r="T76" s="1725">
        <f t="shared" ref="T76:T88" si="7">S76*50/100</f>
        <v>0</v>
      </c>
      <c r="U76" s="1726">
        <f t="shared" si="6"/>
        <v>2132.363974712634</v>
      </c>
      <c r="V76" s="1727">
        <f>VLOOKUP(TONGHOPCONGDOI!C76,'CHẤM CÔNG '!$E$13:$AL$96,34,0)</f>
        <v>27</v>
      </c>
      <c r="W76" s="1727">
        <f>VLOOKUP(C76,'CHẤM CÔNG '!$E$13:$AM$96,35,0)</f>
        <v>4</v>
      </c>
      <c r="X76" s="1727">
        <f>VLOOKUP(C76,'CHẤM CÔNG '!$E$13:$AR$96,36,0)</f>
        <v>0</v>
      </c>
      <c r="Y76" s="1729">
        <f>VLOOKUP(C76,'CHẤM CÔNG '!$E$13:$AQ$96,37,0)</f>
        <v>0</v>
      </c>
      <c r="Z76" s="1729">
        <f>VLOOKUP(C76,'CHẤM CÔNG '!$E$13:$AQ$96,38,0)</f>
        <v>0</v>
      </c>
      <c r="AA76" s="1729">
        <f>VLOOKUP(C76,'CHẤM CÔNG '!$E$13:$AQ$96,39,0)</f>
        <v>0</v>
      </c>
      <c r="AB76" s="1730"/>
      <c r="AC76" s="1735">
        <f t="shared" ref="AC76:AC103" si="8">Q76</f>
        <v>3.2</v>
      </c>
      <c r="AD76" s="1834">
        <f>VLOOKUP(C76,'sản lượng'!$D$14:$AP$97,36,0)</f>
        <v>5017</v>
      </c>
      <c r="AE76" s="1740"/>
      <c r="AF76" s="1708"/>
      <c r="AH76" s="1710"/>
      <c r="AI76" s="1738"/>
      <c r="AJ76" s="1712"/>
      <c r="AK76" s="1712"/>
      <c r="AL76" s="1712"/>
      <c r="AM76" s="1712"/>
      <c r="AN76" s="1712"/>
      <c r="AO76" s="1712"/>
    </row>
    <row r="77" spans="1:41" ht="18.75" customHeight="1">
      <c r="A77" s="1713">
        <v>67</v>
      </c>
      <c r="B77" s="1714" t="s">
        <v>3168</v>
      </c>
      <c r="C77" s="1715" t="s">
        <v>794</v>
      </c>
      <c r="D77" s="1734" t="s">
        <v>15</v>
      </c>
      <c r="E77" s="1717">
        <v>3.2</v>
      </c>
      <c r="F77" s="1717"/>
      <c r="G77" s="1717"/>
      <c r="H77" s="1717"/>
      <c r="I77" s="1717"/>
      <c r="J77" s="1718"/>
      <c r="K77" s="1719"/>
      <c r="L77" s="1719"/>
      <c r="M77" s="1720"/>
      <c r="N77" s="1721"/>
      <c r="O77" s="1721"/>
      <c r="P77" s="1721"/>
      <c r="Q77" s="1722">
        <f t="shared" ref="Q77:Q103" si="9">SUM(E77:P77)</f>
        <v>3.2</v>
      </c>
      <c r="R77" s="1723">
        <f>VLOOKUP(C77,'sản lượng'!$D$14:$AP$97,35,0)</f>
        <v>1270.4077975714697</v>
      </c>
      <c r="S77" s="1724"/>
      <c r="T77" s="1725">
        <f t="shared" si="7"/>
        <v>0</v>
      </c>
      <c r="U77" s="1726">
        <f t="shared" si="6"/>
        <v>1270.4077975714697</v>
      </c>
      <c r="V77" s="1727">
        <f>VLOOKUP(TONGHOPCONGDOI!C77,'CHẤM CÔNG '!$E$13:$AL$96,34,0)</f>
        <v>21</v>
      </c>
      <c r="W77" s="1727">
        <f>VLOOKUP(C77,'CHẤM CÔNG '!$E$13:$AM$96,35,0)</f>
        <v>4</v>
      </c>
      <c r="X77" s="1727">
        <f>VLOOKUP(C77,'CHẤM CÔNG '!$E$13:$AR$96,36,0)</f>
        <v>0</v>
      </c>
      <c r="Y77" s="1729">
        <f>VLOOKUP(C77,'CHẤM CÔNG '!$E$13:$AQ$96,37,0)</f>
        <v>0</v>
      </c>
      <c r="Z77" s="1729">
        <f>VLOOKUP(C77,'CHẤM CÔNG '!$E$13:$AQ$96,38,0)</f>
        <v>0</v>
      </c>
      <c r="AA77" s="1729">
        <f>VLOOKUP(C77,'CHẤM CÔNG '!$E$13:$AQ$96,39,0)</f>
        <v>0</v>
      </c>
      <c r="AB77" s="1730"/>
      <c r="AC77" s="1735">
        <f t="shared" si="8"/>
        <v>3.2</v>
      </c>
      <c r="AD77" s="1834">
        <f>VLOOKUP(C77,'sản lượng'!$D$14:$AP$97,36,0)</f>
        <v>2989</v>
      </c>
      <c r="AE77" s="1740"/>
      <c r="AF77" s="1708"/>
      <c r="AH77" s="1710"/>
      <c r="AI77" s="1738"/>
      <c r="AJ77" s="1712"/>
      <c r="AK77" s="1712"/>
      <c r="AL77" s="1712"/>
      <c r="AM77" s="1712"/>
      <c r="AN77" s="1712"/>
      <c r="AO77" s="1712"/>
    </row>
    <row r="78" spans="1:41" ht="15.75">
      <c r="A78" s="1733">
        <v>68</v>
      </c>
      <c r="B78" s="1714" t="s">
        <v>3169</v>
      </c>
      <c r="C78" s="1715" t="s">
        <v>3376</v>
      </c>
      <c r="D78" s="1734" t="s">
        <v>15</v>
      </c>
      <c r="E78" s="1717">
        <v>3.2</v>
      </c>
      <c r="F78" s="1717"/>
      <c r="G78" s="1717"/>
      <c r="H78" s="1717"/>
      <c r="I78" s="1717"/>
      <c r="J78" s="1718"/>
      <c r="K78" s="1719"/>
      <c r="L78" s="1719"/>
      <c r="M78" s="1720"/>
      <c r="N78" s="1721"/>
      <c r="O78" s="1721"/>
      <c r="P78" s="1721"/>
      <c r="Q78" s="1722">
        <f t="shared" si="9"/>
        <v>3.2</v>
      </c>
      <c r="R78" s="1723">
        <f>VLOOKUP(C78,'sản lượng'!$D$14:$AP$97,35,0)</f>
        <v>1601.9294041642252</v>
      </c>
      <c r="S78" s="1724"/>
      <c r="T78" s="1725">
        <f t="shared" si="7"/>
        <v>0</v>
      </c>
      <c r="U78" s="1726">
        <f t="shared" si="6"/>
        <v>1601.9294041642252</v>
      </c>
      <c r="V78" s="1727">
        <f>VLOOKUP(TONGHOPCONGDOI!C78,'CHẤM CÔNG '!$E$13:$AL$96,34,0)</f>
        <v>27</v>
      </c>
      <c r="W78" s="1727">
        <f>VLOOKUP(C78,'CHẤM CÔNG '!$E$13:$AM$96,35,0)</f>
        <v>4</v>
      </c>
      <c r="X78" s="1727">
        <f>VLOOKUP(C78,'CHẤM CÔNG '!$E$13:$AR$96,36,0)</f>
        <v>0</v>
      </c>
      <c r="Y78" s="1729">
        <f>VLOOKUP(C78,'CHẤM CÔNG '!$E$13:$AQ$96,37,0)</f>
        <v>0</v>
      </c>
      <c r="Z78" s="1729">
        <f>VLOOKUP(C78,'CHẤM CÔNG '!$E$13:$AQ$96,38,0)</f>
        <v>0</v>
      </c>
      <c r="AA78" s="1729">
        <f>VLOOKUP(C78,'CHẤM CÔNG '!$E$13:$AQ$96,39,0)</f>
        <v>0</v>
      </c>
      <c r="AB78" s="1730"/>
      <c r="AC78" s="1735">
        <f t="shared" si="8"/>
        <v>3.2</v>
      </c>
      <c r="AD78" s="1834">
        <f>VLOOKUP(C78,'sản lượng'!$D$14:$AP$97,36,0)</f>
        <v>3769</v>
      </c>
      <c r="AE78" s="1740"/>
      <c r="AF78" s="1708"/>
      <c r="AH78" s="1710"/>
      <c r="AI78" s="1738"/>
      <c r="AJ78" s="1712"/>
      <c r="AK78" s="1712"/>
      <c r="AL78" s="1712"/>
      <c r="AM78" s="1712"/>
      <c r="AN78" s="1712"/>
      <c r="AO78" s="1712"/>
    </row>
    <row r="79" spans="1:41" ht="18.75" customHeight="1">
      <c r="A79" s="1713">
        <v>69</v>
      </c>
      <c r="B79" s="1714" t="s">
        <v>3170</v>
      </c>
      <c r="C79" s="1715" t="s">
        <v>1464</v>
      </c>
      <c r="D79" s="1734" t="s">
        <v>15</v>
      </c>
      <c r="E79" s="1717">
        <v>3.2</v>
      </c>
      <c r="F79" s="1717"/>
      <c r="G79" s="1717"/>
      <c r="H79" s="1717"/>
      <c r="I79" s="1717"/>
      <c r="J79" s="1718"/>
      <c r="K79" s="1719"/>
      <c r="L79" s="1719"/>
      <c r="M79" s="1739"/>
      <c r="N79" s="1739"/>
      <c r="O79" s="1739"/>
      <c r="P79" s="1739"/>
      <c r="Q79" s="1722">
        <f t="shared" si="9"/>
        <v>3.2</v>
      </c>
      <c r="R79" s="1723">
        <f>VLOOKUP(C79,'sản lượng'!$D$14:$AP$97,35,0)</f>
        <v>2650.4727419390047</v>
      </c>
      <c r="S79" s="1724"/>
      <c r="T79" s="1725">
        <f t="shared" si="7"/>
        <v>0</v>
      </c>
      <c r="U79" s="1726">
        <f t="shared" si="6"/>
        <v>2650.4727419390047</v>
      </c>
      <c r="V79" s="1727">
        <f>VLOOKUP(TONGHOPCONGDOI!C79,'CHẤM CÔNG '!$E$13:$AL$96,34,0)</f>
        <v>27</v>
      </c>
      <c r="W79" s="1727">
        <f>VLOOKUP(C79,'CHẤM CÔNG '!$E$13:$AM$96,35,0)</f>
        <v>4</v>
      </c>
      <c r="X79" s="1727">
        <f>VLOOKUP(C79,'CHẤM CÔNG '!$E$13:$AR$96,36,0)</f>
        <v>0</v>
      </c>
      <c r="Y79" s="1729">
        <f>VLOOKUP(C79,'CHẤM CÔNG '!$E$13:$AQ$96,37,0)</f>
        <v>0</v>
      </c>
      <c r="Z79" s="1729">
        <f>VLOOKUP(C79,'CHẤM CÔNG '!$E$13:$AQ$96,38,0)</f>
        <v>0</v>
      </c>
      <c r="AA79" s="1729">
        <f>VLOOKUP(C79,'CHẤM CÔNG '!$E$13:$AQ$96,39,0)</f>
        <v>0</v>
      </c>
      <c r="AB79" s="1730"/>
      <c r="AC79" s="1735">
        <f t="shared" si="8"/>
        <v>3.2</v>
      </c>
      <c r="AD79" s="1834">
        <f>VLOOKUP(C79,'sản lượng'!$D$14:$AP$97,36,0)</f>
        <v>6236</v>
      </c>
      <c r="AE79" s="1740"/>
      <c r="AF79" s="1708"/>
      <c r="AH79" s="1710"/>
      <c r="AI79" s="1738"/>
      <c r="AJ79" s="1712"/>
      <c r="AK79" s="1712"/>
      <c r="AL79" s="1712"/>
      <c r="AM79" s="1712"/>
      <c r="AN79" s="1712"/>
      <c r="AO79" s="1712"/>
    </row>
    <row r="80" spans="1:41" ht="18.75" customHeight="1">
      <c r="A80" s="1733">
        <v>70</v>
      </c>
      <c r="B80" s="1714" t="s">
        <v>3171</v>
      </c>
      <c r="C80" s="1715" t="s">
        <v>1629</v>
      </c>
      <c r="D80" s="1734" t="s">
        <v>15</v>
      </c>
      <c r="E80" s="1717">
        <v>3.2</v>
      </c>
      <c r="F80" s="1717"/>
      <c r="G80" s="1717"/>
      <c r="H80" s="1717"/>
      <c r="I80" s="1717"/>
      <c r="J80" s="1718"/>
      <c r="K80" s="1719"/>
      <c r="L80" s="1719"/>
      <c r="M80" s="1739"/>
      <c r="N80" s="1739"/>
      <c r="O80" s="1739"/>
      <c r="P80" s="1739"/>
      <c r="Q80" s="1722">
        <f t="shared" si="9"/>
        <v>3.2</v>
      </c>
      <c r="R80" s="1723">
        <f>VLOOKUP(C80,'sản lượng'!$D$14:$AP$97,35,0)</f>
        <v>2679.3746255906808</v>
      </c>
      <c r="S80" s="1724"/>
      <c r="T80" s="1725">
        <f t="shared" si="7"/>
        <v>0</v>
      </c>
      <c r="U80" s="1726">
        <f t="shared" si="6"/>
        <v>2679.3746255906808</v>
      </c>
      <c r="V80" s="1727">
        <f>VLOOKUP(TONGHOPCONGDOI!C80,'CHẤM CÔNG '!$E$13:$AL$96,34,0)</f>
        <v>27</v>
      </c>
      <c r="W80" s="1727">
        <f>VLOOKUP(C80,'CHẤM CÔNG '!$E$13:$AM$96,35,0)</f>
        <v>4</v>
      </c>
      <c r="X80" s="1727">
        <f>VLOOKUP(C80,'CHẤM CÔNG '!$E$13:$AR$96,36,0)</f>
        <v>0</v>
      </c>
      <c r="Y80" s="1729">
        <f>VLOOKUP(C80,'CHẤM CÔNG '!$E$13:$AQ$96,37,0)</f>
        <v>0</v>
      </c>
      <c r="Z80" s="1729">
        <f>VLOOKUP(C80,'CHẤM CÔNG '!$E$13:$AQ$96,38,0)</f>
        <v>0</v>
      </c>
      <c r="AA80" s="1729">
        <f>VLOOKUP(C80,'CHẤM CÔNG '!$E$13:$AQ$96,39,0)</f>
        <v>0</v>
      </c>
      <c r="AB80" s="1730"/>
      <c r="AC80" s="1735">
        <f t="shared" si="8"/>
        <v>3.2</v>
      </c>
      <c r="AD80" s="1834">
        <f>VLOOKUP(C80,'sản lượng'!$D$14:$AP$97,36,0)</f>
        <v>6304</v>
      </c>
      <c r="AE80" s="1740"/>
      <c r="AF80" s="1708"/>
      <c r="AH80" s="1710"/>
      <c r="AI80" s="1738"/>
      <c r="AJ80" s="1712"/>
      <c r="AK80" s="1712"/>
      <c r="AL80" s="1712"/>
      <c r="AM80" s="1712"/>
      <c r="AN80" s="1712"/>
      <c r="AO80" s="1712"/>
    </row>
    <row r="81" spans="1:41" ht="18.75" customHeight="1">
      <c r="A81" s="1713">
        <v>71</v>
      </c>
      <c r="B81" s="1714" t="s">
        <v>3172</v>
      </c>
      <c r="C81" s="1715" t="s">
        <v>3104</v>
      </c>
      <c r="D81" s="1734" t="s">
        <v>15</v>
      </c>
      <c r="E81" s="1717">
        <v>3.2</v>
      </c>
      <c r="F81" s="1717"/>
      <c r="G81" s="1717"/>
      <c r="H81" s="1717"/>
      <c r="I81" s="1717"/>
      <c r="J81" s="1718"/>
      <c r="K81" s="1719"/>
      <c r="L81" s="1719"/>
      <c r="M81" s="1718"/>
      <c r="N81" s="1739"/>
      <c r="O81" s="1739"/>
      <c r="P81" s="1739"/>
      <c r="Q81" s="1722">
        <f t="shared" si="9"/>
        <v>3.2</v>
      </c>
      <c r="R81" s="1723">
        <f>VLOOKUP(C81,'sản lượng'!$D$14:$AP$97,35,0)</f>
        <v>1890.5232129802264</v>
      </c>
      <c r="S81" s="1724"/>
      <c r="T81" s="1725">
        <f t="shared" si="7"/>
        <v>0</v>
      </c>
      <c r="U81" s="1726">
        <f t="shared" si="6"/>
        <v>1890.5232129802264</v>
      </c>
      <c r="V81" s="1727">
        <f>VLOOKUP(TONGHOPCONGDOI!C81,'CHẤM CÔNG '!$E$13:$AL$96,34,0)</f>
        <v>27</v>
      </c>
      <c r="W81" s="1727">
        <f>VLOOKUP(C81,'CHẤM CÔNG '!$E$13:$AM$96,35,0)</f>
        <v>3</v>
      </c>
      <c r="X81" s="1727">
        <f>VLOOKUP(C81,'CHẤM CÔNG '!$E$13:$AR$96,36,0)</f>
        <v>0</v>
      </c>
      <c r="Y81" s="1729">
        <f>VLOOKUP(C81,'CHẤM CÔNG '!$E$13:$AQ$96,37,0)</f>
        <v>0</v>
      </c>
      <c r="Z81" s="1729">
        <f>VLOOKUP(C81,'CHẤM CÔNG '!$E$13:$AQ$96,38,0)</f>
        <v>0</v>
      </c>
      <c r="AA81" s="1729">
        <f>VLOOKUP(C81,'CHẤM CÔNG '!$E$13:$AQ$96,39,0)</f>
        <v>0</v>
      </c>
      <c r="AB81" s="1730"/>
      <c r="AC81" s="1735">
        <f t="shared" si="8"/>
        <v>3.2</v>
      </c>
      <c r="AD81" s="1834">
        <f>VLOOKUP(C81,'sản lượng'!$D$14:$AP$97,36,0)</f>
        <v>4448</v>
      </c>
      <c r="AE81" s="1740"/>
      <c r="AF81" s="1708"/>
      <c r="AH81" s="1710"/>
      <c r="AI81" s="1738"/>
      <c r="AJ81" s="1712"/>
      <c r="AK81" s="1712"/>
      <c r="AL81" s="1712"/>
      <c r="AM81" s="1712"/>
      <c r="AN81" s="1712"/>
      <c r="AO81" s="1712"/>
    </row>
    <row r="82" spans="1:41" ht="18.75" customHeight="1">
      <c r="A82" s="1733">
        <v>72</v>
      </c>
      <c r="B82" s="1714" t="s">
        <v>3173</v>
      </c>
      <c r="C82" s="1715" t="s">
        <v>1631</v>
      </c>
      <c r="D82" s="1734" t="s">
        <v>15</v>
      </c>
      <c r="E82" s="1717">
        <v>3.2</v>
      </c>
      <c r="F82" s="1717"/>
      <c r="G82" s="1717"/>
      <c r="H82" s="1717"/>
      <c r="I82" s="1717"/>
      <c r="J82" s="1718"/>
      <c r="K82" s="1719"/>
      <c r="L82" s="1719"/>
      <c r="M82" s="1720"/>
      <c r="N82" s="1721"/>
      <c r="O82" s="1739"/>
      <c r="P82" s="1739"/>
      <c r="Q82" s="1722">
        <f t="shared" si="9"/>
        <v>3.2</v>
      </c>
      <c r="R82" s="1723">
        <f>VLOOKUP(C82,'sản lượng'!$D$14:$AP$97,35,0)</f>
        <v>1789.3666201993601</v>
      </c>
      <c r="S82" s="1724"/>
      <c r="T82" s="1725">
        <f t="shared" si="7"/>
        <v>0</v>
      </c>
      <c r="U82" s="1726">
        <f t="shared" si="6"/>
        <v>1789.3666201993601</v>
      </c>
      <c r="V82" s="1727">
        <f>VLOOKUP(TONGHOPCONGDOI!C82,'CHẤM CÔNG '!$E$13:$AL$96,34,0)</f>
        <v>27</v>
      </c>
      <c r="W82" s="1727">
        <f>VLOOKUP(C82,'CHẤM CÔNG '!$E$13:$AM$96,35,0)</f>
        <v>4</v>
      </c>
      <c r="X82" s="1727">
        <f>VLOOKUP(C82,'CHẤM CÔNG '!$E$13:$AR$96,36,0)</f>
        <v>0</v>
      </c>
      <c r="Y82" s="1729">
        <f>VLOOKUP(C82,'CHẤM CÔNG '!$E$13:$AQ$96,37,0)</f>
        <v>0</v>
      </c>
      <c r="Z82" s="1729">
        <f>VLOOKUP(C82,'CHẤM CÔNG '!$E$13:$AQ$96,38,0)</f>
        <v>0</v>
      </c>
      <c r="AA82" s="1729">
        <f>VLOOKUP(C82,'CHẤM CÔNG '!$E$13:$AQ$96,39,0)</f>
        <v>0</v>
      </c>
      <c r="AB82" s="1730"/>
      <c r="AC82" s="1735">
        <f t="shared" si="8"/>
        <v>3.2</v>
      </c>
      <c r="AD82" s="1834">
        <f>VLOOKUP(C82,'sản lượng'!$D$14:$AP$97,36,0)</f>
        <v>4210</v>
      </c>
      <c r="AE82" s="1740"/>
      <c r="AF82" s="1708"/>
      <c r="AH82" s="1710"/>
      <c r="AI82" s="1738"/>
      <c r="AJ82" s="1712"/>
      <c r="AK82" s="1712"/>
      <c r="AL82" s="1712"/>
      <c r="AM82" s="1712"/>
      <c r="AN82" s="1712"/>
      <c r="AO82" s="1712"/>
    </row>
    <row r="83" spans="1:41" ht="18.75" customHeight="1">
      <c r="A83" s="1713">
        <v>73</v>
      </c>
      <c r="B83" s="1714" t="s">
        <v>3174</v>
      </c>
      <c r="C83" s="1715" t="s">
        <v>1632</v>
      </c>
      <c r="D83" s="1734" t="s">
        <v>15</v>
      </c>
      <c r="E83" s="1717">
        <v>3.2</v>
      </c>
      <c r="F83" s="1717"/>
      <c r="G83" s="1717"/>
      <c r="H83" s="1717"/>
      <c r="I83" s="1717"/>
      <c r="J83" s="1718"/>
      <c r="K83" s="1719"/>
      <c r="L83" s="1719"/>
      <c r="M83" s="1720"/>
      <c r="N83" s="1721"/>
      <c r="O83" s="1739"/>
      <c r="P83" s="1739"/>
      <c r="Q83" s="1722">
        <f t="shared" si="9"/>
        <v>3.2</v>
      </c>
      <c r="R83" s="1723">
        <f>VLOOKUP(C83,'sản lượng'!$D$14:$AP$97,35,0)</f>
        <v>1141.199376540447</v>
      </c>
      <c r="S83" s="1724"/>
      <c r="T83" s="1725">
        <f t="shared" si="7"/>
        <v>0</v>
      </c>
      <c r="U83" s="1726">
        <f t="shared" si="6"/>
        <v>1141.199376540447</v>
      </c>
      <c r="V83" s="1727">
        <f>VLOOKUP(TONGHOPCONGDOI!C83,'CHẤM CÔNG '!$E$13:$AL$96,34,0)</f>
        <v>16</v>
      </c>
      <c r="W83" s="1727">
        <f>VLOOKUP(C83,'CHẤM CÔNG '!$E$13:$AM$96,35,0)</f>
        <v>2</v>
      </c>
      <c r="X83" s="1727">
        <f>VLOOKUP(C83,'CHẤM CÔNG '!$E$13:$AR$96,36,0)</f>
        <v>0</v>
      </c>
      <c r="Y83" s="1729">
        <f>VLOOKUP(C83,'CHẤM CÔNG '!$E$13:$AQ$96,37,0)</f>
        <v>0</v>
      </c>
      <c r="Z83" s="1729">
        <f>VLOOKUP(C83,'CHẤM CÔNG '!$E$13:$AQ$96,38,0)</f>
        <v>0</v>
      </c>
      <c r="AA83" s="1729">
        <f>VLOOKUP(C83,'CHẤM CÔNG '!$E$13:$AQ$96,39,0)</f>
        <v>0</v>
      </c>
      <c r="AB83" s="1730"/>
      <c r="AC83" s="1735">
        <f t="shared" si="8"/>
        <v>3.2</v>
      </c>
      <c r="AD83" s="1834">
        <f>VLOOKUP(C83,'sản lượng'!$D$14:$AP$97,36,0)</f>
        <v>2685</v>
      </c>
      <c r="AE83" s="1740"/>
      <c r="AF83" s="1708"/>
      <c r="AH83" s="1710"/>
      <c r="AI83" s="1738"/>
      <c r="AJ83" s="1712"/>
      <c r="AK83" s="1712"/>
      <c r="AL83" s="1712"/>
      <c r="AM83" s="1712"/>
      <c r="AN83" s="1712"/>
      <c r="AO83" s="1712"/>
    </row>
    <row r="84" spans="1:41" ht="18.75" customHeight="1">
      <c r="A84" s="1733">
        <v>74</v>
      </c>
      <c r="B84" s="1714" t="s">
        <v>3175</v>
      </c>
      <c r="C84" s="1715" t="s">
        <v>3377</v>
      </c>
      <c r="D84" s="1734" t="s">
        <v>15</v>
      </c>
      <c r="E84" s="1717">
        <v>3.2</v>
      </c>
      <c r="F84" s="1717"/>
      <c r="G84" s="1717"/>
      <c r="H84" s="1717"/>
      <c r="I84" s="1717"/>
      <c r="J84" s="1718"/>
      <c r="K84" s="1719"/>
      <c r="L84" s="1719"/>
      <c r="M84" s="1720"/>
      <c r="N84" s="1721"/>
      <c r="O84" s="1721"/>
      <c r="P84" s="1721"/>
      <c r="Q84" s="1722">
        <f t="shared" si="9"/>
        <v>3.2</v>
      </c>
      <c r="R84" s="1723">
        <f>VLOOKUP(C84,'sản lượng'!$D$14:$AP$97,35,0)</f>
        <v>1555.6013847813913</v>
      </c>
      <c r="S84" s="1724"/>
      <c r="T84" s="1725">
        <f t="shared" si="7"/>
        <v>0</v>
      </c>
      <c r="U84" s="1726">
        <f t="shared" si="6"/>
        <v>1555.6013847813913</v>
      </c>
      <c r="V84" s="1727">
        <f>VLOOKUP(TONGHOPCONGDOI!C84,'CHẤM CÔNG '!$E$13:$AL$96,34,0)</f>
        <v>24</v>
      </c>
      <c r="W84" s="1727">
        <f>VLOOKUP(C84,'CHẤM CÔNG '!$E$13:$AM$96,35,0)</f>
        <v>3</v>
      </c>
      <c r="X84" s="1727">
        <f>VLOOKUP(C84,'CHẤM CÔNG '!$E$13:$AR$96,36,0)</f>
        <v>0</v>
      </c>
      <c r="Y84" s="1729">
        <f>VLOOKUP(C84,'CHẤM CÔNG '!$E$13:$AQ$96,37,0)</f>
        <v>0</v>
      </c>
      <c r="Z84" s="1729">
        <f>VLOOKUP(C84,'CHẤM CÔNG '!$E$13:$AQ$96,38,0)</f>
        <v>0</v>
      </c>
      <c r="AA84" s="1729">
        <f>VLOOKUP(C84,'CHẤM CÔNG '!$E$13:$AQ$96,39,0)</f>
        <v>0</v>
      </c>
      <c r="AB84" s="1730"/>
      <c r="AC84" s="1735">
        <f t="shared" si="8"/>
        <v>3.2</v>
      </c>
      <c r="AD84" s="1834">
        <f>VLOOKUP(C84,'sản lượng'!$D$14:$AP$97,36,0)</f>
        <v>3660</v>
      </c>
      <c r="AE84" s="1740"/>
      <c r="AF84" s="1708"/>
      <c r="AH84" s="1710"/>
      <c r="AI84" s="1738"/>
      <c r="AJ84" s="1712"/>
      <c r="AK84" s="1712"/>
      <c r="AL84" s="1712"/>
      <c r="AM84" s="1712"/>
      <c r="AN84" s="1712"/>
      <c r="AO84" s="1712"/>
    </row>
    <row r="85" spans="1:41" s="1754" customFormat="1" ht="18.75" customHeight="1">
      <c r="A85" s="1713">
        <v>75</v>
      </c>
      <c r="B85" s="1741"/>
      <c r="C85" s="1715" t="s">
        <v>3323</v>
      </c>
      <c r="D85" s="1742" t="s">
        <v>15</v>
      </c>
      <c r="E85" s="1743"/>
      <c r="F85" s="1744"/>
      <c r="G85" s="1744"/>
      <c r="H85" s="1744"/>
      <c r="I85" s="1744"/>
      <c r="J85" s="1745"/>
      <c r="K85" s="1743"/>
      <c r="L85" s="1743"/>
      <c r="M85" s="1746"/>
      <c r="N85" s="1747"/>
      <c r="O85" s="1747"/>
      <c r="P85" s="1747"/>
      <c r="Q85" s="1722">
        <f t="shared" si="9"/>
        <v>0</v>
      </c>
      <c r="R85" s="1723">
        <f>VLOOKUP(C85,'sản lượng'!$D$14:$AP$97,35,0)</f>
        <v>1714.5617448656101</v>
      </c>
      <c r="S85" s="1748"/>
      <c r="T85" s="1749">
        <f t="shared" si="7"/>
        <v>0</v>
      </c>
      <c r="U85" s="1726">
        <f t="shared" si="6"/>
        <v>1714.5617448656101</v>
      </c>
      <c r="V85" s="1727">
        <f>VLOOKUP(TONGHOPCONGDOI!C85,'CHẤM CÔNG '!$E$13:$AL$96,34,0)</f>
        <v>20</v>
      </c>
      <c r="W85" s="1727">
        <f>VLOOKUP(C85,'CHẤM CÔNG '!$E$13:$AM$96,35,0)</f>
        <v>2</v>
      </c>
      <c r="X85" s="1727">
        <f>VLOOKUP(C85,'CHẤM CÔNG '!$E$13:$AR$96,36,0)</f>
        <v>0</v>
      </c>
      <c r="Y85" s="1729">
        <f>VLOOKUP(C85,'CHẤM CÔNG '!$E$13:$AQ$96,37,0)</f>
        <v>0</v>
      </c>
      <c r="Z85" s="1729">
        <f>VLOOKUP(C85,'CHẤM CÔNG '!$E$13:$AQ$96,38,0)</f>
        <v>0</v>
      </c>
      <c r="AA85" s="1729">
        <f>VLOOKUP(C85,'CHẤM CÔNG '!$E$13:$AQ$96,39,0)</f>
        <v>0</v>
      </c>
      <c r="AB85" s="1750"/>
      <c r="AC85" s="1751">
        <f t="shared" si="8"/>
        <v>0</v>
      </c>
      <c r="AD85" s="1834">
        <f>VLOOKUP(C85,'sản lượng'!$D$14:$AP$97,36,0)</f>
        <v>4034</v>
      </c>
      <c r="AE85" s="1752"/>
      <c r="AF85" s="1753"/>
      <c r="AH85" s="1755"/>
      <c r="AI85" s="1756"/>
      <c r="AJ85" s="1757"/>
      <c r="AK85" s="1757"/>
      <c r="AL85" s="1757"/>
      <c r="AM85" s="1757"/>
      <c r="AN85" s="1757"/>
      <c r="AO85" s="1757"/>
    </row>
    <row r="86" spans="1:41" s="1754" customFormat="1" ht="18.75" customHeight="1">
      <c r="A86" s="1733">
        <v>76</v>
      </c>
      <c r="B86" s="1741"/>
      <c r="C86" s="1715" t="s">
        <v>3324</v>
      </c>
      <c r="D86" s="1742" t="s">
        <v>15</v>
      </c>
      <c r="E86" s="1743"/>
      <c r="F86" s="1744"/>
      <c r="G86" s="1744"/>
      <c r="H86" s="1744"/>
      <c r="I86" s="1744"/>
      <c r="J86" s="1745"/>
      <c r="K86" s="1743"/>
      <c r="L86" s="1743"/>
      <c r="M86" s="1746"/>
      <c r="N86" s="1747"/>
      <c r="O86" s="1747"/>
      <c r="P86" s="1747"/>
      <c r="Q86" s="1722">
        <f t="shared" si="9"/>
        <v>0</v>
      </c>
      <c r="R86" s="1723">
        <f>VLOOKUP(C86,'sản lượng'!$D$14:$AP$97,35,0)</f>
        <v>1542.0004983570732</v>
      </c>
      <c r="S86" s="1748"/>
      <c r="T86" s="1749">
        <f t="shared" si="7"/>
        <v>0</v>
      </c>
      <c r="U86" s="1726">
        <f t="shared" si="6"/>
        <v>1542.0004983570732</v>
      </c>
      <c r="V86" s="1727">
        <f>VLOOKUP(TONGHOPCONGDOI!C86,'CHẤM CÔNG '!$E$13:$AL$96,34,0)</f>
        <v>18</v>
      </c>
      <c r="W86" s="1727">
        <f>VLOOKUP(C86,'CHẤM CÔNG '!$E$13:$AM$96,35,0)</f>
        <v>1</v>
      </c>
      <c r="X86" s="1727">
        <f>VLOOKUP(C86,'CHẤM CÔNG '!$E$13:$AR$96,36,0)</f>
        <v>0</v>
      </c>
      <c r="Y86" s="1729">
        <f>VLOOKUP(C86,'CHẤM CÔNG '!$E$13:$AQ$96,37,0)</f>
        <v>0</v>
      </c>
      <c r="Z86" s="1729">
        <f>VLOOKUP(C86,'CHẤM CÔNG '!$E$13:$AQ$96,38,0)</f>
        <v>0</v>
      </c>
      <c r="AA86" s="1729">
        <f>VLOOKUP(C86,'CHẤM CÔNG '!$E$13:$AQ$96,39,0)</f>
        <v>0</v>
      </c>
      <c r="AB86" s="1750"/>
      <c r="AC86" s="1751">
        <f t="shared" si="8"/>
        <v>0</v>
      </c>
      <c r="AD86" s="1834">
        <f>VLOOKUP(C86,'sản lượng'!$D$14:$AP$97,36,0)</f>
        <v>3628</v>
      </c>
      <c r="AE86" s="1752"/>
      <c r="AF86" s="1753"/>
      <c r="AH86" s="1755"/>
      <c r="AI86" s="1756"/>
      <c r="AJ86" s="1757"/>
      <c r="AK86" s="1757"/>
      <c r="AL86" s="1757"/>
      <c r="AM86" s="1757"/>
      <c r="AN86" s="1757"/>
      <c r="AO86" s="1757"/>
    </row>
    <row r="87" spans="1:41" s="1754" customFormat="1" ht="18.75" customHeight="1">
      <c r="A87" s="1713">
        <v>77</v>
      </c>
      <c r="B87" s="1741"/>
      <c r="C87" s="1715" t="s">
        <v>1636</v>
      </c>
      <c r="D87" s="1742" t="s">
        <v>15</v>
      </c>
      <c r="E87" s="1759"/>
      <c r="F87" s="1760"/>
      <c r="G87" s="1760"/>
      <c r="H87" s="1760"/>
      <c r="I87" s="1760"/>
      <c r="J87" s="1761"/>
      <c r="K87" s="1759"/>
      <c r="L87" s="1759"/>
      <c r="M87" s="1759"/>
      <c r="N87" s="1762"/>
      <c r="O87" s="1762"/>
      <c r="P87" s="1762"/>
      <c r="Q87" s="1722">
        <f t="shared" si="9"/>
        <v>0</v>
      </c>
      <c r="R87" s="1723">
        <f>VLOOKUP(C87,'sản lượng'!$D$14:$AP$97,35,0)</f>
        <v>936.76105247491444</v>
      </c>
      <c r="S87" s="1748"/>
      <c r="T87" s="1749">
        <f t="shared" si="7"/>
        <v>0</v>
      </c>
      <c r="U87" s="1726">
        <f t="shared" si="6"/>
        <v>936.76105247491444</v>
      </c>
      <c r="V87" s="1727">
        <f>VLOOKUP(TONGHOPCONGDOI!C87,'CHẤM CÔNG '!$E$13:$AL$96,34,0)</f>
        <v>14</v>
      </c>
      <c r="W87" s="1727">
        <f>VLOOKUP(C87,'CHẤM CÔNG '!$E$13:$AM$96,35,0)</f>
        <v>1</v>
      </c>
      <c r="X87" s="1727">
        <f>VLOOKUP(C87,'CHẤM CÔNG '!$E$13:$AR$96,36,0)</f>
        <v>0</v>
      </c>
      <c r="Y87" s="1729">
        <f>VLOOKUP(C87,'CHẤM CÔNG '!$E$13:$AQ$96,37,0)</f>
        <v>0</v>
      </c>
      <c r="Z87" s="1729">
        <f>VLOOKUP(C87,'CHẤM CÔNG '!$E$13:$AQ$96,38,0)</f>
        <v>0</v>
      </c>
      <c r="AA87" s="1729">
        <f>VLOOKUP(C87,'CHẤM CÔNG '!$E$13:$AQ$96,39,0)</f>
        <v>0</v>
      </c>
      <c r="AB87" s="1750"/>
      <c r="AC87" s="1751">
        <f t="shared" si="8"/>
        <v>0</v>
      </c>
      <c r="AD87" s="1834">
        <f>VLOOKUP(C87,'sản lượng'!$D$14:$AP$97,36,0)</f>
        <v>2204</v>
      </c>
      <c r="AE87" s="1752"/>
      <c r="AF87" s="1753"/>
      <c r="AH87" s="1755"/>
      <c r="AI87" s="1756"/>
      <c r="AJ87" s="1757"/>
      <c r="AK87" s="1757"/>
      <c r="AL87" s="1757"/>
      <c r="AM87" s="1757"/>
      <c r="AN87" s="1757"/>
      <c r="AO87" s="1757"/>
    </row>
    <row r="88" spans="1:41" s="1754" customFormat="1" ht="18.75" customHeight="1">
      <c r="A88" s="1733">
        <v>78</v>
      </c>
      <c r="B88" s="1741"/>
      <c r="C88" s="1715" t="s">
        <v>1637</v>
      </c>
      <c r="D88" s="1742" t="s">
        <v>15</v>
      </c>
      <c r="E88" s="1759"/>
      <c r="F88" s="1760"/>
      <c r="G88" s="1760"/>
      <c r="H88" s="1760"/>
      <c r="I88" s="1760"/>
      <c r="J88" s="1761"/>
      <c r="K88" s="1759"/>
      <c r="L88" s="1759"/>
      <c r="M88" s="1759"/>
      <c r="N88" s="1762"/>
      <c r="O88" s="1762"/>
      <c r="P88" s="1762"/>
      <c r="Q88" s="1722">
        <f t="shared" si="9"/>
        <v>0</v>
      </c>
      <c r="R88" s="1723">
        <f>VLOOKUP(C88,'sản lượng'!$D$14:$AP$97,35,0)</f>
        <v>391.4505123999075</v>
      </c>
      <c r="S88" s="1748"/>
      <c r="T88" s="1749">
        <f t="shared" si="7"/>
        <v>0</v>
      </c>
      <c r="U88" s="1726">
        <f t="shared" si="6"/>
        <v>391.4505123999075</v>
      </c>
      <c r="V88" s="1727">
        <f>VLOOKUP(TONGHOPCONGDOI!C88,'CHẤM CÔNG '!$E$13:$AL$96,34,0)</f>
        <v>9</v>
      </c>
      <c r="W88" s="1727">
        <f>VLOOKUP(C88,'CHẤM CÔNG '!$E$13:$AM$96,35,0)</f>
        <v>2</v>
      </c>
      <c r="X88" s="1727">
        <f>VLOOKUP(C88,'CHẤM CÔNG '!$E$13:$AR$96,36,0)</f>
        <v>0</v>
      </c>
      <c r="Y88" s="1729">
        <f>VLOOKUP(C88,'CHẤM CÔNG '!$E$13:$AQ$96,37,0)</f>
        <v>0</v>
      </c>
      <c r="Z88" s="1729">
        <f>VLOOKUP(C88,'CHẤM CÔNG '!$E$13:$AQ$96,38,0)</f>
        <v>0</v>
      </c>
      <c r="AA88" s="1729">
        <f>VLOOKUP(C88,'CHẤM CÔNG '!$E$13:$AQ$96,39,0)</f>
        <v>0</v>
      </c>
      <c r="AB88" s="1750"/>
      <c r="AC88" s="1751">
        <f t="shared" si="8"/>
        <v>0</v>
      </c>
      <c r="AD88" s="1834">
        <f>VLOOKUP(C88,'sản lượng'!$D$14:$AP$97,36,0)</f>
        <v>921</v>
      </c>
      <c r="AE88" s="1752"/>
      <c r="AF88" s="1753"/>
      <c r="AH88" s="1755"/>
      <c r="AI88" s="1756"/>
      <c r="AJ88" s="1757"/>
      <c r="AK88" s="1757"/>
      <c r="AL88" s="1757"/>
      <c r="AM88" s="1757"/>
      <c r="AN88" s="1757"/>
      <c r="AO88" s="1757"/>
    </row>
    <row r="89" spans="1:41" s="1754" customFormat="1" ht="18.75" customHeight="1">
      <c r="A89" s="1713">
        <v>79</v>
      </c>
      <c r="B89" s="1741"/>
      <c r="C89" s="1715" t="s">
        <v>1638</v>
      </c>
      <c r="D89" s="1742" t="s">
        <v>15</v>
      </c>
      <c r="E89" s="1759"/>
      <c r="F89" s="1760"/>
      <c r="G89" s="1760"/>
      <c r="H89" s="1760"/>
      <c r="I89" s="1760"/>
      <c r="J89" s="1761"/>
      <c r="K89" s="1759"/>
      <c r="L89" s="1759"/>
      <c r="M89" s="1759"/>
      <c r="N89" s="1762"/>
      <c r="O89" s="1762"/>
      <c r="P89" s="1762"/>
      <c r="Q89" s="1722">
        <f t="shared" si="9"/>
        <v>0</v>
      </c>
      <c r="R89" s="1723">
        <f>VLOOKUP(C89,'sản lượng'!$D$14:$AP$97,35,0)</f>
        <v>179.36168972069595</v>
      </c>
      <c r="S89" s="1748"/>
      <c r="T89" s="1749"/>
      <c r="U89" s="1726">
        <f t="shared" si="6"/>
        <v>179.36168972069595</v>
      </c>
      <c r="V89" s="1727">
        <f>VLOOKUP(TONGHOPCONGDOI!C89,'CHẤM CÔNG '!$E$13:$AL$96,34,0)</f>
        <v>9</v>
      </c>
      <c r="W89" s="1727">
        <f>VLOOKUP(C89,'CHẤM CÔNG '!$E$13:$AM$96,35,0)</f>
        <v>0</v>
      </c>
      <c r="X89" s="1727">
        <f>VLOOKUP(C89,'CHẤM CÔNG '!$E$13:$AR$96,36,0)</f>
        <v>0</v>
      </c>
      <c r="Y89" s="1729">
        <f>VLOOKUP(C89,'CHẤM CÔNG '!$E$13:$AQ$96,37,0)</f>
        <v>0</v>
      </c>
      <c r="Z89" s="1729">
        <f>VLOOKUP(C89,'CHẤM CÔNG '!$E$13:$AQ$96,38,0)</f>
        <v>0</v>
      </c>
      <c r="AA89" s="1729">
        <f>VLOOKUP(C89,'CHẤM CÔNG '!$E$13:$AQ$96,39,0)</f>
        <v>0</v>
      </c>
      <c r="AB89" s="1750"/>
      <c r="AC89" s="1751">
        <f t="shared" si="8"/>
        <v>0</v>
      </c>
      <c r="AD89" s="1834">
        <f>VLOOKUP(C89,'sản lượng'!$D$14:$AP$97,36,0)</f>
        <v>422</v>
      </c>
      <c r="AE89" s="1752"/>
      <c r="AF89" s="1753"/>
      <c r="AH89" s="1755"/>
      <c r="AI89" s="1756"/>
      <c r="AJ89" s="1757"/>
      <c r="AK89" s="1757"/>
      <c r="AL89" s="1757"/>
      <c r="AM89" s="1757"/>
      <c r="AN89" s="1757"/>
      <c r="AO89" s="1757"/>
    </row>
    <row r="90" spans="1:41" s="1754" customFormat="1" ht="18.75" customHeight="1">
      <c r="A90" s="1733">
        <v>80</v>
      </c>
      <c r="B90" s="1741"/>
      <c r="C90" s="1715" t="s">
        <v>3105</v>
      </c>
      <c r="D90" s="1742" t="s">
        <v>15</v>
      </c>
      <c r="E90" s="1759"/>
      <c r="F90" s="1760"/>
      <c r="G90" s="1760"/>
      <c r="H90" s="1760"/>
      <c r="I90" s="1760"/>
      <c r="J90" s="1761"/>
      <c r="K90" s="1759"/>
      <c r="L90" s="1759"/>
      <c r="M90" s="1759"/>
      <c r="N90" s="1762"/>
      <c r="O90" s="1762"/>
      <c r="P90" s="1762"/>
      <c r="Q90" s="1722">
        <f t="shared" si="9"/>
        <v>0</v>
      </c>
      <c r="R90" s="1723">
        <f>VLOOKUP(C90,'sản lượng'!$D$14:$AP$97,35,0)</f>
        <v>74.379847632990021</v>
      </c>
      <c r="S90" s="1748"/>
      <c r="T90" s="1749"/>
      <c r="U90" s="1726">
        <f t="shared" si="6"/>
        <v>74.379847632990021</v>
      </c>
      <c r="V90" s="1727">
        <f>VLOOKUP(TONGHOPCONGDOI!C90,'CHẤM CÔNG '!$E$13:$AL$96,34,0)</f>
        <v>5</v>
      </c>
      <c r="W90" s="1727">
        <f>VLOOKUP(C90,'CHẤM CÔNG '!$E$13:$AM$96,35,0)</f>
        <v>0</v>
      </c>
      <c r="X90" s="1727">
        <f>VLOOKUP(C90,'CHẤM CÔNG '!$E$13:$AR$96,36,0)</f>
        <v>0</v>
      </c>
      <c r="Y90" s="1729">
        <f>VLOOKUP(C90,'CHẤM CÔNG '!$E$13:$AQ$96,37,0)</f>
        <v>0</v>
      </c>
      <c r="Z90" s="1729">
        <f>VLOOKUP(C90,'CHẤM CÔNG '!$E$13:$AQ$96,38,0)</f>
        <v>0</v>
      </c>
      <c r="AA90" s="1729">
        <f>VLOOKUP(C90,'CHẤM CÔNG '!$E$13:$AQ$96,39,0)</f>
        <v>0</v>
      </c>
      <c r="AB90" s="1750"/>
      <c r="AC90" s="1751">
        <f t="shared" si="8"/>
        <v>0</v>
      </c>
      <c r="AD90" s="1834">
        <f>VLOOKUP(C90,'sản lượng'!$D$14:$AP$97,36,0)</f>
        <v>175</v>
      </c>
      <c r="AE90" s="1752"/>
      <c r="AF90" s="1753"/>
      <c r="AH90" s="1755"/>
      <c r="AI90" s="1756"/>
      <c r="AJ90" s="1757"/>
      <c r="AK90" s="1757"/>
      <c r="AL90" s="1757"/>
      <c r="AM90" s="1757"/>
      <c r="AN90" s="1757"/>
      <c r="AO90" s="1757"/>
    </row>
    <row r="91" spans="1:41" s="1754" customFormat="1" ht="18.75" customHeight="1">
      <c r="A91" s="1713">
        <v>81</v>
      </c>
      <c r="B91" s="1741"/>
      <c r="C91" s="1715" t="s">
        <v>3106</v>
      </c>
      <c r="D91" s="1742" t="s">
        <v>15</v>
      </c>
      <c r="E91" s="1759"/>
      <c r="F91" s="1760"/>
      <c r="G91" s="1760"/>
      <c r="H91" s="1760"/>
      <c r="I91" s="1760"/>
      <c r="J91" s="1761"/>
      <c r="K91" s="1759"/>
      <c r="L91" s="1759"/>
      <c r="M91" s="1759"/>
      <c r="N91" s="1762"/>
      <c r="O91" s="1762"/>
      <c r="P91" s="1762"/>
      <c r="Q91" s="1722">
        <f t="shared" si="9"/>
        <v>0</v>
      </c>
      <c r="R91" s="1723">
        <f>VLOOKUP(C91,'sản lượng'!$D$14:$AP$97,35,0)</f>
        <v>0</v>
      </c>
      <c r="S91" s="1748"/>
      <c r="T91" s="1749"/>
      <c r="U91" s="1726">
        <f t="shared" si="6"/>
        <v>0</v>
      </c>
      <c r="V91" s="1727">
        <f>VLOOKUP(TONGHOPCONGDOI!C91,'CHẤM CÔNG '!$E$13:$AL$96,34,0)</f>
        <v>1</v>
      </c>
      <c r="W91" s="1727">
        <f>VLOOKUP(C91,'CHẤM CÔNG '!$E$13:$AM$96,35,0)</f>
        <v>0</v>
      </c>
      <c r="X91" s="1727">
        <f>VLOOKUP(C91,'CHẤM CÔNG '!$E$13:$AR$96,36,0)</f>
        <v>0</v>
      </c>
      <c r="Y91" s="1729">
        <f>VLOOKUP(C91,'CHẤM CÔNG '!$E$13:$AQ$96,37,0)</f>
        <v>0</v>
      </c>
      <c r="Z91" s="1729">
        <f>VLOOKUP(C91,'CHẤM CÔNG '!$E$13:$AQ$96,38,0)</f>
        <v>0</v>
      </c>
      <c r="AA91" s="1729">
        <f>VLOOKUP(C91,'CHẤM CÔNG '!$E$13:$AQ$96,39,0)</f>
        <v>0</v>
      </c>
      <c r="AB91" s="1750"/>
      <c r="AC91" s="1751">
        <f t="shared" si="8"/>
        <v>0</v>
      </c>
      <c r="AD91" s="1834">
        <f>VLOOKUP(C91,'sản lượng'!$D$14:$AP$97,36,0)</f>
        <v>0</v>
      </c>
      <c r="AE91" s="1752"/>
      <c r="AF91" s="1753"/>
      <c r="AH91" s="1755"/>
      <c r="AI91" s="1756"/>
      <c r="AJ91" s="1757"/>
      <c r="AK91" s="1757"/>
      <c r="AL91" s="1757"/>
      <c r="AM91" s="1757"/>
      <c r="AN91" s="1757"/>
      <c r="AO91" s="1757"/>
    </row>
    <row r="92" spans="1:41" s="1754" customFormat="1" ht="18.75" customHeight="1">
      <c r="A92" s="1733">
        <v>82</v>
      </c>
      <c r="B92" s="1741"/>
      <c r="C92" s="1715" t="s">
        <v>3325</v>
      </c>
      <c r="D92" s="1742" t="s">
        <v>15</v>
      </c>
      <c r="E92" s="1759"/>
      <c r="F92" s="1760"/>
      <c r="G92" s="1760"/>
      <c r="H92" s="1760"/>
      <c r="I92" s="1760"/>
      <c r="J92" s="1761"/>
      <c r="K92" s="1759"/>
      <c r="L92" s="1759"/>
      <c r="M92" s="1759"/>
      <c r="N92" s="1762"/>
      <c r="O92" s="1762"/>
      <c r="P92" s="1762"/>
      <c r="Q92" s="1722">
        <f t="shared" si="9"/>
        <v>0</v>
      </c>
      <c r="R92" s="1723">
        <f>VLOOKUP(C92,'sản lượng'!$D$14:$AP$97,35,0)</f>
        <v>0</v>
      </c>
      <c r="S92" s="1748"/>
      <c r="T92" s="1749"/>
      <c r="U92" s="1726">
        <f t="shared" si="6"/>
        <v>0</v>
      </c>
      <c r="V92" s="1727">
        <f>VLOOKUP(TONGHOPCONGDOI!C92,'CHẤM CÔNG '!$E$13:$AL$96,34,0)</f>
        <v>0</v>
      </c>
      <c r="W92" s="1727">
        <f>VLOOKUP(C92,'CHẤM CÔNG '!$E$13:$AM$96,35,0)</f>
        <v>0</v>
      </c>
      <c r="X92" s="1727">
        <f>VLOOKUP(C92,'CHẤM CÔNG '!$E$13:$AR$96,36,0)</f>
        <v>0</v>
      </c>
      <c r="Y92" s="1729">
        <f>VLOOKUP(C92,'CHẤM CÔNG '!$E$13:$AQ$96,37,0)</f>
        <v>0</v>
      </c>
      <c r="Z92" s="1729">
        <f>VLOOKUP(C92,'CHẤM CÔNG '!$E$13:$AQ$96,38,0)</f>
        <v>0</v>
      </c>
      <c r="AA92" s="1729">
        <f>VLOOKUP(C92,'CHẤM CÔNG '!$E$13:$AQ$96,39,0)</f>
        <v>0</v>
      </c>
      <c r="AB92" s="1750"/>
      <c r="AC92" s="1751">
        <f t="shared" si="8"/>
        <v>0</v>
      </c>
      <c r="AD92" s="1834">
        <f>VLOOKUP(C92,'sản lượng'!$D$14:$AP$97,36,0)</f>
        <v>0</v>
      </c>
      <c r="AE92" s="1752"/>
      <c r="AF92" s="1753"/>
      <c r="AH92" s="1755"/>
      <c r="AI92" s="1756"/>
      <c r="AJ92" s="1757"/>
      <c r="AK92" s="1757"/>
      <c r="AL92" s="1757"/>
      <c r="AM92" s="1757"/>
      <c r="AN92" s="1757"/>
      <c r="AO92" s="1757"/>
    </row>
    <row r="93" spans="1:41" s="1754" customFormat="1" ht="18.75" customHeight="1">
      <c r="A93" s="1713">
        <v>83</v>
      </c>
      <c r="B93" s="1741"/>
      <c r="C93" s="1715" t="s">
        <v>3326</v>
      </c>
      <c r="D93" s="1742" t="s">
        <v>15</v>
      </c>
      <c r="E93" s="1759"/>
      <c r="F93" s="1760"/>
      <c r="G93" s="1760"/>
      <c r="H93" s="1760"/>
      <c r="I93" s="1760"/>
      <c r="J93" s="1761"/>
      <c r="K93" s="1759"/>
      <c r="L93" s="1759"/>
      <c r="M93" s="1759"/>
      <c r="N93" s="1762"/>
      <c r="O93" s="1762"/>
      <c r="P93" s="1762"/>
      <c r="Q93" s="1722">
        <f t="shared" si="9"/>
        <v>0</v>
      </c>
      <c r="R93" s="1723">
        <f>VLOOKUP(C93,'sản lượng'!$D$14:$AP$97,35,0)</f>
        <v>0</v>
      </c>
      <c r="S93" s="1748"/>
      <c r="T93" s="1749"/>
      <c r="U93" s="1726">
        <f t="shared" si="6"/>
        <v>0</v>
      </c>
      <c r="V93" s="1727">
        <f>VLOOKUP(TONGHOPCONGDOI!C93,'CHẤM CÔNG '!$E$13:$AL$96,34,0)</f>
        <v>0</v>
      </c>
      <c r="W93" s="1727">
        <f>VLOOKUP(C93,'CHẤM CÔNG '!$E$13:$AM$96,35,0)</f>
        <v>0</v>
      </c>
      <c r="X93" s="1727">
        <f>VLOOKUP(C93,'CHẤM CÔNG '!$E$13:$AR$96,36,0)</f>
        <v>0</v>
      </c>
      <c r="Y93" s="1729">
        <f>VLOOKUP(C93,'CHẤM CÔNG '!$E$13:$AQ$96,37,0)</f>
        <v>0</v>
      </c>
      <c r="Z93" s="1729">
        <f>VLOOKUP(C93,'CHẤM CÔNG '!$E$13:$AQ$96,38,0)</f>
        <v>0</v>
      </c>
      <c r="AA93" s="1729">
        <f>VLOOKUP(C93,'CHẤM CÔNG '!$E$13:$AQ$96,39,0)</f>
        <v>0</v>
      </c>
      <c r="AB93" s="1750"/>
      <c r="AC93" s="1751">
        <f t="shared" si="8"/>
        <v>0</v>
      </c>
      <c r="AD93" s="1834">
        <f>VLOOKUP(C93,'sản lượng'!$D$14:$AP$97,36,0)</f>
        <v>0</v>
      </c>
      <c r="AE93" s="1752"/>
      <c r="AF93" s="1753"/>
      <c r="AH93" s="1755"/>
      <c r="AI93" s="1756"/>
      <c r="AJ93" s="1757"/>
      <c r="AK93" s="1757"/>
      <c r="AL93" s="1757"/>
      <c r="AM93" s="1757"/>
      <c r="AN93" s="1757"/>
      <c r="AO93" s="1757"/>
    </row>
    <row r="94" spans="1:41" s="1754" customFormat="1" ht="18.75" customHeight="1">
      <c r="A94" s="1733">
        <v>84</v>
      </c>
      <c r="B94" s="1741"/>
      <c r="C94" s="1715" t="s">
        <v>3327</v>
      </c>
      <c r="D94" s="1742" t="s">
        <v>15</v>
      </c>
      <c r="E94" s="1759"/>
      <c r="F94" s="1760"/>
      <c r="G94" s="1760"/>
      <c r="H94" s="1760"/>
      <c r="I94" s="1760"/>
      <c r="J94" s="1761"/>
      <c r="K94" s="1759"/>
      <c r="L94" s="1759"/>
      <c r="M94" s="1759"/>
      <c r="N94" s="1762"/>
      <c r="O94" s="1762"/>
      <c r="P94" s="1762"/>
      <c r="Q94" s="1722">
        <f t="shared" si="9"/>
        <v>0</v>
      </c>
      <c r="R94" s="1723">
        <f>VLOOKUP(C94,'sản lượng'!$D$14:$AP$97,35,0)</f>
        <v>0</v>
      </c>
      <c r="S94" s="1748"/>
      <c r="T94" s="1749"/>
      <c r="U94" s="1726">
        <f t="shared" si="6"/>
        <v>0</v>
      </c>
      <c r="V94" s="1727">
        <f>VLOOKUP(TONGHOPCONGDOI!C94,'CHẤM CÔNG '!$E$13:$AL$96,34,0)</f>
        <v>0</v>
      </c>
      <c r="W94" s="1727">
        <f>VLOOKUP(C94,'CHẤM CÔNG '!$E$13:$AM$96,35,0)</f>
        <v>0</v>
      </c>
      <c r="X94" s="1727">
        <f>VLOOKUP(C94,'CHẤM CÔNG '!$E$13:$AR$96,36,0)</f>
        <v>0</v>
      </c>
      <c r="Y94" s="1729">
        <f>VLOOKUP(C94,'CHẤM CÔNG '!$E$13:$AQ$96,37,0)</f>
        <v>0</v>
      </c>
      <c r="Z94" s="1729">
        <f>VLOOKUP(C94,'CHẤM CÔNG '!$E$13:$AQ$96,38,0)</f>
        <v>0</v>
      </c>
      <c r="AA94" s="1729">
        <f>VLOOKUP(C94,'CHẤM CÔNG '!$E$13:$AQ$96,39,0)</f>
        <v>0</v>
      </c>
      <c r="AB94" s="1750"/>
      <c r="AC94" s="1751">
        <f t="shared" si="8"/>
        <v>0</v>
      </c>
      <c r="AD94" s="1834">
        <f>VLOOKUP(C94,'sản lượng'!$D$14:$AP$97,36,0)</f>
        <v>0</v>
      </c>
      <c r="AE94" s="1752"/>
      <c r="AF94" s="1753"/>
      <c r="AH94" s="1755"/>
      <c r="AI94" s="1756"/>
      <c r="AJ94" s="1757"/>
      <c r="AK94" s="1757"/>
      <c r="AL94" s="1757"/>
      <c r="AM94" s="1757"/>
      <c r="AN94" s="1757"/>
      <c r="AO94" s="1757"/>
    </row>
    <row r="95" spans="1:41" s="1754" customFormat="1" ht="18.75" customHeight="1">
      <c r="A95" s="1713">
        <v>85</v>
      </c>
      <c r="B95" s="1741"/>
      <c r="C95" s="1763" t="s">
        <v>3332</v>
      </c>
      <c r="D95" s="1758"/>
      <c r="E95" s="1759"/>
      <c r="F95" s="1760"/>
      <c r="G95" s="1760"/>
      <c r="H95" s="1760"/>
      <c r="I95" s="1760"/>
      <c r="J95" s="1761"/>
      <c r="K95" s="1759"/>
      <c r="L95" s="1759"/>
      <c r="M95" s="2224"/>
      <c r="N95" s="1762"/>
      <c r="O95" s="1762"/>
      <c r="P95" s="1762"/>
      <c r="Q95" s="1765">
        <f t="shared" si="9"/>
        <v>0</v>
      </c>
      <c r="R95" s="1723"/>
      <c r="S95" s="1748"/>
      <c r="T95" s="1749"/>
      <c r="U95" s="1726"/>
      <c r="V95" s="1727"/>
      <c r="W95" s="1727"/>
      <c r="X95" s="1728"/>
      <c r="Y95" s="1729"/>
      <c r="Z95" s="1727"/>
      <c r="AA95" s="1727"/>
      <c r="AB95" s="1750"/>
      <c r="AC95" s="1751"/>
      <c r="AD95" s="1834"/>
      <c r="AE95" s="1752"/>
      <c r="AF95" s="1753"/>
      <c r="AH95" s="1755"/>
      <c r="AI95" s="1756"/>
      <c r="AJ95" s="1757"/>
      <c r="AK95" s="1757"/>
      <c r="AL95" s="1757"/>
      <c r="AM95" s="1757"/>
      <c r="AN95" s="1757"/>
      <c r="AO95" s="1757"/>
    </row>
    <row r="96" spans="1:41" s="1754" customFormat="1" ht="18.75" customHeight="1">
      <c r="A96" s="1733">
        <v>86</v>
      </c>
      <c r="B96" s="1741"/>
      <c r="C96" s="1764" t="s">
        <v>3092</v>
      </c>
      <c r="D96" s="1758"/>
      <c r="E96" s="1759"/>
      <c r="F96" s="1760"/>
      <c r="G96" s="1760"/>
      <c r="H96" s="1760"/>
      <c r="I96" s="1760"/>
      <c r="J96" s="1761"/>
      <c r="K96" s="1759"/>
      <c r="L96" s="1759"/>
      <c r="M96" s="1759">
        <f>100.44-AF96</f>
        <v>14.939480000000003</v>
      </c>
      <c r="N96" s="1762"/>
      <c r="O96" s="1762"/>
      <c r="P96" s="1762"/>
      <c r="Q96" s="1765">
        <f t="shared" si="9"/>
        <v>14.939480000000003</v>
      </c>
      <c r="R96" s="1723"/>
      <c r="S96" s="1748"/>
      <c r="T96" s="1749"/>
      <c r="U96" s="1726"/>
      <c r="V96" s="1727"/>
      <c r="W96" s="1727"/>
      <c r="X96" s="1728"/>
      <c r="Y96" s="1729"/>
      <c r="Z96" s="1727"/>
      <c r="AA96" s="1727"/>
      <c r="AB96" s="1750"/>
      <c r="AC96" s="1751">
        <f t="shared" si="8"/>
        <v>14.939480000000003</v>
      </c>
      <c r="AD96" s="1834"/>
      <c r="AE96" s="1752"/>
      <c r="AF96" s="1753">
        <v>85.500519999999995</v>
      </c>
      <c r="AH96" s="1755"/>
      <c r="AI96" s="1756"/>
      <c r="AJ96" s="1757"/>
      <c r="AK96" s="1757"/>
      <c r="AL96" s="1757"/>
      <c r="AM96" s="1757"/>
      <c r="AN96" s="1757"/>
      <c r="AO96" s="1757"/>
    </row>
    <row r="97" spans="1:41" s="1754" customFormat="1" ht="18.75" customHeight="1">
      <c r="A97" s="1713">
        <v>87</v>
      </c>
      <c r="B97" s="1741"/>
      <c r="C97" s="2232" t="s">
        <v>3410</v>
      </c>
      <c r="D97" s="1787"/>
      <c r="E97" s="1743"/>
      <c r="F97" s="1744"/>
      <c r="G97" s="1744"/>
      <c r="H97" s="1744"/>
      <c r="I97" s="1788"/>
      <c r="J97" s="1745"/>
      <c r="K97" s="1743"/>
      <c r="L97" s="1743"/>
      <c r="M97" s="1759"/>
      <c r="N97" s="1789"/>
      <c r="O97" s="1789"/>
      <c r="P97" s="1762"/>
      <c r="Q97" s="1765">
        <f t="shared" si="9"/>
        <v>0</v>
      </c>
      <c r="R97" s="1723"/>
      <c r="S97" s="1748"/>
      <c r="T97" s="1749"/>
      <c r="U97" s="1726"/>
      <c r="V97" s="1727"/>
      <c r="W97" s="1727"/>
      <c r="X97" s="1728"/>
      <c r="Y97" s="1729"/>
      <c r="Z97" s="1727"/>
      <c r="AA97" s="1727"/>
      <c r="AB97" s="1750"/>
      <c r="AC97" s="1751"/>
      <c r="AD97" s="1834"/>
      <c r="AE97" s="1752"/>
      <c r="AF97" s="1753"/>
      <c r="AH97" s="1755"/>
      <c r="AI97" s="1756"/>
      <c r="AJ97" s="1757"/>
      <c r="AK97" s="1757"/>
      <c r="AL97" s="1757"/>
      <c r="AM97" s="1757"/>
      <c r="AN97" s="1757"/>
      <c r="AO97" s="1757"/>
    </row>
    <row r="98" spans="1:41" s="1754" customFormat="1" ht="18.75" customHeight="1">
      <c r="A98" s="1733">
        <v>88</v>
      </c>
      <c r="B98" s="1741"/>
      <c r="C98" s="2232" t="s">
        <v>1214</v>
      </c>
      <c r="D98" s="1787"/>
      <c r="E98" s="1743"/>
      <c r="F98" s="1744"/>
      <c r="G98" s="1744"/>
      <c r="H98" s="1744"/>
      <c r="I98" s="1788"/>
      <c r="J98" s="1744"/>
      <c r="K98" s="1743"/>
      <c r="L98" s="1743"/>
      <c r="M98" s="1759"/>
      <c r="N98" s="1789"/>
      <c r="O98" s="1789"/>
      <c r="P98" s="1762"/>
      <c r="Q98" s="1765">
        <f t="shared" si="9"/>
        <v>0</v>
      </c>
      <c r="R98" s="1723"/>
      <c r="S98" s="1748"/>
      <c r="T98" s="1749"/>
      <c r="U98" s="1726"/>
      <c r="V98" s="1727"/>
      <c r="W98" s="1727"/>
      <c r="X98" s="1728"/>
      <c r="Y98" s="1729"/>
      <c r="Z98" s="1727"/>
      <c r="AA98" s="1727"/>
      <c r="AB98" s="1750"/>
      <c r="AC98" s="1751"/>
      <c r="AD98" s="1834"/>
      <c r="AE98" s="1752"/>
      <c r="AF98" s="1753"/>
      <c r="AH98" s="1755"/>
      <c r="AI98" s="1756"/>
      <c r="AJ98" s="1757"/>
      <c r="AK98" s="1757"/>
      <c r="AL98" s="1757"/>
      <c r="AM98" s="1757"/>
      <c r="AN98" s="1757"/>
      <c r="AO98" s="1757"/>
    </row>
    <row r="99" spans="1:41" s="1754" customFormat="1" ht="18.75" customHeight="1">
      <c r="A99" s="1713">
        <v>89</v>
      </c>
      <c r="B99" s="1741"/>
      <c r="C99" s="2232" t="s">
        <v>2000</v>
      </c>
      <c r="D99" s="1787"/>
      <c r="E99" s="1743"/>
      <c r="F99" s="1744"/>
      <c r="G99" s="1744"/>
      <c r="H99" s="1744"/>
      <c r="I99" s="1788"/>
      <c r="J99" s="1745"/>
      <c r="K99" s="1743"/>
      <c r="L99" s="1743"/>
      <c r="M99" s="2224"/>
      <c r="N99" s="1789"/>
      <c r="O99" s="1789"/>
      <c r="P99" s="1762"/>
      <c r="Q99" s="1765">
        <f t="shared" si="9"/>
        <v>0</v>
      </c>
      <c r="R99" s="1723"/>
      <c r="S99" s="1748"/>
      <c r="T99" s="1749"/>
      <c r="U99" s="1726"/>
      <c r="V99" s="1727"/>
      <c r="W99" s="1727"/>
      <c r="X99" s="1728"/>
      <c r="Y99" s="1729"/>
      <c r="Z99" s="1727"/>
      <c r="AA99" s="1727"/>
      <c r="AB99" s="1750"/>
      <c r="AC99" s="1751"/>
      <c r="AD99" s="1834"/>
      <c r="AE99" s="1752"/>
      <c r="AF99" s="1753"/>
      <c r="AH99" s="1755"/>
      <c r="AI99" s="1756"/>
      <c r="AJ99" s="1757"/>
      <c r="AK99" s="1757"/>
      <c r="AL99" s="1757"/>
      <c r="AM99" s="1757"/>
      <c r="AN99" s="1757"/>
      <c r="AO99" s="1757"/>
    </row>
    <row r="100" spans="1:41" s="1754" customFormat="1" ht="18.75" customHeight="1">
      <c r="A100" s="1733">
        <v>90</v>
      </c>
      <c r="B100" s="1741"/>
      <c r="C100" s="2233" t="s">
        <v>3093</v>
      </c>
      <c r="D100" s="1787"/>
      <c r="E100" s="1743"/>
      <c r="F100" s="1744"/>
      <c r="G100" s="1744"/>
      <c r="H100" s="1744"/>
      <c r="I100" s="1788"/>
      <c r="J100" s="1745"/>
      <c r="K100" s="1743"/>
      <c r="L100" s="1743"/>
      <c r="M100" s="1759"/>
      <c r="N100" s="1789"/>
      <c r="O100" s="1789"/>
      <c r="P100" s="1762"/>
      <c r="Q100" s="1765">
        <f t="shared" si="9"/>
        <v>0</v>
      </c>
      <c r="R100" s="1723"/>
      <c r="S100" s="1748"/>
      <c r="T100" s="1749"/>
      <c r="U100" s="1726"/>
      <c r="V100" s="1727"/>
      <c r="W100" s="1727"/>
      <c r="X100" s="1728"/>
      <c r="Y100" s="1729"/>
      <c r="Z100" s="1727"/>
      <c r="AA100" s="1727"/>
      <c r="AB100" s="1750"/>
      <c r="AC100" s="1751"/>
      <c r="AD100" s="1834"/>
      <c r="AE100" s="1752"/>
      <c r="AF100" s="1753"/>
      <c r="AH100" s="1755"/>
      <c r="AI100" s="1756"/>
      <c r="AJ100" s="1757"/>
      <c r="AK100" s="1757"/>
      <c r="AL100" s="1757"/>
      <c r="AM100" s="1757"/>
      <c r="AN100" s="1757"/>
      <c r="AO100" s="1757"/>
    </row>
    <row r="101" spans="1:41" s="1754" customFormat="1" ht="18.75" customHeight="1">
      <c r="A101" s="1713">
        <v>91</v>
      </c>
      <c r="B101" s="1741"/>
      <c r="C101" s="2233" t="s">
        <v>545</v>
      </c>
      <c r="D101" s="1796"/>
      <c r="E101" s="1759"/>
      <c r="F101" s="1760"/>
      <c r="G101" s="1760"/>
      <c r="H101" s="1760"/>
      <c r="I101" s="1788"/>
      <c r="J101" s="1761"/>
      <c r="K101" s="1759"/>
      <c r="L101" s="1759"/>
      <c r="M101" s="1759"/>
      <c r="N101" s="1789"/>
      <c r="O101" s="1762"/>
      <c r="P101" s="1762"/>
      <c r="Q101" s="1765">
        <f t="shared" si="9"/>
        <v>0</v>
      </c>
      <c r="R101" s="1723"/>
      <c r="S101" s="1748"/>
      <c r="T101" s="1749"/>
      <c r="U101" s="1726"/>
      <c r="V101" s="1727"/>
      <c r="W101" s="1727"/>
      <c r="X101" s="1728"/>
      <c r="Y101" s="1729"/>
      <c r="Z101" s="1727"/>
      <c r="AA101" s="1727"/>
      <c r="AB101" s="1750"/>
      <c r="AC101" s="1751"/>
      <c r="AD101" s="1834"/>
      <c r="AE101" s="1752"/>
      <c r="AF101" s="1753"/>
      <c r="AH101" s="1755"/>
      <c r="AI101" s="1756"/>
      <c r="AJ101" s="1757"/>
      <c r="AK101" s="1757"/>
      <c r="AL101" s="1757"/>
      <c r="AM101" s="1757"/>
      <c r="AN101" s="1757"/>
      <c r="AO101" s="1757"/>
    </row>
    <row r="102" spans="1:41" s="1754" customFormat="1" ht="18.75" customHeight="1">
      <c r="A102" s="1733">
        <v>92</v>
      </c>
      <c r="B102" s="1741"/>
      <c r="C102" s="2233" t="s">
        <v>3411</v>
      </c>
      <c r="D102" s="1796"/>
      <c r="E102" s="1759"/>
      <c r="F102" s="1760"/>
      <c r="G102" s="1760"/>
      <c r="H102" s="1760"/>
      <c r="I102" s="1788"/>
      <c r="J102" s="1761"/>
      <c r="K102" s="1759"/>
      <c r="L102" s="1759"/>
      <c r="M102" s="1759"/>
      <c r="N102" s="1789"/>
      <c r="O102" s="1762"/>
      <c r="P102" s="1762"/>
      <c r="Q102" s="1765">
        <f t="shared" si="9"/>
        <v>0</v>
      </c>
      <c r="R102" s="1723"/>
      <c r="S102" s="1748"/>
      <c r="T102" s="1749"/>
      <c r="U102" s="1726"/>
      <c r="V102" s="1727"/>
      <c r="W102" s="1727"/>
      <c r="X102" s="1728"/>
      <c r="Y102" s="1729"/>
      <c r="Z102" s="1727"/>
      <c r="AA102" s="1727"/>
      <c r="AB102" s="1750"/>
      <c r="AC102" s="1751"/>
      <c r="AD102" s="1834"/>
      <c r="AE102" s="1752"/>
      <c r="AF102" s="1753"/>
      <c r="AH102" s="1755"/>
      <c r="AI102" s="1756"/>
      <c r="AJ102" s="1757"/>
      <c r="AK102" s="1757"/>
      <c r="AL102" s="1757"/>
      <c r="AM102" s="1757"/>
      <c r="AN102" s="1757"/>
      <c r="AO102" s="1757"/>
    </row>
    <row r="103" spans="1:41" s="1754" customFormat="1" ht="18.75" customHeight="1">
      <c r="A103" s="1713">
        <v>93</v>
      </c>
      <c r="B103" s="1741"/>
      <c r="C103" s="2233" t="s">
        <v>591</v>
      </c>
      <c r="D103" s="1796"/>
      <c r="E103" s="1759"/>
      <c r="F103" s="1760"/>
      <c r="G103" s="1760"/>
      <c r="H103" s="1760"/>
      <c r="I103" s="1788"/>
      <c r="J103" s="1761"/>
      <c r="K103" s="1759"/>
      <c r="L103" s="1759"/>
      <c r="M103" s="1759"/>
      <c r="N103" s="1789"/>
      <c r="O103" s="1762"/>
      <c r="P103" s="1762"/>
      <c r="Q103" s="1765">
        <f t="shared" si="9"/>
        <v>0</v>
      </c>
      <c r="R103" s="1723"/>
      <c r="S103" s="1748"/>
      <c r="T103" s="1749"/>
      <c r="U103" s="1726"/>
      <c r="V103" s="1727"/>
      <c r="W103" s="1727"/>
      <c r="X103" s="1728"/>
      <c r="Y103" s="1729"/>
      <c r="Z103" s="1727"/>
      <c r="AA103" s="1727"/>
      <c r="AB103" s="1750"/>
      <c r="AC103" s="1751">
        <f t="shared" si="8"/>
        <v>0</v>
      </c>
      <c r="AD103" s="1834"/>
      <c r="AE103" s="1752"/>
      <c r="AF103" s="1753"/>
      <c r="AH103" s="1755"/>
      <c r="AI103" s="1756"/>
      <c r="AJ103" s="1757"/>
      <c r="AK103" s="1757"/>
      <c r="AL103" s="1757"/>
      <c r="AM103" s="1757"/>
      <c r="AN103" s="1757"/>
      <c r="AO103" s="1757"/>
    </row>
    <row r="104" spans="1:41" ht="18.75" customHeight="1">
      <c r="A104" s="1766" t="s">
        <v>2027</v>
      </c>
      <c r="B104" s="2552" t="s">
        <v>2986</v>
      </c>
      <c r="C104" s="2552"/>
      <c r="D104" s="2552"/>
      <c r="E104" s="1767">
        <f t="shared" ref="E104:AC104" si="10">SUM(E105:E179)</f>
        <v>159.99999999999994</v>
      </c>
      <c r="F104" s="1767">
        <f t="shared" si="10"/>
        <v>0</v>
      </c>
      <c r="G104" s="1767">
        <f t="shared" si="10"/>
        <v>0</v>
      </c>
      <c r="H104" s="1767">
        <f t="shared" si="10"/>
        <v>0</v>
      </c>
      <c r="I104" s="1767">
        <f t="shared" si="10"/>
        <v>0</v>
      </c>
      <c r="J104" s="1767">
        <f t="shared" si="10"/>
        <v>0</v>
      </c>
      <c r="K104" s="1767">
        <f t="shared" si="10"/>
        <v>0</v>
      </c>
      <c r="L104" s="1767">
        <f t="shared" si="10"/>
        <v>0</v>
      </c>
      <c r="M104" s="1768">
        <f t="shared" si="10"/>
        <v>0</v>
      </c>
      <c r="N104" s="1767">
        <f t="shared" si="10"/>
        <v>0</v>
      </c>
      <c r="O104" s="1767">
        <f t="shared" si="10"/>
        <v>0</v>
      </c>
      <c r="P104" s="1767">
        <f t="shared" si="10"/>
        <v>0</v>
      </c>
      <c r="Q104" s="1767">
        <f t="shared" si="10"/>
        <v>159.99999999999994</v>
      </c>
      <c r="R104" s="1767">
        <f t="shared" si="10"/>
        <v>78217.730530873028</v>
      </c>
      <c r="S104" s="1767">
        <f t="shared" si="10"/>
        <v>0</v>
      </c>
      <c r="T104" s="1767">
        <f t="shared" si="10"/>
        <v>0</v>
      </c>
      <c r="U104" s="1767">
        <f t="shared" si="10"/>
        <v>78217.730530873028</v>
      </c>
      <c r="V104" s="1767">
        <f t="shared" si="10"/>
        <v>1194</v>
      </c>
      <c r="W104" s="1767">
        <f t="shared" si="10"/>
        <v>212</v>
      </c>
      <c r="X104" s="1767">
        <f t="shared" si="10"/>
        <v>230</v>
      </c>
      <c r="Y104" s="1767">
        <f t="shared" si="10"/>
        <v>0</v>
      </c>
      <c r="Z104" s="1767">
        <f t="shared" si="10"/>
        <v>0</v>
      </c>
      <c r="AA104" s="1767">
        <f t="shared" si="10"/>
        <v>0</v>
      </c>
      <c r="AB104" s="1767">
        <f t="shared" si="10"/>
        <v>1417</v>
      </c>
      <c r="AC104" s="1767">
        <f t="shared" si="10"/>
        <v>159.99999999999994</v>
      </c>
      <c r="AD104" s="1706"/>
      <c r="AE104" s="1768">
        <f>SUM(AE105:AE157)</f>
        <v>0</v>
      </c>
      <c r="AF104" s="1708">
        <v>19236</v>
      </c>
      <c r="AG104" s="1769">
        <v>44</v>
      </c>
      <c r="AH104" s="1666">
        <v>1027</v>
      </c>
      <c r="AI104" s="1666">
        <v>164</v>
      </c>
    </row>
    <row r="105" spans="1:41" ht="18.75" customHeight="1">
      <c r="A105" s="1770">
        <v>1</v>
      </c>
      <c r="B105" s="2228" t="s">
        <v>3176</v>
      </c>
      <c r="C105" s="2229" t="s">
        <v>233</v>
      </c>
      <c r="D105" s="1771" t="s">
        <v>15</v>
      </c>
      <c r="E105" s="1717">
        <v>3.2</v>
      </c>
      <c r="F105" s="1717"/>
      <c r="G105" s="1717"/>
      <c r="H105" s="1717"/>
      <c r="I105" s="1772"/>
      <c r="J105" s="1718"/>
      <c r="K105" s="1719"/>
      <c r="L105" s="1719"/>
      <c r="M105" s="1719"/>
      <c r="N105" s="1773"/>
      <c r="O105" s="1773"/>
      <c r="P105" s="1773"/>
      <c r="Q105" s="1774">
        <f>SUM(E105:P105)</f>
        <v>3.2</v>
      </c>
      <c r="R105" s="1723">
        <f>VLOOKUP(C105,'sản lượng'!$D$99:$AP$169,35,0)</f>
        <v>1220.8041227872629</v>
      </c>
      <c r="S105" s="1775"/>
      <c r="T105" s="1776">
        <f>S105*50/100</f>
        <v>0</v>
      </c>
      <c r="U105" s="1726">
        <f t="shared" ref="U105:U168" si="11">R105</f>
        <v>1220.8041227872629</v>
      </c>
      <c r="V105" s="1727">
        <f>VLOOKUP(C105,'CHẤM CÔNG '!$E$98:$AQ$168,34,0)</f>
        <v>23</v>
      </c>
      <c r="W105" s="1727">
        <f>VLOOKUP(C105,'CHẤM CÔNG '!$E$98:$AQ$168,35,0)</f>
        <v>4</v>
      </c>
      <c r="X105" s="1727">
        <f>VLOOKUP(C105,'CHẤM CÔNG '!$E$98:$AQ$168,36,0)</f>
        <v>4</v>
      </c>
      <c r="Y105" s="1727">
        <f>VLOOKUP(C105,'CHẤM CÔNG '!$E$98:$AQ$168,37,0)</f>
        <v>0</v>
      </c>
      <c r="Z105" s="1727">
        <f>VLOOKUP(C105,'CHẤM CÔNG '!$E$98:$AQ$168,38,0)</f>
        <v>0</v>
      </c>
      <c r="AA105" s="1727">
        <f>VLOOKUP(C105,'CHẤM CÔNG '!$E$98:$AQ$168,39,0)</f>
        <v>0</v>
      </c>
      <c r="AB105" s="1730">
        <v>0</v>
      </c>
      <c r="AC105" s="1777">
        <f>+Q105</f>
        <v>3.2</v>
      </c>
      <c r="AD105" s="1834">
        <f>VLOOKUP(C105,'sản lượng'!$D$99:$AP$169,36,0)</f>
        <v>2802</v>
      </c>
      <c r="AE105" s="1778"/>
      <c r="AF105" s="1708"/>
    </row>
    <row r="106" spans="1:41" ht="18.75" customHeight="1">
      <c r="A106" s="1779">
        <v>2</v>
      </c>
      <c r="B106" s="2228" t="s">
        <v>3177</v>
      </c>
      <c r="C106" s="2229" t="s">
        <v>799</v>
      </c>
      <c r="D106" s="1780" t="s">
        <v>15</v>
      </c>
      <c r="E106" s="1717">
        <v>3.2</v>
      </c>
      <c r="F106" s="1717"/>
      <c r="G106" s="1717"/>
      <c r="H106" s="1717"/>
      <c r="I106" s="1772"/>
      <c r="J106" s="1718"/>
      <c r="K106" s="1719"/>
      <c r="L106" s="1719"/>
      <c r="M106" s="1719"/>
      <c r="N106" s="1781"/>
      <c r="O106" s="1782"/>
      <c r="P106" s="1773"/>
      <c r="Q106" s="1774">
        <f>SUM(E106:P106)</f>
        <v>3.2</v>
      </c>
      <c r="R106" s="1723">
        <f>VLOOKUP(C106,'sản lượng'!$D$99:$AP$169,35,0)</f>
        <v>1840.3556797478225</v>
      </c>
      <c r="S106" s="1775"/>
      <c r="T106" s="1776">
        <f t="shared" ref="T106:T161" si="12">S106*50/100</f>
        <v>0</v>
      </c>
      <c r="U106" s="1726">
        <f t="shared" si="11"/>
        <v>1840.3556797478225</v>
      </c>
      <c r="V106" s="1727">
        <f>VLOOKUP(C106,'CHẤM CÔNG '!$E$98:$AQ$168,34,0)</f>
        <v>22</v>
      </c>
      <c r="W106" s="1727">
        <f>VLOOKUP(C106,'CHẤM CÔNG '!$E$98:$AQ$168,35,0)</f>
        <v>4</v>
      </c>
      <c r="X106" s="1727">
        <f>VLOOKUP(C106,'CHẤM CÔNG '!$E$98:$AQ$168,36,0)</f>
        <v>4</v>
      </c>
      <c r="Y106" s="1727">
        <f>VLOOKUP(C106,'CHẤM CÔNG '!$E$98:$AQ$168,37,0)</f>
        <v>0</v>
      </c>
      <c r="Z106" s="1727">
        <f>VLOOKUP(C106,'CHẤM CÔNG '!$E$98:$AQ$168,38,0)</f>
        <v>0</v>
      </c>
      <c r="AA106" s="1727">
        <f>VLOOKUP(C106,'CHẤM CÔNG '!$E$98:$AQ$168,39,0)</f>
        <v>0</v>
      </c>
      <c r="AB106" s="1730">
        <v>17</v>
      </c>
      <c r="AC106" s="1783">
        <f t="shared" ref="AC106:AC168" si="13">+Q106</f>
        <v>3.2</v>
      </c>
      <c r="AD106" s="1834">
        <f>VLOOKUP(C106,'sản lượng'!$D$99:$AP$169,36,0)</f>
        <v>4224</v>
      </c>
      <c r="AE106" s="1784"/>
      <c r="AF106" s="1708"/>
    </row>
    <row r="107" spans="1:41" ht="18.75" customHeight="1">
      <c r="A107" s="1770">
        <v>3</v>
      </c>
      <c r="B107" s="2228"/>
      <c r="C107" s="2229" t="s">
        <v>838</v>
      </c>
      <c r="D107" s="1780" t="s">
        <v>15</v>
      </c>
      <c r="E107" s="1717">
        <v>3.2</v>
      </c>
      <c r="F107" s="1717"/>
      <c r="G107" s="1717"/>
      <c r="H107" s="1717"/>
      <c r="I107" s="1772"/>
      <c r="J107" s="1718"/>
      <c r="K107" s="1719"/>
      <c r="L107" s="1719"/>
      <c r="M107" s="1719"/>
      <c r="N107" s="1781"/>
      <c r="O107" s="1782"/>
      <c r="P107" s="1773"/>
      <c r="Q107" s="1774">
        <f t="shared" ref="Q107:Q170" si="14">SUM(E107:P107)</f>
        <v>3.2</v>
      </c>
      <c r="R107" s="1723">
        <f>VLOOKUP(C107,'sản lượng'!$D$99:$AP$169,35,0)</f>
        <v>1182.899069724275</v>
      </c>
      <c r="S107" s="1775"/>
      <c r="T107" s="1776">
        <f t="shared" si="12"/>
        <v>0</v>
      </c>
      <c r="U107" s="1726">
        <f t="shared" si="11"/>
        <v>1182.899069724275</v>
      </c>
      <c r="V107" s="1727">
        <f>VLOOKUP(C107,'CHẤM CÔNG '!$E$98:$AQ$168,34,0)</f>
        <v>22</v>
      </c>
      <c r="W107" s="1727">
        <f>VLOOKUP(C107,'CHẤM CÔNG '!$E$98:$AQ$168,35,0)</f>
        <v>4</v>
      </c>
      <c r="X107" s="1727">
        <f>VLOOKUP(C107,'CHẤM CÔNG '!$E$98:$AQ$168,36,0)</f>
        <v>5</v>
      </c>
      <c r="Y107" s="1727">
        <f>VLOOKUP(C107,'CHẤM CÔNG '!$E$98:$AQ$168,37,0)</f>
        <v>0</v>
      </c>
      <c r="Z107" s="1727">
        <f>VLOOKUP(C107,'CHẤM CÔNG '!$E$98:$AQ$168,38,0)</f>
        <v>0</v>
      </c>
      <c r="AA107" s="1727">
        <f>VLOOKUP(C107,'CHẤM CÔNG '!$E$98:$AQ$168,39,0)</f>
        <v>0</v>
      </c>
      <c r="AB107" s="1730">
        <v>36</v>
      </c>
      <c r="AC107" s="1783">
        <f t="shared" si="13"/>
        <v>3.2</v>
      </c>
      <c r="AD107" s="1834">
        <f>VLOOKUP(C107,'sản lượng'!$D$99:$AP$169,36,0)</f>
        <v>2715</v>
      </c>
      <c r="AE107" s="1784"/>
      <c r="AF107" s="1708"/>
    </row>
    <row r="108" spans="1:41" ht="18.75" customHeight="1">
      <c r="A108" s="1779">
        <v>4</v>
      </c>
      <c r="B108" s="2228" t="s">
        <v>3178</v>
      </c>
      <c r="C108" s="2229" t="s">
        <v>3224</v>
      </c>
      <c r="D108" s="1780" t="s">
        <v>15</v>
      </c>
      <c r="E108" s="1717">
        <v>3.2</v>
      </c>
      <c r="F108" s="1717"/>
      <c r="G108" s="1717"/>
      <c r="H108" s="1717"/>
      <c r="I108" s="1772"/>
      <c r="J108" s="1718"/>
      <c r="K108" s="1719"/>
      <c r="L108" s="1719"/>
      <c r="M108" s="1719"/>
      <c r="N108" s="1781"/>
      <c r="O108" s="1782"/>
      <c r="P108" s="1773"/>
      <c r="Q108" s="1774">
        <f t="shared" si="14"/>
        <v>3.2</v>
      </c>
      <c r="R108" s="1723">
        <f>VLOOKUP(C108,'sản lượng'!$D$99:$AP$169,35,0)</f>
        <v>1190.305804230836</v>
      </c>
      <c r="S108" s="1775"/>
      <c r="T108" s="1776">
        <f t="shared" si="12"/>
        <v>0</v>
      </c>
      <c r="U108" s="1726">
        <f t="shared" si="11"/>
        <v>1190.305804230836</v>
      </c>
      <c r="V108" s="1727">
        <f>VLOOKUP(C108,'CHẤM CÔNG '!$E$98:$AQ$168,34,0)</f>
        <v>21</v>
      </c>
      <c r="W108" s="1727">
        <f>VLOOKUP(C108,'CHẤM CÔNG '!$E$98:$AQ$168,35,0)</f>
        <v>4</v>
      </c>
      <c r="X108" s="1727">
        <f>VLOOKUP(C108,'CHẤM CÔNG '!$E$98:$AQ$168,36,0)</f>
        <v>4</v>
      </c>
      <c r="Y108" s="1727">
        <f>VLOOKUP(C108,'CHẤM CÔNG '!$E$98:$AQ$168,37,0)</f>
        <v>0</v>
      </c>
      <c r="Z108" s="1727">
        <f>VLOOKUP(C108,'CHẤM CÔNG '!$E$98:$AQ$168,38,0)</f>
        <v>0</v>
      </c>
      <c r="AA108" s="1727">
        <f>VLOOKUP(C108,'CHẤM CÔNG '!$E$98:$AQ$168,39,0)</f>
        <v>0</v>
      </c>
      <c r="AB108" s="1730">
        <v>33</v>
      </c>
      <c r="AC108" s="1783">
        <f t="shared" si="13"/>
        <v>3.2</v>
      </c>
      <c r="AD108" s="1834">
        <f>VLOOKUP(C108,'sản lượng'!$D$99:$AP$169,36,0)</f>
        <v>2732</v>
      </c>
      <c r="AE108" s="1784"/>
      <c r="AF108" s="1708"/>
      <c r="AG108" s="1667">
        <f>Q9-10084</f>
        <v>-9672.2605199999998</v>
      </c>
    </row>
    <row r="109" spans="1:41" ht="18.75" customHeight="1">
      <c r="A109" s="1770">
        <v>5</v>
      </c>
      <c r="B109" s="2228" t="s">
        <v>3179</v>
      </c>
      <c r="C109" s="2229" t="s">
        <v>802</v>
      </c>
      <c r="D109" s="1780" t="s">
        <v>15</v>
      </c>
      <c r="E109" s="1717">
        <v>3.2</v>
      </c>
      <c r="F109" s="1717"/>
      <c r="G109" s="1717"/>
      <c r="H109" s="1717"/>
      <c r="I109" s="1772"/>
      <c r="J109" s="1718"/>
      <c r="K109" s="1719"/>
      <c r="L109" s="1719"/>
      <c r="M109" s="1719"/>
      <c r="N109" s="1781"/>
      <c r="O109" s="1782"/>
      <c r="P109" s="1773"/>
      <c r="Q109" s="1774">
        <f t="shared" si="14"/>
        <v>3.2</v>
      </c>
      <c r="R109" s="1723">
        <f>VLOOKUP(C109,'sản lượng'!$D$99:$AP$169,35,0)</f>
        <v>1847.3267239892914</v>
      </c>
      <c r="S109" s="1775"/>
      <c r="T109" s="1776">
        <f t="shared" si="12"/>
        <v>0</v>
      </c>
      <c r="U109" s="1726">
        <f t="shared" si="11"/>
        <v>1847.3267239892914</v>
      </c>
      <c r="V109" s="1727">
        <f>VLOOKUP(C109,'CHẤM CÔNG '!$E$98:$AQ$168,34,0)</f>
        <v>22</v>
      </c>
      <c r="W109" s="1727">
        <f>VLOOKUP(C109,'CHẤM CÔNG '!$E$98:$AQ$168,35,0)</f>
        <v>4</v>
      </c>
      <c r="X109" s="1727">
        <f>VLOOKUP(C109,'CHẤM CÔNG '!$E$98:$AQ$168,36,0)</f>
        <v>4</v>
      </c>
      <c r="Y109" s="1727">
        <f>VLOOKUP(C109,'CHẤM CÔNG '!$E$98:$AQ$168,37,0)</f>
        <v>0</v>
      </c>
      <c r="Z109" s="1727">
        <f>VLOOKUP(C109,'CHẤM CÔNG '!$E$98:$AQ$168,38,0)</f>
        <v>0</v>
      </c>
      <c r="AA109" s="1727">
        <f>VLOOKUP(C109,'CHẤM CÔNG '!$E$98:$AQ$168,39,0)</f>
        <v>0</v>
      </c>
      <c r="AB109" s="1730">
        <v>17</v>
      </c>
      <c r="AC109" s="1783">
        <f t="shared" si="13"/>
        <v>3.2</v>
      </c>
      <c r="AD109" s="1834">
        <f>VLOOKUP(C109,'sản lượng'!$D$99:$AP$169,36,0)</f>
        <v>4240</v>
      </c>
      <c r="AE109" s="1784"/>
      <c r="AF109" s="1708"/>
    </row>
    <row r="110" spans="1:41" ht="18.75" customHeight="1">
      <c r="A110" s="1779">
        <v>6</v>
      </c>
      <c r="B110" s="2220"/>
      <c r="C110" s="2222" t="s">
        <v>3399</v>
      </c>
      <c r="D110" s="1780" t="s">
        <v>15</v>
      </c>
      <c r="E110" s="1717">
        <v>3.2</v>
      </c>
      <c r="F110" s="1717"/>
      <c r="G110" s="1717"/>
      <c r="H110" s="1717"/>
      <c r="I110" s="1772"/>
      <c r="J110" s="1718"/>
      <c r="K110" s="1719"/>
      <c r="L110" s="1719"/>
      <c r="M110" s="1719"/>
      <c r="N110" s="1781"/>
      <c r="O110" s="1782"/>
      <c r="P110" s="1773"/>
      <c r="Q110" s="1774">
        <f t="shared" si="14"/>
        <v>3.2</v>
      </c>
      <c r="R110" s="1723">
        <f>VLOOKUP(C110,'sản lượng'!$D$99:$AP$169,35,0)</f>
        <v>1293.5643970575959</v>
      </c>
      <c r="S110" s="1775"/>
      <c r="T110" s="1776">
        <f t="shared" si="12"/>
        <v>0</v>
      </c>
      <c r="U110" s="1726">
        <f t="shared" si="11"/>
        <v>1293.5643970575959</v>
      </c>
      <c r="V110" s="1727">
        <f>VLOOKUP(C110,'CHẤM CÔNG '!$E$98:$AQ$168,34,0)</f>
        <v>25</v>
      </c>
      <c r="W110" s="1727">
        <f>VLOOKUP(C110,'CHẤM CÔNG '!$E$98:$AQ$168,35,0)</f>
        <v>4</v>
      </c>
      <c r="X110" s="1727">
        <f>VLOOKUP(C110,'CHẤM CÔNG '!$E$98:$AQ$168,36,0)</f>
        <v>2</v>
      </c>
      <c r="Y110" s="1727">
        <f>VLOOKUP(C110,'CHẤM CÔNG '!$E$98:$AQ$168,37,0)</f>
        <v>0</v>
      </c>
      <c r="Z110" s="1727">
        <f>VLOOKUP(C110,'CHẤM CÔNG '!$E$98:$AQ$168,38,0)</f>
        <v>0</v>
      </c>
      <c r="AA110" s="1727">
        <f>VLOOKUP(C110,'CHẤM CÔNG '!$E$98:$AQ$168,39,0)</f>
        <v>0</v>
      </c>
      <c r="AB110" s="1730">
        <v>24</v>
      </c>
      <c r="AC110" s="1783">
        <f t="shared" si="13"/>
        <v>3.2</v>
      </c>
      <c r="AD110" s="1834">
        <f>VLOOKUP(C110,'sản lượng'!$D$99:$AP$169,36,0)</f>
        <v>2969</v>
      </c>
      <c r="AE110" s="1784"/>
      <c r="AF110" s="1708"/>
    </row>
    <row r="111" spans="1:41" ht="18.75" customHeight="1">
      <c r="A111" s="1770">
        <v>7</v>
      </c>
      <c r="B111" s="2228"/>
      <c r="C111" s="2229" t="s">
        <v>3310</v>
      </c>
      <c r="D111" s="1780" t="s">
        <v>15</v>
      </c>
      <c r="E111" s="1717">
        <v>3.2</v>
      </c>
      <c r="F111" s="1717"/>
      <c r="G111" s="1717"/>
      <c r="H111" s="1717"/>
      <c r="I111" s="1772"/>
      <c r="J111" s="1718"/>
      <c r="K111" s="1719"/>
      <c r="L111" s="1719"/>
      <c r="M111" s="1719"/>
      <c r="N111" s="1781"/>
      <c r="O111" s="1782"/>
      <c r="P111" s="1773"/>
      <c r="Q111" s="1774">
        <f t="shared" si="14"/>
        <v>3.2</v>
      </c>
      <c r="R111" s="1723">
        <f>VLOOKUP(C111,'sản lượng'!$D$99:$AP$169,35,0)</f>
        <v>1195.9697776770295</v>
      </c>
      <c r="S111" s="1775"/>
      <c r="T111" s="1776">
        <f t="shared" si="12"/>
        <v>0</v>
      </c>
      <c r="U111" s="1726">
        <f t="shared" si="11"/>
        <v>1195.9697776770295</v>
      </c>
      <c r="V111" s="1727">
        <f>VLOOKUP(C111,'CHẤM CÔNG '!$E$98:$AQ$168,34,0)</f>
        <v>21</v>
      </c>
      <c r="W111" s="1727">
        <f>VLOOKUP(C111,'CHẤM CÔNG '!$E$98:$AQ$168,35,0)</f>
        <v>4</v>
      </c>
      <c r="X111" s="1727">
        <f>VLOOKUP(C111,'CHẤM CÔNG '!$E$98:$AQ$168,36,0)</f>
        <v>5</v>
      </c>
      <c r="Y111" s="1727">
        <f>VLOOKUP(C111,'CHẤM CÔNG '!$E$98:$AQ$168,37,0)</f>
        <v>0</v>
      </c>
      <c r="Z111" s="1727">
        <f>VLOOKUP(C111,'CHẤM CÔNG '!$E$98:$AQ$168,38,0)</f>
        <v>0</v>
      </c>
      <c r="AA111" s="1727">
        <f>VLOOKUP(C111,'CHẤM CÔNG '!$E$98:$AQ$168,39,0)</f>
        <v>0</v>
      </c>
      <c r="AB111" s="1730">
        <v>35</v>
      </c>
      <c r="AC111" s="1783">
        <f t="shared" si="13"/>
        <v>3.2</v>
      </c>
      <c r="AD111" s="1834">
        <f>VLOOKUP(C111,'sản lượng'!$D$99:$AP$169,36,0)</f>
        <v>2745</v>
      </c>
      <c r="AE111" s="1784"/>
      <c r="AF111" s="1708"/>
      <c r="AG111" s="1708"/>
    </row>
    <row r="112" spans="1:41" ht="18.75" customHeight="1">
      <c r="A112" s="1779">
        <v>8</v>
      </c>
      <c r="B112" s="2220"/>
      <c r="C112" s="2222" t="s">
        <v>3400</v>
      </c>
      <c r="D112" s="1780" t="s">
        <v>15</v>
      </c>
      <c r="E112" s="1717">
        <v>3.2</v>
      </c>
      <c r="F112" s="1717"/>
      <c r="G112" s="1717"/>
      <c r="H112" s="1717"/>
      <c r="I112" s="1772"/>
      <c r="J112" s="1718"/>
      <c r="K112" s="1719"/>
      <c r="L112" s="1719"/>
      <c r="M112" s="1719"/>
      <c r="N112" s="1781"/>
      <c r="O112" s="1782"/>
      <c r="P112" s="1773"/>
      <c r="Q112" s="1774">
        <f t="shared" si="14"/>
        <v>3.2</v>
      </c>
      <c r="R112" s="1723">
        <f>VLOOKUP(C112,'sản lượng'!$D$99:$AP$169,35,0)</f>
        <v>1481.3469013121676</v>
      </c>
      <c r="S112" s="1775"/>
      <c r="T112" s="1776">
        <f t="shared" si="12"/>
        <v>0</v>
      </c>
      <c r="U112" s="1726">
        <f t="shared" si="11"/>
        <v>1481.3469013121676</v>
      </c>
      <c r="V112" s="1727">
        <f>VLOOKUP(C112,'CHẤM CÔNG '!$E$98:$AQ$168,34,0)</f>
        <v>22</v>
      </c>
      <c r="W112" s="1727">
        <f>VLOOKUP(C112,'CHẤM CÔNG '!$E$98:$AQ$168,35,0)</f>
        <v>4</v>
      </c>
      <c r="X112" s="1727">
        <f>VLOOKUP(C112,'CHẤM CÔNG '!$E$98:$AQ$168,36,0)</f>
        <v>4</v>
      </c>
      <c r="Y112" s="1727">
        <f>VLOOKUP(C112,'CHẤM CÔNG '!$E$98:$AQ$168,37,0)</f>
        <v>0</v>
      </c>
      <c r="Z112" s="1727">
        <f>VLOOKUP(C112,'CHẤM CÔNG '!$E$98:$AQ$168,38,0)</f>
        <v>0</v>
      </c>
      <c r="AA112" s="1727">
        <f>VLOOKUP(C112,'CHẤM CÔNG '!$E$98:$AQ$168,39,0)</f>
        <v>0</v>
      </c>
      <c r="AB112" s="1730">
        <v>34</v>
      </c>
      <c r="AC112" s="1783">
        <f t="shared" si="13"/>
        <v>3.2</v>
      </c>
      <c r="AD112" s="1834">
        <f>VLOOKUP(C112,'sản lượng'!$D$99:$AP$169,36,0)</f>
        <v>3400</v>
      </c>
      <c r="AE112" s="1784"/>
      <c r="AF112" s="1708"/>
      <c r="AG112" s="1708"/>
      <c r="AH112" s="1708"/>
    </row>
    <row r="113" spans="1:32" ht="18.75" customHeight="1">
      <c r="A113" s="1770">
        <v>9</v>
      </c>
      <c r="B113" s="2228" t="s">
        <v>3182</v>
      </c>
      <c r="C113" s="2229" t="s">
        <v>3378</v>
      </c>
      <c r="D113" s="1780" t="s">
        <v>15</v>
      </c>
      <c r="E113" s="1717">
        <v>3.2</v>
      </c>
      <c r="F113" s="1717"/>
      <c r="G113" s="1717"/>
      <c r="H113" s="1717"/>
      <c r="I113" s="1772"/>
      <c r="J113" s="1718"/>
      <c r="K113" s="1719"/>
      <c r="L113" s="1719"/>
      <c r="M113" s="1719"/>
      <c r="N113" s="1781"/>
      <c r="O113" s="1782"/>
      <c r="P113" s="1773"/>
      <c r="Q113" s="1774">
        <f t="shared" si="14"/>
        <v>3.2</v>
      </c>
      <c r="R113" s="1723">
        <f>VLOOKUP(C113,'sản lượng'!$D$99:$AP$169,35,0)</f>
        <v>1307.506485540534</v>
      </c>
      <c r="S113" s="1775"/>
      <c r="T113" s="1776">
        <f t="shared" si="12"/>
        <v>0</v>
      </c>
      <c r="U113" s="1726">
        <f t="shared" si="11"/>
        <v>1307.506485540534</v>
      </c>
      <c r="V113" s="1727">
        <f>VLOOKUP(C113,'CHẤM CÔNG '!$E$98:$AQ$168,34,0)</f>
        <v>21</v>
      </c>
      <c r="W113" s="1727">
        <f>VLOOKUP(C113,'CHẤM CÔNG '!$E$98:$AQ$168,35,0)</f>
        <v>3</v>
      </c>
      <c r="X113" s="1727">
        <f>VLOOKUP(C113,'CHẤM CÔNG '!$E$98:$AQ$168,36,0)</f>
        <v>5</v>
      </c>
      <c r="Y113" s="1727">
        <f>VLOOKUP(C113,'CHẤM CÔNG '!$E$98:$AQ$168,37,0)</f>
        <v>0</v>
      </c>
      <c r="Z113" s="1727">
        <f>VLOOKUP(C113,'CHẤM CÔNG '!$E$98:$AQ$168,38,0)</f>
        <v>0</v>
      </c>
      <c r="AA113" s="1727">
        <f>VLOOKUP(C113,'CHẤM CÔNG '!$E$98:$AQ$168,39,0)</f>
        <v>0</v>
      </c>
      <c r="AB113" s="1730">
        <v>34</v>
      </c>
      <c r="AC113" s="1783">
        <f t="shared" si="13"/>
        <v>3.2</v>
      </c>
      <c r="AD113" s="1834">
        <f>VLOOKUP(C113,'sản lượng'!$D$99:$AP$169,36,0)</f>
        <v>3001</v>
      </c>
      <c r="AE113" s="1784"/>
      <c r="AF113" s="1708"/>
    </row>
    <row r="114" spans="1:32" ht="18.75" customHeight="1">
      <c r="A114" s="1779">
        <v>10</v>
      </c>
      <c r="B114" s="2228" t="s">
        <v>3183</v>
      </c>
      <c r="C114" s="2229" t="s">
        <v>807</v>
      </c>
      <c r="D114" s="1780" t="s">
        <v>15</v>
      </c>
      <c r="E114" s="1717">
        <v>3.2</v>
      </c>
      <c r="F114" s="1717"/>
      <c r="G114" s="1717"/>
      <c r="H114" s="1717"/>
      <c r="I114" s="1772"/>
      <c r="J114" s="1718"/>
      <c r="K114" s="1719"/>
      <c r="L114" s="1719"/>
      <c r="M114" s="1719"/>
      <c r="N114" s="1781"/>
      <c r="O114" s="1782"/>
      <c r="P114" s="1773"/>
      <c r="Q114" s="1774">
        <f t="shared" si="14"/>
        <v>3.2</v>
      </c>
      <c r="R114" s="1723">
        <f>VLOOKUP(C114,'sản lượng'!$D$99:$AP$169,35,0)</f>
        <v>1518.3805738449719</v>
      </c>
      <c r="S114" s="1775"/>
      <c r="T114" s="1776">
        <f t="shared" si="12"/>
        <v>0</v>
      </c>
      <c r="U114" s="1726">
        <f t="shared" si="11"/>
        <v>1518.3805738449719</v>
      </c>
      <c r="V114" s="1727">
        <f>VLOOKUP(C114,'CHẤM CÔNG '!$E$98:$AQ$168,34,0)</f>
        <v>19</v>
      </c>
      <c r="W114" s="1727">
        <f>VLOOKUP(C114,'CHẤM CÔNG '!$E$98:$AQ$168,35,0)</f>
        <v>4</v>
      </c>
      <c r="X114" s="1727">
        <f>VLOOKUP(C114,'CHẤM CÔNG '!$E$98:$AQ$168,36,0)</f>
        <v>5</v>
      </c>
      <c r="Y114" s="1727">
        <f>VLOOKUP(C114,'CHẤM CÔNG '!$E$98:$AQ$168,37,0)</f>
        <v>0</v>
      </c>
      <c r="Z114" s="1727">
        <f>VLOOKUP(C114,'CHẤM CÔNG '!$E$98:$AQ$168,38,0)</f>
        <v>0</v>
      </c>
      <c r="AA114" s="1727">
        <f>VLOOKUP(C114,'CHẤM CÔNG '!$E$98:$AQ$168,39,0)</f>
        <v>0</v>
      </c>
      <c r="AB114" s="1730">
        <v>25</v>
      </c>
      <c r="AC114" s="1783">
        <f t="shared" si="13"/>
        <v>3.2</v>
      </c>
      <c r="AD114" s="1834">
        <f>VLOOKUP(C114,'sản lượng'!$D$99:$AP$169,36,0)</f>
        <v>3485</v>
      </c>
      <c r="AE114" s="1784"/>
      <c r="AF114" s="1708"/>
    </row>
    <row r="115" spans="1:32" ht="18.75" customHeight="1">
      <c r="A115" s="1770">
        <v>11</v>
      </c>
      <c r="B115" s="2228" t="s">
        <v>3184</v>
      </c>
      <c r="C115" s="2229" t="s">
        <v>3379</v>
      </c>
      <c r="D115" s="1780" t="s">
        <v>15</v>
      </c>
      <c r="E115" s="1717">
        <v>3.2</v>
      </c>
      <c r="F115" s="1717"/>
      <c r="G115" s="1717"/>
      <c r="H115" s="1717"/>
      <c r="I115" s="1772"/>
      <c r="J115" s="1718"/>
      <c r="K115" s="1719"/>
      <c r="L115" s="1719"/>
      <c r="M115" s="1719"/>
      <c r="N115" s="1781"/>
      <c r="O115" s="1782"/>
      <c r="P115" s="1773"/>
      <c r="Q115" s="1774">
        <f t="shared" si="14"/>
        <v>3.2</v>
      </c>
      <c r="R115" s="1723">
        <f>VLOOKUP(C115,'sản lượng'!$D$99:$AP$169,35,0)</f>
        <v>1222.982574112722</v>
      </c>
      <c r="S115" s="1775"/>
      <c r="T115" s="1776">
        <f t="shared" si="12"/>
        <v>0</v>
      </c>
      <c r="U115" s="1726">
        <f t="shared" si="11"/>
        <v>1222.982574112722</v>
      </c>
      <c r="V115" s="1727">
        <f>VLOOKUP(C115,'CHẤM CÔNG '!$E$98:$AQ$168,34,0)</f>
        <v>20</v>
      </c>
      <c r="W115" s="1727">
        <f>VLOOKUP(C115,'CHẤM CÔNG '!$E$98:$AQ$168,35,0)</f>
        <v>3</v>
      </c>
      <c r="X115" s="1727">
        <f>VLOOKUP(C115,'CHẤM CÔNG '!$E$98:$AQ$168,36,0)</f>
        <v>5</v>
      </c>
      <c r="Y115" s="1727">
        <f>VLOOKUP(C115,'CHẤM CÔNG '!$E$98:$AQ$168,37,0)</f>
        <v>0</v>
      </c>
      <c r="Z115" s="1727">
        <f>VLOOKUP(C115,'CHẤM CÔNG '!$E$98:$AQ$168,38,0)</f>
        <v>0</v>
      </c>
      <c r="AA115" s="1727">
        <f>VLOOKUP(C115,'CHẤM CÔNG '!$E$98:$AQ$168,39,0)</f>
        <v>0</v>
      </c>
      <c r="AB115" s="1730">
        <v>33</v>
      </c>
      <c r="AC115" s="1783">
        <f t="shared" si="13"/>
        <v>3.2</v>
      </c>
      <c r="AD115" s="1834">
        <f>VLOOKUP(C115,'sản lượng'!$D$99:$AP$169,36,0)</f>
        <v>2807</v>
      </c>
      <c r="AE115" s="1784"/>
      <c r="AF115" s="1708"/>
    </row>
    <row r="116" spans="1:32" ht="18.75" customHeight="1">
      <c r="A116" s="1779">
        <v>12</v>
      </c>
      <c r="B116" s="2228" t="s">
        <v>3185</v>
      </c>
      <c r="C116" s="2229" t="s">
        <v>809</v>
      </c>
      <c r="D116" s="1780" t="s">
        <v>15</v>
      </c>
      <c r="E116" s="1717">
        <v>3.2</v>
      </c>
      <c r="F116" s="1717"/>
      <c r="G116" s="1717"/>
      <c r="H116" s="1717"/>
      <c r="I116" s="1772"/>
      <c r="J116" s="1718"/>
      <c r="K116" s="1719"/>
      <c r="L116" s="1719"/>
      <c r="M116" s="1719"/>
      <c r="N116" s="1781"/>
      <c r="O116" s="1782"/>
      <c r="P116" s="1773"/>
      <c r="Q116" s="1774">
        <f t="shared" si="14"/>
        <v>3.2</v>
      </c>
      <c r="R116" s="1723">
        <f>VLOOKUP(C116,'sản lượng'!$D$99:$AP$169,35,0)</f>
        <v>1243.4600165720371</v>
      </c>
      <c r="S116" s="1775"/>
      <c r="T116" s="1776">
        <f t="shared" si="12"/>
        <v>0</v>
      </c>
      <c r="U116" s="1726">
        <f t="shared" si="11"/>
        <v>1243.4600165720371</v>
      </c>
      <c r="V116" s="1727">
        <f>VLOOKUP(C116,'CHẤM CÔNG '!$E$98:$AQ$168,34,0)</f>
        <v>21</v>
      </c>
      <c r="W116" s="1727">
        <f>VLOOKUP(C116,'CHẤM CÔNG '!$E$98:$AQ$168,35,0)</f>
        <v>3</v>
      </c>
      <c r="X116" s="1727">
        <f>VLOOKUP(C116,'CHẤM CÔNG '!$E$98:$AQ$168,36,0)</f>
        <v>5</v>
      </c>
      <c r="Y116" s="1727">
        <f>VLOOKUP(C116,'CHẤM CÔNG '!$E$98:$AQ$168,37,0)</f>
        <v>0</v>
      </c>
      <c r="Z116" s="1727">
        <f>VLOOKUP(C116,'CHẤM CÔNG '!$E$98:$AQ$168,38,0)</f>
        <v>0</v>
      </c>
      <c r="AA116" s="1727">
        <f>VLOOKUP(C116,'CHẤM CÔNG '!$E$98:$AQ$168,39,0)</f>
        <v>0</v>
      </c>
      <c r="AB116" s="1730">
        <v>25</v>
      </c>
      <c r="AC116" s="1783">
        <f t="shared" si="13"/>
        <v>3.2</v>
      </c>
      <c r="AD116" s="1834">
        <f>VLOOKUP(C116,'sản lượng'!$D$99:$AP$169,36,0)</f>
        <v>2854</v>
      </c>
      <c r="AE116" s="1784"/>
      <c r="AF116" s="1708"/>
    </row>
    <row r="117" spans="1:32" ht="18.75" customHeight="1">
      <c r="A117" s="1770">
        <v>13</v>
      </c>
      <c r="B117" s="2228" t="s">
        <v>3186</v>
      </c>
      <c r="C117" s="2229" t="s">
        <v>1861</v>
      </c>
      <c r="D117" s="1780" t="s">
        <v>15</v>
      </c>
      <c r="E117" s="1717">
        <v>6.4</v>
      </c>
      <c r="F117" s="1717"/>
      <c r="G117" s="1717"/>
      <c r="H117" s="1717"/>
      <c r="I117" s="1772"/>
      <c r="J117" s="1718"/>
      <c r="K117" s="1719"/>
      <c r="L117" s="1719"/>
      <c r="M117" s="1719"/>
      <c r="N117" s="1781"/>
      <c r="O117" s="1782"/>
      <c r="P117" s="1773"/>
      <c r="Q117" s="1774">
        <f t="shared" si="14"/>
        <v>6.4</v>
      </c>
      <c r="R117" s="1723">
        <f>VLOOKUP(C117,'sản lượng'!$D$99:$AP$169,35,0)</f>
        <v>1368.5031226533879</v>
      </c>
      <c r="S117" s="1775"/>
      <c r="T117" s="1776">
        <f t="shared" si="12"/>
        <v>0</v>
      </c>
      <c r="U117" s="1726">
        <f t="shared" si="11"/>
        <v>1368.5031226533879</v>
      </c>
      <c r="V117" s="1727">
        <f>VLOOKUP(C117,'CHẤM CÔNG '!$E$98:$AQ$168,34,0)</f>
        <v>21</v>
      </c>
      <c r="W117" s="1727">
        <f>VLOOKUP(C117,'CHẤM CÔNG '!$E$98:$AQ$168,35,0)</f>
        <v>4</v>
      </c>
      <c r="X117" s="1727">
        <f>VLOOKUP(C117,'CHẤM CÔNG '!$E$98:$AQ$168,36,0)</f>
        <v>5</v>
      </c>
      <c r="Y117" s="1727">
        <f>VLOOKUP(C117,'CHẤM CÔNG '!$E$98:$AQ$168,37,0)</f>
        <v>0</v>
      </c>
      <c r="Z117" s="1727">
        <f>VLOOKUP(C117,'CHẤM CÔNG '!$E$98:$AQ$168,38,0)</f>
        <v>0</v>
      </c>
      <c r="AA117" s="1727">
        <f>VLOOKUP(C117,'CHẤM CÔNG '!$E$98:$AQ$168,39,0)</f>
        <v>0</v>
      </c>
      <c r="AB117" s="1730">
        <v>26</v>
      </c>
      <c r="AC117" s="1783">
        <f t="shared" si="13"/>
        <v>6.4</v>
      </c>
      <c r="AD117" s="1834">
        <f>VLOOKUP(C117,'sản lượng'!$D$99:$AP$169,36,0)</f>
        <v>3141</v>
      </c>
      <c r="AE117" s="1784"/>
      <c r="AF117" s="1708"/>
    </row>
    <row r="118" spans="1:32" ht="18.75" customHeight="1">
      <c r="A118" s="1779">
        <v>14</v>
      </c>
      <c r="B118" s="2220"/>
      <c r="C118" s="2222" t="s">
        <v>3401</v>
      </c>
      <c r="D118" s="1780" t="s">
        <v>15</v>
      </c>
      <c r="E118" s="1717"/>
      <c r="F118" s="1717"/>
      <c r="G118" s="1717"/>
      <c r="H118" s="1717"/>
      <c r="I118" s="1772"/>
      <c r="J118" s="1718"/>
      <c r="K118" s="1719"/>
      <c r="L118" s="1719"/>
      <c r="M118" s="1719"/>
      <c r="N118" s="1781"/>
      <c r="O118" s="1782"/>
      <c r="P118" s="1773"/>
      <c r="Q118" s="1774">
        <f t="shared" si="14"/>
        <v>0</v>
      </c>
      <c r="R118" s="1723">
        <f>VLOOKUP(C118,'sản lượng'!$D$99:$AP$169,35,0)</f>
        <v>363.36568108657292</v>
      </c>
      <c r="S118" s="1775"/>
      <c r="T118" s="1776">
        <f t="shared" si="12"/>
        <v>0</v>
      </c>
      <c r="U118" s="1726">
        <f t="shared" si="11"/>
        <v>363.36568108657292</v>
      </c>
      <c r="V118" s="1727">
        <f>VLOOKUP(C118,'CHẤM CÔNG '!$E$98:$AQ$168,34,0)</f>
        <v>6</v>
      </c>
      <c r="W118" s="1727">
        <f>VLOOKUP(C118,'CHẤM CÔNG '!$E$98:$AQ$168,35,0)</f>
        <v>1</v>
      </c>
      <c r="X118" s="1727">
        <f>VLOOKUP(C118,'CHẤM CÔNG '!$E$98:$AQ$168,36,0)</f>
        <v>1</v>
      </c>
      <c r="Y118" s="1727">
        <f>VLOOKUP(C118,'CHẤM CÔNG '!$E$98:$AQ$168,37,0)</f>
        <v>0</v>
      </c>
      <c r="Z118" s="1727">
        <f>VLOOKUP(C118,'CHẤM CÔNG '!$E$98:$AQ$168,38,0)</f>
        <v>0</v>
      </c>
      <c r="AA118" s="1727">
        <f>VLOOKUP(C118,'CHẤM CÔNG '!$E$98:$AQ$168,39,0)</f>
        <v>0</v>
      </c>
      <c r="AB118" s="1730">
        <v>6</v>
      </c>
      <c r="AC118" s="1783">
        <f t="shared" si="13"/>
        <v>0</v>
      </c>
      <c r="AD118" s="1834">
        <f>VLOOKUP(C118,'sản lượng'!$D$99:$AP$169,36,0)</f>
        <v>834</v>
      </c>
      <c r="AE118" s="1784"/>
      <c r="AF118" s="1708"/>
    </row>
    <row r="119" spans="1:32" ht="18.75" customHeight="1">
      <c r="A119" s="1770">
        <v>15</v>
      </c>
      <c r="B119" s="2228" t="s">
        <v>3188</v>
      </c>
      <c r="C119" s="2229" t="s">
        <v>3380</v>
      </c>
      <c r="D119" s="1780" t="s">
        <v>15</v>
      </c>
      <c r="E119" s="1717">
        <v>3.2</v>
      </c>
      <c r="F119" s="1717"/>
      <c r="G119" s="1717"/>
      <c r="H119" s="1717"/>
      <c r="I119" s="1772"/>
      <c r="J119" s="1718"/>
      <c r="K119" s="1719"/>
      <c r="L119" s="1719"/>
      <c r="M119" s="1719"/>
      <c r="N119" s="1781"/>
      <c r="O119" s="1782"/>
      <c r="P119" s="1773"/>
      <c r="Q119" s="1774">
        <f t="shared" si="14"/>
        <v>3.2</v>
      </c>
      <c r="R119" s="1723">
        <f>VLOOKUP(C119,'sản lượng'!$D$99:$AP$169,35,0)</f>
        <v>1235.6175918003846</v>
      </c>
      <c r="S119" s="1775"/>
      <c r="T119" s="1776">
        <f t="shared" si="12"/>
        <v>0</v>
      </c>
      <c r="U119" s="1726">
        <f t="shared" si="11"/>
        <v>1235.6175918003846</v>
      </c>
      <c r="V119" s="1727">
        <f>VLOOKUP(C119,'CHẤM CÔNG '!$E$98:$AQ$168,34,0)</f>
        <v>22</v>
      </c>
      <c r="W119" s="1727">
        <f>VLOOKUP(C119,'CHẤM CÔNG '!$E$98:$AQ$168,35,0)</f>
        <v>4</v>
      </c>
      <c r="X119" s="1727">
        <f>VLOOKUP(C119,'CHẤM CÔNG '!$E$98:$AQ$168,36,0)</f>
        <v>5</v>
      </c>
      <c r="Y119" s="1727">
        <f>VLOOKUP(C119,'CHẤM CÔNG '!$E$98:$AQ$168,37,0)</f>
        <v>0</v>
      </c>
      <c r="Z119" s="1727">
        <f>VLOOKUP(C119,'CHẤM CÔNG '!$E$98:$AQ$168,38,0)</f>
        <v>0</v>
      </c>
      <c r="AA119" s="1727">
        <f>VLOOKUP(C119,'CHẤM CÔNG '!$E$98:$AQ$168,39,0)</f>
        <v>0</v>
      </c>
      <c r="AB119" s="1730">
        <v>36</v>
      </c>
      <c r="AC119" s="1783">
        <f t="shared" si="13"/>
        <v>3.2</v>
      </c>
      <c r="AD119" s="1834">
        <f>VLOOKUP(C119,'sản lượng'!$D$99:$AP$169,36,0)</f>
        <v>2836</v>
      </c>
      <c r="AE119" s="1784"/>
      <c r="AF119" s="1708"/>
    </row>
    <row r="120" spans="1:32" ht="18.75" customHeight="1">
      <c r="A120" s="1779">
        <v>16</v>
      </c>
      <c r="B120" s="2228" t="s">
        <v>3189</v>
      </c>
      <c r="C120" s="2229" t="s">
        <v>756</v>
      </c>
      <c r="D120" s="1780" t="s">
        <v>15</v>
      </c>
      <c r="E120" s="1717">
        <v>3.2</v>
      </c>
      <c r="F120" s="1717"/>
      <c r="G120" s="1717"/>
      <c r="H120" s="1717"/>
      <c r="I120" s="1772"/>
      <c r="J120" s="1718"/>
      <c r="K120" s="1719"/>
      <c r="L120" s="1719"/>
      <c r="M120" s="1719"/>
      <c r="N120" s="1781"/>
      <c r="O120" s="1782"/>
      <c r="P120" s="1773"/>
      <c r="Q120" s="1774">
        <f t="shared" si="14"/>
        <v>3.2</v>
      </c>
      <c r="R120" s="1723">
        <f>VLOOKUP(C120,'sản lượng'!$D$99:$AP$169,35,0)</f>
        <v>1239.5388041862109</v>
      </c>
      <c r="S120" s="1775"/>
      <c r="T120" s="1776">
        <f t="shared" si="12"/>
        <v>0</v>
      </c>
      <c r="U120" s="1726">
        <f t="shared" si="11"/>
        <v>1239.5388041862109</v>
      </c>
      <c r="V120" s="1727">
        <f>VLOOKUP(C120,'CHẤM CÔNG '!$E$98:$AQ$168,34,0)</f>
        <v>22</v>
      </c>
      <c r="W120" s="1727">
        <f>VLOOKUP(C120,'CHẤM CÔNG '!$E$98:$AQ$168,35,0)</f>
        <v>4</v>
      </c>
      <c r="X120" s="1727">
        <f>VLOOKUP(C120,'CHẤM CÔNG '!$E$98:$AQ$168,36,0)</f>
        <v>5</v>
      </c>
      <c r="Y120" s="1727">
        <f>VLOOKUP(C120,'CHẤM CÔNG '!$E$98:$AQ$168,37,0)</f>
        <v>0</v>
      </c>
      <c r="Z120" s="1727">
        <f>VLOOKUP(C120,'CHẤM CÔNG '!$E$98:$AQ$168,38,0)</f>
        <v>0</v>
      </c>
      <c r="AA120" s="1727">
        <f>VLOOKUP(C120,'CHẤM CÔNG '!$E$98:$AQ$168,39,0)</f>
        <v>0</v>
      </c>
      <c r="AB120" s="1730">
        <v>36</v>
      </c>
      <c r="AC120" s="1783">
        <f t="shared" si="13"/>
        <v>3.2</v>
      </c>
      <c r="AD120" s="1834">
        <f>VLOOKUP(C120,'sản lượng'!$D$99:$AP$169,36,0)</f>
        <v>2845</v>
      </c>
      <c r="AE120" s="1784"/>
      <c r="AF120" s="1708"/>
    </row>
    <row r="121" spans="1:32" ht="18.75" customHeight="1">
      <c r="A121" s="1770">
        <v>17</v>
      </c>
      <c r="B121" s="2228"/>
      <c r="C121" s="2229" t="s">
        <v>3305</v>
      </c>
      <c r="D121" s="1780" t="s">
        <v>15</v>
      </c>
      <c r="E121" s="1717">
        <v>3.2</v>
      </c>
      <c r="F121" s="1717"/>
      <c r="G121" s="1717"/>
      <c r="H121" s="1717"/>
      <c r="I121" s="1772"/>
      <c r="J121" s="1718"/>
      <c r="K121" s="1719"/>
      <c r="L121" s="1719"/>
      <c r="M121" s="1719"/>
      <c r="N121" s="1781"/>
      <c r="O121" s="1782"/>
      <c r="P121" s="1773"/>
      <c r="Q121" s="1774">
        <f t="shared" si="14"/>
        <v>3.2</v>
      </c>
      <c r="R121" s="1723">
        <f>VLOOKUP(C121,'sản lượng'!$D$99:$AP$169,35,0)</f>
        <v>1392.0303969683457</v>
      </c>
      <c r="S121" s="1775"/>
      <c r="T121" s="1776">
        <f t="shared" si="12"/>
        <v>0</v>
      </c>
      <c r="U121" s="1726">
        <f t="shared" si="11"/>
        <v>1392.0303969683457</v>
      </c>
      <c r="V121" s="1727">
        <f>VLOOKUP(C121,'CHẤM CÔNG '!$E$98:$AQ$168,34,0)</f>
        <v>21</v>
      </c>
      <c r="W121" s="1727">
        <f>VLOOKUP(C121,'CHẤM CÔNG '!$E$98:$AQ$168,35,0)</f>
        <v>4</v>
      </c>
      <c r="X121" s="1727">
        <f>VLOOKUP(C121,'CHẤM CÔNG '!$E$98:$AQ$168,36,0)</f>
        <v>4</v>
      </c>
      <c r="Y121" s="1727">
        <f>VLOOKUP(C121,'CHẤM CÔNG '!$E$98:$AQ$168,37,0)</f>
        <v>0</v>
      </c>
      <c r="Z121" s="1727">
        <f>VLOOKUP(C121,'CHẤM CÔNG '!$E$98:$AQ$168,38,0)</f>
        <v>0</v>
      </c>
      <c r="AA121" s="1727">
        <f>VLOOKUP(C121,'CHẤM CÔNG '!$E$98:$AQ$168,39,0)</f>
        <v>0</v>
      </c>
      <c r="AB121" s="1730">
        <v>33</v>
      </c>
      <c r="AC121" s="1783">
        <f t="shared" si="13"/>
        <v>3.2</v>
      </c>
      <c r="AD121" s="1834">
        <f>VLOOKUP(C121,'sản lượng'!$D$99:$AP$169,36,0)</f>
        <v>3195</v>
      </c>
      <c r="AE121" s="1784"/>
      <c r="AF121" s="1708"/>
    </row>
    <row r="122" spans="1:32" ht="18.75" customHeight="1">
      <c r="A122" s="1779">
        <v>18</v>
      </c>
      <c r="B122" s="2228" t="s">
        <v>3190</v>
      </c>
      <c r="C122" s="2229" t="s">
        <v>815</v>
      </c>
      <c r="D122" s="1780" t="s">
        <v>15</v>
      </c>
      <c r="E122" s="1717">
        <v>3.2</v>
      </c>
      <c r="F122" s="1717"/>
      <c r="G122" s="1717"/>
      <c r="H122" s="1717"/>
      <c r="I122" s="1772"/>
      <c r="J122" s="1718"/>
      <c r="K122" s="1719"/>
      <c r="L122" s="1719"/>
      <c r="M122" s="1719"/>
      <c r="N122" s="1781"/>
      <c r="O122" s="1782"/>
      <c r="P122" s="1773"/>
      <c r="Q122" s="1774">
        <f t="shared" si="14"/>
        <v>3.2</v>
      </c>
      <c r="R122" s="1723">
        <f>VLOOKUP(C122,'sản lượng'!$D$99:$AP$169,35,0)</f>
        <v>1211.218936955243</v>
      </c>
      <c r="S122" s="1775"/>
      <c r="T122" s="1776">
        <f t="shared" si="12"/>
        <v>0</v>
      </c>
      <c r="U122" s="1726">
        <f t="shared" si="11"/>
        <v>1211.218936955243</v>
      </c>
      <c r="V122" s="1727">
        <f>VLOOKUP(C122,'CHẤM CÔNG '!$E$98:$AQ$168,34,0)</f>
        <v>21</v>
      </c>
      <c r="W122" s="1727">
        <f>VLOOKUP(C122,'CHẤM CÔNG '!$E$98:$AQ$168,35,0)</f>
        <v>4</v>
      </c>
      <c r="X122" s="1727">
        <f>VLOOKUP(C122,'CHẤM CÔNG '!$E$98:$AQ$168,36,0)</f>
        <v>5</v>
      </c>
      <c r="Y122" s="1727">
        <f>VLOOKUP(C122,'CHẤM CÔNG '!$E$98:$AQ$168,37,0)</f>
        <v>0</v>
      </c>
      <c r="Z122" s="1727">
        <f>VLOOKUP(C122,'CHẤM CÔNG '!$E$98:$AQ$168,38,0)</f>
        <v>0</v>
      </c>
      <c r="AA122" s="1727">
        <f>VLOOKUP(C122,'CHẤM CÔNG '!$E$98:$AQ$168,39,0)</f>
        <v>0</v>
      </c>
      <c r="AB122" s="1730">
        <v>35</v>
      </c>
      <c r="AC122" s="1783">
        <f t="shared" si="13"/>
        <v>3.2</v>
      </c>
      <c r="AD122" s="1834">
        <f>VLOOKUP(C122,'sản lượng'!$D$99:$AP$169,36,0)</f>
        <v>2780</v>
      </c>
      <c r="AE122" s="1784"/>
      <c r="AF122" s="1708"/>
    </row>
    <row r="123" spans="1:32" ht="18.75" customHeight="1">
      <c r="A123" s="1770">
        <v>19</v>
      </c>
      <c r="B123" s="2228" t="s">
        <v>3191</v>
      </c>
      <c r="C123" s="2229" t="s">
        <v>816</v>
      </c>
      <c r="D123" s="1780" t="s">
        <v>15</v>
      </c>
      <c r="E123" s="1717">
        <v>3.2</v>
      </c>
      <c r="F123" s="1717"/>
      <c r="G123" s="1717"/>
      <c r="H123" s="1717"/>
      <c r="I123" s="1772"/>
      <c r="J123" s="1718"/>
      <c r="K123" s="1719"/>
      <c r="L123" s="1719"/>
      <c r="M123" s="1719"/>
      <c r="N123" s="1781"/>
      <c r="O123" s="1782"/>
      <c r="P123" s="1773"/>
      <c r="Q123" s="1774">
        <f t="shared" si="14"/>
        <v>3.2</v>
      </c>
      <c r="R123" s="1723">
        <f>VLOOKUP(C123,'sản lượng'!$D$99:$AP$169,35,0)</f>
        <v>1256.9664147898834</v>
      </c>
      <c r="S123" s="1775"/>
      <c r="T123" s="1776">
        <f t="shared" si="12"/>
        <v>0</v>
      </c>
      <c r="U123" s="1726">
        <f t="shared" si="11"/>
        <v>1256.9664147898834</v>
      </c>
      <c r="V123" s="1727">
        <f>VLOOKUP(C123,'CHẤM CÔNG '!$E$98:$AQ$168,34,0)</f>
        <v>20</v>
      </c>
      <c r="W123" s="1727">
        <f>VLOOKUP(C123,'CHẤM CÔNG '!$E$98:$AQ$168,35,0)</f>
        <v>4</v>
      </c>
      <c r="X123" s="1727">
        <f>VLOOKUP(C123,'CHẤM CÔNG '!$E$98:$AQ$168,36,0)</f>
        <v>5</v>
      </c>
      <c r="Y123" s="1727">
        <f>VLOOKUP(C123,'CHẤM CÔNG '!$E$98:$AQ$168,37,0)</f>
        <v>0</v>
      </c>
      <c r="Z123" s="1727">
        <f>VLOOKUP(C123,'CHẤM CÔNG '!$E$98:$AQ$168,38,0)</f>
        <v>0</v>
      </c>
      <c r="AA123" s="1727">
        <f>VLOOKUP(C123,'CHẤM CÔNG '!$E$98:$AQ$168,39,0)</f>
        <v>0</v>
      </c>
      <c r="AB123" s="1730">
        <v>25</v>
      </c>
      <c r="AC123" s="1783">
        <f t="shared" si="13"/>
        <v>3.2</v>
      </c>
      <c r="AD123" s="1834">
        <f>VLOOKUP(C123,'sản lượng'!$D$99:$AP$169,36,0)</f>
        <v>2885</v>
      </c>
      <c r="AE123" s="1784"/>
      <c r="AF123" s="1708"/>
    </row>
    <row r="124" spans="1:32" ht="18.75" customHeight="1">
      <c r="A124" s="1779">
        <v>20</v>
      </c>
      <c r="B124" s="2228" t="s">
        <v>3192</v>
      </c>
      <c r="C124" s="2229" t="s">
        <v>440</v>
      </c>
      <c r="D124" s="1780" t="s">
        <v>15</v>
      </c>
      <c r="E124" s="1717">
        <v>3.2</v>
      </c>
      <c r="F124" s="1717"/>
      <c r="G124" s="1717"/>
      <c r="H124" s="1717"/>
      <c r="I124" s="1772"/>
      <c r="J124" s="1718"/>
      <c r="K124" s="1719"/>
      <c r="L124" s="1719"/>
      <c r="M124" s="1719"/>
      <c r="N124" s="1781"/>
      <c r="O124" s="1782"/>
      <c r="P124" s="1773"/>
      <c r="Q124" s="1774">
        <f t="shared" si="14"/>
        <v>3.2</v>
      </c>
      <c r="R124" s="1723">
        <f>VLOOKUP(C124,'sản lượng'!$D$99:$AP$169,35,0)</f>
        <v>2094.3631042963502</v>
      </c>
      <c r="S124" s="1775"/>
      <c r="T124" s="1776">
        <f t="shared" si="12"/>
        <v>0</v>
      </c>
      <c r="U124" s="1726">
        <f t="shared" si="11"/>
        <v>2094.3631042963502</v>
      </c>
      <c r="V124" s="1727">
        <f>VLOOKUP(C124,'CHẤM CÔNG '!$E$98:$AQ$168,34,0)</f>
        <v>22</v>
      </c>
      <c r="W124" s="1727">
        <f>VLOOKUP(C124,'CHẤM CÔNG '!$E$98:$AQ$168,35,0)</f>
        <v>4</v>
      </c>
      <c r="X124" s="1727">
        <f>VLOOKUP(C124,'CHẤM CÔNG '!$E$98:$AQ$168,36,0)</f>
        <v>5</v>
      </c>
      <c r="Y124" s="1727">
        <f>VLOOKUP(C124,'CHẤM CÔNG '!$E$98:$AQ$168,37,0)</f>
        <v>0</v>
      </c>
      <c r="Z124" s="1727">
        <f>VLOOKUP(C124,'CHẤM CÔNG '!$E$98:$AQ$168,38,0)</f>
        <v>0</v>
      </c>
      <c r="AA124" s="1727">
        <f>VLOOKUP(C124,'CHẤM CÔNG '!$E$98:$AQ$168,39,0)</f>
        <v>0</v>
      </c>
      <c r="AB124" s="1730">
        <v>36</v>
      </c>
      <c r="AC124" s="1783">
        <f t="shared" si="13"/>
        <v>3.2</v>
      </c>
      <c r="AD124" s="1834">
        <f>VLOOKUP(C124,'sản lượng'!$D$99:$AP$169,36,0)</f>
        <v>4807</v>
      </c>
      <c r="AE124" s="1784"/>
      <c r="AF124" s="1708"/>
    </row>
    <row r="125" spans="1:32" ht="18.75" customHeight="1">
      <c r="A125" s="1770">
        <v>21</v>
      </c>
      <c r="B125" s="2228" t="s">
        <v>3193</v>
      </c>
      <c r="C125" s="2229" t="s">
        <v>3381</v>
      </c>
      <c r="D125" s="1780" t="s">
        <v>15</v>
      </c>
      <c r="E125" s="1717">
        <v>3.2</v>
      </c>
      <c r="F125" s="1717"/>
      <c r="G125" s="1717"/>
      <c r="H125" s="1717"/>
      <c r="I125" s="1772"/>
      <c r="J125" s="1718"/>
      <c r="K125" s="1719"/>
      <c r="L125" s="1719"/>
      <c r="M125" s="1719"/>
      <c r="N125" s="1781"/>
      <c r="O125" s="1782"/>
      <c r="P125" s="1773"/>
      <c r="Q125" s="1774">
        <f t="shared" si="14"/>
        <v>3.2</v>
      </c>
      <c r="R125" s="1723">
        <f>VLOOKUP(C125,'sản lượng'!$D$99:$AP$169,35,0)</f>
        <v>1876.9536620155347</v>
      </c>
      <c r="S125" s="1775"/>
      <c r="T125" s="1776">
        <f t="shared" si="12"/>
        <v>0</v>
      </c>
      <c r="U125" s="1726">
        <f t="shared" si="11"/>
        <v>1876.9536620155347</v>
      </c>
      <c r="V125" s="1727">
        <f>VLOOKUP(C125,'CHẤM CÔNG '!$E$98:$AQ$168,34,0)</f>
        <v>22</v>
      </c>
      <c r="W125" s="1727">
        <f>VLOOKUP(C125,'CHẤM CÔNG '!$E$98:$AQ$168,35,0)</f>
        <v>4</v>
      </c>
      <c r="X125" s="1727">
        <f>VLOOKUP(C125,'CHẤM CÔNG '!$E$98:$AQ$168,36,0)</f>
        <v>5</v>
      </c>
      <c r="Y125" s="1727">
        <f>VLOOKUP(C125,'CHẤM CÔNG '!$E$98:$AQ$168,37,0)</f>
        <v>0</v>
      </c>
      <c r="Z125" s="1727">
        <f>VLOOKUP(C125,'CHẤM CÔNG '!$E$98:$AQ$168,38,0)</f>
        <v>0</v>
      </c>
      <c r="AA125" s="1727">
        <f>VLOOKUP(C125,'CHẤM CÔNG '!$E$98:$AQ$168,39,0)</f>
        <v>0</v>
      </c>
      <c r="AB125" s="1730">
        <v>27</v>
      </c>
      <c r="AC125" s="1783">
        <f t="shared" si="13"/>
        <v>3.2</v>
      </c>
      <c r="AD125" s="1834">
        <f>VLOOKUP(C125,'sản lượng'!$D$99:$AP$169,36,0)</f>
        <v>4308</v>
      </c>
      <c r="AE125" s="1784"/>
      <c r="AF125" s="1708"/>
    </row>
    <row r="126" spans="1:32" ht="18.75" customHeight="1">
      <c r="A126" s="1779">
        <v>22</v>
      </c>
      <c r="B126" s="2228" t="s">
        <v>3194</v>
      </c>
      <c r="C126" s="2229" t="s">
        <v>1862</v>
      </c>
      <c r="D126" s="1780" t="s">
        <v>15</v>
      </c>
      <c r="E126" s="1717">
        <v>3.2</v>
      </c>
      <c r="F126" s="1717"/>
      <c r="G126" s="1717"/>
      <c r="H126" s="1717"/>
      <c r="I126" s="1772"/>
      <c r="J126" s="1718"/>
      <c r="K126" s="1719"/>
      <c r="L126" s="1719"/>
      <c r="M126" s="1719"/>
      <c r="N126" s="1781"/>
      <c r="O126" s="1782"/>
      <c r="P126" s="1773"/>
      <c r="Q126" s="1774">
        <f t="shared" si="14"/>
        <v>3.2</v>
      </c>
      <c r="R126" s="1723">
        <f>VLOOKUP(C126,'sản lượng'!$D$99:$AP$169,35,0)</f>
        <v>1247.3812289578636</v>
      </c>
      <c r="S126" s="1775"/>
      <c r="T126" s="1776">
        <f t="shared" si="12"/>
        <v>0</v>
      </c>
      <c r="U126" s="1726">
        <f t="shared" si="11"/>
        <v>1247.3812289578636</v>
      </c>
      <c r="V126" s="1727">
        <f>VLOOKUP(C126,'CHẤM CÔNG '!$E$98:$AQ$168,34,0)</f>
        <v>19</v>
      </c>
      <c r="W126" s="1727">
        <f>VLOOKUP(C126,'CHẤM CÔNG '!$E$98:$AQ$168,35,0)</f>
        <v>3</v>
      </c>
      <c r="X126" s="1727">
        <f>VLOOKUP(C126,'CHẤM CÔNG '!$E$98:$AQ$168,36,0)</f>
        <v>5</v>
      </c>
      <c r="Y126" s="1727">
        <f>VLOOKUP(C126,'CHẤM CÔNG '!$E$98:$AQ$168,37,0)</f>
        <v>0</v>
      </c>
      <c r="Z126" s="1727">
        <f>VLOOKUP(C126,'CHẤM CÔNG '!$E$98:$AQ$168,38,0)</f>
        <v>0</v>
      </c>
      <c r="AA126" s="1727">
        <f>VLOOKUP(C126,'CHẤM CÔNG '!$E$98:$AQ$168,39,0)</f>
        <v>0</v>
      </c>
      <c r="AB126" s="1730">
        <v>23</v>
      </c>
      <c r="AC126" s="1783">
        <f t="shared" si="13"/>
        <v>3.2</v>
      </c>
      <c r="AD126" s="1834">
        <f>VLOOKUP(C126,'sản lượng'!$D$99:$AP$169,36,0)</f>
        <v>2863</v>
      </c>
      <c r="AE126" s="1784"/>
      <c r="AF126" s="1708"/>
    </row>
    <row r="127" spans="1:32" ht="18.75" customHeight="1">
      <c r="A127" s="1770">
        <v>23</v>
      </c>
      <c r="B127" s="2228" t="s">
        <v>3195</v>
      </c>
      <c r="C127" s="2229" t="s">
        <v>3225</v>
      </c>
      <c r="D127" s="1780" t="s">
        <v>15</v>
      </c>
      <c r="E127" s="1717">
        <v>6.4</v>
      </c>
      <c r="F127" s="1717"/>
      <c r="G127" s="1717"/>
      <c r="H127" s="1717"/>
      <c r="I127" s="1772"/>
      <c r="J127" s="1718"/>
      <c r="K127" s="1719"/>
      <c r="L127" s="1719"/>
      <c r="M127" s="1719"/>
      <c r="N127" s="1781"/>
      <c r="O127" s="1782"/>
      <c r="P127" s="1773"/>
      <c r="Q127" s="1774">
        <f t="shared" si="14"/>
        <v>6.4</v>
      </c>
      <c r="R127" s="1723">
        <f>VLOOKUP(C127,'sản lượng'!$D$99:$AP$169,35,0)</f>
        <v>1411.6364588974775</v>
      </c>
      <c r="S127" s="1775"/>
      <c r="T127" s="1776">
        <f t="shared" si="12"/>
        <v>0</v>
      </c>
      <c r="U127" s="1726">
        <f t="shared" si="11"/>
        <v>1411.6364588974775</v>
      </c>
      <c r="V127" s="1727">
        <f>VLOOKUP(C127,'CHẤM CÔNG '!$E$98:$AQ$168,34,0)</f>
        <v>22</v>
      </c>
      <c r="W127" s="1727">
        <f>VLOOKUP(C127,'CHẤM CÔNG '!$E$98:$AQ$168,35,0)</f>
        <v>4</v>
      </c>
      <c r="X127" s="1727">
        <f>VLOOKUP(C127,'CHẤM CÔNG '!$E$98:$AQ$168,36,0)</f>
        <v>5</v>
      </c>
      <c r="Y127" s="1727">
        <f>VLOOKUP(C127,'CHẤM CÔNG '!$E$98:$AQ$168,37,0)</f>
        <v>0</v>
      </c>
      <c r="Z127" s="1727">
        <f>VLOOKUP(C127,'CHẤM CÔNG '!$E$98:$AQ$168,38,0)</f>
        <v>0</v>
      </c>
      <c r="AA127" s="1727">
        <f>VLOOKUP(C127,'CHẤM CÔNG '!$E$98:$AQ$168,39,0)</f>
        <v>0</v>
      </c>
      <c r="AB127" s="1730">
        <v>27</v>
      </c>
      <c r="AC127" s="1783">
        <f t="shared" si="13"/>
        <v>6.4</v>
      </c>
      <c r="AD127" s="1834">
        <f>VLOOKUP(C127,'sản lượng'!$D$99:$AP$169,36,0)</f>
        <v>3240</v>
      </c>
      <c r="AE127" s="1784"/>
      <c r="AF127" s="1708"/>
    </row>
    <row r="128" spans="1:32" ht="18.75" customHeight="1">
      <c r="A128" s="1779">
        <v>24</v>
      </c>
      <c r="B128" s="2228" t="s">
        <v>3196</v>
      </c>
      <c r="C128" s="2229" t="s">
        <v>1791</v>
      </c>
      <c r="D128" s="1780" t="s">
        <v>15</v>
      </c>
      <c r="E128" s="1717">
        <v>3.2</v>
      </c>
      <c r="F128" s="1717"/>
      <c r="G128" s="1717"/>
      <c r="H128" s="1717"/>
      <c r="I128" s="1772"/>
      <c r="J128" s="1718"/>
      <c r="K128" s="1719"/>
      <c r="L128" s="1719"/>
      <c r="M128" s="1719"/>
      <c r="N128" s="1781"/>
      <c r="O128" s="1782"/>
      <c r="P128" s="1773"/>
      <c r="Q128" s="1774">
        <f t="shared" si="14"/>
        <v>3.2</v>
      </c>
      <c r="R128" s="1723">
        <f>VLOOKUP(C128,'sản lượng'!$D$99:$AP$169,35,0)</f>
        <v>1277.8795475142906</v>
      </c>
      <c r="S128" s="1775"/>
      <c r="T128" s="1776">
        <f t="shared" si="12"/>
        <v>0</v>
      </c>
      <c r="U128" s="1726">
        <f t="shared" si="11"/>
        <v>1277.8795475142906</v>
      </c>
      <c r="V128" s="1727">
        <f>VLOOKUP(C128,'CHẤM CÔNG '!$E$98:$AQ$168,34,0)</f>
        <v>19</v>
      </c>
      <c r="W128" s="1727">
        <f>VLOOKUP(C128,'CHẤM CÔNG '!$E$98:$AQ$168,35,0)</f>
        <v>3</v>
      </c>
      <c r="X128" s="1727">
        <f>VLOOKUP(C128,'CHẤM CÔNG '!$E$98:$AQ$168,36,0)</f>
        <v>5</v>
      </c>
      <c r="Y128" s="1727">
        <f>VLOOKUP(C128,'CHẤM CÔNG '!$E$98:$AQ$168,37,0)</f>
        <v>0</v>
      </c>
      <c r="Z128" s="1727">
        <f>VLOOKUP(C128,'CHẤM CÔNG '!$E$98:$AQ$168,38,0)</f>
        <v>0</v>
      </c>
      <c r="AA128" s="1727">
        <f>VLOOKUP(C128,'CHẤM CÔNG '!$E$98:$AQ$168,39,0)</f>
        <v>0</v>
      </c>
      <c r="AB128" s="1730">
        <v>23</v>
      </c>
      <c r="AC128" s="1783">
        <f t="shared" si="13"/>
        <v>3.2</v>
      </c>
      <c r="AD128" s="1834">
        <f>VLOOKUP(C128,'sản lượng'!$D$99:$AP$169,36,0)</f>
        <v>2933</v>
      </c>
      <c r="AE128" s="1784"/>
      <c r="AF128" s="1708"/>
    </row>
    <row r="129" spans="1:32" ht="18.75" customHeight="1">
      <c r="A129" s="1770">
        <v>25</v>
      </c>
      <c r="B129" s="2228" t="s">
        <v>3197</v>
      </c>
      <c r="C129" s="2229" t="s">
        <v>1706</v>
      </c>
      <c r="D129" s="1780" t="s">
        <v>15</v>
      </c>
      <c r="E129" s="1717">
        <v>3.2</v>
      </c>
      <c r="F129" s="1717"/>
      <c r="G129" s="1717"/>
      <c r="H129" s="1717"/>
      <c r="I129" s="1772"/>
      <c r="J129" s="1718"/>
      <c r="K129" s="1719"/>
      <c r="L129" s="1719"/>
      <c r="M129" s="1719"/>
      <c r="N129" s="1781"/>
      <c r="O129" s="1782"/>
      <c r="P129" s="1773"/>
      <c r="Q129" s="1774">
        <f t="shared" si="14"/>
        <v>3.2</v>
      </c>
      <c r="R129" s="1723">
        <f>VLOOKUP(C129,'sản lượng'!$D$99:$AP$169,35,0)</f>
        <v>2198.4930776532938</v>
      </c>
      <c r="S129" s="1775"/>
      <c r="T129" s="1776">
        <f t="shared" si="12"/>
        <v>0</v>
      </c>
      <c r="U129" s="1726">
        <f t="shared" si="11"/>
        <v>2198.4930776532938</v>
      </c>
      <c r="V129" s="1727">
        <f>VLOOKUP(C129,'CHẤM CÔNG '!$E$98:$AQ$168,34,0)</f>
        <v>23</v>
      </c>
      <c r="W129" s="1727">
        <f>VLOOKUP(C129,'CHẤM CÔNG '!$E$98:$AQ$168,35,0)</f>
        <v>4</v>
      </c>
      <c r="X129" s="1727">
        <f>VLOOKUP(C129,'CHẤM CÔNG '!$E$98:$AQ$168,36,0)</f>
        <v>4</v>
      </c>
      <c r="Y129" s="1727">
        <f>VLOOKUP(C129,'CHẤM CÔNG '!$E$98:$AQ$168,37,0)</f>
        <v>0</v>
      </c>
      <c r="Z129" s="1727">
        <f>VLOOKUP(C129,'CHẤM CÔNG '!$E$98:$AQ$168,38,0)</f>
        <v>0</v>
      </c>
      <c r="AA129" s="1727">
        <f>VLOOKUP(C129,'CHẤM CÔNG '!$E$98:$AQ$168,39,0)</f>
        <v>0</v>
      </c>
      <c r="AB129" s="1730">
        <v>0</v>
      </c>
      <c r="AC129" s="1783">
        <f t="shared" si="13"/>
        <v>3.2</v>
      </c>
      <c r="AD129" s="1834">
        <f>VLOOKUP(C129,'sản lượng'!$D$99:$AP$169,36,0)</f>
        <v>5046</v>
      </c>
      <c r="AE129" s="1784"/>
      <c r="AF129" s="1708"/>
    </row>
    <row r="130" spans="1:32" ht="18.75" customHeight="1">
      <c r="A130" s="1779">
        <v>26</v>
      </c>
      <c r="B130" s="2228" t="s">
        <v>3198</v>
      </c>
      <c r="C130" s="2229" t="s">
        <v>3382</v>
      </c>
      <c r="D130" s="1780" t="s">
        <v>15</v>
      </c>
      <c r="E130" s="1717">
        <v>3.2</v>
      </c>
      <c r="F130" s="1717"/>
      <c r="G130" s="1717"/>
      <c r="H130" s="1717"/>
      <c r="I130" s="1772"/>
      <c r="J130" s="1718"/>
      <c r="K130" s="1719"/>
      <c r="L130" s="1719"/>
      <c r="M130" s="1719"/>
      <c r="N130" s="1781"/>
      <c r="O130" s="1782"/>
      <c r="P130" s="1773"/>
      <c r="Q130" s="1774">
        <f t="shared" si="14"/>
        <v>3.2</v>
      </c>
      <c r="R130" s="1723">
        <f>VLOOKUP(C130,'sản lượng'!$D$99:$AP$169,35,0)</f>
        <v>1127.5664060576146</v>
      </c>
      <c r="S130" s="1775"/>
      <c r="T130" s="1776">
        <f t="shared" si="12"/>
        <v>0</v>
      </c>
      <c r="U130" s="1726">
        <f t="shared" si="11"/>
        <v>1127.5664060576146</v>
      </c>
      <c r="V130" s="1727">
        <f>VLOOKUP(C130,'CHẤM CÔNG '!$E$98:$AQ$168,34,0)</f>
        <v>22</v>
      </c>
      <c r="W130" s="1727">
        <f>VLOOKUP(C130,'CHẤM CÔNG '!$E$98:$AQ$168,35,0)</f>
        <v>4</v>
      </c>
      <c r="X130" s="1727">
        <f>VLOOKUP(C130,'CHẤM CÔNG '!$E$98:$AQ$168,36,0)</f>
        <v>3</v>
      </c>
      <c r="Y130" s="1727">
        <f>VLOOKUP(C130,'CHẤM CÔNG '!$E$98:$AQ$168,37,0)</f>
        <v>0</v>
      </c>
      <c r="Z130" s="1727">
        <f>VLOOKUP(C130,'CHẤM CÔNG '!$E$98:$AQ$168,38,0)</f>
        <v>0</v>
      </c>
      <c r="AA130" s="1727">
        <f>VLOOKUP(C130,'CHẤM CÔNG '!$E$98:$AQ$168,39,0)</f>
        <v>0</v>
      </c>
      <c r="AB130" s="1730">
        <v>23</v>
      </c>
      <c r="AC130" s="1783">
        <f t="shared" si="13"/>
        <v>3.2</v>
      </c>
      <c r="AD130" s="1834">
        <f>VLOOKUP(C130,'sản lượng'!$D$99:$AP$169,36,0)</f>
        <v>2588</v>
      </c>
      <c r="AE130" s="1784"/>
      <c r="AF130" s="1708"/>
    </row>
    <row r="131" spans="1:32" ht="18.75" customHeight="1">
      <c r="A131" s="1770">
        <v>27</v>
      </c>
      <c r="B131" s="2228" t="s">
        <v>3199</v>
      </c>
      <c r="C131" s="2229" t="s">
        <v>3357</v>
      </c>
      <c r="D131" s="1780" t="s">
        <v>15</v>
      </c>
      <c r="E131" s="1717">
        <v>3.2</v>
      </c>
      <c r="F131" s="1717"/>
      <c r="G131" s="1717"/>
      <c r="H131" s="1717"/>
      <c r="I131" s="1772"/>
      <c r="J131" s="1718"/>
      <c r="K131" s="1719"/>
      <c r="L131" s="1719"/>
      <c r="M131" s="1719"/>
      <c r="N131" s="1781"/>
      <c r="O131" s="1782"/>
      <c r="P131" s="1773"/>
      <c r="Q131" s="1774">
        <f t="shared" si="14"/>
        <v>3.2</v>
      </c>
      <c r="R131" s="1723">
        <f>VLOOKUP(C131,'sản lượng'!$D$99:$AP$169,35,0)</f>
        <v>1379.3953792806833</v>
      </c>
      <c r="S131" s="1775"/>
      <c r="T131" s="1776">
        <f t="shared" si="12"/>
        <v>0</v>
      </c>
      <c r="U131" s="1726">
        <f t="shared" si="11"/>
        <v>1379.3953792806833</v>
      </c>
      <c r="V131" s="1727">
        <f>VLOOKUP(C131,'CHẤM CÔNG '!$E$98:$AQ$168,34,0)</f>
        <v>21</v>
      </c>
      <c r="W131" s="1727">
        <f>VLOOKUP(C131,'CHẤM CÔNG '!$E$98:$AQ$168,35,0)</f>
        <v>4</v>
      </c>
      <c r="X131" s="1727">
        <f>VLOOKUP(C131,'CHẤM CÔNG '!$E$98:$AQ$168,36,0)</f>
        <v>4</v>
      </c>
      <c r="Y131" s="1727">
        <f>VLOOKUP(C131,'CHẤM CÔNG '!$E$98:$AQ$168,37,0)</f>
        <v>0</v>
      </c>
      <c r="Z131" s="1727">
        <f>VLOOKUP(C131,'CHẤM CÔNG '!$E$98:$AQ$168,38,0)</f>
        <v>0</v>
      </c>
      <c r="AA131" s="1727">
        <f>VLOOKUP(C131,'CHẤM CÔNG '!$E$98:$AQ$168,39,0)</f>
        <v>0</v>
      </c>
      <c r="AB131" s="1730">
        <v>25</v>
      </c>
      <c r="AC131" s="1783">
        <f t="shared" si="13"/>
        <v>3.2</v>
      </c>
      <c r="AD131" s="1834">
        <f>VLOOKUP(C131,'sản lượng'!$D$99:$AP$169,36,0)</f>
        <v>3166</v>
      </c>
      <c r="AE131" s="1784"/>
      <c r="AF131" s="1708"/>
    </row>
    <row r="132" spans="1:32" ht="18.75" customHeight="1">
      <c r="A132" s="1779">
        <v>28</v>
      </c>
      <c r="B132" s="2220"/>
      <c r="C132" s="2222" t="s">
        <v>3402</v>
      </c>
      <c r="D132" s="1780" t="s">
        <v>15</v>
      </c>
      <c r="E132" s="1717">
        <v>3.2</v>
      </c>
      <c r="F132" s="1717"/>
      <c r="G132" s="1717"/>
      <c r="H132" s="1717"/>
      <c r="I132" s="1772"/>
      <c r="J132" s="1718"/>
      <c r="K132" s="1719"/>
      <c r="L132" s="1719"/>
      <c r="M132" s="1719"/>
      <c r="N132" s="1781"/>
      <c r="O132" s="1782"/>
      <c r="P132" s="1773"/>
      <c r="Q132" s="1774">
        <f t="shared" si="14"/>
        <v>3.2</v>
      </c>
      <c r="R132" s="1723">
        <f>VLOOKUP(C132,'sản lượng'!$D$99:$AP$169,35,0)</f>
        <v>1061.7771760287508</v>
      </c>
      <c r="S132" s="1775"/>
      <c r="T132" s="1776">
        <f t="shared" si="12"/>
        <v>0</v>
      </c>
      <c r="U132" s="1726">
        <f t="shared" si="11"/>
        <v>1061.7771760287508</v>
      </c>
      <c r="V132" s="1727">
        <f>VLOOKUP(C132,'CHẤM CÔNG '!$E$98:$AQ$168,34,0)</f>
        <v>25</v>
      </c>
      <c r="W132" s="1727">
        <f>VLOOKUP(C132,'CHẤM CÔNG '!$E$98:$AQ$168,35,0)</f>
        <v>4</v>
      </c>
      <c r="X132" s="1727">
        <f>VLOOKUP(C132,'CHẤM CÔNG '!$E$98:$AQ$168,36,0)</f>
        <v>2</v>
      </c>
      <c r="Y132" s="1727">
        <f>VLOOKUP(C132,'CHẤM CÔNG '!$E$98:$AQ$168,37,0)</f>
        <v>0</v>
      </c>
      <c r="Z132" s="1727">
        <f>VLOOKUP(C132,'CHẤM CÔNG '!$E$98:$AQ$168,38,0)</f>
        <v>0</v>
      </c>
      <c r="AA132" s="1727">
        <f>VLOOKUP(C132,'CHẤM CÔNG '!$E$98:$AQ$168,39,0)</f>
        <v>0</v>
      </c>
      <c r="AB132" s="1730">
        <v>33</v>
      </c>
      <c r="AC132" s="1783">
        <f t="shared" si="13"/>
        <v>3.2</v>
      </c>
      <c r="AD132" s="1834">
        <f>VLOOKUP(C132,'sản lượng'!$D$99:$AP$169,36,0)</f>
        <v>2437</v>
      </c>
      <c r="AE132" s="1784"/>
      <c r="AF132" s="1708"/>
    </row>
    <row r="133" spans="1:32" ht="18.75" customHeight="1">
      <c r="A133" s="1770">
        <v>29</v>
      </c>
      <c r="B133" s="2228" t="s">
        <v>3201</v>
      </c>
      <c r="C133" s="2229" t="s">
        <v>3226</v>
      </c>
      <c r="D133" s="1780" t="s">
        <v>15</v>
      </c>
      <c r="E133" s="1717">
        <v>3.2</v>
      </c>
      <c r="F133" s="1717"/>
      <c r="G133" s="1717"/>
      <c r="H133" s="1717"/>
      <c r="I133" s="1772"/>
      <c r="J133" s="1718"/>
      <c r="K133" s="1719"/>
      <c r="L133" s="1719"/>
      <c r="M133" s="1719"/>
      <c r="N133" s="1781"/>
      <c r="O133" s="1782"/>
      <c r="P133" s="1773"/>
      <c r="Q133" s="1774">
        <f t="shared" si="14"/>
        <v>3.2</v>
      </c>
      <c r="R133" s="1723">
        <f>VLOOKUP(C133,'sản lượng'!$D$99:$AP$169,35,0)</f>
        <v>2203.2856705693034</v>
      </c>
      <c r="S133" s="1775"/>
      <c r="T133" s="1776">
        <f t="shared" si="12"/>
        <v>0</v>
      </c>
      <c r="U133" s="1726">
        <f t="shared" si="11"/>
        <v>2203.2856705693034</v>
      </c>
      <c r="V133" s="1727">
        <f>VLOOKUP(C133,'CHẤM CÔNG '!$E$98:$AQ$168,34,0)</f>
        <v>23</v>
      </c>
      <c r="W133" s="1727">
        <f>VLOOKUP(C133,'CHẤM CÔNG '!$E$98:$AQ$168,35,0)</f>
        <v>4</v>
      </c>
      <c r="X133" s="1727">
        <f>VLOOKUP(C133,'CHẤM CÔNG '!$E$98:$AQ$168,36,0)</f>
        <v>4</v>
      </c>
      <c r="Y133" s="1727">
        <f>VLOOKUP(C133,'CHẤM CÔNG '!$E$98:$AQ$168,37,0)</f>
        <v>0</v>
      </c>
      <c r="Z133" s="1727">
        <f>VLOOKUP(C133,'CHẤM CÔNG '!$E$98:$AQ$168,38,0)</f>
        <v>0</v>
      </c>
      <c r="AA133" s="1727">
        <f>VLOOKUP(C133,'CHẤM CÔNG '!$E$98:$AQ$168,39,0)</f>
        <v>0</v>
      </c>
      <c r="AB133" s="1730">
        <v>0</v>
      </c>
      <c r="AC133" s="1783">
        <f t="shared" si="13"/>
        <v>3.2</v>
      </c>
      <c r="AD133" s="1834">
        <f>VLOOKUP(C133,'sản lượng'!$D$99:$AP$169,36,0)</f>
        <v>5057</v>
      </c>
      <c r="AE133" s="1784"/>
      <c r="AF133" s="1708"/>
    </row>
    <row r="134" spans="1:32" ht="18.75" customHeight="1">
      <c r="A134" s="1779">
        <v>30</v>
      </c>
      <c r="B134" s="2228" t="s">
        <v>3202</v>
      </c>
      <c r="C134" s="2229" t="s">
        <v>1533</v>
      </c>
      <c r="D134" s="1780" t="s">
        <v>15</v>
      </c>
      <c r="E134" s="1717">
        <v>3.2</v>
      </c>
      <c r="F134" s="1717"/>
      <c r="G134" s="1717"/>
      <c r="H134" s="1717"/>
      <c r="I134" s="1772"/>
      <c r="J134" s="1718"/>
      <c r="K134" s="1719"/>
      <c r="L134" s="1719"/>
      <c r="M134" s="1719"/>
      <c r="N134" s="1781"/>
      <c r="O134" s="1782"/>
      <c r="P134" s="1773"/>
      <c r="Q134" s="1774">
        <f t="shared" si="14"/>
        <v>3.2</v>
      </c>
      <c r="R134" s="1723">
        <f>VLOOKUP(C134,'sản lượng'!$D$99:$AP$169,35,0)</f>
        <v>1480.9112110470758</v>
      </c>
      <c r="S134" s="1775"/>
      <c r="T134" s="1776">
        <f t="shared" si="12"/>
        <v>0</v>
      </c>
      <c r="U134" s="1726">
        <f t="shared" si="11"/>
        <v>1480.9112110470758</v>
      </c>
      <c r="V134" s="1727">
        <f>VLOOKUP(C134,'CHẤM CÔNG '!$E$98:$AQ$168,34,0)</f>
        <v>24</v>
      </c>
      <c r="W134" s="1727">
        <f>VLOOKUP(C134,'CHẤM CÔNG '!$E$98:$AQ$168,35,0)</f>
        <v>4</v>
      </c>
      <c r="X134" s="1727">
        <f>VLOOKUP(C134,'CHẤM CÔNG '!$E$98:$AQ$168,36,0)</f>
        <v>3</v>
      </c>
      <c r="Y134" s="1727">
        <f>VLOOKUP(C134,'CHẤM CÔNG '!$E$98:$AQ$168,37,0)</f>
        <v>0</v>
      </c>
      <c r="Z134" s="1727">
        <f>VLOOKUP(C134,'CHẤM CÔNG '!$E$98:$AQ$168,38,0)</f>
        <v>0</v>
      </c>
      <c r="AA134" s="1727">
        <f>VLOOKUP(C134,'CHẤM CÔNG '!$E$98:$AQ$168,39,0)</f>
        <v>0</v>
      </c>
      <c r="AB134" s="1730">
        <v>0</v>
      </c>
      <c r="AC134" s="1783">
        <f t="shared" si="13"/>
        <v>3.2</v>
      </c>
      <c r="AD134" s="1834">
        <f>VLOOKUP(C134,'sản lượng'!$D$99:$AP$169,36,0)</f>
        <v>3399</v>
      </c>
      <c r="AE134" s="1784"/>
      <c r="AF134" s="1708"/>
    </row>
    <row r="135" spans="1:32" ht="18.75" customHeight="1">
      <c r="A135" s="1770">
        <v>31</v>
      </c>
      <c r="B135" s="2228" t="s">
        <v>3203</v>
      </c>
      <c r="C135" s="2229" t="s">
        <v>1613</v>
      </c>
      <c r="D135" s="1780" t="s">
        <v>15</v>
      </c>
      <c r="E135" s="1717">
        <v>3.2</v>
      </c>
      <c r="F135" s="1717"/>
      <c r="G135" s="1717"/>
      <c r="H135" s="1717"/>
      <c r="I135" s="1772"/>
      <c r="J135" s="1718"/>
      <c r="K135" s="1719"/>
      <c r="L135" s="1719"/>
      <c r="M135" s="1719"/>
      <c r="N135" s="1781"/>
      <c r="O135" s="1782"/>
      <c r="P135" s="1773"/>
      <c r="Q135" s="1774">
        <f t="shared" si="14"/>
        <v>3.2</v>
      </c>
      <c r="R135" s="1723">
        <f>VLOOKUP(C135,'sản lượng'!$D$99:$AP$169,35,0)</f>
        <v>1532.7583525930017</v>
      </c>
      <c r="S135" s="1775"/>
      <c r="T135" s="1776">
        <f t="shared" si="12"/>
        <v>0</v>
      </c>
      <c r="U135" s="1726">
        <f t="shared" si="11"/>
        <v>1532.7583525930017</v>
      </c>
      <c r="V135" s="1727">
        <f>VLOOKUP(C135,'CHẤM CÔNG '!$E$98:$AQ$168,34,0)</f>
        <v>24</v>
      </c>
      <c r="W135" s="1727">
        <f>VLOOKUP(C135,'CHẤM CÔNG '!$E$98:$AQ$168,35,0)</f>
        <v>4</v>
      </c>
      <c r="X135" s="1727">
        <f>VLOOKUP(C135,'CHẤM CÔNG '!$E$98:$AQ$168,36,0)</f>
        <v>2</v>
      </c>
      <c r="Y135" s="1727">
        <f>VLOOKUP(C135,'CHẤM CÔNG '!$E$98:$AQ$168,37,0)</f>
        <v>0</v>
      </c>
      <c r="Z135" s="1727">
        <f>VLOOKUP(C135,'CHẤM CÔNG '!$E$98:$AQ$168,38,0)</f>
        <v>0</v>
      </c>
      <c r="AA135" s="1727">
        <f>VLOOKUP(C135,'CHẤM CÔNG '!$E$98:$AQ$168,39,0)</f>
        <v>0</v>
      </c>
      <c r="AB135" s="1730">
        <v>0</v>
      </c>
      <c r="AC135" s="1783">
        <f t="shared" si="13"/>
        <v>3.2</v>
      </c>
      <c r="AD135" s="1834">
        <f>VLOOKUP(C135,'sản lượng'!$D$99:$AP$169,36,0)</f>
        <v>3518</v>
      </c>
      <c r="AE135" s="1784"/>
      <c r="AF135" s="1708"/>
    </row>
    <row r="136" spans="1:32" ht="18.75" customHeight="1">
      <c r="A136" s="1779">
        <v>32</v>
      </c>
      <c r="B136" s="2228" t="s">
        <v>3204</v>
      </c>
      <c r="C136" s="2229" t="s">
        <v>3383</v>
      </c>
      <c r="D136" s="1780" t="s">
        <v>15</v>
      </c>
      <c r="E136" s="1717">
        <v>3.2</v>
      </c>
      <c r="F136" s="1717"/>
      <c r="G136" s="1717"/>
      <c r="H136" s="1717"/>
      <c r="I136" s="1772"/>
      <c r="J136" s="1718"/>
      <c r="K136" s="1719"/>
      <c r="L136" s="1719"/>
      <c r="M136" s="1719"/>
      <c r="N136" s="1781"/>
      <c r="O136" s="1782"/>
      <c r="P136" s="1773"/>
      <c r="Q136" s="1774">
        <f t="shared" si="14"/>
        <v>3.2</v>
      </c>
      <c r="R136" s="1723">
        <f>VLOOKUP(C136,'sản lượng'!$D$99:$AP$169,35,0)</f>
        <v>2645.5112896374949</v>
      </c>
      <c r="S136" s="1775"/>
      <c r="T136" s="1776">
        <f t="shared" si="12"/>
        <v>0</v>
      </c>
      <c r="U136" s="1726">
        <f t="shared" si="11"/>
        <v>2645.5112896374949</v>
      </c>
      <c r="V136" s="1727">
        <f>VLOOKUP(C136,'CHẤM CÔNG '!$E$98:$AQ$168,34,0)</f>
        <v>23</v>
      </c>
      <c r="W136" s="1727">
        <f>VLOOKUP(C136,'CHẤM CÔNG '!$E$98:$AQ$168,35,0)</f>
        <v>4</v>
      </c>
      <c r="X136" s="1727">
        <f>VLOOKUP(C136,'CHẤM CÔNG '!$E$98:$AQ$168,36,0)</f>
        <v>3</v>
      </c>
      <c r="Y136" s="1727">
        <f>VLOOKUP(C136,'CHẤM CÔNG '!$E$98:$AQ$168,37,0)</f>
        <v>0</v>
      </c>
      <c r="Z136" s="1727">
        <f>VLOOKUP(C136,'CHẤM CÔNG '!$E$98:$AQ$168,38,0)</f>
        <v>0</v>
      </c>
      <c r="AA136" s="1727">
        <f>VLOOKUP(C136,'CHẤM CÔNG '!$E$98:$AQ$168,39,0)</f>
        <v>0</v>
      </c>
      <c r="AB136" s="1730">
        <v>0</v>
      </c>
      <c r="AC136" s="1783">
        <f t="shared" si="13"/>
        <v>3.2</v>
      </c>
      <c r="AD136" s="1834">
        <f>VLOOKUP(C136,'sản lượng'!$D$99:$AP$169,36,0)</f>
        <v>6072</v>
      </c>
      <c r="AE136" s="1784"/>
      <c r="AF136" s="1708"/>
    </row>
    <row r="137" spans="1:32" ht="18.75" customHeight="1">
      <c r="A137" s="1770">
        <v>33</v>
      </c>
      <c r="B137" s="2228" t="s">
        <v>3205</v>
      </c>
      <c r="C137" s="2229" t="s">
        <v>3384</v>
      </c>
      <c r="D137" s="1780" t="s">
        <v>15</v>
      </c>
      <c r="E137" s="1717">
        <v>3.2</v>
      </c>
      <c r="F137" s="1717"/>
      <c r="G137" s="1717"/>
      <c r="H137" s="1717"/>
      <c r="I137" s="1772"/>
      <c r="J137" s="1718"/>
      <c r="K137" s="1719"/>
      <c r="L137" s="1719"/>
      <c r="M137" s="1719"/>
      <c r="N137" s="1781"/>
      <c r="O137" s="1782"/>
      <c r="P137" s="1773"/>
      <c r="Q137" s="1774">
        <f t="shared" si="14"/>
        <v>3.2</v>
      </c>
      <c r="R137" s="1723">
        <f>VLOOKUP(C137,'sản lượng'!$D$99:$AP$169,35,0)</f>
        <v>2575.3651569577128</v>
      </c>
      <c r="S137" s="1775"/>
      <c r="T137" s="1776">
        <f t="shared" si="12"/>
        <v>0</v>
      </c>
      <c r="U137" s="1726">
        <f t="shared" si="11"/>
        <v>2575.3651569577128</v>
      </c>
      <c r="V137" s="1727">
        <f>VLOOKUP(C137,'CHẤM CÔNG '!$E$98:$AQ$168,34,0)</f>
        <v>24</v>
      </c>
      <c r="W137" s="1727">
        <f>VLOOKUP(C137,'CHẤM CÔNG '!$E$98:$AQ$168,35,0)</f>
        <v>4</v>
      </c>
      <c r="X137" s="1727">
        <f>VLOOKUP(C137,'CHẤM CÔNG '!$E$98:$AQ$168,36,0)</f>
        <v>3</v>
      </c>
      <c r="Y137" s="1727">
        <f>VLOOKUP(C137,'CHẤM CÔNG '!$E$98:$AQ$168,37,0)</f>
        <v>0</v>
      </c>
      <c r="Z137" s="1727">
        <f>VLOOKUP(C137,'CHẤM CÔNG '!$E$98:$AQ$168,38,0)</f>
        <v>0</v>
      </c>
      <c r="AA137" s="1727">
        <f>VLOOKUP(C137,'CHẤM CÔNG '!$E$98:$AQ$168,39,0)</f>
        <v>0</v>
      </c>
      <c r="AB137" s="1730">
        <v>0</v>
      </c>
      <c r="AC137" s="1783">
        <f t="shared" si="13"/>
        <v>3.2</v>
      </c>
      <c r="AD137" s="1834">
        <f>VLOOKUP(C137,'sản lượng'!$D$99:$AP$169,36,0)</f>
        <v>5911</v>
      </c>
      <c r="AE137" s="1784"/>
      <c r="AF137" s="1708"/>
    </row>
    <row r="138" spans="1:32" ht="18.75" customHeight="1">
      <c r="A138" s="1779">
        <v>34</v>
      </c>
      <c r="B138" s="2228" t="s">
        <v>3391</v>
      </c>
      <c r="C138" s="2229" t="s">
        <v>837</v>
      </c>
      <c r="D138" s="1780" t="s">
        <v>15</v>
      </c>
      <c r="E138" s="1717">
        <v>3.2</v>
      </c>
      <c r="F138" s="1717"/>
      <c r="G138" s="1717"/>
      <c r="H138" s="1717"/>
      <c r="I138" s="1772"/>
      <c r="J138" s="1718"/>
      <c r="K138" s="1719"/>
      <c r="L138" s="1719"/>
      <c r="M138" s="1719"/>
      <c r="N138" s="1781"/>
      <c r="O138" s="1782"/>
      <c r="P138" s="1773"/>
      <c r="Q138" s="1774">
        <f t="shared" si="14"/>
        <v>3.2</v>
      </c>
      <c r="R138" s="1723">
        <f>VLOOKUP(C138,'sản lượng'!$D$99:$AP$169,35,0)</f>
        <v>1309.684936865993</v>
      </c>
      <c r="S138" s="1775"/>
      <c r="T138" s="1776">
        <f t="shared" si="12"/>
        <v>0</v>
      </c>
      <c r="U138" s="1726">
        <f t="shared" si="11"/>
        <v>1309.684936865993</v>
      </c>
      <c r="V138" s="1727">
        <f>VLOOKUP(C138,'CHẤM CÔNG '!$E$98:$AQ$168,34,0)</f>
        <v>22</v>
      </c>
      <c r="W138" s="1727">
        <f>VLOOKUP(C138,'CHẤM CÔNG '!$E$98:$AQ$168,35,0)</f>
        <v>3</v>
      </c>
      <c r="X138" s="1727">
        <f>VLOOKUP(C138,'CHẤM CÔNG '!$E$98:$AQ$168,36,0)</f>
        <v>4</v>
      </c>
      <c r="Y138" s="1727">
        <f>VLOOKUP(C138,'CHẤM CÔNG '!$E$98:$AQ$168,37,0)</f>
        <v>0</v>
      </c>
      <c r="Z138" s="1727">
        <f>VLOOKUP(C138,'CHẤM CÔNG '!$E$98:$AQ$168,38,0)</f>
        <v>0</v>
      </c>
      <c r="AA138" s="1727">
        <f>VLOOKUP(C138,'CHẤM CÔNG '!$E$98:$AQ$168,39,0)</f>
        <v>0</v>
      </c>
      <c r="AB138" s="1730">
        <v>24</v>
      </c>
      <c r="AC138" s="1783">
        <f t="shared" si="13"/>
        <v>3.2</v>
      </c>
      <c r="AD138" s="1834">
        <f>VLOOKUP(C138,'sản lượng'!$D$99:$AP$169,36,0)</f>
        <v>3006</v>
      </c>
      <c r="AE138" s="1784"/>
      <c r="AF138" s="1708"/>
    </row>
    <row r="139" spans="1:32" ht="18.75" customHeight="1">
      <c r="A139" s="1770">
        <v>35</v>
      </c>
      <c r="B139" s="2220"/>
      <c r="C139" s="2222" t="s">
        <v>3403</v>
      </c>
      <c r="D139" s="1780" t="s">
        <v>15</v>
      </c>
      <c r="E139" s="1717"/>
      <c r="F139" s="1717"/>
      <c r="G139" s="1717"/>
      <c r="H139" s="1717"/>
      <c r="I139" s="1772"/>
      <c r="J139" s="1718"/>
      <c r="K139" s="1719"/>
      <c r="L139" s="1719"/>
      <c r="M139" s="1719"/>
      <c r="N139" s="1781"/>
      <c r="O139" s="1782"/>
      <c r="P139" s="1773"/>
      <c r="Q139" s="1774">
        <f t="shared" si="14"/>
        <v>0</v>
      </c>
      <c r="R139" s="1723">
        <f>VLOOKUP(C139,'sản lượng'!$D$99:$AP$169,35,0)</f>
        <v>351.16635366400209</v>
      </c>
      <c r="S139" s="1775"/>
      <c r="T139" s="1776">
        <f t="shared" si="12"/>
        <v>0</v>
      </c>
      <c r="U139" s="1726">
        <f t="shared" si="11"/>
        <v>351.16635366400209</v>
      </c>
      <c r="V139" s="1727">
        <f>VLOOKUP(C139,'CHẤM CÔNG '!$E$98:$AQ$168,34,0)</f>
        <v>7</v>
      </c>
      <c r="W139" s="1727">
        <f>VLOOKUP(C139,'CHẤM CÔNG '!$E$98:$AQ$168,35,0)</f>
        <v>1</v>
      </c>
      <c r="X139" s="1727">
        <f>VLOOKUP(C139,'CHẤM CÔNG '!$E$98:$AQ$168,36,0)</f>
        <v>2</v>
      </c>
      <c r="Y139" s="1727">
        <f>VLOOKUP(C139,'CHẤM CÔNG '!$E$98:$AQ$168,37,0)</f>
        <v>0</v>
      </c>
      <c r="Z139" s="1727">
        <f>VLOOKUP(C139,'CHẤM CÔNG '!$E$98:$AQ$168,38,0)</f>
        <v>0</v>
      </c>
      <c r="AA139" s="1727">
        <f>VLOOKUP(C139,'CHẤM CÔNG '!$E$98:$AQ$168,39,0)</f>
        <v>0</v>
      </c>
      <c r="AB139" s="1730">
        <v>12</v>
      </c>
      <c r="AC139" s="1783">
        <f t="shared" si="13"/>
        <v>0</v>
      </c>
      <c r="AD139" s="1834">
        <f>VLOOKUP(C139,'sản lượng'!$D$99:$AP$169,36,0)</f>
        <v>806</v>
      </c>
      <c r="AE139" s="1784"/>
      <c r="AF139" s="1708"/>
    </row>
    <row r="140" spans="1:32" ht="18.75" customHeight="1">
      <c r="A140" s="1779">
        <v>36</v>
      </c>
      <c r="B140" s="2228" t="s">
        <v>3207</v>
      </c>
      <c r="C140" s="2229" t="s">
        <v>3385</v>
      </c>
      <c r="D140" s="1780" t="s">
        <v>15</v>
      </c>
      <c r="E140" s="1717">
        <v>3.2</v>
      </c>
      <c r="F140" s="1717"/>
      <c r="G140" s="1717"/>
      <c r="H140" s="1717"/>
      <c r="I140" s="1772"/>
      <c r="J140" s="1718"/>
      <c r="K140" s="1719"/>
      <c r="L140" s="1719"/>
      <c r="M140" s="1719"/>
      <c r="N140" s="1781"/>
      <c r="O140" s="1782"/>
      <c r="P140" s="1773"/>
      <c r="Q140" s="1774">
        <f t="shared" si="14"/>
        <v>3.2</v>
      </c>
      <c r="R140" s="1723">
        <f>VLOOKUP(C140,'sản lượng'!$D$99:$AP$169,35,0)</f>
        <v>1500.0815827111157</v>
      </c>
      <c r="S140" s="1775"/>
      <c r="T140" s="1776">
        <f t="shared" si="12"/>
        <v>0</v>
      </c>
      <c r="U140" s="1726">
        <f t="shared" si="11"/>
        <v>1500.0815827111157</v>
      </c>
      <c r="V140" s="1727">
        <f>VLOOKUP(C140,'CHẤM CÔNG '!$E$98:$AQ$168,34,0)</f>
        <v>23</v>
      </c>
      <c r="W140" s="1727">
        <f>VLOOKUP(C140,'CHẤM CÔNG '!$E$98:$AQ$168,35,0)</f>
        <v>3</v>
      </c>
      <c r="X140" s="1727">
        <f>VLOOKUP(C140,'CHẤM CÔNG '!$E$98:$AQ$168,36,0)</f>
        <v>4</v>
      </c>
      <c r="Y140" s="1727">
        <f>VLOOKUP(C140,'CHẤM CÔNG '!$E$98:$AQ$168,37,0)</f>
        <v>0</v>
      </c>
      <c r="Z140" s="1727">
        <f>VLOOKUP(C140,'CHẤM CÔNG '!$E$98:$AQ$168,38,0)</f>
        <v>0</v>
      </c>
      <c r="AA140" s="1727">
        <f>VLOOKUP(C140,'CHẤM CÔNG '!$E$98:$AQ$168,39,0)</f>
        <v>0</v>
      </c>
      <c r="AB140" s="1730">
        <v>34</v>
      </c>
      <c r="AC140" s="1783">
        <f t="shared" si="13"/>
        <v>3.2</v>
      </c>
      <c r="AD140" s="1834">
        <f>VLOOKUP(C140,'sản lượng'!$D$99:$AP$169,36,0)</f>
        <v>3443</v>
      </c>
      <c r="AE140" s="1784"/>
      <c r="AF140" s="1708"/>
    </row>
    <row r="141" spans="1:32" ht="18.75" customHeight="1">
      <c r="A141" s="1770">
        <v>37</v>
      </c>
      <c r="B141" s="2228" t="s">
        <v>3208</v>
      </c>
      <c r="C141" s="2229" t="s">
        <v>3386</v>
      </c>
      <c r="D141" s="1780" t="s">
        <v>15</v>
      </c>
      <c r="E141" s="1717">
        <v>3.2</v>
      </c>
      <c r="F141" s="1717"/>
      <c r="G141" s="1717"/>
      <c r="H141" s="1717"/>
      <c r="I141" s="1772"/>
      <c r="J141" s="1718"/>
      <c r="K141" s="1719"/>
      <c r="L141" s="1719"/>
      <c r="M141" s="1719"/>
      <c r="N141" s="1781"/>
      <c r="O141" s="1782"/>
      <c r="P141" s="1773"/>
      <c r="Q141" s="1774">
        <f t="shared" si="14"/>
        <v>3.2</v>
      </c>
      <c r="R141" s="1723">
        <f>VLOOKUP(C141,'sản lượng'!$D$99:$AP$169,35,0)</f>
        <v>1163.2930077951435</v>
      </c>
      <c r="S141" s="1775"/>
      <c r="T141" s="1776">
        <f t="shared" si="12"/>
        <v>0</v>
      </c>
      <c r="U141" s="1726">
        <f t="shared" si="11"/>
        <v>1163.2930077951435</v>
      </c>
      <c r="V141" s="1727">
        <f>VLOOKUP(C141,'CHẤM CÔNG '!$E$98:$AQ$168,34,0)</f>
        <v>19</v>
      </c>
      <c r="W141" s="1727">
        <f>VLOOKUP(C141,'CHẤM CÔNG '!$E$98:$AQ$168,35,0)</f>
        <v>4</v>
      </c>
      <c r="X141" s="1727">
        <f>VLOOKUP(C141,'CHẤM CÔNG '!$E$98:$AQ$168,36,0)</f>
        <v>4</v>
      </c>
      <c r="Y141" s="1727">
        <f>VLOOKUP(C141,'CHẤM CÔNG '!$E$98:$AQ$168,37,0)</f>
        <v>0</v>
      </c>
      <c r="Z141" s="1727">
        <f>VLOOKUP(C141,'CHẤM CÔNG '!$E$98:$AQ$168,38,0)</f>
        <v>0</v>
      </c>
      <c r="AA141" s="1727">
        <f>VLOOKUP(C141,'CHẤM CÔNG '!$E$98:$AQ$168,39,0)</f>
        <v>0</v>
      </c>
      <c r="AB141" s="1730">
        <v>23</v>
      </c>
      <c r="AC141" s="1783">
        <f t="shared" si="13"/>
        <v>3.2</v>
      </c>
      <c r="AD141" s="1834">
        <f>VLOOKUP(C141,'sản lượng'!$D$99:$AP$169,36,0)</f>
        <v>2670</v>
      </c>
      <c r="AE141" s="1784"/>
      <c r="AF141" s="1708"/>
    </row>
    <row r="142" spans="1:32" ht="18.75" customHeight="1">
      <c r="A142" s="1779">
        <v>38</v>
      </c>
      <c r="B142" s="2228" t="s">
        <v>3209</v>
      </c>
      <c r="C142" s="2229" t="s">
        <v>1538</v>
      </c>
      <c r="D142" s="1780" t="s">
        <v>15</v>
      </c>
      <c r="E142" s="1717"/>
      <c r="F142" s="1717"/>
      <c r="G142" s="1717"/>
      <c r="H142" s="1717"/>
      <c r="I142" s="1772"/>
      <c r="J142" s="1718"/>
      <c r="K142" s="1719"/>
      <c r="L142" s="1719"/>
      <c r="M142" s="1719"/>
      <c r="N142" s="1781"/>
      <c r="O142" s="1782"/>
      <c r="P142" s="1773"/>
      <c r="Q142" s="1774">
        <f t="shared" si="14"/>
        <v>0</v>
      </c>
      <c r="R142" s="1723">
        <f>VLOOKUP(C142,'sản lượng'!$D$99:$AP$169,35,0)</f>
        <v>803.84853909439687</v>
      </c>
      <c r="S142" s="1775"/>
      <c r="T142" s="1776">
        <f t="shared" si="12"/>
        <v>0</v>
      </c>
      <c r="U142" s="1726">
        <f t="shared" si="11"/>
        <v>803.84853909439687</v>
      </c>
      <c r="V142" s="1727">
        <f>VLOOKUP(C142,'CHẤM CÔNG '!$E$98:$AQ$168,34,0)</f>
        <v>15</v>
      </c>
      <c r="W142" s="1727">
        <f>VLOOKUP(C142,'CHẤM CÔNG '!$E$98:$AQ$168,35,0)</f>
        <v>2</v>
      </c>
      <c r="X142" s="1727">
        <f>VLOOKUP(C142,'CHẤM CÔNG '!$E$98:$AQ$168,36,0)</f>
        <v>2</v>
      </c>
      <c r="Y142" s="1727">
        <f>VLOOKUP(C142,'CHẤM CÔNG '!$E$98:$AQ$168,37,0)</f>
        <v>0</v>
      </c>
      <c r="Z142" s="1727">
        <f>VLOOKUP(C142,'CHẤM CÔNG '!$E$98:$AQ$168,38,0)</f>
        <v>0</v>
      </c>
      <c r="AA142" s="1727">
        <f>VLOOKUP(C142,'CHẤM CÔNG '!$E$98:$AQ$168,39,0)</f>
        <v>0</v>
      </c>
      <c r="AB142" s="1730">
        <v>15</v>
      </c>
      <c r="AC142" s="1783">
        <f t="shared" si="13"/>
        <v>0</v>
      </c>
      <c r="AD142" s="1834">
        <f>VLOOKUP(C142,'sản lượng'!$D$99:$AP$169,36,0)</f>
        <v>1845</v>
      </c>
      <c r="AE142" s="1784"/>
      <c r="AF142" s="1708"/>
    </row>
    <row r="143" spans="1:32" ht="18.75" customHeight="1">
      <c r="A143" s="1770">
        <v>39</v>
      </c>
      <c r="B143" s="2228" t="s">
        <v>3210</v>
      </c>
      <c r="C143" s="2229" t="s">
        <v>834</v>
      </c>
      <c r="D143" s="1780" t="s">
        <v>15</v>
      </c>
      <c r="E143" s="1717">
        <v>3.2</v>
      </c>
      <c r="F143" s="1717"/>
      <c r="G143" s="1717"/>
      <c r="H143" s="1717"/>
      <c r="I143" s="1772"/>
      <c r="J143" s="1718"/>
      <c r="K143" s="1719"/>
      <c r="L143" s="1719"/>
      <c r="M143" s="1719"/>
      <c r="N143" s="1781"/>
      <c r="O143" s="1782"/>
      <c r="P143" s="1773"/>
      <c r="Q143" s="1774">
        <f t="shared" si="14"/>
        <v>3.2</v>
      </c>
      <c r="R143" s="1723">
        <f>VLOOKUP(C143,'sản lượng'!$D$99:$AP$169,35,0)</f>
        <v>1384.1879721966932</v>
      </c>
      <c r="S143" s="1775"/>
      <c r="T143" s="1776">
        <f t="shared" si="12"/>
        <v>0</v>
      </c>
      <c r="U143" s="1726">
        <f t="shared" si="11"/>
        <v>1384.1879721966932</v>
      </c>
      <c r="V143" s="1727">
        <f>VLOOKUP(C143,'CHẤM CÔNG '!$E$98:$AQ$168,34,0)</f>
        <v>21</v>
      </c>
      <c r="W143" s="1727">
        <f>VLOOKUP(C143,'CHẤM CÔNG '!$E$98:$AQ$168,35,0)</f>
        <v>4</v>
      </c>
      <c r="X143" s="1727">
        <f>VLOOKUP(C143,'CHẤM CÔNG '!$E$98:$AQ$168,36,0)</f>
        <v>5</v>
      </c>
      <c r="Y143" s="1727">
        <f>VLOOKUP(C143,'CHẤM CÔNG '!$E$98:$AQ$168,37,0)</f>
        <v>0</v>
      </c>
      <c r="Z143" s="1727">
        <f>VLOOKUP(C143,'CHẤM CÔNG '!$E$98:$AQ$168,38,0)</f>
        <v>0</v>
      </c>
      <c r="AA143" s="1727">
        <f>VLOOKUP(C143,'CHẤM CÔNG '!$E$98:$AQ$168,39,0)</f>
        <v>0</v>
      </c>
      <c r="AB143" s="1730">
        <v>26</v>
      </c>
      <c r="AC143" s="1783">
        <f t="shared" si="13"/>
        <v>3.2</v>
      </c>
      <c r="AD143" s="1834">
        <f>VLOOKUP(C143,'sản lượng'!$D$99:$AP$169,36,0)</f>
        <v>3177</v>
      </c>
      <c r="AE143" s="1784"/>
      <c r="AF143" s="1708"/>
    </row>
    <row r="144" spans="1:32" ht="18.75" customHeight="1">
      <c r="A144" s="1779">
        <v>40</v>
      </c>
      <c r="B144" s="2228" t="s">
        <v>3211</v>
      </c>
      <c r="C144" s="2229" t="s">
        <v>3387</v>
      </c>
      <c r="D144" s="1780" t="s">
        <v>15</v>
      </c>
      <c r="E144" s="1717">
        <v>3.2</v>
      </c>
      <c r="F144" s="1717"/>
      <c r="G144" s="1717"/>
      <c r="H144" s="1717"/>
      <c r="I144" s="1772"/>
      <c r="J144" s="1718"/>
      <c r="K144" s="1719"/>
      <c r="L144" s="1719"/>
      <c r="M144" s="1719"/>
      <c r="N144" s="1781"/>
      <c r="O144" s="1782"/>
      <c r="P144" s="1773"/>
      <c r="Q144" s="1774">
        <f t="shared" si="14"/>
        <v>3.2</v>
      </c>
      <c r="R144" s="1723">
        <f>VLOOKUP(C144,'sản lượng'!$D$99:$AP$169,35,0)</f>
        <v>1381.5738306061423</v>
      </c>
      <c r="S144" s="1775"/>
      <c r="T144" s="1776">
        <f t="shared" si="12"/>
        <v>0</v>
      </c>
      <c r="U144" s="1726">
        <f t="shared" si="11"/>
        <v>1381.5738306061423</v>
      </c>
      <c r="V144" s="1727">
        <f>VLOOKUP(C144,'CHẤM CÔNG '!$E$98:$AQ$168,34,0)</f>
        <v>21</v>
      </c>
      <c r="W144" s="1727">
        <f>VLOOKUP(C144,'CHẤM CÔNG '!$E$98:$AQ$168,35,0)</f>
        <v>4</v>
      </c>
      <c r="X144" s="1727">
        <f>VLOOKUP(C144,'CHẤM CÔNG '!$E$98:$AQ$168,36,0)</f>
        <v>5</v>
      </c>
      <c r="Y144" s="1727">
        <f>VLOOKUP(C144,'CHẤM CÔNG '!$E$98:$AQ$168,37,0)</f>
        <v>0</v>
      </c>
      <c r="Z144" s="1727">
        <f>VLOOKUP(C144,'CHẤM CÔNG '!$E$98:$AQ$168,38,0)</f>
        <v>0</v>
      </c>
      <c r="AA144" s="1727">
        <f>VLOOKUP(C144,'CHẤM CÔNG '!$E$98:$AQ$168,39,0)</f>
        <v>0</v>
      </c>
      <c r="AB144" s="1730">
        <v>35</v>
      </c>
      <c r="AC144" s="1783">
        <f t="shared" si="13"/>
        <v>3.2</v>
      </c>
      <c r="AD144" s="1834">
        <f>VLOOKUP(C144,'sản lượng'!$D$99:$AP$169,36,0)</f>
        <v>3171</v>
      </c>
      <c r="AE144" s="1784"/>
      <c r="AF144" s="1708"/>
    </row>
    <row r="145" spans="1:35" ht="18.75" customHeight="1">
      <c r="A145" s="1770">
        <v>41</v>
      </c>
      <c r="B145" s="2228" t="s">
        <v>3212</v>
      </c>
      <c r="C145" s="2229" t="s">
        <v>3388</v>
      </c>
      <c r="D145" s="1780" t="s">
        <v>15</v>
      </c>
      <c r="E145" s="1717">
        <v>3.2</v>
      </c>
      <c r="F145" s="1717"/>
      <c r="G145" s="1717"/>
      <c r="H145" s="1717"/>
      <c r="I145" s="1772"/>
      <c r="J145" s="1718"/>
      <c r="K145" s="1719"/>
      <c r="L145" s="1719"/>
      <c r="M145" s="1719"/>
      <c r="N145" s="1781"/>
      <c r="O145" s="1782"/>
      <c r="P145" s="1773"/>
      <c r="Q145" s="1774">
        <f t="shared" si="14"/>
        <v>3.2</v>
      </c>
      <c r="R145" s="1723">
        <f>VLOOKUP(C145,'sản lượng'!$D$99:$AP$169,35,0)</f>
        <v>1900.045246065401</v>
      </c>
      <c r="S145" s="1775"/>
      <c r="T145" s="1776">
        <f t="shared" si="12"/>
        <v>0</v>
      </c>
      <c r="U145" s="1726">
        <f t="shared" si="11"/>
        <v>1900.045246065401</v>
      </c>
      <c r="V145" s="1727">
        <f>VLOOKUP(C145,'CHẤM CÔNG '!$E$98:$AQ$168,34,0)</f>
        <v>22</v>
      </c>
      <c r="W145" s="1727">
        <f>VLOOKUP(C145,'CHẤM CÔNG '!$E$98:$AQ$168,35,0)</f>
        <v>4</v>
      </c>
      <c r="X145" s="1727">
        <f>VLOOKUP(C145,'CHẤM CÔNG '!$E$98:$AQ$168,36,0)</f>
        <v>5</v>
      </c>
      <c r="Y145" s="1727">
        <f>VLOOKUP(C145,'CHẤM CÔNG '!$E$98:$AQ$168,37,0)</f>
        <v>0</v>
      </c>
      <c r="Z145" s="1727">
        <f>VLOOKUP(C145,'CHẤM CÔNG '!$E$98:$AQ$168,38,0)</f>
        <v>0</v>
      </c>
      <c r="AA145" s="1727">
        <f>VLOOKUP(C145,'CHẤM CÔNG '!$E$98:$AQ$168,39,0)</f>
        <v>0</v>
      </c>
      <c r="AB145" s="1730">
        <v>27</v>
      </c>
      <c r="AC145" s="1783">
        <f t="shared" si="13"/>
        <v>3.2</v>
      </c>
      <c r="AD145" s="1834">
        <f>VLOOKUP(C145,'sản lượng'!$D$99:$AP$169,36,0)</f>
        <v>4361</v>
      </c>
      <c r="AE145" s="1784"/>
      <c r="AF145" s="1708"/>
    </row>
    <row r="146" spans="1:35" ht="18.75" customHeight="1">
      <c r="A146" s="1779">
        <v>42</v>
      </c>
      <c r="B146" s="2228" t="s">
        <v>3213</v>
      </c>
      <c r="C146" s="2229" t="s">
        <v>3389</v>
      </c>
      <c r="D146" s="1780" t="s">
        <v>15</v>
      </c>
      <c r="E146" s="1717">
        <v>3.2</v>
      </c>
      <c r="F146" s="1717"/>
      <c r="G146" s="1717"/>
      <c r="H146" s="1717"/>
      <c r="I146" s="1772"/>
      <c r="J146" s="1718"/>
      <c r="K146" s="1719"/>
      <c r="L146" s="1719"/>
      <c r="M146" s="1719"/>
      <c r="N146" s="1781"/>
      <c r="O146" s="1782"/>
      <c r="P146" s="1773"/>
      <c r="Q146" s="1774">
        <f t="shared" si="14"/>
        <v>3.2</v>
      </c>
      <c r="R146" s="1723">
        <f>VLOOKUP(C146,'sản lượng'!$D$99:$AP$169,35,0)</f>
        <v>1398.565750944723</v>
      </c>
      <c r="S146" s="1775"/>
      <c r="T146" s="1776">
        <f t="shared" si="12"/>
        <v>0</v>
      </c>
      <c r="U146" s="1726">
        <f t="shared" si="11"/>
        <v>1398.565750944723</v>
      </c>
      <c r="V146" s="1727">
        <f>VLOOKUP(C146,'CHẤM CÔNG '!$E$98:$AQ$168,34,0)</f>
        <v>22</v>
      </c>
      <c r="W146" s="1727">
        <f>VLOOKUP(C146,'CHẤM CÔNG '!$E$98:$AQ$168,35,0)</f>
        <v>4</v>
      </c>
      <c r="X146" s="1727">
        <f>VLOOKUP(C146,'CHẤM CÔNG '!$E$98:$AQ$168,36,0)</f>
        <v>5</v>
      </c>
      <c r="Y146" s="1727">
        <f>VLOOKUP(C146,'CHẤM CÔNG '!$E$98:$AQ$168,37,0)</f>
        <v>0</v>
      </c>
      <c r="Z146" s="1727">
        <f>VLOOKUP(C146,'CHẤM CÔNG '!$E$98:$AQ$168,38,0)</f>
        <v>0</v>
      </c>
      <c r="AA146" s="1727">
        <f>VLOOKUP(C146,'CHẤM CÔNG '!$E$98:$AQ$168,39,0)</f>
        <v>0</v>
      </c>
      <c r="AB146" s="1730">
        <v>36</v>
      </c>
      <c r="AC146" s="1783">
        <f t="shared" si="13"/>
        <v>3.2</v>
      </c>
      <c r="AD146" s="1834">
        <f>VLOOKUP(C146,'sản lượng'!$D$99:$AP$169,36,0)</f>
        <v>3210</v>
      </c>
      <c r="AE146" s="1784"/>
      <c r="AF146" s="1708"/>
    </row>
    <row r="147" spans="1:35" ht="18.75" customHeight="1">
      <c r="A147" s="1770">
        <v>43</v>
      </c>
      <c r="B147" s="2228" t="s">
        <v>3214</v>
      </c>
      <c r="C147" s="2229" t="s">
        <v>3390</v>
      </c>
      <c r="D147" s="1780" t="s">
        <v>15</v>
      </c>
      <c r="E147" s="1717">
        <v>3.2</v>
      </c>
      <c r="F147" s="1717"/>
      <c r="G147" s="1717"/>
      <c r="H147" s="1717"/>
      <c r="I147" s="1772"/>
      <c r="J147" s="1718"/>
      <c r="K147" s="1719"/>
      <c r="L147" s="1719"/>
      <c r="M147" s="1719"/>
      <c r="N147" s="1781"/>
      <c r="O147" s="1782"/>
      <c r="P147" s="1773"/>
      <c r="Q147" s="1774">
        <f t="shared" si="14"/>
        <v>3.2</v>
      </c>
      <c r="R147" s="1723">
        <f>VLOOKUP(C147,'sản lượng'!$D$99:$AP$169,35,0)</f>
        <v>1287.0290430812186</v>
      </c>
      <c r="S147" s="1775"/>
      <c r="T147" s="1776">
        <f t="shared" si="12"/>
        <v>0</v>
      </c>
      <c r="U147" s="1726">
        <f t="shared" si="11"/>
        <v>1287.0290430812186</v>
      </c>
      <c r="V147" s="1727">
        <f>VLOOKUP(C147,'CHẤM CÔNG '!$E$98:$AQ$168,34,0)</f>
        <v>25</v>
      </c>
      <c r="W147" s="1727">
        <f>VLOOKUP(C147,'CHẤM CÔNG '!$E$98:$AQ$168,35,0)</f>
        <v>4</v>
      </c>
      <c r="X147" s="1727">
        <f>VLOOKUP(C147,'CHẤM CÔNG '!$E$98:$AQ$168,36,0)</f>
        <v>2</v>
      </c>
      <c r="Y147" s="1727">
        <f>VLOOKUP(C147,'CHẤM CÔNG '!$E$98:$AQ$168,37,0)</f>
        <v>0</v>
      </c>
      <c r="Z147" s="1727">
        <f>VLOOKUP(C147,'CHẤM CÔNG '!$E$98:$AQ$168,38,0)</f>
        <v>0</v>
      </c>
      <c r="AA147" s="1727">
        <f>VLOOKUP(C147,'CHẤM CÔNG '!$E$98:$AQ$168,39,0)</f>
        <v>0</v>
      </c>
      <c r="AB147" s="1730">
        <v>33</v>
      </c>
      <c r="AC147" s="1783">
        <f t="shared" si="13"/>
        <v>3.2</v>
      </c>
      <c r="AD147" s="1834">
        <f>VLOOKUP(C147,'sản lượng'!$D$99:$AP$169,36,0)</f>
        <v>2954</v>
      </c>
      <c r="AE147" s="1784"/>
      <c r="AF147" s="1708">
        <v>169.92</v>
      </c>
    </row>
    <row r="148" spans="1:35" ht="18.75" customHeight="1">
      <c r="A148" s="1779">
        <v>44</v>
      </c>
      <c r="B148" s="2220"/>
      <c r="C148" s="2222" t="s">
        <v>3404</v>
      </c>
      <c r="D148" s="1780" t="s">
        <v>15</v>
      </c>
      <c r="E148" s="1717"/>
      <c r="F148" s="1717"/>
      <c r="G148" s="1717"/>
      <c r="H148" s="1717"/>
      <c r="I148" s="1772"/>
      <c r="J148" s="1718"/>
      <c r="K148" s="1719"/>
      <c r="L148" s="1719"/>
      <c r="M148" s="1719"/>
      <c r="N148" s="1781"/>
      <c r="O148" s="1782"/>
      <c r="P148" s="1773"/>
      <c r="Q148" s="1774">
        <f t="shared" si="14"/>
        <v>0</v>
      </c>
      <c r="R148" s="1723">
        <f>VLOOKUP(C148,'sản lượng'!$D$99:$AP$169,35,0)</f>
        <v>710.17513209965682</v>
      </c>
      <c r="S148" s="1775"/>
      <c r="T148" s="1776">
        <f t="shared" si="12"/>
        <v>0</v>
      </c>
      <c r="U148" s="1726">
        <f t="shared" si="11"/>
        <v>710.17513209965682</v>
      </c>
      <c r="V148" s="1727">
        <f>VLOOKUP(C148,'CHẤM CÔNG '!$E$98:$AQ$168,34,0)</f>
        <v>16</v>
      </c>
      <c r="W148" s="1727">
        <f>VLOOKUP(C148,'CHẤM CÔNG '!$E$98:$AQ$168,35,0)</f>
        <v>2</v>
      </c>
      <c r="X148" s="1727">
        <f>VLOOKUP(C148,'CHẤM CÔNG '!$E$98:$AQ$168,36,0)</f>
        <v>2</v>
      </c>
      <c r="Y148" s="1727">
        <f>VLOOKUP(C148,'CHẤM CÔNG '!$E$98:$AQ$168,37,0)</f>
        <v>0</v>
      </c>
      <c r="Z148" s="1727">
        <f>VLOOKUP(C148,'CHẤM CÔNG '!$E$98:$AQ$168,38,0)</f>
        <v>0</v>
      </c>
      <c r="AA148" s="1727">
        <f>VLOOKUP(C148,'CHẤM CÔNG '!$E$98:$AQ$168,39,0)</f>
        <v>0</v>
      </c>
      <c r="AB148" s="1730">
        <v>22</v>
      </c>
      <c r="AC148" s="1783">
        <f t="shared" si="13"/>
        <v>0</v>
      </c>
      <c r="AD148" s="1834">
        <f>VLOOKUP(C148,'sản lượng'!$D$99:$AP$169,36,0)</f>
        <v>1630</v>
      </c>
      <c r="AE148" s="1784"/>
      <c r="AF148" s="1708">
        <v>173.28</v>
      </c>
    </row>
    <row r="149" spans="1:35" ht="18.75" customHeight="1">
      <c r="A149" s="1770">
        <v>45</v>
      </c>
      <c r="B149" s="2228" t="s">
        <v>3216</v>
      </c>
      <c r="C149" s="2229" t="s">
        <v>759</v>
      </c>
      <c r="D149" s="1780" t="s">
        <v>15</v>
      </c>
      <c r="E149" s="1717">
        <v>3.2</v>
      </c>
      <c r="F149" s="1717"/>
      <c r="G149" s="1717"/>
      <c r="H149" s="1717"/>
      <c r="I149" s="1772"/>
      <c r="J149" s="1718"/>
      <c r="K149" s="1719"/>
      <c r="L149" s="1719"/>
      <c r="M149" s="1719"/>
      <c r="N149" s="1781"/>
      <c r="O149" s="1782"/>
      <c r="P149" s="1773"/>
      <c r="Q149" s="1774">
        <f t="shared" si="14"/>
        <v>3.2</v>
      </c>
      <c r="R149" s="1723">
        <f>VLOOKUP(C149,'sản lượng'!$D$99:$AP$169,35,0)</f>
        <v>1421.2216447294973</v>
      </c>
      <c r="S149" s="1775"/>
      <c r="T149" s="1776">
        <f t="shared" si="12"/>
        <v>0</v>
      </c>
      <c r="U149" s="1726">
        <f t="shared" si="11"/>
        <v>1421.2216447294973</v>
      </c>
      <c r="V149" s="1727">
        <f>VLOOKUP(C149,'CHẤM CÔNG '!$E$98:$AQ$168,34,0)</f>
        <v>19</v>
      </c>
      <c r="W149" s="1727">
        <f>VLOOKUP(C149,'CHẤM CÔNG '!$E$98:$AQ$168,35,0)</f>
        <v>4</v>
      </c>
      <c r="X149" s="1727">
        <f>VLOOKUP(C149,'CHẤM CÔNG '!$E$98:$AQ$168,36,0)</f>
        <v>5</v>
      </c>
      <c r="Y149" s="1727">
        <f>VLOOKUP(C149,'CHẤM CÔNG '!$E$98:$AQ$168,37,0)</f>
        <v>0</v>
      </c>
      <c r="Z149" s="1727">
        <f>VLOOKUP(C149,'CHẤM CÔNG '!$E$98:$AQ$168,38,0)</f>
        <v>0</v>
      </c>
      <c r="AA149" s="1727">
        <f>VLOOKUP(C149,'CHẤM CÔNG '!$E$98:$AQ$168,39,0)</f>
        <v>0</v>
      </c>
      <c r="AB149" s="1730">
        <v>25</v>
      </c>
      <c r="AC149" s="1783">
        <f t="shared" si="13"/>
        <v>3.2</v>
      </c>
      <c r="AD149" s="1834">
        <f>VLOOKUP(C149,'sản lượng'!$D$99:$AP$169,36,0)</f>
        <v>3262</v>
      </c>
      <c r="AE149" s="1784"/>
      <c r="AF149" s="1708">
        <v>140.6</v>
      </c>
      <c r="AH149" s="1666">
        <v>1398</v>
      </c>
      <c r="AI149" s="1666">
        <v>188</v>
      </c>
    </row>
    <row r="150" spans="1:35" ht="18.75" customHeight="1">
      <c r="A150" s="1779">
        <v>46</v>
      </c>
      <c r="B150" s="2228" t="s">
        <v>3217</v>
      </c>
      <c r="C150" s="2229" t="s">
        <v>3227</v>
      </c>
      <c r="D150" s="1780" t="s">
        <v>15</v>
      </c>
      <c r="E150" s="1717">
        <v>3.2</v>
      </c>
      <c r="F150" s="1717"/>
      <c r="G150" s="1717"/>
      <c r="H150" s="1717"/>
      <c r="I150" s="1772"/>
      <c r="J150" s="1718"/>
      <c r="K150" s="1719"/>
      <c r="L150" s="1719"/>
      <c r="M150" s="1719"/>
      <c r="N150" s="1781"/>
      <c r="O150" s="1782"/>
      <c r="P150" s="1773"/>
      <c r="Q150" s="1774">
        <f t="shared" si="14"/>
        <v>3.2</v>
      </c>
      <c r="R150" s="1723">
        <f>VLOOKUP(C150,'sản lượng'!$D$99:$AP$169,35,0)</f>
        <v>1203.8122024486822</v>
      </c>
      <c r="S150" s="1775"/>
      <c r="T150" s="1776">
        <f t="shared" si="12"/>
        <v>0</v>
      </c>
      <c r="U150" s="1726">
        <f t="shared" si="11"/>
        <v>1203.8122024486822</v>
      </c>
      <c r="V150" s="1727">
        <f>VLOOKUP(C150,'CHẤM CÔNG '!$E$98:$AQ$168,34,0)</f>
        <v>21</v>
      </c>
      <c r="W150" s="1727">
        <f>VLOOKUP(C150,'CHẤM CÔNG '!$E$98:$AQ$168,35,0)</f>
        <v>4</v>
      </c>
      <c r="X150" s="1727">
        <f>VLOOKUP(C150,'CHẤM CÔNG '!$E$98:$AQ$168,36,0)</f>
        <v>3</v>
      </c>
      <c r="Y150" s="1727">
        <f>VLOOKUP(C150,'CHẤM CÔNG '!$E$98:$AQ$168,37,0)</f>
        <v>0</v>
      </c>
      <c r="Z150" s="1727">
        <f>VLOOKUP(C150,'CHẤM CÔNG '!$E$98:$AQ$168,38,0)</f>
        <v>0</v>
      </c>
      <c r="AA150" s="1727">
        <f>VLOOKUP(C150,'CHẤM CÔNG '!$E$98:$AQ$168,39,0)</f>
        <v>0</v>
      </c>
      <c r="AB150" s="1730">
        <v>22</v>
      </c>
      <c r="AC150" s="1783">
        <f t="shared" si="13"/>
        <v>3.2</v>
      </c>
      <c r="AD150" s="1834">
        <f>VLOOKUP(C150,'sản lượng'!$D$99:$AP$169,36,0)</f>
        <v>2763</v>
      </c>
      <c r="AE150" s="1784"/>
      <c r="AF150" s="1708">
        <v>254.12</v>
      </c>
    </row>
    <row r="151" spans="1:35" ht="18.75" customHeight="1">
      <c r="A151" s="1770">
        <v>47</v>
      </c>
      <c r="B151" s="2228" t="s">
        <v>3218</v>
      </c>
      <c r="C151" s="2229" t="s">
        <v>3228</v>
      </c>
      <c r="D151" s="1780" t="s">
        <v>15</v>
      </c>
      <c r="E151" s="1717">
        <v>3.2</v>
      </c>
      <c r="F151" s="1717"/>
      <c r="G151" s="1717"/>
      <c r="H151" s="1717"/>
      <c r="I151" s="1772"/>
      <c r="J151" s="1718"/>
      <c r="K151" s="1719"/>
      <c r="L151" s="1719"/>
      <c r="M151" s="1719"/>
      <c r="N151" s="1781"/>
      <c r="O151" s="1782"/>
      <c r="P151" s="1773"/>
      <c r="Q151" s="1774">
        <f t="shared" si="14"/>
        <v>3.2</v>
      </c>
      <c r="R151" s="1723">
        <f>VLOOKUP(C151,'sản lượng'!$D$99:$AP$169,35,0)</f>
        <v>1260.0162466455261</v>
      </c>
      <c r="S151" s="1775"/>
      <c r="T151" s="1776">
        <f t="shared" si="12"/>
        <v>0</v>
      </c>
      <c r="U151" s="1726">
        <f t="shared" si="11"/>
        <v>1260.0162466455261</v>
      </c>
      <c r="V151" s="1727">
        <f>VLOOKUP(C151,'CHẤM CÔNG '!$E$98:$AQ$168,34,0)</f>
        <v>20</v>
      </c>
      <c r="W151" s="1727">
        <f>VLOOKUP(C151,'CHẤM CÔNG '!$E$98:$AQ$168,35,0)</f>
        <v>4</v>
      </c>
      <c r="X151" s="1727">
        <f>VLOOKUP(C151,'CHẤM CÔNG '!$E$98:$AQ$168,36,0)</f>
        <v>5</v>
      </c>
      <c r="Y151" s="1727">
        <f>VLOOKUP(C151,'CHẤM CÔNG '!$E$98:$AQ$168,37,0)</f>
        <v>0</v>
      </c>
      <c r="Z151" s="1727">
        <f>VLOOKUP(C151,'CHẤM CÔNG '!$E$98:$AQ$168,38,0)</f>
        <v>0</v>
      </c>
      <c r="AA151" s="1727">
        <f>VLOOKUP(C151,'CHẤM CÔNG '!$E$98:$AQ$168,39,0)</f>
        <v>0</v>
      </c>
      <c r="AB151" s="1730">
        <v>34</v>
      </c>
      <c r="AC151" s="1783">
        <f t="shared" si="13"/>
        <v>3.2</v>
      </c>
      <c r="AD151" s="1834">
        <f>VLOOKUP(C151,'sản lượng'!$D$99:$AP$169,36,0)</f>
        <v>2892</v>
      </c>
      <c r="AE151" s="1784"/>
      <c r="AF151" s="1708">
        <f>SUM(AF147:AF150)</f>
        <v>737.92</v>
      </c>
    </row>
    <row r="152" spans="1:35" ht="18.75" customHeight="1">
      <c r="A152" s="1779">
        <v>48</v>
      </c>
      <c r="B152" s="2228" t="s">
        <v>3219</v>
      </c>
      <c r="C152" s="2229" t="s">
        <v>842</v>
      </c>
      <c r="D152" s="1780" t="s">
        <v>15</v>
      </c>
      <c r="E152" s="1717">
        <v>3.2</v>
      </c>
      <c r="F152" s="1717"/>
      <c r="G152" s="1717"/>
      <c r="H152" s="1717"/>
      <c r="I152" s="1772"/>
      <c r="J152" s="1718"/>
      <c r="K152" s="1719"/>
      <c r="L152" s="1719"/>
      <c r="M152" s="1719"/>
      <c r="N152" s="1781"/>
      <c r="O152" s="1782"/>
      <c r="P152" s="1773"/>
      <c r="Q152" s="1774">
        <f>SUM(E152:P152)</f>
        <v>3.2</v>
      </c>
      <c r="R152" s="1723">
        <f>VLOOKUP(C152,'sản lượng'!$D$99:$AP$169,35,0)</f>
        <v>1107.0889635982994</v>
      </c>
      <c r="S152" s="1775"/>
      <c r="T152" s="1776">
        <f t="shared" si="12"/>
        <v>0</v>
      </c>
      <c r="U152" s="1726">
        <f t="shared" si="11"/>
        <v>1107.0889635982994</v>
      </c>
      <c r="V152" s="1727">
        <f>VLOOKUP(C152,'CHẤM CÔNG '!$E$98:$AQ$168,34,0)</f>
        <v>18</v>
      </c>
      <c r="W152" s="1727">
        <f>VLOOKUP(C152,'CHẤM CÔNG '!$E$98:$AQ$168,35,0)</f>
        <v>3</v>
      </c>
      <c r="X152" s="1727">
        <f>VLOOKUP(C152,'CHẤM CÔNG '!$E$98:$AQ$168,36,0)</f>
        <v>5</v>
      </c>
      <c r="Y152" s="1727">
        <f>VLOOKUP(C152,'CHẤM CÔNG '!$E$98:$AQ$168,37,0)</f>
        <v>0</v>
      </c>
      <c r="Z152" s="1727">
        <f>VLOOKUP(C152,'CHẤM CÔNG '!$E$98:$AQ$168,38,0)</f>
        <v>0</v>
      </c>
      <c r="AA152" s="1727">
        <f>VLOOKUP(C152,'CHẤM CÔNG '!$E$98:$AQ$168,39,0)</f>
        <v>0</v>
      </c>
      <c r="AB152" s="1730">
        <v>31</v>
      </c>
      <c r="AC152" s="1783">
        <f t="shared" si="13"/>
        <v>3.2</v>
      </c>
      <c r="AD152" s="1834">
        <f>VLOOKUP(C152,'sản lượng'!$D$99:$AP$169,36,0)</f>
        <v>2541</v>
      </c>
      <c r="AE152" s="1784"/>
      <c r="AF152" s="1708"/>
    </row>
    <row r="153" spans="1:35" ht="18.75" customHeight="1">
      <c r="A153" s="1770">
        <v>49</v>
      </c>
      <c r="B153" s="2228" t="s">
        <v>3220</v>
      </c>
      <c r="C153" s="2229" t="s">
        <v>846</v>
      </c>
      <c r="D153" s="1780" t="s">
        <v>15</v>
      </c>
      <c r="E153" s="1717">
        <v>3.2</v>
      </c>
      <c r="F153" s="1717"/>
      <c r="G153" s="1717"/>
      <c r="H153" s="1717"/>
      <c r="I153" s="1772"/>
      <c r="J153" s="1718"/>
      <c r="K153" s="1719"/>
      <c r="L153" s="1719"/>
      <c r="M153" s="1719"/>
      <c r="N153" s="1781"/>
      <c r="O153" s="1782"/>
      <c r="P153" s="1773"/>
      <c r="Q153" s="1774">
        <f t="shared" si="14"/>
        <v>3.2</v>
      </c>
      <c r="R153" s="1723">
        <f>VLOOKUP(C153,'sản lượng'!$D$99:$AP$169,35,0)</f>
        <v>1112.3172467794011</v>
      </c>
      <c r="S153" s="1775"/>
      <c r="T153" s="1776">
        <f t="shared" si="12"/>
        <v>0</v>
      </c>
      <c r="U153" s="1726">
        <f t="shared" si="11"/>
        <v>1112.3172467794011</v>
      </c>
      <c r="V153" s="1727">
        <f>VLOOKUP(C153,'CHẤM CÔNG '!$E$98:$AQ$168,34,0)</f>
        <v>18</v>
      </c>
      <c r="W153" s="1727">
        <f>VLOOKUP(C153,'CHẤM CÔNG '!$E$98:$AQ$168,35,0)</f>
        <v>3</v>
      </c>
      <c r="X153" s="1727">
        <f>VLOOKUP(C153,'CHẤM CÔNG '!$E$98:$AQ$168,36,0)</f>
        <v>5</v>
      </c>
      <c r="Y153" s="1727">
        <f>VLOOKUP(C153,'CHẤM CÔNG '!$E$98:$AQ$168,37,0)</f>
        <v>0</v>
      </c>
      <c r="Z153" s="1727">
        <f>VLOOKUP(C153,'CHẤM CÔNG '!$E$98:$AQ$168,38,0)</f>
        <v>0</v>
      </c>
      <c r="AA153" s="1727">
        <f>VLOOKUP(C153,'CHẤM CÔNG '!$E$98:$AQ$168,39,0)</f>
        <v>0</v>
      </c>
      <c r="AB153" s="1730">
        <v>31</v>
      </c>
      <c r="AC153" s="1783">
        <f>+Q153</f>
        <v>3.2</v>
      </c>
      <c r="AD153" s="1834">
        <f>VLOOKUP(C153,'sản lượng'!$D$99:$AP$169,36,0)</f>
        <v>2553</v>
      </c>
      <c r="AE153" s="1784"/>
      <c r="AF153" s="1708"/>
    </row>
    <row r="154" spans="1:35" ht="18.75" customHeight="1">
      <c r="A154" s="1779">
        <v>50</v>
      </c>
      <c r="B154" s="2228" t="s">
        <v>3221</v>
      </c>
      <c r="C154" s="2229" t="s">
        <v>3229</v>
      </c>
      <c r="D154" s="1780" t="s">
        <v>15</v>
      </c>
      <c r="E154" s="1717">
        <v>3.2</v>
      </c>
      <c r="F154" s="1717"/>
      <c r="G154" s="1717"/>
      <c r="H154" s="1717"/>
      <c r="I154" s="1772"/>
      <c r="J154" s="1718"/>
      <c r="K154" s="1719"/>
      <c r="L154" s="1719"/>
      <c r="M154" s="1719"/>
      <c r="N154" s="1781"/>
      <c r="O154" s="1782"/>
      <c r="P154" s="1773"/>
      <c r="Q154" s="1774">
        <f t="shared" si="14"/>
        <v>3.2</v>
      </c>
      <c r="R154" s="1723">
        <f>VLOOKUP(C154,'sản lượng'!$D$99:$AP$169,35,0)</f>
        <v>1333.6479014460426</v>
      </c>
      <c r="S154" s="1775"/>
      <c r="T154" s="1776">
        <f t="shared" si="12"/>
        <v>0</v>
      </c>
      <c r="U154" s="1726">
        <f t="shared" si="11"/>
        <v>1333.6479014460426</v>
      </c>
      <c r="V154" s="1727">
        <f>VLOOKUP(C154,'CHẤM CÔNG '!$E$98:$AQ$168,34,0)</f>
        <v>25</v>
      </c>
      <c r="W154" s="1727">
        <f>VLOOKUP(C154,'CHẤM CÔNG '!$E$98:$AQ$168,35,0)</f>
        <v>4</v>
      </c>
      <c r="X154" s="1727">
        <f>VLOOKUP(C154,'CHẤM CÔNG '!$E$98:$AQ$168,36,0)</f>
        <v>2</v>
      </c>
      <c r="Y154" s="1727">
        <f>VLOOKUP(C154,'CHẤM CÔNG '!$E$98:$AQ$168,37,0)</f>
        <v>0</v>
      </c>
      <c r="Z154" s="1727">
        <f>VLOOKUP(C154,'CHẤM CÔNG '!$E$98:$AQ$168,38,0)</f>
        <v>0</v>
      </c>
      <c r="AA154" s="1727">
        <f>VLOOKUP(C154,'CHẤM CÔNG '!$E$98:$AQ$168,39,0)</f>
        <v>0</v>
      </c>
      <c r="AB154" s="1730">
        <v>33</v>
      </c>
      <c r="AC154" s="1783">
        <f t="shared" si="13"/>
        <v>3.2</v>
      </c>
      <c r="AD154" s="1834">
        <f>VLOOKUP(C154,'sản lượng'!$D$99:$AP$169,36,0)</f>
        <v>3061</v>
      </c>
      <c r="AE154" s="1784"/>
      <c r="AF154" s="1708"/>
    </row>
    <row r="155" spans="1:35" ht="18.75" customHeight="1">
      <c r="A155" s="1770">
        <v>51</v>
      </c>
      <c r="B155" s="2228" t="s">
        <v>3222</v>
      </c>
      <c r="C155" s="2229" t="s">
        <v>657</v>
      </c>
      <c r="D155" s="1780" t="s">
        <v>15</v>
      </c>
      <c r="E155" s="1717">
        <v>3.2</v>
      </c>
      <c r="F155" s="1717"/>
      <c r="G155" s="1717"/>
      <c r="H155" s="1717"/>
      <c r="I155" s="1772"/>
      <c r="J155" s="1718"/>
      <c r="K155" s="1719"/>
      <c r="L155" s="1719"/>
      <c r="M155" s="1719"/>
      <c r="N155" s="1781"/>
      <c r="O155" s="1782"/>
      <c r="P155" s="1773"/>
      <c r="Q155" s="1774">
        <f t="shared" si="14"/>
        <v>3.2</v>
      </c>
      <c r="R155" s="1723">
        <f>VLOOKUP(C155,'sản lượng'!$D$99:$AP$169,35,0)</f>
        <v>1164.1643883253271</v>
      </c>
      <c r="S155" s="1775"/>
      <c r="T155" s="1776">
        <f t="shared" si="12"/>
        <v>0</v>
      </c>
      <c r="U155" s="1726">
        <f t="shared" si="11"/>
        <v>1164.1643883253271</v>
      </c>
      <c r="V155" s="1727">
        <f>VLOOKUP(C155,'CHẤM CÔNG '!$E$98:$AQ$168,34,0)</f>
        <v>21</v>
      </c>
      <c r="W155" s="1727">
        <f>VLOOKUP(C155,'CHẤM CÔNG '!$E$98:$AQ$168,35,0)</f>
        <v>4</v>
      </c>
      <c r="X155" s="1727">
        <f>VLOOKUP(C155,'CHẤM CÔNG '!$E$98:$AQ$168,36,0)</f>
        <v>4</v>
      </c>
      <c r="Y155" s="1727">
        <f>VLOOKUP(C155,'CHẤM CÔNG '!$E$98:$AQ$168,37,0)</f>
        <v>0</v>
      </c>
      <c r="Z155" s="1727">
        <f>VLOOKUP(C155,'CHẤM CÔNG '!$E$98:$AQ$168,38,0)</f>
        <v>0</v>
      </c>
      <c r="AA155" s="1727">
        <f>VLOOKUP(C155,'CHẤM CÔNG '!$E$98:$AQ$168,39,0)</f>
        <v>0</v>
      </c>
      <c r="AB155" s="1730">
        <v>33</v>
      </c>
      <c r="AC155" s="1783">
        <f t="shared" si="13"/>
        <v>3.2</v>
      </c>
      <c r="AD155" s="1834">
        <f>VLOOKUP(C155,'sản lượng'!$D$99:$AP$169,36,0)</f>
        <v>2672</v>
      </c>
      <c r="AE155" s="1785"/>
      <c r="AF155" s="1708"/>
    </row>
    <row r="156" spans="1:35" ht="18.75" customHeight="1">
      <c r="A156" s="1779">
        <v>52</v>
      </c>
      <c r="B156" s="2220"/>
      <c r="C156" s="2222" t="s">
        <v>1040</v>
      </c>
      <c r="D156" s="1780" t="s">
        <v>15</v>
      </c>
      <c r="E156" s="1717"/>
      <c r="F156" s="1717"/>
      <c r="G156" s="1717"/>
      <c r="H156" s="1717"/>
      <c r="I156" s="1772"/>
      <c r="J156" s="1718"/>
      <c r="K156" s="1719"/>
      <c r="L156" s="1719"/>
      <c r="M156" s="1719"/>
      <c r="N156" s="1781"/>
      <c r="O156" s="1781"/>
      <c r="P156" s="1781"/>
      <c r="Q156" s="1774">
        <f t="shared" si="14"/>
        <v>0</v>
      </c>
      <c r="R156" s="1723">
        <f>VLOOKUP(C156,'sản lượng'!$D$99:$AP$169,35,0)</f>
        <v>355.08756604982841</v>
      </c>
      <c r="S156" s="1775"/>
      <c r="T156" s="1776">
        <f t="shared" si="12"/>
        <v>0</v>
      </c>
      <c r="U156" s="1726">
        <f t="shared" si="11"/>
        <v>355.08756604982841</v>
      </c>
      <c r="V156" s="1727">
        <f>VLOOKUP(C156,'CHẤM CÔNG '!$E$98:$AQ$168,34,0)</f>
        <v>4</v>
      </c>
      <c r="W156" s="1727">
        <f>VLOOKUP(C156,'CHẤM CÔNG '!$E$98:$AQ$168,35,0)</f>
        <v>0</v>
      </c>
      <c r="X156" s="1727">
        <f>VLOOKUP(C156,'CHẤM CÔNG '!$E$98:$AQ$168,36,0)</f>
        <v>1</v>
      </c>
      <c r="Y156" s="1727">
        <f>VLOOKUP(C156,'CHẤM CÔNG '!$E$98:$AQ$168,37,0)</f>
        <v>0</v>
      </c>
      <c r="Z156" s="1727">
        <f>VLOOKUP(C156,'CHẤM CÔNG '!$E$98:$AQ$168,38,0)</f>
        <v>0</v>
      </c>
      <c r="AA156" s="1727">
        <f>VLOOKUP(C156,'CHẤM CÔNG '!$E$98:$AQ$168,39,0)</f>
        <v>0</v>
      </c>
      <c r="AB156" s="1730">
        <v>6</v>
      </c>
      <c r="AC156" s="1783">
        <f t="shared" si="13"/>
        <v>0</v>
      </c>
      <c r="AD156" s="1834">
        <f>VLOOKUP(C156,'sản lượng'!$D$99:$AP$169,36,0)</f>
        <v>815</v>
      </c>
      <c r="AE156" s="1785"/>
      <c r="AF156" s="1708"/>
    </row>
    <row r="157" spans="1:35" ht="18.75" customHeight="1">
      <c r="A157" s="1770">
        <v>53</v>
      </c>
      <c r="B157" s="2220"/>
      <c r="C157" s="2222" t="s">
        <v>3405</v>
      </c>
      <c r="D157" s="1780" t="s">
        <v>15</v>
      </c>
      <c r="E157" s="1717">
        <v>3.2</v>
      </c>
      <c r="F157" s="1717"/>
      <c r="G157" s="1717"/>
      <c r="H157" s="1717"/>
      <c r="I157" s="1772"/>
      <c r="J157" s="1718"/>
      <c r="K157" s="1719"/>
      <c r="L157" s="1719"/>
      <c r="M157" s="1719"/>
      <c r="N157" s="1781"/>
      <c r="O157" s="1781"/>
      <c r="P157" s="1781"/>
      <c r="Q157" s="1774">
        <f t="shared" si="14"/>
        <v>3.2</v>
      </c>
      <c r="R157" s="1723">
        <f>VLOOKUP(C157,'sản lượng'!$D$99:$AP$169,35,0)</f>
        <v>1205.5549635090495</v>
      </c>
      <c r="S157" s="1775"/>
      <c r="T157" s="1776">
        <f t="shared" si="12"/>
        <v>0</v>
      </c>
      <c r="U157" s="1726">
        <f t="shared" si="11"/>
        <v>1205.5549635090495</v>
      </c>
      <c r="V157" s="1727">
        <f>VLOOKUP(C157,'CHẤM CÔNG '!$E$98:$AQ$168,34,0)</f>
        <v>20</v>
      </c>
      <c r="W157" s="1727">
        <f>VLOOKUP(C157,'CHẤM CÔNG '!$E$98:$AQ$168,35,0)</f>
        <v>4</v>
      </c>
      <c r="X157" s="1727">
        <f>VLOOKUP(C157,'CHẤM CÔNG '!$E$98:$AQ$168,36,0)</f>
        <v>5</v>
      </c>
      <c r="Y157" s="1727">
        <f>VLOOKUP(C157,'CHẤM CÔNG '!$E$98:$AQ$168,37,0)</f>
        <v>0</v>
      </c>
      <c r="Z157" s="1727">
        <f>VLOOKUP(C157,'CHẤM CÔNG '!$E$98:$AQ$168,38,0)</f>
        <v>0</v>
      </c>
      <c r="AA157" s="1727">
        <f>VLOOKUP(C157,'CHẤM CÔNG '!$E$98:$AQ$168,39,0)</f>
        <v>0</v>
      </c>
      <c r="AB157" s="1730">
        <v>34</v>
      </c>
      <c r="AC157" s="1783">
        <f t="shared" si="13"/>
        <v>3.2</v>
      </c>
      <c r="AD157" s="1834">
        <f>VLOOKUP(C157,'sản lượng'!$D$99:$AP$169,36,0)</f>
        <v>2767</v>
      </c>
      <c r="AE157" s="1785"/>
      <c r="AF157" s="1708"/>
    </row>
    <row r="158" spans="1:35" s="1754" customFormat="1" ht="18.75" customHeight="1">
      <c r="A158" s="1779">
        <v>54</v>
      </c>
      <c r="B158" s="2230"/>
      <c r="C158" s="2229" t="s">
        <v>3328</v>
      </c>
      <c r="D158" s="1787" t="s">
        <v>15</v>
      </c>
      <c r="E158" s="1717"/>
      <c r="F158" s="1744"/>
      <c r="G158" s="1744"/>
      <c r="H158" s="1744"/>
      <c r="I158" s="1788"/>
      <c r="J158" s="1745"/>
      <c r="K158" s="1719"/>
      <c r="L158" s="1743"/>
      <c r="M158" s="1743"/>
      <c r="N158" s="1789"/>
      <c r="O158" s="1789"/>
      <c r="P158" s="1789"/>
      <c r="Q158" s="1774">
        <f t="shared" si="14"/>
        <v>0</v>
      </c>
      <c r="R158" s="1723">
        <f>VLOOKUP(C158,'sản lượng'!$D$99:$AP$169,35,0)</f>
        <v>149.87745119158402</v>
      </c>
      <c r="S158" s="1790"/>
      <c r="T158" s="1791">
        <f t="shared" si="12"/>
        <v>0</v>
      </c>
      <c r="U158" s="1726">
        <f t="shared" si="11"/>
        <v>149.87745119158402</v>
      </c>
      <c r="V158" s="1727">
        <f>VLOOKUP(C158,'CHẤM CÔNG '!$E$98:$AQ$168,34,0)</f>
        <v>3</v>
      </c>
      <c r="W158" s="1727">
        <f>VLOOKUP(C158,'CHẤM CÔNG '!$E$98:$AQ$168,35,0)</f>
        <v>0</v>
      </c>
      <c r="X158" s="1727">
        <f>VLOOKUP(C158,'CHẤM CÔNG '!$E$98:$AQ$168,36,0)</f>
        <v>1</v>
      </c>
      <c r="Y158" s="1727">
        <f>VLOOKUP(C158,'CHẤM CÔNG '!$E$98:$AQ$168,37,0)</f>
        <v>0</v>
      </c>
      <c r="Z158" s="1727">
        <f>VLOOKUP(C158,'CHẤM CÔNG '!$E$98:$AQ$168,38,0)</f>
        <v>0</v>
      </c>
      <c r="AA158" s="1727">
        <f>VLOOKUP(C158,'CHẤM CÔNG '!$E$98:$AQ$168,39,0)</f>
        <v>0</v>
      </c>
      <c r="AB158" s="1750">
        <v>2</v>
      </c>
      <c r="AC158" s="1792">
        <f t="shared" si="13"/>
        <v>0</v>
      </c>
      <c r="AD158" s="1834">
        <f>VLOOKUP(C158,'sản lượng'!$D$99:$AP$169,36,0)</f>
        <v>344</v>
      </c>
      <c r="AE158" s="1793"/>
      <c r="AF158" s="1753"/>
    </row>
    <row r="159" spans="1:35" s="1754" customFormat="1" ht="18.75" customHeight="1">
      <c r="A159" s="1770">
        <v>55</v>
      </c>
      <c r="B159" s="2230"/>
      <c r="C159" s="2229" t="s">
        <v>933</v>
      </c>
      <c r="D159" s="1787" t="s">
        <v>15</v>
      </c>
      <c r="E159" s="1717"/>
      <c r="F159" s="1744"/>
      <c r="G159" s="1744"/>
      <c r="H159" s="1744"/>
      <c r="I159" s="1788"/>
      <c r="J159" s="1745"/>
      <c r="K159" s="1719"/>
      <c r="L159" s="1743"/>
      <c r="M159" s="1743"/>
      <c r="N159" s="1789"/>
      <c r="O159" s="1789"/>
      <c r="P159" s="1789"/>
      <c r="Q159" s="1774">
        <f t="shared" si="14"/>
        <v>0</v>
      </c>
      <c r="R159" s="1723">
        <f>VLOOKUP(C159,'sản lượng'!$D$99:$AP$169,35,0)</f>
        <v>31.369699086610609</v>
      </c>
      <c r="S159" s="1790"/>
      <c r="T159" s="1791">
        <f t="shared" si="12"/>
        <v>0</v>
      </c>
      <c r="U159" s="1726">
        <f t="shared" si="11"/>
        <v>31.369699086610609</v>
      </c>
      <c r="V159" s="1727">
        <f>VLOOKUP(C159,'CHẤM CÔNG '!$E$98:$AQ$168,34,0)</f>
        <v>2</v>
      </c>
      <c r="W159" s="1727">
        <f>VLOOKUP(C159,'CHẤM CÔNG '!$E$98:$AQ$168,35,0)</f>
        <v>0</v>
      </c>
      <c r="X159" s="1727">
        <f>VLOOKUP(C159,'CHẤM CÔNG '!$E$98:$AQ$168,36,0)</f>
        <v>0</v>
      </c>
      <c r="Y159" s="1727">
        <f>VLOOKUP(C159,'CHẤM CÔNG '!$E$98:$AQ$168,37,0)</f>
        <v>0</v>
      </c>
      <c r="Z159" s="1727">
        <f>VLOOKUP(C159,'CHẤM CÔNG '!$E$98:$AQ$168,38,0)</f>
        <v>0</v>
      </c>
      <c r="AA159" s="1727">
        <f>VLOOKUP(C159,'CHẤM CÔNG '!$E$98:$AQ$168,39,0)</f>
        <v>0</v>
      </c>
      <c r="AB159" s="1750">
        <v>1</v>
      </c>
      <c r="AC159" s="1792">
        <f t="shared" si="13"/>
        <v>0</v>
      </c>
      <c r="AD159" s="1834">
        <f>VLOOKUP(C159,'sản lượng'!$D$99:$AP$169,36,0)</f>
        <v>72</v>
      </c>
      <c r="AE159" s="1793"/>
      <c r="AF159" s="1753"/>
    </row>
    <row r="160" spans="1:35" s="1754" customFormat="1" ht="18.75" customHeight="1">
      <c r="A160" s="1779">
        <v>56</v>
      </c>
      <c r="B160" s="2230"/>
      <c r="C160" s="2229" t="s">
        <v>3329</v>
      </c>
      <c r="D160" s="1787" t="s">
        <v>15</v>
      </c>
      <c r="E160" s="1717"/>
      <c r="F160" s="1744"/>
      <c r="G160" s="1744"/>
      <c r="H160" s="1744"/>
      <c r="I160" s="1788"/>
      <c r="J160" s="1745"/>
      <c r="K160" s="1743"/>
      <c r="L160" s="1743"/>
      <c r="M160" s="1743"/>
      <c r="N160" s="1789"/>
      <c r="O160" s="1789"/>
      <c r="P160" s="1789"/>
      <c r="Q160" s="1774">
        <f t="shared" si="14"/>
        <v>0</v>
      </c>
      <c r="R160" s="1723">
        <f>VLOOKUP(C160,'sản lượng'!$D$99:$AP$169,35,0)</f>
        <v>35.290911472436939</v>
      </c>
      <c r="S160" s="1790"/>
      <c r="T160" s="1791">
        <f t="shared" si="12"/>
        <v>0</v>
      </c>
      <c r="U160" s="1726">
        <f t="shared" si="11"/>
        <v>35.290911472436939</v>
      </c>
      <c r="V160" s="1727">
        <f>VLOOKUP(C160,'CHẤM CÔNG '!$E$98:$AQ$168,34,0)</f>
        <v>0</v>
      </c>
      <c r="W160" s="1727">
        <f>VLOOKUP(C160,'CHẤM CÔNG '!$E$98:$AQ$168,35,0)</f>
        <v>0</v>
      </c>
      <c r="X160" s="1727">
        <f>VLOOKUP(C160,'CHẤM CÔNG '!$E$98:$AQ$168,36,0)</f>
        <v>0</v>
      </c>
      <c r="Y160" s="1727">
        <f>VLOOKUP(C160,'CHẤM CÔNG '!$E$98:$AQ$168,37,0)</f>
        <v>0</v>
      </c>
      <c r="Z160" s="1727">
        <f>VLOOKUP(C160,'CHẤM CÔNG '!$E$98:$AQ$168,38,0)</f>
        <v>0</v>
      </c>
      <c r="AA160" s="1727">
        <f>VLOOKUP(C160,'CHẤM CÔNG '!$E$98:$AQ$168,39,0)</f>
        <v>0</v>
      </c>
      <c r="AB160" s="1750">
        <v>0</v>
      </c>
      <c r="AC160" s="1792">
        <f t="shared" si="13"/>
        <v>0</v>
      </c>
      <c r="AD160" s="1834">
        <f>VLOOKUP(C160,'sản lượng'!$D$99:$AP$169,36,0)</f>
        <v>81</v>
      </c>
      <c r="AE160" s="1793"/>
      <c r="AF160" s="1753"/>
    </row>
    <row r="161" spans="1:32" s="1754" customFormat="1" ht="18.75" customHeight="1">
      <c r="A161" s="1770">
        <v>57</v>
      </c>
      <c r="B161" s="2230"/>
      <c r="C161" s="2229" t="s">
        <v>3230</v>
      </c>
      <c r="D161" s="1787" t="s">
        <v>15</v>
      </c>
      <c r="E161" s="1717"/>
      <c r="F161" s="1717"/>
      <c r="G161" s="1744"/>
      <c r="H161" s="1744"/>
      <c r="I161" s="1788"/>
      <c r="J161" s="1745"/>
      <c r="K161" s="1743"/>
      <c r="L161" s="1743"/>
      <c r="M161" s="1743"/>
      <c r="N161" s="1789"/>
      <c r="O161" s="1789"/>
      <c r="P161" s="1789"/>
      <c r="Q161" s="1774">
        <f t="shared" si="14"/>
        <v>0</v>
      </c>
      <c r="R161" s="1723">
        <f>VLOOKUP(C161,'sản lượng'!$D$99:$AP$169,35,0)</f>
        <v>0</v>
      </c>
      <c r="S161" s="1790"/>
      <c r="T161" s="1791">
        <f t="shared" si="12"/>
        <v>0</v>
      </c>
      <c r="U161" s="1726">
        <f t="shared" si="11"/>
        <v>0</v>
      </c>
      <c r="V161" s="1727">
        <f>VLOOKUP(C161,'CHẤM CÔNG '!$E$98:$AQ$168,34,0)</f>
        <v>0</v>
      </c>
      <c r="W161" s="1727">
        <f>VLOOKUP(C161,'CHẤM CÔNG '!$E$98:$AQ$168,35,0)</f>
        <v>0</v>
      </c>
      <c r="X161" s="1727">
        <f>VLOOKUP(C161,'CHẤM CÔNG '!$E$98:$AQ$168,36,0)</f>
        <v>0</v>
      </c>
      <c r="Y161" s="1727">
        <f>VLOOKUP(C161,'CHẤM CÔNG '!$E$98:$AQ$168,37,0)</f>
        <v>0</v>
      </c>
      <c r="Z161" s="1727">
        <f>VLOOKUP(C161,'CHẤM CÔNG '!$E$98:$AQ$168,38,0)</f>
        <v>0</v>
      </c>
      <c r="AA161" s="1727">
        <f>VLOOKUP(C161,'CHẤM CÔNG '!$E$98:$AQ$168,39,0)</f>
        <v>0</v>
      </c>
      <c r="AB161" s="1750">
        <v>0</v>
      </c>
      <c r="AC161" s="1792">
        <f t="shared" si="13"/>
        <v>0</v>
      </c>
      <c r="AD161" s="1834">
        <f>VLOOKUP(C161,'sản lượng'!$D$99:$AP$169,36,0)</f>
        <v>0</v>
      </c>
      <c r="AE161" s="1793"/>
      <c r="AF161" s="1753"/>
    </row>
    <row r="162" spans="1:32" s="1754" customFormat="1" ht="18.75" customHeight="1">
      <c r="A162" s="1779">
        <v>58</v>
      </c>
      <c r="B162" s="2230"/>
      <c r="C162" s="2229" t="s">
        <v>3330</v>
      </c>
      <c r="D162" s="1787" t="s">
        <v>15</v>
      </c>
      <c r="E162" s="1717"/>
      <c r="F162" s="1744"/>
      <c r="G162" s="1744"/>
      <c r="H162" s="1744"/>
      <c r="I162" s="1788"/>
      <c r="J162" s="1745"/>
      <c r="K162" s="1743"/>
      <c r="L162" s="1743"/>
      <c r="M162" s="1743"/>
      <c r="N162" s="1789"/>
      <c r="O162" s="1789"/>
      <c r="P162" s="1789"/>
      <c r="Q162" s="1774">
        <f t="shared" si="14"/>
        <v>0</v>
      </c>
      <c r="R162" s="1723">
        <f>VLOOKUP(C162,'sản lượng'!$D$99:$AP$169,35,0)</f>
        <v>901.87884874005499</v>
      </c>
      <c r="S162" s="1790"/>
      <c r="T162" s="1791"/>
      <c r="U162" s="1726">
        <f t="shared" si="11"/>
        <v>901.87884874005499</v>
      </c>
      <c r="V162" s="1727">
        <f>VLOOKUP(C162,'CHẤM CÔNG '!$E$98:$AQ$168,34,0)</f>
        <v>17</v>
      </c>
      <c r="W162" s="1727">
        <f>VLOOKUP(C162,'CHẤM CÔNG '!$E$98:$AQ$168,35,0)</f>
        <v>3</v>
      </c>
      <c r="X162" s="1727">
        <f>VLOOKUP(C162,'CHẤM CÔNG '!$E$98:$AQ$168,36,0)</f>
        <v>4</v>
      </c>
      <c r="Y162" s="1727">
        <f>VLOOKUP(C162,'CHẤM CÔNG '!$E$98:$AQ$168,37,0)</f>
        <v>0</v>
      </c>
      <c r="Z162" s="1727">
        <f>VLOOKUP(C162,'CHẤM CÔNG '!$E$98:$AQ$168,38,0)</f>
        <v>0</v>
      </c>
      <c r="AA162" s="1727">
        <f>VLOOKUP(C162,'CHẤM CÔNG '!$E$98:$AQ$168,39,0)</f>
        <v>0</v>
      </c>
      <c r="AB162" s="1750">
        <v>23</v>
      </c>
      <c r="AC162" s="1792">
        <f t="shared" si="13"/>
        <v>0</v>
      </c>
      <c r="AD162" s="1834">
        <f>VLOOKUP(C162,'sản lượng'!$D$99:$AP$169,36,0)</f>
        <v>2070</v>
      </c>
      <c r="AE162" s="1793"/>
      <c r="AF162" s="1753"/>
    </row>
    <row r="163" spans="1:32" s="1754" customFormat="1" ht="18.75" customHeight="1">
      <c r="A163" s="1770">
        <v>59</v>
      </c>
      <c r="B163" s="2230"/>
      <c r="C163" s="2229" t="s">
        <v>1980</v>
      </c>
      <c r="D163" s="1787" t="s">
        <v>15</v>
      </c>
      <c r="E163" s="1717"/>
      <c r="F163" s="1744"/>
      <c r="G163" s="1744"/>
      <c r="H163" s="1744"/>
      <c r="I163" s="1788"/>
      <c r="J163" s="1745"/>
      <c r="K163" s="1743"/>
      <c r="L163" s="1743"/>
      <c r="M163" s="1743"/>
      <c r="N163" s="1789"/>
      <c r="O163" s="1789"/>
      <c r="P163" s="1789"/>
      <c r="Q163" s="1774">
        <f t="shared" si="14"/>
        <v>0</v>
      </c>
      <c r="R163" s="1723">
        <f>VLOOKUP(C163,'sản lượng'!$D$99:$AP$169,35,0)</f>
        <v>0</v>
      </c>
      <c r="S163" s="1790"/>
      <c r="T163" s="1791"/>
      <c r="U163" s="1726">
        <f t="shared" si="11"/>
        <v>0</v>
      </c>
      <c r="V163" s="1727">
        <f>VLOOKUP(C163,'CHẤM CÔNG '!$E$98:$AQ$168,34,0)</f>
        <v>0</v>
      </c>
      <c r="W163" s="1727">
        <f>VLOOKUP(C163,'CHẤM CÔNG '!$E$98:$AQ$168,35,0)</f>
        <v>0</v>
      </c>
      <c r="X163" s="1727">
        <f>VLOOKUP(C163,'CHẤM CÔNG '!$E$98:$AQ$168,36,0)</f>
        <v>0</v>
      </c>
      <c r="Y163" s="1727">
        <f>VLOOKUP(C163,'CHẤM CÔNG '!$E$98:$AQ$168,37,0)</f>
        <v>0</v>
      </c>
      <c r="Z163" s="1727">
        <f>VLOOKUP(C163,'CHẤM CÔNG '!$E$98:$AQ$168,38,0)</f>
        <v>0</v>
      </c>
      <c r="AA163" s="1727">
        <f>VLOOKUP(C163,'CHẤM CÔNG '!$E$98:$AQ$168,39,0)</f>
        <v>0</v>
      </c>
      <c r="AB163" s="1750">
        <v>0</v>
      </c>
      <c r="AC163" s="1792">
        <f t="shared" si="13"/>
        <v>0</v>
      </c>
      <c r="AD163" s="1834">
        <f>VLOOKUP(C163,'sản lượng'!$D$99:$AP$169,36,0)</f>
        <v>0</v>
      </c>
      <c r="AE163" s="1793"/>
      <c r="AF163" s="1753"/>
    </row>
    <row r="164" spans="1:32" s="1754" customFormat="1" ht="18.75" customHeight="1">
      <c r="A164" s="1779">
        <v>60</v>
      </c>
      <c r="B164" s="2230"/>
      <c r="C164" s="2229" t="s">
        <v>1373</v>
      </c>
      <c r="D164" s="1787" t="s">
        <v>15</v>
      </c>
      <c r="E164" s="1717"/>
      <c r="F164" s="1744"/>
      <c r="G164" s="1744"/>
      <c r="H164" s="1744"/>
      <c r="I164" s="1788"/>
      <c r="J164" s="1745"/>
      <c r="K164" s="1743"/>
      <c r="L164" s="1743"/>
      <c r="M164" s="1743"/>
      <c r="N164" s="1789"/>
      <c r="O164" s="1789"/>
      <c r="P164" s="1789"/>
      <c r="Q164" s="1774">
        <f t="shared" si="14"/>
        <v>0</v>
      </c>
      <c r="R164" s="1723">
        <f>VLOOKUP(C164,'sản lượng'!$D$99:$AP$169,35,0)</f>
        <v>1198.5839192675803</v>
      </c>
      <c r="S164" s="1790"/>
      <c r="T164" s="1791"/>
      <c r="U164" s="1726">
        <f t="shared" si="11"/>
        <v>1198.5839192675803</v>
      </c>
      <c r="V164" s="1727">
        <f>VLOOKUP(C164,'CHẤM CÔNG '!$E$98:$AQ$168,34,0)</f>
        <v>20</v>
      </c>
      <c r="W164" s="1727">
        <f>VLOOKUP(C164,'CHẤM CÔNG '!$E$98:$AQ$168,35,0)</f>
        <v>4</v>
      </c>
      <c r="X164" s="1727">
        <f>VLOOKUP(C164,'CHẤM CÔNG '!$E$98:$AQ$168,36,0)</f>
        <v>5</v>
      </c>
      <c r="Y164" s="1727">
        <f>VLOOKUP(C164,'CHẤM CÔNG '!$E$98:$AQ$168,37,0)</f>
        <v>0</v>
      </c>
      <c r="Z164" s="1727">
        <f>VLOOKUP(C164,'CHẤM CÔNG '!$E$98:$AQ$168,38,0)</f>
        <v>0</v>
      </c>
      <c r="AA164" s="1727">
        <f>VLOOKUP(C164,'CHẤM CÔNG '!$E$98:$AQ$168,39,0)</f>
        <v>0</v>
      </c>
      <c r="AB164" s="1750">
        <v>33</v>
      </c>
      <c r="AC164" s="1792">
        <f t="shared" si="13"/>
        <v>0</v>
      </c>
      <c r="AD164" s="1834">
        <f>VLOOKUP(C164,'sản lượng'!$D$99:$AP$169,36,0)</f>
        <v>2751</v>
      </c>
      <c r="AE164" s="1793"/>
      <c r="AF164" s="1753"/>
    </row>
    <row r="165" spans="1:32" s="1754" customFormat="1" ht="18.75" customHeight="1">
      <c r="A165" s="1770">
        <v>61</v>
      </c>
      <c r="B165" s="2230"/>
      <c r="C165" s="2229" t="s">
        <v>1243</v>
      </c>
      <c r="D165" s="1787" t="s">
        <v>15</v>
      </c>
      <c r="E165" s="1717"/>
      <c r="F165" s="1744"/>
      <c r="G165" s="1744"/>
      <c r="H165" s="1744"/>
      <c r="I165" s="1788"/>
      <c r="J165" s="1745"/>
      <c r="K165" s="1743"/>
      <c r="L165" s="1743"/>
      <c r="M165" s="1743"/>
      <c r="N165" s="1789"/>
      <c r="O165" s="1789"/>
      <c r="P165" s="1789"/>
      <c r="Q165" s="1774">
        <f t="shared" si="14"/>
        <v>0</v>
      </c>
      <c r="R165" s="1723">
        <f>VLOOKUP(C165,'sản lượng'!$D$99:$AP$169,35,0)</f>
        <v>1174.1852644224389</v>
      </c>
      <c r="S165" s="1790"/>
      <c r="T165" s="1791"/>
      <c r="U165" s="1726">
        <f t="shared" si="11"/>
        <v>1174.1852644224389</v>
      </c>
      <c r="V165" s="1727">
        <f>VLOOKUP(C165,'CHẤM CÔNG '!$E$98:$AQ$168,34,0)</f>
        <v>16</v>
      </c>
      <c r="W165" s="1727">
        <f>VLOOKUP(C165,'CHẤM CÔNG '!$E$98:$AQ$168,35,0)</f>
        <v>4</v>
      </c>
      <c r="X165" s="1727">
        <f>VLOOKUP(C165,'CHẤM CÔNG '!$E$98:$AQ$168,36,0)</f>
        <v>4</v>
      </c>
      <c r="Y165" s="1727">
        <f>VLOOKUP(C165,'CHẤM CÔNG '!$E$98:$AQ$168,37,0)</f>
        <v>0</v>
      </c>
      <c r="Z165" s="1727">
        <f>VLOOKUP(C165,'CHẤM CÔNG '!$E$98:$AQ$168,38,0)</f>
        <v>0</v>
      </c>
      <c r="AA165" s="1727">
        <f>VLOOKUP(C165,'CHẤM CÔNG '!$E$98:$AQ$168,39,0)</f>
        <v>0</v>
      </c>
      <c r="AB165" s="1750">
        <v>27</v>
      </c>
      <c r="AC165" s="1792">
        <f t="shared" si="13"/>
        <v>0</v>
      </c>
      <c r="AD165" s="1834">
        <f>VLOOKUP(C165,'sản lượng'!$D$99:$AP$169,36,0)</f>
        <v>2695</v>
      </c>
      <c r="AE165" s="1793"/>
      <c r="AF165" s="1753"/>
    </row>
    <row r="166" spans="1:32" s="1754" customFormat="1" ht="18.75" customHeight="1">
      <c r="A166" s="1779">
        <v>62</v>
      </c>
      <c r="B166" s="2230"/>
      <c r="C166" s="2229" t="s">
        <v>236</v>
      </c>
      <c r="D166" s="1787" t="s">
        <v>15</v>
      </c>
      <c r="E166" s="1743"/>
      <c r="F166" s="1744"/>
      <c r="G166" s="1744"/>
      <c r="H166" s="1744"/>
      <c r="I166" s="1788"/>
      <c r="J166" s="1745"/>
      <c r="K166" s="1743"/>
      <c r="L166" s="1743"/>
      <c r="M166" s="1743"/>
      <c r="N166" s="1789"/>
      <c r="O166" s="1789"/>
      <c r="P166" s="1789"/>
      <c r="Q166" s="1774">
        <f>SUM(E166:P166)</f>
        <v>0</v>
      </c>
      <c r="R166" s="1723">
        <f>VLOOKUP(C166,'sản lượng'!$D$99:$AP$169,35,0)</f>
        <v>931.07009650120654</v>
      </c>
      <c r="S166" s="1790"/>
      <c r="T166" s="1791"/>
      <c r="U166" s="1726">
        <f t="shared" si="11"/>
        <v>931.07009650120654</v>
      </c>
      <c r="V166" s="1727">
        <f>VLOOKUP(C166,'CHẤM CÔNG '!$E$98:$AQ$168,34,0)</f>
        <v>12</v>
      </c>
      <c r="W166" s="1727">
        <f>VLOOKUP(C166,'CHẤM CÔNG '!$E$98:$AQ$168,35,0)</f>
        <v>4</v>
      </c>
      <c r="X166" s="1727">
        <f>VLOOKUP(C166,'CHẤM CÔNG '!$E$98:$AQ$168,36,0)</f>
        <v>3</v>
      </c>
      <c r="Y166" s="1727">
        <f>VLOOKUP(C166,'CHẤM CÔNG '!$E$98:$AQ$168,37,0)</f>
        <v>0</v>
      </c>
      <c r="Z166" s="1727">
        <f>VLOOKUP(C166,'CHẤM CÔNG '!$E$98:$AQ$168,38,0)</f>
        <v>0</v>
      </c>
      <c r="AA166" s="1727">
        <f>VLOOKUP(C166,'CHẤM CÔNG '!$E$98:$AQ$168,39,0)</f>
        <v>0</v>
      </c>
      <c r="AB166" s="1750">
        <v>22</v>
      </c>
      <c r="AC166" s="1792">
        <f t="shared" si="13"/>
        <v>0</v>
      </c>
      <c r="AD166" s="1834">
        <f>VLOOKUP(C166,'sản lượng'!$D$99:$AP$169,36,0)</f>
        <v>2137</v>
      </c>
      <c r="AE166" s="1793"/>
      <c r="AF166" s="1753"/>
    </row>
    <row r="167" spans="1:32" s="1754" customFormat="1" ht="18.75" customHeight="1">
      <c r="A167" s="1770">
        <v>63</v>
      </c>
      <c r="B167" s="2230"/>
      <c r="C167" s="2229" t="s">
        <v>3311</v>
      </c>
      <c r="D167" s="1787" t="s">
        <v>15</v>
      </c>
      <c r="E167" s="1743"/>
      <c r="F167" s="1744"/>
      <c r="G167" s="1744"/>
      <c r="H167" s="1744"/>
      <c r="I167" s="1788"/>
      <c r="J167" s="1745"/>
      <c r="K167" s="1743"/>
      <c r="L167" s="1743"/>
      <c r="M167" s="1743"/>
      <c r="N167" s="1789"/>
      <c r="O167" s="1789"/>
      <c r="P167" s="1789"/>
      <c r="Q167" s="1774">
        <f t="shared" si="14"/>
        <v>0</v>
      </c>
      <c r="R167" s="1723">
        <f>VLOOKUP(C167,'sản lượng'!$D$99:$AP$169,35,0)</f>
        <v>426.97645978997775</v>
      </c>
      <c r="S167" s="1790"/>
      <c r="T167" s="1791"/>
      <c r="U167" s="1726">
        <f t="shared" si="11"/>
        <v>426.97645978997775</v>
      </c>
      <c r="V167" s="1727">
        <f>VLOOKUP(C167,'CHẤM CÔNG '!$E$98:$AQ$168,34,0)</f>
        <v>8</v>
      </c>
      <c r="W167" s="1727">
        <f>VLOOKUP(C167,'CHẤM CÔNG '!$E$98:$AQ$168,35,0)</f>
        <v>3</v>
      </c>
      <c r="X167" s="1727">
        <f>VLOOKUP(C167,'CHẤM CÔNG '!$E$98:$AQ$168,36,0)</f>
        <v>0</v>
      </c>
      <c r="Y167" s="1727">
        <f>VLOOKUP(C167,'CHẤM CÔNG '!$E$98:$AQ$168,37,0)</f>
        <v>0</v>
      </c>
      <c r="Z167" s="1727">
        <f>VLOOKUP(C167,'CHẤM CÔNG '!$E$98:$AQ$168,38,0)</f>
        <v>0</v>
      </c>
      <c r="AA167" s="1727">
        <f>VLOOKUP(C167,'CHẤM CÔNG '!$E$98:$AQ$168,39,0)</f>
        <v>0</v>
      </c>
      <c r="AB167" s="1750">
        <v>11</v>
      </c>
      <c r="AC167" s="1792">
        <f t="shared" si="13"/>
        <v>0</v>
      </c>
      <c r="AD167" s="1834">
        <f>VLOOKUP(C167,'sản lượng'!$D$99:$AP$169,36,0)</f>
        <v>980</v>
      </c>
      <c r="AE167" s="1793"/>
      <c r="AF167" s="1753"/>
    </row>
    <row r="168" spans="1:32" s="1754" customFormat="1" ht="18.75" customHeight="1">
      <c r="A168" s="1779">
        <v>64</v>
      </c>
      <c r="B168" s="2230"/>
      <c r="C168" s="2229" t="s">
        <v>77</v>
      </c>
      <c r="D168" s="1787" t="s">
        <v>15</v>
      </c>
      <c r="E168" s="1743"/>
      <c r="F168" s="1744"/>
      <c r="G168" s="1744"/>
      <c r="H168" s="1744"/>
      <c r="I168" s="1788"/>
      <c r="J168" s="1745"/>
      <c r="K168" s="1743"/>
      <c r="L168" s="1743"/>
      <c r="M168" s="1743"/>
      <c r="N168" s="1789"/>
      <c r="O168" s="1789"/>
      <c r="P168" s="1789"/>
      <c r="Q168" s="1774">
        <f t="shared" si="14"/>
        <v>0</v>
      </c>
      <c r="R168" s="1723">
        <f>VLOOKUP(C168,'sản lượng'!$D$99:$AP$169,35,0)</f>
        <v>364.23706161675653</v>
      </c>
      <c r="S168" s="1790"/>
      <c r="T168" s="1791"/>
      <c r="U168" s="1726">
        <f t="shared" si="11"/>
        <v>364.23706161675653</v>
      </c>
      <c r="V168" s="1727">
        <f>VLOOKUP(C168,'CHẤM CÔNG '!$E$98:$AQ$168,34,0)</f>
        <v>7</v>
      </c>
      <c r="W168" s="1727">
        <f>VLOOKUP(C168,'CHẤM CÔNG '!$E$98:$AQ$168,35,0)</f>
        <v>2</v>
      </c>
      <c r="X168" s="1727">
        <f>VLOOKUP(C168,'CHẤM CÔNG '!$E$98:$AQ$168,36,0)</f>
        <v>0</v>
      </c>
      <c r="Y168" s="1727">
        <f>VLOOKUP(C168,'CHẤM CÔNG '!$E$98:$AQ$168,37,0)</f>
        <v>0</v>
      </c>
      <c r="Z168" s="1727">
        <f>VLOOKUP(C168,'CHẤM CÔNG '!$E$98:$AQ$168,38,0)</f>
        <v>0</v>
      </c>
      <c r="AA168" s="1727">
        <f>VLOOKUP(C168,'CHẤM CÔNG '!$E$98:$AQ$168,39,0)</f>
        <v>0</v>
      </c>
      <c r="AB168" s="1750">
        <v>9</v>
      </c>
      <c r="AC168" s="1792">
        <f t="shared" si="13"/>
        <v>0</v>
      </c>
      <c r="AD168" s="1834">
        <f>VLOOKUP(C168,'sản lượng'!$D$99:$AP$169,36,0)</f>
        <v>836</v>
      </c>
      <c r="AE168" s="1793"/>
      <c r="AF168" s="1753"/>
    </row>
    <row r="169" spans="1:32" s="1754" customFormat="1" ht="18.75" customHeight="1">
      <c r="A169" s="1770">
        <v>65</v>
      </c>
      <c r="B169" s="2230"/>
      <c r="C169" s="2229" t="s">
        <v>3312</v>
      </c>
      <c r="D169" s="1787" t="s">
        <v>15</v>
      </c>
      <c r="E169" s="1743"/>
      <c r="F169" s="1744"/>
      <c r="G169" s="1744"/>
      <c r="H169" s="1744"/>
      <c r="I169" s="1788"/>
      <c r="J169" s="1745"/>
      <c r="K169" s="1743"/>
      <c r="L169" s="1743"/>
      <c r="M169" s="1743"/>
      <c r="N169" s="1789"/>
      <c r="O169" s="1789"/>
      <c r="P169" s="1789"/>
      <c r="Q169" s="1774">
        <f t="shared" si="14"/>
        <v>0</v>
      </c>
      <c r="R169" s="1723">
        <f>VLOOKUP(C169,'sản lượng'!$D$99:$AP$169,35,0)</f>
        <v>86.70236275327099</v>
      </c>
      <c r="S169" s="1790"/>
      <c r="T169" s="1791"/>
      <c r="U169" s="1726">
        <f t="shared" ref="U169:U170" si="15">R169</f>
        <v>86.70236275327099</v>
      </c>
      <c r="V169" s="1727">
        <f>VLOOKUP(C169,'CHẤM CÔNG '!$E$98:$AQ$168,34,0)</f>
        <v>6</v>
      </c>
      <c r="W169" s="1727">
        <f>VLOOKUP(C169,'CHẤM CÔNG '!$E$98:$AQ$168,35,0)</f>
        <v>0</v>
      </c>
      <c r="X169" s="1727">
        <f>VLOOKUP(C169,'CHẤM CÔNG '!$E$98:$AQ$168,36,0)</f>
        <v>0</v>
      </c>
      <c r="Y169" s="1727">
        <f>VLOOKUP(C169,'CHẤM CÔNG '!$E$98:$AQ$168,37,0)</f>
        <v>0</v>
      </c>
      <c r="Z169" s="1727">
        <f>VLOOKUP(C169,'CHẤM CÔNG '!$E$98:$AQ$168,38,0)</f>
        <v>0</v>
      </c>
      <c r="AA169" s="1727">
        <f>VLOOKUP(C169,'CHẤM CÔNG '!$E$98:$AQ$168,39,0)</f>
        <v>0</v>
      </c>
      <c r="AB169" s="1750">
        <v>6</v>
      </c>
      <c r="AC169" s="1792">
        <f t="shared" ref="AC169:AC179" si="16">+Q169</f>
        <v>0</v>
      </c>
      <c r="AD169" s="1834">
        <f>VLOOKUP(C169,'sản lượng'!$D$99:$AP$169,36,0)</f>
        <v>199</v>
      </c>
      <c r="AE169" s="1793"/>
      <c r="AF169" s="1753"/>
    </row>
    <row r="170" spans="1:32" s="1754" customFormat="1" ht="18.75" customHeight="1">
      <c r="A170" s="1779">
        <v>66</v>
      </c>
      <c r="B170" s="2230"/>
      <c r="C170" s="2229" t="s">
        <v>3313</v>
      </c>
      <c r="D170" s="1787" t="s">
        <v>15</v>
      </c>
      <c r="E170" s="1743"/>
      <c r="F170" s="1744"/>
      <c r="G170" s="1744"/>
      <c r="H170" s="1744"/>
      <c r="I170" s="1788"/>
      <c r="J170" s="1745"/>
      <c r="K170" s="1743"/>
      <c r="L170" s="1743"/>
      <c r="M170" s="1743"/>
      <c r="N170" s="1789"/>
      <c r="O170" s="1789"/>
      <c r="P170" s="1789"/>
      <c r="Q170" s="1774">
        <f t="shared" si="14"/>
        <v>0</v>
      </c>
      <c r="R170" s="1723">
        <f>VLOOKUP(C170,'sản lượng'!$D$99:$AP$169,35,0)</f>
        <v>48.797309690283171</v>
      </c>
      <c r="S170" s="1790"/>
      <c r="T170" s="1791"/>
      <c r="U170" s="1726">
        <f t="shared" si="15"/>
        <v>48.797309690283171</v>
      </c>
      <c r="V170" s="1727">
        <f>VLOOKUP(C170,'CHẤM CÔNG '!$E$98:$AQ$168,34,0)</f>
        <v>4</v>
      </c>
      <c r="W170" s="1727">
        <f>VLOOKUP(C170,'CHẤM CÔNG '!$E$98:$AQ$168,35,0)</f>
        <v>0</v>
      </c>
      <c r="X170" s="1727">
        <f>VLOOKUP(C170,'CHẤM CÔNG '!$E$98:$AQ$168,36,0)</f>
        <v>0</v>
      </c>
      <c r="Y170" s="1727">
        <f>VLOOKUP(C170,'CHẤM CÔNG '!$E$98:$AQ$168,37,0)</f>
        <v>0</v>
      </c>
      <c r="Z170" s="1727">
        <f>VLOOKUP(C170,'CHẤM CÔNG '!$E$98:$AQ$168,38,0)</f>
        <v>0</v>
      </c>
      <c r="AA170" s="1727">
        <f>VLOOKUP(C170,'CHẤM CÔNG '!$E$98:$AQ$168,39,0)</f>
        <v>0</v>
      </c>
      <c r="AB170" s="1750">
        <v>4</v>
      </c>
      <c r="AC170" s="1792">
        <f t="shared" si="16"/>
        <v>0</v>
      </c>
      <c r="AD170" s="1834">
        <f>VLOOKUP(C170,'sản lượng'!$D$99:$AP$169,36,0)</f>
        <v>112</v>
      </c>
      <c r="AE170" s="1793"/>
      <c r="AF170" s="1753"/>
    </row>
    <row r="171" spans="1:32" s="1754" customFormat="1" ht="18.75" customHeight="1">
      <c r="A171" s="1770">
        <v>67</v>
      </c>
      <c r="B171" s="2230"/>
      <c r="C171" s="2229" t="s">
        <v>3314</v>
      </c>
      <c r="D171" s="1787" t="s">
        <v>15</v>
      </c>
      <c r="E171" s="1743"/>
      <c r="F171" s="1744"/>
      <c r="G171" s="1744"/>
      <c r="H171" s="1744"/>
      <c r="I171" s="1788"/>
      <c r="J171" s="1745"/>
      <c r="K171" s="1743"/>
      <c r="L171" s="1743"/>
      <c r="M171" s="1759"/>
      <c r="N171" s="1789"/>
      <c r="O171" s="1789"/>
      <c r="P171" s="1789"/>
      <c r="Q171" s="1774">
        <f t="shared" ref="Q171:Q175" si="17">SUM(E171:P171)</f>
        <v>0</v>
      </c>
      <c r="R171" s="1723">
        <f>VLOOKUP(C171,'sản lượng'!$D$99:$AP$169,35,0)</f>
        <v>0</v>
      </c>
      <c r="S171" s="1790"/>
      <c r="T171" s="1791"/>
      <c r="U171" s="1726">
        <f t="shared" ref="U171:U175" si="18">R171</f>
        <v>0</v>
      </c>
      <c r="V171" s="1727">
        <f>VLOOKUP(C171,'CHẤM CÔNG '!$E$98:$AQ$168,34,0)</f>
        <v>1</v>
      </c>
      <c r="W171" s="1727">
        <f>VLOOKUP(C171,'CHẤM CÔNG '!$E$98:$AQ$168,35,0)</f>
        <v>0</v>
      </c>
      <c r="X171" s="1727">
        <f>VLOOKUP(C171,'CHẤM CÔNG '!$E$98:$AQ$168,36,0)</f>
        <v>0</v>
      </c>
      <c r="Y171" s="1727">
        <f>VLOOKUP(C171,'CHẤM CÔNG '!$E$98:$AQ$168,37,0)</f>
        <v>0</v>
      </c>
      <c r="Z171" s="1727">
        <f>VLOOKUP(C171,'CHẤM CÔNG '!$E$98:$AQ$168,38,0)</f>
        <v>0</v>
      </c>
      <c r="AA171" s="1727">
        <f>VLOOKUP(C171,'CHẤM CÔNG '!$E$98:$AQ$168,39,0)</f>
        <v>0</v>
      </c>
      <c r="AB171" s="1750">
        <v>0</v>
      </c>
      <c r="AC171" s="1792">
        <f t="shared" si="16"/>
        <v>0</v>
      </c>
      <c r="AD171" s="2020"/>
      <c r="AE171" s="1793"/>
      <c r="AF171" s="1753"/>
    </row>
    <row r="172" spans="1:32" s="1754" customFormat="1" ht="18.75" customHeight="1">
      <c r="A172" s="1779">
        <v>68</v>
      </c>
      <c r="B172" s="2230"/>
      <c r="C172" s="2229" t="s">
        <v>3315</v>
      </c>
      <c r="D172" s="1787" t="s">
        <v>15</v>
      </c>
      <c r="E172" s="1743"/>
      <c r="F172" s="1744"/>
      <c r="G172" s="1744"/>
      <c r="H172" s="1744"/>
      <c r="I172" s="1788"/>
      <c r="J172" s="1745"/>
      <c r="K172" s="1743"/>
      <c r="L172" s="1743"/>
      <c r="M172" s="1759"/>
      <c r="N172" s="1789"/>
      <c r="O172" s="1789"/>
      <c r="P172" s="1789"/>
      <c r="Q172" s="1774">
        <f t="shared" si="17"/>
        <v>0</v>
      </c>
      <c r="R172" s="1723">
        <f>VLOOKUP(C172,'sản lượng'!$D$99:$AP$169,35,0)</f>
        <v>0</v>
      </c>
      <c r="S172" s="1790"/>
      <c r="T172" s="1791"/>
      <c r="U172" s="1726">
        <f t="shared" si="18"/>
        <v>0</v>
      </c>
      <c r="V172" s="1727">
        <f>VLOOKUP(C172,'CHẤM CÔNG '!$E$98:$AQ$168,34,0)</f>
        <v>0</v>
      </c>
      <c r="W172" s="1727">
        <f>VLOOKUP(C172,'CHẤM CÔNG '!$E$98:$AQ$168,35,0)</f>
        <v>0</v>
      </c>
      <c r="X172" s="1727">
        <f>VLOOKUP(C172,'CHẤM CÔNG '!$E$98:$AQ$168,36,0)</f>
        <v>0</v>
      </c>
      <c r="Y172" s="1727">
        <f>VLOOKUP(C172,'CHẤM CÔNG '!$E$98:$AQ$168,37,0)</f>
        <v>0</v>
      </c>
      <c r="Z172" s="1727">
        <f>VLOOKUP(C172,'CHẤM CÔNG '!$E$98:$AQ$168,38,0)</f>
        <v>0</v>
      </c>
      <c r="AA172" s="1727">
        <f>VLOOKUP(C172,'CHẤM CÔNG '!$E$98:$AQ$168,39,0)</f>
        <v>0</v>
      </c>
      <c r="AB172" s="1750">
        <v>0</v>
      </c>
      <c r="AC172" s="1792">
        <f t="shared" si="16"/>
        <v>0</v>
      </c>
      <c r="AD172" s="2020"/>
      <c r="AE172" s="1793"/>
      <c r="AF172" s="1753"/>
    </row>
    <row r="173" spans="1:32" s="1754" customFormat="1" ht="18.75" customHeight="1">
      <c r="A173" s="1770">
        <v>69</v>
      </c>
      <c r="B173" s="2230"/>
      <c r="C173" s="2229" t="s">
        <v>1155</v>
      </c>
      <c r="D173" s="1787" t="s">
        <v>15</v>
      </c>
      <c r="E173" s="1743"/>
      <c r="F173" s="1744"/>
      <c r="G173" s="1744"/>
      <c r="H173" s="1744"/>
      <c r="I173" s="1788"/>
      <c r="J173" s="1745"/>
      <c r="K173" s="1743"/>
      <c r="L173" s="1743"/>
      <c r="M173" s="1759"/>
      <c r="N173" s="1789"/>
      <c r="O173" s="1789"/>
      <c r="P173" s="1789"/>
      <c r="Q173" s="1774">
        <f t="shared" si="17"/>
        <v>0</v>
      </c>
      <c r="R173" s="1723">
        <f>VLOOKUP(C173,'sản lượng'!$D$99:$AP$169,35,0)</f>
        <v>0</v>
      </c>
      <c r="S173" s="1790"/>
      <c r="T173" s="1791"/>
      <c r="U173" s="1726">
        <f t="shared" si="18"/>
        <v>0</v>
      </c>
      <c r="V173" s="1727">
        <f>VLOOKUP(C173,'CHẤM CÔNG '!$E$98:$AQ$168,34,0)</f>
        <v>0</v>
      </c>
      <c r="W173" s="1727">
        <f>VLOOKUP(C173,'CHẤM CÔNG '!$E$98:$AQ$168,35,0)</f>
        <v>0</v>
      </c>
      <c r="X173" s="1727">
        <f>VLOOKUP(C173,'CHẤM CÔNG '!$E$98:$AQ$168,36,0)</f>
        <v>0</v>
      </c>
      <c r="Y173" s="1727">
        <f>VLOOKUP(C173,'CHẤM CÔNG '!$E$98:$AQ$168,37,0)</f>
        <v>0</v>
      </c>
      <c r="Z173" s="1727">
        <f>VLOOKUP(C173,'CHẤM CÔNG '!$E$98:$AQ$168,38,0)</f>
        <v>0</v>
      </c>
      <c r="AA173" s="1727">
        <f>VLOOKUP(C173,'CHẤM CÔNG '!$E$98:$AQ$168,39,0)</f>
        <v>0</v>
      </c>
      <c r="AB173" s="1750">
        <v>0</v>
      </c>
      <c r="AC173" s="1792">
        <f t="shared" si="16"/>
        <v>0</v>
      </c>
      <c r="AD173" s="2020"/>
      <c r="AE173" s="1793"/>
      <c r="AF173" s="1753"/>
    </row>
    <row r="174" spans="1:32" s="1754" customFormat="1" ht="18.75" customHeight="1">
      <c r="A174" s="1779">
        <v>70</v>
      </c>
      <c r="B174" s="2230"/>
      <c r="C174" s="2229" t="s">
        <v>3331</v>
      </c>
      <c r="D174" s="1787" t="s">
        <v>15</v>
      </c>
      <c r="E174" s="1743"/>
      <c r="F174" s="1744"/>
      <c r="G174" s="1744"/>
      <c r="H174" s="1744"/>
      <c r="I174" s="1788"/>
      <c r="J174" s="1745"/>
      <c r="K174" s="1743"/>
      <c r="L174" s="1743"/>
      <c r="M174" s="1759"/>
      <c r="N174" s="1789"/>
      <c r="O174" s="1789"/>
      <c r="P174" s="1789"/>
      <c r="Q174" s="1774">
        <f t="shared" si="17"/>
        <v>0</v>
      </c>
      <c r="R174" s="1723">
        <f>VLOOKUP(C174,'sản lượng'!$D$99:$AP$169,35,0)</f>
        <v>0</v>
      </c>
      <c r="S174" s="1790"/>
      <c r="T174" s="1791"/>
      <c r="U174" s="1726">
        <f t="shared" si="18"/>
        <v>0</v>
      </c>
      <c r="V174" s="1727">
        <f>VLOOKUP(C174,'CHẤM CÔNG '!$E$98:$AQ$168,34,0)</f>
        <v>0</v>
      </c>
      <c r="W174" s="1727">
        <f>VLOOKUP(C174,'CHẤM CÔNG '!$E$98:$AQ$168,35,0)</f>
        <v>0</v>
      </c>
      <c r="X174" s="1727">
        <f>VLOOKUP(C174,'CHẤM CÔNG '!$E$98:$AQ$168,36,0)</f>
        <v>0</v>
      </c>
      <c r="Y174" s="1727">
        <f>VLOOKUP(C174,'CHẤM CÔNG '!$E$98:$AQ$168,37,0)</f>
        <v>0</v>
      </c>
      <c r="Z174" s="1727">
        <f>VLOOKUP(C174,'CHẤM CÔNG '!$E$98:$AQ$168,38,0)</f>
        <v>0</v>
      </c>
      <c r="AA174" s="1727">
        <f>VLOOKUP(C174,'CHẤM CÔNG '!$E$98:$AQ$168,39,0)</f>
        <v>0</v>
      </c>
      <c r="AB174" s="1750">
        <v>0</v>
      </c>
      <c r="AC174" s="1792">
        <f t="shared" si="16"/>
        <v>0</v>
      </c>
      <c r="AD174" s="2020"/>
      <c r="AE174" s="1793"/>
      <c r="AF174" s="1753"/>
    </row>
    <row r="175" spans="1:32" s="1754" customFormat="1" ht="18.75" customHeight="1">
      <c r="A175" s="1770">
        <v>71</v>
      </c>
      <c r="B175" s="2230"/>
      <c r="C175" s="2229" t="s">
        <v>1064</v>
      </c>
      <c r="D175" s="1787" t="s">
        <v>15</v>
      </c>
      <c r="E175" s="1743"/>
      <c r="F175" s="1744"/>
      <c r="G175" s="1744"/>
      <c r="H175" s="1744"/>
      <c r="I175" s="1788"/>
      <c r="J175" s="1745"/>
      <c r="K175" s="1743"/>
      <c r="L175" s="1743"/>
      <c r="M175" s="1759"/>
      <c r="N175" s="1789"/>
      <c r="O175" s="1789"/>
      <c r="P175" s="1789"/>
      <c r="Q175" s="1774">
        <f t="shared" si="17"/>
        <v>0</v>
      </c>
      <c r="R175" s="1723">
        <f>VLOOKUP(C175,'sản lượng'!$D$99:$AP$169,35,0)</f>
        <v>790.77783114164242</v>
      </c>
      <c r="S175" s="1790"/>
      <c r="T175" s="1791"/>
      <c r="U175" s="1726">
        <f t="shared" si="18"/>
        <v>790.77783114164242</v>
      </c>
      <c r="V175" s="1727">
        <f>VLOOKUP(C175,'CHẤM CÔNG '!$E$98:$AQ$168,34,0)</f>
        <v>14</v>
      </c>
      <c r="W175" s="1727">
        <f>VLOOKUP(C175,'CHẤM CÔNG '!$E$98:$AQ$168,35,0)</f>
        <v>3</v>
      </c>
      <c r="X175" s="1727">
        <f>VLOOKUP(C175,'CHẤM CÔNG '!$E$98:$AQ$168,36,0)</f>
        <v>3</v>
      </c>
      <c r="Y175" s="1727">
        <f>VLOOKUP(C175,'CHẤM CÔNG '!$E$98:$AQ$168,37,0)</f>
        <v>0</v>
      </c>
      <c r="Z175" s="1727">
        <f>VLOOKUP(C175,'CHẤM CÔNG '!$E$98:$AQ$168,38,0)</f>
        <v>0</v>
      </c>
      <c r="AA175" s="1727">
        <f>VLOOKUP(C175,'CHẤM CÔNG '!$E$98:$AQ$168,39,0)</f>
        <v>0</v>
      </c>
      <c r="AB175" s="1750">
        <v>16</v>
      </c>
      <c r="AC175" s="1792">
        <f t="shared" si="16"/>
        <v>0</v>
      </c>
      <c r="AD175" s="2020"/>
      <c r="AE175" s="1793"/>
      <c r="AF175" s="1753"/>
    </row>
    <row r="176" spans="1:32" s="1754" customFormat="1" ht="18.75" customHeight="1">
      <c r="A176" s="2038"/>
      <c r="B176" s="2230"/>
      <c r="C176" s="2231" t="s">
        <v>3332</v>
      </c>
      <c r="D176" s="1787"/>
      <c r="E176" s="1743"/>
      <c r="F176" s="1744"/>
      <c r="G176" s="1744"/>
      <c r="H176" s="1744"/>
      <c r="I176" s="1788"/>
      <c r="J176" s="1745"/>
      <c r="K176" s="1743"/>
      <c r="L176" s="1743"/>
      <c r="M176" s="1759"/>
      <c r="N176" s="1789"/>
      <c r="O176" s="1789"/>
      <c r="P176" s="1789"/>
      <c r="Q176" s="1794">
        <f t="shared" ref="Q176:Q179" si="19">SUM(E176:P176)</f>
        <v>0</v>
      </c>
      <c r="R176" s="1723"/>
      <c r="S176" s="1790"/>
      <c r="T176" s="2039">
        <f>S176*S182/100</f>
        <v>0</v>
      </c>
      <c r="U176" s="1726">
        <f>T176</f>
        <v>0</v>
      </c>
      <c r="V176" s="1727"/>
      <c r="W176" s="1727"/>
      <c r="X176" s="2041"/>
      <c r="Y176" s="2041"/>
      <c r="Z176" s="2041"/>
      <c r="AA176" s="2041"/>
      <c r="AB176" s="1750"/>
      <c r="AC176" s="1792">
        <f>+Q176</f>
        <v>0</v>
      </c>
      <c r="AD176" s="2020"/>
      <c r="AE176" s="1793"/>
      <c r="AF176" s="1753"/>
    </row>
    <row r="177" spans="1:41" s="1754" customFormat="1" ht="18.75" customHeight="1">
      <c r="A177" s="2038"/>
      <c r="B177" s="2230"/>
      <c r="C177" s="2232" t="s">
        <v>527</v>
      </c>
      <c r="D177" s="1787"/>
      <c r="E177" s="1743"/>
      <c r="F177" s="1744"/>
      <c r="G177" s="1744"/>
      <c r="H177" s="1744"/>
      <c r="I177" s="1788"/>
      <c r="J177" s="1745"/>
      <c r="K177" s="1743"/>
      <c r="L177" s="1743"/>
      <c r="M177" s="1759"/>
      <c r="N177" s="1789"/>
      <c r="O177" s="1789"/>
      <c r="P177" s="1789"/>
      <c r="Q177" s="1794"/>
      <c r="R177" s="1723"/>
      <c r="S177" s="1790"/>
      <c r="T177" s="2039"/>
      <c r="U177" s="2040"/>
      <c r="V177" s="1727"/>
      <c r="W177" s="1727"/>
      <c r="X177" s="2041"/>
      <c r="Y177" s="2041"/>
      <c r="Z177" s="2041"/>
      <c r="AA177" s="2041"/>
      <c r="AB177" s="1750"/>
      <c r="AC177" s="1792"/>
      <c r="AD177" s="2020"/>
      <c r="AE177" s="1793"/>
      <c r="AF177" s="1753"/>
    </row>
    <row r="178" spans="1:41" s="1754" customFormat="1" ht="18.75" customHeight="1">
      <c r="A178" s="2038"/>
      <c r="B178" s="2230"/>
      <c r="C178" s="2232" t="s">
        <v>3410</v>
      </c>
      <c r="D178" s="1787"/>
      <c r="E178" s="1743"/>
      <c r="F178" s="1744"/>
      <c r="G178" s="1744"/>
      <c r="H178" s="1744"/>
      <c r="I178" s="1788"/>
      <c r="J178" s="1745"/>
      <c r="K178" s="1743"/>
      <c r="L178" s="1743"/>
      <c r="M178" s="1759"/>
      <c r="N178" s="1789"/>
      <c r="O178" s="1789"/>
      <c r="P178" s="1789"/>
      <c r="Q178" s="1794">
        <f t="shared" si="19"/>
        <v>0</v>
      </c>
      <c r="R178" s="1723"/>
      <c r="S178" s="1790"/>
      <c r="T178" s="2039"/>
      <c r="U178" s="2040"/>
      <c r="V178" s="1727"/>
      <c r="W178" s="1727"/>
      <c r="X178" s="2041"/>
      <c r="Y178" s="2041"/>
      <c r="Z178" s="2041"/>
      <c r="AA178" s="2041"/>
      <c r="AB178" s="1750"/>
      <c r="AC178" s="1792"/>
      <c r="AD178" s="2020"/>
      <c r="AE178" s="1793"/>
      <c r="AF178" s="1753"/>
    </row>
    <row r="179" spans="1:41" s="1754" customFormat="1" ht="18.75" customHeight="1">
      <c r="A179" s="1770">
        <v>73</v>
      </c>
      <c r="B179" s="1786"/>
      <c r="C179" s="1795" t="s">
        <v>3094</v>
      </c>
      <c r="D179" s="1796"/>
      <c r="E179" s="1759"/>
      <c r="F179" s="1760"/>
      <c r="G179" s="1760"/>
      <c r="H179" s="1760"/>
      <c r="I179" s="1788"/>
      <c r="J179" s="1761"/>
      <c r="K179" s="1759"/>
      <c r="L179" s="1759"/>
      <c r="M179" s="1759"/>
      <c r="N179" s="1789"/>
      <c r="O179" s="1762"/>
      <c r="P179" s="1762"/>
      <c r="Q179" s="1794">
        <f t="shared" si="19"/>
        <v>0</v>
      </c>
      <c r="R179" s="1797"/>
      <c r="S179" s="1798"/>
      <c r="T179" s="1799"/>
      <c r="U179" s="1800"/>
      <c r="V179" s="1727"/>
      <c r="W179" s="1729"/>
      <c r="X179" s="1801"/>
      <c r="Y179" s="1802"/>
      <c r="Z179" s="1802"/>
      <c r="AA179" s="1802"/>
      <c r="AB179" s="1750"/>
      <c r="AC179" s="1792">
        <f t="shared" si="16"/>
        <v>0</v>
      </c>
      <c r="AD179" s="1803"/>
      <c r="AE179" s="1793"/>
      <c r="AF179" s="1753"/>
    </row>
    <row r="180" spans="1:41" ht="18.75" customHeight="1">
      <c r="A180" s="2553" t="s">
        <v>3095</v>
      </c>
      <c r="B180" s="2553"/>
      <c r="C180" s="2553"/>
      <c r="D180" s="2553"/>
      <c r="E180" s="1804">
        <f t="shared" ref="E180:AC180" si="20">E9</f>
        <v>396.79999999999961</v>
      </c>
      <c r="F180" s="1805">
        <f t="shared" si="20"/>
        <v>0</v>
      </c>
      <c r="G180" s="1804">
        <f t="shared" si="20"/>
        <v>0</v>
      </c>
      <c r="H180" s="1804">
        <f t="shared" si="20"/>
        <v>0</v>
      </c>
      <c r="I180" s="1804">
        <f t="shared" si="20"/>
        <v>0</v>
      </c>
      <c r="J180" s="1804">
        <f t="shared" si="20"/>
        <v>0</v>
      </c>
      <c r="K180" s="1804">
        <f t="shared" si="20"/>
        <v>0</v>
      </c>
      <c r="L180" s="1804">
        <f t="shared" si="20"/>
        <v>0</v>
      </c>
      <c r="M180" s="1804">
        <f t="shared" si="20"/>
        <v>14.939480000000003</v>
      </c>
      <c r="N180" s="1804">
        <f t="shared" si="20"/>
        <v>0</v>
      </c>
      <c r="O180" s="1804">
        <f t="shared" si="20"/>
        <v>0</v>
      </c>
      <c r="P180" s="1806">
        <f t="shared" si="20"/>
        <v>0</v>
      </c>
      <c r="Q180" s="1806">
        <f t="shared" si="20"/>
        <v>411.73947999999962</v>
      </c>
      <c r="R180" s="1804">
        <f t="shared" si="20"/>
        <v>221410.83800000008</v>
      </c>
      <c r="S180" s="1806">
        <f t="shared" si="20"/>
        <v>0</v>
      </c>
      <c r="T180" s="1806">
        <f t="shared" si="20"/>
        <v>0</v>
      </c>
      <c r="U180" s="1804">
        <f t="shared" si="20"/>
        <v>221410.83800000008</v>
      </c>
      <c r="V180" s="1807">
        <f t="shared" si="20"/>
        <v>3192</v>
      </c>
      <c r="W180" s="1807">
        <f t="shared" si="20"/>
        <v>508</v>
      </c>
      <c r="X180" s="1807">
        <f t="shared" si="20"/>
        <v>230</v>
      </c>
      <c r="Y180" s="1807">
        <f t="shared" si="20"/>
        <v>0</v>
      </c>
      <c r="Z180" s="1807">
        <f t="shared" si="20"/>
        <v>0</v>
      </c>
      <c r="AA180" s="1807">
        <f t="shared" si="20"/>
        <v>0</v>
      </c>
      <c r="AB180" s="1804">
        <f t="shared" si="20"/>
        <v>1417</v>
      </c>
      <c r="AC180" s="1806">
        <f t="shared" si="20"/>
        <v>411.73947999999962</v>
      </c>
      <c r="AD180" s="1808"/>
      <c r="AE180" s="1809"/>
      <c r="AF180" s="1810">
        <f>6262+211</f>
        <v>6473</v>
      </c>
      <c r="AG180" s="1811"/>
      <c r="AO180" s="1666">
        <v>64.900000000000006</v>
      </c>
    </row>
    <row r="181" spans="1:41" ht="18" customHeight="1">
      <c r="C181" s="1666">
        <v>1</v>
      </c>
      <c r="D181" s="1666">
        <v>2</v>
      </c>
      <c r="E181" s="1666">
        <v>3</v>
      </c>
      <c r="F181" s="1666">
        <v>4</v>
      </c>
      <c r="G181" s="1666">
        <v>5</v>
      </c>
      <c r="H181" s="1666">
        <v>6</v>
      </c>
      <c r="I181" s="1666">
        <v>7</v>
      </c>
      <c r="J181" s="1666">
        <v>8</v>
      </c>
      <c r="K181" s="1666">
        <v>9</v>
      </c>
      <c r="L181" s="1666">
        <v>10</v>
      </c>
      <c r="M181" s="1666">
        <v>11</v>
      </c>
      <c r="N181" s="1666">
        <v>12</v>
      </c>
      <c r="O181" s="1666">
        <v>13</v>
      </c>
      <c r="P181" s="1666">
        <v>14</v>
      </c>
      <c r="Q181" s="1666">
        <v>15</v>
      </c>
      <c r="R181" s="1666">
        <v>16</v>
      </c>
      <c r="S181" s="1666">
        <v>17</v>
      </c>
      <c r="T181" s="1666">
        <v>18</v>
      </c>
      <c r="U181" s="1666">
        <v>19</v>
      </c>
      <c r="V181" s="1813" t="s">
        <v>3096</v>
      </c>
      <c r="W181" s="1813"/>
      <c r="AC181" s="1814"/>
      <c r="AD181" s="1815"/>
      <c r="AE181" s="1815"/>
      <c r="AF181" s="1816"/>
      <c r="AG181" s="1817">
        <f>89-22</f>
        <v>67</v>
      </c>
      <c r="AO181" s="1666">
        <v>27.48</v>
      </c>
    </row>
    <row r="182" spans="1:41" ht="15.75">
      <c r="C182" s="2547" t="s">
        <v>2327</v>
      </c>
      <c r="D182" s="2547"/>
      <c r="E182" s="2547"/>
      <c r="F182" s="1671"/>
      <c r="G182" s="1818"/>
      <c r="H182" s="1818"/>
      <c r="I182" s="1818"/>
      <c r="J182" s="1818"/>
      <c r="K182" s="1818"/>
      <c r="L182" s="1818"/>
      <c r="M182" s="1818"/>
      <c r="N182" s="1818"/>
      <c r="O182" s="2546"/>
      <c r="P182" s="2546"/>
      <c r="Q182" s="2546"/>
      <c r="R182" s="1812"/>
      <c r="S182" s="1819">
        <v>43.421784961349267</v>
      </c>
      <c r="T182" s="1820"/>
      <c r="U182" s="2547" t="s">
        <v>3097</v>
      </c>
      <c r="V182" s="2547"/>
      <c r="W182" s="2547"/>
      <c r="X182" s="2547"/>
      <c r="Y182" s="2547"/>
      <c r="Z182" s="2547"/>
      <c r="AA182" s="2547"/>
      <c r="AB182" s="2547"/>
      <c r="AC182" s="2547"/>
      <c r="AD182" s="1818"/>
      <c r="AE182" s="1818"/>
      <c r="AF182" s="1684">
        <f>SUM(COUNTIF(AD10:AD154,"A"))</f>
        <v>0</v>
      </c>
      <c r="AG182" s="1821"/>
      <c r="AH182" s="1666">
        <v>2.21</v>
      </c>
      <c r="AI182" s="1666">
        <v>4.6100000000000003</v>
      </c>
      <c r="AJ182" s="1666">
        <v>34.04</v>
      </c>
      <c r="AK182" s="1666">
        <v>19.05</v>
      </c>
      <c r="AO182" s="1666">
        <v>103.6</v>
      </c>
    </row>
    <row r="183" spans="1:41">
      <c r="Q183" s="1693"/>
      <c r="R183" s="1812"/>
      <c r="AF183" s="1684">
        <f>SUM(COUNTIF(AD10:AD154,"B"))</f>
        <v>0</v>
      </c>
      <c r="AG183" s="1821"/>
      <c r="AH183" s="1666">
        <v>2.4900000000000002</v>
      </c>
      <c r="AI183" s="1666">
        <v>4.9000000000000004</v>
      </c>
      <c r="AO183" s="1666">
        <v>1329.51</v>
      </c>
    </row>
    <row r="184" spans="1:41">
      <c r="G184" s="2549">
        <f>G179*25000</f>
        <v>0</v>
      </c>
      <c r="H184" s="2549"/>
      <c r="I184" s="2549">
        <f>I179*25000</f>
        <v>0</v>
      </c>
      <c r="J184" s="2549"/>
      <c r="Q184" s="1693"/>
      <c r="R184" s="1812"/>
      <c r="AF184" s="1684">
        <f>SUM(COUNTIF(AD10:AD181,"C"))</f>
        <v>0</v>
      </c>
      <c r="AG184" s="1821"/>
      <c r="AH184" s="1666">
        <v>1.64</v>
      </c>
      <c r="AI184" s="1666">
        <v>20.7</v>
      </c>
      <c r="AO184" s="1666">
        <v>204.12</v>
      </c>
    </row>
    <row r="185" spans="1:41">
      <c r="Q185" s="1694">
        <f>P180-13726.58</f>
        <v>-13726.58</v>
      </c>
      <c r="R185" s="1822"/>
      <c r="AG185" s="1821"/>
      <c r="AH185" s="1666">
        <v>9.7799999999999994</v>
      </c>
      <c r="AO185" s="1666">
        <v>927.08</v>
      </c>
    </row>
    <row r="186" spans="1:41">
      <c r="Q186" s="1693"/>
      <c r="R186" s="1812"/>
      <c r="AG186" s="1821"/>
      <c r="AH186" s="1666">
        <f>SUM(AH182:AH185)</f>
        <v>16.119999999999997</v>
      </c>
      <c r="AI186" s="1666">
        <f>SUM(AI182:AI185)</f>
        <v>30.21</v>
      </c>
      <c r="AJ186" s="1666">
        <f>SUM(AJ182:AJ185)</f>
        <v>34.04</v>
      </c>
      <c r="AK186" s="1666">
        <f>SUM(AK182:AK185)</f>
        <v>19.05</v>
      </c>
      <c r="AO186" s="1666">
        <v>90.76</v>
      </c>
    </row>
    <row r="187" spans="1:41">
      <c r="C187" s="2545" t="s">
        <v>3098</v>
      </c>
      <c r="D187" s="2545"/>
      <c r="E187" s="2545"/>
      <c r="F187" s="1823"/>
      <c r="G187" s="1824"/>
      <c r="H187" s="1824"/>
      <c r="I187" s="1824"/>
      <c r="J187" s="1824"/>
      <c r="K187" s="1824"/>
      <c r="L187" s="1824"/>
      <c r="M187" s="1824"/>
      <c r="N187" s="1824"/>
      <c r="O187" s="1824"/>
      <c r="P187" s="1824"/>
      <c r="Q187" s="1825"/>
      <c r="R187" s="1812"/>
      <c r="S187" s="1826"/>
      <c r="T187" s="1827"/>
      <c r="U187" s="2545" t="s">
        <v>3099</v>
      </c>
      <c r="V187" s="2545"/>
      <c r="W187" s="2545"/>
      <c r="X187" s="2545"/>
      <c r="Y187" s="2545"/>
      <c r="Z187" s="2545"/>
      <c r="AA187" s="2545"/>
      <c r="AB187" s="2545"/>
      <c r="AC187" s="2545"/>
      <c r="AD187" s="1824"/>
      <c r="AE187" s="1824"/>
      <c r="AH187" s="1666">
        <f>AH186/0.17</f>
        <v>94.823529411764682</v>
      </c>
      <c r="AI187" s="1666">
        <f>AI186/0.2</f>
        <v>151.04999999999998</v>
      </c>
      <c r="AJ187" s="1666">
        <f>AJ186/0.25</f>
        <v>136.16</v>
      </c>
      <c r="AK187" s="1666">
        <f>AK186/0.18</f>
        <v>105.83333333333334</v>
      </c>
      <c r="AO187" s="1666">
        <v>32.67</v>
      </c>
    </row>
    <row r="188" spans="1:41">
      <c r="Q188" s="1693"/>
      <c r="R188" s="1812"/>
      <c r="AO188" s="1666">
        <v>11.24</v>
      </c>
    </row>
    <row r="189" spans="1:41">
      <c r="Q189" s="1693"/>
      <c r="R189" s="1812"/>
      <c r="AO189" s="1666">
        <f>SUM(AO180:AO188)</f>
        <v>2791.36</v>
      </c>
    </row>
    <row r="190" spans="1:41">
      <c r="Q190" s="1693"/>
      <c r="R190" s="1812"/>
    </row>
    <row r="191" spans="1:41">
      <c r="Q191" s="1693"/>
      <c r="R191" s="1812"/>
    </row>
    <row r="192" spans="1:41">
      <c r="Q192" s="1693"/>
      <c r="R192" s="1812"/>
    </row>
    <row r="193" spans="17:18">
      <c r="Q193" s="1828"/>
      <c r="R193" s="1812"/>
    </row>
    <row r="194" spans="17:18">
      <c r="Q194" s="1693"/>
      <c r="R194" s="1812"/>
    </row>
    <row r="195" spans="17:18">
      <c r="Q195" s="1693"/>
      <c r="R195" s="1812"/>
    </row>
    <row r="196" spans="17:18">
      <c r="Q196" s="1693"/>
      <c r="R196" s="1812"/>
    </row>
    <row r="197" spans="17:18">
      <c r="Q197" s="1693"/>
      <c r="R197" s="1812"/>
    </row>
    <row r="198" spans="17:18">
      <c r="Q198" s="1693"/>
      <c r="R198" s="1812"/>
    </row>
    <row r="199" spans="17:18">
      <c r="Q199" s="1693"/>
      <c r="R199" s="1812"/>
    </row>
    <row r="200" spans="17:18">
      <c r="Q200" s="1828"/>
      <c r="R200" s="1812"/>
    </row>
    <row r="201" spans="17:18">
      <c r="Q201" s="1693"/>
      <c r="R201" s="1812"/>
    </row>
    <row r="202" spans="17:18">
      <c r="Q202" s="1693"/>
      <c r="R202" s="1812"/>
    </row>
    <row r="203" spans="17:18">
      <c r="Q203" s="1693"/>
      <c r="R203" s="1812"/>
    </row>
    <row r="204" spans="17:18">
      <c r="Q204" s="1693"/>
      <c r="R204" s="1812"/>
    </row>
    <row r="205" spans="17:18">
      <c r="Q205" s="1693"/>
      <c r="R205" s="1812"/>
    </row>
    <row r="206" spans="17:18">
      <c r="Q206" s="1693"/>
      <c r="R206" s="1812"/>
    </row>
    <row r="207" spans="17:18">
      <c r="Q207" s="1693"/>
      <c r="R207" s="1812"/>
    </row>
    <row r="208" spans="17:18">
      <c r="Q208" s="1693"/>
      <c r="R208" s="1812"/>
    </row>
    <row r="209" spans="17:18">
      <c r="Q209" s="1693"/>
      <c r="R209" s="1812"/>
    </row>
    <row r="210" spans="17:18">
      <c r="Q210" s="1693"/>
      <c r="R210" s="1812"/>
    </row>
    <row r="211" spans="17:18">
      <c r="Q211" s="1693"/>
      <c r="R211" s="1812"/>
    </row>
    <row r="212" spans="17:18">
      <c r="Q212" s="1693"/>
      <c r="R212" s="1812"/>
    </row>
    <row r="213" spans="17:18">
      <c r="Q213" s="1693"/>
      <c r="R213" s="1812"/>
    </row>
    <row r="214" spans="17:18">
      <c r="Q214" s="1693"/>
      <c r="R214" s="1812"/>
    </row>
    <row r="215" spans="17:18">
      <c r="Q215" s="1693"/>
      <c r="R215" s="1812"/>
    </row>
    <row r="216" spans="17:18">
      <c r="Q216" s="1693"/>
      <c r="R216" s="1812"/>
    </row>
    <row r="217" spans="17:18">
      <c r="Q217" s="1693"/>
      <c r="R217" s="1812"/>
    </row>
    <row r="218" spans="17:18">
      <c r="Q218" s="1693"/>
      <c r="R218" s="1812"/>
    </row>
    <row r="219" spans="17:18">
      <c r="Q219" s="1693"/>
      <c r="R219" s="1812"/>
    </row>
    <row r="220" spans="17:18">
      <c r="Q220" s="1693"/>
      <c r="R220" s="1812"/>
    </row>
    <row r="221" spans="17:18">
      <c r="Q221" s="1693"/>
      <c r="R221" s="1812"/>
    </row>
    <row r="222" spans="17:18">
      <c r="Q222" s="1693"/>
      <c r="R222" s="1812"/>
    </row>
    <row r="223" spans="17:18">
      <c r="Q223" s="1693"/>
      <c r="R223" s="1812"/>
    </row>
    <row r="224" spans="17:18">
      <c r="Q224" s="1693"/>
      <c r="R224" s="1812"/>
    </row>
    <row r="225" spans="17:18">
      <c r="Q225" s="1693"/>
      <c r="R225" s="1812"/>
    </row>
    <row r="226" spans="17:18">
      <c r="Q226" s="1693"/>
      <c r="R226" s="1812"/>
    </row>
    <row r="227" spans="17:18">
      <c r="Q227" s="1693"/>
      <c r="R227" s="1812"/>
    </row>
    <row r="228" spans="17:18">
      <c r="Q228" s="1693"/>
      <c r="R228" s="1829"/>
    </row>
  </sheetData>
  <mergeCells count="40">
    <mergeCell ref="A5:AE5"/>
    <mergeCell ref="A2:G2"/>
    <mergeCell ref="R2:AE2"/>
    <mergeCell ref="A3:G3"/>
    <mergeCell ref="R3:AE3"/>
    <mergeCell ref="A4:G4"/>
    <mergeCell ref="M7:M8"/>
    <mergeCell ref="P7:P8"/>
    <mergeCell ref="N7:N8"/>
    <mergeCell ref="AD7:AD8"/>
    <mergeCell ref="Q7:Q8"/>
    <mergeCell ref="R7:T7"/>
    <mergeCell ref="O7:O8"/>
    <mergeCell ref="AC7:AC8"/>
    <mergeCell ref="B9:D9"/>
    <mergeCell ref="B10:D10"/>
    <mergeCell ref="B104:D104"/>
    <mergeCell ref="A180:D180"/>
    <mergeCell ref="F7:F8"/>
    <mergeCell ref="A6:A8"/>
    <mergeCell ref="B6:B8"/>
    <mergeCell ref="C6:C8"/>
    <mergeCell ref="D6:D8"/>
    <mergeCell ref="E6:AE6"/>
    <mergeCell ref="E7:E8"/>
    <mergeCell ref="G7:G8"/>
    <mergeCell ref="H7:H8"/>
    <mergeCell ref="I7:I8"/>
    <mergeCell ref="AE7:AE8"/>
    <mergeCell ref="V7:X7"/>
    <mergeCell ref="J7:J8"/>
    <mergeCell ref="K7:K8"/>
    <mergeCell ref="L7:L8"/>
    <mergeCell ref="G184:H184"/>
    <mergeCell ref="I184:J184"/>
    <mergeCell ref="C187:E187"/>
    <mergeCell ref="U187:AC187"/>
    <mergeCell ref="O182:Q182"/>
    <mergeCell ref="C182:E182"/>
    <mergeCell ref="U182:AC18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1" customWidth="1"/>
    <col min="2" max="2" width="10.42578125" style="411" customWidth="1"/>
    <col min="3" max="3" width="13.42578125" style="411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417" t="s">
        <v>1927</v>
      </c>
      <c r="B1" s="2417"/>
      <c r="C1" s="2417"/>
      <c r="D1" s="2417"/>
      <c r="E1" s="2417"/>
      <c r="F1" s="2417"/>
      <c r="G1" s="2417"/>
      <c r="H1" s="2417"/>
      <c r="I1" s="2417"/>
      <c r="J1" s="2417"/>
      <c r="K1" s="2417"/>
      <c r="L1" s="1030"/>
      <c r="M1" s="1029"/>
      <c r="N1" s="1029"/>
      <c r="O1" s="1029"/>
      <c r="P1" s="1031"/>
      <c r="Q1" s="1029"/>
      <c r="R1" s="2418" t="s">
        <v>1928</v>
      </c>
      <c r="S1" s="2418"/>
      <c r="T1" s="2418"/>
      <c r="U1" s="2418"/>
      <c r="V1" s="2418"/>
      <c r="W1" s="2418"/>
      <c r="X1" s="2418"/>
      <c r="Y1" s="2418"/>
      <c r="Z1" s="2418"/>
      <c r="AA1" s="2418"/>
      <c r="AB1" s="2418"/>
      <c r="AC1" s="2418"/>
      <c r="AD1" s="2418"/>
      <c r="AE1" s="2418"/>
      <c r="AF1" s="2418"/>
      <c r="AG1" s="2418"/>
      <c r="AH1" s="2418"/>
      <c r="AI1" s="2418"/>
      <c r="AJ1" s="2418"/>
      <c r="AK1" s="2418"/>
    </row>
    <row r="2" spans="1:39" ht="18.75">
      <c r="A2" s="2417" t="s">
        <v>1929</v>
      </c>
      <c r="B2" s="2417"/>
      <c r="C2" s="2417"/>
      <c r="D2" s="2417"/>
      <c r="E2" s="2417"/>
      <c r="F2" s="2417"/>
      <c r="G2" s="2417"/>
      <c r="H2" s="2417"/>
      <c r="I2" s="2417"/>
      <c r="J2" s="2417"/>
      <c r="K2" s="2417"/>
      <c r="L2" s="1030"/>
      <c r="M2" s="1029"/>
      <c r="N2" s="1029"/>
      <c r="O2" s="1029"/>
      <c r="P2" s="1031"/>
      <c r="Q2" s="1029"/>
      <c r="R2" s="2418" t="s">
        <v>1</v>
      </c>
      <c r="S2" s="2418"/>
      <c r="T2" s="2418"/>
      <c r="U2" s="2418"/>
      <c r="V2" s="2418"/>
      <c r="W2" s="2418"/>
      <c r="X2" s="2418"/>
      <c r="Y2" s="2418"/>
      <c r="Z2" s="2418"/>
      <c r="AA2" s="2418"/>
      <c r="AB2" s="2418"/>
      <c r="AC2" s="2418"/>
      <c r="AD2" s="2418"/>
      <c r="AE2" s="2418"/>
      <c r="AF2" s="2418"/>
      <c r="AG2" s="2418"/>
      <c r="AH2" s="2418"/>
      <c r="AI2" s="2418"/>
      <c r="AJ2" s="2418"/>
      <c r="AK2" s="2418"/>
    </row>
    <row r="3" spans="1:39" ht="16.149999999999999" customHeight="1">
      <c r="A3" s="2419"/>
      <c r="B3" s="2419"/>
      <c r="C3" s="2419"/>
      <c r="D3" s="2419"/>
      <c r="E3" s="2419"/>
      <c r="F3" s="2419"/>
      <c r="G3" s="2419"/>
      <c r="H3" s="2419"/>
      <c r="I3" s="2419"/>
      <c r="J3" s="2419"/>
      <c r="K3" s="2419"/>
      <c r="L3" s="1030"/>
      <c r="M3" s="1029"/>
      <c r="N3" s="1029"/>
      <c r="O3" s="1029"/>
      <c r="P3" s="1031"/>
      <c r="Q3" s="1029"/>
      <c r="R3" s="2420" t="s">
        <v>619</v>
      </c>
      <c r="S3" s="2418"/>
      <c r="T3" s="2418"/>
      <c r="U3" s="2418"/>
      <c r="V3" s="2418"/>
      <c r="W3" s="2418"/>
      <c r="X3" s="2418"/>
      <c r="Y3" s="2418"/>
      <c r="Z3" s="2418"/>
      <c r="AA3" s="2418"/>
      <c r="AB3" s="2418"/>
      <c r="AC3" s="2418"/>
      <c r="AD3" s="2418"/>
      <c r="AE3" s="2418"/>
      <c r="AF3" s="2418"/>
      <c r="AG3" s="2418"/>
      <c r="AH3" s="2418"/>
      <c r="AI3" s="2418"/>
      <c r="AJ3" s="2418"/>
      <c r="AK3" s="2418"/>
    </row>
    <row r="4" spans="1:39" ht="27.75" customHeight="1">
      <c r="A4" s="2437" t="s">
        <v>2009</v>
      </c>
      <c r="B4" s="2437"/>
      <c r="C4" s="2437"/>
      <c r="D4" s="2437"/>
      <c r="E4" s="2437"/>
      <c r="F4" s="2437"/>
      <c r="G4" s="2437"/>
      <c r="H4" s="2437"/>
      <c r="I4" s="2437"/>
      <c r="J4" s="2437"/>
      <c r="K4" s="2437"/>
      <c r="L4" s="2437"/>
      <c r="M4" s="2437"/>
      <c r="N4" s="2437"/>
      <c r="O4" s="2437"/>
      <c r="P4" s="2437"/>
      <c r="Q4" s="2437"/>
      <c r="R4" s="2437"/>
      <c r="S4" s="2437"/>
      <c r="T4" s="2437"/>
      <c r="U4" s="2437"/>
      <c r="V4" s="2437"/>
      <c r="W4" s="2437"/>
      <c r="X4" s="2437"/>
      <c r="Y4" s="2437"/>
      <c r="Z4" s="2437"/>
      <c r="AA4" s="2437"/>
      <c r="AB4" s="2437"/>
      <c r="AC4" s="2437"/>
      <c r="AD4" s="2437"/>
      <c r="AE4" s="2437"/>
      <c r="AF4" s="2437"/>
      <c r="AG4" s="2437"/>
      <c r="AH4" s="2437"/>
      <c r="AI4" s="2437"/>
      <c r="AJ4" s="1048"/>
      <c r="AK4" s="1048"/>
    </row>
    <row r="5" spans="1:39" ht="18.75" customHeight="1">
      <c r="A5" s="2414" t="s">
        <v>1951</v>
      </c>
      <c r="B5" s="2414"/>
      <c r="C5" s="2414"/>
      <c r="D5" s="2414"/>
      <c r="E5" s="2414"/>
      <c r="F5" s="2414"/>
      <c r="G5" s="2414"/>
      <c r="H5" s="2414"/>
      <c r="I5" s="2414"/>
      <c r="J5" s="2414"/>
      <c r="K5" s="2414"/>
      <c r="L5" s="2414"/>
      <c r="M5" s="2414"/>
      <c r="N5" s="2414"/>
      <c r="O5" s="2414"/>
      <c r="P5" s="2414"/>
      <c r="Q5" s="2414"/>
      <c r="R5" s="2414"/>
      <c r="S5" s="2414"/>
      <c r="T5" s="2414"/>
      <c r="U5" s="2414"/>
      <c r="V5" s="2414"/>
      <c r="W5" s="2414"/>
      <c r="X5" s="2414"/>
      <c r="Y5" s="2414"/>
      <c r="Z5" s="2414"/>
      <c r="AA5" s="2414"/>
      <c r="AB5" s="2414"/>
      <c r="AC5" s="2414"/>
      <c r="AD5" s="2414"/>
      <c r="AE5" s="2414"/>
      <c r="AF5" s="2414"/>
      <c r="AG5" s="2414"/>
      <c r="AH5" s="2414"/>
      <c r="AI5" s="2414"/>
      <c r="AJ5" s="1048"/>
      <c r="AK5" s="1048"/>
    </row>
    <row r="6" spans="1:39" s="51" customFormat="1" ht="15.75" customHeight="1">
      <c r="A6" s="2409" t="s">
        <v>623</v>
      </c>
      <c r="B6" s="2409" t="s">
        <v>1932</v>
      </c>
      <c r="C6" s="2409" t="s">
        <v>356</v>
      </c>
      <c r="D6" s="2409" t="s">
        <v>529</v>
      </c>
      <c r="E6" s="2409"/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2409"/>
      <c r="Q6" s="2409"/>
      <c r="R6" s="2409"/>
      <c r="S6" s="2409"/>
      <c r="T6" s="2409"/>
      <c r="U6" s="2409"/>
      <c r="V6" s="2409"/>
      <c r="W6" s="2409"/>
      <c r="X6" s="2409"/>
      <c r="Y6" s="2409"/>
      <c r="Z6" s="2409"/>
      <c r="AA6" s="2409"/>
      <c r="AB6" s="2409"/>
      <c r="AC6" s="2409"/>
      <c r="AD6" s="2409"/>
      <c r="AE6" s="2409"/>
      <c r="AF6" s="2409"/>
      <c r="AG6" s="2409"/>
      <c r="AH6" s="2409"/>
      <c r="AI6" s="2573" t="s">
        <v>2010</v>
      </c>
      <c r="AJ6" s="2572" t="s">
        <v>525</v>
      </c>
      <c r="AK6" s="2572" t="s">
        <v>1934</v>
      </c>
    </row>
    <row r="7" spans="1:39" s="51" customFormat="1" ht="22.15" customHeight="1">
      <c r="A7" s="2409"/>
      <c r="B7" s="2409"/>
      <c r="C7" s="2409"/>
      <c r="D7" s="2409">
        <v>1</v>
      </c>
      <c r="E7" s="2409">
        <v>2</v>
      </c>
      <c r="F7" s="2409">
        <v>3</v>
      </c>
      <c r="G7" s="2409">
        <v>4</v>
      </c>
      <c r="H7" s="2409">
        <v>5</v>
      </c>
      <c r="I7" s="2409">
        <v>6</v>
      </c>
      <c r="J7" s="2409">
        <v>7</v>
      </c>
      <c r="K7" s="2409">
        <v>8</v>
      </c>
      <c r="L7" s="2409">
        <v>9</v>
      </c>
      <c r="M7" s="2409">
        <v>10</v>
      </c>
      <c r="N7" s="2409">
        <v>11</v>
      </c>
      <c r="O7" s="2409">
        <v>12</v>
      </c>
      <c r="P7" s="2409">
        <v>13</v>
      </c>
      <c r="Q7" s="2409">
        <v>14</v>
      </c>
      <c r="R7" s="2409">
        <v>15</v>
      </c>
      <c r="S7" s="2409">
        <v>16</v>
      </c>
      <c r="T7" s="2409">
        <v>17</v>
      </c>
      <c r="U7" s="2409">
        <v>18</v>
      </c>
      <c r="V7" s="2409">
        <v>19</v>
      </c>
      <c r="W7" s="2409">
        <v>20</v>
      </c>
      <c r="X7" s="2409">
        <v>21</v>
      </c>
      <c r="Y7" s="2409">
        <v>22</v>
      </c>
      <c r="Z7" s="2409">
        <v>23</v>
      </c>
      <c r="AA7" s="2409">
        <v>24</v>
      </c>
      <c r="AB7" s="2409">
        <v>25</v>
      </c>
      <c r="AC7" s="2409">
        <v>26</v>
      </c>
      <c r="AD7" s="2409">
        <v>27</v>
      </c>
      <c r="AE7" s="2409">
        <v>28</v>
      </c>
      <c r="AF7" s="2409">
        <v>29</v>
      </c>
      <c r="AG7" s="2409">
        <v>30</v>
      </c>
      <c r="AH7" s="2409">
        <v>31</v>
      </c>
      <c r="AI7" s="2573"/>
      <c r="AJ7" s="2572"/>
      <c r="AK7" s="2572"/>
    </row>
    <row r="8" spans="1:39" s="51" customFormat="1" ht="10.15" customHeight="1">
      <c r="A8" s="2409"/>
      <c r="B8" s="2409"/>
      <c r="C8" s="1025" t="s">
        <v>1935</v>
      </c>
      <c r="D8" s="2409"/>
      <c r="E8" s="2409"/>
      <c r="F8" s="2409"/>
      <c r="G8" s="2409"/>
      <c r="H8" s="2409"/>
      <c r="I8" s="2409"/>
      <c r="J8" s="2409"/>
      <c r="K8" s="2409"/>
      <c r="L8" s="2409"/>
      <c r="M8" s="2409"/>
      <c r="N8" s="2409"/>
      <c r="O8" s="2409"/>
      <c r="P8" s="2409"/>
      <c r="Q8" s="2409"/>
      <c r="R8" s="2409"/>
      <c r="S8" s="2409"/>
      <c r="T8" s="2409"/>
      <c r="U8" s="2409"/>
      <c r="V8" s="2409"/>
      <c r="W8" s="2409"/>
      <c r="X8" s="2409"/>
      <c r="Y8" s="2409"/>
      <c r="Z8" s="2409"/>
      <c r="AA8" s="2409"/>
      <c r="AB8" s="2409"/>
      <c r="AC8" s="2409"/>
      <c r="AD8" s="2409"/>
      <c r="AE8" s="2409"/>
      <c r="AF8" s="2409"/>
      <c r="AG8" s="2409"/>
      <c r="AH8" s="2409"/>
      <c r="AI8" s="2573"/>
      <c r="AJ8" s="2572"/>
      <c r="AK8" s="2572"/>
    </row>
    <row r="9" spans="1:39" s="51" customFormat="1" ht="16.149999999999999" customHeight="1" outlineLevel="1">
      <c r="A9" s="1026" t="s">
        <v>285</v>
      </c>
      <c r="B9" s="1026"/>
      <c r="C9" s="1026"/>
      <c r="D9" s="1039">
        <f>COUNTIF(D10:D28,"X")+COUNTIF(D10:D28,"CN")+COUNTIF(D10:D28,"ĐB")+COUNTIF(D10:D28,"CĐ")</f>
        <v>0</v>
      </c>
      <c r="E9" s="1039">
        <f>COUNTIF(E10:E28,"X")+COUNTIF(E10:E28,"CN")+COUNTIF(E10:E28,"ĐB")+COUNTIF(E10:E28,"CĐ")</f>
        <v>0</v>
      </c>
      <c r="F9" s="1039">
        <f>COUNTIF(F10:F28,"X")+COUNTIF(F10:F28,"CN")+COUNTIF(F10:F28,"ĐB")+COUNTIF(F10:F28,"CĐ")</f>
        <v>0</v>
      </c>
      <c r="G9" s="1039">
        <f>COUNTIF(G10:G28,"X")+COUNTIF(G10:G28,"CN")+COUNTIF(G10:G28,"ĐB")+COUNTIF(G10:G28,"CĐ")</f>
        <v>0</v>
      </c>
      <c r="H9" s="1039">
        <f>COUNTIF(H10:H28,"X")+COUNTIF(H10:H28,"CN")+COUNTIF(H10:H28,"ĐB")+COUNTIF(H10:H28,"ĐCN")</f>
        <v>1</v>
      </c>
      <c r="I9" s="1039">
        <f t="shared" ref="I9:N9" si="0">COUNTIF(I10:I28,"X")+COUNTIF(I10:I28,"CN")+COUNTIF(I10:I28,"ĐB")+COUNTIF(I10:I28,"CĐ")</f>
        <v>1</v>
      </c>
      <c r="J9" s="1039">
        <f t="shared" si="0"/>
        <v>3</v>
      </c>
      <c r="K9" s="1039">
        <f t="shared" si="0"/>
        <v>3</v>
      </c>
      <c r="L9" s="1039">
        <f t="shared" si="0"/>
        <v>2</v>
      </c>
      <c r="M9" s="1039">
        <f t="shared" si="0"/>
        <v>0</v>
      </c>
      <c r="N9" s="1039">
        <f t="shared" si="0"/>
        <v>0</v>
      </c>
      <c r="O9" s="1039">
        <f>COUNTIF(O10:O28,"X")+COUNTIF(O10:O28,"CN")+COUNTIF(O10:O28,"ĐB")+COUNTIF(O10:O28,"ĐCN")</f>
        <v>0</v>
      </c>
      <c r="P9" s="1039">
        <f t="shared" ref="P9:AH9" si="1">COUNTIF(P10:P28,"X")+COUNTIF(P10:P28,"CN")+COUNTIF(P10:P28,"ĐB")+COUNTIF(P10:P28,"CĐ")</f>
        <v>0</v>
      </c>
      <c r="Q9" s="1039">
        <f t="shared" si="1"/>
        <v>0</v>
      </c>
      <c r="R9" s="1039">
        <f t="shared" si="1"/>
        <v>0</v>
      </c>
      <c r="S9" s="1039">
        <f t="shared" si="1"/>
        <v>0</v>
      </c>
      <c r="T9" s="1039">
        <f t="shared" si="1"/>
        <v>0</v>
      </c>
      <c r="U9" s="1039">
        <f t="shared" si="1"/>
        <v>0</v>
      </c>
      <c r="V9" s="1039">
        <f t="shared" si="1"/>
        <v>5</v>
      </c>
      <c r="W9" s="1039">
        <f t="shared" si="1"/>
        <v>3</v>
      </c>
      <c r="X9" s="1039">
        <f t="shared" si="1"/>
        <v>5</v>
      </c>
      <c r="Y9" s="1039">
        <f t="shared" si="1"/>
        <v>4</v>
      </c>
      <c r="Z9" s="1039">
        <f t="shared" si="1"/>
        <v>4</v>
      </c>
      <c r="AA9" s="1039">
        <f t="shared" si="1"/>
        <v>3</v>
      </c>
      <c r="AB9" s="1039">
        <f t="shared" si="1"/>
        <v>5</v>
      </c>
      <c r="AC9" s="1039">
        <f t="shared" si="1"/>
        <v>4</v>
      </c>
      <c r="AD9" s="1039">
        <f t="shared" si="1"/>
        <v>6</v>
      </c>
      <c r="AE9" s="1039">
        <f t="shared" si="1"/>
        <v>4</v>
      </c>
      <c r="AF9" s="1039">
        <f t="shared" si="1"/>
        <v>5</v>
      </c>
      <c r="AG9" s="1039">
        <f t="shared" si="1"/>
        <v>4</v>
      </c>
      <c r="AH9" s="1039">
        <f t="shared" si="1"/>
        <v>0</v>
      </c>
      <c r="AI9" s="1036">
        <f>SUM(AI10:AI28)</f>
        <v>62</v>
      </c>
      <c r="AJ9" s="1036">
        <f>SUM(AJ10:AJ28)</f>
        <v>62</v>
      </c>
      <c r="AK9" s="1036"/>
      <c r="AL9" s="266"/>
    </row>
    <row r="10" spans="1:39" s="51" customFormat="1" ht="16.149999999999999" customHeight="1">
      <c r="A10" s="1025">
        <v>1</v>
      </c>
      <c r="B10" s="1025" t="e">
        <f>VLOOKUP(C10,'DS CN MOI UP'!$B$10:$C$347,2,0)</f>
        <v>#N/A</v>
      </c>
      <c r="C10" s="1028" t="s">
        <v>400</v>
      </c>
      <c r="D10" s="1062"/>
      <c r="E10" s="1062"/>
      <c r="F10" s="1062"/>
      <c r="G10" s="1062"/>
      <c r="H10" s="1062"/>
      <c r="I10" s="1062"/>
      <c r="J10" s="1062" t="s">
        <v>536</v>
      </c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 t="s">
        <v>536</v>
      </c>
      <c r="AE10" s="1062"/>
      <c r="AF10" s="1062"/>
      <c r="AG10" s="1062"/>
      <c r="AH10" s="1062"/>
      <c r="AI10" s="1036">
        <f t="shared" ref="AI10:AI11" si="2">COUNTIF(D10:AH10,"X")</f>
        <v>2</v>
      </c>
      <c r="AJ10" s="629">
        <f t="shared" ref="AJ10" si="3">SUM(AI10:AI10)</f>
        <v>2</v>
      </c>
      <c r="AK10" s="629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1990</v>
      </c>
      <c r="D11" s="1062"/>
      <c r="E11" s="1062"/>
      <c r="F11" s="1062"/>
      <c r="G11" s="1062"/>
      <c r="H11" s="1062"/>
      <c r="I11" s="1062"/>
      <c r="J11" s="1062"/>
      <c r="K11" s="1062" t="s">
        <v>536</v>
      </c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 t="s">
        <v>536</v>
      </c>
      <c r="W11" s="1062" t="s">
        <v>536</v>
      </c>
      <c r="X11" s="1062" t="s">
        <v>536</v>
      </c>
      <c r="Y11" s="1062" t="s">
        <v>536</v>
      </c>
      <c r="Z11" s="1062" t="s">
        <v>536</v>
      </c>
      <c r="AA11" s="1062" t="s">
        <v>536</v>
      </c>
      <c r="AB11" s="1062" t="s">
        <v>536</v>
      </c>
      <c r="AC11" s="1062" t="s">
        <v>536</v>
      </c>
      <c r="AD11" s="1062" t="s">
        <v>536</v>
      </c>
      <c r="AE11" s="1062" t="s">
        <v>536</v>
      </c>
      <c r="AF11" s="1062" t="s">
        <v>536</v>
      </c>
      <c r="AG11" s="1062" t="s">
        <v>536</v>
      </c>
      <c r="AH11" s="1062"/>
      <c r="AI11" s="1036">
        <f t="shared" si="2"/>
        <v>13</v>
      </c>
      <c r="AJ11" s="629">
        <f t="shared" ref="AJ11:AJ28" si="4">SUM(AI11:AI11)</f>
        <v>13</v>
      </c>
      <c r="AK11" s="629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1991</v>
      </c>
      <c r="D12" s="1062"/>
      <c r="E12" s="1062"/>
      <c r="F12" s="1062"/>
      <c r="G12" s="1062"/>
      <c r="H12" s="1062"/>
      <c r="I12" s="1062"/>
      <c r="J12" s="1062"/>
      <c r="K12" s="1062" t="s">
        <v>536</v>
      </c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 t="s">
        <v>536</v>
      </c>
      <c r="W12" s="1062" t="s">
        <v>536</v>
      </c>
      <c r="X12" s="1062" t="s">
        <v>536</v>
      </c>
      <c r="Y12" s="1062" t="s">
        <v>536</v>
      </c>
      <c r="Z12" s="1062" t="s">
        <v>536</v>
      </c>
      <c r="AA12" s="1062" t="s">
        <v>536</v>
      </c>
      <c r="AB12" s="1062" t="s">
        <v>536</v>
      </c>
      <c r="AC12" s="1062" t="s">
        <v>536</v>
      </c>
      <c r="AD12" s="1062" t="s">
        <v>536</v>
      </c>
      <c r="AE12" s="1062" t="s">
        <v>536</v>
      </c>
      <c r="AF12" s="1062" t="s">
        <v>536</v>
      </c>
      <c r="AG12" s="1062" t="s">
        <v>536</v>
      </c>
      <c r="AH12" s="1062"/>
      <c r="AI12" s="1036">
        <f t="shared" ref="AI12:AI28" si="6">COUNTIF(D12:AH12,"X")</f>
        <v>13</v>
      </c>
      <c r="AJ12" s="629">
        <f t="shared" si="4"/>
        <v>13</v>
      </c>
      <c r="AK12" s="629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275</v>
      </c>
      <c r="D13" s="1062"/>
      <c r="E13" s="1062"/>
      <c r="F13" s="1062"/>
      <c r="G13" s="1062"/>
      <c r="H13" s="1062"/>
      <c r="I13" s="1062"/>
      <c r="J13" s="1062" t="s">
        <v>536</v>
      </c>
      <c r="K13" s="1062"/>
      <c r="L13" s="1062" t="s">
        <v>536</v>
      </c>
      <c r="M13" s="1062"/>
      <c r="N13" s="1062"/>
      <c r="O13" s="1062"/>
      <c r="P13" s="1062"/>
      <c r="Q13" s="1062"/>
      <c r="R13" s="1062"/>
      <c r="S13" s="1062"/>
      <c r="T13" s="1062"/>
      <c r="U13" s="1062"/>
      <c r="V13" s="1062" t="s">
        <v>536</v>
      </c>
      <c r="W13" s="1062"/>
      <c r="X13" s="1062" t="s">
        <v>536</v>
      </c>
      <c r="Y13" s="1062" t="s">
        <v>536</v>
      </c>
      <c r="Z13" s="1062" t="s">
        <v>536</v>
      </c>
      <c r="AA13" s="1062" t="s">
        <v>536</v>
      </c>
      <c r="AB13" s="1062" t="s">
        <v>536</v>
      </c>
      <c r="AC13" s="1062" t="s">
        <v>536</v>
      </c>
      <c r="AD13" s="1062" t="s">
        <v>536</v>
      </c>
      <c r="AE13" s="1062" t="s">
        <v>536</v>
      </c>
      <c r="AF13" s="1062" t="s">
        <v>536</v>
      </c>
      <c r="AG13" s="1062" t="s">
        <v>536</v>
      </c>
      <c r="AH13" s="1062"/>
      <c r="AI13" s="1036">
        <f t="shared" si="6"/>
        <v>13</v>
      </c>
      <c r="AJ13" s="629">
        <f t="shared" si="4"/>
        <v>13</v>
      </c>
      <c r="AK13" s="629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276</v>
      </c>
      <c r="D14" s="1062"/>
      <c r="E14" s="1062"/>
      <c r="F14" s="1062"/>
      <c r="G14" s="1062"/>
      <c r="H14" s="1062" t="s">
        <v>536</v>
      </c>
      <c r="I14" s="1062"/>
      <c r="J14" s="1062" t="s">
        <v>536</v>
      </c>
      <c r="K14" s="1062"/>
      <c r="L14" s="1062" t="s">
        <v>536</v>
      </c>
      <c r="M14" s="1062"/>
      <c r="N14" s="1062"/>
      <c r="O14" s="1062"/>
      <c r="P14" s="1062"/>
      <c r="Q14" s="1062"/>
      <c r="R14" s="1062"/>
      <c r="S14" s="1062"/>
      <c r="T14" s="1062"/>
      <c r="U14" s="1062"/>
      <c r="V14" s="1062" t="s">
        <v>536</v>
      </c>
      <c r="W14" s="1062" t="s">
        <v>536</v>
      </c>
      <c r="X14" s="1062" t="s">
        <v>536</v>
      </c>
      <c r="Y14" s="1062" t="s">
        <v>536</v>
      </c>
      <c r="Z14" s="1062"/>
      <c r="AA14" s="1062"/>
      <c r="AB14" s="1062" t="s">
        <v>536</v>
      </c>
      <c r="AC14" s="1062" t="s">
        <v>536</v>
      </c>
      <c r="AD14" s="1062" t="s">
        <v>536</v>
      </c>
      <c r="AE14" s="1062" t="s">
        <v>536</v>
      </c>
      <c r="AF14" s="1062" t="s">
        <v>536</v>
      </c>
      <c r="AG14" s="1062" t="s">
        <v>536</v>
      </c>
      <c r="AH14" s="1062"/>
      <c r="AI14" s="1036">
        <f t="shared" si="6"/>
        <v>13</v>
      </c>
      <c r="AJ14" s="629">
        <f t="shared" si="4"/>
        <v>13</v>
      </c>
      <c r="AK14" s="629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330</v>
      </c>
      <c r="D15" s="1062"/>
      <c r="E15" s="1062"/>
      <c r="F15" s="1062"/>
      <c r="G15" s="1062"/>
      <c r="H15" s="1062"/>
      <c r="I15" s="1062" t="s">
        <v>536</v>
      </c>
      <c r="J15" s="1062"/>
      <c r="K15" s="1062" t="s">
        <v>536</v>
      </c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 t="s">
        <v>536</v>
      </c>
      <c r="W15" s="1062"/>
      <c r="X15" s="1062" t="s">
        <v>536</v>
      </c>
      <c r="Y15" s="1062"/>
      <c r="Z15" s="1062" t="s">
        <v>536</v>
      </c>
      <c r="AA15" s="1062"/>
      <c r="AB15" s="1062" t="s">
        <v>536</v>
      </c>
      <c r="AC15" s="1062"/>
      <c r="AD15" s="1062" t="s">
        <v>536</v>
      </c>
      <c r="AE15" s="1062"/>
      <c r="AF15" s="1062" t="s">
        <v>536</v>
      </c>
      <c r="AG15" s="1062"/>
      <c r="AH15" s="1062"/>
      <c r="AI15" s="1036">
        <f t="shared" ref="AI15" si="7">COUNTIF(D15:AH15,"X")</f>
        <v>8</v>
      </c>
      <c r="AJ15" s="629">
        <f t="shared" ref="AJ15" si="8">SUM(AI15:AI15)</f>
        <v>8</v>
      </c>
      <c r="AK15" s="629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5">
        <v>7</v>
      </c>
      <c r="B16" s="1025"/>
      <c r="C16" s="1028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36">
        <f t="shared" si="6"/>
        <v>0</v>
      </c>
      <c r="AJ16" s="629">
        <f t="shared" si="4"/>
        <v>0</v>
      </c>
      <c r="AK16" s="629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5">
        <v>8</v>
      </c>
      <c r="B17" s="1025"/>
      <c r="C17" s="1028"/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36">
        <f t="shared" si="6"/>
        <v>0</v>
      </c>
      <c r="AJ17" s="629">
        <f t="shared" si="4"/>
        <v>0</v>
      </c>
      <c r="AK17" s="629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5">
        <v>9</v>
      </c>
      <c r="B18" s="1025"/>
      <c r="C18" s="1028"/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36">
        <f t="shared" si="6"/>
        <v>0</v>
      </c>
      <c r="AJ18" s="629">
        <f t="shared" si="4"/>
        <v>0</v>
      </c>
      <c r="AK18" s="629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5">
        <v>10</v>
      </c>
      <c r="B19" s="1025"/>
      <c r="C19" s="1028"/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36">
        <f t="shared" si="6"/>
        <v>0</v>
      </c>
      <c r="AJ19" s="629">
        <f t="shared" si="4"/>
        <v>0</v>
      </c>
      <c r="AK19" s="629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5">
        <v>11</v>
      </c>
      <c r="B20" s="1025"/>
      <c r="C20" s="1028"/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36">
        <f t="shared" si="6"/>
        <v>0</v>
      </c>
      <c r="AJ20" s="629">
        <f t="shared" si="4"/>
        <v>0</v>
      </c>
      <c r="AK20" s="629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5">
        <v>12</v>
      </c>
      <c r="B21" s="1025"/>
      <c r="C21" s="1028"/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36">
        <f t="shared" si="6"/>
        <v>0</v>
      </c>
      <c r="AJ21" s="629">
        <f t="shared" si="4"/>
        <v>0</v>
      </c>
      <c r="AK21" s="629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5">
        <v>13</v>
      </c>
      <c r="B22" s="1025"/>
      <c r="C22" s="1028"/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36">
        <f t="shared" si="6"/>
        <v>0</v>
      </c>
      <c r="AJ22" s="629">
        <f t="shared" si="4"/>
        <v>0</v>
      </c>
      <c r="AK22" s="629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5">
        <v>14</v>
      </c>
      <c r="B23" s="1025"/>
      <c r="C23" s="1028"/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36">
        <f t="shared" si="6"/>
        <v>0</v>
      </c>
      <c r="AJ23" s="629">
        <f t="shared" si="4"/>
        <v>0</v>
      </c>
      <c r="AK23" s="629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5">
        <v>15</v>
      </c>
      <c r="B24" s="1025"/>
      <c r="C24" s="1028"/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36">
        <f t="shared" ref="AI24:AI27" si="9">COUNTIF(D24:AH24,"X")</f>
        <v>0</v>
      </c>
      <c r="AJ24" s="629">
        <f t="shared" ref="AJ24:AJ27" si="10">SUM(AI24:AI24)</f>
        <v>0</v>
      </c>
      <c r="AK24" s="629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5">
        <v>15</v>
      </c>
      <c r="B25" s="1025"/>
      <c r="C25" s="1028"/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36">
        <f t="shared" si="9"/>
        <v>0</v>
      </c>
      <c r="AJ25" s="629">
        <f t="shared" si="10"/>
        <v>0</v>
      </c>
      <c r="AK25" s="629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5">
        <v>15</v>
      </c>
      <c r="B26" s="1025"/>
      <c r="C26" s="1028"/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36">
        <f t="shared" si="9"/>
        <v>0</v>
      </c>
      <c r="AJ26" s="629">
        <f t="shared" si="10"/>
        <v>0</v>
      </c>
      <c r="AK26" s="629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5">
        <v>15</v>
      </c>
      <c r="B27" s="1025"/>
      <c r="C27" s="1028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36">
        <f t="shared" si="9"/>
        <v>0</v>
      </c>
      <c r="AJ27" s="629">
        <f t="shared" si="10"/>
        <v>0</v>
      </c>
      <c r="AK27" s="629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5">
        <v>15</v>
      </c>
      <c r="B28" s="1025"/>
      <c r="C28" s="1028"/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36">
        <f t="shared" si="6"/>
        <v>0</v>
      </c>
      <c r="AJ28" s="629">
        <f t="shared" si="4"/>
        <v>0</v>
      </c>
      <c r="AK28" s="629"/>
      <c r="AL28" s="266">
        <v>30</v>
      </c>
      <c r="AM28" s="266">
        <f t="shared" si="5"/>
        <v>-30</v>
      </c>
    </row>
    <row r="29" spans="1:39" s="51" customFormat="1" ht="11.25">
      <c r="A29" s="2416" t="s">
        <v>525</v>
      </c>
      <c r="B29" s="2416"/>
      <c r="C29" s="2416"/>
      <c r="D29" s="1063">
        <f>D9</f>
        <v>0</v>
      </c>
      <c r="E29" s="1063">
        <f t="shared" ref="E29:AJ29" si="12">E9</f>
        <v>0</v>
      </c>
      <c r="F29" s="1063">
        <f t="shared" si="12"/>
        <v>0</v>
      </c>
      <c r="G29" s="1063">
        <f t="shared" si="12"/>
        <v>0</v>
      </c>
      <c r="H29" s="1063">
        <f t="shared" si="12"/>
        <v>1</v>
      </c>
      <c r="I29" s="1063">
        <f t="shared" si="12"/>
        <v>1</v>
      </c>
      <c r="J29" s="1063">
        <f t="shared" si="12"/>
        <v>3</v>
      </c>
      <c r="K29" s="1063">
        <f t="shared" si="12"/>
        <v>3</v>
      </c>
      <c r="L29" s="1063">
        <f t="shared" si="12"/>
        <v>2</v>
      </c>
      <c r="M29" s="1063">
        <f t="shared" si="12"/>
        <v>0</v>
      </c>
      <c r="N29" s="1063">
        <f t="shared" si="12"/>
        <v>0</v>
      </c>
      <c r="O29" s="1063">
        <f t="shared" si="12"/>
        <v>0</v>
      </c>
      <c r="P29" s="1063">
        <f t="shared" si="12"/>
        <v>0</v>
      </c>
      <c r="Q29" s="1063">
        <f t="shared" si="12"/>
        <v>0</v>
      </c>
      <c r="R29" s="1063">
        <f t="shared" si="12"/>
        <v>0</v>
      </c>
      <c r="S29" s="1063">
        <f t="shared" si="12"/>
        <v>0</v>
      </c>
      <c r="T29" s="1063">
        <f t="shared" si="12"/>
        <v>0</v>
      </c>
      <c r="U29" s="1063">
        <f t="shared" si="12"/>
        <v>0</v>
      </c>
      <c r="V29" s="1063">
        <f t="shared" si="12"/>
        <v>5</v>
      </c>
      <c r="W29" s="1063">
        <f t="shared" si="12"/>
        <v>3</v>
      </c>
      <c r="X29" s="1063">
        <f t="shared" si="12"/>
        <v>5</v>
      </c>
      <c r="Y29" s="1063">
        <f t="shared" si="12"/>
        <v>4</v>
      </c>
      <c r="Z29" s="1063">
        <f t="shared" si="12"/>
        <v>4</v>
      </c>
      <c r="AA29" s="1063">
        <f t="shared" si="12"/>
        <v>3</v>
      </c>
      <c r="AB29" s="1063">
        <f t="shared" si="12"/>
        <v>5</v>
      </c>
      <c r="AC29" s="1063">
        <f t="shared" si="12"/>
        <v>4</v>
      </c>
      <c r="AD29" s="1063">
        <f t="shared" si="12"/>
        <v>6</v>
      </c>
      <c r="AE29" s="1063">
        <f t="shared" si="12"/>
        <v>4</v>
      </c>
      <c r="AF29" s="1063">
        <f t="shared" si="12"/>
        <v>5</v>
      </c>
      <c r="AG29" s="1063">
        <f t="shared" si="12"/>
        <v>4</v>
      </c>
      <c r="AH29" s="1063">
        <f t="shared" si="12"/>
        <v>0</v>
      </c>
      <c r="AI29" s="1063">
        <f t="shared" si="12"/>
        <v>62</v>
      </c>
      <c r="AJ29" s="1063">
        <f t="shared" si="12"/>
        <v>62</v>
      </c>
      <c r="AK29" s="1063"/>
    </row>
    <row r="30" spans="1:39" ht="15.75">
      <c r="A30" s="1044"/>
      <c r="B30" s="1044"/>
      <c r="C30" s="1045"/>
      <c r="D30" s="1046"/>
      <c r="E30" s="1046"/>
      <c r="F30" s="1047"/>
      <c r="G30" s="1047"/>
      <c r="H30" s="1047"/>
      <c r="I30" s="1053"/>
      <c r="J30" s="1047"/>
      <c r="K30" s="1047"/>
      <c r="L30" s="1047"/>
      <c r="M30" s="1054"/>
      <c r="N30" s="1054"/>
      <c r="O30" s="1054"/>
      <c r="P30" s="1054"/>
      <c r="Q30" s="1047"/>
      <c r="R30" s="1047"/>
      <c r="S30" s="1047"/>
      <c r="T30" s="1047"/>
      <c r="U30" s="1047"/>
      <c r="V30" s="1056"/>
      <c r="W30" s="1056"/>
      <c r="X30" s="2412"/>
      <c r="Y30" s="2412"/>
      <c r="Z30" s="2412"/>
      <c r="AA30" s="2412"/>
      <c r="AB30" s="2412"/>
      <c r="AC30" s="2412"/>
      <c r="AD30" s="2412"/>
      <c r="AE30" s="2412"/>
      <c r="AF30" s="2412"/>
      <c r="AG30" s="2412"/>
      <c r="AH30" s="2412"/>
      <c r="AI30" s="2412"/>
      <c r="AJ30" s="2412"/>
      <c r="AK30" s="2412"/>
    </row>
    <row r="31" spans="1:39" ht="22.9" customHeight="1">
      <c r="A31" s="1044"/>
      <c r="B31" s="1044"/>
      <c r="C31" s="1044"/>
      <c r="D31" s="1045"/>
      <c r="E31" s="1046"/>
      <c r="F31" s="1046"/>
      <c r="G31" s="1047"/>
      <c r="H31" s="1047"/>
      <c r="I31" s="1047"/>
      <c r="J31" s="1053"/>
      <c r="K31" s="1047"/>
      <c r="L31" s="1047"/>
      <c r="M31" s="1047"/>
      <c r="N31" s="1054"/>
      <c r="O31" s="1054"/>
      <c r="P31" s="1054"/>
      <c r="Q31" s="1054"/>
      <c r="R31" s="1047"/>
      <c r="S31" s="1047"/>
      <c r="T31" s="1047"/>
      <c r="U31" s="1047"/>
      <c r="V31" s="1047"/>
      <c r="W31" s="1056"/>
      <c r="X31" s="1056"/>
      <c r="Z31" s="1056"/>
      <c r="AA31" s="1056"/>
      <c r="AB31" s="1056"/>
      <c r="AD31" s="1056" t="s">
        <v>1944</v>
      </c>
      <c r="AI31" s="1056"/>
      <c r="AJ31" s="53"/>
      <c r="AK31" s="1056"/>
      <c r="AL31" s="1056"/>
    </row>
    <row r="32" spans="1:39" s="410" customFormat="1" ht="12.75">
      <c r="A32" s="1048" t="s">
        <v>614</v>
      </c>
      <c r="B32" s="1048"/>
      <c r="C32" s="1049"/>
      <c r="D32" s="1048"/>
      <c r="E32" s="1048"/>
      <c r="G32" s="410" t="s">
        <v>1945</v>
      </c>
      <c r="Q32" s="1048" t="s">
        <v>1946</v>
      </c>
      <c r="R32" s="1048"/>
      <c r="S32" s="1048"/>
      <c r="T32" s="1048"/>
      <c r="U32" s="1048"/>
      <c r="Z32" s="1048" t="s">
        <v>1947</v>
      </c>
      <c r="AA32" s="1048"/>
      <c r="AI32" s="410" t="s">
        <v>1948</v>
      </c>
    </row>
    <row r="33" spans="1:38" s="51" customFormat="1" ht="11.25">
      <c r="A33" s="1051"/>
      <c r="B33" s="1051"/>
      <c r="C33" s="1051"/>
      <c r="D33" s="1051"/>
      <c r="E33" s="1052"/>
      <c r="F33" s="1052"/>
      <c r="G33" s="1052"/>
      <c r="H33" s="1052"/>
      <c r="I33" s="1052"/>
      <c r="J33" s="1052"/>
      <c r="K33" s="1052"/>
      <c r="L33" s="1052"/>
      <c r="M33" s="1052"/>
      <c r="N33" s="1052"/>
      <c r="O33" s="1052"/>
      <c r="P33" s="1052"/>
      <c r="Q33" s="1052"/>
      <c r="R33" s="1052"/>
      <c r="S33" s="1052"/>
      <c r="T33" s="1052"/>
      <c r="U33" s="1052"/>
      <c r="V33" s="1052"/>
      <c r="W33" s="1052"/>
      <c r="X33" s="1052"/>
      <c r="Y33" s="1052"/>
      <c r="Z33" s="1052"/>
      <c r="AA33" s="1052"/>
      <c r="AB33" s="1052"/>
      <c r="AC33" s="1052"/>
      <c r="AD33" s="1052"/>
      <c r="AE33" s="1052"/>
      <c r="AF33" s="1052"/>
      <c r="AG33" s="1052"/>
      <c r="AH33" s="1052"/>
      <c r="AI33" s="1052"/>
      <c r="AJ33" s="1052"/>
      <c r="AK33" s="1052"/>
      <c r="AL33" s="1051"/>
    </row>
    <row r="34" spans="1:38">
      <c r="A34" s="1044"/>
      <c r="B34" s="1044"/>
      <c r="C34" s="1044"/>
      <c r="D34" s="1047"/>
      <c r="E34" s="1047"/>
      <c r="F34" s="1047"/>
      <c r="G34" s="1047"/>
      <c r="H34" s="1047"/>
      <c r="I34" s="1031"/>
      <c r="J34" s="1047"/>
      <c r="K34" s="1047"/>
      <c r="L34" s="1047"/>
      <c r="M34" s="1047"/>
      <c r="N34" s="1047"/>
      <c r="O34" s="1047"/>
      <c r="P34" s="1053"/>
      <c r="Q34" s="1047"/>
      <c r="R34" s="1047"/>
      <c r="S34" s="1047"/>
      <c r="T34" s="1047"/>
      <c r="U34" s="1047"/>
      <c r="V34" s="1047"/>
      <c r="W34" s="1047"/>
      <c r="X34" s="1047"/>
      <c r="Y34" s="1047"/>
      <c r="Z34" s="1047"/>
      <c r="AA34" s="1047"/>
      <c r="AB34" s="1047"/>
      <c r="AC34" s="1058"/>
      <c r="AD34" s="1058"/>
      <c r="AE34" s="1058"/>
      <c r="AF34" s="1058"/>
      <c r="AG34" s="1058"/>
      <c r="AH34" s="1058"/>
      <c r="AI34" s="1064"/>
      <c r="AJ34" s="1064"/>
      <c r="AK34" s="1064"/>
    </row>
    <row r="35" spans="1:38" ht="18" customHeight="1">
      <c r="A35" s="1044"/>
      <c r="B35" s="1044"/>
      <c r="C35" s="1044"/>
      <c r="D35" s="1047"/>
      <c r="E35" s="1047"/>
      <c r="F35" s="1047"/>
      <c r="G35" s="1047"/>
      <c r="H35" s="1047"/>
      <c r="I35" s="1031"/>
      <c r="J35" s="1047"/>
      <c r="K35" s="1047"/>
      <c r="L35" s="1047"/>
      <c r="M35" s="1047"/>
      <c r="N35" s="1047"/>
      <c r="O35" s="1047"/>
      <c r="P35" s="1053"/>
      <c r="Q35" s="1047"/>
      <c r="R35" s="1047"/>
      <c r="S35" s="1047"/>
      <c r="T35" s="1047"/>
      <c r="U35" s="1047"/>
      <c r="V35" s="1047"/>
      <c r="W35" s="1047"/>
      <c r="X35" s="1047"/>
      <c r="Y35" s="1047"/>
      <c r="Z35" s="1047"/>
      <c r="AA35" s="1047"/>
      <c r="AB35" s="1047"/>
      <c r="AC35" s="1058"/>
      <c r="AD35" s="1058"/>
      <c r="AE35" s="1058"/>
      <c r="AF35" s="1058"/>
      <c r="AG35" s="1058"/>
      <c r="AH35" s="1058"/>
      <c r="AI35" s="1064"/>
      <c r="AJ35" s="1064"/>
      <c r="AK35" s="1064"/>
    </row>
    <row r="36" spans="1:38" s="51" customFormat="1" ht="12.75">
      <c r="A36" s="1051"/>
      <c r="B36" s="1051"/>
      <c r="C36" s="1051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47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  <c r="AA36" s="1047"/>
      <c r="AB36" s="1047"/>
      <c r="AC36" s="1047"/>
      <c r="AD36" s="1047"/>
      <c r="AE36" s="1047"/>
      <c r="AF36" s="1047"/>
      <c r="AG36" s="1047"/>
      <c r="AH36" s="1047"/>
      <c r="AI36" s="1065"/>
      <c r="AJ36" s="1048"/>
      <c r="AK36" s="1048"/>
    </row>
    <row r="37" spans="1:38" s="51" customFormat="1" ht="11.25">
      <c r="A37" s="1051"/>
      <c r="B37" s="1051"/>
      <c r="C37" s="1051"/>
      <c r="D37" s="1052"/>
      <c r="E37" s="1052"/>
      <c r="F37" s="1052"/>
      <c r="G37" s="1052"/>
      <c r="H37" s="1052"/>
      <c r="I37" s="1052"/>
      <c r="J37" s="1052"/>
      <c r="K37" s="1052"/>
      <c r="L37" s="1052"/>
      <c r="M37" s="1052"/>
      <c r="N37" s="1052"/>
      <c r="O37" s="1052"/>
      <c r="P37" s="1052"/>
      <c r="Q37" s="1052"/>
      <c r="R37" s="1052"/>
      <c r="S37" s="1052"/>
      <c r="T37" s="1052"/>
      <c r="U37" s="1052"/>
      <c r="V37" s="1052"/>
      <c r="W37" s="1052"/>
      <c r="X37" s="1052"/>
      <c r="Y37" s="1052"/>
      <c r="Z37" s="1052"/>
      <c r="AA37" s="1052"/>
      <c r="AB37" s="1052"/>
      <c r="AC37" s="1052"/>
      <c r="AD37" s="1052"/>
      <c r="AE37" s="1052"/>
      <c r="AF37" s="1052"/>
      <c r="AG37" s="1052"/>
      <c r="AH37" s="1052"/>
      <c r="AI37" s="1066"/>
      <c r="AJ37" s="1067"/>
      <c r="AK37" s="1067"/>
    </row>
    <row r="38" spans="1:38" s="51" customFormat="1" ht="11.25">
      <c r="A38" s="1051"/>
      <c r="B38" s="1051"/>
      <c r="C38" s="1051"/>
      <c r="D38" s="1052"/>
      <c r="E38" s="1052"/>
      <c r="F38" s="1052"/>
      <c r="G38" s="1052"/>
      <c r="H38" s="1052"/>
      <c r="I38" s="1052"/>
      <c r="J38" s="1052"/>
      <c r="K38" s="1052"/>
      <c r="L38" s="1052"/>
      <c r="M38" s="1052"/>
      <c r="N38" s="1052"/>
      <c r="O38" s="1052"/>
      <c r="P38" s="1052"/>
      <c r="Q38" s="1052"/>
      <c r="R38" s="1052"/>
      <c r="S38" s="1052"/>
      <c r="T38" s="1052"/>
      <c r="U38" s="1052"/>
      <c r="V38" s="1052"/>
      <c r="W38" s="1052"/>
      <c r="X38" s="1052"/>
      <c r="Y38" s="1052"/>
      <c r="Z38" s="1052"/>
      <c r="AA38" s="1052"/>
      <c r="AB38" s="1052"/>
      <c r="AC38" s="1052"/>
      <c r="AD38" s="1052"/>
      <c r="AE38" s="1052"/>
      <c r="AF38" s="1052"/>
      <c r="AG38" s="1052"/>
      <c r="AH38" s="1052"/>
      <c r="AI38" s="1066"/>
      <c r="AJ38" s="1067"/>
      <c r="AK38" s="1067"/>
    </row>
    <row r="39" spans="1:38" s="51" customFormat="1" ht="11.25">
      <c r="A39" s="1051"/>
      <c r="B39" s="1051"/>
      <c r="C39" s="1051"/>
      <c r="D39" s="1052"/>
      <c r="E39" s="1052"/>
      <c r="F39" s="1052"/>
      <c r="G39" s="1052"/>
      <c r="H39" s="1052"/>
      <c r="I39" s="1052"/>
      <c r="J39" s="1052"/>
      <c r="K39" s="1052"/>
      <c r="L39" s="1052"/>
      <c r="M39" s="1052"/>
      <c r="N39" s="1052"/>
      <c r="O39" s="1052"/>
      <c r="P39" s="1052"/>
      <c r="Q39" s="1052"/>
      <c r="R39" s="1052"/>
      <c r="S39" s="1052"/>
      <c r="T39" s="1052"/>
      <c r="U39" s="1052"/>
      <c r="V39" s="1052"/>
      <c r="W39" s="1052"/>
      <c r="X39" s="1052"/>
      <c r="Y39" s="1052"/>
      <c r="Z39" s="1052"/>
      <c r="AA39" s="1052"/>
      <c r="AB39" s="1052"/>
      <c r="AC39" s="1052"/>
      <c r="AD39" s="1052"/>
      <c r="AE39" s="1052"/>
      <c r="AF39" s="1052"/>
      <c r="AG39" s="1052"/>
      <c r="AH39" s="1052"/>
      <c r="AI39" s="1066"/>
      <c r="AJ39" s="1067"/>
      <c r="AK39" s="1067"/>
    </row>
    <row r="40" spans="1:38" s="51" customFormat="1" ht="11.25">
      <c r="A40" s="1051"/>
      <c r="B40" s="1051"/>
      <c r="C40" s="1051"/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  <c r="O40" s="1052"/>
      <c r="P40" s="1052"/>
      <c r="Q40" s="1052"/>
      <c r="R40" s="1052"/>
      <c r="S40" s="1052"/>
      <c r="T40" s="1052"/>
      <c r="U40" s="1052"/>
      <c r="V40" s="1052"/>
      <c r="W40" s="1052"/>
      <c r="X40" s="1052"/>
      <c r="Y40" s="1052"/>
      <c r="Z40" s="1052"/>
      <c r="AA40" s="1052"/>
      <c r="AB40" s="1052"/>
      <c r="AC40" s="1052"/>
      <c r="AD40" s="1052"/>
      <c r="AE40" s="1052"/>
      <c r="AF40" s="1052"/>
      <c r="AG40" s="1052"/>
      <c r="AH40" s="1052"/>
      <c r="AI40" s="1066"/>
      <c r="AJ40" s="1067"/>
      <c r="AK40" s="1067"/>
    </row>
    <row r="41" spans="1:38" s="51" customFormat="1" ht="11.25">
      <c r="A41" s="1051"/>
      <c r="B41" s="1051"/>
      <c r="C41" s="1051"/>
      <c r="D41" s="1052"/>
      <c r="E41" s="1052"/>
      <c r="F41" s="1052"/>
      <c r="G41" s="1052"/>
      <c r="H41" s="1052"/>
      <c r="I41" s="1052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I41" s="1066"/>
      <c r="AJ41" s="1067"/>
      <c r="AK41" s="1067"/>
    </row>
    <row r="42" spans="1:38" s="51" customFormat="1" ht="11.25">
      <c r="A42" s="1051"/>
      <c r="B42" s="1051"/>
      <c r="C42" s="1051"/>
      <c r="D42" s="1052"/>
      <c r="E42" s="1052"/>
      <c r="F42" s="1052"/>
      <c r="G42" s="1052"/>
      <c r="H42" s="1052"/>
      <c r="I42" s="1052"/>
      <c r="J42" s="1052"/>
      <c r="K42" s="1052"/>
      <c r="L42" s="1052"/>
      <c r="M42" s="1052"/>
      <c r="N42" s="1052"/>
      <c r="O42" s="1052"/>
      <c r="P42" s="1052"/>
      <c r="Q42" s="1052"/>
      <c r="R42" s="1052"/>
      <c r="S42" s="1052"/>
      <c r="T42" s="1052"/>
      <c r="U42" s="1052"/>
      <c r="V42" s="1052"/>
      <c r="W42" s="1052"/>
      <c r="X42" s="1052"/>
      <c r="Y42" s="1052"/>
      <c r="Z42" s="1052"/>
      <c r="AA42" s="1052"/>
      <c r="AB42" s="1052"/>
      <c r="AC42" s="1052"/>
      <c r="AD42" s="1052"/>
      <c r="AE42" s="1052"/>
      <c r="AF42" s="1052"/>
      <c r="AG42" s="1052"/>
      <c r="AH42" s="1052"/>
      <c r="AI42" s="1066"/>
      <c r="AJ42" s="1067"/>
      <c r="AK42" s="1067"/>
    </row>
    <row r="43" spans="1:38" s="51" customFormat="1" ht="11.25">
      <c r="A43" s="1051"/>
      <c r="B43" s="1051"/>
      <c r="C43" s="1051"/>
      <c r="D43" s="1052"/>
      <c r="E43" s="1052"/>
      <c r="F43" s="1052"/>
      <c r="G43" s="1052"/>
      <c r="H43" s="1052"/>
      <c r="I43" s="1052"/>
      <c r="J43" s="1052"/>
      <c r="K43" s="1052"/>
      <c r="L43" s="1052"/>
      <c r="M43" s="1052"/>
      <c r="N43" s="1052"/>
      <c r="O43" s="1052"/>
      <c r="P43" s="1052"/>
      <c r="Q43" s="1052"/>
      <c r="R43" s="1052"/>
      <c r="S43" s="1052"/>
      <c r="T43" s="1052"/>
      <c r="U43" s="1052"/>
      <c r="V43" s="1052"/>
      <c r="W43" s="1052"/>
      <c r="X43" s="1052"/>
      <c r="Y43" s="1052"/>
      <c r="Z43" s="1052"/>
      <c r="AA43" s="1052"/>
      <c r="AB43" s="1052"/>
      <c r="AC43" s="1052"/>
      <c r="AD43" s="1052"/>
      <c r="AE43" s="1052"/>
      <c r="AF43" s="1052"/>
      <c r="AG43" s="1052"/>
      <c r="AH43" s="1052"/>
      <c r="AI43" s="1066"/>
      <c r="AJ43" s="1067"/>
      <c r="AK43" s="1067"/>
    </row>
    <row r="44" spans="1:38" s="51" customFormat="1" ht="11.25">
      <c r="A44" s="1051"/>
      <c r="B44" s="1051"/>
      <c r="C44" s="1051"/>
      <c r="D44" s="1052"/>
      <c r="E44" s="1052"/>
      <c r="F44" s="1052"/>
      <c r="G44" s="1052"/>
      <c r="H44" s="1052"/>
      <c r="I44" s="1052"/>
      <c r="J44" s="1052"/>
      <c r="K44" s="1052"/>
      <c r="L44" s="1052"/>
      <c r="M44" s="1052"/>
      <c r="N44" s="1052"/>
      <c r="O44" s="1052"/>
      <c r="P44" s="1052"/>
      <c r="Q44" s="1052"/>
      <c r="R44" s="1052"/>
      <c r="S44" s="1052"/>
      <c r="T44" s="1052"/>
      <c r="U44" s="1052"/>
      <c r="V44" s="1052"/>
      <c r="W44" s="1052"/>
      <c r="X44" s="1052"/>
      <c r="Y44" s="1052"/>
      <c r="Z44" s="1052"/>
      <c r="AA44" s="1052"/>
      <c r="AB44" s="1052"/>
      <c r="AC44" s="1052"/>
      <c r="AD44" s="1052"/>
      <c r="AE44" s="1052"/>
      <c r="AF44" s="1052"/>
      <c r="AG44" s="1052"/>
      <c r="AH44" s="1052"/>
      <c r="AI44" s="1066"/>
      <c r="AJ44" s="1067"/>
      <c r="AK44" s="1067"/>
    </row>
    <row r="45" spans="1:38" s="51" customFormat="1" ht="11.25">
      <c r="A45" s="1051"/>
      <c r="B45" s="1051"/>
      <c r="C45" s="1051"/>
      <c r="D45" s="1052"/>
      <c r="E45" s="1052"/>
      <c r="F45" s="1052"/>
      <c r="G45" s="1052"/>
      <c r="H45" s="1052"/>
      <c r="I45" s="1052"/>
      <c r="J45" s="1052"/>
      <c r="K45" s="1052"/>
      <c r="L45" s="1052"/>
      <c r="M45" s="1052"/>
      <c r="N45" s="1052"/>
      <c r="O45" s="1052"/>
      <c r="P45" s="1052"/>
      <c r="Q45" s="1052"/>
      <c r="R45" s="1052"/>
      <c r="S45" s="1052"/>
      <c r="T45" s="1052"/>
      <c r="U45" s="1052"/>
      <c r="V45" s="1052"/>
      <c r="W45" s="1052"/>
      <c r="X45" s="1052"/>
      <c r="Y45" s="1052"/>
      <c r="Z45" s="1052"/>
      <c r="AA45" s="1052"/>
      <c r="AB45" s="1052"/>
      <c r="AC45" s="1052"/>
      <c r="AD45" s="1052"/>
      <c r="AE45" s="1052"/>
      <c r="AF45" s="1052"/>
      <c r="AG45" s="1052"/>
      <c r="AH45" s="1052"/>
      <c r="AI45" s="1066"/>
      <c r="AJ45" s="1067"/>
      <c r="AK45" s="1067"/>
    </row>
    <row r="46" spans="1:38" s="51" customFormat="1" ht="11.25">
      <c r="A46" s="1051"/>
      <c r="B46" s="1051"/>
      <c r="C46" s="1051"/>
      <c r="D46" s="1052"/>
      <c r="E46" s="1052"/>
      <c r="F46" s="1052"/>
      <c r="G46" s="1052"/>
      <c r="H46" s="1052"/>
      <c r="I46" s="1052"/>
      <c r="J46" s="1052"/>
      <c r="K46" s="1052"/>
      <c r="L46" s="1052"/>
      <c r="M46" s="1052"/>
      <c r="N46" s="1052"/>
      <c r="O46" s="1052"/>
      <c r="P46" s="1052"/>
      <c r="Q46" s="1052"/>
      <c r="R46" s="1052"/>
      <c r="S46" s="1052"/>
      <c r="T46" s="1052"/>
      <c r="U46" s="1052"/>
      <c r="V46" s="1052"/>
      <c r="W46" s="1052"/>
      <c r="X46" s="1052"/>
      <c r="Y46" s="1052"/>
      <c r="Z46" s="1052"/>
      <c r="AA46" s="1052"/>
      <c r="AB46" s="1052"/>
      <c r="AC46" s="1052"/>
      <c r="AD46" s="1052"/>
      <c r="AE46" s="1052"/>
      <c r="AF46" s="1052"/>
      <c r="AG46" s="1052"/>
      <c r="AH46" s="1052"/>
      <c r="AI46" s="1066"/>
      <c r="AJ46" s="1067"/>
      <c r="AK46" s="1067"/>
    </row>
    <row r="47" spans="1:38" s="51" customFormat="1" ht="11.25">
      <c r="A47" s="1051"/>
      <c r="B47" s="1051"/>
      <c r="C47" s="1051"/>
      <c r="D47" s="1051"/>
      <c r="E47" s="1051"/>
      <c r="F47" s="1051"/>
      <c r="G47" s="1052"/>
      <c r="H47" s="1052"/>
      <c r="I47" s="1052"/>
      <c r="J47" s="1052"/>
      <c r="K47" s="1052"/>
      <c r="L47" s="1052"/>
      <c r="M47" s="1052"/>
      <c r="N47" s="1052"/>
      <c r="O47" s="1052"/>
      <c r="P47" s="1052"/>
      <c r="Q47" s="1052"/>
      <c r="R47" s="1052"/>
      <c r="S47" s="1052"/>
      <c r="T47" s="1052"/>
      <c r="U47" s="1052"/>
      <c r="V47" s="1052"/>
      <c r="W47" s="1052"/>
      <c r="X47" s="1052"/>
      <c r="Y47" s="1052"/>
      <c r="Z47" s="1052"/>
      <c r="AA47" s="1052"/>
      <c r="AB47" s="1052"/>
      <c r="AC47" s="1052"/>
      <c r="AD47" s="1052"/>
      <c r="AE47" s="1052"/>
      <c r="AF47" s="1052"/>
      <c r="AG47" s="1052"/>
      <c r="AH47" s="1052"/>
      <c r="AI47" s="1066"/>
      <c r="AJ47" s="1067"/>
      <c r="AK47" s="1067"/>
    </row>
    <row r="48" spans="1:38" s="51" customFormat="1" ht="11.25">
      <c r="A48" s="1051"/>
      <c r="B48" s="1051"/>
      <c r="C48" s="1051"/>
      <c r="D48" s="1051"/>
      <c r="E48" s="1051"/>
      <c r="F48" s="1051"/>
      <c r="G48" s="1052"/>
      <c r="H48" s="1052"/>
      <c r="I48" s="1052"/>
      <c r="J48" s="1052"/>
      <c r="K48" s="1052"/>
      <c r="L48" s="1052"/>
      <c r="M48" s="1052"/>
      <c r="N48" s="1052"/>
      <c r="O48" s="1052"/>
      <c r="P48" s="1052"/>
      <c r="Q48" s="1052"/>
      <c r="R48" s="1052"/>
      <c r="S48" s="1052"/>
      <c r="T48" s="1052"/>
      <c r="U48" s="1052"/>
      <c r="V48" s="1052"/>
      <c r="W48" s="1052"/>
      <c r="X48" s="1052"/>
      <c r="Y48" s="1052"/>
      <c r="Z48" s="1052"/>
      <c r="AA48" s="1052"/>
      <c r="AB48" s="1052"/>
      <c r="AC48" s="1052"/>
      <c r="AD48" s="1052"/>
      <c r="AE48" s="1052"/>
      <c r="AF48" s="1052"/>
      <c r="AG48" s="1052"/>
      <c r="AH48" s="1052"/>
      <c r="AI48" s="1066"/>
      <c r="AJ48" s="1067"/>
      <c r="AK48" s="1067"/>
    </row>
    <row r="49" spans="1:37" s="51" customFormat="1" ht="11.25">
      <c r="A49" s="1051"/>
      <c r="B49" s="1051"/>
      <c r="C49" s="1051"/>
      <c r="D49" s="1051"/>
      <c r="E49" s="1051"/>
      <c r="F49" s="1051"/>
      <c r="G49" s="1052"/>
      <c r="H49" s="1052"/>
      <c r="I49" s="1052"/>
      <c r="J49" s="1052"/>
      <c r="K49" s="1052"/>
      <c r="L49" s="1052"/>
      <c r="M49" s="1052"/>
      <c r="N49" s="1052"/>
      <c r="O49" s="1052"/>
      <c r="P49" s="1052"/>
      <c r="Q49" s="1052"/>
      <c r="R49" s="1052"/>
      <c r="S49" s="1052"/>
      <c r="T49" s="1052"/>
      <c r="U49" s="1052"/>
      <c r="V49" s="1052"/>
      <c r="W49" s="1052"/>
      <c r="X49" s="1052"/>
      <c r="Y49" s="1052"/>
      <c r="Z49" s="1052"/>
      <c r="AA49" s="1052"/>
      <c r="AB49" s="1052"/>
      <c r="AC49" s="1052"/>
      <c r="AD49" s="1052"/>
      <c r="AE49" s="1052"/>
      <c r="AF49" s="1052"/>
      <c r="AG49" s="1052"/>
      <c r="AH49" s="1052"/>
      <c r="AI49" s="1066"/>
      <c r="AJ49" s="1067"/>
      <c r="AK49" s="1067"/>
    </row>
    <row r="50" spans="1:37" s="51" customFormat="1" ht="11.25">
      <c r="A50" s="1051"/>
      <c r="B50" s="1051"/>
      <c r="C50" s="1051"/>
      <c r="D50" s="1051"/>
      <c r="E50" s="1051"/>
      <c r="F50" s="1051"/>
      <c r="G50" s="1052"/>
      <c r="H50" s="1052"/>
      <c r="I50" s="1052"/>
      <c r="J50" s="1052"/>
      <c r="K50" s="1052"/>
      <c r="L50" s="1052"/>
      <c r="M50" s="1052"/>
      <c r="N50" s="1052"/>
      <c r="O50" s="1052"/>
      <c r="P50" s="1052"/>
      <c r="Q50" s="1052"/>
      <c r="R50" s="1052"/>
      <c r="S50" s="1052"/>
      <c r="T50" s="1052"/>
      <c r="U50" s="1052"/>
      <c r="V50" s="1052"/>
      <c r="W50" s="1052"/>
      <c r="X50" s="1052"/>
      <c r="Y50" s="1052"/>
      <c r="Z50" s="1052"/>
      <c r="AA50" s="1052"/>
      <c r="AB50" s="1052"/>
      <c r="AC50" s="1052"/>
      <c r="AD50" s="1052"/>
      <c r="AE50" s="1052"/>
      <c r="AF50" s="1052"/>
      <c r="AG50" s="1052"/>
      <c r="AH50" s="1052"/>
      <c r="AI50" s="1066"/>
      <c r="AJ50" s="1067"/>
      <c r="AK50" s="1067"/>
    </row>
    <row r="51" spans="1:37" s="51" customFormat="1" ht="11.25">
      <c r="A51" s="1051"/>
      <c r="B51" s="1051"/>
      <c r="C51" s="1051"/>
      <c r="D51" s="1051"/>
      <c r="E51" s="1051"/>
      <c r="F51" s="1051"/>
      <c r="G51" s="1052"/>
      <c r="H51" s="1052"/>
      <c r="I51" s="1052"/>
      <c r="J51" s="1052"/>
      <c r="K51" s="1052"/>
      <c r="L51" s="1052"/>
      <c r="M51" s="1052"/>
      <c r="N51" s="1052"/>
      <c r="O51" s="1052"/>
      <c r="P51" s="1052"/>
      <c r="Q51" s="1052"/>
      <c r="R51" s="1052"/>
      <c r="S51" s="1052"/>
      <c r="T51" s="1052"/>
      <c r="U51" s="1052"/>
      <c r="V51" s="1052"/>
      <c r="W51" s="1052"/>
      <c r="X51" s="1052"/>
      <c r="Y51" s="1052"/>
      <c r="Z51" s="1052"/>
      <c r="AA51" s="1052"/>
      <c r="AB51" s="1052"/>
      <c r="AC51" s="1052"/>
      <c r="AD51" s="1052"/>
      <c r="AE51" s="1052"/>
      <c r="AF51" s="1052"/>
      <c r="AG51" s="1052"/>
      <c r="AH51" s="1052"/>
      <c r="AI51" s="1066"/>
      <c r="AJ51" s="1067"/>
      <c r="AK51" s="1067"/>
    </row>
    <row r="52" spans="1:37" s="51" customFormat="1" ht="11.25">
      <c r="A52" s="1051"/>
      <c r="B52" s="1051"/>
      <c r="C52" s="1051"/>
      <c r="D52" s="1051"/>
      <c r="E52" s="1051"/>
      <c r="F52" s="1051"/>
      <c r="G52" s="1052"/>
      <c r="H52" s="1052"/>
      <c r="I52" s="1052"/>
      <c r="J52" s="1052"/>
      <c r="K52" s="1052"/>
      <c r="L52" s="1052"/>
      <c r="M52" s="1052"/>
      <c r="N52" s="1052"/>
      <c r="O52" s="1052"/>
      <c r="P52" s="1052"/>
      <c r="Q52" s="1052"/>
      <c r="R52" s="1052"/>
      <c r="S52" s="1052"/>
      <c r="T52" s="1052"/>
      <c r="U52" s="1052"/>
      <c r="V52" s="1052"/>
      <c r="W52" s="1052"/>
      <c r="X52" s="1052"/>
      <c r="Y52" s="1052"/>
      <c r="Z52" s="1052"/>
      <c r="AA52" s="1052"/>
      <c r="AB52" s="1052"/>
      <c r="AC52" s="1052"/>
      <c r="AD52" s="1052"/>
      <c r="AE52" s="1052"/>
      <c r="AF52" s="1052"/>
      <c r="AG52" s="1052"/>
      <c r="AH52" s="1052"/>
      <c r="AI52" s="1066"/>
      <c r="AJ52" s="1067"/>
      <c r="AK52" s="1067"/>
    </row>
    <row r="53" spans="1:37" s="51" customFormat="1" ht="11.25">
      <c r="A53" s="1051"/>
      <c r="B53" s="1051"/>
      <c r="C53" s="1051"/>
      <c r="D53" s="1051"/>
      <c r="E53" s="1051"/>
      <c r="F53" s="1051"/>
      <c r="G53" s="1052"/>
      <c r="H53" s="1052"/>
      <c r="I53" s="1052"/>
      <c r="J53" s="1052"/>
      <c r="K53" s="1052"/>
      <c r="L53" s="1052"/>
      <c r="M53" s="1052"/>
      <c r="N53" s="1052"/>
      <c r="O53" s="1052"/>
      <c r="P53" s="1052"/>
      <c r="Q53" s="1052"/>
      <c r="R53" s="1052"/>
      <c r="S53" s="1052"/>
      <c r="T53" s="1052"/>
      <c r="U53" s="1052"/>
      <c r="V53" s="1052"/>
      <c r="W53" s="1052"/>
      <c r="X53" s="1052"/>
      <c r="Y53" s="1052"/>
      <c r="Z53" s="1052"/>
      <c r="AA53" s="1052"/>
      <c r="AB53" s="1052"/>
      <c r="AC53" s="1052"/>
      <c r="AD53" s="1052"/>
      <c r="AE53" s="1052"/>
      <c r="AF53" s="1052"/>
      <c r="AG53" s="1052"/>
      <c r="AH53" s="1052"/>
      <c r="AI53" s="1066"/>
      <c r="AJ53" s="1067"/>
      <c r="AK53" s="1067"/>
    </row>
    <row r="54" spans="1:37" s="51" customFormat="1" ht="11.25">
      <c r="A54" s="1051"/>
      <c r="B54" s="1051"/>
      <c r="C54" s="1051"/>
      <c r="D54" s="1051"/>
      <c r="E54" s="1051"/>
      <c r="F54" s="1051"/>
      <c r="G54" s="1052"/>
      <c r="H54" s="1052"/>
      <c r="I54" s="1052"/>
      <c r="J54" s="1052"/>
      <c r="K54" s="1052"/>
      <c r="L54" s="1052"/>
      <c r="M54" s="1052"/>
      <c r="N54" s="1052"/>
      <c r="O54" s="1052"/>
      <c r="P54" s="1052"/>
      <c r="Q54" s="1052"/>
      <c r="R54" s="1052"/>
      <c r="S54" s="1052"/>
      <c r="T54" s="1052"/>
      <c r="U54" s="1052"/>
      <c r="V54" s="1052"/>
      <c r="W54" s="1052"/>
      <c r="X54" s="1052"/>
      <c r="Y54" s="1052"/>
      <c r="Z54" s="1052"/>
      <c r="AA54" s="1052"/>
      <c r="AB54" s="1052"/>
      <c r="AC54" s="1052"/>
      <c r="AD54" s="1052"/>
      <c r="AE54" s="1052"/>
      <c r="AF54" s="1052"/>
      <c r="AG54" s="1052"/>
      <c r="AH54" s="1052"/>
      <c r="AI54" s="1066"/>
      <c r="AJ54" s="1067"/>
      <c r="AK54" s="1067"/>
    </row>
    <row r="55" spans="1:37" s="51" customFormat="1" ht="11.25">
      <c r="A55" s="1051"/>
      <c r="B55" s="1051"/>
      <c r="C55" s="1051"/>
      <c r="D55" s="1051"/>
      <c r="E55" s="1051"/>
      <c r="F55" s="1051"/>
      <c r="G55" s="1052"/>
      <c r="H55" s="1052"/>
      <c r="I55" s="1052"/>
      <c r="J55" s="1052"/>
      <c r="K55" s="1052"/>
      <c r="L55" s="1052"/>
      <c r="M55" s="1052"/>
      <c r="N55" s="1052"/>
      <c r="O55" s="1052"/>
      <c r="P55" s="1052"/>
      <c r="Q55" s="1052"/>
      <c r="R55" s="1052"/>
      <c r="S55" s="1052"/>
      <c r="T55" s="1052"/>
      <c r="U55" s="1052"/>
      <c r="V55" s="1052"/>
      <c r="W55" s="1052"/>
      <c r="X55" s="1052"/>
      <c r="Y55" s="1052"/>
      <c r="Z55" s="1052"/>
      <c r="AA55" s="1052"/>
      <c r="AB55" s="1052"/>
      <c r="AC55" s="1052"/>
      <c r="AD55" s="1052"/>
      <c r="AE55" s="1052"/>
      <c r="AF55" s="1052"/>
      <c r="AG55" s="1052"/>
      <c r="AH55" s="1052"/>
      <c r="AI55" s="1066"/>
      <c r="AJ55" s="1067"/>
      <c r="AK55" s="1067"/>
    </row>
    <row r="56" spans="1:37" s="51" customFormat="1" ht="11.25">
      <c r="A56" s="1051"/>
      <c r="B56" s="1051"/>
      <c r="C56" s="1051"/>
      <c r="D56" s="1051"/>
      <c r="E56" s="1051"/>
      <c r="F56" s="1051"/>
      <c r="G56" s="1052"/>
      <c r="H56" s="1052"/>
      <c r="I56" s="1052"/>
      <c r="J56" s="1052"/>
      <c r="K56" s="1052"/>
      <c r="L56" s="1052"/>
      <c r="M56" s="1052"/>
      <c r="N56" s="1052"/>
      <c r="O56" s="1052"/>
      <c r="P56" s="1052"/>
      <c r="Q56" s="1052"/>
      <c r="R56" s="1052"/>
      <c r="S56" s="1052"/>
      <c r="T56" s="1052"/>
      <c r="U56" s="1052"/>
      <c r="V56" s="1052"/>
      <c r="W56" s="1052"/>
      <c r="X56" s="1052"/>
      <c r="Y56" s="1052"/>
      <c r="Z56" s="1052"/>
      <c r="AA56" s="1052"/>
      <c r="AB56" s="1052"/>
      <c r="AC56" s="1052"/>
      <c r="AD56" s="1052"/>
      <c r="AE56" s="1052"/>
      <c r="AF56" s="1052"/>
      <c r="AG56" s="1052"/>
      <c r="AH56" s="1052"/>
      <c r="AI56" s="1066"/>
      <c r="AJ56" s="1067"/>
      <c r="AK56" s="1067"/>
    </row>
    <row r="57" spans="1:37" s="51" customFormat="1" ht="11.25">
      <c r="A57" s="1051"/>
      <c r="B57" s="1051"/>
      <c r="C57" s="1051"/>
      <c r="D57" s="1051"/>
      <c r="E57" s="1051"/>
      <c r="F57" s="1051"/>
      <c r="G57" s="1052"/>
      <c r="H57" s="1052"/>
      <c r="I57" s="1052"/>
      <c r="J57" s="1052"/>
      <c r="K57" s="1052"/>
      <c r="L57" s="1052"/>
      <c r="M57" s="1052"/>
      <c r="N57" s="1052"/>
      <c r="O57" s="1052"/>
      <c r="P57" s="1052"/>
      <c r="Q57" s="1052"/>
      <c r="R57" s="1052"/>
      <c r="S57" s="1052"/>
      <c r="T57" s="1052"/>
      <c r="U57" s="1052"/>
      <c r="V57" s="1052"/>
      <c r="W57" s="1052"/>
      <c r="X57" s="1052"/>
      <c r="Y57" s="1052"/>
      <c r="Z57" s="1052"/>
      <c r="AA57" s="1052"/>
      <c r="AB57" s="1052"/>
      <c r="AC57" s="1052"/>
      <c r="AD57" s="1052"/>
      <c r="AE57" s="1052"/>
      <c r="AF57" s="1052"/>
      <c r="AG57" s="1052"/>
      <c r="AH57" s="1052"/>
      <c r="AI57" s="1066"/>
      <c r="AJ57" s="1067"/>
      <c r="AK57" s="1067"/>
    </row>
    <row r="58" spans="1:37" s="51" customFormat="1" ht="11.25">
      <c r="A58" s="1051"/>
      <c r="B58" s="1051"/>
      <c r="C58" s="1051"/>
      <c r="D58" s="1051"/>
      <c r="E58" s="1051"/>
      <c r="F58" s="1051"/>
      <c r="G58" s="1052"/>
      <c r="H58" s="1052"/>
      <c r="I58" s="1052"/>
      <c r="J58" s="1052"/>
      <c r="K58" s="1052"/>
      <c r="L58" s="1052"/>
      <c r="M58" s="1052"/>
      <c r="N58" s="1052"/>
      <c r="O58" s="1052"/>
      <c r="P58" s="1052"/>
      <c r="Q58" s="1052"/>
      <c r="R58" s="1052"/>
      <c r="S58" s="1052"/>
      <c r="T58" s="1052"/>
      <c r="U58" s="1052"/>
      <c r="V58" s="1052"/>
      <c r="W58" s="1052"/>
      <c r="X58" s="1052"/>
      <c r="Y58" s="1052"/>
      <c r="Z58" s="1052"/>
      <c r="AA58" s="1052"/>
      <c r="AB58" s="1052"/>
      <c r="AC58" s="1052"/>
      <c r="AD58" s="1052"/>
      <c r="AE58" s="1052"/>
      <c r="AF58" s="1052"/>
      <c r="AG58" s="1052"/>
      <c r="AH58" s="1052"/>
      <c r="AI58" s="1066"/>
      <c r="AJ58" s="1067"/>
      <c r="AK58" s="1067"/>
    </row>
    <row r="59" spans="1:37" s="51" customFormat="1" ht="11.25">
      <c r="A59" s="1051"/>
      <c r="B59" s="1051"/>
      <c r="C59" s="1051"/>
      <c r="D59" s="1051"/>
      <c r="E59" s="1051"/>
      <c r="F59" s="1051"/>
      <c r="G59" s="1052"/>
      <c r="H59" s="1052"/>
      <c r="I59" s="1052"/>
      <c r="J59" s="1052"/>
      <c r="K59" s="1052"/>
      <c r="L59" s="1052"/>
      <c r="M59" s="1052"/>
      <c r="N59" s="1052"/>
      <c r="O59" s="1052"/>
      <c r="P59" s="1052"/>
      <c r="Q59" s="1052"/>
      <c r="R59" s="1052"/>
      <c r="S59" s="1052"/>
      <c r="T59" s="1052"/>
      <c r="U59" s="1052"/>
      <c r="V59" s="1052"/>
      <c r="W59" s="1052"/>
      <c r="X59" s="1052"/>
      <c r="Y59" s="1052"/>
      <c r="Z59" s="1052"/>
      <c r="AA59" s="1052"/>
      <c r="AB59" s="1052"/>
      <c r="AC59" s="1052"/>
      <c r="AD59" s="1052"/>
      <c r="AE59" s="1052"/>
      <c r="AF59" s="1052"/>
      <c r="AG59" s="1052"/>
      <c r="AH59" s="1052"/>
      <c r="AI59" s="1066"/>
      <c r="AJ59" s="1067"/>
      <c r="AK59" s="1067"/>
    </row>
    <row r="60" spans="1:37" s="51" customFormat="1" ht="11.25">
      <c r="A60" s="1051"/>
      <c r="B60" s="1051"/>
      <c r="C60" s="1051"/>
      <c r="D60" s="1051"/>
      <c r="E60" s="1051"/>
      <c r="F60" s="1051"/>
      <c r="G60" s="1052"/>
      <c r="H60" s="1052"/>
      <c r="I60" s="1052"/>
      <c r="J60" s="1052"/>
      <c r="K60" s="1052"/>
      <c r="L60" s="1052"/>
      <c r="M60" s="1052"/>
      <c r="N60" s="1052"/>
      <c r="O60" s="1052"/>
      <c r="P60" s="1052"/>
      <c r="Q60" s="1052"/>
      <c r="R60" s="1052"/>
      <c r="S60" s="1052"/>
      <c r="T60" s="1052"/>
      <c r="U60" s="1052"/>
      <c r="V60" s="1052"/>
      <c r="W60" s="1052"/>
      <c r="X60" s="1052"/>
      <c r="Y60" s="1052"/>
      <c r="Z60" s="1052"/>
      <c r="AA60" s="1052"/>
      <c r="AB60" s="1052"/>
      <c r="AC60" s="1052"/>
      <c r="AD60" s="1052"/>
      <c r="AE60" s="1052"/>
      <c r="AF60" s="1052"/>
      <c r="AG60" s="1052"/>
      <c r="AH60" s="1052"/>
      <c r="AI60" s="1066"/>
      <c r="AJ60" s="1067"/>
      <c r="AK60" s="1067"/>
    </row>
    <row r="61" spans="1:37" s="51" customFormat="1" ht="11.25">
      <c r="A61" s="1051"/>
      <c r="B61" s="1051"/>
      <c r="C61" s="1051"/>
      <c r="D61" s="1051"/>
      <c r="E61" s="1051"/>
      <c r="F61" s="1051"/>
      <c r="G61" s="1052"/>
      <c r="H61" s="1052"/>
      <c r="I61" s="1052"/>
      <c r="J61" s="1052"/>
      <c r="K61" s="1052"/>
      <c r="L61" s="1052"/>
      <c r="M61" s="1052"/>
      <c r="N61" s="1052"/>
      <c r="O61" s="1052"/>
      <c r="P61" s="1052"/>
      <c r="Q61" s="1052"/>
      <c r="R61" s="1052"/>
      <c r="S61" s="1052"/>
      <c r="T61" s="1052"/>
      <c r="U61" s="1052"/>
      <c r="V61" s="1052"/>
      <c r="W61" s="1052"/>
      <c r="X61" s="1052"/>
      <c r="Y61" s="1052"/>
      <c r="Z61" s="1052"/>
      <c r="AA61" s="1052"/>
      <c r="AB61" s="1052"/>
      <c r="AC61" s="1052"/>
      <c r="AD61" s="1052"/>
      <c r="AE61" s="1052"/>
      <c r="AF61" s="1052"/>
      <c r="AG61" s="1052"/>
      <c r="AH61" s="1052"/>
      <c r="AI61" s="1066"/>
      <c r="AJ61" s="1067"/>
      <c r="AK61" s="1067"/>
    </row>
    <row r="62" spans="1:37" s="51" customFormat="1" ht="11.25">
      <c r="A62" s="1051"/>
      <c r="B62" s="1051"/>
      <c r="C62" s="1051"/>
      <c r="D62" s="1051"/>
      <c r="E62" s="1051"/>
      <c r="F62" s="1051"/>
      <c r="G62" s="1052"/>
      <c r="H62" s="1052"/>
      <c r="I62" s="1052"/>
      <c r="J62" s="1052"/>
      <c r="K62" s="1052"/>
      <c r="L62" s="1052"/>
      <c r="M62" s="1052"/>
      <c r="N62" s="1052"/>
      <c r="O62" s="1052"/>
      <c r="P62" s="1052"/>
      <c r="Q62" s="1052"/>
      <c r="R62" s="1052"/>
      <c r="S62" s="1052"/>
      <c r="T62" s="1052"/>
      <c r="U62" s="1052"/>
      <c r="V62" s="1052"/>
      <c r="W62" s="1052"/>
      <c r="X62" s="1052"/>
      <c r="Y62" s="1052"/>
      <c r="Z62" s="1052"/>
      <c r="AA62" s="1052"/>
      <c r="AB62" s="1052"/>
      <c r="AC62" s="1052"/>
      <c r="AD62" s="1052"/>
      <c r="AE62" s="1052"/>
      <c r="AF62" s="1052"/>
      <c r="AG62" s="1052"/>
      <c r="AH62" s="1052"/>
      <c r="AI62" s="1066"/>
      <c r="AJ62" s="1067"/>
      <c r="AK62" s="1067"/>
    </row>
    <row r="63" spans="1:37" s="51" customFormat="1" ht="11.25">
      <c r="A63" s="1051"/>
      <c r="B63" s="1051"/>
      <c r="C63" s="1051"/>
      <c r="D63" s="1051"/>
      <c r="E63" s="1051"/>
      <c r="F63" s="1051"/>
      <c r="G63" s="1052"/>
      <c r="H63" s="1052"/>
      <c r="I63" s="1052"/>
      <c r="J63" s="1052"/>
      <c r="K63" s="1052"/>
      <c r="L63" s="1052"/>
      <c r="M63" s="1052"/>
      <c r="N63" s="1052"/>
      <c r="O63" s="1052"/>
      <c r="P63" s="1052"/>
      <c r="Q63" s="1052"/>
      <c r="R63" s="1052"/>
      <c r="S63" s="1052"/>
      <c r="T63" s="1052"/>
      <c r="U63" s="1052"/>
      <c r="V63" s="1052"/>
      <c r="W63" s="1052"/>
      <c r="X63" s="1052"/>
      <c r="Y63" s="1052"/>
      <c r="Z63" s="1052"/>
      <c r="AA63" s="1052"/>
      <c r="AB63" s="1052"/>
      <c r="AC63" s="1052"/>
      <c r="AD63" s="1052"/>
      <c r="AE63" s="1052"/>
      <c r="AF63" s="1052"/>
      <c r="AG63" s="1052"/>
      <c r="AH63" s="1052"/>
      <c r="AI63" s="1066"/>
      <c r="AJ63" s="1067"/>
      <c r="AK63" s="1067"/>
    </row>
    <row r="64" spans="1:37" s="51" customFormat="1" ht="11.25">
      <c r="A64" s="1051"/>
      <c r="B64" s="1051"/>
      <c r="C64" s="1051"/>
      <c r="D64" s="1051"/>
      <c r="E64" s="1051"/>
      <c r="F64" s="1051"/>
      <c r="G64" s="1052"/>
      <c r="H64" s="1052"/>
      <c r="I64" s="1052"/>
      <c r="J64" s="1052"/>
      <c r="K64" s="1052"/>
      <c r="L64" s="1052"/>
      <c r="M64" s="1052"/>
      <c r="N64" s="1052"/>
      <c r="O64" s="1052"/>
      <c r="P64" s="1052"/>
      <c r="Q64" s="1052"/>
      <c r="R64" s="1052"/>
      <c r="S64" s="1052"/>
      <c r="T64" s="1052"/>
      <c r="U64" s="1052"/>
      <c r="V64" s="1052"/>
      <c r="W64" s="1052"/>
      <c r="X64" s="1052"/>
      <c r="Y64" s="1052"/>
      <c r="Z64" s="1052"/>
      <c r="AA64" s="1052"/>
      <c r="AB64" s="1052"/>
      <c r="AC64" s="1052"/>
      <c r="AD64" s="1052"/>
      <c r="AE64" s="1052"/>
      <c r="AF64" s="1052"/>
      <c r="AG64" s="1052"/>
      <c r="AH64" s="1052"/>
      <c r="AI64" s="1066"/>
      <c r="AJ64" s="1067"/>
      <c r="AK64" s="1067"/>
    </row>
    <row r="65" spans="1:37" s="51" customFormat="1" ht="11.25">
      <c r="A65" s="1051"/>
      <c r="B65" s="1051"/>
      <c r="C65" s="1051"/>
      <c r="D65" s="1051"/>
      <c r="E65" s="1051"/>
      <c r="F65" s="1051"/>
      <c r="G65" s="1052"/>
      <c r="H65" s="1052"/>
      <c r="I65" s="1052"/>
      <c r="J65" s="1052"/>
      <c r="K65" s="1052"/>
      <c r="L65" s="1052"/>
      <c r="M65" s="1052"/>
      <c r="N65" s="1052"/>
      <c r="O65" s="1052"/>
      <c r="P65" s="1052"/>
      <c r="Q65" s="1052"/>
      <c r="R65" s="1052"/>
      <c r="S65" s="1052"/>
      <c r="T65" s="1052"/>
      <c r="U65" s="1052"/>
      <c r="V65" s="1052"/>
      <c r="W65" s="1052"/>
      <c r="X65" s="1052"/>
      <c r="Y65" s="1052"/>
      <c r="Z65" s="1052"/>
      <c r="AA65" s="1052"/>
      <c r="AB65" s="1052"/>
      <c r="AC65" s="1052"/>
      <c r="AD65" s="1052"/>
      <c r="AE65" s="1052"/>
      <c r="AF65" s="1052"/>
      <c r="AG65" s="1052"/>
      <c r="AH65" s="1052"/>
      <c r="AI65" s="1066"/>
      <c r="AJ65" s="1067"/>
      <c r="AK65" s="1067"/>
    </row>
    <row r="66" spans="1:37" s="51" customFormat="1" ht="11.25">
      <c r="A66" s="1051"/>
      <c r="B66" s="1051"/>
      <c r="C66" s="1051"/>
      <c r="D66" s="1051"/>
      <c r="E66" s="1051"/>
      <c r="F66" s="1051"/>
      <c r="G66" s="1052"/>
      <c r="H66" s="1052"/>
      <c r="I66" s="1052"/>
      <c r="J66" s="1052"/>
      <c r="K66" s="1052"/>
      <c r="L66" s="1052"/>
      <c r="M66" s="1052"/>
      <c r="N66" s="1052"/>
      <c r="O66" s="1052"/>
      <c r="P66" s="1052"/>
      <c r="Q66" s="1052"/>
      <c r="R66" s="1052"/>
      <c r="S66" s="1052"/>
      <c r="T66" s="1052"/>
      <c r="U66" s="1052"/>
      <c r="V66" s="1052"/>
      <c r="W66" s="1052"/>
      <c r="X66" s="1052"/>
      <c r="Y66" s="1052"/>
      <c r="Z66" s="1052"/>
      <c r="AA66" s="1052"/>
      <c r="AB66" s="1052"/>
      <c r="AC66" s="1052"/>
      <c r="AD66" s="1052"/>
      <c r="AE66" s="1052"/>
      <c r="AF66" s="1052"/>
      <c r="AG66" s="1052"/>
      <c r="AH66" s="1052"/>
      <c r="AI66" s="1066"/>
      <c r="AJ66" s="1067"/>
      <c r="AK66" s="1067"/>
    </row>
    <row r="67" spans="1:37" s="51" customFormat="1" ht="11.25">
      <c r="A67" s="1051"/>
      <c r="B67" s="1051"/>
      <c r="C67" s="1051"/>
      <c r="D67" s="1051"/>
      <c r="E67" s="1051"/>
      <c r="F67" s="1051"/>
      <c r="G67" s="1052"/>
      <c r="H67" s="1052"/>
      <c r="I67" s="1052"/>
      <c r="J67" s="1052"/>
      <c r="K67" s="1052"/>
      <c r="L67" s="1052"/>
      <c r="M67" s="1052"/>
      <c r="N67" s="1052"/>
      <c r="O67" s="1052"/>
      <c r="P67" s="1052"/>
      <c r="Q67" s="1052"/>
      <c r="R67" s="1052"/>
      <c r="S67" s="1052"/>
      <c r="T67" s="1052"/>
      <c r="U67" s="1052"/>
      <c r="V67" s="1052"/>
      <c r="W67" s="1052"/>
      <c r="X67" s="1052"/>
      <c r="Y67" s="1052"/>
      <c r="Z67" s="1052"/>
      <c r="AA67" s="1052"/>
      <c r="AB67" s="1052"/>
      <c r="AC67" s="1052"/>
      <c r="AD67" s="1052"/>
      <c r="AE67" s="1052"/>
      <c r="AF67" s="1052"/>
      <c r="AG67" s="1052"/>
      <c r="AH67" s="1052"/>
      <c r="AI67" s="1066"/>
      <c r="AJ67" s="1067"/>
      <c r="AK67" s="1067"/>
    </row>
    <row r="68" spans="1:37" s="51" customFormat="1" ht="11.25">
      <c r="A68" s="1051"/>
      <c r="B68" s="1051"/>
      <c r="C68" s="1051"/>
      <c r="D68" s="1051"/>
      <c r="E68" s="1051"/>
      <c r="F68" s="1051"/>
      <c r="G68" s="1052"/>
      <c r="H68" s="1052"/>
      <c r="I68" s="1052"/>
      <c r="J68" s="1052"/>
      <c r="K68" s="1052"/>
      <c r="L68" s="1052"/>
      <c r="M68" s="1052"/>
      <c r="N68" s="1052"/>
      <c r="O68" s="1052"/>
      <c r="P68" s="1052"/>
      <c r="Q68" s="1052"/>
      <c r="R68" s="1052"/>
      <c r="S68" s="1052"/>
      <c r="T68" s="1052"/>
      <c r="U68" s="1052"/>
      <c r="V68" s="1052"/>
      <c r="W68" s="1052"/>
      <c r="X68" s="1052"/>
      <c r="Y68" s="1052"/>
      <c r="Z68" s="1052"/>
      <c r="AA68" s="1052"/>
      <c r="AB68" s="1052"/>
      <c r="AC68" s="1052"/>
      <c r="AD68" s="1052"/>
      <c r="AE68" s="1052"/>
      <c r="AF68" s="1052"/>
      <c r="AG68" s="1052"/>
      <c r="AH68" s="1052"/>
      <c r="AI68" s="1066"/>
      <c r="AJ68" s="1067"/>
      <c r="AK68" s="1067"/>
    </row>
    <row r="69" spans="1:37" s="51" customFormat="1" ht="11.25">
      <c r="A69" s="1051"/>
      <c r="B69" s="1051"/>
      <c r="C69" s="1051"/>
      <c r="D69" s="1051"/>
      <c r="E69" s="1051"/>
      <c r="F69" s="1051"/>
      <c r="G69" s="1052"/>
      <c r="H69" s="1052"/>
      <c r="I69" s="1052"/>
      <c r="J69" s="1052"/>
      <c r="K69" s="1052"/>
      <c r="L69" s="1052"/>
      <c r="M69" s="1052"/>
      <c r="N69" s="1052"/>
      <c r="O69" s="1052"/>
      <c r="P69" s="1052"/>
      <c r="Q69" s="1052"/>
      <c r="R69" s="1052"/>
      <c r="S69" s="1052"/>
      <c r="T69" s="1052"/>
      <c r="U69" s="1052"/>
      <c r="V69" s="1052"/>
      <c r="W69" s="1052"/>
      <c r="X69" s="1052"/>
      <c r="Y69" s="1052"/>
      <c r="Z69" s="1052"/>
      <c r="AA69" s="1052"/>
      <c r="AB69" s="1052"/>
      <c r="AC69" s="1052"/>
      <c r="AD69" s="1052"/>
      <c r="AE69" s="1052"/>
      <c r="AF69" s="1052"/>
      <c r="AG69" s="1052"/>
      <c r="AH69" s="1052"/>
      <c r="AI69" s="1066"/>
      <c r="AJ69" s="1067"/>
      <c r="AK69" s="1067"/>
    </row>
    <row r="70" spans="1:37" s="51" customFormat="1" ht="11.25">
      <c r="A70" s="1051"/>
      <c r="B70" s="1051"/>
      <c r="C70" s="1051"/>
      <c r="D70" s="1051"/>
      <c r="E70" s="1051"/>
      <c r="F70" s="1051"/>
      <c r="G70" s="1052"/>
      <c r="H70" s="1052"/>
      <c r="I70" s="1052"/>
      <c r="J70" s="1052"/>
      <c r="K70" s="1052"/>
      <c r="L70" s="1052"/>
      <c r="M70" s="1052"/>
      <c r="N70" s="1052"/>
      <c r="O70" s="1052"/>
      <c r="P70" s="1052"/>
      <c r="Q70" s="1052"/>
      <c r="R70" s="1052"/>
      <c r="S70" s="1052"/>
      <c r="T70" s="1052"/>
      <c r="U70" s="1052"/>
      <c r="V70" s="1052"/>
      <c r="W70" s="1052"/>
      <c r="X70" s="1052"/>
      <c r="Y70" s="1052"/>
      <c r="Z70" s="1052"/>
      <c r="AA70" s="1052"/>
      <c r="AB70" s="1052"/>
      <c r="AC70" s="1052"/>
      <c r="AD70" s="1052"/>
      <c r="AE70" s="1052"/>
      <c r="AF70" s="1052"/>
      <c r="AG70" s="1052"/>
      <c r="AH70" s="1052"/>
      <c r="AI70" s="1066"/>
      <c r="AJ70" s="1067"/>
      <c r="AK70" s="1067"/>
    </row>
    <row r="71" spans="1:37" s="51" customFormat="1" ht="11.25">
      <c r="A71" s="1051"/>
      <c r="B71" s="1051"/>
      <c r="C71" s="1051"/>
      <c r="D71" s="1051"/>
      <c r="E71" s="1051"/>
      <c r="F71" s="1051"/>
      <c r="G71" s="1052"/>
      <c r="H71" s="1052"/>
      <c r="I71" s="1052"/>
      <c r="J71" s="1052"/>
      <c r="K71" s="1052"/>
      <c r="L71" s="1052"/>
      <c r="M71" s="1052"/>
      <c r="N71" s="1052"/>
      <c r="O71" s="1052"/>
      <c r="P71" s="1052"/>
      <c r="Q71" s="1052"/>
      <c r="R71" s="1052"/>
      <c r="S71" s="1052"/>
      <c r="T71" s="1052"/>
      <c r="U71" s="1052"/>
      <c r="V71" s="1052"/>
      <c r="W71" s="1052"/>
      <c r="X71" s="1052"/>
      <c r="Y71" s="1052"/>
      <c r="Z71" s="1052"/>
      <c r="AA71" s="1052"/>
      <c r="AB71" s="1052"/>
      <c r="AC71" s="1052"/>
      <c r="AD71" s="1052"/>
      <c r="AE71" s="1052"/>
      <c r="AF71" s="1052"/>
      <c r="AG71" s="1052"/>
      <c r="AH71" s="1052"/>
      <c r="AI71" s="1066"/>
      <c r="AJ71" s="1067"/>
      <c r="AK71" s="1067"/>
    </row>
    <row r="72" spans="1:37" s="51" customFormat="1" ht="11.25">
      <c r="A72" s="1051"/>
      <c r="B72" s="1051"/>
      <c r="C72" s="1051"/>
      <c r="D72" s="1051"/>
      <c r="E72" s="1051"/>
      <c r="F72" s="1051"/>
      <c r="G72" s="1052"/>
      <c r="H72" s="1052"/>
      <c r="I72" s="1052"/>
      <c r="J72" s="1052"/>
      <c r="K72" s="1052"/>
      <c r="L72" s="1052"/>
      <c r="M72" s="1052"/>
      <c r="N72" s="1052"/>
      <c r="O72" s="1052"/>
      <c r="P72" s="1052"/>
      <c r="Q72" s="1052"/>
      <c r="R72" s="1052"/>
      <c r="S72" s="1052"/>
      <c r="T72" s="1052"/>
      <c r="U72" s="1052"/>
      <c r="V72" s="1052"/>
      <c r="W72" s="1052"/>
      <c r="X72" s="1052"/>
      <c r="Y72" s="1052"/>
      <c r="Z72" s="1052"/>
      <c r="AA72" s="1052"/>
      <c r="AB72" s="1052"/>
      <c r="AC72" s="1052"/>
      <c r="AD72" s="1052"/>
      <c r="AE72" s="1052"/>
      <c r="AF72" s="1052"/>
      <c r="AG72" s="1052"/>
      <c r="AH72" s="1052"/>
      <c r="AI72" s="1066"/>
      <c r="AJ72" s="1067"/>
      <c r="AK72" s="1067"/>
    </row>
    <row r="73" spans="1:37" s="51" customFormat="1" ht="11.25">
      <c r="A73" s="1051"/>
      <c r="B73" s="1051"/>
      <c r="C73" s="1051"/>
      <c r="D73" s="1051"/>
      <c r="E73" s="1051"/>
      <c r="F73" s="1051"/>
      <c r="G73" s="1052"/>
      <c r="H73" s="1052"/>
      <c r="I73" s="1052"/>
      <c r="J73" s="1052"/>
      <c r="K73" s="1052"/>
      <c r="L73" s="1052"/>
      <c r="M73" s="1052"/>
      <c r="N73" s="1052"/>
      <c r="O73" s="1052"/>
      <c r="P73" s="1052"/>
      <c r="Q73" s="1052"/>
      <c r="R73" s="1052"/>
      <c r="S73" s="1052"/>
      <c r="T73" s="1052"/>
      <c r="U73" s="1052"/>
      <c r="V73" s="1052"/>
      <c r="W73" s="1052"/>
      <c r="X73" s="1052"/>
      <c r="Y73" s="1052"/>
      <c r="Z73" s="1052"/>
      <c r="AA73" s="1052"/>
      <c r="AB73" s="1051"/>
      <c r="AC73" s="1051"/>
      <c r="AD73" s="1051"/>
      <c r="AE73" s="1051"/>
      <c r="AF73" s="1051"/>
      <c r="AG73" s="1051"/>
      <c r="AH73" s="1051"/>
      <c r="AI73" s="1067"/>
      <c r="AJ73" s="1067"/>
      <c r="AK73" s="1067"/>
    </row>
    <row r="74" spans="1:37" s="51" customFormat="1" ht="11.25">
      <c r="A74" s="1051"/>
      <c r="B74" s="1051"/>
      <c r="C74" s="1051"/>
      <c r="D74" s="1051"/>
      <c r="E74" s="1051"/>
      <c r="F74" s="1051"/>
      <c r="G74" s="1052"/>
      <c r="H74" s="1052"/>
      <c r="I74" s="1052"/>
      <c r="J74" s="1052"/>
      <c r="K74" s="1052"/>
      <c r="L74" s="1052"/>
      <c r="M74" s="1052"/>
      <c r="N74" s="1052"/>
      <c r="O74" s="1052"/>
      <c r="P74" s="1052"/>
      <c r="Q74" s="1052"/>
      <c r="R74" s="1052"/>
      <c r="S74" s="1052"/>
      <c r="T74" s="1052"/>
      <c r="U74" s="1052"/>
      <c r="V74" s="1052"/>
      <c r="W74" s="1052"/>
      <c r="X74" s="1052"/>
      <c r="Y74" s="1052"/>
      <c r="Z74" s="1052"/>
      <c r="AA74" s="1052"/>
      <c r="AB74" s="1051"/>
      <c r="AC74" s="1051"/>
      <c r="AD74" s="1051"/>
      <c r="AE74" s="1051"/>
      <c r="AF74" s="1051"/>
      <c r="AG74" s="1051"/>
      <c r="AH74" s="1051"/>
      <c r="AI74" s="1067"/>
      <c r="AJ74" s="1067"/>
      <c r="AK74" s="1067"/>
    </row>
    <row r="75" spans="1:37" s="51" customFormat="1" ht="11.25">
      <c r="A75" s="1051"/>
      <c r="B75" s="1051"/>
      <c r="C75" s="1051"/>
      <c r="D75" s="1051"/>
      <c r="E75" s="1051"/>
      <c r="F75" s="1051"/>
      <c r="G75" s="1052"/>
      <c r="H75" s="1052"/>
      <c r="I75" s="1052"/>
      <c r="J75" s="1052"/>
      <c r="K75" s="1052"/>
      <c r="L75" s="1052"/>
      <c r="M75" s="1052"/>
      <c r="N75" s="1052"/>
      <c r="O75" s="1052"/>
      <c r="P75" s="1052"/>
      <c r="Q75" s="1052"/>
      <c r="R75" s="1052"/>
      <c r="S75" s="1052"/>
      <c r="T75" s="1052"/>
      <c r="U75" s="1052"/>
      <c r="V75" s="1052"/>
      <c r="W75" s="1052"/>
      <c r="X75" s="1052"/>
      <c r="Y75" s="1052"/>
      <c r="Z75" s="1052"/>
      <c r="AA75" s="1052"/>
      <c r="AB75" s="1051"/>
      <c r="AC75" s="1051"/>
      <c r="AD75" s="1051"/>
      <c r="AE75" s="1051"/>
      <c r="AF75" s="1051"/>
      <c r="AG75" s="1051"/>
      <c r="AH75" s="1051"/>
      <c r="AI75" s="1067"/>
      <c r="AJ75" s="1067"/>
      <c r="AK75" s="1067"/>
    </row>
    <row r="76" spans="1:37" s="51" customFormat="1" ht="11.25">
      <c r="A76" s="1051"/>
      <c r="B76" s="1051"/>
      <c r="C76" s="1051"/>
      <c r="D76" s="1051"/>
      <c r="E76" s="1051"/>
      <c r="F76" s="1051"/>
      <c r="G76" s="1052"/>
      <c r="H76" s="1052"/>
      <c r="I76" s="1052"/>
      <c r="J76" s="1052"/>
      <c r="K76" s="1052"/>
      <c r="L76" s="1052"/>
      <c r="M76" s="1052"/>
      <c r="N76" s="1052"/>
      <c r="O76" s="1052"/>
      <c r="P76" s="1052"/>
      <c r="Q76" s="1052"/>
      <c r="R76" s="1052"/>
      <c r="S76" s="1052"/>
      <c r="T76" s="1052"/>
      <c r="U76" s="1052"/>
      <c r="V76" s="1052"/>
      <c r="W76" s="1052"/>
      <c r="X76" s="1052"/>
      <c r="Y76" s="1052"/>
      <c r="Z76" s="1052"/>
      <c r="AA76" s="1052"/>
      <c r="AB76" s="1051"/>
      <c r="AC76" s="1051"/>
      <c r="AD76" s="1051"/>
      <c r="AE76" s="1051"/>
      <c r="AF76" s="1051"/>
      <c r="AG76" s="1051"/>
      <c r="AH76" s="1051"/>
      <c r="AI76" s="1067"/>
      <c r="AJ76" s="1067"/>
      <c r="AK76" s="1067"/>
    </row>
    <row r="77" spans="1:37" s="51" customFormat="1" ht="11.25">
      <c r="A77" s="1051"/>
      <c r="B77" s="1051"/>
      <c r="C77" s="1051"/>
      <c r="D77" s="1051"/>
      <c r="E77" s="1051"/>
      <c r="F77" s="1051"/>
      <c r="G77" s="1052"/>
      <c r="H77" s="1052"/>
      <c r="I77" s="1052"/>
      <c r="J77" s="1052"/>
      <c r="K77" s="1052"/>
      <c r="L77" s="1052"/>
      <c r="M77" s="1052"/>
      <c r="N77" s="1052"/>
      <c r="O77" s="1052"/>
      <c r="P77" s="1052"/>
      <c r="Q77" s="1052"/>
      <c r="R77" s="1052"/>
      <c r="S77" s="1052"/>
      <c r="T77" s="1052"/>
      <c r="U77" s="1052"/>
      <c r="V77" s="1052"/>
      <c r="W77" s="1052"/>
      <c r="X77" s="1052"/>
      <c r="Y77" s="1052"/>
      <c r="Z77" s="1052"/>
      <c r="AA77" s="1052"/>
      <c r="AB77" s="1051"/>
      <c r="AC77" s="1051"/>
      <c r="AD77" s="1051"/>
      <c r="AE77" s="1051"/>
      <c r="AF77" s="1051"/>
      <c r="AG77" s="1051"/>
      <c r="AH77" s="1051"/>
      <c r="AI77" s="1067"/>
      <c r="AJ77" s="1067"/>
      <c r="AK77" s="1067"/>
    </row>
    <row r="78" spans="1:37" s="51" customFormat="1" ht="11.25">
      <c r="A78" s="1051"/>
      <c r="B78" s="1051"/>
      <c r="C78" s="1051"/>
      <c r="D78" s="1051"/>
      <c r="E78" s="1051"/>
      <c r="F78" s="1051"/>
      <c r="G78" s="1052"/>
      <c r="H78" s="1052"/>
      <c r="I78" s="1052"/>
      <c r="J78" s="1052"/>
      <c r="K78" s="1052"/>
      <c r="L78" s="1052"/>
      <c r="M78" s="1052"/>
      <c r="N78" s="1052"/>
      <c r="O78" s="1052"/>
      <c r="P78" s="1052"/>
      <c r="Q78" s="1052"/>
      <c r="R78" s="1052"/>
      <c r="S78" s="1052"/>
      <c r="T78" s="1052"/>
      <c r="U78" s="1052"/>
      <c r="V78" s="1052"/>
      <c r="W78" s="1052"/>
      <c r="X78" s="1052"/>
      <c r="Y78" s="1052"/>
      <c r="Z78" s="1052"/>
      <c r="AA78" s="1052"/>
      <c r="AB78" s="1051"/>
      <c r="AC78" s="1051"/>
      <c r="AD78" s="1051"/>
      <c r="AE78" s="1051"/>
      <c r="AF78" s="1051"/>
      <c r="AG78" s="1051"/>
      <c r="AH78" s="1051"/>
      <c r="AI78" s="1067"/>
      <c r="AJ78" s="1067"/>
      <c r="AK78" s="1067"/>
    </row>
    <row r="79" spans="1:37" s="51" customFormat="1" ht="11.25">
      <c r="A79" s="1051"/>
      <c r="B79" s="1051"/>
      <c r="C79" s="1051"/>
      <c r="D79" s="1051"/>
      <c r="E79" s="1051"/>
      <c r="F79" s="1051"/>
      <c r="G79" s="1052"/>
      <c r="H79" s="1052"/>
      <c r="I79" s="1052"/>
      <c r="J79" s="1052"/>
      <c r="K79" s="1052"/>
      <c r="L79" s="1052"/>
      <c r="M79" s="1052"/>
      <c r="N79" s="1052"/>
      <c r="O79" s="1052"/>
      <c r="P79" s="1052"/>
      <c r="Q79" s="1052"/>
      <c r="R79" s="1052"/>
      <c r="S79" s="1052"/>
      <c r="T79" s="1052"/>
      <c r="U79" s="1052"/>
      <c r="V79" s="1052"/>
      <c r="W79" s="1052"/>
      <c r="X79" s="1052"/>
      <c r="Y79" s="1052"/>
      <c r="Z79" s="1052"/>
      <c r="AA79" s="1052"/>
      <c r="AB79" s="1051"/>
      <c r="AC79" s="1051"/>
      <c r="AD79" s="1051"/>
      <c r="AE79" s="1051"/>
      <c r="AF79" s="1051"/>
      <c r="AG79" s="1051"/>
      <c r="AH79" s="1051"/>
      <c r="AI79" s="1067"/>
      <c r="AJ79" s="1067"/>
      <c r="AK79" s="1067"/>
    </row>
    <row r="80" spans="1:37" s="51" customFormat="1" ht="11.25">
      <c r="A80" s="1051"/>
      <c r="B80" s="1051"/>
      <c r="C80" s="1051"/>
      <c r="D80" s="1051"/>
      <c r="E80" s="1051"/>
      <c r="F80" s="1051"/>
      <c r="G80" s="1052"/>
      <c r="H80" s="1052"/>
      <c r="I80" s="1052"/>
      <c r="J80" s="1052"/>
      <c r="K80" s="1052"/>
      <c r="L80" s="1052"/>
      <c r="M80" s="1052"/>
      <c r="N80" s="1052"/>
      <c r="O80" s="1052"/>
      <c r="P80" s="1052"/>
      <c r="Q80" s="1052"/>
      <c r="R80" s="1052"/>
      <c r="S80" s="1052"/>
      <c r="T80" s="1052"/>
      <c r="U80" s="1052"/>
      <c r="V80" s="1052"/>
      <c r="W80" s="1052"/>
      <c r="X80" s="1052"/>
      <c r="Y80" s="1052"/>
      <c r="Z80" s="1052"/>
      <c r="AA80" s="1052"/>
      <c r="AB80" s="1051"/>
      <c r="AC80" s="1051"/>
      <c r="AD80" s="1051"/>
      <c r="AE80" s="1051"/>
      <c r="AF80" s="1051"/>
      <c r="AG80" s="1051"/>
      <c r="AH80" s="1051"/>
      <c r="AI80" s="1067"/>
      <c r="AJ80" s="1067"/>
      <c r="AK80" s="1067"/>
    </row>
    <row r="81" spans="1:37" s="51" customFormat="1" ht="11.25">
      <c r="A81" s="1051"/>
      <c r="B81" s="1051"/>
      <c r="C81" s="1051"/>
      <c r="D81" s="1051"/>
      <c r="E81" s="1051"/>
      <c r="F81" s="1051"/>
      <c r="G81" s="1052"/>
      <c r="H81" s="1052"/>
      <c r="I81" s="1052"/>
      <c r="J81" s="1052"/>
      <c r="K81" s="1052"/>
      <c r="L81" s="1052"/>
      <c r="M81" s="1052"/>
      <c r="N81" s="1052"/>
      <c r="O81" s="1052"/>
      <c r="P81" s="1052"/>
      <c r="Q81" s="1052"/>
      <c r="R81" s="1052"/>
      <c r="S81" s="1052"/>
      <c r="T81" s="1052"/>
      <c r="U81" s="1052"/>
      <c r="V81" s="1052"/>
      <c r="W81" s="1052"/>
      <c r="X81" s="1052"/>
      <c r="Y81" s="1052"/>
      <c r="Z81" s="1052"/>
      <c r="AA81" s="1052"/>
      <c r="AB81" s="1051"/>
      <c r="AC81" s="1051"/>
      <c r="AD81" s="1051"/>
      <c r="AE81" s="1051"/>
      <c r="AF81" s="1051"/>
      <c r="AG81" s="1051"/>
      <c r="AH81" s="1051"/>
      <c r="AI81" s="1067"/>
      <c r="AJ81" s="1067"/>
      <c r="AK81" s="1067"/>
    </row>
    <row r="82" spans="1:37" s="51" customFormat="1" ht="11.25">
      <c r="A82" s="1051"/>
      <c r="B82" s="1051"/>
      <c r="C82" s="1051"/>
      <c r="D82" s="1051"/>
      <c r="E82" s="1051"/>
      <c r="F82" s="1051"/>
      <c r="G82" s="1052"/>
      <c r="H82" s="1052"/>
      <c r="I82" s="1052"/>
      <c r="J82" s="1052"/>
      <c r="K82" s="1052"/>
      <c r="L82" s="1052"/>
      <c r="M82" s="1052"/>
      <c r="N82" s="1052"/>
      <c r="O82" s="1052"/>
      <c r="P82" s="1052"/>
      <c r="Q82" s="1052"/>
      <c r="R82" s="1052"/>
      <c r="S82" s="1052"/>
      <c r="T82" s="1052"/>
      <c r="U82" s="1052"/>
      <c r="V82" s="1052"/>
      <c r="W82" s="1052"/>
      <c r="X82" s="1052"/>
      <c r="Y82" s="1052"/>
      <c r="Z82" s="1052"/>
      <c r="AA82" s="1052"/>
      <c r="AB82" s="1051"/>
      <c r="AC82" s="1051"/>
      <c r="AD82" s="1051"/>
      <c r="AE82" s="1051"/>
      <c r="AF82" s="1051"/>
      <c r="AG82" s="1051"/>
      <c r="AH82" s="1051"/>
      <c r="AI82" s="1067"/>
      <c r="AJ82" s="1067"/>
      <c r="AK82" s="1067"/>
    </row>
    <row r="83" spans="1:37" s="51" customFormat="1" ht="11.25">
      <c r="A83" s="1051"/>
      <c r="B83" s="1051"/>
      <c r="C83" s="1051"/>
      <c r="D83" s="1051"/>
      <c r="E83" s="1051"/>
      <c r="F83" s="1051"/>
      <c r="G83" s="1052"/>
      <c r="H83" s="1052"/>
      <c r="I83" s="1052"/>
      <c r="J83" s="1052"/>
      <c r="K83" s="1052"/>
      <c r="L83" s="1052"/>
      <c r="M83" s="1052"/>
      <c r="N83" s="1052"/>
      <c r="O83" s="1052"/>
      <c r="P83" s="1052"/>
      <c r="Q83" s="1052"/>
      <c r="R83" s="1052"/>
      <c r="S83" s="1052"/>
      <c r="T83" s="1052"/>
      <c r="U83" s="1052"/>
      <c r="V83" s="1052"/>
      <c r="W83" s="1052"/>
      <c r="X83" s="1052"/>
      <c r="Y83" s="1052"/>
      <c r="Z83" s="1052"/>
      <c r="AA83" s="1052"/>
      <c r="AB83" s="1051"/>
      <c r="AC83" s="1051"/>
      <c r="AD83" s="1051"/>
      <c r="AE83" s="1051"/>
      <c r="AF83" s="1051"/>
      <c r="AG83" s="1051"/>
      <c r="AH83" s="1051"/>
      <c r="AI83" s="1067"/>
      <c r="AJ83" s="1067"/>
      <c r="AK83" s="1067"/>
    </row>
    <row r="84" spans="1:37" s="51" customFormat="1" ht="11.25">
      <c r="A84" s="1051"/>
      <c r="B84" s="1051"/>
      <c r="C84" s="1051"/>
      <c r="D84" s="1051"/>
      <c r="E84" s="1051"/>
      <c r="F84" s="1051"/>
      <c r="G84" s="1052"/>
      <c r="H84" s="1052"/>
      <c r="I84" s="1052"/>
      <c r="J84" s="1052"/>
      <c r="K84" s="1052"/>
      <c r="L84" s="1052"/>
      <c r="M84" s="1052"/>
      <c r="N84" s="1052"/>
      <c r="O84" s="1052"/>
      <c r="P84" s="1052"/>
      <c r="Q84" s="1052"/>
      <c r="R84" s="1052"/>
      <c r="S84" s="1052"/>
      <c r="T84" s="1052"/>
      <c r="U84" s="1052"/>
      <c r="V84" s="1052"/>
      <c r="W84" s="1052"/>
      <c r="X84" s="1052"/>
      <c r="Y84" s="1052"/>
      <c r="Z84" s="1052"/>
      <c r="AA84" s="1052"/>
      <c r="AB84" s="1051"/>
      <c r="AC84" s="1051"/>
      <c r="AD84" s="1051"/>
      <c r="AE84" s="1051"/>
      <c r="AF84" s="1051"/>
      <c r="AG84" s="1051"/>
      <c r="AH84" s="1051"/>
      <c r="AI84" s="1067"/>
      <c r="AJ84" s="1067"/>
      <c r="AK84" s="1067"/>
    </row>
    <row r="85" spans="1:37" s="51" customFormat="1" ht="11.25">
      <c r="A85" s="1051"/>
      <c r="B85" s="1051"/>
      <c r="C85" s="1051"/>
      <c r="D85" s="1051"/>
      <c r="E85" s="1051"/>
      <c r="F85" s="1051"/>
      <c r="G85" s="1052"/>
      <c r="H85" s="1052"/>
      <c r="I85" s="1052"/>
      <c r="J85" s="1052"/>
      <c r="K85" s="1052"/>
      <c r="L85" s="1052"/>
      <c r="M85" s="1052"/>
      <c r="N85" s="1052"/>
      <c r="O85" s="1052"/>
      <c r="P85" s="1052"/>
      <c r="Q85" s="1052"/>
      <c r="R85" s="1052"/>
      <c r="S85" s="1052"/>
      <c r="T85" s="1052"/>
      <c r="U85" s="1052"/>
      <c r="V85" s="1052"/>
      <c r="W85" s="1052"/>
      <c r="X85" s="1052"/>
      <c r="Y85" s="1052"/>
      <c r="Z85" s="1052"/>
      <c r="AA85" s="1052"/>
      <c r="AB85" s="1051"/>
      <c r="AC85" s="1051"/>
      <c r="AD85" s="1051"/>
      <c r="AE85" s="1051"/>
      <c r="AF85" s="1051"/>
      <c r="AG85" s="1051"/>
      <c r="AH85" s="1051"/>
      <c r="AI85" s="1067"/>
      <c r="AJ85" s="1067"/>
      <c r="AK85" s="1067"/>
    </row>
    <row r="86" spans="1:37" s="51" customFormat="1" ht="11.25">
      <c r="A86" s="1051"/>
      <c r="B86" s="1051"/>
      <c r="C86" s="1051"/>
      <c r="D86" s="1051"/>
      <c r="E86" s="1051"/>
      <c r="F86" s="1051"/>
      <c r="G86" s="1052"/>
      <c r="H86" s="1052"/>
      <c r="I86" s="1052"/>
      <c r="J86" s="1052"/>
      <c r="K86" s="1052"/>
      <c r="L86" s="1052"/>
      <c r="M86" s="1052"/>
      <c r="N86" s="1052"/>
      <c r="O86" s="1052"/>
      <c r="P86" s="1052"/>
      <c r="Q86" s="1052"/>
      <c r="R86" s="1052"/>
      <c r="S86" s="1052"/>
      <c r="T86" s="1052"/>
      <c r="U86" s="1052"/>
      <c r="V86" s="1052"/>
      <c r="W86" s="1052"/>
      <c r="X86" s="1052"/>
      <c r="Y86" s="1052"/>
      <c r="Z86" s="1052"/>
      <c r="AA86" s="1052"/>
      <c r="AB86" s="1051"/>
      <c r="AC86" s="1051"/>
      <c r="AD86" s="1051"/>
      <c r="AE86" s="1051"/>
      <c r="AF86" s="1051"/>
      <c r="AG86" s="1051"/>
      <c r="AH86" s="1051"/>
      <c r="AI86" s="1067"/>
      <c r="AJ86" s="1067"/>
      <c r="AK86" s="1067"/>
    </row>
    <row r="87" spans="1:37" s="51" customFormat="1" ht="11.25">
      <c r="A87" s="1051"/>
      <c r="B87" s="1051"/>
      <c r="C87" s="1051"/>
      <c r="D87" s="1051"/>
      <c r="E87" s="1051"/>
      <c r="F87" s="1051"/>
      <c r="G87" s="1052"/>
      <c r="H87" s="1052"/>
      <c r="I87" s="1052"/>
      <c r="J87" s="1052"/>
      <c r="K87" s="1052"/>
      <c r="L87" s="1052"/>
      <c r="M87" s="1052"/>
      <c r="N87" s="1052"/>
      <c r="O87" s="1052"/>
      <c r="P87" s="1052"/>
      <c r="Q87" s="1052"/>
      <c r="R87" s="1052"/>
      <c r="S87" s="1052"/>
      <c r="T87" s="1052"/>
      <c r="U87" s="1052"/>
      <c r="V87" s="1052"/>
      <c r="W87" s="1052"/>
      <c r="X87" s="1052"/>
      <c r="Y87" s="1052"/>
      <c r="Z87" s="1052"/>
      <c r="AA87" s="1052"/>
      <c r="AB87" s="1051"/>
      <c r="AC87" s="1051"/>
      <c r="AD87" s="1051"/>
      <c r="AE87" s="1051"/>
      <c r="AF87" s="1051"/>
      <c r="AG87" s="1051"/>
      <c r="AH87" s="1051"/>
      <c r="AI87" s="1067"/>
      <c r="AJ87" s="1067"/>
      <c r="AK87" s="1067"/>
    </row>
    <row r="88" spans="1:37" s="51" customFormat="1" ht="11.25">
      <c r="A88" s="1051"/>
      <c r="B88" s="1051"/>
      <c r="C88" s="1051"/>
      <c r="D88" s="1051"/>
      <c r="E88" s="1051"/>
      <c r="F88" s="1051"/>
      <c r="G88" s="1052"/>
      <c r="H88" s="1052"/>
      <c r="I88" s="1052"/>
      <c r="J88" s="1052"/>
      <c r="K88" s="1052"/>
      <c r="L88" s="1052"/>
      <c r="M88" s="1052"/>
      <c r="N88" s="1052"/>
      <c r="O88" s="1052"/>
      <c r="P88" s="1052"/>
      <c r="Q88" s="1052"/>
      <c r="R88" s="1052"/>
      <c r="S88" s="1052"/>
      <c r="T88" s="1052"/>
      <c r="U88" s="1052"/>
      <c r="V88" s="1052"/>
      <c r="W88" s="1052"/>
      <c r="X88" s="1052"/>
      <c r="Y88" s="1052"/>
      <c r="Z88" s="1052"/>
      <c r="AA88" s="1052"/>
      <c r="AB88" s="1051"/>
      <c r="AC88" s="1051"/>
      <c r="AD88" s="1051"/>
      <c r="AE88" s="1051"/>
      <c r="AF88" s="1051"/>
      <c r="AG88" s="1051"/>
      <c r="AH88" s="1051"/>
      <c r="AI88" s="1067"/>
      <c r="AJ88" s="1067"/>
      <c r="AK88" s="1067"/>
    </row>
    <row r="89" spans="1:37" s="51" customFormat="1" ht="11.25">
      <c r="A89" s="1051"/>
      <c r="B89" s="1051"/>
      <c r="C89" s="1051"/>
      <c r="D89" s="1051"/>
      <c r="E89" s="1051"/>
      <c r="F89" s="1051"/>
      <c r="G89" s="1052"/>
      <c r="H89" s="1052"/>
      <c r="I89" s="1052"/>
      <c r="J89" s="1052"/>
      <c r="K89" s="1052"/>
      <c r="L89" s="1052"/>
      <c r="M89" s="1052"/>
      <c r="N89" s="1052"/>
      <c r="O89" s="1052"/>
      <c r="P89" s="1052"/>
      <c r="Q89" s="1052"/>
      <c r="R89" s="1052"/>
      <c r="S89" s="1052"/>
      <c r="T89" s="1052"/>
      <c r="U89" s="1052"/>
      <c r="V89" s="1052"/>
      <c r="W89" s="1052"/>
      <c r="X89" s="1052"/>
      <c r="Y89" s="1052"/>
      <c r="Z89" s="1052"/>
      <c r="AA89" s="1052"/>
      <c r="AB89" s="1051"/>
      <c r="AC89" s="1051"/>
      <c r="AD89" s="1051"/>
      <c r="AE89" s="1051"/>
      <c r="AF89" s="1051"/>
      <c r="AG89" s="1051"/>
      <c r="AH89" s="1051"/>
      <c r="AI89" s="1067"/>
      <c r="AJ89" s="1067"/>
      <c r="AK89" s="1067"/>
    </row>
    <row r="90" spans="1:37" s="51" customFormat="1" ht="11.25">
      <c r="A90" s="1051"/>
      <c r="B90" s="1051"/>
      <c r="C90" s="1051"/>
      <c r="D90" s="1051"/>
      <c r="E90" s="1051"/>
      <c r="F90" s="1051"/>
      <c r="G90" s="1052"/>
      <c r="H90" s="1052"/>
      <c r="I90" s="1052"/>
      <c r="J90" s="1052"/>
      <c r="K90" s="1052"/>
      <c r="L90" s="1052"/>
      <c r="M90" s="1052"/>
      <c r="N90" s="1052"/>
      <c r="O90" s="1052"/>
      <c r="P90" s="1052"/>
      <c r="Q90" s="1052"/>
      <c r="R90" s="1052"/>
      <c r="S90" s="1052"/>
      <c r="T90" s="1052"/>
      <c r="U90" s="1052"/>
      <c r="V90" s="1052"/>
      <c r="W90" s="1052"/>
      <c r="X90" s="1052"/>
      <c r="Y90" s="1052"/>
      <c r="Z90" s="1052"/>
      <c r="AA90" s="1052"/>
      <c r="AB90" s="1051"/>
      <c r="AC90" s="1051"/>
      <c r="AD90" s="1051"/>
      <c r="AE90" s="1051"/>
      <c r="AF90" s="1051"/>
      <c r="AG90" s="1051"/>
      <c r="AH90" s="1051"/>
      <c r="AI90" s="1067"/>
      <c r="AJ90" s="1067"/>
      <c r="AK90" s="1067"/>
    </row>
    <row r="91" spans="1:37" s="51" customFormat="1" ht="11.25">
      <c r="A91" s="1051"/>
      <c r="B91" s="1051"/>
      <c r="C91" s="1051"/>
      <c r="D91" s="1051"/>
      <c r="E91" s="1051"/>
      <c r="F91" s="1051"/>
      <c r="G91" s="1052"/>
      <c r="H91" s="1052"/>
      <c r="I91" s="1052"/>
      <c r="J91" s="1052"/>
      <c r="K91" s="1052"/>
      <c r="L91" s="1052"/>
      <c r="M91" s="1052"/>
      <c r="N91" s="1052"/>
      <c r="O91" s="1052"/>
      <c r="P91" s="1052"/>
      <c r="Q91" s="1052"/>
      <c r="R91" s="1052"/>
      <c r="S91" s="1052"/>
      <c r="T91" s="1052"/>
      <c r="U91" s="1052"/>
      <c r="V91" s="1052"/>
      <c r="W91" s="1052"/>
      <c r="X91" s="1052"/>
      <c r="Y91" s="1052"/>
      <c r="Z91" s="1052"/>
      <c r="AA91" s="1052"/>
      <c r="AB91" s="1051"/>
      <c r="AC91" s="1051"/>
      <c r="AD91" s="1051"/>
      <c r="AE91" s="1051"/>
      <c r="AF91" s="1051"/>
      <c r="AG91" s="1051"/>
      <c r="AH91" s="1051"/>
      <c r="AI91" s="1067"/>
      <c r="AJ91" s="1067"/>
      <c r="AK91" s="1067"/>
    </row>
    <row r="92" spans="1:37" s="51" customFormat="1" ht="11.25">
      <c r="A92" s="1051"/>
      <c r="B92" s="1051"/>
      <c r="C92" s="1051"/>
      <c r="D92" s="1051"/>
      <c r="E92" s="1051"/>
      <c r="F92" s="1051"/>
      <c r="G92" s="1052"/>
      <c r="H92" s="1052"/>
      <c r="I92" s="1052"/>
      <c r="J92" s="1052"/>
      <c r="K92" s="1052"/>
      <c r="L92" s="1052"/>
      <c r="M92" s="1052"/>
      <c r="N92" s="1052"/>
      <c r="O92" s="1052"/>
      <c r="P92" s="1052"/>
      <c r="Q92" s="1052"/>
      <c r="R92" s="1052"/>
      <c r="S92" s="1052"/>
      <c r="T92" s="1052"/>
      <c r="U92" s="1052"/>
      <c r="V92" s="1052"/>
      <c r="W92" s="1052"/>
      <c r="X92" s="1052"/>
      <c r="Y92" s="1052"/>
      <c r="Z92" s="1052"/>
      <c r="AA92" s="1052"/>
      <c r="AB92" s="1051"/>
      <c r="AC92" s="1051"/>
      <c r="AD92" s="1051"/>
      <c r="AE92" s="1051"/>
      <c r="AF92" s="1051"/>
      <c r="AG92" s="1051"/>
      <c r="AH92" s="1051"/>
      <c r="AI92" s="1067"/>
      <c r="AJ92" s="1067"/>
      <c r="AK92" s="1067"/>
    </row>
    <row r="93" spans="1:37" s="51" customFormat="1" ht="11.25">
      <c r="A93" s="1051"/>
      <c r="B93" s="1051"/>
      <c r="C93" s="1051"/>
      <c r="D93" s="1051"/>
      <c r="E93" s="1051"/>
      <c r="F93" s="1051"/>
      <c r="G93" s="1052"/>
      <c r="H93" s="1052"/>
      <c r="I93" s="1052"/>
      <c r="J93" s="1052"/>
      <c r="K93" s="1052"/>
      <c r="L93" s="1052"/>
      <c r="M93" s="1052"/>
      <c r="N93" s="1052"/>
      <c r="O93" s="1052"/>
      <c r="P93" s="1052"/>
      <c r="Q93" s="1052"/>
      <c r="R93" s="1052"/>
      <c r="S93" s="1052"/>
      <c r="T93" s="1052"/>
      <c r="U93" s="1052"/>
      <c r="V93" s="1052"/>
      <c r="W93" s="1052"/>
      <c r="X93" s="1052"/>
      <c r="Y93" s="1052"/>
      <c r="Z93" s="1052"/>
      <c r="AA93" s="1052"/>
      <c r="AB93" s="1051"/>
      <c r="AC93" s="1051"/>
      <c r="AD93" s="1051"/>
      <c r="AE93" s="1051"/>
      <c r="AF93" s="1051"/>
      <c r="AG93" s="1051"/>
      <c r="AH93" s="1051"/>
      <c r="AI93" s="1067"/>
      <c r="AJ93" s="1067"/>
      <c r="AK93" s="1067"/>
    </row>
    <row r="94" spans="1:37" s="51" customFormat="1" ht="11.25">
      <c r="A94" s="1051"/>
      <c r="B94" s="1051"/>
      <c r="C94" s="1051"/>
      <c r="D94" s="1051"/>
      <c r="E94" s="1051"/>
      <c r="F94" s="1051"/>
      <c r="G94" s="1052"/>
      <c r="H94" s="1052"/>
      <c r="I94" s="1052"/>
      <c r="J94" s="1052"/>
      <c r="K94" s="1052"/>
      <c r="L94" s="1052"/>
      <c r="M94" s="1052"/>
      <c r="N94" s="1052"/>
      <c r="O94" s="1052"/>
      <c r="P94" s="1052"/>
      <c r="Q94" s="1052"/>
      <c r="R94" s="1052"/>
      <c r="S94" s="1052"/>
      <c r="T94" s="1052"/>
      <c r="U94" s="1052"/>
      <c r="V94" s="1052"/>
      <c r="W94" s="1052"/>
      <c r="X94" s="1052"/>
      <c r="Y94" s="1052"/>
      <c r="Z94" s="1052"/>
      <c r="AA94" s="1052"/>
      <c r="AB94" s="1051"/>
      <c r="AC94" s="1051"/>
      <c r="AD94" s="1051"/>
      <c r="AE94" s="1051"/>
      <c r="AF94" s="1051"/>
      <c r="AG94" s="1051"/>
      <c r="AH94" s="1051"/>
      <c r="AI94" s="1067"/>
      <c r="AJ94" s="1067"/>
      <c r="AK94" s="1067"/>
    </row>
    <row r="95" spans="1:37" s="51" customFormat="1" ht="11.25">
      <c r="A95" s="1051"/>
      <c r="B95" s="1051"/>
      <c r="C95" s="1051"/>
      <c r="D95" s="1051"/>
      <c r="E95" s="1051"/>
      <c r="F95" s="1051"/>
      <c r="G95" s="1052"/>
      <c r="H95" s="1052"/>
      <c r="I95" s="1052"/>
      <c r="J95" s="1052"/>
      <c r="K95" s="1052"/>
      <c r="L95" s="1052"/>
      <c r="M95" s="1052"/>
      <c r="N95" s="1052"/>
      <c r="O95" s="1052"/>
      <c r="P95" s="1052"/>
      <c r="Q95" s="1052"/>
      <c r="R95" s="1052"/>
      <c r="S95" s="1052"/>
      <c r="T95" s="1052"/>
      <c r="U95" s="1052"/>
      <c r="V95" s="1052"/>
      <c r="W95" s="1052"/>
      <c r="X95" s="1052"/>
      <c r="Y95" s="1052"/>
      <c r="Z95" s="1052"/>
      <c r="AA95" s="1052"/>
      <c r="AB95" s="1051"/>
      <c r="AC95" s="1051"/>
      <c r="AD95" s="1051"/>
      <c r="AE95" s="1051"/>
      <c r="AF95" s="1051"/>
      <c r="AG95" s="1051"/>
      <c r="AH95" s="1051"/>
      <c r="AI95" s="1067"/>
      <c r="AJ95" s="1067"/>
      <c r="AK95" s="1067"/>
    </row>
    <row r="96" spans="1:37" s="51" customFormat="1" ht="11.25">
      <c r="A96" s="1051"/>
      <c r="B96" s="1051"/>
      <c r="C96" s="1051"/>
      <c r="D96" s="1051"/>
      <c r="E96" s="1051"/>
      <c r="F96" s="1051"/>
      <c r="G96" s="1052"/>
      <c r="H96" s="1052"/>
      <c r="I96" s="1052"/>
      <c r="J96" s="1052"/>
      <c r="K96" s="1052"/>
      <c r="L96" s="1052"/>
      <c r="M96" s="1052"/>
      <c r="N96" s="1052"/>
      <c r="O96" s="1052"/>
      <c r="P96" s="1052"/>
      <c r="Q96" s="1052"/>
      <c r="R96" s="1052"/>
      <c r="S96" s="1052"/>
      <c r="T96" s="1052"/>
      <c r="U96" s="1052"/>
      <c r="V96" s="1052"/>
      <c r="W96" s="1052"/>
      <c r="X96" s="1052"/>
      <c r="Y96" s="1052"/>
      <c r="Z96" s="1052"/>
      <c r="AA96" s="1052"/>
      <c r="AB96" s="1051"/>
      <c r="AC96" s="1051"/>
      <c r="AD96" s="1051"/>
      <c r="AE96" s="1051"/>
      <c r="AF96" s="1051"/>
      <c r="AG96" s="1051"/>
      <c r="AH96" s="1051"/>
      <c r="AI96" s="1067"/>
      <c r="AJ96" s="1067"/>
      <c r="AK96" s="1067"/>
    </row>
    <row r="97" spans="1:37" s="51" customFormat="1" ht="11.25">
      <c r="A97" s="1051"/>
      <c r="B97" s="1051"/>
      <c r="C97" s="1051"/>
      <c r="D97" s="1051"/>
      <c r="E97" s="1051"/>
      <c r="F97" s="1051"/>
      <c r="G97" s="1052"/>
      <c r="H97" s="1052"/>
      <c r="I97" s="1052"/>
      <c r="J97" s="1052"/>
      <c r="K97" s="1052"/>
      <c r="L97" s="1052"/>
      <c r="M97" s="1052"/>
      <c r="N97" s="1052"/>
      <c r="O97" s="1052"/>
      <c r="P97" s="1052"/>
      <c r="Q97" s="1052"/>
      <c r="R97" s="1052"/>
      <c r="S97" s="1052"/>
      <c r="T97" s="1052"/>
      <c r="U97" s="1052"/>
      <c r="V97" s="1052"/>
      <c r="W97" s="1052"/>
      <c r="X97" s="1052"/>
      <c r="Y97" s="1052"/>
      <c r="Z97" s="1052"/>
      <c r="AA97" s="1052"/>
      <c r="AB97" s="1051"/>
      <c r="AC97" s="1051"/>
      <c r="AD97" s="1051"/>
      <c r="AE97" s="1051"/>
      <c r="AF97" s="1051"/>
      <c r="AG97" s="1051"/>
      <c r="AH97" s="1051"/>
      <c r="AI97" s="1067"/>
      <c r="AJ97" s="1067"/>
      <c r="AK97" s="1067"/>
    </row>
    <row r="98" spans="1:37" s="51" customFormat="1" ht="11.25">
      <c r="A98" s="1051"/>
      <c r="B98" s="1051"/>
      <c r="C98" s="1051"/>
      <c r="D98" s="1051"/>
      <c r="E98" s="1051"/>
      <c r="F98" s="1051"/>
      <c r="G98" s="1052"/>
      <c r="H98" s="1052"/>
      <c r="I98" s="1052"/>
      <c r="J98" s="1052"/>
      <c r="K98" s="1052"/>
      <c r="L98" s="1052"/>
      <c r="M98" s="1052"/>
      <c r="N98" s="1052"/>
      <c r="O98" s="1052"/>
      <c r="P98" s="1052"/>
      <c r="Q98" s="1052"/>
      <c r="R98" s="1052"/>
      <c r="S98" s="1052"/>
      <c r="T98" s="1052"/>
      <c r="U98" s="1052"/>
      <c r="V98" s="1052"/>
      <c r="W98" s="1052"/>
      <c r="X98" s="1052"/>
      <c r="Y98" s="1052"/>
      <c r="Z98" s="1052"/>
      <c r="AA98" s="1052"/>
      <c r="AB98" s="1051"/>
      <c r="AC98" s="1051"/>
      <c r="AD98" s="1051"/>
      <c r="AE98" s="1051"/>
      <c r="AF98" s="1051"/>
      <c r="AG98" s="1051"/>
      <c r="AH98" s="1051"/>
      <c r="AI98" s="1067"/>
      <c r="AJ98" s="1067"/>
      <c r="AK98" s="1067"/>
    </row>
    <row r="99" spans="1:37" s="51" customFormat="1" ht="11.25">
      <c r="A99" s="1051"/>
      <c r="B99" s="1051"/>
      <c r="C99" s="1051"/>
      <c r="D99" s="1051"/>
      <c r="E99" s="1051"/>
      <c r="F99" s="1051"/>
      <c r="G99" s="1052"/>
      <c r="H99" s="1052"/>
      <c r="I99" s="1052"/>
      <c r="J99" s="1052"/>
      <c r="K99" s="1052"/>
      <c r="L99" s="1052"/>
      <c r="M99" s="1052"/>
      <c r="N99" s="1052"/>
      <c r="O99" s="1052"/>
      <c r="P99" s="1052"/>
      <c r="Q99" s="1052"/>
      <c r="R99" s="1052"/>
      <c r="S99" s="1052"/>
      <c r="T99" s="1052"/>
      <c r="U99" s="1052"/>
      <c r="V99" s="1052"/>
      <c r="W99" s="1052"/>
      <c r="X99" s="1052"/>
      <c r="Y99" s="1052"/>
      <c r="Z99" s="1052"/>
      <c r="AA99" s="1052"/>
      <c r="AB99" s="1051"/>
      <c r="AC99" s="1051"/>
      <c r="AD99" s="1051"/>
      <c r="AE99" s="1051"/>
      <c r="AF99" s="1051"/>
      <c r="AG99" s="1051"/>
      <c r="AH99" s="1051"/>
      <c r="AI99" s="1067"/>
      <c r="AJ99" s="1067"/>
      <c r="AK99" s="1067"/>
    </row>
    <row r="100" spans="1:37" s="51" customFormat="1" ht="11.25">
      <c r="A100" s="1051"/>
      <c r="B100" s="1051"/>
      <c r="C100" s="1051"/>
      <c r="D100" s="1051"/>
      <c r="E100" s="1051"/>
      <c r="F100" s="1051"/>
      <c r="G100" s="1052"/>
      <c r="H100" s="1052"/>
      <c r="I100" s="1052"/>
      <c r="J100" s="1052"/>
      <c r="K100" s="1052"/>
      <c r="L100" s="1052"/>
      <c r="M100" s="1052"/>
      <c r="N100" s="1052"/>
      <c r="O100" s="1052"/>
      <c r="P100" s="1052"/>
      <c r="Q100" s="1052"/>
      <c r="R100" s="1052"/>
      <c r="S100" s="1052"/>
      <c r="T100" s="1052"/>
      <c r="U100" s="1052"/>
      <c r="V100" s="1052"/>
      <c r="W100" s="1052"/>
      <c r="X100" s="1052"/>
      <c r="Y100" s="1052"/>
      <c r="Z100" s="1052"/>
      <c r="AA100" s="1052"/>
      <c r="AB100" s="1051"/>
      <c r="AC100" s="1051"/>
      <c r="AD100" s="1051"/>
      <c r="AE100" s="1051"/>
      <c r="AF100" s="1051"/>
      <c r="AG100" s="1051"/>
      <c r="AH100" s="1051"/>
      <c r="AI100" s="1067"/>
      <c r="AJ100" s="1067"/>
      <c r="AK100" s="1067"/>
    </row>
    <row r="101" spans="1:37" s="51" customFormat="1" ht="11.25">
      <c r="A101" s="1051"/>
      <c r="B101" s="1051"/>
      <c r="C101" s="1051"/>
      <c r="D101" s="1051"/>
      <c r="E101" s="1051"/>
      <c r="F101" s="1051"/>
      <c r="G101" s="1052"/>
      <c r="H101" s="1052"/>
      <c r="I101" s="1052"/>
      <c r="J101" s="1052"/>
      <c r="K101" s="1052"/>
      <c r="L101" s="1052"/>
      <c r="M101" s="1052"/>
      <c r="N101" s="1052"/>
      <c r="O101" s="1052"/>
      <c r="P101" s="1052"/>
      <c r="Q101" s="1052"/>
      <c r="R101" s="1052"/>
      <c r="S101" s="1052"/>
      <c r="T101" s="1052"/>
      <c r="U101" s="1052"/>
      <c r="V101" s="1052"/>
      <c r="W101" s="1052"/>
      <c r="X101" s="1052"/>
      <c r="Y101" s="1052"/>
      <c r="Z101" s="1052"/>
      <c r="AA101" s="1052"/>
      <c r="AB101" s="1051"/>
      <c r="AC101" s="1051"/>
      <c r="AD101" s="1051"/>
      <c r="AE101" s="1051"/>
      <c r="AF101" s="1051"/>
      <c r="AG101" s="1051"/>
      <c r="AH101" s="1051"/>
      <c r="AI101" s="1067"/>
      <c r="AJ101" s="1067"/>
      <c r="AK101" s="1067"/>
    </row>
    <row r="102" spans="1:37" s="51" customFormat="1" ht="11.25">
      <c r="A102" s="1051"/>
      <c r="B102" s="1051"/>
      <c r="C102" s="1051"/>
      <c r="D102" s="1051"/>
      <c r="E102" s="1051"/>
      <c r="F102" s="1051"/>
      <c r="G102" s="1052"/>
      <c r="H102" s="1052"/>
      <c r="I102" s="1052"/>
      <c r="J102" s="1052"/>
      <c r="K102" s="1052"/>
      <c r="L102" s="1052"/>
      <c r="M102" s="1052"/>
      <c r="N102" s="1052"/>
      <c r="O102" s="1052"/>
      <c r="P102" s="1052"/>
      <c r="Q102" s="1052"/>
      <c r="R102" s="1052"/>
      <c r="S102" s="1052"/>
      <c r="T102" s="1052"/>
      <c r="U102" s="1052"/>
      <c r="V102" s="1052"/>
      <c r="W102" s="1052"/>
      <c r="X102" s="1052"/>
      <c r="Y102" s="1052"/>
      <c r="Z102" s="1052"/>
      <c r="AA102" s="1052"/>
      <c r="AB102" s="1051"/>
      <c r="AC102" s="1051"/>
      <c r="AD102" s="1051"/>
      <c r="AE102" s="1051"/>
      <c r="AF102" s="1051"/>
      <c r="AG102" s="1051"/>
      <c r="AH102" s="1051"/>
      <c r="AI102" s="1067"/>
      <c r="AJ102" s="1067"/>
      <c r="AK102" s="1067"/>
    </row>
    <row r="103" spans="1:37" s="51" customFormat="1" ht="11.25">
      <c r="A103" s="1051"/>
      <c r="B103" s="1051"/>
      <c r="C103" s="1051"/>
      <c r="D103" s="1051"/>
      <c r="E103" s="1051"/>
      <c r="F103" s="1051"/>
      <c r="G103" s="1052"/>
      <c r="H103" s="1052"/>
      <c r="I103" s="1052"/>
      <c r="J103" s="1052"/>
      <c r="K103" s="1052"/>
      <c r="L103" s="1052"/>
      <c r="M103" s="1052"/>
      <c r="N103" s="1052"/>
      <c r="O103" s="1052"/>
      <c r="P103" s="1052"/>
      <c r="Q103" s="1052"/>
      <c r="R103" s="1052"/>
      <c r="S103" s="1052"/>
      <c r="T103" s="1052"/>
      <c r="U103" s="1052"/>
      <c r="V103" s="1052"/>
      <c r="W103" s="1052"/>
      <c r="X103" s="1052"/>
      <c r="Y103" s="1052"/>
      <c r="Z103" s="1052"/>
      <c r="AA103" s="1052"/>
      <c r="AB103" s="1051"/>
      <c r="AC103" s="1051"/>
      <c r="AD103" s="1051"/>
      <c r="AE103" s="1051"/>
      <c r="AF103" s="1051"/>
      <c r="AG103" s="1051"/>
      <c r="AH103" s="1051"/>
      <c r="AI103" s="1067"/>
      <c r="AJ103" s="1067"/>
      <c r="AK103" s="1067"/>
    </row>
    <row r="104" spans="1:37" s="51" customFormat="1" ht="11.25">
      <c r="A104" s="1051"/>
      <c r="B104" s="1051"/>
      <c r="C104" s="1051"/>
      <c r="D104" s="1051"/>
      <c r="E104" s="1051"/>
      <c r="F104" s="1051"/>
      <c r="G104" s="1052"/>
      <c r="H104" s="1052"/>
      <c r="I104" s="1052"/>
      <c r="J104" s="1052"/>
      <c r="K104" s="1052"/>
      <c r="L104" s="1052"/>
      <c r="M104" s="1052"/>
      <c r="N104" s="1052"/>
      <c r="O104" s="1052"/>
      <c r="P104" s="1052"/>
      <c r="Q104" s="1052"/>
      <c r="R104" s="1052"/>
      <c r="S104" s="1052"/>
      <c r="T104" s="1052"/>
      <c r="U104" s="1052"/>
      <c r="V104" s="1052"/>
      <c r="W104" s="1052"/>
      <c r="X104" s="1052"/>
      <c r="Y104" s="1052"/>
      <c r="Z104" s="1052"/>
      <c r="AA104" s="1052"/>
      <c r="AB104" s="1051"/>
      <c r="AC104" s="1051"/>
      <c r="AD104" s="1051"/>
      <c r="AE104" s="1051"/>
      <c r="AF104" s="1051"/>
      <c r="AG104" s="1051"/>
      <c r="AH104" s="1051"/>
      <c r="AI104" s="1067"/>
      <c r="AJ104" s="1067"/>
      <c r="AK104" s="1067"/>
    </row>
    <row r="105" spans="1:37" s="51" customFormat="1" ht="11.25">
      <c r="A105" s="1051"/>
      <c r="B105" s="1051"/>
      <c r="C105" s="1051"/>
      <c r="D105" s="1051"/>
      <c r="E105" s="1051"/>
      <c r="F105" s="1051"/>
      <c r="G105" s="1052"/>
      <c r="H105" s="1052"/>
      <c r="I105" s="1052"/>
      <c r="J105" s="1052"/>
      <c r="K105" s="1052"/>
      <c r="L105" s="1052"/>
      <c r="M105" s="1052"/>
      <c r="N105" s="1052"/>
      <c r="O105" s="1052"/>
      <c r="P105" s="1052"/>
      <c r="Q105" s="1052"/>
      <c r="R105" s="1052"/>
      <c r="S105" s="1052"/>
      <c r="T105" s="1052"/>
      <c r="U105" s="1052"/>
      <c r="V105" s="1052"/>
      <c r="W105" s="1052"/>
      <c r="X105" s="1052"/>
      <c r="Y105" s="1052"/>
      <c r="Z105" s="1052"/>
      <c r="AA105" s="1052"/>
      <c r="AB105" s="1051"/>
      <c r="AC105" s="1051"/>
      <c r="AD105" s="1051"/>
      <c r="AE105" s="1051"/>
      <c r="AF105" s="1051"/>
      <c r="AG105" s="1051"/>
      <c r="AH105" s="1051"/>
      <c r="AI105" s="1067"/>
      <c r="AJ105" s="1067"/>
      <c r="AK105" s="1067"/>
    </row>
    <row r="106" spans="1:37" s="51" customFormat="1" ht="11.25">
      <c r="A106" s="1051"/>
      <c r="B106" s="1051"/>
      <c r="C106" s="1051"/>
      <c r="D106" s="1051"/>
      <c r="E106" s="1051"/>
      <c r="F106" s="1051"/>
      <c r="G106" s="1052"/>
      <c r="H106" s="1052"/>
      <c r="I106" s="1052"/>
      <c r="J106" s="1052"/>
      <c r="K106" s="1052"/>
      <c r="L106" s="1052"/>
      <c r="M106" s="1052"/>
      <c r="N106" s="1052"/>
      <c r="O106" s="1052"/>
      <c r="P106" s="1052"/>
      <c r="Q106" s="1052"/>
      <c r="R106" s="1052"/>
      <c r="S106" s="1052"/>
      <c r="T106" s="1052"/>
      <c r="U106" s="1052"/>
      <c r="V106" s="1052"/>
      <c r="W106" s="1052"/>
      <c r="X106" s="1052"/>
      <c r="Y106" s="1052"/>
      <c r="Z106" s="1052"/>
      <c r="AA106" s="1052"/>
      <c r="AB106" s="1051"/>
      <c r="AC106" s="1051"/>
      <c r="AD106" s="1051"/>
      <c r="AE106" s="1051"/>
      <c r="AF106" s="1051"/>
      <c r="AG106" s="1051"/>
      <c r="AH106" s="1051"/>
      <c r="AI106" s="1067"/>
      <c r="AJ106" s="1067"/>
      <c r="AK106" s="1067"/>
    </row>
    <row r="107" spans="1:37" s="51" customFormat="1" ht="11.25">
      <c r="A107" s="1051"/>
      <c r="B107" s="1051"/>
      <c r="C107" s="1051"/>
      <c r="D107" s="1051"/>
      <c r="E107" s="1051"/>
      <c r="F107" s="1051"/>
      <c r="G107" s="1052"/>
      <c r="H107" s="1052"/>
      <c r="I107" s="1052"/>
      <c r="J107" s="1052"/>
      <c r="K107" s="1052"/>
      <c r="L107" s="1052"/>
      <c r="M107" s="1052"/>
      <c r="N107" s="1052"/>
      <c r="O107" s="1052"/>
      <c r="P107" s="1052"/>
      <c r="Q107" s="1052"/>
      <c r="R107" s="1052"/>
      <c r="S107" s="1052"/>
      <c r="T107" s="1052"/>
      <c r="U107" s="1052"/>
      <c r="V107" s="1052"/>
      <c r="W107" s="1052"/>
      <c r="X107" s="1052"/>
      <c r="Y107" s="1052"/>
      <c r="Z107" s="1052"/>
      <c r="AA107" s="1052"/>
      <c r="AB107" s="1051"/>
      <c r="AC107" s="1051"/>
      <c r="AD107" s="1051"/>
      <c r="AE107" s="1051"/>
      <c r="AF107" s="1051"/>
      <c r="AG107" s="1051"/>
      <c r="AH107" s="1051"/>
      <c r="AI107" s="1067"/>
      <c r="AJ107" s="1067"/>
      <c r="AK107" s="1067"/>
    </row>
    <row r="108" spans="1:37" s="51" customFormat="1" ht="11.25">
      <c r="A108" s="1051"/>
      <c r="B108" s="1051"/>
      <c r="C108" s="1051"/>
      <c r="D108" s="1051"/>
      <c r="E108" s="1051"/>
      <c r="F108" s="1051"/>
      <c r="G108" s="1052"/>
      <c r="H108" s="1052"/>
      <c r="I108" s="1052"/>
      <c r="J108" s="1052"/>
      <c r="K108" s="1052"/>
      <c r="L108" s="1052"/>
      <c r="M108" s="1052"/>
      <c r="N108" s="1052"/>
      <c r="O108" s="1052"/>
      <c r="P108" s="1052"/>
      <c r="Q108" s="1052"/>
      <c r="R108" s="1052"/>
      <c r="S108" s="1052"/>
      <c r="T108" s="1052"/>
      <c r="U108" s="1052"/>
      <c r="V108" s="1052"/>
      <c r="W108" s="1052"/>
      <c r="X108" s="1052"/>
      <c r="Y108" s="1052"/>
      <c r="Z108" s="1052"/>
      <c r="AA108" s="1052"/>
      <c r="AB108" s="1051"/>
      <c r="AC108" s="1051"/>
      <c r="AD108" s="1051"/>
      <c r="AE108" s="1051"/>
      <c r="AF108" s="1051"/>
      <c r="AG108" s="1051"/>
      <c r="AH108" s="1051"/>
      <c r="AI108" s="1067"/>
      <c r="AJ108" s="1067"/>
      <c r="AK108" s="1067"/>
    </row>
    <row r="109" spans="1:37" s="51" customFormat="1" ht="11.25">
      <c r="A109" s="1051"/>
      <c r="B109" s="1051"/>
      <c r="C109" s="1051"/>
      <c r="D109" s="1051"/>
      <c r="E109" s="1051"/>
      <c r="F109" s="1051"/>
      <c r="G109" s="1052"/>
      <c r="H109" s="1052"/>
      <c r="I109" s="1052"/>
      <c r="J109" s="1052"/>
      <c r="K109" s="1052"/>
      <c r="L109" s="1052"/>
      <c r="M109" s="1052"/>
      <c r="N109" s="1052"/>
      <c r="O109" s="1052"/>
      <c r="P109" s="1052"/>
      <c r="Q109" s="1052"/>
      <c r="R109" s="1052"/>
      <c r="S109" s="1052"/>
      <c r="T109" s="1052"/>
      <c r="U109" s="1052"/>
      <c r="V109" s="1052"/>
      <c r="W109" s="1052"/>
      <c r="X109" s="1052"/>
      <c r="Y109" s="1052"/>
      <c r="Z109" s="1052"/>
      <c r="AA109" s="1052"/>
      <c r="AB109" s="1051"/>
      <c r="AC109" s="1051"/>
      <c r="AD109" s="1051"/>
      <c r="AE109" s="1051"/>
      <c r="AF109" s="1051"/>
      <c r="AG109" s="1051"/>
      <c r="AH109" s="1051"/>
      <c r="AI109" s="1067"/>
      <c r="AJ109" s="1067"/>
      <c r="AK109" s="1067"/>
    </row>
    <row r="110" spans="1:37" s="51" customFormat="1" ht="11.25">
      <c r="A110" s="1051"/>
      <c r="B110" s="1051"/>
      <c r="C110" s="1051"/>
      <c r="D110" s="1051"/>
      <c r="E110" s="1051"/>
      <c r="F110" s="1051"/>
      <c r="G110" s="1052"/>
      <c r="H110" s="1052"/>
      <c r="I110" s="1052"/>
      <c r="J110" s="1052"/>
      <c r="K110" s="1052"/>
      <c r="L110" s="1052"/>
      <c r="M110" s="1052"/>
      <c r="N110" s="1052"/>
      <c r="O110" s="1052"/>
      <c r="P110" s="1052"/>
      <c r="Q110" s="1052"/>
      <c r="R110" s="1052"/>
      <c r="S110" s="1052"/>
      <c r="T110" s="1052"/>
      <c r="U110" s="1052"/>
      <c r="V110" s="1052"/>
      <c r="W110" s="1052"/>
      <c r="X110" s="1052"/>
      <c r="Y110" s="1052"/>
      <c r="Z110" s="1052"/>
      <c r="AA110" s="1052"/>
      <c r="AB110" s="1051"/>
      <c r="AC110" s="1051"/>
      <c r="AD110" s="1051"/>
      <c r="AE110" s="1051"/>
      <c r="AF110" s="1051"/>
      <c r="AG110" s="1051"/>
      <c r="AH110" s="1051"/>
      <c r="AI110" s="1067"/>
      <c r="AJ110" s="1067"/>
      <c r="AK110" s="1067"/>
    </row>
    <row r="111" spans="1:37" s="51" customFormat="1" ht="11.25">
      <c r="A111" s="1051"/>
      <c r="B111" s="1051"/>
      <c r="C111" s="1051"/>
      <c r="D111" s="1051"/>
      <c r="E111" s="1051"/>
      <c r="F111" s="1051"/>
      <c r="G111" s="1052"/>
      <c r="H111" s="1052"/>
      <c r="I111" s="1052"/>
      <c r="J111" s="1052"/>
      <c r="K111" s="1052"/>
      <c r="L111" s="1052"/>
      <c r="M111" s="1052"/>
      <c r="N111" s="1052"/>
      <c r="O111" s="1052"/>
      <c r="P111" s="1052"/>
      <c r="Q111" s="1052"/>
      <c r="R111" s="1052"/>
      <c r="S111" s="1052"/>
      <c r="T111" s="1052"/>
      <c r="U111" s="1052"/>
      <c r="V111" s="1052"/>
      <c r="W111" s="1052"/>
      <c r="X111" s="1052"/>
      <c r="Y111" s="1052"/>
      <c r="Z111" s="1052"/>
      <c r="AA111" s="1052"/>
      <c r="AB111" s="1051"/>
      <c r="AC111" s="1051"/>
      <c r="AD111" s="1051"/>
      <c r="AE111" s="1051"/>
      <c r="AF111" s="1051"/>
      <c r="AG111" s="1051"/>
      <c r="AH111" s="1051"/>
      <c r="AI111" s="1067"/>
      <c r="AJ111" s="1067"/>
      <c r="AK111" s="1067"/>
    </row>
    <row r="112" spans="1:37" s="51" customFormat="1" ht="11.25">
      <c r="A112" s="1051"/>
      <c r="B112" s="1051"/>
      <c r="C112" s="1051"/>
      <c r="D112" s="1051"/>
      <c r="E112" s="1051"/>
      <c r="F112" s="1051"/>
      <c r="G112" s="1052"/>
      <c r="H112" s="1052"/>
      <c r="I112" s="1052"/>
      <c r="J112" s="1052"/>
      <c r="K112" s="1052"/>
      <c r="L112" s="1052"/>
      <c r="M112" s="1052"/>
      <c r="N112" s="1052"/>
      <c r="O112" s="1052"/>
      <c r="P112" s="1052"/>
      <c r="Q112" s="1052"/>
      <c r="R112" s="1052"/>
      <c r="S112" s="1052"/>
      <c r="T112" s="1052"/>
      <c r="U112" s="1052"/>
      <c r="V112" s="1052"/>
      <c r="W112" s="1052"/>
      <c r="X112" s="1052"/>
      <c r="Y112" s="1052"/>
      <c r="Z112" s="1052"/>
      <c r="AA112" s="1052"/>
      <c r="AB112" s="1051"/>
      <c r="AC112" s="1051"/>
      <c r="AD112" s="1051"/>
      <c r="AE112" s="1051"/>
      <c r="AF112" s="1051"/>
      <c r="AG112" s="1051"/>
      <c r="AH112" s="1051"/>
      <c r="AI112" s="1067"/>
      <c r="AJ112" s="1067"/>
      <c r="AK112" s="1067"/>
    </row>
    <row r="113" spans="1:37" s="51" customFormat="1" ht="11.25">
      <c r="A113" s="1051"/>
      <c r="B113" s="1051"/>
      <c r="C113" s="1051"/>
      <c r="D113" s="1051"/>
      <c r="E113" s="1051"/>
      <c r="F113" s="1051"/>
      <c r="G113" s="1052"/>
      <c r="H113" s="1052"/>
      <c r="I113" s="1052"/>
      <c r="J113" s="1052"/>
      <c r="K113" s="1052"/>
      <c r="L113" s="1052"/>
      <c r="M113" s="1052"/>
      <c r="N113" s="1052"/>
      <c r="O113" s="1052"/>
      <c r="P113" s="1052"/>
      <c r="Q113" s="1052"/>
      <c r="R113" s="1052"/>
      <c r="S113" s="1052"/>
      <c r="T113" s="1052"/>
      <c r="U113" s="1052"/>
      <c r="V113" s="1052"/>
      <c r="W113" s="1052"/>
      <c r="X113" s="1052"/>
      <c r="Y113" s="1052"/>
      <c r="Z113" s="1052"/>
      <c r="AA113" s="1052"/>
      <c r="AB113" s="1051"/>
      <c r="AC113" s="1051"/>
      <c r="AD113" s="1051"/>
      <c r="AE113" s="1051"/>
      <c r="AF113" s="1051"/>
      <c r="AG113" s="1051"/>
      <c r="AH113" s="1051"/>
      <c r="AI113" s="1067"/>
      <c r="AJ113" s="1067"/>
      <c r="AK113" s="1067"/>
    </row>
    <row r="114" spans="1:37" s="51" customFormat="1" ht="11.25">
      <c r="A114" s="1051"/>
      <c r="B114" s="1051"/>
      <c r="C114" s="1051"/>
      <c r="D114" s="1051"/>
      <c r="E114" s="1051"/>
      <c r="F114" s="1051"/>
      <c r="G114" s="1052"/>
      <c r="H114" s="1052"/>
      <c r="I114" s="1052"/>
      <c r="J114" s="1052"/>
      <c r="K114" s="1052"/>
      <c r="L114" s="1052"/>
      <c r="M114" s="1052"/>
      <c r="N114" s="1052"/>
      <c r="O114" s="1052"/>
      <c r="P114" s="1052"/>
      <c r="Q114" s="1052"/>
      <c r="R114" s="1052"/>
      <c r="S114" s="1052"/>
      <c r="T114" s="1052"/>
      <c r="U114" s="1052"/>
      <c r="V114" s="1052"/>
      <c r="W114" s="1052"/>
      <c r="X114" s="1052"/>
      <c r="Y114" s="1052"/>
      <c r="Z114" s="1052"/>
      <c r="AA114" s="1052"/>
      <c r="AB114" s="1051"/>
      <c r="AC114" s="1051"/>
      <c r="AD114" s="1051"/>
      <c r="AE114" s="1051"/>
      <c r="AF114" s="1051"/>
      <c r="AG114" s="1051"/>
      <c r="AH114" s="1051"/>
      <c r="AI114" s="1067"/>
      <c r="AJ114" s="1067"/>
      <c r="AK114" s="1067"/>
    </row>
    <row r="115" spans="1:37" s="51" customFormat="1" ht="11.25">
      <c r="A115" s="1051"/>
      <c r="B115" s="1051"/>
      <c r="C115" s="1051"/>
      <c r="D115" s="1051"/>
      <c r="E115" s="1051"/>
      <c r="F115" s="1051"/>
      <c r="G115" s="1052"/>
      <c r="H115" s="1052"/>
      <c r="I115" s="1052"/>
      <c r="J115" s="1052"/>
      <c r="K115" s="1052"/>
      <c r="L115" s="1052"/>
      <c r="M115" s="1052"/>
      <c r="N115" s="1052"/>
      <c r="O115" s="1052"/>
      <c r="P115" s="1052"/>
      <c r="Q115" s="1052"/>
      <c r="R115" s="1052"/>
      <c r="S115" s="1052"/>
      <c r="T115" s="1052"/>
      <c r="U115" s="1052"/>
      <c r="V115" s="1052"/>
      <c r="W115" s="1052"/>
      <c r="X115" s="1052"/>
      <c r="Y115" s="1052"/>
      <c r="Z115" s="1052"/>
      <c r="AA115" s="1052"/>
      <c r="AB115" s="1051"/>
      <c r="AC115" s="1051"/>
      <c r="AD115" s="1051"/>
      <c r="AE115" s="1051"/>
      <c r="AF115" s="1051"/>
      <c r="AG115" s="1051"/>
      <c r="AH115" s="1051"/>
      <c r="AI115" s="1067"/>
      <c r="AJ115" s="1067"/>
      <c r="AK115" s="1067"/>
    </row>
    <row r="116" spans="1:37" s="51" customFormat="1" ht="11.25">
      <c r="A116" s="1051"/>
      <c r="B116" s="1051"/>
      <c r="C116" s="1051"/>
      <c r="D116" s="1051"/>
      <c r="E116" s="1051"/>
      <c r="F116" s="1051"/>
      <c r="G116" s="1052"/>
      <c r="H116" s="1052"/>
      <c r="I116" s="1052"/>
      <c r="J116" s="1052"/>
      <c r="K116" s="1052"/>
      <c r="L116" s="1052"/>
      <c r="M116" s="1052"/>
      <c r="N116" s="1052"/>
      <c r="O116" s="1052"/>
      <c r="P116" s="1052"/>
      <c r="Q116" s="1052"/>
      <c r="R116" s="1052"/>
      <c r="S116" s="1052"/>
      <c r="T116" s="1052"/>
      <c r="U116" s="1052"/>
      <c r="V116" s="1052"/>
      <c r="W116" s="1052"/>
      <c r="X116" s="1052"/>
      <c r="Y116" s="1052"/>
      <c r="Z116" s="1052"/>
      <c r="AA116" s="1052"/>
      <c r="AB116" s="1051"/>
      <c r="AC116" s="1051"/>
      <c r="AD116" s="1051"/>
      <c r="AE116" s="1051"/>
      <c r="AF116" s="1051"/>
      <c r="AG116" s="1051"/>
      <c r="AH116" s="1051"/>
      <c r="AI116" s="1067"/>
      <c r="AJ116" s="1067"/>
      <c r="AK116" s="1067"/>
    </row>
    <row r="117" spans="1:37" s="51" customFormat="1" ht="11.25">
      <c r="A117" s="1051"/>
      <c r="B117" s="1051"/>
      <c r="C117" s="1051"/>
      <c r="D117" s="1051"/>
      <c r="E117" s="1051"/>
      <c r="F117" s="1051"/>
      <c r="G117" s="1052"/>
      <c r="H117" s="1052"/>
      <c r="I117" s="1052"/>
      <c r="J117" s="1052"/>
      <c r="K117" s="1052"/>
      <c r="L117" s="1052"/>
      <c r="M117" s="1052"/>
      <c r="N117" s="1052"/>
      <c r="O117" s="1052"/>
      <c r="P117" s="1052"/>
      <c r="Q117" s="1052"/>
      <c r="R117" s="1052"/>
      <c r="S117" s="1052"/>
      <c r="T117" s="1052"/>
      <c r="U117" s="1052"/>
      <c r="V117" s="1052"/>
      <c r="W117" s="1052"/>
      <c r="X117" s="1052"/>
      <c r="Y117" s="1052"/>
      <c r="Z117" s="1052"/>
      <c r="AA117" s="1052"/>
      <c r="AB117" s="1051"/>
      <c r="AC117" s="1051"/>
      <c r="AD117" s="1051"/>
      <c r="AE117" s="1051"/>
      <c r="AF117" s="1051"/>
      <c r="AG117" s="1051"/>
      <c r="AH117" s="1051"/>
      <c r="AI117" s="1067"/>
      <c r="AJ117" s="1067"/>
      <c r="AK117" s="1067"/>
    </row>
    <row r="118" spans="1:37" s="51" customFormat="1" ht="11.25">
      <c r="A118" s="1051"/>
      <c r="B118" s="1051"/>
      <c r="C118" s="1051"/>
      <c r="D118" s="1051"/>
      <c r="E118" s="1051"/>
      <c r="F118" s="1051"/>
      <c r="G118" s="1052"/>
      <c r="H118" s="1052"/>
      <c r="I118" s="1052"/>
      <c r="J118" s="1052"/>
      <c r="K118" s="1052"/>
      <c r="L118" s="1052"/>
      <c r="M118" s="1052"/>
      <c r="N118" s="1052"/>
      <c r="O118" s="1052"/>
      <c r="P118" s="1052"/>
      <c r="Q118" s="1052"/>
      <c r="R118" s="1052"/>
      <c r="S118" s="1052"/>
      <c r="T118" s="1052"/>
      <c r="U118" s="1052"/>
      <c r="V118" s="1052"/>
      <c r="W118" s="1052"/>
      <c r="X118" s="1052"/>
      <c r="Y118" s="1052"/>
      <c r="Z118" s="1052"/>
      <c r="AA118" s="1052"/>
      <c r="AB118" s="1051"/>
      <c r="AC118" s="1051"/>
      <c r="AD118" s="1051"/>
      <c r="AE118" s="1051"/>
      <c r="AF118" s="1051"/>
      <c r="AG118" s="1051"/>
      <c r="AH118" s="1051"/>
      <c r="AI118" s="1067"/>
      <c r="AJ118" s="1067"/>
      <c r="AK118" s="1067"/>
    </row>
    <row r="119" spans="1:37" s="51" customFormat="1" ht="11.25">
      <c r="A119" s="1051"/>
      <c r="B119" s="1051"/>
      <c r="C119" s="1051"/>
      <c r="D119" s="1051"/>
      <c r="E119" s="1051"/>
      <c r="F119" s="1051"/>
      <c r="G119" s="1052"/>
      <c r="H119" s="1052"/>
      <c r="I119" s="1052"/>
      <c r="J119" s="1052"/>
      <c r="K119" s="1052"/>
      <c r="L119" s="1052"/>
      <c r="M119" s="1052"/>
      <c r="N119" s="1052"/>
      <c r="O119" s="1052"/>
      <c r="P119" s="1052"/>
      <c r="Q119" s="1052"/>
      <c r="R119" s="1052"/>
      <c r="S119" s="1052"/>
      <c r="T119" s="1052"/>
      <c r="U119" s="1052"/>
      <c r="V119" s="1052"/>
      <c r="W119" s="1052"/>
      <c r="X119" s="1052"/>
      <c r="Y119" s="1052"/>
      <c r="Z119" s="1052"/>
      <c r="AA119" s="1052"/>
      <c r="AB119" s="1051"/>
      <c r="AC119" s="1051"/>
      <c r="AD119" s="1051"/>
      <c r="AE119" s="1051"/>
      <c r="AF119" s="1051"/>
      <c r="AG119" s="1051"/>
      <c r="AH119" s="1051"/>
      <c r="AI119" s="1067"/>
      <c r="AJ119" s="1067"/>
      <c r="AK119" s="1067"/>
    </row>
    <row r="120" spans="1:37" s="51" customFormat="1" ht="11.25">
      <c r="A120" s="1051"/>
      <c r="B120" s="1051"/>
      <c r="C120" s="1051"/>
      <c r="D120" s="1051"/>
      <c r="E120" s="1051"/>
      <c r="F120" s="1051"/>
      <c r="G120" s="1052"/>
      <c r="H120" s="1052"/>
      <c r="I120" s="1052"/>
      <c r="J120" s="1052"/>
      <c r="K120" s="1052"/>
      <c r="L120" s="1052"/>
      <c r="M120" s="1052"/>
      <c r="N120" s="1052"/>
      <c r="O120" s="1052"/>
      <c r="P120" s="1052"/>
      <c r="Q120" s="1052"/>
      <c r="R120" s="1052"/>
      <c r="S120" s="1052"/>
      <c r="T120" s="1052"/>
      <c r="U120" s="1052"/>
      <c r="V120" s="1052"/>
      <c r="W120" s="1052"/>
      <c r="X120" s="1052"/>
      <c r="Y120" s="1052"/>
      <c r="Z120" s="1052"/>
      <c r="AA120" s="1052"/>
      <c r="AB120" s="1051"/>
      <c r="AC120" s="1051"/>
      <c r="AD120" s="1051"/>
      <c r="AE120" s="1051"/>
      <c r="AF120" s="1051"/>
      <c r="AG120" s="1051"/>
      <c r="AH120" s="1051"/>
      <c r="AI120" s="1067"/>
      <c r="AJ120" s="1067"/>
      <c r="AK120" s="1067"/>
    </row>
    <row r="121" spans="1:37" s="51" customFormat="1" ht="11.25">
      <c r="A121" s="1051"/>
      <c r="B121" s="1051"/>
      <c r="C121" s="1051"/>
      <c r="D121" s="1051"/>
      <c r="E121" s="1051"/>
      <c r="F121" s="1051"/>
      <c r="G121" s="1052"/>
      <c r="H121" s="1052"/>
      <c r="I121" s="1052"/>
      <c r="J121" s="1052"/>
      <c r="K121" s="1052"/>
      <c r="L121" s="1052"/>
      <c r="M121" s="1052"/>
      <c r="N121" s="1052"/>
      <c r="O121" s="1052"/>
      <c r="P121" s="1052"/>
      <c r="Q121" s="1052"/>
      <c r="R121" s="1052"/>
      <c r="S121" s="1052"/>
      <c r="T121" s="1052"/>
      <c r="U121" s="1052"/>
      <c r="V121" s="1052"/>
      <c r="W121" s="1052"/>
      <c r="X121" s="1052"/>
      <c r="Y121" s="1052"/>
      <c r="Z121" s="1052"/>
      <c r="AA121" s="1052"/>
      <c r="AB121" s="1051"/>
      <c r="AC121" s="1051"/>
      <c r="AD121" s="1051"/>
      <c r="AE121" s="1051"/>
      <c r="AF121" s="1051"/>
      <c r="AG121" s="1051"/>
      <c r="AH121" s="1051"/>
      <c r="AI121" s="1067"/>
      <c r="AJ121" s="1067"/>
      <c r="AK121" s="1067"/>
    </row>
    <row r="122" spans="1:37" s="51" customFormat="1" ht="11.25">
      <c r="A122" s="1051"/>
      <c r="B122" s="1051"/>
      <c r="C122" s="1051"/>
      <c r="D122" s="1051"/>
      <c r="E122" s="1051"/>
      <c r="F122" s="1051"/>
      <c r="G122" s="1052"/>
      <c r="H122" s="1052"/>
      <c r="I122" s="1052"/>
      <c r="J122" s="1052"/>
      <c r="K122" s="1052"/>
      <c r="L122" s="1052"/>
      <c r="M122" s="1052"/>
      <c r="N122" s="1052"/>
      <c r="O122" s="1052"/>
      <c r="P122" s="1052"/>
      <c r="Q122" s="1052"/>
      <c r="R122" s="1052"/>
      <c r="S122" s="1052"/>
      <c r="T122" s="1052"/>
      <c r="U122" s="1052"/>
      <c r="V122" s="1052"/>
      <c r="W122" s="1052"/>
      <c r="X122" s="1052"/>
      <c r="Y122" s="1052"/>
      <c r="Z122" s="1052"/>
      <c r="AA122" s="1052"/>
      <c r="AB122" s="1051"/>
      <c r="AC122" s="1051"/>
      <c r="AD122" s="1051"/>
      <c r="AE122" s="1051"/>
      <c r="AF122" s="1051"/>
      <c r="AG122" s="1051"/>
      <c r="AH122" s="1051"/>
      <c r="AI122" s="1067"/>
      <c r="AJ122" s="1067"/>
      <c r="AK122" s="1067"/>
    </row>
    <row r="123" spans="1:37" s="51" customFormat="1" ht="11.25">
      <c r="A123" s="1051"/>
      <c r="B123" s="1051"/>
      <c r="C123" s="1051"/>
      <c r="D123" s="1051"/>
      <c r="E123" s="1051"/>
      <c r="F123" s="1051"/>
      <c r="G123" s="1052"/>
      <c r="H123" s="1052"/>
      <c r="I123" s="1052"/>
      <c r="J123" s="1052"/>
      <c r="K123" s="1052"/>
      <c r="L123" s="1052"/>
      <c r="M123" s="1052"/>
      <c r="N123" s="1052"/>
      <c r="O123" s="1052"/>
      <c r="P123" s="1052"/>
      <c r="Q123" s="1052"/>
      <c r="R123" s="1052"/>
      <c r="S123" s="1052"/>
      <c r="T123" s="1052"/>
      <c r="U123" s="1052"/>
      <c r="V123" s="1052"/>
      <c r="W123" s="1052"/>
      <c r="X123" s="1052"/>
      <c r="Y123" s="1052"/>
      <c r="Z123" s="1052"/>
      <c r="AA123" s="1052"/>
      <c r="AB123" s="1051"/>
      <c r="AC123" s="1051"/>
      <c r="AD123" s="1051"/>
      <c r="AE123" s="1051"/>
      <c r="AF123" s="1051"/>
      <c r="AG123" s="1051"/>
      <c r="AH123" s="1051"/>
      <c r="AI123" s="1067"/>
      <c r="AJ123" s="1067"/>
      <c r="AK123" s="1067"/>
    </row>
    <row r="124" spans="1:37" s="51" customFormat="1" ht="11.25">
      <c r="A124" s="1051"/>
      <c r="B124" s="1051"/>
      <c r="C124" s="1051"/>
      <c r="D124" s="1051"/>
      <c r="E124" s="1051"/>
      <c r="F124" s="1051"/>
      <c r="G124" s="1052"/>
      <c r="H124" s="1052"/>
      <c r="I124" s="1052"/>
      <c r="J124" s="1052"/>
      <c r="K124" s="1052"/>
      <c r="L124" s="1052"/>
      <c r="M124" s="1052"/>
      <c r="N124" s="1052"/>
      <c r="O124" s="1052"/>
      <c r="P124" s="1052"/>
      <c r="Q124" s="1052"/>
      <c r="R124" s="1052"/>
      <c r="S124" s="1052"/>
      <c r="T124" s="1052"/>
      <c r="U124" s="1052"/>
      <c r="V124" s="1052"/>
      <c r="W124" s="1052"/>
      <c r="X124" s="1052"/>
      <c r="Y124" s="1052"/>
      <c r="Z124" s="1052"/>
      <c r="AA124" s="1052"/>
      <c r="AB124" s="1051"/>
      <c r="AC124" s="1051"/>
      <c r="AD124" s="1051"/>
      <c r="AE124" s="1051"/>
      <c r="AF124" s="1051"/>
      <c r="AG124" s="1051"/>
      <c r="AH124" s="1051"/>
      <c r="AI124" s="1067"/>
      <c r="AJ124" s="1067"/>
      <c r="AK124" s="1067"/>
    </row>
    <row r="125" spans="1:37" s="51" customFormat="1" ht="11.25">
      <c r="A125" s="1051"/>
      <c r="B125" s="1051"/>
      <c r="C125" s="1051"/>
      <c r="D125" s="1051"/>
      <c r="E125" s="1051"/>
      <c r="F125" s="1051"/>
      <c r="G125" s="1052"/>
      <c r="H125" s="1052"/>
      <c r="I125" s="1052"/>
      <c r="J125" s="1052"/>
      <c r="K125" s="1052"/>
      <c r="L125" s="1052"/>
      <c r="M125" s="1052"/>
      <c r="N125" s="1052"/>
      <c r="O125" s="1052"/>
      <c r="P125" s="1052"/>
      <c r="Q125" s="1052"/>
      <c r="R125" s="1052"/>
      <c r="S125" s="1052"/>
      <c r="T125" s="1052"/>
      <c r="U125" s="1052"/>
      <c r="V125" s="1052"/>
      <c r="W125" s="1052"/>
      <c r="X125" s="1052"/>
      <c r="Y125" s="1052"/>
      <c r="Z125" s="1052"/>
      <c r="AA125" s="1052"/>
      <c r="AB125" s="1051"/>
      <c r="AC125" s="1051"/>
      <c r="AD125" s="1051"/>
      <c r="AE125" s="1051"/>
      <c r="AF125" s="1051"/>
      <c r="AG125" s="1051"/>
      <c r="AH125" s="1051"/>
      <c r="AI125" s="1067"/>
      <c r="AJ125" s="1067"/>
      <c r="AK125" s="1067"/>
    </row>
    <row r="126" spans="1:37" s="51" customFormat="1" ht="11.25">
      <c r="A126" s="1051"/>
      <c r="B126" s="1051"/>
      <c r="C126" s="1051"/>
      <c r="D126" s="1051"/>
      <c r="E126" s="1051"/>
      <c r="F126" s="1051"/>
      <c r="G126" s="1052"/>
      <c r="H126" s="1052"/>
      <c r="I126" s="1052"/>
      <c r="J126" s="1052"/>
      <c r="K126" s="1052"/>
      <c r="L126" s="1052"/>
      <c r="M126" s="1052"/>
      <c r="N126" s="1052"/>
      <c r="O126" s="1052"/>
      <c r="P126" s="1052"/>
      <c r="Q126" s="1052"/>
      <c r="R126" s="1052"/>
      <c r="S126" s="1052"/>
      <c r="T126" s="1052"/>
      <c r="U126" s="1052"/>
      <c r="V126" s="1052"/>
      <c r="W126" s="1052"/>
      <c r="X126" s="1052"/>
      <c r="Y126" s="1052"/>
      <c r="Z126" s="1052"/>
      <c r="AA126" s="1052"/>
      <c r="AB126" s="1051"/>
      <c r="AC126" s="1051"/>
      <c r="AD126" s="1051"/>
      <c r="AE126" s="1051"/>
      <c r="AF126" s="1051"/>
      <c r="AG126" s="1051"/>
      <c r="AH126" s="1051"/>
      <c r="AI126" s="1067"/>
      <c r="AJ126" s="1067"/>
      <c r="AK126" s="1067"/>
    </row>
    <row r="127" spans="1:37" s="51" customFormat="1" ht="11.25">
      <c r="A127" s="1051"/>
      <c r="B127" s="1051"/>
      <c r="C127" s="1051"/>
      <c r="D127" s="1051"/>
      <c r="E127" s="1051"/>
      <c r="F127" s="1051"/>
      <c r="G127" s="1052"/>
      <c r="H127" s="1052"/>
      <c r="I127" s="1052"/>
      <c r="J127" s="1052"/>
      <c r="K127" s="1052"/>
      <c r="L127" s="1052"/>
      <c r="M127" s="1052"/>
      <c r="N127" s="1052"/>
      <c r="O127" s="1052"/>
      <c r="P127" s="1052"/>
      <c r="Q127" s="1052"/>
      <c r="R127" s="1052"/>
      <c r="S127" s="1052"/>
      <c r="T127" s="1052"/>
      <c r="U127" s="1052"/>
      <c r="V127" s="1052"/>
      <c r="W127" s="1052"/>
      <c r="X127" s="1052"/>
      <c r="Y127" s="1052"/>
      <c r="Z127" s="1052"/>
      <c r="AA127" s="1052"/>
      <c r="AB127" s="1051"/>
      <c r="AC127" s="1051"/>
      <c r="AD127" s="1051"/>
      <c r="AE127" s="1051"/>
      <c r="AF127" s="1051"/>
      <c r="AG127" s="1051"/>
      <c r="AH127" s="1051"/>
      <c r="AI127" s="1067"/>
      <c r="AJ127" s="1067"/>
      <c r="AK127" s="1067"/>
    </row>
    <row r="128" spans="1:37" s="51" customFormat="1" ht="11.25">
      <c r="A128" s="1051"/>
      <c r="B128" s="1051"/>
      <c r="C128" s="1051"/>
      <c r="D128" s="1051"/>
      <c r="E128" s="1051"/>
      <c r="F128" s="1051"/>
      <c r="G128" s="1052"/>
      <c r="H128" s="1052"/>
      <c r="I128" s="1052"/>
      <c r="J128" s="1052"/>
      <c r="K128" s="1052"/>
      <c r="L128" s="1052"/>
      <c r="M128" s="1052"/>
      <c r="N128" s="1052"/>
      <c r="O128" s="1052"/>
      <c r="P128" s="1052"/>
      <c r="Q128" s="1052"/>
      <c r="R128" s="1052"/>
      <c r="S128" s="1052"/>
      <c r="T128" s="1052"/>
      <c r="U128" s="1052"/>
      <c r="V128" s="1052"/>
      <c r="W128" s="1052"/>
      <c r="X128" s="1052"/>
      <c r="Y128" s="1052"/>
      <c r="Z128" s="1052"/>
      <c r="AA128" s="1052"/>
      <c r="AB128" s="1051"/>
      <c r="AC128" s="1051"/>
      <c r="AD128" s="1051"/>
      <c r="AE128" s="1051"/>
      <c r="AF128" s="1051"/>
      <c r="AG128" s="1051"/>
      <c r="AH128" s="1051"/>
      <c r="AI128" s="1067"/>
      <c r="AJ128" s="1067"/>
      <c r="AK128" s="1067"/>
    </row>
    <row r="129" spans="1:37" s="51" customFormat="1" ht="11.25">
      <c r="A129" s="1051"/>
      <c r="B129" s="1051"/>
      <c r="C129" s="1051"/>
      <c r="D129" s="1051"/>
      <c r="E129" s="1051"/>
      <c r="F129" s="1051"/>
      <c r="G129" s="1052"/>
      <c r="H129" s="1052"/>
      <c r="I129" s="1052"/>
      <c r="J129" s="1052"/>
      <c r="K129" s="1052"/>
      <c r="L129" s="1052"/>
      <c r="M129" s="1052"/>
      <c r="N129" s="1052"/>
      <c r="O129" s="1052"/>
      <c r="P129" s="1052"/>
      <c r="Q129" s="1052"/>
      <c r="R129" s="1052"/>
      <c r="S129" s="1052"/>
      <c r="T129" s="1052"/>
      <c r="U129" s="1052"/>
      <c r="V129" s="1052"/>
      <c r="W129" s="1052"/>
      <c r="X129" s="1052"/>
      <c r="Y129" s="1052"/>
      <c r="Z129" s="1052"/>
      <c r="AA129" s="1052"/>
      <c r="AB129" s="1051"/>
      <c r="AC129" s="1051"/>
      <c r="AD129" s="1051"/>
      <c r="AE129" s="1051"/>
      <c r="AF129" s="1051"/>
      <c r="AG129" s="1051"/>
      <c r="AH129" s="1051"/>
      <c r="AI129" s="1067"/>
      <c r="AJ129" s="1067"/>
      <c r="AK129" s="1067"/>
    </row>
    <row r="130" spans="1:37" s="51" customFormat="1" ht="11.25">
      <c r="A130" s="1051"/>
      <c r="B130" s="1051"/>
      <c r="C130" s="1051"/>
      <c r="D130" s="1051"/>
      <c r="E130" s="1051"/>
      <c r="F130" s="1051"/>
      <c r="G130" s="1052"/>
      <c r="H130" s="1052"/>
      <c r="I130" s="1052"/>
      <c r="J130" s="1052"/>
      <c r="K130" s="1052"/>
      <c r="L130" s="1052"/>
      <c r="M130" s="1052"/>
      <c r="N130" s="1052"/>
      <c r="O130" s="1052"/>
      <c r="P130" s="1052"/>
      <c r="Q130" s="1052"/>
      <c r="R130" s="1052"/>
      <c r="S130" s="1052"/>
      <c r="T130" s="1052"/>
      <c r="U130" s="1052"/>
      <c r="V130" s="1052"/>
      <c r="W130" s="1052"/>
      <c r="X130" s="1052"/>
      <c r="Y130" s="1052"/>
      <c r="Z130" s="1052"/>
      <c r="AA130" s="1052"/>
      <c r="AB130" s="1051"/>
      <c r="AC130" s="1051"/>
      <c r="AD130" s="1051"/>
      <c r="AE130" s="1051"/>
      <c r="AF130" s="1051"/>
      <c r="AG130" s="1051"/>
      <c r="AH130" s="1051"/>
      <c r="AI130" s="1067"/>
      <c r="AJ130" s="1067"/>
      <c r="AK130" s="1067"/>
    </row>
    <row r="131" spans="1:37" s="51" customFormat="1" ht="11.25">
      <c r="A131" s="1051"/>
      <c r="B131" s="1051"/>
      <c r="C131" s="1051"/>
      <c r="D131" s="1051"/>
      <c r="E131" s="1051"/>
      <c r="F131" s="1051"/>
      <c r="G131" s="1052"/>
      <c r="H131" s="1052"/>
      <c r="I131" s="1052"/>
      <c r="J131" s="1052"/>
      <c r="K131" s="1052"/>
      <c r="L131" s="1052"/>
      <c r="M131" s="1052"/>
      <c r="N131" s="1052"/>
      <c r="O131" s="1052"/>
      <c r="P131" s="1052"/>
      <c r="Q131" s="1052"/>
      <c r="R131" s="1052"/>
      <c r="S131" s="1052"/>
      <c r="T131" s="1052"/>
      <c r="U131" s="1052"/>
      <c r="V131" s="1052"/>
      <c r="W131" s="1052"/>
      <c r="X131" s="1052"/>
      <c r="Y131" s="1052"/>
      <c r="Z131" s="1052"/>
      <c r="AA131" s="1052"/>
      <c r="AB131" s="1051"/>
      <c r="AC131" s="1051"/>
      <c r="AD131" s="1051"/>
      <c r="AE131" s="1051"/>
      <c r="AF131" s="1051"/>
      <c r="AG131" s="1051"/>
      <c r="AH131" s="1051"/>
      <c r="AI131" s="1067"/>
      <c r="AJ131" s="1067"/>
      <c r="AK131" s="1067"/>
    </row>
    <row r="132" spans="1:37" s="51" customFormat="1" ht="11.25">
      <c r="A132" s="1051"/>
      <c r="B132" s="1051"/>
      <c r="C132" s="1051"/>
      <c r="D132" s="1051"/>
      <c r="E132" s="1051"/>
      <c r="F132" s="1051"/>
      <c r="G132" s="1052"/>
      <c r="H132" s="1052"/>
      <c r="I132" s="1052"/>
      <c r="J132" s="1052"/>
      <c r="K132" s="1052"/>
      <c r="L132" s="1052"/>
      <c r="M132" s="1052"/>
      <c r="N132" s="1052"/>
      <c r="O132" s="1052"/>
      <c r="P132" s="1052"/>
      <c r="Q132" s="1052"/>
      <c r="R132" s="1052"/>
      <c r="S132" s="1052"/>
      <c r="T132" s="1052"/>
      <c r="U132" s="1052"/>
      <c r="V132" s="1052"/>
      <c r="W132" s="1052"/>
      <c r="X132" s="1052"/>
      <c r="Y132" s="1052"/>
      <c r="Z132" s="1052"/>
      <c r="AA132" s="1052"/>
      <c r="AB132" s="1051"/>
      <c r="AC132" s="1051"/>
      <c r="AD132" s="1051"/>
      <c r="AE132" s="1051"/>
      <c r="AF132" s="1051"/>
      <c r="AG132" s="1051"/>
      <c r="AH132" s="1051"/>
      <c r="AI132" s="1067"/>
      <c r="AJ132" s="1067"/>
      <c r="AK132" s="1067"/>
    </row>
    <row r="133" spans="1:37" s="51" customFormat="1" ht="11.25">
      <c r="A133" s="1051"/>
      <c r="B133" s="1051"/>
      <c r="C133" s="1051"/>
      <c r="D133" s="1051"/>
      <c r="E133" s="1051"/>
      <c r="F133" s="1051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1052"/>
      <c r="Q133" s="1052"/>
      <c r="R133" s="1052"/>
      <c r="S133" s="1052"/>
      <c r="T133" s="1052"/>
      <c r="U133" s="1052"/>
      <c r="V133" s="1052"/>
      <c r="W133" s="1052"/>
      <c r="X133" s="1052"/>
      <c r="Y133" s="1052"/>
      <c r="Z133" s="1052"/>
      <c r="AA133" s="1052"/>
      <c r="AB133" s="1051"/>
      <c r="AC133" s="1051"/>
      <c r="AD133" s="1051"/>
      <c r="AE133" s="1051"/>
      <c r="AF133" s="1051"/>
      <c r="AG133" s="1051"/>
      <c r="AH133" s="1051"/>
      <c r="AI133" s="1067"/>
      <c r="AJ133" s="1067"/>
      <c r="AK133" s="1067"/>
    </row>
    <row r="134" spans="1:37" s="51" customFormat="1" ht="11.25">
      <c r="A134" s="1051"/>
      <c r="B134" s="1051"/>
      <c r="C134" s="1051"/>
      <c r="D134" s="1051"/>
      <c r="E134" s="1051"/>
      <c r="F134" s="1051"/>
      <c r="G134" s="1052"/>
      <c r="H134" s="1052"/>
      <c r="I134" s="1052"/>
      <c r="J134" s="1052"/>
      <c r="K134" s="1052"/>
      <c r="L134" s="1052"/>
      <c r="M134" s="1052"/>
      <c r="N134" s="1052"/>
      <c r="O134" s="1052"/>
      <c r="P134" s="1052"/>
      <c r="Q134" s="1052"/>
      <c r="R134" s="1052"/>
      <c r="S134" s="1052"/>
      <c r="T134" s="1052"/>
      <c r="U134" s="1052"/>
      <c r="V134" s="1052"/>
      <c r="W134" s="1052"/>
      <c r="X134" s="1052"/>
      <c r="Y134" s="1052"/>
      <c r="Z134" s="1052"/>
      <c r="AA134" s="1052"/>
      <c r="AB134" s="1051"/>
      <c r="AC134" s="1051"/>
      <c r="AD134" s="1051"/>
      <c r="AE134" s="1051"/>
      <c r="AF134" s="1051"/>
      <c r="AG134" s="1051"/>
      <c r="AH134" s="1051"/>
      <c r="AI134" s="1067"/>
      <c r="AJ134" s="1067"/>
      <c r="AK134" s="1067"/>
    </row>
    <row r="135" spans="1:37" s="51" customFormat="1" ht="11.25">
      <c r="A135" s="1051"/>
      <c r="B135" s="1051"/>
      <c r="C135" s="1051"/>
      <c r="D135" s="1051"/>
      <c r="E135" s="1051"/>
      <c r="F135" s="1051"/>
      <c r="G135" s="1052"/>
      <c r="H135" s="1052"/>
      <c r="I135" s="1052"/>
      <c r="J135" s="1052"/>
      <c r="K135" s="1052"/>
      <c r="L135" s="1052"/>
      <c r="M135" s="1052"/>
      <c r="N135" s="1052"/>
      <c r="O135" s="1052"/>
      <c r="P135" s="1052"/>
      <c r="Q135" s="1052"/>
      <c r="R135" s="1052"/>
      <c r="S135" s="1052"/>
      <c r="T135" s="1052"/>
      <c r="U135" s="1052"/>
      <c r="V135" s="1052"/>
      <c r="W135" s="1052"/>
      <c r="X135" s="1052"/>
      <c r="Y135" s="1052"/>
      <c r="Z135" s="1052"/>
      <c r="AA135" s="1052"/>
      <c r="AB135" s="1051"/>
      <c r="AC135" s="1051"/>
      <c r="AD135" s="1051"/>
      <c r="AE135" s="1051"/>
      <c r="AF135" s="1051"/>
      <c r="AG135" s="1051"/>
      <c r="AH135" s="1051"/>
      <c r="AI135" s="1067"/>
      <c r="AJ135" s="1067"/>
      <c r="AK135" s="1067"/>
    </row>
    <row r="136" spans="1:37" s="51" customFormat="1" ht="11.25">
      <c r="A136" s="1051"/>
      <c r="B136" s="1051"/>
      <c r="C136" s="1051"/>
      <c r="D136" s="1051"/>
      <c r="E136" s="1051"/>
      <c r="F136" s="1051"/>
      <c r="G136" s="1052"/>
      <c r="H136" s="1052"/>
      <c r="I136" s="1052"/>
      <c r="J136" s="1052"/>
      <c r="K136" s="1052"/>
      <c r="L136" s="1052"/>
      <c r="M136" s="1052"/>
      <c r="N136" s="1052"/>
      <c r="O136" s="1052"/>
      <c r="P136" s="1052"/>
      <c r="Q136" s="1052"/>
      <c r="R136" s="1052"/>
      <c r="S136" s="1052"/>
      <c r="T136" s="1052"/>
      <c r="U136" s="1052"/>
      <c r="V136" s="1052"/>
      <c r="W136" s="1052"/>
      <c r="X136" s="1052"/>
      <c r="Y136" s="1052"/>
      <c r="Z136" s="1052"/>
      <c r="AA136" s="1052"/>
      <c r="AB136" s="1051"/>
      <c r="AC136" s="1051"/>
      <c r="AD136" s="1051"/>
      <c r="AE136" s="1051"/>
      <c r="AF136" s="1051"/>
      <c r="AG136" s="1051"/>
      <c r="AH136" s="1051"/>
      <c r="AI136" s="1067"/>
      <c r="AJ136" s="1067"/>
      <c r="AK136" s="1067"/>
    </row>
    <row r="137" spans="1:37" s="51" customFormat="1" ht="11.25">
      <c r="A137" s="1051"/>
      <c r="B137" s="1051"/>
      <c r="C137" s="1051"/>
      <c r="D137" s="1051"/>
      <c r="E137" s="1051"/>
      <c r="F137" s="1051"/>
      <c r="G137" s="1052"/>
      <c r="H137" s="1052"/>
      <c r="I137" s="1052"/>
      <c r="J137" s="1052"/>
      <c r="K137" s="1052"/>
      <c r="L137" s="1052"/>
      <c r="M137" s="1052"/>
      <c r="N137" s="1052"/>
      <c r="O137" s="1052"/>
      <c r="P137" s="1052"/>
      <c r="Q137" s="1052"/>
      <c r="R137" s="1052"/>
      <c r="S137" s="1052"/>
      <c r="T137" s="1052"/>
      <c r="U137" s="1052"/>
      <c r="V137" s="1052"/>
      <c r="W137" s="1052"/>
      <c r="X137" s="1052"/>
      <c r="Y137" s="1052"/>
      <c r="Z137" s="1052"/>
      <c r="AA137" s="1052"/>
      <c r="AB137" s="1051"/>
      <c r="AC137" s="1051"/>
      <c r="AD137" s="1051"/>
      <c r="AE137" s="1051"/>
      <c r="AF137" s="1051"/>
      <c r="AG137" s="1051"/>
      <c r="AH137" s="1051"/>
      <c r="AI137" s="1067"/>
      <c r="AJ137" s="1067"/>
      <c r="AK137" s="1067"/>
    </row>
    <row r="138" spans="1:37">
      <c r="A138" s="1051"/>
      <c r="B138" s="1051"/>
      <c r="C138" s="1051"/>
      <c r="D138" s="1051"/>
      <c r="E138" s="1051"/>
      <c r="F138" s="1051"/>
      <c r="G138" s="1052"/>
      <c r="H138" s="1052"/>
      <c r="I138" s="1052"/>
      <c r="J138" s="1052"/>
      <c r="K138" s="1052"/>
      <c r="L138" s="1052"/>
      <c r="M138" s="1052"/>
      <c r="N138" s="1052"/>
      <c r="O138" s="1052"/>
      <c r="P138" s="1052"/>
      <c r="Q138" s="1052"/>
      <c r="R138" s="1052"/>
      <c r="S138" s="1052"/>
      <c r="T138" s="1052"/>
      <c r="U138" s="1052"/>
      <c r="V138" s="1052"/>
      <c r="W138" s="1052"/>
      <c r="X138" s="1052"/>
      <c r="Y138" s="1052"/>
      <c r="Z138" s="1052"/>
      <c r="AA138" s="1052"/>
      <c r="AB138" s="1051"/>
      <c r="AC138" s="1051"/>
      <c r="AD138" s="1051"/>
      <c r="AE138" s="1051"/>
      <c r="AF138" s="1051"/>
      <c r="AG138" s="1051"/>
      <c r="AH138" s="1051"/>
      <c r="AI138" s="1067"/>
      <c r="AJ138" s="1067"/>
      <c r="AK138" s="1067"/>
    </row>
    <row r="139" spans="1:37">
      <c r="A139" s="1051"/>
      <c r="B139" s="1051"/>
      <c r="C139" s="1051"/>
      <c r="D139" s="1051"/>
      <c r="E139" s="1051"/>
      <c r="F139" s="1051"/>
      <c r="G139" s="1052"/>
      <c r="H139" s="1052"/>
      <c r="I139" s="1052"/>
      <c r="J139" s="1052"/>
      <c r="K139" s="1052"/>
      <c r="L139" s="1052"/>
      <c r="M139" s="1052"/>
      <c r="N139" s="1052"/>
      <c r="O139" s="1052"/>
      <c r="P139" s="1052"/>
      <c r="Q139" s="1052"/>
      <c r="R139" s="1052"/>
      <c r="S139" s="1052"/>
      <c r="T139" s="1052"/>
      <c r="U139" s="1052"/>
      <c r="V139" s="1052"/>
      <c r="W139" s="1052"/>
      <c r="X139" s="1052"/>
      <c r="Y139" s="1052"/>
      <c r="Z139" s="1052"/>
      <c r="AA139" s="1052"/>
      <c r="AB139" s="1051"/>
      <c r="AC139" s="1051"/>
      <c r="AD139" s="1051"/>
      <c r="AE139" s="1051"/>
      <c r="AF139" s="1051"/>
      <c r="AG139" s="1051"/>
      <c r="AH139" s="1051"/>
      <c r="AI139" s="1067"/>
      <c r="AJ139" s="1067"/>
      <c r="AK139" s="1067"/>
    </row>
    <row r="140" spans="1:37">
      <c r="A140" s="1051"/>
      <c r="B140" s="1051"/>
      <c r="C140" s="1051"/>
      <c r="D140" s="1051"/>
      <c r="E140" s="1051"/>
      <c r="F140" s="1051"/>
      <c r="G140" s="1052"/>
      <c r="H140" s="1052"/>
      <c r="I140" s="1052"/>
      <c r="J140" s="1052"/>
      <c r="K140" s="1052"/>
      <c r="L140" s="1052"/>
      <c r="M140" s="1052"/>
      <c r="N140" s="1052"/>
      <c r="O140" s="1052"/>
      <c r="P140" s="1052"/>
      <c r="Q140" s="1052"/>
      <c r="R140" s="1052"/>
      <c r="S140" s="1052"/>
      <c r="T140" s="1052"/>
      <c r="U140" s="1052"/>
      <c r="V140" s="1052"/>
      <c r="W140" s="1052"/>
      <c r="X140" s="1052"/>
      <c r="Y140" s="1052"/>
      <c r="Z140" s="1052"/>
      <c r="AA140" s="1052"/>
      <c r="AB140" s="1051"/>
      <c r="AC140" s="1051"/>
      <c r="AD140" s="1051"/>
      <c r="AE140" s="1051"/>
      <c r="AF140" s="1051"/>
      <c r="AG140" s="1051"/>
      <c r="AH140" s="1051"/>
      <c r="AI140" s="1067"/>
      <c r="AJ140" s="1067"/>
      <c r="AK140" s="1067"/>
    </row>
    <row r="141" spans="1:37">
      <c r="A141" s="1044"/>
      <c r="B141" s="1044"/>
      <c r="C141" s="1044"/>
      <c r="D141" s="142"/>
      <c r="E141" s="142"/>
      <c r="F141" s="142"/>
      <c r="G141" s="1047"/>
      <c r="H141" s="1047"/>
      <c r="I141" s="1053"/>
      <c r="J141" s="1047"/>
      <c r="K141" s="1047"/>
      <c r="L141" s="1047"/>
      <c r="M141" s="1047"/>
      <c r="N141" s="1047"/>
      <c r="O141" s="1047"/>
      <c r="P141" s="1053"/>
      <c r="Q141" s="1047"/>
      <c r="R141" s="1047"/>
      <c r="S141" s="1047"/>
      <c r="T141" s="1047"/>
      <c r="U141" s="1047"/>
      <c r="V141" s="1047"/>
      <c r="W141" s="1047"/>
      <c r="X141" s="1047"/>
      <c r="Y141" s="1047"/>
      <c r="Z141" s="1047"/>
      <c r="AA141" s="1047"/>
      <c r="AB141" s="142"/>
      <c r="AC141" s="142"/>
      <c r="AD141" s="142"/>
      <c r="AE141" s="142"/>
      <c r="AF141" s="142"/>
      <c r="AG141" s="142"/>
      <c r="AH141" s="142"/>
      <c r="AI141" s="1068"/>
      <c r="AJ141" s="1068"/>
      <c r="AK141" s="1068"/>
    </row>
    <row r="142" spans="1:37">
      <c r="A142" s="1044"/>
      <c r="B142" s="1044"/>
      <c r="C142" s="1044"/>
      <c r="D142" s="142"/>
      <c r="E142" s="142"/>
      <c r="F142" s="142"/>
      <c r="G142" s="1047"/>
      <c r="H142" s="1047"/>
      <c r="I142" s="1053"/>
      <c r="J142" s="1047"/>
      <c r="K142" s="1047"/>
      <c r="L142" s="1047"/>
      <c r="M142" s="1047"/>
      <c r="N142" s="1047"/>
      <c r="O142" s="1047"/>
      <c r="P142" s="1053"/>
      <c r="Q142" s="1047"/>
      <c r="R142" s="1047"/>
      <c r="S142" s="1047"/>
      <c r="T142" s="1047"/>
      <c r="U142" s="1047"/>
      <c r="V142" s="1047"/>
      <c r="W142" s="1047"/>
      <c r="X142" s="1047"/>
      <c r="Y142" s="1047"/>
      <c r="Z142" s="1047"/>
      <c r="AA142" s="1047"/>
      <c r="AB142" s="142"/>
      <c r="AC142" s="142"/>
      <c r="AD142" s="142"/>
      <c r="AE142" s="142"/>
      <c r="AF142" s="142"/>
      <c r="AG142" s="142"/>
      <c r="AH142" s="142"/>
      <c r="AI142" s="1068"/>
      <c r="AJ142" s="1068"/>
      <c r="AK142" s="1068"/>
    </row>
    <row r="143" spans="1:37">
      <c r="A143" s="1044"/>
      <c r="B143" s="1044"/>
      <c r="C143" s="1044"/>
      <c r="D143" s="142"/>
      <c r="E143" s="142"/>
      <c r="F143" s="142"/>
      <c r="G143" s="1047"/>
      <c r="H143" s="1047"/>
      <c r="I143" s="1053"/>
      <c r="J143" s="1047"/>
      <c r="K143" s="1047"/>
      <c r="L143" s="1047"/>
      <c r="M143" s="1047"/>
      <c r="N143" s="1047"/>
      <c r="O143" s="1047"/>
      <c r="P143" s="1053"/>
      <c r="Q143" s="1047"/>
      <c r="R143" s="1047"/>
      <c r="S143" s="1047"/>
      <c r="T143" s="1047"/>
      <c r="U143" s="1047"/>
      <c r="V143" s="1047"/>
      <c r="W143" s="1047"/>
      <c r="X143" s="1047"/>
      <c r="Y143" s="1047"/>
      <c r="Z143" s="1047"/>
      <c r="AA143" s="1047"/>
      <c r="AB143" s="142"/>
      <c r="AC143" s="142"/>
      <c r="AD143" s="142"/>
      <c r="AE143" s="142"/>
      <c r="AF143" s="142"/>
      <c r="AG143" s="142"/>
      <c r="AH143" s="142"/>
      <c r="AI143" s="1068"/>
      <c r="AJ143" s="1068"/>
      <c r="AK143" s="1068"/>
    </row>
    <row r="144" spans="1:37">
      <c r="A144" s="1044"/>
      <c r="B144" s="1044"/>
      <c r="C144" s="1044"/>
      <c r="D144" s="142"/>
      <c r="E144" s="142"/>
      <c r="F144" s="142"/>
      <c r="G144" s="1047"/>
      <c r="H144" s="1047"/>
      <c r="I144" s="1053"/>
      <c r="J144" s="1047"/>
      <c r="K144" s="1047"/>
      <c r="L144" s="1047"/>
      <c r="M144" s="1047"/>
      <c r="N144" s="1047"/>
      <c r="O144" s="1047"/>
      <c r="P144" s="1053"/>
      <c r="Q144" s="1047"/>
      <c r="R144" s="1047"/>
      <c r="S144" s="1047"/>
      <c r="T144" s="1047"/>
      <c r="U144" s="1047"/>
      <c r="V144" s="1047"/>
      <c r="W144" s="1047"/>
      <c r="X144" s="1047"/>
      <c r="Y144" s="1047"/>
      <c r="Z144" s="1047"/>
      <c r="AA144" s="1047"/>
      <c r="AB144" s="142"/>
      <c r="AC144" s="142"/>
      <c r="AD144" s="142"/>
      <c r="AE144" s="142"/>
      <c r="AF144" s="142"/>
      <c r="AG144" s="142"/>
      <c r="AH144" s="142"/>
      <c r="AI144" s="1068"/>
      <c r="AJ144" s="1068"/>
      <c r="AK144" s="1068"/>
    </row>
    <row r="145" spans="1:37">
      <c r="A145" s="1044"/>
      <c r="B145" s="1044"/>
      <c r="C145" s="1044"/>
      <c r="D145" s="142"/>
      <c r="E145" s="142"/>
      <c r="F145" s="142"/>
      <c r="G145" s="1047"/>
      <c r="H145" s="1047"/>
      <c r="I145" s="1053"/>
      <c r="J145" s="1047"/>
      <c r="K145" s="1047"/>
      <c r="L145" s="1047"/>
      <c r="M145" s="1047"/>
      <c r="N145" s="1047"/>
      <c r="O145" s="1047"/>
      <c r="P145" s="1053"/>
      <c r="Q145" s="1047"/>
      <c r="R145" s="1047"/>
      <c r="S145" s="1047"/>
      <c r="T145" s="1047"/>
      <c r="U145" s="1047"/>
      <c r="V145" s="1047"/>
      <c r="W145" s="1047"/>
      <c r="X145" s="1047"/>
      <c r="Y145" s="1047"/>
      <c r="Z145" s="1047"/>
      <c r="AA145" s="1047"/>
      <c r="AB145" s="142"/>
      <c r="AC145" s="142"/>
      <c r="AD145" s="142"/>
      <c r="AE145" s="142"/>
      <c r="AF145" s="142"/>
      <c r="AG145" s="142"/>
      <c r="AH145" s="142"/>
      <c r="AI145" s="1068"/>
      <c r="AJ145" s="1068"/>
      <c r="AK145" s="1068"/>
    </row>
    <row r="146" spans="1:37">
      <c r="A146" s="1044"/>
      <c r="B146" s="1044"/>
      <c r="C146" s="1044"/>
      <c r="D146" s="142"/>
      <c r="E146" s="142"/>
      <c r="F146" s="142"/>
      <c r="G146" s="1047"/>
      <c r="H146" s="1047"/>
      <c r="I146" s="1053"/>
      <c r="J146" s="1047"/>
      <c r="K146" s="1047"/>
      <c r="L146" s="1047"/>
      <c r="M146" s="1047"/>
      <c r="N146" s="1047"/>
      <c r="O146" s="1047"/>
      <c r="P146" s="1053"/>
      <c r="Q146" s="1047"/>
      <c r="R146" s="1047"/>
      <c r="S146" s="1047"/>
      <c r="T146" s="1047"/>
      <c r="U146" s="1047"/>
      <c r="V146" s="1047"/>
      <c r="W146" s="1047"/>
      <c r="X146" s="1047"/>
      <c r="Y146" s="1047"/>
      <c r="Z146" s="1047"/>
      <c r="AA146" s="1047"/>
      <c r="AB146" s="142"/>
      <c r="AC146" s="142"/>
      <c r="AD146" s="142"/>
      <c r="AE146" s="142"/>
      <c r="AF146" s="142"/>
      <c r="AG146" s="142"/>
      <c r="AH146" s="142"/>
      <c r="AI146" s="1068"/>
      <c r="AJ146" s="1068"/>
      <c r="AK146" s="1068"/>
    </row>
    <row r="147" spans="1:37">
      <c r="A147" s="1044"/>
      <c r="B147" s="1044"/>
      <c r="C147" s="1044"/>
      <c r="D147" s="142"/>
      <c r="E147" s="142"/>
      <c r="F147" s="142"/>
      <c r="G147" s="1047"/>
      <c r="H147" s="1047"/>
      <c r="I147" s="1053"/>
      <c r="J147" s="1047"/>
      <c r="K147" s="1047"/>
      <c r="L147" s="1047"/>
      <c r="M147" s="1047"/>
      <c r="N147" s="1047"/>
      <c r="O147" s="1047"/>
      <c r="P147" s="1053"/>
      <c r="Q147" s="1047"/>
      <c r="R147" s="1047"/>
      <c r="S147" s="1047"/>
      <c r="T147" s="1047"/>
      <c r="U147" s="1047"/>
      <c r="V147" s="1047"/>
      <c r="W147" s="1047"/>
      <c r="X147" s="1047"/>
      <c r="Y147" s="1047"/>
      <c r="Z147" s="1047"/>
      <c r="AA147" s="1047"/>
      <c r="AB147" s="142"/>
      <c r="AC147" s="142"/>
      <c r="AD147" s="142"/>
      <c r="AE147" s="142"/>
      <c r="AF147" s="142"/>
      <c r="AG147" s="142"/>
      <c r="AH147" s="142"/>
      <c r="AI147" s="1068"/>
      <c r="AJ147" s="1068"/>
      <c r="AK147" s="1068"/>
    </row>
    <row r="148" spans="1:37">
      <c r="A148" s="1044"/>
      <c r="B148" s="1044"/>
      <c r="C148" s="1044"/>
      <c r="D148" s="142"/>
      <c r="E148" s="142"/>
      <c r="F148" s="142"/>
      <c r="G148" s="1047"/>
      <c r="H148" s="1047"/>
      <c r="I148" s="1053"/>
      <c r="J148" s="1047"/>
      <c r="K148" s="1047"/>
      <c r="L148" s="1047"/>
      <c r="M148" s="1047"/>
      <c r="N148" s="1047"/>
      <c r="O148" s="1047"/>
      <c r="P148" s="1053"/>
      <c r="Q148" s="1047"/>
      <c r="R148" s="1047"/>
      <c r="S148" s="1047"/>
      <c r="T148" s="1047"/>
      <c r="U148" s="1047"/>
      <c r="V148" s="1047"/>
      <c r="W148" s="1047"/>
      <c r="X148" s="1047"/>
      <c r="Y148" s="1047"/>
      <c r="Z148" s="1047"/>
      <c r="AA148" s="1047"/>
      <c r="AB148" s="142"/>
      <c r="AC148" s="142"/>
      <c r="AD148" s="142"/>
      <c r="AE148" s="142"/>
      <c r="AF148" s="142"/>
      <c r="AG148" s="142"/>
      <c r="AH148" s="142"/>
      <c r="AI148" s="1068"/>
      <c r="AJ148" s="1068"/>
      <c r="AK148" s="1068"/>
    </row>
    <row r="149" spans="1:37">
      <c r="A149" s="1044"/>
      <c r="B149" s="1044"/>
      <c r="C149" s="1044"/>
      <c r="D149" s="142"/>
      <c r="E149" s="142"/>
      <c r="F149" s="142"/>
      <c r="G149" s="1047"/>
      <c r="H149" s="1047"/>
      <c r="I149" s="1053"/>
      <c r="J149" s="1047"/>
      <c r="K149" s="1047"/>
      <c r="L149" s="1047"/>
      <c r="M149" s="1047"/>
      <c r="N149" s="1047"/>
      <c r="O149" s="1047"/>
      <c r="P149" s="1053"/>
      <c r="Q149" s="1047"/>
      <c r="R149" s="1047"/>
      <c r="S149" s="1047"/>
      <c r="T149" s="1047"/>
      <c r="U149" s="1047"/>
      <c r="V149" s="1047"/>
      <c r="W149" s="1047"/>
      <c r="X149" s="1047"/>
      <c r="Y149" s="1047"/>
      <c r="Z149" s="1047"/>
      <c r="AA149" s="1047"/>
      <c r="AB149" s="142"/>
      <c r="AC149" s="142"/>
      <c r="AD149" s="142"/>
      <c r="AE149" s="142"/>
      <c r="AF149" s="142"/>
      <c r="AG149" s="142"/>
      <c r="AH149" s="142"/>
      <c r="AI149" s="1068"/>
      <c r="AJ149" s="1068"/>
      <c r="AK149" s="1068"/>
    </row>
    <row r="150" spans="1:37">
      <c r="A150" s="1044"/>
      <c r="B150" s="1044"/>
      <c r="C150" s="1044"/>
      <c r="D150" s="142"/>
      <c r="E150" s="142"/>
      <c r="F150" s="142"/>
      <c r="G150" s="1047"/>
      <c r="H150" s="1047"/>
      <c r="I150" s="1053"/>
      <c r="J150" s="1047"/>
      <c r="K150" s="1047"/>
      <c r="L150" s="1047"/>
      <c r="M150" s="1047"/>
      <c r="N150" s="1047"/>
      <c r="O150" s="1047"/>
      <c r="P150" s="1053"/>
      <c r="Q150" s="1047"/>
      <c r="R150" s="1047"/>
      <c r="S150" s="1047"/>
      <c r="T150" s="1047"/>
      <c r="U150" s="1047"/>
      <c r="V150" s="1047"/>
      <c r="W150" s="1047"/>
      <c r="X150" s="1047"/>
      <c r="Y150" s="1047"/>
      <c r="Z150" s="1047"/>
      <c r="AA150" s="1047"/>
      <c r="AB150" s="142"/>
      <c r="AC150" s="142"/>
      <c r="AD150" s="142"/>
      <c r="AE150" s="142"/>
      <c r="AF150" s="142"/>
      <c r="AG150" s="142"/>
      <c r="AH150" s="142"/>
      <c r="AI150" s="1068"/>
      <c r="AJ150" s="1068"/>
      <c r="AK150" s="1068"/>
    </row>
    <row r="151" spans="1:37">
      <c r="A151" s="1044"/>
      <c r="B151" s="1044"/>
      <c r="C151" s="1044"/>
      <c r="D151" s="142"/>
      <c r="E151" s="142"/>
      <c r="F151" s="142"/>
      <c r="G151" s="1047"/>
      <c r="H151" s="1047"/>
      <c r="I151" s="1053"/>
      <c r="J151" s="1047"/>
      <c r="K151" s="1047"/>
      <c r="L151" s="1047"/>
      <c r="M151" s="1047"/>
      <c r="N151" s="1047"/>
      <c r="O151" s="1047"/>
      <c r="P151" s="1053"/>
      <c r="Q151" s="1047"/>
      <c r="R151" s="1047"/>
      <c r="S151" s="1047"/>
      <c r="T151" s="1047"/>
      <c r="U151" s="1047"/>
      <c r="V151" s="1047"/>
      <c r="W151" s="1047"/>
      <c r="X151" s="1047"/>
      <c r="Y151" s="1047"/>
      <c r="Z151" s="1047"/>
      <c r="AA151" s="1047"/>
      <c r="AB151" s="142"/>
      <c r="AC151" s="142"/>
      <c r="AD151" s="142"/>
      <c r="AE151" s="142"/>
      <c r="AF151" s="142"/>
      <c r="AG151" s="142"/>
      <c r="AH151" s="142"/>
      <c r="AI151" s="1068"/>
      <c r="AJ151" s="1068"/>
      <c r="AK151" s="1068"/>
    </row>
    <row r="152" spans="1:37">
      <c r="A152" s="1044"/>
      <c r="B152" s="1044"/>
      <c r="C152" s="1044"/>
      <c r="D152" s="142"/>
      <c r="E152" s="142"/>
      <c r="F152" s="142"/>
      <c r="G152" s="1047"/>
      <c r="H152" s="1047"/>
      <c r="I152" s="1053"/>
      <c r="J152" s="1047"/>
      <c r="K152" s="1047"/>
      <c r="L152" s="1047"/>
      <c r="M152" s="1047"/>
      <c r="N152" s="1047"/>
      <c r="O152" s="1047"/>
      <c r="P152" s="1053"/>
      <c r="Q152" s="1047"/>
      <c r="R152" s="1047"/>
      <c r="S152" s="1047"/>
      <c r="T152" s="1047"/>
      <c r="U152" s="1047"/>
      <c r="V152" s="1047"/>
      <c r="W152" s="1047"/>
      <c r="X152" s="1047"/>
      <c r="Y152" s="1047"/>
      <c r="Z152" s="1047"/>
      <c r="AA152" s="1047"/>
      <c r="AB152" s="142"/>
      <c r="AC152" s="142"/>
      <c r="AD152" s="142"/>
      <c r="AE152" s="142"/>
      <c r="AF152" s="142"/>
      <c r="AG152" s="142"/>
      <c r="AH152" s="142"/>
      <c r="AI152" s="1068"/>
      <c r="AJ152" s="1068"/>
      <c r="AK152" s="1068"/>
    </row>
    <row r="153" spans="1:37">
      <c r="A153" s="1044"/>
      <c r="B153" s="1044"/>
      <c r="C153" s="1044"/>
      <c r="D153" s="142"/>
      <c r="E153" s="142"/>
      <c r="F153" s="142"/>
      <c r="G153" s="1047"/>
      <c r="H153" s="1047"/>
      <c r="I153" s="1053"/>
      <c r="J153" s="1047"/>
      <c r="K153" s="1047"/>
      <c r="L153" s="1047"/>
      <c r="M153" s="1047"/>
      <c r="N153" s="1047"/>
      <c r="O153" s="1047"/>
      <c r="P153" s="1053"/>
      <c r="Q153" s="1047"/>
      <c r="R153" s="1047"/>
      <c r="S153" s="1047"/>
      <c r="T153" s="1047"/>
      <c r="U153" s="1047"/>
      <c r="V153" s="1047"/>
      <c r="W153" s="1047"/>
      <c r="X153" s="1047"/>
      <c r="Y153" s="1047"/>
      <c r="Z153" s="1047"/>
      <c r="AA153" s="1047"/>
      <c r="AB153" s="142"/>
      <c r="AC153" s="142"/>
      <c r="AD153" s="142"/>
      <c r="AE153" s="142"/>
      <c r="AF153" s="142"/>
      <c r="AG153" s="142"/>
      <c r="AH153" s="142"/>
      <c r="AI153" s="1068"/>
      <c r="AJ153" s="1068"/>
      <c r="AK153" s="1068"/>
    </row>
    <row r="154" spans="1:37">
      <c r="A154" s="1044"/>
      <c r="B154" s="1044"/>
      <c r="C154" s="1044"/>
      <c r="D154" s="142"/>
      <c r="E154" s="142"/>
      <c r="F154" s="142"/>
      <c r="G154" s="1047"/>
      <c r="H154" s="1047"/>
      <c r="I154" s="1053"/>
      <c r="J154" s="1047"/>
      <c r="K154" s="1047"/>
      <c r="L154" s="1047"/>
      <c r="M154" s="1047"/>
      <c r="N154" s="1047"/>
      <c r="O154" s="1047"/>
      <c r="P154" s="1053"/>
      <c r="Q154" s="1047"/>
      <c r="R154" s="1047"/>
      <c r="S154" s="1047"/>
      <c r="T154" s="1047"/>
      <c r="U154" s="1047"/>
      <c r="V154" s="1047"/>
      <c r="W154" s="1047"/>
      <c r="X154" s="1047"/>
      <c r="Y154" s="1047"/>
      <c r="Z154" s="1047"/>
      <c r="AA154" s="1047"/>
      <c r="AB154" s="142"/>
      <c r="AC154" s="142"/>
      <c r="AD154" s="142"/>
      <c r="AE154" s="142"/>
      <c r="AF154" s="142"/>
      <c r="AG154" s="142"/>
      <c r="AH154" s="142"/>
      <c r="AI154" s="1068"/>
      <c r="AJ154" s="1068"/>
      <c r="AK154" s="1068"/>
    </row>
    <row r="155" spans="1:37">
      <c r="A155" s="1044"/>
      <c r="B155" s="1044"/>
      <c r="C155" s="1044"/>
      <c r="D155" s="142"/>
      <c r="E155" s="142"/>
      <c r="F155" s="142"/>
      <c r="G155" s="1047"/>
      <c r="H155" s="1047"/>
      <c r="I155" s="1053"/>
      <c r="J155" s="1047"/>
      <c r="K155" s="1047"/>
      <c r="L155" s="1047"/>
      <c r="M155" s="1047"/>
      <c r="N155" s="1047"/>
      <c r="O155" s="1047"/>
      <c r="P155" s="1053"/>
      <c r="Q155" s="1047"/>
      <c r="R155" s="1047"/>
      <c r="S155" s="1047"/>
      <c r="T155" s="1047"/>
      <c r="U155" s="1047"/>
      <c r="V155" s="1047"/>
      <c r="W155" s="1047"/>
      <c r="X155" s="1047"/>
      <c r="Y155" s="1047"/>
      <c r="Z155" s="1047"/>
      <c r="AA155" s="1047"/>
      <c r="AB155" s="142"/>
      <c r="AC155" s="142"/>
      <c r="AD155" s="142"/>
      <c r="AE155" s="142"/>
      <c r="AF155" s="142"/>
      <c r="AG155" s="142"/>
      <c r="AH155" s="142"/>
      <c r="AI155" s="1068"/>
      <c r="AJ155" s="1068"/>
      <c r="AK155" s="1068"/>
    </row>
    <row r="156" spans="1:37" s="1024" customFormat="1">
      <c r="A156" s="1044"/>
      <c r="B156" s="1044"/>
      <c r="C156" s="1044"/>
      <c r="D156" s="142"/>
      <c r="E156" s="142"/>
      <c r="F156" s="142"/>
      <c r="G156" s="1047"/>
      <c r="H156" s="1047"/>
      <c r="I156" s="1053"/>
      <c r="J156" s="1047"/>
      <c r="K156" s="1047"/>
      <c r="L156" s="1047"/>
      <c r="M156" s="1047"/>
      <c r="N156" s="1047"/>
      <c r="O156" s="1047"/>
      <c r="P156" s="1053"/>
      <c r="Q156" s="1047"/>
      <c r="R156" s="1047"/>
      <c r="S156" s="1047"/>
      <c r="T156" s="1047"/>
      <c r="U156" s="1047"/>
      <c r="V156" s="1047"/>
      <c r="W156" s="1047"/>
      <c r="X156" s="1047"/>
      <c r="Y156" s="1047"/>
      <c r="Z156" s="1047"/>
      <c r="AA156" s="1047"/>
      <c r="AB156" s="142"/>
      <c r="AC156" s="142"/>
      <c r="AD156" s="142"/>
      <c r="AE156" s="142"/>
      <c r="AF156" s="142"/>
      <c r="AG156" s="142"/>
      <c r="AH156" s="142"/>
      <c r="AI156" s="1068"/>
      <c r="AJ156" s="1068"/>
      <c r="AK156" s="1068"/>
    </row>
    <row r="157" spans="1:37" s="1024" customFormat="1">
      <c r="A157" s="1044"/>
      <c r="B157" s="1044"/>
      <c r="C157" s="1044"/>
      <c r="D157" s="142"/>
      <c r="E157" s="142"/>
      <c r="F157" s="142"/>
      <c r="G157" s="1047"/>
      <c r="H157" s="1047"/>
      <c r="I157" s="1053"/>
      <c r="J157" s="1047"/>
      <c r="K157" s="1047"/>
      <c r="L157" s="1047"/>
      <c r="M157" s="1047"/>
      <c r="N157" s="1047"/>
      <c r="O157" s="1047"/>
      <c r="P157" s="1053"/>
      <c r="Q157" s="1047"/>
      <c r="R157" s="1047"/>
      <c r="S157" s="1047"/>
      <c r="T157" s="1047"/>
      <c r="U157" s="1047"/>
      <c r="V157" s="1047"/>
      <c r="W157" s="1047"/>
      <c r="X157" s="1047"/>
      <c r="Y157" s="1047"/>
      <c r="Z157" s="1047"/>
      <c r="AA157" s="1047"/>
      <c r="AB157" s="142"/>
      <c r="AC157" s="142"/>
      <c r="AD157" s="142"/>
      <c r="AE157" s="142"/>
      <c r="AF157" s="142"/>
      <c r="AG157" s="142"/>
      <c r="AH157" s="142"/>
      <c r="AI157" s="1068"/>
      <c r="AJ157" s="1068"/>
      <c r="AK157" s="1068"/>
    </row>
    <row r="158" spans="1:37" s="1024" customFormat="1">
      <c r="A158" s="1044"/>
      <c r="B158" s="1044"/>
      <c r="C158" s="1044"/>
      <c r="D158" s="142"/>
      <c r="E158" s="142"/>
      <c r="F158" s="142"/>
      <c r="G158" s="1047"/>
      <c r="H158" s="1047"/>
      <c r="I158" s="1053"/>
      <c r="J158" s="1047"/>
      <c r="K158" s="1047"/>
      <c r="L158" s="1047"/>
      <c r="M158" s="1047"/>
      <c r="N158" s="1047"/>
      <c r="O158" s="1047"/>
      <c r="P158" s="1053"/>
      <c r="Q158" s="1047"/>
      <c r="R158" s="1047"/>
      <c r="S158" s="1047"/>
      <c r="T158" s="1047"/>
      <c r="U158" s="1047"/>
      <c r="V158" s="1047"/>
      <c r="W158" s="1047"/>
      <c r="X158" s="1047"/>
      <c r="Y158" s="1047"/>
      <c r="Z158" s="1047"/>
      <c r="AA158" s="1047"/>
      <c r="AB158" s="142"/>
      <c r="AC158" s="142"/>
      <c r="AD158" s="142"/>
      <c r="AE158" s="142"/>
      <c r="AF158" s="142"/>
      <c r="AG158" s="142"/>
      <c r="AH158" s="142"/>
      <c r="AI158" s="1068"/>
      <c r="AJ158" s="1068"/>
      <c r="AK158" s="1068"/>
    </row>
    <row r="159" spans="1:37" s="1024" customFormat="1">
      <c r="A159" s="1044"/>
      <c r="B159" s="1044"/>
      <c r="C159" s="1044"/>
      <c r="D159" s="142"/>
      <c r="E159" s="142"/>
      <c r="F159" s="142"/>
      <c r="G159" s="1047"/>
      <c r="H159" s="1047"/>
      <c r="I159" s="1053"/>
      <c r="J159" s="1047"/>
      <c r="K159" s="1047"/>
      <c r="L159" s="1047"/>
      <c r="M159" s="1047"/>
      <c r="N159" s="1047"/>
      <c r="O159" s="1047"/>
      <c r="P159" s="1053"/>
      <c r="Q159" s="1047"/>
      <c r="R159" s="1047"/>
      <c r="S159" s="1047"/>
      <c r="T159" s="1047"/>
      <c r="U159" s="1047"/>
      <c r="V159" s="1047"/>
      <c r="W159" s="1047"/>
      <c r="X159" s="1047"/>
      <c r="Y159" s="1047"/>
      <c r="Z159" s="1047"/>
      <c r="AA159" s="1047"/>
      <c r="AB159" s="142"/>
      <c r="AC159" s="142"/>
      <c r="AD159" s="142"/>
      <c r="AE159" s="142"/>
      <c r="AF159" s="142"/>
      <c r="AG159" s="142"/>
      <c r="AH159" s="142"/>
      <c r="AI159" s="1068"/>
      <c r="AJ159" s="1068"/>
      <c r="AK159" s="1068"/>
    </row>
    <row r="160" spans="1:37" s="1024" customFormat="1">
      <c r="A160" s="1044"/>
      <c r="B160" s="1044"/>
      <c r="C160" s="1044"/>
      <c r="D160" s="142"/>
      <c r="E160" s="142"/>
      <c r="F160" s="142"/>
      <c r="G160" s="1047"/>
      <c r="H160" s="1047"/>
      <c r="I160" s="1053"/>
      <c r="J160" s="1047"/>
      <c r="K160" s="1047"/>
      <c r="L160" s="1047"/>
      <c r="M160" s="1047"/>
      <c r="N160" s="1047"/>
      <c r="O160" s="1047"/>
      <c r="P160" s="1053"/>
      <c r="Q160" s="1047"/>
      <c r="R160" s="1047"/>
      <c r="S160" s="1047"/>
      <c r="T160" s="1047"/>
      <c r="U160" s="1047"/>
      <c r="V160" s="1047"/>
      <c r="W160" s="1047"/>
      <c r="X160" s="1047"/>
      <c r="Y160" s="1047"/>
      <c r="Z160" s="1047"/>
      <c r="AA160" s="1047"/>
      <c r="AB160" s="142"/>
      <c r="AC160" s="142"/>
      <c r="AD160" s="142"/>
      <c r="AE160" s="142"/>
      <c r="AF160" s="142"/>
      <c r="AG160" s="142"/>
      <c r="AH160" s="142"/>
      <c r="AI160" s="1068"/>
      <c r="AJ160" s="1068"/>
      <c r="AK160" s="1068"/>
    </row>
    <row r="161" spans="1:37" s="1024" customFormat="1">
      <c r="A161" s="1044"/>
      <c r="B161" s="1044"/>
      <c r="C161" s="1044"/>
      <c r="D161" s="142"/>
      <c r="E161" s="142"/>
      <c r="F161" s="142"/>
      <c r="G161" s="1047"/>
      <c r="H161" s="1047"/>
      <c r="I161" s="1053"/>
      <c r="J161" s="1047"/>
      <c r="K161" s="1047"/>
      <c r="L161" s="1047"/>
      <c r="M161" s="1047"/>
      <c r="N161" s="1047"/>
      <c r="O161" s="1047"/>
      <c r="P161" s="1053"/>
      <c r="Q161" s="1047"/>
      <c r="R161" s="1047"/>
      <c r="S161" s="1047"/>
      <c r="T161" s="1047"/>
      <c r="U161" s="1047"/>
      <c r="V161" s="1047"/>
      <c r="W161" s="1047"/>
      <c r="X161" s="1047"/>
      <c r="Y161" s="1047"/>
      <c r="Z161" s="1047"/>
      <c r="AA161" s="1047"/>
      <c r="AB161" s="142"/>
      <c r="AC161" s="142"/>
      <c r="AD161" s="142"/>
      <c r="AE161" s="142"/>
      <c r="AF161" s="142"/>
      <c r="AG161" s="142"/>
      <c r="AH161" s="142"/>
      <c r="AI161" s="1068"/>
      <c r="AJ161" s="1068"/>
      <c r="AK161" s="1068"/>
    </row>
    <row r="162" spans="1:37" s="1024" customFormat="1">
      <c r="A162" s="1044"/>
      <c r="B162" s="1044"/>
      <c r="C162" s="1044"/>
      <c r="D162" s="142"/>
      <c r="E162" s="142"/>
      <c r="F162" s="142"/>
      <c r="G162" s="1047"/>
      <c r="H162" s="1047"/>
      <c r="I162" s="1053"/>
      <c r="J162" s="1047"/>
      <c r="K162" s="1047"/>
      <c r="L162" s="1047"/>
      <c r="M162" s="1047"/>
      <c r="N162" s="1047"/>
      <c r="O162" s="1047"/>
      <c r="P162" s="1053"/>
      <c r="Q162" s="1047"/>
      <c r="R162" s="1047"/>
      <c r="S162" s="1047"/>
      <c r="T162" s="1047"/>
      <c r="U162" s="1047"/>
      <c r="V162" s="1047"/>
      <c r="W162" s="1047"/>
      <c r="X162" s="1047"/>
      <c r="Y162" s="1047"/>
      <c r="Z162" s="1047"/>
      <c r="AA162" s="1047"/>
      <c r="AB162" s="142"/>
      <c r="AC162" s="142"/>
      <c r="AD162" s="142"/>
      <c r="AE162" s="142"/>
      <c r="AF162" s="142"/>
      <c r="AG162" s="142"/>
      <c r="AH162" s="142"/>
      <c r="AI162" s="1068"/>
      <c r="AJ162" s="1068"/>
      <c r="AK162" s="1068"/>
    </row>
    <row r="163" spans="1:37" s="1024" customFormat="1">
      <c r="A163" s="1044"/>
      <c r="B163" s="1044"/>
      <c r="C163" s="1044"/>
      <c r="D163" s="142"/>
      <c r="E163" s="142"/>
      <c r="F163" s="142"/>
      <c r="G163" s="1047"/>
      <c r="H163" s="1047"/>
      <c r="I163" s="1053"/>
      <c r="J163" s="1047"/>
      <c r="K163" s="1047"/>
      <c r="L163" s="1047"/>
      <c r="M163" s="1047"/>
      <c r="N163" s="1047"/>
      <c r="O163" s="1047"/>
      <c r="P163" s="1053"/>
      <c r="Q163" s="1047"/>
      <c r="R163" s="1047"/>
      <c r="S163" s="1047"/>
      <c r="T163" s="1047"/>
      <c r="U163" s="1047"/>
      <c r="V163" s="1047"/>
      <c r="W163" s="1047"/>
      <c r="X163" s="1047"/>
      <c r="Y163" s="1047"/>
      <c r="Z163" s="1047"/>
      <c r="AA163" s="1047"/>
      <c r="AB163" s="142"/>
      <c r="AC163" s="142"/>
      <c r="AD163" s="142"/>
      <c r="AE163" s="142"/>
      <c r="AF163" s="142"/>
      <c r="AG163" s="142"/>
      <c r="AH163" s="142"/>
      <c r="AI163" s="1068"/>
      <c r="AJ163" s="1068"/>
      <c r="AK163" s="1068"/>
    </row>
    <row r="164" spans="1:37" s="1024" customFormat="1">
      <c r="A164" s="1044"/>
      <c r="B164" s="1044"/>
      <c r="C164" s="1044"/>
      <c r="D164" s="142"/>
      <c r="E164" s="142"/>
      <c r="F164" s="142"/>
      <c r="G164" s="1047"/>
      <c r="H164" s="1047"/>
      <c r="I164" s="1053"/>
      <c r="J164" s="1047"/>
      <c r="K164" s="1047"/>
      <c r="L164" s="1047"/>
      <c r="M164" s="1047"/>
      <c r="N164" s="1047"/>
      <c r="O164" s="1047"/>
      <c r="P164" s="1053"/>
      <c r="Q164" s="1047"/>
      <c r="R164" s="1047"/>
      <c r="S164" s="1047"/>
      <c r="T164" s="1047"/>
      <c r="U164" s="1047"/>
      <c r="V164" s="1047"/>
      <c r="W164" s="1047"/>
      <c r="X164" s="1047"/>
      <c r="Y164" s="1047"/>
      <c r="Z164" s="1047"/>
      <c r="AA164" s="1047"/>
      <c r="AB164" s="142"/>
      <c r="AC164" s="142"/>
      <c r="AD164" s="142"/>
      <c r="AE164" s="142"/>
      <c r="AF164" s="142"/>
      <c r="AG164" s="142"/>
      <c r="AH164" s="142"/>
      <c r="AI164" s="1068"/>
      <c r="AJ164" s="1068"/>
      <c r="AK164" s="1068"/>
    </row>
    <row r="165" spans="1:37" s="1024" customFormat="1">
      <c r="A165" s="1044"/>
      <c r="B165" s="1044"/>
      <c r="C165" s="1044"/>
      <c r="D165" s="142"/>
      <c r="E165" s="142"/>
      <c r="F165" s="142"/>
      <c r="G165" s="1047"/>
      <c r="H165" s="1047"/>
      <c r="I165" s="1053"/>
      <c r="J165" s="1047"/>
      <c r="K165" s="1047"/>
      <c r="L165" s="1047"/>
      <c r="M165" s="1047"/>
      <c r="N165" s="1047"/>
      <c r="O165" s="1047"/>
      <c r="P165" s="1053"/>
      <c r="Q165" s="1047"/>
      <c r="R165" s="1047"/>
      <c r="S165" s="1047"/>
      <c r="T165" s="1047"/>
      <c r="U165" s="1047"/>
      <c r="V165" s="1047"/>
      <c r="W165" s="1047"/>
      <c r="X165" s="1047"/>
      <c r="Y165" s="1047"/>
      <c r="Z165" s="1047"/>
      <c r="AA165" s="1047"/>
      <c r="AB165" s="142"/>
      <c r="AC165" s="142"/>
      <c r="AD165" s="142"/>
      <c r="AE165" s="142"/>
      <c r="AF165" s="142"/>
      <c r="AG165" s="142"/>
      <c r="AH165" s="142"/>
      <c r="AI165" s="1068"/>
      <c r="AJ165" s="1068"/>
      <c r="AK165" s="1068"/>
    </row>
    <row r="166" spans="1:37" s="1024" customFormat="1">
      <c r="A166" s="1044"/>
      <c r="B166" s="1044"/>
      <c r="C166" s="1044"/>
      <c r="D166" s="142"/>
      <c r="E166" s="142"/>
      <c r="F166" s="142"/>
      <c r="G166" s="1047"/>
      <c r="H166" s="1047"/>
      <c r="I166" s="1053"/>
      <c r="J166" s="1047"/>
      <c r="K166" s="1047"/>
      <c r="L166" s="1047"/>
      <c r="M166" s="1047"/>
      <c r="N166" s="1047"/>
      <c r="O166" s="1047"/>
      <c r="P166" s="1053"/>
      <c r="Q166" s="1047"/>
      <c r="R166" s="1047"/>
      <c r="S166" s="1047"/>
      <c r="T166" s="1047"/>
      <c r="U166" s="1047"/>
      <c r="V166" s="1047"/>
      <c r="W166" s="1047"/>
      <c r="X166" s="1047"/>
      <c r="Y166" s="1047"/>
      <c r="Z166" s="1047"/>
      <c r="AA166" s="1047"/>
      <c r="AB166" s="142"/>
      <c r="AC166" s="142"/>
      <c r="AD166" s="142"/>
      <c r="AE166" s="142"/>
      <c r="AF166" s="142"/>
      <c r="AG166" s="142"/>
      <c r="AH166" s="142"/>
      <c r="AI166" s="1068"/>
      <c r="AJ166" s="1068"/>
      <c r="AK166" s="1068"/>
    </row>
    <row r="167" spans="1:37" s="1024" customFormat="1">
      <c r="A167" s="1044"/>
      <c r="B167" s="1044"/>
      <c r="C167" s="1044"/>
      <c r="D167" s="142"/>
      <c r="E167" s="142"/>
      <c r="F167" s="142"/>
      <c r="G167" s="1047"/>
      <c r="H167" s="1047"/>
      <c r="I167" s="1053"/>
      <c r="J167" s="1047"/>
      <c r="K167" s="1047"/>
      <c r="L167" s="1047"/>
      <c r="M167" s="1047"/>
      <c r="N167" s="1047"/>
      <c r="O167" s="1047"/>
      <c r="P167" s="1053"/>
      <c r="Q167" s="1047"/>
      <c r="R167" s="1047"/>
      <c r="S167" s="1047"/>
      <c r="T167" s="1047"/>
      <c r="U167" s="1047"/>
      <c r="V167" s="1047"/>
      <c r="W167" s="1047"/>
      <c r="X167" s="1047"/>
      <c r="Y167" s="1047"/>
      <c r="Z167" s="1047"/>
      <c r="AA167" s="1047"/>
      <c r="AB167" s="142"/>
      <c r="AC167" s="142"/>
      <c r="AD167" s="142"/>
      <c r="AE167" s="142"/>
      <c r="AF167" s="142"/>
      <c r="AG167" s="142"/>
      <c r="AH167" s="142"/>
      <c r="AI167" s="1068"/>
      <c r="AJ167" s="1068"/>
      <c r="AK167" s="1068"/>
    </row>
    <row r="168" spans="1:37" s="1024" customFormat="1">
      <c r="A168" s="1044"/>
      <c r="B168" s="1044"/>
      <c r="C168" s="1044"/>
      <c r="D168" s="142"/>
      <c r="E168" s="142"/>
      <c r="F168" s="142"/>
      <c r="G168" s="1047"/>
      <c r="H168" s="1047"/>
      <c r="I168" s="1053"/>
      <c r="J168" s="1047"/>
      <c r="K168" s="1047"/>
      <c r="L168" s="1047"/>
      <c r="M168" s="1047"/>
      <c r="N168" s="1047"/>
      <c r="O168" s="1047"/>
      <c r="P168" s="1053"/>
      <c r="Q168" s="1047"/>
      <c r="R168" s="1047"/>
      <c r="S168" s="1047"/>
      <c r="T168" s="1047"/>
      <c r="U168" s="1047"/>
      <c r="V168" s="1047"/>
      <c r="W168" s="1047"/>
      <c r="X168" s="1047"/>
      <c r="Y168" s="1047"/>
      <c r="Z168" s="1047"/>
      <c r="AA168" s="1047"/>
      <c r="AB168" s="142"/>
      <c r="AC168" s="142"/>
      <c r="AD168" s="142"/>
      <c r="AE168" s="142"/>
      <c r="AF168" s="142"/>
      <c r="AG168" s="142"/>
      <c r="AH168" s="142"/>
      <c r="AI168" s="1068"/>
      <c r="AJ168" s="1068"/>
      <c r="AK168" s="1068"/>
    </row>
    <row r="169" spans="1:37" s="1024" customFormat="1">
      <c r="A169" s="1044"/>
      <c r="B169" s="1044"/>
      <c r="C169" s="1044"/>
      <c r="D169" s="142"/>
      <c r="E169" s="142"/>
      <c r="F169" s="142"/>
      <c r="G169" s="1047"/>
      <c r="H169" s="1047"/>
      <c r="I169" s="1053"/>
      <c r="J169" s="1047"/>
      <c r="K169" s="1047"/>
      <c r="L169" s="1047"/>
      <c r="M169" s="1047"/>
      <c r="N169" s="1047"/>
      <c r="O169" s="1047"/>
      <c r="P169" s="1053"/>
      <c r="Q169" s="1047"/>
      <c r="R169" s="1047"/>
      <c r="S169" s="1047"/>
      <c r="T169" s="1047"/>
      <c r="U169" s="1047"/>
      <c r="V169" s="1047"/>
      <c r="W169" s="1047"/>
      <c r="X169" s="1047"/>
      <c r="Y169" s="1047"/>
      <c r="Z169" s="1047"/>
      <c r="AA169" s="1047"/>
      <c r="AB169" s="142"/>
      <c r="AC169" s="142"/>
      <c r="AD169" s="142"/>
      <c r="AE169" s="142"/>
      <c r="AF169" s="142"/>
      <c r="AG169" s="142"/>
      <c r="AH169" s="142"/>
      <c r="AI169" s="1068"/>
      <c r="AJ169" s="1068"/>
      <c r="AK169" s="1068"/>
    </row>
    <row r="170" spans="1:37" s="1024" customFormat="1">
      <c r="A170" s="1044"/>
      <c r="B170" s="1044"/>
      <c r="C170" s="1044"/>
      <c r="D170" s="142"/>
      <c r="E170" s="142"/>
      <c r="F170" s="142"/>
      <c r="G170" s="1047"/>
      <c r="H170" s="1047"/>
      <c r="I170" s="1053"/>
      <c r="J170" s="1047"/>
      <c r="K170" s="1047"/>
      <c r="L170" s="1047"/>
      <c r="M170" s="1047"/>
      <c r="N170" s="1047"/>
      <c r="O170" s="1047"/>
      <c r="P170" s="1053"/>
      <c r="Q170" s="1047"/>
      <c r="R170" s="1047"/>
      <c r="S170" s="1047"/>
      <c r="T170" s="1047"/>
      <c r="U170" s="1047"/>
      <c r="V170" s="1047"/>
      <c r="W170" s="1047"/>
      <c r="X170" s="1047"/>
      <c r="Y170" s="1047"/>
      <c r="Z170" s="1047"/>
      <c r="AA170" s="1047"/>
      <c r="AB170" s="142"/>
      <c r="AC170" s="142"/>
      <c r="AD170" s="142"/>
      <c r="AE170" s="142"/>
      <c r="AF170" s="142"/>
      <c r="AG170" s="142"/>
      <c r="AH170" s="142"/>
      <c r="AI170" s="1068"/>
      <c r="AJ170" s="1068"/>
      <c r="AK170" s="1068"/>
    </row>
    <row r="171" spans="1:37" s="1024" customFormat="1">
      <c r="A171" s="1044"/>
      <c r="B171" s="1044"/>
      <c r="C171" s="1044"/>
      <c r="D171" s="142"/>
      <c r="E171" s="142"/>
      <c r="F171" s="142"/>
      <c r="G171" s="1047"/>
      <c r="H171" s="1047"/>
      <c r="I171" s="1053"/>
      <c r="J171" s="1047"/>
      <c r="K171" s="1047"/>
      <c r="L171" s="1047"/>
      <c r="M171" s="1047"/>
      <c r="N171" s="1047"/>
      <c r="O171" s="1047"/>
      <c r="P171" s="1053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42"/>
      <c r="AC171" s="142"/>
      <c r="AD171" s="142"/>
      <c r="AE171" s="142"/>
      <c r="AF171" s="142"/>
      <c r="AG171" s="142"/>
      <c r="AH171" s="142"/>
      <c r="AI171" s="1068"/>
      <c r="AJ171" s="1068"/>
      <c r="AK171" s="1068"/>
    </row>
    <row r="172" spans="1:37" s="1024" customFormat="1">
      <c r="A172" s="1044"/>
      <c r="B172" s="1044"/>
      <c r="C172" s="1044"/>
      <c r="D172" s="142"/>
      <c r="E172" s="142"/>
      <c r="F172" s="142"/>
      <c r="G172" s="1047"/>
      <c r="H172" s="1047"/>
      <c r="I172" s="1053"/>
      <c r="J172" s="1047"/>
      <c r="K172" s="1047"/>
      <c r="L172" s="1047"/>
      <c r="M172" s="1047"/>
      <c r="N172" s="1047"/>
      <c r="O172" s="1047"/>
      <c r="P172" s="1053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42"/>
      <c r="AC172" s="142"/>
      <c r="AD172" s="142"/>
      <c r="AE172" s="142"/>
      <c r="AF172" s="142"/>
      <c r="AG172" s="142"/>
      <c r="AH172" s="142"/>
      <c r="AI172" s="1068"/>
      <c r="AJ172" s="1068"/>
      <c r="AK172" s="1068"/>
    </row>
    <row r="173" spans="1:37" s="1024" customFormat="1">
      <c r="A173" s="1044"/>
      <c r="B173" s="1044"/>
      <c r="C173" s="1044"/>
      <c r="D173" s="142"/>
      <c r="E173" s="142"/>
      <c r="F173" s="142"/>
      <c r="G173" s="1047"/>
      <c r="H173" s="1047"/>
      <c r="I173" s="1053"/>
      <c r="J173" s="1047"/>
      <c r="K173" s="1047"/>
      <c r="L173" s="1047"/>
      <c r="M173" s="1047"/>
      <c r="N173" s="1047"/>
      <c r="O173" s="1047"/>
      <c r="P173" s="1053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42"/>
      <c r="AC173" s="142"/>
      <c r="AD173" s="142"/>
      <c r="AE173" s="142"/>
      <c r="AF173" s="142"/>
      <c r="AG173" s="142"/>
      <c r="AH173" s="142"/>
      <c r="AI173" s="1068"/>
      <c r="AJ173" s="1068"/>
      <c r="AK173" s="1068"/>
    </row>
    <row r="174" spans="1:37" s="1024" customFormat="1">
      <c r="A174" s="1044"/>
      <c r="B174" s="1044"/>
      <c r="C174" s="1044"/>
      <c r="D174" s="142"/>
      <c r="E174" s="142"/>
      <c r="F174" s="142"/>
      <c r="G174" s="1047"/>
      <c r="H174" s="1047"/>
      <c r="I174" s="1053"/>
      <c r="J174" s="1047"/>
      <c r="K174" s="1047"/>
      <c r="L174" s="1047"/>
      <c r="M174" s="1047"/>
      <c r="N174" s="1047"/>
      <c r="O174" s="1047"/>
      <c r="P174" s="1053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42"/>
      <c r="AC174" s="142"/>
      <c r="AD174" s="142"/>
      <c r="AE174" s="142"/>
      <c r="AF174" s="142"/>
      <c r="AG174" s="142"/>
      <c r="AH174" s="142"/>
      <c r="AI174" s="1068"/>
      <c r="AJ174" s="1068"/>
      <c r="AK174" s="1068"/>
    </row>
    <row r="175" spans="1:37" s="1024" customFormat="1">
      <c r="A175" s="1044"/>
      <c r="B175" s="1044"/>
      <c r="C175" s="1044"/>
      <c r="D175" s="142"/>
      <c r="E175" s="142"/>
      <c r="F175" s="142"/>
      <c r="G175" s="1047"/>
      <c r="H175" s="1047"/>
      <c r="I175" s="1053"/>
      <c r="J175" s="1047"/>
      <c r="K175" s="1047"/>
      <c r="L175" s="1047"/>
      <c r="M175" s="1047"/>
      <c r="N175" s="1047"/>
      <c r="O175" s="1047"/>
      <c r="P175" s="1053"/>
      <c r="Q175" s="1047"/>
      <c r="R175" s="1047"/>
      <c r="S175" s="1047"/>
      <c r="T175" s="1047"/>
      <c r="U175" s="1047"/>
      <c r="V175" s="1047"/>
      <c r="W175" s="1047"/>
      <c r="X175" s="1047"/>
      <c r="Y175" s="1047"/>
      <c r="Z175" s="1047"/>
      <c r="AA175" s="1047"/>
      <c r="AB175" s="142"/>
      <c r="AC175" s="142"/>
      <c r="AD175" s="142"/>
      <c r="AE175" s="142"/>
      <c r="AF175" s="142"/>
      <c r="AG175" s="142"/>
      <c r="AH175" s="142"/>
      <c r="AI175" s="1068"/>
      <c r="AJ175" s="1068"/>
      <c r="AK175" s="1068"/>
    </row>
    <row r="176" spans="1:37" s="1024" customFormat="1">
      <c r="A176" s="1044"/>
      <c r="B176" s="1044"/>
      <c r="C176" s="1044"/>
      <c r="D176" s="142"/>
      <c r="E176" s="142"/>
      <c r="F176" s="142"/>
      <c r="G176" s="1047"/>
      <c r="H176" s="1047"/>
      <c r="I176" s="1053"/>
      <c r="J176" s="1047"/>
      <c r="K176" s="1047"/>
      <c r="L176" s="1047"/>
      <c r="M176" s="1047"/>
      <c r="N176" s="1047"/>
      <c r="O176" s="1047"/>
      <c r="P176" s="1053"/>
      <c r="Q176" s="1047"/>
      <c r="R176" s="1047"/>
      <c r="S176" s="1047"/>
      <c r="T176" s="1047"/>
      <c r="U176" s="1047"/>
      <c r="V176" s="1047"/>
      <c r="W176" s="1047"/>
      <c r="X176" s="1047"/>
      <c r="Y176" s="1047"/>
      <c r="Z176" s="1047"/>
      <c r="AA176" s="1047"/>
      <c r="AB176" s="142"/>
      <c r="AC176" s="142"/>
      <c r="AD176" s="142"/>
      <c r="AE176" s="142"/>
      <c r="AF176" s="142"/>
      <c r="AG176" s="142"/>
      <c r="AH176" s="142"/>
      <c r="AI176" s="1068"/>
      <c r="AJ176" s="1068"/>
      <c r="AK176" s="1068"/>
    </row>
    <row r="177" spans="1:37" s="1024" customFormat="1">
      <c r="A177" s="1044"/>
      <c r="B177" s="1044"/>
      <c r="C177" s="1044"/>
      <c r="D177" s="142"/>
      <c r="E177" s="142"/>
      <c r="F177" s="142"/>
      <c r="G177" s="1047"/>
      <c r="H177" s="1047"/>
      <c r="I177" s="1053"/>
      <c r="J177" s="1047"/>
      <c r="K177" s="1047"/>
      <c r="L177" s="1047"/>
      <c r="M177" s="1047"/>
      <c r="N177" s="1047"/>
      <c r="O177" s="1047"/>
      <c r="P177" s="1053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42"/>
      <c r="AC177" s="142"/>
      <c r="AD177" s="142"/>
      <c r="AE177" s="142"/>
      <c r="AF177" s="142"/>
      <c r="AG177" s="142"/>
      <c r="AH177" s="142"/>
      <c r="AI177" s="1068"/>
      <c r="AJ177" s="1068"/>
      <c r="AK177" s="1068"/>
    </row>
    <row r="178" spans="1:37" s="1024" customFormat="1">
      <c r="A178" s="1044"/>
      <c r="B178" s="1044"/>
      <c r="C178" s="1044"/>
      <c r="D178" s="142"/>
      <c r="E178" s="142"/>
      <c r="F178" s="142"/>
      <c r="G178" s="1047"/>
      <c r="H178" s="1047"/>
      <c r="I178" s="1053"/>
      <c r="J178" s="1047"/>
      <c r="K178" s="1047"/>
      <c r="L178" s="1047"/>
      <c r="M178" s="1047"/>
      <c r="N178" s="1047"/>
      <c r="O178" s="1047"/>
      <c r="P178" s="1053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42"/>
      <c r="AC178" s="142"/>
      <c r="AD178" s="142"/>
      <c r="AE178" s="142"/>
      <c r="AF178" s="142"/>
      <c r="AG178" s="142"/>
      <c r="AH178" s="142"/>
      <c r="AI178" s="1068"/>
      <c r="AJ178" s="1068"/>
      <c r="AK178" s="1068"/>
    </row>
    <row r="179" spans="1:37" s="1024" customFormat="1">
      <c r="A179" s="1044"/>
      <c r="B179" s="1044"/>
      <c r="C179" s="1044"/>
      <c r="D179" s="142"/>
      <c r="E179" s="142"/>
      <c r="F179" s="142"/>
      <c r="G179" s="1047"/>
      <c r="H179" s="1047"/>
      <c r="I179" s="1053"/>
      <c r="J179" s="1047"/>
      <c r="K179" s="1047"/>
      <c r="L179" s="1047"/>
      <c r="M179" s="1047"/>
      <c r="N179" s="1047"/>
      <c r="O179" s="1047"/>
      <c r="P179" s="1053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42"/>
      <c r="AC179" s="142"/>
      <c r="AD179" s="142"/>
      <c r="AE179" s="142"/>
      <c r="AF179" s="142"/>
      <c r="AG179" s="142"/>
      <c r="AH179" s="142"/>
      <c r="AI179" s="1068"/>
      <c r="AJ179" s="1068"/>
      <c r="AK179" s="1068"/>
    </row>
    <row r="180" spans="1:37" s="1024" customFormat="1">
      <c r="A180" s="1044"/>
      <c r="B180" s="1044"/>
      <c r="C180" s="1044"/>
      <c r="D180" s="142"/>
      <c r="E180" s="142"/>
      <c r="F180" s="142"/>
      <c r="G180" s="1047"/>
      <c r="H180" s="1047"/>
      <c r="I180" s="1053"/>
      <c r="J180" s="1047"/>
      <c r="K180" s="1047"/>
      <c r="L180" s="1047"/>
      <c r="M180" s="1047"/>
      <c r="N180" s="1047"/>
      <c r="O180" s="1047"/>
      <c r="P180" s="1053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42"/>
      <c r="AC180" s="142"/>
      <c r="AD180" s="142"/>
      <c r="AE180" s="142"/>
      <c r="AF180" s="142"/>
      <c r="AG180" s="142"/>
      <c r="AH180" s="142"/>
      <c r="AI180" s="1068"/>
      <c r="AJ180" s="1068"/>
      <c r="AK180" s="1068"/>
    </row>
    <row r="181" spans="1:37" s="1024" customFormat="1">
      <c r="A181" s="1044"/>
      <c r="B181" s="1044"/>
      <c r="C181" s="1044"/>
      <c r="D181" s="142"/>
      <c r="E181" s="142"/>
      <c r="F181" s="142"/>
      <c r="G181" s="1047"/>
      <c r="H181" s="1047"/>
      <c r="I181" s="1053"/>
      <c r="J181" s="1047"/>
      <c r="K181" s="1047"/>
      <c r="L181" s="1047"/>
      <c r="M181" s="1047"/>
      <c r="N181" s="1047"/>
      <c r="O181" s="1047"/>
      <c r="P181" s="1053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42"/>
      <c r="AC181" s="142"/>
      <c r="AD181" s="142"/>
      <c r="AE181" s="142"/>
      <c r="AF181" s="142"/>
      <c r="AG181" s="142"/>
      <c r="AH181" s="142"/>
      <c r="AI181" s="1068"/>
      <c r="AJ181" s="1068"/>
      <c r="AK181" s="1068"/>
    </row>
    <row r="182" spans="1:37" s="1024" customFormat="1">
      <c r="A182" s="1044"/>
      <c r="B182" s="1044"/>
      <c r="C182" s="1044"/>
      <c r="D182" s="142"/>
      <c r="E182" s="142"/>
      <c r="F182" s="142"/>
      <c r="G182" s="1047"/>
      <c r="H182" s="1047"/>
      <c r="I182" s="1053"/>
      <c r="J182" s="1047"/>
      <c r="K182" s="1047"/>
      <c r="L182" s="1047"/>
      <c r="M182" s="1047"/>
      <c r="N182" s="1047"/>
      <c r="O182" s="1047"/>
      <c r="P182" s="1053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42"/>
      <c r="AC182" s="142"/>
      <c r="AD182" s="142"/>
      <c r="AE182" s="142"/>
      <c r="AF182" s="142"/>
      <c r="AG182" s="142"/>
      <c r="AH182" s="142"/>
      <c r="AI182" s="1068"/>
      <c r="AJ182" s="1068"/>
      <c r="AK182" s="1068"/>
    </row>
    <row r="183" spans="1:37" s="1024" customFormat="1">
      <c r="A183" s="1044"/>
      <c r="B183" s="1044"/>
      <c r="C183" s="1044"/>
      <c r="D183" s="142"/>
      <c r="E183" s="142"/>
      <c r="F183" s="142"/>
      <c r="G183" s="1047"/>
      <c r="H183" s="1047"/>
      <c r="I183" s="1053"/>
      <c r="J183" s="1047"/>
      <c r="K183" s="1047"/>
      <c r="L183" s="1047"/>
      <c r="M183" s="1047"/>
      <c r="N183" s="1047"/>
      <c r="O183" s="1047"/>
      <c r="P183" s="1053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42"/>
      <c r="AC183" s="142"/>
      <c r="AD183" s="142"/>
      <c r="AE183" s="142"/>
      <c r="AF183" s="142"/>
      <c r="AG183" s="142"/>
      <c r="AH183" s="142"/>
      <c r="AI183" s="1068"/>
      <c r="AJ183" s="1068"/>
      <c r="AK183" s="1068"/>
    </row>
    <row r="184" spans="1:37" s="1024" customFormat="1">
      <c r="A184" s="1044"/>
      <c r="B184" s="1044"/>
      <c r="C184" s="1044"/>
      <c r="D184" s="142"/>
      <c r="E184" s="142"/>
      <c r="F184" s="142"/>
      <c r="G184" s="1047"/>
      <c r="H184" s="1047"/>
      <c r="I184" s="1053"/>
      <c r="J184" s="1047"/>
      <c r="K184" s="1047"/>
      <c r="L184" s="1047"/>
      <c r="M184" s="1047"/>
      <c r="N184" s="1047"/>
      <c r="O184" s="1047"/>
      <c r="P184" s="1053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42"/>
      <c r="AC184" s="142"/>
      <c r="AD184" s="142"/>
      <c r="AE184" s="142"/>
      <c r="AF184" s="142"/>
      <c r="AG184" s="142"/>
      <c r="AH184" s="142"/>
      <c r="AI184" s="1068"/>
      <c r="AJ184" s="1068"/>
      <c r="AK184" s="1068"/>
    </row>
    <row r="185" spans="1:37" s="1024" customFormat="1">
      <c r="A185" s="1044"/>
      <c r="B185" s="1044"/>
      <c r="C185" s="1044"/>
      <c r="D185" s="142"/>
      <c r="E185" s="142"/>
      <c r="F185" s="142"/>
      <c r="G185" s="1047"/>
      <c r="H185" s="1047"/>
      <c r="I185" s="1053"/>
      <c r="J185" s="1047"/>
      <c r="K185" s="1047"/>
      <c r="L185" s="1047"/>
      <c r="M185" s="1047"/>
      <c r="N185" s="1047"/>
      <c r="O185" s="1047"/>
      <c r="P185" s="1053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42"/>
      <c r="AC185" s="142"/>
      <c r="AD185" s="142"/>
      <c r="AE185" s="142"/>
      <c r="AF185" s="142"/>
      <c r="AG185" s="142"/>
      <c r="AH185" s="142"/>
      <c r="AI185" s="1068"/>
      <c r="AJ185" s="1068"/>
      <c r="AK185" s="1068"/>
    </row>
    <row r="186" spans="1:37" s="1024" customFormat="1">
      <c r="A186" s="1044"/>
      <c r="B186" s="1044"/>
      <c r="C186" s="1044"/>
      <c r="D186" s="142"/>
      <c r="E186" s="142"/>
      <c r="F186" s="142"/>
      <c r="G186" s="1047"/>
      <c r="H186" s="1047"/>
      <c r="I186" s="1053"/>
      <c r="J186" s="1047"/>
      <c r="K186" s="1047"/>
      <c r="L186" s="1047"/>
      <c r="M186" s="1047"/>
      <c r="N186" s="1047"/>
      <c r="O186" s="1047"/>
      <c r="P186" s="1053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42"/>
      <c r="AC186" s="142"/>
      <c r="AD186" s="142"/>
      <c r="AE186" s="142"/>
      <c r="AF186" s="142"/>
      <c r="AG186" s="142"/>
      <c r="AH186" s="142"/>
      <c r="AI186" s="1068"/>
      <c r="AJ186" s="1068"/>
      <c r="AK186" s="1068"/>
    </row>
    <row r="187" spans="1:37" s="1024" customFormat="1">
      <c r="A187" s="1044"/>
      <c r="B187" s="1044"/>
      <c r="C187" s="1044"/>
      <c r="D187" s="142"/>
      <c r="E187" s="142"/>
      <c r="F187" s="142"/>
      <c r="G187" s="1047"/>
      <c r="H187" s="1047"/>
      <c r="I187" s="1053"/>
      <c r="J187" s="1047"/>
      <c r="K187" s="1047"/>
      <c r="L187" s="1047"/>
      <c r="M187" s="1047"/>
      <c r="N187" s="1047"/>
      <c r="O187" s="1047"/>
      <c r="P187" s="1053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42"/>
      <c r="AC187" s="142"/>
      <c r="AD187" s="142"/>
      <c r="AE187" s="142"/>
      <c r="AF187" s="142"/>
      <c r="AG187" s="142"/>
      <c r="AH187" s="142"/>
      <c r="AI187" s="1068"/>
      <c r="AJ187" s="1068"/>
      <c r="AK187" s="1068"/>
    </row>
    <row r="188" spans="1:37" s="1024" customFormat="1">
      <c r="A188" s="1044"/>
      <c r="B188" s="1044"/>
      <c r="C188" s="1044"/>
      <c r="D188" s="142"/>
      <c r="E188" s="142"/>
      <c r="F188" s="142"/>
      <c r="G188" s="1047"/>
      <c r="H188" s="1047"/>
      <c r="I188" s="1053"/>
      <c r="J188" s="1047"/>
      <c r="K188" s="1047"/>
      <c r="L188" s="1047"/>
      <c r="M188" s="1047"/>
      <c r="N188" s="1047"/>
      <c r="O188" s="1047"/>
      <c r="P188" s="1053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42"/>
      <c r="AC188" s="142"/>
      <c r="AD188" s="142"/>
      <c r="AE188" s="142"/>
      <c r="AF188" s="142"/>
      <c r="AG188" s="142"/>
      <c r="AH188" s="142"/>
      <c r="AI188" s="1068"/>
      <c r="AJ188" s="1068"/>
      <c r="AK188" s="1068"/>
    </row>
    <row r="189" spans="1:37" s="1024" customFormat="1">
      <c r="A189" s="1044"/>
      <c r="B189" s="1044"/>
      <c r="C189" s="1044"/>
      <c r="D189" s="142"/>
      <c r="E189" s="142"/>
      <c r="F189" s="142"/>
      <c r="G189" s="1047"/>
      <c r="H189" s="1047"/>
      <c r="I189" s="1053"/>
      <c r="J189" s="1047"/>
      <c r="K189" s="1047"/>
      <c r="L189" s="1047"/>
      <c r="M189" s="1047"/>
      <c r="N189" s="1047"/>
      <c r="O189" s="1047"/>
      <c r="P189" s="1053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42"/>
      <c r="AC189" s="142"/>
      <c r="AD189" s="142"/>
      <c r="AE189" s="142"/>
      <c r="AF189" s="142"/>
      <c r="AG189" s="142"/>
      <c r="AH189" s="142"/>
      <c r="AI189" s="1068"/>
      <c r="AJ189" s="1068"/>
      <c r="AK189" s="1068"/>
    </row>
    <row r="190" spans="1:37" s="1024" customFormat="1">
      <c r="A190" s="1044"/>
      <c r="B190" s="1044"/>
      <c r="C190" s="1044"/>
      <c r="D190" s="142"/>
      <c r="E190" s="142"/>
      <c r="F190" s="142"/>
      <c r="G190" s="1047"/>
      <c r="H190" s="1047"/>
      <c r="I190" s="1053"/>
      <c r="J190" s="1047"/>
      <c r="K190" s="1047"/>
      <c r="L190" s="1047"/>
      <c r="M190" s="1047"/>
      <c r="N190" s="1047"/>
      <c r="O190" s="1047"/>
      <c r="P190" s="1053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42"/>
      <c r="AC190" s="142"/>
      <c r="AD190" s="142"/>
      <c r="AE190" s="142"/>
      <c r="AF190" s="142"/>
      <c r="AG190" s="142"/>
      <c r="AH190" s="142"/>
      <c r="AI190" s="1068"/>
      <c r="AJ190" s="1068"/>
      <c r="AK190" s="1068"/>
    </row>
    <row r="191" spans="1:37" s="1024" customFormat="1">
      <c r="A191" s="1044"/>
      <c r="B191" s="1044"/>
      <c r="C191" s="1044"/>
      <c r="D191" s="142"/>
      <c r="E191" s="142"/>
      <c r="F191" s="142"/>
      <c r="G191" s="1047"/>
      <c r="H191" s="1047"/>
      <c r="I191" s="1053"/>
      <c r="J191" s="1047"/>
      <c r="K191" s="1047"/>
      <c r="L191" s="1047"/>
      <c r="M191" s="1047"/>
      <c r="N191" s="1047"/>
      <c r="O191" s="1047"/>
      <c r="P191" s="1053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42"/>
      <c r="AC191" s="142"/>
      <c r="AD191" s="142"/>
      <c r="AE191" s="142"/>
      <c r="AF191" s="142"/>
      <c r="AG191" s="142"/>
      <c r="AH191" s="142"/>
      <c r="AI191" s="1068"/>
      <c r="AJ191" s="1068"/>
      <c r="AK191" s="1068"/>
    </row>
    <row r="192" spans="1:37" s="1024" customFormat="1">
      <c r="A192" s="1044"/>
      <c r="B192" s="1044"/>
      <c r="C192" s="1044"/>
      <c r="D192" s="142"/>
      <c r="E192" s="142"/>
      <c r="F192" s="142"/>
      <c r="G192" s="1047"/>
      <c r="H192" s="1047"/>
      <c r="I192" s="1053"/>
      <c r="J192" s="1047"/>
      <c r="K192" s="1047"/>
      <c r="L192" s="1047"/>
      <c r="M192" s="1047"/>
      <c r="N192" s="1047"/>
      <c r="O192" s="1047"/>
      <c r="P192" s="1053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42"/>
      <c r="AC192" s="142"/>
      <c r="AD192" s="142"/>
      <c r="AE192" s="142"/>
      <c r="AF192" s="142"/>
      <c r="AG192" s="142"/>
      <c r="AH192" s="142"/>
      <c r="AI192" s="1068"/>
      <c r="AJ192" s="1068"/>
      <c r="AK192" s="1068"/>
    </row>
    <row r="193" spans="1:37" s="1024" customFormat="1">
      <c r="A193" s="1044"/>
      <c r="B193" s="1044"/>
      <c r="C193" s="1044"/>
      <c r="D193" s="142"/>
      <c r="E193" s="142"/>
      <c r="F193" s="142"/>
      <c r="G193" s="1047"/>
      <c r="H193" s="1047"/>
      <c r="I193" s="1053"/>
      <c r="J193" s="1047"/>
      <c r="K193" s="1047"/>
      <c r="L193" s="1047"/>
      <c r="M193" s="1047"/>
      <c r="N193" s="1047"/>
      <c r="O193" s="1047"/>
      <c r="P193" s="1053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42"/>
      <c r="AC193" s="142"/>
      <c r="AD193" s="142"/>
      <c r="AE193" s="142"/>
      <c r="AF193" s="142"/>
      <c r="AG193" s="142"/>
      <c r="AH193" s="142"/>
      <c r="AI193" s="1068"/>
      <c r="AJ193" s="1068"/>
      <c r="AK193" s="1068"/>
    </row>
    <row r="194" spans="1:37" s="1024" customFormat="1">
      <c r="A194" s="1044"/>
      <c r="B194" s="1044"/>
      <c r="C194" s="1044"/>
      <c r="D194" s="142"/>
      <c r="E194" s="142"/>
      <c r="F194" s="142"/>
      <c r="G194" s="1047"/>
      <c r="H194" s="1047"/>
      <c r="I194" s="1053"/>
      <c r="J194" s="1047"/>
      <c r="K194" s="1047"/>
      <c r="L194" s="1047"/>
      <c r="M194" s="1047"/>
      <c r="N194" s="1047"/>
      <c r="O194" s="1047"/>
      <c r="P194" s="1053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42"/>
      <c r="AC194" s="142"/>
      <c r="AD194" s="142"/>
      <c r="AE194" s="142"/>
      <c r="AF194" s="142"/>
      <c r="AG194" s="142"/>
      <c r="AH194" s="142"/>
      <c r="AI194" s="1068"/>
      <c r="AJ194" s="1068"/>
      <c r="AK194" s="1068"/>
    </row>
    <row r="195" spans="1:37" s="1024" customFormat="1">
      <c r="A195" s="1044"/>
      <c r="B195" s="1044"/>
      <c r="C195" s="1044"/>
      <c r="D195" s="142"/>
      <c r="E195" s="142"/>
      <c r="F195" s="142"/>
      <c r="G195" s="1047"/>
      <c r="H195" s="1047"/>
      <c r="I195" s="1053"/>
      <c r="J195" s="1047"/>
      <c r="K195" s="1047"/>
      <c r="L195" s="1047"/>
      <c r="M195" s="1047"/>
      <c r="N195" s="1047"/>
      <c r="O195" s="1047"/>
      <c r="P195" s="1053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42"/>
      <c r="AC195" s="142"/>
      <c r="AD195" s="142"/>
      <c r="AE195" s="142"/>
      <c r="AF195" s="142"/>
      <c r="AG195" s="142"/>
      <c r="AH195" s="142"/>
      <c r="AI195" s="1068"/>
      <c r="AJ195" s="1068"/>
      <c r="AK195" s="1068"/>
    </row>
    <row r="196" spans="1:37" s="1024" customFormat="1">
      <c r="A196" s="1044"/>
      <c r="B196" s="1044"/>
      <c r="C196" s="1044"/>
      <c r="D196" s="142"/>
      <c r="E196" s="142"/>
      <c r="F196" s="142"/>
      <c r="G196" s="1047"/>
      <c r="H196" s="1047"/>
      <c r="I196" s="1053"/>
      <c r="J196" s="1047"/>
      <c r="K196" s="1047"/>
      <c r="L196" s="1047"/>
      <c r="M196" s="1047"/>
      <c r="N196" s="1047"/>
      <c r="O196" s="1047"/>
      <c r="P196" s="1053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42"/>
      <c r="AC196" s="142"/>
      <c r="AD196" s="142"/>
      <c r="AE196" s="142"/>
      <c r="AF196" s="142"/>
      <c r="AG196" s="142"/>
      <c r="AH196" s="142"/>
      <c r="AI196" s="1068"/>
      <c r="AJ196" s="1068"/>
      <c r="AK196" s="1068"/>
    </row>
    <row r="197" spans="1:37" s="1024" customFormat="1">
      <c r="A197" s="1044"/>
      <c r="B197" s="1044"/>
      <c r="C197" s="1044"/>
      <c r="D197" s="142"/>
      <c r="E197" s="142"/>
      <c r="F197" s="142"/>
      <c r="G197" s="1047"/>
      <c r="H197" s="1047"/>
      <c r="I197" s="1053"/>
      <c r="J197" s="1047"/>
      <c r="K197" s="1047"/>
      <c r="L197" s="1047"/>
      <c r="M197" s="1047"/>
      <c r="N197" s="1047"/>
      <c r="O197" s="1047"/>
      <c r="P197" s="1053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42"/>
      <c r="AC197" s="142"/>
      <c r="AD197" s="142"/>
      <c r="AE197" s="142"/>
      <c r="AF197" s="142"/>
      <c r="AG197" s="142"/>
      <c r="AH197" s="142"/>
      <c r="AI197" s="1068"/>
      <c r="AJ197" s="1068"/>
      <c r="AK197" s="1068"/>
    </row>
    <row r="198" spans="1:37" s="1024" customFormat="1">
      <c r="A198" s="1044"/>
      <c r="B198" s="1044"/>
      <c r="C198" s="1044"/>
      <c r="D198" s="142"/>
      <c r="E198" s="142"/>
      <c r="F198" s="142"/>
      <c r="G198" s="1047"/>
      <c r="H198" s="1047"/>
      <c r="I198" s="1053"/>
      <c r="J198" s="1047"/>
      <c r="K198" s="1047"/>
      <c r="L198" s="1047"/>
      <c r="M198" s="1047"/>
      <c r="N198" s="1047"/>
      <c r="O198" s="1047"/>
      <c r="P198" s="1053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42"/>
      <c r="AC198" s="142"/>
      <c r="AD198" s="142"/>
      <c r="AE198" s="142"/>
      <c r="AF198" s="142"/>
      <c r="AG198" s="142"/>
      <c r="AH198" s="142"/>
      <c r="AI198" s="1068"/>
      <c r="AJ198" s="1068"/>
      <c r="AK198" s="1068"/>
    </row>
    <row r="199" spans="1:37" s="1024" customFormat="1">
      <c r="A199" s="1044"/>
      <c r="B199" s="1044"/>
      <c r="C199" s="1044"/>
      <c r="D199" s="142"/>
      <c r="E199" s="142"/>
      <c r="F199" s="142"/>
      <c r="G199" s="1047"/>
      <c r="H199" s="1047"/>
      <c r="I199" s="1053"/>
      <c r="J199" s="1047"/>
      <c r="K199" s="1047"/>
      <c r="L199" s="1047"/>
      <c r="M199" s="1047"/>
      <c r="N199" s="1047"/>
      <c r="O199" s="1047"/>
      <c r="P199" s="1053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42"/>
      <c r="AC199" s="142"/>
      <c r="AD199" s="142"/>
      <c r="AE199" s="142"/>
      <c r="AF199" s="142"/>
      <c r="AG199" s="142"/>
      <c r="AH199" s="142"/>
      <c r="AI199" s="1068"/>
      <c r="AJ199" s="1068"/>
      <c r="AK199" s="1068"/>
    </row>
    <row r="200" spans="1:37" s="1024" customFormat="1">
      <c r="A200" s="1044"/>
      <c r="B200" s="1044"/>
      <c r="C200" s="1044"/>
      <c r="D200" s="142"/>
      <c r="E200" s="142"/>
      <c r="F200" s="142"/>
      <c r="G200" s="1047"/>
      <c r="H200" s="1047"/>
      <c r="I200" s="1053"/>
      <c r="J200" s="1047"/>
      <c r="K200" s="1047"/>
      <c r="L200" s="1047"/>
      <c r="M200" s="1047"/>
      <c r="N200" s="1047"/>
      <c r="O200" s="1047"/>
      <c r="P200" s="1053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42"/>
      <c r="AC200" s="142"/>
      <c r="AD200" s="142"/>
      <c r="AE200" s="142"/>
      <c r="AF200" s="142"/>
      <c r="AG200" s="142"/>
      <c r="AH200" s="142"/>
      <c r="AI200" s="1068"/>
      <c r="AJ200" s="1068"/>
      <c r="AK200" s="1068"/>
    </row>
    <row r="201" spans="1:37" s="1024" customFormat="1">
      <c r="A201" s="1044"/>
      <c r="B201" s="1044"/>
      <c r="C201" s="1044"/>
      <c r="D201" s="142"/>
      <c r="E201" s="142"/>
      <c r="F201" s="142"/>
      <c r="G201" s="1047"/>
      <c r="H201" s="1047"/>
      <c r="I201" s="1053"/>
      <c r="J201" s="1047"/>
      <c r="K201" s="1047"/>
      <c r="L201" s="1047"/>
      <c r="M201" s="1047"/>
      <c r="N201" s="1047"/>
      <c r="O201" s="1047"/>
      <c r="P201" s="1053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42"/>
      <c r="AC201" s="142"/>
      <c r="AD201" s="142"/>
      <c r="AE201" s="142"/>
      <c r="AF201" s="142"/>
      <c r="AG201" s="142"/>
      <c r="AH201" s="142"/>
      <c r="AI201" s="1068"/>
      <c r="AJ201" s="1068"/>
      <c r="AK201" s="1068"/>
    </row>
    <row r="202" spans="1:37" s="1024" customFormat="1">
      <c r="A202" s="1044"/>
      <c r="B202" s="1044"/>
      <c r="C202" s="1044"/>
      <c r="D202" s="142"/>
      <c r="E202" s="142"/>
      <c r="F202" s="142"/>
      <c r="G202" s="1047"/>
      <c r="H202" s="1047"/>
      <c r="I202" s="1053"/>
      <c r="J202" s="1047"/>
      <c r="K202" s="1047"/>
      <c r="L202" s="1047"/>
      <c r="M202" s="1047"/>
      <c r="N202" s="1047"/>
      <c r="O202" s="1047"/>
      <c r="P202" s="1053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42"/>
      <c r="AC202" s="142"/>
      <c r="AD202" s="142"/>
      <c r="AE202" s="142"/>
      <c r="AF202" s="142"/>
      <c r="AG202" s="142"/>
      <c r="AH202" s="142"/>
      <c r="AI202" s="1068"/>
      <c r="AJ202" s="1068"/>
      <c r="AK202" s="1068"/>
    </row>
    <row r="203" spans="1:37" s="1024" customFormat="1">
      <c r="A203" s="1044"/>
      <c r="B203" s="1044"/>
      <c r="C203" s="1044"/>
      <c r="D203" s="142"/>
      <c r="E203" s="142"/>
      <c r="F203" s="142"/>
      <c r="G203" s="1047"/>
      <c r="H203" s="1047"/>
      <c r="I203" s="1053"/>
      <c r="J203" s="1047"/>
      <c r="K203" s="1047"/>
      <c r="L203" s="1047"/>
      <c r="M203" s="1047"/>
      <c r="N203" s="1047"/>
      <c r="O203" s="1047"/>
      <c r="P203" s="1053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42"/>
      <c r="AC203" s="142"/>
      <c r="AD203" s="142"/>
      <c r="AE203" s="142"/>
      <c r="AF203" s="142"/>
      <c r="AG203" s="142"/>
      <c r="AH203" s="142"/>
      <c r="AI203" s="1068"/>
      <c r="AJ203" s="1068"/>
      <c r="AK203" s="1068"/>
    </row>
    <row r="204" spans="1:37" s="1024" customFormat="1">
      <c r="A204" s="1044"/>
      <c r="B204" s="1044"/>
      <c r="C204" s="1044"/>
      <c r="D204" s="142"/>
      <c r="E204" s="142"/>
      <c r="F204" s="142"/>
      <c r="G204" s="1047"/>
      <c r="H204" s="1047"/>
      <c r="I204" s="1053"/>
      <c r="J204" s="1047"/>
      <c r="K204" s="1047"/>
      <c r="L204" s="1047"/>
      <c r="M204" s="1047"/>
      <c r="N204" s="1047"/>
      <c r="O204" s="1047"/>
      <c r="P204" s="1053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42"/>
      <c r="AC204" s="142"/>
      <c r="AD204" s="142"/>
      <c r="AE204" s="142"/>
      <c r="AF204" s="142"/>
      <c r="AG204" s="142"/>
      <c r="AH204" s="142"/>
      <c r="AI204" s="1068"/>
      <c r="AJ204" s="1068"/>
      <c r="AK204" s="1068"/>
    </row>
    <row r="205" spans="1:37" s="1024" customFormat="1">
      <c r="A205" s="1044"/>
      <c r="B205" s="1044"/>
      <c r="C205" s="1044"/>
      <c r="D205" s="142"/>
      <c r="E205" s="142"/>
      <c r="F205" s="142"/>
      <c r="G205" s="1047"/>
      <c r="H205" s="1047"/>
      <c r="I205" s="1053"/>
      <c r="J205" s="1047"/>
      <c r="K205" s="1047"/>
      <c r="L205" s="1047"/>
      <c r="M205" s="1047"/>
      <c r="N205" s="1047"/>
      <c r="O205" s="1047"/>
      <c r="P205" s="1053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42"/>
      <c r="AC205" s="142"/>
      <c r="AD205" s="142"/>
      <c r="AE205" s="142"/>
      <c r="AF205" s="142"/>
      <c r="AG205" s="142"/>
      <c r="AH205" s="142"/>
      <c r="AI205" s="1068"/>
      <c r="AJ205" s="1068"/>
      <c r="AK205" s="1068"/>
    </row>
    <row r="206" spans="1:37" s="1024" customFormat="1">
      <c r="A206" s="1044"/>
      <c r="B206" s="1044"/>
      <c r="C206" s="1044"/>
      <c r="D206" s="142"/>
      <c r="E206" s="142"/>
      <c r="F206" s="142"/>
      <c r="G206" s="1047"/>
      <c r="H206" s="1047"/>
      <c r="I206" s="1053"/>
      <c r="J206" s="1047"/>
      <c r="K206" s="1047"/>
      <c r="L206" s="1047"/>
      <c r="M206" s="1047"/>
      <c r="N206" s="1047"/>
      <c r="O206" s="1047"/>
      <c r="P206" s="1053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42"/>
      <c r="AC206" s="142"/>
      <c r="AD206" s="142"/>
      <c r="AE206" s="142"/>
      <c r="AF206" s="142"/>
      <c r="AG206" s="142"/>
      <c r="AH206" s="142"/>
      <c r="AI206" s="1068"/>
      <c r="AJ206" s="1068"/>
      <c r="AK206" s="1068"/>
    </row>
    <row r="207" spans="1:37" s="1024" customFormat="1">
      <c r="A207" s="1044"/>
      <c r="B207" s="1044"/>
      <c r="C207" s="1044"/>
      <c r="D207" s="142"/>
      <c r="E207" s="142"/>
      <c r="F207" s="142"/>
      <c r="G207" s="1047"/>
      <c r="H207" s="1047"/>
      <c r="I207" s="1053"/>
      <c r="J207" s="1047"/>
      <c r="K207" s="1047"/>
      <c r="L207" s="1047"/>
      <c r="M207" s="1047"/>
      <c r="N207" s="1047"/>
      <c r="O207" s="1047"/>
      <c r="P207" s="1053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42"/>
      <c r="AC207" s="142"/>
      <c r="AD207" s="142"/>
      <c r="AE207" s="142"/>
      <c r="AF207" s="142"/>
      <c r="AG207" s="142"/>
      <c r="AH207" s="142"/>
      <c r="AI207" s="1068"/>
      <c r="AJ207" s="1068"/>
      <c r="AK207" s="1068"/>
    </row>
    <row r="208" spans="1:37" s="1024" customFormat="1">
      <c r="A208" s="1044"/>
      <c r="B208" s="1044"/>
      <c r="C208" s="1044"/>
      <c r="D208" s="142"/>
      <c r="E208" s="142"/>
      <c r="F208" s="142"/>
      <c r="G208" s="1047"/>
      <c r="H208" s="1047"/>
      <c r="I208" s="1053"/>
      <c r="J208" s="1047"/>
      <c r="K208" s="1047"/>
      <c r="L208" s="1047"/>
      <c r="M208" s="1047"/>
      <c r="N208" s="1047"/>
      <c r="O208" s="1047"/>
      <c r="P208" s="1053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42"/>
      <c r="AC208" s="142"/>
      <c r="AD208" s="142"/>
      <c r="AE208" s="142"/>
      <c r="AF208" s="142"/>
      <c r="AG208" s="142"/>
      <c r="AH208" s="142"/>
      <c r="AI208" s="1068"/>
      <c r="AJ208" s="1068"/>
      <c r="AK208" s="1068"/>
    </row>
    <row r="209" spans="1:37" s="1024" customFormat="1">
      <c r="A209" s="1044"/>
      <c r="B209" s="1044"/>
      <c r="C209" s="1044"/>
      <c r="D209" s="142"/>
      <c r="E209" s="142"/>
      <c r="F209" s="142"/>
      <c r="G209" s="1047"/>
      <c r="H209" s="1047"/>
      <c r="I209" s="1053"/>
      <c r="J209" s="1047"/>
      <c r="K209" s="1047"/>
      <c r="L209" s="1047"/>
      <c r="M209" s="1047"/>
      <c r="N209" s="1047"/>
      <c r="O209" s="1047"/>
      <c r="P209" s="1053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42"/>
      <c r="AC209" s="142"/>
      <c r="AD209" s="142"/>
      <c r="AE209" s="142"/>
      <c r="AF209" s="142"/>
      <c r="AG209" s="142"/>
      <c r="AH209" s="142"/>
      <c r="AI209" s="1068"/>
      <c r="AJ209" s="1068"/>
      <c r="AK209" s="1068"/>
    </row>
    <row r="210" spans="1:37" s="1024" customFormat="1">
      <c r="A210" s="1044"/>
      <c r="B210" s="1044"/>
      <c r="C210" s="1044"/>
      <c r="D210" s="142"/>
      <c r="E210" s="142"/>
      <c r="F210" s="142"/>
      <c r="G210" s="1047"/>
      <c r="H210" s="1047"/>
      <c r="I210" s="1053"/>
      <c r="J210" s="1047"/>
      <c r="K210" s="1047"/>
      <c r="L210" s="1047"/>
      <c r="M210" s="1047"/>
      <c r="N210" s="1047"/>
      <c r="O210" s="1047"/>
      <c r="P210" s="1053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42"/>
      <c r="AC210" s="142"/>
      <c r="AD210" s="142"/>
      <c r="AE210" s="142"/>
      <c r="AF210" s="142"/>
      <c r="AG210" s="142"/>
      <c r="AH210" s="142"/>
      <c r="AI210" s="1068"/>
      <c r="AJ210" s="1068"/>
      <c r="AK210" s="1068"/>
    </row>
    <row r="211" spans="1:37" s="1024" customFormat="1">
      <c r="A211" s="1044"/>
      <c r="B211" s="1044"/>
      <c r="C211" s="1044"/>
      <c r="D211" s="142"/>
      <c r="E211" s="142"/>
      <c r="F211" s="142"/>
      <c r="G211" s="1047"/>
      <c r="H211" s="1047"/>
      <c r="I211" s="1053"/>
      <c r="J211" s="1047"/>
      <c r="K211" s="1047"/>
      <c r="L211" s="1047"/>
      <c r="M211" s="1047"/>
      <c r="N211" s="1047"/>
      <c r="O211" s="1047"/>
      <c r="P211" s="1053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42"/>
      <c r="AC211" s="142"/>
      <c r="AD211" s="142"/>
      <c r="AE211" s="142"/>
      <c r="AF211" s="142"/>
      <c r="AG211" s="142"/>
      <c r="AH211" s="142"/>
      <c r="AI211" s="1068"/>
      <c r="AJ211" s="1068"/>
      <c r="AK211" s="1068"/>
    </row>
    <row r="212" spans="1:37" s="1024" customFormat="1">
      <c r="A212" s="1044"/>
      <c r="B212" s="1044"/>
      <c r="C212" s="1044"/>
      <c r="D212" s="142"/>
      <c r="E212" s="142"/>
      <c r="F212" s="142"/>
      <c r="G212" s="1047"/>
      <c r="H212" s="1047"/>
      <c r="I212" s="1053"/>
      <c r="J212" s="1047"/>
      <c r="K212" s="1047"/>
      <c r="L212" s="1047"/>
      <c r="M212" s="1047"/>
      <c r="N212" s="1047"/>
      <c r="O212" s="1047"/>
      <c r="P212" s="1053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42"/>
      <c r="AC212" s="142"/>
      <c r="AD212" s="142"/>
      <c r="AE212" s="142"/>
      <c r="AF212" s="142"/>
      <c r="AG212" s="142"/>
      <c r="AH212" s="142"/>
      <c r="AI212" s="1068"/>
      <c r="AJ212" s="1068"/>
      <c r="AK212" s="1068"/>
    </row>
    <row r="213" spans="1:37" s="1024" customFormat="1">
      <c r="A213" s="1044"/>
      <c r="B213" s="1044"/>
      <c r="C213" s="1044"/>
      <c r="D213" s="142"/>
      <c r="E213" s="142"/>
      <c r="F213" s="142"/>
      <c r="G213" s="1047"/>
      <c r="H213" s="1047"/>
      <c r="I213" s="1053"/>
      <c r="J213" s="1047"/>
      <c r="K213" s="1047"/>
      <c r="L213" s="1047"/>
      <c r="M213" s="1047"/>
      <c r="N213" s="1047"/>
      <c r="O213" s="1047"/>
      <c r="P213" s="1053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42"/>
      <c r="AC213" s="142"/>
      <c r="AD213" s="142"/>
      <c r="AE213" s="142"/>
      <c r="AF213" s="142"/>
      <c r="AG213" s="142"/>
      <c r="AH213" s="142"/>
      <c r="AI213" s="1068"/>
      <c r="AJ213" s="1068"/>
      <c r="AK213" s="1068"/>
    </row>
    <row r="214" spans="1:37" s="1024" customFormat="1">
      <c r="A214" s="1044"/>
      <c r="B214" s="1044"/>
      <c r="C214" s="1044"/>
      <c r="D214" s="142"/>
      <c r="E214" s="142"/>
      <c r="F214" s="142"/>
      <c r="G214" s="1047"/>
      <c r="H214" s="1047"/>
      <c r="I214" s="1053"/>
      <c r="J214" s="1047"/>
      <c r="K214" s="1047"/>
      <c r="L214" s="1047"/>
      <c r="M214" s="1047"/>
      <c r="N214" s="1047"/>
      <c r="O214" s="1047"/>
      <c r="P214" s="1053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42"/>
      <c r="AC214" s="142"/>
      <c r="AD214" s="142"/>
      <c r="AE214" s="142"/>
      <c r="AF214" s="142"/>
      <c r="AG214" s="142"/>
      <c r="AH214" s="142"/>
      <c r="AI214" s="1068"/>
      <c r="AJ214" s="1068"/>
      <c r="AK214" s="1068"/>
    </row>
    <row r="215" spans="1:37" s="1024" customFormat="1">
      <c r="A215" s="1044"/>
      <c r="B215" s="1044"/>
      <c r="C215" s="1044"/>
      <c r="D215" s="142"/>
      <c r="E215" s="142"/>
      <c r="F215" s="142"/>
      <c r="G215" s="1047"/>
      <c r="H215" s="1047"/>
      <c r="I215" s="1053"/>
      <c r="J215" s="1047"/>
      <c r="K215" s="1047"/>
      <c r="L215" s="1047"/>
      <c r="M215" s="1047"/>
      <c r="N215" s="1047"/>
      <c r="O215" s="1047"/>
      <c r="P215" s="1053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42"/>
      <c r="AC215" s="142"/>
      <c r="AD215" s="142"/>
      <c r="AE215" s="142"/>
      <c r="AF215" s="142"/>
      <c r="AG215" s="142"/>
      <c r="AH215" s="142"/>
      <c r="AI215" s="1068"/>
      <c r="AJ215" s="1068"/>
      <c r="AK215" s="1068"/>
    </row>
    <row r="216" spans="1:37" s="1024" customFormat="1">
      <c r="A216" s="1044"/>
      <c r="B216" s="1044"/>
      <c r="C216" s="1044"/>
      <c r="D216" s="142"/>
      <c r="E216" s="142"/>
      <c r="F216" s="142"/>
      <c r="G216" s="1047"/>
      <c r="H216" s="1047"/>
      <c r="I216" s="1053"/>
      <c r="J216" s="1047"/>
      <c r="K216" s="1047"/>
      <c r="L216" s="1047"/>
      <c r="M216" s="1047"/>
      <c r="N216" s="1047"/>
      <c r="O216" s="1047"/>
      <c r="P216" s="1053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42"/>
      <c r="AC216" s="142"/>
      <c r="AD216" s="142"/>
      <c r="AE216" s="142"/>
      <c r="AF216" s="142"/>
      <c r="AG216" s="142"/>
      <c r="AH216" s="142"/>
      <c r="AI216" s="1068"/>
      <c r="AJ216" s="1068"/>
      <c r="AK216" s="1068"/>
    </row>
    <row r="217" spans="1:37" s="1024" customFormat="1">
      <c r="A217" s="1044"/>
      <c r="B217" s="1044"/>
      <c r="C217" s="1044"/>
      <c r="D217" s="142"/>
      <c r="E217" s="142"/>
      <c r="F217" s="142"/>
      <c r="G217" s="1047"/>
      <c r="H217" s="1047"/>
      <c r="I217" s="1053"/>
      <c r="J217" s="1047"/>
      <c r="K217" s="1047"/>
      <c r="L217" s="1047"/>
      <c r="M217" s="1047"/>
      <c r="N217" s="1047"/>
      <c r="O217" s="1047"/>
      <c r="P217" s="1053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42"/>
      <c r="AC217" s="142"/>
      <c r="AD217" s="142"/>
      <c r="AE217" s="142"/>
      <c r="AF217" s="142"/>
      <c r="AG217" s="142"/>
      <c r="AH217" s="142"/>
      <c r="AI217" s="1068"/>
      <c r="AJ217" s="1068"/>
      <c r="AK217" s="1068"/>
    </row>
    <row r="218" spans="1:37" s="1024" customFormat="1">
      <c r="A218" s="1044"/>
      <c r="B218" s="1044"/>
      <c r="C218" s="1044"/>
      <c r="D218" s="142"/>
      <c r="E218" s="142"/>
      <c r="F218" s="142"/>
      <c r="G218" s="1047"/>
      <c r="H218" s="1047"/>
      <c r="I218" s="1053"/>
      <c r="J218" s="1047"/>
      <c r="K218" s="1047"/>
      <c r="L218" s="1047"/>
      <c r="M218" s="1047"/>
      <c r="N218" s="1047"/>
      <c r="O218" s="1047"/>
      <c r="P218" s="1053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42"/>
      <c r="AC218" s="142"/>
      <c r="AD218" s="142"/>
      <c r="AE218" s="142"/>
      <c r="AF218" s="142"/>
      <c r="AG218" s="142"/>
      <c r="AH218" s="142"/>
      <c r="AI218" s="1068"/>
      <c r="AJ218" s="1068"/>
      <c r="AK218" s="1068"/>
    </row>
    <row r="219" spans="1:37" s="1024" customFormat="1">
      <c r="A219" s="1044"/>
      <c r="B219" s="1044"/>
      <c r="C219" s="1044"/>
      <c r="D219" s="142"/>
      <c r="E219" s="142"/>
      <c r="F219" s="142"/>
      <c r="G219" s="1047"/>
      <c r="H219" s="1047"/>
      <c r="I219" s="1053"/>
      <c r="J219" s="1047"/>
      <c r="K219" s="1047"/>
      <c r="L219" s="1047"/>
      <c r="M219" s="1047"/>
      <c r="N219" s="1047"/>
      <c r="O219" s="1047"/>
      <c r="P219" s="1053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42"/>
      <c r="AC219" s="142"/>
      <c r="AD219" s="142"/>
      <c r="AE219" s="142"/>
      <c r="AF219" s="142"/>
      <c r="AG219" s="142"/>
      <c r="AH219" s="142"/>
      <c r="AI219" s="1068"/>
      <c r="AJ219" s="1068"/>
      <c r="AK219" s="1068"/>
    </row>
    <row r="220" spans="1:37" s="1024" customFormat="1">
      <c r="A220" s="1044"/>
      <c r="B220" s="1044"/>
      <c r="C220" s="1044"/>
      <c r="D220" s="142"/>
      <c r="E220" s="142"/>
      <c r="F220" s="142"/>
      <c r="G220" s="1047"/>
      <c r="H220" s="1047"/>
      <c r="I220" s="1053"/>
      <c r="J220" s="1047"/>
      <c r="K220" s="1047"/>
      <c r="L220" s="1047"/>
      <c r="M220" s="1047"/>
      <c r="N220" s="1047"/>
      <c r="O220" s="1047"/>
      <c r="P220" s="1053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42"/>
      <c r="AC220" s="142"/>
      <c r="AD220" s="142"/>
      <c r="AE220" s="142"/>
      <c r="AF220" s="142"/>
      <c r="AG220" s="142"/>
      <c r="AH220" s="142"/>
      <c r="AI220" s="1068"/>
      <c r="AJ220" s="1068"/>
      <c r="AK220" s="1068"/>
    </row>
    <row r="221" spans="1:37" s="1024" customFormat="1">
      <c r="A221" s="1044"/>
      <c r="B221" s="1044"/>
      <c r="C221" s="1044"/>
      <c r="D221" s="142"/>
      <c r="E221" s="142"/>
      <c r="F221" s="142"/>
      <c r="G221" s="1047"/>
      <c r="H221" s="1047"/>
      <c r="I221" s="1053"/>
      <c r="J221" s="1047"/>
      <c r="K221" s="1047"/>
      <c r="L221" s="1047"/>
      <c r="M221" s="1047"/>
      <c r="N221" s="1047"/>
      <c r="O221" s="1047"/>
      <c r="P221" s="1053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42"/>
      <c r="AC221" s="142"/>
      <c r="AD221" s="142"/>
      <c r="AE221" s="142"/>
      <c r="AF221" s="142"/>
      <c r="AG221" s="142"/>
      <c r="AH221" s="142"/>
      <c r="AI221" s="1068"/>
      <c r="AJ221" s="1068"/>
      <c r="AK221" s="1068"/>
    </row>
    <row r="222" spans="1:37" s="1024" customFormat="1">
      <c r="A222" s="1044"/>
      <c r="B222" s="1044"/>
      <c r="C222" s="1044"/>
      <c r="D222" s="142"/>
      <c r="E222" s="142"/>
      <c r="F222" s="142"/>
      <c r="G222" s="1047"/>
      <c r="H222" s="1047"/>
      <c r="I222" s="1053"/>
      <c r="J222" s="1047"/>
      <c r="K222" s="1047"/>
      <c r="L222" s="1047"/>
      <c r="M222" s="1047"/>
      <c r="N222" s="1047"/>
      <c r="O222" s="1047"/>
      <c r="P222" s="1053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42"/>
      <c r="AC222" s="142"/>
      <c r="AD222" s="142"/>
      <c r="AE222" s="142"/>
      <c r="AF222" s="142"/>
      <c r="AG222" s="142"/>
      <c r="AH222" s="142"/>
      <c r="AI222" s="1068"/>
      <c r="AJ222" s="1068"/>
      <c r="AK222" s="1068"/>
    </row>
    <row r="223" spans="1:37" s="1024" customFormat="1">
      <c r="A223" s="1044"/>
      <c r="B223" s="1044"/>
      <c r="C223" s="1044"/>
      <c r="D223" s="142"/>
      <c r="E223" s="142"/>
      <c r="F223" s="142"/>
      <c r="G223" s="1047"/>
      <c r="H223" s="1047"/>
      <c r="I223" s="1053"/>
      <c r="J223" s="1047"/>
      <c r="K223" s="1047"/>
      <c r="L223" s="1047"/>
      <c r="M223" s="1047"/>
      <c r="N223" s="1047"/>
      <c r="O223" s="1047"/>
      <c r="P223" s="1053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42"/>
      <c r="AC223" s="142"/>
      <c r="AD223" s="142"/>
      <c r="AE223" s="142"/>
      <c r="AF223" s="142"/>
      <c r="AG223" s="142"/>
      <c r="AH223" s="142"/>
      <c r="AI223" s="1068"/>
      <c r="AJ223" s="1068"/>
      <c r="AK223" s="1068"/>
    </row>
    <row r="224" spans="1:37" s="1024" customFormat="1">
      <c r="A224" s="1044"/>
      <c r="B224" s="1044"/>
      <c r="C224" s="1044"/>
      <c r="D224" s="142"/>
      <c r="E224" s="142"/>
      <c r="F224" s="142"/>
      <c r="G224" s="1047"/>
      <c r="H224" s="1047"/>
      <c r="I224" s="1053"/>
      <c r="J224" s="1047"/>
      <c r="K224" s="1047"/>
      <c r="L224" s="1047"/>
      <c r="M224" s="1047"/>
      <c r="N224" s="1047"/>
      <c r="O224" s="1047"/>
      <c r="P224" s="1053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42"/>
      <c r="AC224" s="142"/>
      <c r="AD224" s="142"/>
      <c r="AE224" s="142"/>
      <c r="AF224" s="142"/>
      <c r="AG224" s="142"/>
      <c r="AH224" s="142"/>
      <c r="AI224" s="1068"/>
      <c r="AJ224" s="1068"/>
      <c r="AK224" s="1068"/>
    </row>
    <row r="225" spans="1:37" s="1024" customFormat="1">
      <c r="A225" s="1044"/>
      <c r="B225" s="1044"/>
      <c r="C225" s="1044"/>
      <c r="D225" s="142"/>
      <c r="E225" s="142"/>
      <c r="F225" s="142"/>
      <c r="G225" s="1047"/>
      <c r="H225" s="1047"/>
      <c r="I225" s="1053"/>
      <c r="J225" s="1047"/>
      <c r="K225" s="1047"/>
      <c r="L225" s="1047"/>
      <c r="M225" s="1047"/>
      <c r="N225" s="1047"/>
      <c r="O225" s="1047"/>
      <c r="P225" s="1053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42"/>
      <c r="AC225" s="142"/>
      <c r="AD225" s="142"/>
      <c r="AE225" s="142"/>
      <c r="AF225" s="142"/>
      <c r="AG225" s="142"/>
      <c r="AH225" s="142"/>
      <c r="AI225" s="1068"/>
      <c r="AJ225" s="1068"/>
      <c r="AK225" s="1068"/>
    </row>
    <row r="226" spans="1:37" s="1024" customFormat="1">
      <c r="A226" s="1044"/>
      <c r="B226" s="1044"/>
      <c r="C226" s="1044"/>
      <c r="D226" s="142"/>
      <c r="E226" s="142"/>
      <c r="F226" s="142"/>
      <c r="G226" s="1047"/>
      <c r="H226" s="1047"/>
      <c r="I226" s="1053"/>
      <c r="J226" s="1047"/>
      <c r="K226" s="1047"/>
      <c r="L226" s="1047"/>
      <c r="M226" s="1047"/>
      <c r="N226" s="1047"/>
      <c r="O226" s="1047"/>
      <c r="P226" s="1053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42"/>
      <c r="AC226" s="142"/>
      <c r="AD226" s="142"/>
      <c r="AE226" s="142"/>
      <c r="AF226" s="142"/>
      <c r="AG226" s="142"/>
      <c r="AH226" s="142"/>
      <c r="AI226" s="1068"/>
      <c r="AJ226" s="1068"/>
      <c r="AK226" s="1068"/>
    </row>
    <row r="227" spans="1:37" s="1024" customFormat="1">
      <c r="A227" s="1044"/>
      <c r="B227" s="1044"/>
      <c r="C227" s="1044"/>
      <c r="D227" s="142"/>
      <c r="E227" s="142"/>
      <c r="F227" s="142"/>
      <c r="G227" s="1047"/>
      <c r="H227" s="1047"/>
      <c r="I227" s="1053"/>
      <c r="J227" s="1047"/>
      <c r="K227" s="1047"/>
      <c r="L227" s="1047"/>
      <c r="M227" s="1047"/>
      <c r="N227" s="1047"/>
      <c r="O227" s="1047"/>
      <c r="P227" s="1053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42"/>
      <c r="AC227" s="142"/>
      <c r="AD227" s="142"/>
      <c r="AE227" s="142"/>
      <c r="AF227" s="142"/>
      <c r="AG227" s="142"/>
      <c r="AH227" s="142"/>
      <c r="AI227" s="1068"/>
      <c r="AJ227" s="1068"/>
      <c r="AK227" s="1068"/>
    </row>
    <row r="228" spans="1:37" s="1024" customFormat="1">
      <c r="A228" s="1044"/>
      <c r="B228" s="1044"/>
      <c r="C228" s="1044"/>
      <c r="D228" s="142"/>
      <c r="E228" s="142"/>
      <c r="F228" s="142"/>
      <c r="G228" s="1047"/>
      <c r="H228" s="1047"/>
      <c r="I228" s="1053"/>
      <c r="J228" s="1047"/>
      <c r="K228" s="1047"/>
      <c r="L228" s="1047"/>
      <c r="M228" s="1047"/>
      <c r="N228" s="1047"/>
      <c r="O228" s="1047"/>
      <c r="P228" s="1053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42"/>
      <c r="AC228" s="142"/>
      <c r="AD228" s="142"/>
      <c r="AE228" s="142"/>
      <c r="AF228" s="142"/>
      <c r="AG228" s="142"/>
      <c r="AH228" s="142"/>
      <c r="AI228" s="1068"/>
      <c r="AJ228" s="1068"/>
      <c r="AK228" s="1068"/>
    </row>
    <row r="229" spans="1:37" s="1024" customFormat="1">
      <c r="A229" s="1044"/>
      <c r="B229" s="1044"/>
      <c r="C229" s="1044"/>
      <c r="D229" s="142"/>
      <c r="E229" s="142"/>
      <c r="F229" s="142"/>
      <c r="G229" s="1047"/>
      <c r="H229" s="1047"/>
      <c r="I229" s="1053"/>
      <c r="J229" s="1047"/>
      <c r="K229" s="1047"/>
      <c r="L229" s="1047"/>
      <c r="M229" s="1047"/>
      <c r="N229" s="1047"/>
      <c r="O229" s="1047"/>
      <c r="P229" s="1053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42"/>
      <c r="AC229" s="142"/>
      <c r="AD229" s="142"/>
      <c r="AE229" s="142"/>
      <c r="AF229" s="142"/>
      <c r="AG229" s="142"/>
      <c r="AH229" s="142"/>
      <c r="AI229" s="1068"/>
      <c r="AJ229" s="1068"/>
      <c r="AK229" s="1068"/>
    </row>
    <row r="230" spans="1:37" s="1024" customFormat="1">
      <c r="A230" s="1044"/>
      <c r="B230" s="1044"/>
      <c r="C230" s="1044"/>
      <c r="D230" s="142"/>
      <c r="E230" s="142"/>
      <c r="F230" s="142"/>
      <c r="G230" s="1047"/>
      <c r="H230" s="1047"/>
      <c r="I230" s="1053"/>
      <c r="J230" s="1047"/>
      <c r="K230" s="1047"/>
      <c r="L230" s="1047"/>
      <c r="M230" s="1047"/>
      <c r="N230" s="1047"/>
      <c r="O230" s="1047"/>
      <c r="P230" s="1053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42"/>
      <c r="AC230" s="142"/>
      <c r="AD230" s="142"/>
      <c r="AE230" s="142"/>
      <c r="AF230" s="142"/>
      <c r="AG230" s="142"/>
      <c r="AH230" s="142"/>
      <c r="AI230" s="1068"/>
      <c r="AJ230" s="1068"/>
      <c r="AK230" s="1068"/>
    </row>
    <row r="231" spans="1:37" s="1024" customFormat="1">
      <c r="A231" s="1044"/>
      <c r="B231" s="1044"/>
      <c r="C231" s="1044"/>
      <c r="D231" s="142"/>
      <c r="E231" s="142"/>
      <c r="F231" s="142"/>
      <c r="G231" s="1047"/>
      <c r="H231" s="1047"/>
      <c r="I231" s="1053"/>
      <c r="J231" s="1047"/>
      <c r="K231" s="1047"/>
      <c r="L231" s="1047"/>
      <c r="M231" s="1047"/>
      <c r="N231" s="1047"/>
      <c r="O231" s="1047"/>
      <c r="P231" s="1053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42"/>
      <c r="AC231" s="142"/>
      <c r="AD231" s="142"/>
      <c r="AE231" s="142"/>
      <c r="AF231" s="142"/>
      <c r="AG231" s="142"/>
      <c r="AH231" s="142"/>
      <c r="AI231" s="1068"/>
      <c r="AJ231" s="1068"/>
      <c r="AK231" s="1068"/>
    </row>
    <row r="232" spans="1:37" s="1024" customFormat="1">
      <c r="A232" s="1044"/>
      <c r="B232" s="1044"/>
      <c r="C232" s="1044"/>
      <c r="D232" s="142"/>
      <c r="E232" s="142"/>
      <c r="F232" s="142"/>
      <c r="G232" s="1047"/>
      <c r="H232" s="1047"/>
      <c r="I232" s="1053"/>
      <c r="J232" s="1047"/>
      <c r="K232" s="1047"/>
      <c r="L232" s="1047"/>
      <c r="M232" s="1047"/>
      <c r="N232" s="1047"/>
      <c r="O232" s="1047"/>
      <c r="P232" s="1053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42"/>
      <c r="AC232" s="142"/>
      <c r="AD232" s="142"/>
      <c r="AE232" s="142"/>
      <c r="AF232" s="142"/>
      <c r="AG232" s="142"/>
      <c r="AH232" s="142"/>
      <c r="AI232" s="1068"/>
      <c r="AJ232" s="1068"/>
      <c r="AK232" s="1068"/>
    </row>
    <row r="233" spans="1:37" s="1024" customFormat="1">
      <c r="A233" s="1044"/>
      <c r="B233" s="1044"/>
      <c r="C233" s="1044"/>
      <c r="D233" s="142"/>
      <c r="E233" s="142"/>
      <c r="F233" s="142"/>
      <c r="G233" s="1047"/>
      <c r="H233" s="1047"/>
      <c r="I233" s="1053"/>
      <c r="J233" s="1047"/>
      <c r="K233" s="1047"/>
      <c r="L233" s="1047"/>
      <c r="M233" s="1047"/>
      <c r="N233" s="1047"/>
      <c r="O233" s="1047"/>
      <c r="P233" s="1053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42"/>
      <c r="AC233" s="142"/>
      <c r="AD233" s="142"/>
      <c r="AE233" s="142"/>
      <c r="AF233" s="142"/>
      <c r="AG233" s="142"/>
      <c r="AH233" s="142"/>
      <c r="AI233" s="1068"/>
      <c r="AJ233" s="1068"/>
      <c r="AK233" s="1068"/>
    </row>
    <row r="234" spans="1:37" s="1024" customFormat="1">
      <c r="A234" s="1044"/>
      <c r="B234" s="1044"/>
      <c r="C234" s="1044"/>
      <c r="D234" s="142"/>
      <c r="E234" s="142"/>
      <c r="F234" s="142"/>
      <c r="G234" s="1047"/>
      <c r="H234" s="1047"/>
      <c r="I234" s="1053"/>
      <c r="J234" s="1047"/>
      <c r="K234" s="1047"/>
      <c r="L234" s="1047"/>
      <c r="M234" s="1047"/>
      <c r="N234" s="1047"/>
      <c r="O234" s="1047"/>
      <c r="P234" s="1053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42"/>
      <c r="AC234" s="142"/>
      <c r="AD234" s="142"/>
      <c r="AE234" s="142"/>
      <c r="AF234" s="142"/>
      <c r="AG234" s="142"/>
      <c r="AH234" s="142"/>
      <c r="AI234" s="1068"/>
      <c r="AJ234" s="1068"/>
      <c r="AK234" s="1068"/>
    </row>
    <row r="235" spans="1:37" s="1024" customFormat="1">
      <c r="A235" s="1044"/>
      <c r="B235" s="1044"/>
      <c r="C235" s="1044"/>
      <c r="D235" s="142"/>
      <c r="E235" s="142"/>
      <c r="F235" s="142"/>
      <c r="G235" s="1047"/>
      <c r="H235" s="1047"/>
      <c r="I235" s="1053"/>
      <c r="J235" s="1047"/>
      <c r="K235" s="1047"/>
      <c r="L235" s="1047"/>
      <c r="M235" s="1047"/>
      <c r="N235" s="1047"/>
      <c r="O235" s="1047"/>
      <c r="P235" s="1053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42"/>
      <c r="AC235" s="142"/>
      <c r="AD235" s="142"/>
      <c r="AE235" s="142"/>
      <c r="AF235" s="142"/>
      <c r="AG235" s="142"/>
      <c r="AH235" s="142"/>
      <c r="AI235" s="1068"/>
      <c r="AJ235" s="1068"/>
      <c r="AK235" s="1068"/>
    </row>
    <row r="236" spans="1:37" s="1024" customFormat="1">
      <c r="A236" s="1044"/>
      <c r="B236" s="1044"/>
      <c r="C236" s="1044"/>
      <c r="D236" s="142"/>
      <c r="E236" s="142"/>
      <c r="F236" s="142"/>
      <c r="G236" s="1047"/>
      <c r="H236" s="1047"/>
      <c r="I236" s="1053"/>
      <c r="J236" s="1047"/>
      <c r="K236" s="1047"/>
      <c r="L236" s="1047"/>
      <c r="M236" s="1047"/>
      <c r="N236" s="1047"/>
      <c r="O236" s="1047"/>
      <c r="P236" s="1053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42"/>
      <c r="AC236" s="142"/>
      <c r="AD236" s="142"/>
      <c r="AE236" s="142"/>
      <c r="AF236" s="142"/>
      <c r="AG236" s="142"/>
      <c r="AH236" s="142"/>
      <c r="AI236" s="1068"/>
      <c r="AJ236" s="1068"/>
      <c r="AK236" s="1068"/>
    </row>
    <row r="237" spans="1:37" s="1024" customFormat="1">
      <c r="A237" s="1044"/>
      <c r="B237" s="1044"/>
      <c r="C237" s="1044"/>
      <c r="D237" s="142"/>
      <c r="E237" s="142"/>
      <c r="F237" s="142"/>
      <c r="G237" s="1047"/>
      <c r="H237" s="1047"/>
      <c r="I237" s="1053"/>
      <c r="J237" s="1047"/>
      <c r="K237" s="1047"/>
      <c r="L237" s="1047"/>
      <c r="M237" s="1047"/>
      <c r="N237" s="1047"/>
      <c r="O237" s="1047"/>
      <c r="P237" s="1053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42"/>
      <c r="AC237" s="142"/>
      <c r="AD237" s="142"/>
      <c r="AE237" s="142"/>
      <c r="AF237" s="142"/>
      <c r="AG237" s="142"/>
      <c r="AH237" s="142"/>
      <c r="AI237" s="1068"/>
      <c r="AJ237" s="1068"/>
      <c r="AK237" s="1068"/>
    </row>
    <row r="238" spans="1:37" s="1024" customFormat="1">
      <c r="A238" s="1044"/>
      <c r="B238" s="1044"/>
      <c r="C238" s="1044"/>
      <c r="D238" s="142"/>
      <c r="E238" s="142"/>
      <c r="F238" s="142"/>
      <c r="G238" s="1047"/>
      <c r="H238" s="1047"/>
      <c r="I238" s="1053"/>
      <c r="J238" s="1047"/>
      <c r="K238" s="1047"/>
      <c r="L238" s="1047"/>
      <c r="M238" s="1047"/>
      <c r="N238" s="1047"/>
      <c r="O238" s="1047"/>
      <c r="P238" s="1053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42"/>
      <c r="AC238" s="142"/>
      <c r="AD238" s="142"/>
      <c r="AE238" s="142"/>
      <c r="AF238" s="142"/>
      <c r="AG238" s="142"/>
      <c r="AH238" s="142"/>
      <c r="AI238" s="1068"/>
      <c r="AJ238" s="1068"/>
      <c r="AK238" s="1068"/>
    </row>
    <row r="239" spans="1:37" s="1024" customFormat="1">
      <c r="A239" s="1044"/>
      <c r="B239" s="1044"/>
      <c r="C239" s="1044"/>
      <c r="D239" s="142"/>
      <c r="E239" s="142"/>
      <c r="F239" s="142"/>
      <c r="G239" s="1047"/>
      <c r="H239" s="1047"/>
      <c r="I239" s="1053"/>
      <c r="J239" s="1047"/>
      <c r="K239" s="1047"/>
      <c r="L239" s="1047"/>
      <c r="M239" s="1047"/>
      <c r="N239" s="1047"/>
      <c r="O239" s="1047"/>
      <c r="P239" s="1053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42"/>
      <c r="AC239" s="142"/>
      <c r="AD239" s="142"/>
      <c r="AE239" s="142"/>
      <c r="AF239" s="142"/>
      <c r="AG239" s="142"/>
      <c r="AH239" s="142"/>
      <c r="AI239" s="1068"/>
      <c r="AJ239" s="1068"/>
      <c r="AK239" s="1068"/>
    </row>
    <row r="240" spans="1:37" s="1024" customFormat="1">
      <c r="A240" s="1044"/>
      <c r="B240" s="1044"/>
      <c r="C240" s="1044"/>
      <c r="D240" s="142"/>
      <c r="E240" s="142"/>
      <c r="F240" s="142"/>
      <c r="G240" s="1047"/>
      <c r="H240" s="1047"/>
      <c r="I240" s="1053"/>
      <c r="J240" s="1047"/>
      <c r="K240" s="1047"/>
      <c r="L240" s="1047"/>
      <c r="M240" s="1047"/>
      <c r="N240" s="1047"/>
      <c r="O240" s="1047"/>
      <c r="P240" s="1053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42"/>
      <c r="AC240" s="142"/>
      <c r="AD240" s="142"/>
      <c r="AE240" s="142"/>
      <c r="AF240" s="142"/>
      <c r="AG240" s="142"/>
      <c r="AH240" s="142"/>
      <c r="AI240" s="1068"/>
      <c r="AJ240" s="1068"/>
      <c r="AK240" s="1068"/>
    </row>
    <row r="241" spans="1:37" s="1024" customFormat="1">
      <c r="A241" s="1044"/>
      <c r="B241" s="1044"/>
      <c r="C241" s="1044"/>
      <c r="D241" s="142"/>
      <c r="E241" s="142"/>
      <c r="F241" s="142"/>
      <c r="G241" s="1047"/>
      <c r="H241" s="1047"/>
      <c r="I241" s="1053"/>
      <c r="J241" s="1047"/>
      <c r="K241" s="1047"/>
      <c r="L241" s="1047"/>
      <c r="M241" s="1047"/>
      <c r="N241" s="1047"/>
      <c r="O241" s="1047"/>
      <c r="P241" s="1053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42"/>
      <c r="AC241" s="142"/>
      <c r="AD241" s="142"/>
      <c r="AE241" s="142"/>
      <c r="AF241" s="142"/>
      <c r="AG241" s="142"/>
      <c r="AH241" s="142"/>
      <c r="AI241" s="1068"/>
      <c r="AJ241" s="1068"/>
      <c r="AK241" s="1068"/>
    </row>
    <row r="242" spans="1:37" s="1024" customFormat="1">
      <c r="A242" s="1044"/>
      <c r="B242" s="1044"/>
      <c r="C242" s="1044"/>
      <c r="D242" s="142"/>
      <c r="E242" s="142"/>
      <c r="F242" s="142"/>
      <c r="G242" s="1047"/>
      <c r="H242" s="1047"/>
      <c r="I242" s="1053"/>
      <c r="J242" s="1047"/>
      <c r="K242" s="1047"/>
      <c r="L242" s="1047"/>
      <c r="M242" s="1047"/>
      <c r="N242" s="1047"/>
      <c r="O242" s="1047"/>
      <c r="P242" s="1053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42"/>
      <c r="AC242" s="142"/>
      <c r="AD242" s="142"/>
      <c r="AE242" s="142"/>
      <c r="AF242" s="142"/>
      <c r="AG242" s="142"/>
      <c r="AH242" s="142"/>
      <c r="AI242" s="1068"/>
      <c r="AJ242" s="1068"/>
      <c r="AK242" s="1068"/>
    </row>
    <row r="243" spans="1:37" s="1024" customFormat="1">
      <c r="A243" s="1044"/>
      <c r="B243" s="1044"/>
      <c r="C243" s="1044"/>
      <c r="D243" s="142"/>
      <c r="E243" s="142"/>
      <c r="F243" s="142"/>
      <c r="G243" s="1047"/>
      <c r="H243" s="1047"/>
      <c r="I243" s="1053"/>
      <c r="J243" s="1047"/>
      <c r="K243" s="1047"/>
      <c r="L243" s="1047"/>
      <c r="M243" s="1047"/>
      <c r="N243" s="1047"/>
      <c r="O243" s="1047"/>
      <c r="P243" s="1053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42"/>
      <c r="AC243" s="142"/>
      <c r="AD243" s="142"/>
      <c r="AE243" s="142"/>
      <c r="AF243" s="142"/>
      <c r="AG243" s="142"/>
      <c r="AH243" s="142"/>
      <c r="AI243" s="1068"/>
      <c r="AJ243" s="1068"/>
      <c r="AK243" s="1068"/>
    </row>
    <row r="244" spans="1:37" s="1024" customFormat="1">
      <c r="A244" s="1044"/>
      <c r="B244" s="1044"/>
      <c r="C244" s="1044"/>
      <c r="D244" s="142"/>
      <c r="E244" s="142"/>
      <c r="F244" s="142"/>
      <c r="G244" s="1047"/>
      <c r="H244" s="1047"/>
      <c r="I244" s="1053"/>
      <c r="J244" s="1047"/>
      <c r="K244" s="1047"/>
      <c r="L244" s="1047"/>
      <c r="M244" s="1047"/>
      <c r="N244" s="1047"/>
      <c r="O244" s="1047"/>
      <c r="P244" s="1053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42"/>
      <c r="AC244" s="142"/>
      <c r="AD244" s="142"/>
      <c r="AE244" s="142"/>
      <c r="AF244" s="142"/>
      <c r="AG244" s="142"/>
      <c r="AH244" s="142"/>
      <c r="AI244" s="1068"/>
      <c r="AJ244" s="1068"/>
      <c r="AK244" s="1068"/>
    </row>
    <row r="245" spans="1:37" s="1024" customFormat="1">
      <c r="A245" s="1044"/>
      <c r="B245" s="1044"/>
      <c r="C245" s="1044"/>
      <c r="D245" s="142"/>
      <c r="E245" s="142"/>
      <c r="F245" s="142"/>
      <c r="G245" s="1047"/>
      <c r="H245" s="1047"/>
      <c r="I245" s="1053"/>
      <c r="J245" s="1047"/>
      <c r="K245" s="1047"/>
      <c r="L245" s="1047"/>
      <c r="M245" s="1047"/>
      <c r="N245" s="1047"/>
      <c r="O245" s="1047"/>
      <c r="P245" s="1053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42"/>
      <c r="AC245" s="142"/>
      <c r="AD245" s="142"/>
      <c r="AE245" s="142"/>
      <c r="AF245" s="142"/>
      <c r="AG245" s="142"/>
      <c r="AH245" s="142"/>
      <c r="AI245" s="1068"/>
      <c r="AJ245" s="1068"/>
      <c r="AK245" s="1068"/>
    </row>
    <row r="246" spans="1:37" s="1024" customFormat="1">
      <c r="A246" s="1044"/>
      <c r="B246" s="1044"/>
      <c r="C246" s="1044"/>
      <c r="D246" s="142"/>
      <c r="E246" s="142"/>
      <c r="F246" s="142"/>
      <c r="G246" s="1047"/>
      <c r="H246" s="1047"/>
      <c r="I246" s="1053"/>
      <c r="J246" s="1047"/>
      <c r="K246" s="1047"/>
      <c r="L246" s="1047"/>
      <c r="M246" s="1047"/>
      <c r="N246" s="1047"/>
      <c r="O246" s="1047"/>
      <c r="P246" s="1053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42"/>
      <c r="AC246" s="142"/>
      <c r="AD246" s="142"/>
      <c r="AE246" s="142"/>
      <c r="AF246" s="142"/>
      <c r="AG246" s="142"/>
      <c r="AH246" s="142"/>
      <c r="AI246" s="1068"/>
      <c r="AJ246" s="1068"/>
      <c r="AK246" s="1068"/>
    </row>
    <row r="247" spans="1:37" s="1024" customFormat="1">
      <c r="A247" s="1044"/>
      <c r="B247" s="1044"/>
      <c r="C247" s="1044"/>
      <c r="D247" s="142"/>
      <c r="E247" s="142"/>
      <c r="F247" s="142"/>
      <c r="G247" s="1047"/>
      <c r="H247" s="1047"/>
      <c r="I247" s="1053"/>
      <c r="J247" s="1047"/>
      <c r="K247" s="1047"/>
      <c r="L247" s="1047"/>
      <c r="M247" s="1047"/>
      <c r="N247" s="1047"/>
      <c r="O247" s="1047"/>
      <c r="P247" s="1053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42"/>
      <c r="AC247" s="142"/>
      <c r="AD247" s="142"/>
      <c r="AE247" s="142"/>
      <c r="AF247" s="142"/>
      <c r="AG247" s="142"/>
      <c r="AH247" s="142"/>
      <c r="AI247" s="1068"/>
      <c r="AJ247" s="1068"/>
      <c r="AK247" s="1068"/>
    </row>
    <row r="248" spans="1:37" s="1024" customFormat="1">
      <c r="A248" s="1044"/>
      <c r="B248" s="1044"/>
      <c r="C248" s="1044"/>
      <c r="D248" s="142"/>
      <c r="E248" s="142"/>
      <c r="F248" s="142"/>
      <c r="G248" s="1047"/>
      <c r="H248" s="1047"/>
      <c r="I248" s="1053"/>
      <c r="J248" s="1047"/>
      <c r="K248" s="1047"/>
      <c r="L248" s="1047"/>
      <c r="M248" s="1047"/>
      <c r="N248" s="1047"/>
      <c r="O248" s="1047"/>
      <c r="P248" s="1053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42"/>
      <c r="AC248" s="142"/>
      <c r="AD248" s="142"/>
      <c r="AE248" s="142"/>
      <c r="AF248" s="142"/>
      <c r="AG248" s="142"/>
      <c r="AH248" s="142"/>
      <c r="AI248" s="1068"/>
      <c r="AJ248" s="1068"/>
      <c r="AK248" s="1068"/>
    </row>
    <row r="249" spans="1:37" s="1024" customFormat="1">
      <c r="A249" s="1044"/>
      <c r="B249" s="1044"/>
      <c r="C249" s="1044"/>
      <c r="D249" s="142"/>
      <c r="E249" s="142"/>
      <c r="F249" s="142"/>
      <c r="G249" s="1047"/>
      <c r="H249" s="1047"/>
      <c r="I249" s="1053"/>
      <c r="J249" s="1047"/>
      <c r="K249" s="1047"/>
      <c r="L249" s="1047"/>
      <c r="M249" s="1047"/>
      <c r="N249" s="1047"/>
      <c r="O249" s="1047"/>
      <c r="P249" s="1053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42"/>
      <c r="AC249" s="142"/>
      <c r="AD249" s="142"/>
      <c r="AE249" s="142"/>
      <c r="AF249" s="142"/>
      <c r="AG249" s="142"/>
      <c r="AH249" s="142"/>
      <c r="AI249" s="1068"/>
      <c r="AJ249" s="1068"/>
      <c r="AK249" s="1068"/>
    </row>
    <row r="250" spans="1:37" s="1024" customFormat="1">
      <c r="A250" s="1044"/>
      <c r="B250" s="1044"/>
      <c r="C250" s="1044"/>
      <c r="D250" s="142"/>
      <c r="E250" s="142"/>
      <c r="F250" s="142"/>
      <c r="G250" s="1047"/>
      <c r="H250" s="1047"/>
      <c r="I250" s="1053"/>
      <c r="J250" s="1047"/>
      <c r="K250" s="1047"/>
      <c r="L250" s="1047"/>
      <c r="M250" s="1047"/>
      <c r="N250" s="1047"/>
      <c r="O250" s="1047"/>
      <c r="P250" s="1053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42"/>
      <c r="AC250" s="142"/>
      <c r="AD250" s="142"/>
      <c r="AE250" s="142"/>
      <c r="AF250" s="142"/>
      <c r="AG250" s="142"/>
      <c r="AH250" s="142"/>
      <c r="AI250" s="1068"/>
      <c r="AJ250" s="1068"/>
      <c r="AK250" s="1068"/>
    </row>
    <row r="251" spans="1:37" s="1024" customFormat="1">
      <c r="A251" s="1044"/>
      <c r="B251" s="1044"/>
      <c r="C251" s="1044"/>
      <c r="D251" s="142"/>
      <c r="E251" s="142"/>
      <c r="F251" s="142"/>
      <c r="G251" s="1047"/>
      <c r="H251" s="1047"/>
      <c r="I251" s="1053"/>
      <c r="J251" s="1047"/>
      <c r="K251" s="1047"/>
      <c r="L251" s="1047"/>
      <c r="M251" s="1047"/>
      <c r="N251" s="1047"/>
      <c r="O251" s="1047"/>
      <c r="P251" s="1053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42"/>
      <c r="AC251" s="142"/>
      <c r="AD251" s="142"/>
      <c r="AE251" s="142"/>
      <c r="AF251" s="142"/>
      <c r="AG251" s="142"/>
      <c r="AH251" s="142"/>
      <c r="AI251" s="1068"/>
      <c r="AJ251" s="1068"/>
      <c r="AK251" s="1068"/>
    </row>
    <row r="252" spans="1:37" s="1024" customFormat="1">
      <c r="A252" s="1044"/>
      <c r="B252" s="1044"/>
      <c r="C252" s="1044"/>
      <c r="D252" s="142"/>
      <c r="E252" s="142"/>
      <c r="F252" s="142"/>
      <c r="G252" s="1047"/>
      <c r="H252" s="1047"/>
      <c r="I252" s="1053"/>
      <c r="J252" s="1047"/>
      <c r="K252" s="1047"/>
      <c r="L252" s="1047"/>
      <c r="M252" s="1047"/>
      <c r="N252" s="1047"/>
      <c r="O252" s="1047"/>
      <c r="P252" s="1053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42"/>
      <c r="AC252" s="142"/>
      <c r="AD252" s="142"/>
      <c r="AE252" s="142"/>
      <c r="AF252" s="142"/>
      <c r="AG252" s="142"/>
      <c r="AH252" s="142"/>
      <c r="AI252" s="1068"/>
      <c r="AJ252" s="1068"/>
      <c r="AK252" s="1068"/>
    </row>
    <row r="253" spans="1:37" s="1024" customFormat="1">
      <c r="A253" s="1044"/>
      <c r="B253" s="1044"/>
      <c r="C253" s="1044"/>
      <c r="D253" s="142"/>
      <c r="E253" s="142"/>
      <c r="F253" s="142"/>
      <c r="G253" s="1047"/>
      <c r="H253" s="1047"/>
      <c r="I253" s="1053"/>
      <c r="J253" s="1047"/>
      <c r="K253" s="1047"/>
      <c r="L253" s="1047"/>
      <c r="M253" s="1047"/>
      <c r="N253" s="1047"/>
      <c r="O253" s="1047"/>
      <c r="P253" s="1053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42"/>
      <c r="AC253" s="142"/>
      <c r="AD253" s="142"/>
      <c r="AE253" s="142"/>
      <c r="AF253" s="142"/>
      <c r="AG253" s="142"/>
      <c r="AH253" s="142"/>
      <c r="AI253" s="1068"/>
      <c r="AJ253" s="1068"/>
      <c r="AK253" s="1068"/>
    </row>
    <row r="254" spans="1:37" s="1024" customFormat="1">
      <c r="A254" s="1044"/>
      <c r="B254" s="1044"/>
      <c r="C254" s="1044"/>
      <c r="D254" s="142"/>
      <c r="E254" s="142"/>
      <c r="F254" s="142"/>
      <c r="G254" s="1047"/>
      <c r="H254" s="1047"/>
      <c r="I254" s="1053"/>
      <c r="J254" s="1047"/>
      <c r="K254" s="1047"/>
      <c r="L254" s="1047"/>
      <c r="M254" s="1047"/>
      <c r="N254" s="1047"/>
      <c r="O254" s="1047"/>
      <c r="P254" s="1053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42"/>
      <c r="AC254" s="142"/>
      <c r="AD254" s="142"/>
      <c r="AE254" s="142"/>
      <c r="AF254" s="142"/>
      <c r="AG254" s="142"/>
      <c r="AH254" s="142"/>
      <c r="AI254" s="1068"/>
      <c r="AJ254" s="1068"/>
      <c r="AK254" s="1068"/>
    </row>
    <row r="255" spans="1:37" s="1024" customFormat="1">
      <c r="A255" s="1044"/>
      <c r="B255" s="1044"/>
      <c r="C255" s="1044"/>
      <c r="D255" s="142"/>
      <c r="E255" s="142"/>
      <c r="F255" s="142"/>
      <c r="G255" s="1047"/>
      <c r="H255" s="1047"/>
      <c r="I255" s="1053"/>
      <c r="J255" s="1047"/>
      <c r="K255" s="1047"/>
      <c r="L255" s="1047"/>
      <c r="M255" s="1047"/>
      <c r="N255" s="1047"/>
      <c r="O255" s="1047"/>
      <c r="P255" s="1053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42"/>
      <c r="AC255" s="142"/>
      <c r="AD255" s="142"/>
      <c r="AE255" s="142"/>
      <c r="AF255" s="142"/>
      <c r="AG255" s="142"/>
      <c r="AH255" s="142"/>
      <c r="AI255" s="1068"/>
      <c r="AJ255" s="1068"/>
      <c r="AK255" s="1068"/>
    </row>
    <row r="256" spans="1:37" s="1024" customFormat="1">
      <c r="A256" s="1044"/>
      <c r="B256" s="1044"/>
      <c r="C256" s="1044"/>
      <c r="D256" s="142"/>
      <c r="E256" s="142"/>
      <c r="F256" s="142"/>
      <c r="G256" s="1047"/>
      <c r="H256" s="1047"/>
      <c r="I256" s="1053"/>
      <c r="J256" s="1047"/>
      <c r="K256" s="1047"/>
      <c r="L256" s="1047"/>
      <c r="M256" s="1047"/>
      <c r="N256" s="1047"/>
      <c r="O256" s="1047"/>
      <c r="P256" s="1053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42"/>
      <c r="AC256" s="142"/>
      <c r="AD256" s="142"/>
      <c r="AE256" s="142"/>
      <c r="AF256" s="142"/>
      <c r="AG256" s="142"/>
      <c r="AH256" s="142"/>
      <c r="AI256" s="1068"/>
      <c r="AJ256" s="1068"/>
      <c r="AK256" s="1068"/>
    </row>
    <row r="257" spans="1:37" s="1024" customFormat="1">
      <c r="A257" s="1044"/>
      <c r="B257" s="1044"/>
      <c r="C257" s="1044"/>
      <c r="D257" s="142"/>
      <c r="E257" s="142"/>
      <c r="F257" s="142"/>
      <c r="G257" s="1047"/>
      <c r="H257" s="1047"/>
      <c r="I257" s="1053"/>
      <c r="J257" s="1047"/>
      <c r="K257" s="1047"/>
      <c r="L257" s="1047"/>
      <c r="M257" s="1047"/>
      <c r="N257" s="1047"/>
      <c r="O257" s="1047"/>
      <c r="P257" s="1053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42"/>
      <c r="AC257" s="142"/>
      <c r="AD257" s="142"/>
      <c r="AE257" s="142"/>
      <c r="AF257" s="142"/>
      <c r="AG257" s="142"/>
      <c r="AH257" s="142"/>
      <c r="AI257" s="1068"/>
      <c r="AJ257" s="1068"/>
      <c r="AK257" s="1068"/>
    </row>
    <row r="258" spans="1:37" s="1024" customFormat="1">
      <c r="A258" s="1044"/>
      <c r="B258" s="1044"/>
      <c r="C258" s="1044"/>
      <c r="D258" s="142"/>
      <c r="E258" s="142"/>
      <c r="F258" s="142"/>
      <c r="G258" s="1047"/>
      <c r="H258" s="1047"/>
      <c r="I258" s="1053"/>
      <c r="J258" s="1047"/>
      <c r="K258" s="1047"/>
      <c r="L258" s="1047"/>
      <c r="M258" s="1047"/>
      <c r="N258" s="1047"/>
      <c r="O258" s="1047"/>
      <c r="P258" s="1053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42"/>
      <c r="AC258" s="142"/>
      <c r="AD258" s="142"/>
      <c r="AE258" s="142"/>
      <c r="AF258" s="142"/>
      <c r="AG258" s="142"/>
      <c r="AH258" s="142"/>
      <c r="AI258" s="1068"/>
      <c r="AJ258" s="1068"/>
      <c r="AK258" s="1068"/>
    </row>
    <row r="259" spans="1:37" s="1024" customFormat="1">
      <c r="A259" s="1044"/>
      <c r="B259" s="1044"/>
      <c r="C259" s="1044"/>
      <c r="D259" s="142"/>
      <c r="E259" s="142"/>
      <c r="F259" s="142"/>
      <c r="G259" s="1047"/>
      <c r="H259" s="1047"/>
      <c r="I259" s="1053"/>
      <c r="J259" s="1047"/>
      <c r="K259" s="1047"/>
      <c r="L259" s="1047"/>
      <c r="M259" s="1047"/>
      <c r="N259" s="1047"/>
      <c r="O259" s="1047"/>
      <c r="P259" s="1053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42"/>
      <c r="AC259" s="142"/>
      <c r="AD259" s="142"/>
      <c r="AE259" s="142"/>
      <c r="AF259" s="142"/>
      <c r="AG259" s="142"/>
      <c r="AH259" s="142"/>
      <c r="AI259" s="1068"/>
      <c r="AJ259" s="1068"/>
      <c r="AK259" s="1068"/>
    </row>
    <row r="260" spans="1:37" s="1024" customFormat="1">
      <c r="A260" s="1044"/>
      <c r="B260" s="1044"/>
      <c r="C260" s="1044"/>
      <c r="D260" s="142"/>
      <c r="E260" s="142"/>
      <c r="F260" s="142"/>
      <c r="G260" s="1047"/>
      <c r="H260" s="1047"/>
      <c r="I260" s="1053"/>
      <c r="J260" s="1047"/>
      <c r="K260" s="1047"/>
      <c r="L260" s="1047"/>
      <c r="M260" s="1047"/>
      <c r="N260" s="1047"/>
      <c r="O260" s="1047"/>
      <c r="P260" s="1053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42"/>
      <c r="AC260" s="142"/>
      <c r="AD260" s="142"/>
      <c r="AE260" s="142"/>
      <c r="AF260" s="142"/>
      <c r="AG260" s="142"/>
      <c r="AH260" s="142"/>
      <c r="AI260" s="1068"/>
      <c r="AJ260" s="1068"/>
      <c r="AK260" s="1068"/>
    </row>
    <row r="261" spans="1:37" s="1024" customFormat="1">
      <c r="A261" s="1044"/>
      <c r="B261" s="1044"/>
      <c r="C261" s="1044"/>
      <c r="D261" s="142"/>
      <c r="E261" s="142"/>
      <c r="F261" s="142"/>
      <c r="G261" s="1047"/>
      <c r="H261" s="1047"/>
      <c r="I261" s="1053"/>
      <c r="J261" s="1047"/>
      <c r="K261" s="1047"/>
      <c r="L261" s="1047"/>
      <c r="M261" s="1047"/>
      <c r="N261" s="1047"/>
      <c r="O261" s="1047"/>
      <c r="P261" s="1053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42"/>
      <c r="AC261" s="142"/>
      <c r="AD261" s="142"/>
      <c r="AE261" s="142"/>
      <c r="AF261" s="142"/>
      <c r="AG261" s="142"/>
      <c r="AH261" s="142"/>
      <c r="AI261" s="1068"/>
      <c r="AJ261" s="1068"/>
      <c r="AK261" s="1068"/>
    </row>
    <row r="262" spans="1:37" s="1024" customFormat="1">
      <c r="A262" s="1044"/>
      <c r="B262" s="1044"/>
      <c r="C262" s="1044"/>
      <c r="D262" s="142"/>
      <c r="E262" s="142"/>
      <c r="F262" s="142"/>
      <c r="G262" s="1047"/>
      <c r="H262" s="1047"/>
      <c r="I262" s="1053"/>
      <c r="J262" s="1047"/>
      <c r="K262" s="1047"/>
      <c r="L262" s="1047"/>
      <c r="M262" s="1047"/>
      <c r="N262" s="1047"/>
      <c r="O262" s="1047"/>
      <c r="P262" s="1053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42"/>
      <c r="AC262" s="142"/>
      <c r="AD262" s="142"/>
      <c r="AE262" s="142"/>
      <c r="AF262" s="142"/>
      <c r="AG262" s="142"/>
      <c r="AH262" s="142"/>
      <c r="AI262" s="1068"/>
      <c r="AJ262" s="1068"/>
      <c r="AK262" s="1068"/>
    </row>
    <row r="263" spans="1:37" s="1024" customFormat="1">
      <c r="A263" s="1044"/>
      <c r="B263" s="1044"/>
      <c r="C263" s="1044"/>
      <c r="D263" s="142"/>
      <c r="E263" s="142"/>
      <c r="F263" s="142"/>
      <c r="G263" s="1047"/>
      <c r="H263" s="1047"/>
      <c r="I263" s="1053"/>
      <c r="J263" s="1047"/>
      <c r="K263" s="1047"/>
      <c r="L263" s="1047"/>
      <c r="M263" s="1047"/>
      <c r="N263" s="1047"/>
      <c r="O263" s="1047"/>
      <c r="P263" s="1053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42"/>
      <c r="AC263" s="142"/>
      <c r="AD263" s="142"/>
      <c r="AE263" s="142"/>
      <c r="AF263" s="142"/>
      <c r="AG263" s="142"/>
      <c r="AH263" s="142"/>
      <c r="AI263" s="1068"/>
      <c r="AJ263" s="1068"/>
      <c r="AK263" s="1068"/>
    </row>
    <row r="264" spans="1:37" s="1024" customFormat="1">
      <c r="A264" s="1044"/>
      <c r="B264" s="1044"/>
      <c r="C264" s="1044"/>
      <c r="D264" s="142"/>
      <c r="E264" s="142"/>
      <c r="F264" s="142"/>
      <c r="G264" s="1047"/>
      <c r="H264" s="1047"/>
      <c r="I264" s="1053"/>
      <c r="J264" s="1047"/>
      <c r="K264" s="1047"/>
      <c r="L264" s="1047"/>
      <c r="M264" s="1047"/>
      <c r="N264" s="1047"/>
      <c r="O264" s="1047"/>
      <c r="P264" s="1053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42"/>
      <c r="AC264" s="142"/>
      <c r="AD264" s="142"/>
      <c r="AE264" s="142"/>
      <c r="AF264" s="142"/>
      <c r="AG264" s="142"/>
      <c r="AH264" s="142"/>
      <c r="AI264" s="1068"/>
      <c r="AJ264" s="1068"/>
      <c r="AK264" s="1068"/>
    </row>
    <row r="265" spans="1:37" s="1024" customFormat="1">
      <c r="A265" s="1044"/>
      <c r="B265" s="1044"/>
      <c r="C265" s="1044"/>
      <c r="D265" s="142"/>
      <c r="E265" s="142"/>
      <c r="F265" s="142"/>
      <c r="G265" s="1047"/>
      <c r="H265" s="1047"/>
      <c r="I265" s="1053"/>
      <c r="J265" s="1047"/>
      <c r="K265" s="1047"/>
      <c r="L265" s="1047"/>
      <c r="M265" s="1047"/>
      <c r="N265" s="1047"/>
      <c r="O265" s="1047"/>
      <c r="P265" s="1053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42"/>
      <c r="AC265" s="142"/>
      <c r="AD265" s="142"/>
      <c r="AE265" s="142"/>
      <c r="AF265" s="142"/>
      <c r="AG265" s="142"/>
      <c r="AH265" s="142"/>
      <c r="AI265" s="1068"/>
      <c r="AJ265" s="1068"/>
      <c r="AK265" s="1068"/>
    </row>
    <row r="266" spans="1:37" s="1024" customFormat="1">
      <c r="A266" s="1044"/>
      <c r="B266" s="1044"/>
      <c r="C266" s="1044"/>
      <c r="D266" s="142"/>
      <c r="E266" s="142"/>
      <c r="F266" s="142"/>
      <c r="G266" s="1047"/>
      <c r="H266" s="1047"/>
      <c r="I266" s="1053"/>
      <c r="J266" s="1047"/>
      <c r="K266" s="1047"/>
      <c r="L266" s="1047"/>
      <c r="M266" s="1047"/>
      <c r="N266" s="1047"/>
      <c r="O266" s="1047"/>
      <c r="P266" s="1053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42"/>
      <c r="AC266" s="142"/>
      <c r="AD266" s="142"/>
      <c r="AE266" s="142"/>
      <c r="AF266" s="142"/>
      <c r="AG266" s="142"/>
      <c r="AH266" s="142"/>
      <c r="AI266" s="1068"/>
      <c r="AJ266" s="1068"/>
      <c r="AK266" s="1068"/>
    </row>
    <row r="267" spans="1:37" s="1024" customFormat="1">
      <c r="A267" s="1044"/>
      <c r="B267" s="1044"/>
      <c r="C267" s="1044"/>
      <c r="D267" s="142"/>
      <c r="E267" s="142"/>
      <c r="F267" s="142"/>
      <c r="G267" s="1047"/>
      <c r="H267" s="1047"/>
      <c r="I267" s="1053"/>
      <c r="J267" s="1047"/>
      <c r="K267" s="1047"/>
      <c r="L267" s="1047"/>
      <c r="M267" s="1047"/>
      <c r="N267" s="1047"/>
      <c r="O267" s="1047"/>
      <c r="P267" s="1053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42"/>
      <c r="AC267" s="142"/>
      <c r="AD267" s="142"/>
      <c r="AE267" s="142"/>
      <c r="AF267" s="142"/>
      <c r="AG267" s="142"/>
      <c r="AH267" s="142"/>
      <c r="AI267" s="1068"/>
      <c r="AJ267" s="1068"/>
      <c r="AK267" s="1068"/>
    </row>
    <row r="268" spans="1:37" s="1024" customFormat="1">
      <c r="A268" s="1044"/>
      <c r="B268" s="1044"/>
      <c r="C268" s="1044"/>
      <c r="D268" s="142"/>
      <c r="E268" s="142"/>
      <c r="F268" s="142"/>
      <c r="G268" s="1047"/>
      <c r="H268" s="1047"/>
      <c r="I268" s="1053"/>
      <c r="J268" s="1047"/>
      <c r="K268" s="1047"/>
      <c r="L268" s="1047"/>
      <c r="M268" s="1047"/>
      <c r="N268" s="1047"/>
      <c r="O268" s="1047"/>
      <c r="P268" s="1053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42"/>
      <c r="AC268" s="142"/>
      <c r="AD268" s="142"/>
      <c r="AE268" s="142"/>
      <c r="AF268" s="142"/>
      <c r="AG268" s="142"/>
      <c r="AH268" s="142"/>
      <c r="AI268" s="1068"/>
      <c r="AJ268" s="1068"/>
      <c r="AK268" s="1068"/>
    </row>
    <row r="269" spans="1:37" s="1024" customFormat="1">
      <c r="A269" s="1044"/>
      <c r="B269" s="1044"/>
      <c r="C269" s="1044"/>
      <c r="D269" s="142"/>
      <c r="E269" s="142"/>
      <c r="F269" s="142"/>
      <c r="G269" s="1047"/>
      <c r="H269" s="1047"/>
      <c r="I269" s="1053"/>
      <c r="J269" s="1047"/>
      <c r="K269" s="1047"/>
      <c r="L269" s="1047"/>
      <c r="M269" s="1047"/>
      <c r="N269" s="1047"/>
      <c r="O269" s="1047"/>
      <c r="P269" s="1053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42"/>
      <c r="AC269" s="142"/>
      <c r="AD269" s="142"/>
      <c r="AE269" s="142"/>
      <c r="AF269" s="142"/>
      <c r="AG269" s="142"/>
      <c r="AH269" s="142"/>
      <c r="AI269" s="1068"/>
      <c r="AJ269" s="1068"/>
      <c r="AK269" s="1068"/>
    </row>
    <row r="270" spans="1:37" s="1024" customFormat="1">
      <c r="A270" s="1044"/>
      <c r="B270" s="1044"/>
      <c r="C270" s="1044"/>
      <c r="D270" s="142"/>
      <c r="E270" s="142"/>
      <c r="F270" s="142"/>
      <c r="G270" s="1047"/>
      <c r="H270" s="1047"/>
      <c r="I270" s="1053"/>
      <c r="J270" s="1047"/>
      <c r="K270" s="1047"/>
      <c r="L270" s="1047"/>
      <c r="M270" s="1047"/>
      <c r="N270" s="1047"/>
      <c r="O270" s="1047"/>
      <c r="P270" s="1053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42"/>
      <c r="AC270" s="142"/>
      <c r="AD270" s="142"/>
      <c r="AE270" s="142"/>
      <c r="AF270" s="142"/>
      <c r="AG270" s="142"/>
      <c r="AH270" s="142"/>
      <c r="AI270" s="1068"/>
      <c r="AJ270" s="1068"/>
      <c r="AK270" s="1068"/>
    </row>
    <row r="271" spans="1:37" s="1024" customFormat="1">
      <c r="A271" s="1044"/>
      <c r="B271" s="1044"/>
      <c r="C271" s="1044"/>
      <c r="D271" s="142"/>
      <c r="E271" s="142"/>
      <c r="F271" s="142"/>
      <c r="G271" s="1047"/>
      <c r="H271" s="1047"/>
      <c r="I271" s="1053"/>
      <c r="J271" s="1047"/>
      <c r="K271" s="1047"/>
      <c r="L271" s="1047"/>
      <c r="M271" s="1047"/>
      <c r="N271" s="1047"/>
      <c r="O271" s="1047"/>
      <c r="P271" s="1053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42"/>
      <c r="AC271" s="142"/>
      <c r="AD271" s="142"/>
      <c r="AE271" s="142"/>
      <c r="AF271" s="142"/>
      <c r="AG271" s="142"/>
      <c r="AH271" s="142"/>
      <c r="AI271" s="1068"/>
      <c r="AJ271" s="1068"/>
      <c r="AK271" s="1068"/>
    </row>
    <row r="272" spans="1:37" s="1024" customFormat="1">
      <c r="A272" s="1044"/>
      <c r="B272" s="1044"/>
      <c r="C272" s="1044"/>
      <c r="D272" s="142"/>
      <c r="E272" s="142"/>
      <c r="F272" s="142"/>
      <c r="G272" s="1047"/>
      <c r="H272" s="1047"/>
      <c r="I272" s="1053"/>
      <c r="J272" s="1047"/>
      <c r="K272" s="1047"/>
      <c r="L272" s="1047"/>
      <c r="M272" s="1047"/>
      <c r="N272" s="1047"/>
      <c r="O272" s="1047"/>
      <c r="P272" s="1053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42"/>
      <c r="AC272" s="142"/>
      <c r="AD272" s="142"/>
      <c r="AE272" s="142"/>
      <c r="AF272" s="142"/>
      <c r="AG272" s="142"/>
      <c r="AH272" s="142"/>
      <c r="AI272" s="1068"/>
      <c r="AJ272" s="1068"/>
      <c r="AK272" s="1068"/>
    </row>
    <row r="273" spans="1:37" s="1024" customFormat="1">
      <c r="A273" s="1044"/>
      <c r="B273" s="1044"/>
      <c r="C273" s="1044"/>
      <c r="D273" s="142"/>
      <c r="E273" s="142"/>
      <c r="F273" s="142"/>
      <c r="G273" s="1047"/>
      <c r="H273" s="1047"/>
      <c r="I273" s="1053"/>
      <c r="J273" s="1047"/>
      <c r="K273" s="1047"/>
      <c r="L273" s="1047"/>
      <c r="M273" s="1047"/>
      <c r="N273" s="1047"/>
      <c r="O273" s="1047"/>
      <c r="P273" s="1053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42"/>
      <c r="AC273" s="142"/>
      <c r="AD273" s="142"/>
      <c r="AE273" s="142"/>
      <c r="AF273" s="142"/>
      <c r="AG273" s="142"/>
      <c r="AH273" s="142"/>
      <c r="AI273" s="1068"/>
      <c r="AJ273" s="1068"/>
      <c r="AK273" s="1068"/>
    </row>
    <row r="274" spans="1:37" s="1024" customFormat="1">
      <c r="A274" s="1044"/>
      <c r="B274" s="1044"/>
      <c r="C274" s="1044"/>
      <c r="D274" s="142"/>
      <c r="E274" s="142"/>
      <c r="F274" s="142"/>
      <c r="G274" s="1047"/>
      <c r="H274" s="1047"/>
      <c r="I274" s="1053"/>
      <c r="J274" s="1047"/>
      <c r="K274" s="1047"/>
      <c r="L274" s="1047"/>
      <c r="M274" s="1047"/>
      <c r="N274" s="1047"/>
      <c r="O274" s="1047"/>
      <c r="P274" s="1053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42"/>
      <c r="AC274" s="142"/>
      <c r="AD274" s="142"/>
      <c r="AE274" s="142"/>
      <c r="AF274" s="142"/>
      <c r="AG274" s="142"/>
      <c r="AH274" s="142"/>
      <c r="AI274" s="1068"/>
      <c r="AJ274" s="1068"/>
      <c r="AK274" s="1068"/>
    </row>
    <row r="275" spans="1:37" s="1024" customFormat="1">
      <c r="A275" s="1044"/>
      <c r="B275" s="1044"/>
      <c r="C275" s="1044"/>
      <c r="D275" s="142"/>
      <c r="E275" s="142"/>
      <c r="F275" s="142"/>
      <c r="G275" s="1047"/>
      <c r="H275" s="1047"/>
      <c r="I275" s="1053"/>
      <c r="J275" s="1047"/>
      <c r="K275" s="1047"/>
      <c r="L275" s="1047"/>
      <c r="M275" s="1047"/>
      <c r="N275" s="1047"/>
      <c r="O275" s="1047"/>
      <c r="P275" s="1053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42"/>
      <c r="AC275" s="142"/>
      <c r="AD275" s="142"/>
      <c r="AE275" s="142"/>
      <c r="AF275" s="142"/>
      <c r="AG275" s="142"/>
      <c r="AH275" s="142"/>
      <c r="AI275" s="1068"/>
      <c r="AJ275" s="1068"/>
      <c r="AK275" s="1068"/>
    </row>
    <row r="276" spans="1:37" s="1024" customFormat="1">
      <c r="A276" s="1044"/>
      <c r="B276" s="1044"/>
      <c r="C276" s="1044"/>
      <c r="D276" s="142"/>
      <c r="E276" s="142"/>
      <c r="F276" s="142"/>
      <c r="G276" s="1047"/>
      <c r="H276" s="1047"/>
      <c r="I276" s="1053"/>
      <c r="J276" s="1047"/>
      <c r="K276" s="1047"/>
      <c r="L276" s="1047"/>
      <c r="M276" s="1047"/>
      <c r="N276" s="1047"/>
      <c r="O276" s="1047"/>
      <c r="P276" s="1053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42"/>
      <c r="AC276" s="142"/>
      <c r="AD276" s="142"/>
      <c r="AE276" s="142"/>
      <c r="AF276" s="142"/>
      <c r="AG276" s="142"/>
      <c r="AH276" s="142"/>
      <c r="AI276" s="1068"/>
      <c r="AJ276" s="1068"/>
      <c r="AK276" s="1068"/>
    </row>
    <row r="277" spans="1:37" s="1024" customFormat="1">
      <c r="A277" s="1044"/>
      <c r="B277" s="1044"/>
      <c r="C277" s="1044"/>
      <c r="D277" s="142"/>
      <c r="E277" s="142"/>
      <c r="F277" s="142"/>
      <c r="G277" s="1047"/>
      <c r="H277" s="1047"/>
      <c r="I277" s="1053"/>
      <c r="J277" s="1047"/>
      <c r="K277" s="1047"/>
      <c r="L277" s="1047"/>
      <c r="M277" s="1047"/>
      <c r="N277" s="1047"/>
      <c r="O277" s="1047"/>
      <c r="P277" s="1053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42"/>
      <c r="AC277" s="142"/>
      <c r="AD277" s="142"/>
      <c r="AE277" s="142"/>
      <c r="AF277" s="142"/>
      <c r="AG277" s="142"/>
      <c r="AH277" s="142"/>
      <c r="AI277" s="1068"/>
      <c r="AJ277" s="1068"/>
      <c r="AK277" s="1068"/>
    </row>
    <row r="278" spans="1:37" s="1024" customFormat="1">
      <c r="A278" s="1044"/>
      <c r="B278" s="1044"/>
      <c r="C278" s="1044"/>
      <c r="D278" s="142"/>
      <c r="E278" s="142"/>
      <c r="F278" s="142"/>
      <c r="G278" s="1047"/>
      <c r="H278" s="1047"/>
      <c r="I278" s="1053"/>
      <c r="J278" s="1047"/>
      <c r="K278" s="1047"/>
      <c r="L278" s="1047"/>
      <c r="M278" s="1047"/>
      <c r="N278" s="1047"/>
      <c r="O278" s="1047"/>
      <c r="P278" s="1053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42"/>
      <c r="AC278" s="142"/>
      <c r="AD278" s="142"/>
      <c r="AE278" s="142"/>
      <c r="AF278" s="142"/>
      <c r="AG278" s="142"/>
      <c r="AH278" s="142"/>
      <c r="AI278" s="1068"/>
      <c r="AJ278" s="1068"/>
      <c r="AK278" s="1068"/>
    </row>
    <row r="279" spans="1:37" s="1024" customFormat="1">
      <c r="A279" s="1044"/>
      <c r="B279" s="1044"/>
      <c r="C279" s="1044"/>
      <c r="D279" s="142"/>
      <c r="E279" s="142"/>
      <c r="F279" s="142"/>
      <c r="G279" s="1047"/>
      <c r="H279" s="1047"/>
      <c r="I279" s="1053"/>
      <c r="J279" s="1047"/>
      <c r="K279" s="1047"/>
      <c r="L279" s="1047"/>
      <c r="M279" s="1047"/>
      <c r="N279" s="1047"/>
      <c r="O279" s="1047"/>
      <c r="P279" s="1053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42"/>
      <c r="AC279" s="142"/>
      <c r="AD279" s="142"/>
      <c r="AE279" s="142"/>
      <c r="AF279" s="142"/>
      <c r="AG279" s="142"/>
      <c r="AH279" s="142"/>
      <c r="AI279" s="1068"/>
      <c r="AJ279" s="1068"/>
      <c r="AK279" s="1068"/>
    </row>
    <row r="280" spans="1:37" s="1024" customFormat="1">
      <c r="A280" s="1044"/>
      <c r="B280" s="1044"/>
      <c r="C280" s="1044"/>
      <c r="D280" s="142"/>
      <c r="E280" s="142"/>
      <c r="F280" s="142"/>
      <c r="G280" s="1047"/>
      <c r="H280" s="1047"/>
      <c r="I280" s="1053"/>
      <c r="J280" s="1047"/>
      <c r="K280" s="1047"/>
      <c r="L280" s="1047"/>
      <c r="M280" s="1047"/>
      <c r="N280" s="1047"/>
      <c r="O280" s="1047"/>
      <c r="P280" s="1053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42"/>
      <c r="AC280" s="142"/>
      <c r="AD280" s="142"/>
      <c r="AE280" s="142"/>
      <c r="AF280" s="142"/>
      <c r="AG280" s="142"/>
      <c r="AH280" s="142"/>
      <c r="AI280" s="1068"/>
      <c r="AJ280" s="1068"/>
      <c r="AK280" s="1068"/>
    </row>
    <row r="281" spans="1:37" s="1024" customFormat="1">
      <c r="A281" s="1044"/>
      <c r="B281" s="1044"/>
      <c r="C281" s="1044"/>
      <c r="D281" s="142"/>
      <c r="E281" s="142"/>
      <c r="F281" s="142"/>
      <c r="G281" s="1047"/>
      <c r="H281" s="1047"/>
      <c r="I281" s="1053"/>
      <c r="J281" s="1047"/>
      <c r="K281" s="1047"/>
      <c r="L281" s="1047"/>
      <c r="M281" s="1047"/>
      <c r="N281" s="1047"/>
      <c r="O281" s="1047"/>
      <c r="P281" s="1053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42"/>
      <c r="AC281" s="142"/>
      <c r="AD281" s="142"/>
      <c r="AE281" s="142"/>
      <c r="AF281" s="142"/>
      <c r="AG281" s="142"/>
      <c r="AH281" s="142"/>
      <c r="AI281" s="1068"/>
      <c r="AJ281" s="1068"/>
      <c r="AK281" s="1068"/>
    </row>
    <row r="282" spans="1:37" s="1024" customFormat="1">
      <c r="A282" s="1044"/>
      <c r="B282" s="1044"/>
      <c r="C282" s="1044"/>
      <c r="D282" s="142"/>
      <c r="E282" s="142"/>
      <c r="F282" s="142"/>
      <c r="G282" s="1047"/>
      <c r="H282" s="1047"/>
      <c r="I282" s="1053"/>
      <c r="J282" s="1047"/>
      <c r="K282" s="1047"/>
      <c r="L282" s="1047"/>
      <c r="M282" s="1047"/>
      <c r="N282" s="1047"/>
      <c r="O282" s="1047"/>
      <c r="P282" s="1053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42"/>
      <c r="AC282" s="142"/>
      <c r="AD282" s="142"/>
      <c r="AE282" s="142"/>
      <c r="AF282" s="142"/>
      <c r="AG282" s="142"/>
      <c r="AH282" s="142"/>
      <c r="AI282" s="1068"/>
      <c r="AJ282" s="1068"/>
      <c r="AK282" s="1068"/>
    </row>
    <row r="283" spans="1:37" s="1024" customFormat="1">
      <c r="A283" s="1044"/>
      <c r="B283" s="1044"/>
      <c r="C283" s="1044"/>
      <c r="D283" s="142"/>
      <c r="E283" s="142"/>
      <c r="F283" s="142"/>
      <c r="G283" s="1047"/>
      <c r="H283" s="1047"/>
      <c r="I283" s="1053"/>
      <c r="J283" s="1047"/>
      <c r="K283" s="1047"/>
      <c r="L283" s="1047"/>
      <c r="M283" s="1047"/>
      <c r="N283" s="1047"/>
      <c r="O283" s="1047"/>
      <c r="P283" s="1053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42"/>
      <c r="AC283" s="142"/>
      <c r="AD283" s="142"/>
      <c r="AE283" s="142"/>
      <c r="AF283" s="142"/>
      <c r="AG283" s="142"/>
      <c r="AH283" s="142"/>
      <c r="AI283" s="1068"/>
      <c r="AJ283" s="1068"/>
      <c r="AK283" s="1068"/>
    </row>
    <row r="284" spans="1:37" s="1024" customFormat="1">
      <c r="A284" s="1044"/>
      <c r="B284" s="1044"/>
      <c r="C284" s="1044"/>
      <c r="D284" s="142"/>
      <c r="E284" s="142"/>
      <c r="F284" s="142"/>
      <c r="G284" s="1047"/>
      <c r="H284" s="1047"/>
      <c r="I284" s="1053"/>
      <c r="J284" s="1047"/>
      <c r="K284" s="1047"/>
      <c r="L284" s="1047"/>
      <c r="M284" s="1047"/>
      <c r="N284" s="1047"/>
      <c r="O284" s="1047"/>
      <c r="P284" s="1053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42"/>
      <c r="AC284" s="142"/>
      <c r="AD284" s="142"/>
      <c r="AE284" s="142"/>
      <c r="AF284" s="142"/>
      <c r="AG284" s="142"/>
      <c r="AH284" s="142"/>
      <c r="AI284" s="1068"/>
      <c r="AJ284" s="1068"/>
      <c r="AK284" s="1068"/>
    </row>
    <row r="285" spans="1:37" s="1024" customFormat="1">
      <c r="A285" s="1044"/>
      <c r="B285" s="1044"/>
      <c r="C285" s="1044"/>
      <c r="D285" s="142"/>
      <c r="E285" s="142"/>
      <c r="F285" s="142"/>
      <c r="G285" s="1047"/>
      <c r="H285" s="1047"/>
      <c r="I285" s="1053"/>
      <c r="J285" s="1047"/>
      <c r="K285" s="1047"/>
      <c r="L285" s="1047"/>
      <c r="M285" s="1047"/>
      <c r="N285" s="1047"/>
      <c r="O285" s="1047"/>
      <c r="P285" s="1053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42"/>
      <c r="AC285" s="142"/>
      <c r="AD285" s="142"/>
      <c r="AE285" s="142"/>
      <c r="AF285" s="142"/>
      <c r="AG285" s="142"/>
      <c r="AH285" s="142"/>
      <c r="AI285" s="1068"/>
      <c r="AJ285" s="1068"/>
      <c r="AK285" s="1068"/>
    </row>
    <row r="286" spans="1:37" s="1024" customFormat="1">
      <c r="A286" s="1044"/>
      <c r="B286" s="1044"/>
      <c r="C286" s="1044"/>
      <c r="D286" s="142"/>
      <c r="E286" s="142"/>
      <c r="F286" s="142"/>
      <c r="G286" s="1047"/>
      <c r="H286" s="1047"/>
      <c r="I286" s="1053"/>
      <c r="J286" s="1047"/>
      <c r="K286" s="1047"/>
      <c r="L286" s="1047"/>
      <c r="M286" s="1047"/>
      <c r="N286" s="1047"/>
      <c r="O286" s="1047"/>
      <c r="P286" s="1053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42"/>
      <c r="AC286" s="142"/>
      <c r="AD286" s="142"/>
      <c r="AE286" s="142"/>
      <c r="AF286" s="142"/>
      <c r="AG286" s="142"/>
      <c r="AH286" s="142"/>
      <c r="AI286" s="1068"/>
      <c r="AJ286" s="1068"/>
      <c r="AK286" s="1068"/>
    </row>
    <row r="287" spans="1:37" s="1024" customFormat="1">
      <c r="A287" s="1044"/>
      <c r="B287" s="1044"/>
      <c r="C287" s="1044"/>
      <c r="D287" s="142"/>
      <c r="E287" s="142"/>
      <c r="F287" s="142"/>
      <c r="G287" s="1047"/>
      <c r="H287" s="1047"/>
      <c r="I287" s="1053"/>
      <c r="J287" s="1047"/>
      <c r="K287" s="1047"/>
      <c r="L287" s="1047"/>
      <c r="M287" s="1047"/>
      <c r="N287" s="1047"/>
      <c r="O287" s="1047"/>
      <c r="P287" s="1053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42"/>
      <c r="AC287" s="142"/>
      <c r="AD287" s="142"/>
      <c r="AE287" s="142"/>
      <c r="AF287" s="142"/>
      <c r="AG287" s="142"/>
      <c r="AH287" s="142"/>
      <c r="AI287" s="1068"/>
      <c r="AJ287" s="1068"/>
      <c r="AK287" s="1068"/>
    </row>
    <row r="288" spans="1:37" s="1024" customFormat="1">
      <c r="A288" s="1044"/>
      <c r="B288" s="1044"/>
      <c r="C288" s="1044"/>
      <c r="D288" s="142"/>
      <c r="E288" s="142"/>
      <c r="F288" s="142"/>
      <c r="G288" s="1047"/>
      <c r="H288" s="1047"/>
      <c r="I288" s="1053"/>
      <c r="J288" s="1047"/>
      <c r="K288" s="1047"/>
      <c r="L288" s="1047"/>
      <c r="M288" s="1047"/>
      <c r="N288" s="1047"/>
      <c r="O288" s="1047"/>
      <c r="P288" s="1053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42"/>
      <c r="AC288" s="142"/>
      <c r="AD288" s="142"/>
      <c r="AE288" s="142"/>
      <c r="AF288" s="142"/>
      <c r="AG288" s="142"/>
      <c r="AH288" s="142"/>
      <c r="AI288" s="1068"/>
      <c r="AJ288" s="1068"/>
      <c r="AK288" s="1068"/>
    </row>
    <row r="289" spans="1:37" s="1024" customFormat="1">
      <c r="A289" s="1044"/>
      <c r="B289" s="1044"/>
      <c r="C289" s="1044"/>
      <c r="D289" s="142"/>
      <c r="E289" s="142"/>
      <c r="F289" s="142"/>
      <c r="G289" s="1047"/>
      <c r="H289" s="1047"/>
      <c r="I289" s="1053"/>
      <c r="J289" s="1047"/>
      <c r="K289" s="1047"/>
      <c r="L289" s="1047"/>
      <c r="M289" s="1047"/>
      <c r="N289" s="1047"/>
      <c r="O289" s="1047"/>
      <c r="P289" s="1053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42"/>
      <c r="AC289" s="142"/>
      <c r="AD289" s="142"/>
      <c r="AE289" s="142"/>
      <c r="AF289" s="142"/>
      <c r="AG289" s="142"/>
      <c r="AH289" s="142"/>
      <c r="AI289" s="1068"/>
      <c r="AJ289" s="1068"/>
      <c r="AK289" s="1068"/>
    </row>
    <row r="290" spans="1:37" s="1024" customFormat="1">
      <c r="A290" s="1044"/>
      <c r="B290" s="1044"/>
      <c r="C290" s="1044"/>
      <c r="D290" s="142"/>
      <c r="E290" s="142"/>
      <c r="F290" s="142"/>
      <c r="G290" s="1047"/>
      <c r="H290" s="1047"/>
      <c r="I290" s="1053"/>
      <c r="J290" s="1047"/>
      <c r="K290" s="1047"/>
      <c r="L290" s="1047"/>
      <c r="M290" s="1047"/>
      <c r="N290" s="1047"/>
      <c r="O290" s="1047"/>
      <c r="P290" s="1053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42"/>
      <c r="AC290" s="142"/>
      <c r="AD290" s="142"/>
      <c r="AE290" s="142"/>
      <c r="AF290" s="142"/>
      <c r="AG290" s="142"/>
      <c r="AH290" s="142"/>
      <c r="AI290" s="1068"/>
      <c r="AJ290" s="1068"/>
      <c r="AK290" s="1068"/>
    </row>
    <row r="291" spans="1:37" s="1024" customFormat="1">
      <c r="A291" s="1044"/>
      <c r="B291" s="1044"/>
      <c r="C291" s="1044"/>
      <c r="D291" s="142"/>
      <c r="E291" s="142"/>
      <c r="F291" s="142"/>
      <c r="G291" s="1047"/>
      <c r="H291" s="1047"/>
      <c r="I291" s="1053"/>
      <c r="J291" s="1047"/>
      <c r="K291" s="1047"/>
      <c r="L291" s="1047"/>
      <c r="M291" s="1047"/>
      <c r="N291" s="1047"/>
      <c r="O291" s="1047"/>
      <c r="P291" s="1053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42"/>
      <c r="AC291" s="142"/>
      <c r="AD291" s="142"/>
      <c r="AE291" s="142"/>
      <c r="AF291" s="142"/>
      <c r="AG291" s="142"/>
      <c r="AH291" s="142"/>
      <c r="AI291" s="1068"/>
      <c r="AJ291" s="1068"/>
      <c r="AK291" s="1068"/>
    </row>
    <row r="292" spans="1:37" s="1024" customFormat="1">
      <c r="A292" s="1044"/>
      <c r="B292" s="1044"/>
      <c r="C292" s="1044"/>
      <c r="D292" s="142"/>
      <c r="E292" s="142"/>
      <c r="F292" s="142"/>
      <c r="G292" s="1047"/>
      <c r="H292" s="1047"/>
      <c r="I292" s="1053"/>
      <c r="J292" s="1047"/>
      <c r="K292" s="1047"/>
      <c r="L292" s="1047"/>
      <c r="M292" s="1047"/>
      <c r="N292" s="1047"/>
      <c r="O292" s="1047"/>
      <c r="P292" s="1053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42"/>
      <c r="AC292" s="142"/>
      <c r="AD292" s="142"/>
      <c r="AE292" s="142"/>
      <c r="AF292" s="142"/>
      <c r="AG292" s="142"/>
      <c r="AH292" s="142"/>
      <c r="AI292" s="1068"/>
      <c r="AJ292" s="1068"/>
      <c r="AK292" s="1068"/>
    </row>
    <row r="293" spans="1:37" s="1024" customFormat="1">
      <c r="A293" s="1044"/>
      <c r="B293" s="1044"/>
      <c r="C293" s="1044"/>
      <c r="D293" s="142"/>
      <c r="E293" s="142"/>
      <c r="F293" s="142"/>
      <c r="G293" s="1047"/>
      <c r="H293" s="1047"/>
      <c r="I293" s="1053"/>
      <c r="J293" s="1047"/>
      <c r="K293" s="1047"/>
      <c r="L293" s="1047"/>
      <c r="M293" s="1047"/>
      <c r="N293" s="1047"/>
      <c r="O293" s="1047"/>
      <c r="P293" s="1053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42"/>
      <c r="AC293" s="142"/>
      <c r="AD293" s="142"/>
      <c r="AE293" s="142"/>
      <c r="AF293" s="142"/>
      <c r="AG293" s="142"/>
      <c r="AH293" s="142"/>
      <c r="AI293" s="1068"/>
      <c r="AJ293" s="1068"/>
      <c r="AK293" s="1068"/>
    </row>
    <row r="294" spans="1:37" s="1024" customFormat="1">
      <c r="A294" s="1044"/>
      <c r="B294" s="1044"/>
      <c r="C294" s="1044"/>
      <c r="D294" s="142"/>
      <c r="E294" s="142"/>
      <c r="F294" s="142"/>
      <c r="G294" s="1047"/>
      <c r="H294" s="1047"/>
      <c r="I294" s="1053"/>
      <c r="J294" s="1047"/>
      <c r="K294" s="1047"/>
      <c r="L294" s="1047"/>
      <c r="M294" s="1047"/>
      <c r="N294" s="1047"/>
      <c r="O294" s="1047"/>
      <c r="P294" s="1053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42"/>
      <c r="AC294" s="142"/>
      <c r="AD294" s="142"/>
      <c r="AE294" s="142"/>
      <c r="AF294" s="142"/>
      <c r="AG294" s="142"/>
      <c r="AH294" s="142"/>
      <c r="AI294" s="1068"/>
      <c r="AJ294" s="1068"/>
      <c r="AK294" s="1068"/>
    </row>
    <row r="295" spans="1:37" s="1024" customFormat="1">
      <c r="A295" s="1044"/>
      <c r="B295" s="1044"/>
      <c r="C295" s="1044"/>
      <c r="D295" s="142"/>
      <c r="E295" s="142"/>
      <c r="F295" s="142"/>
      <c r="G295" s="1047"/>
      <c r="H295" s="1047"/>
      <c r="I295" s="1053"/>
      <c r="J295" s="1047"/>
      <c r="K295" s="1047"/>
      <c r="L295" s="1047"/>
      <c r="M295" s="1047"/>
      <c r="N295" s="1047"/>
      <c r="O295" s="1047"/>
      <c r="P295" s="1053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42"/>
      <c r="AC295" s="142"/>
      <c r="AD295" s="142"/>
      <c r="AE295" s="142"/>
      <c r="AF295" s="142"/>
      <c r="AG295" s="142"/>
      <c r="AH295" s="142"/>
      <c r="AI295" s="1068"/>
      <c r="AJ295" s="1068"/>
      <c r="AK295" s="1068"/>
    </row>
    <row r="296" spans="1:37" s="1024" customFormat="1">
      <c r="A296" s="1044"/>
      <c r="B296" s="1044"/>
      <c r="C296" s="1044"/>
      <c r="D296" s="142"/>
      <c r="E296" s="142"/>
      <c r="F296" s="142"/>
      <c r="G296" s="1047"/>
      <c r="H296" s="1047"/>
      <c r="I296" s="1053"/>
      <c r="J296" s="1047"/>
      <c r="K296" s="1047"/>
      <c r="L296" s="1047"/>
      <c r="M296" s="1047"/>
      <c r="N296" s="1047"/>
      <c r="O296" s="1047"/>
      <c r="P296" s="1053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42"/>
      <c r="AC296" s="142"/>
      <c r="AD296" s="142"/>
      <c r="AE296" s="142"/>
      <c r="AF296" s="142"/>
      <c r="AG296" s="142"/>
      <c r="AH296" s="142"/>
      <c r="AI296" s="1068"/>
      <c r="AJ296" s="1068"/>
      <c r="AK296" s="1068"/>
    </row>
    <row r="297" spans="1:37" s="1024" customFormat="1">
      <c r="A297" s="1044"/>
      <c r="B297" s="1044"/>
      <c r="C297" s="1044"/>
      <c r="D297" s="142"/>
      <c r="E297" s="142"/>
      <c r="F297" s="142"/>
      <c r="G297" s="1047"/>
      <c r="H297" s="1047"/>
      <c r="I297" s="1053"/>
      <c r="J297" s="1047"/>
      <c r="K297" s="1047"/>
      <c r="L297" s="1047"/>
      <c r="M297" s="1047"/>
      <c r="N297" s="1047"/>
      <c r="O297" s="1047"/>
      <c r="P297" s="1053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42"/>
      <c r="AC297" s="142"/>
      <c r="AD297" s="142"/>
      <c r="AE297" s="142"/>
      <c r="AF297" s="142"/>
      <c r="AG297" s="142"/>
      <c r="AH297" s="142"/>
      <c r="AI297" s="1068"/>
      <c r="AJ297" s="1068"/>
      <c r="AK297" s="1068"/>
    </row>
    <row r="298" spans="1:37" s="1024" customFormat="1">
      <c r="A298" s="1044"/>
      <c r="B298" s="1044"/>
      <c r="C298" s="1044"/>
      <c r="D298" s="142"/>
      <c r="E298" s="142"/>
      <c r="F298" s="142"/>
      <c r="G298" s="1047"/>
      <c r="H298" s="1047"/>
      <c r="I298" s="1053"/>
      <c r="J298" s="1047"/>
      <c r="K298" s="1047"/>
      <c r="L298" s="1047"/>
      <c r="M298" s="1047"/>
      <c r="N298" s="1047"/>
      <c r="O298" s="1047"/>
      <c r="P298" s="1053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42"/>
      <c r="AC298" s="142"/>
      <c r="AD298" s="142"/>
      <c r="AE298" s="142"/>
      <c r="AF298" s="142"/>
      <c r="AG298" s="142"/>
      <c r="AH298" s="142"/>
      <c r="AI298" s="1068"/>
      <c r="AJ298" s="1068"/>
      <c r="AK298" s="1068"/>
    </row>
    <row r="299" spans="1:37" s="1024" customFormat="1">
      <c r="A299" s="1044"/>
      <c r="B299" s="1044"/>
      <c r="C299" s="1044"/>
      <c r="D299" s="142"/>
      <c r="E299" s="142"/>
      <c r="F299" s="142"/>
      <c r="G299" s="1047"/>
      <c r="H299" s="1047"/>
      <c r="I299" s="1053"/>
      <c r="J299" s="1047"/>
      <c r="K299" s="1047"/>
      <c r="L299" s="1047"/>
      <c r="M299" s="1047"/>
      <c r="N299" s="1047"/>
      <c r="O299" s="1047"/>
      <c r="P299" s="1053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42"/>
      <c r="AC299" s="142"/>
      <c r="AD299" s="142"/>
      <c r="AE299" s="142"/>
      <c r="AF299" s="142"/>
      <c r="AG299" s="142"/>
      <c r="AH299" s="142"/>
      <c r="AI299" s="1068"/>
      <c r="AJ299" s="1068"/>
      <c r="AK299" s="1068"/>
    </row>
    <row r="300" spans="1:37" s="1024" customFormat="1">
      <c r="A300" s="1044"/>
      <c r="B300" s="1044"/>
      <c r="C300" s="1044"/>
      <c r="D300" s="142"/>
      <c r="E300" s="142"/>
      <c r="F300" s="142"/>
      <c r="G300" s="1047"/>
      <c r="H300" s="1047"/>
      <c r="I300" s="1053"/>
      <c r="J300" s="1047"/>
      <c r="K300" s="1047"/>
      <c r="L300" s="1047"/>
      <c r="M300" s="1047"/>
      <c r="N300" s="1047"/>
      <c r="O300" s="1047"/>
      <c r="P300" s="1053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42"/>
      <c r="AC300" s="142"/>
      <c r="AD300" s="142"/>
      <c r="AE300" s="142"/>
      <c r="AF300" s="142"/>
      <c r="AG300" s="142"/>
      <c r="AH300" s="142"/>
      <c r="AI300" s="1068"/>
      <c r="AJ300" s="1068"/>
      <c r="AK300" s="1068"/>
    </row>
    <row r="301" spans="1:37" s="1024" customFormat="1">
      <c r="A301" s="1044"/>
      <c r="B301" s="1044"/>
      <c r="C301" s="1044"/>
      <c r="D301" s="142"/>
      <c r="E301" s="142"/>
      <c r="F301" s="142"/>
      <c r="G301" s="1047"/>
      <c r="H301" s="1047"/>
      <c r="I301" s="1053"/>
      <c r="J301" s="1047"/>
      <c r="K301" s="1047"/>
      <c r="L301" s="1047"/>
      <c r="M301" s="1047"/>
      <c r="N301" s="1047"/>
      <c r="O301" s="1047"/>
      <c r="P301" s="1053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42"/>
      <c r="AC301" s="142"/>
      <c r="AD301" s="142"/>
      <c r="AE301" s="142"/>
      <c r="AF301" s="142"/>
      <c r="AG301" s="142"/>
      <c r="AH301" s="142"/>
      <c r="AI301" s="1068"/>
      <c r="AJ301" s="1068"/>
      <c r="AK301" s="1068"/>
    </row>
    <row r="302" spans="1:37" s="1024" customFormat="1">
      <c r="A302" s="1044"/>
      <c r="B302" s="1044"/>
      <c r="C302" s="1044"/>
      <c r="D302" s="142"/>
      <c r="E302" s="142"/>
      <c r="F302" s="142"/>
      <c r="G302" s="1047"/>
      <c r="H302" s="1047"/>
      <c r="I302" s="1053"/>
      <c r="J302" s="1047"/>
      <c r="K302" s="1047"/>
      <c r="L302" s="1047"/>
      <c r="M302" s="1047"/>
      <c r="N302" s="1047"/>
      <c r="O302" s="1047"/>
      <c r="P302" s="1053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42"/>
      <c r="AC302" s="142"/>
      <c r="AD302" s="142"/>
      <c r="AE302" s="142"/>
      <c r="AF302" s="142"/>
      <c r="AG302" s="142"/>
      <c r="AH302" s="142"/>
      <c r="AI302" s="1068"/>
      <c r="AJ302" s="1068"/>
      <c r="AK302" s="1068"/>
    </row>
    <row r="303" spans="1:37" s="1024" customFormat="1">
      <c r="A303" s="1044"/>
      <c r="B303" s="1044"/>
      <c r="C303" s="1044"/>
      <c r="D303" s="142"/>
      <c r="E303" s="142"/>
      <c r="F303" s="142"/>
      <c r="G303" s="1047"/>
      <c r="H303" s="1047"/>
      <c r="I303" s="1053"/>
      <c r="J303" s="1047"/>
      <c r="K303" s="1047"/>
      <c r="L303" s="1047"/>
      <c r="M303" s="1047"/>
      <c r="N303" s="1047"/>
      <c r="O303" s="1047"/>
      <c r="P303" s="1053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42"/>
      <c r="AC303" s="142"/>
      <c r="AD303" s="142"/>
      <c r="AE303" s="142"/>
      <c r="AF303" s="142"/>
      <c r="AG303" s="142"/>
      <c r="AH303" s="142"/>
      <c r="AI303" s="1068"/>
      <c r="AJ303" s="1068"/>
      <c r="AK303" s="1068"/>
    </row>
    <row r="304" spans="1:37" s="1024" customFormat="1">
      <c r="A304" s="1044"/>
      <c r="B304" s="1044"/>
      <c r="C304" s="1044"/>
      <c r="D304" s="142"/>
      <c r="E304" s="142"/>
      <c r="F304" s="142"/>
      <c r="G304" s="1047"/>
      <c r="H304" s="1047"/>
      <c r="I304" s="1053"/>
      <c r="J304" s="1047"/>
      <c r="K304" s="1047"/>
      <c r="L304" s="1047"/>
      <c r="M304" s="1047"/>
      <c r="N304" s="1047"/>
      <c r="O304" s="1047"/>
      <c r="P304" s="1053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42"/>
      <c r="AC304" s="142"/>
      <c r="AD304" s="142"/>
      <c r="AE304" s="142"/>
      <c r="AF304" s="142"/>
      <c r="AG304" s="142"/>
      <c r="AH304" s="142"/>
      <c r="AI304" s="1068"/>
      <c r="AJ304" s="1068"/>
      <c r="AK304" s="1068"/>
    </row>
    <row r="305" spans="1:37" s="1024" customFormat="1">
      <c r="A305" s="1044"/>
      <c r="B305" s="1044"/>
      <c r="C305" s="1044"/>
      <c r="D305" s="142"/>
      <c r="E305" s="142"/>
      <c r="F305" s="142"/>
      <c r="G305" s="1047"/>
      <c r="H305" s="1047"/>
      <c r="I305" s="1053"/>
      <c r="J305" s="1047"/>
      <c r="K305" s="1047"/>
      <c r="L305" s="1047"/>
      <c r="M305" s="1047"/>
      <c r="N305" s="1047"/>
      <c r="O305" s="1047"/>
      <c r="P305" s="1053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42"/>
      <c r="AC305" s="142"/>
      <c r="AD305" s="142"/>
      <c r="AE305" s="142"/>
      <c r="AF305" s="142"/>
      <c r="AG305" s="142"/>
      <c r="AH305" s="142"/>
      <c r="AI305" s="1068"/>
      <c r="AJ305" s="1068"/>
      <c r="AK305" s="1068"/>
    </row>
    <row r="306" spans="1:37" s="1024" customFormat="1">
      <c r="A306" s="1044"/>
      <c r="B306" s="1044"/>
      <c r="C306" s="1044"/>
      <c r="D306" s="142"/>
      <c r="E306" s="142"/>
      <c r="F306" s="142"/>
      <c r="G306" s="1047"/>
      <c r="H306" s="1047"/>
      <c r="I306" s="1053"/>
      <c r="J306" s="1047"/>
      <c r="K306" s="1047"/>
      <c r="L306" s="1047"/>
      <c r="M306" s="1047"/>
      <c r="N306" s="1047"/>
      <c r="O306" s="1047"/>
      <c r="P306" s="1053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42"/>
      <c r="AC306" s="142"/>
      <c r="AD306" s="142"/>
      <c r="AE306" s="142"/>
      <c r="AF306" s="142"/>
      <c r="AG306" s="142"/>
      <c r="AH306" s="142"/>
      <c r="AI306" s="1068"/>
      <c r="AJ306" s="1068"/>
      <c r="AK306" s="1068"/>
    </row>
    <row r="307" spans="1:37" s="1024" customFormat="1">
      <c r="A307" s="1044"/>
      <c r="B307" s="1044"/>
      <c r="C307" s="1044"/>
      <c r="D307" s="142"/>
      <c r="E307" s="142"/>
      <c r="F307" s="142"/>
      <c r="G307" s="1047"/>
      <c r="H307" s="1047"/>
      <c r="I307" s="1053"/>
      <c r="J307" s="1047"/>
      <c r="K307" s="1047"/>
      <c r="L307" s="1047"/>
      <c r="M307" s="1047"/>
      <c r="N307" s="1047"/>
      <c r="O307" s="1047"/>
      <c r="P307" s="1053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42"/>
      <c r="AC307" s="142"/>
      <c r="AD307" s="142"/>
      <c r="AE307" s="142"/>
      <c r="AF307" s="142"/>
      <c r="AG307" s="142"/>
      <c r="AH307" s="142"/>
      <c r="AI307" s="1068"/>
      <c r="AJ307" s="1068"/>
      <c r="AK307" s="1068"/>
    </row>
    <row r="308" spans="1:37" s="1024" customFormat="1">
      <c r="A308" s="1044"/>
      <c r="B308" s="1044"/>
      <c r="C308" s="1044"/>
      <c r="D308" s="142"/>
      <c r="E308" s="142"/>
      <c r="F308" s="142"/>
      <c r="G308" s="1047"/>
      <c r="H308" s="1047"/>
      <c r="I308" s="1053"/>
      <c r="J308" s="1047"/>
      <c r="K308" s="1047"/>
      <c r="L308" s="1047"/>
      <c r="M308" s="1047"/>
      <c r="N308" s="1047"/>
      <c r="O308" s="1047"/>
      <c r="P308" s="1053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42"/>
      <c r="AC308" s="142"/>
      <c r="AD308" s="142"/>
      <c r="AE308" s="142"/>
      <c r="AF308" s="142"/>
      <c r="AG308" s="142"/>
      <c r="AH308" s="142"/>
      <c r="AI308" s="1068"/>
      <c r="AJ308" s="1068"/>
      <c r="AK308" s="1068"/>
    </row>
    <row r="309" spans="1:37" s="1024" customFormat="1">
      <c r="A309" s="1044"/>
      <c r="B309" s="1044"/>
      <c r="C309" s="1044"/>
      <c r="D309" s="142"/>
      <c r="E309" s="142"/>
      <c r="F309" s="142"/>
      <c r="G309" s="1047"/>
      <c r="H309" s="1047"/>
      <c r="I309" s="1053"/>
      <c r="J309" s="1047"/>
      <c r="K309" s="1047"/>
      <c r="L309" s="1047"/>
      <c r="M309" s="1047"/>
      <c r="N309" s="1047"/>
      <c r="O309" s="1047"/>
      <c r="P309" s="1053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42"/>
      <c r="AC309" s="142"/>
      <c r="AD309" s="142"/>
      <c r="AE309" s="142"/>
      <c r="AF309" s="142"/>
      <c r="AG309" s="142"/>
      <c r="AH309" s="142"/>
      <c r="AI309" s="1068"/>
      <c r="AJ309" s="1068"/>
      <c r="AK309" s="1068"/>
    </row>
    <row r="310" spans="1:37" s="1024" customFormat="1">
      <c r="A310" s="1044"/>
      <c r="B310" s="1044"/>
      <c r="C310" s="1044"/>
      <c r="D310" s="142"/>
      <c r="E310" s="142"/>
      <c r="F310" s="142"/>
      <c r="G310" s="1047"/>
      <c r="H310" s="1047"/>
      <c r="I310" s="1053"/>
      <c r="J310" s="1047"/>
      <c r="K310" s="1047"/>
      <c r="L310" s="1047"/>
      <c r="M310" s="1047"/>
      <c r="N310" s="1047"/>
      <c r="O310" s="1047"/>
      <c r="P310" s="1053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42"/>
      <c r="AC310" s="142"/>
      <c r="AD310" s="142"/>
      <c r="AE310" s="142"/>
      <c r="AF310" s="142"/>
      <c r="AG310" s="142"/>
      <c r="AH310" s="142"/>
      <c r="AI310" s="1068"/>
      <c r="AJ310" s="1068"/>
      <c r="AK310" s="1068"/>
    </row>
    <row r="311" spans="1:37" s="1024" customFormat="1">
      <c r="A311" s="1044"/>
      <c r="B311" s="1044"/>
      <c r="C311" s="1044"/>
      <c r="D311" s="142"/>
      <c r="E311" s="142"/>
      <c r="F311" s="142"/>
      <c r="G311" s="1047"/>
      <c r="H311" s="1047"/>
      <c r="I311" s="1053"/>
      <c r="J311" s="1047"/>
      <c r="K311" s="1047"/>
      <c r="L311" s="1047"/>
      <c r="M311" s="1047"/>
      <c r="N311" s="1047"/>
      <c r="O311" s="1047"/>
      <c r="P311" s="1053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42"/>
      <c r="AC311" s="142"/>
      <c r="AD311" s="142"/>
      <c r="AE311" s="142"/>
      <c r="AF311" s="142"/>
      <c r="AG311" s="142"/>
      <c r="AH311" s="142"/>
      <c r="AI311" s="1068"/>
      <c r="AJ311" s="1068"/>
      <c r="AK311" s="1068"/>
    </row>
    <row r="312" spans="1:37" s="1024" customFormat="1">
      <c r="A312" s="1044"/>
      <c r="B312" s="1044"/>
      <c r="C312" s="1044"/>
      <c r="D312" s="142"/>
      <c r="E312" s="142"/>
      <c r="F312" s="142"/>
      <c r="G312" s="1047"/>
      <c r="H312" s="1047"/>
      <c r="I312" s="1053"/>
      <c r="J312" s="1047"/>
      <c r="K312" s="1047"/>
      <c r="L312" s="1047"/>
      <c r="M312" s="1047"/>
      <c r="N312" s="1047"/>
      <c r="O312" s="1047"/>
      <c r="P312" s="1053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42"/>
      <c r="AC312" s="142"/>
      <c r="AD312" s="142"/>
      <c r="AE312" s="142"/>
      <c r="AF312" s="142"/>
      <c r="AG312" s="142"/>
      <c r="AH312" s="142"/>
      <c r="AI312" s="1068"/>
      <c r="AJ312" s="1068"/>
      <c r="AK312" s="1068"/>
    </row>
    <row r="313" spans="1:37" s="1024" customFormat="1">
      <c r="A313" s="1044"/>
      <c r="B313" s="1044"/>
      <c r="C313" s="1044"/>
      <c r="D313" s="142"/>
      <c r="E313" s="142"/>
      <c r="F313" s="142"/>
      <c r="G313" s="1047"/>
      <c r="H313" s="1047"/>
      <c r="I313" s="1053"/>
      <c r="J313" s="1047"/>
      <c r="K313" s="1047"/>
      <c r="L313" s="1047"/>
      <c r="M313" s="1047"/>
      <c r="N313" s="1047"/>
      <c r="O313" s="1047"/>
      <c r="P313" s="1053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42"/>
      <c r="AC313" s="142"/>
      <c r="AD313" s="142"/>
      <c r="AE313" s="142"/>
      <c r="AF313" s="142"/>
      <c r="AG313" s="142"/>
      <c r="AH313" s="142"/>
      <c r="AI313" s="1068"/>
      <c r="AJ313" s="1068"/>
      <c r="AK313" s="1068"/>
    </row>
    <row r="314" spans="1:37" s="1024" customFormat="1">
      <c r="A314" s="1044"/>
      <c r="B314" s="1044"/>
      <c r="C314" s="1044"/>
      <c r="D314" s="142"/>
      <c r="E314" s="142"/>
      <c r="F314" s="142"/>
      <c r="G314" s="1047"/>
      <c r="H314" s="1047"/>
      <c r="I314" s="1053"/>
      <c r="J314" s="1047"/>
      <c r="K314" s="1047"/>
      <c r="L314" s="1047"/>
      <c r="M314" s="1047"/>
      <c r="N314" s="1047"/>
      <c r="O314" s="1047"/>
      <c r="P314" s="1053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42"/>
      <c r="AC314" s="142"/>
      <c r="AD314" s="142"/>
      <c r="AE314" s="142"/>
      <c r="AF314" s="142"/>
      <c r="AG314" s="142"/>
      <c r="AH314" s="142"/>
      <c r="AI314" s="1068"/>
      <c r="AJ314" s="1068"/>
      <c r="AK314" s="1068"/>
    </row>
    <row r="315" spans="1:37" s="1024" customFormat="1">
      <c r="A315" s="1044"/>
      <c r="B315" s="1044"/>
      <c r="C315" s="1044"/>
      <c r="D315" s="142"/>
      <c r="E315" s="142"/>
      <c r="F315" s="142"/>
      <c r="G315" s="1047"/>
      <c r="H315" s="1047"/>
      <c r="I315" s="1053"/>
      <c r="J315" s="1047"/>
      <c r="K315" s="1047"/>
      <c r="L315" s="1047"/>
      <c r="M315" s="1047"/>
      <c r="N315" s="1047"/>
      <c r="O315" s="1047"/>
      <c r="P315" s="1053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42"/>
      <c r="AC315" s="142"/>
      <c r="AD315" s="142"/>
      <c r="AE315" s="142"/>
      <c r="AF315" s="142"/>
      <c r="AG315" s="142"/>
      <c r="AH315" s="142"/>
      <c r="AI315" s="1068"/>
      <c r="AJ315" s="1068"/>
      <c r="AK315" s="1068"/>
    </row>
    <row r="316" spans="1:37" s="1024" customFormat="1">
      <c r="A316" s="1044"/>
      <c r="B316" s="1044"/>
      <c r="C316" s="1044"/>
      <c r="D316" s="142"/>
      <c r="E316" s="142"/>
      <c r="F316" s="142"/>
      <c r="G316" s="1047"/>
      <c r="H316" s="1047"/>
      <c r="I316" s="1053"/>
      <c r="J316" s="1047"/>
      <c r="K316" s="1047"/>
      <c r="L316" s="1047"/>
      <c r="M316" s="1047"/>
      <c r="N316" s="1047"/>
      <c r="O316" s="1047"/>
      <c r="P316" s="1053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42"/>
      <c r="AC316" s="142"/>
      <c r="AD316" s="142"/>
      <c r="AE316" s="142"/>
      <c r="AF316" s="142"/>
      <c r="AG316" s="142"/>
      <c r="AH316" s="142"/>
      <c r="AI316" s="1068"/>
      <c r="AJ316" s="1068"/>
      <c r="AK316" s="1068"/>
    </row>
    <row r="317" spans="1:37" s="1024" customFormat="1">
      <c r="A317" s="1044"/>
      <c r="B317" s="1044"/>
      <c r="C317" s="1044"/>
      <c r="D317" s="142"/>
      <c r="E317" s="142"/>
      <c r="F317" s="142"/>
      <c r="G317" s="1047"/>
      <c r="H317" s="1047"/>
      <c r="I317" s="1053"/>
      <c r="J317" s="1047"/>
      <c r="K317" s="1047"/>
      <c r="L317" s="1047"/>
      <c r="M317" s="1047"/>
      <c r="N317" s="1047"/>
      <c r="O317" s="1047"/>
      <c r="P317" s="1053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42"/>
      <c r="AC317" s="142"/>
      <c r="AD317" s="142"/>
      <c r="AE317" s="142"/>
      <c r="AF317" s="142"/>
      <c r="AG317" s="142"/>
      <c r="AH317" s="142"/>
      <c r="AI317" s="1068"/>
      <c r="AJ317" s="1068"/>
      <c r="AK317" s="1068"/>
    </row>
    <row r="318" spans="1:37" s="1024" customFormat="1">
      <c r="A318" s="1044"/>
      <c r="B318" s="1044"/>
      <c r="C318" s="1044"/>
      <c r="D318" s="142"/>
      <c r="E318" s="142"/>
      <c r="F318" s="142"/>
      <c r="G318" s="1047"/>
      <c r="H318" s="1047"/>
      <c r="I318" s="1053"/>
      <c r="J318" s="1047"/>
      <c r="K318" s="1047"/>
      <c r="L318" s="1047"/>
      <c r="M318" s="1047"/>
      <c r="N318" s="1047"/>
      <c r="O318" s="1047"/>
      <c r="P318" s="1053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42"/>
      <c r="AC318" s="142"/>
      <c r="AD318" s="142"/>
      <c r="AE318" s="142"/>
      <c r="AF318" s="142"/>
      <c r="AG318" s="142"/>
      <c r="AH318" s="142"/>
      <c r="AI318" s="1068"/>
      <c r="AJ318" s="1068"/>
      <c r="AK318" s="1068"/>
    </row>
    <row r="319" spans="1:37" s="1024" customFormat="1">
      <c r="A319" s="1044"/>
      <c r="B319" s="1044"/>
      <c r="C319" s="1044"/>
      <c r="D319" s="142"/>
      <c r="E319" s="142"/>
      <c r="F319" s="142"/>
      <c r="G319" s="1047"/>
      <c r="H319" s="1047"/>
      <c r="I319" s="1053"/>
      <c r="J319" s="1047"/>
      <c r="K319" s="1047"/>
      <c r="L319" s="1047"/>
      <c r="M319" s="1047"/>
      <c r="N319" s="1047"/>
      <c r="O319" s="1047"/>
      <c r="P319" s="1053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42"/>
      <c r="AC319" s="142"/>
      <c r="AD319" s="142"/>
      <c r="AE319" s="142"/>
      <c r="AF319" s="142"/>
      <c r="AG319" s="142"/>
      <c r="AH319" s="142"/>
      <c r="AI319" s="1068"/>
      <c r="AJ319" s="1068"/>
      <c r="AK319" s="1068"/>
    </row>
    <row r="320" spans="1:37" s="1024" customFormat="1">
      <c r="A320" s="1044"/>
      <c r="B320" s="1044"/>
      <c r="C320" s="1044"/>
      <c r="D320" s="142"/>
      <c r="E320" s="142"/>
      <c r="F320" s="142"/>
      <c r="G320" s="1047"/>
      <c r="H320" s="1047"/>
      <c r="I320" s="1053"/>
      <c r="J320" s="1047"/>
      <c r="K320" s="1047"/>
      <c r="L320" s="1047"/>
      <c r="M320" s="1047"/>
      <c r="N320" s="1047"/>
      <c r="O320" s="1047"/>
      <c r="P320" s="1053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42"/>
      <c r="AC320" s="142"/>
      <c r="AD320" s="142"/>
      <c r="AE320" s="142"/>
      <c r="AF320" s="142"/>
      <c r="AG320" s="142"/>
      <c r="AH320" s="142"/>
      <c r="AI320" s="1068"/>
      <c r="AJ320" s="1068"/>
      <c r="AK320" s="1068"/>
    </row>
    <row r="321" spans="1:37" s="1024" customFormat="1">
      <c r="A321" s="1044"/>
      <c r="B321" s="1044"/>
      <c r="C321" s="1044"/>
      <c r="D321" s="142"/>
      <c r="E321" s="142"/>
      <c r="F321" s="142"/>
      <c r="G321" s="1047"/>
      <c r="H321" s="1047"/>
      <c r="I321" s="1053"/>
      <c r="J321" s="1047"/>
      <c r="K321" s="1047"/>
      <c r="L321" s="1047"/>
      <c r="M321" s="1047"/>
      <c r="N321" s="1047"/>
      <c r="O321" s="1047"/>
      <c r="P321" s="1053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42"/>
      <c r="AC321" s="142"/>
      <c r="AD321" s="142"/>
      <c r="AE321" s="142"/>
      <c r="AF321" s="142"/>
      <c r="AG321" s="142"/>
      <c r="AH321" s="142"/>
      <c r="AI321" s="1068"/>
      <c r="AJ321" s="1068"/>
      <c r="AK321" s="1068"/>
    </row>
    <row r="322" spans="1:37" s="1024" customFormat="1">
      <c r="A322" s="1044"/>
      <c r="B322" s="1044"/>
      <c r="C322" s="1044"/>
      <c r="D322" s="142"/>
      <c r="E322" s="142"/>
      <c r="F322" s="142"/>
      <c r="G322" s="1047"/>
      <c r="H322" s="1047"/>
      <c r="I322" s="1053"/>
      <c r="J322" s="1047"/>
      <c r="K322" s="1047"/>
      <c r="L322" s="1047"/>
      <c r="M322" s="1047"/>
      <c r="N322" s="1047"/>
      <c r="O322" s="1047"/>
      <c r="P322" s="1053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42"/>
      <c r="AC322" s="142"/>
      <c r="AD322" s="142"/>
      <c r="AE322" s="142"/>
      <c r="AF322" s="142"/>
      <c r="AG322" s="142"/>
      <c r="AH322" s="142"/>
      <c r="AI322" s="1068"/>
      <c r="AJ322" s="1068"/>
      <c r="AK322" s="1068"/>
    </row>
    <row r="323" spans="1:37" s="1024" customFormat="1">
      <c r="A323" s="1044"/>
      <c r="B323" s="1044"/>
      <c r="C323" s="1044"/>
      <c r="D323" s="142"/>
      <c r="E323" s="142"/>
      <c r="F323" s="142"/>
      <c r="G323" s="1047"/>
      <c r="H323" s="1047"/>
      <c r="I323" s="1053"/>
      <c r="J323" s="1047"/>
      <c r="K323" s="1047"/>
      <c r="L323" s="1047"/>
      <c r="M323" s="1047"/>
      <c r="N323" s="1047"/>
      <c r="O323" s="1047"/>
      <c r="P323" s="1053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42"/>
      <c r="AC323" s="142"/>
      <c r="AD323" s="142"/>
      <c r="AE323" s="142"/>
      <c r="AF323" s="142"/>
      <c r="AG323" s="142"/>
      <c r="AH323" s="142"/>
      <c r="AI323" s="1068"/>
      <c r="AJ323" s="1068"/>
      <c r="AK323" s="1068"/>
    </row>
    <row r="324" spans="1:37" s="1024" customFormat="1">
      <c r="A324" s="1044"/>
      <c r="B324" s="1044"/>
      <c r="C324" s="1044"/>
      <c r="D324" s="142"/>
      <c r="E324" s="142"/>
      <c r="F324" s="142"/>
      <c r="G324" s="1047"/>
      <c r="H324" s="1047"/>
      <c r="I324" s="1053"/>
      <c r="J324" s="1047"/>
      <c r="K324" s="1047"/>
      <c r="L324" s="1047"/>
      <c r="M324" s="1047"/>
      <c r="N324" s="1047"/>
      <c r="O324" s="1047"/>
      <c r="P324" s="1053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42"/>
      <c r="AC324" s="142"/>
      <c r="AD324" s="142"/>
      <c r="AE324" s="142"/>
      <c r="AF324" s="142"/>
      <c r="AG324" s="142"/>
      <c r="AH324" s="142"/>
      <c r="AI324" s="1068"/>
      <c r="AJ324" s="1068"/>
      <c r="AK324" s="1068"/>
    </row>
    <row r="325" spans="1:37" s="1024" customFormat="1">
      <c r="A325" s="1044"/>
      <c r="B325" s="1044"/>
      <c r="C325" s="1044"/>
      <c r="D325" s="142"/>
      <c r="E325" s="142"/>
      <c r="F325" s="142"/>
      <c r="G325" s="1047"/>
      <c r="H325" s="1047"/>
      <c r="I325" s="1053"/>
      <c r="J325" s="1047"/>
      <c r="K325" s="1047"/>
      <c r="L325" s="1047"/>
      <c r="M325" s="1047"/>
      <c r="N325" s="1047"/>
      <c r="O325" s="1047"/>
      <c r="P325" s="1053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42"/>
      <c r="AC325" s="142"/>
      <c r="AD325" s="142"/>
      <c r="AE325" s="142"/>
      <c r="AF325" s="142"/>
      <c r="AG325" s="142"/>
      <c r="AH325" s="142"/>
      <c r="AI325" s="1068"/>
      <c r="AJ325" s="1068"/>
      <c r="AK325" s="1068"/>
    </row>
    <row r="326" spans="1:37" s="1024" customFormat="1">
      <c r="A326" s="1044"/>
      <c r="B326" s="1044"/>
      <c r="C326" s="1044"/>
      <c r="D326" s="142"/>
      <c r="E326" s="142"/>
      <c r="F326" s="142"/>
      <c r="G326" s="1047"/>
      <c r="H326" s="1047"/>
      <c r="I326" s="1053"/>
      <c r="J326" s="1047"/>
      <c r="K326" s="1047"/>
      <c r="L326" s="1047"/>
      <c r="M326" s="1047"/>
      <c r="N326" s="1047"/>
      <c r="O326" s="1047"/>
      <c r="P326" s="1053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42"/>
      <c r="AC326" s="142"/>
      <c r="AD326" s="142"/>
      <c r="AE326" s="142"/>
      <c r="AF326" s="142"/>
      <c r="AG326" s="142"/>
      <c r="AH326" s="142"/>
      <c r="AI326" s="1068"/>
      <c r="AJ326" s="1068"/>
      <c r="AK326" s="1068"/>
    </row>
    <row r="327" spans="1:37" s="1024" customFormat="1">
      <c r="A327" s="1044"/>
      <c r="B327" s="1044"/>
      <c r="C327" s="1044"/>
      <c r="D327" s="142"/>
      <c r="E327" s="142"/>
      <c r="F327" s="142"/>
      <c r="G327" s="1047"/>
      <c r="H327" s="1047"/>
      <c r="I327" s="1053"/>
      <c r="J327" s="1047"/>
      <c r="K327" s="1047"/>
      <c r="L327" s="1047"/>
      <c r="M327" s="1047"/>
      <c r="N327" s="1047"/>
      <c r="O327" s="1047"/>
      <c r="P327" s="1053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42"/>
      <c r="AC327" s="142"/>
      <c r="AD327" s="142"/>
      <c r="AE327" s="142"/>
      <c r="AF327" s="142"/>
      <c r="AG327" s="142"/>
      <c r="AH327" s="142"/>
      <c r="AI327" s="1068"/>
      <c r="AJ327" s="1068"/>
      <c r="AK327" s="1068"/>
    </row>
    <row r="328" spans="1:37" s="1024" customFormat="1">
      <c r="A328" s="1044"/>
      <c r="B328" s="1044"/>
      <c r="C328" s="1044"/>
      <c r="D328" s="142"/>
      <c r="E328" s="142"/>
      <c r="F328" s="142"/>
      <c r="G328" s="1047"/>
      <c r="H328" s="1047"/>
      <c r="I328" s="1053"/>
      <c r="J328" s="1047"/>
      <c r="K328" s="1047"/>
      <c r="L328" s="1047"/>
      <c r="M328" s="1047"/>
      <c r="N328" s="1047"/>
      <c r="O328" s="1047"/>
      <c r="P328" s="1053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42"/>
      <c r="AC328" s="142"/>
      <c r="AD328" s="142"/>
      <c r="AE328" s="142"/>
      <c r="AF328" s="142"/>
      <c r="AG328" s="142"/>
      <c r="AH328" s="142"/>
      <c r="AI328" s="1068"/>
      <c r="AJ328" s="1068"/>
      <c r="AK328" s="1068"/>
    </row>
    <row r="329" spans="1:37" s="1024" customFormat="1">
      <c r="A329" s="1044"/>
      <c r="B329" s="1044"/>
      <c r="C329" s="1044"/>
      <c r="D329" s="142"/>
      <c r="E329" s="142"/>
      <c r="F329" s="142"/>
      <c r="G329" s="1047"/>
      <c r="H329" s="1047"/>
      <c r="I329" s="1053"/>
      <c r="J329" s="1047"/>
      <c r="K329" s="1047"/>
      <c r="L329" s="1047"/>
      <c r="M329" s="1047"/>
      <c r="N329" s="1047"/>
      <c r="O329" s="1047"/>
      <c r="P329" s="1053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42"/>
      <c r="AC329" s="142"/>
      <c r="AD329" s="142"/>
      <c r="AE329" s="142"/>
      <c r="AF329" s="142"/>
      <c r="AG329" s="142"/>
      <c r="AH329" s="142"/>
      <c r="AI329" s="1068"/>
      <c r="AJ329" s="1068"/>
      <c r="AK329" s="1068"/>
    </row>
    <row r="330" spans="1:37" s="1024" customFormat="1">
      <c r="A330" s="1044"/>
      <c r="B330" s="1044"/>
      <c r="C330" s="1044"/>
      <c r="D330" s="142"/>
      <c r="E330" s="142"/>
      <c r="F330" s="142"/>
      <c r="G330" s="1047"/>
      <c r="H330" s="1047"/>
      <c r="I330" s="1053"/>
      <c r="J330" s="1047"/>
      <c r="K330" s="1047"/>
      <c r="L330" s="1047"/>
      <c r="M330" s="1047"/>
      <c r="N330" s="1047"/>
      <c r="O330" s="1047"/>
      <c r="P330" s="1053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42"/>
      <c r="AC330" s="142"/>
      <c r="AD330" s="142"/>
      <c r="AE330" s="142"/>
      <c r="AF330" s="142"/>
      <c r="AG330" s="142"/>
      <c r="AH330" s="142"/>
      <c r="AI330" s="1068"/>
      <c r="AJ330" s="1068"/>
      <c r="AK330" s="1068"/>
    </row>
    <row r="331" spans="1:37" s="1024" customFormat="1">
      <c r="A331" s="1044"/>
      <c r="B331" s="1044"/>
      <c r="C331" s="1044"/>
      <c r="D331" s="142"/>
      <c r="E331" s="142"/>
      <c r="F331" s="142"/>
      <c r="G331" s="1047"/>
      <c r="H331" s="1047"/>
      <c r="I331" s="1053"/>
      <c r="J331" s="1047"/>
      <c r="K331" s="1047"/>
      <c r="L331" s="1047"/>
      <c r="M331" s="1047"/>
      <c r="N331" s="1047"/>
      <c r="O331" s="1047"/>
      <c r="P331" s="1053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42"/>
      <c r="AC331" s="142"/>
      <c r="AD331" s="142"/>
      <c r="AE331" s="142"/>
      <c r="AF331" s="142"/>
      <c r="AG331" s="142"/>
      <c r="AH331" s="142"/>
      <c r="AI331" s="1068"/>
      <c r="AJ331" s="1068"/>
      <c r="AK331" s="1068"/>
    </row>
    <row r="332" spans="1:37" s="1024" customFormat="1">
      <c r="A332" s="1044"/>
      <c r="B332" s="1044"/>
      <c r="C332" s="1044"/>
      <c r="D332" s="142"/>
      <c r="E332" s="142"/>
      <c r="F332" s="142"/>
      <c r="G332" s="1047"/>
      <c r="H332" s="1047"/>
      <c r="I332" s="1053"/>
      <c r="J332" s="1047"/>
      <c r="K332" s="1047"/>
      <c r="L332" s="1047"/>
      <c r="M332" s="1047"/>
      <c r="N332" s="1047"/>
      <c r="O332" s="1047"/>
      <c r="P332" s="1053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42"/>
      <c r="AC332" s="142"/>
      <c r="AD332" s="142"/>
      <c r="AE332" s="142"/>
      <c r="AF332" s="142"/>
      <c r="AG332" s="142"/>
      <c r="AH332" s="142"/>
      <c r="AI332" s="1068"/>
      <c r="AJ332" s="1068"/>
      <c r="AK332" s="1068"/>
    </row>
    <row r="333" spans="1:37" s="1024" customFormat="1">
      <c r="A333" s="1044"/>
      <c r="B333" s="1044"/>
      <c r="C333" s="1044"/>
      <c r="D333" s="142"/>
      <c r="E333" s="142"/>
      <c r="F333" s="142"/>
      <c r="G333" s="1047"/>
      <c r="H333" s="1047"/>
      <c r="I333" s="1053"/>
      <c r="J333" s="1047"/>
      <c r="K333" s="1047"/>
      <c r="L333" s="1047"/>
      <c r="M333" s="1047"/>
      <c r="N333" s="1047"/>
      <c r="O333" s="1047"/>
      <c r="P333" s="1053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42"/>
      <c r="AC333" s="142"/>
      <c r="AD333" s="142"/>
      <c r="AE333" s="142"/>
      <c r="AF333" s="142"/>
      <c r="AG333" s="142"/>
      <c r="AH333" s="142"/>
      <c r="AI333" s="1068"/>
      <c r="AJ333" s="1068"/>
      <c r="AK333" s="1068"/>
    </row>
    <row r="334" spans="1:37" s="1024" customFormat="1">
      <c r="A334" s="1044"/>
      <c r="B334" s="1044"/>
      <c r="C334" s="1044"/>
      <c r="D334" s="142"/>
      <c r="E334" s="142"/>
      <c r="F334" s="142"/>
      <c r="G334" s="1047"/>
      <c r="H334" s="1047"/>
      <c r="I334" s="1053"/>
      <c r="J334" s="1047"/>
      <c r="K334" s="1047"/>
      <c r="L334" s="1047"/>
      <c r="M334" s="1047"/>
      <c r="N334" s="1047"/>
      <c r="O334" s="1047"/>
      <c r="P334" s="1053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42"/>
      <c r="AC334" s="142"/>
      <c r="AD334" s="142"/>
      <c r="AE334" s="142"/>
      <c r="AF334" s="142"/>
      <c r="AG334" s="142"/>
      <c r="AH334" s="142"/>
      <c r="AI334" s="1068"/>
      <c r="AJ334" s="1068"/>
      <c r="AK334" s="1068"/>
    </row>
    <row r="335" spans="1:37" s="1024" customFormat="1">
      <c r="A335" s="1044"/>
      <c r="B335" s="1044"/>
      <c r="C335" s="1044"/>
      <c r="D335" s="142"/>
      <c r="E335" s="142"/>
      <c r="F335" s="142"/>
      <c r="G335" s="1047"/>
      <c r="H335" s="1047"/>
      <c r="I335" s="1053"/>
      <c r="J335" s="1047"/>
      <c r="K335" s="1047"/>
      <c r="L335" s="1047"/>
      <c r="M335" s="1047"/>
      <c r="N335" s="1047"/>
      <c r="O335" s="1047"/>
      <c r="P335" s="1053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42"/>
      <c r="AC335" s="142"/>
      <c r="AD335" s="142"/>
      <c r="AE335" s="142"/>
      <c r="AF335" s="142"/>
      <c r="AG335" s="142"/>
      <c r="AH335" s="142"/>
      <c r="AI335" s="1068"/>
      <c r="AJ335" s="1068"/>
      <c r="AK335" s="1068"/>
    </row>
    <row r="336" spans="1:37" s="1024" customFormat="1">
      <c r="A336" s="1044"/>
      <c r="B336" s="1044"/>
      <c r="C336" s="1044"/>
      <c r="D336" s="142"/>
      <c r="E336" s="142"/>
      <c r="F336" s="142"/>
      <c r="G336" s="1047"/>
      <c r="H336" s="1047"/>
      <c r="I336" s="1053"/>
      <c r="J336" s="1047"/>
      <c r="K336" s="1047"/>
      <c r="L336" s="1047"/>
      <c r="M336" s="1047"/>
      <c r="N336" s="1047"/>
      <c r="O336" s="1047"/>
      <c r="P336" s="1053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42"/>
      <c r="AC336" s="142"/>
      <c r="AD336" s="142"/>
      <c r="AE336" s="142"/>
      <c r="AF336" s="142"/>
      <c r="AG336" s="142"/>
      <c r="AH336" s="142"/>
      <c r="AI336" s="1068"/>
      <c r="AJ336" s="1068"/>
      <c r="AK336" s="1068"/>
    </row>
    <row r="337" spans="1:37" s="1024" customFormat="1">
      <c r="A337" s="1044"/>
      <c r="B337" s="1044"/>
      <c r="C337" s="1044"/>
      <c r="D337" s="142"/>
      <c r="E337" s="142"/>
      <c r="F337" s="142"/>
      <c r="G337" s="1047"/>
      <c r="H337" s="1047"/>
      <c r="I337" s="1053"/>
      <c r="J337" s="1047"/>
      <c r="K337" s="1047"/>
      <c r="L337" s="1047"/>
      <c r="M337" s="1047"/>
      <c r="N337" s="1047"/>
      <c r="O337" s="1047"/>
      <c r="P337" s="1053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42"/>
      <c r="AC337" s="142"/>
      <c r="AD337" s="142"/>
      <c r="AE337" s="142"/>
      <c r="AF337" s="142"/>
      <c r="AG337" s="142"/>
      <c r="AH337" s="142"/>
      <c r="AI337" s="1068"/>
      <c r="AJ337" s="1068"/>
      <c r="AK337" s="1068"/>
    </row>
    <row r="338" spans="1:37" s="1024" customFormat="1">
      <c r="A338" s="1044"/>
      <c r="B338" s="1044"/>
      <c r="C338" s="1044"/>
      <c r="D338" s="142"/>
      <c r="E338" s="142"/>
      <c r="F338" s="142"/>
      <c r="G338" s="1047"/>
      <c r="H338" s="1047"/>
      <c r="I338" s="1053"/>
      <c r="J338" s="1047"/>
      <c r="K338" s="1047"/>
      <c r="L338" s="1047"/>
      <c r="M338" s="1047"/>
      <c r="N338" s="1047"/>
      <c r="O338" s="1047"/>
      <c r="P338" s="1053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42"/>
      <c r="AC338" s="142"/>
      <c r="AD338" s="142"/>
      <c r="AE338" s="142"/>
      <c r="AF338" s="142"/>
      <c r="AG338" s="142"/>
      <c r="AH338" s="142"/>
      <c r="AI338" s="1068"/>
      <c r="AJ338" s="1068"/>
      <c r="AK338" s="1068"/>
    </row>
    <row r="339" spans="1:37" s="1024" customFormat="1">
      <c r="A339" s="1044"/>
      <c r="B339" s="1044"/>
      <c r="C339" s="1044"/>
      <c r="D339" s="142"/>
      <c r="E339" s="142"/>
      <c r="F339" s="142"/>
      <c r="G339" s="1047"/>
      <c r="H339" s="1047"/>
      <c r="I339" s="1053"/>
      <c r="J339" s="1047"/>
      <c r="K339" s="1047"/>
      <c r="L339" s="1047"/>
      <c r="M339" s="1047"/>
      <c r="N339" s="1047"/>
      <c r="O339" s="1047"/>
      <c r="P339" s="1053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42"/>
      <c r="AC339" s="142"/>
      <c r="AD339" s="142"/>
      <c r="AE339" s="142"/>
      <c r="AF339" s="142"/>
      <c r="AG339" s="142"/>
      <c r="AH339" s="142"/>
      <c r="AI339" s="1068"/>
      <c r="AJ339" s="1068"/>
      <c r="AK339" s="1068"/>
    </row>
    <row r="340" spans="1:37" s="1024" customFormat="1">
      <c r="A340" s="1044"/>
      <c r="B340" s="1044"/>
      <c r="C340" s="1044"/>
      <c r="D340" s="142"/>
      <c r="E340" s="142"/>
      <c r="F340" s="142"/>
      <c r="G340" s="1047"/>
      <c r="H340" s="1047"/>
      <c r="I340" s="1053"/>
      <c r="J340" s="1047"/>
      <c r="K340" s="1047"/>
      <c r="L340" s="1047"/>
      <c r="M340" s="1047"/>
      <c r="N340" s="1047"/>
      <c r="O340" s="1047"/>
      <c r="P340" s="1053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42"/>
      <c r="AC340" s="142"/>
      <c r="AD340" s="142"/>
      <c r="AE340" s="142"/>
      <c r="AF340" s="142"/>
      <c r="AG340" s="142"/>
      <c r="AH340" s="142"/>
      <c r="AI340" s="1068"/>
      <c r="AJ340" s="1068"/>
      <c r="AK340" s="1068"/>
    </row>
    <row r="341" spans="1:37" s="1024" customFormat="1">
      <c r="A341" s="1044"/>
      <c r="B341" s="1044"/>
      <c r="C341" s="1044"/>
      <c r="D341" s="142"/>
      <c r="E341" s="142"/>
      <c r="F341" s="142"/>
      <c r="G341" s="1047"/>
      <c r="H341" s="1047"/>
      <c r="I341" s="1053"/>
      <c r="J341" s="1047"/>
      <c r="K341" s="1047"/>
      <c r="L341" s="1047"/>
      <c r="M341" s="1047"/>
      <c r="N341" s="1047"/>
      <c r="O341" s="1047"/>
      <c r="P341" s="1053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42"/>
      <c r="AC341" s="142"/>
      <c r="AD341" s="142"/>
      <c r="AE341" s="142"/>
      <c r="AF341" s="142"/>
      <c r="AG341" s="142"/>
      <c r="AH341" s="142"/>
      <c r="AI341" s="1068"/>
      <c r="AJ341" s="1068"/>
      <c r="AK341" s="1068"/>
    </row>
    <row r="342" spans="1:37" s="1024" customFormat="1">
      <c r="A342" s="1044"/>
      <c r="B342" s="1044"/>
      <c r="C342" s="1044"/>
      <c r="D342" s="142"/>
      <c r="E342" s="142"/>
      <c r="F342" s="142"/>
      <c r="G342" s="1047"/>
      <c r="H342" s="1047"/>
      <c r="I342" s="1053"/>
      <c r="J342" s="1047"/>
      <c r="K342" s="1047"/>
      <c r="L342" s="1047"/>
      <c r="M342" s="1047"/>
      <c r="N342" s="1047"/>
      <c r="O342" s="1047"/>
      <c r="P342" s="1053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42"/>
      <c r="AC342" s="142"/>
      <c r="AD342" s="142"/>
      <c r="AE342" s="142"/>
      <c r="AF342" s="142"/>
      <c r="AG342" s="142"/>
      <c r="AH342" s="142"/>
      <c r="AI342" s="1068"/>
      <c r="AJ342" s="1068"/>
      <c r="AK342" s="1068"/>
    </row>
    <row r="343" spans="1:37" s="1024" customFormat="1">
      <c r="A343" s="1044"/>
      <c r="B343" s="1044"/>
      <c r="C343" s="1044"/>
      <c r="D343" s="142"/>
      <c r="E343" s="142"/>
      <c r="F343" s="142"/>
      <c r="G343" s="1047"/>
      <c r="H343" s="1047"/>
      <c r="I343" s="1053"/>
      <c r="J343" s="1047"/>
      <c r="K343" s="1047"/>
      <c r="L343" s="1047"/>
      <c r="M343" s="1047"/>
      <c r="N343" s="1047"/>
      <c r="O343" s="1047"/>
      <c r="P343" s="1053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42"/>
      <c r="AC343" s="142"/>
      <c r="AD343" s="142"/>
      <c r="AE343" s="142"/>
      <c r="AF343" s="142"/>
      <c r="AG343" s="142"/>
      <c r="AH343" s="142"/>
      <c r="AI343" s="1068"/>
      <c r="AJ343" s="1068"/>
      <c r="AK343" s="1068"/>
    </row>
    <row r="344" spans="1:37" s="1024" customFormat="1">
      <c r="A344" s="1044"/>
      <c r="B344" s="1044"/>
      <c r="C344" s="1044"/>
      <c r="D344" s="142"/>
      <c r="E344" s="142"/>
      <c r="F344" s="142"/>
      <c r="G344" s="1047"/>
      <c r="H344" s="1047"/>
      <c r="I344" s="1053"/>
      <c r="J344" s="1047"/>
      <c r="K344" s="1047"/>
      <c r="L344" s="1047"/>
      <c r="M344" s="1047"/>
      <c r="N344" s="1047"/>
      <c r="O344" s="1047"/>
      <c r="P344" s="1053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42"/>
      <c r="AC344" s="142"/>
      <c r="AD344" s="142"/>
      <c r="AE344" s="142"/>
      <c r="AF344" s="142"/>
      <c r="AG344" s="142"/>
      <c r="AH344" s="142"/>
      <c r="AI344" s="1068"/>
      <c r="AJ344" s="1068"/>
      <c r="AK344" s="1068"/>
    </row>
    <row r="345" spans="1:37" s="1024" customFormat="1">
      <c r="A345" s="1044"/>
      <c r="B345" s="1044"/>
      <c r="C345" s="1044"/>
      <c r="D345" s="142"/>
      <c r="E345" s="142"/>
      <c r="F345" s="142"/>
      <c r="G345" s="1047"/>
      <c r="H345" s="1047"/>
      <c r="I345" s="1053"/>
      <c r="J345" s="1047"/>
      <c r="K345" s="1047"/>
      <c r="L345" s="1047"/>
      <c r="M345" s="1047"/>
      <c r="N345" s="1047"/>
      <c r="O345" s="1047"/>
      <c r="P345" s="1053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42"/>
      <c r="AC345" s="142"/>
      <c r="AD345" s="142"/>
      <c r="AE345" s="142"/>
      <c r="AF345" s="142"/>
      <c r="AG345" s="142"/>
      <c r="AH345" s="142"/>
      <c r="AI345" s="1068"/>
      <c r="AJ345" s="1068"/>
      <c r="AK345" s="1068"/>
    </row>
    <row r="346" spans="1:37" s="1024" customFormat="1">
      <c r="A346" s="1044"/>
      <c r="B346" s="1044"/>
      <c r="C346" s="1044"/>
      <c r="D346" s="142"/>
      <c r="E346" s="142"/>
      <c r="F346" s="142"/>
      <c r="G346" s="1047"/>
      <c r="H346" s="1047"/>
      <c r="I346" s="1053"/>
      <c r="J346" s="1047"/>
      <c r="K346" s="1047"/>
      <c r="L346" s="1047"/>
      <c r="M346" s="1047"/>
      <c r="N346" s="1047"/>
      <c r="O346" s="1047"/>
      <c r="P346" s="1053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42"/>
      <c r="AC346" s="142"/>
      <c r="AD346" s="142"/>
      <c r="AE346" s="142"/>
      <c r="AF346" s="142"/>
      <c r="AG346" s="142"/>
      <c r="AH346" s="142"/>
      <c r="AI346" s="1068"/>
      <c r="AJ346" s="1068"/>
      <c r="AK346" s="1068"/>
    </row>
    <row r="347" spans="1:37" s="1024" customFormat="1">
      <c r="A347" s="1044"/>
      <c r="B347" s="1044"/>
      <c r="C347" s="1044"/>
      <c r="D347" s="142"/>
      <c r="E347" s="142"/>
      <c r="F347" s="142"/>
      <c r="G347" s="1047"/>
      <c r="H347" s="1047"/>
      <c r="I347" s="1053"/>
      <c r="J347" s="1047"/>
      <c r="K347" s="1047"/>
      <c r="L347" s="1047"/>
      <c r="M347" s="1047"/>
      <c r="N347" s="1047"/>
      <c r="O347" s="1047"/>
      <c r="P347" s="1053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42"/>
      <c r="AC347" s="142"/>
      <c r="AD347" s="142"/>
      <c r="AE347" s="142"/>
      <c r="AF347" s="142"/>
      <c r="AG347" s="142"/>
      <c r="AH347" s="142"/>
      <c r="AI347" s="1068"/>
      <c r="AJ347" s="1068"/>
      <c r="AK347" s="1068"/>
    </row>
    <row r="348" spans="1:37" s="1024" customFormat="1">
      <c r="A348" s="1044"/>
      <c r="B348" s="1044"/>
      <c r="C348" s="1044"/>
      <c r="D348" s="142"/>
      <c r="E348" s="142"/>
      <c r="F348" s="142"/>
      <c r="G348" s="1047"/>
      <c r="H348" s="1047"/>
      <c r="I348" s="1053"/>
      <c r="J348" s="1047"/>
      <c r="K348" s="1047"/>
      <c r="L348" s="1047"/>
      <c r="M348" s="1047"/>
      <c r="N348" s="1047"/>
      <c r="O348" s="1047"/>
      <c r="P348" s="1053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42"/>
      <c r="AC348" s="142"/>
      <c r="AD348" s="142"/>
      <c r="AE348" s="142"/>
      <c r="AF348" s="142"/>
      <c r="AG348" s="142"/>
      <c r="AH348" s="142"/>
      <c r="AI348" s="1068"/>
      <c r="AJ348" s="1068"/>
      <c r="AK348" s="1068"/>
    </row>
    <row r="349" spans="1:37" s="1024" customFormat="1">
      <c r="A349" s="1044"/>
      <c r="B349" s="1044"/>
      <c r="C349" s="1044"/>
      <c r="D349" s="142"/>
      <c r="E349" s="142"/>
      <c r="F349" s="142"/>
      <c r="G349" s="1047"/>
      <c r="H349" s="1047"/>
      <c r="I349" s="1053"/>
      <c r="J349" s="1047"/>
      <c r="K349" s="1047"/>
      <c r="L349" s="1047"/>
      <c r="M349" s="1047"/>
      <c r="N349" s="1047"/>
      <c r="O349" s="1047"/>
      <c r="P349" s="1053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42"/>
      <c r="AC349" s="142"/>
      <c r="AD349" s="142"/>
      <c r="AE349" s="142"/>
      <c r="AF349" s="142"/>
      <c r="AG349" s="142"/>
      <c r="AH349" s="142"/>
      <c r="AI349" s="1068"/>
      <c r="AJ349" s="1068"/>
      <c r="AK349" s="1068"/>
    </row>
    <row r="350" spans="1:37" s="1024" customFormat="1">
      <c r="A350" s="1044"/>
      <c r="B350" s="1044"/>
      <c r="C350" s="1044"/>
      <c r="D350" s="142"/>
      <c r="E350" s="142"/>
      <c r="F350" s="142"/>
      <c r="G350" s="1047"/>
      <c r="H350" s="1047"/>
      <c r="I350" s="1053"/>
      <c r="J350" s="1047"/>
      <c r="K350" s="1047"/>
      <c r="L350" s="1047"/>
      <c r="M350" s="1047"/>
      <c r="N350" s="1047"/>
      <c r="O350" s="1047"/>
      <c r="P350" s="1053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42"/>
      <c r="AC350" s="142"/>
      <c r="AD350" s="142"/>
      <c r="AE350" s="142"/>
      <c r="AF350" s="142"/>
      <c r="AG350" s="142"/>
      <c r="AH350" s="142"/>
      <c r="AI350" s="1068"/>
      <c r="AJ350" s="1068"/>
      <c r="AK350" s="1068"/>
    </row>
    <row r="351" spans="1:37" s="1024" customFormat="1">
      <c r="A351" s="1044"/>
      <c r="B351" s="1044"/>
      <c r="C351" s="1044"/>
      <c r="D351" s="142"/>
      <c r="E351" s="142"/>
      <c r="F351" s="142"/>
      <c r="G351" s="1047"/>
      <c r="H351" s="1047"/>
      <c r="I351" s="1053"/>
      <c r="J351" s="1047"/>
      <c r="K351" s="1047"/>
      <c r="L351" s="1047"/>
      <c r="M351" s="1047"/>
      <c r="N351" s="1047"/>
      <c r="O351" s="1047"/>
      <c r="P351" s="1053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42"/>
      <c r="AC351" s="142"/>
      <c r="AD351" s="142"/>
      <c r="AE351" s="142"/>
      <c r="AF351" s="142"/>
      <c r="AG351" s="142"/>
      <c r="AH351" s="142"/>
      <c r="AI351" s="1068"/>
      <c r="AJ351" s="1068"/>
      <c r="AK351" s="1068"/>
    </row>
    <row r="352" spans="1:37" s="1024" customFormat="1">
      <c r="A352" s="1044"/>
      <c r="B352" s="1044"/>
      <c r="C352" s="1044"/>
      <c r="D352" s="142"/>
      <c r="E352" s="142"/>
      <c r="F352" s="142"/>
      <c r="G352" s="1047"/>
      <c r="H352" s="1047"/>
      <c r="I352" s="1053"/>
      <c r="J352" s="1047"/>
      <c r="K352" s="1047"/>
      <c r="L352" s="1047"/>
      <c r="M352" s="1047"/>
      <c r="N352" s="1047"/>
      <c r="O352" s="1047"/>
      <c r="P352" s="1053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42"/>
      <c r="AC352" s="142"/>
      <c r="AD352" s="142"/>
      <c r="AE352" s="142"/>
      <c r="AF352" s="142"/>
      <c r="AG352" s="142"/>
      <c r="AH352" s="142"/>
      <c r="AI352" s="1068"/>
      <c r="AJ352" s="1068"/>
      <c r="AK352" s="1068"/>
    </row>
    <row r="353" spans="1:37" s="1024" customFormat="1">
      <c r="A353" s="1044"/>
      <c r="B353" s="1044"/>
      <c r="C353" s="1044"/>
      <c r="D353" s="142"/>
      <c r="E353" s="142"/>
      <c r="F353" s="142"/>
      <c r="G353" s="1047"/>
      <c r="H353" s="1047"/>
      <c r="I353" s="1053"/>
      <c r="J353" s="1047"/>
      <c r="K353" s="1047"/>
      <c r="L353" s="1047"/>
      <c r="M353" s="1047"/>
      <c r="N353" s="1047"/>
      <c r="O353" s="1047"/>
      <c r="P353" s="1053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42"/>
      <c r="AC353" s="142"/>
      <c r="AD353" s="142"/>
      <c r="AE353" s="142"/>
      <c r="AF353" s="142"/>
      <c r="AG353" s="142"/>
      <c r="AH353" s="142"/>
      <c r="AI353" s="1068"/>
      <c r="AJ353" s="1068"/>
      <c r="AK353" s="1068"/>
    </row>
    <row r="354" spans="1:37" s="1024" customFormat="1">
      <c r="A354" s="1044"/>
      <c r="B354" s="1044"/>
      <c r="C354" s="1044"/>
      <c r="D354" s="142"/>
      <c r="E354" s="142"/>
      <c r="F354" s="142"/>
      <c r="G354" s="1047"/>
      <c r="H354" s="1047"/>
      <c r="I354" s="1053"/>
      <c r="J354" s="1047"/>
      <c r="K354" s="1047"/>
      <c r="L354" s="1047"/>
      <c r="M354" s="1047"/>
      <c r="N354" s="1047"/>
      <c r="O354" s="1047"/>
      <c r="P354" s="1053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42"/>
      <c r="AC354" s="142"/>
      <c r="AD354" s="142"/>
      <c r="AE354" s="142"/>
      <c r="AF354" s="142"/>
      <c r="AG354" s="142"/>
      <c r="AH354" s="142"/>
      <c r="AI354" s="1068"/>
      <c r="AJ354" s="1068"/>
      <c r="AK354" s="1068"/>
    </row>
    <row r="355" spans="1:37" s="1024" customFormat="1">
      <c r="A355" s="1044"/>
      <c r="B355" s="1044"/>
      <c r="C355" s="1044"/>
      <c r="D355" s="142"/>
      <c r="E355" s="142"/>
      <c r="F355" s="142"/>
      <c r="G355" s="1047"/>
      <c r="H355" s="1047"/>
      <c r="I355" s="1053"/>
      <c r="J355" s="1047"/>
      <c r="K355" s="1047"/>
      <c r="L355" s="1047"/>
      <c r="M355" s="1047"/>
      <c r="N355" s="1047"/>
      <c r="O355" s="1047"/>
      <c r="P355" s="1053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42"/>
      <c r="AC355" s="142"/>
      <c r="AD355" s="142"/>
      <c r="AE355" s="142"/>
      <c r="AF355" s="142"/>
      <c r="AG355" s="142"/>
      <c r="AH355" s="142"/>
      <c r="AI355" s="1068"/>
      <c r="AJ355" s="1068"/>
      <c r="AK355" s="1068"/>
    </row>
    <row r="356" spans="1:37" s="1024" customFormat="1">
      <c r="A356" s="1044"/>
      <c r="B356" s="1044"/>
      <c r="C356" s="1044"/>
      <c r="D356" s="142"/>
      <c r="E356" s="142"/>
      <c r="F356" s="142"/>
      <c r="G356" s="1047"/>
      <c r="H356" s="1047"/>
      <c r="I356" s="1053"/>
      <c r="J356" s="1047"/>
      <c r="K356" s="1047"/>
      <c r="L356" s="1047"/>
      <c r="M356" s="1047"/>
      <c r="N356" s="1047"/>
      <c r="O356" s="1047"/>
      <c r="P356" s="1053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42"/>
      <c r="AC356" s="142"/>
      <c r="AD356" s="142"/>
      <c r="AE356" s="142"/>
      <c r="AF356" s="142"/>
      <c r="AG356" s="142"/>
      <c r="AH356" s="142"/>
      <c r="AI356" s="1068"/>
      <c r="AJ356" s="1068"/>
      <c r="AK356" s="1068"/>
    </row>
    <row r="357" spans="1:37" s="1024" customFormat="1">
      <c r="A357" s="1044"/>
      <c r="B357" s="1044"/>
      <c r="C357" s="1044"/>
      <c r="D357" s="142"/>
      <c r="E357" s="142"/>
      <c r="F357" s="142"/>
      <c r="G357" s="1047"/>
      <c r="H357" s="1047"/>
      <c r="I357" s="1053"/>
      <c r="J357" s="1047"/>
      <c r="K357" s="1047"/>
      <c r="L357" s="1047"/>
      <c r="M357" s="1047"/>
      <c r="N357" s="1047"/>
      <c r="O357" s="1047"/>
      <c r="P357" s="1053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42"/>
      <c r="AC357" s="142"/>
      <c r="AD357" s="142"/>
      <c r="AE357" s="142"/>
      <c r="AF357" s="142"/>
      <c r="AG357" s="142"/>
      <c r="AH357" s="142"/>
      <c r="AI357" s="1068"/>
      <c r="AJ357" s="1068"/>
      <c r="AK357" s="1068"/>
    </row>
    <row r="358" spans="1:37" s="1024" customFormat="1">
      <c r="A358" s="1044"/>
      <c r="B358" s="1044"/>
      <c r="C358" s="1044"/>
      <c r="D358" s="142"/>
      <c r="E358" s="142"/>
      <c r="F358" s="142"/>
      <c r="G358" s="1047"/>
      <c r="H358" s="1047"/>
      <c r="I358" s="1053"/>
      <c r="J358" s="1047"/>
      <c r="K358" s="1047"/>
      <c r="L358" s="1047"/>
      <c r="M358" s="1047"/>
      <c r="N358" s="1047"/>
      <c r="O358" s="1047"/>
      <c r="P358" s="1053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42"/>
      <c r="AC358" s="142"/>
      <c r="AD358" s="142"/>
      <c r="AE358" s="142"/>
      <c r="AF358" s="142"/>
      <c r="AG358" s="142"/>
      <c r="AH358" s="142"/>
      <c r="AI358" s="1068"/>
      <c r="AJ358" s="1068"/>
      <c r="AK358" s="1068"/>
    </row>
    <row r="359" spans="1:37" s="1024" customFormat="1">
      <c r="A359" s="1044"/>
      <c r="B359" s="1044"/>
      <c r="C359" s="1044"/>
      <c r="D359" s="142"/>
      <c r="E359" s="142"/>
      <c r="F359" s="142"/>
      <c r="G359" s="1047"/>
      <c r="H359" s="1047"/>
      <c r="I359" s="1053"/>
      <c r="J359" s="1047"/>
      <c r="K359" s="1047"/>
      <c r="L359" s="1047"/>
      <c r="M359" s="1047"/>
      <c r="N359" s="1047"/>
      <c r="O359" s="1047"/>
      <c r="P359" s="1053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42"/>
      <c r="AC359" s="142"/>
      <c r="AD359" s="142"/>
      <c r="AE359" s="142"/>
      <c r="AF359" s="142"/>
      <c r="AG359" s="142"/>
      <c r="AH359" s="142"/>
      <c r="AI359" s="1068"/>
      <c r="AJ359" s="1068"/>
      <c r="AK359" s="1068"/>
    </row>
    <row r="360" spans="1:37" s="1024" customFormat="1">
      <c r="A360" s="1044"/>
      <c r="B360" s="1044"/>
      <c r="C360" s="1044"/>
      <c r="D360" s="142"/>
      <c r="E360" s="142"/>
      <c r="F360" s="142"/>
      <c r="G360" s="1047"/>
      <c r="H360" s="1047"/>
      <c r="I360" s="1053"/>
      <c r="J360" s="1047"/>
      <c r="K360" s="1047"/>
      <c r="L360" s="1047"/>
      <c r="M360" s="1047"/>
      <c r="N360" s="1047"/>
      <c r="O360" s="1047"/>
      <c r="P360" s="1053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42"/>
      <c r="AC360" s="142"/>
      <c r="AD360" s="142"/>
      <c r="AE360" s="142"/>
      <c r="AF360" s="142"/>
      <c r="AG360" s="142"/>
      <c r="AH360" s="142"/>
      <c r="AI360" s="1068"/>
      <c r="AJ360" s="1068"/>
      <c r="AK360" s="1068"/>
    </row>
    <row r="361" spans="1:37" s="1024" customFormat="1">
      <c r="A361" s="1044"/>
      <c r="B361" s="1044"/>
      <c r="C361" s="1044"/>
      <c r="D361" s="142"/>
      <c r="E361" s="142"/>
      <c r="F361" s="142"/>
      <c r="G361" s="1047"/>
      <c r="H361" s="1047"/>
      <c r="I361" s="1053"/>
      <c r="J361" s="1047"/>
      <c r="K361" s="1047"/>
      <c r="L361" s="1047"/>
      <c r="M361" s="1047"/>
      <c r="N361" s="1047"/>
      <c r="O361" s="1047"/>
      <c r="P361" s="1053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42"/>
      <c r="AC361" s="142"/>
      <c r="AD361" s="142"/>
      <c r="AE361" s="142"/>
      <c r="AF361" s="142"/>
      <c r="AG361" s="142"/>
      <c r="AH361" s="142"/>
      <c r="AI361" s="1068"/>
      <c r="AJ361" s="1068"/>
      <c r="AK361" s="1068"/>
    </row>
    <row r="362" spans="1:37" s="1024" customFormat="1">
      <c r="A362" s="1044"/>
      <c r="B362" s="1044"/>
      <c r="C362" s="1044"/>
      <c r="D362" s="142"/>
      <c r="E362" s="142"/>
      <c r="F362" s="142"/>
      <c r="G362" s="1047"/>
      <c r="H362" s="1047"/>
      <c r="I362" s="1053"/>
      <c r="J362" s="1047"/>
      <c r="K362" s="1047"/>
      <c r="L362" s="1047"/>
      <c r="M362" s="1047"/>
      <c r="N362" s="1047"/>
      <c r="O362" s="1047"/>
      <c r="P362" s="1053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42"/>
      <c r="AC362" s="142"/>
      <c r="AD362" s="142"/>
      <c r="AE362" s="142"/>
      <c r="AF362" s="142"/>
      <c r="AG362" s="142"/>
      <c r="AH362" s="142"/>
      <c r="AI362" s="1068"/>
      <c r="AJ362" s="1068"/>
      <c r="AK362" s="1068"/>
    </row>
    <row r="363" spans="1:37" s="1024" customFormat="1">
      <c r="A363" s="1044"/>
      <c r="B363" s="1044"/>
      <c r="C363" s="1044"/>
      <c r="D363" s="142"/>
      <c r="E363" s="142"/>
      <c r="F363" s="142"/>
      <c r="G363" s="1047"/>
      <c r="H363" s="1047"/>
      <c r="I363" s="1053"/>
      <c r="J363" s="1047"/>
      <c r="K363" s="1047"/>
      <c r="L363" s="1047"/>
      <c r="M363" s="1047"/>
      <c r="N363" s="1047"/>
      <c r="O363" s="1047"/>
      <c r="P363" s="1053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42"/>
      <c r="AC363" s="142"/>
      <c r="AD363" s="142"/>
      <c r="AE363" s="142"/>
      <c r="AF363" s="142"/>
      <c r="AG363" s="142"/>
      <c r="AH363" s="142"/>
      <c r="AI363" s="1068"/>
      <c r="AJ363" s="1068"/>
      <c r="AK363" s="1068"/>
    </row>
    <row r="364" spans="1:37" s="1024" customFormat="1">
      <c r="A364" s="1044"/>
      <c r="B364" s="1044"/>
      <c r="C364" s="1044"/>
      <c r="D364" s="142"/>
      <c r="E364" s="142"/>
      <c r="F364" s="142"/>
      <c r="G364" s="1047"/>
      <c r="H364" s="1047"/>
      <c r="I364" s="1053"/>
      <c r="J364" s="1047"/>
      <c r="K364" s="1047"/>
      <c r="L364" s="1047"/>
      <c r="M364" s="1047"/>
      <c r="N364" s="1047"/>
      <c r="O364" s="1047"/>
      <c r="P364" s="1053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42"/>
      <c r="AC364" s="142"/>
      <c r="AD364" s="142"/>
      <c r="AE364" s="142"/>
      <c r="AF364" s="142"/>
      <c r="AG364" s="142"/>
      <c r="AH364" s="142"/>
      <c r="AI364" s="1068"/>
      <c r="AJ364" s="1068"/>
      <c r="AK364" s="1068"/>
    </row>
    <row r="365" spans="1:37" s="1024" customFormat="1">
      <c r="A365" s="1044"/>
      <c r="B365" s="1044"/>
      <c r="C365" s="1044"/>
      <c r="D365" s="142"/>
      <c r="E365" s="142"/>
      <c r="F365" s="142"/>
      <c r="G365" s="1047"/>
      <c r="H365" s="1047"/>
      <c r="I365" s="1053"/>
      <c r="J365" s="1047"/>
      <c r="K365" s="1047"/>
      <c r="L365" s="1047"/>
      <c r="M365" s="1047"/>
      <c r="N365" s="1047"/>
      <c r="O365" s="1047"/>
      <c r="P365" s="1053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42"/>
      <c r="AC365" s="142"/>
      <c r="AD365" s="142"/>
      <c r="AE365" s="142"/>
      <c r="AF365" s="142"/>
      <c r="AG365" s="142"/>
      <c r="AH365" s="142"/>
      <c r="AI365" s="1068"/>
      <c r="AJ365" s="1068"/>
      <c r="AK365" s="1068"/>
    </row>
    <row r="366" spans="1:37" s="1024" customFormat="1">
      <c r="A366" s="1044"/>
      <c r="B366" s="1044"/>
      <c r="C366" s="1044"/>
      <c r="D366" s="142"/>
      <c r="E366" s="142"/>
      <c r="F366" s="142"/>
      <c r="G366" s="1047"/>
      <c r="H366" s="1047"/>
      <c r="I366" s="1053"/>
      <c r="J366" s="1047"/>
      <c r="K366" s="1047"/>
      <c r="L366" s="1047"/>
      <c r="M366" s="1047"/>
      <c r="N366" s="1047"/>
      <c r="O366" s="1047"/>
      <c r="P366" s="1053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42"/>
      <c r="AC366" s="142"/>
      <c r="AD366" s="142"/>
      <c r="AE366" s="142"/>
      <c r="AF366" s="142"/>
      <c r="AG366" s="142"/>
      <c r="AH366" s="142"/>
      <c r="AI366" s="1068"/>
      <c r="AJ366" s="1068"/>
      <c r="AK366" s="1068"/>
    </row>
    <row r="367" spans="1:37" s="1024" customFormat="1">
      <c r="A367" s="1044"/>
      <c r="B367" s="1044"/>
      <c r="C367" s="1044"/>
      <c r="D367" s="142"/>
      <c r="E367" s="142"/>
      <c r="F367" s="142"/>
      <c r="G367" s="1047"/>
      <c r="H367" s="1047"/>
      <c r="I367" s="1053"/>
      <c r="J367" s="1047"/>
      <c r="K367" s="1047"/>
      <c r="L367" s="1047"/>
      <c r="M367" s="1047"/>
      <c r="N367" s="1047"/>
      <c r="O367" s="1047"/>
      <c r="P367" s="1053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42"/>
      <c r="AC367" s="142"/>
      <c r="AD367" s="142"/>
      <c r="AE367" s="142"/>
      <c r="AF367" s="142"/>
      <c r="AG367" s="142"/>
      <c r="AH367" s="142"/>
      <c r="AI367" s="1068"/>
      <c r="AJ367" s="1068"/>
      <c r="AK367" s="1068"/>
    </row>
    <row r="368" spans="1:37" s="1024" customFormat="1">
      <c r="A368" s="1044"/>
      <c r="B368" s="1044"/>
      <c r="C368" s="1044"/>
      <c r="D368" s="142"/>
      <c r="E368" s="142"/>
      <c r="F368" s="142"/>
      <c r="G368" s="1047"/>
      <c r="H368" s="1047"/>
      <c r="I368" s="1053"/>
      <c r="J368" s="1047"/>
      <c r="K368" s="1047"/>
      <c r="L368" s="1047"/>
      <c r="M368" s="1047"/>
      <c r="N368" s="1047"/>
      <c r="O368" s="1047"/>
      <c r="P368" s="1053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42"/>
      <c r="AC368" s="142"/>
      <c r="AD368" s="142"/>
      <c r="AE368" s="142"/>
      <c r="AF368" s="142"/>
      <c r="AG368" s="142"/>
      <c r="AH368" s="142"/>
      <c r="AI368" s="1068"/>
      <c r="AJ368" s="1068"/>
      <c r="AK368" s="1068"/>
    </row>
    <row r="369" spans="1:37" s="1024" customFormat="1">
      <c r="A369" s="1044"/>
      <c r="B369" s="1044"/>
      <c r="C369" s="1044"/>
      <c r="D369" s="142"/>
      <c r="E369" s="142"/>
      <c r="F369" s="142"/>
      <c r="G369" s="1047"/>
      <c r="H369" s="1047"/>
      <c r="I369" s="1053"/>
      <c r="J369" s="1047"/>
      <c r="K369" s="1047"/>
      <c r="L369" s="1047"/>
      <c r="M369" s="1047"/>
      <c r="N369" s="1047"/>
      <c r="O369" s="1047"/>
      <c r="P369" s="1053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42"/>
      <c r="AC369" s="142"/>
      <c r="AD369" s="142"/>
      <c r="AE369" s="142"/>
      <c r="AF369" s="142"/>
      <c r="AG369" s="142"/>
      <c r="AH369" s="142"/>
      <c r="AI369" s="1068"/>
      <c r="AJ369" s="1068"/>
      <c r="AK369" s="1068"/>
    </row>
    <row r="370" spans="1:37" s="1024" customFormat="1">
      <c r="A370" s="1044"/>
      <c r="B370" s="1044"/>
      <c r="C370" s="1044"/>
      <c r="D370" s="142"/>
      <c r="E370" s="142"/>
      <c r="F370" s="142"/>
      <c r="G370" s="1047"/>
      <c r="H370" s="1047"/>
      <c r="I370" s="1053"/>
      <c r="J370" s="1047"/>
      <c r="K370" s="1047"/>
      <c r="L370" s="1047"/>
      <c r="M370" s="1047"/>
      <c r="N370" s="1047"/>
      <c r="O370" s="1047"/>
      <c r="P370" s="1053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42"/>
      <c r="AC370" s="142"/>
      <c r="AD370" s="142"/>
      <c r="AE370" s="142"/>
      <c r="AF370" s="142"/>
      <c r="AG370" s="142"/>
      <c r="AH370" s="142"/>
      <c r="AI370" s="1068"/>
      <c r="AJ370" s="1068"/>
      <c r="AK370" s="1068"/>
    </row>
    <row r="371" spans="1:37" s="1024" customFormat="1">
      <c r="A371" s="1044"/>
      <c r="B371" s="1044"/>
      <c r="C371" s="1044"/>
      <c r="D371" s="142"/>
      <c r="E371" s="142"/>
      <c r="F371" s="142"/>
      <c r="G371" s="1047"/>
      <c r="H371" s="1047"/>
      <c r="I371" s="1053"/>
      <c r="J371" s="1047"/>
      <c r="K371" s="1047"/>
      <c r="L371" s="1047"/>
      <c r="M371" s="1047"/>
      <c r="N371" s="1047"/>
      <c r="O371" s="1047"/>
      <c r="P371" s="1053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42"/>
      <c r="AC371" s="142"/>
      <c r="AD371" s="142"/>
      <c r="AE371" s="142"/>
      <c r="AF371" s="142"/>
      <c r="AG371" s="142"/>
      <c r="AH371" s="142"/>
      <c r="AI371" s="1068"/>
      <c r="AJ371" s="1068"/>
      <c r="AK371" s="1068"/>
    </row>
    <row r="372" spans="1:37" s="1024" customFormat="1">
      <c r="A372" s="1044"/>
      <c r="B372" s="1044"/>
      <c r="C372" s="1044"/>
      <c r="D372" s="142"/>
      <c r="E372" s="142"/>
      <c r="F372" s="142"/>
      <c r="G372" s="1047"/>
      <c r="H372" s="1047"/>
      <c r="I372" s="1053"/>
      <c r="J372" s="1047"/>
      <c r="K372" s="1047"/>
      <c r="L372" s="1047"/>
      <c r="M372" s="1047"/>
      <c r="N372" s="1047"/>
      <c r="O372" s="1047"/>
      <c r="P372" s="1053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42"/>
      <c r="AC372" s="142"/>
      <c r="AD372" s="142"/>
      <c r="AE372" s="142"/>
      <c r="AF372" s="142"/>
      <c r="AG372" s="142"/>
      <c r="AH372" s="142"/>
      <c r="AI372" s="1068"/>
      <c r="AJ372" s="1068"/>
      <c r="AK372" s="1068"/>
    </row>
    <row r="373" spans="1:37" s="1024" customFormat="1">
      <c r="A373" s="1044"/>
      <c r="B373" s="1044"/>
      <c r="C373" s="1044"/>
      <c r="D373" s="142"/>
      <c r="E373" s="142"/>
      <c r="F373" s="142"/>
      <c r="G373" s="1047"/>
      <c r="H373" s="1047"/>
      <c r="I373" s="1053"/>
      <c r="J373" s="1047"/>
      <c r="K373" s="1047"/>
      <c r="L373" s="1047"/>
      <c r="M373" s="1047"/>
      <c r="N373" s="1047"/>
      <c r="O373" s="1047"/>
      <c r="P373" s="1053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42"/>
      <c r="AC373" s="142"/>
      <c r="AD373" s="142"/>
      <c r="AE373" s="142"/>
      <c r="AF373" s="142"/>
      <c r="AG373" s="142"/>
      <c r="AH373" s="142"/>
      <c r="AI373" s="1068"/>
      <c r="AJ373" s="1068"/>
      <c r="AK373" s="1068"/>
    </row>
    <row r="374" spans="1:37" s="1024" customFormat="1">
      <c r="A374" s="1044"/>
      <c r="B374" s="1044"/>
      <c r="C374" s="1044"/>
      <c r="D374" s="142"/>
      <c r="E374" s="142"/>
      <c r="F374" s="142"/>
      <c r="G374" s="1047"/>
      <c r="H374" s="1047"/>
      <c r="I374" s="1053"/>
      <c r="J374" s="1047"/>
      <c r="K374" s="1047"/>
      <c r="L374" s="1047"/>
      <c r="M374" s="1047"/>
      <c r="N374" s="1047"/>
      <c r="O374" s="1047"/>
      <c r="P374" s="1053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42"/>
      <c r="AC374" s="142"/>
      <c r="AD374" s="142"/>
      <c r="AE374" s="142"/>
      <c r="AF374" s="142"/>
      <c r="AG374" s="142"/>
      <c r="AH374" s="142"/>
      <c r="AI374" s="1068"/>
      <c r="AJ374" s="1068"/>
      <c r="AK374" s="1068"/>
    </row>
    <row r="375" spans="1:37" s="1024" customFormat="1">
      <c r="A375" s="1044"/>
      <c r="B375" s="1044"/>
      <c r="C375" s="1044"/>
      <c r="D375" s="142"/>
      <c r="E375" s="142"/>
      <c r="F375" s="142"/>
      <c r="G375" s="1047"/>
      <c r="H375" s="1047"/>
      <c r="I375" s="1053"/>
      <c r="J375" s="1047"/>
      <c r="K375" s="1047"/>
      <c r="L375" s="1047"/>
      <c r="M375" s="1047"/>
      <c r="N375" s="1047"/>
      <c r="O375" s="1047"/>
      <c r="P375" s="1053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42"/>
      <c r="AC375" s="142"/>
      <c r="AD375" s="142"/>
      <c r="AE375" s="142"/>
      <c r="AF375" s="142"/>
      <c r="AG375" s="142"/>
      <c r="AH375" s="142"/>
      <c r="AI375" s="1068"/>
      <c r="AJ375" s="1068"/>
      <c r="AK375" s="1068"/>
    </row>
    <row r="376" spans="1:37" s="1024" customFormat="1">
      <c r="A376" s="1044"/>
      <c r="B376" s="1044"/>
      <c r="C376" s="1044"/>
      <c r="D376" s="142"/>
      <c r="E376" s="142"/>
      <c r="F376" s="142"/>
      <c r="G376" s="1047"/>
      <c r="H376" s="1047"/>
      <c r="I376" s="1053"/>
      <c r="J376" s="1047"/>
      <c r="K376" s="1047"/>
      <c r="L376" s="1047"/>
      <c r="M376" s="1047"/>
      <c r="N376" s="1047"/>
      <c r="O376" s="1047"/>
      <c r="P376" s="1053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42"/>
      <c r="AC376" s="142"/>
      <c r="AD376" s="142"/>
      <c r="AE376" s="142"/>
      <c r="AF376" s="142"/>
      <c r="AG376" s="142"/>
      <c r="AH376" s="142"/>
      <c r="AI376" s="1068"/>
      <c r="AJ376" s="1068"/>
      <c r="AK376" s="1068"/>
    </row>
    <row r="377" spans="1:37" s="1024" customFormat="1">
      <c r="A377" s="1044"/>
      <c r="B377" s="1044"/>
      <c r="C377" s="1044"/>
      <c r="D377" s="142"/>
      <c r="E377" s="142"/>
      <c r="F377" s="142"/>
      <c r="G377" s="1047"/>
      <c r="H377" s="1047"/>
      <c r="I377" s="1053"/>
      <c r="J377" s="1047"/>
      <c r="K377" s="1047"/>
      <c r="L377" s="1047"/>
      <c r="M377" s="1047"/>
      <c r="N377" s="1047"/>
      <c r="O377" s="1047"/>
      <c r="P377" s="1053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42"/>
      <c r="AC377" s="142"/>
      <c r="AD377" s="142"/>
      <c r="AE377" s="142"/>
      <c r="AF377" s="142"/>
      <c r="AG377" s="142"/>
      <c r="AH377" s="142"/>
      <c r="AI377" s="1068"/>
      <c r="AJ377" s="1068"/>
      <c r="AK377" s="1068"/>
    </row>
    <row r="378" spans="1:37" s="1024" customFormat="1">
      <c r="A378" s="1044"/>
      <c r="B378" s="1044"/>
      <c r="C378" s="1044"/>
      <c r="D378" s="142"/>
      <c r="E378" s="142"/>
      <c r="F378" s="142"/>
      <c r="G378" s="1047"/>
      <c r="H378" s="1047"/>
      <c r="I378" s="1053"/>
      <c r="J378" s="1047"/>
      <c r="K378" s="1047"/>
      <c r="L378" s="1047"/>
      <c r="M378" s="1047"/>
      <c r="N378" s="1047"/>
      <c r="O378" s="1047"/>
      <c r="P378" s="1053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42"/>
      <c r="AC378" s="142"/>
      <c r="AD378" s="142"/>
      <c r="AE378" s="142"/>
      <c r="AF378" s="142"/>
      <c r="AG378" s="142"/>
      <c r="AH378" s="142"/>
      <c r="AI378" s="1068"/>
      <c r="AJ378" s="1068"/>
      <c r="AK378" s="1068"/>
    </row>
    <row r="379" spans="1:37" s="1024" customFormat="1">
      <c r="A379" s="1044"/>
      <c r="B379" s="1044"/>
      <c r="C379" s="1044"/>
      <c r="D379" s="142"/>
      <c r="E379" s="142"/>
      <c r="F379" s="142"/>
      <c r="G379" s="1047"/>
      <c r="H379" s="1047"/>
      <c r="I379" s="1053"/>
      <c r="J379" s="1047"/>
      <c r="K379" s="1047"/>
      <c r="L379" s="1047"/>
      <c r="M379" s="1047"/>
      <c r="N379" s="1047"/>
      <c r="O379" s="1047"/>
      <c r="P379" s="1053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42"/>
      <c r="AC379" s="142"/>
      <c r="AD379" s="142"/>
      <c r="AE379" s="142"/>
      <c r="AF379" s="142"/>
      <c r="AG379" s="142"/>
      <c r="AH379" s="142"/>
      <c r="AI379" s="1068"/>
      <c r="AJ379" s="1068"/>
      <c r="AK379" s="1068"/>
    </row>
    <row r="380" spans="1:37" s="1024" customFormat="1">
      <c r="A380" s="1044"/>
      <c r="B380" s="1044"/>
      <c r="C380" s="1044"/>
      <c r="D380" s="142"/>
      <c r="E380" s="142"/>
      <c r="F380" s="142"/>
      <c r="G380" s="1047"/>
      <c r="H380" s="1047"/>
      <c r="I380" s="1053"/>
      <c r="J380" s="1047"/>
      <c r="K380" s="1047"/>
      <c r="L380" s="1047"/>
      <c r="M380" s="1047"/>
      <c r="N380" s="1047"/>
      <c r="O380" s="1047"/>
      <c r="P380" s="1053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42"/>
      <c r="AC380" s="142"/>
      <c r="AD380" s="142"/>
      <c r="AE380" s="142"/>
      <c r="AF380" s="142"/>
      <c r="AG380" s="142"/>
      <c r="AH380" s="142"/>
      <c r="AI380" s="1068"/>
      <c r="AJ380" s="1068"/>
      <c r="AK380" s="1068"/>
    </row>
    <row r="381" spans="1:37" s="1024" customFormat="1">
      <c r="A381" s="1044"/>
      <c r="B381" s="1044"/>
      <c r="C381" s="1044"/>
      <c r="D381" s="142"/>
      <c r="E381" s="142"/>
      <c r="F381" s="142"/>
      <c r="G381" s="1047"/>
      <c r="H381" s="1047"/>
      <c r="I381" s="1053"/>
      <c r="J381" s="1047"/>
      <c r="K381" s="1047"/>
      <c r="L381" s="1047"/>
      <c r="M381" s="1047"/>
      <c r="N381" s="1047"/>
      <c r="O381" s="1047"/>
      <c r="P381" s="1053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42"/>
      <c r="AC381" s="142"/>
      <c r="AD381" s="142"/>
      <c r="AE381" s="142"/>
      <c r="AF381" s="142"/>
      <c r="AG381" s="142"/>
      <c r="AH381" s="142"/>
      <c r="AI381" s="1068"/>
      <c r="AJ381" s="1068"/>
      <c r="AK381" s="1068"/>
    </row>
    <row r="382" spans="1:37" s="1024" customFormat="1">
      <c r="A382" s="1044"/>
      <c r="B382" s="1044"/>
      <c r="C382" s="1044"/>
      <c r="D382" s="142"/>
      <c r="E382" s="142"/>
      <c r="F382" s="142"/>
      <c r="G382" s="1047"/>
      <c r="H382" s="1047"/>
      <c r="I382" s="1053"/>
      <c r="J382" s="1047"/>
      <c r="K382" s="1047"/>
      <c r="L382" s="1047"/>
      <c r="M382" s="1047"/>
      <c r="N382" s="1047"/>
      <c r="O382" s="1047"/>
      <c r="P382" s="1053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42"/>
      <c r="AC382" s="142"/>
      <c r="AD382" s="142"/>
      <c r="AE382" s="142"/>
      <c r="AF382" s="142"/>
      <c r="AG382" s="142"/>
      <c r="AH382" s="142"/>
      <c r="AI382" s="1068"/>
      <c r="AJ382" s="1068"/>
      <c r="AK382" s="1068"/>
    </row>
    <row r="383" spans="1:37" s="1024" customFormat="1">
      <c r="A383" s="1044"/>
      <c r="B383" s="1044"/>
      <c r="C383" s="1044"/>
      <c r="D383" s="142"/>
      <c r="E383" s="142"/>
      <c r="F383" s="142"/>
      <c r="G383" s="1047"/>
      <c r="H383" s="1047"/>
      <c r="I383" s="1053"/>
      <c r="J383" s="1047"/>
      <c r="K383" s="1047"/>
      <c r="L383" s="1047"/>
      <c r="M383" s="1047"/>
      <c r="N383" s="1047"/>
      <c r="O383" s="1047"/>
      <c r="P383" s="1053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42"/>
      <c r="AC383" s="142"/>
      <c r="AD383" s="142"/>
      <c r="AE383" s="142"/>
      <c r="AF383" s="142"/>
      <c r="AG383" s="142"/>
      <c r="AH383" s="142"/>
      <c r="AI383" s="1068"/>
      <c r="AJ383" s="1068"/>
      <c r="AK383" s="1068"/>
    </row>
    <row r="384" spans="1:37" s="1024" customFormat="1">
      <c r="A384" s="1044"/>
      <c r="B384" s="1044"/>
      <c r="C384" s="1044"/>
      <c r="D384" s="142"/>
      <c r="E384" s="142"/>
      <c r="F384" s="142"/>
      <c r="G384" s="1047"/>
      <c r="H384" s="1047"/>
      <c r="I384" s="1053"/>
      <c r="J384" s="1047"/>
      <c r="K384" s="1047"/>
      <c r="L384" s="1047"/>
      <c r="M384" s="1047"/>
      <c r="N384" s="1047"/>
      <c r="O384" s="1047"/>
      <c r="P384" s="1053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42"/>
      <c r="AC384" s="142"/>
      <c r="AD384" s="142"/>
      <c r="AE384" s="142"/>
      <c r="AF384" s="142"/>
      <c r="AG384" s="142"/>
      <c r="AH384" s="142"/>
      <c r="AI384" s="1068"/>
      <c r="AJ384" s="1068"/>
      <c r="AK384" s="1068"/>
    </row>
    <row r="385" spans="1:37" s="1024" customFormat="1">
      <c r="A385" s="1044"/>
      <c r="B385" s="1044"/>
      <c r="C385" s="1044"/>
      <c r="D385" s="142"/>
      <c r="E385" s="142"/>
      <c r="F385" s="142"/>
      <c r="G385" s="1047"/>
      <c r="H385" s="1047"/>
      <c r="I385" s="1053"/>
      <c r="J385" s="1047"/>
      <c r="K385" s="1047"/>
      <c r="L385" s="1047"/>
      <c r="M385" s="1047"/>
      <c r="N385" s="1047"/>
      <c r="O385" s="1047"/>
      <c r="P385" s="1053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42"/>
      <c r="AC385" s="142"/>
      <c r="AD385" s="142"/>
      <c r="AE385" s="142"/>
      <c r="AF385" s="142"/>
      <c r="AG385" s="142"/>
      <c r="AH385" s="142"/>
      <c r="AI385" s="1068"/>
      <c r="AJ385" s="1068"/>
      <c r="AK385" s="1068"/>
    </row>
    <row r="386" spans="1:37" s="1024" customFormat="1">
      <c r="A386" s="1044"/>
      <c r="B386" s="1044"/>
      <c r="C386" s="1044"/>
      <c r="D386" s="142"/>
      <c r="E386" s="142"/>
      <c r="F386" s="142"/>
      <c r="G386" s="1047"/>
      <c r="H386" s="1047"/>
      <c r="I386" s="1053"/>
      <c r="J386" s="1047"/>
      <c r="K386" s="1047"/>
      <c r="L386" s="1047"/>
      <c r="M386" s="1047"/>
      <c r="N386" s="1047"/>
      <c r="O386" s="1047"/>
      <c r="P386" s="1053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42"/>
      <c r="AC386" s="142"/>
      <c r="AD386" s="142"/>
      <c r="AE386" s="142"/>
      <c r="AF386" s="142"/>
      <c r="AG386" s="142"/>
      <c r="AH386" s="142"/>
      <c r="AI386" s="1068"/>
      <c r="AJ386" s="1068"/>
      <c r="AK386" s="1068"/>
    </row>
    <row r="387" spans="1:37" s="1024" customFormat="1">
      <c r="A387" s="1044"/>
      <c r="B387" s="1044"/>
      <c r="C387" s="1044"/>
      <c r="D387" s="142"/>
      <c r="E387" s="142"/>
      <c r="F387" s="142"/>
      <c r="G387" s="1047"/>
      <c r="H387" s="1047"/>
      <c r="I387" s="1053"/>
      <c r="J387" s="1047"/>
      <c r="K387" s="1047"/>
      <c r="L387" s="1047"/>
      <c r="M387" s="1047"/>
      <c r="N387" s="1047"/>
      <c r="O387" s="1047"/>
      <c r="P387" s="1053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42"/>
      <c r="AC387" s="142"/>
      <c r="AD387" s="142"/>
      <c r="AE387" s="142"/>
      <c r="AF387" s="142"/>
      <c r="AG387" s="142"/>
      <c r="AH387" s="142"/>
      <c r="AI387" s="1068"/>
      <c r="AJ387" s="1068"/>
      <c r="AK387" s="1068"/>
    </row>
    <row r="388" spans="1:37" s="1024" customFormat="1">
      <c r="A388" s="1044"/>
      <c r="B388" s="1044"/>
      <c r="C388" s="1044"/>
      <c r="D388" s="142"/>
      <c r="E388" s="142"/>
      <c r="F388" s="142"/>
      <c r="G388" s="1047"/>
      <c r="H388" s="1047"/>
      <c r="I388" s="1053"/>
      <c r="J388" s="1047"/>
      <c r="K388" s="1047"/>
      <c r="L388" s="1047"/>
      <c r="M388" s="1047"/>
      <c r="N388" s="1047"/>
      <c r="O388" s="1047"/>
      <c r="P388" s="1053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42"/>
      <c r="AC388" s="142"/>
      <c r="AD388" s="142"/>
      <c r="AE388" s="142"/>
      <c r="AF388" s="142"/>
      <c r="AG388" s="142"/>
      <c r="AH388" s="142"/>
      <c r="AI388" s="1068"/>
      <c r="AJ388" s="1068"/>
      <c r="AK388" s="1068"/>
    </row>
    <row r="389" spans="1:37" s="1024" customFormat="1">
      <c r="A389" s="1044"/>
      <c r="B389" s="1044"/>
      <c r="C389" s="1044"/>
      <c r="D389" s="142"/>
      <c r="E389" s="142"/>
      <c r="F389" s="142"/>
      <c r="G389" s="1047"/>
      <c r="H389" s="1047"/>
      <c r="I389" s="1053"/>
      <c r="J389" s="1047"/>
      <c r="K389" s="1047"/>
      <c r="L389" s="1047"/>
      <c r="M389" s="1047"/>
      <c r="N389" s="1047"/>
      <c r="O389" s="1047"/>
      <c r="P389" s="1053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42"/>
      <c r="AC389" s="142"/>
      <c r="AD389" s="142"/>
      <c r="AE389" s="142"/>
      <c r="AF389" s="142"/>
      <c r="AG389" s="142"/>
      <c r="AH389" s="142"/>
      <c r="AI389" s="1068"/>
      <c r="AJ389" s="1068"/>
      <c r="AK389" s="1068"/>
    </row>
    <row r="390" spans="1:37" s="1024" customFormat="1">
      <c r="A390" s="1044"/>
      <c r="B390" s="1044"/>
      <c r="C390" s="1044"/>
      <c r="D390" s="142"/>
      <c r="E390" s="142"/>
      <c r="F390" s="142"/>
      <c r="G390" s="1047"/>
      <c r="H390" s="1047"/>
      <c r="I390" s="1053"/>
      <c r="J390" s="1047"/>
      <c r="K390" s="1047"/>
      <c r="L390" s="1047"/>
      <c r="M390" s="1047"/>
      <c r="N390" s="1047"/>
      <c r="O390" s="1047"/>
      <c r="P390" s="1053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42"/>
      <c r="AC390" s="142"/>
      <c r="AD390" s="142"/>
      <c r="AE390" s="142"/>
      <c r="AF390" s="142"/>
      <c r="AG390" s="142"/>
      <c r="AH390" s="142"/>
      <c r="AI390" s="1068"/>
      <c r="AJ390" s="1068"/>
      <c r="AK390" s="1068"/>
    </row>
    <row r="391" spans="1:37" s="1024" customFormat="1">
      <c r="A391" s="1044"/>
      <c r="B391" s="1044"/>
      <c r="C391" s="1044"/>
      <c r="D391" s="142"/>
      <c r="E391" s="142"/>
      <c r="F391" s="142"/>
      <c r="G391" s="1047"/>
      <c r="H391" s="1047"/>
      <c r="I391" s="1053"/>
      <c r="J391" s="1047"/>
      <c r="K391" s="1047"/>
      <c r="L391" s="1047"/>
      <c r="M391" s="1047"/>
      <c r="N391" s="1047"/>
      <c r="O391" s="1047"/>
      <c r="P391" s="1053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42"/>
      <c r="AC391" s="142"/>
      <c r="AD391" s="142"/>
      <c r="AE391" s="142"/>
      <c r="AF391" s="142"/>
      <c r="AG391" s="142"/>
      <c r="AH391" s="142"/>
      <c r="AI391" s="1068"/>
      <c r="AJ391" s="1068"/>
      <c r="AK391" s="1068"/>
    </row>
    <row r="392" spans="1:37" s="1024" customFormat="1">
      <c r="A392" s="1044"/>
      <c r="B392" s="1044"/>
      <c r="C392" s="1044"/>
      <c r="D392" s="142"/>
      <c r="E392" s="142"/>
      <c r="F392" s="142"/>
      <c r="G392" s="1047"/>
      <c r="H392" s="1047"/>
      <c r="I392" s="1053"/>
      <c r="J392" s="1047"/>
      <c r="K392" s="1047"/>
      <c r="L392" s="1047"/>
      <c r="M392" s="1047"/>
      <c r="N392" s="1047"/>
      <c r="O392" s="1047"/>
      <c r="P392" s="1053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42"/>
      <c r="AC392" s="142"/>
      <c r="AD392" s="142"/>
      <c r="AE392" s="142"/>
      <c r="AF392" s="142"/>
      <c r="AG392" s="142"/>
      <c r="AH392" s="142"/>
      <c r="AI392" s="1068"/>
      <c r="AJ392" s="1068"/>
      <c r="AK392" s="1068"/>
    </row>
    <row r="393" spans="1:37" s="1024" customFormat="1">
      <c r="A393" s="1044"/>
      <c r="B393" s="1044"/>
      <c r="C393" s="1044"/>
      <c r="D393" s="142"/>
      <c r="E393" s="142"/>
      <c r="F393" s="142"/>
      <c r="G393" s="1047"/>
      <c r="H393" s="1047"/>
      <c r="I393" s="1053"/>
      <c r="J393" s="1047"/>
      <c r="K393" s="1047"/>
      <c r="L393" s="1047"/>
      <c r="M393" s="1047"/>
      <c r="N393" s="1047"/>
      <c r="O393" s="1047"/>
      <c r="P393" s="1053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42"/>
      <c r="AC393" s="142"/>
      <c r="AD393" s="142"/>
      <c r="AE393" s="142"/>
      <c r="AF393" s="142"/>
      <c r="AG393" s="142"/>
      <c r="AH393" s="142"/>
      <c r="AI393" s="1068"/>
      <c r="AJ393" s="1068"/>
      <c r="AK393" s="1068"/>
    </row>
    <row r="394" spans="1:37" s="1024" customFormat="1">
      <c r="A394" s="1044"/>
      <c r="B394" s="1044"/>
      <c r="C394" s="1044"/>
      <c r="D394" s="142"/>
      <c r="E394" s="142"/>
      <c r="F394" s="142"/>
      <c r="G394" s="1047"/>
      <c r="H394" s="1047"/>
      <c r="I394" s="1053"/>
      <c r="J394" s="1047"/>
      <c r="K394" s="1047"/>
      <c r="L394" s="1047"/>
      <c r="M394" s="1047"/>
      <c r="N394" s="1047"/>
      <c r="O394" s="1047"/>
      <c r="P394" s="1053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42"/>
      <c r="AC394" s="142"/>
      <c r="AD394" s="142"/>
      <c r="AE394" s="142"/>
      <c r="AF394" s="142"/>
      <c r="AG394" s="142"/>
      <c r="AH394" s="142"/>
      <c r="AI394" s="1068"/>
      <c r="AJ394" s="1068"/>
      <c r="AK394" s="1068"/>
    </row>
    <row r="395" spans="1:37" s="1024" customFormat="1">
      <c r="A395" s="1044"/>
      <c r="B395" s="1044"/>
      <c r="C395" s="1044"/>
      <c r="D395" s="142"/>
      <c r="E395" s="142"/>
      <c r="F395" s="142"/>
      <c r="G395" s="1047"/>
      <c r="H395" s="1047"/>
      <c r="I395" s="1053"/>
      <c r="J395" s="1047"/>
      <c r="K395" s="1047"/>
      <c r="L395" s="1047"/>
      <c r="M395" s="1047"/>
      <c r="N395" s="1047"/>
      <c r="O395" s="1047"/>
      <c r="P395" s="1053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42"/>
      <c r="AC395" s="142"/>
      <c r="AD395" s="142"/>
      <c r="AE395" s="142"/>
      <c r="AF395" s="142"/>
      <c r="AG395" s="142"/>
      <c r="AH395" s="142"/>
      <c r="AI395" s="1068"/>
      <c r="AJ395" s="1068"/>
      <c r="AK395" s="1068"/>
    </row>
    <row r="396" spans="1:37" s="1024" customFormat="1">
      <c r="A396" s="1044"/>
      <c r="B396" s="1044"/>
      <c r="C396" s="1044"/>
      <c r="D396" s="142"/>
      <c r="E396" s="142"/>
      <c r="F396" s="142"/>
      <c r="G396" s="1047"/>
      <c r="H396" s="1047"/>
      <c r="I396" s="1053"/>
      <c r="J396" s="1047"/>
      <c r="K396" s="1047"/>
      <c r="L396" s="1047"/>
      <c r="M396" s="1047"/>
      <c r="N396" s="1047"/>
      <c r="O396" s="1047"/>
      <c r="P396" s="1053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42"/>
      <c r="AC396" s="142"/>
      <c r="AD396" s="142"/>
      <c r="AE396" s="142"/>
      <c r="AF396" s="142"/>
      <c r="AG396" s="142"/>
      <c r="AH396" s="142"/>
      <c r="AI396" s="1068"/>
      <c r="AJ396" s="1068"/>
      <c r="AK396" s="1068"/>
    </row>
    <row r="397" spans="1:37" s="1024" customFormat="1">
      <c r="A397" s="1044"/>
      <c r="B397" s="1044"/>
      <c r="C397" s="1044"/>
      <c r="D397" s="142"/>
      <c r="E397" s="142"/>
      <c r="F397" s="142"/>
      <c r="G397" s="1047"/>
      <c r="H397" s="1047"/>
      <c r="I397" s="1053"/>
      <c r="J397" s="1047"/>
      <c r="K397" s="1047"/>
      <c r="L397" s="1047"/>
      <c r="M397" s="1047"/>
      <c r="N397" s="1047"/>
      <c r="O397" s="1047"/>
      <c r="P397" s="1053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42"/>
      <c r="AC397" s="142"/>
      <c r="AD397" s="142"/>
      <c r="AE397" s="142"/>
      <c r="AF397" s="142"/>
      <c r="AG397" s="142"/>
      <c r="AH397" s="142"/>
      <c r="AI397" s="1068"/>
      <c r="AJ397" s="1068"/>
      <c r="AK397" s="1068"/>
    </row>
    <row r="398" spans="1:37" s="1024" customFormat="1">
      <c r="A398" s="1044"/>
      <c r="B398" s="1044"/>
      <c r="C398" s="1044"/>
      <c r="D398" s="142"/>
      <c r="E398" s="142"/>
      <c r="F398" s="142"/>
      <c r="G398" s="1047"/>
      <c r="H398" s="1047"/>
      <c r="I398" s="1053"/>
      <c r="J398" s="1047"/>
      <c r="K398" s="1047"/>
      <c r="L398" s="1047"/>
      <c r="M398" s="1047"/>
      <c r="N398" s="1047"/>
      <c r="O398" s="1047"/>
      <c r="P398" s="1053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42"/>
      <c r="AC398" s="142"/>
      <c r="AD398" s="142"/>
      <c r="AE398" s="142"/>
      <c r="AF398" s="142"/>
      <c r="AG398" s="142"/>
      <c r="AH398" s="142"/>
      <c r="AI398" s="1068"/>
      <c r="AJ398" s="1068"/>
      <c r="AK398" s="1068"/>
    </row>
    <row r="399" spans="1:37" s="1024" customFormat="1">
      <c r="A399" s="1044"/>
      <c r="B399" s="1044"/>
      <c r="C399" s="1044"/>
      <c r="D399" s="142"/>
      <c r="E399" s="142"/>
      <c r="F399" s="142"/>
      <c r="G399" s="1047"/>
      <c r="H399" s="1047"/>
      <c r="I399" s="1053"/>
      <c r="J399" s="1047"/>
      <c r="K399" s="1047"/>
      <c r="L399" s="1047"/>
      <c r="M399" s="1047"/>
      <c r="N399" s="1047"/>
      <c r="O399" s="1047"/>
      <c r="P399" s="1053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42"/>
      <c r="AC399" s="142"/>
      <c r="AD399" s="142"/>
      <c r="AE399" s="142"/>
      <c r="AF399" s="142"/>
      <c r="AG399" s="142"/>
      <c r="AH399" s="142"/>
      <c r="AI399" s="1068"/>
      <c r="AJ399" s="1068"/>
      <c r="AK399" s="1068"/>
    </row>
    <row r="400" spans="1:37" s="1024" customFormat="1">
      <c r="A400" s="1044"/>
      <c r="B400" s="1044"/>
      <c r="C400" s="1044"/>
      <c r="D400" s="142"/>
      <c r="E400" s="142"/>
      <c r="F400" s="142"/>
      <c r="G400" s="1047"/>
      <c r="H400" s="1047"/>
      <c r="I400" s="1053"/>
      <c r="J400" s="1047"/>
      <c r="K400" s="1047"/>
      <c r="L400" s="1047"/>
      <c r="M400" s="1047"/>
      <c r="N400" s="1047"/>
      <c r="O400" s="1047"/>
      <c r="P400" s="1053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42"/>
      <c r="AC400" s="142"/>
      <c r="AD400" s="142"/>
      <c r="AE400" s="142"/>
      <c r="AF400" s="142"/>
      <c r="AG400" s="142"/>
      <c r="AH400" s="142"/>
      <c r="AI400" s="1068"/>
      <c r="AJ400" s="1068"/>
      <c r="AK400" s="1068"/>
    </row>
    <row r="401" spans="1:37" s="1024" customFormat="1">
      <c r="A401" s="1044"/>
      <c r="B401" s="1044"/>
      <c r="C401" s="1044"/>
      <c r="D401" s="142"/>
      <c r="E401" s="142"/>
      <c r="F401" s="142"/>
      <c r="G401" s="1047"/>
      <c r="H401" s="1047"/>
      <c r="I401" s="1053"/>
      <c r="J401" s="1047"/>
      <c r="K401" s="1047"/>
      <c r="L401" s="1047"/>
      <c r="M401" s="1047"/>
      <c r="N401" s="1047"/>
      <c r="O401" s="1047"/>
      <c r="P401" s="1053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42"/>
      <c r="AC401" s="142"/>
      <c r="AD401" s="142"/>
      <c r="AE401" s="142"/>
      <c r="AF401" s="142"/>
      <c r="AG401" s="142"/>
      <c r="AH401" s="142"/>
      <c r="AI401" s="1068"/>
      <c r="AJ401" s="1068"/>
      <c r="AK401" s="1068"/>
    </row>
    <row r="402" spans="1:37" s="1024" customFormat="1">
      <c r="A402" s="1044"/>
      <c r="B402" s="1044"/>
      <c r="C402" s="1044"/>
      <c r="D402" s="142"/>
      <c r="E402" s="142"/>
      <c r="F402" s="142"/>
      <c r="G402" s="1047"/>
      <c r="H402" s="1047"/>
      <c r="I402" s="1053"/>
      <c r="J402" s="1047"/>
      <c r="K402" s="1047"/>
      <c r="L402" s="1047"/>
      <c r="M402" s="1047"/>
      <c r="N402" s="1047"/>
      <c r="O402" s="1047"/>
      <c r="P402" s="1053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42"/>
      <c r="AC402" s="142"/>
      <c r="AD402" s="142"/>
      <c r="AE402" s="142"/>
      <c r="AF402" s="142"/>
      <c r="AG402" s="142"/>
      <c r="AH402" s="142"/>
      <c r="AI402" s="1068"/>
      <c r="AJ402" s="1068"/>
      <c r="AK402" s="1068"/>
    </row>
    <row r="403" spans="1:37" s="1024" customFormat="1">
      <c r="A403" s="1044"/>
      <c r="B403" s="1044"/>
      <c r="C403" s="1044"/>
      <c r="D403" s="142"/>
      <c r="E403" s="142"/>
      <c r="F403" s="142"/>
      <c r="G403" s="1047"/>
      <c r="H403" s="1047"/>
      <c r="I403" s="1053"/>
      <c r="J403" s="1047"/>
      <c r="K403" s="1047"/>
      <c r="L403" s="1047"/>
      <c r="M403" s="1047"/>
      <c r="N403" s="1047"/>
      <c r="O403" s="1047"/>
      <c r="P403" s="1053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42"/>
      <c r="AC403" s="142"/>
      <c r="AD403" s="142"/>
      <c r="AE403" s="142"/>
      <c r="AF403" s="142"/>
      <c r="AG403" s="142"/>
      <c r="AH403" s="142"/>
      <c r="AI403" s="1068"/>
      <c r="AJ403" s="1068"/>
      <c r="AK403" s="1068"/>
    </row>
    <row r="404" spans="1:37" s="1024" customFormat="1">
      <c r="A404" s="1044"/>
      <c r="B404" s="1044"/>
      <c r="C404" s="1044"/>
      <c r="D404" s="142"/>
      <c r="E404" s="142"/>
      <c r="F404" s="142"/>
      <c r="G404" s="1047"/>
      <c r="H404" s="1047"/>
      <c r="I404" s="1053"/>
      <c r="J404" s="1047"/>
      <c r="K404" s="1047"/>
      <c r="L404" s="1047"/>
      <c r="M404" s="1047"/>
      <c r="N404" s="1047"/>
      <c r="O404" s="1047"/>
      <c r="P404" s="1053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42"/>
      <c r="AC404" s="142"/>
      <c r="AD404" s="142"/>
      <c r="AE404" s="142"/>
      <c r="AF404" s="142"/>
      <c r="AG404" s="142"/>
      <c r="AH404" s="142"/>
      <c r="AI404" s="1068"/>
      <c r="AJ404" s="1068"/>
      <c r="AK404" s="1068"/>
    </row>
    <row r="405" spans="1:37" s="1024" customFormat="1">
      <c r="A405" s="1044"/>
      <c r="B405" s="1044"/>
      <c r="C405" s="1044"/>
      <c r="D405" s="142"/>
      <c r="E405" s="142"/>
      <c r="F405" s="142"/>
      <c r="G405" s="1047"/>
      <c r="H405" s="1047"/>
      <c r="I405" s="1053"/>
      <c r="J405" s="1047"/>
      <c r="K405" s="1047"/>
      <c r="L405" s="1047"/>
      <c r="M405" s="1047"/>
      <c r="N405" s="1047"/>
      <c r="O405" s="1047"/>
      <c r="P405" s="1053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42"/>
      <c r="AC405" s="142"/>
      <c r="AD405" s="142"/>
      <c r="AE405" s="142"/>
      <c r="AF405" s="142"/>
      <c r="AG405" s="142"/>
      <c r="AH405" s="142"/>
      <c r="AI405" s="1068"/>
      <c r="AJ405" s="1068"/>
      <c r="AK405" s="1068"/>
    </row>
    <row r="406" spans="1:37" s="1024" customFormat="1">
      <c r="A406" s="1044"/>
      <c r="B406" s="1044"/>
      <c r="C406" s="1044"/>
      <c r="D406" s="142"/>
      <c r="E406" s="142"/>
      <c r="F406" s="142"/>
      <c r="G406" s="1047"/>
      <c r="H406" s="1047"/>
      <c r="I406" s="1053"/>
      <c r="J406" s="1047"/>
      <c r="K406" s="1047"/>
      <c r="L406" s="1047"/>
      <c r="M406" s="1047"/>
      <c r="N406" s="1047"/>
      <c r="O406" s="1047"/>
      <c r="P406" s="1053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42"/>
      <c r="AC406" s="142"/>
      <c r="AD406" s="142"/>
      <c r="AE406" s="142"/>
      <c r="AF406" s="142"/>
      <c r="AG406" s="142"/>
      <c r="AH406" s="142"/>
      <c r="AI406" s="1068"/>
      <c r="AJ406" s="1068"/>
      <c r="AK406" s="1068"/>
    </row>
    <row r="407" spans="1:37" s="1024" customFormat="1">
      <c r="A407" s="1044"/>
      <c r="B407" s="1044"/>
      <c r="C407" s="1044"/>
      <c r="D407" s="142"/>
      <c r="E407" s="142"/>
      <c r="F407" s="142"/>
      <c r="G407" s="1047"/>
      <c r="H407" s="1047"/>
      <c r="I407" s="1053"/>
      <c r="J407" s="1047"/>
      <c r="K407" s="1047"/>
      <c r="L407" s="1047"/>
      <c r="M407" s="1047"/>
      <c r="N407" s="1047"/>
      <c r="O407" s="1047"/>
      <c r="P407" s="1053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42"/>
      <c r="AC407" s="142"/>
      <c r="AD407" s="142"/>
      <c r="AE407" s="142"/>
      <c r="AF407" s="142"/>
      <c r="AG407" s="142"/>
      <c r="AH407" s="142"/>
      <c r="AI407" s="1068"/>
      <c r="AJ407" s="1068"/>
      <c r="AK407" s="1068"/>
    </row>
    <row r="408" spans="1:37" s="1024" customFormat="1">
      <c r="A408" s="1044"/>
      <c r="B408" s="1044"/>
      <c r="C408" s="1044"/>
      <c r="D408" s="142"/>
      <c r="E408" s="142"/>
      <c r="F408" s="142"/>
      <c r="G408" s="1047"/>
      <c r="H408" s="1047"/>
      <c r="I408" s="1053"/>
      <c r="J408" s="1047"/>
      <c r="K408" s="1047"/>
      <c r="L408" s="1047"/>
      <c r="M408" s="1047"/>
      <c r="N408" s="1047"/>
      <c r="O408" s="1047"/>
      <c r="P408" s="1053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42"/>
      <c r="AC408" s="142"/>
      <c r="AD408" s="142"/>
      <c r="AE408" s="142"/>
      <c r="AF408" s="142"/>
      <c r="AG408" s="142"/>
      <c r="AH408" s="142"/>
      <c r="AI408" s="1068"/>
      <c r="AJ408" s="1068"/>
      <c r="AK408" s="1068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7" width="10" style="801" customWidth="1"/>
    <col min="8" max="8" width="10" style="955" customWidth="1"/>
    <col min="9" max="11" width="10" style="801" customWidth="1"/>
    <col min="12" max="12" width="12" style="801" customWidth="1"/>
    <col min="13" max="13" width="13.28515625" style="801" customWidth="1"/>
    <col min="14" max="14" width="12.5703125" style="801" customWidth="1"/>
    <col min="15" max="18" width="10.140625" style="801" customWidth="1"/>
    <col min="19" max="19" width="12.85546875" style="801" customWidth="1"/>
    <col min="20" max="22" width="11.85546875" style="801" customWidth="1"/>
    <col min="23" max="23" width="14.28515625" style="801" customWidth="1"/>
    <col min="24" max="25" width="10.28515625" style="801" customWidth="1"/>
    <col min="26" max="26" width="14.140625" style="801" customWidth="1"/>
    <col min="27" max="28" width="10.140625" style="801" customWidth="1"/>
    <col min="29" max="37" width="10.28515625" style="801" customWidth="1"/>
    <col min="38" max="38" width="10.140625" style="801" customWidth="1"/>
    <col min="39" max="40" width="16.42578125" style="801" customWidth="1"/>
    <col min="41" max="41" width="10.140625" style="801"/>
    <col min="42" max="44" width="10.140625" style="799"/>
    <col min="45" max="16384" width="10.140625" style="801"/>
  </cols>
  <sheetData>
    <row r="1" spans="1:46">
      <c r="A1" s="2583" t="s">
        <v>2028</v>
      </c>
      <c r="B1" s="2583"/>
      <c r="C1" s="2583"/>
      <c r="D1" s="2583"/>
      <c r="E1" s="2583"/>
      <c r="F1" s="2583"/>
      <c r="G1" s="2583"/>
      <c r="H1" s="2583"/>
      <c r="I1" s="2583"/>
      <c r="J1" s="2583"/>
      <c r="K1" s="2583"/>
      <c r="L1" s="2583"/>
      <c r="M1" s="2575" t="s">
        <v>0</v>
      </c>
      <c r="N1" s="2575"/>
      <c r="O1" s="2575"/>
      <c r="P1" s="2575"/>
      <c r="Q1" s="2575"/>
      <c r="R1" s="2575"/>
      <c r="S1" s="2575"/>
      <c r="T1" s="2575"/>
      <c r="U1" s="2575"/>
      <c r="V1" s="2575"/>
      <c r="W1" s="2575"/>
      <c r="X1" s="2575"/>
      <c r="Y1" s="2575"/>
      <c r="Z1" s="2575"/>
      <c r="AA1" s="2575"/>
      <c r="AB1" s="2575"/>
      <c r="AC1" s="2575"/>
      <c r="AD1" s="2575"/>
      <c r="AE1" s="2575"/>
      <c r="AF1" s="2575"/>
      <c r="AG1" s="2575"/>
      <c r="AH1" s="2575"/>
      <c r="AI1" s="2575"/>
      <c r="AJ1" s="2575"/>
      <c r="AK1" s="2575"/>
      <c r="AL1" s="2575"/>
    </row>
    <row r="2" spans="1:46">
      <c r="A2" s="2583" t="s">
        <v>2029</v>
      </c>
      <c r="B2" s="2583"/>
      <c r="C2" s="2583"/>
      <c r="D2" s="2583"/>
      <c r="E2" s="2583"/>
      <c r="F2" s="2583"/>
      <c r="G2" s="2583"/>
      <c r="H2" s="2583"/>
      <c r="I2" s="2583"/>
      <c r="J2" s="2583"/>
      <c r="K2" s="2583"/>
      <c r="L2" s="2583"/>
      <c r="M2" s="2575" t="s">
        <v>2030</v>
      </c>
      <c r="N2" s="2575"/>
      <c r="O2" s="2575"/>
      <c r="P2" s="2575"/>
      <c r="Q2" s="2575"/>
      <c r="R2" s="2575"/>
      <c r="S2" s="2575"/>
      <c r="T2" s="2575"/>
      <c r="U2" s="2575"/>
      <c r="V2" s="2575"/>
      <c r="W2" s="2575"/>
      <c r="X2" s="2575"/>
      <c r="Y2" s="2575"/>
      <c r="Z2" s="2575"/>
      <c r="AA2" s="2575"/>
      <c r="AB2" s="2575"/>
      <c r="AC2" s="2575"/>
      <c r="AD2" s="2575"/>
      <c r="AE2" s="2575"/>
      <c r="AF2" s="2575"/>
      <c r="AG2" s="2575"/>
      <c r="AH2" s="2575"/>
      <c r="AI2" s="2575"/>
      <c r="AJ2" s="2575"/>
      <c r="AK2" s="2575"/>
      <c r="AL2" s="2575"/>
    </row>
    <row r="3" spans="1:46">
      <c r="A3" s="803"/>
      <c r="B3" s="803"/>
      <c r="C3" s="803"/>
      <c r="D3" s="803"/>
      <c r="E3" s="803"/>
      <c r="F3" s="803"/>
      <c r="G3" s="803"/>
      <c r="H3" s="956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28"/>
      <c r="T3" s="828"/>
      <c r="U3" s="828"/>
      <c r="V3" s="828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829"/>
      <c r="AJ3" s="829"/>
      <c r="AK3" s="829"/>
      <c r="AL3" s="828"/>
    </row>
    <row r="4" spans="1:46">
      <c r="A4" s="2575" t="s">
        <v>2031</v>
      </c>
      <c r="B4" s="2575"/>
      <c r="C4" s="2575"/>
      <c r="D4" s="2575"/>
      <c r="E4" s="2575"/>
      <c r="F4" s="2575"/>
      <c r="G4" s="2575"/>
      <c r="H4" s="2575"/>
      <c r="I4" s="2575"/>
      <c r="J4" s="2575"/>
      <c r="K4" s="2575"/>
      <c r="L4" s="2575"/>
      <c r="M4" s="2575"/>
      <c r="N4" s="2575"/>
      <c r="O4" s="2575"/>
      <c r="P4" s="2575"/>
      <c r="Q4" s="2575"/>
      <c r="R4" s="2575"/>
      <c r="S4" s="2575"/>
      <c r="T4" s="2575"/>
      <c r="U4" s="2575"/>
      <c r="V4" s="2575"/>
      <c r="W4" s="2575"/>
      <c r="X4" s="2575"/>
      <c r="Y4" s="2575"/>
      <c r="Z4" s="2575"/>
      <c r="AA4" s="2575"/>
      <c r="AB4" s="2575"/>
      <c r="AC4" s="2575"/>
      <c r="AD4" s="2575"/>
      <c r="AE4" s="2575"/>
      <c r="AF4" s="2575"/>
      <c r="AG4" s="2575"/>
      <c r="AH4" s="2575"/>
      <c r="AI4" s="2575"/>
      <c r="AJ4" s="2575"/>
      <c r="AK4" s="2575"/>
      <c r="AL4" s="2575"/>
    </row>
    <row r="5" spans="1:46">
      <c r="A5" s="2579" t="s">
        <v>2032</v>
      </c>
      <c r="B5" s="2579"/>
      <c r="C5" s="2579"/>
      <c r="D5" s="2579"/>
      <c r="E5" s="2579"/>
      <c r="F5" s="2579"/>
      <c r="G5" s="2579"/>
      <c r="H5" s="2579"/>
      <c r="I5" s="2579"/>
      <c r="J5" s="2579"/>
      <c r="K5" s="2579"/>
      <c r="L5" s="2579"/>
      <c r="M5" s="2579"/>
      <c r="N5" s="2579"/>
      <c r="O5" s="2579"/>
      <c r="P5" s="2579"/>
      <c r="Q5" s="2579"/>
      <c r="R5" s="2579"/>
      <c r="S5" s="2579"/>
      <c r="T5" s="2579"/>
      <c r="U5" s="2579"/>
      <c r="V5" s="2579"/>
      <c r="W5" s="2579"/>
      <c r="X5" s="2579"/>
      <c r="Y5" s="2579"/>
      <c r="Z5" s="2579"/>
      <c r="AA5" s="2579"/>
      <c r="AB5" s="2579"/>
      <c r="AC5" s="2579"/>
      <c r="AD5" s="2579"/>
      <c r="AE5" s="2579"/>
      <c r="AF5" s="2579"/>
      <c r="AG5" s="2579"/>
      <c r="AH5" s="2579"/>
      <c r="AI5" s="2579"/>
      <c r="AJ5" s="2579"/>
      <c r="AK5" s="2579"/>
      <c r="AL5" s="2579"/>
    </row>
    <row r="6" spans="1:46">
      <c r="A6" s="805" t="s">
        <v>2033</v>
      </c>
      <c r="B6" s="805" t="s">
        <v>1932</v>
      </c>
      <c r="C6" s="805"/>
      <c r="D6" s="805"/>
      <c r="E6" s="805"/>
      <c r="F6" s="805"/>
      <c r="G6" s="805"/>
      <c r="H6" s="957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2580" t="s">
        <v>2034</v>
      </c>
      <c r="AC6" s="2580"/>
      <c r="AD6" s="2580"/>
      <c r="AE6" s="2580"/>
      <c r="AF6" s="832"/>
      <c r="AG6" s="832"/>
      <c r="AH6" s="832"/>
      <c r="AI6" s="832"/>
      <c r="AJ6" s="832"/>
      <c r="AK6" s="832"/>
      <c r="AL6" s="805">
        <v>40</v>
      </c>
    </row>
    <row r="7" spans="1:46">
      <c r="A7" s="805"/>
      <c r="B7" s="805"/>
      <c r="C7" s="805"/>
      <c r="D7" s="805"/>
      <c r="E7" s="805"/>
      <c r="F7" s="805"/>
      <c r="G7" s="805"/>
      <c r="H7" s="957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2580" t="s">
        <v>2035</v>
      </c>
      <c r="AC7" s="2580"/>
      <c r="AD7" s="2580"/>
      <c r="AE7" s="2580"/>
      <c r="AF7" s="832"/>
      <c r="AG7" s="832"/>
      <c r="AH7" s="832"/>
      <c r="AI7" s="832"/>
      <c r="AJ7" s="832"/>
      <c r="AK7" s="832"/>
      <c r="AL7" s="805">
        <v>50</v>
      </c>
      <c r="AM7" s="953"/>
      <c r="AN7" s="974">
        <f>AN9/AN8</f>
        <v>0.42315993931490503</v>
      </c>
    </row>
    <row r="8" spans="1:46" ht="36" customHeight="1">
      <c r="A8" s="2578" t="s">
        <v>6</v>
      </c>
      <c r="B8" s="806"/>
      <c r="C8" s="2578" t="s">
        <v>2036</v>
      </c>
      <c r="D8" s="2578" t="s">
        <v>9</v>
      </c>
      <c r="E8" s="2581"/>
      <c r="F8" s="2581"/>
      <c r="G8" s="2581"/>
      <c r="H8" s="2581"/>
      <c r="I8" s="2581"/>
      <c r="J8" s="2581"/>
      <c r="K8" s="2581"/>
      <c r="L8" s="2581"/>
      <c r="M8" s="2581"/>
      <c r="N8" s="2581"/>
      <c r="O8" s="2581"/>
      <c r="P8" s="2581"/>
      <c r="Q8" s="2581"/>
      <c r="R8" s="2581"/>
      <c r="S8" s="2581"/>
      <c r="T8" s="2581"/>
      <c r="U8" s="2581"/>
      <c r="V8" s="2581"/>
      <c r="W8" s="2581"/>
      <c r="X8" s="2581"/>
      <c r="Y8" s="2581"/>
      <c r="Z8" s="2581"/>
      <c r="AA8" s="2581"/>
      <c r="AB8" s="2581"/>
      <c r="AC8" s="2581"/>
      <c r="AD8" s="2581"/>
      <c r="AE8" s="2581"/>
      <c r="AF8" s="2581"/>
      <c r="AG8" s="2581"/>
      <c r="AH8" s="2581"/>
      <c r="AI8" s="2581"/>
      <c r="AJ8" s="2581"/>
      <c r="AK8" s="2581"/>
      <c r="AL8" s="2581"/>
      <c r="AM8" s="778" t="s">
        <v>2037</v>
      </c>
      <c r="AN8" s="781">
        <v>562576</v>
      </c>
      <c r="AP8" s="799" t="s">
        <v>2038</v>
      </c>
      <c r="AR8" s="799" t="s">
        <v>2039</v>
      </c>
    </row>
    <row r="9" spans="1:46" s="798" customFormat="1" ht="51">
      <c r="A9" s="2578"/>
      <c r="B9" s="807" t="s">
        <v>1932</v>
      </c>
      <c r="C9" s="2578"/>
      <c r="D9" s="2578"/>
      <c r="E9" s="544" t="s">
        <v>2040</v>
      </c>
      <c r="F9" s="544" t="s">
        <v>2041</v>
      </c>
      <c r="G9" s="544" t="s">
        <v>2042</v>
      </c>
      <c r="H9" s="958" t="s">
        <v>2043</v>
      </c>
      <c r="I9" s="544" t="s">
        <v>2044</v>
      </c>
      <c r="J9" s="544" t="s">
        <v>2045</v>
      </c>
      <c r="K9" s="544" t="s">
        <v>2046</v>
      </c>
      <c r="L9" s="544" t="s">
        <v>2047</v>
      </c>
      <c r="M9" s="544" t="s">
        <v>2048</v>
      </c>
      <c r="N9" s="544" t="s">
        <v>2049</v>
      </c>
      <c r="O9" s="544" t="s">
        <v>2050</v>
      </c>
      <c r="P9" s="544" t="s">
        <v>2051</v>
      </c>
      <c r="Q9" s="544" t="s">
        <v>2052</v>
      </c>
      <c r="R9" s="544">
        <f>35629.65-S10</f>
        <v>17877.374000000003</v>
      </c>
      <c r="S9" s="544" t="s">
        <v>2053</v>
      </c>
      <c r="T9" s="544" t="s">
        <v>2054</v>
      </c>
      <c r="U9" s="544" t="s">
        <v>2055</v>
      </c>
      <c r="V9" s="544" t="s">
        <v>2056</v>
      </c>
      <c r="W9" s="544" t="s">
        <v>2057</v>
      </c>
      <c r="X9" s="544" t="s">
        <v>2058</v>
      </c>
      <c r="Y9" s="544" t="s">
        <v>2059</v>
      </c>
      <c r="Z9" s="544" t="s">
        <v>2060</v>
      </c>
      <c r="AA9" s="544" t="s">
        <v>2061</v>
      </c>
      <c r="AB9" s="544" t="s">
        <v>2062</v>
      </c>
      <c r="AC9" s="544" t="s">
        <v>2063</v>
      </c>
      <c r="AD9" s="544" t="s">
        <v>2064</v>
      </c>
      <c r="AE9" s="544" t="s">
        <v>2065</v>
      </c>
      <c r="AF9" s="544" t="s">
        <v>369</v>
      </c>
      <c r="AG9" s="544" t="s">
        <v>2066</v>
      </c>
      <c r="AH9" s="544" t="s">
        <v>2067</v>
      </c>
      <c r="AI9" s="544" t="s">
        <v>2068</v>
      </c>
      <c r="AJ9" s="544" t="s">
        <v>370</v>
      </c>
      <c r="AK9" s="544" t="s">
        <v>370</v>
      </c>
      <c r="AL9" s="807" t="s">
        <v>2069</v>
      </c>
      <c r="AM9" s="778" t="s">
        <v>2070</v>
      </c>
      <c r="AN9" s="782">
        <v>238059.626020022</v>
      </c>
      <c r="AP9" s="840"/>
      <c r="AQ9" s="840"/>
      <c r="AR9" s="840"/>
    </row>
    <row r="10" spans="1:46" ht="15.75">
      <c r="A10" s="2582" t="s">
        <v>2071</v>
      </c>
      <c r="B10" s="2582"/>
      <c r="C10" s="2582"/>
      <c r="D10" s="2582"/>
      <c r="E10" s="808">
        <f t="shared" ref="E10:AK10" si="0">+E396+E316+E229+E121+E57+E11+E209+E221</f>
        <v>10660</v>
      </c>
      <c r="F10" s="808">
        <f t="shared" si="0"/>
        <v>16</v>
      </c>
      <c r="G10" s="808">
        <f t="shared" si="0"/>
        <v>24</v>
      </c>
      <c r="H10" s="959">
        <f t="shared" si="0"/>
        <v>6996.2759999999998</v>
      </c>
      <c r="I10" s="808">
        <f t="shared" si="0"/>
        <v>11</v>
      </c>
      <c r="J10" s="808">
        <f t="shared" si="0"/>
        <v>45</v>
      </c>
      <c r="K10" s="808">
        <f t="shared" si="0"/>
        <v>0</v>
      </c>
      <c r="L10" s="808">
        <f t="shared" si="0"/>
        <v>0</v>
      </c>
      <c r="M10" s="808">
        <f t="shared" si="0"/>
        <v>0</v>
      </c>
      <c r="N10" s="808">
        <f t="shared" si="0"/>
        <v>0</v>
      </c>
      <c r="O10" s="808">
        <f t="shared" si="0"/>
        <v>0</v>
      </c>
      <c r="P10" s="808">
        <f t="shared" si="0"/>
        <v>0</v>
      </c>
      <c r="Q10" s="808">
        <f t="shared" si="0"/>
        <v>0</v>
      </c>
      <c r="R10" s="808">
        <f t="shared" si="0"/>
        <v>0</v>
      </c>
      <c r="S10" s="808">
        <f t="shared" si="0"/>
        <v>17752.275999999998</v>
      </c>
      <c r="T10" s="808" t="e">
        <f t="shared" si="0"/>
        <v>#N/A</v>
      </c>
      <c r="U10" s="808" t="e">
        <f t="shared" si="0"/>
        <v>#N/A</v>
      </c>
      <c r="V10" s="808" t="e">
        <f t="shared" si="0"/>
        <v>#N/A</v>
      </c>
      <c r="W10" s="808" t="e">
        <f t="shared" si="0"/>
        <v>#N/A</v>
      </c>
      <c r="X10" s="808">
        <f t="shared" si="0"/>
        <v>0</v>
      </c>
      <c r="Y10" s="808">
        <f t="shared" si="0"/>
        <v>0</v>
      </c>
      <c r="Z10" s="973" t="e">
        <f t="shared" si="0"/>
        <v>#N/A</v>
      </c>
      <c r="AA10" s="808" t="e">
        <f t="shared" si="0"/>
        <v>#N/A</v>
      </c>
      <c r="AB10" s="808" t="e">
        <f t="shared" si="0"/>
        <v>#N/A</v>
      </c>
      <c r="AC10" s="808" t="e">
        <f t="shared" si="0"/>
        <v>#N/A</v>
      </c>
      <c r="AD10" s="808">
        <f t="shared" si="0"/>
        <v>0</v>
      </c>
      <c r="AE10" s="808">
        <f t="shared" si="0"/>
        <v>62</v>
      </c>
      <c r="AF10" s="808">
        <f t="shared" si="0"/>
        <v>0</v>
      </c>
      <c r="AG10" s="808">
        <f t="shared" si="0"/>
        <v>0</v>
      </c>
      <c r="AH10" s="808">
        <f t="shared" si="0"/>
        <v>0</v>
      </c>
      <c r="AI10" s="808" t="e">
        <f t="shared" si="0"/>
        <v>#N/A</v>
      </c>
      <c r="AJ10" s="808">
        <f t="shared" si="0"/>
        <v>0</v>
      </c>
      <c r="AK10" s="808">
        <f t="shared" si="0"/>
        <v>0</v>
      </c>
      <c r="AL10" s="834"/>
      <c r="AM10" s="779" t="s">
        <v>373</v>
      </c>
      <c r="AN10" s="783">
        <v>0.5</v>
      </c>
    </row>
    <row r="11" spans="1:46" ht="15.75">
      <c r="A11" s="809" t="s">
        <v>427</v>
      </c>
      <c r="B11" s="810"/>
      <c r="C11" s="810"/>
      <c r="D11" s="811"/>
      <c r="E11" s="808">
        <f t="shared" ref="E11:AK11" si="1">SUM(E13:E56)</f>
        <v>1384</v>
      </c>
      <c r="F11" s="808">
        <f t="shared" si="1"/>
        <v>0</v>
      </c>
      <c r="G11" s="808">
        <f t="shared" si="1"/>
        <v>0</v>
      </c>
      <c r="H11" s="959">
        <f t="shared" si="1"/>
        <v>0</v>
      </c>
      <c r="I11" s="808">
        <f t="shared" si="1"/>
        <v>11</v>
      </c>
      <c r="J11" s="808">
        <f t="shared" si="1"/>
        <v>45</v>
      </c>
      <c r="K11" s="808">
        <f t="shared" si="1"/>
        <v>0</v>
      </c>
      <c r="L11" s="808">
        <f t="shared" si="1"/>
        <v>0</v>
      </c>
      <c r="M11" s="808">
        <f t="shared" si="1"/>
        <v>0</v>
      </c>
      <c r="N11" s="808">
        <f t="shared" si="1"/>
        <v>0</v>
      </c>
      <c r="O11" s="808">
        <f t="shared" si="1"/>
        <v>0</v>
      </c>
      <c r="P11" s="808">
        <f t="shared" si="1"/>
        <v>0</v>
      </c>
      <c r="Q11" s="808">
        <f t="shared" si="1"/>
        <v>0</v>
      </c>
      <c r="R11" s="808">
        <f t="shared" si="1"/>
        <v>0</v>
      </c>
      <c r="S11" s="808">
        <f t="shared" si="1"/>
        <v>1440</v>
      </c>
      <c r="T11" s="808">
        <f t="shared" si="1"/>
        <v>0</v>
      </c>
      <c r="U11" s="808">
        <f t="shared" si="1"/>
        <v>0</v>
      </c>
      <c r="V11" s="808" t="e">
        <f t="shared" si="1"/>
        <v>#N/A</v>
      </c>
      <c r="W11" s="969" t="e">
        <f t="shared" si="1"/>
        <v>#N/A</v>
      </c>
      <c r="X11" s="969">
        <f t="shared" si="1"/>
        <v>0</v>
      </c>
      <c r="Y11" s="969">
        <f t="shared" si="1"/>
        <v>0</v>
      </c>
      <c r="Z11" s="969" t="e">
        <f t="shared" si="1"/>
        <v>#N/A</v>
      </c>
      <c r="AA11" s="969" t="e">
        <f t="shared" si="1"/>
        <v>#N/A</v>
      </c>
      <c r="AB11" s="969" t="e">
        <f t="shared" si="1"/>
        <v>#N/A</v>
      </c>
      <c r="AC11" s="808" t="e">
        <f t="shared" si="1"/>
        <v>#N/A</v>
      </c>
      <c r="AD11" s="808">
        <f t="shared" si="1"/>
        <v>0</v>
      </c>
      <c r="AE11" s="808">
        <f t="shared" si="1"/>
        <v>2</v>
      </c>
      <c r="AF11" s="808">
        <f t="shared" si="1"/>
        <v>0</v>
      </c>
      <c r="AG11" s="808">
        <f t="shared" si="1"/>
        <v>0</v>
      </c>
      <c r="AH11" s="808">
        <f t="shared" si="1"/>
        <v>0</v>
      </c>
      <c r="AI11" s="808">
        <f t="shared" si="1"/>
        <v>0</v>
      </c>
      <c r="AJ11" s="808">
        <f t="shared" si="1"/>
        <v>0</v>
      </c>
      <c r="AK11" s="808">
        <f t="shared" si="1"/>
        <v>0</v>
      </c>
      <c r="AL11" s="834"/>
      <c r="AM11" s="779" t="s">
        <v>2072</v>
      </c>
      <c r="AN11" s="783">
        <v>0.2</v>
      </c>
    </row>
    <row r="12" spans="1:46" ht="15.75">
      <c r="A12" s="809"/>
      <c r="B12" s="810"/>
      <c r="C12" s="810"/>
      <c r="D12" s="811"/>
      <c r="E12" s="808"/>
      <c r="F12" s="808"/>
      <c r="G12" s="808"/>
      <c r="H12" s="959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969"/>
      <c r="X12" s="969"/>
      <c r="Y12" s="969"/>
      <c r="Z12" s="969"/>
      <c r="AA12" s="969"/>
      <c r="AB12" s="969"/>
      <c r="AC12" s="808"/>
      <c r="AD12" s="808"/>
      <c r="AE12" s="808"/>
      <c r="AF12" s="808"/>
      <c r="AG12" s="808"/>
      <c r="AH12" s="808"/>
      <c r="AI12" s="808"/>
      <c r="AJ12" s="808"/>
      <c r="AK12" s="808"/>
      <c r="AL12" s="834"/>
      <c r="AO12" s="506" t="s">
        <v>2073</v>
      </c>
      <c r="AP12" s="506" t="s">
        <v>2074</v>
      </c>
    </row>
    <row r="13" spans="1:46" ht="15.75">
      <c r="A13" s="812">
        <v>1</v>
      </c>
      <c r="B13" s="813" t="e">
        <f>VLOOKUP(C13,'DS CN MOI UP'!$B$10:$C$389,2,0)</f>
        <v>#N/A</v>
      </c>
      <c r="C13" s="814" t="s">
        <v>357</v>
      </c>
      <c r="D13" s="812" t="s">
        <v>15</v>
      </c>
      <c r="E13" s="815">
        <f>4*8</f>
        <v>32</v>
      </c>
      <c r="F13" s="815"/>
      <c r="G13" s="815"/>
      <c r="H13" s="960"/>
      <c r="I13" s="815"/>
      <c r="J13" s="815"/>
      <c r="K13" s="815"/>
      <c r="L13" s="815"/>
      <c r="M13" s="815"/>
      <c r="N13" s="815"/>
      <c r="O13" s="815"/>
      <c r="P13" s="815"/>
      <c r="Q13" s="815"/>
      <c r="R13" s="815"/>
      <c r="S13" s="830">
        <f t="shared" ref="S13:S32" si="2">SUM(E13:N13)</f>
        <v>32</v>
      </c>
      <c r="T13" s="830"/>
      <c r="U13" s="830"/>
      <c r="V13" s="830" t="e">
        <f>VLOOKUP(C13,'sản lượng'!$D$14:$AK$169,36,0)</f>
        <v>#N/A</v>
      </c>
      <c r="W13" s="831" t="e">
        <f>SUM(T13:V13)</f>
        <v>#N/A</v>
      </c>
      <c r="X13" s="830"/>
      <c r="Y13" s="830"/>
      <c r="Z13" s="830" t="e">
        <f>W13*$AN$13+X13*$AN$10</f>
        <v>#N/A</v>
      </c>
      <c r="AA13" s="830" t="e">
        <f>VLOOKUP(C13,'CHẤM CÔNG '!$E$13:$AM$168,33,0)</f>
        <v>#N/A</v>
      </c>
      <c r="AB13" s="830" t="e">
        <f>VLOOKUP(C13,'CHẤM CÔNG '!$E$13:$AM$168,34,0)</f>
        <v>#N/A</v>
      </c>
      <c r="AC13" s="830"/>
      <c r="AD13" s="830"/>
      <c r="AE13" s="830"/>
      <c r="AF13" s="830"/>
      <c r="AG13" s="830"/>
      <c r="AH13" s="830"/>
      <c r="AI13" s="830"/>
      <c r="AJ13" s="830"/>
      <c r="AK13" s="836"/>
      <c r="AL13" s="837" t="e">
        <f>VLOOKUP(C13,'sản lượng'!$D$14:$AP$169,38,0)</f>
        <v>#N/A</v>
      </c>
      <c r="AM13" s="507" t="s">
        <v>2013</v>
      </c>
      <c r="AN13" s="508"/>
      <c r="AO13" s="509"/>
      <c r="AP13" s="509"/>
      <c r="AQ13"/>
      <c r="AR13" s="842"/>
      <c r="AS13" s="801" t="e">
        <f>+AP13/AO13*100</f>
        <v>#DIV/0!</v>
      </c>
      <c r="AT13" s="801" t="e">
        <f>+AQ13-AS13</f>
        <v>#DIV/0!</v>
      </c>
    </row>
    <row r="14" spans="1:46" ht="15.75">
      <c r="A14" s="812">
        <v>2</v>
      </c>
      <c r="B14" s="813" t="e">
        <f>VLOOKUP(C14,'DS CN MOI UP'!$B$10:$C$389,2,0)</f>
        <v>#N/A</v>
      </c>
      <c r="C14" s="816" t="s">
        <v>358</v>
      </c>
      <c r="D14" s="812" t="s">
        <v>15</v>
      </c>
      <c r="E14" s="815">
        <f t="shared" ref="E14:E55" si="3">4*8</f>
        <v>32</v>
      </c>
      <c r="F14" s="815"/>
      <c r="G14" s="815"/>
      <c r="H14" s="960"/>
      <c r="I14" s="815"/>
      <c r="J14" s="815">
        <v>3</v>
      </c>
      <c r="K14" s="815"/>
      <c r="L14" s="815"/>
      <c r="M14" s="815"/>
      <c r="N14" s="815"/>
      <c r="O14" s="815"/>
      <c r="P14" s="815"/>
      <c r="Q14" s="815"/>
      <c r="R14" s="815"/>
      <c r="S14" s="830">
        <f t="shared" si="2"/>
        <v>35</v>
      </c>
      <c r="T14" s="830"/>
      <c r="U14" s="830"/>
      <c r="V14" s="830" t="e">
        <f>VLOOKUP(C14,'sản lượng'!$D$14:$AK$169,36,0)</f>
        <v>#N/A</v>
      </c>
      <c r="W14" s="831" t="e">
        <f t="shared" ref="W14:W54" si="4">SUM(T14:V14)</f>
        <v>#N/A</v>
      </c>
      <c r="X14" s="830"/>
      <c r="Y14" s="830"/>
      <c r="Z14" s="830" t="e">
        <f t="shared" ref="Z14:Z55" si="5">W14*$AN$13+X14*$AN$10</f>
        <v>#N/A</v>
      </c>
      <c r="AA14" s="830" t="e">
        <f>VLOOKUP(C14,'CHẤM CÔNG '!$E$13:$AM$168,33,0)</f>
        <v>#N/A</v>
      </c>
      <c r="AB14" s="830" t="e">
        <f>VLOOKUP(C14,'CHẤM CÔNG '!$E$13:$AM$168,34,0)</f>
        <v>#N/A</v>
      </c>
      <c r="AC14" s="830"/>
      <c r="AD14" s="830"/>
      <c r="AE14" s="830"/>
      <c r="AF14" s="830"/>
      <c r="AG14" s="830"/>
      <c r="AH14" s="830"/>
      <c r="AI14" s="830"/>
      <c r="AJ14" s="830"/>
      <c r="AK14" s="836"/>
      <c r="AL14" s="837" t="e">
        <f>VLOOKUP(C14,'sản lượng'!$D$14:$AP$169,38,0)</f>
        <v>#N/A</v>
      </c>
      <c r="AM14" s="507" t="s">
        <v>2014</v>
      </c>
      <c r="AN14" s="508">
        <f t="shared" ref="AN14:AN21" si="6">AP14/AO14</f>
        <v>0.49735663507109007</v>
      </c>
      <c r="AO14" s="509">
        <v>3376</v>
      </c>
      <c r="AP14" s="509">
        <v>1679.076</v>
      </c>
      <c r="AQ14">
        <v>49.735663507109003</v>
      </c>
      <c r="AR14" s="842"/>
      <c r="AS14" s="801">
        <f t="shared" ref="AS14:AS21" si="7">+AP14/AO14*100</f>
        <v>49.73566350710901</v>
      </c>
      <c r="AT14" s="801">
        <f t="shared" ref="AT14:AT21" si="8">+AQ14-AS14</f>
        <v>0</v>
      </c>
    </row>
    <row r="15" spans="1:46" ht="15.75">
      <c r="A15" s="812">
        <v>3</v>
      </c>
      <c r="B15" s="813" t="e">
        <f>VLOOKUP(C15,'DS CN MOI UP'!$B$10:$C$389,2,0)</f>
        <v>#N/A</v>
      </c>
      <c r="C15" s="817" t="s">
        <v>385</v>
      </c>
      <c r="D15" s="812" t="s">
        <v>15</v>
      </c>
      <c r="E15" s="815">
        <f t="shared" si="3"/>
        <v>32</v>
      </c>
      <c r="F15" s="815"/>
      <c r="G15" s="815"/>
      <c r="H15" s="960"/>
      <c r="I15" s="815">
        <v>1</v>
      </c>
      <c r="J15" s="815">
        <v>3</v>
      </c>
      <c r="K15" s="815"/>
      <c r="L15" s="815"/>
      <c r="M15" s="815"/>
      <c r="N15" s="815"/>
      <c r="O15" s="815"/>
      <c r="P15" s="815"/>
      <c r="Q15" s="815"/>
      <c r="R15" s="815"/>
      <c r="S15" s="830">
        <f t="shared" si="2"/>
        <v>36</v>
      </c>
      <c r="T15" s="830"/>
      <c r="U15" s="830"/>
      <c r="V15" s="830" t="e">
        <f>VLOOKUP(C15,'sản lượng'!$D$14:$AK$169,36,0)</f>
        <v>#N/A</v>
      </c>
      <c r="W15" s="831" t="e">
        <f t="shared" si="4"/>
        <v>#N/A</v>
      </c>
      <c r="X15" s="830"/>
      <c r="Y15" s="830"/>
      <c r="Z15" s="830" t="e">
        <f t="shared" si="5"/>
        <v>#N/A</v>
      </c>
      <c r="AA15" s="830" t="e">
        <f>VLOOKUP(C15,'CHẤM CÔNG '!$E$13:$AM$168,33,0)</f>
        <v>#N/A</v>
      </c>
      <c r="AB15" s="830" t="e">
        <f>VLOOKUP(C15,'CHẤM CÔNG '!$E$13:$AM$168,34,0)</f>
        <v>#N/A</v>
      </c>
      <c r="AC15" s="830"/>
      <c r="AD15" s="830"/>
      <c r="AE15" s="830"/>
      <c r="AF15" s="830"/>
      <c r="AG15" s="830"/>
      <c r="AH15" s="830"/>
      <c r="AI15" s="830"/>
      <c r="AJ15" s="830"/>
      <c r="AK15" s="836"/>
      <c r="AL15" s="837" t="e">
        <f>VLOOKUP(C15,'sản lượng'!$D$14:$AP$169,38,0)</f>
        <v>#N/A</v>
      </c>
      <c r="AM15" s="507" t="s">
        <v>2015</v>
      </c>
      <c r="AN15" s="508">
        <f t="shared" si="6"/>
        <v>0.50833693372589595</v>
      </c>
      <c r="AO15" s="509">
        <v>9286</v>
      </c>
      <c r="AP15" s="509">
        <v>4720.4167665786699</v>
      </c>
      <c r="AQ15">
        <v>50.8336933725897</v>
      </c>
      <c r="AR15" s="842"/>
      <c r="AS15" s="801">
        <f t="shared" si="7"/>
        <v>50.833693372589593</v>
      </c>
      <c r="AT15" s="801">
        <f t="shared" si="8"/>
        <v>1.0658141036401503E-13</v>
      </c>
    </row>
    <row r="16" spans="1:46" s="953" customFormat="1" ht="15.75">
      <c r="A16" s="961">
        <v>4</v>
      </c>
      <c r="B16" s="962" t="e">
        <f>VLOOKUP(C16,'DS CN MOI UP'!$B$10:$C$389,2,0)</f>
        <v>#N/A</v>
      </c>
      <c r="C16" s="963" t="s">
        <v>1936</v>
      </c>
      <c r="D16" s="961" t="s">
        <v>15</v>
      </c>
      <c r="E16" s="815">
        <f t="shared" si="3"/>
        <v>32</v>
      </c>
      <c r="F16" s="964"/>
      <c r="G16" s="964"/>
      <c r="H16" s="960"/>
      <c r="I16" s="964"/>
      <c r="J16" s="964">
        <v>6</v>
      </c>
      <c r="K16" s="964"/>
      <c r="L16" s="964"/>
      <c r="M16" s="964"/>
      <c r="N16" s="964"/>
      <c r="O16" s="964"/>
      <c r="P16" s="964"/>
      <c r="Q16" s="964"/>
      <c r="R16" s="964"/>
      <c r="S16" s="970">
        <f t="shared" si="2"/>
        <v>38</v>
      </c>
      <c r="T16" s="970"/>
      <c r="U16" s="970"/>
      <c r="V16" s="970" t="e">
        <f>VLOOKUP(C16,'sản lượng'!$D$14:$AK$169,36,0)</f>
        <v>#N/A</v>
      </c>
      <c r="W16" s="971" t="e">
        <f t="shared" si="4"/>
        <v>#N/A</v>
      </c>
      <c r="X16" s="970"/>
      <c r="Y16" s="970"/>
      <c r="Z16" s="830" t="e">
        <f t="shared" si="5"/>
        <v>#N/A</v>
      </c>
      <c r="AA16" s="970" t="e">
        <f>VLOOKUP(C16,'CHẤM CÔNG '!$E$13:$AM$168,33,0)</f>
        <v>#N/A</v>
      </c>
      <c r="AB16" s="970" t="e">
        <f>VLOOKUP(C16,'CHẤM CÔNG '!$E$13:$AM$168,34,0)</f>
        <v>#N/A</v>
      </c>
      <c r="AC16" s="970" t="e">
        <f>SUM(AA16:AB16,AF16)</f>
        <v>#N/A</v>
      </c>
      <c r="AD16" s="970"/>
      <c r="AE16" s="830"/>
      <c r="AF16" s="830"/>
      <c r="AG16" s="830"/>
      <c r="AH16" s="830"/>
      <c r="AI16" s="830"/>
      <c r="AJ16" s="830"/>
      <c r="AK16" s="836"/>
      <c r="AL16" s="975" t="e">
        <f>VLOOKUP(C16,'sản lượng'!$D$14:$AP$169,38,0)</f>
        <v>#N/A</v>
      </c>
      <c r="AM16" s="976" t="s">
        <v>2016</v>
      </c>
      <c r="AN16" s="508">
        <f t="shared" si="6"/>
        <v>0.51797893982400645</v>
      </c>
      <c r="AO16" s="978">
        <v>2174</v>
      </c>
      <c r="AP16" s="978">
        <v>1126.0862151773899</v>
      </c>
      <c r="AQ16">
        <v>51.7978939824009</v>
      </c>
      <c r="AR16" s="842"/>
      <c r="AS16" s="801">
        <f t="shared" si="7"/>
        <v>51.797893982400645</v>
      </c>
      <c r="AT16" s="801">
        <f t="shared" si="8"/>
        <v>2.5579538487363607E-13</v>
      </c>
    </row>
    <row r="17" spans="1:46" s="953" customFormat="1" ht="15.75">
      <c r="A17" s="961">
        <v>5</v>
      </c>
      <c r="B17" s="962" t="e">
        <f>VLOOKUP(C17,'DS CN MOI UP'!$B$10:$C$389,2,0)</f>
        <v>#N/A</v>
      </c>
      <c r="C17" s="965" t="s">
        <v>387</v>
      </c>
      <c r="D17" s="961" t="s">
        <v>15</v>
      </c>
      <c r="E17" s="815">
        <f t="shared" si="3"/>
        <v>32</v>
      </c>
      <c r="F17" s="964"/>
      <c r="G17" s="964"/>
      <c r="H17" s="960"/>
      <c r="I17" s="964">
        <v>2</v>
      </c>
      <c r="J17" s="964"/>
      <c r="K17" s="964"/>
      <c r="L17" s="964"/>
      <c r="M17" s="964"/>
      <c r="N17" s="964"/>
      <c r="O17" s="964"/>
      <c r="P17" s="964"/>
      <c r="Q17" s="964"/>
      <c r="R17" s="964"/>
      <c r="S17" s="970">
        <f t="shared" si="2"/>
        <v>34</v>
      </c>
      <c r="T17" s="970"/>
      <c r="U17" s="970"/>
      <c r="V17" s="970" t="e">
        <f>VLOOKUP(C17,'sản lượng'!$D$14:$AK$169,36,0)</f>
        <v>#N/A</v>
      </c>
      <c r="W17" s="971" t="e">
        <f t="shared" si="4"/>
        <v>#N/A</v>
      </c>
      <c r="X17" s="970"/>
      <c r="Y17" s="970"/>
      <c r="Z17" s="830" t="e">
        <f t="shared" si="5"/>
        <v>#N/A</v>
      </c>
      <c r="AA17" s="970" t="e">
        <f>VLOOKUP(C17,'CHẤM CÔNG '!$E$13:$AM$168,33,0)</f>
        <v>#N/A</v>
      </c>
      <c r="AB17" s="970" t="e">
        <f>VLOOKUP(C17,'CHẤM CÔNG '!$E$13:$AM$168,34,0)</f>
        <v>#N/A</v>
      </c>
      <c r="AC17" s="970" t="e">
        <f t="shared" ref="AC17" si="9">SUM(AA17:AB17,AF17)</f>
        <v>#N/A</v>
      </c>
      <c r="AD17" s="970"/>
      <c r="AE17" s="830"/>
      <c r="AF17" s="830"/>
      <c r="AG17" s="830"/>
      <c r="AH17" s="830"/>
      <c r="AI17" s="830"/>
      <c r="AJ17" s="830"/>
      <c r="AK17" s="836"/>
      <c r="AL17" s="975" t="e">
        <f>VLOOKUP(C17,'sản lượng'!$D$14:$AP$169,38,0)</f>
        <v>#N/A</v>
      </c>
      <c r="AM17" s="976" t="s">
        <v>2017</v>
      </c>
      <c r="AN17" s="508">
        <f t="shared" si="6"/>
        <v>0.52318624601064911</v>
      </c>
      <c r="AO17" s="979">
        <v>3266</v>
      </c>
      <c r="AP17" s="979">
        <v>1708.7262794707799</v>
      </c>
      <c r="AQ17">
        <v>52.318624601064798</v>
      </c>
      <c r="AR17" s="842"/>
      <c r="AS17" s="801">
        <f t="shared" si="7"/>
        <v>52.318624601064911</v>
      </c>
      <c r="AT17" s="801">
        <f t="shared" si="8"/>
        <v>-1.1368683772161603E-13</v>
      </c>
    </row>
    <row r="18" spans="1:46" ht="15.75">
      <c r="A18" s="812">
        <v>6</v>
      </c>
      <c r="B18" s="813" t="e">
        <f>VLOOKUP(C18,'DS CN MOI UP'!$B$10:$C$389,2,0)</f>
        <v>#N/A</v>
      </c>
      <c r="C18" s="818" t="s">
        <v>388</v>
      </c>
      <c r="D18" s="812" t="s">
        <v>15</v>
      </c>
      <c r="E18" s="815">
        <f t="shared" si="3"/>
        <v>32</v>
      </c>
      <c r="F18" s="815"/>
      <c r="G18" s="815"/>
      <c r="H18" s="960"/>
      <c r="I18" s="815"/>
      <c r="J18" s="815">
        <v>3</v>
      </c>
      <c r="K18" s="815"/>
      <c r="L18" s="815"/>
      <c r="M18" s="815"/>
      <c r="N18" s="815"/>
      <c r="O18" s="815"/>
      <c r="P18" s="815"/>
      <c r="Q18" s="815"/>
      <c r="R18" s="815"/>
      <c r="S18" s="830">
        <f t="shared" si="2"/>
        <v>35</v>
      </c>
      <c r="T18" s="830"/>
      <c r="U18" s="830"/>
      <c r="V18" s="830" t="e">
        <f>VLOOKUP(C18,'sản lượng'!$D$14:$AK$169,36,0)</f>
        <v>#N/A</v>
      </c>
      <c r="W18" s="831" t="e">
        <f t="shared" si="4"/>
        <v>#N/A</v>
      </c>
      <c r="X18" s="830"/>
      <c r="Y18" s="830"/>
      <c r="Z18" s="830" t="e">
        <f t="shared" si="5"/>
        <v>#N/A</v>
      </c>
      <c r="AA18" s="830" t="e">
        <f>VLOOKUP(C18,'CHẤM CÔNG '!$E$13:$AM$168,33,0)</f>
        <v>#N/A</v>
      </c>
      <c r="AB18" s="830" t="e">
        <f>VLOOKUP(C18,'CHẤM CÔNG '!$E$13:$AM$168,34,0)</f>
        <v>#N/A</v>
      </c>
      <c r="AC18" s="830"/>
      <c r="AD18" s="830"/>
      <c r="AE18" s="830"/>
      <c r="AF18" s="830"/>
      <c r="AG18" s="830"/>
      <c r="AH18" s="830"/>
      <c r="AI18" s="830"/>
      <c r="AJ18" s="830"/>
      <c r="AK18" s="836"/>
      <c r="AL18" s="837" t="e">
        <f>VLOOKUP(C18,'sản lượng'!$D$14:$AP$169,38,0)</f>
        <v>#N/A</v>
      </c>
      <c r="AM18" s="507" t="s">
        <v>2018</v>
      </c>
      <c r="AN18" s="508">
        <f t="shared" si="6"/>
        <v>0.4866304358244653</v>
      </c>
      <c r="AO18" s="980">
        <v>9323</v>
      </c>
      <c r="AP18" s="980">
        <v>4536.8555531914899</v>
      </c>
      <c r="AQ18">
        <v>48.663043582446498</v>
      </c>
      <c r="AR18" s="842"/>
      <c r="AS18" s="801">
        <f t="shared" si="7"/>
        <v>48.663043582446534</v>
      </c>
      <c r="AT18" s="801">
        <f t="shared" si="8"/>
        <v>0</v>
      </c>
    </row>
    <row r="19" spans="1:46" ht="15.75">
      <c r="A19" s="812">
        <v>7</v>
      </c>
      <c r="B19" s="813" t="e">
        <f>VLOOKUP(C19,'DS CN MOI UP'!$B$10:$C$389,2,0)</f>
        <v>#N/A</v>
      </c>
      <c r="C19" s="818" t="s">
        <v>389</v>
      </c>
      <c r="D19" s="812" t="s">
        <v>15</v>
      </c>
      <c r="E19" s="815">
        <f t="shared" si="3"/>
        <v>32</v>
      </c>
      <c r="F19" s="815"/>
      <c r="G19" s="815"/>
      <c r="H19" s="960"/>
      <c r="I19" s="815"/>
      <c r="J19" s="815">
        <v>3</v>
      </c>
      <c r="K19" s="815"/>
      <c r="L19" s="815"/>
      <c r="M19" s="815"/>
      <c r="N19" s="815"/>
      <c r="O19" s="815"/>
      <c r="P19" s="815"/>
      <c r="Q19" s="815"/>
      <c r="R19" s="815"/>
      <c r="S19" s="830">
        <f t="shared" si="2"/>
        <v>35</v>
      </c>
      <c r="T19" s="830"/>
      <c r="U19" s="830"/>
      <c r="V19" s="830" t="e">
        <f>VLOOKUP(C19,'sản lượng'!$D$14:$AK$169,36,0)</f>
        <v>#N/A</v>
      </c>
      <c r="W19" s="831" t="e">
        <f t="shared" si="4"/>
        <v>#N/A</v>
      </c>
      <c r="X19" s="830"/>
      <c r="Y19" s="830"/>
      <c r="Z19" s="830" t="e">
        <f t="shared" si="5"/>
        <v>#N/A</v>
      </c>
      <c r="AA19" s="830" t="e">
        <f>VLOOKUP(C19,'CHẤM CÔNG '!$E$13:$AM$168,33,0)</f>
        <v>#N/A</v>
      </c>
      <c r="AB19" s="830" t="e">
        <f>VLOOKUP(C19,'CHẤM CÔNG '!$E$13:$AM$168,34,0)</f>
        <v>#N/A</v>
      </c>
      <c r="AC19" s="830"/>
      <c r="AD19" s="830"/>
      <c r="AE19" s="830"/>
      <c r="AF19" s="830"/>
      <c r="AG19" s="830"/>
      <c r="AH19" s="830"/>
      <c r="AI19" s="830"/>
      <c r="AJ19" s="830"/>
      <c r="AK19" s="836"/>
      <c r="AL19" s="837" t="e">
        <f>VLOOKUP(C19,'sản lượng'!$D$14:$AP$169,38,0)</f>
        <v>#N/A</v>
      </c>
      <c r="AM19" s="507" t="s">
        <v>2019</v>
      </c>
      <c r="AN19" s="508">
        <f t="shared" si="6"/>
        <v>0.46408510638297923</v>
      </c>
      <c r="AO19" s="980">
        <v>385</v>
      </c>
      <c r="AP19" s="980">
        <v>178.67276595744701</v>
      </c>
      <c r="AQ19">
        <v>46.408510638297898</v>
      </c>
      <c r="AR19" s="842"/>
      <c r="AS19" s="801">
        <f t="shared" si="7"/>
        <v>46.408510638297926</v>
      </c>
      <c r="AT19" s="801">
        <f t="shared" si="8"/>
        <v>0</v>
      </c>
    </row>
    <row r="20" spans="1:46" ht="15.75">
      <c r="A20" s="812">
        <v>8</v>
      </c>
      <c r="B20" s="813" t="e">
        <f>VLOOKUP(C20,'DS CN MOI UP'!$B$10:$C$389,2,0)</f>
        <v>#N/A</v>
      </c>
      <c r="C20" s="818" t="s">
        <v>1937</v>
      </c>
      <c r="D20" s="812" t="s">
        <v>15</v>
      </c>
      <c r="E20" s="815">
        <f t="shared" si="3"/>
        <v>32</v>
      </c>
      <c r="F20" s="815"/>
      <c r="G20" s="815"/>
      <c r="H20" s="960"/>
      <c r="I20" s="815"/>
      <c r="J20" s="815">
        <v>3</v>
      </c>
      <c r="K20" s="815"/>
      <c r="L20" s="815"/>
      <c r="M20" s="815"/>
      <c r="N20" s="815"/>
      <c r="O20" s="815"/>
      <c r="P20" s="815"/>
      <c r="Q20" s="815"/>
      <c r="R20" s="815"/>
      <c r="S20" s="830">
        <f t="shared" si="2"/>
        <v>35</v>
      </c>
      <c r="T20" s="830"/>
      <c r="U20" s="830"/>
      <c r="V20" s="830" t="e">
        <f>VLOOKUP(C20,'sản lượng'!$D$14:$AK$169,36,0)</f>
        <v>#N/A</v>
      </c>
      <c r="W20" s="831" t="e">
        <f t="shared" si="4"/>
        <v>#N/A</v>
      </c>
      <c r="X20" s="830"/>
      <c r="Y20" s="830"/>
      <c r="Z20" s="830" t="e">
        <f t="shared" si="5"/>
        <v>#N/A</v>
      </c>
      <c r="AA20" s="830" t="e">
        <f>VLOOKUP(C20,'CHẤM CÔNG '!$E$13:$AM$168,33,0)</f>
        <v>#N/A</v>
      </c>
      <c r="AB20" s="830" t="e">
        <f>VLOOKUP(C20,'CHẤM CÔNG '!$E$13:$AM$168,34,0)</f>
        <v>#N/A</v>
      </c>
      <c r="AC20" s="830"/>
      <c r="AD20" s="830"/>
      <c r="AE20" s="830"/>
      <c r="AF20" s="830"/>
      <c r="AG20" s="830"/>
      <c r="AH20" s="830"/>
      <c r="AI20" s="830"/>
      <c r="AJ20" s="830"/>
      <c r="AK20" s="836"/>
      <c r="AL20" s="837" t="e">
        <f>VLOOKUP(C20,'sản lượng'!$D$14:$AP$169,38,0)</f>
        <v>#N/A</v>
      </c>
      <c r="AM20" s="507" t="s">
        <v>2020</v>
      </c>
      <c r="AN20" s="508"/>
      <c r="AO20" s="981"/>
      <c r="AP20" s="982"/>
      <c r="AQ20"/>
      <c r="AR20" s="842"/>
      <c r="AT20" s="801">
        <f t="shared" si="8"/>
        <v>0</v>
      </c>
    </row>
    <row r="21" spans="1:46" ht="15.75">
      <c r="A21" s="812">
        <v>9</v>
      </c>
      <c r="B21" s="813" t="e">
        <f>VLOOKUP(C21,'DS CN MOI UP'!$B$10:$C$389,2,0)</f>
        <v>#N/A</v>
      </c>
      <c r="C21" s="818" t="s">
        <v>391</v>
      </c>
      <c r="D21" s="812" t="s">
        <v>15</v>
      </c>
      <c r="E21" s="815">
        <f t="shared" si="3"/>
        <v>32</v>
      </c>
      <c r="F21" s="815"/>
      <c r="G21" s="815"/>
      <c r="H21" s="960"/>
      <c r="I21" s="815"/>
      <c r="J21" s="815">
        <v>3</v>
      </c>
      <c r="K21" s="815"/>
      <c r="L21" s="815"/>
      <c r="M21" s="815"/>
      <c r="N21" s="815"/>
      <c r="O21" s="815"/>
      <c r="P21" s="815"/>
      <c r="Q21" s="815"/>
      <c r="R21" s="815"/>
      <c r="S21" s="830">
        <f t="shared" si="2"/>
        <v>35</v>
      </c>
      <c r="T21" s="830"/>
      <c r="U21" s="830"/>
      <c r="V21" s="830" t="e">
        <f>VLOOKUP(C21,'sản lượng'!$D$14:$AK$169,36,0)</f>
        <v>#N/A</v>
      </c>
      <c r="W21" s="831" t="e">
        <f t="shared" si="4"/>
        <v>#N/A</v>
      </c>
      <c r="X21" s="830"/>
      <c r="Y21" s="830"/>
      <c r="Z21" s="830" t="e">
        <f t="shared" si="5"/>
        <v>#N/A</v>
      </c>
      <c r="AA21" s="830" t="e">
        <f>VLOOKUP(C21,'CHẤM CÔNG '!$E$13:$AM$168,33,0)</f>
        <v>#N/A</v>
      </c>
      <c r="AB21" s="830" t="e">
        <f>VLOOKUP(C21,'CHẤM CÔNG '!$E$13:$AM$168,34,0)</f>
        <v>#N/A</v>
      </c>
      <c r="AC21" s="830"/>
      <c r="AD21" s="830"/>
      <c r="AE21" s="830"/>
      <c r="AF21" s="830"/>
      <c r="AG21" s="830"/>
      <c r="AH21" s="830"/>
      <c r="AI21" s="830"/>
      <c r="AJ21" s="830"/>
      <c r="AK21" s="836"/>
      <c r="AL21" s="837" t="e">
        <f>VLOOKUP(C21,'sản lượng'!$D$14:$AP$169,38,0)</f>
        <v>#N/A</v>
      </c>
      <c r="AM21" s="507" t="s">
        <v>2021</v>
      </c>
      <c r="AN21" s="508">
        <f t="shared" si="6"/>
        <v>0.47778288100208866</v>
      </c>
      <c r="AO21" s="980">
        <v>2978</v>
      </c>
      <c r="AP21" s="980">
        <v>1422.83741962422</v>
      </c>
      <c r="AQ21">
        <v>47.778288100208798</v>
      </c>
      <c r="AR21" s="842"/>
      <c r="AS21" s="801">
        <f t="shared" si="7"/>
        <v>47.778288100208869</v>
      </c>
      <c r="AT21" s="801">
        <f t="shared" si="8"/>
        <v>-7.1054273576010019E-14</v>
      </c>
    </row>
    <row r="22" spans="1:46" ht="15.75">
      <c r="A22" s="812">
        <v>10</v>
      </c>
      <c r="B22" s="813" t="e">
        <f>VLOOKUP(C22,'DS CN MOI UP'!$B$10:$C$389,2,0)</f>
        <v>#N/A</v>
      </c>
      <c r="C22" s="818" t="s">
        <v>392</v>
      </c>
      <c r="D22" s="812" t="s">
        <v>15</v>
      </c>
      <c r="E22" s="815">
        <f t="shared" si="3"/>
        <v>32</v>
      </c>
      <c r="F22" s="815"/>
      <c r="G22" s="815"/>
      <c r="H22" s="960"/>
      <c r="I22" s="815">
        <v>1</v>
      </c>
      <c r="J22" s="815"/>
      <c r="K22" s="815"/>
      <c r="L22" s="815"/>
      <c r="M22" s="815"/>
      <c r="N22" s="815"/>
      <c r="O22" s="815"/>
      <c r="P22" s="815"/>
      <c r="Q22" s="815"/>
      <c r="R22" s="815"/>
      <c r="S22" s="830">
        <f t="shared" si="2"/>
        <v>33</v>
      </c>
      <c r="T22" s="830"/>
      <c r="U22" s="830"/>
      <c r="V22" s="830" t="e">
        <f>VLOOKUP(C22,'sản lượng'!$D$14:$AK$169,36,0)</f>
        <v>#N/A</v>
      </c>
      <c r="W22" s="831" t="e">
        <f t="shared" si="4"/>
        <v>#N/A</v>
      </c>
      <c r="X22" s="830"/>
      <c r="Y22" s="830"/>
      <c r="Z22" s="830" t="e">
        <f t="shared" si="5"/>
        <v>#N/A</v>
      </c>
      <c r="AA22" s="830" t="e">
        <f>VLOOKUP(C22,'CHẤM CÔNG '!$E$13:$AM$168,33,0)</f>
        <v>#N/A</v>
      </c>
      <c r="AB22" s="830" t="e">
        <f>VLOOKUP(C22,'CHẤM CÔNG '!$E$13:$AM$168,34,0)</f>
        <v>#N/A</v>
      </c>
      <c r="AC22" s="830"/>
      <c r="AD22" s="830"/>
      <c r="AE22" s="830"/>
      <c r="AF22" s="830"/>
      <c r="AG22" s="830"/>
      <c r="AH22" s="830"/>
      <c r="AI22" s="830"/>
      <c r="AJ22" s="830"/>
      <c r="AK22" s="836"/>
      <c r="AL22" s="837" t="e">
        <f>VLOOKUP(C22,'sản lượng'!$D$14:$AP$169,38,0)</f>
        <v>#N/A</v>
      </c>
      <c r="AM22" s="801" t="s">
        <v>2075</v>
      </c>
    </row>
    <row r="23" spans="1:46" s="953" customFormat="1" ht="15.75">
      <c r="A23" s="961">
        <v>11</v>
      </c>
      <c r="B23" s="962" t="e">
        <f>VLOOKUP(C23,'DS CN MOI UP'!$B$10:$C$389,2,0)</f>
        <v>#N/A</v>
      </c>
      <c r="C23" s="965" t="s">
        <v>393</v>
      </c>
      <c r="D23" s="961" t="s">
        <v>15</v>
      </c>
      <c r="E23" s="815">
        <f t="shared" si="3"/>
        <v>32</v>
      </c>
      <c r="F23" s="964"/>
      <c r="G23" s="964"/>
      <c r="H23" s="960"/>
      <c r="I23" s="964"/>
      <c r="J23" s="964">
        <v>3</v>
      </c>
      <c r="K23" s="964"/>
      <c r="L23" s="964"/>
      <c r="M23" s="964"/>
      <c r="N23" s="964"/>
      <c r="O23" s="964"/>
      <c r="P23" s="964"/>
      <c r="Q23" s="964"/>
      <c r="R23" s="964"/>
      <c r="S23" s="970">
        <f t="shared" si="2"/>
        <v>35</v>
      </c>
      <c r="T23" s="970"/>
      <c r="U23" s="970"/>
      <c r="V23" s="970" t="e">
        <f>VLOOKUP(C23,'sản lượng'!$D$14:$AK$169,36,0)</f>
        <v>#N/A</v>
      </c>
      <c r="W23" s="971" t="e">
        <f t="shared" si="4"/>
        <v>#N/A</v>
      </c>
      <c r="X23" s="970"/>
      <c r="Y23" s="970"/>
      <c r="Z23" s="830" t="e">
        <f t="shared" si="5"/>
        <v>#N/A</v>
      </c>
      <c r="AA23" s="970" t="e">
        <f>VLOOKUP(C23,'CHẤM CÔNG '!$E$13:$AM$168,33,0)</f>
        <v>#N/A</v>
      </c>
      <c r="AB23" s="970" t="e">
        <f>VLOOKUP(C23,'CHẤM CÔNG '!$E$13:$AM$168,34,0)</f>
        <v>#N/A</v>
      </c>
      <c r="AC23" s="970" t="e">
        <f>SUM(AA23:AB23,AF23)</f>
        <v>#N/A</v>
      </c>
      <c r="AD23" s="970"/>
      <c r="AE23" s="830"/>
      <c r="AF23" s="830"/>
      <c r="AG23" s="830"/>
      <c r="AH23" s="830"/>
      <c r="AI23" s="830"/>
      <c r="AJ23" s="830"/>
      <c r="AK23" s="836"/>
      <c r="AL23" s="975" t="e">
        <f>VLOOKUP(C23,'sản lượng'!$D$14:$AP$169,38,0)</f>
        <v>#N/A</v>
      </c>
      <c r="AM23" s="801" t="s">
        <v>2076</v>
      </c>
      <c r="AN23" s="977">
        <v>0.49859999999999999</v>
      </c>
      <c r="AP23" s="954"/>
      <c r="AQ23" s="954"/>
      <c r="AR23" s="799"/>
    </row>
    <row r="24" spans="1:46" ht="15.75">
      <c r="A24" s="812">
        <v>12</v>
      </c>
      <c r="B24" s="813" t="e">
        <f>VLOOKUP(C24,'DS CN MOI UP'!$B$10:$C$389,2,0)</f>
        <v>#N/A</v>
      </c>
      <c r="C24" s="818" t="s">
        <v>394</v>
      </c>
      <c r="D24" s="812" t="s">
        <v>15</v>
      </c>
      <c r="E24" s="815">
        <f t="shared" si="3"/>
        <v>32</v>
      </c>
      <c r="F24" s="815"/>
      <c r="G24" s="815"/>
      <c r="H24" s="960"/>
      <c r="I24" s="815">
        <v>1</v>
      </c>
      <c r="J24" s="815"/>
      <c r="K24" s="815"/>
      <c r="L24" s="815"/>
      <c r="M24" s="815"/>
      <c r="N24" s="815"/>
      <c r="O24" s="815"/>
      <c r="P24" s="815"/>
      <c r="Q24" s="815"/>
      <c r="R24" s="815"/>
      <c r="S24" s="830">
        <f t="shared" si="2"/>
        <v>33</v>
      </c>
      <c r="T24" s="830"/>
      <c r="U24" s="830"/>
      <c r="V24" s="830" t="e">
        <f>VLOOKUP(C24,'sản lượng'!$D$14:$AK$169,36,0)</f>
        <v>#N/A</v>
      </c>
      <c r="W24" s="831" t="e">
        <f t="shared" si="4"/>
        <v>#N/A</v>
      </c>
      <c r="X24" s="830"/>
      <c r="Y24" s="830"/>
      <c r="Z24" s="830" t="e">
        <f t="shared" si="5"/>
        <v>#N/A</v>
      </c>
      <c r="AA24" s="830" t="e">
        <f>VLOOKUP(C24,'CHẤM CÔNG '!$E$13:$AM$168,33,0)</f>
        <v>#N/A</v>
      </c>
      <c r="AB24" s="830" t="e">
        <f>VLOOKUP(C24,'CHẤM CÔNG '!$E$13:$AM$168,34,0)</f>
        <v>#N/A</v>
      </c>
      <c r="AC24" s="830"/>
      <c r="AD24" s="830"/>
      <c r="AE24" s="830"/>
      <c r="AF24" s="830"/>
      <c r="AG24" s="830"/>
      <c r="AH24" s="830"/>
      <c r="AI24" s="830"/>
      <c r="AJ24" s="830"/>
      <c r="AK24" s="836"/>
      <c r="AL24" s="837" t="e">
        <f>VLOOKUP(C24,'sản lượng'!$D$14:$AP$169,38,0)</f>
        <v>#N/A</v>
      </c>
      <c r="AM24" s="801" t="s">
        <v>1961</v>
      </c>
      <c r="AN24" s="977"/>
      <c r="AP24" s="801"/>
    </row>
    <row r="25" spans="1:46" ht="15.75">
      <c r="A25" s="812">
        <v>13</v>
      </c>
      <c r="B25" s="813" t="e">
        <f>VLOOKUP(C25,'DS CN MOI UP'!$B$10:$C$389,2,0)</f>
        <v>#N/A</v>
      </c>
      <c r="C25" s="818" t="s">
        <v>537</v>
      </c>
      <c r="D25" s="812" t="s">
        <v>15</v>
      </c>
      <c r="E25" s="815">
        <f t="shared" si="3"/>
        <v>32</v>
      </c>
      <c r="F25" s="815"/>
      <c r="G25" s="815"/>
      <c r="H25" s="960"/>
      <c r="I25" s="815"/>
      <c r="J25" s="815"/>
      <c r="K25" s="815"/>
      <c r="L25" s="815"/>
      <c r="M25" s="815"/>
      <c r="N25" s="815"/>
      <c r="O25" s="815"/>
      <c r="P25" s="815"/>
      <c r="Q25" s="815"/>
      <c r="R25" s="815"/>
      <c r="S25" s="830">
        <f t="shared" si="2"/>
        <v>32</v>
      </c>
      <c r="T25" s="830"/>
      <c r="U25" s="830"/>
      <c r="V25" s="830" t="e">
        <f>VLOOKUP(C25,'sản lượng'!$D$14:$AK$169,36,0)</f>
        <v>#N/A</v>
      </c>
      <c r="W25" s="831" t="e">
        <f t="shared" si="4"/>
        <v>#N/A</v>
      </c>
      <c r="X25" s="830"/>
      <c r="Y25" s="830"/>
      <c r="Z25" s="830" t="e">
        <f t="shared" si="5"/>
        <v>#N/A</v>
      </c>
      <c r="AA25" s="830" t="e">
        <f>VLOOKUP(C25,'CHẤM CÔNG '!$E$13:$AM$168,33,0)</f>
        <v>#N/A</v>
      </c>
      <c r="AB25" s="830" t="e">
        <f>VLOOKUP(C25,'CHẤM CÔNG '!$E$13:$AM$168,34,0)</f>
        <v>#N/A</v>
      </c>
      <c r="AC25" s="830"/>
      <c r="AD25" s="830"/>
      <c r="AE25" s="830"/>
      <c r="AF25" s="830"/>
      <c r="AG25" s="830"/>
      <c r="AH25" s="830"/>
      <c r="AI25" s="830"/>
      <c r="AJ25" s="830"/>
      <c r="AK25" s="836"/>
      <c r="AL25" s="837" t="e">
        <f>VLOOKUP(C25,'sản lượng'!$D$14:$AP$169,38,0)</f>
        <v>#N/A</v>
      </c>
      <c r="AM25" s="801" t="s">
        <v>1962</v>
      </c>
      <c r="AN25" s="977"/>
      <c r="AP25" s="801"/>
    </row>
    <row r="26" spans="1:46" ht="15.75">
      <c r="A26" s="812">
        <v>14</v>
      </c>
      <c r="B26" s="813" t="e">
        <f>VLOOKUP(C26,'DS CN MOI UP'!$B$10:$C$389,2,0)</f>
        <v>#N/A</v>
      </c>
      <c r="C26" s="819" t="s">
        <v>1969</v>
      </c>
      <c r="D26" s="812" t="s">
        <v>15</v>
      </c>
      <c r="E26" s="815">
        <f t="shared" si="3"/>
        <v>32</v>
      </c>
      <c r="F26" s="815"/>
      <c r="G26" s="815"/>
      <c r="H26" s="960"/>
      <c r="I26" s="815"/>
      <c r="J26" s="815"/>
      <c r="K26" s="815"/>
      <c r="L26" s="815"/>
      <c r="M26" s="815"/>
      <c r="N26" s="815"/>
      <c r="O26" s="815"/>
      <c r="P26" s="815"/>
      <c r="Q26" s="815"/>
      <c r="R26" s="815"/>
      <c r="S26" s="830">
        <f t="shared" si="2"/>
        <v>32</v>
      </c>
      <c r="T26" s="830"/>
      <c r="U26" s="830"/>
      <c r="V26" s="830" t="e">
        <f>VLOOKUP(C26,'sản lượng'!$D$14:$AK$169,36,0)</f>
        <v>#N/A</v>
      </c>
      <c r="W26" s="831" t="e">
        <f t="shared" si="4"/>
        <v>#N/A</v>
      </c>
      <c r="X26" s="830"/>
      <c r="Y26" s="830"/>
      <c r="Z26" s="830" t="e">
        <f t="shared" si="5"/>
        <v>#N/A</v>
      </c>
      <c r="AA26" s="830" t="e">
        <f>VLOOKUP(C26,'CHẤM CÔNG '!$E$13:$AM$168,33,0)</f>
        <v>#N/A</v>
      </c>
      <c r="AB26" s="830" t="e">
        <f>VLOOKUP(C26,'CHẤM CÔNG '!$E$13:$AM$168,34,0)</f>
        <v>#N/A</v>
      </c>
      <c r="AC26" s="830"/>
      <c r="AD26" s="830"/>
      <c r="AE26" s="830"/>
      <c r="AF26" s="830"/>
      <c r="AG26" s="830"/>
      <c r="AH26" s="830"/>
      <c r="AI26" s="830"/>
      <c r="AJ26" s="830"/>
      <c r="AK26" s="836"/>
      <c r="AL26" s="837" t="e">
        <f>VLOOKUP(C26,'sản lượng'!$D$14:$AP$169,38,0)</f>
        <v>#N/A</v>
      </c>
      <c r="AM26" s="801" t="s">
        <v>1963</v>
      </c>
      <c r="AN26" s="977"/>
      <c r="AP26" s="801"/>
    </row>
    <row r="27" spans="1:46" ht="15.75">
      <c r="A27" s="812">
        <v>15</v>
      </c>
      <c r="B27" s="813" t="e">
        <f>VLOOKUP(C27,'DS CN MOI UP'!$B$10:$C$389,2,0)</f>
        <v>#N/A</v>
      </c>
      <c r="C27" s="818" t="s">
        <v>397</v>
      </c>
      <c r="D27" s="812" t="s">
        <v>15</v>
      </c>
      <c r="E27" s="815">
        <f t="shared" si="3"/>
        <v>32</v>
      </c>
      <c r="F27" s="815"/>
      <c r="G27" s="815"/>
      <c r="H27" s="960"/>
      <c r="I27" s="815"/>
      <c r="J27" s="815"/>
      <c r="K27" s="815"/>
      <c r="L27" s="815"/>
      <c r="M27" s="815"/>
      <c r="N27" s="815"/>
      <c r="O27" s="815"/>
      <c r="P27" s="815"/>
      <c r="Q27" s="815"/>
      <c r="R27" s="815"/>
      <c r="S27" s="830">
        <f t="shared" si="2"/>
        <v>32</v>
      </c>
      <c r="T27" s="830"/>
      <c r="U27" s="830"/>
      <c r="V27" s="830" t="e">
        <f>VLOOKUP(C27,'sản lượng'!$D$14:$AK$169,36,0)</f>
        <v>#N/A</v>
      </c>
      <c r="W27" s="831" t="e">
        <f t="shared" si="4"/>
        <v>#N/A</v>
      </c>
      <c r="X27" s="830"/>
      <c r="Y27" s="830"/>
      <c r="Z27" s="830" t="e">
        <f t="shared" si="5"/>
        <v>#N/A</v>
      </c>
      <c r="AA27" s="830" t="e">
        <f>VLOOKUP(C27,'CHẤM CÔNG '!$E$13:$AM$168,33,0)</f>
        <v>#N/A</v>
      </c>
      <c r="AB27" s="830" t="e">
        <f>VLOOKUP(C27,'CHẤM CÔNG '!$E$13:$AM$168,34,0)</f>
        <v>#N/A</v>
      </c>
      <c r="AC27" s="830"/>
      <c r="AD27" s="830"/>
      <c r="AE27" s="830"/>
      <c r="AF27" s="830"/>
      <c r="AG27" s="830"/>
      <c r="AH27" s="830"/>
      <c r="AI27" s="830"/>
      <c r="AJ27" s="830"/>
      <c r="AK27" s="836"/>
      <c r="AL27" s="837" t="e">
        <f>VLOOKUP(C27,'sản lượng'!$D$14:$AP$169,38,0)</f>
        <v>#N/A</v>
      </c>
      <c r="AM27" s="801" t="s">
        <v>2077</v>
      </c>
    </row>
    <row r="28" spans="1:46" ht="15.75">
      <c r="A28" s="812">
        <v>16</v>
      </c>
      <c r="B28" s="813" t="e">
        <f>VLOOKUP(C28,'DS CN MOI UP'!$B$10:$C$389,2,0)</f>
        <v>#N/A</v>
      </c>
      <c r="C28" s="818" t="s">
        <v>1938</v>
      </c>
      <c r="D28" s="812" t="s">
        <v>15</v>
      </c>
      <c r="E28" s="815">
        <f t="shared" si="3"/>
        <v>32</v>
      </c>
      <c r="F28" s="815"/>
      <c r="G28" s="815"/>
      <c r="H28" s="960"/>
      <c r="I28" s="815"/>
      <c r="J28" s="815"/>
      <c r="K28" s="815"/>
      <c r="L28" s="815"/>
      <c r="M28" s="815"/>
      <c r="N28" s="815"/>
      <c r="O28" s="815"/>
      <c r="P28" s="815"/>
      <c r="Q28" s="815"/>
      <c r="R28" s="815"/>
      <c r="S28" s="830">
        <f t="shared" si="2"/>
        <v>32</v>
      </c>
      <c r="T28" s="830"/>
      <c r="U28" s="830"/>
      <c r="V28" s="830" t="e">
        <f>VLOOKUP(C28,'sản lượng'!$D$14:$AK$169,36,0)</f>
        <v>#N/A</v>
      </c>
      <c r="W28" s="831" t="e">
        <f t="shared" si="4"/>
        <v>#N/A</v>
      </c>
      <c r="X28" s="830"/>
      <c r="Y28" s="830"/>
      <c r="Z28" s="830" t="e">
        <f t="shared" si="5"/>
        <v>#N/A</v>
      </c>
      <c r="AA28" s="830" t="e">
        <f>VLOOKUP(C28,'CHẤM CÔNG '!$E$13:$AM$168,33,0)</f>
        <v>#N/A</v>
      </c>
      <c r="AB28" s="830" t="e">
        <f>VLOOKUP(C28,'CHẤM CÔNG '!$E$13:$AM$168,34,0)</f>
        <v>#N/A</v>
      </c>
      <c r="AC28" s="830"/>
      <c r="AD28" s="830"/>
      <c r="AE28" s="830"/>
      <c r="AF28" s="830"/>
      <c r="AG28" s="830"/>
      <c r="AH28" s="830"/>
      <c r="AI28" s="830"/>
      <c r="AJ28" s="830"/>
      <c r="AK28" s="836"/>
      <c r="AL28" s="837" t="e">
        <f>VLOOKUP(C28,'sản lượng'!$D$14:$AP$169,38,0)</f>
        <v>#N/A</v>
      </c>
    </row>
    <row r="29" spans="1:46" ht="15.75">
      <c r="A29" s="812">
        <v>17</v>
      </c>
      <c r="B29" s="813" t="e">
        <f>VLOOKUP(C29,'DS CN MOI UP'!$B$10:$C$389,2,0)</f>
        <v>#N/A</v>
      </c>
      <c r="C29" s="818" t="s">
        <v>399</v>
      </c>
      <c r="D29" s="812" t="s">
        <v>15</v>
      </c>
      <c r="E29" s="815">
        <f t="shared" si="3"/>
        <v>32</v>
      </c>
      <c r="F29" s="815"/>
      <c r="G29" s="815"/>
      <c r="H29" s="960"/>
      <c r="I29" s="815"/>
      <c r="J29" s="815"/>
      <c r="K29" s="815"/>
      <c r="L29" s="815"/>
      <c r="M29" s="815"/>
      <c r="N29" s="815"/>
      <c r="O29" s="815"/>
      <c r="P29" s="815"/>
      <c r="Q29" s="815"/>
      <c r="R29" s="815"/>
      <c r="S29" s="830">
        <f t="shared" si="2"/>
        <v>32</v>
      </c>
      <c r="T29" s="830"/>
      <c r="U29" s="830"/>
      <c r="V29" s="830" t="e">
        <f>VLOOKUP(C29,'sản lượng'!$D$14:$AK$169,36,0)</f>
        <v>#N/A</v>
      </c>
      <c r="W29" s="831" t="e">
        <f t="shared" si="4"/>
        <v>#N/A</v>
      </c>
      <c r="X29" s="830"/>
      <c r="Y29" s="830"/>
      <c r="Z29" s="830" t="e">
        <f t="shared" si="5"/>
        <v>#N/A</v>
      </c>
      <c r="AA29" s="830" t="e">
        <f>VLOOKUP(C29,'CHẤM CÔNG '!$E$13:$AM$168,33,0)</f>
        <v>#N/A</v>
      </c>
      <c r="AB29" s="830" t="e">
        <f>VLOOKUP(C29,'CHẤM CÔNG '!$E$13:$AM$168,34,0)</f>
        <v>#N/A</v>
      </c>
      <c r="AC29" s="830"/>
      <c r="AD29" s="830"/>
      <c r="AE29" s="830"/>
      <c r="AF29" s="830"/>
      <c r="AG29" s="830"/>
      <c r="AH29" s="830"/>
      <c r="AI29" s="830"/>
      <c r="AJ29" s="830"/>
      <c r="AK29" s="836"/>
      <c r="AL29" s="837" t="e">
        <f>VLOOKUP(C29,'sản lượng'!$D$14:$AP$169,38,0)</f>
        <v>#N/A</v>
      </c>
    </row>
    <row r="30" spans="1:46" ht="15.75">
      <c r="A30" s="812">
        <v>18</v>
      </c>
      <c r="B30" s="813" t="e">
        <f>VLOOKUP(C30,'DS CN MOI UP'!$B$10:$C$389,2,0)</f>
        <v>#N/A</v>
      </c>
      <c r="C30" s="819" t="s">
        <v>400</v>
      </c>
      <c r="D30" s="812" t="s">
        <v>15</v>
      </c>
      <c r="E30" s="815">
        <f>4*8+8</f>
        <v>40</v>
      </c>
      <c r="F30" s="815"/>
      <c r="G30" s="815"/>
      <c r="H30" s="960"/>
      <c r="I30" s="815"/>
      <c r="J30" s="815"/>
      <c r="K30" s="815"/>
      <c r="L30" s="815"/>
      <c r="M30" s="815"/>
      <c r="N30" s="815"/>
      <c r="O30" s="815"/>
      <c r="P30" s="815"/>
      <c r="Q30" s="815"/>
      <c r="R30" s="815"/>
      <c r="S30" s="830">
        <f t="shared" si="2"/>
        <v>40</v>
      </c>
      <c r="T30" s="830"/>
      <c r="U30" s="830"/>
      <c r="V30" s="830" t="e">
        <f>VLOOKUP(C30,'sản lượng'!$D$14:$AK$169,36,0)</f>
        <v>#N/A</v>
      </c>
      <c r="W30" s="831" t="e">
        <f t="shared" si="4"/>
        <v>#N/A</v>
      </c>
      <c r="X30" s="830"/>
      <c r="Y30" s="830"/>
      <c r="Z30" s="830" t="e">
        <f t="shared" si="5"/>
        <v>#N/A</v>
      </c>
      <c r="AA30" s="830" t="e">
        <f>VLOOKUP(C30,'CHẤM CÔNG '!$E$13:$AM$168,33,0)</f>
        <v>#N/A</v>
      </c>
      <c r="AB30" s="830" t="e">
        <f>VLOOKUP(C30,'CHẤM CÔNG '!$E$13:$AM$168,34,0)</f>
        <v>#N/A</v>
      </c>
      <c r="AC30" s="830"/>
      <c r="AD30" s="830"/>
      <c r="AE30" s="830">
        <f>VLOOKUP(C30,'Công cây non'!$C$10:$AJ$28,34,0)</f>
        <v>2</v>
      </c>
      <c r="AF30" s="830"/>
      <c r="AG30" s="830"/>
      <c r="AH30" s="830"/>
      <c r="AI30" s="830"/>
      <c r="AJ30" s="830"/>
      <c r="AK30" s="836"/>
      <c r="AL30" s="837" t="e">
        <f>VLOOKUP(C30,'sản lượng'!$D$14:$AP$169,38,0)</f>
        <v>#N/A</v>
      </c>
    </row>
    <row r="31" spans="1:46" ht="15.75">
      <c r="A31" s="812">
        <v>19</v>
      </c>
      <c r="B31" s="813" t="e">
        <f>VLOOKUP(C31,'DS CN MOI UP'!$B$10:$C$389,2,0)</f>
        <v>#N/A</v>
      </c>
      <c r="C31" s="819" t="s">
        <v>401</v>
      </c>
      <c r="D31" s="812" t="s">
        <v>15</v>
      </c>
      <c r="E31" s="815">
        <f t="shared" si="3"/>
        <v>32</v>
      </c>
      <c r="F31" s="815"/>
      <c r="G31" s="815"/>
      <c r="H31" s="960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30">
        <f t="shared" si="2"/>
        <v>32</v>
      </c>
      <c r="T31" s="830"/>
      <c r="U31" s="830"/>
      <c r="V31" s="830" t="e">
        <f>VLOOKUP(C31,'sản lượng'!$D$14:$AK$169,36,0)</f>
        <v>#N/A</v>
      </c>
      <c r="W31" s="831" t="e">
        <f t="shared" si="4"/>
        <v>#N/A</v>
      </c>
      <c r="X31" s="830"/>
      <c r="Y31" s="830"/>
      <c r="Z31" s="830" t="e">
        <f t="shared" si="5"/>
        <v>#N/A</v>
      </c>
      <c r="AA31" s="830" t="e">
        <f>VLOOKUP(C31,'CHẤM CÔNG '!$E$13:$AM$168,33,0)</f>
        <v>#N/A</v>
      </c>
      <c r="AB31" s="830" t="e">
        <f>VLOOKUP(C31,'CHẤM CÔNG '!$E$13:$AM$168,34,0)</f>
        <v>#N/A</v>
      </c>
      <c r="AC31" s="830"/>
      <c r="AD31" s="830"/>
      <c r="AE31" s="830"/>
      <c r="AF31" s="830"/>
      <c r="AG31" s="830"/>
      <c r="AH31" s="830"/>
      <c r="AI31" s="830"/>
      <c r="AJ31" s="830"/>
      <c r="AK31" s="836"/>
      <c r="AL31" s="837" t="e">
        <f>VLOOKUP(C31,'sản lượng'!$D$14:$AP$169,38,0)</f>
        <v>#N/A</v>
      </c>
    </row>
    <row r="32" spans="1:46" ht="15.75">
      <c r="A32" s="812">
        <v>20</v>
      </c>
      <c r="B32" s="813" t="e">
        <f>VLOOKUP(C32,'DS CN MOI UP'!$B$10:$C$389,2,0)</f>
        <v>#N/A</v>
      </c>
      <c r="C32" s="819" t="s">
        <v>402</v>
      </c>
      <c r="D32" s="812" t="s">
        <v>15</v>
      </c>
      <c r="E32" s="815">
        <f t="shared" si="3"/>
        <v>32</v>
      </c>
      <c r="F32" s="815"/>
      <c r="G32" s="815"/>
      <c r="H32" s="960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30">
        <f t="shared" si="2"/>
        <v>32</v>
      </c>
      <c r="T32" s="830"/>
      <c r="U32" s="830"/>
      <c r="V32" s="830" t="e">
        <f>VLOOKUP(C32,'sản lượng'!$D$14:$AK$169,36,0)</f>
        <v>#N/A</v>
      </c>
      <c r="W32" s="831" t="e">
        <f t="shared" si="4"/>
        <v>#N/A</v>
      </c>
      <c r="X32" s="830"/>
      <c r="Y32" s="830"/>
      <c r="Z32" s="830" t="e">
        <f t="shared" si="5"/>
        <v>#N/A</v>
      </c>
      <c r="AA32" s="830" t="e">
        <f>VLOOKUP(C32,'CHẤM CÔNG '!$E$13:$AM$168,33,0)</f>
        <v>#N/A</v>
      </c>
      <c r="AB32" s="830" t="e">
        <f>VLOOKUP(C32,'CHẤM CÔNG '!$E$13:$AM$168,34,0)</f>
        <v>#N/A</v>
      </c>
      <c r="AC32" s="830"/>
      <c r="AD32" s="830"/>
      <c r="AE32" s="830"/>
      <c r="AF32" s="830"/>
      <c r="AG32" s="830"/>
      <c r="AH32" s="830"/>
      <c r="AI32" s="830"/>
      <c r="AJ32" s="830"/>
      <c r="AK32" s="836"/>
      <c r="AL32" s="837" t="e">
        <f>VLOOKUP(C32,'sản lượng'!$D$14:$AP$169,38,0)</f>
        <v>#N/A</v>
      </c>
    </row>
    <row r="33" spans="1:44" ht="15.75">
      <c r="A33" s="812">
        <v>21</v>
      </c>
      <c r="B33" s="813" t="e">
        <f>VLOOKUP(C33,'DS CN MOI UP'!$B$10:$C$389,2,0)</f>
        <v>#N/A</v>
      </c>
      <c r="C33" s="819" t="s">
        <v>1970</v>
      </c>
      <c r="D33" s="812" t="s">
        <v>15</v>
      </c>
      <c r="E33" s="815">
        <f t="shared" si="3"/>
        <v>32</v>
      </c>
      <c r="F33" s="815"/>
      <c r="G33" s="815"/>
      <c r="H33" s="960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30">
        <f t="shared" ref="S33:S42" si="10">SUM(E33:N33)</f>
        <v>32</v>
      </c>
      <c r="T33" s="830"/>
      <c r="U33" s="830"/>
      <c r="V33" s="830" t="e">
        <f>VLOOKUP(C33,'sản lượng'!$D$14:$AK$169,36,0)</f>
        <v>#N/A</v>
      </c>
      <c r="W33" s="831" t="e">
        <f t="shared" si="4"/>
        <v>#N/A</v>
      </c>
      <c r="X33" s="830"/>
      <c r="Y33" s="830"/>
      <c r="Z33" s="830" t="e">
        <f t="shared" si="5"/>
        <v>#N/A</v>
      </c>
      <c r="AA33" s="830" t="e">
        <f>VLOOKUP(C33,'CHẤM CÔNG '!$E$13:$AM$168,33,0)</f>
        <v>#N/A</v>
      </c>
      <c r="AB33" s="830" t="e">
        <f>VLOOKUP(C33,'CHẤM CÔNG '!$E$13:$AM$168,34,0)</f>
        <v>#N/A</v>
      </c>
      <c r="AC33" s="830"/>
      <c r="AD33" s="830"/>
      <c r="AE33" s="830"/>
      <c r="AF33" s="830"/>
      <c r="AG33" s="830"/>
      <c r="AH33" s="830"/>
      <c r="AI33" s="830"/>
      <c r="AJ33" s="830"/>
      <c r="AK33" s="836"/>
      <c r="AL33" s="837" t="e">
        <f>VLOOKUP(C33,'sản lượng'!$D$14:$AP$169,38,0)</f>
        <v>#N/A</v>
      </c>
    </row>
    <row r="34" spans="1:44" ht="15.75">
      <c r="A34" s="812">
        <v>22</v>
      </c>
      <c r="B34" s="813" t="e">
        <f>VLOOKUP(C34,'DS CN MOI UP'!$B$10:$C$389,2,0)</f>
        <v>#N/A</v>
      </c>
      <c r="C34" s="819" t="s">
        <v>404</v>
      </c>
      <c r="D34" s="812" t="s">
        <v>15</v>
      </c>
      <c r="E34" s="815">
        <f t="shared" si="3"/>
        <v>32</v>
      </c>
      <c r="F34" s="815"/>
      <c r="G34" s="815"/>
      <c r="H34" s="960"/>
      <c r="I34" s="815">
        <v>1</v>
      </c>
      <c r="J34" s="815"/>
      <c r="K34" s="815"/>
      <c r="L34" s="815"/>
      <c r="M34" s="815"/>
      <c r="N34" s="815"/>
      <c r="O34" s="815"/>
      <c r="P34" s="815"/>
      <c r="Q34" s="815"/>
      <c r="R34" s="815"/>
      <c r="S34" s="830">
        <f t="shared" si="10"/>
        <v>33</v>
      </c>
      <c r="T34" s="830"/>
      <c r="U34" s="830"/>
      <c r="V34" s="830" t="e">
        <f>VLOOKUP(C34,'sản lượng'!$D$14:$AK$169,36,0)</f>
        <v>#N/A</v>
      </c>
      <c r="W34" s="831" t="e">
        <f t="shared" si="4"/>
        <v>#N/A</v>
      </c>
      <c r="X34" s="830"/>
      <c r="Y34" s="830"/>
      <c r="Z34" s="830" t="e">
        <f t="shared" si="5"/>
        <v>#N/A</v>
      </c>
      <c r="AA34" s="830" t="e">
        <f>VLOOKUP(C34,'CHẤM CÔNG '!$E$13:$AM$168,33,0)</f>
        <v>#N/A</v>
      </c>
      <c r="AB34" s="830" t="e">
        <f>VLOOKUP(C34,'CHẤM CÔNG '!$E$13:$AM$168,34,0)</f>
        <v>#N/A</v>
      </c>
      <c r="AC34" s="830"/>
      <c r="AD34" s="830"/>
      <c r="AE34" s="830"/>
      <c r="AF34" s="830"/>
      <c r="AG34" s="830"/>
      <c r="AH34" s="830"/>
      <c r="AI34" s="830"/>
      <c r="AJ34" s="830"/>
      <c r="AK34" s="836"/>
      <c r="AL34" s="837" t="e">
        <f>VLOOKUP(C34,'sản lượng'!$D$14:$AP$169,38,0)</f>
        <v>#N/A</v>
      </c>
    </row>
    <row r="35" spans="1:44" s="953" customFormat="1" ht="15.75">
      <c r="A35" s="961">
        <v>23</v>
      </c>
      <c r="B35" s="962" t="s">
        <v>2078</v>
      </c>
      <c r="C35" s="966" t="s">
        <v>664</v>
      </c>
      <c r="D35" s="961" t="s">
        <v>15</v>
      </c>
      <c r="E35" s="815">
        <f t="shared" si="3"/>
        <v>32</v>
      </c>
      <c r="F35" s="964"/>
      <c r="G35" s="964"/>
      <c r="H35" s="960"/>
      <c r="I35" s="964"/>
      <c r="J35" s="964"/>
      <c r="K35" s="964"/>
      <c r="L35" s="964"/>
      <c r="M35" s="964"/>
      <c r="N35" s="964"/>
      <c r="O35" s="964"/>
      <c r="P35" s="964"/>
      <c r="Q35" s="964"/>
      <c r="R35" s="964"/>
      <c r="S35" s="970">
        <f t="shared" si="10"/>
        <v>32</v>
      </c>
      <c r="T35" s="970"/>
      <c r="U35" s="970"/>
      <c r="V35" s="970" t="e">
        <f>VLOOKUP(C35,'sản lượng'!$D$14:$AK$169,36,0)</f>
        <v>#N/A</v>
      </c>
      <c r="W35" s="971" t="e">
        <f t="shared" si="4"/>
        <v>#N/A</v>
      </c>
      <c r="X35" s="970"/>
      <c r="Y35" s="970"/>
      <c r="Z35" s="830" t="e">
        <f t="shared" si="5"/>
        <v>#N/A</v>
      </c>
      <c r="AA35" s="970" t="e">
        <f>VLOOKUP(C35,'CHẤM CÔNG '!$E$13:$AM$168,33,0)</f>
        <v>#N/A</v>
      </c>
      <c r="AB35" s="970" t="e">
        <f>VLOOKUP(C35,'CHẤM CÔNG '!$E$13:$AM$168,34,0)</f>
        <v>#N/A</v>
      </c>
      <c r="AC35" s="970" t="e">
        <f>SUM(AA35:AB35,AF35)</f>
        <v>#N/A</v>
      </c>
      <c r="AD35" s="970"/>
      <c r="AE35" s="970"/>
      <c r="AF35" s="830"/>
      <c r="AG35" s="830"/>
      <c r="AH35" s="830"/>
      <c r="AI35" s="830"/>
      <c r="AJ35" s="830"/>
      <c r="AK35" s="836"/>
      <c r="AL35" s="975" t="e">
        <f>VLOOKUP(C35,'sản lượng'!$D$14:$AP$169,38,0)</f>
        <v>#N/A</v>
      </c>
      <c r="AP35" s="954"/>
      <c r="AQ35" s="954"/>
      <c r="AR35" s="954"/>
    </row>
    <row r="36" spans="1:44" ht="15.75">
      <c r="A36" s="812">
        <v>24</v>
      </c>
      <c r="B36" s="813" t="e">
        <f>VLOOKUP(C36,'DS CN MOI UP'!$B$10:$C$389,2,0)</f>
        <v>#N/A</v>
      </c>
      <c r="C36" s="819" t="s">
        <v>406</v>
      </c>
      <c r="D36" s="812" t="s">
        <v>15</v>
      </c>
      <c r="E36" s="815">
        <f t="shared" si="3"/>
        <v>32</v>
      </c>
      <c r="F36" s="815"/>
      <c r="G36" s="815"/>
      <c r="H36" s="960"/>
      <c r="I36" s="815"/>
      <c r="J36" s="815">
        <v>3</v>
      </c>
      <c r="K36" s="815"/>
      <c r="L36" s="815"/>
      <c r="M36" s="815"/>
      <c r="N36" s="815"/>
      <c r="O36" s="815"/>
      <c r="P36" s="815"/>
      <c r="Q36" s="815"/>
      <c r="R36" s="815"/>
      <c r="S36" s="830">
        <f t="shared" si="10"/>
        <v>35</v>
      </c>
      <c r="T36" s="830"/>
      <c r="U36" s="830"/>
      <c r="V36" s="830" t="e">
        <f>VLOOKUP(C36,'sản lượng'!$D$14:$AK$169,36,0)</f>
        <v>#N/A</v>
      </c>
      <c r="W36" s="831" t="e">
        <f t="shared" si="4"/>
        <v>#N/A</v>
      </c>
      <c r="X36" s="830"/>
      <c r="Y36" s="830"/>
      <c r="Z36" s="830" t="e">
        <f t="shared" si="5"/>
        <v>#N/A</v>
      </c>
      <c r="AA36" s="830" t="e">
        <f>VLOOKUP(C36,'CHẤM CÔNG '!$E$13:$AM$168,33,0)</f>
        <v>#N/A</v>
      </c>
      <c r="AB36" s="830" t="e">
        <f>VLOOKUP(C36,'CHẤM CÔNG '!$E$13:$AM$168,34,0)</f>
        <v>#N/A</v>
      </c>
      <c r="AC36" s="830"/>
      <c r="AD36" s="830"/>
      <c r="AE36" s="830"/>
      <c r="AF36" s="830"/>
      <c r="AG36" s="830"/>
      <c r="AH36" s="830"/>
      <c r="AI36" s="830"/>
      <c r="AJ36" s="830"/>
      <c r="AK36" s="836"/>
      <c r="AL36" s="837" t="e">
        <f>VLOOKUP(C36,'sản lượng'!$D$14:$AP$169,38,0)</f>
        <v>#N/A</v>
      </c>
    </row>
    <row r="37" spans="1:44" ht="15.75">
      <c r="A37" s="812">
        <v>25</v>
      </c>
      <c r="B37" s="813" t="e">
        <f>VLOOKUP(C37,'DS CN MOI UP'!$B$10:$C$389,2,0)</f>
        <v>#N/A</v>
      </c>
      <c r="C37" s="819" t="s">
        <v>407</v>
      </c>
      <c r="D37" s="812" t="s">
        <v>15</v>
      </c>
      <c r="E37" s="815">
        <f t="shared" si="3"/>
        <v>32</v>
      </c>
      <c r="F37" s="815"/>
      <c r="G37" s="815"/>
      <c r="H37" s="960"/>
      <c r="I37" s="815">
        <v>1</v>
      </c>
      <c r="J37" s="815"/>
      <c r="K37" s="815"/>
      <c r="L37" s="815"/>
      <c r="M37" s="815"/>
      <c r="N37" s="815"/>
      <c r="O37" s="815"/>
      <c r="P37" s="815"/>
      <c r="Q37" s="815"/>
      <c r="R37" s="815"/>
      <c r="S37" s="830">
        <f t="shared" si="10"/>
        <v>33</v>
      </c>
      <c r="T37" s="830"/>
      <c r="U37" s="830"/>
      <c r="V37" s="830" t="e">
        <f>VLOOKUP(C37,'sản lượng'!$D$14:$AK$169,36,0)</f>
        <v>#N/A</v>
      </c>
      <c r="W37" s="831" t="e">
        <f t="shared" si="4"/>
        <v>#N/A</v>
      </c>
      <c r="X37" s="830"/>
      <c r="Y37" s="830"/>
      <c r="Z37" s="830" t="e">
        <f t="shared" si="5"/>
        <v>#N/A</v>
      </c>
      <c r="AA37" s="830" t="e">
        <f>VLOOKUP(C37,'CHẤM CÔNG '!$E$13:$AM$168,33,0)</f>
        <v>#N/A</v>
      </c>
      <c r="AB37" s="830" t="e">
        <f>VLOOKUP(C37,'CHẤM CÔNG '!$E$13:$AM$168,34,0)</f>
        <v>#N/A</v>
      </c>
      <c r="AC37" s="830"/>
      <c r="AD37" s="830"/>
      <c r="AE37" s="830"/>
      <c r="AF37" s="830"/>
      <c r="AG37" s="830"/>
      <c r="AH37" s="830"/>
      <c r="AI37" s="830"/>
      <c r="AJ37" s="830"/>
      <c r="AK37" s="836"/>
      <c r="AL37" s="837" t="e">
        <f>VLOOKUP(C37,'sản lượng'!$D$14:$AP$169,38,0)</f>
        <v>#N/A</v>
      </c>
    </row>
    <row r="38" spans="1:44" ht="15.75">
      <c r="A38" s="812">
        <v>26</v>
      </c>
      <c r="B38" s="813" t="e">
        <f>VLOOKUP(C38,'DS CN MOI UP'!$B$10:$C$389,2,0)</f>
        <v>#N/A</v>
      </c>
      <c r="C38" s="819" t="s">
        <v>408</v>
      </c>
      <c r="D38" s="812" t="s">
        <v>15</v>
      </c>
      <c r="E38" s="815">
        <f t="shared" si="3"/>
        <v>32</v>
      </c>
      <c r="F38" s="815"/>
      <c r="G38" s="815"/>
      <c r="H38" s="960"/>
      <c r="I38" s="815"/>
      <c r="J38" s="815">
        <v>3</v>
      </c>
      <c r="K38" s="815"/>
      <c r="L38" s="815"/>
      <c r="M38" s="815"/>
      <c r="N38" s="815"/>
      <c r="O38" s="815"/>
      <c r="P38" s="815"/>
      <c r="Q38" s="815"/>
      <c r="R38" s="815"/>
      <c r="S38" s="830">
        <f t="shared" si="10"/>
        <v>35</v>
      </c>
      <c r="T38" s="830"/>
      <c r="U38" s="830"/>
      <c r="V38" s="830" t="e">
        <f>VLOOKUP(C38,'sản lượng'!$D$14:$AK$169,36,0)</f>
        <v>#N/A</v>
      </c>
      <c r="W38" s="831" t="e">
        <f t="shared" si="4"/>
        <v>#N/A</v>
      </c>
      <c r="X38" s="830"/>
      <c r="Y38" s="830"/>
      <c r="Z38" s="830" t="e">
        <f t="shared" si="5"/>
        <v>#N/A</v>
      </c>
      <c r="AA38" s="830" t="e">
        <f>VLOOKUP(C38,'CHẤM CÔNG '!$E$13:$AM$168,33,0)</f>
        <v>#N/A</v>
      </c>
      <c r="AB38" s="830" t="e">
        <f>VLOOKUP(C38,'CHẤM CÔNG '!$E$13:$AM$168,34,0)</f>
        <v>#N/A</v>
      </c>
      <c r="AC38" s="830"/>
      <c r="AD38" s="830"/>
      <c r="AE38" s="830"/>
      <c r="AF38" s="830"/>
      <c r="AG38" s="830"/>
      <c r="AH38" s="830"/>
      <c r="AI38" s="830"/>
      <c r="AJ38" s="830"/>
      <c r="AK38" s="836"/>
      <c r="AL38" s="837" t="e">
        <f>VLOOKUP(C38,'sản lượng'!$D$14:$AP$169,38,0)</f>
        <v>#N/A</v>
      </c>
    </row>
    <row r="39" spans="1:44" ht="15.75">
      <c r="A39" s="812">
        <v>27</v>
      </c>
      <c r="B39" s="813" t="e">
        <f>VLOOKUP(C39,'DS CN MOI UP'!$B$10:$C$389,2,0)</f>
        <v>#N/A</v>
      </c>
      <c r="C39" s="819" t="s">
        <v>1939</v>
      </c>
      <c r="D39" s="812" t="s">
        <v>15</v>
      </c>
      <c r="E39" s="815">
        <f t="shared" si="3"/>
        <v>32</v>
      </c>
      <c r="F39" s="815"/>
      <c r="G39" s="815"/>
      <c r="H39" s="960"/>
      <c r="I39" s="815"/>
      <c r="J39" s="815">
        <v>3</v>
      </c>
      <c r="K39" s="815"/>
      <c r="L39" s="815"/>
      <c r="M39" s="815"/>
      <c r="N39" s="815"/>
      <c r="O39" s="815"/>
      <c r="P39" s="815"/>
      <c r="Q39" s="815"/>
      <c r="R39" s="815"/>
      <c r="S39" s="830">
        <f t="shared" si="10"/>
        <v>35</v>
      </c>
      <c r="T39" s="830"/>
      <c r="U39" s="830"/>
      <c r="V39" s="830" t="e">
        <f>VLOOKUP(C39,'sản lượng'!$D$14:$AK$169,36,0)</f>
        <v>#N/A</v>
      </c>
      <c r="W39" s="831" t="e">
        <f t="shared" si="4"/>
        <v>#N/A</v>
      </c>
      <c r="X39" s="830"/>
      <c r="Y39" s="830"/>
      <c r="Z39" s="830" t="e">
        <f t="shared" si="5"/>
        <v>#N/A</v>
      </c>
      <c r="AA39" s="830" t="e">
        <f>VLOOKUP(C39,'CHẤM CÔNG '!$E$13:$AM$168,33,0)</f>
        <v>#N/A</v>
      </c>
      <c r="AB39" s="830" t="e">
        <f>VLOOKUP(C39,'CHẤM CÔNG '!$E$13:$AM$168,34,0)</f>
        <v>#N/A</v>
      </c>
      <c r="AC39" s="830"/>
      <c r="AD39" s="830"/>
      <c r="AE39" s="830"/>
      <c r="AF39" s="830"/>
      <c r="AG39" s="830"/>
      <c r="AH39" s="830"/>
      <c r="AI39" s="830"/>
      <c r="AJ39" s="830"/>
      <c r="AK39" s="836"/>
      <c r="AL39" s="837" t="e">
        <f>VLOOKUP(C39,'sản lượng'!$D$14:$AP$169,38,0)</f>
        <v>#N/A</v>
      </c>
    </row>
    <row r="40" spans="1:44" ht="15.75">
      <c r="A40" s="812">
        <v>28</v>
      </c>
      <c r="B40" s="813" t="e">
        <f>VLOOKUP(C40,'DS CN MOI UP'!$B$10:$C$389,2,0)</f>
        <v>#N/A</v>
      </c>
      <c r="C40" s="819" t="s">
        <v>424</v>
      </c>
      <c r="D40" s="812" t="s">
        <v>15</v>
      </c>
      <c r="E40" s="815">
        <f t="shared" si="3"/>
        <v>32</v>
      </c>
      <c r="F40" s="815"/>
      <c r="G40" s="815"/>
      <c r="H40" s="960"/>
      <c r="I40" s="815">
        <v>1</v>
      </c>
      <c r="J40" s="815"/>
      <c r="K40" s="815"/>
      <c r="L40" s="815"/>
      <c r="M40" s="815"/>
      <c r="N40" s="815"/>
      <c r="O40" s="815"/>
      <c r="P40" s="815"/>
      <c r="Q40" s="815"/>
      <c r="R40" s="815"/>
      <c r="S40" s="830">
        <f t="shared" si="10"/>
        <v>33</v>
      </c>
      <c r="T40" s="830"/>
      <c r="U40" s="830"/>
      <c r="V40" s="830" t="e">
        <f>VLOOKUP(C40,'sản lượng'!$D$14:$AK$169,36,0)</f>
        <v>#N/A</v>
      </c>
      <c r="W40" s="831" t="e">
        <f t="shared" si="4"/>
        <v>#N/A</v>
      </c>
      <c r="X40" s="830"/>
      <c r="Y40" s="830"/>
      <c r="Z40" s="830" t="e">
        <f t="shared" si="5"/>
        <v>#N/A</v>
      </c>
      <c r="AA40" s="830" t="e">
        <f>VLOOKUP(C40,'CHẤM CÔNG '!$E$13:$AM$168,33,0)</f>
        <v>#N/A</v>
      </c>
      <c r="AB40" s="830" t="e">
        <f>VLOOKUP(C40,'CHẤM CÔNG '!$E$13:$AM$168,34,0)</f>
        <v>#N/A</v>
      </c>
      <c r="AC40" s="830"/>
      <c r="AD40" s="830"/>
      <c r="AE40" s="830"/>
      <c r="AF40" s="830"/>
      <c r="AG40" s="830"/>
      <c r="AH40" s="830"/>
      <c r="AI40" s="830"/>
      <c r="AJ40" s="830"/>
      <c r="AK40" s="836"/>
      <c r="AL40" s="837" t="e">
        <f>VLOOKUP(C40,'sản lượng'!$D$14:$AP$169,38,0)</f>
        <v>#N/A</v>
      </c>
      <c r="AM40" s="839"/>
    </row>
    <row r="41" spans="1:44" ht="15.75">
      <c r="A41" s="812">
        <v>29</v>
      </c>
      <c r="B41" s="813" t="e">
        <f>VLOOKUP(C41,'DS CN MOI UP'!$B$10:$C$389,2,0)</f>
        <v>#N/A</v>
      </c>
      <c r="C41" s="819" t="s">
        <v>411</v>
      </c>
      <c r="D41" s="812" t="s">
        <v>15</v>
      </c>
      <c r="E41" s="815">
        <f t="shared" si="3"/>
        <v>32</v>
      </c>
      <c r="F41" s="815"/>
      <c r="G41" s="815"/>
      <c r="H41" s="960"/>
      <c r="I41" s="815"/>
      <c r="J41" s="815">
        <v>3</v>
      </c>
      <c r="K41" s="815"/>
      <c r="L41" s="815"/>
      <c r="M41" s="815"/>
      <c r="N41" s="815"/>
      <c r="O41" s="815"/>
      <c r="P41" s="815"/>
      <c r="Q41" s="815"/>
      <c r="R41" s="815"/>
      <c r="S41" s="830">
        <f t="shared" si="10"/>
        <v>35</v>
      </c>
      <c r="T41" s="830"/>
      <c r="U41" s="830"/>
      <c r="V41" s="830" t="e">
        <f>VLOOKUP(C41,'sản lượng'!$D$14:$AK$169,36,0)</f>
        <v>#N/A</v>
      </c>
      <c r="W41" s="831" t="e">
        <f t="shared" si="4"/>
        <v>#N/A</v>
      </c>
      <c r="X41" s="830"/>
      <c r="Y41" s="830"/>
      <c r="Z41" s="830" t="e">
        <f t="shared" si="5"/>
        <v>#N/A</v>
      </c>
      <c r="AA41" s="830" t="e">
        <f>VLOOKUP(C41,'CHẤM CÔNG '!$E$13:$AM$168,33,0)</f>
        <v>#N/A</v>
      </c>
      <c r="AB41" s="830" t="e">
        <f>VLOOKUP(C41,'CHẤM CÔNG '!$E$13:$AM$168,34,0)</f>
        <v>#N/A</v>
      </c>
      <c r="AC41" s="830"/>
      <c r="AD41" s="830"/>
      <c r="AE41" s="830"/>
      <c r="AF41" s="830"/>
      <c r="AG41" s="830"/>
      <c r="AH41" s="830"/>
      <c r="AI41" s="830"/>
      <c r="AJ41" s="830"/>
      <c r="AK41" s="836"/>
      <c r="AL41" s="837" t="e">
        <f>VLOOKUP(C41,'sản lượng'!$D$14:$AP$169,38,0)</f>
        <v>#N/A</v>
      </c>
    </row>
    <row r="42" spans="1:44" ht="15.75">
      <c r="A42" s="812">
        <v>30</v>
      </c>
      <c r="B42" s="813" t="e">
        <f>VLOOKUP(C42,'DS CN MOI UP'!$B$10:$C$389,2,0)</f>
        <v>#N/A</v>
      </c>
      <c r="C42" s="819" t="s">
        <v>412</v>
      </c>
      <c r="D42" s="812" t="s">
        <v>15</v>
      </c>
      <c r="E42" s="815">
        <f t="shared" si="3"/>
        <v>32</v>
      </c>
      <c r="F42" s="815"/>
      <c r="G42" s="815"/>
      <c r="H42" s="960"/>
      <c r="I42" s="815">
        <v>1</v>
      </c>
      <c r="J42" s="815"/>
      <c r="K42" s="815"/>
      <c r="L42" s="815"/>
      <c r="M42" s="815"/>
      <c r="N42" s="815"/>
      <c r="O42" s="815"/>
      <c r="P42" s="815"/>
      <c r="Q42" s="815"/>
      <c r="R42" s="815"/>
      <c r="S42" s="830">
        <f t="shared" si="10"/>
        <v>33</v>
      </c>
      <c r="T42" s="830"/>
      <c r="U42" s="830"/>
      <c r="V42" s="830" t="e">
        <f>VLOOKUP(C42,'sản lượng'!$D$14:$AK$169,36,0)</f>
        <v>#N/A</v>
      </c>
      <c r="W42" s="831" t="e">
        <f t="shared" si="4"/>
        <v>#N/A</v>
      </c>
      <c r="X42" s="830"/>
      <c r="Y42" s="830"/>
      <c r="Z42" s="830" t="e">
        <f t="shared" si="5"/>
        <v>#N/A</v>
      </c>
      <c r="AA42" s="830" t="e">
        <f>VLOOKUP(C42,'CHẤM CÔNG '!$E$13:$AM$168,33,0)</f>
        <v>#N/A</v>
      </c>
      <c r="AB42" s="830" t="e">
        <f>VLOOKUP(C42,'CHẤM CÔNG '!$E$13:$AM$168,34,0)</f>
        <v>#N/A</v>
      </c>
      <c r="AC42" s="830"/>
      <c r="AD42" s="830"/>
      <c r="AE42" s="830"/>
      <c r="AF42" s="830"/>
      <c r="AG42" s="830"/>
      <c r="AH42" s="830"/>
      <c r="AI42" s="830"/>
      <c r="AJ42" s="830"/>
      <c r="AK42" s="836"/>
      <c r="AL42" s="837" t="e">
        <f>VLOOKUP(C42,'sản lượng'!$D$14:$AP$169,38,0)</f>
        <v>#N/A</v>
      </c>
    </row>
    <row r="43" spans="1:44" ht="15.75">
      <c r="A43" s="812">
        <v>31</v>
      </c>
      <c r="B43" s="813" t="e">
        <f>VLOOKUP(C43,'DS CN MOI UP'!$B$10:$C$389,2,0)</f>
        <v>#N/A</v>
      </c>
      <c r="C43" s="819" t="s">
        <v>413</v>
      </c>
      <c r="D43" s="812" t="s">
        <v>15</v>
      </c>
      <c r="E43" s="815">
        <f t="shared" si="3"/>
        <v>32</v>
      </c>
      <c r="F43" s="815"/>
      <c r="G43" s="815"/>
      <c r="H43" s="960"/>
      <c r="I43" s="815"/>
      <c r="J43" s="815">
        <v>3</v>
      </c>
      <c r="K43" s="815"/>
      <c r="L43" s="815"/>
      <c r="M43" s="815"/>
      <c r="N43" s="815"/>
      <c r="O43" s="815"/>
      <c r="P43" s="815"/>
      <c r="Q43" s="815"/>
      <c r="R43" s="815"/>
      <c r="S43" s="830">
        <f t="shared" ref="S43:S54" si="11">SUM(E43:N43)</f>
        <v>35</v>
      </c>
      <c r="T43" s="830"/>
      <c r="U43" s="830"/>
      <c r="V43" s="830" t="e">
        <f>VLOOKUP(C43,'sản lượng'!$D$14:$AK$169,36,0)</f>
        <v>#N/A</v>
      </c>
      <c r="W43" s="831" t="e">
        <f t="shared" si="4"/>
        <v>#N/A</v>
      </c>
      <c r="X43" s="830"/>
      <c r="Y43" s="830"/>
      <c r="Z43" s="830" t="e">
        <f t="shared" si="5"/>
        <v>#N/A</v>
      </c>
      <c r="AA43" s="830" t="e">
        <f>VLOOKUP(C43,'CHẤM CÔNG '!$E$13:$AM$168,33,0)</f>
        <v>#N/A</v>
      </c>
      <c r="AB43" s="830" t="e">
        <f>VLOOKUP(C43,'CHẤM CÔNG '!$E$13:$AM$168,34,0)</f>
        <v>#N/A</v>
      </c>
      <c r="AC43" s="830"/>
      <c r="AD43" s="830"/>
      <c r="AE43" s="830"/>
      <c r="AF43" s="830"/>
      <c r="AG43" s="830"/>
      <c r="AH43" s="830"/>
      <c r="AI43" s="830"/>
      <c r="AJ43" s="830"/>
      <c r="AK43" s="836"/>
      <c r="AL43" s="837" t="e">
        <f>VLOOKUP(C43,'sản lượng'!$D$14:$AP$169,38,0)</f>
        <v>#N/A</v>
      </c>
    </row>
    <row r="44" spans="1:44" s="953" customFormat="1" ht="15.75">
      <c r="A44" s="961">
        <v>32</v>
      </c>
      <c r="B44" s="962" t="e">
        <f>VLOOKUP(C44,'DS CN MOI UP'!$B$10:$C$389,2,0)</f>
        <v>#N/A</v>
      </c>
      <c r="C44" s="966" t="s">
        <v>414</v>
      </c>
      <c r="D44" s="961" t="s">
        <v>15</v>
      </c>
      <c r="E44" s="815">
        <f t="shared" si="3"/>
        <v>32</v>
      </c>
      <c r="F44" s="964"/>
      <c r="G44" s="964"/>
      <c r="H44" s="960"/>
      <c r="I44" s="964">
        <v>1</v>
      </c>
      <c r="J44" s="964"/>
      <c r="K44" s="964"/>
      <c r="L44" s="964"/>
      <c r="M44" s="964"/>
      <c r="N44" s="964"/>
      <c r="O44" s="964"/>
      <c r="P44" s="964"/>
      <c r="Q44" s="964"/>
      <c r="R44" s="964"/>
      <c r="S44" s="970">
        <f t="shared" si="11"/>
        <v>33</v>
      </c>
      <c r="T44" s="970"/>
      <c r="U44" s="970"/>
      <c r="V44" s="970" t="e">
        <f>VLOOKUP(C44,'sản lượng'!$D$14:$AK$169,36,0)</f>
        <v>#N/A</v>
      </c>
      <c r="W44" s="971" t="e">
        <f t="shared" si="4"/>
        <v>#N/A</v>
      </c>
      <c r="X44" s="970"/>
      <c r="Y44" s="970"/>
      <c r="Z44" s="830" t="e">
        <f t="shared" si="5"/>
        <v>#N/A</v>
      </c>
      <c r="AA44" s="970" t="e">
        <f>VLOOKUP(C44,'CHẤM CÔNG '!$E$13:$AM$168,33,0)</f>
        <v>#N/A</v>
      </c>
      <c r="AB44" s="970" t="e">
        <f>VLOOKUP(C44,'CHẤM CÔNG '!$E$13:$AM$168,34,0)</f>
        <v>#N/A</v>
      </c>
      <c r="AC44" s="970" t="e">
        <f>SUM(AA44:AB44,AF44)</f>
        <v>#N/A</v>
      </c>
      <c r="AD44" s="970"/>
      <c r="AE44" s="970"/>
      <c r="AF44" s="830"/>
      <c r="AG44" s="830"/>
      <c r="AH44" s="830"/>
      <c r="AI44" s="830"/>
      <c r="AJ44" s="830"/>
      <c r="AK44" s="836"/>
      <c r="AL44" s="975" t="e">
        <f>VLOOKUP(C44,'sản lượng'!$D$14:$AP$169,38,0)</f>
        <v>#N/A</v>
      </c>
      <c r="AP44" s="954"/>
      <c r="AQ44" s="954"/>
      <c r="AR44" s="954"/>
    </row>
    <row r="45" spans="1:44" ht="15.75">
      <c r="A45" s="812">
        <v>33</v>
      </c>
      <c r="B45" s="813" t="e">
        <f>VLOOKUP(C45,'DS CN MOI UP'!$B$10:$C$389,2,0)</f>
        <v>#N/A</v>
      </c>
      <c r="C45" s="819" t="s">
        <v>415</v>
      </c>
      <c r="D45" s="812" t="s">
        <v>15</v>
      </c>
      <c r="E45" s="815">
        <f t="shared" si="3"/>
        <v>32</v>
      </c>
      <c r="F45" s="815"/>
      <c r="G45" s="815"/>
      <c r="H45" s="960"/>
      <c r="I45" s="815">
        <v>1</v>
      </c>
      <c r="J45" s="815"/>
      <c r="K45" s="815"/>
      <c r="L45" s="815"/>
      <c r="M45" s="815"/>
      <c r="N45" s="815"/>
      <c r="O45" s="815"/>
      <c r="P45" s="815"/>
      <c r="Q45" s="815"/>
      <c r="R45" s="815"/>
      <c r="S45" s="830">
        <f t="shared" si="11"/>
        <v>33</v>
      </c>
      <c r="T45" s="830"/>
      <c r="U45" s="830"/>
      <c r="V45" s="830" t="e">
        <f>VLOOKUP(C45,'sản lượng'!$D$14:$AK$169,36,0)</f>
        <v>#N/A</v>
      </c>
      <c r="W45" s="831" t="e">
        <f t="shared" si="4"/>
        <v>#N/A</v>
      </c>
      <c r="X45" s="830"/>
      <c r="Y45" s="830"/>
      <c r="Z45" s="830" t="e">
        <f t="shared" si="5"/>
        <v>#N/A</v>
      </c>
      <c r="AA45" s="830" t="e">
        <f>VLOOKUP(C45,'CHẤM CÔNG '!$E$13:$AM$168,33,0)</f>
        <v>#N/A</v>
      </c>
      <c r="AB45" s="830" t="e">
        <f>VLOOKUP(C45,'CHẤM CÔNG '!$E$13:$AM$168,34,0)</f>
        <v>#N/A</v>
      </c>
      <c r="AC45" s="830"/>
      <c r="AD45" s="830"/>
      <c r="AE45" s="830"/>
      <c r="AF45" s="830"/>
      <c r="AG45" s="830"/>
      <c r="AH45" s="830"/>
      <c r="AI45" s="830"/>
      <c r="AJ45" s="830"/>
      <c r="AK45" s="836"/>
      <c r="AL45" s="837" t="e">
        <f>VLOOKUP(C45,'sản lượng'!$D$14:$AP$169,38,0)</f>
        <v>#N/A</v>
      </c>
    </row>
    <row r="46" spans="1:44" ht="15.75">
      <c r="A46" s="812">
        <v>34</v>
      </c>
      <c r="B46" s="813" t="e">
        <f>VLOOKUP(C46,'DS CN MOI UP'!$B$10:$C$389,2,0)</f>
        <v>#N/A</v>
      </c>
      <c r="C46" s="819" t="s">
        <v>1940</v>
      </c>
      <c r="D46" s="812" t="s">
        <v>15</v>
      </c>
      <c r="E46" s="815">
        <f t="shared" si="3"/>
        <v>32</v>
      </c>
      <c r="F46" s="815"/>
      <c r="G46" s="815"/>
      <c r="H46" s="960"/>
      <c r="I46" s="815"/>
      <c r="J46" s="815"/>
      <c r="K46" s="815"/>
      <c r="L46" s="815"/>
      <c r="M46" s="815"/>
      <c r="N46" s="815"/>
      <c r="O46" s="815"/>
      <c r="P46" s="815"/>
      <c r="Q46" s="815"/>
      <c r="R46" s="815"/>
      <c r="S46" s="830">
        <f t="shared" si="11"/>
        <v>32</v>
      </c>
      <c r="T46" s="830"/>
      <c r="U46" s="830"/>
      <c r="V46" s="830" t="e">
        <f>VLOOKUP(C46,'sản lượng'!$D$14:$AK$169,36,0)</f>
        <v>#N/A</v>
      </c>
      <c r="W46" s="831" t="e">
        <f t="shared" si="4"/>
        <v>#N/A</v>
      </c>
      <c r="X46" s="830"/>
      <c r="Y46" s="830"/>
      <c r="Z46" s="830" t="e">
        <f t="shared" si="5"/>
        <v>#N/A</v>
      </c>
      <c r="AA46" s="830" t="e">
        <f>VLOOKUP(C46,'CHẤM CÔNG '!$E$13:$AM$168,33,0)</f>
        <v>#N/A</v>
      </c>
      <c r="AB46" s="830" t="e">
        <f>VLOOKUP(C46,'CHẤM CÔNG '!$E$13:$AM$168,34,0)</f>
        <v>#N/A</v>
      </c>
      <c r="AC46" s="830"/>
      <c r="AD46" s="830"/>
      <c r="AE46" s="830"/>
      <c r="AF46" s="830"/>
      <c r="AG46" s="830"/>
      <c r="AH46" s="830"/>
      <c r="AI46" s="830"/>
      <c r="AJ46" s="830"/>
      <c r="AK46" s="836"/>
      <c r="AL46" s="837" t="e">
        <f>VLOOKUP(C46,'sản lượng'!$D$14:$AP$169,38,0)</f>
        <v>#N/A</v>
      </c>
    </row>
    <row r="47" spans="1:44" ht="15.75">
      <c r="A47" s="812">
        <v>35</v>
      </c>
      <c r="B47" s="813" t="e">
        <f>VLOOKUP(C47,'DS CN MOI UP'!$B$10:$C$389,2,0)</f>
        <v>#N/A</v>
      </c>
      <c r="C47" s="819" t="s">
        <v>417</v>
      </c>
      <c r="D47" s="812" t="s">
        <v>15</v>
      </c>
      <c r="E47" s="815">
        <f t="shared" si="3"/>
        <v>32</v>
      </c>
      <c r="F47" s="815"/>
      <c r="G47" s="815"/>
      <c r="H47" s="960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30">
        <f t="shared" si="11"/>
        <v>32</v>
      </c>
      <c r="T47" s="830"/>
      <c r="U47" s="830"/>
      <c r="V47" s="830" t="e">
        <f>VLOOKUP(C47,'sản lượng'!$D$14:$AK$169,36,0)</f>
        <v>#N/A</v>
      </c>
      <c r="W47" s="831" t="e">
        <f t="shared" si="4"/>
        <v>#N/A</v>
      </c>
      <c r="X47" s="830"/>
      <c r="Y47" s="830"/>
      <c r="Z47" s="830" t="e">
        <f t="shared" si="5"/>
        <v>#N/A</v>
      </c>
      <c r="AA47" s="830" t="e">
        <f>VLOOKUP(C47,'CHẤM CÔNG '!$E$13:$AM$168,33,0)</f>
        <v>#N/A</v>
      </c>
      <c r="AB47" s="830" t="e">
        <f>VLOOKUP(C47,'CHẤM CÔNG '!$E$13:$AM$168,34,0)</f>
        <v>#N/A</v>
      </c>
      <c r="AC47" s="830"/>
      <c r="AD47" s="830"/>
      <c r="AE47" s="830"/>
      <c r="AF47" s="830"/>
      <c r="AG47" s="830"/>
      <c r="AH47" s="830"/>
      <c r="AI47" s="830"/>
      <c r="AJ47" s="830"/>
      <c r="AK47" s="836"/>
      <c r="AL47" s="837" t="e">
        <f>VLOOKUP(C47,'sản lượng'!$D$14:$AP$169,38,0)</f>
        <v>#N/A</v>
      </c>
    </row>
    <row r="48" spans="1:44" ht="15.75">
      <c r="A48" s="812">
        <v>36</v>
      </c>
      <c r="B48" s="813" t="e">
        <f>VLOOKUP(C48,'DS CN MOI UP'!$B$10:$C$389,2,0)</f>
        <v>#N/A</v>
      </c>
      <c r="C48" s="819" t="s">
        <v>418</v>
      </c>
      <c r="D48" s="812" t="s">
        <v>15</v>
      </c>
      <c r="E48" s="815">
        <f t="shared" si="3"/>
        <v>32</v>
      </c>
      <c r="F48" s="815"/>
      <c r="G48" s="815"/>
      <c r="H48" s="960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30">
        <f t="shared" si="11"/>
        <v>32</v>
      </c>
      <c r="T48" s="830"/>
      <c r="U48" s="830"/>
      <c r="V48" s="830" t="e">
        <f>VLOOKUP(C48,'sản lượng'!$D$14:$AK$169,36,0)</f>
        <v>#N/A</v>
      </c>
      <c r="W48" s="831" t="e">
        <f t="shared" si="4"/>
        <v>#N/A</v>
      </c>
      <c r="X48" s="830"/>
      <c r="Y48" s="830"/>
      <c r="Z48" s="830" t="e">
        <f t="shared" si="5"/>
        <v>#N/A</v>
      </c>
      <c r="AA48" s="830" t="e">
        <f>VLOOKUP(C48,'CHẤM CÔNG '!$E$13:$AM$168,33,0)</f>
        <v>#N/A</v>
      </c>
      <c r="AB48" s="830" t="e">
        <f>VLOOKUP(C48,'CHẤM CÔNG '!$E$13:$AM$168,34,0)</f>
        <v>#N/A</v>
      </c>
      <c r="AC48" s="830"/>
      <c r="AD48" s="830"/>
      <c r="AE48" s="830"/>
      <c r="AF48" s="830"/>
      <c r="AG48" s="830"/>
      <c r="AH48" s="830"/>
      <c r="AI48" s="830"/>
      <c r="AJ48" s="830"/>
      <c r="AK48" s="836"/>
      <c r="AL48" s="837" t="e">
        <f>VLOOKUP(C48,'sản lượng'!$D$14:$AP$169,38,0)</f>
        <v>#N/A</v>
      </c>
    </row>
    <row r="49" spans="1:44" ht="15.75">
      <c r="A49" s="812">
        <v>37</v>
      </c>
      <c r="B49" s="813" t="e">
        <f>VLOOKUP(C49,'DS CN MOI UP'!$B$10:$C$389,2,0)</f>
        <v>#N/A</v>
      </c>
      <c r="C49" s="819" t="s">
        <v>419</v>
      </c>
      <c r="D49" s="812" t="s">
        <v>15</v>
      </c>
      <c r="E49" s="815">
        <f t="shared" si="3"/>
        <v>32</v>
      </c>
      <c r="F49" s="815"/>
      <c r="G49" s="815"/>
      <c r="H49" s="960"/>
      <c r="I49" s="815"/>
      <c r="J49" s="815">
        <v>3</v>
      </c>
      <c r="K49" s="815"/>
      <c r="L49" s="815"/>
      <c r="M49" s="815"/>
      <c r="N49" s="815"/>
      <c r="O49" s="815"/>
      <c r="P49" s="815"/>
      <c r="Q49" s="815"/>
      <c r="R49" s="815"/>
      <c r="S49" s="830">
        <f t="shared" si="11"/>
        <v>35</v>
      </c>
      <c r="T49" s="830"/>
      <c r="U49" s="830"/>
      <c r="V49" s="830" t="e">
        <f>VLOOKUP(C49,'sản lượng'!$D$14:$AK$169,36,0)</f>
        <v>#N/A</v>
      </c>
      <c r="W49" s="831" t="e">
        <f t="shared" si="4"/>
        <v>#N/A</v>
      </c>
      <c r="X49" s="830"/>
      <c r="Y49" s="830"/>
      <c r="Z49" s="830" t="e">
        <f t="shared" si="5"/>
        <v>#N/A</v>
      </c>
      <c r="AA49" s="830" t="e">
        <f>VLOOKUP(C49,'CHẤM CÔNG '!$E$13:$AM$168,33,0)</f>
        <v>#N/A</v>
      </c>
      <c r="AB49" s="830" t="e">
        <f>VLOOKUP(C49,'CHẤM CÔNG '!$E$13:$AM$168,34,0)</f>
        <v>#N/A</v>
      </c>
      <c r="AC49" s="830"/>
      <c r="AD49" s="830"/>
      <c r="AE49" s="830"/>
      <c r="AF49" s="830"/>
      <c r="AG49" s="830"/>
      <c r="AH49" s="830"/>
      <c r="AI49" s="830"/>
      <c r="AJ49" s="830"/>
      <c r="AK49" s="836"/>
      <c r="AL49" s="837" t="e">
        <f>VLOOKUP(C49,'sản lượng'!$D$14:$AP$169,38,0)</f>
        <v>#N/A</v>
      </c>
    </row>
    <row r="50" spans="1:44" ht="15.75">
      <c r="A50" s="812">
        <v>38</v>
      </c>
      <c r="B50" s="813" t="e">
        <f>VLOOKUP(C50,'DS CN MOI UP'!$B$10:$C$389,2,0)</f>
        <v>#N/A</v>
      </c>
      <c r="C50" s="819" t="s">
        <v>420</v>
      </c>
      <c r="D50" s="812" t="s">
        <v>15</v>
      </c>
      <c r="E50" s="815">
        <f t="shared" si="3"/>
        <v>32</v>
      </c>
      <c r="F50" s="815"/>
      <c r="G50" s="815"/>
      <c r="H50" s="960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30">
        <f t="shared" si="11"/>
        <v>32</v>
      </c>
      <c r="T50" s="830"/>
      <c r="U50" s="830"/>
      <c r="V50" s="830" t="e">
        <f>VLOOKUP(C50,'sản lượng'!$D$14:$AK$169,36,0)</f>
        <v>#N/A</v>
      </c>
      <c r="W50" s="831" t="e">
        <f t="shared" si="4"/>
        <v>#N/A</v>
      </c>
      <c r="X50" s="830"/>
      <c r="Y50" s="830"/>
      <c r="Z50" s="830" t="e">
        <f t="shared" si="5"/>
        <v>#N/A</v>
      </c>
      <c r="AA50" s="830" t="e">
        <f>VLOOKUP(C50,'CHẤM CÔNG '!$E$13:$AM$168,33,0)</f>
        <v>#N/A</v>
      </c>
      <c r="AB50" s="830" t="e">
        <f>VLOOKUP(C50,'CHẤM CÔNG '!$E$13:$AM$168,34,0)</f>
        <v>#N/A</v>
      </c>
      <c r="AC50" s="830"/>
      <c r="AD50" s="830"/>
      <c r="AE50" s="830"/>
      <c r="AF50" s="830"/>
      <c r="AG50" s="830"/>
      <c r="AH50" s="830"/>
      <c r="AI50" s="830"/>
      <c r="AJ50" s="830"/>
      <c r="AK50" s="836"/>
      <c r="AL50" s="837" t="e">
        <f>VLOOKUP(C50,'sản lượng'!$D$14:$AP$169,38,0)</f>
        <v>#N/A</v>
      </c>
    </row>
    <row r="51" spans="1:44" s="953" customFormat="1" ht="15.75">
      <c r="A51" s="961">
        <v>39</v>
      </c>
      <c r="B51" s="962" t="e">
        <f>VLOOKUP(C51,'DS CN MOI UP'!$B$10:$C$389,2,0)</f>
        <v>#N/A</v>
      </c>
      <c r="C51" s="966" t="s">
        <v>421</v>
      </c>
      <c r="D51" s="961" t="s">
        <v>15</v>
      </c>
      <c r="E51" s="815">
        <f t="shared" si="3"/>
        <v>32</v>
      </c>
      <c r="F51" s="964"/>
      <c r="G51" s="964"/>
      <c r="H51" s="960"/>
      <c r="I51" s="964"/>
      <c r="J51" s="964"/>
      <c r="K51" s="964"/>
      <c r="L51" s="964"/>
      <c r="M51" s="964"/>
      <c r="N51" s="964"/>
      <c r="O51" s="964"/>
      <c r="P51" s="964"/>
      <c r="Q51" s="964"/>
      <c r="R51" s="964"/>
      <c r="S51" s="970">
        <f t="shared" si="11"/>
        <v>32</v>
      </c>
      <c r="T51" s="970"/>
      <c r="U51" s="970"/>
      <c r="V51" s="970" t="e">
        <f>VLOOKUP(C51,'sản lượng'!$D$14:$AK$169,36,0)</f>
        <v>#N/A</v>
      </c>
      <c r="W51" s="971" t="e">
        <f t="shared" si="4"/>
        <v>#N/A</v>
      </c>
      <c r="X51" s="970"/>
      <c r="Y51" s="970"/>
      <c r="Z51" s="830" t="e">
        <f t="shared" si="5"/>
        <v>#N/A</v>
      </c>
      <c r="AA51" s="970" t="e">
        <f>VLOOKUP(C51,'CHẤM CÔNG '!$E$13:$AM$168,33,0)</f>
        <v>#N/A</v>
      </c>
      <c r="AB51" s="970" t="e">
        <f>VLOOKUP(C51,'CHẤM CÔNG '!$E$13:$AM$168,34,0)</f>
        <v>#N/A</v>
      </c>
      <c r="AC51" s="970" t="e">
        <f>SUM(AA51:AB51,AF51)</f>
        <v>#N/A</v>
      </c>
      <c r="AD51" s="970"/>
      <c r="AE51" s="970"/>
      <c r="AF51" s="830"/>
      <c r="AG51" s="830"/>
      <c r="AH51" s="830"/>
      <c r="AI51" s="830"/>
      <c r="AJ51" s="830"/>
      <c r="AK51" s="836"/>
      <c r="AL51" s="975" t="e">
        <f>VLOOKUP(C51,'sản lượng'!$D$14:$AP$169,38,0)</f>
        <v>#N/A</v>
      </c>
      <c r="AP51" s="954"/>
      <c r="AQ51" s="954"/>
      <c r="AR51" s="954"/>
    </row>
    <row r="52" spans="1:44" ht="15.75">
      <c r="A52" s="812">
        <v>40</v>
      </c>
      <c r="B52" s="813" t="e">
        <f>VLOOKUP(C52,'DS CN MOI UP'!$B$10:$C$389,2,0)</f>
        <v>#N/A</v>
      </c>
      <c r="C52" s="819" t="s">
        <v>422</v>
      </c>
      <c r="D52" s="812" t="s">
        <v>15</v>
      </c>
      <c r="E52" s="815">
        <f t="shared" si="3"/>
        <v>32</v>
      </c>
      <c r="F52" s="815"/>
      <c r="G52" s="815"/>
      <c r="H52" s="960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30">
        <f t="shared" si="11"/>
        <v>32</v>
      </c>
      <c r="T52" s="830"/>
      <c r="U52" s="830"/>
      <c r="V52" s="830" t="e">
        <f>VLOOKUP(C52,'sản lượng'!$D$14:$AK$169,36,0)</f>
        <v>#N/A</v>
      </c>
      <c r="W52" s="831" t="e">
        <f t="shared" si="4"/>
        <v>#N/A</v>
      </c>
      <c r="X52" s="830"/>
      <c r="Y52" s="830"/>
      <c r="Z52" s="830" t="e">
        <f t="shared" si="5"/>
        <v>#N/A</v>
      </c>
      <c r="AA52" s="830" t="e">
        <f>VLOOKUP(C52,'CHẤM CÔNG '!$E$13:$AM$168,33,0)</f>
        <v>#N/A</v>
      </c>
      <c r="AB52" s="830" t="e">
        <f>VLOOKUP(C52,'CHẤM CÔNG '!$E$13:$AM$168,34,0)</f>
        <v>#N/A</v>
      </c>
      <c r="AC52" s="830"/>
      <c r="AD52" s="830"/>
      <c r="AE52" s="830"/>
      <c r="AF52" s="830"/>
      <c r="AG52" s="830"/>
      <c r="AH52" s="830"/>
      <c r="AI52" s="830"/>
      <c r="AJ52" s="830"/>
      <c r="AK52" s="836"/>
      <c r="AL52" s="837" t="e">
        <f>VLOOKUP(C52,'sản lượng'!$D$14:$AP$169,38,0)</f>
        <v>#N/A</v>
      </c>
    </row>
    <row r="53" spans="1:44" ht="15.75">
      <c r="A53" s="812">
        <v>41</v>
      </c>
      <c r="B53" s="813" t="e">
        <f>VLOOKUP(C53,'DS CN MOI UP'!$B$10:$C$389,2,0)</f>
        <v>#N/A</v>
      </c>
      <c r="C53" s="819" t="s">
        <v>423</v>
      </c>
      <c r="D53" s="812" t="s">
        <v>15</v>
      </c>
      <c r="E53" s="815">
        <f t="shared" si="3"/>
        <v>32</v>
      </c>
      <c r="F53" s="815"/>
      <c r="G53" s="815"/>
      <c r="H53" s="960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830">
        <f t="shared" si="11"/>
        <v>32</v>
      </c>
      <c r="T53" s="830"/>
      <c r="U53" s="830"/>
      <c r="V53" s="830" t="e">
        <f>VLOOKUP(C53,'sản lượng'!$D$14:$AK$169,36,0)</f>
        <v>#N/A</v>
      </c>
      <c r="W53" s="831" t="e">
        <f t="shared" si="4"/>
        <v>#N/A</v>
      </c>
      <c r="X53" s="830"/>
      <c r="Y53" s="830"/>
      <c r="Z53" s="830" t="e">
        <f t="shared" si="5"/>
        <v>#N/A</v>
      </c>
      <c r="AA53" s="830" t="e">
        <f>VLOOKUP(C53,'CHẤM CÔNG '!$E$13:$AM$168,33,0)</f>
        <v>#N/A</v>
      </c>
      <c r="AB53" s="830" t="e">
        <f>VLOOKUP(C53,'CHẤM CÔNG '!$E$13:$AM$168,34,0)</f>
        <v>#N/A</v>
      </c>
      <c r="AC53" s="830"/>
      <c r="AD53" s="830"/>
      <c r="AE53" s="830"/>
      <c r="AF53" s="830"/>
      <c r="AG53" s="830"/>
      <c r="AH53" s="830"/>
      <c r="AI53" s="830"/>
      <c r="AJ53" s="830"/>
      <c r="AK53" s="836"/>
      <c r="AL53" s="837" t="e">
        <f>VLOOKUP(C53,'sản lượng'!$D$14:$AP$169,38,0)</f>
        <v>#N/A</v>
      </c>
    </row>
    <row r="54" spans="1:44" ht="15.75">
      <c r="A54" s="812">
        <v>42</v>
      </c>
      <c r="B54" s="813" t="e">
        <f>VLOOKUP(C54,'DS CN MOI UP'!$B$10:$C$389,2,0)</f>
        <v>#N/A</v>
      </c>
      <c r="C54" s="819" t="s">
        <v>1971</v>
      </c>
      <c r="D54" s="812" t="s">
        <v>15</v>
      </c>
      <c r="E54" s="815">
        <f t="shared" si="3"/>
        <v>32</v>
      </c>
      <c r="F54" s="815"/>
      <c r="G54" s="815"/>
      <c r="H54" s="960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S54" s="830">
        <f t="shared" si="11"/>
        <v>32</v>
      </c>
      <c r="T54" s="830"/>
      <c r="U54" s="830"/>
      <c r="V54" s="830" t="e">
        <f>VLOOKUP(C54,'sản lượng'!$D$14:$AK$169,36,0)</f>
        <v>#N/A</v>
      </c>
      <c r="W54" s="831" t="e">
        <f t="shared" si="4"/>
        <v>#N/A</v>
      </c>
      <c r="X54" s="830"/>
      <c r="Y54" s="830"/>
      <c r="Z54" s="830" t="e">
        <f t="shared" si="5"/>
        <v>#N/A</v>
      </c>
      <c r="AA54" s="830" t="e">
        <f>VLOOKUP(C54,'CHẤM CÔNG '!$E$13:$AM$168,33,0)</f>
        <v>#N/A</v>
      </c>
      <c r="AB54" s="830" t="e">
        <f>VLOOKUP(C54,'CHẤM CÔNG '!$E$13:$AM$168,34,0)</f>
        <v>#N/A</v>
      </c>
      <c r="AC54" s="830"/>
      <c r="AD54" s="830"/>
      <c r="AE54" s="830"/>
      <c r="AF54" s="830"/>
      <c r="AG54" s="830"/>
      <c r="AH54" s="830"/>
      <c r="AI54" s="830"/>
      <c r="AJ54" s="830"/>
      <c r="AK54" s="836"/>
      <c r="AL54" s="837" t="e">
        <f>VLOOKUP(C54,'sản lượng'!$D$14:$AP$169,38,0)</f>
        <v>#N/A</v>
      </c>
    </row>
    <row r="55" spans="1:44" s="953" customFormat="1" ht="15.75">
      <c r="A55" s="812">
        <v>43</v>
      </c>
      <c r="B55" s="962" t="e">
        <f>VLOOKUP(C55,'DS CN MOI UP'!$B$10:$C$389,2,0)</f>
        <v>#N/A</v>
      </c>
      <c r="C55" s="966" t="s">
        <v>425</v>
      </c>
      <c r="D55" s="961" t="s">
        <v>15</v>
      </c>
      <c r="E55" s="815">
        <f t="shared" si="3"/>
        <v>32</v>
      </c>
      <c r="F55" s="964"/>
      <c r="G55" s="964"/>
      <c r="H55" s="960"/>
      <c r="I55" s="964"/>
      <c r="J55" s="964"/>
      <c r="K55" s="964"/>
      <c r="L55" s="964"/>
      <c r="M55" s="964"/>
      <c r="N55" s="964"/>
      <c r="O55" s="964"/>
      <c r="P55" s="964"/>
      <c r="Q55" s="964"/>
      <c r="R55" s="964"/>
      <c r="S55" s="970">
        <f t="shared" ref="S55" si="12">SUM(E55:N55)</f>
        <v>32</v>
      </c>
      <c r="T55" s="970"/>
      <c r="U55" s="970"/>
      <c r="V55" s="970" t="e">
        <f>VLOOKUP(C55,'sản lượng'!$D$14:$AK$169,36,0)</f>
        <v>#N/A</v>
      </c>
      <c r="W55" s="971" t="e">
        <f t="shared" ref="W55" si="13">SUM(T55:V55)</f>
        <v>#N/A</v>
      </c>
      <c r="X55" s="970"/>
      <c r="Y55" s="970"/>
      <c r="Z55" s="830" t="e">
        <f t="shared" si="5"/>
        <v>#N/A</v>
      </c>
      <c r="AA55" s="970" t="e">
        <f>VLOOKUP(C55,'CHẤM CÔNG '!$E$13:$AM$168,33,0)</f>
        <v>#N/A</v>
      </c>
      <c r="AB55" s="970" t="e">
        <f>VLOOKUP(C55,'CHẤM CÔNG '!$E$13:$AM$168,34,0)</f>
        <v>#N/A</v>
      </c>
      <c r="AC55" s="970" t="e">
        <f>SUM(AA55:AB55,AF55)</f>
        <v>#N/A</v>
      </c>
      <c r="AD55" s="970"/>
      <c r="AE55" s="970"/>
      <c r="AF55" s="830"/>
      <c r="AG55" s="830"/>
      <c r="AH55" s="830"/>
      <c r="AI55" s="830"/>
      <c r="AJ55" s="830"/>
      <c r="AK55" s="836"/>
      <c r="AL55" s="975" t="e">
        <f>VLOOKUP(C55,'sản lượng'!$D$14:$AP$169,38,0)</f>
        <v>#N/A</v>
      </c>
      <c r="AP55" s="954"/>
      <c r="AQ55" s="954"/>
      <c r="AR55" s="954"/>
    </row>
    <row r="56" spans="1:44" ht="15.75">
      <c r="A56" s="812">
        <v>44</v>
      </c>
      <c r="B56" s="813">
        <v>1</v>
      </c>
      <c r="C56" s="845" t="s">
        <v>1064</v>
      </c>
      <c r="D56" s="812" t="s">
        <v>1713</v>
      </c>
      <c r="E56" s="815"/>
      <c r="F56" s="815"/>
      <c r="G56" s="815"/>
      <c r="H56" s="960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30">
        <f>SUM(E56:R56)</f>
        <v>0</v>
      </c>
      <c r="T56" s="830"/>
      <c r="U56" s="830"/>
      <c r="V56" s="830"/>
      <c r="W56" s="830"/>
      <c r="X56" s="830"/>
      <c r="Y56" s="830"/>
      <c r="Z56" s="830">
        <f>W56*$AN$9/$AN$8+X56*$AN$10+$AN$11*Y56</f>
        <v>0</v>
      </c>
      <c r="AA56" s="830"/>
      <c r="AB56" s="830"/>
      <c r="AC56" s="830"/>
      <c r="AD56" s="830"/>
      <c r="AE56" s="830"/>
      <c r="AF56" s="830"/>
      <c r="AG56" s="830"/>
      <c r="AH56" s="830"/>
      <c r="AI56" s="830"/>
      <c r="AJ56" s="830"/>
      <c r="AK56" s="836"/>
      <c r="AL56" s="837"/>
    </row>
    <row r="57" spans="1:44">
      <c r="A57" s="820" t="s">
        <v>520</v>
      </c>
      <c r="B57" s="813"/>
      <c r="C57" s="821"/>
      <c r="D57" s="822"/>
      <c r="E57" s="823">
        <f t="shared" ref="E57:W57" si="14">SUM(E58:E120)</f>
        <v>1368</v>
      </c>
      <c r="F57" s="823">
        <f t="shared" si="14"/>
        <v>0</v>
      </c>
      <c r="G57" s="823">
        <f t="shared" si="14"/>
        <v>0</v>
      </c>
      <c r="H57" s="967">
        <f t="shared" si="14"/>
        <v>0</v>
      </c>
      <c r="I57" s="823">
        <f t="shared" si="14"/>
        <v>0</v>
      </c>
      <c r="J57" s="823">
        <f t="shared" si="14"/>
        <v>0</v>
      </c>
      <c r="K57" s="823">
        <f t="shared" si="14"/>
        <v>0</v>
      </c>
      <c r="L57" s="823">
        <f t="shared" si="14"/>
        <v>0</v>
      </c>
      <c r="M57" s="823">
        <f t="shared" si="14"/>
        <v>0</v>
      </c>
      <c r="N57" s="823">
        <f t="shared" si="14"/>
        <v>0</v>
      </c>
      <c r="O57" s="823">
        <f t="shared" si="14"/>
        <v>0</v>
      </c>
      <c r="P57" s="823">
        <f t="shared" si="14"/>
        <v>0</v>
      </c>
      <c r="Q57" s="823">
        <f t="shared" si="14"/>
        <v>0</v>
      </c>
      <c r="R57" s="823">
        <f t="shared" si="14"/>
        <v>0</v>
      </c>
      <c r="S57" s="823">
        <f t="shared" si="14"/>
        <v>1368</v>
      </c>
      <c r="T57" s="823" t="e">
        <f t="shared" si="14"/>
        <v>#N/A</v>
      </c>
      <c r="U57" s="823" t="e">
        <f t="shared" si="14"/>
        <v>#N/A</v>
      </c>
      <c r="V57" s="823" t="e">
        <f t="shared" si="14"/>
        <v>#N/A</v>
      </c>
      <c r="W57" s="972" t="e">
        <f t="shared" si="14"/>
        <v>#N/A</v>
      </c>
      <c r="X57" s="823"/>
      <c r="Y57" s="823"/>
      <c r="Z57" s="823" t="e">
        <f>SUM(Z58:Z120)</f>
        <v>#N/A</v>
      </c>
      <c r="AA57" s="823" t="e">
        <f t="shared" ref="AA57:AC57" si="15">SUM(AA58:AA120)</f>
        <v>#N/A</v>
      </c>
      <c r="AB57" s="823" t="e">
        <f t="shared" si="15"/>
        <v>#N/A</v>
      </c>
      <c r="AC57" s="823">
        <f t="shared" si="15"/>
        <v>0</v>
      </c>
      <c r="AD57" s="823"/>
      <c r="AE57" s="823">
        <f>SUM(AE58:AE120)</f>
        <v>26</v>
      </c>
      <c r="AF57" s="823"/>
      <c r="AG57" s="823"/>
      <c r="AH57" s="823"/>
      <c r="AI57" s="823">
        <f>SUM(AI58:AI120)</f>
        <v>0</v>
      </c>
      <c r="AJ57" s="823">
        <f>SUM(AJ58:AJ120)</f>
        <v>0</v>
      </c>
      <c r="AK57" s="823">
        <f>SUM(AK58:AK120)</f>
        <v>0</v>
      </c>
      <c r="AL57" s="823" t="e">
        <f>SUM(AL58:AL120)</f>
        <v>#N/A</v>
      </c>
    </row>
    <row r="58" spans="1:44" ht="15.75">
      <c r="A58" s="824">
        <v>1</v>
      </c>
      <c r="B58" s="813" t="e">
        <f>VLOOKUP(C58,'DS CN MOI UP'!$B$10:$C$389,2,0)</f>
        <v>#N/A</v>
      </c>
      <c r="C58" s="825" t="s">
        <v>1972</v>
      </c>
      <c r="D58" s="826" t="s">
        <v>15</v>
      </c>
      <c r="E58" s="815">
        <f t="shared" ref="E58:E114" si="16">3*8</f>
        <v>24</v>
      </c>
      <c r="F58" s="815"/>
      <c r="G58" s="815"/>
      <c r="H58" s="960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30">
        <f t="shared" ref="S58:S79" si="17">SUM(E58:P58)</f>
        <v>24</v>
      </c>
      <c r="T58" s="830" t="e">
        <f>VLOOKUP(C58,'sản lượng'!$D$14:$AK$169,33,0)</f>
        <v>#N/A</v>
      </c>
      <c r="U58" s="830" t="e">
        <f>VLOOKUP(C58,'sản lượng'!$D$14:$AK$169,34,0)</f>
        <v>#N/A</v>
      </c>
      <c r="V58" s="830" t="e">
        <f>VLOOKUP(C58,'sản lượng'!$D$14:$AK$169,35,0)</f>
        <v>#N/A</v>
      </c>
      <c r="W58" s="830" t="e">
        <f>SUM(T58:V58)</f>
        <v>#N/A</v>
      </c>
      <c r="X58" s="830"/>
      <c r="Y58" s="830"/>
      <c r="Z58" s="830" t="e">
        <f>W58*$AN$14+X58*$AN$10</f>
        <v>#N/A</v>
      </c>
      <c r="AA58" s="830" t="e">
        <f>VLOOKUP(C58,'CHẤM CÔNG '!$E$13:$AM$168,33,0)</f>
        <v>#N/A</v>
      </c>
      <c r="AB58" s="830" t="e">
        <f>VLOOKUP(C58,'CHẤM CÔNG '!$E$13:$AM$168,34,0)</f>
        <v>#N/A</v>
      </c>
      <c r="AC58" s="830"/>
      <c r="AD58" s="830"/>
      <c r="AE58" s="830"/>
      <c r="AF58" s="830"/>
      <c r="AG58" s="830"/>
      <c r="AH58" s="830"/>
      <c r="AI58" s="830"/>
      <c r="AJ58" s="830"/>
      <c r="AK58" s="836"/>
      <c r="AL58" s="837" t="e">
        <f>VLOOKUP(C58,'sản lượng'!$D$14:$AP$169,38,0)</f>
        <v>#N/A</v>
      </c>
    </row>
    <row r="59" spans="1:44" ht="15.75">
      <c r="A59" s="824">
        <v>2</v>
      </c>
      <c r="B59" s="813" t="e">
        <f>VLOOKUP(C59,'DS CN MOI UP'!$B$10:$C$389,2,0)</f>
        <v>#N/A</v>
      </c>
      <c r="C59" s="825" t="s">
        <v>1050</v>
      </c>
      <c r="D59" s="826" t="s">
        <v>15</v>
      </c>
      <c r="E59" s="815">
        <f t="shared" si="16"/>
        <v>24</v>
      </c>
      <c r="F59" s="815"/>
      <c r="G59" s="815"/>
      <c r="H59" s="960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30">
        <f t="shared" si="17"/>
        <v>24</v>
      </c>
      <c r="T59" s="830" t="e">
        <f>VLOOKUP(C59,'sản lượng'!$D$14:$AK$169,33,0)</f>
        <v>#N/A</v>
      </c>
      <c r="U59" s="830" t="e">
        <f>VLOOKUP(C59,'sản lượng'!$D$14:$AK$169,34,0)</f>
        <v>#N/A</v>
      </c>
      <c r="V59" s="830" t="e">
        <f>VLOOKUP(C59,'sản lượng'!$D$14:$AK$169,35,0)</f>
        <v>#N/A</v>
      </c>
      <c r="W59" s="830" t="e">
        <f t="shared" ref="W59:W102" si="18">SUM(T59:V59)</f>
        <v>#N/A</v>
      </c>
      <c r="X59" s="830"/>
      <c r="Y59" s="830"/>
      <c r="Z59" s="830" t="e">
        <f t="shared" ref="Z59:Z102" si="19">W59*$AN$14+X59*$AN$10</f>
        <v>#N/A</v>
      </c>
      <c r="AA59" s="830" t="e">
        <f>VLOOKUP(C59,'CHẤM CÔNG '!$E$13:$AM$168,33,0)</f>
        <v>#N/A</v>
      </c>
      <c r="AB59" s="830" t="e">
        <f>VLOOKUP(C59,'CHẤM CÔNG '!$E$13:$AM$168,34,0)</f>
        <v>#N/A</v>
      </c>
      <c r="AC59" s="830"/>
      <c r="AD59" s="830"/>
      <c r="AE59" s="830"/>
      <c r="AF59" s="830"/>
      <c r="AG59" s="830"/>
      <c r="AH59" s="830"/>
      <c r="AI59" s="830"/>
      <c r="AJ59" s="830"/>
      <c r="AK59" s="836"/>
      <c r="AL59" s="837" t="e">
        <f>VLOOKUP(C59,'sản lượng'!$D$14:$AP$169,38,0)</f>
        <v>#N/A</v>
      </c>
    </row>
    <row r="60" spans="1:44" ht="15.75">
      <c r="A60" s="824">
        <v>3</v>
      </c>
      <c r="B60" s="813" t="e">
        <f>VLOOKUP(C60,'DS CN MOI UP'!$B$10:$C$389,2,0)</f>
        <v>#N/A</v>
      </c>
      <c r="C60" s="825" t="s">
        <v>432</v>
      </c>
      <c r="D60" s="826" t="s">
        <v>15</v>
      </c>
      <c r="E60" s="815">
        <f t="shared" si="16"/>
        <v>24</v>
      </c>
      <c r="F60" s="968"/>
      <c r="G60" s="815"/>
      <c r="H60" s="960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30">
        <f t="shared" si="17"/>
        <v>24</v>
      </c>
      <c r="T60" s="830" t="e">
        <f>VLOOKUP(C60,'sản lượng'!$D$14:$AK$169,33,0)</f>
        <v>#N/A</v>
      </c>
      <c r="U60" s="830" t="e">
        <f>VLOOKUP(C60,'sản lượng'!$D$14:$AK$169,34,0)</f>
        <v>#N/A</v>
      </c>
      <c r="V60" s="830" t="e">
        <f>VLOOKUP(C60,'sản lượng'!$D$14:$AK$169,35,0)</f>
        <v>#N/A</v>
      </c>
      <c r="W60" s="830" t="e">
        <f t="shared" si="18"/>
        <v>#N/A</v>
      </c>
      <c r="X60" s="830"/>
      <c r="Y60" s="830"/>
      <c r="Z60" s="830" t="e">
        <f t="shared" si="19"/>
        <v>#N/A</v>
      </c>
      <c r="AA60" s="830" t="e">
        <f>VLOOKUP(C60,'CHẤM CÔNG '!$E$13:$AM$168,33,0)</f>
        <v>#N/A</v>
      </c>
      <c r="AB60" s="830" t="e">
        <f>VLOOKUP(C60,'CHẤM CÔNG '!$E$13:$AM$168,34,0)</f>
        <v>#N/A</v>
      </c>
      <c r="AC60" s="830"/>
      <c r="AD60" s="830"/>
      <c r="AE60" s="830"/>
      <c r="AF60" s="830"/>
      <c r="AG60" s="830"/>
      <c r="AH60" s="830"/>
      <c r="AI60" s="830"/>
      <c r="AJ60" s="830"/>
      <c r="AK60" s="836"/>
      <c r="AL60" s="837" t="e">
        <f>VLOOKUP(C60,'sản lượng'!$D$14:$AP$169,38,0)</f>
        <v>#N/A</v>
      </c>
    </row>
    <row r="61" spans="1:44" ht="15.75">
      <c r="A61" s="824">
        <v>4</v>
      </c>
      <c r="B61" s="813" t="e">
        <f>VLOOKUP(C61,'DS CN MOI UP'!$B$10:$C$389,2,0)</f>
        <v>#N/A</v>
      </c>
      <c r="C61" s="825" t="s">
        <v>433</v>
      </c>
      <c r="D61" s="826" t="s">
        <v>15</v>
      </c>
      <c r="E61" s="815">
        <f t="shared" si="16"/>
        <v>24</v>
      </c>
      <c r="F61" s="815"/>
      <c r="G61" s="815"/>
      <c r="H61" s="960"/>
      <c r="I61" s="815"/>
      <c r="J61" s="815"/>
      <c r="K61" s="815"/>
      <c r="L61" s="815"/>
      <c r="M61" s="815"/>
      <c r="N61" s="815"/>
      <c r="O61" s="815"/>
      <c r="P61" s="815"/>
      <c r="Q61" s="815"/>
      <c r="R61" s="815"/>
      <c r="S61" s="830">
        <f t="shared" si="17"/>
        <v>24</v>
      </c>
      <c r="T61" s="830" t="e">
        <f>VLOOKUP(C61,'sản lượng'!$D$14:$AK$169,33,0)</f>
        <v>#N/A</v>
      </c>
      <c r="U61" s="830" t="e">
        <f>VLOOKUP(C61,'sản lượng'!$D$14:$AK$169,34,0)</f>
        <v>#N/A</v>
      </c>
      <c r="V61" s="830" t="e">
        <f>VLOOKUP(C61,'sản lượng'!$D$14:$AK$169,35,0)</f>
        <v>#N/A</v>
      </c>
      <c r="W61" s="830" t="e">
        <f t="shared" si="18"/>
        <v>#N/A</v>
      </c>
      <c r="X61" s="830"/>
      <c r="Y61" s="830"/>
      <c r="Z61" s="830" t="e">
        <f t="shared" si="19"/>
        <v>#N/A</v>
      </c>
      <c r="AA61" s="830" t="e">
        <f>VLOOKUP(C61,'CHẤM CÔNG '!$E$13:$AM$168,33,0)</f>
        <v>#N/A</v>
      </c>
      <c r="AB61" s="830" t="e">
        <f>VLOOKUP(C61,'CHẤM CÔNG '!$E$13:$AM$168,34,0)</f>
        <v>#N/A</v>
      </c>
      <c r="AC61" s="830"/>
      <c r="AD61" s="830"/>
      <c r="AE61" s="830"/>
      <c r="AF61" s="830"/>
      <c r="AG61" s="830"/>
      <c r="AH61" s="830"/>
      <c r="AI61" s="830"/>
      <c r="AJ61" s="830"/>
      <c r="AK61" s="836"/>
      <c r="AL61" s="837" t="e">
        <f>VLOOKUP(C61,'sản lượng'!$D$14:$AP$169,38,0)</f>
        <v>#N/A</v>
      </c>
    </row>
    <row r="62" spans="1:44" ht="15.75">
      <c r="A62" s="824">
        <v>5</v>
      </c>
      <c r="B62" s="813" t="e">
        <f>VLOOKUP(C62,'DS CN MOI UP'!$B$10:$C$389,2,0)</f>
        <v>#N/A</v>
      </c>
      <c r="C62" s="825" t="s">
        <v>434</v>
      </c>
      <c r="D62" s="826" t="s">
        <v>15</v>
      </c>
      <c r="E62" s="815">
        <f t="shared" si="16"/>
        <v>24</v>
      </c>
      <c r="F62" s="815"/>
      <c r="G62" s="815"/>
      <c r="H62" s="960"/>
      <c r="I62" s="815"/>
      <c r="J62" s="815"/>
      <c r="K62" s="815"/>
      <c r="L62" s="815"/>
      <c r="M62" s="815"/>
      <c r="N62" s="815"/>
      <c r="O62" s="815"/>
      <c r="P62" s="815"/>
      <c r="Q62" s="815"/>
      <c r="R62" s="815"/>
      <c r="S62" s="830">
        <f t="shared" si="17"/>
        <v>24</v>
      </c>
      <c r="T62" s="830" t="e">
        <f>VLOOKUP(C62,'sản lượng'!$D$14:$AK$169,33,0)</f>
        <v>#N/A</v>
      </c>
      <c r="U62" s="830" t="e">
        <f>VLOOKUP(C62,'sản lượng'!$D$14:$AK$169,34,0)</f>
        <v>#N/A</v>
      </c>
      <c r="V62" s="830" t="e">
        <f>VLOOKUP(C62,'sản lượng'!$D$14:$AK$169,35,0)</f>
        <v>#N/A</v>
      </c>
      <c r="W62" s="830" t="e">
        <f t="shared" si="18"/>
        <v>#N/A</v>
      </c>
      <c r="X62" s="830"/>
      <c r="Y62" s="830"/>
      <c r="Z62" s="830" t="e">
        <f t="shared" si="19"/>
        <v>#N/A</v>
      </c>
      <c r="AA62" s="830" t="e">
        <f>VLOOKUP(C62,'CHẤM CÔNG '!$E$13:$AM$168,33,0)</f>
        <v>#N/A</v>
      </c>
      <c r="AB62" s="830" t="e">
        <f>VLOOKUP(C62,'CHẤM CÔNG '!$E$13:$AM$168,34,0)</f>
        <v>#N/A</v>
      </c>
      <c r="AC62" s="830"/>
      <c r="AD62" s="830"/>
      <c r="AE62" s="830"/>
      <c r="AF62" s="830"/>
      <c r="AG62" s="830"/>
      <c r="AH62" s="830"/>
      <c r="AI62" s="830"/>
      <c r="AJ62" s="830"/>
      <c r="AK62" s="836"/>
      <c r="AL62" s="837" t="e">
        <f>VLOOKUP(C62,'sản lượng'!$D$14:$AP$169,38,0)</f>
        <v>#N/A</v>
      </c>
    </row>
    <row r="63" spans="1:44" ht="15.75">
      <c r="A63" s="824">
        <v>6</v>
      </c>
      <c r="B63" s="813" t="e">
        <f>VLOOKUP(C63,'DS CN MOI UP'!$B$10:$C$389,2,0)</f>
        <v>#N/A</v>
      </c>
      <c r="C63" s="825" t="s">
        <v>435</v>
      </c>
      <c r="D63" s="826" t="s">
        <v>15</v>
      </c>
      <c r="E63" s="815">
        <f t="shared" si="16"/>
        <v>24</v>
      </c>
      <c r="F63" s="815"/>
      <c r="G63" s="815"/>
      <c r="H63" s="960"/>
      <c r="I63" s="815"/>
      <c r="J63" s="815"/>
      <c r="K63" s="815"/>
      <c r="L63" s="815"/>
      <c r="M63" s="815"/>
      <c r="N63" s="815"/>
      <c r="O63" s="815"/>
      <c r="P63" s="815"/>
      <c r="Q63" s="815"/>
      <c r="R63" s="815"/>
      <c r="S63" s="830">
        <f t="shared" si="17"/>
        <v>24</v>
      </c>
      <c r="T63" s="830" t="e">
        <f>VLOOKUP(C63,'sản lượng'!$D$14:$AK$169,33,0)</f>
        <v>#N/A</v>
      </c>
      <c r="U63" s="830" t="e">
        <f>VLOOKUP(C63,'sản lượng'!$D$14:$AK$169,34,0)</f>
        <v>#N/A</v>
      </c>
      <c r="V63" s="830" t="e">
        <f>VLOOKUP(C63,'sản lượng'!$D$14:$AK$169,35,0)</f>
        <v>#N/A</v>
      </c>
      <c r="W63" s="830" t="e">
        <f t="shared" si="18"/>
        <v>#N/A</v>
      </c>
      <c r="X63" s="830"/>
      <c r="Y63" s="830"/>
      <c r="Z63" s="830" t="e">
        <f t="shared" si="19"/>
        <v>#N/A</v>
      </c>
      <c r="AA63" s="830" t="e">
        <f>VLOOKUP(C63,'CHẤM CÔNG '!$E$13:$AM$168,33,0)</f>
        <v>#N/A</v>
      </c>
      <c r="AB63" s="830" t="e">
        <f>VLOOKUP(C63,'CHẤM CÔNG '!$E$13:$AM$168,34,0)</f>
        <v>#N/A</v>
      </c>
      <c r="AC63" s="830"/>
      <c r="AD63" s="830"/>
      <c r="AE63" s="830"/>
      <c r="AF63" s="830"/>
      <c r="AG63" s="830"/>
      <c r="AH63" s="830"/>
      <c r="AI63" s="830"/>
      <c r="AJ63" s="830"/>
      <c r="AK63" s="836"/>
      <c r="AL63" s="837" t="e">
        <f>VLOOKUP(C63,'sản lượng'!$D$14:$AP$169,38,0)</f>
        <v>#N/A</v>
      </c>
    </row>
    <row r="64" spans="1:44" ht="15.75">
      <c r="A64" s="824">
        <v>7</v>
      </c>
      <c r="B64" s="813" t="e">
        <f>VLOOKUP(C64,'DS CN MOI UP'!$B$10:$C$389,2,0)</f>
        <v>#N/A</v>
      </c>
      <c r="C64" s="825" t="s">
        <v>436</v>
      </c>
      <c r="D64" s="826" t="s">
        <v>15</v>
      </c>
      <c r="E64" s="815">
        <f t="shared" si="16"/>
        <v>24</v>
      </c>
      <c r="F64" s="815"/>
      <c r="G64" s="815"/>
      <c r="H64" s="960"/>
      <c r="I64" s="815"/>
      <c r="J64" s="815"/>
      <c r="K64" s="815"/>
      <c r="L64" s="815"/>
      <c r="M64" s="815"/>
      <c r="N64" s="815"/>
      <c r="O64" s="815"/>
      <c r="P64" s="815"/>
      <c r="Q64" s="815"/>
      <c r="R64" s="815"/>
      <c r="S64" s="830">
        <f t="shared" si="17"/>
        <v>24</v>
      </c>
      <c r="T64" s="830" t="e">
        <f>VLOOKUP(C64,'sản lượng'!$D$14:$AK$169,33,0)</f>
        <v>#N/A</v>
      </c>
      <c r="U64" s="830" t="e">
        <f>VLOOKUP(C64,'sản lượng'!$D$14:$AK$169,34,0)</f>
        <v>#N/A</v>
      </c>
      <c r="V64" s="830" t="e">
        <f>VLOOKUP(C64,'sản lượng'!$D$14:$AK$169,35,0)</f>
        <v>#N/A</v>
      </c>
      <c r="W64" s="830" t="e">
        <f t="shared" si="18"/>
        <v>#N/A</v>
      </c>
      <c r="X64" s="830"/>
      <c r="Y64" s="830"/>
      <c r="Z64" s="830" t="e">
        <f t="shared" si="19"/>
        <v>#N/A</v>
      </c>
      <c r="AA64" s="830" t="e">
        <f>VLOOKUP(C64,'CHẤM CÔNG '!$E$13:$AM$168,33,0)</f>
        <v>#N/A</v>
      </c>
      <c r="AB64" s="830" t="e">
        <f>VLOOKUP(C64,'CHẤM CÔNG '!$E$13:$AM$168,34,0)</f>
        <v>#N/A</v>
      </c>
      <c r="AC64" s="830"/>
      <c r="AD64" s="830"/>
      <c r="AE64" s="830"/>
      <c r="AF64" s="830"/>
      <c r="AG64" s="830"/>
      <c r="AH64" s="830"/>
      <c r="AI64" s="830"/>
      <c r="AJ64" s="830"/>
      <c r="AK64" s="836"/>
      <c r="AL64" s="837" t="e">
        <f>VLOOKUP(C64,'sản lượng'!$D$14:$AP$169,38,0)</f>
        <v>#N/A</v>
      </c>
    </row>
    <row r="65" spans="1:38" ht="15.75">
      <c r="A65" s="824">
        <v>8</v>
      </c>
      <c r="B65" s="813" t="e">
        <f>VLOOKUP(C65,'DS CN MOI UP'!$B$10:$C$389,2,0)</f>
        <v>#N/A</v>
      </c>
      <c r="C65" s="825" t="s">
        <v>437</v>
      </c>
      <c r="D65" s="826" t="s">
        <v>15</v>
      </c>
      <c r="E65" s="815">
        <f t="shared" si="16"/>
        <v>24</v>
      </c>
      <c r="F65" s="815"/>
      <c r="G65" s="815"/>
      <c r="H65" s="960"/>
      <c r="I65" s="815"/>
      <c r="J65" s="815"/>
      <c r="K65" s="815"/>
      <c r="L65" s="815"/>
      <c r="M65" s="815"/>
      <c r="N65" s="815"/>
      <c r="O65" s="815"/>
      <c r="P65" s="815"/>
      <c r="Q65" s="815"/>
      <c r="R65" s="815"/>
      <c r="S65" s="830">
        <f t="shared" si="17"/>
        <v>24</v>
      </c>
      <c r="T65" s="830" t="e">
        <f>VLOOKUP(C65,'sản lượng'!$D$14:$AK$169,33,0)</f>
        <v>#N/A</v>
      </c>
      <c r="U65" s="830" t="e">
        <f>VLOOKUP(C65,'sản lượng'!$D$14:$AK$169,34,0)</f>
        <v>#N/A</v>
      </c>
      <c r="V65" s="830" t="e">
        <f>VLOOKUP(C65,'sản lượng'!$D$14:$AK$169,35,0)</f>
        <v>#N/A</v>
      </c>
      <c r="W65" s="830" t="e">
        <f t="shared" si="18"/>
        <v>#N/A</v>
      </c>
      <c r="X65" s="830"/>
      <c r="Y65" s="830"/>
      <c r="Z65" s="830" t="e">
        <f t="shared" si="19"/>
        <v>#N/A</v>
      </c>
      <c r="AA65" s="830" t="e">
        <f>VLOOKUP(C65,'CHẤM CÔNG '!$E$13:$AM$168,33,0)</f>
        <v>#N/A</v>
      </c>
      <c r="AB65" s="830" t="e">
        <f>VLOOKUP(C65,'CHẤM CÔNG '!$E$13:$AM$168,34,0)</f>
        <v>#N/A</v>
      </c>
      <c r="AC65" s="830"/>
      <c r="AD65" s="830"/>
      <c r="AE65" s="830"/>
      <c r="AF65" s="830"/>
      <c r="AG65" s="830"/>
      <c r="AH65" s="830"/>
      <c r="AI65" s="830"/>
      <c r="AJ65" s="830"/>
      <c r="AK65" s="836"/>
      <c r="AL65" s="837" t="e">
        <f>VLOOKUP(C65,'sản lượng'!$D$14:$AP$169,38,0)</f>
        <v>#N/A</v>
      </c>
    </row>
    <row r="66" spans="1:38" ht="15.75">
      <c r="A66" s="824">
        <v>9</v>
      </c>
      <c r="B66" s="813" t="str">
        <f>VLOOKUP(C66,'DS CN MOI UP'!$B$10:$C$389,2,0)</f>
        <v>07014</v>
      </c>
      <c r="C66" s="825" t="s">
        <v>1973</v>
      </c>
      <c r="D66" s="826" t="s">
        <v>15</v>
      </c>
      <c r="E66" s="815">
        <f t="shared" si="16"/>
        <v>24</v>
      </c>
      <c r="F66" s="815"/>
      <c r="G66" s="815"/>
      <c r="H66" s="960"/>
      <c r="I66" s="815"/>
      <c r="J66" s="815"/>
      <c r="K66" s="815"/>
      <c r="L66" s="815"/>
      <c r="M66" s="815"/>
      <c r="N66" s="815"/>
      <c r="O66" s="815"/>
      <c r="P66" s="815"/>
      <c r="Q66" s="815"/>
      <c r="R66" s="815"/>
      <c r="S66" s="830">
        <f t="shared" si="17"/>
        <v>24</v>
      </c>
      <c r="T66" s="830" t="e">
        <f>VLOOKUP(C66,'sản lượng'!$D$14:$AK$169,33,0)</f>
        <v>#N/A</v>
      </c>
      <c r="U66" s="830" t="e">
        <f>VLOOKUP(C66,'sản lượng'!$D$14:$AK$169,34,0)</f>
        <v>#N/A</v>
      </c>
      <c r="V66" s="830" t="e">
        <f>VLOOKUP(C66,'sản lượng'!$D$14:$AK$169,35,0)</f>
        <v>#N/A</v>
      </c>
      <c r="W66" s="830" t="e">
        <f t="shared" si="18"/>
        <v>#N/A</v>
      </c>
      <c r="X66" s="830"/>
      <c r="Y66" s="830"/>
      <c r="Z66" s="830" t="e">
        <f t="shared" si="19"/>
        <v>#N/A</v>
      </c>
      <c r="AA66" s="830" t="e">
        <f>VLOOKUP(C66,'CHẤM CÔNG '!$E$13:$AM$168,33,0)</f>
        <v>#N/A</v>
      </c>
      <c r="AB66" s="830" t="e">
        <f>VLOOKUP(C66,'CHẤM CÔNG '!$E$13:$AM$168,34,0)</f>
        <v>#N/A</v>
      </c>
      <c r="AC66" s="830"/>
      <c r="AD66" s="830"/>
      <c r="AE66" s="830"/>
      <c r="AF66" s="830"/>
      <c r="AG66" s="830"/>
      <c r="AH66" s="830"/>
      <c r="AI66" s="830"/>
      <c r="AJ66" s="830"/>
      <c r="AK66" s="836"/>
      <c r="AL66" s="837" t="e">
        <f>VLOOKUP(C66,'sản lượng'!$D$14:$AP$169,38,0)</f>
        <v>#N/A</v>
      </c>
    </row>
    <row r="67" spans="1:38" ht="15.75">
      <c r="A67" s="824">
        <v>10</v>
      </c>
      <c r="B67" s="813" t="e">
        <f>VLOOKUP(C67,'DS CN MOI UP'!$B$10:$C$389,2,0)</f>
        <v>#N/A</v>
      </c>
      <c r="C67" s="825" t="s">
        <v>439</v>
      </c>
      <c r="D67" s="826" t="s">
        <v>15</v>
      </c>
      <c r="E67" s="815">
        <f t="shared" si="16"/>
        <v>24</v>
      </c>
      <c r="F67" s="815"/>
      <c r="G67" s="815"/>
      <c r="H67" s="960"/>
      <c r="I67" s="815"/>
      <c r="J67" s="815"/>
      <c r="K67" s="815"/>
      <c r="L67" s="815"/>
      <c r="M67" s="815"/>
      <c r="N67" s="815"/>
      <c r="O67" s="815"/>
      <c r="P67" s="815"/>
      <c r="Q67" s="815"/>
      <c r="R67" s="815"/>
      <c r="S67" s="830">
        <f t="shared" si="17"/>
        <v>24</v>
      </c>
      <c r="T67" s="830" t="e">
        <f>VLOOKUP(C67,'sản lượng'!$D$14:$AK$169,33,0)</f>
        <v>#N/A</v>
      </c>
      <c r="U67" s="830" t="e">
        <f>VLOOKUP(C67,'sản lượng'!$D$14:$AK$169,34,0)</f>
        <v>#N/A</v>
      </c>
      <c r="V67" s="830" t="e">
        <f>VLOOKUP(C67,'sản lượng'!$D$14:$AK$169,35,0)</f>
        <v>#N/A</v>
      </c>
      <c r="W67" s="830" t="e">
        <f t="shared" si="18"/>
        <v>#N/A</v>
      </c>
      <c r="X67" s="830"/>
      <c r="Y67" s="830"/>
      <c r="Z67" s="830" t="e">
        <f t="shared" si="19"/>
        <v>#N/A</v>
      </c>
      <c r="AA67" s="830" t="e">
        <f>VLOOKUP(C67,'CHẤM CÔNG '!$E$13:$AM$168,33,0)</f>
        <v>#N/A</v>
      </c>
      <c r="AB67" s="830" t="e">
        <f>VLOOKUP(C67,'CHẤM CÔNG '!$E$13:$AM$168,34,0)</f>
        <v>#N/A</v>
      </c>
      <c r="AC67" s="830"/>
      <c r="AD67" s="830"/>
      <c r="AE67" s="830"/>
      <c r="AF67" s="830"/>
      <c r="AG67" s="830"/>
      <c r="AH67" s="830"/>
      <c r="AI67" s="830"/>
      <c r="AJ67" s="830"/>
      <c r="AK67" s="836"/>
      <c r="AL67" s="837" t="e">
        <f>VLOOKUP(C67,'sản lượng'!$D$14:$AP$169,38,0)</f>
        <v>#N/A</v>
      </c>
    </row>
    <row r="68" spans="1:38" ht="15.75">
      <c r="A68" s="824">
        <v>11</v>
      </c>
      <c r="B68" s="813" t="e">
        <f>VLOOKUP(C68,'DS CN MOI UP'!$B$10:$C$389,2,0)</f>
        <v>#N/A</v>
      </c>
      <c r="C68" s="825" t="s">
        <v>440</v>
      </c>
      <c r="D68" s="826" t="s">
        <v>15</v>
      </c>
      <c r="E68" s="815">
        <f t="shared" si="16"/>
        <v>24</v>
      </c>
      <c r="F68" s="815"/>
      <c r="G68" s="815"/>
      <c r="H68" s="960"/>
      <c r="I68" s="815"/>
      <c r="J68" s="815"/>
      <c r="K68" s="815"/>
      <c r="L68" s="815"/>
      <c r="M68" s="815"/>
      <c r="N68" s="815"/>
      <c r="O68" s="815"/>
      <c r="P68" s="815"/>
      <c r="Q68" s="815"/>
      <c r="R68" s="815"/>
      <c r="S68" s="830">
        <f t="shared" si="17"/>
        <v>24</v>
      </c>
      <c r="T68" s="830">
        <f>VLOOKUP(C68,'sản lượng'!$D$14:$AK$169,33,0)</f>
        <v>111</v>
      </c>
      <c r="U68" s="830">
        <f>VLOOKUP(C68,'sản lượng'!$D$14:$AK$169,34,0)</f>
        <v>4807</v>
      </c>
      <c r="V68" s="830" t="e">
        <f>VLOOKUP(C68,'sản lượng'!$D$14:$AK$169,35,0)</f>
        <v>#REF!</v>
      </c>
      <c r="W68" s="830" t="e">
        <f t="shared" si="18"/>
        <v>#REF!</v>
      </c>
      <c r="X68" s="830"/>
      <c r="Y68" s="830"/>
      <c r="Z68" s="830" t="e">
        <f t="shared" si="19"/>
        <v>#REF!</v>
      </c>
      <c r="AA68" s="830" t="str">
        <f>VLOOKUP(C68,'CHẤM CÔNG '!$E$13:$AM$168,33,0)</f>
        <v>đ</v>
      </c>
      <c r="AB68" s="830">
        <f>VLOOKUP(C68,'CHẤM CÔNG '!$E$13:$AM$168,34,0)</f>
        <v>22</v>
      </c>
      <c r="AC68" s="830"/>
      <c r="AD68" s="830"/>
      <c r="AE68" s="830"/>
      <c r="AF68" s="830"/>
      <c r="AG68" s="830"/>
      <c r="AH68" s="830"/>
      <c r="AI68" s="830"/>
      <c r="AJ68" s="830"/>
      <c r="AK68" s="836"/>
      <c r="AL68" s="837">
        <f>VLOOKUP(C68,'sản lượng'!$D$14:$AP$169,38,0)</f>
        <v>2289.4090688823089</v>
      </c>
    </row>
    <row r="69" spans="1:38" ht="15.75">
      <c r="A69" s="824">
        <v>12</v>
      </c>
      <c r="B69" s="813" t="e">
        <f>VLOOKUP(C69,'DS CN MOI UP'!$B$10:$C$389,2,0)</f>
        <v>#N/A</v>
      </c>
      <c r="C69" s="825" t="s">
        <v>441</v>
      </c>
      <c r="D69" s="826" t="s">
        <v>15</v>
      </c>
      <c r="E69" s="815">
        <f t="shared" si="16"/>
        <v>24</v>
      </c>
      <c r="F69" s="815"/>
      <c r="G69" s="815"/>
      <c r="H69" s="960"/>
      <c r="I69" s="815"/>
      <c r="J69" s="815"/>
      <c r="K69" s="815"/>
      <c r="L69" s="815"/>
      <c r="M69" s="815"/>
      <c r="N69" s="815"/>
      <c r="O69" s="815"/>
      <c r="P69" s="815"/>
      <c r="Q69" s="815"/>
      <c r="R69" s="815"/>
      <c r="S69" s="830">
        <f t="shared" si="17"/>
        <v>24</v>
      </c>
      <c r="T69" s="830" t="e">
        <f>VLOOKUP(C69,'sản lượng'!$D$14:$AK$169,33,0)</f>
        <v>#N/A</v>
      </c>
      <c r="U69" s="830" t="e">
        <f>VLOOKUP(C69,'sản lượng'!$D$14:$AK$169,34,0)</f>
        <v>#N/A</v>
      </c>
      <c r="V69" s="830" t="e">
        <f>VLOOKUP(C69,'sản lượng'!$D$14:$AK$169,35,0)</f>
        <v>#N/A</v>
      </c>
      <c r="W69" s="830" t="e">
        <f t="shared" si="18"/>
        <v>#N/A</v>
      </c>
      <c r="X69" s="830"/>
      <c r="Y69" s="830"/>
      <c r="Z69" s="830" t="e">
        <f t="shared" si="19"/>
        <v>#N/A</v>
      </c>
      <c r="AA69" s="830" t="e">
        <f>VLOOKUP(C69,'CHẤM CÔNG '!$E$13:$AM$168,33,0)</f>
        <v>#N/A</v>
      </c>
      <c r="AB69" s="830" t="e">
        <f>VLOOKUP(C69,'CHẤM CÔNG '!$E$13:$AM$168,34,0)</f>
        <v>#N/A</v>
      </c>
      <c r="AC69" s="830"/>
      <c r="AD69" s="830"/>
      <c r="AE69" s="830"/>
      <c r="AF69" s="830"/>
      <c r="AG69" s="830"/>
      <c r="AH69" s="830"/>
      <c r="AI69" s="830"/>
      <c r="AJ69" s="830"/>
      <c r="AK69" s="836"/>
      <c r="AL69" s="837" t="e">
        <f>VLOOKUP(C69,'sản lượng'!$D$14:$AP$169,38,0)</f>
        <v>#N/A</v>
      </c>
    </row>
    <row r="70" spans="1:38" ht="15.75">
      <c r="A70" s="824">
        <v>13</v>
      </c>
      <c r="B70" s="813" t="e">
        <f>VLOOKUP(C70,'DS CN MOI UP'!$B$10:$C$389,2,0)</f>
        <v>#N/A</v>
      </c>
      <c r="C70" s="825" t="s">
        <v>442</v>
      </c>
      <c r="D70" s="826" t="s">
        <v>15</v>
      </c>
      <c r="E70" s="815">
        <f t="shared" si="16"/>
        <v>24</v>
      </c>
      <c r="F70" s="815"/>
      <c r="G70" s="815"/>
      <c r="H70" s="960"/>
      <c r="I70" s="815"/>
      <c r="J70" s="815"/>
      <c r="K70" s="815"/>
      <c r="L70" s="815"/>
      <c r="M70" s="815"/>
      <c r="N70" s="815"/>
      <c r="O70" s="815"/>
      <c r="P70" s="815"/>
      <c r="Q70" s="815"/>
      <c r="R70" s="815"/>
      <c r="S70" s="830">
        <f t="shared" si="17"/>
        <v>24</v>
      </c>
      <c r="T70" s="830" t="e">
        <f>VLOOKUP(C70,'sản lượng'!$D$14:$AK$169,33,0)</f>
        <v>#N/A</v>
      </c>
      <c r="U70" s="830" t="e">
        <f>VLOOKUP(C70,'sản lượng'!$D$14:$AK$169,34,0)</f>
        <v>#N/A</v>
      </c>
      <c r="V70" s="830" t="e">
        <f>VLOOKUP(C70,'sản lượng'!$D$14:$AK$169,35,0)</f>
        <v>#N/A</v>
      </c>
      <c r="W70" s="830" t="e">
        <f t="shared" si="18"/>
        <v>#N/A</v>
      </c>
      <c r="X70" s="830"/>
      <c r="Y70" s="830"/>
      <c r="Z70" s="830" t="e">
        <f t="shared" si="19"/>
        <v>#N/A</v>
      </c>
      <c r="AA70" s="830" t="e">
        <f>VLOOKUP(C70,'CHẤM CÔNG '!$E$13:$AM$168,33,0)</f>
        <v>#N/A</v>
      </c>
      <c r="AB70" s="830" t="e">
        <f>VLOOKUP(C70,'CHẤM CÔNG '!$E$13:$AM$168,34,0)</f>
        <v>#N/A</v>
      </c>
      <c r="AC70" s="830"/>
      <c r="AD70" s="830"/>
      <c r="AE70" s="830"/>
      <c r="AF70" s="830"/>
      <c r="AG70" s="830"/>
      <c r="AH70" s="830"/>
      <c r="AI70" s="830"/>
      <c r="AJ70" s="830"/>
      <c r="AK70" s="836"/>
      <c r="AL70" s="837" t="e">
        <f>VLOOKUP(C70,'sản lượng'!$D$14:$AP$169,38,0)</f>
        <v>#N/A</v>
      </c>
    </row>
    <row r="71" spans="1:38" ht="15.75">
      <c r="A71" s="824">
        <v>14</v>
      </c>
      <c r="B71" s="813" t="e">
        <f>VLOOKUP(C71,'DS CN MOI UP'!$B$10:$C$389,2,0)</f>
        <v>#N/A</v>
      </c>
      <c r="C71" s="825" t="s">
        <v>443</v>
      </c>
      <c r="D71" s="826" t="s">
        <v>15</v>
      </c>
      <c r="E71" s="815">
        <f t="shared" si="16"/>
        <v>24</v>
      </c>
      <c r="F71" s="815"/>
      <c r="G71" s="815"/>
      <c r="H71" s="960"/>
      <c r="I71" s="815"/>
      <c r="J71" s="815"/>
      <c r="K71" s="815"/>
      <c r="L71" s="815"/>
      <c r="M71" s="815"/>
      <c r="N71" s="815"/>
      <c r="O71" s="815"/>
      <c r="P71" s="815"/>
      <c r="Q71" s="815"/>
      <c r="R71" s="815"/>
      <c r="S71" s="830">
        <f t="shared" si="17"/>
        <v>24</v>
      </c>
      <c r="T71" s="830" t="e">
        <f>VLOOKUP(C71,'sản lượng'!$D$14:$AK$169,33,0)</f>
        <v>#N/A</v>
      </c>
      <c r="U71" s="830" t="e">
        <f>VLOOKUP(C71,'sản lượng'!$D$14:$AK$169,34,0)</f>
        <v>#N/A</v>
      </c>
      <c r="V71" s="830" t="e">
        <f>VLOOKUP(C71,'sản lượng'!$D$14:$AK$169,35,0)</f>
        <v>#N/A</v>
      </c>
      <c r="W71" s="830" t="e">
        <f t="shared" si="18"/>
        <v>#N/A</v>
      </c>
      <c r="X71" s="830"/>
      <c r="Y71" s="830"/>
      <c r="Z71" s="830" t="e">
        <f t="shared" si="19"/>
        <v>#N/A</v>
      </c>
      <c r="AA71" s="830" t="e">
        <f>VLOOKUP(C71,'CHẤM CÔNG '!$E$13:$AM$168,33,0)</f>
        <v>#N/A</v>
      </c>
      <c r="AB71" s="830" t="e">
        <f>VLOOKUP(C71,'CHẤM CÔNG '!$E$13:$AM$168,34,0)</f>
        <v>#N/A</v>
      </c>
      <c r="AC71" s="830"/>
      <c r="AD71" s="830"/>
      <c r="AE71" s="830"/>
      <c r="AF71" s="830"/>
      <c r="AG71" s="830"/>
      <c r="AH71" s="830"/>
      <c r="AI71" s="830"/>
      <c r="AJ71" s="830"/>
      <c r="AK71" s="836"/>
      <c r="AL71" s="837" t="e">
        <f>VLOOKUP(C71,'sản lượng'!$D$14:$AP$169,38,0)</f>
        <v>#N/A</v>
      </c>
    </row>
    <row r="72" spans="1:38" ht="15.75">
      <c r="A72" s="824">
        <v>15</v>
      </c>
      <c r="B72" s="813" t="e">
        <f>VLOOKUP(C72,'DS CN MOI UP'!$B$10:$C$389,2,0)</f>
        <v>#N/A</v>
      </c>
      <c r="C72" s="825" t="s">
        <v>1974</v>
      </c>
      <c r="D72" s="826" t="s">
        <v>15</v>
      </c>
      <c r="E72" s="815">
        <f t="shared" si="16"/>
        <v>24</v>
      </c>
      <c r="F72" s="815"/>
      <c r="G72" s="815"/>
      <c r="H72" s="960"/>
      <c r="I72" s="815"/>
      <c r="J72" s="815"/>
      <c r="K72" s="815"/>
      <c r="L72" s="815"/>
      <c r="M72" s="815"/>
      <c r="N72" s="815"/>
      <c r="O72" s="815"/>
      <c r="P72" s="815"/>
      <c r="Q72" s="815"/>
      <c r="R72" s="815"/>
      <c r="S72" s="830">
        <f t="shared" si="17"/>
        <v>24</v>
      </c>
      <c r="T72" s="830" t="e">
        <f>VLOOKUP(C72,'sản lượng'!$D$14:$AK$169,33,0)</f>
        <v>#N/A</v>
      </c>
      <c r="U72" s="830" t="e">
        <f>VLOOKUP(C72,'sản lượng'!$D$14:$AK$169,34,0)</f>
        <v>#N/A</v>
      </c>
      <c r="V72" s="830" t="e">
        <f>VLOOKUP(C72,'sản lượng'!$D$14:$AK$169,35,0)</f>
        <v>#N/A</v>
      </c>
      <c r="W72" s="830" t="e">
        <f t="shared" si="18"/>
        <v>#N/A</v>
      </c>
      <c r="X72" s="830"/>
      <c r="Y72" s="830"/>
      <c r="Z72" s="830" t="e">
        <f t="shared" si="19"/>
        <v>#N/A</v>
      </c>
      <c r="AA72" s="830" t="e">
        <f>VLOOKUP(C72,'CHẤM CÔNG '!$E$13:$AM$168,33,0)</f>
        <v>#N/A</v>
      </c>
      <c r="AB72" s="830" t="e">
        <f>VLOOKUP(C72,'CHẤM CÔNG '!$E$13:$AM$168,34,0)</f>
        <v>#N/A</v>
      </c>
      <c r="AC72" s="830"/>
      <c r="AD72" s="830"/>
      <c r="AE72" s="830"/>
      <c r="AF72" s="830"/>
      <c r="AG72" s="830"/>
      <c r="AH72" s="830"/>
      <c r="AI72" s="830"/>
      <c r="AJ72" s="830"/>
      <c r="AK72" s="836"/>
      <c r="AL72" s="837" t="e">
        <f>VLOOKUP(C72,'sản lượng'!$D$14:$AP$169,38,0)</f>
        <v>#N/A</v>
      </c>
    </row>
    <row r="73" spans="1:38" ht="15.75">
      <c r="A73" s="824">
        <v>16</v>
      </c>
      <c r="B73" s="813" t="e">
        <f>VLOOKUP(C73,'DS CN MOI UP'!$B$10:$C$389,2,0)</f>
        <v>#N/A</v>
      </c>
      <c r="C73" s="825" t="s">
        <v>445</v>
      </c>
      <c r="D73" s="826" t="s">
        <v>15</v>
      </c>
      <c r="E73" s="815">
        <f t="shared" si="16"/>
        <v>24</v>
      </c>
      <c r="F73" s="815"/>
      <c r="G73" s="815"/>
      <c r="H73" s="960"/>
      <c r="I73" s="815"/>
      <c r="J73" s="815"/>
      <c r="K73" s="815"/>
      <c r="L73" s="815"/>
      <c r="M73" s="815"/>
      <c r="N73" s="815"/>
      <c r="O73" s="815"/>
      <c r="P73" s="815"/>
      <c r="Q73" s="815"/>
      <c r="R73" s="815"/>
      <c r="S73" s="830">
        <f t="shared" si="17"/>
        <v>24</v>
      </c>
      <c r="T73" s="830" t="e">
        <f>VLOOKUP(C73,'sản lượng'!$D$14:$AK$169,33,0)</f>
        <v>#N/A</v>
      </c>
      <c r="U73" s="830" t="e">
        <f>VLOOKUP(C73,'sản lượng'!$D$14:$AK$169,34,0)</f>
        <v>#N/A</v>
      </c>
      <c r="V73" s="830" t="e">
        <f>VLOOKUP(C73,'sản lượng'!$D$14:$AK$169,35,0)</f>
        <v>#N/A</v>
      </c>
      <c r="W73" s="830" t="e">
        <f t="shared" si="18"/>
        <v>#N/A</v>
      </c>
      <c r="X73" s="830"/>
      <c r="Y73" s="830"/>
      <c r="Z73" s="830" t="e">
        <f t="shared" si="19"/>
        <v>#N/A</v>
      </c>
      <c r="AA73" s="830" t="e">
        <f>VLOOKUP(C73,'CHẤM CÔNG '!$E$13:$AM$168,33,0)</f>
        <v>#N/A</v>
      </c>
      <c r="AB73" s="830" t="e">
        <f>VLOOKUP(C73,'CHẤM CÔNG '!$E$13:$AM$168,34,0)</f>
        <v>#N/A</v>
      </c>
      <c r="AC73" s="830"/>
      <c r="AD73" s="830"/>
      <c r="AE73" s="830"/>
      <c r="AF73" s="830"/>
      <c r="AG73" s="830"/>
      <c r="AH73" s="830"/>
      <c r="AI73" s="830"/>
      <c r="AJ73" s="830"/>
      <c r="AK73" s="836"/>
      <c r="AL73" s="837" t="e">
        <f>VLOOKUP(C73,'sản lượng'!$D$14:$AP$169,38,0)</f>
        <v>#N/A</v>
      </c>
    </row>
    <row r="74" spans="1:38" ht="15.75">
      <c r="A74" s="824">
        <v>17</v>
      </c>
      <c r="B74" s="813" t="e">
        <f>VLOOKUP(C74,'DS CN MOI UP'!$B$10:$C$389,2,0)</f>
        <v>#N/A</v>
      </c>
      <c r="C74" s="825" t="s">
        <v>1975</v>
      </c>
      <c r="D74" s="826" t="s">
        <v>15</v>
      </c>
      <c r="E74" s="815">
        <f t="shared" si="16"/>
        <v>24</v>
      </c>
      <c r="F74" s="815"/>
      <c r="G74" s="815"/>
      <c r="H74" s="960"/>
      <c r="I74" s="815"/>
      <c r="J74" s="815"/>
      <c r="K74" s="815"/>
      <c r="L74" s="815"/>
      <c r="M74" s="815"/>
      <c r="N74" s="815"/>
      <c r="O74" s="815"/>
      <c r="P74" s="815"/>
      <c r="Q74" s="815"/>
      <c r="R74" s="815"/>
      <c r="S74" s="830">
        <f t="shared" si="17"/>
        <v>24</v>
      </c>
      <c r="T74" s="830" t="e">
        <f>VLOOKUP(C74,'sản lượng'!$D$14:$AK$169,33,0)</f>
        <v>#N/A</v>
      </c>
      <c r="U74" s="830" t="e">
        <f>VLOOKUP(C74,'sản lượng'!$D$14:$AK$169,34,0)</f>
        <v>#N/A</v>
      </c>
      <c r="V74" s="830" t="e">
        <f>VLOOKUP(C74,'sản lượng'!$D$14:$AK$169,35,0)</f>
        <v>#N/A</v>
      </c>
      <c r="W74" s="830" t="e">
        <f t="shared" si="18"/>
        <v>#N/A</v>
      </c>
      <c r="X74" s="830"/>
      <c r="Y74" s="830"/>
      <c r="Z74" s="830" t="e">
        <f t="shared" si="19"/>
        <v>#N/A</v>
      </c>
      <c r="AA74" s="830" t="e">
        <f>VLOOKUP(C74,'CHẤM CÔNG '!$E$13:$AM$168,33,0)</f>
        <v>#N/A</v>
      </c>
      <c r="AB74" s="830" t="e">
        <f>VLOOKUP(C74,'CHẤM CÔNG '!$E$13:$AM$168,34,0)</f>
        <v>#N/A</v>
      </c>
      <c r="AC74" s="830"/>
      <c r="AD74" s="830"/>
      <c r="AE74" s="830"/>
      <c r="AF74" s="830"/>
      <c r="AG74" s="830"/>
      <c r="AH74" s="830"/>
      <c r="AI74" s="830"/>
      <c r="AJ74" s="830"/>
      <c r="AK74" s="836"/>
      <c r="AL74" s="837" t="e">
        <f>VLOOKUP(C74,'sản lượng'!$D$14:$AP$169,38,0)</f>
        <v>#N/A</v>
      </c>
    </row>
    <row r="75" spans="1:38" ht="15.75">
      <c r="A75" s="824">
        <v>18</v>
      </c>
      <c r="B75" s="813" t="e">
        <f>VLOOKUP(C75,'DS CN MOI UP'!$B$10:$C$389,2,0)</f>
        <v>#N/A</v>
      </c>
      <c r="C75" s="825" t="s">
        <v>1976</v>
      </c>
      <c r="D75" s="826" t="s">
        <v>15</v>
      </c>
      <c r="E75" s="815">
        <f t="shared" si="16"/>
        <v>24</v>
      </c>
      <c r="F75" s="815"/>
      <c r="G75" s="815"/>
      <c r="H75" s="960"/>
      <c r="I75" s="815"/>
      <c r="J75" s="815"/>
      <c r="K75" s="815"/>
      <c r="L75" s="815"/>
      <c r="M75" s="815"/>
      <c r="N75" s="815"/>
      <c r="O75" s="815"/>
      <c r="P75" s="815"/>
      <c r="Q75" s="815"/>
      <c r="R75" s="815"/>
      <c r="S75" s="830">
        <f t="shared" si="17"/>
        <v>24</v>
      </c>
      <c r="T75" s="830" t="e">
        <f>VLOOKUP(C75,'sản lượng'!$D$14:$AK$169,33,0)</f>
        <v>#N/A</v>
      </c>
      <c r="U75" s="830" t="e">
        <f>VLOOKUP(C75,'sản lượng'!$D$14:$AK$169,34,0)</f>
        <v>#N/A</v>
      </c>
      <c r="V75" s="830" t="e">
        <f>VLOOKUP(C75,'sản lượng'!$D$14:$AK$169,35,0)</f>
        <v>#N/A</v>
      </c>
      <c r="W75" s="830" t="e">
        <f t="shared" si="18"/>
        <v>#N/A</v>
      </c>
      <c r="X75" s="830"/>
      <c r="Y75" s="830"/>
      <c r="Z75" s="830" t="e">
        <f t="shared" si="19"/>
        <v>#N/A</v>
      </c>
      <c r="AA75" s="830" t="e">
        <f>VLOOKUP(C75,'CHẤM CÔNG '!$E$13:$AM$168,33,0)</f>
        <v>#N/A</v>
      </c>
      <c r="AB75" s="830" t="e">
        <f>VLOOKUP(C75,'CHẤM CÔNG '!$E$13:$AM$168,34,0)</f>
        <v>#N/A</v>
      </c>
      <c r="AC75" s="830"/>
      <c r="AD75" s="830"/>
      <c r="AE75" s="830"/>
      <c r="AF75" s="830"/>
      <c r="AG75" s="830"/>
      <c r="AH75" s="830"/>
      <c r="AI75" s="830"/>
      <c r="AJ75" s="830"/>
      <c r="AK75" s="836"/>
      <c r="AL75" s="837" t="e">
        <f>VLOOKUP(C75,'sản lượng'!$D$14:$AP$169,38,0)</f>
        <v>#N/A</v>
      </c>
    </row>
    <row r="76" spans="1:38" ht="15.75">
      <c r="A76" s="824">
        <v>19</v>
      </c>
      <c r="B76" s="813" t="e">
        <f>VLOOKUP(C76,'DS CN MOI UP'!$B$10:$C$389,2,0)</f>
        <v>#N/A</v>
      </c>
      <c r="C76" s="825" t="s">
        <v>447</v>
      </c>
      <c r="D76" s="826" t="s">
        <v>15</v>
      </c>
      <c r="E76" s="815">
        <f t="shared" si="16"/>
        <v>24</v>
      </c>
      <c r="F76" s="815"/>
      <c r="G76" s="815"/>
      <c r="H76" s="960"/>
      <c r="I76" s="815"/>
      <c r="J76" s="815"/>
      <c r="K76" s="815"/>
      <c r="L76" s="815"/>
      <c r="M76" s="815"/>
      <c r="N76" s="815"/>
      <c r="O76" s="815"/>
      <c r="P76" s="815"/>
      <c r="Q76" s="815"/>
      <c r="R76" s="815"/>
      <c r="S76" s="830">
        <f t="shared" si="17"/>
        <v>24</v>
      </c>
      <c r="T76" s="830" t="e">
        <f>VLOOKUP(C76,'sản lượng'!$D$14:$AK$169,33,0)</f>
        <v>#N/A</v>
      </c>
      <c r="U76" s="830" t="e">
        <f>VLOOKUP(C76,'sản lượng'!$D$14:$AK$169,34,0)</f>
        <v>#N/A</v>
      </c>
      <c r="V76" s="830" t="e">
        <f>VLOOKUP(C76,'sản lượng'!$D$14:$AK$169,35,0)</f>
        <v>#N/A</v>
      </c>
      <c r="W76" s="830" t="e">
        <f t="shared" si="18"/>
        <v>#N/A</v>
      </c>
      <c r="X76" s="830"/>
      <c r="Y76" s="830"/>
      <c r="Z76" s="830" t="e">
        <f t="shared" si="19"/>
        <v>#N/A</v>
      </c>
      <c r="AA76" s="830" t="e">
        <f>VLOOKUP(C76,'CHẤM CÔNG '!$E$13:$AM$168,33,0)</f>
        <v>#N/A</v>
      </c>
      <c r="AB76" s="830" t="e">
        <f>VLOOKUP(C76,'CHẤM CÔNG '!$E$13:$AM$168,34,0)</f>
        <v>#N/A</v>
      </c>
      <c r="AC76" s="830"/>
      <c r="AD76" s="830"/>
      <c r="AE76" s="830"/>
      <c r="AF76" s="830"/>
      <c r="AG76" s="830"/>
      <c r="AH76" s="830"/>
      <c r="AI76" s="830"/>
      <c r="AJ76" s="830"/>
      <c r="AK76" s="836"/>
      <c r="AL76" s="837" t="e">
        <f>VLOOKUP(C76,'sản lượng'!$D$14:$AP$169,38,0)</f>
        <v>#N/A</v>
      </c>
    </row>
    <row r="77" spans="1:38" ht="15.75">
      <c r="A77" s="824">
        <v>20</v>
      </c>
      <c r="B77" s="813" t="e">
        <f>VLOOKUP(C77,'DS CN MOI UP'!$B$10:$C$389,2,0)</f>
        <v>#N/A</v>
      </c>
      <c r="C77" s="825" t="s">
        <v>1977</v>
      </c>
      <c r="D77" s="826" t="s">
        <v>15</v>
      </c>
      <c r="E77" s="815">
        <f t="shared" si="16"/>
        <v>24</v>
      </c>
      <c r="F77" s="815"/>
      <c r="G77" s="815"/>
      <c r="H77" s="960"/>
      <c r="I77" s="815"/>
      <c r="J77" s="815"/>
      <c r="K77" s="815"/>
      <c r="L77" s="815"/>
      <c r="M77" s="815"/>
      <c r="N77" s="815"/>
      <c r="O77" s="815"/>
      <c r="P77" s="815"/>
      <c r="Q77" s="815"/>
      <c r="R77" s="815"/>
      <c r="S77" s="830">
        <f t="shared" si="17"/>
        <v>24</v>
      </c>
      <c r="T77" s="830" t="e">
        <f>VLOOKUP(C77,'sản lượng'!$D$14:$AK$169,33,0)</f>
        <v>#N/A</v>
      </c>
      <c r="U77" s="830" t="e">
        <f>VLOOKUP(C77,'sản lượng'!$D$14:$AK$169,34,0)</f>
        <v>#N/A</v>
      </c>
      <c r="V77" s="830" t="e">
        <f>VLOOKUP(C77,'sản lượng'!$D$14:$AK$169,35,0)</f>
        <v>#N/A</v>
      </c>
      <c r="W77" s="830" t="e">
        <f t="shared" si="18"/>
        <v>#N/A</v>
      </c>
      <c r="X77" s="830"/>
      <c r="Y77" s="830"/>
      <c r="Z77" s="830" t="e">
        <f t="shared" si="19"/>
        <v>#N/A</v>
      </c>
      <c r="AA77" s="830" t="e">
        <f>VLOOKUP(C77,'CHẤM CÔNG '!$E$13:$AM$168,33,0)</f>
        <v>#N/A</v>
      </c>
      <c r="AB77" s="830" t="e">
        <f>VLOOKUP(C77,'CHẤM CÔNG '!$E$13:$AM$168,34,0)</f>
        <v>#N/A</v>
      </c>
      <c r="AC77" s="830"/>
      <c r="AD77" s="830"/>
      <c r="AE77" s="830"/>
      <c r="AF77" s="830"/>
      <c r="AG77" s="830"/>
      <c r="AH77" s="830"/>
      <c r="AI77" s="830"/>
      <c r="AJ77" s="830"/>
      <c r="AK77" s="836"/>
      <c r="AL77" s="837" t="e">
        <f>VLOOKUP(C77,'sản lượng'!$D$14:$AP$169,38,0)</f>
        <v>#N/A</v>
      </c>
    </row>
    <row r="78" spans="1:38" ht="15.75">
      <c r="A78" s="824">
        <v>21</v>
      </c>
      <c r="B78" s="813" t="e">
        <f>VLOOKUP(C78,'DS CN MOI UP'!$B$10:$C$389,2,0)</f>
        <v>#N/A</v>
      </c>
      <c r="C78" s="825" t="s">
        <v>470</v>
      </c>
      <c r="D78" s="826" t="s">
        <v>15</v>
      </c>
      <c r="E78" s="815">
        <f t="shared" si="16"/>
        <v>24</v>
      </c>
      <c r="F78" s="815"/>
      <c r="G78" s="815"/>
      <c r="H78" s="960"/>
      <c r="I78" s="815"/>
      <c r="J78" s="815"/>
      <c r="K78" s="815"/>
      <c r="L78" s="815"/>
      <c r="M78" s="815"/>
      <c r="N78" s="815"/>
      <c r="O78" s="815"/>
      <c r="P78" s="815"/>
      <c r="Q78" s="815"/>
      <c r="R78" s="815"/>
      <c r="S78" s="830">
        <f t="shared" si="17"/>
        <v>24</v>
      </c>
      <c r="T78" s="830" t="e">
        <f>VLOOKUP(C78,'sản lượng'!$D$14:$AK$169,33,0)</f>
        <v>#N/A</v>
      </c>
      <c r="U78" s="830" t="e">
        <f>VLOOKUP(C78,'sản lượng'!$D$14:$AK$169,34,0)</f>
        <v>#N/A</v>
      </c>
      <c r="V78" s="830" t="e">
        <f>VLOOKUP(C78,'sản lượng'!$D$14:$AK$169,35,0)</f>
        <v>#N/A</v>
      </c>
      <c r="W78" s="830" t="e">
        <f t="shared" si="18"/>
        <v>#N/A</v>
      </c>
      <c r="X78" s="830"/>
      <c r="Y78" s="830"/>
      <c r="Z78" s="830" t="e">
        <f t="shared" si="19"/>
        <v>#N/A</v>
      </c>
      <c r="AA78" s="830" t="e">
        <f>VLOOKUP(C78,'CHẤM CÔNG '!$E$13:$AM$168,33,0)</f>
        <v>#N/A</v>
      </c>
      <c r="AB78" s="830" t="e">
        <f>VLOOKUP(C78,'CHẤM CÔNG '!$E$13:$AM$168,34,0)</f>
        <v>#N/A</v>
      </c>
      <c r="AC78" s="830"/>
      <c r="AD78" s="830"/>
      <c r="AE78" s="830"/>
      <c r="AF78" s="830"/>
      <c r="AG78" s="830"/>
      <c r="AH78" s="830"/>
      <c r="AI78" s="830"/>
      <c r="AJ78" s="830"/>
      <c r="AK78" s="836"/>
      <c r="AL78" s="837" t="e">
        <f>VLOOKUP(C78,'sản lượng'!$D$14:$AP$169,38,0)</f>
        <v>#N/A</v>
      </c>
    </row>
    <row r="79" spans="1:38" ht="15.75">
      <c r="A79" s="824">
        <v>22</v>
      </c>
      <c r="B79" s="813" t="e">
        <f>VLOOKUP(C79,'DS CN MOI UP'!$B$10:$C$389,2,0)</f>
        <v>#N/A</v>
      </c>
      <c r="C79" s="825" t="s">
        <v>1978</v>
      </c>
      <c r="D79" s="826" t="s">
        <v>15</v>
      </c>
      <c r="E79" s="815">
        <f t="shared" si="16"/>
        <v>24</v>
      </c>
      <c r="F79" s="815"/>
      <c r="G79" s="815"/>
      <c r="H79" s="960"/>
      <c r="I79" s="815"/>
      <c r="J79" s="815"/>
      <c r="K79" s="815"/>
      <c r="L79" s="815"/>
      <c r="M79" s="815"/>
      <c r="N79" s="815"/>
      <c r="O79" s="815"/>
      <c r="P79" s="815"/>
      <c r="Q79" s="815"/>
      <c r="R79" s="815"/>
      <c r="S79" s="830">
        <f t="shared" si="17"/>
        <v>24</v>
      </c>
      <c r="T79" s="830" t="e">
        <f>VLOOKUP(C79,'sản lượng'!$D$14:$AK$169,33,0)</f>
        <v>#N/A</v>
      </c>
      <c r="U79" s="830" t="e">
        <f>VLOOKUP(C79,'sản lượng'!$D$14:$AK$169,34,0)</f>
        <v>#N/A</v>
      </c>
      <c r="V79" s="830" t="e">
        <f>VLOOKUP(C79,'sản lượng'!$D$14:$AK$169,35,0)</f>
        <v>#N/A</v>
      </c>
      <c r="W79" s="830" t="e">
        <f t="shared" si="18"/>
        <v>#N/A</v>
      </c>
      <c r="X79" s="830"/>
      <c r="Y79" s="830"/>
      <c r="Z79" s="830" t="e">
        <f t="shared" si="19"/>
        <v>#N/A</v>
      </c>
      <c r="AA79" s="830" t="e">
        <f>VLOOKUP(C79,'CHẤM CÔNG '!$E$13:$AM$168,33,0)</f>
        <v>#N/A</v>
      </c>
      <c r="AB79" s="830" t="e">
        <f>VLOOKUP(C79,'CHẤM CÔNG '!$E$13:$AM$168,34,0)</f>
        <v>#N/A</v>
      </c>
      <c r="AC79" s="830"/>
      <c r="AD79" s="830"/>
      <c r="AE79" s="830"/>
      <c r="AF79" s="830"/>
      <c r="AG79" s="830"/>
      <c r="AH79" s="830"/>
      <c r="AI79" s="830"/>
      <c r="AJ79" s="830"/>
      <c r="AK79" s="836"/>
      <c r="AL79" s="837" t="e">
        <f>VLOOKUP(C79,'sản lượng'!$D$14:$AP$169,38,0)</f>
        <v>#N/A</v>
      </c>
    </row>
    <row r="80" spans="1:38" ht="15.75">
      <c r="A80" s="824">
        <v>23</v>
      </c>
      <c r="B80" s="813" t="e">
        <f>VLOOKUP(C80,'DS CN MOI UP'!$B$10:$C$389,2,0)</f>
        <v>#N/A</v>
      </c>
      <c r="C80" s="825" t="s">
        <v>451</v>
      </c>
      <c r="D80" s="826" t="s">
        <v>15</v>
      </c>
      <c r="E80" s="815">
        <f t="shared" si="16"/>
        <v>24</v>
      </c>
      <c r="F80" s="815"/>
      <c r="G80" s="815"/>
      <c r="H80" s="960"/>
      <c r="I80" s="815"/>
      <c r="J80" s="815"/>
      <c r="K80" s="815"/>
      <c r="L80" s="815"/>
      <c r="M80" s="815"/>
      <c r="N80" s="815"/>
      <c r="O80" s="815"/>
      <c r="P80" s="815"/>
      <c r="Q80" s="815"/>
      <c r="R80" s="815"/>
      <c r="S80" s="830">
        <f t="shared" ref="S80:S94" si="20">SUM(E80:P80)</f>
        <v>24</v>
      </c>
      <c r="T80" s="830" t="e">
        <f>VLOOKUP(C80,'sản lượng'!$D$14:$AK$169,33,0)</f>
        <v>#N/A</v>
      </c>
      <c r="U80" s="830" t="e">
        <f>VLOOKUP(C80,'sản lượng'!$D$14:$AK$169,34,0)</f>
        <v>#N/A</v>
      </c>
      <c r="V80" s="830" t="e">
        <f>VLOOKUP(C80,'sản lượng'!$D$14:$AK$169,35,0)</f>
        <v>#N/A</v>
      </c>
      <c r="W80" s="830" t="e">
        <f t="shared" si="18"/>
        <v>#N/A</v>
      </c>
      <c r="X80" s="830"/>
      <c r="Y80" s="830"/>
      <c r="Z80" s="830" t="e">
        <f t="shared" si="19"/>
        <v>#N/A</v>
      </c>
      <c r="AA80" s="830" t="e">
        <f>VLOOKUP(C80,'CHẤM CÔNG '!$E$13:$AM$168,33,0)</f>
        <v>#N/A</v>
      </c>
      <c r="AB80" s="830" t="e">
        <f>VLOOKUP(C80,'CHẤM CÔNG '!$E$13:$AM$168,34,0)</f>
        <v>#N/A</v>
      </c>
      <c r="AC80" s="830"/>
      <c r="AD80" s="830"/>
      <c r="AE80" s="830"/>
      <c r="AF80" s="830"/>
      <c r="AG80" s="830"/>
      <c r="AH80" s="830"/>
      <c r="AI80" s="830"/>
      <c r="AJ80" s="830"/>
      <c r="AK80" s="836"/>
      <c r="AL80" s="837" t="e">
        <f>VLOOKUP(C80,'sản lượng'!$D$14:$AP$169,38,0)</f>
        <v>#N/A</v>
      </c>
    </row>
    <row r="81" spans="1:38" ht="15.75">
      <c r="A81" s="824">
        <v>24</v>
      </c>
      <c r="B81" s="813" t="e">
        <f>VLOOKUP(C81,'DS CN MOI UP'!$B$10:$C$389,2,0)</f>
        <v>#N/A</v>
      </c>
      <c r="C81" s="825" t="s">
        <v>452</v>
      </c>
      <c r="D81" s="826" t="s">
        <v>15</v>
      </c>
      <c r="E81" s="815">
        <f t="shared" si="16"/>
        <v>24</v>
      </c>
      <c r="F81" s="815"/>
      <c r="G81" s="815"/>
      <c r="H81" s="960"/>
      <c r="I81" s="815"/>
      <c r="J81" s="815"/>
      <c r="K81" s="815"/>
      <c r="L81" s="815"/>
      <c r="M81" s="815"/>
      <c r="N81" s="815"/>
      <c r="O81" s="815"/>
      <c r="P81" s="815"/>
      <c r="Q81" s="815"/>
      <c r="R81" s="815"/>
      <c r="S81" s="830">
        <f t="shared" si="20"/>
        <v>24</v>
      </c>
      <c r="T81" s="830" t="e">
        <f>VLOOKUP(C81,'sản lượng'!$D$14:$AK$169,33,0)</f>
        <v>#N/A</v>
      </c>
      <c r="U81" s="830" t="e">
        <f>VLOOKUP(C81,'sản lượng'!$D$14:$AK$169,34,0)</f>
        <v>#N/A</v>
      </c>
      <c r="V81" s="830" t="e">
        <f>VLOOKUP(C81,'sản lượng'!$D$14:$AK$169,35,0)</f>
        <v>#N/A</v>
      </c>
      <c r="W81" s="830" t="e">
        <f t="shared" si="18"/>
        <v>#N/A</v>
      </c>
      <c r="X81" s="830"/>
      <c r="Y81" s="830"/>
      <c r="Z81" s="830" t="e">
        <f t="shared" si="19"/>
        <v>#N/A</v>
      </c>
      <c r="AA81" s="830" t="e">
        <f>VLOOKUP(C81,'CHẤM CÔNG '!$E$13:$AM$168,33,0)</f>
        <v>#N/A</v>
      </c>
      <c r="AB81" s="830" t="e">
        <f>VLOOKUP(C81,'CHẤM CÔNG '!$E$13:$AM$168,34,0)</f>
        <v>#N/A</v>
      </c>
      <c r="AC81" s="830"/>
      <c r="AD81" s="830"/>
      <c r="AE81" s="830"/>
      <c r="AF81" s="830"/>
      <c r="AG81" s="830"/>
      <c r="AH81" s="830"/>
      <c r="AI81" s="830"/>
      <c r="AJ81" s="830"/>
      <c r="AK81" s="836"/>
      <c r="AL81" s="837" t="e">
        <f>VLOOKUP(C81,'sản lượng'!$D$14:$AP$169,38,0)</f>
        <v>#N/A</v>
      </c>
    </row>
    <row r="82" spans="1:38" ht="15.75">
      <c r="A82" s="824">
        <v>25</v>
      </c>
      <c r="B82" s="813" t="e">
        <f>VLOOKUP(C82,'DS CN MOI UP'!$B$10:$C$389,2,0)</f>
        <v>#N/A</v>
      </c>
      <c r="C82" s="825" t="s">
        <v>453</v>
      </c>
      <c r="D82" s="826" t="s">
        <v>15</v>
      </c>
      <c r="E82" s="815">
        <f t="shared" si="16"/>
        <v>24</v>
      </c>
      <c r="F82" s="815"/>
      <c r="G82" s="815"/>
      <c r="H82" s="960"/>
      <c r="I82" s="815"/>
      <c r="J82" s="815"/>
      <c r="K82" s="815"/>
      <c r="L82" s="815"/>
      <c r="M82" s="815"/>
      <c r="N82" s="815"/>
      <c r="O82" s="815"/>
      <c r="P82" s="815"/>
      <c r="Q82" s="815"/>
      <c r="R82" s="815"/>
      <c r="S82" s="830">
        <f t="shared" si="20"/>
        <v>24</v>
      </c>
      <c r="T82" s="830" t="e">
        <f>VLOOKUP(C82,'sản lượng'!$D$14:$AK$169,33,0)</f>
        <v>#N/A</v>
      </c>
      <c r="U82" s="830" t="e">
        <f>VLOOKUP(C82,'sản lượng'!$D$14:$AK$169,34,0)</f>
        <v>#N/A</v>
      </c>
      <c r="V82" s="830" t="e">
        <f>VLOOKUP(C82,'sản lượng'!$D$14:$AK$169,35,0)</f>
        <v>#N/A</v>
      </c>
      <c r="W82" s="830" t="e">
        <f t="shared" si="18"/>
        <v>#N/A</v>
      </c>
      <c r="X82" s="830"/>
      <c r="Y82" s="830"/>
      <c r="Z82" s="830" t="e">
        <f t="shared" si="19"/>
        <v>#N/A</v>
      </c>
      <c r="AA82" s="830" t="e">
        <f>VLOOKUP(C82,'CHẤM CÔNG '!$E$13:$AM$168,33,0)</f>
        <v>#N/A</v>
      </c>
      <c r="AB82" s="830" t="e">
        <f>VLOOKUP(C82,'CHẤM CÔNG '!$E$13:$AM$168,34,0)</f>
        <v>#N/A</v>
      </c>
      <c r="AC82" s="830"/>
      <c r="AD82" s="830"/>
      <c r="AE82" s="830"/>
      <c r="AF82" s="830"/>
      <c r="AG82" s="830"/>
      <c r="AH82" s="830"/>
      <c r="AI82" s="830"/>
      <c r="AJ82" s="830"/>
      <c r="AK82" s="836"/>
      <c r="AL82" s="837" t="e">
        <f>VLOOKUP(C82,'sản lượng'!$D$14:$AP$169,38,0)</f>
        <v>#N/A</v>
      </c>
    </row>
    <row r="83" spans="1:38" ht="15.75">
      <c r="A83" s="824">
        <v>26</v>
      </c>
      <c r="B83" s="813" t="e">
        <f>VLOOKUP(C83,'DS CN MOI UP'!$B$10:$C$389,2,0)</f>
        <v>#N/A</v>
      </c>
      <c r="C83" s="825" t="s">
        <v>454</v>
      </c>
      <c r="D83" s="826" t="s">
        <v>15</v>
      </c>
      <c r="E83" s="815">
        <f t="shared" si="16"/>
        <v>24</v>
      </c>
      <c r="F83" s="815"/>
      <c r="G83" s="815"/>
      <c r="H83" s="960"/>
      <c r="I83" s="815"/>
      <c r="J83" s="815"/>
      <c r="K83" s="815"/>
      <c r="L83" s="815"/>
      <c r="M83" s="815"/>
      <c r="N83" s="815"/>
      <c r="O83" s="815"/>
      <c r="P83" s="815"/>
      <c r="Q83" s="815"/>
      <c r="R83" s="815"/>
      <c r="S83" s="830">
        <f t="shared" si="20"/>
        <v>24</v>
      </c>
      <c r="T83" s="830" t="e">
        <f>VLOOKUP(C83,'sản lượng'!$D$14:$AK$169,33,0)</f>
        <v>#N/A</v>
      </c>
      <c r="U83" s="830" t="e">
        <f>VLOOKUP(C83,'sản lượng'!$D$14:$AK$169,34,0)</f>
        <v>#N/A</v>
      </c>
      <c r="V83" s="830" t="e">
        <f>VLOOKUP(C83,'sản lượng'!$D$14:$AK$169,35,0)</f>
        <v>#N/A</v>
      </c>
      <c r="W83" s="830" t="e">
        <f t="shared" si="18"/>
        <v>#N/A</v>
      </c>
      <c r="X83" s="830"/>
      <c r="Y83" s="830"/>
      <c r="Z83" s="830" t="e">
        <f t="shared" si="19"/>
        <v>#N/A</v>
      </c>
      <c r="AA83" s="830" t="e">
        <f>VLOOKUP(C83,'CHẤM CÔNG '!$E$13:$AM$168,33,0)</f>
        <v>#N/A</v>
      </c>
      <c r="AB83" s="830" t="e">
        <f>VLOOKUP(C83,'CHẤM CÔNG '!$E$13:$AM$168,34,0)</f>
        <v>#N/A</v>
      </c>
      <c r="AC83" s="830"/>
      <c r="AD83" s="830"/>
      <c r="AE83" s="830"/>
      <c r="AF83" s="830"/>
      <c r="AG83" s="830"/>
      <c r="AH83" s="830"/>
      <c r="AI83" s="830"/>
      <c r="AJ83" s="830"/>
      <c r="AK83" s="836"/>
      <c r="AL83" s="837" t="e">
        <f>VLOOKUP(C83,'sản lượng'!$D$14:$AP$169,38,0)</f>
        <v>#N/A</v>
      </c>
    </row>
    <row r="84" spans="1:38" ht="15.75">
      <c r="A84" s="824">
        <v>27</v>
      </c>
      <c r="B84" s="813" t="e">
        <f>VLOOKUP(C84,'DS CN MOI UP'!$B$10:$C$389,2,0)</f>
        <v>#N/A</v>
      </c>
      <c r="C84" s="825" t="s">
        <v>911</v>
      </c>
      <c r="D84" s="826" t="s">
        <v>15</v>
      </c>
      <c r="E84" s="815">
        <f t="shared" si="16"/>
        <v>24</v>
      </c>
      <c r="F84" s="815"/>
      <c r="G84" s="815"/>
      <c r="H84" s="960"/>
      <c r="I84" s="815"/>
      <c r="J84" s="815"/>
      <c r="K84" s="815"/>
      <c r="L84" s="815"/>
      <c r="M84" s="815"/>
      <c r="N84" s="815"/>
      <c r="O84" s="815"/>
      <c r="P84" s="815"/>
      <c r="Q84" s="815"/>
      <c r="R84" s="815"/>
      <c r="S84" s="830">
        <f t="shared" si="20"/>
        <v>24</v>
      </c>
      <c r="T84" s="830" t="e">
        <f>VLOOKUP(C84,'sản lượng'!$D$14:$AK$169,33,0)</f>
        <v>#N/A</v>
      </c>
      <c r="U84" s="830" t="e">
        <f>VLOOKUP(C84,'sản lượng'!$D$14:$AK$169,34,0)</f>
        <v>#N/A</v>
      </c>
      <c r="V84" s="830" t="e">
        <f>VLOOKUP(C84,'sản lượng'!$D$14:$AK$169,35,0)</f>
        <v>#N/A</v>
      </c>
      <c r="W84" s="830" t="e">
        <f t="shared" si="18"/>
        <v>#N/A</v>
      </c>
      <c r="X84" s="830"/>
      <c r="Y84" s="830"/>
      <c r="Z84" s="830" t="e">
        <f t="shared" si="19"/>
        <v>#N/A</v>
      </c>
      <c r="AA84" s="830" t="e">
        <f>VLOOKUP(C84,'CHẤM CÔNG '!$E$13:$AM$168,33,0)</f>
        <v>#N/A</v>
      </c>
      <c r="AB84" s="830" t="e">
        <f>VLOOKUP(C84,'CHẤM CÔNG '!$E$13:$AM$168,34,0)</f>
        <v>#N/A</v>
      </c>
      <c r="AC84" s="830"/>
      <c r="AD84" s="830"/>
      <c r="AE84" s="830"/>
      <c r="AF84" s="830"/>
      <c r="AG84" s="830"/>
      <c r="AH84" s="830"/>
      <c r="AI84" s="830"/>
      <c r="AJ84" s="830"/>
      <c r="AK84" s="836"/>
      <c r="AL84" s="837" t="e">
        <f>VLOOKUP(C84,'sản lượng'!$D$14:$AP$169,38,0)</f>
        <v>#N/A</v>
      </c>
    </row>
    <row r="85" spans="1:38" ht="15.75">
      <c r="A85" s="824">
        <v>28</v>
      </c>
      <c r="B85" s="813" t="e">
        <f>VLOOKUP(C85,'DS CN MOI UP'!$B$10:$C$389,2,0)</f>
        <v>#N/A</v>
      </c>
      <c r="C85" s="825" t="s">
        <v>1979</v>
      </c>
      <c r="D85" s="826" t="s">
        <v>15</v>
      </c>
      <c r="E85" s="815">
        <f t="shared" si="16"/>
        <v>24</v>
      </c>
      <c r="F85" s="815"/>
      <c r="G85" s="815"/>
      <c r="H85" s="960"/>
      <c r="I85" s="815"/>
      <c r="J85" s="815"/>
      <c r="K85" s="815"/>
      <c r="L85" s="815"/>
      <c r="M85" s="815"/>
      <c r="N85" s="815"/>
      <c r="O85" s="815"/>
      <c r="P85" s="815"/>
      <c r="Q85" s="815"/>
      <c r="R85" s="815"/>
      <c r="S85" s="830">
        <f t="shared" si="20"/>
        <v>24</v>
      </c>
      <c r="T85" s="830" t="e">
        <f>VLOOKUP(C85,'sản lượng'!$D$14:$AK$169,33,0)</f>
        <v>#N/A</v>
      </c>
      <c r="U85" s="830" t="e">
        <f>VLOOKUP(C85,'sản lượng'!$D$14:$AK$169,34,0)</f>
        <v>#N/A</v>
      </c>
      <c r="V85" s="830" t="e">
        <f>VLOOKUP(C85,'sản lượng'!$D$14:$AK$169,35,0)</f>
        <v>#N/A</v>
      </c>
      <c r="W85" s="830" t="e">
        <f t="shared" si="18"/>
        <v>#N/A</v>
      </c>
      <c r="X85" s="830"/>
      <c r="Y85" s="830"/>
      <c r="Z85" s="830" t="e">
        <f t="shared" si="19"/>
        <v>#N/A</v>
      </c>
      <c r="AA85" s="830" t="e">
        <f>VLOOKUP(C85,'CHẤM CÔNG '!$E$13:$AM$168,33,0)</f>
        <v>#N/A</v>
      </c>
      <c r="AB85" s="830" t="e">
        <f>VLOOKUP(C85,'CHẤM CÔNG '!$E$13:$AM$168,34,0)</f>
        <v>#N/A</v>
      </c>
      <c r="AC85" s="830"/>
      <c r="AD85" s="830"/>
      <c r="AE85" s="830"/>
      <c r="AF85" s="830"/>
      <c r="AG85" s="830"/>
      <c r="AH85" s="830"/>
      <c r="AI85" s="830"/>
      <c r="AJ85" s="830"/>
      <c r="AK85" s="836"/>
      <c r="AL85" s="837" t="e">
        <f>VLOOKUP(C85,'sản lượng'!$D$14:$AP$169,38,0)</f>
        <v>#N/A</v>
      </c>
    </row>
    <row r="86" spans="1:38" ht="15.75">
      <c r="A86" s="824">
        <v>29</v>
      </c>
      <c r="B86" s="813" t="e">
        <f>VLOOKUP(C86,'DS CN MOI UP'!$B$10:$C$389,2,0)</f>
        <v>#N/A</v>
      </c>
      <c r="C86" s="825" t="s">
        <v>457</v>
      </c>
      <c r="D86" s="826" t="s">
        <v>15</v>
      </c>
      <c r="E86" s="815">
        <f t="shared" si="16"/>
        <v>24</v>
      </c>
      <c r="F86" s="815"/>
      <c r="G86" s="815"/>
      <c r="H86" s="960"/>
      <c r="I86" s="815"/>
      <c r="J86" s="815"/>
      <c r="K86" s="815"/>
      <c r="L86" s="815"/>
      <c r="M86" s="815"/>
      <c r="N86" s="815"/>
      <c r="O86" s="815"/>
      <c r="P86" s="815"/>
      <c r="Q86" s="815"/>
      <c r="R86" s="815"/>
      <c r="S86" s="830">
        <f t="shared" si="20"/>
        <v>24</v>
      </c>
      <c r="T86" s="830" t="e">
        <f>VLOOKUP(C86,'sản lượng'!$D$14:$AK$169,33,0)</f>
        <v>#N/A</v>
      </c>
      <c r="U86" s="830" t="e">
        <f>VLOOKUP(C86,'sản lượng'!$D$14:$AK$169,34,0)</f>
        <v>#N/A</v>
      </c>
      <c r="V86" s="830" t="e">
        <f>VLOOKUP(C86,'sản lượng'!$D$14:$AK$169,35,0)</f>
        <v>#N/A</v>
      </c>
      <c r="W86" s="830" t="e">
        <f t="shared" si="18"/>
        <v>#N/A</v>
      </c>
      <c r="X86" s="830"/>
      <c r="Y86" s="830"/>
      <c r="Z86" s="830" t="e">
        <f t="shared" si="19"/>
        <v>#N/A</v>
      </c>
      <c r="AA86" s="830" t="e">
        <f>VLOOKUP(C86,'CHẤM CÔNG '!$E$13:$AM$168,33,0)</f>
        <v>#N/A</v>
      </c>
      <c r="AB86" s="830" t="e">
        <f>VLOOKUP(C86,'CHẤM CÔNG '!$E$13:$AM$168,34,0)</f>
        <v>#N/A</v>
      </c>
      <c r="AC86" s="830"/>
      <c r="AD86" s="830"/>
      <c r="AE86" s="830"/>
      <c r="AF86" s="830"/>
      <c r="AG86" s="830"/>
      <c r="AH86" s="830"/>
      <c r="AI86" s="830"/>
      <c r="AJ86" s="830"/>
      <c r="AK86" s="836"/>
      <c r="AL86" s="837" t="e">
        <f>VLOOKUP(C86,'sản lượng'!$D$14:$AP$169,38,0)</f>
        <v>#N/A</v>
      </c>
    </row>
    <row r="87" spans="1:38" ht="15.75">
      <c r="A87" s="824">
        <v>30</v>
      </c>
      <c r="B87" s="813" t="e">
        <f>VLOOKUP(C87,'DS CN MOI UP'!$B$10:$C$389,2,0)</f>
        <v>#N/A</v>
      </c>
      <c r="C87" s="825" t="s">
        <v>467</v>
      </c>
      <c r="D87" s="826" t="s">
        <v>15</v>
      </c>
      <c r="E87" s="815">
        <f t="shared" si="16"/>
        <v>24</v>
      </c>
      <c r="F87" s="815"/>
      <c r="G87" s="815"/>
      <c r="H87" s="960"/>
      <c r="I87" s="815"/>
      <c r="J87" s="815"/>
      <c r="K87" s="815"/>
      <c r="L87" s="815"/>
      <c r="M87" s="815"/>
      <c r="N87" s="815"/>
      <c r="O87" s="815"/>
      <c r="P87" s="815"/>
      <c r="Q87" s="815"/>
      <c r="R87" s="815"/>
      <c r="S87" s="830">
        <f t="shared" si="20"/>
        <v>24</v>
      </c>
      <c r="T87" s="830" t="e">
        <f>VLOOKUP(C87,'sản lượng'!$D$14:$AK$169,33,0)</f>
        <v>#N/A</v>
      </c>
      <c r="U87" s="830" t="e">
        <f>VLOOKUP(C87,'sản lượng'!$D$14:$AK$169,34,0)</f>
        <v>#N/A</v>
      </c>
      <c r="V87" s="830" t="e">
        <f>VLOOKUP(C87,'sản lượng'!$D$14:$AK$169,35,0)</f>
        <v>#N/A</v>
      </c>
      <c r="W87" s="830" t="e">
        <f t="shared" si="18"/>
        <v>#N/A</v>
      </c>
      <c r="X87" s="830"/>
      <c r="Y87" s="830"/>
      <c r="Z87" s="830" t="e">
        <f t="shared" si="19"/>
        <v>#N/A</v>
      </c>
      <c r="AA87" s="830" t="e">
        <f>VLOOKUP(C87,'CHẤM CÔNG '!$E$13:$AM$168,33,0)</f>
        <v>#N/A</v>
      </c>
      <c r="AB87" s="830" t="e">
        <f>VLOOKUP(C87,'CHẤM CÔNG '!$E$13:$AM$168,34,0)</f>
        <v>#N/A</v>
      </c>
      <c r="AC87" s="830"/>
      <c r="AD87" s="830"/>
      <c r="AE87" s="830"/>
      <c r="AF87" s="830"/>
      <c r="AG87" s="830"/>
      <c r="AH87" s="830"/>
      <c r="AI87" s="830"/>
      <c r="AJ87" s="830"/>
      <c r="AK87" s="836"/>
      <c r="AL87" s="837" t="e">
        <f>VLOOKUP(C87,'sản lượng'!$D$14:$AP$169,38,0)</f>
        <v>#N/A</v>
      </c>
    </row>
    <row r="88" spans="1:38" ht="15.75">
      <c r="A88" s="824">
        <v>31</v>
      </c>
      <c r="B88" s="813" t="e">
        <f>VLOOKUP(C88,'DS CN MOI UP'!$B$10:$C$389,2,0)</f>
        <v>#N/A</v>
      </c>
      <c r="C88" s="825" t="s">
        <v>459</v>
      </c>
      <c r="D88" s="826" t="s">
        <v>15</v>
      </c>
      <c r="E88" s="815">
        <f t="shared" si="16"/>
        <v>24</v>
      </c>
      <c r="F88" s="815"/>
      <c r="G88" s="815"/>
      <c r="H88" s="960"/>
      <c r="I88" s="815"/>
      <c r="J88" s="815"/>
      <c r="K88" s="815"/>
      <c r="L88" s="815"/>
      <c r="M88" s="815"/>
      <c r="N88" s="815"/>
      <c r="O88" s="815"/>
      <c r="P88" s="815"/>
      <c r="Q88" s="815"/>
      <c r="R88" s="815"/>
      <c r="S88" s="830">
        <f t="shared" si="20"/>
        <v>24</v>
      </c>
      <c r="T88" s="830" t="e">
        <f>VLOOKUP(C88,'sản lượng'!$D$14:$AK$169,33,0)</f>
        <v>#N/A</v>
      </c>
      <c r="U88" s="830" t="e">
        <f>VLOOKUP(C88,'sản lượng'!$D$14:$AK$169,34,0)</f>
        <v>#N/A</v>
      </c>
      <c r="V88" s="830" t="e">
        <f>VLOOKUP(C88,'sản lượng'!$D$14:$AK$169,35,0)</f>
        <v>#N/A</v>
      </c>
      <c r="W88" s="830" t="e">
        <f t="shared" si="18"/>
        <v>#N/A</v>
      </c>
      <c r="X88" s="830"/>
      <c r="Y88" s="830"/>
      <c r="Z88" s="830" t="e">
        <f t="shared" si="19"/>
        <v>#N/A</v>
      </c>
      <c r="AA88" s="830" t="e">
        <f>VLOOKUP(C88,'CHẤM CÔNG '!$E$13:$AM$168,33,0)</f>
        <v>#N/A</v>
      </c>
      <c r="AB88" s="830" t="e">
        <f>VLOOKUP(C88,'CHẤM CÔNG '!$E$13:$AM$168,34,0)</f>
        <v>#N/A</v>
      </c>
      <c r="AC88" s="830"/>
      <c r="AD88" s="830"/>
      <c r="AE88" s="830"/>
      <c r="AF88" s="830"/>
      <c r="AG88" s="830"/>
      <c r="AH88" s="830"/>
      <c r="AI88" s="830"/>
      <c r="AJ88" s="830"/>
      <c r="AK88" s="836"/>
      <c r="AL88" s="837" t="e">
        <f>VLOOKUP(C88,'sản lượng'!$D$14:$AP$169,38,0)</f>
        <v>#N/A</v>
      </c>
    </row>
    <row r="89" spans="1:38" ht="15.75">
      <c r="A89" s="824">
        <v>32</v>
      </c>
      <c r="B89" s="813" t="e">
        <f>VLOOKUP(C89,'DS CN MOI UP'!$B$10:$C$389,2,0)</f>
        <v>#N/A</v>
      </c>
      <c r="C89" s="825" t="s">
        <v>460</v>
      </c>
      <c r="D89" s="826" t="s">
        <v>15</v>
      </c>
      <c r="E89" s="815">
        <f t="shared" si="16"/>
        <v>24</v>
      </c>
      <c r="F89" s="815"/>
      <c r="G89" s="815"/>
      <c r="H89" s="960"/>
      <c r="I89" s="815"/>
      <c r="J89" s="815"/>
      <c r="K89" s="815"/>
      <c r="L89" s="815"/>
      <c r="M89" s="815"/>
      <c r="N89" s="815"/>
      <c r="O89" s="815"/>
      <c r="P89" s="815"/>
      <c r="Q89" s="815"/>
      <c r="R89" s="815"/>
      <c r="S89" s="830">
        <f t="shared" si="20"/>
        <v>24</v>
      </c>
      <c r="T89" s="830" t="e">
        <f>VLOOKUP(C89,'sản lượng'!$D$14:$AK$169,33,0)</f>
        <v>#N/A</v>
      </c>
      <c r="U89" s="830" t="e">
        <f>VLOOKUP(C89,'sản lượng'!$D$14:$AK$169,34,0)</f>
        <v>#N/A</v>
      </c>
      <c r="V89" s="830" t="e">
        <f>VLOOKUP(C89,'sản lượng'!$D$14:$AK$169,35,0)</f>
        <v>#N/A</v>
      </c>
      <c r="W89" s="830" t="e">
        <f t="shared" si="18"/>
        <v>#N/A</v>
      </c>
      <c r="X89" s="830"/>
      <c r="Y89" s="830"/>
      <c r="Z89" s="830" t="e">
        <f t="shared" si="19"/>
        <v>#N/A</v>
      </c>
      <c r="AA89" s="830" t="e">
        <f>VLOOKUP(C89,'CHẤM CÔNG '!$E$13:$AM$168,33,0)</f>
        <v>#N/A</v>
      </c>
      <c r="AB89" s="830" t="e">
        <f>VLOOKUP(C89,'CHẤM CÔNG '!$E$13:$AM$168,34,0)</f>
        <v>#N/A</v>
      </c>
      <c r="AC89" s="830"/>
      <c r="AD89" s="830"/>
      <c r="AE89" s="830"/>
      <c r="AF89" s="830"/>
      <c r="AG89" s="830"/>
      <c r="AH89" s="830"/>
      <c r="AI89" s="830"/>
      <c r="AJ89" s="830"/>
      <c r="AK89" s="836"/>
      <c r="AL89" s="837" t="e">
        <f>VLOOKUP(C89,'sản lượng'!$D$14:$AP$169,38,0)</f>
        <v>#N/A</v>
      </c>
    </row>
    <row r="90" spans="1:38" ht="15.75">
      <c r="A90" s="824">
        <v>33</v>
      </c>
      <c r="B90" s="813" t="e">
        <f>VLOOKUP(C90,'DS CN MOI UP'!$B$10:$C$389,2,0)</f>
        <v>#N/A</v>
      </c>
      <c r="C90" s="825" t="s">
        <v>461</v>
      </c>
      <c r="D90" s="826" t="s">
        <v>15</v>
      </c>
      <c r="E90" s="815">
        <f t="shared" si="16"/>
        <v>24</v>
      </c>
      <c r="F90" s="815"/>
      <c r="G90" s="815"/>
      <c r="H90" s="960"/>
      <c r="I90" s="815"/>
      <c r="J90" s="815"/>
      <c r="K90" s="815"/>
      <c r="L90" s="815"/>
      <c r="M90" s="815"/>
      <c r="N90" s="815"/>
      <c r="O90" s="815"/>
      <c r="P90" s="815"/>
      <c r="Q90" s="815"/>
      <c r="R90" s="815"/>
      <c r="S90" s="830">
        <f t="shared" si="20"/>
        <v>24</v>
      </c>
      <c r="T90" s="830" t="e">
        <f>VLOOKUP(C90,'sản lượng'!$D$14:$AK$169,33,0)</f>
        <v>#N/A</v>
      </c>
      <c r="U90" s="830" t="e">
        <f>VLOOKUP(C90,'sản lượng'!$D$14:$AK$169,34,0)</f>
        <v>#N/A</v>
      </c>
      <c r="V90" s="830" t="e">
        <f>VLOOKUP(C90,'sản lượng'!$D$14:$AK$169,35,0)</f>
        <v>#N/A</v>
      </c>
      <c r="W90" s="830" t="e">
        <f t="shared" si="18"/>
        <v>#N/A</v>
      </c>
      <c r="X90" s="830"/>
      <c r="Y90" s="830"/>
      <c r="Z90" s="830" t="e">
        <f t="shared" si="19"/>
        <v>#N/A</v>
      </c>
      <c r="AA90" s="830" t="e">
        <f>VLOOKUP(C90,'CHẤM CÔNG '!$E$13:$AM$168,33,0)</f>
        <v>#N/A</v>
      </c>
      <c r="AB90" s="830" t="e">
        <f>VLOOKUP(C90,'CHẤM CÔNG '!$E$13:$AM$168,34,0)</f>
        <v>#N/A</v>
      </c>
      <c r="AC90" s="830"/>
      <c r="AD90" s="830"/>
      <c r="AE90" s="830"/>
      <c r="AF90" s="830"/>
      <c r="AG90" s="830"/>
      <c r="AH90" s="830"/>
      <c r="AI90" s="830"/>
      <c r="AJ90" s="830"/>
      <c r="AK90" s="836"/>
      <c r="AL90" s="837" t="e">
        <f>VLOOKUP(C90,'sản lượng'!$D$14:$AP$169,38,0)</f>
        <v>#N/A</v>
      </c>
    </row>
    <row r="91" spans="1:38" ht="15.75">
      <c r="A91" s="824">
        <v>34</v>
      </c>
      <c r="B91" s="813" t="e">
        <f>VLOOKUP(C91,'DS CN MOI UP'!$B$10:$C$389,2,0)</f>
        <v>#N/A</v>
      </c>
      <c r="C91" s="825" t="s">
        <v>1980</v>
      </c>
      <c r="D91" s="826" t="s">
        <v>15</v>
      </c>
      <c r="E91" s="815">
        <f t="shared" si="16"/>
        <v>24</v>
      </c>
      <c r="F91" s="815"/>
      <c r="G91" s="815"/>
      <c r="H91" s="960"/>
      <c r="I91" s="815"/>
      <c r="J91" s="815"/>
      <c r="K91" s="815"/>
      <c r="L91" s="815"/>
      <c r="M91" s="815"/>
      <c r="N91" s="815"/>
      <c r="O91" s="815"/>
      <c r="P91" s="815"/>
      <c r="Q91" s="815"/>
      <c r="R91" s="815"/>
      <c r="S91" s="830">
        <f t="shared" si="20"/>
        <v>24</v>
      </c>
      <c r="T91" s="830">
        <f>VLOOKUP(C91,'sản lượng'!$D$14:$AK$169,33,0)</f>
        <v>0</v>
      </c>
      <c r="U91" s="830">
        <f>VLOOKUP(C91,'sản lượng'!$D$14:$AK$169,34,0)</f>
        <v>0</v>
      </c>
      <c r="V91" s="830" t="e">
        <f>VLOOKUP(C91,'sản lượng'!$D$14:$AK$169,35,0)</f>
        <v>#REF!</v>
      </c>
      <c r="W91" s="830" t="e">
        <f t="shared" si="18"/>
        <v>#REF!</v>
      </c>
      <c r="X91" s="830"/>
      <c r="Y91" s="830"/>
      <c r="Z91" s="830" t="e">
        <f t="shared" si="19"/>
        <v>#REF!</v>
      </c>
      <c r="AA91" s="830">
        <f>VLOOKUP(C91,'CHẤM CÔNG '!$E$13:$AM$168,33,0)</f>
        <v>0</v>
      </c>
      <c r="AB91" s="830">
        <f>VLOOKUP(C91,'CHẤM CÔNG '!$E$13:$AM$168,34,0)</f>
        <v>0</v>
      </c>
      <c r="AC91" s="830"/>
      <c r="AD91" s="830"/>
      <c r="AE91" s="830"/>
      <c r="AF91" s="830"/>
      <c r="AG91" s="830"/>
      <c r="AH91" s="830"/>
      <c r="AI91" s="830"/>
      <c r="AJ91" s="830"/>
      <c r="AK91" s="836"/>
      <c r="AL91" s="837">
        <f>VLOOKUP(C91,'sản lượng'!$D$14:$AP$169,38,0)</f>
        <v>0</v>
      </c>
    </row>
    <row r="92" spans="1:38" ht="15.75">
      <c r="A92" s="824">
        <v>35</v>
      </c>
      <c r="B92" s="813" t="e">
        <f>VLOOKUP(C92,'DS CN MOI UP'!$B$10:$C$389,2,0)</f>
        <v>#N/A</v>
      </c>
      <c r="C92" s="825" t="s">
        <v>463</v>
      </c>
      <c r="D92" s="826" t="s">
        <v>15</v>
      </c>
      <c r="E92" s="815">
        <f t="shared" si="16"/>
        <v>24</v>
      </c>
      <c r="F92" s="815"/>
      <c r="G92" s="815"/>
      <c r="H92" s="960"/>
      <c r="I92" s="815"/>
      <c r="J92" s="815"/>
      <c r="K92" s="815"/>
      <c r="L92" s="815"/>
      <c r="M92" s="815"/>
      <c r="N92" s="815"/>
      <c r="O92" s="815"/>
      <c r="P92" s="815"/>
      <c r="Q92" s="815"/>
      <c r="R92" s="815"/>
      <c r="S92" s="830">
        <f t="shared" si="20"/>
        <v>24</v>
      </c>
      <c r="T92" s="830" t="e">
        <f>VLOOKUP(C92,'sản lượng'!$D$14:$AK$169,33,0)</f>
        <v>#N/A</v>
      </c>
      <c r="U92" s="830" t="e">
        <f>VLOOKUP(C92,'sản lượng'!$D$14:$AK$169,34,0)</f>
        <v>#N/A</v>
      </c>
      <c r="V92" s="830" t="e">
        <f>VLOOKUP(C92,'sản lượng'!$D$14:$AK$169,35,0)</f>
        <v>#N/A</v>
      </c>
      <c r="W92" s="830" t="e">
        <f t="shared" si="18"/>
        <v>#N/A</v>
      </c>
      <c r="X92" s="830"/>
      <c r="Y92" s="830"/>
      <c r="Z92" s="830" t="e">
        <f t="shared" si="19"/>
        <v>#N/A</v>
      </c>
      <c r="AA92" s="830" t="e">
        <f>VLOOKUP(C92,'CHẤM CÔNG '!$E$13:$AM$168,33,0)</f>
        <v>#N/A</v>
      </c>
      <c r="AB92" s="830" t="e">
        <f>VLOOKUP(C92,'CHẤM CÔNG '!$E$13:$AM$168,34,0)</f>
        <v>#N/A</v>
      </c>
      <c r="AC92" s="830"/>
      <c r="AD92" s="830"/>
      <c r="AE92" s="830"/>
      <c r="AF92" s="830"/>
      <c r="AG92" s="830"/>
      <c r="AH92" s="830"/>
      <c r="AI92" s="830"/>
      <c r="AJ92" s="830"/>
      <c r="AK92" s="836"/>
      <c r="AL92" s="837" t="e">
        <f>VLOOKUP(C92,'sản lượng'!$D$14:$AP$169,38,0)</f>
        <v>#N/A</v>
      </c>
    </row>
    <row r="93" spans="1:38" ht="15.75">
      <c r="A93" s="824">
        <v>36</v>
      </c>
      <c r="B93" s="813" t="e">
        <f>VLOOKUP(C93,'DS CN MOI UP'!$B$10:$C$389,2,0)</f>
        <v>#N/A</v>
      </c>
      <c r="C93" s="825" t="s">
        <v>464</v>
      </c>
      <c r="D93" s="826" t="s">
        <v>15</v>
      </c>
      <c r="E93" s="815">
        <f t="shared" si="16"/>
        <v>24</v>
      </c>
      <c r="F93" s="815"/>
      <c r="G93" s="815"/>
      <c r="H93" s="960"/>
      <c r="I93" s="815"/>
      <c r="J93" s="815"/>
      <c r="K93" s="815"/>
      <c r="L93" s="815"/>
      <c r="M93" s="815"/>
      <c r="N93" s="815"/>
      <c r="O93" s="815"/>
      <c r="P93" s="815"/>
      <c r="Q93" s="815"/>
      <c r="R93" s="815"/>
      <c r="S93" s="830">
        <f t="shared" si="20"/>
        <v>24</v>
      </c>
      <c r="T93" s="830" t="e">
        <f>VLOOKUP(C93,'sản lượng'!$D$14:$AK$169,33,0)</f>
        <v>#N/A</v>
      </c>
      <c r="U93" s="830" t="e">
        <f>VLOOKUP(C93,'sản lượng'!$D$14:$AK$169,34,0)</f>
        <v>#N/A</v>
      </c>
      <c r="V93" s="830" t="e">
        <f>VLOOKUP(C93,'sản lượng'!$D$14:$AK$169,35,0)</f>
        <v>#N/A</v>
      </c>
      <c r="W93" s="830" t="e">
        <f t="shared" si="18"/>
        <v>#N/A</v>
      </c>
      <c r="X93" s="830"/>
      <c r="Y93" s="830"/>
      <c r="Z93" s="830" t="e">
        <f t="shared" si="19"/>
        <v>#N/A</v>
      </c>
      <c r="AA93" s="830" t="e">
        <f>VLOOKUP(C93,'CHẤM CÔNG '!$E$13:$AM$168,33,0)</f>
        <v>#N/A</v>
      </c>
      <c r="AB93" s="830" t="e">
        <f>VLOOKUP(C93,'CHẤM CÔNG '!$E$13:$AM$168,34,0)</f>
        <v>#N/A</v>
      </c>
      <c r="AC93" s="830"/>
      <c r="AD93" s="830"/>
      <c r="AE93" s="830"/>
      <c r="AF93" s="830"/>
      <c r="AG93" s="830"/>
      <c r="AH93" s="830"/>
      <c r="AI93" s="830"/>
      <c r="AJ93" s="830"/>
      <c r="AK93" s="836"/>
      <c r="AL93" s="837" t="e">
        <f>VLOOKUP(C93,'sản lượng'!$D$14:$AP$169,38,0)</f>
        <v>#N/A</v>
      </c>
    </row>
    <row r="94" spans="1:38" ht="15.75">
      <c r="A94" s="824">
        <v>37</v>
      </c>
      <c r="B94" s="813" t="e">
        <f>VLOOKUP(C94,'DS CN MOI UP'!$B$10:$C$389,2,0)</f>
        <v>#N/A</v>
      </c>
      <c r="C94" s="825" t="s">
        <v>465</v>
      </c>
      <c r="D94" s="826" t="s">
        <v>15</v>
      </c>
      <c r="E94" s="815">
        <f t="shared" si="16"/>
        <v>24</v>
      </c>
      <c r="F94" s="815"/>
      <c r="G94" s="815"/>
      <c r="H94" s="960"/>
      <c r="I94" s="815"/>
      <c r="J94" s="815"/>
      <c r="K94" s="815"/>
      <c r="L94" s="815"/>
      <c r="M94" s="815"/>
      <c r="N94" s="815"/>
      <c r="O94" s="815"/>
      <c r="P94" s="815"/>
      <c r="Q94" s="815"/>
      <c r="R94" s="815"/>
      <c r="S94" s="830">
        <f t="shared" si="20"/>
        <v>24</v>
      </c>
      <c r="T94" s="830" t="e">
        <f>VLOOKUP(C94,'sản lượng'!$D$14:$AK$169,33,0)</f>
        <v>#N/A</v>
      </c>
      <c r="U94" s="830" t="e">
        <f>VLOOKUP(C94,'sản lượng'!$D$14:$AK$169,34,0)</f>
        <v>#N/A</v>
      </c>
      <c r="V94" s="830" t="e">
        <f>VLOOKUP(C94,'sản lượng'!$D$14:$AK$169,35,0)</f>
        <v>#N/A</v>
      </c>
      <c r="W94" s="830" t="e">
        <f t="shared" si="18"/>
        <v>#N/A</v>
      </c>
      <c r="X94" s="830"/>
      <c r="Y94" s="830"/>
      <c r="Z94" s="830" t="e">
        <f t="shared" si="19"/>
        <v>#N/A</v>
      </c>
      <c r="AA94" s="830" t="e">
        <f>VLOOKUP(C94,'CHẤM CÔNG '!$E$13:$AM$168,33,0)</f>
        <v>#N/A</v>
      </c>
      <c r="AB94" s="830" t="e">
        <f>VLOOKUP(C94,'CHẤM CÔNG '!$E$13:$AM$168,34,0)</f>
        <v>#N/A</v>
      </c>
      <c r="AC94" s="830"/>
      <c r="AD94" s="830"/>
      <c r="AE94" s="830"/>
      <c r="AF94" s="830"/>
      <c r="AG94" s="830"/>
      <c r="AH94" s="830"/>
      <c r="AI94" s="830"/>
      <c r="AJ94" s="830"/>
      <c r="AK94" s="836"/>
      <c r="AL94" s="837" t="e">
        <f>VLOOKUP(C94,'sản lượng'!$D$14:$AP$169,38,0)</f>
        <v>#N/A</v>
      </c>
    </row>
    <row r="95" spans="1:38" ht="15.75">
      <c r="A95" s="824">
        <v>38</v>
      </c>
      <c r="B95" s="813" t="e">
        <f>VLOOKUP(C95,'DS CN MOI UP'!$B$10:$C$389,2,0)</f>
        <v>#N/A</v>
      </c>
      <c r="C95" s="845" t="s">
        <v>466</v>
      </c>
      <c r="D95" s="826" t="s">
        <v>15</v>
      </c>
      <c r="E95" s="815">
        <f t="shared" si="16"/>
        <v>24</v>
      </c>
      <c r="F95" s="815"/>
      <c r="G95" s="815"/>
      <c r="H95" s="960"/>
      <c r="I95" s="815"/>
      <c r="J95" s="815"/>
      <c r="K95" s="815"/>
      <c r="L95" s="815"/>
      <c r="M95" s="815"/>
      <c r="N95" s="815"/>
      <c r="O95" s="815"/>
      <c r="P95" s="815"/>
      <c r="Q95" s="815"/>
      <c r="R95" s="815"/>
      <c r="S95" s="830">
        <f t="shared" ref="S95" si="21">SUM(E95:P95)</f>
        <v>24</v>
      </c>
      <c r="T95" s="830" t="e">
        <f>VLOOKUP(C95,'sản lượng'!$D$14:$AK$169,33,0)</f>
        <v>#N/A</v>
      </c>
      <c r="U95" s="830" t="e">
        <f>VLOOKUP(C95,'sản lượng'!$D$14:$AK$169,34,0)</f>
        <v>#N/A</v>
      </c>
      <c r="V95" s="830" t="e">
        <f>VLOOKUP(C95,'sản lượng'!$D$14:$AK$169,35,0)</f>
        <v>#N/A</v>
      </c>
      <c r="W95" s="830" t="e">
        <f t="shared" si="18"/>
        <v>#N/A</v>
      </c>
      <c r="X95" s="830"/>
      <c r="Y95" s="830"/>
      <c r="Z95" s="830" t="e">
        <f t="shared" si="19"/>
        <v>#N/A</v>
      </c>
      <c r="AA95" s="830" t="e">
        <f>VLOOKUP(C95,'CHẤM CÔNG '!$E$13:$AM$168,33,0)</f>
        <v>#N/A</v>
      </c>
      <c r="AB95" s="830" t="e">
        <f>VLOOKUP(C95,'CHẤM CÔNG '!$E$13:$AM$168,34,0)</f>
        <v>#N/A</v>
      </c>
      <c r="AC95" s="830"/>
      <c r="AD95" s="830"/>
      <c r="AE95" s="830"/>
      <c r="AF95" s="830"/>
      <c r="AG95" s="830"/>
      <c r="AH95" s="830"/>
      <c r="AI95" s="830"/>
      <c r="AJ95" s="830"/>
      <c r="AK95" s="836"/>
      <c r="AL95" s="837" t="e">
        <f>VLOOKUP(C95,'sản lượng'!$D$14:$AP$169,38,0)</f>
        <v>#N/A</v>
      </c>
    </row>
    <row r="96" spans="1:38" ht="15.75">
      <c r="A96" s="824">
        <v>39</v>
      </c>
      <c r="B96" s="813" t="e">
        <f>VLOOKUP(C96,'DS CN MOI UP'!$B$10:$C$389,2,0)</f>
        <v>#N/A</v>
      </c>
      <c r="C96" s="825" t="s">
        <v>1981</v>
      </c>
      <c r="D96" s="826" t="s">
        <v>15</v>
      </c>
      <c r="E96" s="815">
        <f t="shared" si="16"/>
        <v>24</v>
      </c>
      <c r="F96" s="815"/>
      <c r="G96" s="815"/>
      <c r="H96" s="960"/>
      <c r="I96" s="815"/>
      <c r="J96" s="815"/>
      <c r="K96" s="815"/>
      <c r="L96" s="815"/>
      <c r="M96" s="815"/>
      <c r="N96" s="815"/>
      <c r="O96" s="815"/>
      <c r="P96" s="815"/>
      <c r="Q96" s="815"/>
      <c r="R96" s="815"/>
      <c r="S96" s="830">
        <f t="shared" ref="S96:S102" si="22">SUM(E96:P96)</f>
        <v>24</v>
      </c>
      <c r="T96" s="830" t="e">
        <f>VLOOKUP(C96,'sản lượng'!$D$14:$AK$169,33,0)</f>
        <v>#N/A</v>
      </c>
      <c r="U96" s="830" t="e">
        <f>VLOOKUP(C96,'sản lượng'!$D$14:$AK$169,34,0)</f>
        <v>#N/A</v>
      </c>
      <c r="V96" s="830" t="e">
        <f>VLOOKUP(C96,'sản lượng'!$D$14:$AK$169,35,0)</f>
        <v>#N/A</v>
      </c>
      <c r="W96" s="830" t="e">
        <f t="shared" si="18"/>
        <v>#N/A</v>
      </c>
      <c r="X96" s="830"/>
      <c r="Y96" s="830"/>
      <c r="Z96" s="830" t="e">
        <f t="shared" si="19"/>
        <v>#N/A</v>
      </c>
      <c r="AA96" s="830" t="e">
        <f>VLOOKUP(C96,'CHẤM CÔNG '!$E$13:$AM$168,33,0)</f>
        <v>#N/A</v>
      </c>
      <c r="AB96" s="830" t="e">
        <f>VLOOKUP(C96,'CHẤM CÔNG '!$E$13:$AM$168,34,0)</f>
        <v>#N/A</v>
      </c>
      <c r="AC96" s="830"/>
      <c r="AD96" s="830"/>
      <c r="AE96" s="830"/>
      <c r="AF96" s="830"/>
      <c r="AG96" s="830"/>
      <c r="AH96" s="830"/>
      <c r="AI96" s="830"/>
      <c r="AJ96" s="830"/>
      <c r="AK96" s="836"/>
      <c r="AL96" s="837" t="e">
        <f>VLOOKUP(C96,'sản lượng'!$D$14:$AP$169,38,0)</f>
        <v>#N/A</v>
      </c>
    </row>
    <row r="97" spans="1:38" ht="15.75">
      <c r="A97" s="824">
        <v>40</v>
      </c>
      <c r="B97" s="813" t="e">
        <f>VLOOKUP(C97,'DS CN MOI UP'!$B$10:$C$389,2,0)</f>
        <v>#N/A</v>
      </c>
      <c r="C97" s="825" t="s">
        <v>1982</v>
      </c>
      <c r="D97" s="826" t="s">
        <v>15</v>
      </c>
      <c r="E97" s="815">
        <f t="shared" si="16"/>
        <v>24</v>
      </c>
      <c r="F97" s="815"/>
      <c r="G97" s="815"/>
      <c r="H97" s="960"/>
      <c r="I97" s="815"/>
      <c r="J97" s="815"/>
      <c r="K97" s="815"/>
      <c r="L97" s="815"/>
      <c r="M97" s="815"/>
      <c r="N97" s="815"/>
      <c r="O97" s="815"/>
      <c r="P97" s="815"/>
      <c r="Q97" s="815"/>
      <c r="R97" s="815"/>
      <c r="S97" s="830">
        <f t="shared" si="22"/>
        <v>24</v>
      </c>
      <c r="T97" s="830" t="e">
        <f>VLOOKUP(C97,'sản lượng'!$D$14:$AK$169,33,0)</f>
        <v>#N/A</v>
      </c>
      <c r="U97" s="830" t="e">
        <f>VLOOKUP(C97,'sản lượng'!$D$14:$AK$169,34,0)</f>
        <v>#N/A</v>
      </c>
      <c r="V97" s="830" t="e">
        <f>VLOOKUP(C97,'sản lượng'!$D$14:$AK$169,35,0)</f>
        <v>#N/A</v>
      </c>
      <c r="W97" s="830" t="e">
        <f t="shared" si="18"/>
        <v>#N/A</v>
      </c>
      <c r="X97" s="830"/>
      <c r="Y97" s="830"/>
      <c r="Z97" s="830" t="e">
        <f t="shared" si="19"/>
        <v>#N/A</v>
      </c>
      <c r="AA97" s="830" t="e">
        <f>VLOOKUP(C97,'CHẤM CÔNG '!$E$13:$AM$168,33,0)</f>
        <v>#N/A</v>
      </c>
      <c r="AB97" s="830" t="e">
        <f>VLOOKUP(C97,'CHẤM CÔNG '!$E$13:$AM$168,34,0)</f>
        <v>#N/A</v>
      </c>
      <c r="AC97" s="830"/>
      <c r="AD97" s="830"/>
      <c r="AE97" s="830"/>
      <c r="AF97" s="830"/>
      <c r="AG97" s="830"/>
      <c r="AH97" s="830"/>
      <c r="AI97" s="830"/>
      <c r="AJ97" s="830"/>
      <c r="AK97" s="836"/>
      <c r="AL97" s="837" t="e">
        <f>VLOOKUP(C97,'sản lượng'!$D$14:$AP$169,38,0)</f>
        <v>#N/A</v>
      </c>
    </row>
    <row r="98" spans="1:38" ht="15.75">
      <c r="A98" s="824">
        <v>41</v>
      </c>
      <c r="B98" s="813" t="e">
        <f>VLOOKUP(C98,'DS CN MOI UP'!$B$10:$C$389,2,0)</f>
        <v>#N/A</v>
      </c>
      <c r="C98" s="825" t="s">
        <v>895</v>
      </c>
      <c r="D98" s="826" t="s">
        <v>15</v>
      </c>
      <c r="E98" s="815">
        <f t="shared" si="16"/>
        <v>24</v>
      </c>
      <c r="F98" s="815"/>
      <c r="G98" s="815"/>
      <c r="H98" s="960"/>
      <c r="I98" s="815"/>
      <c r="J98" s="815"/>
      <c r="K98" s="815"/>
      <c r="L98" s="815"/>
      <c r="M98" s="815"/>
      <c r="N98" s="815"/>
      <c r="O98" s="815"/>
      <c r="P98" s="815"/>
      <c r="Q98" s="815"/>
      <c r="R98" s="815"/>
      <c r="S98" s="830">
        <f t="shared" si="22"/>
        <v>24</v>
      </c>
      <c r="T98" s="830" t="e">
        <f>VLOOKUP(C98,'sản lượng'!$D$14:$AK$169,33,0)</f>
        <v>#N/A</v>
      </c>
      <c r="U98" s="830" t="e">
        <f>VLOOKUP(C98,'sản lượng'!$D$14:$AK$169,34,0)</f>
        <v>#N/A</v>
      </c>
      <c r="V98" s="830" t="e">
        <f>VLOOKUP(C98,'sản lượng'!$D$14:$AK$169,35,0)</f>
        <v>#N/A</v>
      </c>
      <c r="W98" s="830" t="e">
        <f t="shared" si="18"/>
        <v>#N/A</v>
      </c>
      <c r="X98" s="830"/>
      <c r="Y98" s="830"/>
      <c r="Z98" s="830" t="e">
        <f t="shared" si="19"/>
        <v>#N/A</v>
      </c>
      <c r="AA98" s="830" t="e">
        <f>VLOOKUP(C98,'CHẤM CÔNG '!$E$13:$AM$168,33,0)</f>
        <v>#N/A</v>
      </c>
      <c r="AB98" s="830" t="e">
        <f>VLOOKUP(C98,'CHẤM CÔNG '!$E$13:$AM$168,34,0)</f>
        <v>#N/A</v>
      </c>
      <c r="AC98" s="830"/>
      <c r="AD98" s="830"/>
      <c r="AE98" s="830"/>
      <c r="AF98" s="830"/>
      <c r="AG98" s="830"/>
      <c r="AH98" s="830"/>
      <c r="AI98" s="830"/>
      <c r="AJ98" s="830"/>
      <c r="AK98" s="836"/>
      <c r="AL98" s="837" t="e">
        <f>VLOOKUP(C98,'sản lượng'!$D$14:$AP$169,38,0)</f>
        <v>#N/A</v>
      </c>
    </row>
    <row r="99" spans="1:38" ht="15.75">
      <c r="A99" s="824">
        <v>42</v>
      </c>
      <c r="B99" s="813" t="e">
        <f>VLOOKUP(C99,'DS CN MOI UP'!$B$10:$C$389,2,0)</f>
        <v>#N/A</v>
      </c>
      <c r="C99" s="825" t="s">
        <v>1983</v>
      </c>
      <c r="D99" s="826" t="s">
        <v>15</v>
      </c>
      <c r="E99" s="815">
        <f t="shared" si="16"/>
        <v>24</v>
      </c>
      <c r="F99" s="815"/>
      <c r="G99" s="815"/>
      <c r="H99" s="960"/>
      <c r="I99" s="815"/>
      <c r="J99" s="815"/>
      <c r="K99" s="815"/>
      <c r="L99" s="815"/>
      <c r="M99" s="815"/>
      <c r="N99" s="815"/>
      <c r="O99" s="815"/>
      <c r="P99" s="815"/>
      <c r="Q99" s="815"/>
      <c r="R99" s="815"/>
      <c r="S99" s="830">
        <f t="shared" si="22"/>
        <v>24</v>
      </c>
      <c r="T99" s="830" t="e">
        <f>VLOOKUP(C99,'sản lượng'!$D$14:$AK$169,33,0)</f>
        <v>#N/A</v>
      </c>
      <c r="U99" s="830" t="e">
        <f>VLOOKUP(C99,'sản lượng'!$D$14:$AK$169,34,0)</f>
        <v>#N/A</v>
      </c>
      <c r="V99" s="830" t="e">
        <f>VLOOKUP(C99,'sản lượng'!$D$14:$AK$169,35,0)</f>
        <v>#N/A</v>
      </c>
      <c r="W99" s="830" t="e">
        <f t="shared" si="18"/>
        <v>#N/A</v>
      </c>
      <c r="X99" s="830"/>
      <c r="Y99" s="830"/>
      <c r="Z99" s="830" t="e">
        <f t="shared" si="19"/>
        <v>#N/A</v>
      </c>
      <c r="AA99" s="830" t="e">
        <f>VLOOKUP(C99,'CHẤM CÔNG '!$E$13:$AM$168,33,0)</f>
        <v>#N/A</v>
      </c>
      <c r="AB99" s="830" t="e">
        <f>VLOOKUP(C99,'CHẤM CÔNG '!$E$13:$AM$168,34,0)</f>
        <v>#N/A</v>
      </c>
      <c r="AC99" s="830"/>
      <c r="AD99" s="830"/>
      <c r="AE99" s="830"/>
      <c r="AF99" s="830"/>
      <c r="AG99" s="830"/>
      <c r="AH99" s="830"/>
      <c r="AI99" s="830"/>
      <c r="AJ99" s="830"/>
      <c r="AK99" s="836"/>
      <c r="AL99" s="837" t="e">
        <f>VLOOKUP(C99,'sản lượng'!$D$14:$AP$169,38,0)</f>
        <v>#N/A</v>
      </c>
    </row>
    <row r="100" spans="1:38" ht="15.75">
      <c r="A100" s="824">
        <v>43</v>
      </c>
      <c r="B100" s="813" t="e">
        <f>VLOOKUP(C100,'DS CN MOI UP'!$B$10:$C$389,2,0)</f>
        <v>#N/A</v>
      </c>
      <c r="C100" s="825" t="s">
        <v>1984</v>
      </c>
      <c r="D100" s="826" t="s">
        <v>15</v>
      </c>
      <c r="E100" s="815">
        <f t="shared" si="16"/>
        <v>24</v>
      </c>
      <c r="F100" s="815"/>
      <c r="G100" s="815"/>
      <c r="H100" s="960"/>
      <c r="I100" s="815"/>
      <c r="J100" s="815"/>
      <c r="K100" s="815"/>
      <c r="L100" s="815"/>
      <c r="M100" s="815"/>
      <c r="N100" s="815"/>
      <c r="O100" s="815"/>
      <c r="P100" s="815"/>
      <c r="Q100" s="815"/>
      <c r="R100" s="815"/>
      <c r="S100" s="830">
        <f t="shared" si="22"/>
        <v>24</v>
      </c>
      <c r="T100" s="830" t="e">
        <f>VLOOKUP(C100,'sản lượng'!$D$14:$AK$169,33,0)</f>
        <v>#N/A</v>
      </c>
      <c r="U100" s="830" t="e">
        <f>VLOOKUP(C100,'sản lượng'!$D$14:$AK$169,34,0)</f>
        <v>#N/A</v>
      </c>
      <c r="V100" s="830" t="e">
        <f>VLOOKUP(C100,'sản lượng'!$D$14:$AK$169,35,0)</f>
        <v>#N/A</v>
      </c>
      <c r="W100" s="830" t="e">
        <f t="shared" si="18"/>
        <v>#N/A</v>
      </c>
      <c r="X100" s="830"/>
      <c r="Y100" s="830"/>
      <c r="Z100" s="830" t="e">
        <f t="shared" si="19"/>
        <v>#N/A</v>
      </c>
      <c r="AA100" s="830" t="e">
        <f>VLOOKUP(C100,'CHẤM CÔNG '!$E$13:$AM$168,33,0)</f>
        <v>#N/A</v>
      </c>
      <c r="AB100" s="830" t="e">
        <f>VLOOKUP(C100,'CHẤM CÔNG '!$E$13:$AM$168,34,0)</f>
        <v>#N/A</v>
      </c>
      <c r="AC100" s="830"/>
      <c r="AD100" s="830"/>
      <c r="AE100" s="830"/>
      <c r="AF100" s="830"/>
      <c r="AG100" s="830"/>
      <c r="AH100" s="830"/>
      <c r="AI100" s="830"/>
      <c r="AJ100" s="830"/>
      <c r="AK100" s="836"/>
      <c r="AL100" s="837" t="e">
        <f>VLOOKUP(C100,'sản lượng'!$D$14:$AP$169,38,0)</f>
        <v>#N/A</v>
      </c>
    </row>
    <row r="101" spans="1:38" ht="15.75">
      <c r="A101" s="824">
        <v>44</v>
      </c>
      <c r="B101" s="813" t="e">
        <f>VLOOKUP(C101,'DS CN MOI UP'!$B$10:$C$389,2,0)</f>
        <v>#N/A</v>
      </c>
      <c r="C101" s="825" t="s">
        <v>472</v>
      </c>
      <c r="D101" s="826" t="s">
        <v>15</v>
      </c>
      <c r="E101" s="815">
        <f t="shared" si="16"/>
        <v>24</v>
      </c>
      <c r="F101" s="815"/>
      <c r="G101" s="815"/>
      <c r="H101" s="960"/>
      <c r="I101" s="815"/>
      <c r="J101" s="815"/>
      <c r="K101" s="815"/>
      <c r="L101" s="815"/>
      <c r="M101" s="815"/>
      <c r="N101" s="815"/>
      <c r="O101" s="815"/>
      <c r="P101" s="815"/>
      <c r="Q101" s="815"/>
      <c r="R101" s="815"/>
      <c r="S101" s="830">
        <f t="shared" si="22"/>
        <v>24</v>
      </c>
      <c r="T101" s="830" t="e">
        <f>VLOOKUP(C101,'sản lượng'!$D$14:$AK$169,33,0)</f>
        <v>#N/A</v>
      </c>
      <c r="U101" s="830" t="e">
        <f>VLOOKUP(C101,'sản lượng'!$D$14:$AK$169,34,0)</f>
        <v>#N/A</v>
      </c>
      <c r="V101" s="830" t="e">
        <f>VLOOKUP(C101,'sản lượng'!$D$14:$AK$169,35,0)</f>
        <v>#N/A</v>
      </c>
      <c r="W101" s="830" t="e">
        <f t="shared" si="18"/>
        <v>#N/A</v>
      </c>
      <c r="X101" s="830"/>
      <c r="Y101" s="830"/>
      <c r="Z101" s="830" t="e">
        <f t="shared" si="19"/>
        <v>#N/A</v>
      </c>
      <c r="AA101" s="830" t="e">
        <f>VLOOKUP(C101,'CHẤM CÔNG '!$E$13:$AM$168,33,0)</f>
        <v>#N/A</v>
      </c>
      <c r="AB101" s="830" t="e">
        <f>VLOOKUP(C101,'CHẤM CÔNG '!$E$13:$AM$168,34,0)</f>
        <v>#N/A</v>
      </c>
      <c r="AC101" s="830"/>
      <c r="AD101" s="830"/>
      <c r="AE101" s="830"/>
      <c r="AF101" s="830"/>
      <c r="AG101" s="830"/>
      <c r="AH101" s="830"/>
      <c r="AI101" s="830"/>
      <c r="AJ101" s="830"/>
      <c r="AK101" s="836"/>
      <c r="AL101" s="837" t="e">
        <f>VLOOKUP(C101,'sản lượng'!$D$14:$AP$169,38,0)</f>
        <v>#N/A</v>
      </c>
    </row>
    <row r="102" spans="1:38" ht="15.75">
      <c r="A102" s="824">
        <v>45</v>
      </c>
      <c r="B102" s="813" t="e">
        <f>VLOOKUP(C102,'DS CN MOI UP'!$B$10:$C$389,2,0)</f>
        <v>#N/A</v>
      </c>
      <c r="C102" s="825" t="s">
        <v>473</v>
      </c>
      <c r="D102" s="826" t="s">
        <v>15</v>
      </c>
      <c r="E102" s="815">
        <f t="shared" si="16"/>
        <v>24</v>
      </c>
      <c r="F102" s="815"/>
      <c r="G102" s="815"/>
      <c r="H102" s="960"/>
      <c r="I102" s="815"/>
      <c r="J102" s="815"/>
      <c r="K102" s="815"/>
      <c r="L102" s="815"/>
      <c r="M102" s="815"/>
      <c r="N102" s="815"/>
      <c r="O102" s="815"/>
      <c r="P102" s="815"/>
      <c r="Q102" s="815"/>
      <c r="R102" s="815"/>
      <c r="S102" s="830">
        <f t="shared" si="22"/>
        <v>24</v>
      </c>
      <c r="T102" s="830" t="e">
        <f>VLOOKUP(C102,'sản lượng'!$D$14:$AK$169,33,0)</f>
        <v>#N/A</v>
      </c>
      <c r="U102" s="830" t="e">
        <f>VLOOKUP(C102,'sản lượng'!$D$14:$AK$169,34,0)</f>
        <v>#N/A</v>
      </c>
      <c r="V102" s="830" t="e">
        <f>VLOOKUP(C102,'sản lượng'!$D$14:$AK$169,35,0)</f>
        <v>#N/A</v>
      </c>
      <c r="W102" s="830" t="e">
        <f t="shared" si="18"/>
        <v>#N/A</v>
      </c>
      <c r="X102" s="830"/>
      <c r="Y102" s="830"/>
      <c r="Z102" s="830" t="e">
        <f t="shared" si="19"/>
        <v>#N/A</v>
      </c>
      <c r="AA102" s="830" t="e">
        <f>VLOOKUP(C102,'CHẤM CÔNG '!$E$13:$AM$168,33,0)</f>
        <v>#N/A</v>
      </c>
      <c r="AB102" s="830" t="e">
        <f>VLOOKUP(C102,'CHẤM CÔNG '!$E$13:$AM$168,34,0)</f>
        <v>#N/A</v>
      </c>
      <c r="AC102" s="830"/>
      <c r="AD102" s="830"/>
      <c r="AE102" s="830"/>
      <c r="AF102" s="830"/>
      <c r="AG102" s="830"/>
      <c r="AH102" s="830"/>
      <c r="AI102" s="830"/>
      <c r="AJ102" s="830"/>
      <c r="AK102" s="836"/>
      <c r="AL102" s="837" t="e">
        <f>VLOOKUP(C102,'sản lượng'!$D$14:$AP$169,38,0)</f>
        <v>#N/A</v>
      </c>
    </row>
    <row r="103" spans="1:38" ht="15.75">
      <c r="A103" s="824">
        <v>46</v>
      </c>
      <c r="B103" s="813" t="e">
        <f>VLOOKUP(C103,'DS CN MOI UP'!$B$10:$C$389,2,0)</f>
        <v>#N/A</v>
      </c>
      <c r="C103" s="825" t="s">
        <v>1985</v>
      </c>
      <c r="D103" s="826" t="s">
        <v>15</v>
      </c>
      <c r="E103" s="815">
        <f t="shared" si="16"/>
        <v>24</v>
      </c>
      <c r="F103" s="815"/>
      <c r="G103" s="815"/>
      <c r="H103" s="960"/>
      <c r="I103" s="815"/>
      <c r="J103" s="815"/>
      <c r="K103" s="815"/>
      <c r="L103" s="815"/>
      <c r="M103" s="815"/>
      <c r="N103" s="815"/>
      <c r="O103" s="815"/>
      <c r="P103" s="815"/>
      <c r="Q103" s="815"/>
      <c r="R103" s="815"/>
      <c r="S103" s="830">
        <f t="shared" ref="S103:S114" si="23">SUM(E103:P103)</f>
        <v>24</v>
      </c>
      <c r="T103" s="830" t="e">
        <f>VLOOKUP(C103,'sản lượng'!$D$14:$AK$169,33,0)</f>
        <v>#N/A</v>
      </c>
      <c r="U103" s="830" t="e">
        <f>VLOOKUP(C103,'sản lượng'!$D$14:$AK$169,34,0)</f>
        <v>#N/A</v>
      </c>
      <c r="V103" s="830" t="e">
        <f>VLOOKUP(C103,'sản lượng'!$D$14:$AK$169,35,0)</f>
        <v>#N/A</v>
      </c>
      <c r="W103" s="830" t="e">
        <f t="shared" ref="W103:W119" si="24">SUM(T103:V103)</f>
        <v>#N/A</v>
      </c>
      <c r="X103" s="830"/>
      <c r="Y103" s="830"/>
      <c r="Z103" s="830" t="e">
        <f t="shared" ref="Z103:Z113" si="25">W103*$AN$14+X103*$AN$10</f>
        <v>#N/A</v>
      </c>
      <c r="AA103" s="830" t="e">
        <f>VLOOKUP(C103,'CHẤM CÔNG '!$E$13:$AM$168,33,0)</f>
        <v>#N/A</v>
      </c>
      <c r="AB103" s="830" t="e">
        <f>VLOOKUP(C103,'CHẤM CÔNG '!$E$13:$AM$168,34,0)</f>
        <v>#N/A</v>
      </c>
      <c r="AC103" s="830"/>
      <c r="AD103" s="830"/>
      <c r="AE103" s="830"/>
      <c r="AF103" s="830"/>
      <c r="AG103" s="830"/>
      <c r="AH103" s="830"/>
      <c r="AI103" s="830"/>
      <c r="AJ103" s="830"/>
      <c r="AK103" s="836"/>
      <c r="AL103" s="837" t="e">
        <f>VLOOKUP(C103,'sản lượng'!$D$14:$AP$169,38,0)</f>
        <v>#N/A</v>
      </c>
    </row>
    <row r="104" spans="1:38" ht="15.75">
      <c r="A104" s="824">
        <v>47</v>
      </c>
      <c r="B104" s="813" t="e">
        <f>VLOOKUP(C104,'DS CN MOI UP'!$B$10:$C$389,2,0)</f>
        <v>#N/A</v>
      </c>
      <c r="C104" s="825" t="s">
        <v>475</v>
      </c>
      <c r="D104" s="826" t="s">
        <v>15</v>
      </c>
      <c r="E104" s="815">
        <f t="shared" si="16"/>
        <v>24</v>
      </c>
      <c r="F104" s="815"/>
      <c r="G104" s="815"/>
      <c r="H104" s="960"/>
      <c r="I104" s="815"/>
      <c r="J104" s="815"/>
      <c r="K104" s="815"/>
      <c r="L104" s="815"/>
      <c r="M104" s="815"/>
      <c r="N104" s="815"/>
      <c r="O104" s="815"/>
      <c r="P104" s="815"/>
      <c r="Q104" s="815"/>
      <c r="R104" s="815"/>
      <c r="S104" s="830">
        <f t="shared" si="23"/>
        <v>24</v>
      </c>
      <c r="T104" s="830" t="e">
        <f>VLOOKUP(C104,'sản lượng'!$D$14:$AK$169,33,0)</f>
        <v>#N/A</v>
      </c>
      <c r="U104" s="830" t="e">
        <f>VLOOKUP(C104,'sản lượng'!$D$14:$AK$169,34,0)</f>
        <v>#N/A</v>
      </c>
      <c r="V104" s="830" t="e">
        <f>VLOOKUP(C104,'sản lượng'!$D$14:$AK$169,35,0)</f>
        <v>#N/A</v>
      </c>
      <c r="W104" s="830" t="e">
        <f t="shared" si="24"/>
        <v>#N/A</v>
      </c>
      <c r="X104" s="830"/>
      <c r="Y104" s="830"/>
      <c r="Z104" s="830" t="e">
        <f t="shared" si="25"/>
        <v>#N/A</v>
      </c>
      <c r="AA104" s="830" t="e">
        <f>VLOOKUP(C104,'CHẤM CÔNG '!$E$13:$AM$168,33,0)</f>
        <v>#N/A</v>
      </c>
      <c r="AB104" s="830" t="e">
        <f>VLOOKUP(C104,'CHẤM CÔNG '!$E$13:$AM$168,34,0)</f>
        <v>#N/A</v>
      </c>
      <c r="AC104" s="830"/>
      <c r="AD104" s="830"/>
      <c r="AE104" s="830"/>
      <c r="AF104" s="830"/>
      <c r="AG104" s="830"/>
      <c r="AH104" s="830"/>
      <c r="AI104" s="830"/>
      <c r="AJ104" s="830"/>
      <c r="AK104" s="836"/>
      <c r="AL104" s="837" t="e">
        <f>VLOOKUP(C104,'sản lượng'!$D$14:$AP$169,38,0)</f>
        <v>#N/A</v>
      </c>
    </row>
    <row r="105" spans="1:38" ht="15.75">
      <c r="A105" s="824">
        <v>48</v>
      </c>
      <c r="B105" s="813" t="e">
        <f>VLOOKUP(C105,'DS CN MOI UP'!$B$10:$C$389,2,0)</f>
        <v>#N/A</v>
      </c>
      <c r="C105" s="845" t="s">
        <v>476</v>
      </c>
      <c r="D105" s="826" t="s">
        <v>15</v>
      </c>
      <c r="E105" s="815">
        <f t="shared" si="16"/>
        <v>24</v>
      </c>
      <c r="F105" s="815"/>
      <c r="G105" s="815"/>
      <c r="H105" s="960"/>
      <c r="I105" s="815"/>
      <c r="J105" s="815"/>
      <c r="K105" s="815"/>
      <c r="L105" s="815"/>
      <c r="M105" s="815"/>
      <c r="N105" s="815"/>
      <c r="O105" s="815"/>
      <c r="P105" s="815"/>
      <c r="Q105" s="815"/>
      <c r="R105" s="815"/>
      <c r="S105" s="830">
        <f t="shared" si="23"/>
        <v>24</v>
      </c>
      <c r="T105" s="830" t="e">
        <f>VLOOKUP(C105,'sản lượng'!$D$14:$AK$169,33,0)</f>
        <v>#N/A</v>
      </c>
      <c r="U105" s="830" t="e">
        <f>VLOOKUP(C105,'sản lượng'!$D$14:$AK$169,34,0)</f>
        <v>#N/A</v>
      </c>
      <c r="V105" s="830" t="e">
        <f>VLOOKUP(C105,'sản lượng'!$D$14:$AK$169,35,0)</f>
        <v>#N/A</v>
      </c>
      <c r="W105" s="830" t="e">
        <f t="shared" si="24"/>
        <v>#N/A</v>
      </c>
      <c r="X105" s="830"/>
      <c r="Y105" s="830"/>
      <c r="Z105" s="830" t="e">
        <f t="shared" si="25"/>
        <v>#N/A</v>
      </c>
      <c r="AA105" s="830" t="e">
        <f>VLOOKUP(C105,'CHẤM CÔNG '!$E$13:$AM$168,33,0)</f>
        <v>#N/A</v>
      </c>
      <c r="AB105" s="830" t="e">
        <f>VLOOKUP(C105,'CHẤM CÔNG '!$E$13:$AM$168,34,0)</f>
        <v>#N/A</v>
      </c>
      <c r="AC105" s="830"/>
      <c r="AD105" s="830"/>
      <c r="AE105" s="830"/>
      <c r="AF105" s="830"/>
      <c r="AG105" s="830"/>
      <c r="AH105" s="830"/>
      <c r="AI105" s="830"/>
      <c r="AJ105" s="830"/>
      <c r="AK105" s="836"/>
      <c r="AL105" s="837" t="e">
        <f>VLOOKUP(C105,'sản lượng'!$D$14:$AP$169,38,0)</f>
        <v>#N/A</v>
      </c>
    </row>
    <row r="106" spans="1:38" ht="15.75">
      <c r="A106" s="824">
        <v>49</v>
      </c>
      <c r="B106" s="813" t="e">
        <f>VLOOKUP(C106,'DS CN MOI UP'!$B$10:$C$389,2,0)</f>
        <v>#N/A</v>
      </c>
      <c r="C106" s="825" t="s">
        <v>1986</v>
      </c>
      <c r="D106" s="826" t="s">
        <v>15</v>
      </c>
      <c r="E106" s="815">
        <f t="shared" si="16"/>
        <v>24</v>
      </c>
      <c r="F106" s="815"/>
      <c r="G106" s="815"/>
      <c r="H106" s="960"/>
      <c r="I106" s="815"/>
      <c r="J106" s="815"/>
      <c r="K106" s="815"/>
      <c r="L106" s="815"/>
      <c r="M106" s="815"/>
      <c r="N106" s="815"/>
      <c r="O106" s="815"/>
      <c r="P106" s="815"/>
      <c r="Q106" s="815"/>
      <c r="R106" s="815"/>
      <c r="S106" s="830">
        <f t="shared" si="23"/>
        <v>24</v>
      </c>
      <c r="T106" s="830" t="e">
        <f>VLOOKUP(C106,'sản lượng'!$D$14:$AK$169,33,0)</f>
        <v>#N/A</v>
      </c>
      <c r="U106" s="830" t="e">
        <f>VLOOKUP(C106,'sản lượng'!$D$14:$AK$169,34,0)</f>
        <v>#N/A</v>
      </c>
      <c r="V106" s="830" t="e">
        <f>VLOOKUP(C106,'sản lượng'!$D$14:$AK$169,35,0)</f>
        <v>#N/A</v>
      </c>
      <c r="W106" s="830" t="e">
        <f t="shared" si="24"/>
        <v>#N/A</v>
      </c>
      <c r="X106" s="830"/>
      <c r="Y106" s="830"/>
      <c r="Z106" s="830" t="e">
        <f t="shared" si="25"/>
        <v>#N/A</v>
      </c>
      <c r="AA106" s="830" t="e">
        <f>VLOOKUP(C106,'CHẤM CÔNG '!$E$13:$AM$168,33,0)</f>
        <v>#N/A</v>
      </c>
      <c r="AB106" s="830" t="e">
        <f>VLOOKUP(C106,'CHẤM CÔNG '!$E$13:$AM$168,34,0)</f>
        <v>#N/A</v>
      </c>
      <c r="AC106" s="830"/>
      <c r="AD106" s="830"/>
      <c r="AE106" s="830"/>
      <c r="AF106" s="830"/>
      <c r="AG106" s="830"/>
      <c r="AH106" s="830"/>
      <c r="AI106" s="830"/>
      <c r="AJ106" s="830"/>
      <c r="AK106" s="836"/>
      <c r="AL106" s="837" t="e">
        <f>VLOOKUP(C106,'sản lượng'!$D$14:$AP$169,38,0)</f>
        <v>#N/A</v>
      </c>
    </row>
    <row r="107" spans="1:38" ht="15.75">
      <c r="A107" s="824">
        <v>50</v>
      </c>
      <c r="B107" s="813" t="e">
        <f>VLOOKUP(C107,'DS CN MOI UP'!$B$10:$C$389,2,0)</f>
        <v>#N/A</v>
      </c>
      <c r="C107" s="825" t="s">
        <v>909</v>
      </c>
      <c r="D107" s="826" t="s">
        <v>15</v>
      </c>
      <c r="E107" s="815">
        <f t="shared" si="16"/>
        <v>24</v>
      </c>
      <c r="F107" s="815"/>
      <c r="G107" s="815"/>
      <c r="H107" s="960"/>
      <c r="I107" s="815"/>
      <c r="J107" s="815"/>
      <c r="K107" s="815"/>
      <c r="L107" s="815"/>
      <c r="M107" s="815"/>
      <c r="N107" s="815"/>
      <c r="O107" s="815"/>
      <c r="P107" s="815"/>
      <c r="Q107" s="815"/>
      <c r="R107" s="815"/>
      <c r="S107" s="830">
        <f t="shared" si="23"/>
        <v>24</v>
      </c>
      <c r="T107" s="830" t="e">
        <f>VLOOKUP(C107,'sản lượng'!$D$14:$AK$169,33,0)</f>
        <v>#N/A</v>
      </c>
      <c r="U107" s="830" t="e">
        <f>VLOOKUP(C107,'sản lượng'!$D$14:$AK$169,34,0)</f>
        <v>#N/A</v>
      </c>
      <c r="V107" s="830" t="e">
        <f>VLOOKUP(C107,'sản lượng'!$D$14:$AK$169,35,0)</f>
        <v>#N/A</v>
      </c>
      <c r="W107" s="830" t="e">
        <f t="shared" si="24"/>
        <v>#N/A</v>
      </c>
      <c r="X107" s="830"/>
      <c r="Y107" s="830"/>
      <c r="Z107" s="830" t="e">
        <f t="shared" si="25"/>
        <v>#N/A</v>
      </c>
      <c r="AA107" s="830" t="e">
        <f>VLOOKUP(C107,'CHẤM CÔNG '!$E$13:$AM$168,33,0)</f>
        <v>#N/A</v>
      </c>
      <c r="AB107" s="830" t="e">
        <f>VLOOKUP(C107,'CHẤM CÔNG '!$E$13:$AM$168,34,0)</f>
        <v>#N/A</v>
      </c>
      <c r="AC107" s="830"/>
      <c r="AD107" s="830"/>
      <c r="AE107" s="830"/>
      <c r="AF107" s="830"/>
      <c r="AG107" s="830"/>
      <c r="AH107" s="830"/>
      <c r="AI107" s="830"/>
      <c r="AJ107" s="830"/>
      <c r="AK107" s="836"/>
      <c r="AL107" s="837" t="e">
        <f>VLOOKUP(C107,'sản lượng'!$D$14:$AP$169,38,0)</f>
        <v>#N/A</v>
      </c>
    </row>
    <row r="108" spans="1:38" ht="15.75">
      <c r="A108" s="824">
        <v>51</v>
      </c>
      <c r="B108" s="813" t="e">
        <f>VLOOKUP(C108,'DS CN MOI UP'!$B$10:$C$389,2,0)</f>
        <v>#N/A</v>
      </c>
      <c r="C108" s="825" t="s">
        <v>479</v>
      </c>
      <c r="D108" s="826" t="s">
        <v>15</v>
      </c>
      <c r="E108" s="815">
        <f t="shared" si="16"/>
        <v>24</v>
      </c>
      <c r="F108" s="815"/>
      <c r="G108" s="815"/>
      <c r="H108" s="960"/>
      <c r="I108" s="815"/>
      <c r="J108" s="815"/>
      <c r="K108" s="815"/>
      <c r="L108" s="815"/>
      <c r="M108" s="815"/>
      <c r="N108" s="815"/>
      <c r="O108" s="815"/>
      <c r="P108" s="815"/>
      <c r="Q108" s="815"/>
      <c r="R108" s="815"/>
      <c r="S108" s="830">
        <f t="shared" si="23"/>
        <v>24</v>
      </c>
      <c r="T108" s="830" t="e">
        <f>VLOOKUP(C108,'sản lượng'!$D$14:$AK$169,33,0)</f>
        <v>#N/A</v>
      </c>
      <c r="U108" s="830" t="e">
        <f>VLOOKUP(C108,'sản lượng'!$D$14:$AK$169,34,0)</f>
        <v>#N/A</v>
      </c>
      <c r="V108" s="830" t="e">
        <f>VLOOKUP(C108,'sản lượng'!$D$14:$AK$169,35,0)</f>
        <v>#N/A</v>
      </c>
      <c r="W108" s="830" t="e">
        <f t="shared" si="24"/>
        <v>#N/A</v>
      </c>
      <c r="X108" s="830"/>
      <c r="Y108" s="830"/>
      <c r="Z108" s="830" t="e">
        <f t="shared" si="25"/>
        <v>#N/A</v>
      </c>
      <c r="AA108" s="830" t="e">
        <f>VLOOKUP(C108,'CHẤM CÔNG '!$E$13:$AM$168,33,0)</f>
        <v>#N/A</v>
      </c>
      <c r="AB108" s="830" t="e">
        <f>VLOOKUP(C108,'CHẤM CÔNG '!$E$13:$AM$168,34,0)</f>
        <v>#N/A</v>
      </c>
      <c r="AC108" s="830"/>
      <c r="AD108" s="830"/>
      <c r="AE108" s="830"/>
      <c r="AF108" s="830"/>
      <c r="AG108" s="830"/>
      <c r="AH108" s="830"/>
      <c r="AI108" s="830"/>
      <c r="AJ108" s="830"/>
      <c r="AK108" s="836"/>
      <c r="AL108" s="837" t="e">
        <f>VLOOKUP(C108,'sản lượng'!$D$14:$AP$169,38,0)</f>
        <v>#N/A</v>
      </c>
    </row>
    <row r="109" spans="1:38" ht="15.75">
      <c r="A109" s="824">
        <v>52</v>
      </c>
      <c r="B109" s="813" t="e">
        <f>VLOOKUP(C109,'DS CN MOI UP'!$B$10:$C$389,2,0)</f>
        <v>#N/A</v>
      </c>
      <c r="C109" s="825" t="s">
        <v>1987</v>
      </c>
      <c r="D109" s="826" t="s">
        <v>15</v>
      </c>
      <c r="E109" s="815">
        <f t="shared" si="16"/>
        <v>24</v>
      </c>
      <c r="F109" s="815"/>
      <c r="G109" s="815"/>
      <c r="H109" s="960"/>
      <c r="I109" s="815"/>
      <c r="J109" s="815"/>
      <c r="K109" s="815"/>
      <c r="L109" s="815"/>
      <c r="M109" s="815"/>
      <c r="N109" s="815"/>
      <c r="O109" s="815"/>
      <c r="P109" s="815"/>
      <c r="Q109" s="815"/>
      <c r="R109" s="815"/>
      <c r="S109" s="830">
        <f t="shared" si="23"/>
        <v>24</v>
      </c>
      <c r="T109" s="830" t="e">
        <f>VLOOKUP(C109,'sản lượng'!$D$14:$AK$169,33,0)</f>
        <v>#N/A</v>
      </c>
      <c r="U109" s="830" t="e">
        <f>VLOOKUP(C109,'sản lượng'!$D$14:$AK$169,34,0)</f>
        <v>#N/A</v>
      </c>
      <c r="V109" s="830" t="e">
        <f>VLOOKUP(C109,'sản lượng'!$D$14:$AK$169,35,0)</f>
        <v>#N/A</v>
      </c>
      <c r="W109" s="830" t="e">
        <f t="shared" si="24"/>
        <v>#N/A</v>
      </c>
      <c r="X109" s="830"/>
      <c r="Y109" s="830"/>
      <c r="Z109" s="830" t="e">
        <f t="shared" si="25"/>
        <v>#N/A</v>
      </c>
      <c r="AA109" s="830" t="e">
        <f>VLOOKUP(C109,'CHẤM CÔNG '!$E$13:$AM$168,33,0)</f>
        <v>#N/A</v>
      </c>
      <c r="AB109" s="830" t="e">
        <f>VLOOKUP(C109,'CHẤM CÔNG '!$E$13:$AM$168,34,0)</f>
        <v>#N/A</v>
      </c>
      <c r="AC109" s="830"/>
      <c r="AD109" s="830"/>
      <c r="AE109" s="830"/>
      <c r="AF109" s="830"/>
      <c r="AG109" s="830"/>
      <c r="AH109" s="830"/>
      <c r="AI109" s="830"/>
      <c r="AJ109" s="830"/>
      <c r="AK109" s="836"/>
      <c r="AL109" s="837" t="e">
        <f>VLOOKUP(C109,'sản lượng'!$D$14:$AP$169,38,0)</f>
        <v>#N/A</v>
      </c>
    </row>
    <row r="110" spans="1:38" ht="15.75">
      <c r="A110" s="824">
        <v>53</v>
      </c>
      <c r="B110" s="813" t="e">
        <f>VLOOKUP(C110,'DS CN MOI UP'!$B$10:$C$389,2,0)</f>
        <v>#N/A</v>
      </c>
      <c r="C110" s="825" t="s">
        <v>1988</v>
      </c>
      <c r="D110" s="826" t="s">
        <v>15</v>
      </c>
      <c r="E110" s="815">
        <f t="shared" si="16"/>
        <v>24</v>
      </c>
      <c r="F110" s="815"/>
      <c r="G110" s="815"/>
      <c r="H110" s="960"/>
      <c r="I110" s="815"/>
      <c r="J110" s="815"/>
      <c r="K110" s="815"/>
      <c r="L110" s="815"/>
      <c r="M110" s="815"/>
      <c r="N110" s="815"/>
      <c r="O110" s="815"/>
      <c r="P110" s="815"/>
      <c r="Q110" s="815"/>
      <c r="R110" s="815"/>
      <c r="S110" s="830">
        <f t="shared" si="23"/>
        <v>24</v>
      </c>
      <c r="T110" s="830" t="e">
        <f>VLOOKUP(C110,'sản lượng'!$D$14:$AK$169,33,0)</f>
        <v>#N/A</v>
      </c>
      <c r="U110" s="830" t="e">
        <f>VLOOKUP(C110,'sản lượng'!$D$14:$AK$169,34,0)</f>
        <v>#N/A</v>
      </c>
      <c r="V110" s="830" t="e">
        <f>VLOOKUP(C110,'sản lượng'!$D$14:$AK$169,35,0)</f>
        <v>#N/A</v>
      </c>
      <c r="W110" s="830" t="e">
        <f t="shared" si="24"/>
        <v>#N/A</v>
      </c>
      <c r="X110" s="830"/>
      <c r="Y110" s="830"/>
      <c r="Z110" s="830" t="e">
        <f t="shared" si="25"/>
        <v>#N/A</v>
      </c>
      <c r="AA110" s="830" t="e">
        <f>VLOOKUP(C110,'CHẤM CÔNG '!$E$13:$AM$168,33,0)</f>
        <v>#N/A</v>
      </c>
      <c r="AB110" s="830" t="e">
        <f>VLOOKUP(C110,'CHẤM CÔNG '!$E$13:$AM$168,34,0)</f>
        <v>#N/A</v>
      </c>
      <c r="AC110" s="830"/>
      <c r="AD110" s="830"/>
      <c r="AE110" s="830"/>
      <c r="AF110" s="830"/>
      <c r="AG110" s="830"/>
      <c r="AH110" s="830"/>
      <c r="AI110" s="830"/>
      <c r="AJ110" s="830"/>
      <c r="AK110" s="836"/>
      <c r="AL110" s="837" t="e">
        <f>VLOOKUP(C110,'sản lượng'!$D$14:$AP$169,38,0)</f>
        <v>#N/A</v>
      </c>
    </row>
    <row r="111" spans="1:38" ht="15.75">
      <c r="A111" s="824">
        <v>54</v>
      </c>
      <c r="B111" s="813" t="e">
        <f>VLOOKUP(C111,'DS CN MOI UP'!$B$10:$C$389,2,0)</f>
        <v>#N/A</v>
      </c>
      <c r="C111" s="825" t="s">
        <v>482</v>
      </c>
      <c r="D111" s="826" t="s">
        <v>15</v>
      </c>
      <c r="E111" s="815">
        <f t="shared" si="16"/>
        <v>24</v>
      </c>
      <c r="F111" s="815"/>
      <c r="G111" s="815"/>
      <c r="H111" s="960"/>
      <c r="I111" s="815"/>
      <c r="J111" s="815"/>
      <c r="K111" s="815"/>
      <c r="L111" s="815"/>
      <c r="M111" s="815"/>
      <c r="N111" s="815"/>
      <c r="O111" s="815"/>
      <c r="P111" s="815"/>
      <c r="Q111" s="815"/>
      <c r="R111" s="815"/>
      <c r="S111" s="830">
        <f t="shared" si="23"/>
        <v>24</v>
      </c>
      <c r="T111" s="830" t="e">
        <f>VLOOKUP(C111,'sản lượng'!$D$14:$AK$169,33,0)</f>
        <v>#N/A</v>
      </c>
      <c r="U111" s="830" t="e">
        <f>VLOOKUP(C111,'sản lượng'!$D$14:$AK$169,34,0)</f>
        <v>#N/A</v>
      </c>
      <c r="V111" s="830" t="e">
        <f>VLOOKUP(C111,'sản lượng'!$D$14:$AK$169,35,0)</f>
        <v>#N/A</v>
      </c>
      <c r="W111" s="830" t="e">
        <f t="shared" si="24"/>
        <v>#N/A</v>
      </c>
      <c r="X111" s="830"/>
      <c r="Y111" s="830"/>
      <c r="Z111" s="830" t="e">
        <f t="shared" si="25"/>
        <v>#N/A</v>
      </c>
      <c r="AA111" s="830" t="e">
        <f>VLOOKUP(C111,'CHẤM CÔNG '!$E$13:$AM$168,33,0)</f>
        <v>#N/A</v>
      </c>
      <c r="AB111" s="830" t="e">
        <f>VLOOKUP(C111,'CHẤM CÔNG '!$E$13:$AM$168,34,0)</f>
        <v>#N/A</v>
      </c>
      <c r="AC111" s="830"/>
      <c r="AD111" s="830"/>
      <c r="AE111" s="830"/>
      <c r="AF111" s="830"/>
      <c r="AG111" s="830"/>
      <c r="AH111" s="830"/>
      <c r="AI111" s="830"/>
      <c r="AJ111" s="830"/>
      <c r="AK111" s="836"/>
      <c r="AL111" s="837" t="e">
        <f>VLOOKUP(C111,'sản lượng'!$D$14:$AP$169,38,0)</f>
        <v>#N/A</v>
      </c>
    </row>
    <row r="112" spans="1:38" ht="15.75">
      <c r="A112" s="824">
        <v>55</v>
      </c>
      <c r="B112" s="813" t="e">
        <f>VLOOKUP(C112,'DS CN MOI UP'!$B$10:$C$389,2,0)</f>
        <v>#N/A</v>
      </c>
      <c r="C112" s="825" t="s">
        <v>449</v>
      </c>
      <c r="D112" s="826" t="s">
        <v>15</v>
      </c>
      <c r="E112" s="815">
        <f t="shared" si="16"/>
        <v>24</v>
      </c>
      <c r="F112" s="815"/>
      <c r="G112" s="815"/>
      <c r="H112" s="960"/>
      <c r="I112" s="815"/>
      <c r="J112" s="815"/>
      <c r="K112" s="815"/>
      <c r="L112" s="815"/>
      <c r="M112" s="815"/>
      <c r="N112" s="815"/>
      <c r="O112" s="815"/>
      <c r="P112" s="815"/>
      <c r="Q112" s="815"/>
      <c r="R112" s="815"/>
      <c r="S112" s="830">
        <f t="shared" si="23"/>
        <v>24</v>
      </c>
      <c r="T112" s="830" t="e">
        <f>VLOOKUP(C112,'sản lượng'!$D$14:$AK$169,33,0)</f>
        <v>#N/A</v>
      </c>
      <c r="U112" s="830" t="e">
        <f>VLOOKUP(C112,'sản lượng'!$D$14:$AK$169,34,0)</f>
        <v>#N/A</v>
      </c>
      <c r="V112" s="830" t="e">
        <f>VLOOKUP(C112,'sản lượng'!$D$14:$AK$169,35,0)</f>
        <v>#N/A</v>
      </c>
      <c r="W112" s="830" t="e">
        <f t="shared" si="24"/>
        <v>#N/A</v>
      </c>
      <c r="X112" s="830"/>
      <c r="Y112" s="830"/>
      <c r="Z112" s="830" t="e">
        <f t="shared" si="25"/>
        <v>#N/A</v>
      </c>
      <c r="AA112" s="830" t="e">
        <f>VLOOKUP(C112,'CHẤM CÔNG '!$E$13:$AM$168,33,0)</f>
        <v>#N/A</v>
      </c>
      <c r="AB112" s="830" t="e">
        <f>VLOOKUP(C112,'CHẤM CÔNG '!$E$13:$AM$168,34,0)</f>
        <v>#N/A</v>
      </c>
      <c r="AC112" s="830"/>
      <c r="AD112" s="830"/>
      <c r="AE112" s="830"/>
      <c r="AF112" s="830"/>
      <c r="AG112" s="830"/>
      <c r="AH112" s="830"/>
      <c r="AI112" s="830"/>
      <c r="AJ112" s="830"/>
      <c r="AK112" s="836"/>
      <c r="AL112" s="837" t="e">
        <f>VLOOKUP(C112,'sản lượng'!$D$14:$AP$169,38,0)</f>
        <v>#N/A</v>
      </c>
    </row>
    <row r="113" spans="1:44" ht="15.75">
      <c r="A113" s="824">
        <v>56</v>
      </c>
      <c r="B113" s="813" t="e">
        <f>VLOOKUP(C113,'DS CN MOI UP'!$B$10:$C$389,2,0)</f>
        <v>#N/A</v>
      </c>
      <c r="C113" s="825" t="s">
        <v>1990</v>
      </c>
      <c r="D113" s="826" t="s">
        <v>15</v>
      </c>
      <c r="E113" s="815">
        <f t="shared" si="16"/>
        <v>24</v>
      </c>
      <c r="F113" s="815"/>
      <c r="G113" s="815"/>
      <c r="H113" s="960"/>
      <c r="I113" s="815"/>
      <c r="J113" s="815"/>
      <c r="K113" s="815"/>
      <c r="L113" s="815"/>
      <c r="M113" s="815"/>
      <c r="N113" s="815"/>
      <c r="O113" s="815"/>
      <c r="P113" s="815"/>
      <c r="Q113" s="815"/>
      <c r="R113" s="815"/>
      <c r="S113" s="830">
        <f t="shared" si="23"/>
        <v>24</v>
      </c>
      <c r="T113" s="830" t="e">
        <f>VLOOKUP(C113,'sản lượng'!$D$14:$AK$169,33,0)</f>
        <v>#N/A</v>
      </c>
      <c r="U113" s="830" t="e">
        <f>VLOOKUP(C113,'sản lượng'!$D$14:$AK$169,34,0)</f>
        <v>#N/A</v>
      </c>
      <c r="V113" s="830" t="e">
        <f>VLOOKUP(C113,'sản lượng'!$D$14:$AK$169,35,0)</f>
        <v>#N/A</v>
      </c>
      <c r="W113" s="830" t="e">
        <f t="shared" si="24"/>
        <v>#N/A</v>
      </c>
      <c r="X113" s="830"/>
      <c r="Y113" s="830"/>
      <c r="Z113" s="830" t="e">
        <f t="shared" si="25"/>
        <v>#N/A</v>
      </c>
      <c r="AA113" s="830" t="e">
        <f>VLOOKUP(C113,'CHẤM CÔNG '!$E$13:$AM$168,33,0)</f>
        <v>#N/A</v>
      </c>
      <c r="AB113" s="830" t="e">
        <f>VLOOKUP(C113,'CHẤM CÔNG '!$E$13:$AM$168,34,0)</f>
        <v>#N/A</v>
      </c>
      <c r="AC113" s="830"/>
      <c r="AD113" s="830"/>
      <c r="AE113" s="830">
        <f>VLOOKUP(C113,'Công cây non'!$C$10:$AJ$28,34,0)</f>
        <v>13</v>
      </c>
      <c r="AF113" s="830"/>
      <c r="AG113" s="830"/>
      <c r="AH113" s="830"/>
      <c r="AI113" s="830"/>
      <c r="AJ113" s="830"/>
      <c r="AK113" s="836"/>
      <c r="AL113" s="837" t="e">
        <f>VLOOKUP(C113,'sản lượng'!$D$14:$AP$169,38,0)</f>
        <v>#N/A</v>
      </c>
    </row>
    <row r="114" spans="1:44" ht="15.75">
      <c r="A114" s="824">
        <v>57</v>
      </c>
      <c r="B114" s="813" t="e">
        <f>VLOOKUP(C114,'DS CN MOI UP'!$B$10:$C$389,2,0)</f>
        <v>#N/A</v>
      </c>
      <c r="C114" s="825" t="s">
        <v>1991</v>
      </c>
      <c r="D114" s="826" t="s">
        <v>15</v>
      </c>
      <c r="E114" s="815">
        <f t="shared" si="16"/>
        <v>24</v>
      </c>
      <c r="F114" s="815"/>
      <c r="G114" s="815"/>
      <c r="H114" s="960"/>
      <c r="I114" s="815"/>
      <c r="J114" s="815"/>
      <c r="K114" s="815"/>
      <c r="L114" s="815"/>
      <c r="M114" s="815"/>
      <c r="N114" s="815"/>
      <c r="O114" s="815"/>
      <c r="P114" s="815"/>
      <c r="Q114" s="815"/>
      <c r="R114" s="815"/>
      <c r="S114" s="830">
        <f t="shared" si="23"/>
        <v>24</v>
      </c>
      <c r="T114" s="830" t="e">
        <f>VLOOKUP(C114,'sản lượng'!$D$14:$AK$169,33,0)</f>
        <v>#N/A</v>
      </c>
      <c r="U114" s="830" t="e">
        <f>VLOOKUP(C114,'sản lượng'!$D$14:$AK$169,34,0)</f>
        <v>#N/A</v>
      </c>
      <c r="V114" s="830" t="e">
        <f>VLOOKUP(C114,'sản lượng'!$D$14:$AK$169,35,0)</f>
        <v>#N/A</v>
      </c>
      <c r="W114" s="830" t="e">
        <f t="shared" si="24"/>
        <v>#N/A</v>
      </c>
      <c r="X114" s="830"/>
      <c r="Y114" s="830"/>
      <c r="Z114" s="830" t="e">
        <f t="shared" ref="Z114" si="26">W114*$AN$14+X114*$AN$10+$AN$11*Y114</f>
        <v>#N/A</v>
      </c>
      <c r="AA114" s="830" t="e">
        <f>VLOOKUP(C114,'CHẤM CÔNG '!$E$13:$AM$168,33,0)</f>
        <v>#N/A</v>
      </c>
      <c r="AB114" s="830" t="e">
        <f>VLOOKUP(C114,'CHẤM CÔNG '!$E$13:$AM$168,34,0)</f>
        <v>#N/A</v>
      </c>
      <c r="AC114" s="830"/>
      <c r="AD114" s="830"/>
      <c r="AE114" s="830">
        <f>VLOOKUP(C114,'Công cây non'!$C$10:$AJ$28,34,0)</f>
        <v>13</v>
      </c>
      <c r="AF114" s="830"/>
      <c r="AG114" s="830"/>
      <c r="AH114" s="830"/>
      <c r="AI114" s="830"/>
      <c r="AJ114" s="830"/>
      <c r="AK114" s="836"/>
      <c r="AL114" s="837" t="e">
        <f>VLOOKUP(C114,'sản lượng'!$D$14:$AP$169,38,0)</f>
        <v>#N/A</v>
      </c>
    </row>
    <row r="115" spans="1:44" ht="15.75">
      <c r="A115" s="824">
        <v>57</v>
      </c>
      <c r="B115" s="813" t="e">
        <f>VLOOKUP(C115,'DS CN MOI UP'!$B$10:$C$389,2,0)</f>
        <v>#N/A</v>
      </c>
      <c r="C115" s="825" t="s">
        <v>2022</v>
      </c>
      <c r="D115" s="826" t="s">
        <v>15</v>
      </c>
      <c r="E115" s="815"/>
      <c r="F115" s="815"/>
      <c r="G115" s="815"/>
      <c r="H115" s="960"/>
      <c r="I115" s="815"/>
      <c r="J115" s="815"/>
      <c r="K115" s="815"/>
      <c r="L115" s="815"/>
      <c r="M115" s="815"/>
      <c r="N115" s="815"/>
      <c r="O115" s="815"/>
      <c r="P115" s="815"/>
      <c r="Q115" s="815"/>
      <c r="R115" s="815"/>
      <c r="S115" s="830">
        <f t="shared" ref="S115:S119" si="27">SUM(E115:P115)</f>
        <v>0</v>
      </c>
      <c r="T115" s="830" t="e">
        <f>VLOOKUP(C115,'sản lượng'!$D$14:$AK$169,33,0)</f>
        <v>#N/A</v>
      </c>
      <c r="U115" s="830" t="e">
        <f>VLOOKUP(C115,'sản lượng'!$D$14:$AK$169,34,0)</f>
        <v>#N/A</v>
      </c>
      <c r="V115" s="830" t="e">
        <f>VLOOKUP(C115,'sản lượng'!$D$14:$AK$169,35,0)</f>
        <v>#N/A</v>
      </c>
      <c r="W115" s="830" t="e">
        <f t="shared" si="24"/>
        <v>#N/A</v>
      </c>
      <c r="X115" s="830"/>
      <c r="Y115" s="830"/>
      <c r="Z115" s="830" t="e">
        <f t="shared" ref="Z115:Z119" si="28">W115*$AN$14+X115*$AN$10+$AN$11*Y115</f>
        <v>#N/A</v>
      </c>
      <c r="AA115" s="830"/>
      <c r="AB115" s="830"/>
      <c r="AC115" s="830"/>
      <c r="AD115" s="830"/>
      <c r="AE115" s="830"/>
      <c r="AF115" s="830"/>
      <c r="AG115" s="830"/>
      <c r="AH115" s="830"/>
      <c r="AI115" s="830"/>
      <c r="AJ115" s="830"/>
      <c r="AK115" s="836"/>
      <c r="AL115" s="837" t="e">
        <f>VLOOKUP(C115,'sản lượng'!$D$14:$AP$169,38,0)</f>
        <v>#N/A</v>
      </c>
    </row>
    <row r="116" spans="1:44" ht="15.75">
      <c r="A116" s="824">
        <v>57</v>
      </c>
      <c r="B116" s="813" t="e">
        <f>VLOOKUP(C116,'DS CN MOI UP'!$B$10:$C$389,2,0)</f>
        <v>#N/A</v>
      </c>
      <c r="C116" s="825" t="s">
        <v>2023</v>
      </c>
      <c r="D116" s="826" t="s">
        <v>15</v>
      </c>
      <c r="E116" s="815"/>
      <c r="F116" s="815"/>
      <c r="G116" s="815"/>
      <c r="H116" s="960"/>
      <c r="I116" s="815"/>
      <c r="J116" s="815"/>
      <c r="K116" s="815"/>
      <c r="L116" s="815"/>
      <c r="M116" s="815"/>
      <c r="N116" s="815"/>
      <c r="O116" s="815"/>
      <c r="P116" s="815"/>
      <c r="Q116" s="815"/>
      <c r="R116" s="815"/>
      <c r="S116" s="830">
        <f t="shared" ref="S116" si="29">SUM(E116:P116)</f>
        <v>0</v>
      </c>
      <c r="T116" s="830" t="e">
        <f>VLOOKUP(C116,'sản lượng'!$D$14:$AK$169,33,0)</f>
        <v>#N/A</v>
      </c>
      <c r="U116" s="830" t="e">
        <f>VLOOKUP(C116,'sản lượng'!$D$14:$AK$169,34,0)</f>
        <v>#N/A</v>
      </c>
      <c r="V116" s="830" t="e">
        <f>VLOOKUP(C116,'sản lượng'!$D$14:$AK$169,35,0)</f>
        <v>#N/A</v>
      </c>
      <c r="W116" s="830" t="e">
        <f t="shared" si="24"/>
        <v>#N/A</v>
      </c>
      <c r="X116" s="830"/>
      <c r="Y116" s="830"/>
      <c r="Z116" s="830" t="e">
        <f t="shared" ref="Z116" si="30">W116*$AN$14+X116*$AN$10+$AN$11*Y116</f>
        <v>#N/A</v>
      </c>
      <c r="AA116" s="830"/>
      <c r="AB116" s="830"/>
      <c r="AC116" s="830"/>
      <c r="AD116" s="830"/>
      <c r="AE116" s="830"/>
      <c r="AF116" s="830"/>
      <c r="AG116" s="830"/>
      <c r="AH116" s="830"/>
      <c r="AI116" s="830"/>
      <c r="AJ116" s="830"/>
      <c r="AK116" s="836"/>
      <c r="AL116" s="837" t="e">
        <f>VLOOKUP(C116,'sản lượng'!$D$14:$AP$169,38,0)</f>
        <v>#N/A</v>
      </c>
    </row>
    <row r="117" spans="1:44" ht="15.75">
      <c r="A117" s="824">
        <v>57</v>
      </c>
      <c r="B117" s="813" t="e">
        <f>VLOOKUP(C117,'DS CN MOI UP'!$B$10:$C$389,2,0)</f>
        <v>#N/A</v>
      </c>
      <c r="C117" s="825" t="s">
        <v>1814</v>
      </c>
      <c r="D117" s="826" t="s">
        <v>15</v>
      </c>
      <c r="E117" s="815"/>
      <c r="F117" s="815"/>
      <c r="G117" s="815"/>
      <c r="H117" s="960"/>
      <c r="I117" s="815"/>
      <c r="J117" s="815"/>
      <c r="K117" s="815"/>
      <c r="L117" s="815"/>
      <c r="M117" s="815"/>
      <c r="N117" s="815"/>
      <c r="O117" s="815"/>
      <c r="P117" s="815"/>
      <c r="Q117" s="815"/>
      <c r="R117" s="815"/>
      <c r="S117" s="830">
        <f t="shared" si="27"/>
        <v>0</v>
      </c>
      <c r="T117" s="830" t="e">
        <f>VLOOKUP(C117,'sản lượng'!$D$14:$AK$169,33,0)</f>
        <v>#N/A</v>
      </c>
      <c r="U117" s="830" t="e">
        <f>VLOOKUP(C117,'sản lượng'!$D$14:$AK$169,34,0)</f>
        <v>#N/A</v>
      </c>
      <c r="V117" s="830" t="e">
        <f>VLOOKUP(C117,'sản lượng'!$D$14:$AK$169,35,0)</f>
        <v>#N/A</v>
      </c>
      <c r="W117" s="830" t="e">
        <f t="shared" si="24"/>
        <v>#N/A</v>
      </c>
      <c r="X117" s="830"/>
      <c r="Y117" s="830"/>
      <c r="Z117" s="830" t="e">
        <f t="shared" si="28"/>
        <v>#N/A</v>
      </c>
      <c r="AA117" s="830"/>
      <c r="AB117" s="830"/>
      <c r="AC117" s="830"/>
      <c r="AD117" s="830"/>
      <c r="AE117" s="830"/>
      <c r="AF117" s="830"/>
      <c r="AG117" s="830"/>
      <c r="AH117" s="830"/>
      <c r="AI117" s="830"/>
      <c r="AJ117" s="830"/>
      <c r="AK117" s="836"/>
      <c r="AL117" s="837" t="e">
        <f>VLOOKUP(C117,'sản lượng'!$D$14:$AP$169,38,0)</f>
        <v>#N/A</v>
      </c>
    </row>
    <row r="118" spans="1:44" ht="15.75">
      <c r="A118" s="824">
        <v>57</v>
      </c>
      <c r="B118" s="813" t="e">
        <f>VLOOKUP(C118,'DS CN MOI UP'!$B$10:$C$389,2,0)</f>
        <v>#N/A</v>
      </c>
      <c r="C118" s="825" t="s">
        <v>2024</v>
      </c>
      <c r="D118" s="826" t="s">
        <v>15</v>
      </c>
      <c r="E118" s="815"/>
      <c r="F118" s="815"/>
      <c r="G118" s="815"/>
      <c r="H118" s="960"/>
      <c r="I118" s="815"/>
      <c r="J118" s="815"/>
      <c r="K118" s="815"/>
      <c r="L118" s="815"/>
      <c r="M118" s="815"/>
      <c r="N118" s="815"/>
      <c r="O118" s="815"/>
      <c r="P118" s="815"/>
      <c r="Q118" s="815"/>
      <c r="R118" s="815"/>
      <c r="S118" s="830">
        <f t="shared" si="27"/>
        <v>0</v>
      </c>
      <c r="T118" s="830" t="e">
        <f>VLOOKUP(C118,'sản lượng'!$D$14:$AK$169,33,0)</f>
        <v>#N/A</v>
      </c>
      <c r="U118" s="830" t="e">
        <f>VLOOKUP(C118,'sản lượng'!$D$14:$AK$169,34,0)</f>
        <v>#N/A</v>
      </c>
      <c r="V118" s="830" t="e">
        <f>VLOOKUP(C118,'sản lượng'!$D$14:$AK$169,35,0)</f>
        <v>#N/A</v>
      </c>
      <c r="W118" s="830" t="e">
        <f t="shared" si="24"/>
        <v>#N/A</v>
      </c>
      <c r="X118" s="830"/>
      <c r="Y118" s="830"/>
      <c r="Z118" s="830" t="e">
        <f t="shared" si="28"/>
        <v>#N/A</v>
      </c>
      <c r="AA118" s="830"/>
      <c r="AB118" s="830"/>
      <c r="AC118" s="830"/>
      <c r="AD118" s="830"/>
      <c r="AE118" s="830"/>
      <c r="AF118" s="830"/>
      <c r="AG118" s="830"/>
      <c r="AH118" s="830"/>
      <c r="AI118" s="830"/>
      <c r="AJ118" s="830"/>
      <c r="AK118" s="836"/>
      <c r="AL118" s="837" t="e">
        <f>VLOOKUP(C118,'sản lượng'!$D$14:$AP$169,38,0)</f>
        <v>#N/A</v>
      </c>
    </row>
    <row r="119" spans="1:44" ht="15.75">
      <c r="A119" s="824">
        <v>57</v>
      </c>
      <c r="B119" s="813" t="e">
        <f>VLOOKUP(C119,'DS CN MOI UP'!$B$10:$C$389,2,0)</f>
        <v>#N/A</v>
      </c>
      <c r="C119" s="825" t="s">
        <v>2025</v>
      </c>
      <c r="D119" s="826" t="s">
        <v>15</v>
      </c>
      <c r="E119" s="815"/>
      <c r="F119" s="815"/>
      <c r="G119" s="815"/>
      <c r="H119" s="960"/>
      <c r="I119" s="815"/>
      <c r="J119" s="815"/>
      <c r="K119" s="815"/>
      <c r="L119" s="815"/>
      <c r="M119" s="815"/>
      <c r="N119" s="815"/>
      <c r="O119" s="815"/>
      <c r="P119" s="815"/>
      <c r="Q119" s="815"/>
      <c r="R119" s="815"/>
      <c r="S119" s="830">
        <f t="shared" si="27"/>
        <v>0</v>
      </c>
      <c r="T119" s="830" t="e">
        <f>VLOOKUP(C119,'sản lượng'!$D$14:$AK$169,33,0)</f>
        <v>#N/A</v>
      </c>
      <c r="U119" s="830" t="e">
        <f>VLOOKUP(C119,'sản lượng'!$D$14:$AK$169,34,0)</f>
        <v>#N/A</v>
      </c>
      <c r="V119" s="830" t="e">
        <f>VLOOKUP(C119,'sản lượng'!$D$14:$AK$169,35,0)</f>
        <v>#N/A</v>
      </c>
      <c r="W119" s="830" t="e">
        <f t="shared" si="24"/>
        <v>#N/A</v>
      </c>
      <c r="X119" s="830"/>
      <c r="Y119" s="830"/>
      <c r="Z119" s="830" t="e">
        <f t="shared" si="28"/>
        <v>#N/A</v>
      </c>
      <c r="AA119" s="830"/>
      <c r="AB119" s="830"/>
      <c r="AC119" s="830"/>
      <c r="AD119" s="830"/>
      <c r="AE119" s="830"/>
      <c r="AF119" s="830"/>
      <c r="AG119" s="830"/>
      <c r="AH119" s="830"/>
      <c r="AI119" s="830"/>
      <c r="AJ119" s="830"/>
      <c r="AK119" s="836"/>
      <c r="AL119" s="837" t="e">
        <f>VLOOKUP(C119,'sản lượng'!$D$14:$AP$169,38,0)</f>
        <v>#N/A</v>
      </c>
    </row>
    <row r="120" spans="1:44" ht="15.75">
      <c r="A120" s="824">
        <v>58</v>
      </c>
      <c r="B120" s="813">
        <v>2</v>
      </c>
      <c r="C120" s="845" t="s">
        <v>484</v>
      </c>
      <c r="D120" s="826" t="s">
        <v>1713</v>
      </c>
      <c r="E120" s="815"/>
      <c r="F120" s="815"/>
      <c r="G120" s="815"/>
      <c r="H120" s="960"/>
      <c r="I120" s="815"/>
      <c r="J120" s="815"/>
      <c r="K120" s="815"/>
      <c r="L120" s="815"/>
      <c r="M120" s="815"/>
      <c r="N120" s="815"/>
      <c r="O120" s="815"/>
      <c r="P120" s="815"/>
      <c r="Q120" s="815"/>
      <c r="R120" s="815"/>
      <c r="S120" s="830">
        <f>SUM(E120:R120)</f>
        <v>0</v>
      </c>
      <c r="T120" s="830"/>
      <c r="U120" s="830"/>
      <c r="V120" s="830"/>
      <c r="W120" s="830"/>
      <c r="X120" s="830"/>
      <c r="Y120" s="830">
        <f>'MỦ XIRUM'!AJ12</f>
        <v>290</v>
      </c>
      <c r="Z120" s="830">
        <f>W120*$AN$9/$AN$8+X120*$AN$10+$AN$23*Y120</f>
        <v>144.59399999999999</v>
      </c>
      <c r="AA120" s="830"/>
      <c r="AB120" s="830"/>
      <c r="AC120" s="830"/>
      <c r="AD120" s="830"/>
      <c r="AE120" s="830"/>
      <c r="AF120" s="830"/>
      <c r="AG120" s="830"/>
      <c r="AH120" s="830"/>
      <c r="AI120" s="830"/>
      <c r="AJ120" s="830"/>
      <c r="AK120" s="836"/>
      <c r="AL120" s="837" t="e">
        <f>VLOOKUP(C120,'sản lượng'!$D$14:$AP$169,38,0)</f>
        <v>#N/A</v>
      </c>
    </row>
    <row r="121" spans="1:44">
      <c r="A121" s="820" t="s">
        <v>521</v>
      </c>
      <c r="B121" s="813"/>
      <c r="C121" s="821"/>
      <c r="D121" s="822"/>
      <c r="E121" s="823">
        <f t="shared" ref="E121:W121" si="31">SUM(E122:E208)</f>
        <v>2064</v>
      </c>
      <c r="F121" s="823">
        <f t="shared" si="31"/>
        <v>0</v>
      </c>
      <c r="G121" s="823">
        <f t="shared" si="31"/>
        <v>0</v>
      </c>
      <c r="H121" s="967">
        <f t="shared" si="31"/>
        <v>0</v>
      </c>
      <c r="I121" s="823">
        <f t="shared" si="31"/>
        <v>0</v>
      </c>
      <c r="J121" s="823">
        <f t="shared" si="31"/>
        <v>0</v>
      </c>
      <c r="K121" s="823">
        <f t="shared" si="31"/>
        <v>0</v>
      </c>
      <c r="L121" s="823">
        <f t="shared" si="31"/>
        <v>0</v>
      </c>
      <c r="M121" s="823">
        <f t="shared" si="31"/>
        <v>0</v>
      </c>
      <c r="N121" s="823">
        <f t="shared" si="31"/>
        <v>0</v>
      </c>
      <c r="O121" s="823">
        <f t="shared" si="31"/>
        <v>0</v>
      </c>
      <c r="P121" s="823">
        <f t="shared" si="31"/>
        <v>0</v>
      </c>
      <c r="Q121" s="823">
        <f t="shared" si="31"/>
        <v>0</v>
      </c>
      <c r="R121" s="823">
        <f t="shared" si="31"/>
        <v>0</v>
      </c>
      <c r="S121" s="823">
        <f t="shared" si="31"/>
        <v>2064</v>
      </c>
      <c r="T121" s="823" t="e">
        <f t="shared" si="31"/>
        <v>#N/A</v>
      </c>
      <c r="U121" s="823">
        <f t="shared" si="31"/>
        <v>0</v>
      </c>
      <c r="V121" s="823">
        <f t="shared" si="31"/>
        <v>0</v>
      </c>
      <c r="W121" s="823" t="e">
        <f t="shared" si="31"/>
        <v>#N/A</v>
      </c>
      <c r="X121" s="823"/>
      <c r="Y121" s="823"/>
      <c r="Z121" s="983" t="e">
        <f>SUM(Z122:Z208)</f>
        <v>#N/A</v>
      </c>
      <c r="AA121" s="823" t="e">
        <f>SUM(AA122:AA208)</f>
        <v>#N/A</v>
      </c>
      <c r="AB121" s="823" t="e">
        <f>SUM(AB122:AB208)</f>
        <v>#N/A</v>
      </c>
      <c r="AC121" s="823">
        <f>SUM(AC122:AC208)</f>
        <v>0</v>
      </c>
      <c r="AD121" s="823"/>
      <c r="AE121" s="823">
        <f>SUM(AE122:AE208)</f>
        <v>0</v>
      </c>
      <c r="AF121" s="823"/>
      <c r="AG121" s="823"/>
      <c r="AH121" s="823"/>
      <c r="AI121" s="823">
        <f>SUM(AI122:AI208)</f>
        <v>0</v>
      </c>
      <c r="AJ121" s="823">
        <f>SUM(AJ122:AJ208)</f>
        <v>0</v>
      </c>
      <c r="AK121" s="823">
        <f>SUM(AK122:AK208)</f>
        <v>0</v>
      </c>
      <c r="AL121" s="823" t="e">
        <f>SUM(AL122:AL208)</f>
        <v>#N/A</v>
      </c>
    </row>
    <row r="122" spans="1:44" ht="15.75">
      <c r="A122" s="812">
        <v>1</v>
      </c>
      <c r="B122" s="813" t="e">
        <f>VLOOKUP(C122,'DS CN MOI UP'!$B$10:$C$389,2,0)</f>
        <v>#N/A</v>
      </c>
      <c r="C122" s="845" t="s">
        <v>1992</v>
      </c>
      <c r="D122" s="812" t="s">
        <v>15</v>
      </c>
      <c r="E122" s="815">
        <f t="shared" ref="E122:E185" si="32">3*8</f>
        <v>24</v>
      </c>
      <c r="F122" s="815"/>
      <c r="G122" s="815"/>
      <c r="H122" s="960"/>
      <c r="I122" s="815"/>
      <c r="J122" s="815"/>
      <c r="K122" s="815"/>
      <c r="L122" s="815"/>
      <c r="M122" s="815"/>
      <c r="N122" s="815"/>
      <c r="O122" s="815"/>
      <c r="P122" s="815"/>
      <c r="Q122" s="815"/>
      <c r="R122" s="815"/>
      <c r="S122" s="830">
        <f t="shared" ref="S122:S153" si="33">SUM(E122:N122)</f>
        <v>24</v>
      </c>
      <c r="T122" s="830" t="e">
        <f>VLOOKUP(C122,'sản lượng'!$D$14:$AK$169,36,0)</f>
        <v>#N/A</v>
      </c>
      <c r="U122" s="830"/>
      <c r="V122" s="830"/>
      <c r="W122" s="830" t="e">
        <f>VLOOKUP(C122,'sản lượng'!$D$14:$AK$169,36,0)</f>
        <v>#N/A</v>
      </c>
      <c r="X122" s="830"/>
      <c r="Y122" s="830"/>
      <c r="Z122" s="830" t="e">
        <f>W122*$AN$15+X122*$AN$10</f>
        <v>#N/A</v>
      </c>
      <c r="AA122" s="830" t="e">
        <f>VLOOKUP(C122,'CHẤM CÔNG '!$E$13:$AM$168,33,0)</f>
        <v>#N/A</v>
      </c>
      <c r="AB122" s="830" t="e">
        <f>VLOOKUP(C122,'CHẤM CÔNG '!$E$13:$AM$168,34,0)</f>
        <v>#N/A</v>
      </c>
      <c r="AC122" s="830"/>
      <c r="AD122" s="830"/>
      <c r="AE122" s="830"/>
      <c r="AF122" s="830"/>
      <c r="AG122" s="830"/>
      <c r="AH122" s="830"/>
      <c r="AI122" s="830"/>
      <c r="AJ122" s="830"/>
      <c r="AK122" s="836"/>
      <c r="AL122" s="837" t="e">
        <f>VLOOKUP(C122,'sản lượng'!$D$14:$AP$169,38,0)</f>
        <v>#N/A</v>
      </c>
      <c r="AP122" s="799">
        <v>1</v>
      </c>
      <c r="AR122" s="799">
        <v>2</v>
      </c>
    </row>
    <row r="123" spans="1:44" ht="15.75">
      <c r="A123" s="812">
        <v>2</v>
      </c>
      <c r="B123" s="813" t="str">
        <f>VLOOKUP(C123,'DS CN MOI UP'!$B$10:$C$389,2,0)</f>
        <v>02510</v>
      </c>
      <c r="C123" s="845" t="s">
        <v>43</v>
      </c>
      <c r="D123" s="812" t="s">
        <v>15</v>
      </c>
      <c r="E123" s="815">
        <f t="shared" si="32"/>
        <v>24</v>
      </c>
      <c r="F123" s="815"/>
      <c r="G123" s="815"/>
      <c r="H123" s="960"/>
      <c r="I123" s="815"/>
      <c r="J123" s="815"/>
      <c r="K123" s="815"/>
      <c r="L123" s="815"/>
      <c r="M123" s="815"/>
      <c r="N123" s="815"/>
      <c r="O123" s="815"/>
      <c r="P123" s="815"/>
      <c r="Q123" s="815"/>
      <c r="R123" s="815"/>
      <c r="S123" s="830">
        <f t="shared" si="33"/>
        <v>24</v>
      </c>
      <c r="T123" s="830" t="e">
        <f>VLOOKUP(C123,'sản lượng'!$D$14:$AK$169,36,0)</f>
        <v>#N/A</v>
      </c>
      <c r="U123" s="830"/>
      <c r="V123" s="830"/>
      <c r="W123" s="830" t="e">
        <f>VLOOKUP(C123,'sản lượng'!$D$14:$AK$169,36,0)</f>
        <v>#N/A</v>
      </c>
      <c r="X123" s="830"/>
      <c r="Y123" s="830"/>
      <c r="Z123" s="830" t="e">
        <f t="shared" ref="Z123:Z186" si="34">W123*$AN$15+X123*$AN$10</f>
        <v>#N/A</v>
      </c>
      <c r="AA123" s="830" t="e">
        <f>VLOOKUP(C123,'CHẤM CÔNG '!$E$13:$AM$168,33,0)</f>
        <v>#N/A</v>
      </c>
      <c r="AB123" s="830" t="e">
        <f>VLOOKUP(C123,'CHẤM CÔNG '!$E$13:$AM$168,34,0)</f>
        <v>#N/A</v>
      </c>
      <c r="AC123" s="830"/>
      <c r="AD123" s="830"/>
      <c r="AE123" s="830"/>
      <c r="AF123" s="830"/>
      <c r="AG123" s="830"/>
      <c r="AH123" s="830"/>
      <c r="AI123" s="830"/>
      <c r="AJ123" s="830"/>
      <c r="AK123" s="836"/>
      <c r="AL123" s="837" t="e">
        <f>VLOOKUP(C123,'sản lượng'!$D$14:$AP$169,38,0)</f>
        <v>#N/A</v>
      </c>
      <c r="AR123" s="799">
        <v>3</v>
      </c>
    </row>
    <row r="124" spans="1:44" ht="15.75">
      <c r="A124" s="812">
        <v>3</v>
      </c>
      <c r="B124" s="813" t="str">
        <f>VLOOKUP(C124,'DS CN MOI UP'!$B$10:$C$389,2,0)</f>
        <v>02450</v>
      </c>
      <c r="C124" s="845" t="s">
        <v>70</v>
      </c>
      <c r="D124" s="812" t="s">
        <v>15</v>
      </c>
      <c r="E124" s="815">
        <f t="shared" si="32"/>
        <v>24</v>
      </c>
      <c r="F124" s="815"/>
      <c r="G124" s="815"/>
      <c r="H124" s="960"/>
      <c r="I124" s="815"/>
      <c r="J124" s="815"/>
      <c r="K124" s="815"/>
      <c r="L124" s="815"/>
      <c r="M124" s="815"/>
      <c r="N124" s="815"/>
      <c r="O124" s="815"/>
      <c r="P124" s="815"/>
      <c r="Q124" s="815"/>
      <c r="R124" s="815"/>
      <c r="S124" s="830">
        <f t="shared" si="33"/>
        <v>24</v>
      </c>
      <c r="T124" s="830" t="e">
        <f>VLOOKUP(C124,'sản lượng'!$D$14:$AK$169,36,0)</f>
        <v>#N/A</v>
      </c>
      <c r="U124" s="830"/>
      <c r="V124" s="830"/>
      <c r="W124" s="830" t="e">
        <f>VLOOKUP(C124,'sản lượng'!$D$14:$AK$169,36,0)</f>
        <v>#N/A</v>
      </c>
      <c r="X124" s="830"/>
      <c r="Y124" s="830"/>
      <c r="Z124" s="830" t="e">
        <f t="shared" si="34"/>
        <v>#N/A</v>
      </c>
      <c r="AA124" s="830" t="e">
        <f>VLOOKUP(C124,'CHẤM CÔNG '!$E$13:$AM$168,33,0)</f>
        <v>#N/A</v>
      </c>
      <c r="AB124" s="830" t="e">
        <f>VLOOKUP(C124,'CHẤM CÔNG '!$E$13:$AM$168,34,0)</f>
        <v>#N/A</v>
      </c>
      <c r="AC124" s="830"/>
      <c r="AD124" s="830"/>
      <c r="AE124" s="830"/>
      <c r="AF124" s="830"/>
      <c r="AG124" s="830"/>
      <c r="AH124" s="830"/>
      <c r="AI124" s="830"/>
      <c r="AJ124" s="830"/>
      <c r="AK124" s="836"/>
      <c r="AL124" s="837" t="e">
        <f>VLOOKUP(C124,'sản lượng'!$D$14:$AP$169,38,0)</f>
        <v>#N/A</v>
      </c>
      <c r="AP124" s="799">
        <v>1</v>
      </c>
      <c r="AR124" s="799">
        <v>2</v>
      </c>
    </row>
    <row r="125" spans="1:44" ht="15.75">
      <c r="A125" s="812">
        <v>4</v>
      </c>
      <c r="B125" s="813" t="str">
        <f>VLOOKUP(C125,'DS CN MOI UP'!$B$10:$C$389,2,0)</f>
        <v>02454</v>
      </c>
      <c r="C125" s="818" t="s">
        <v>71</v>
      </c>
      <c r="D125" s="812" t="s">
        <v>15</v>
      </c>
      <c r="E125" s="815">
        <f t="shared" si="32"/>
        <v>24</v>
      </c>
      <c r="F125" s="815"/>
      <c r="G125" s="815"/>
      <c r="H125" s="960"/>
      <c r="I125" s="815"/>
      <c r="J125" s="815"/>
      <c r="K125" s="815"/>
      <c r="L125" s="815"/>
      <c r="M125" s="815"/>
      <c r="N125" s="815"/>
      <c r="O125" s="815"/>
      <c r="P125" s="815"/>
      <c r="Q125" s="815"/>
      <c r="R125" s="815"/>
      <c r="S125" s="830">
        <f t="shared" si="33"/>
        <v>24</v>
      </c>
      <c r="T125" s="830" t="e">
        <f>VLOOKUP(C125,'sản lượng'!$D$14:$AK$169,36,0)</f>
        <v>#N/A</v>
      </c>
      <c r="U125" s="830"/>
      <c r="V125" s="830"/>
      <c r="W125" s="830" t="e">
        <f>VLOOKUP(C125,'sản lượng'!$D$14:$AK$169,36,0)</f>
        <v>#N/A</v>
      </c>
      <c r="X125" s="830"/>
      <c r="Y125" s="830"/>
      <c r="Z125" s="830" t="e">
        <f t="shared" si="34"/>
        <v>#N/A</v>
      </c>
      <c r="AA125" s="830" t="e">
        <f>VLOOKUP(C125,'CHẤM CÔNG '!$E$13:$AM$168,33,0)</f>
        <v>#N/A</v>
      </c>
      <c r="AB125" s="830" t="e">
        <f>VLOOKUP(C125,'CHẤM CÔNG '!$E$13:$AM$168,34,0)</f>
        <v>#N/A</v>
      </c>
      <c r="AC125" s="830"/>
      <c r="AD125" s="830"/>
      <c r="AE125" s="830"/>
      <c r="AF125" s="830"/>
      <c r="AG125" s="830"/>
      <c r="AH125" s="830"/>
      <c r="AI125" s="830"/>
      <c r="AJ125" s="830"/>
      <c r="AK125" s="836"/>
      <c r="AL125" s="837" t="e">
        <f>VLOOKUP(C125,'sản lượng'!$D$14:$AP$169,38,0)</f>
        <v>#N/A</v>
      </c>
      <c r="AP125" s="799">
        <v>1</v>
      </c>
      <c r="AR125" s="799">
        <v>2</v>
      </c>
    </row>
    <row r="126" spans="1:44" ht="15.75">
      <c r="A126" s="812">
        <v>5</v>
      </c>
      <c r="B126" s="813" t="str">
        <f>VLOOKUP(C126,'DS CN MOI UP'!$B$10:$C$389,2,0)</f>
        <v>03331</v>
      </c>
      <c r="C126" s="845" t="s">
        <v>486</v>
      </c>
      <c r="D126" s="812" t="s">
        <v>15</v>
      </c>
      <c r="E126" s="815">
        <f t="shared" si="32"/>
        <v>24</v>
      </c>
      <c r="F126" s="815"/>
      <c r="G126" s="815"/>
      <c r="H126" s="960"/>
      <c r="I126" s="815"/>
      <c r="J126" s="815"/>
      <c r="K126" s="815"/>
      <c r="L126" s="815"/>
      <c r="M126" s="815"/>
      <c r="N126" s="815"/>
      <c r="O126" s="815"/>
      <c r="P126" s="815"/>
      <c r="Q126" s="815"/>
      <c r="R126" s="815"/>
      <c r="S126" s="830">
        <f t="shared" si="33"/>
        <v>24</v>
      </c>
      <c r="T126" s="830" t="e">
        <f>VLOOKUP(C126,'sản lượng'!$D$14:$AK$169,36,0)</f>
        <v>#N/A</v>
      </c>
      <c r="U126" s="830"/>
      <c r="V126" s="830"/>
      <c r="W126" s="830" t="e">
        <f>VLOOKUP(C126,'sản lượng'!$D$14:$AK$169,36,0)</f>
        <v>#N/A</v>
      </c>
      <c r="X126" s="830"/>
      <c r="Y126" s="830"/>
      <c r="Z126" s="830" t="e">
        <f t="shared" si="34"/>
        <v>#N/A</v>
      </c>
      <c r="AA126" s="830" t="e">
        <f>VLOOKUP(C126,'CHẤM CÔNG '!$E$13:$AM$168,33,0)</f>
        <v>#N/A</v>
      </c>
      <c r="AB126" s="830" t="e">
        <f>VLOOKUP(C126,'CHẤM CÔNG '!$E$13:$AM$168,34,0)</f>
        <v>#N/A</v>
      </c>
      <c r="AC126" s="830"/>
      <c r="AD126" s="830"/>
      <c r="AE126" s="830"/>
      <c r="AF126" s="830"/>
      <c r="AG126" s="830"/>
      <c r="AH126" s="830"/>
      <c r="AI126" s="830"/>
      <c r="AJ126" s="830"/>
      <c r="AK126" s="836"/>
      <c r="AL126" s="837" t="e">
        <f>VLOOKUP(C126,'sản lượng'!$D$14:$AP$169,38,0)</f>
        <v>#N/A</v>
      </c>
      <c r="AP126" s="799">
        <v>2</v>
      </c>
      <c r="AR126" s="799">
        <v>1</v>
      </c>
    </row>
    <row r="127" spans="1:44" ht="15.75">
      <c r="A127" s="812">
        <v>6</v>
      </c>
      <c r="B127" s="813" t="str">
        <f>VLOOKUP(C127,'DS CN MOI UP'!$B$10:$C$389,2,0)</f>
        <v>02474</v>
      </c>
      <c r="C127" s="845" t="s">
        <v>57</v>
      </c>
      <c r="D127" s="812" t="s">
        <v>15</v>
      </c>
      <c r="E127" s="815">
        <f t="shared" si="32"/>
        <v>24</v>
      </c>
      <c r="F127" s="815"/>
      <c r="G127" s="815"/>
      <c r="H127" s="960"/>
      <c r="I127" s="815"/>
      <c r="J127" s="815"/>
      <c r="K127" s="815"/>
      <c r="L127" s="815"/>
      <c r="M127" s="815"/>
      <c r="N127" s="815"/>
      <c r="O127" s="815"/>
      <c r="P127" s="815"/>
      <c r="Q127" s="815"/>
      <c r="R127" s="815"/>
      <c r="S127" s="830">
        <f t="shared" si="33"/>
        <v>24</v>
      </c>
      <c r="T127" s="830" t="e">
        <f>VLOOKUP(C127,'sản lượng'!$D$14:$AK$169,36,0)</f>
        <v>#N/A</v>
      </c>
      <c r="U127" s="830"/>
      <c r="V127" s="830"/>
      <c r="W127" s="830" t="e">
        <f>VLOOKUP(C127,'sản lượng'!$D$14:$AK$169,36,0)</f>
        <v>#N/A</v>
      </c>
      <c r="X127" s="830"/>
      <c r="Y127" s="830"/>
      <c r="Z127" s="830" t="e">
        <f t="shared" si="34"/>
        <v>#N/A</v>
      </c>
      <c r="AA127" s="830" t="e">
        <f>VLOOKUP(C127,'CHẤM CÔNG '!$E$13:$AM$168,33,0)</f>
        <v>#N/A</v>
      </c>
      <c r="AB127" s="830" t="e">
        <f>VLOOKUP(C127,'CHẤM CÔNG '!$E$13:$AM$168,34,0)</f>
        <v>#N/A</v>
      </c>
      <c r="AC127" s="830"/>
      <c r="AD127" s="830"/>
      <c r="AE127" s="830"/>
      <c r="AF127" s="830"/>
      <c r="AG127" s="830"/>
      <c r="AH127" s="830"/>
      <c r="AI127" s="830"/>
      <c r="AJ127" s="830"/>
      <c r="AK127" s="836"/>
      <c r="AL127" s="837" t="e">
        <f>VLOOKUP(C127,'sản lượng'!$D$14:$AP$169,38,0)</f>
        <v>#N/A</v>
      </c>
      <c r="AP127" s="799">
        <v>2</v>
      </c>
      <c r="AR127" s="799">
        <v>1</v>
      </c>
    </row>
    <row r="128" spans="1:44" ht="15.75">
      <c r="A128" s="812">
        <v>7</v>
      </c>
      <c r="B128" s="813" t="e">
        <f>VLOOKUP(C128,'DS CN MOI UP'!$B$10:$C$389,2,0)</f>
        <v>#N/A</v>
      </c>
      <c r="C128" s="845" t="s">
        <v>1993</v>
      </c>
      <c r="D128" s="812" t="s">
        <v>15</v>
      </c>
      <c r="E128" s="815">
        <f t="shared" si="32"/>
        <v>24</v>
      </c>
      <c r="F128" s="815"/>
      <c r="G128" s="815"/>
      <c r="H128" s="960"/>
      <c r="I128" s="815"/>
      <c r="J128" s="815"/>
      <c r="K128" s="815"/>
      <c r="L128" s="815"/>
      <c r="M128" s="815"/>
      <c r="N128" s="815"/>
      <c r="O128" s="815"/>
      <c r="P128" s="815"/>
      <c r="Q128" s="815"/>
      <c r="R128" s="815"/>
      <c r="S128" s="830">
        <f t="shared" si="33"/>
        <v>24</v>
      </c>
      <c r="T128" s="830" t="e">
        <f>VLOOKUP(C128,'sản lượng'!$D$14:$AK$169,36,0)</f>
        <v>#N/A</v>
      </c>
      <c r="U128" s="830"/>
      <c r="V128" s="830"/>
      <c r="W128" s="830" t="e">
        <f>VLOOKUP(C128,'sản lượng'!$D$14:$AK$169,36,0)</f>
        <v>#N/A</v>
      </c>
      <c r="X128" s="830"/>
      <c r="Y128" s="830"/>
      <c r="Z128" s="830" t="e">
        <f t="shared" si="34"/>
        <v>#N/A</v>
      </c>
      <c r="AA128" s="830" t="e">
        <f>VLOOKUP(C128,'CHẤM CÔNG '!$E$13:$AM$168,33,0)</f>
        <v>#N/A</v>
      </c>
      <c r="AB128" s="830" t="e">
        <f>VLOOKUP(C128,'CHẤM CÔNG '!$E$13:$AM$168,34,0)</f>
        <v>#N/A</v>
      </c>
      <c r="AC128" s="830"/>
      <c r="AD128" s="830"/>
      <c r="AE128" s="830"/>
      <c r="AF128" s="830"/>
      <c r="AG128" s="830"/>
      <c r="AH128" s="830"/>
      <c r="AI128" s="830"/>
      <c r="AJ128" s="830"/>
      <c r="AK128" s="836"/>
      <c r="AL128" s="837" t="e">
        <f>VLOOKUP(C128,'sản lượng'!$D$14:$AP$169,38,0)</f>
        <v>#N/A</v>
      </c>
      <c r="AP128" s="799">
        <v>1</v>
      </c>
      <c r="AR128" s="799">
        <v>2</v>
      </c>
    </row>
    <row r="129" spans="1:44" ht="15.75">
      <c r="A129" s="812">
        <v>8</v>
      </c>
      <c r="B129" s="813" t="str">
        <f>VLOOKUP(C129,'DS CN MOI UP'!$B$10:$C$389,2,0)</f>
        <v>02471</v>
      </c>
      <c r="C129" s="845" t="s">
        <v>18</v>
      </c>
      <c r="D129" s="812" t="s">
        <v>15</v>
      </c>
      <c r="E129" s="815">
        <f t="shared" si="32"/>
        <v>24</v>
      </c>
      <c r="F129" s="815"/>
      <c r="G129" s="815"/>
      <c r="H129" s="960"/>
      <c r="I129" s="815"/>
      <c r="J129" s="815"/>
      <c r="K129" s="815"/>
      <c r="L129" s="815"/>
      <c r="M129" s="815"/>
      <c r="N129" s="815"/>
      <c r="O129" s="815"/>
      <c r="P129" s="815"/>
      <c r="Q129" s="815"/>
      <c r="R129" s="815"/>
      <c r="S129" s="830">
        <f t="shared" si="33"/>
        <v>24</v>
      </c>
      <c r="T129" s="830" t="e">
        <f>VLOOKUP(C129,'sản lượng'!$D$14:$AK$169,36,0)</f>
        <v>#N/A</v>
      </c>
      <c r="U129" s="830"/>
      <c r="V129" s="830"/>
      <c r="W129" s="830" t="e">
        <f>VLOOKUP(C129,'sản lượng'!$D$14:$AK$169,36,0)</f>
        <v>#N/A</v>
      </c>
      <c r="X129" s="830"/>
      <c r="Y129" s="830"/>
      <c r="Z129" s="830" t="e">
        <f t="shared" si="34"/>
        <v>#N/A</v>
      </c>
      <c r="AA129" s="830" t="e">
        <f>VLOOKUP(C129,'CHẤM CÔNG '!$E$13:$AM$168,33,0)</f>
        <v>#N/A</v>
      </c>
      <c r="AB129" s="830" t="e">
        <f>VLOOKUP(C129,'CHẤM CÔNG '!$E$13:$AM$168,34,0)</f>
        <v>#N/A</v>
      </c>
      <c r="AC129" s="830"/>
      <c r="AD129" s="830"/>
      <c r="AE129" s="830"/>
      <c r="AF129" s="830"/>
      <c r="AG129" s="830"/>
      <c r="AH129" s="830"/>
      <c r="AI129" s="830"/>
      <c r="AJ129" s="830"/>
      <c r="AK129" s="836"/>
      <c r="AL129" s="837" t="e">
        <f>VLOOKUP(C129,'sản lượng'!$D$14:$AP$169,38,0)</f>
        <v>#N/A</v>
      </c>
      <c r="AP129" s="799">
        <v>1</v>
      </c>
      <c r="AR129" s="799">
        <v>2</v>
      </c>
    </row>
    <row r="130" spans="1:44" ht="15.75">
      <c r="A130" s="812">
        <v>9</v>
      </c>
      <c r="B130" s="813" t="str">
        <f>VLOOKUP(C130,'DS CN MOI UP'!$B$10:$C$389,2,0)</f>
        <v>02488</v>
      </c>
      <c r="C130" s="845" t="s">
        <v>35</v>
      </c>
      <c r="D130" s="812" t="s">
        <v>15</v>
      </c>
      <c r="E130" s="815">
        <f t="shared" si="32"/>
        <v>24</v>
      </c>
      <c r="F130" s="815"/>
      <c r="G130" s="815"/>
      <c r="H130" s="960"/>
      <c r="I130" s="815"/>
      <c r="J130" s="815"/>
      <c r="K130" s="815"/>
      <c r="L130" s="815"/>
      <c r="M130" s="815"/>
      <c r="N130" s="815"/>
      <c r="O130" s="815"/>
      <c r="P130" s="815"/>
      <c r="Q130" s="815"/>
      <c r="R130" s="815"/>
      <c r="S130" s="830">
        <f t="shared" si="33"/>
        <v>24</v>
      </c>
      <c r="T130" s="830" t="e">
        <f>VLOOKUP(C130,'sản lượng'!$D$14:$AK$169,36,0)</f>
        <v>#N/A</v>
      </c>
      <c r="U130" s="830"/>
      <c r="V130" s="830"/>
      <c r="W130" s="830" t="e">
        <f>VLOOKUP(C130,'sản lượng'!$D$14:$AK$169,36,0)</f>
        <v>#N/A</v>
      </c>
      <c r="X130" s="830"/>
      <c r="Y130" s="830"/>
      <c r="Z130" s="830" t="e">
        <f t="shared" si="34"/>
        <v>#N/A</v>
      </c>
      <c r="AA130" s="830" t="e">
        <f>VLOOKUP(C130,'CHẤM CÔNG '!$E$13:$AM$168,33,0)</f>
        <v>#N/A</v>
      </c>
      <c r="AB130" s="830" t="e">
        <f>VLOOKUP(C130,'CHẤM CÔNG '!$E$13:$AM$168,34,0)</f>
        <v>#N/A</v>
      </c>
      <c r="AC130" s="830"/>
      <c r="AD130" s="830"/>
      <c r="AE130" s="830"/>
      <c r="AF130" s="830"/>
      <c r="AG130" s="830"/>
      <c r="AH130" s="830"/>
      <c r="AI130" s="830"/>
      <c r="AJ130" s="830"/>
      <c r="AK130" s="836"/>
      <c r="AL130" s="837" t="e">
        <f>VLOOKUP(C130,'sản lượng'!$D$14:$AP$169,38,0)</f>
        <v>#N/A</v>
      </c>
      <c r="AP130" s="799">
        <v>1</v>
      </c>
      <c r="AR130" s="799">
        <v>2</v>
      </c>
    </row>
    <row r="131" spans="1:44" ht="15.75">
      <c r="A131" s="812">
        <v>10</v>
      </c>
      <c r="B131" s="813" t="e">
        <f>VLOOKUP(C131,'DS CN MOI UP'!$B$10:$C$389,2,0)</f>
        <v>#N/A</v>
      </c>
      <c r="C131" s="845" t="s">
        <v>1336</v>
      </c>
      <c r="D131" s="812" t="s">
        <v>15</v>
      </c>
      <c r="E131" s="815">
        <f t="shared" si="32"/>
        <v>24</v>
      </c>
      <c r="F131" s="815"/>
      <c r="G131" s="815"/>
      <c r="H131" s="960"/>
      <c r="I131" s="815"/>
      <c r="J131" s="815"/>
      <c r="K131" s="815"/>
      <c r="L131" s="815"/>
      <c r="M131" s="815"/>
      <c r="N131" s="815"/>
      <c r="O131" s="815"/>
      <c r="P131" s="815"/>
      <c r="Q131" s="815"/>
      <c r="R131" s="815"/>
      <c r="S131" s="830">
        <f t="shared" si="33"/>
        <v>24</v>
      </c>
      <c r="T131" s="830" t="e">
        <f>VLOOKUP(C131,'sản lượng'!$D$14:$AK$169,36,0)</f>
        <v>#N/A</v>
      </c>
      <c r="U131" s="830"/>
      <c r="V131" s="830"/>
      <c r="W131" s="830" t="e">
        <f>VLOOKUP(C131,'sản lượng'!$D$14:$AK$169,36,0)</f>
        <v>#N/A</v>
      </c>
      <c r="X131" s="830"/>
      <c r="Y131" s="830"/>
      <c r="Z131" s="830" t="e">
        <f t="shared" si="34"/>
        <v>#N/A</v>
      </c>
      <c r="AA131" s="830" t="e">
        <f>VLOOKUP(C131,'CHẤM CÔNG '!$E$13:$AM$168,33,0)</f>
        <v>#N/A</v>
      </c>
      <c r="AB131" s="830" t="e">
        <f>VLOOKUP(C131,'CHẤM CÔNG '!$E$13:$AM$168,34,0)</f>
        <v>#N/A</v>
      </c>
      <c r="AC131" s="830"/>
      <c r="AD131" s="830"/>
      <c r="AE131" s="830"/>
      <c r="AF131" s="830"/>
      <c r="AG131" s="830"/>
      <c r="AH131" s="830"/>
      <c r="AI131" s="830"/>
      <c r="AJ131" s="830"/>
      <c r="AK131" s="836"/>
      <c r="AL131" s="837" t="e">
        <f>VLOOKUP(C131,'sản lượng'!$D$14:$AP$169,38,0)</f>
        <v>#N/A</v>
      </c>
      <c r="AP131" s="799">
        <v>1</v>
      </c>
      <c r="AR131" s="799">
        <v>2</v>
      </c>
    </row>
    <row r="132" spans="1:44" ht="15.75">
      <c r="A132" s="812">
        <v>11</v>
      </c>
      <c r="B132" s="813" t="str">
        <f>VLOOKUP(C132,'DS CN MOI UP'!$B$10:$C$389,2,0)</f>
        <v>03338</v>
      </c>
      <c r="C132" s="845" t="s">
        <v>85</v>
      </c>
      <c r="D132" s="812" t="s">
        <v>15</v>
      </c>
      <c r="E132" s="815">
        <f t="shared" si="32"/>
        <v>24</v>
      </c>
      <c r="F132" s="815"/>
      <c r="G132" s="815"/>
      <c r="H132" s="960"/>
      <c r="I132" s="815"/>
      <c r="J132" s="815"/>
      <c r="K132" s="815"/>
      <c r="L132" s="815"/>
      <c r="M132" s="815"/>
      <c r="N132" s="815"/>
      <c r="O132" s="815"/>
      <c r="P132" s="815"/>
      <c r="Q132" s="815"/>
      <c r="R132" s="815"/>
      <c r="S132" s="830">
        <f t="shared" si="33"/>
        <v>24</v>
      </c>
      <c r="T132" s="830" t="e">
        <f>VLOOKUP(C132,'sản lượng'!$D$14:$AK$169,36,0)</f>
        <v>#N/A</v>
      </c>
      <c r="U132" s="830"/>
      <c r="V132" s="830"/>
      <c r="W132" s="830" t="e">
        <f>VLOOKUP(C132,'sản lượng'!$D$14:$AK$169,36,0)</f>
        <v>#N/A</v>
      </c>
      <c r="X132" s="830"/>
      <c r="Y132" s="830"/>
      <c r="Z132" s="830" t="e">
        <f t="shared" si="34"/>
        <v>#N/A</v>
      </c>
      <c r="AA132" s="830" t="e">
        <f>VLOOKUP(C132,'CHẤM CÔNG '!$E$13:$AM$168,33,0)</f>
        <v>#N/A</v>
      </c>
      <c r="AB132" s="830" t="e">
        <f>VLOOKUP(C132,'CHẤM CÔNG '!$E$13:$AM$168,34,0)</f>
        <v>#N/A</v>
      </c>
      <c r="AC132" s="830"/>
      <c r="AD132" s="830"/>
      <c r="AE132" s="830"/>
      <c r="AF132" s="830"/>
      <c r="AG132" s="830"/>
      <c r="AH132" s="830"/>
      <c r="AI132" s="830"/>
      <c r="AJ132" s="830"/>
      <c r="AK132" s="836"/>
      <c r="AL132" s="837" t="e">
        <f>VLOOKUP(C132,'sản lượng'!$D$14:$AP$169,38,0)</f>
        <v>#N/A</v>
      </c>
      <c r="AP132" s="799">
        <v>1</v>
      </c>
      <c r="AR132" s="799">
        <v>2</v>
      </c>
    </row>
    <row r="133" spans="1:44" ht="15.75">
      <c r="A133" s="812">
        <v>12</v>
      </c>
      <c r="B133" s="813" t="e">
        <f>VLOOKUP(C133,'DS CN MOI UP'!$B$10:$C$389,2,0)</f>
        <v>#N/A</v>
      </c>
      <c r="C133" s="845" t="s">
        <v>556</v>
      </c>
      <c r="D133" s="812" t="s">
        <v>15</v>
      </c>
      <c r="E133" s="815">
        <f t="shared" si="32"/>
        <v>24</v>
      </c>
      <c r="F133" s="815"/>
      <c r="G133" s="815"/>
      <c r="H133" s="960"/>
      <c r="I133" s="815"/>
      <c r="J133" s="815"/>
      <c r="K133" s="815"/>
      <c r="L133" s="815"/>
      <c r="M133" s="815"/>
      <c r="N133" s="815"/>
      <c r="O133" s="815"/>
      <c r="P133" s="815"/>
      <c r="Q133" s="815"/>
      <c r="R133" s="815"/>
      <c r="S133" s="830">
        <f t="shared" si="33"/>
        <v>24</v>
      </c>
      <c r="T133" s="830" t="e">
        <f>VLOOKUP(C133,'sản lượng'!$D$14:$AK$169,36,0)</f>
        <v>#N/A</v>
      </c>
      <c r="U133" s="830"/>
      <c r="V133" s="830"/>
      <c r="W133" s="830" t="e">
        <f>VLOOKUP(C133,'sản lượng'!$D$14:$AK$169,36,0)</f>
        <v>#N/A</v>
      </c>
      <c r="X133" s="830"/>
      <c r="Y133" s="830"/>
      <c r="Z133" s="830" t="e">
        <f t="shared" si="34"/>
        <v>#N/A</v>
      </c>
      <c r="AA133" s="830" t="e">
        <f>VLOOKUP(C133,'CHẤM CÔNG '!$E$13:$AM$168,33,0)</f>
        <v>#N/A</v>
      </c>
      <c r="AB133" s="830" t="e">
        <f>VLOOKUP(C133,'CHẤM CÔNG '!$E$13:$AM$168,34,0)</f>
        <v>#N/A</v>
      </c>
      <c r="AC133" s="830"/>
      <c r="AD133" s="830"/>
      <c r="AE133" s="830"/>
      <c r="AF133" s="830"/>
      <c r="AG133" s="830"/>
      <c r="AH133" s="830"/>
      <c r="AI133" s="830"/>
      <c r="AJ133" s="830"/>
      <c r="AK133" s="836"/>
      <c r="AL133" s="837" t="e">
        <f>VLOOKUP(C133,'sản lượng'!$D$14:$AP$169,38,0)</f>
        <v>#N/A</v>
      </c>
      <c r="AP133" s="799">
        <v>1</v>
      </c>
      <c r="AR133" s="799">
        <v>2</v>
      </c>
    </row>
    <row r="134" spans="1:44" ht="15.75">
      <c r="A134" s="812">
        <v>13</v>
      </c>
      <c r="B134" s="813" t="e">
        <f>VLOOKUP(C134,'DS CN MOI UP'!$B$10:$C$389,2,0)</f>
        <v>#N/A</v>
      </c>
      <c r="C134" s="845" t="s">
        <v>1994</v>
      </c>
      <c r="D134" s="812" t="s">
        <v>15</v>
      </c>
      <c r="E134" s="815">
        <f t="shared" si="32"/>
        <v>24</v>
      </c>
      <c r="F134" s="815"/>
      <c r="G134" s="815"/>
      <c r="H134" s="960"/>
      <c r="I134" s="815"/>
      <c r="J134" s="815"/>
      <c r="K134" s="815"/>
      <c r="L134" s="815"/>
      <c r="M134" s="815"/>
      <c r="N134" s="815"/>
      <c r="O134" s="815"/>
      <c r="P134" s="815"/>
      <c r="Q134" s="815"/>
      <c r="R134" s="815"/>
      <c r="S134" s="830">
        <f t="shared" si="33"/>
        <v>24</v>
      </c>
      <c r="T134" s="830" t="e">
        <f>VLOOKUP(C134,'sản lượng'!$D$14:$AK$169,36,0)</f>
        <v>#N/A</v>
      </c>
      <c r="U134" s="830"/>
      <c r="V134" s="830"/>
      <c r="W134" s="830" t="e">
        <f>VLOOKUP(C134,'sản lượng'!$D$14:$AK$169,36,0)</f>
        <v>#N/A</v>
      </c>
      <c r="X134" s="830"/>
      <c r="Y134" s="830"/>
      <c r="Z134" s="830" t="e">
        <f t="shared" si="34"/>
        <v>#N/A</v>
      </c>
      <c r="AA134" s="830" t="e">
        <f>VLOOKUP(C134,'CHẤM CÔNG '!$E$13:$AM$168,33,0)</f>
        <v>#N/A</v>
      </c>
      <c r="AB134" s="830" t="e">
        <f>VLOOKUP(C134,'CHẤM CÔNG '!$E$13:$AM$168,34,0)</f>
        <v>#N/A</v>
      </c>
      <c r="AC134" s="830"/>
      <c r="AD134" s="830"/>
      <c r="AE134" s="830"/>
      <c r="AF134" s="830"/>
      <c r="AG134" s="830"/>
      <c r="AH134" s="830"/>
      <c r="AI134" s="830"/>
      <c r="AJ134" s="830"/>
      <c r="AK134" s="836"/>
      <c r="AL134" s="837" t="e">
        <f>VLOOKUP(C134,'sản lượng'!$D$14:$AP$169,38,0)</f>
        <v>#N/A</v>
      </c>
      <c r="AP134" s="799">
        <v>1</v>
      </c>
      <c r="AR134" s="799">
        <v>2</v>
      </c>
    </row>
    <row r="135" spans="1:44" ht="15.75">
      <c r="A135" s="812">
        <v>14</v>
      </c>
      <c r="B135" s="813" t="str">
        <f>VLOOKUP(C135,'DS CN MOI UP'!$B$10:$C$389,2,0)</f>
        <v>02500</v>
      </c>
      <c r="C135" s="845" t="s">
        <v>59</v>
      </c>
      <c r="D135" s="812" t="s">
        <v>15</v>
      </c>
      <c r="E135" s="815">
        <f t="shared" si="32"/>
        <v>24</v>
      </c>
      <c r="F135" s="815"/>
      <c r="G135" s="815"/>
      <c r="H135" s="960"/>
      <c r="I135" s="815"/>
      <c r="J135" s="815"/>
      <c r="K135" s="815"/>
      <c r="L135" s="815"/>
      <c r="M135" s="815"/>
      <c r="N135" s="815"/>
      <c r="O135" s="815"/>
      <c r="P135" s="815"/>
      <c r="Q135" s="815"/>
      <c r="R135" s="815"/>
      <c r="S135" s="830">
        <f t="shared" si="33"/>
        <v>24</v>
      </c>
      <c r="T135" s="830" t="e">
        <f>VLOOKUP(C135,'sản lượng'!$D$14:$AK$169,36,0)</f>
        <v>#N/A</v>
      </c>
      <c r="U135" s="830"/>
      <c r="V135" s="830"/>
      <c r="W135" s="830" t="e">
        <f>VLOOKUP(C135,'sản lượng'!$D$14:$AK$169,36,0)</f>
        <v>#N/A</v>
      </c>
      <c r="X135" s="830"/>
      <c r="Y135" s="830"/>
      <c r="Z135" s="830" t="e">
        <f t="shared" si="34"/>
        <v>#N/A</v>
      </c>
      <c r="AA135" s="830" t="e">
        <f>VLOOKUP(C135,'CHẤM CÔNG '!$E$13:$AM$168,33,0)</f>
        <v>#N/A</v>
      </c>
      <c r="AB135" s="830" t="e">
        <f>VLOOKUP(C135,'CHẤM CÔNG '!$E$13:$AM$168,34,0)</f>
        <v>#N/A</v>
      </c>
      <c r="AC135" s="830"/>
      <c r="AD135" s="830"/>
      <c r="AE135" s="830"/>
      <c r="AF135" s="830"/>
      <c r="AG135" s="830"/>
      <c r="AH135" s="830"/>
      <c r="AI135" s="830"/>
      <c r="AJ135" s="830"/>
      <c r="AK135" s="836"/>
      <c r="AL135" s="837" t="e">
        <f>VLOOKUP(C135,'sản lượng'!$D$14:$AP$169,38,0)</f>
        <v>#N/A</v>
      </c>
      <c r="AP135" s="799">
        <v>1</v>
      </c>
      <c r="AR135" s="799">
        <v>2</v>
      </c>
    </row>
    <row r="136" spans="1:44" ht="15.75">
      <c r="A136" s="812">
        <v>15</v>
      </c>
      <c r="B136" s="813" t="str">
        <f>VLOOKUP(C136,'DS CN MOI UP'!$B$10:$C$389,2,0)</f>
        <v>02466</v>
      </c>
      <c r="C136" s="845" t="s">
        <v>25</v>
      </c>
      <c r="D136" s="812" t="s">
        <v>15</v>
      </c>
      <c r="E136" s="815">
        <f t="shared" si="32"/>
        <v>24</v>
      </c>
      <c r="F136" s="815"/>
      <c r="G136" s="815"/>
      <c r="H136" s="960"/>
      <c r="I136" s="815"/>
      <c r="J136" s="815"/>
      <c r="K136" s="815"/>
      <c r="L136" s="815"/>
      <c r="M136" s="815"/>
      <c r="N136" s="815"/>
      <c r="O136" s="815"/>
      <c r="P136" s="815"/>
      <c r="Q136" s="815"/>
      <c r="R136" s="815"/>
      <c r="S136" s="830">
        <f t="shared" si="33"/>
        <v>24</v>
      </c>
      <c r="T136" s="830" t="e">
        <f>VLOOKUP(C136,'sản lượng'!$D$14:$AK$169,36,0)</f>
        <v>#N/A</v>
      </c>
      <c r="U136" s="830"/>
      <c r="V136" s="830"/>
      <c r="W136" s="830" t="e">
        <f>VLOOKUP(C136,'sản lượng'!$D$14:$AK$169,36,0)</f>
        <v>#N/A</v>
      </c>
      <c r="X136" s="830"/>
      <c r="Y136" s="830"/>
      <c r="Z136" s="830" t="e">
        <f t="shared" si="34"/>
        <v>#N/A</v>
      </c>
      <c r="AA136" s="830" t="e">
        <f>VLOOKUP(C136,'CHẤM CÔNG '!$E$13:$AM$168,33,0)</f>
        <v>#N/A</v>
      </c>
      <c r="AB136" s="830" t="e">
        <f>VLOOKUP(C136,'CHẤM CÔNG '!$E$13:$AM$168,34,0)</f>
        <v>#N/A</v>
      </c>
      <c r="AC136" s="830"/>
      <c r="AD136" s="830"/>
      <c r="AE136" s="830"/>
      <c r="AF136" s="830"/>
      <c r="AG136" s="830"/>
      <c r="AH136" s="830"/>
      <c r="AI136" s="830"/>
      <c r="AJ136" s="830"/>
      <c r="AK136" s="836"/>
      <c r="AL136" s="837" t="e">
        <f>VLOOKUP(C136,'sản lượng'!$D$14:$AP$169,38,0)</f>
        <v>#N/A</v>
      </c>
      <c r="AR136" s="799">
        <v>3</v>
      </c>
    </row>
    <row r="137" spans="1:44" ht="15.75">
      <c r="A137" s="812">
        <v>16</v>
      </c>
      <c r="B137" s="813" t="str">
        <f>VLOOKUP(C137,'DS CN MOI UP'!$B$10:$C$389,2,0)</f>
        <v>02451</v>
      </c>
      <c r="C137" s="845" t="s">
        <v>60</v>
      </c>
      <c r="D137" s="812" t="s">
        <v>15</v>
      </c>
      <c r="E137" s="815">
        <f t="shared" si="32"/>
        <v>24</v>
      </c>
      <c r="F137" s="815"/>
      <c r="G137" s="815"/>
      <c r="H137" s="960"/>
      <c r="I137" s="815"/>
      <c r="J137" s="815"/>
      <c r="K137" s="815"/>
      <c r="L137" s="815"/>
      <c r="M137" s="815"/>
      <c r="N137" s="815"/>
      <c r="O137" s="815"/>
      <c r="P137" s="815"/>
      <c r="Q137" s="815"/>
      <c r="R137" s="815"/>
      <c r="S137" s="830">
        <f t="shared" si="33"/>
        <v>24</v>
      </c>
      <c r="T137" s="830" t="e">
        <f>VLOOKUP(C137,'sản lượng'!$D$14:$AK$169,36,0)</f>
        <v>#N/A</v>
      </c>
      <c r="U137" s="830"/>
      <c r="V137" s="830"/>
      <c r="W137" s="830" t="e">
        <f>VLOOKUP(C137,'sản lượng'!$D$14:$AK$169,36,0)</f>
        <v>#N/A</v>
      </c>
      <c r="X137" s="830"/>
      <c r="Y137" s="830"/>
      <c r="Z137" s="830" t="e">
        <f t="shared" si="34"/>
        <v>#N/A</v>
      </c>
      <c r="AA137" s="830" t="e">
        <f>VLOOKUP(C137,'CHẤM CÔNG '!$E$13:$AM$168,33,0)</f>
        <v>#N/A</v>
      </c>
      <c r="AB137" s="830" t="e">
        <f>VLOOKUP(C137,'CHẤM CÔNG '!$E$13:$AM$168,34,0)</f>
        <v>#N/A</v>
      </c>
      <c r="AC137" s="830"/>
      <c r="AD137" s="830"/>
      <c r="AE137" s="830"/>
      <c r="AF137" s="830"/>
      <c r="AG137" s="830"/>
      <c r="AH137" s="830"/>
      <c r="AI137" s="830"/>
      <c r="AJ137" s="830"/>
      <c r="AK137" s="836"/>
      <c r="AL137" s="837" t="e">
        <f>VLOOKUP(C137,'sản lượng'!$D$14:$AP$169,38,0)</f>
        <v>#N/A</v>
      </c>
      <c r="AP137" s="799">
        <v>2</v>
      </c>
      <c r="AR137" s="799">
        <v>1</v>
      </c>
    </row>
    <row r="138" spans="1:44" ht="15.75">
      <c r="A138" s="812">
        <v>17</v>
      </c>
      <c r="B138" s="813" t="str">
        <f>VLOOKUP(C138,'DS CN MOI UP'!$B$10:$C$389,2,0)</f>
        <v>02462</v>
      </c>
      <c r="C138" s="845" t="s">
        <v>1995</v>
      </c>
      <c r="D138" s="812" t="s">
        <v>15</v>
      </c>
      <c r="E138" s="815">
        <f t="shared" si="32"/>
        <v>24</v>
      </c>
      <c r="F138" s="815"/>
      <c r="G138" s="815"/>
      <c r="H138" s="960"/>
      <c r="I138" s="815"/>
      <c r="J138" s="815"/>
      <c r="K138" s="815"/>
      <c r="L138" s="815"/>
      <c r="M138" s="815"/>
      <c r="N138" s="815"/>
      <c r="O138" s="815"/>
      <c r="P138" s="815"/>
      <c r="Q138" s="815"/>
      <c r="R138" s="815"/>
      <c r="S138" s="830">
        <f t="shared" si="33"/>
        <v>24</v>
      </c>
      <c r="T138" s="830" t="e">
        <f>VLOOKUP(C138,'sản lượng'!$D$14:$AK$169,36,0)</f>
        <v>#N/A</v>
      </c>
      <c r="U138" s="830"/>
      <c r="V138" s="830"/>
      <c r="W138" s="830" t="e">
        <f>VLOOKUP(C138,'sản lượng'!$D$14:$AK$169,36,0)</f>
        <v>#N/A</v>
      </c>
      <c r="X138" s="830"/>
      <c r="Y138" s="830"/>
      <c r="Z138" s="830" t="e">
        <f t="shared" si="34"/>
        <v>#N/A</v>
      </c>
      <c r="AA138" s="830" t="e">
        <f>VLOOKUP(C138,'CHẤM CÔNG '!$E$13:$AM$168,33,0)</f>
        <v>#N/A</v>
      </c>
      <c r="AB138" s="830" t="e">
        <f>VLOOKUP(C138,'CHẤM CÔNG '!$E$13:$AM$168,34,0)</f>
        <v>#N/A</v>
      </c>
      <c r="AC138" s="830"/>
      <c r="AD138" s="830"/>
      <c r="AE138" s="830"/>
      <c r="AF138" s="830"/>
      <c r="AG138" s="830"/>
      <c r="AH138" s="830"/>
      <c r="AI138" s="830"/>
      <c r="AJ138" s="830"/>
      <c r="AK138" s="836"/>
      <c r="AL138" s="837" t="e">
        <f>VLOOKUP(C138,'sản lượng'!$D$14:$AP$169,38,0)</f>
        <v>#N/A</v>
      </c>
      <c r="AP138" s="799">
        <v>1</v>
      </c>
      <c r="AR138" s="799">
        <v>2</v>
      </c>
    </row>
    <row r="139" spans="1:44" ht="15.75">
      <c r="A139" s="812">
        <v>18</v>
      </c>
      <c r="B139" s="813" t="str">
        <f>VLOOKUP(C139,'DS CN MOI UP'!$B$10:$C$389,2,0)</f>
        <v>02467</v>
      </c>
      <c r="C139" s="845" t="s">
        <v>52</v>
      </c>
      <c r="D139" s="812" t="s">
        <v>15</v>
      </c>
      <c r="E139" s="815">
        <f t="shared" si="32"/>
        <v>24</v>
      </c>
      <c r="F139" s="815"/>
      <c r="G139" s="815"/>
      <c r="H139" s="960"/>
      <c r="I139" s="815"/>
      <c r="J139" s="815"/>
      <c r="K139" s="815"/>
      <c r="L139" s="815"/>
      <c r="M139" s="815"/>
      <c r="N139" s="815"/>
      <c r="O139" s="815"/>
      <c r="P139" s="815"/>
      <c r="Q139" s="815"/>
      <c r="R139" s="815"/>
      <c r="S139" s="830">
        <f t="shared" si="33"/>
        <v>24</v>
      </c>
      <c r="T139" s="830" t="e">
        <f>VLOOKUP(C139,'sản lượng'!$D$14:$AK$169,36,0)</f>
        <v>#N/A</v>
      </c>
      <c r="U139" s="830"/>
      <c r="V139" s="830"/>
      <c r="W139" s="830" t="e">
        <f>VLOOKUP(C139,'sản lượng'!$D$14:$AK$169,36,0)</f>
        <v>#N/A</v>
      </c>
      <c r="X139" s="830"/>
      <c r="Y139" s="830"/>
      <c r="Z139" s="830" t="e">
        <f t="shared" si="34"/>
        <v>#N/A</v>
      </c>
      <c r="AA139" s="830" t="e">
        <f>VLOOKUP(C139,'CHẤM CÔNG '!$E$13:$AM$168,33,0)</f>
        <v>#N/A</v>
      </c>
      <c r="AB139" s="830" t="e">
        <f>VLOOKUP(C139,'CHẤM CÔNG '!$E$13:$AM$168,34,0)</f>
        <v>#N/A</v>
      </c>
      <c r="AC139" s="830"/>
      <c r="AD139" s="830"/>
      <c r="AE139" s="830"/>
      <c r="AF139" s="830"/>
      <c r="AG139" s="830"/>
      <c r="AH139" s="830"/>
      <c r="AI139" s="830"/>
      <c r="AJ139" s="830"/>
      <c r="AK139" s="836"/>
      <c r="AL139" s="837" t="e">
        <f>VLOOKUP(C139,'sản lượng'!$D$14:$AP$169,38,0)</f>
        <v>#N/A</v>
      </c>
      <c r="AP139" s="799">
        <v>1</v>
      </c>
      <c r="AR139" s="799">
        <v>2</v>
      </c>
    </row>
    <row r="140" spans="1:44" ht="15.75">
      <c r="A140" s="812">
        <v>19</v>
      </c>
      <c r="B140" s="813" t="str">
        <f>VLOOKUP(C140,'DS CN MOI UP'!$B$10:$C$389,2,0)</f>
        <v>02494</v>
      </c>
      <c r="C140" s="845" t="s">
        <v>96</v>
      </c>
      <c r="D140" s="812" t="s">
        <v>15</v>
      </c>
      <c r="E140" s="815">
        <f t="shared" si="32"/>
        <v>24</v>
      </c>
      <c r="F140" s="815"/>
      <c r="G140" s="815"/>
      <c r="H140" s="960"/>
      <c r="I140" s="815"/>
      <c r="J140" s="815"/>
      <c r="K140" s="815"/>
      <c r="L140" s="815"/>
      <c r="M140" s="815"/>
      <c r="N140" s="815"/>
      <c r="O140" s="815"/>
      <c r="P140" s="815"/>
      <c r="Q140" s="815"/>
      <c r="R140" s="815"/>
      <c r="S140" s="830">
        <f t="shared" si="33"/>
        <v>24</v>
      </c>
      <c r="T140" s="830" t="e">
        <f>VLOOKUP(C140,'sản lượng'!$D$14:$AK$169,36,0)</f>
        <v>#N/A</v>
      </c>
      <c r="U140" s="830"/>
      <c r="V140" s="830"/>
      <c r="W140" s="830" t="e">
        <f>VLOOKUP(C140,'sản lượng'!$D$14:$AK$169,36,0)</f>
        <v>#N/A</v>
      </c>
      <c r="X140" s="830"/>
      <c r="Y140" s="830"/>
      <c r="Z140" s="830" t="e">
        <f t="shared" si="34"/>
        <v>#N/A</v>
      </c>
      <c r="AA140" s="830" t="e">
        <f>VLOOKUP(C140,'CHẤM CÔNG '!$E$13:$AM$168,33,0)</f>
        <v>#N/A</v>
      </c>
      <c r="AB140" s="830" t="e">
        <f>VLOOKUP(C140,'CHẤM CÔNG '!$E$13:$AM$168,34,0)</f>
        <v>#N/A</v>
      </c>
      <c r="AC140" s="830"/>
      <c r="AD140" s="830"/>
      <c r="AE140" s="830"/>
      <c r="AF140" s="830"/>
      <c r="AG140" s="830"/>
      <c r="AH140" s="830"/>
      <c r="AI140" s="830"/>
      <c r="AJ140" s="830"/>
      <c r="AK140" s="836"/>
      <c r="AL140" s="837" t="e">
        <f>VLOOKUP(C140,'sản lượng'!$D$14:$AP$169,38,0)</f>
        <v>#N/A</v>
      </c>
      <c r="AP140" s="799">
        <v>1</v>
      </c>
      <c r="AR140" s="799">
        <v>2</v>
      </c>
    </row>
    <row r="141" spans="1:44" ht="15.75">
      <c r="A141" s="812">
        <v>20</v>
      </c>
      <c r="B141" s="813" t="str">
        <f>VLOOKUP(C141,'DS CN MOI UP'!$B$10:$C$389,2,0)</f>
        <v>02476</v>
      </c>
      <c r="C141" s="845" t="s">
        <v>97</v>
      </c>
      <c r="D141" s="812" t="s">
        <v>15</v>
      </c>
      <c r="E141" s="815">
        <f t="shared" si="32"/>
        <v>24</v>
      </c>
      <c r="F141" s="815"/>
      <c r="G141" s="815"/>
      <c r="H141" s="960"/>
      <c r="I141" s="815"/>
      <c r="J141" s="815"/>
      <c r="K141" s="815"/>
      <c r="L141" s="815"/>
      <c r="M141" s="815"/>
      <c r="N141" s="815"/>
      <c r="O141" s="815"/>
      <c r="P141" s="815"/>
      <c r="Q141" s="815"/>
      <c r="R141" s="815"/>
      <c r="S141" s="830">
        <f t="shared" si="33"/>
        <v>24</v>
      </c>
      <c r="T141" s="830" t="e">
        <f>VLOOKUP(C141,'sản lượng'!$D$14:$AK$169,36,0)</f>
        <v>#N/A</v>
      </c>
      <c r="U141" s="830"/>
      <c r="V141" s="830"/>
      <c r="W141" s="830" t="e">
        <f>VLOOKUP(C141,'sản lượng'!$D$14:$AK$169,36,0)</f>
        <v>#N/A</v>
      </c>
      <c r="X141" s="830"/>
      <c r="Y141" s="830"/>
      <c r="Z141" s="830" t="e">
        <f t="shared" si="34"/>
        <v>#N/A</v>
      </c>
      <c r="AA141" s="830" t="e">
        <f>VLOOKUP(C141,'CHẤM CÔNG '!$E$13:$AM$168,33,0)</f>
        <v>#N/A</v>
      </c>
      <c r="AB141" s="830" t="e">
        <f>VLOOKUP(C141,'CHẤM CÔNG '!$E$13:$AM$168,34,0)</f>
        <v>#N/A</v>
      </c>
      <c r="AC141" s="830"/>
      <c r="AD141" s="830"/>
      <c r="AE141" s="830"/>
      <c r="AF141" s="830"/>
      <c r="AG141" s="830"/>
      <c r="AH141" s="830"/>
      <c r="AI141" s="830"/>
      <c r="AJ141" s="830"/>
      <c r="AK141" s="836"/>
      <c r="AL141" s="837" t="e">
        <f>VLOOKUP(C141,'sản lượng'!$D$14:$AP$169,38,0)</f>
        <v>#N/A</v>
      </c>
      <c r="AP141" s="799">
        <v>2</v>
      </c>
      <c r="AR141" s="799">
        <v>1</v>
      </c>
    </row>
    <row r="142" spans="1:44" ht="15.75">
      <c r="A142" s="812">
        <v>21</v>
      </c>
      <c r="B142" s="813" t="str">
        <f>VLOOKUP(C142,'DS CN MOI UP'!$B$10:$C$389,2,0)</f>
        <v>02513</v>
      </c>
      <c r="C142" s="845" t="s">
        <v>42</v>
      </c>
      <c r="D142" s="812" t="s">
        <v>15</v>
      </c>
      <c r="E142" s="815">
        <f t="shared" si="32"/>
        <v>24</v>
      </c>
      <c r="F142" s="815"/>
      <c r="G142" s="815"/>
      <c r="H142" s="960"/>
      <c r="I142" s="815"/>
      <c r="J142" s="815"/>
      <c r="K142" s="815"/>
      <c r="L142" s="815"/>
      <c r="M142" s="815"/>
      <c r="N142" s="815"/>
      <c r="O142" s="815"/>
      <c r="P142" s="815"/>
      <c r="Q142" s="815"/>
      <c r="R142" s="815"/>
      <c r="S142" s="830">
        <f t="shared" si="33"/>
        <v>24</v>
      </c>
      <c r="T142" s="830" t="e">
        <f>VLOOKUP(C142,'sản lượng'!$D$14:$AK$169,36,0)</f>
        <v>#N/A</v>
      </c>
      <c r="U142" s="830"/>
      <c r="V142" s="830"/>
      <c r="W142" s="830" t="e">
        <f>VLOOKUP(C142,'sản lượng'!$D$14:$AK$169,36,0)</f>
        <v>#N/A</v>
      </c>
      <c r="X142" s="830"/>
      <c r="Y142" s="830"/>
      <c r="Z142" s="830" t="e">
        <f t="shared" si="34"/>
        <v>#N/A</v>
      </c>
      <c r="AA142" s="830" t="e">
        <f>VLOOKUP(C142,'CHẤM CÔNG '!$E$13:$AM$168,33,0)</f>
        <v>#N/A</v>
      </c>
      <c r="AB142" s="830" t="e">
        <f>VLOOKUP(C142,'CHẤM CÔNG '!$E$13:$AM$168,34,0)</f>
        <v>#N/A</v>
      </c>
      <c r="AC142" s="830"/>
      <c r="AD142" s="830"/>
      <c r="AE142" s="830"/>
      <c r="AF142" s="830"/>
      <c r="AG142" s="830"/>
      <c r="AH142" s="830"/>
      <c r="AI142" s="830"/>
      <c r="AJ142" s="830"/>
      <c r="AK142" s="836"/>
      <c r="AL142" s="837" t="e">
        <f>VLOOKUP(C142,'sản lượng'!$D$14:$AP$169,38,0)</f>
        <v>#N/A</v>
      </c>
      <c r="AR142" s="799">
        <v>3</v>
      </c>
    </row>
    <row r="143" spans="1:44" ht="15.75">
      <c r="A143" s="812">
        <v>22</v>
      </c>
      <c r="B143" s="813" t="str">
        <f>VLOOKUP(C143,'DS CN MOI UP'!$B$10:$C$389,2,0)</f>
        <v>02512</v>
      </c>
      <c r="C143" s="845" t="s">
        <v>54</v>
      </c>
      <c r="D143" s="812" t="s">
        <v>15</v>
      </c>
      <c r="E143" s="815">
        <f t="shared" si="32"/>
        <v>24</v>
      </c>
      <c r="F143" s="815"/>
      <c r="G143" s="815"/>
      <c r="H143" s="960"/>
      <c r="I143" s="815"/>
      <c r="J143" s="815"/>
      <c r="K143" s="815"/>
      <c r="L143" s="815"/>
      <c r="M143" s="815"/>
      <c r="N143" s="815"/>
      <c r="O143" s="815"/>
      <c r="P143" s="815"/>
      <c r="Q143" s="815"/>
      <c r="R143" s="815"/>
      <c r="S143" s="830">
        <f t="shared" si="33"/>
        <v>24</v>
      </c>
      <c r="T143" s="830" t="e">
        <f>VLOOKUP(C143,'sản lượng'!$D$14:$AK$169,36,0)</f>
        <v>#N/A</v>
      </c>
      <c r="U143" s="830"/>
      <c r="V143" s="830"/>
      <c r="W143" s="830" t="e">
        <f>VLOOKUP(C143,'sản lượng'!$D$14:$AK$169,36,0)</f>
        <v>#N/A</v>
      </c>
      <c r="X143" s="830"/>
      <c r="Y143" s="830"/>
      <c r="Z143" s="830" t="e">
        <f t="shared" si="34"/>
        <v>#N/A</v>
      </c>
      <c r="AA143" s="830" t="e">
        <f>VLOOKUP(C143,'CHẤM CÔNG '!$E$13:$AM$168,33,0)</f>
        <v>#N/A</v>
      </c>
      <c r="AB143" s="830" t="e">
        <f>VLOOKUP(C143,'CHẤM CÔNG '!$E$13:$AM$168,34,0)</f>
        <v>#N/A</v>
      </c>
      <c r="AC143" s="830"/>
      <c r="AD143" s="830"/>
      <c r="AE143" s="830"/>
      <c r="AF143" s="830"/>
      <c r="AG143" s="830"/>
      <c r="AH143" s="830"/>
      <c r="AI143" s="830"/>
      <c r="AJ143" s="830"/>
      <c r="AK143" s="836"/>
      <c r="AL143" s="837" t="e">
        <f>VLOOKUP(C143,'sản lượng'!$D$14:$AP$169,38,0)</f>
        <v>#N/A</v>
      </c>
      <c r="AR143" s="799">
        <v>3</v>
      </c>
    </row>
    <row r="144" spans="1:44" ht="15.75">
      <c r="A144" s="812">
        <v>23</v>
      </c>
      <c r="B144" s="813" t="str">
        <f>VLOOKUP(C144,'DS CN MOI UP'!$B$10:$C$389,2,0)</f>
        <v>03332</v>
      </c>
      <c r="C144" s="845" t="s">
        <v>1996</v>
      </c>
      <c r="D144" s="812" t="s">
        <v>15</v>
      </c>
      <c r="E144" s="815">
        <f t="shared" si="32"/>
        <v>24</v>
      </c>
      <c r="F144" s="815"/>
      <c r="G144" s="815"/>
      <c r="H144" s="960"/>
      <c r="I144" s="815"/>
      <c r="J144" s="815"/>
      <c r="K144" s="815"/>
      <c r="L144" s="815"/>
      <c r="M144" s="815"/>
      <c r="N144" s="815"/>
      <c r="O144" s="815"/>
      <c r="P144" s="815"/>
      <c r="Q144" s="815"/>
      <c r="R144" s="815"/>
      <c r="S144" s="830">
        <f t="shared" si="33"/>
        <v>24</v>
      </c>
      <c r="T144" s="830" t="e">
        <f>VLOOKUP(C144,'sản lượng'!$D$14:$AK$169,36,0)</f>
        <v>#N/A</v>
      </c>
      <c r="U144" s="830"/>
      <c r="V144" s="830"/>
      <c r="W144" s="830" t="e">
        <f>VLOOKUP(C144,'sản lượng'!$D$14:$AK$169,36,0)</f>
        <v>#N/A</v>
      </c>
      <c r="X144" s="830"/>
      <c r="Y144" s="830"/>
      <c r="Z144" s="830" t="e">
        <f t="shared" si="34"/>
        <v>#N/A</v>
      </c>
      <c r="AA144" s="830" t="e">
        <f>VLOOKUP(C144,'CHẤM CÔNG '!$E$13:$AM$168,33,0)</f>
        <v>#N/A</v>
      </c>
      <c r="AB144" s="830" t="e">
        <f>VLOOKUP(C144,'CHẤM CÔNG '!$E$13:$AM$168,34,0)</f>
        <v>#N/A</v>
      </c>
      <c r="AC144" s="830"/>
      <c r="AD144" s="830"/>
      <c r="AE144" s="830"/>
      <c r="AF144" s="830"/>
      <c r="AG144" s="830"/>
      <c r="AH144" s="830"/>
      <c r="AI144" s="830"/>
      <c r="AJ144" s="830"/>
      <c r="AK144" s="836"/>
      <c r="AL144" s="837" t="e">
        <f>VLOOKUP(C144,'sản lượng'!$D$14:$AP$169,38,0)</f>
        <v>#N/A</v>
      </c>
      <c r="AP144" s="799">
        <v>2</v>
      </c>
      <c r="AR144" s="799">
        <v>1</v>
      </c>
    </row>
    <row r="145" spans="1:44" ht="15.75">
      <c r="A145" s="812">
        <v>24</v>
      </c>
      <c r="B145" s="813" t="str">
        <f>VLOOKUP(C145,'DS CN MOI UP'!$B$10:$C$389,2,0)</f>
        <v>02509</v>
      </c>
      <c r="C145" s="845" t="s">
        <v>491</v>
      </c>
      <c r="D145" s="812" t="s">
        <v>15</v>
      </c>
      <c r="E145" s="815">
        <f t="shared" si="32"/>
        <v>24</v>
      </c>
      <c r="F145" s="815"/>
      <c r="G145" s="815"/>
      <c r="H145" s="960"/>
      <c r="I145" s="815"/>
      <c r="J145" s="815"/>
      <c r="K145" s="815"/>
      <c r="L145" s="815"/>
      <c r="M145" s="815"/>
      <c r="N145" s="815"/>
      <c r="O145" s="815"/>
      <c r="P145" s="815"/>
      <c r="Q145" s="815"/>
      <c r="R145" s="815"/>
      <c r="S145" s="830">
        <f t="shared" si="33"/>
        <v>24</v>
      </c>
      <c r="T145" s="830" t="e">
        <f>VLOOKUP(C145,'sản lượng'!$D$14:$AK$169,36,0)</f>
        <v>#N/A</v>
      </c>
      <c r="U145" s="830"/>
      <c r="V145" s="830"/>
      <c r="W145" s="830" t="e">
        <f>VLOOKUP(C145,'sản lượng'!$D$14:$AK$169,36,0)</f>
        <v>#N/A</v>
      </c>
      <c r="X145" s="830"/>
      <c r="Y145" s="830"/>
      <c r="Z145" s="830" t="e">
        <f t="shared" si="34"/>
        <v>#N/A</v>
      </c>
      <c r="AA145" s="830" t="e">
        <f>VLOOKUP(C145,'CHẤM CÔNG '!$E$13:$AM$168,33,0)</f>
        <v>#N/A</v>
      </c>
      <c r="AB145" s="830" t="e">
        <f>VLOOKUP(C145,'CHẤM CÔNG '!$E$13:$AM$168,34,0)</f>
        <v>#N/A</v>
      </c>
      <c r="AC145" s="830"/>
      <c r="AD145" s="830"/>
      <c r="AE145" s="830"/>
      <c r="AF145" s="830"/>
      <c r="AG145" s="830"/>
      <c r="AH145" s="830"/>
      <c r="AI145" s="830"/>
      <c r="AJ145" s="830"/>
      <c r="AK145" s="836"/>
      <c r="AL145" s="837" t="e">
        <f>VLOOKUP(C145,'sản lượng'!$D$14:$AP$169,38,0)</f>
        <v>#N/A</v>
      </c>
      <c r="AP145" s="799">
        <v>2</v>
      </c>
      <c r="AR145" s="799">
        <v>1</v>
      </c>
    </row>
    <row r="146" spans="1:44" ht="15.75">
      <c r="A146" s="812">
        <v>25</v>
      </c>
      <c r="B146" s="813" t="str">
        <f>VLOOKUP(C146,'DS CN MOI UP'!$B$10:$C$389,2,0)</f>
        <v>03323</v>
      </c>
      <c r="C146" s="845" t="s">
        <v>24</v>
      </c>
      <c r="D146" s="812" t="s">
        <v>15</v>
      </c>
      <c r="E146" s="815">
        <f t="shared" si="32"/>
        <v>24</v>
      </c>
      <c r="F146" s="815"/>
      <c r="G146" s="815"/>
      <c r="H146" s="960"/>
      <c r="I146" s="815"/>
      <c r="J146" s="815"/>
      <c r="K146" s="815"/>
      <c r="L146" s="815"/>
      <c r="M146" s="815"/>
      <c r="N146" s="815"/>
      <c r="O146" s="815"/>
      <c r="P146" s="815"/>
      <c r="Q146" s="815"/>
      <c r="R146" s="815"/>
      <c r="S146" s="830">
        <f t="shared" si="33"/>
        <v>24</v>
      </c>
      <c r="T146" s="830" t="e">
        <f>VLOOKUP(C146,'sản lượng'!$D$14:$AK$169,36,0)</f>
        <v>#N/A</v>
      </c>
      <c r="U146" s="830"/>
      <c r="V146" s="830"/>
      <c r="W146" s="830" t="e">
        <f>VLOOKUP(C146,'sản lượng'!$D$14:$AK$169,36,0)</f>
        <v>#N/A</v>
      </c>
      <c r="X146" s="830"/>
      <c r="Y146" s="830"/>
      <c r="Z146" s="830" t="e">
        <f t="shared" si="34"/>
        <v>#N/A</v>
      </c>
      <c r="AA146" s="830" t="e">
        <f>VLOOKUP(C146,'CHẤM CÔNG '!$E$13:$AM$168,33,0)</f>
        <v>#N/A</v>
      </c>
      <c r="AB146" s="830" t="e">
        <f>VLOOKUP(C146,'CHẤM CÔNG '!$E$13:$AM$168,34,0)</f>
        <v>#N/A</v>
      </c>
      <c r="AC146" s="830"/>
      <c r="AD146" s="830"/>
      <c r="AE146" s="830"/>
      <c r="AF146" s="830"/>
      <c r="AG146" s="830"/>
      <c r="AH146" s="830"/>
      <c r="AI146" s="830"/>
      <c r="AJ146" s="830"/>
      <c r="AK146" s="836"/>
      <c r="AL146" s="837" t="e">
        <f>VLOOKUP(C146,'sản lượng'!$D$14:$AP$169,38,0)</f>
        <v>#N/A</v>
      </c>
      <c r="AP146" s="799">
        <v>2</v>
      </c>
      <c r="AR146" s="799">
        <v>1</v>
      </c>
    </row>
    <row r="147" spans="1:44" ht="15.75">
      <c r="A147" s="812">
        <v>26</v>
      </c>
      <c r="B147" s="813" t="str">
        <f>VLOOKUP(C147,'DS CN MOI UP'!$B$10:$C$389,2,0)</f>
        <v>03337</v>
      </c>
      <c r="C147" s="845" t="s">
        <v>1997</v>
      </c>
      <c r="D147" s="812" t="s">
        <v>15</v>
      </c>
      <c r="E147" s="815">
        <f t="shared" si="32"/>
        <v>24</v>
      </c>
      <c r="F147" s="815"/>
      <c r="G147" s="815"/>
      <c r="H147" s="960"/>
      <c r="I147" s="815"/>
      <c r="J147" s="815"/>
      <c r="K147" s="815"/>
      <c r="L147" s="815"/>
      <c r="M147" s="815"/>
      <c r="N147" s="815"/>
      <c r="O147" s="815"/>
      <c r="P147" s="815"/>
      <c r="Q147" s="815"/>
      <c r="R147" s="815"/>
      <c r="S147" s="830">
        <f t="shared" si="33"/>
        <v>24</v>
      </c>
      <c r="T147" s="830" t="e">
        <f>VLOOKUP(C147,'sản lượng'!$D$14:$AK$169,36,0)</f>
        <v>#N/A</v>
      </c>
      <c r="U147" s="830"/>
      <c r="V147" s="830"/>
      <c r="W147" s="830" t="e">
        <f>VLOOKUP(C147,'sản lượng'!$D$14:$AK$169,36,0)</f>
        <v>#N/A</v>
      </c>
      <c r="X147" s="830"/>
      <c r="Y147" s="830"/>
      <c r="Z147" s="830" t="e">
        <f t="shared" si="34"/>
        <v>#N/A</v>
      </c>
      <c r="AA147" s="830" t="e">
        <f>VLOOKUP(C147,'CHẤM CÔNG '!$E$13:$AM$168,33,0)</f>
        <v>#N/A</v>
      </c>
      <c r="AB147" s="830" t="e">
        <f>VLOOKUP(C147,'CHẤM CÔNG '!$E$13:$AM$168,34,0)</f>
        <v>#N/A</v>
      </c>
      <c r="AC147" s="830"/>
      <c r="AD147" s="830"/>
      <c r="AE147" s="830"/>
      <c r="AF147" s="830"/>
      <c r="AG147" s="830"/>
      <c r="AH147" s="830"/>
      <c r="AI147" s="830"/>
      <c r="AJ147" s="830"/>
      <c r="AK147" s="836"/>
      <c r="AL147" s="837" t="e">
        <f>VLOOKUP(C147,'sản lượng'!$D$14:$AP$169,38,0)</f>
        <v>#N/A</v>
      </c>
      <c r="AP147" s="799">
        <v>2</v>
      </c>
      <c r="AR147" s="799">
        <v>1</v>
      </c>
    </row>
    <row r="148" spans="1:44" ht="15.75">
      <c r="A148" s="812">
        <v>27</v>
      </c>
      <c r="B148" s="813" t="str">
        <f>VLOOKUP(C148,'DS CN MOI UP'!$B$10:$C$389,2,0)</f>
        <v>02482</v>
      </c>
      <c r="C148" s="845" t="s">
        <v>83</v>
      </c>
      <c r="D148" s="812" t="s">
        <v>15</v>
      </c>
      <c r="E148" s="815">
        <f t="shared" si="32"/>
        <v>24</v>
      </c>
      <c r="F148" s="815"/>
      <c r="G148" s="815"/>
      <c r="H148" s="960"/>
      <c r="I148" s="815"/>
      <c r="J148" s="815"/>
      <c r="K148" s="815"/>
      <c r="L148" s="815"/>
      <c r="M148" s="815"/>
      <c r="N148" s="815"/>
      <c r="O148" s="815"/>
      <c r="P148" s="815"/>
      <c r="Q148" s="815"/>
      <c r="R148" s="815"/>
      <c r="S148" s="830">
        <f t="shared" si="33"/>
        <v>24</v>
      </c>
      <c r="T148" s="830" t="e">
        <f>VLOOKUP(C148,'sản lượng'!$D$14:$AK$169,36,0)</f>
        <v>#N/A</v>
      </c>
      <c r="U148" s="830"/>
      <c r="V148" s="830"/>
      <c r="W148" s="830" t="e">
        <f>VLOOKUP(C148,'sản lượng'!$D$14:$AK$169,36,0)</f>
        <v>#N/A</v>
      </c>
      <c r="X148" s="830"/>
      <c r="Y148" s="830"/>
      <c r="Z148" s="830" t="e">
        <f t="shared" si="34"/>
        <v>#N/A</v>
      </c>
      <c r="AA148" s="830" t="e">
        <f>VLOOKUP(C148,'CHẤM CÔNG '!$E$13:$AM$168,33,0)</f>
        <v>#N/A</v>
      </c>
      <c r="AB148" s="830" t="e">
        <f>VLOOKUP(C148,'CHẤM CÔNG '!$E$13:$AM$168,34,0)</f>
        <v>#N/A</v>
      </c>
      <c r="AC148" s="830"/>
      <c r="AD148" s="830"/>
      <c r="AE148" s="830"/>
      <c r="AF148" s="830"/>
      <c r="AG148" s="830"/>
      <c r="AH148" s="830"/>
      <c r="AI148" s="830"/>
      <c r="AJ148" s="830"/>
      <c r="AK148" s="836"/>
      <c r="AL148" s="837" t="e">
        <f>VLOOKUP(C148,'sản lượng'!$D$14:$AP$169,38,0)</f>
        <v>#N/A</v>
      </c>
      <c r="AP148" s="799">
        <v>1</v>
      </c>
      <c r="AR148" s="799">
        <v>2</v>
      </c>
    </row>
    <row r="149" spans="1:44" ht="15.75">
      <c r="A149" s="812">
        <v>28</v>
      </c>
      <c r="B149" s="813" t="str">
        <f>VLOOKUP(C149,'DS CN MOI UP'!$B$10:$C$389,2,0)</f>
        <v>03322</v>
      </c>
      <c r="C149" s="845" t="s">
        <v>21</v>
      </c>
      <c r="D149" s="812" t="s">
        <v>15</v>
      </c>
      <c r="E149" s="815">
        <f t="shared" si="32"/>
        <v>24</v>
      </c>
      <c r="F149" s="815"/>
      <c r="G149" s="815"/>
      <c r="H149" s="960"/>
      <c r="I149" s="815"/>
      <c r="J149" s="815"/>
      <c r="K149" s="815"/>
      <c r="L149" s="815"/>
      <c r="M149" s="815"/>
      <c r="N149" s="815"/>
      <c r="O149" s="815"/>
      <c r="P149" s="815"/>
      <c r="Q149" s="815"/>
      <c r="R149" s="815"/>
      <c r="S149" s="830">
        <f t="shared" si="33"/>
        <v>24</v>
      </c>
      <c r="T149" s="830" t="e">
        <f>VLOOKUP(C149,'sản lượng'!$D$14:$AK$169,36,0)</f>
        <v>#N/A</v>
      </c>
      <c r="U149" s="830"/>
      <c r="V149" s="830"/>
      <c r="W149" s="830" t="e">
        <f>VLOOKUP(C149,'sản lượng'!$D$14:$AK$169,36,0)</f>
        <v>#N/A</v>
      </c>
      <c r="X149" s="830"/>
      <c r="Y149" s="830"/>
      <c r="Z149" s="830" t="e">
        <f t="shared" si="34"/>
        <v>#N/A</v>
      </c>
      <c r="AA149" s="830" t="e">
        <f>VLOOKUP(C149,'CHẤM CÔNG '!$E$13:$AM$168,33,0)</f>
        <v>#N/A</v>
      </c>
      <c r="AB149" s="830" t="e">
        <f>VLOOKUP(C149,'CHẤM CÔNG '!$E$13:$AM$168,34,0)</f>
        <v>#N/A</v>
      </c>
      <c r="AC149" s="830"/>
      <c r="AD149" s="830"/>
      <c r="AE149" s="830"/>
      <c r="AF149" s="830"/>
      <c r="AG149" s="830"/>
      <c r="AH149" s="830"/>
      <c r="AI149" s="830"/>
      <c r="AJ149" s="830"/>
      <c r="AK149" s="836"/>
      <c r="AL149" s="837" t="e">
        <f>VLOOKUP(C149,'sản lượng'!$D$14:$AP$169,38,0)</f>
        <v>#N/A</v>
      </c>
      <c r="AP149" s="799">
        <v>1</v>
      </c>
      <c r="AR149" s="799">
        <v>2</v>
      </c>
    </row>
    <row r="150" spans="1:44" ht="15.75">
      <c r="A150" s="812">
        <v>29</v>
      </c>
      <c r="B150" s="813" t="str">
        <f>VLOOKUP(C150,'DS CN MOI UP'!$B$10:$C$389,2,0)</f>
        <v>02483</v>
      </c>
      <c r="C150" s="845" t="s">
        <v>53</v>
      </c>
      <c r="D150" s="812" t="s">
        <v>15</v>
      </c>
      <c r="E150" s="815">
        <f t="shared" si="32"/>
        <v>24</v>
      </c>
      <c r="F150" s="815"/>
      <c r="G150" s="815"/>
      <c r="H150" s="960"/>
      <c r="I150" s="815"/>
      <c r="J150" s="815"/>
      <c r="K150" s="815"/>
      <c r="L150" s="815"/>
      <c r="M150" s="815"/>
      <c r="N150" s="815"/>
      <c r="O150" s="815"/>
      <c r="P150" s="815"/>
      <c r="Q150" s="815"/>
      <c r="R150" s="815"/>
      <c r="S150" s="830">
        <f t="shared" si="33"/>
        <v>24</v>
      </c>
      <c r="T150" s="830" t="e">
        <f>VLOOKUP(C150,'sản lượng'!$D$14:$AK$169,36,0)</f>
        <v>#N/A</v>
      </c>
      <c r="U150" s="830"/>
      <c r="V150" s="830"/>
      <c r="W150" s="830" t="e">
        <f>VLOOKUP(C150,'sản lượng'!$D$14:$AK$169,36,0)</f>
        <v>#N/A</v>
      </c>
      <c r="X150" s="830"/>
      <c r="Y150" s="830"/>
      <c r="Z150" s="830" t="e">
        <f t="shared" si="34"/>
        <v>#N/A</v>
      </c>
      <c r="AA150" s="830" t="e">
        <f>VLOOKUP(C150,'CHẤM CÔNG '!$E$13:$AM$168,33,0)</f>
        <v>#N/A</v>
      </c>
      <c r="AB150" s="830" t="e">
        <f>VLOOKUP(C150,'CHẤM CÔNG '!$E$13:$AM$168,34,0)</f>
        <v>#N/A</v>
      </c>
      <c r="AC150" s="830"/>
      <c r="AD150" s="830"/>
      <c r="AE150" s="830"/>
      <c r="AF150" s="830"/>
      <c r="AG150" s="830"/>
      <c r="AH150" s="830"/>
      <c r="AI150" s="830"/>
      <c r="AJ150" s="830"/>
      <c r="AK150" s="836"/>
      <c r="AL150" s="837" t="e">
        <f>VLOOKUP(C150,'sản lượng'!$D$14:$AP$169,38,0)</f>
        <v>#N/A</v>
      </c>
      <c r="AP150" s="799">
        <v>2</v>
      </c>
      <c r="AR150" s="799">
        <v>1</v>
      </c>
    </row>
    <row r="151" spans="1:44" ht="15.75">
      <c r="A151" s="812">
        <v>30</v>
      </c>
      <c r="B151" s="813" t="str">
        <f>VLOOKUP(C151,'DS CN MOI UP'!$B$10:$C$389,2,0)</f>
        <v>02484</v>
      </c>
      <c r="C151" s="845" t="s">
        <v>490</v>
      </c>
      <c r="D151" s="812" t="s">
        <v>15</v>
      </c>
      <c r="E151" s="815">
        <f t="shared" si="32"/>
        <v>24</v>
      </c>
      <c r="F151" s="815"/>
      <c r="G151" s="815"/>
      <c r="H151" s="960"/>
      <c r="I151" s="815"/>
      <c r="J151" s="815"/>
      <c r="K151" s="815"/>
      <c r="L151" s="815"/>
      <c r="M151" s="815"/>
      <c r="N151" s="815"/>
      <c r="O151" s="815"/>
      <c r="P151" s="815"/>
      <c r="Q151" s="815"/>
      <c r="R151" s="815"/>
      <c r="S151" s="830">
        <f t="shared" si="33"/>
        <v>24</v>
      </c>
      <c r="T151" s="830" t="e">
        <f>VLOOKUP(C151,'sản lượng'!$D$14:$AK$169,36,0)</f>
        <v>#N/A</v>
      </c>
      <c r="U151" s="830"/>
      <c r="V151" s="830"/>
      <c r="W151" s="830" t="e">
        <f>VLOOKUP(C151,'sản lượng'!$D$14:$AK$169,36,0)</f>
        <v>#N/A</v>
      </c>
      <c r="X151" s="830"/>
      <c r="Y151" s="830"/>
      <c r="Z151" s="830" t="e">
        <f t="shared" si="34"/>
        <v>#N/A</v>
      </c>
      <c r="AA151" s="830" t="e">
        <f>VLOOKUP(C151,'CHẤM CÔNG '!$E$13:$AM$168,33,0)</f>
        <v>#N/A</v>
      </c>
      <c r="AB151" s="830" t="e">
        <f>VLOOKUP(C151,'CHẤM CÔNG '!$E$13:$AM$168,34,0)</f>
        <v>#N/A</v>
      </c>
      <c r="AC151" s="830"/>
      <c r="AD151" s="830"/>
      <c r="AE151" s="830"/>
      <c r="AF151" s="830"/>
      <c r="AG151" s="830"/>
      <c r="AH151" s="830"/>
      <c r="AI151" s="830"/>
      <c r="AJ151" s="830"/>
      <c r="AK151" s="836"/>
      <c r="AL151" s="837" t="e">
        <f>VLOOKUP(C151,'sản lượng'!$D$14:$AP$169,38,0)</f>
        <v>#N/A</v>
      </c>
      <c r="AM151" s="801" t="e">
        <f>+W10*0.4+X10*0.5+Y10*0.25</f>
        <v>#N/A</v>
      </c>
      <c r="AP151" s="799">
        <v>1</v>
      </c>
      <c r="AR151" s="799">
        <v>2</v>
      </c>
    </row>
    <row r="152" spans="1:44" ht="15.75">
      <c r="A152" s="812">
        <v>31</v>
      </c>
      <c r="B152" s="813" t="str">
        <f>VLOOKUP(C152,'DS CN MOI UP'!$B$10:$C$389,2,0)</f>
        <v>03341</v>
      </c>
      <c r="C152" s="845" t="s">
        <v>487</v>
      </c>
      <c r="D152" s="812" t="s">
        <v>15</v>
      </c>
      <c r="E152" s="815">
        <f t="shared" si="32"/>
        <v>24</v>
      </c>
      <c r="F152" s="815"/>
      <c r="G152" s="815"/>
      <c r="H152" s="960"/>
      <c r="I152" s="815"/>
      <c r="J152" s="815"/>
      <c r="K152" s="815"/>
      <c r="L152" s="815"/>
      <c r="M152" s="815"/>
      <c r="N152" s="815"/>
      <c r="O152" s="815"/>
      <c r="P152" s="815"/>
      <c r="Q152" s="815"/>
      <c r="R152" s="815"/>
      <c r="S152" s="830">
        <f t="shared" si="33"/>
        <v>24</v>
      </c>
      <c r="T152" s="830" t="e">
        <f>VLOOKUP(C152,'sản lượng'!$D$14:$AK$169,36,0)</f>
        <v>#N/A</v>
      </c>
      <c r="U152" s="830"/>
      <c r="V152" s="830"/>
      <c r="W152" s="830" t="e">
        <f>VLOOKUP(C152,'sản lượng'!$D$14:$AK$169,36,0)</f>
        <v>#N/A</v>
      </c>
      <c r="X152" s="830"/>
      <c r="Y152" s="830"/>
      <c r="Z152" s="830" t="e">
        <f t="shared" si="34"/>
        <v>#N/A</v>
      </c>
      <c r="AA152" s="830" t="e">
        <f>VLOOKUP(C152,'CHẤM CÔNG '!$E$13:$AM$168,33,0)</f>
        <v>#N/A</v>
      </c>
      <c r="AB152" s="830" t="e">
        <f>VLOOKUP(C152,'CHẤM CÔNG '!$E$13:$AM$168,34,0)</f>
        <v>#N/A</v>
      </c>
      <c r="AC152" s="830"/>
      <c r="AD152" s="830"/>
      <c r="AE152" s="830"/>
      <c r="AF152" s="830"/>
      <c r="AG152" s="830"/>
      <c r="AH152" s="830"/>
      <c r="AI152" s="830"/>
      <c r="AJ152" s="830"/>
      <c r="AK152" s="836"/>
      <c r="AL152" s="837" t="e">
        <f>VLOOKUP(C152,'sản lượng'!$D$14:$AP$169,38,0)</f>
        <v>#N/A</v>
      </c>
      <c r="AP152" s="799">
        <v>2</v>
      </c>
      <c r="AR152" s="799">
        <v>1</v>
      </c>
    </row>
    <row r="153" spans="1:44" ht="15.75">
      <c r="A153" s="812">
        <v>32</v>
      </c>
      <c r="B153" s="813" t="str">
        <f>VLOOKUP(C153,'DS CN MOI UP'!$B$10:$C$389,2,0)</f>
        <v>02485</v>
      </c>
      <c r="C153" s="845" t="s">
        <v>31</v>
      </c>
      <c r="D153" s="812" t="s">
        <v>15</v>
      </c>
      <c r="E153" s="815">
        <f t="shared" si="32"/>
        <v>24</v>
      </c>
      <c r="F153" s="815"/>
      <c r="G153" s="815"/>
      <c r="H153" s="960"/>
      <c r="I153" s="815"/>
      <c r="J153" s="815"/>
      <c r="K153" s="815"/>
      <c r="L153" s="815"/>
      <c r="M153" s="815"/>
      <c r="N153" s="815"/>
      <c r="O153" s="815"/>
      <c r="P153" s="815"/>
      <c r="Q153" s="815"/>
      <c r="R153" s="815"/>
      <c r="S153" s="830">
        <f t="shared" si="33"/>
        <v>24</v>
      </c>
      <c r="T153" s="830" t="e">
        <f>VLOOKUP(C153,'sản lượng'!$D$14:$AK$169,36,0)</f>
        <v>#N/A</v>
      </c>
      <c r="U153" s="830"/>
      <c r="V153" s="830"/>
      <c r="W153" s="830" t="e">
        <f>VLOOKUP(C153,'sản lượng'!$D$14:$AK$169,36,0)</f>
        <v>#N/A</v>
      </c>
      <c r="X153" s="830"/>
      <c r="Y153" s="830"/>
      <c r="Z153" s="830" t="e">
        <f t="shared" si="34"/>
        <v>#N/A</v>
      </c>
      <c r="AA153" s="830" t="e">
        <f>VLOOKUP(C153,'CHẤM CÔNG '!$E$13:$AM$168,33,0)</f>
        <v>#N/A</v>
      </c>
      <c r="AB153" s="830" t="e">
        <f>VLOOKUP(C153,'CHẤM CÔNG '!$E$13:$AM$168,34,0)</f>
        <v>#N/A</v>
      </c>
      <c r="AC153" s="830"/>
      <c r="AD153" s="830"/>
      <c r="AE153" s="830"/>
      <c r="AF153" s="830"/>
      <c r="AG153" s="830"/>
      <c r="AH153" s="830"/>
      <c r="AI153" s="830"/>
      <c r="AJ153" s="830"/>
      <c r="AK153" s="836"/>
      <c r="AL153" s="837" t="e">
        <f>VLOOKUP(C153,'sản lượng'!$D$14:$AP$169,38,0)</f>
        <v>#N/A</v>
      </c>
      <c r="AP153" s="799">
        <v>1</v>
      </c>
      <c r="AR153" s="799">
        <v>2</v>
      </c>
    </row>
    <row r="154" spans="1:44" ht="15.75">
      <c r="A154" s="812">
        <v>33</v>
      </c>
      <c r="B154" s="813" t="str">
        <f>VLOOKUP(C154,'DS CN MOI UP'!$B$10:$C$389,2,0)</f>
        <v>02487</v>
      </c>
      <c r="C154" s="845" t="s">
        <v>32</v>
      </c>
      <c r="D154" s="812" t="s">
        <v>15</v>
      </c>
      <c r="E154" s="815">
        <f t="shared" si="32"/>
        <v>24</v>
      </c>
      <c r="F154" s="815"/>
      <c r="G154" s="815"/>
      <c r="H154" s="960"/>
      <c r="I154" s="815"/>
      <c r="J154" s="815"/>
      <c r="K154" s="815"/>
      <c r="L154" s="815"/>
      <c r="M154" s="815"/>
      <c r="N154" s="815"/>
      <c r="O154" s="815"/>
      <c r="P154" s="815"/>
      <c r="Q154" s="815"/>
      <c r="R154" s="815"/>
      <c r="S154" s="830">
        <f t="shared" ref="S154:S185" si="35">SUM(E154:N154)</f>
        <v>24</v>
      </c>
      <c r="T154" s="830" t="e">
        <f>VLOOKUP(C154,'sản lượng'!$D$14:$AK$169,36,0)</f>
        <v>#N/A</v>
      </c>
      <c r="U154" s="830"/>
      <c r="V154" s="830"/>
      <c r="W154" s="830" t="e">
        <f>VLOOKUP(C154,'sản lượng'!$D$14:$AK$169,36,0)</f>
        <v>#N/A</v>
      </c>
      <c r="X154" s="830"/>
      <c r="Y154" s="830"/>
      <c r="Z154" s="830" t="e">
        <f t="shared" si="34"/>
        <v>#N/A</v>
      </c>
      <c r="AA154" s="830" t="e">
        <f>VLOOKUP(C154,'CHẤM CÔNG '!$E$13:$AM$168,33,0)</f>
        <v>#N/A</v>
      </c>
      <c r="AB154" s="830" t="e">
        <f>VLOOKUP(C154,'CHẤM CÔNG '!$E$13:$AM$168,34,0)</f>
        <v>#N/A</v>
      </c>
      <c r="AC154" s="830"/>
      <c r="AD154" s="830"/>
      <c r="AE154" s="830"/>
      <c r="AF154" s="830"/>
      <c r="AG154" s="830"/>
      <c r="AH154" s="830"/>
      <c r="AI154" s="830"/>
      <c r="AJ154" s="830"/>
      <c r="AK154" s="836"/>
      <c r="AL154" s="837" t="e">
        <f>VLOOKUP(C154,'sản lượng'!$D$14:$AP$169,38,0)</f>
        <v>#N/A</v>
      </c>
      <c r="AP154" s="799">
        <v>1</v>
      </c>
      <c r="AR154" s="799">
        <v>2</v>
      </c>
    </row>
    <row r="155" spans="1:44" ht="15.75">
      <c r="A155" s="812">
        <v>34</v>
      </c>
      <c r="B155" s="813" t="str">
        <f>VLOOKUP(C155,'DS CN MOI UP'!$B$10:$C$389,2,0)</f>
        <v>03319</v>
      </c>
      <c r="C155" s="845" t="s">
        <v>14</v>
      </c>
      <c r="D155" s="812" t="s">
        <v>15</v>
      </c>
      <c r="E155" s="815">
        <f t="shared" si="32"/>
        <v>24</v>
      </c>
      <c r="F155" s="815"/>
      <c r="G155" s="815"/>
      <c r="H155" s="960"/>
      <c r="I155" s="815"/>
      <c r="J155" s="815"/>
      <c r="K155" s="815"/>
      <c r="L155" s="815"/>
      <c r="M155" s="815"/>
      <c r="N155" s="815"/>
      <c r="O155" s="815"/>
      <c r="P155" s="815"/>
      <c r="Q155" s="815"/>
      <c r="R155" s="815"/>
      <c r="S155" s="830">
        <f t="shared" si="35"/>
        <v>24</v>
      </c>
      <c r="T155" s="830" t="e">
        <f>VLOOKUP(C155,'sản lượng'!$D$14:$AK$169,36,0)</f>
        <v>#N/A</v>
      </c>
      <c r="U155" s="830"/>
      <c r="V155" s="830"/>
      <c r="W155" s="830" t="e">
        <f>VLOOKUP(C155,'sản lượng'!$D$14:$AK$169,36,0)</f>
        <v>#N/A</v>
      </c>
      <c r="X155" s="830"/>
      <c r="Y155" s="830"/>
      <c r="Z155" s="830" t="e">
        <f t="shared" si="34"/>
        <v>#N/A</v>
      </c>
      <c r="AA155" s="830" t="e">
        <f>VLOOKUP(C155,'CHẤM CÔNG '!$E$13:$AM$168,33,0)</f>
        <v>#N/A</v>
      </c>
      <c r="AB155" s="830" t="e">
        <f>VLOOKUP(C155,'CHẤM CÔNG '!$E$13:$AM$168,34,0)</f>
        <v>#N/A</v>
      </c>
      <c r="AC155" s="830"/>
      <c r="AD155" s="830"/>
      <c r="AE155" s="830"/>
      <c r="AF155" s="830"/>
      <c r="AG155" s="830"/>
      <c r="AH155" s="830"/>
      <c r="AI155" s="830"/>
      <c r="AJ155" s="830"/>
      <c r="AK155" s="836"/>
      <c r="AL155" s="837" t="e">
        <f>VLOOKUP(C155,'sản lượng'!$D$14:$AP$169,38,0)</f>
        <v>#N/A</v>
      </c>
      <c r="AP155" s="799">
        <v>2</v>
      </c>
      <c r="AR155" s="799">
        <v>1</v>
      </c>
    </row>
    <row r="156" spans="1:44" ht="15.75">
      <c r="A156" s="812">
        <v>35</v>
      </c>
      <c r="B156" s="813" t="str">
        <f>VLOOKUP(C156,'DS CN MOI UP'!$B$10:$C$389,2,0)</f>
        <v>02452</v>
      </c>
      <c r="C156" s="845" t="s">
        <v>22</v>
      </c>
      <c r="D156" s="812" t="s">
        <v>15</v>
      </c>
      <c r="E156" s="815">
        <f t="shared" si="32"/>
        <v>24</v>
      </c>
      <c r="F156" s="815"/>
      <c r="G156" s="815"/>
      <c r="H156" s="960"/>
      <c r="I156" s="815"/>
      <c r="J156" s="815"/>
      <c r="K156" s="815"/>
      <c r="L156" s="815"/>
      <c r="M156" s="815"/>
      <c r="N156" s="815"/>
      <c r="O156" s="815"/>
      <c r="P156" s="815"/>
      <c r="Q156" s="815"/>
      <c r="R156" s="815"/>
      <c r="S156" s="830">
        <f t="shared" si="35"/>
        <v>24</v>
      </c>
      <c r="T156" s="830" t="e">
        <f>VLOOKUP(C156,'sản lượng'!$D$14:$AK$169,36,0)</f>
        <v>#N/A</v>
      </c>
      <c r="U156" s="830"/>
      <c r="V156" s="830"/>
      <c r="W156" s="830" t="e">
        <f>VLOOKUP(C156,'sản lượng'!$D$14:$AK$169,36,0)</f>
        <v>#N/A</v>
      </c>
      <c r="X156" s="830"/>
      <c r="Y156" s="830"/>
      <c r="Z156" s="830" t="e">
        <f t="shared" si="34"/>
        <v>#N/A</v>
      </c>
      <c r="AA156" s="830" t="e">
        <f>VLOOKUP(C156,'CHẤM CÔNG '!$E$13:$AM$168,33,0)</f>
        <v>#N/A</v>
      </c>
      <c r="AB156" s="830" t="e">
        <f>VLOOKUP(C156,'CHẤM CÔNG '!$E$13:$AM$168,34,0)</f>
        <v>#N/A</v>
      </c>
      <c r="AC156" s="830"/>
      <c r="AD156" s="830"/>
      <c r="AE156" s="830"/>
      <c r="AF156" s="830"/>
      <c r="AG156" s="830"/>
      <c r="AH156" s="830"/>
      <c r="AI156" s="830"/>
      <c r="AJ156" s="830"/>
      <c r="AK156" s="836"/>
      <c r="AL156" s="837" t="e">
        <f>VLOOKUP(C156,'sản lượng'!$D$14:$AP$169,38,0)</f>
        <v>#N/A</v>
      </c>
      <c r="AP156" s="799">
        <v>2</v>
      </c>
      <c r="AR156" s="799">
        <v>1</v>
      </c>
    </row>
    <row r="157" spans="1:44" ht="15.75">
      <c r="A157" s="812">
        <v>36</v>
      </c>
      <c r="B157" s="813" t="str">
        <f>VLOOKUP(C157,'DS CN MOI UP'!$B$10:$C$389,2,0)</f>
        <v>02508</v>
      </c>
      <c r="C157" s="845" t="s">
        <v>23</v>
      </c>
      <c r="D157" s="812" t="s">
        <v>15</v>
      </c>
      <c r="E157" s="815">
        <f t="shared" si="32"/>
        <v>24</v>
      </c>
      <c r="F157" s="815"/>
      <c r="G157" s="815"/>
      <c r="H157" s="960"/>
      <c r="I157" s="815"/>
      <c r="J157" s="815"/>
      <c r="K157" s="815"/>
      <c r="L157" s="815"/>
      <c r="M157" s="815"/>
      <c r="N157" s="815"/>
      <c r="O157" s="815"/>
      <c r="P157" s="815"/>
      <c r="Q157" s="815"/>
      <c r="R157" s="815"/>
      <c r="S157" s="830">
        <f t="shared" si="35"/>
        <v>24</v>
      </c>
      <c r="T157" s="830" t="e">
        <f>VLOOKUP(C157,'sản lượng'!$D$14:$AK$169,36,0)</f>
        <v>#N/A</v>
      </c>
      <c r="U157" s="830"/>
      <c r="V157" s="830"/>
      <c r="W157" s="830" t="e">
        <f>VLOOKUP(C157,'sản lượng'!$D$14:$AK$169,36,0)</f>
        <v>#N/A</v>
      </c>
      <c r="X157" s="830"/>
      <c r="Y157" s="830"/>
      <c r="Z157" s="830" t="e">
        <f t="shared" si="34"/>
        <v>#N/A</v>
      </c>
      <c r="AA157" s="830" t="e">
        <f>VLOOKUP(C157,'CHẤM CÔNG '!$E$13:$AM$168,33,0)</f>
        <v>#N/A</v>
      </c>
      <c r="AB157" s="830" t="e">
        <f>VLOOKUP(C157,'CHẤM CÔNG '!$E$13:$AM$168,34,0)</f>
        <v>#N/A</v>
      </c>
      <c r="AC157" s="830"/>
      <c r="AD157" s="830"/>
      <c r="AE157" s="830"/>
      <c r="AF157" s="830"/>
      <c r="AG157" s="830"/>
      <c r="AH157" s="830"/>
      <c r="AI157" s="830"/>
      <c r="AJ157" s="830"/>
      <c r="AK157" s="836"/>
      <c r="AL157" s="837" t="e">
        <f>VLOOKUP(C157,'sản lượng'!$D$14:$AP$169,38,0)</f>
        <v>#N/A</v>
      </c>
      <c r="AP157" s="799">
        <v>2</v>
      </c>
      <c r="AR157" s="799">
        <v>1</v>
      </c>
    </row>
    <row r="158" spans="1:44" ht="15.75">
      <c r="A158" s="812">
        <v>37</v>
      </c>
      <c r="B158" s="813" t="str">
        <f>VLOOKUP(C158,'DS CN MOI UP'!$B$10:$C$389,2,0)</f>
        <v>02679</v>
      </c>
      <c r="C158" s="845" t="s">
        <v>36</v>
      </c>
      <c r="D158" s="812" t="s">
        <v>15</v>
      </c>
      <c r="E158" s="815">
        <f t="shared" si="32"/>
        <v>24</v>
      </c>
      <c r="F158" s="815"/>
      <c r="G158" s="815"/>
      <c r="H158" s="960"/>
      <c r="I158" s="815"/>
      <c r="J158" s="815"/>
      <c r="K158" s="815"/>
      <c r="L158" s="815"/>
      <c r="M158" s="815"/>
      <c r="N158" s="815"/>
      <c r="O158" s="815"/>
      <c r="P158" s="815"/>
      <c r="Q158" s="815"/>
      <c r="R158" s="815"/>
      <c r="S158" s="830">
        <f t="shared" si="35"/>
        <v>24</v>
      </c>
      <c r="T158" s="830" t="e">
        <f>VLOOKUP(C158,'sản lượng'!$D$14:$AK$169,36,0)</f>
        <v>#N/A</v>
      </c>
      <c r="U158" s="830"/>
      <c r="V158" s="830"/>
      <c r="W158" s="830" t="e">
        <f>VLOOKUP(C158,'sản lượng'!$D$14:$AK$169,36,0)</f>
        <v>#N/A</v>
      </c>
      <c r="X158" s="830"/>
      <c r="Y158" s="830"/>
      <c r="Z158" s="830" t="e">
        <f t="shared" si="34"/>
        <v>#N/A</v>
      </c>
      <c r="AA158" s="830" t="e">
        <f>VLOOKUP(C158,'CHẤM CÔNG '!$E$13:$AM$168,33,0)</f>
        <v>#N/A</v>
      </c>
      <c r="AB158" s="830" t="e">
        <f>VLOOKUP(C158,'CHẤM CÔNG '!$E$13:$AM$168,34,0)</f>
        <v>#N/A</v>
      </c>
      <c r="AC158" s="830"/>
      <c r="AD158" s="830"/>
      <c r="AE158" s="830"/>
      <c r="AF158" s="830"/>
      <c r="AG158" s="830"/>
      <c r="AH158" s="830"/>
      <c r="AI158" s="830"/>
      <c r="AJ158" s="830"/>
      <c r="AK158" s="836"/>
      <c r="AL158" s="837" t="e">
        <f>VLOOKUP(C158,'sản lượng'!$D$14:$AP$169,38,0)</f>
        <v>#N/A</v>
      </c>
      <c r="AR158" s="799">
        <v>3</v>
      </c>
    </row>
    <row r="159" spans="1:44" ht="15.75">
      <c r="A159" s="812">
        <v>38</v>
      </c>
      <c r="B159" s="813" t="str">
        <f>VLOOKUP(C159,'DS CN MOI UP'!$B$10:$C$389,2,0)</f>
        <v>02457</v>
      </c>
      <c r="C159" s="845" t="s">
        <v>63</v>
      </c>
      <c r="D159" s="812" t="s">
        <v>15</v>
      </c>
      <c r="E159" s="815">
        <f t="shared" si="32"/>
        <v>24</v>
      </c>
      <c r="F159" s="815"/>
      <c r="G159" s="815"/>
      <c r="H159" s="960"/>
      <c r="I159" s="815"/>
      <c r="J159" s="815"/>
      <c r="K159" s="815"/>
      <c r="L159" s="815"/>
      <c r="M159" s="815"/>
      <c r="N159" s="815"/>
      <c r="O159" s="815"/>
      <c r="P159" s="815"/>
      <c r="Q159" s="815"/>
      <c r="R159" s="815"/>
      <c r="S159" s="830">
        <f t="shared" si="35"/>
        <v>24</v>
      </c>
      <c r="T159" s="830" t="e">
        <f>VLOOKUP(C159,'sản lượng'!$D$14:$AK$169,36,0)</f>
        <v>#N/A</v>
      </c>
      <c r="U159" s="830"/>
      <c r="V159" s="830"/>
      <c r="W159" s="830" t="e">
        <f>VLOOKUP(C159,'sản lượng'!$D$14:$AK$169,36,0)</f>
        <v>#N/A</v>
      </c>
      <c r="X159" s="830"/>
      <c r="Y159" s="830"/>
      <c r="Z159" s="830" t="e">
        <f t="shared" si="34"/>
        <v>#N/A</v>
      </c>
      <c r="AA159" s="830" t="e">
        <f>VLOOKUP(C159,'CHẤM CÔNG '!$E$13:$AM$168,33,0)</f>
        <v>#N/A</v>
      </c>
      <c r="AB159" s="830" t="e">
        <f>VLOOKUP(C159,'CHẤM CÔNG '!$E$13:$AM$168,34,0)</f>
        <v>#N/A</v>
      </c>
      <c r="AC159" s="830"/>
      <c r="AD159" s="830"/>
      <c r="AE159" s="830"/>
      <c r="AF159" s="830"/>
      <c r="AG159" s="830"/>
      <c r="AH159" s="830"/>
      <c r="AI159" s="830"/>
      <c r="AJ159" s="830"/>
      <c r="AK159" s="836"/>
      <c r="AL159" s="837" t="e">
        <f>VLOOKUP(C159,'sản lượng'!$D$14:$AP$169,38,0)</f>
        <v>#N/A</v>
      </c>
      <c r="AP159" s="799">
        <v>1</v>
      </c>
      <c r="AR159" s="799">
        <v>2</v>
      </c>
    </row>
    <row r="160" spans="1:44" ht="15.75">
      <c r="A160" s="812">
        <v>39</v>
      </c>
      <c r="B160" s="813" t="e">
        <f>VLOOKUP(C160,'DS CN MOI UP'!$B$10:$C$389,2,0)</f>
        <v>#N/A</v>
      </c>
      <c r="C160" s="845" t="s">
        <v>1998</v>
      </c>
      <c r="D160" s="812" t="s">
        <v>15</v>
      </c>
      <c r="E160" s="815">
        <f t="shared" si="32"/>
        <v>24</v>
      </c>
      <c r="F160" s="815"/>
      <c r="G160" s="815"/>
      <c r="H160" s="960"/>
      <c r="I160" s="815"/>
      <c r="J160" s="815"/>
      <c r="K160" s="815"/>
      <c r="L160" s="815"/>
      <c r="M160" s="815"/>
      <c r="N160" s="815"/>
      <c r="O160" s="815"/>
      <c r="P160" s="815"/>
      <c r="Q160" s="815"/>
      <c r="R160" s="815"/>
      <c r="S160" s="830">
        <f t="shared" si="35"/>
        <v>24</v>
      </c>
      <c r="T160" s="830" t="e">
        <f>VLOOKUP(C160,'sản lượng'!$D$14:$AK$169,36,0)</f>
        <v>#N/A</v>
      </c>
      <c r="U160" s="830"/>
      <c r="V160" s="830"/>
      <c r="W160" s="830" t="e">
        <f>VLOOKUP(C160,'sản lượng'!$D$14:$AK$169,36,0)</f>
        <v>#N/A</v>
      </c>
      <c r="X160" s="830"/>
      <c r="Y160" s="830"/>
      <c r="Z160" s="830" t="e">
        <f t="shared" si="34"/>
        <v>#N/A</v>
      </c>
      <c r="AA160" s="830" t="e">
        <f>VLOOKUP(C160,'CHẤM CÔNG '!$E$13:$AM$168,33,0)</f>
        <v>#N/A</v>
      </c>
      <c r="AB160" s="830" t="e">
        <f>VLOOKUP(C160,'CHẤM CÔNG '!$E$13:$AM$168,34,0)</f>
        <v>#N/A</v>
      </c>
      <c r="AC160" s="830"/>
      <c r="AD160" s="830"/>
      <c r="AE160" s="830"/>
      <c r="AF160" s="830"/>
      <c r="AG160" s="830"/>
      <c r="AH160" s="830"/>
      <c r="AI160" s="830"/>
      <c r="AJ160" s="830"/>
      <c r="AK160" s="836"/>
      <c r="AL160" s="837" t="e">
        <f>VLOOKUP(C160,'sản lượng'!$D$14:$AP$169,38,0)</f>
        <v>#N/A</v>
      </c>
      <c r="AP160" s="799">
        <v>1</v>
      </c>
      <c r="AR160" s="799">
        <v>2</v>
      </c>
    </row>
    <row r="161" spans="1:44" ht="15.75">
      <c r="A161" s="812">
        <v>40</v>
      </c>
      <c r="B161" s="813" t="str">
        <f>VLOOKUP(C161,'DS CN MOI UP'!$B$10:$C$389,2,0)</f>
        <v>03336</v>
      </c>
      <c r="C161" s="845" t="s">
        <v>81</v>
      </c>
      <c r="D161" s="812" t="s">
        <v>15</v>
      </c>
      <c r="E161" s="815">
        <f t="shared" si="32"/>
        <v>24</v>
      </c>
      <c r="F161" s="815"/>
      <c r="G161" s="815"/>
      <c r="H161" s="960"/>
      <c r="I161" s="815"/>
      <c r="J161" s="815"/>
      <c r="K161" s="815"/>
      <c r="L161" s="815"/>
      <c r="M161" s="815"/>
      <c r="N161" s="815"/>
      <c r="O161" s="815"/>
      <c r="P161" s="815"/>
      <c r="Q161" s="815"/>
      <c r="R161" s="815"/>
      <c r="S161" s="830">
        <f t="shared" si="35"/>
        <v>24</v>
      </c>
      <c r="T161" s="830" t="e">
        <f>VLOOKUP(C161,'sản lượng'!$D$14:$AK$169,36,0)</f>
        <v>#N/A</v>
      </c>
      <c r="U161" s="830"/>
      <c r="V161" s="830"/>
      <c r="W161" s="830" t="e">
        <f>VLOOKUP(C161,'sản lượng'!$D$14:$AK$169,36,0)</f>
        <v>#N/A</v>
      </c>
      <c r="X161" s="830"/>
      <c r="Y161" s="830"/>
      <c r="Z161" s="830" t="e">
        <f t="shared" si="34"/>
        <v>#N/A</v>
      </c>
      <c r="AA161" s="830" t="e">
        <f>VLOOKUP(C161,'CHẤM CÔNG '!$E$13:$AM$168,33,0)</f>
        <v>#N/A</v>
      </c>
      <c r="AB161" s="830" t="e">
        <f>VLOOKUP(C161,'CHẤM CÔNG '!$E$13:$AM$168,34,0)</f>
        <v>#N/A</v>
      </c>
      <c r="AC161" s="830"/>
      <c r="AD161" s="830"/>
      <c r="AE161" s="830"/>
      <c r="AF161" s="830"/>
      <c r="AG161" s="830"/>
      <c r="AH161" s="830"/>
      <c r="AI161" s="830"/>
      <c r="AJ161" s="830"/>
      <c r="AK161" s="836"/>
      <c r="AL161" s="837" t="e">
        <f>VLOOKUP(C161,'sản lượng'!$D$14:$AP$169,38,0)</f>
        <v>#N/A</v>
      </c>
      <c r="AP161" s="799">
        <v>1</v>
      </c>
      <c r="AR161" s="799">
        <v>2</v>
      </c>
    </row>
    <row r="162" spans="1:44" ht="15.75">
      <c r="A162" s="812">
        <v>41</v>
      </c>
      <c r="B162" s="813" t="str">
        <f>VLOOKUP(C162,'DS CN MOI UP'!$B$10:$C$389,2,0)</f>
        <v>02682</v>
      </c>
      <c r="C162" s="845" t="s">
        <v>82</v>
      </c>
      <c r="D162" s="812" t="s">
        <v>15</v>
      </c>
      <c r="E162" s="815">
        <f t="shared" si="32"/>
        <v>24</v>
      </c>
      <c r="F162" s="815"/>
      <c r="G162" s="815"/>
      <c r="H162" s="960"/>
      <c r="I162" s="815"/>
      <c r="J162" s="815"/>
      <c r="K162" s="815"/>
      <c r="L162" s="815"/>
      <c r="M162" s="815"/>
      <c r="N162" s="815"/>
      <c r="O162" s="815"/>
      <c r="P162" s="815"/>
      <c r="Q162" s="815"/>
      <c r="R162" s="815"/>
      <c r="S162" s="830">
        <f t="shared" si="35"/>
        <v>24</v>
      </c>
      <c r="T162" s="830" t="e">
        <f>VLOOKUP(C162,'sản lượng'!$D$14:$AK$169,36,0)</f>
        <v>#N/A</v>
      </c>
      <c r="U162" s="830"/>
      <c r="V162" s="830"/>
      <c r="W162" s="830" t="e">
        <f>VLOOKUP(C162,'sản lượng'!$D$14:$AK$169,36,0)</f>
        <v>#N/A</v>
      </c>
      <c r="X162" s="830"/>
      <c r="Y162" s="830"/>
      <c r="Z162" s="830" t="e">
        <f t="shared" si="34"/>
        <v>#N/A</v>
      </c>
      <c r="AA162" s="830" t="e">
        <f>VLOOKUP(C162,'CHẤM CÔNG '!$E$13:$AM$168,33,0)</f>
        <v>#N/A</v>
      </c>
      <c r="AB162" s="830" t="e">
        <f>VLOOKUP(C162,'CHẤM CÔNG '!$E$13:$AM$168,34,0)</f>
        <v>#N/A</v>
      </c>
      <c r="AC162" s="830"/>
      <c r="AD162" s="830"/>
      <c r="AE162" s="830"/>
      <c r="AF162" s="830"/>
      <c r="AG162" s="830"/>
      <c r="AH162" s="830"/>
      <c r="AI162" s="830"/>
      <c r="AJ162" s="830"/>
      <c r="AK162" s="836"/>
      <c r="AL162" s="837" t="e">
        <f>VLOOKUP(C162,'sản lượng'!$D$14:$AP$169,38,0)</f>
        <v>#N/A</v>
      </c>
      <c r="AP162" s="799">
        <v>2</v>
      </c>
      <c r="AR162" s="799">
        <v>1</v>
      </c>
    </row>
    <row r="163" spans="1:44" ht="15.75">
      <c r="A163" s="812">
        <v>42</v>
      </c>
      <c r="B163" s="813" t="str">
        <f>VLOOKUP(C163,'DS CN MOI UP'!$B$10:$C$389,2,0)</f>
        <v>02506</v>
      </c>
      <c r="C163" s="845" t="s">
        <v>49</v>
      </c>
      <c r="D163" s="812" t="s">
        <v>15</v>
      </c>
      <c r="E163" s="815">
        <f t="shared" si="32"/>
        <v>24</v>
      </c>
      <c r="F163" s="815"/>
      <c r="G163" s="815"/>
      <c r="H163" s="960"/>
      <c r="I163" s="815"/>
      <c r="J163" s="815"/>
      <c r="K163" s="815"/>
      <c r="L163" s="815"/>
      <c r="M163" s="815"/>
      <c r="N163" s="815"/>
      <c r="O163" s="815"/>
      <c r="P163" s="815"/>
      <c r="Q163" s="815"/>
      <c r="R163" s="815"/>
      <c r="S163" s="830">
        <f t="shared" si="35"/>
        <v>24</v>
      </c>
      <c r="T163" s="830" t="e">
        <f>VLOOKUP(C163,'sản lượng'!$D$14:$AK$169,36,0)</f>
        <v>#N/A</v>
      </c>
      <c r="U163" s="830"/>
      <c r="V163" s="830"/>
      <c r="W163" s="830" t="e">
        <f>VLOOKUP(C163,'sản lượng'!$D$14:$AK$169,36,0)</f>
        <v>#N/A</v>
      </c>
      <c r="X163" s="830"/>
      <c r="Y163" s="830"/>
      <c r="Z163" s="830" t="e">
        <f t="shared" si="34"/>
        <v>#N/A</v>
      </c>
      <c r="AA163" s="830" t="e">
        <f>VLOOKUP(C163,'CHẤM CÔNG '!$E$13:$AM$168,33,0)</f>
        <v>#N/A</v>
      </c>
      <c r="AB163" s="830" t="e">
        <f>VLOOKUP(C163,'CHẤM CÔNG '!$E$13:$AM$168,34,0)</f>
        <v>#N/A</v>
      </c>
      <c r="AC163" s="830"/>
      <c r="AD163" s="830"/>
      <c r="AE163" s="830"/>
      <c r="AF163" s="830"/>
      <c r="AG163" s="830"/>
      <c r="AH163" s="830"/>
      <c r="AI163" s="830"/>
      <c r="AJ163" s="830"/>
      <c r="AK163" s="836"/>
      <c r="AL163" s="837" t="e">
        <f>VLOOKUP(C163,'sản lượng'!$D$14:$AP$169,38,0)</f>
        <v>#N/A</v>
      </c>
      <c r="AP163" s="799">
        <v>2</v>
      </c>
      <c r="AR163" s="799">
        <v>1</v>
      </c>
    </row>
    <row r="164" spans="1:44" ht="15.75">
      <c r="A164" s="812">
        <v>43</v>
      </c>
      <c r="B164" s="813" t="str">
        <f>VLOOKUP(C164,'DS CN MOI UP'!$B$10:$C$389,2,0)</f>
        <v>02507</v>
      </c>
      <c r="C164" s="845" t="s">
        <v>50</v>
      </c>
      <c r="D164" s="812" t="s">
        <v>15</v>
      </c>
      <c r="E164" s="815">
        <f t="shared" si="32"/>
        <v>24</v>
      </c>
      <c r="F164" s="815"/>
      <c r="G164" s="815"/>
      <c r="H164" s="960"/>
      <c r="I164" s="815"/>
      <c r="J164" s="815"/>
      <c r="K164" s="815"/>
      <c r="L164" s="815"/>
      <c r="M164" s="815"/>
      <c r="N164" s="815"/>
      <c r="O164" s="815"/>
      <c r="P164" s="815"/>
      <c r="Q164" s="815"/>
      <c r="R164" s="815"/>
      <c r="S164" s="830">
        <f t="shared" si="35"/>
        <v>24</v>
      </c>
      <c r="T164" s="830" t="e">
        <f>VLOOKUP(C164,'sản lượng'!$D$14:$AK$169,36,0)</f>
        <v>#N/A</v>
      </c>
      <c r="U164" s="830"/>
      <c r="V164" s="830"/>
      <c r="W164" s="830" t="e">
        <f>VLOOKUP(C164,'sản lượng'!$D$14:$AK$169,36,0)</f>
        <v>#N/A</v>
      </c>
      <c r="X164" s="830"/>
      <c r="Y164" s="830"/>
      <c r="Z164" s="830" t="e">
        <f t="shared" si="34"/>
        <v>#N/A</v>
      </c>
      <c r="AA164" s="830" t="e">
        <f>VLOOKUP(C164,'CHẤM CÔNG '!$E$13:$AM$168,33,0)</f>
        <v>#N/A</v>
      </c>
      <c r="AB164" s="830" t="e">
        <f>VLOOKUP(C164,'CHẤM CÔNG '!$E$13:$AM$168,34,0)</f>
        <v>#N/A</v>
      </c>
      <c r="AC164" s="830"/>
      <c r="AD164" s="830"/>
      <c r="AE164" s="830"/>
      <c r="AF164" s="830"/>
      <c r="AG164" s="830"/>
      <c r="AH164" s="830"/>
      <c r="AI164" s="830"/>
      <c r="AJ164" s="830"/>
      <c r="AK164" s="836"/>
      <c r="AL164" s="837" t="e">
        <f>VLOOKUP(C164,'sản lượng'!$D$14:$AP$169,38,0)</f>
        <v>#N/A</v>
      </c>
      <c r="AR164" s="799">
        <v>3</v>
      </c>
    </row>
    <row r="165" spans="1:44" ht="15.75">
      <c r="A165" s="812">
        <v>44</v>
      </c>
      <c r="B165" s="813" t="str">
        <f>VLOOKUP(C165,'DS CN MOI UP'!$B$10:$C$389,2,0)</f>
        <v>02498</v>
      </c>
      <c r="C165" s="845" t="s">
        <v>68</v>
      </c>
      <c r="D165" s="812" t="s">
        <v>15</v>
      </c>
      <c r="E165" s="815">
        <f t="shared" si="32"/>
        <v>24</v>
      </c>
      <c r="F165" s="815"/>
      <c r="G165" s="815"/>
      <c r="H165" s="960"/>
      <c r="I165" s="815"/>
      <c r="J165" s="815"/>
      <c r="K165" s="815"/>
      <c r="L165" s="815"/>
      <c r="M165" s="815"/>
      <c r="N165" s="815"/>
      <c r="O165" s="815"/>
      <c r="P165" s="815"/>
      <c r="Q165" s="815"/>
      <c r="R165" s="815"/>
      <c r="S165" s="830">
        <f t="shared" si="35"/>
        <v>24</v>
      </c>
      <c r="T165" s="830" t="e">
        <f>VLOOKUP(C165,'sản lượng'!$D$14:$AK$169,36,0)</f>
        <v>#N/A</v>
      </c>
      <c r="U165" s="830"/>
      <c r="V165" s="830"/>
      <c r="W165" s="830" t="e">
        <f>VLOOKUP(C165,'sản lượng'!$D$14:$AK$169,36,0)</f>
        <v>#N/A</v>
      </c>
      <c r="X165" s="830"/>
      <c r="Y165" s="830"/>
      <c r="Z165" s="830" t="e">
        <f t="shared" si="34"/>
        <v>#N/A</v>
      </c>
      <c r="AA165" s="830" t="e">
        <f>VLOOKUP(C165,'CHẤM CÔNG '!$E$13:$AM$168,33,0)</f>
        <v>#N/A</v>
      </c>
      <c r="AB165" s="830" t="e">
        <f>VLOOKUP(C165,'CHẤM CÔNG '!$E$13:$AM$168,34,0)</f>
        <v>#N/A</v>
      </c>
      <c r="AC165" s="830"/>
      <c r="AD165" s="830"/>
      <c r="AE165" s="830"/>
      <c r="AF165" s="830"/>
      <c r="AG165" s="830"/>
      <c r="AH165" s="830"/>
      <c r="AI165" s="830"/>
      <c r="AJ165" s="830"/>
      <c r="AK165" s="836"/>
      <c r="AL165" s="837" t="e">
        <f>VLOOKUP(C165,'sản lượng'!$D$14:$AP$169,38,0)</f>
        <v>#N/A</v>
      </c>
      <c r="AP165" s="799">
        <v>2</v>
      </c>
      <c r="AR165" s="799">
        <v>1</v>
      </c>
    </row>
    <row r="166" spans="1:44" ht="15.75">
      <c r="A166" s="812">
        <v>45</v>
      </c>
      <c r="B166" s="813" t="str">
        <f>VLOOKUP(C166,'DS CN MOI UP'!$B$10:$C$389,2,0)</f>
        <v>02685</v>
      </c>
      <c r="C166" s="845" t="s">
        <v>69</v>
      </c>
      <c r="D166" s="812" t="s">
        <v>15</v>
      </c>
      <c r="E166" s="815">
        <f t="shared" si="32"/>
        <v>24</v>
      </c>
      <c r="F166" s="815"/>
      <c r="G166" s="815"/>
      <c r="H166" s="960"/>
      <c r="I166" s="815"/>
      <c r="J166" s="815"/>
      <c r="K166" s="815"/>
      <c r="L166" s="815"/>
      <c r="M166" s="815"/>
      <c r="N166" s="815"/>
      <c r="O166" s="815"/>
      <c r="P166" s="815"/>
      <c r="Q166" s="815"/>
      <c r="R166" s="815"/>
      <c r="S166" s="830">
        <f t="shared" si="35"/>
        <v>24</v>
      </c>
      <c r="T166" s="830" t="e">
        <f>VLOOKUP(C166,'sản lượng'!$D$14:$AK$169,36,0)</f>
        <v>#N/A</v>
      </c>
      <c r="U166" s="830"/>
      <c r="V166" s="830"/>
      <c r="W166" s="830" t="e">
        <f>VLOOKUP(C166,'sản lượng'!$D$14:$AK$169,36,0)</f>
        <v>#N/A</v>
      </c>
      <c r="X166" s="830"/>
      <c r="Y166" s="830"/>
      <c r="Z166" s="830" t="e">
        <f t="shared" si="34"/>
        <v>#N/A</v>
      </c>
      <c r="AA166" s="830" t="e">
        <f>VLOOKUP(C166,'CHẤM CÔNG '!$E$13:$AM$168,33,0)</f>
        <v>#N/A</v>
      </c>
      <c r="AB166" s="830" t="e">
        <f>VLOOKUP(C166,'CHẤM CÔNG '!$E$13:$AM$168,34,0)</f>
        <v>#N/A</v>
      </c>
      <c r="AC166" s="830"/>
      <c r="AD166" s="830"/>
      <c r="AE166" s="830"/>
      <c r="AF166" s="830"/>
      <c r="AG166" s="830"/>
      <c r="AH166" s="830"/>
      <c r="AI166" s="830"/>
      <c r="AJ166" s="830"/>
      <c r="AK166" s="836"/>
      <c r="AL166" s="837" t="e">
        <f>VLOOKUP(C166,'sản lượng'!$D$14:$AP$169,38,0)</f>
        <v>#N/A</v>
      </c>
      <c r="AP166" s="799">
        <v>2</v>
      </c>
      <c r="AR166" s="799">
        <v>1</v>
      </c>
    </row>
    <row r="167" spans="1:44" ht="15.75">
      <c r="A167" s="812">
        <v>46</v>
      </c>
      <c r="B167" s="813" t="str">
        <f>VLOOKUP(C167,'DS CN MOI UP'!$B$10:$C$389,2,0)</f>
        <v>02468</v>
      </c>
      <c r="C167" s="845" t="s">
        <v>94</v>
      </c>
      <c r="D167" s="812" t="s">
        <v>15</v>
      </c>
      <c r="E167" s="815">
        <f t="shared" si="32"/>
        <v>24</v>
      </c>
      <c r="F167" s="815"/>
      <c r="G167" s="815"/>
      <c r="H167" s="960"/>
      <c r="I167" s="815"/>
      <c r="J167" s="815"/>
      <c r="K167" s="815"/>
      <c r="L167" s="815"/>
      <c r="M167" s="815"/>
      <c r="N167" s="815"/>
      <c r="O167" s="815"/>
      <c r="P167" s="815"/>
      <c r="Q167" s="815"/>
      <c r="R167" s="815"/>
      <c r="S167" s="830">
        <f t="shared" si="35"/>
        <v>24</v>
      </c>
      <c r="T167" s="830" t="e">
        <f>VLOOKUP(C167,'sản lượng'!$D$14:$AK$169,36,0)</f>
        <v>#N/A</v>
      </c>
      <c r="U167" s="830"/>
      <c r="V167" s="830"/>
      <c r="W167" s="830" t="e">
        <f>VLOOKUP(C167,'sản lượng'!$D$14:$AK$169,36,0)</f>
        <v>#N/A</v>
      </c>
      <c r="X167" s="830"/>
      <c r="Y167" s="830"/>
      <c r="Z167" s="830" t="e">
        <f t="shared" si="34"/>
        <v>#N/A</v>
      </c>
      <c r="AA167" s="830" t="e">
        <f>VLOOKUP(C167,'CHẤM CÔNG '!$E$13:$AM$168,33,0)</f>
        <v>#N/A</v>
      </c>
      <c r="AB167" s="830" t="e">
        <f>VLOOKUP(C167,'CHẤM CÔNG '!$E$13:$AM$168,34,0)</f>
        <v>#N/A</v>
      </c>
      <c r="AC167" s="830"/>
      <c r="AD167" s="830"/>
      <c r="AE167" s="830"/>
      <c r="AF167" s="830"/>
      <c r="AG167" s="830"/>
      <c r="AH167" s="830"/>
      <c r="AI167" s="830"/>
      <c r="AJ167" s="830"/>
      <c r="AK167" s="836"/>
      <c r="AL167" s="837" t="e">
        <f>VLOOKUP(C167,'sản lượng'!$D$14:$AP$169,38,0)</f>
        <v>#N/A</v>
      </c>
      <c r="AP167" s="799">
        <v>2</v>
      </c>
      <c r="AR167" s="799">
        <v>1</v>
      </c>
    </row>
    <row r="168" spans="1:44" ht="15.75">
      <c r="A168" s="812">
        <v>47</v>
      </c>
      <c r="B168" s="813" t="str">
        <f>VLOOKUP(C168,'DS CN MOI UP'!$B$10:$C$389,2,0)</f>
        <v>03339</v>
      </c>
      <c r="C168" s="845" t="s">
        <v>95</v>
      </c>
      <c r="D168" s="812" t="s">
        <v>15</v>
      </c>
      <c r="E168" s="815">
        <f t="shared" si="32"/>
        <v>24</v>
      </c>
      <c r="F168" s="815"/>
      <c r="G168" s="815"/>
      <c r="H168" s="960"/>
      <c r="I168" s="815"/>
      <c r="J168" s="815"/>
      <c r="K168" s="815"/>
      <c r="L168" s="815"/>
      <c r="M168" s="815"/>
      <c r="N168" s="815"/>
      <c r="O168" s="815"/>
      <c r="P168" s="815"/>
      <c r="Q168" s="815"/>
      <c r="R168" s="815"/>
      <c r="S168" s="830">
        <f t="shared" si="35"/>
        <v>24</v>
      </c>
      <c r="T168" s="830" t="e">
        <f>VLOOKUP(C168,'sản lượng'!$D$14:$AK$169,36,0)</f>
        <v>#N/A</v>
      </c>
      <c r="U168" s="830"/>
      <c r="V168" s="830"/>
      <c r="W168" s="830" t="e">
        <f>VLOOKUP(C168,'sản lượng'!$D$14:$AK$169,36,0)</f>
        <v>#N/A</v>
      </c>
      <c r="X168" s="830"/>
      <c r="Y168" s="830"/>
      <c r="Z168" s="830" t="e">
        <f t="shared" si="34"/>
        <v>#N/A</v>
      </c>
      <c r="AA168" s="830" t="e">
        <f>VLOOKUP(C168,'CHẤM CÔNG '!$E$13:$AM$168,33,0)</f>
        <v>#N/A</v>
      </c>
      <c r="AB168" s="830" t="e">
        <f>VLOOKUP(C168,'CHẤM CÔNG '!$E$13:$AM$168,34,0)</f>
        <v>#N/A</v>
      </c>
      <c r="AC168" s="830"/>
      <c r="AD168" s="830"/>
      <c r="AE168" s="830"/>
      <c r="AF168" s="830"/>
      <c r="AG168" s="830"/>
      <c r="AH168" s="830"/>
      <c r="AI168" s="830"/>
      <c r="AJ168" s="830"/>
      <c r="AK168" s="836"/>
      <c r="AL168" s="837" t="e">
        <f>VLOOKUP(C168,'sản lượng'!$D$14:$AP$169,38,0)</f>
        <v>#N/A</v>
      </c>
      <c r="AP168" s="799">
        <v>1</v>
      </c>
      <c r="AR168" s="799">
        <v>2</v>
      </c>
    </row>
    <row r="169" spans="1:44" ht="15.75">
      <c r="A169" s="812">
        <v>48</v>
      </c>
      <c r="B169" s="813" t="str">
        <f>VLOOKUP(C169,'DS CN MOI UP'!$B$10:$C$389,2,0)</f>
        <v>03320</v>
      </c>
      <c r="C169" s="845" t="s">
        <v>16</v>
      </c>
      <c r="D169" s="812" t="s">
        <v>15</v>
      </c>
      <c r="E169" s="815">
        <f t="shared" si="32"/>
        <v>24</v>
      </c>
      <c r="F169" s="815"/>
      <c r="G169" s="815"/>
      <c r="H169" s="960"/>
      <c r="I169" s="815"/>
      <c r="J169" s="815"/>
      <c r="K169" s="815"/>
      <c r="L169" s="815"/>
      <c r="M169" s="815"/>
      <c r="N169" s="815"/>
      <c r="O169" s="815"/>
      <c r="P169" s="815"/>
      <c r="Q169" s="815"/>
      <c r="R169" s="815"/>
      <c r="S169" s="830">
        <f t="shared" si="35"/>
        <v>24</v>
      </c>
      <c r="T169" s="830" t="e">
        <f>VLOOKUP(C169,'sản lượng'!$D$14:$AK$169,36,0)</f>
        <v>#N/A</v>
      </c>
      <c r="U169" s="830"/>
      <c r="V169" s="830"/>
      <c r="W169" s="830" t="e">
        <f>VLOOKUP(C169,'sản lượng'!$D$14:$AK$169,36,0)</f>
        <v>#N/A</v>
      </c>
      <c r="X169" s="830"/>
      <c r="Y169" s="830"/>
      <c r="Z169" s="830" t="e">
        <f t="shared" si="34"/>
        <v>#N/A</v>
      </c>
      <c r="AA169" s="830" t="e">
        <f>VLOOKUP(C169,'CHẤM CÔNG '!$E$13:$AM$168,33,0)</f>
        <v>#N/A</v>
      </c>
      <c r="AB169" s="830" t="e">
        <f>VLOOKUP(C169,'CHẤM CÔNG '!$E$13:$AM$168,34,0)</f>
        <v>#N/A</v>
      </c>
      <c r="AC169" s="830"/>
      <c r="AD169" s="830"/>
      <c r="AE169" s="830"/>
      <c r="AF169" s="830"/>
      <c r="AG169" s="830"/>
      <c r="AH169" s="830"/>
      <c r="AI169" s="830"/>
      <c r="AJ169" s="830"/>
      <c r="AK169" s="836"/>
      <c r="AL169" s="837" t="e">
        <f>VLOOKUP(C169,'sản lượng'!$D$14:$AP$169,38,0)</f>
        <v>#N/A</v>
      </c>
      <c r="AP169" s="799">
        <v>1</v>
      </c>
      <c r="AR169" s="799">
        <v>2</v>
      </c>
    </row>
    <row r="170" spans="1:44" ht="15.75">
      <c r="A170" s="812">
        <v>49</v>
      </c>
      <c r="B170" s="813" t="str">
        <f>VLOOKUP(C170,'DS CN MOI UP'!$B$10:$C$389,2,0)</f>
        <v>02455</v>
      </c>
      <c r="C170" s="845" t="s">
        <v>47</v>
      </c>
      <c r="D170" s="812" t="s">
        <v>15</v>
      </c>
      <c r="E170" s="815">
        <f t="shared" si="32"/>
        <v>24</v>
      </c>
      <c r="F170" s="815"/>
      <c r="G170" s="815"/>
      <c r="H170" s="960"/>
      <c r="I170" s="815"/>
      <c r="J170" s="815"/>
      <c r="K170" s="815"/>
      <c r="L170" s="815"/>
      <c r="M170" s="815"/>
      <c r="N170" s="815"/>
      <c r="O170" s="815"/>
      <c r="P170" s="815"/>
      <c r="Q170" s="815"/>
      <c r="R170" s="815"/>
      <c r="S170" s="830">
        <f t="shared" si="35"/>
        <v>24</v>
      </c>
      <c r="T170" s="830" t="e">
        <f>VLOOKUP(C170,'sản lượng'!$D$14:$AK$169,36,0)</f>
        <v>#N/A</v>
      </c>
      <c r="U170" s="830"/>
      <c r="V170" s="830"/>
      <c r="W170" s="830" t="e">
        <f>VLOOKUP(C170,'sản lượng'!$D$14:$AK$169,36,0)</f>
        <v>#N/A</v>
      </c>
      <c r="X170" s="830"/>
      <c r="Y170" s="830"/>
      <c r="Z170" s="830" t="e">
        <f t="shared" si="34"/>
        <v>#N/A</v>
      </c>
      <c r="AA170" s="830" t="e">
        <f>VLOOKUP(C170,'CHẤM CÔNG '!$E$13:$AM$168,33,0)</f>
        <v>#N/A</v>
      </c>
      <c r="AB170" s="830" t="e">
        <f>VLOOKUP(C170,'CHẤM CÔNG '!$E$13:$AM$168,34,0)</f>
        <v>#N/A</v>
      </c>
      <c r="AC170" s="830"/>
      <c r="AD170" s="830"/>
      <c r="AE170" s="830"/>
      <c r="AF170" s="830"/>
      <c r="AG170" s="830"/>
      <c r="AH170" s="830"/>
      <c r="AI170" s="830"/>
      <c r="AJ170" s="830"/>
      <c r="AK170" s="836"/>
      <c r="AL170" s="837" t="e">
        <f>VLOOKUP(C170,'sản lượng'!$D$14:$AP$169,38,0)</f>
        <v>#N/A</v>
      </c>
      <c r="AR170" s="799">
        <v>3</v>
      </c>
    </row>
    <row r="171" spans="1:44" ht="15.75">
      <c r="A171" s="812">
        <v>50</v>
      </c>
      <c r="B171" s="813" t="str">
        <f>VLOOKUP(C171,'DS CN MOI UP'!$B$10:$C$389,2,0)</f>
        <v>02463</v>
      </c>
      <c r="C171" s="845" t="s">
        <v>87</v>
      </c>
      <c r="D171" s="812" t="s">
        <v>15</v>
      </c>
      <c r="E171" s="815">
        <f t="shared" si="32"/>
        <v>24</v>
      </c>
      <c r="F171" s="815"/>
      <c r="G171" s="815"/>
      <c r="H171" s="960"/>
      <c r="I171" s="815"/>
      <c r="J171" s="815"/>
      <c r="K171" s="815"/>
      <c r="L171" s="815"/>
      <c r="M171" s="815"/>
      <c r="N171" s="815"/>
      <c r="O171" s="815"/>
      <c r="P171" s="815"/>
      <c r="Q171" s="815"/>
      <c r="R171" s="815"/>
      <c r="S171" s="830">
        <f t="shared" si="35"/>
        <v>24</v>
      </c>
      <c r="T171" s="830" t="e">
        <f>VLOOKUP(C171,'sản lượng'!$D$14:$AK$169,36,0)</f>
        <v>#N/A</v>
      </c>
      <c r="U171" s="830"/>
      <c r="V171" s="830"/>
      <c r="W171" s="830" t="e">
        <f>VLOOKUP(C171,'sản lượng'!$D$14:$AK$169,36,0)</f>
        <v>#N/A</v>
      </c>
      <c r="X171" s="830"/>
      <c r="Y171" s="830"/>
      <c r="Z171" s="830" t="e">
        <f t="shared" si="34"/>
        <v>#N/A</v>
      </c>
      <c r="AA171" s="830" t="e">
        <f>VLOOKUP(C171,'CHẤM CÔNG '!$E$13:$AM$168,33,0)</f>
        <v>#N/A</v>
      </c>
      <c r="AB171" s="830" t="e">
        <f>VLOOKUP(C171,'CHẤM CÔNG '!$E$13:$AM$168,34,0)</f>
        <v>#N/A</v>
      </c>
      <c r="AC171" s="830"/>
      <c r="AD171" s="830"/>
      <c r="AE171" s="830"/>
      <c r="AF171" s="830"/>
      <c r="AG171" s="830"/>
      <c r="AH171" s="830"/>
      <c r="AI171" s="830"/>
      <c r="AJ171" s="830"/>
      <c r="AK171" s="836"/>
      <c r="AL171" s="837" t="e">
        <f>VLOOKUP(C171,'sản lượng'!$D$14:$AP$169,38,0)</f>
        <v>#N/A</v>
      </c>
      <c r="AP171" s="799">
        <v>1</v>
      </c>
      <c r="AR171" s="799">
        <v>2</v>
      </c>
    </row>
    <row r="172" spans="1:44" ht="15.75">
      <c r="A172" s="812">
        <v>51</v>
      </c>
      <c r="B172" s="813" t="str">
        <f>VLOOKUP(C172,'DS CN MOI UP'!$B$10:$C$389,2,0)</f>
        <v>02491</v>
      </c>
      <c r="C172" s="845" t="s">
        <v>62</v>
      </c>
      <c r="D172" s="812" t="s">
        <v>15</v>
      </c>
      <c r="E172" s="815">
        <f t="shared" si="32"/>
        <v>24</v>
      </c>
      <c r="F172" s="815"/>
      <c r="G172" s="815"/>
      <c r="H172" s="960"/>
      <c r="I172" s="815"/>
      <c r="J172" s="815"/>
      <c r="K172" s="815"/>
      <c r="L172" s="815"/>
      <c r="M172" s="815"/>
      <c r="N172" s="815"/>
      <c r="O172" s="815"/>
      <c r="P172" s="815"/>
      <c r="Q172" s="815"/>
      <c r="R172" s="815"/>
      <c r="S172" s="830">
        <f t="shared" si="35"/>
        <v>24</v>
      </c>
      <c r="T172" s="830" t="e">
        <f>VLOOKUP(C172,'sản lượng'!$D$14:$AK$169,36,0)</f>
        <v>#N/A</v>
      </c>
      <c r="U172" s="830"/>
      <c r="V172" s="830"/>
      <c r="W172" s="830" t="e">
        <f>VLOOKUP(C172,'sản lượng'!$D$14:$AK$169,36,0)</f>
        <v>#N/A</v>
      </c>
      <c r="X172" s="830"/>
      <c r="Y172" s="830"/>
      <c r="Z172" s="830" t="e">
        <f t="shared" si="34"/>
        <v>#N/A</v>
      </c>
      <c r="AA172" s="830" t="e">
        <f>VLOOKUP(C172,'CHẤM CÔNG '!$E$13:$AM$168,33,0)</f>
        <v>#N/A</v>
      </c>
      <c r="AB172" s="830" t="e">
        <f>VLOOKUP(C172,'CHẤM CÔNG '!$E$13:$AM$168,34,0)</f>
        <v>#N/A</v>
      </c>
      <c r="AC172" s="830"/>
      <c r="AD172" s="830"/>
      <c r="AE172" s="830"/>
      <c r="AF172" s="830"/>
      <c r="AG172" s="830"/>
      <c r="AH172" s="830"/>
      <c r="AI172" s="830"/>
      <c r="AJ172" s="830"/>
      <c r="AK172" s="836"/>
      <c r="AL172" s="837" t="e">
        <f>VLOOKUP(C172,'sản lượng'!$D$14:$AP$169,38,0)</f>
        <v>#N/A</v>
      </c>
      <c r="AP172" s="799">
        <v>1</v>
      </c>
      <c r="AR172" s="799">
        <v>2</v>
      </c>
    </row>
    <row r="173" spans="1:44" ht="15.75">
      <c r="A173" s="812">
        <v>52</v>
      </c>
      <c r="B173" s="813" t="str">
        <f>VLOOKUP(C173,'DS CN MOI UP'!$B$10:$C$389,2,0)</f>
        <v>02478</v>
      </c>
      <c r="C173" s="818" t="s">
        <v>79</v>
      </c>
      <c r="D173" s="812" t="s">
        <v>15</v>
      </c>
      <c r="E173" s="815">
        <f t="shared" si="32"/>
        <v>24</v>
      </c>
      <c r="F173" s="815"/>
      <c r="G173" s="815"/>
      <c r="H173" s="960"/>
      <c r="I173" s="815"/>
      <c r="J173" s="815"/>
      <c r="K173" s="815"/>
      <c r="L173" s="815"/>
      <c r="M173" s="815"/>
      <c r="N173" s="815"/>
      <c r="O173" s="815"/>
      <c r="P173" s="815"/>
      <c r="Q173" s="815"/>
      <c r="R173" s="815"/>
      <c r="S173" s="830">
        <f t="shared" si="35"/>
        <v>24</v>
      </c>
      <c r="T173" s="830" t="e">
        <f>VLOOKUP(C173,'sản lượng'!$D$14:$AK$169,36,0)</f>
        <v>#N/A</v>
      </c>
      <c r="U173" s="830"/>
      <c r="V173" s="830"/>
      <c r="W173" s="830" t="e">
        <f>VLOOKUP(C173,'sản lượng'!$D$14:$AK$169,36,0)</f>
        <v>#N/A</v>
      </c>
      <c r="X173" s="830"/>
      <c r="Y173" s="830"/>
      <c r="Z173" s="830" t="e">
        <f t="shared" si="34"/>
        <v>#N/A</v>
      </c>
      <c r="AA173" s="830" t="e">
        <f>VLOOKUP(C173,'CHẤM CÔNG '!$E$13:$AM$168,33,0)</f>
        <v>#N/A</v>
      </c>
      <c r="AB173" s="830" t="e">
        <f>VLOOKUP(C173,'CHẤM CÔNG '!$E$13:$AM$168,34,0)</f>
        <v>#N/A</v>
      </c>
      <c r="AC173" s="830"/>
      <c r="AD173" s="830"/>
      <c r="AE173" s="830"/>
      <c r="AF173" s="830"/>
      <c r="AG173" s="830"/>
      <c r="AH173" s="830"/>
      <c r="AI173" s="830"/>
      <c r="AJ173" s="830"/>
      <c r="AK173" s="836"/>
      <c r="AL173" s="837" t="e">
        <f>VLOOKUP(C173,'sản lượng'!$D$14:$AP$169,38,0)</f>
        <v>#N/A</v>
      </c>
      <c r="AP173" s="799">
        <v>1</v>
      </c>
      <c r="AR173" s="799">
        <v>2</v>
      </c>
    </row>
    <row r="174" spans="1:44" ht="15.75">
      <c r="A174" s="812">
        <v>53</v>
      </c>
      <c r="B174" s="813" t="str">
        <f>VLOOKUP(C174,'DS CN MOI UP'!$B$10:$C$389,2,0)</f>
        <v>03324</v>
      </c>
      <c r="C174" s="818" t="s">
        <v>27</v>
      </c>
      <c r="D174" s="812" t="s">
        <v>15</v>
      </c>
      <c r="E174" s="815">
        <f t="shared" si="32"/>
        <v>24</v>
      </c>
      <c r="F174" s="815"/>
      <c r="G174" s="815"/>
      <c r="H174" s="960"/>
      <c r="I174" s="815"/>
      <c r="J174" s="815"/>
      <c r="K174" s="815"/>
      <c r="L174" s="815"/>
      <c r="M174" s="815"/>
      <c r="N174" s="815"/>
      <c r="O174" s="815"/>
      <c r="P174" s="815"/>
      <c r="Q174" s="815"/>
      <c r="R174" s="815"/>
      <c r="S174" s="830">
        <f t="shared" si="35"/>
        <v>24</v>
      </c>
      <c r="T174" s="830" t="e">
        <f>VLOOKUP(C174,'sản lượng'!$D$14:$AK$169,36,0)</f>
        <v>#N/A</v>
      </c>
      <c r="U174" s="830"/>
      <c r="V174" s="830"/>
      <c r="W174" s="830" t="e">
        <f>VLOOKUP(C174,'sản lượng'!$D$14:$AK$169,36,0)</f>
        <v>#N/A</v>
      </c>
      <c r="X174" s="830"/>
      <c r="Y174" s="830"/>
      <c r="Z174" s="830" t="e">
        <f t="shared" si="34"/>
        <v>#N/A</v>
      </c>
      <c r="AA174" s="830" t="e">
        <f>VLOOKUP(C174,'CHẤM CÔNG '!$E$13:$AM$168,33,0)</f>
        <v>#N/A</v>
      </c>
      <c r="AB174" s="830" t="e">
        <f>VLOOKUP(C174,'CHẤM CÔNG '!$E$13:$AM$168,34,0)</f>
        <v>#N/A</v>
      </c>
      <c r="AC174" s="830"/>
      <c r="AD174" s="830"/>
      <c r="AE174" s="830"/>
      <c r="AF174" s="830"/>
      <c r="AG174" s="830"/>
      <c r="AH174" s="830"/>
      <c r="AI174" s="830"/>
      <c r="AJ174" s="830"/>
      <c r="AK174" s="836"/>
      <c r="AL174" s="837" t="e">
        <f>VLOOKUP(C174,'sản lượng'!$D$14:$AP$169,38,0)</f>
        <v>#N/A</v>
      </c>
      <c r="AP174" s="799">
        <v>1</v>
      </c>
      <c r="AR174" s="799">
        <v>2</v>
      </c>
    </row>
    <row r="175" spans="1:44" ht="15.75">
      <c r="A175" s="812">
        <v>54</v>
      </c>
      <c r="B175" s="813" t="str">
        <f>VLOOKUP(C175,'DS CN MOI UP'!$B$10:$C$389,2,0)</f>
        <v>03325</v>
      </c>
      <c r="C175" s="818" t="s">
        <v>28</v>
      </c>
      <c r="D175" s="812" t="s">
        <v>15</v>
      </c>
      <c r="E175" s="815">
        <f t="shared" si="32"/>
        <v>24</v>
      </c>
      <c r="F175" s="815"/>
      <c r="G175" s="815"/>
      <c r="H175" s="960"/>
      <c r="I175" s="815"/>
      <c r="J175" s="815"/>
      <c r="K175" s="815"/>
      <c r="L175" s="815"/>
      <c r="M175" s="815"/>
      <c r="N175" s="815"/>
      <c r="O175" s="815"/>
      <c r="P175" s="815"/>
      <c r="Q175" s="815"/>
      <c r="R175" s="815"/>
      <c r="S175" s="830">
        <f t="shared" si="35"/>
        <v>24</v>
      </c>
      <c r="T175" s="830" t="e">
        <f>VLOOKUP(C175,'sản lượng'!$D$14:$AK$169,36,0)</f>
        <v>#N/A</v>
      </c>
      <c r="U175" s="830"/>
      <c r="V175" s="830"/>
      <c r="W175" s="830" t="e">
        <f>VLOOKUP(C175,'sản lượng'!$D$14:$AK$169,36,0)</f>
        <v>#N/A</v>
      </c>
      <c r="X175" s="830"/>
      <c r="Y175" s="830"/>
      <c r="Z175" s="830" t="e">
        <f t="shared" si="34"/>
        <v>#N/A</v>
      </c>
      <c r="AA175" s="830" t="e">
        <f>VLOOKUP(C175,'CHẤM CÔNG '!$E$13:$AM$168,33,0)</f>
        <v>#N/A</v>
      </c>
      <c r="AB175" s="830" t="e">
        <f>VLOOKUP(C175,'CHẤM CÔNG '!$E$13:$AM$168,34,0)</f>
        <v>#N/A</v>
      </c>
      <c r="AC175" s="830"/>
      <c r="AD175" s="830"/>
      <c r="AE175" s="830"/>
      <c r="AF175" s="830"/>
      <c r="AG175" s="830"/>
      <c r="AH175" s="830"/>
      <c r="AI175" s="830"/>
      <c r="AJ175" s="830"/>
      <c r="AK175" s="836"/>
      <c r="AL175" s="837" t="e">
        <f>VLOOKUP(C175,'sản lượng'!$D$14:$AP$169,38,0)</f>
        <v>#N/A</v>
      </c>
      <c r="AP175" s="799">
        <v>1</v>
      </c>
      <c r="AR175" s="799">
        <v>2</v>
      </c>
    </row>
    <row r="176" spans="1:44" ht="15.75">
      <c r="A176" s="812">
        <v>55</v>
      </c>
      <c r="B176" s="813" t="str">
        <f>VLOOKUP(C176,'DS CN MOI UP'!$B$10:$C$389,2,0)</f>
        <v>02510</v>
      </c>
      <c r="C176" s="818" t="s">
        <v>41</v>
      </c>
      <c r="D176" s="812" t="s">
        <v>15</v>
      </c>
      <c r="E176" s="815">
        <f t="shared" si="32"/>
        <v>24</v>
      </c>
      <c r="F176" s="815"/>
      <c r="G176" s="815"/>
      <c r="H176" s="960"/>
      <c r="I176" s="815"/>
      <c r="J176" s="815"/>
      <c r="K176" s="815"/>
      <c r="L176" s="815"/>
      <c r="M176" s="815"/>
      <c r="N176" s="815"/>
      <c r="O176" s="815"/>
      <c r="P176" s="815"/>
      <c r="Q176" s="815"/>
      <c r="R176" s="815"/>
      <c r="S176" s="830">
        <f t="shared" si="35"/>
        <v>24</v>
      </c>
      <c r="T176" s="830" t="e">
        <f>VLOOKUP(C176,'sản lượng'!$D$14:$AK$169,36,0)</f>
        <v>#N/A</v>
      </c>
      <c r="U176" s="830"/>
      <c r="V176" s="830"/>
      <c r="W176" s="830" t="e">
        <f>VLOOKUP(C176,'sản lượng'!$D$14:$AK$169,36,0)</f>
        <v>#N/A</v>
      </c>
      <c r="X176" s="830"/>
      <c r="Y176" s="830"/>
      <c r="Z176" s="830" t="e">
        <f t="shared" si="34"/>
        <v>#N/A</v>
      </c>
      <c r="AA176" s="830" t="e">
        <f>VLOOKUP(C176,'CHẤM CÔNG '!$E$13:$AM$168,33,0)</f>
        <v>#N/A</v>
      </c>
      <c r="AB176" s="830" t="e">
        <f>VLOOKUP(C176,'CHẤM CÔNG '!$E$13:$AM$168,34,0)</f>
        <v>#N/A</v>
      </c>
      <c r="AC176" s="830"/>
      <c r="AD176" s="830"/>
      <c r="AE176" s="830"/>
      <c r="AF176" s="830"/>
      <c r="AG176" s="830"/>
      <c r="AH176" s="830"/>
      <c r="AI176" s="830"/>
      <c r="AJ176" s="830"/>
      <c r="AK176" s="836"/>
      <c r="AL176" s="837" t="e">
        <f>VLOOKUP(C176,'sản lượng'!$D$14:$AP$169,38,0)</f>
        <v>#N/A</v>
      </c>
      <c r="AP176" s="799">
        <v>1</v>
      </c>
      <c r="AR176" s="799">
        <v>2</v>
      </c>
    </row>
    <row r="177" spans="1:44" ht="15.75">
      <c r="A177" s="812">
        <v>56</v>
      </c>
      <c r="B177" s="813" t="str">
        <f>VLOOKUP(C177,'DS CN MOI UP'!$B$10:$C$389,2,0)</f>
        <v>02469</v>
      </c>
      <c r="C177" s="818" t="s">
        <v>38</v>
      </c>
      <c r="D177" s="812" t="s">
        <v>15</v>
      </c>
      <c r="E177" s="815">
        <f t="shared" si="32"/>
        <v>24</v>
      </c>
      <c r="F177" s="815"/>
      <c r="G177" s="815"/>
      <c r="H177" s="960"/>
      <c r="I177" s="815"/>
      <c r="J177" s="815"/>
      <c r="K177" s="815"/>
      <c r="L177" s="815"/>
      <c r="M177" s="815"/>
      <c r="N177" s="815"/>
      <c r="O177" s="815"/>
      <c r="P177" s="815"/>
      <c r="Q177" s="815"/>
      <c r="R177" s="815"/>
      <c r="S177" s="830">
        <f t="shared" si="35"/>
        <v>24</v>
      </c>
      <c r="T177" s="830" t="e">
        <f>VLOOKUP(C177,'sản lượng'!$D$14:$AK$169,36,0)</f>
        <v>#N/A</v>
      </c>
      <c r="U177" s="830"/>
      <c r="V177" s="830"/>
      <c r="W177" s="830" t="e">
        <f>VLOOKUP(C177,'sản lượng'!$D$14:$AK$169,36,0)</f>
        <v>#N/A</v>
      </c>
      <c r="X177" s="830"/>
      <c r="Y177" s="830"/>
      <c r="Z177" s="830" t="e">
        <f t="shared" si="34"/>
        <v>#N/A</v>
      </c>
      <c r="AA177" s="830" t="e">
        <f>VLOOKUP(C177,'CHẤM CÔNG '!$E$13:$AM$168,33,0)</f>
        <v>#N/A</v>
      </c>
      <c r="AB177" s="830" t="e">
        <f>VLOOKUP(C177,'CHẤM CÔNG '!$E$13:$AM$168,34,0)</f>
        <v>#N/A</v>
      </c>
      <c r="AC177" s="830"/>
      <c r="AD177" s="830"/>
      <c r="AE177" s="830"/>
      <c r="AF177" s="830"/>
      <c r="AG177" s="830"/>
      <c r="AH177" s="830"/>
      <c r="AI177" s="830"/>
      <c r="AJ177" s="830"/>
      <c r="AK177" s="836"/>
      <c r="AL177" s="837" t="e">
        <f>VLOOKUP(C177,'sản lượng'!$D$14:$AP$169,38,0)</f>
        <v>#N/A</v>
      </c>
      <c r="AP177" s="799">
        <v>1</v>
      </c>
      <c r="AR177" s="799">
        <v>2</v>
      </c>
    </row>
    <row r="178" spans="1:44" ht="15.75">
      <c r="A178" s="812">
        <v>57</v>
      </c>
      <c r="B178" s="813" t="str">
        <f>VLOOKUP(C178,'DS CN MOI UP'!$B$10:$C$389,2,0)</f>
        <v>02475</v>
      </c>
      <c r="C178" s="846" t="s">
        <v>39</v>
      </c>
      <c r="D178" s="812" t="s">
        <v>15</v>
      </c>
      <c r="E178" s="815">
        <f t="shared" si="32"/>
        <v>24</v>
      </c>
      <c r="F178" s="815"/>
      <c r="G178" s="815"/>
      <c r="H178" s="960"/>
      <c r="I178" s="815"/>
      <c r="J178" s="815"/>
      <c r="K178" s="815"/>
      <c r="L178" s="815"/>
      <c r="M178" s="815"/>
      <c r="N178" s="815"/>
      <c r="O178" s="815"/>
      <c r="P178" s="815"/>
      <c r="Q178" s="815"/>
      <c r="R178" s="815"/>
      <c r="S178" s="830">
        <f t="shared" si="35"/>
        <v>24</v>
      </c>
      <c r="T178" s="830" t="e">
        <f>VLOOKUP(C178,'sản lượng'!$D$14:$AK$169,36,0)</f>
        <v>#N/A</v>
      </c>
      <c r="U178" s="830"/>
      <c r="V178" s="830"/>
      <c r="W178" s="830" t="e">
        <f>VLOOKUP(C178,'sản lượng'!$D$14:$AK$169,36,0)</f>
        <v>#N/A</v>
      </c>
      <c r="X178" s="830"/>
      <c r="Y178" s="830"/>
      <c r="Z178" s="830" t="e">
        <f t="shared" si="34"/>
        <v>#N/A</v>
      </c>
      <c r="AA178" s="830" t="e">
        <f>VLOOKUP(C178,'CHẤM CÔNG '!$E$13:$AM$168,33,0)</f>
        <v>#N/A</v>
      </c>
      <c r="AB178" s="830" t="e">
        <f>VLOOKUP(C178,'CHẤM CÔNG '!$E$13:$AM$168,34,0)</f>
        <v>#N/A</v>
      </c>
      <c r="AC178" s="830"/>
      <c r="AD178" s="830"/>
      <c r="AE178" s="830"/>
      <c r="AF178" s="830"/>
      <c r="AG178" s="830"/>
      <c r="AH178" s="830"/>
      <c r="AI178" s="830"/>
      <c r="AJ178" s="830"/>
      <c r="AK178" s="836"/>
      <c r="AL178" s="837" t="e">
        <f>VLOOKUP(C178,'sản lượng'!$D$14:$AP$169,38,0)</f>
        <v>#N/A</v>
      </c>
      <c r="AP178" s="799">
        <v>1</v>
      </c>
      <c r="AR178" s="799">
        <v>2</v>
      </c>
    </row>
    <row r="179" spans="1:44" ht="15.75">
      <c r="A179" s="812">
        <v>58</v>
      </c>
      <c r="B179" s="813" t="str">
        <f>VLOOKUP(C179,'DS CN MOI UP'!$B$10:$C$389,2,0)</f>
        <v>02496</v>
      </c>
      <c r="C179" s="846" t="s">
        <v>98</v>
      </c>
      <c r="D179" s="812" t="s">
        <v>15</v>
      </c>
      <c r="E179" s="815">
        <f t="shared" si="32"/>
        <v>24</v>
      </c>
      <c r="F179" s="815"/>
      <c r="G179" s="815"/>
      <c r="H179" s="960"/>
      <c r="I179" s="815"/>
      <c r="J179" s="815"/>
      <c r="K179" s="815"/>
      <c r="L179" s="815"/>
      <c r="M179" s="815"/>
      <c r="N179" s="815"/>
      <c r="O179" s="815"/>
      <c r="P179" s="815"/>
      <c r="Q179" s="815"/>
      <c r="R179" s="815"/>
      <c r="S179" s="830">
        <f t="shared" si="35"/>
        <v>24</v>
      </c>
      <c r="T179" s="830" t="e">
        <f>VLOOKUP(C179,'sản lượng'!$D$14:$AK$169,36,0)</f>
        <v>#N/A</v>
      </c>
      <c r="U179" s="830"/>
      <c r="V179" s="830"/>
      <c r="W179" s="830" t="e">
        <f>VLOOKUP(C179,'sản lượng'!$D$14:$AK$169,36,0)</f>
        <v>#N/A</v>
      </c>
      <c r="X179" s="830"/>
      <c r="Y179" s="830"/>
      <c r="Z179" s="830" t="e">
        <f t="shared" si="34"/>
        <v>#N/A</v>
      </c>
      <c r="AA179" s="830" t="e">
        <f>VLOOKUP(C179,'CHẤM CÔNG '!$E$13:$AM$168,33,0)</f>
        <v>#N/A</v>
      </c>
      <c r="AB179" s="830" t="e">
        <f>VLOOKUP(C179,'CHẤM CÔNG '!$E$13:$AM$168,34,0)</f>
        <v>#N/A</v>
      </c>
      <c r="AC179" s="830"/>
      <c r="AD179" s="830"/>
      <c r="AE179" s="830"/>
      <c r="AF179" s="830"/>
      <c r="AG179" s="830"/>
      <c r="AH179" s="830"/>
      <c r="AI179" s="830"/>
      <c r="AJ179" s="830"/>
      <c r="AK179" s="836"/>
      <c r="AL179" s="837" t="e">
        <f>VLOOKUP(C179,'sản lượng'!$D$14:$AP$169,38,0)</f>
        <v>#N/A</v>
      </c>
      <c r="AP179" s="799">
        <v>1</v>
      </c>
      <c r="AR179" s="799">
        <v>2</v>
      </c>
    </row>
    <row r="180" spans="1:44" ht="15.75">
      <c r="A180" s="812">
        <v>59</v>
      </c>
      <c r="B180" s="813" t="e">
        <f>VLOOKUP(C180,'DS CN MOI UP'!$B$10:$C$389,2,0)</f>
        <v>#N/A</v>
      </c>
      <c r="C180" s="846" t="s">
        <v>1999</v>
      </c>
      <c r="D180" s="812" t="s">
        <v>15</v>
      </c>
      <c r="E180" s="815">
        <f t="shared" si="32"/>
        <v>24</v>
      </c>
      <c r="F180" s="815"/>
      <c r="G180" s="815"/>
      <c r="H180" s="960"/>
      <c r="I180" s="815"/>
      <c r="J180" s="815"/>
      <c r="K180" s="815"/>
      <c r="L180" s="815"/>
      <c r="M180" s="815"/>
      <c r="N180" s="815"/>
      <c r="O180" s="815"/>
      <c r="P180" s="815"/>
      <c r="Q180" s="815"/>
      <c r="R180" s="815"/>
      <c r="S180" s="830">
        <f t="shared" si="35"/>
        <v>24</v>
      </c>
      <c r="T180" s="830" t="e">
        <f>VLOOKUP(C180,'sản lượng'!$D$14:$AK$169,36,0)</f>
        <v>#N/A</v>
      </c>
      <c r="U180" s="830"/>
      <c r="V180" s="830"/>
      <c r="W180" s="830" t="e">
        <f>VLOOKUP(C180,'sản lượng'!$D$14:$AK$169,36,0)</f>
        <v>#N/A</v>
      </c>
      <c r="X180" s="830"/>
      <c r="Y180" s="830"/>
      <c r="Z180" s="830" t="e">
        <f t="shared" si="34"/>
        <v>#N/A</v>
      </c>
      <c r="AA180" s="830" t="e">
        <f>VLOOKUP(C180,'CHẤM CÔNG '!$E$13:$AM$168,33,0)</f>
        <v>#N/A</v>
      </c>
      <c r="AB180" s="830" t="e">
        <f>VLOOKUP(C180,'CHẤM CÔNG '!$E$13:$AM$168,34,0)</f>
        <v>#N/A</v>
      </c>
      <c r="AC180" s="830"/>
      <c r="AD180" s="830"/>
      <c r="AE180" s="830"/>
      <c r="AF180" s="830"/>
      <c r="AG180" s="830"/>
      <c r="AH180" s="830"/>
      <c r="AI180" s="830"/>
      <c r="AJ180" s="830"/>
      <c r="AK180" s="836"/>
      <c r="AL180" s="837" t="e">
        <f>VLOOKUP(C180,'sản lượng'!$D$14:$AP$169,38,0)</f>
        <v>#N/A</v>
      </c>
      <c r="AP180" s="799">
        <v>1</v>
      </c>
      <c r="AR180" s="799">
        <v>2</v>
      </c>
    </row>
    <row r="181" spans="1:44" ht="15.75">
      <c r="A181" s="812">
        <v>60</v>
      </c>
      <c r="B181" s="813" t="str">
        <f>VLOOKUP(C181,'DS CN MOI UP'!$B$10:$C$389,2,0)</f>
        <v>03326</v>
      </c>
      <c r="C181" s="846" t="s">
        <v>29</v>
      </c>
      <c r="D181" s="812" t="s">
        <v>15</v>
      </c>
      <c r="E181" s="815">
        <f t="shared" si="32"/>
        <v>24</v>
      </c>
      <c r="F181" s="815"/>
      <c r="G181" s="815"/>
      <c r="H181" s="960"/>
      <c r="I181" s="815"/>
      <c r="J181" s="815"/>
      <c r="K181" s="815"/>
      <c r="L181" s="815"/>
      <c r="M181" s="815"/>
      <c r="N181" s="815"/>
      <c r="O181" s="815"/>
      <c r="P181" s="815"/>
      <c r="Q181" s="815"/>
      <c r="R181" s="815"/>
      <c r="S181" s="830">
        <f t="shared" si="35"/>
        <v>24</v>
      </c>
      <c r="T181" s="830" t="e">
        <f>VLOOKUP(C181,'sản lượng'!$D$14:$AK$169,36,0)</f>
        <v>#N/A</v>
      </c>
      <c r="U181" s="830"/>
      <c r="V181" s="830"/>
      <c r="W181" s="830" t="e">
        <f>VLOOKUP(C181,'sản lượng'!$D$14:$AK$169,36,0)</f>
        <v>#N/A</v>
      </c>
      <c r="X181" s="830"/>
      <c r="Y181" s="830"/>
      <c r="Z181" s="830" t="e">
        <f t="shared" si="34"/>
        <v>#N/A</v>
      </c>
      <c r="AA181" s="830" t="e">
        <f>VLOOKUP(C181,'CHẤM CÔNG '!$E$13:$AM$168,33,0)</f>
        <v>#N/A</v>
      </c>
      <c r="AB181" s="830" t="e">
        <f>VLOOKUP(C181,'CHẤM CÔNG '!$E$13:$AM$168,34,0)</f>
        <v>#N/A</v>
      </c>
      <c r="AC181" s="830"/>
      <c r="AD181" s="830"/>
      <c r="AE181" s="830"/>
      <c r="AF181" s="830"/>
      <c r="AG181" s="830"/>
      <c r="AH181" s="830"/>
      <c r="AI181" s="830"/>
      <c r="AJ181" s="830"/>
      <c r="AK181" s="836"/>
      <c r="AL181" s="837" t="e">
        <f>VLOOKUP(C181,'sản lượng'!$D$14:$AP$169,38,0)</f>
        <v>#N/A</v>
      </c>
      <c r="AP181" s="799">
        <v>1</v>
      </c>
      <c r="AR181" s="799">
        <v>2</v>
      </c>
    </row>
    <row r="182" spans="1:44" ht="15.75">
      <c r="A182" s="812">
        <v>61</v>
      </c>
      <c r="B182" s="813" t="str">
        <f>VLOOKUP(C182,'DS CN MOI UP'!$B$10:$C$389,2,0)</f>
        <v>02502</v>
      </c>
      <c r="C182" s="846" t="s">
        <v>2000</v>
      </c>
      <c r="D182" s="812" t="s">
        <v>15</v>
      </c>
      <c r="E182" s="815">
        <f t="shared" si="32"/>
        <v>24</v>
      </c>
      <c r="F182" s="815"/>
      <c r="G182" s="815"/>
      <c r="H182" s="960"/>
      <c r="I182" s="815"/>
      <c r="J182" s="815"/>
      <c r="K182" s="815"/>
      <c r="L182" s="815"/>
      <c r="M182" s="815"/>
      <c r="N182" s="815"/>
      <c r="O182" s="815"/>
      <c r="P182" s="815"/>
      <c r="Q182" s="815"/>
      <c r="R182" s="815"/>
      <c r="S182" s="830">
        <f t="shared" si="35"/>
        <v>24</v>
      </c>
      <c r="T182" s="830" t="e">
        <f>VLOOKUP(C182,'sản lượng'!$D$14:$AK$169,36,0)</f>
        <v>#N/A</v>
      </c>
      <c r="U182" s="830"/>
      <c r="V182" s="830"/>
      <c r="W182" s="830" t="e">
        <f>VLOOKUP(C182,'sản lượng'!$D$14:$AK$169,36,0)</f>
        <v>#N/A</v>
      </c>
      <c r="X182" s="830"/>
      <c r="Y182" s="830"/>
      <c r="Z182" s="830" t="e">
        <f t="shared" si="34"/>
        <v>#N/A</v>
      </c>
      <c r="AA182" s="830" t="e">
        <f>VLOOKUP(C182,'CHẤM CÔNG '!$E$13:$AM$168,33,0)</f>
        <v>#N/A</v>
      </c>
      <c r="AB182" s="830" t="e">
        <f>VLOOKUP(C182,'CHẤM CÔNG '!$E$13:$AM$168,34,0)</f>
        <v>#N/A</v>
      </c>
      <c r="AC182" s="830"/>
      <c r="AD182" s="830"/>
      <c r="AE182" s="830"/>
      <c r="AF182" s="830"/>
      <c r="AG182" s="830"/>
      <c r="AH182" s="830"/>
      <c r="AI182" s="830"/>
      <c r="AJ182" s="830"/>
      <c r="AK182" s="836"/>
      <c r="AL182" s="837" t="e">
        <f>VLOOKUP(C182,'sản lượng'!$D$14:$AP$169,38,0)</f>
        <v>#N/A</v>
      </c>
      <c r="AP182" s="799">
        <v>2</v>
      </c>
      <c r="AR182" s="799">
        <v>1</v>
      </c>
    </row>
    <row r="183" spans="1:44" ht="15.75">
      <c r="A183" s="812">
        <v>62</v>
      </c>
      <c r="B183" s="813" t="str">
        <f>VLOOKUP(C183,'DS CN MOI UP'!$B$10:$C$389,2,0)</f>
        <v>02514</v>
      </c>
      <c r="C183" s="846" t="s">
        <v>100</v>
      </c>
      <c r="D183" s="812" t="s">
        <v>15</v>
      </c>
      <c r="E183" s="815">
        <f t="shared" si="32"/>
        <v>24</v>
      </c>
      <c r="F183" s="815"/>
      <c r="G183" s="815"/>
      <c r="H183" s="960"/>
      <c r="I183" s="815"/>
      <c r="J183" s="815"/>
      <c r="K183" s="815"/>
      <c r="L183" s="815"/>
      <c r="M183" s="815"/>
      <c r="N183" s="815"/>
      <c r="O183" s="815"/>
      <c r="P183" s="815"/>
      <c r="Q183" s="815"/>
      <c r="R183" s="815"/>
      <c r="S183" s="830">
        <f t="shared" si="35"/>
        <v>24</v>
      </c>
      <c r="T183" s="830" t="e">
        <f>VLOOKUP(C183,'sản lượng'!$D$14:$AK$169,36,0)</f>
        <v>#N/A</v>
      </c>
      <c r="U183" s="830"/>
      <c r="V183" s="830"/>
      <c r="W183" s="830" t="e">
        <f>VLOOKUP(C183,'sản lượng'!$D$14:$AK$169,36,0)</f>
        <v>#N/A</v>
      </c>
      <c r="X183" s="830"/>
      <c r="Y183" s="830"/>
      <c r="Z183" s="830" t="e">
        <f t="shared" si="34"/>
        <v>#N/A</v>
      </c>
      <c r="AA183" s="830" t="e">
        <f>VLOOKUP(C183,'CHẤM CÔNG '!$E$13:$AM$168,33,0)</f>
        <v>#N/A</v>
      </c>
      <c r="AB183" s="830" t="e">
        <f>VLOOKUP(C183,'CHẤM CÔNG '!$E$13:$AM$168,34,0)</f>
        <v>#N/A</v>
      </c>
      <c r="AC183" s="830"/>
      <c r="AD183" s="830"/>
      <c r="AE183" s="830"/>
      <c r="AF183" s="830"/>
      <c r="AG183" s="830"/>
      <c r="AH183" s="830"/>
      <c r="AI183" s="830"/>
      <c r="AJ183" s="830"/>
      <c r="AK183" s="836"/>
      <c r="AL183" s="837" t="e">
        <f>VLOOKUP(C183,'sản lượng'!$D$14:$AP$169,38,0)</f>
        <v>#N/A</v>
      </c>
      <c r="AP183" s="799">
        <v>1</v>
      </c>
      <c r="AR183" s="799">
        <v>2</v>
      </c>
    </row>
    <row r="184" spans="1:44" ht="15.75">
      <c r="A184" s="812">
        <v>63</v>
      </c>
      <c r="B184" s="813" t="str">
        <f>VLOOKUP(C184,'DS CN MOI UP'!$B$10:$C$389,2,0)</f>
        <v>02501</v>
      </c>
      <c r="C184" s="846" t="s">
        <v>92</v>
      </c>
      <c r="D184" s="812" t="s">
        <v>15</v>
      </c>
      <c r="E184" s="815">
        <f t="shared" si="32"/>
        <v>24</v>
      </c>
      <c r="F184" s="815"/>
      <c r="G184" s="815"/>
      <c r="H184" s="960"/>
      <c r="I184" s="815"/>
      <c r="J184" s="815"/>
      <c r="K184" s="815"/>
      <c r="L184" s="815"/>
      <c r="M184" s="815"/>
      <c r="N184" s="815"/>
      <c r="O184" s="815"/>
      <c r="P184" s="815"/>
      <c r="Q184" s="815"/>
      <c r="R184" s="815"/>
      <c r="S184" s="830">
        <f t="shared" si="35"/>
        <v>24</v>
      </c>
      <c r="T184" s="830" t="e">
        <f>VLOOKUP(C184,'sản lượng'!$D$14:$AK$169,36,0)</f>
        <v>#N/A</v>
      </c>
      <c r="U184" s="830"/>
      <c r="V184" s="830"/>
      <c r="W184" s="830" t="e">
        <f>VLOOKUP(C184,'sản lượng'!$D$14:$AK$169,36,0)</f>
        <v>#N/A</v>
      </c>
      <c r="X184" s="830"/>
      <c r="Y184" s="830"/>
      <c r="Z184" s="830" t="e">
        <f t="shared" si="34"/>
        <v>#N/A</v>
      </c>
      <c r="AA184" s="830" t="e">
        <f>VLOOKUP(C184,'CHẤM CÔNG '!$E$13:$AM$168,33,0)</f>
        <v>#N/A</v>
      </c>
      <c r="AB184" s="830" t="e">
        <f>VLOOKUP(C184,'CHẤM CÔNG '!$E$13:$AM$168,34,0)</f>
        <v>#N/A</v>
      </c>
      <c r="AC184" s="830"/>
      <c r="AD184" s="830"/>
      <c r="AE184" s="830"/>
      <c r="AF184" s="830"/>
      <c r="AG184" s="830"/>
      <c r="AH184" s="830"/>
      <c r="AI184" s="830"/>
      <c r="AJ184" s="830"/>
      <c r="AK184" s="836"/>
      <c r="AL184" s="837" t="e">
        <f>VLOOKUP(C184,'sản lượng'!$D$14:$AP$169,38,0)</f>
        <v>#N/A</v>
      </c>
      <c r="AP184" s="799">
        <v>1</v>
      </c>
      <c r="AR184" s="799">
        <v>2</v>
      </c>
    </row>
    <row r="185" spans="1:44" ht="15.75">
      <c r="A185" s="812">
        <v>64</v>
      </c>
      <c r="B185" s="813" t="e">
        <f>VLOOKUP(C185,'DS CN MOI UP'!$B$10:$C$389,2,0)</f>
        <v>#N/A</v>
      </c>
      <c r="C185" s="846" t="s">
        <v>2001</v>
      </c>
      <c r="D185" s="812" t="s">
        <v>15</v>
      </c>
      <c r="E185" s="815">
        <f t="shared" si="32"/>
        <v>24</v>
      </c>
      <c r="F185" s="815"/>
      <c r="G185" s="815"/>
      <c r="H185" s="960"/>
      <c r="I185" s="815"/>
      <c r="J185" s="815"/>
      <c r="K185" s="815"/>
      <c r="L185" s="815"/>
      <c r="M185" s="815"/>
      <c r="N185" s="815"/>
      <c r="O185" s="815"/>
      <c r="P185" s="815"/>
      <c r="Q185" s="815"/>
      <c r="R185" s="815"/>
      <c r="S185" s="830">
        <f t="shared" si="35"/>
        <v>24</v>
      </c>
      <c r="T185" s="830" t="e">
        <f>VLOOKUP(C185,'sản lượng'!$D$14:$AK$169,36,0)</f>
        <v>#N/A</v>
      </c>
      <c r="U185" s="830"/>
      <c r="V185" s="830"/>
      <c r="W185" s="830" t="e">
        <f>VLOOKUP(C185,'sản lượng'!$D$14:$AK$169,36,0)</f>
        <v>#N/A</v>
      </c>
      <c r="X185" s="830"/>
      <c r="Y185" s="830"/>
      <c r="Z185" s="830" t="e">
        <f t="shared" si="34"/>
        <v>#N/A</v>
      </c>
      <c r="AA185" s="830" t="e">
        <f>VLOOKUP(C185,'CHẤM CÔNG '!$E$13:$AM$168,33,0)</f>
        <v>#N/A</v>
      </c>
      <c r="AB185" s="830" t="e">
        <f>VLOOKUP(C185,'CHẤM CÔNG '!$E$13:$AM$168,34,0)</f>
        <v>#N/A</v>
      </c>
      <c r="AC185" s="830"/>
      <c r="AD185" s="830"/>
      <c r="AE185" s="830"/>
      <c r="AF185" s="830"/>
      <c r="AG185" s="830"/>
      <c r="AH185" s="830"/>
      <c r="AI185" s="830"/>
      <c r="AJ185" s="830"/>
      <c r="AK185" s="836"/>
      <c r="AL185" s="837" t="e">
        <f>VLOOKUP(C185,'sản lượng'!$D$14:$AP$169,38,0)</f>
        <v>#N/A</v>
      </c>
      <c r="AP185" s="799">
        <v>1</v>
      </c>
      <c r="AR185" s="799">
        <v>2</v>
      </c>
    </row>
    <row r="186" spans="1:44" ht="15.75">
      <c r="A186" s="812">
        <v>65</v>
      </c>
      <c r="B186" s="813" t="str">
        <f>VLOOKUP(C186,'DS CN MOI UP'!$B$10:$C$389,2,0)</f>
        <v>02683</v>
      </c>
      <c r="C186" s="846" t="s">
        <v>75</v>
      </c>
      <c r="D186" s="812" t="s">
        <v>15</v>
      </c>
      <c r="E186" s="815">
        <f t="shared" ref="E186:E207" si="36">3*8</f>
        <v>24</v>
      </c>
      <c r="F186" s="815"/>
      <c r="G186" s="815"/>
      <c r="H186" s="960"/>
      <c r="I186" s="815"/>
      <c r="J186" s="815"/>
      <c r="K186" s="815"/>
      <c r="L186" s="815"/>
      <c r="M186" s="815"/>
      <c r="N186" s="815"/>
      <c r="O186" s="815"/>
      <c r="P186" s="815"/>
      <c r="Q186" s="815"/>
      <c r="R186" s="815"/>
      <c r="S186" s="830">
        <f t="shared" ref="S186:S206" si="37">SUM(E186:N186)</f>
        <v>24</v>
      </c>
      <c r="T186" s="830" t="e">
        <f>VLOOKUP(C186,'sản lượng'!$D$14:$AK$169,36,0)</f>
        <v>#N/A</v>
      </c>
      <c r="U186" s="830"/>
      <c r="V186" s="830"/>
      <c r="W186" s="830" t="e">
        <f>VLOOKUP(C186,'sản lượng'!$D$14:$AK$169,36,0)</f>
        <v>#N/A</v>
      </c>
      <c r="X186" s="830"/>
      <c r="Y186" s="830"/>
      <c r="Z186" s="830" t="e">
        <f t="shared" si="34"/>
        <v>#N/A</v>
      </c>
      <c r="AA186" s="830" t="e">
        <f>VLOOKUP(C186,'CHẤM CÔNG '!$E$13:$AM$168,33,0)</f>
        <v>#N/A</v>
      </c>
      <c r="AB186" s="830" t="e">
        <f>VLOOKUP(C186,'CHẤM CÔNG '!$E$13:$AM$168,34,0)</f>
        <v>#N/A</v>
      </c>
      <c r="AC186" s="830"/>
      <c r="AD186" s="830"/>
      <c r="AE186" s="830"/>
      <c r="AF186" s="830"/>
      <c r="AG186" s="830"/>
      <c r="AH186" s="830"/>
      <c r="AI186" s="830"/>
      <c r="AJ186" s="830"/>
      <c r="AK186" s="836"/>
      <c r="AL186" s="837" t="e">
        <f>VLOOKUP(C186,'sản lượng'!$D$14:$AP$169,38,0)</f>
        <v>#N/A</v>
      </c>
      <c r="AP186" s="799">
        <v>1</v>
      </c>
      <c r="AR186" s="799">
        <v>2</v>
      </c>
    </row>
    <row r="187" spans="1:44" ht="15.75">
      <c r="A187" s="812">
        <v>66</v>
      </c>
      <c r="B187" s="813" t="e">
        <f>VLOOKUP(C187,'DS CN MOI UP'!$B$10:$C$389,2,0)</f>
        <v>#N/A</v>
      </c>
      <c r="C187" s="846" t="s">
        <v>1276</v>
      </c>
      <c r="D187" s="812" t="s">
        <v>15</v>
      </c>
      <c r="E187" s="815">
        <f t="shared" si="36"/>
        <v>24</v>
      </c>
      <c r="F187" s="815"/>
      <c r="G187" s="815"/>
      <c r="H187" s="960"/>
      <c r="I187" s="815"/>
      <c r="J187" s="815"/>
      <c r="K187" s="815"/>
      <c r="L187" s="815"/>
      <c r="M187" s="815"/>
      <c r="N187" s="815"/>
      <c r="O187" s="815"/>
      <c r="P187" s="815"/>
      <c r="Q187" s="815"/>
      <c r="R187" s="815"/>
      <c r="S187" s="830">
        <f t="shared" si="37"/>
        <v>24</v>
      </c>
      <c r="T187" s="830" t="e">
        <f>VLOOKUP(C187,'sản lượng'!$D$14:$AK$169,36,0)</f>
        <v>#N/A</v>
      </c>
      <c r="U187" s="830"/>
      <c r="V187" s="830"/>
      <c r="W187" s="830" t="e">
        <f>VLOOKUP(C187,'sản lượng'!$D$14:$AK$169,36,0)</f>
        <v>#N/A</v>
      </c>
      <c r="X187" s="830"/>
      <c r="Y187" s="830"/>
      <c r="Z187" s="830" t="e">
        <f t="shared" ref="Z187:Z207" si="38">W187*$AN$15+X187*$AN$10</f>
        <v>#N/A</v>
      </c>
      <c r="AA187" s="830" t="e">
        <f>VLOOKUP(C187,'CHẤM CÔNG '!$E$13:$AM$168,33,0)</f>
        <v>#N/A</v>
      </c>
      <c r="AB187" s="830" t="e">
        <f>VLOOKUP(C187,'CHẤM CÔNG '!$E$13:$AM$168,34,0)</f>
        <v>#N/A</v>
      </c>
      <c r="AC187" s="830"/>
      <c r="AD187" s="830"/>
      <c r="AE187" s="830"/>
      <c r="AF187" s="830"/>
      <c r="AG187" s="830"/>
      <c r="AH187" s="830"/>
      <c r="AI187" s="830"/>
      <c r="AJ187" s="830"/>
      <c r="AK187" s="836"/>
      <c r="AL187" s="837" t="e">
        <f>VLOOKUP(C187,'sản lượng'!$D$14:$AP$169,38,0)</f>
        <v>#N/A</v>
      </c>
      <c r="AP187" s="799">
        <v>1</v>
      </c>
      <c r="AR187" s="799">
        <v>2</v>
      </c>
    </row>
    <row r="188" spans="1:44" ht="15.75">
      <c r="A188" s="812">
        <v>67</v>
      </c>
      <c r="B188" s="813" t="str">
        <f>VLOOKUP(C188,'DS CN MOI UP'!$B$10:$C$389,2,0)</f>
        <v>03333</v>
      </c>
      <c r="C188" s="846" t="s">
        <v>56</v>
      </c>
      <c r="D188" s="812" t="s">
        <v>15</v>
      </c>
      <c r="E188" s="815">
        <f t="shared" si="36"/>
        <v>24</v>
      </c>
      <c r="F188" s="815"/>
      <c r="G188" s="815"/>
      <c r="H188" s="960"/>
      <c r="I188" s="815"/>
      <c r="J188" s="815"/>
      <c r="K188" s="815"/>
      <c r="L188" s="815"/>
      <c r="M188" s="815"/>
      <c r="N188" s="815"/>
      <c r="O188" s="815"/>
      <c r="P188" s="815"/>
      <c r="Q188" s="815"/>
      <c r="R188" s="815"/>
      <c r="S188" s="830">
        <f t="shared" si="37"/>
        <v>24</v>
      </c>
      <c r="T188" s="830" t="e">
        <f>VLOOKUP(C188,'sản lượng'!$D$14:$AK$169,36,0)</f>
        <v>#N/A</v>
      </c>
      <c r="U188" s="830"/>
      <c r="V188" s="830"/>
      <c r="W188" s="830" t="e">
        <f>VLOOKUP(C188,'sản lượng'!$D$14:$AK$169,36,0)</f>
        <v>#N/A</v>
      </c>
      <c r="X188" s="830"/>
      <c r="Y188" s="830"/>
      <c r="Z188" s="830" t="e">
        <f t="shared" si="38"/>
        <v>#N/A</v>
      </c>
      <c r="AA188" s="830" t="e">
        <f>VLOOKUP(C188,'CHẤM CÔNG '!$E$13:$AM$168,33,0)</f>
        <v>#N/A</v>
      </c>
      <c r="AB188" s="830" t="e">
        <f>VLOOKUP(C188,'CHẤM CÔNG '!$E$13:$AM$168,34,0)</f>
        <v>#N/A</v>
      </c>
      <c r="AC188" s="830"/>
      <c r="AD188" s="830"/>
      <c r="AE188" s="830"/>
      <c r="AF188" s="830"/>
      <c r="AG188" s="830"/>
      <c r="AH188" s="830"/>
      <c r="AI188" s="830"/>
      <c r="AJ188" s="830"/>
      <c r="AK188" s="836"/>
      <c r="AL188" s="837" t="e">
        <f>VLOOKUP(C188,'sản lượng'!$D$14:$AP$169,38,0)</f>
        <v>#N/A</v>
      </c>
      <c r="AP188" s="799">
        <v>1</v>
      </c>
      <c r="AR188" s="799">
        <v>2</v>
      </c>
    </row>
    <row r="189" spans="1:44" ht="15.75">
      <c r="A189" s="812">
        <v>68</v>
      </c>
      <c r="B189" s="813" t="str">
        <f>VLOOKUP(C189,'DS CN MOI UP'!$B$10:$C$389,2,0)</f>
        <v>02686</v>
      </c>
      <c r="C189" s="846" t="s">
        <v>78</v>
      </c>
      <c r="D189" s="812" t="s">
        <v>15</v>
      </c>
      <c r="E189" s="815">
        <f t="shared" si="36"/>
        <v>24</v>
      </c>
      <c r="F189" s="815"/>
      <c r="G189" s="815"/>
      <c r="H189" s="960"/>
      <c r="I189" s="815"/>
      <c r="J189" s="815"/>
      <c r="K189" s="815"/>
      <c r="L189" s="815"/>
      <c r="M189" s="815"/>
      <c r="N189" s="815"/>
      <c r="O189" s="815"/>
      <c r="P189" s="815"/>
      <c r="Q189" s="815"/>
      <c r="R189" s="815"/>
      <c r="S189" s="830">
        <f t="shared" si="37"/>
        <v>24</v>
      </c>
      <c r="T189" s="830" t="e">
        <f>VLOOKUP(C189,'sản lượng'!$D$14:$AK$169,36,0)</f>
        <v>#N/A</v>
      </c>
      <c r="U189" s="830"/>
      <c r="V189" s="830"/>
      <c r="W189" s="830" t="e">
        <f>VLOOKUP(C189,'sản lượng'!$D$14:$AK$169,36,0)</f>
        <v>#N/A</v>
      </c>
      <c r="X189" s="830"/>
      <c r="Y189" s="830"/>
      <c r="Z189" s="830" t="e">
        <f t="shared" si="38"/>
        <v>#N/A</v>
      </c>
      <c r="AA189" s="830" t="e">
        <f>VLOOKUP(C189,'CHẤM CÔNG '!$E$13:$AM$168,33,0)</f>
        <v>#N/A</v>
      </c>
      <c r="AB189" s="830" t="e">
        <f>VLOOKUP(C189,'CHẤM CÔNG '!$E$13:$AM$168,34,0)</f>
        <v>#N/A</v>
      </c>
      <c r="AC189" s="830"/>
      <c r="AD189" s="830"/>
      <c r="AE189" s="830"/>
      <c r="AF189" s="830"/>
      <c r="AG189" s="830"/>
      <c r="AH189" s="830"/>
      <c r="AI189" s="830"/>
      <c r="AJ189" s="830"/>
      <c r="AK189" s="836"/>
      <c r="AL189" s="837" t="e">
        <f>VLOOKUP(C189,'sản lượng'!$D$14:$AP$169,38,0)</f>
        <v>#N/A</v>
      </c>
      <c r="AP189" s="799">
        <v>1</v>
      </c>
      <c r="AR189" s="799">
        <v>2</v>
      </c>
    </row>
    <row r="190" spans="1:44" ht="15.75">
      <c r="A190" s="812">
        <v>69</v>
      </c>
      <c r="B190" s="813" t="e">
        <f>VLOOKUP(C190,'DS CN MOI UP'!$B$10:$C$389,2,0)</f>
        <v>#N/A</v>
      </c>
      <c r="C190" s="846" t="s">
        <v>2002</v>
      </c>
      <c r="D190" s="812" t="s">
        <v>15</v>
      </c>
      <c r="E190" s="815">
        <f t="shared" si="36"/>
        <v>24</v>
      </c>
      <c r="F190" s="815"/>
      <c r="G190" s="815"/>
      <c r="H190" s="960"/>
      <c r="I190" s="815"/>
      <c r="J190" s="815"/>
      <c r="K190" s="815"/>
      <c r="L190" s="815"/>
      <c r="M190" s="815"/>
      <c r="N190" s="815"/>
      <c r="O190" s="815"/>
      <c r="P190" s="815"/>
      <c r="Q190" s="815"/>
      <c r="R190" s="815"/>
      <c r="S190" s="830">
        <f t="shared" si="37"/>
        <v>24</v>
      </c>
      <c r="T190" s="830" t="e">
        <f>VLOOKUP(C190,'sản lượng'!$D$14:$AK$169,36,0)</f>
        <v>#N/A</v>
      </c>
      <c r="U190" s="830"/>
      <c r="V190" s="830"/>
      <c r="W190" s="830" t="e">
        <f>VLOOKUP(C190,'sản lượng'!$D$14:$AK$169,36,0)</f>
        <v>#N/A</v>
      </c>
      <c r="X190" s="830"/>
      <c r="Y190" s="830"/>
      <c r="Z190" s="830" t="e">
        <f t="shared" si="38"/>
        <v>#N/A</v>
      </c>
      <c r="AA190" s="830" t="e">
        <f>VLOOKUP(C190,'CHẤM CÔNG '!$E$13:$AM$168,33,0)</f>
        <v>#N/A</v>
      </c>
      <c r="AB190" s="830" t="e">
        <f>VLOOKUP(C190,'CHẤM CÔNG '!$E$13:$AM$168,34,0)</f>
        <v>#N/A</v>
      </c>
      <c r="AC190" s="830"/>
      <c r="AD190" s="830"/>
      <c r="AE190" s="830"/>
      <c r="AF190" s="830"/>
      <c r="AG190" s="830"/>
      <c r="AH190" s="830"/>
      <c r="AI190" s="830"/>
      <c r="AJ190" s="830"/>
      <c r="AK190" s="836"/>
      <c r="AL190" s="837" t="e">
        <f>VLOOKUP(C190,'sản lượng'!$D$14:$AP$169,38,0)</f>
        <v>#N/A</v>
      </c>
      <c r="AP190" s="799">
        <v>1</v>
      </c>
      <c r="AR190" s="799">
        <v>2</v>
      </c>
    </row>
    <row r="191" spans="1:44" ht="15.75">
      <c r="A191" s="812">
        <v>70</v>
      </c>
      <c r="B191" s="813" t="str">
        <f>VLOOKUP(C191,'DS CN MOI UP'!$B$10:$C$389,2,0)</f>
        <v>02458</v>
      </c>
      <c r="C191" s="846" t="s">
        <v>492</v>
      </c>
      <c r="D191" s="812" t="s">
        <v>15</v>
      </c>
      <c r="E191" s="815">
        <f t="shared" si="36"/>
        <v>24</v>
      </c>
      <c r="F191" s="815"/>
      <c r="G191" s="815"/>
      <c r="H191" s="960"/>
      <c r="I191" s="815"/>
      <c r="J191" s="815"/>
      <c r="K191" s="815"/>
      <c r="L191" s="815"/>
      <c r="M191" s="815"/>
      <c r="N191" s="815"/>
      <c r="O191" s="815"/>
      <c r="P191" s="815"/>
      <c r="Q191" s="815"/>
      <c r="R191" s="815"/>
      <c r="S191" s="830">
        <f t="shared" si="37"/>
        <v>24</v>
      </c>
      <c r="T191" s="830" t="e">
        <f>VLOOKUP(C191,'sản lượng'!$D$14:$AK$169,36,0)</f>
        <v>#N/A</v>
      </c>
      <c r="U191" s="830"/>
      <c r="V191" s="830"/>
      <c r="W191" s="830" t="e">
        <f>VLOOKUP(C191,'sản lượng'!$D$14:$AK$169,36,0)</f>
        <v>#N/A</v>
      </c>
      <c r="X191" s="830"/>
      <c r="Y191" s="830"/>
      <c r="Z191" s="830" t="e">
        <f t="shared" si="38"/>
        <v>#N/A</v>
      </c>
      <c r="AA191" s="830" t="e">
        <f>VLOOKUP(C191,'CHẤM CÔNG '!$E$13:$AM$168,33,0)</f>
        <v>#N/A</v>
      </c>
      <c r="AB191" s="830" t="e">
        <f>VLOOKUP(C191,'CHẤM CÔNG '!$E$13:$AM$168,34,0)</f>
        <v>#N/A</v>
      </c>
      <c r="AC191" s="830"/>
      <c r="AD191" s="830"/>
      <c r="AE191" s="830"/>
      <c r="AF191" s="830"/>
      <c r="AG191" s="830"/>
      <c r="AH191" s="830"/>
      <c r="AI191" s="830"/>
      <c r="AJ191" s="830"/>
      <c r="AK191" s="836"/>
      <c r="AL191" s="837" t="e">
        <f>VLOOKUP(C191,'sản lượng'!$D$14:$AP$169,38,0)</f>
        <v>#N/A</v>
      </c>
      <c r="AP191" s="799">
        <v>2</v>
      </c>
      <c r="AR191" s="799">
        <v>1</v>
      </c>
    </row>
    <row r="192" spans="1:44" ht="15.75">
      <c r="A192" s="812">
        <v>71</v>
      </c>
      <c r="B192" s="813" t="str">
        <f>VLOOKUP(C192,'DS CN MOI UP'!$B$10:$C$389,2,0)</f>
        <v>02480</v>
      </c>
      <c r="C192" s="846" t="s">
        <v>493</v>
      </c>
      <c r="D192" s="812" t="s">
        <v>15</v>
      </c>
      <c r="E192" s="815">
        <f t="shared" si="36"/>
        <v>24</v>
      </c>
      <c r="F192" s="815"/>
      <c r="G192" s="815"/>
      <c r="H192" s="960"/>
      <c r="I192" s="815"/>
      <c r="J192" s="815"/>
      <c r="K192" s="815"/>
      <c r="L192" s="815"/>
      <c r="M192" s="815"/>
      <c r="N192" s="815"/>
      <c r="O192" s="815"/>
      <c r="P192" s="815"/>
      <c r="Q192" s="815"/>
      <c r="R192" s="815"/>
      <c r="S192" s="830">
        <f t="shared" si="37"/>
        <v>24</v>
      </c>
      <c r="T192" s="830" t="e">
        <f>VLOOKUP(C192,'sản lượng'!$D$14:$AK$169,36,0)</f>
        <v>#N/A</v>
      </c>
      <c r="U192" s="830"/>
      <c r="V192" s="830"/>
      <c r="W192" s="830" t="e">
        <f>VLOOKUP(C192,'sản lượng'!$D$14:$AK$169,36,0)</f>
        <v>#N/A</v>
      </c>
      <c r="X192" s="830"/>
      <c r="Y192" s="830"/>
      <c r="Z192" s="830" t="e">
        <f t="shared" si="38"/>
        <v>#N/A</v>
      </c>
      <c r="AA192" s="830" t="e">
        <f>VLOOKUP(C192,'CHẤM CÔNG '!$E$13:$AM$168,33,0)</f>
        <v>#N/A</v>
      </c>
      <c r="AB192" s="830" t="e">
        <f>VLOOKUP(C192,'CHẤM CÔNG '!$E$13:$AM$168,34,0)</f>
        <v>#N/A</v>
      </c>
      <c r="AC192" s="830"/>
      <c r="AD192" s="830"/>
      <c r="AE192" s="830"/>
      <c r="AF192" s="830"/>
      <c r="AG192" s="830"/>
      <c r="AH192" s="830"/>
      <c r="AI192" s="830"/>
      <c r="AJ192" s="830"/>
      <c r="AK192" s="836"/>
      <c r="AL192" s="837" t="e">
        <f>VLOOKUP(C192,'sản lượng'!$D$14:$AP$169,38,0)</f>
        <v>#N/A</v>
      </c>
      <c r="AP192" s="799">
        <v>1</v>
      </c>
      <c r="AR192" s="799">
        <v>2</v>
      </c>
    </row>
    <row r="193" spans="1:44" ht="15.75">
      <c r="A193" s="812">
        <v>72</v>
      </c>
      <c r="B193" s="813" t="str">
        <f>VLOOKUP(C193,'DS CN MOI UP'!$B$10:$C$389,2,0)</f>
        <v>02456</v>
      </c>
      <c r="C193" s="846" t="s">
        <v>89</v>
      </c>
      <c r="D193" s="812" t="s">
        <v>15</v>
      </c>
      <c r="E193" s="815">
        <f t="shared" si="36"/>
        <v>24</v>
      </c>
      <c r="F193" s="815"/>
      <c r="G193" s="815"/>
      <c r="H193" s="960"/>
      <c r="I193" s="815"/>
      <c r="J193" s="815"/>
      <c r="K193" s="815"/>
      <c r="L193" s="815"/>
      <c r="M193" s="815"/>
      <c r="N193" s="815"/>
      <c r="O193" s="815"/>
      <c r="P193" s="815"/>
      <c r="Q193" s="815"/>
      <c r="R193" s="815"/>
      <c r="S193" s="830">
        <f t="shared" si="37"/>
        <v>24</v>
      </c>
      <c r="T193" s="830" t="e">
        <f>VLOOKUP(C193,'sản lượng'!$D$14:$AK$169,36,0)</f>
        <v>#N/A</v>
      </c>
      <c r="U193" s="830"/>
      <c r="V193" s="830"/>
      <c r="W193" s="830" t="e">
        <f>VLOOKUP(C193,'sản lượng'!$D$14:$AK$169,36,0)</f>
        <v>#N/A</v>
      </c>
      <c r="X193" s="830"/>
      <c r="Y193" s="830"/>
      <c r="Z193" s="830" t="e">
        <f t="shared" si="38"/>
        <v>#N/A</v>
      </c>
      <c r="AA193" s="830" t="e">
        <f>VLOOKUP(C193,'CHẤM CÔNG '!$E$13:$AM$168,33,0)</f>
        <v>#N/A</v>
      </c>
      <c r="AB193" s="830" t="e">
        <f>VLOOKUP(C193,'CHẤM CÔNG '!$E$13:$AM$168,34,0)</f>
        <v>#N/A</v>
      </c>
      <c r="AC193" s="830"/>
      <c r="AD193" s="830"/>
      <c r="AE193" s="830"/>
      <c r="AF193" s="830"/>
      <c r="AG193" s="830"/>
      <c r="AH193" s="830"/>
      <c r="AI193" s="830"/>
      <c r="AJ193" s="830"/>
      <c r="AK193" s="836"/>
      <c r="AL193" s="837" t="e">
        <f>VLOOKUP(C193,'sản lượng'!$D$14:$AP$169,38,0)</f>
        <v>#N/A</v>
      </c>
      <c r="AP193" s="799">
        <v>1</v>
      </c>
      <c r="AR193" s="799">
        <v>2</v>
      </c>
    </row>
    <row r="194" spans="1:44" ht="15.75">
      <c r="A194" s="812">
        <v>73</v>
      </c>
      <c r="B194" s="813" t="str">
        <f>VLOOKUP(C194,'DS CN MOI UP'!$B$10:$C$389,2,0)</f>
        <v>02461</v>
      </c>
      <c r="C194" s="846" t="s">
        <v>90</v>
      </c>
      <c r="D194" s="812" t="s">
        <v>15</v>
      </c>
      <c r="E194" s="815">
        <f t="shared" si="36"/>
        <v>24</v>
      </c>
      <c r="F194" s="815"/>
      <c r="G194" s="815"/>
      <c r="H194" s="960"/>
      <c r="I194" s="815"/>
      <c r="J194" s="815"/>
      <c r="K194" s="815"/>
      <c r="L194" s="815"/>
      <c r="M194" s="815"/>
      <c r="N194" s="815"/>
      <c r="O194" s="815"/>
      <c r="P194" s="815"/>
      <c r="Q194" s="815"/>
      <c r="R194" s="815"/>
      <c r="S194" s="830">
        <f t="shared" si="37"/>
        <v>24</v>
      </c>
      <c r="T194" s="830" t="e">
        <f>VLOOKUP(C194,'sản lượng'!$D$14:$AK$169,36,0)</f>
        <v>#N/A</v>
      </c>
      <c r="U194" s="830"/>
      <c r="V194" s="830"/>
      <c r="W194" s="830" t="e">
        <f>VLOOKUP(C194,'sản lượng'!$D$14:$AK$169,36,0)</f>
        <v>#N/A</v>
      </c>
      <c r="X194" s="830"/>
      <c r="Y194" s="830"/>
      <c r="Z194" s="830" t="e">
        <f t="shared" si="38"/>
        <v>#N/A</v>
      </c>
      <c r="AA194" s="830" t="e">
        <f>VLOOKUP(C194,'CHẤM CÔNG '!$E$13:$AM$168,33,0)</f>
        <v>#N/A</v>
      </c>
      <c r="AB194" s="830" t="e">
        <f>VLOOKUP(C194,'CHẤM CÔNG '!$E$13:$AM$168,34,0)</f>
        <v>#N/A</v>
      </c>
      <c r="AC194" s="830"/>
      <c r="AD194" s="830"/>
      <c r="AE194" s="830"/>
      <c r="AF194" s="830"/>
      <c r="AG194" s="830"/>
      <c r="AH194" s="830"/>
      <c r="AI194" s="830"/>
      <c r="AJ194" s="830"/>
      <c r="AK194" s="836"/>
      <c r="AL194" s="837" t="e">
        <f>VLOOKUP(C194,'sản lượng'!$D$14:$AP$169,38,0)</f>
        <v>#N/A</v>
      </c>
      <c r="AP194" s="799">
        <v>2</v>
      </c>
      <c r="AR194" s="799">
        <v>1</v>
      </c>
    </row>
    <row r="195" spans="1:44" ht="15.75">
      <c r="A195" s="812">
        <v>74</v>
      </c>
      <c r="B195" s="813" t="e">
        <f>VLOOKUP(C195,'DS CN MOI UP'!$B$10:$C$389,2,0)</f>
        <v>#N/A</v>
      </c>
      <c r="C195" s="846" t="s">
        <v>1671</v>
      </c>
      <c r="D195" s="812" t="s">
        <v>15</v>
      </c>
      <c r="E195" s="815">
        <f t="shared" si="36"/>
        <v>24</v>
      </c>
      <c r="F195" s="815"/>
      <c r="G195" s="815"/>
      <c r="H195" s="960"/>
      <c r="I195" s="815"/>
      <c r="J195" s="815"/>
      <c r="K195" s="815"/>
      <c r="L195" s="815"/>
      <c r="M195" s="815"/>
      <c r="N195" s="815"/>
      <c r="O195" s="815"/>
      <c r="P195" s="815"/>
      <c r="Q195" s="815"/>
      <c r="R195" s="815"/>
      <c r="S195" s="830">
        <f t="shared" si="37"/>
        <v>24</v>
      </c>
      <c r="T195" s="830" t="e">
        <f>VLOOKUP(C195,'sản lượng'!$D$14:$AK$169,36,0)</f>
        <v>#N/A</v>
      </c>
      <c r="U195" s="830"/>
      <c r="V195" s="830"/>
      <c r="W195" s="830" t="e">
        <f>VLOOKUP(C195,'sản lượng'!$D$14:$AK$169,36,0)</f>
        <v>#N/A</v>
      </c>
      <c r="X195" s="830"/>
      <c r="Y195" s="830"/>
      <c r="Z195" s="830" t="e">
        <f t="shared" si="38"/>
        <v>#N/A</v>
      </c>
      <c r="AA195" s="830" t="e">
        <f>VLOOKUP(C195,'CHẤM CÔNG '!$E$13:$AM$168,33,0)</f>
        <v>#N/A</v>
      </c>
      <c r="AB195" s="830" t="e">
        <f>VLOOKUP(C195,'CHẤM CÔNG '!$E$13:$AM$168,34,0)</f>
        <v>#N/A</v>
      </c>
      <c r="AC195" s="830"/>
      <c r="AD195" s="830"/>
      <c r="AE195" s="830"/>
      <c r="AF195" s="830"/>
      <c r="AG195" s="830"/>
      <c r="AH195" s="830"/>
      <c r="AI195" s="830"/>
      <c r="AJ195" s="830"/>
      <c r="AK195" s="836"/>
      <c r="AL195" s="837" t="e">
        <f>VLOOKUP(C195,'sản lượng'!$D$14:$AP$169,38,0)</f>
        <v>#N/A</v>
      </c>
      <c r="AP195" s="799">
        <v>1</v>
      </c>
      <c r="AR195" s="799">
        <v>2</v>
      </c>
    </row>
    <row r="196" spans="1:44" ht="15.75">
      <c r="A196" s="812">
        <v>75</v>
      </c>
      <c r="B196" s="813" t="str">
        <f>VLOOKUP(C196,'DS CN MOI UP'!$B$10:$C$389,2,0)</f>
        <v>03334</v>
      </c>
      <c r="C196" s="846" t="s">
        <v>64</v>
      </c>
      <c r="D196" s="812" t="s">
        <v>15</v>
      </c>
      <c r="E196" s="815">
        <f t="shared" si="36"/>
        <v>24</v>
      </c>
      <c r="F196" s="815"/>
      <c r="G196" s="815"/>
      <c r="H196" s="960"/>
      <c r="I196" s="815"/>
      <c r="J196" s="815"/>
      <c r="K196" s="815"/>
      <c r="L196" s="815"/>
      <c r="M196" s="815"/>
      <c r="N196" s="815"/>
      <c r="O196" s="815"/>
      <c r="P196" s="815"/>
      <c r="Q196" s="815"/>
      <c r="R196" s="815"/>
      <c r="S196" s="830">
        <f t="shared" si="37"/>
        <v>24</v>
      </c>
      <c r="T196" s="830" t="e">
        <f>VLOOKUP(C196,'sản lượng'!$D$14:$AK$169,36,0)</f>
        <v>#N/A</v>
      </c>
      <c r="U196" s="830"/>
      <c r="V196" s="830"/>
      <c r="W196" s="830" t="e">
        <f>VLOOKUP(C196,'sản lượng'!$D$14:$AK$169,36,0)</f>
        <v>#N/A</v>
      </c>
      <c r="X196" s="830"/>
      <c r="Y196" s="830"/>
      <c r="Z196" s="830" t="e">
        <f t="shared" si="38"/>
        <v>#N/A</v>
      </c>
      <c r="AA196" s="830" t="e">
        <f>VLOOKUP(C196,'CHẤM CÔNG '!$E$13:$AM$168,33,0)</f>
        <v>#N/A</v>
      </c>
      <c r="AB196" s="830" t="e">
        <f>VLOOKUP(C196,'CHẤM CÔNG '!$E$13:$AM$168,34,0)</f>
        <v>#N/A</v>
      </c>
      <c r="AC196" s="830"/>
      <c r="AD196" s="830"/>
      <c r="AE196" s="830"/>
      <c r="AF196" s="830"/>
      <c r="AG196" s="830"/>
      <c r="AH196" s="830"/>
      <c r="AI196" s="830"/>
      <c r="AJ196" s="830"/>
      <c r="AK196" s="836"/>
      <c r="AL196" s="837" t="e">
        <f>VLOOKUP(C196,'sản lượng'!$D$14:$AP$169,38,0)</f>
        <v>#N/A</v>
      </c>
      <c r="AP196" s="799">
        <v>1</v>
      </c>
      <c r="AR196" s="799">
        <v>2</v>
      </c>
    </row>
    <row r="197" spans="1:44" ht="15.75">
      <c r="A197" s="812">
        <v>76</v>
      </c>
      <c r="B197" s="813" t="str">
        <f>VLOOKUP(C197,'DS CN MOI UP'!$B$10:$C$389,2,0)</f>
        <v>02486</v>
      </c>
      <c r="C197" s="846" t="s">
        <v>65</v>
      </c>
      <c r="D197" s="812" t="s">
        <v>15</v>
      </c>
      <c r="E197" s="815">
        <f t="shared" si="36"/>
        <v>24</v>
      </c>
      <c r="F197" s="815"/>
      <c r="G197" s="815"/>
      <c r="H197" s="960"/>
      <c r="I197" s="815"/>
      <c r="J197" s="815"/>
      <c r="K197" s="815"/>
      <c r="L197" s="815"/>
      <c r="M197" s="815"/>
      <c r="N197" s="815"/>
      <c r="O197" s="815"/>
      <c r="P197" s="815"/>
      <c r="Q197" s="815"/>
      <c r="R197" s="815"/>
      <c r="S197" s="830">
        <f t="shared" si="37"/>
        <v>24</v>
      </c>
      <c r="T197" s="830" t="e">
        <f>VLOOKUP(C197,'sản lượng'!$D$14:$AK$169,36,0)</f>
        <v>#N/A</v>
      </c>
      <c r="U197" s="830"/>
      <c r="V197" s="830"/>
      <c r="W197" s="830" t="e">
        <f>VLOOKUP(C197,'sản lượng'!$D$14:$AK$169,36,0)</f>
        <v>#N/A</v>
      </c>
      <c r="X197" s="830"/>
      <c r="Y197" s="830"/>
      <c r="Z197" s="830" t="e">
        <f t="shared" si="38"/>
        <v>#N/A</v>
      </c>
      <c r="AA197" s="830" t="e">
        <f>VLOOKUP(C197,'CHẤM CÔNG '!$E$13:$AM$168,33,0)</f>
        <v>#N/A</v>
      </c>
      <c r="AB197" s="830" t="e">
        <f>VLOOKUP(C197,'CHẤM CÔNG '!$E$13:$AM$168,34,0)</f>
        <v>#N/A</v>
      </c>
      <c r="AC197" s="830"/>
      <c r="AD197" s="830"/>
      <c r="AE197" s="830"/>
      <c r="AF197" s="830"/>
      <c r="AG197" s="830"/>
      <c r="AH197" s="830"/>
      <c r="AI197" s="830"/>
      <c r="AJ197" s="830"/>
      <c r="AK197" s="836"/>
      <c r="AL197" s="837" t="e">
        <f>VLOOKUP(C197,'sản lượng'!$D$14:$AP$169,38,0)</f>
        <v>#N/A</v>
      </c>
      <c r="AP197" s="799">
        <v>1</v>
      </c>
      <c r="AR197" s="799">
        <v>2</v>
      </c>
    </row>
    <row r="198" spans="1:44" ht="15.75">
      <c r="A198" s="812">
        <v>77</v>
      </c>
      <c r="B198" s="813" t="str">
        <f>VLOOKUP(C198,'DS CN MOI UP'!$B$10:$C$389,2,0)</f>
        <v>02680</v>
      </c>
      <c r="C198" s="846" t="s">
        <v>91</v>
      </c>
      <c r="D198" s="812" t="s">
        <v>15</v>
      </c>
      <c r="E198" s="815">
        <f t="shared" si="36"/>
        <v>24</v>
      </c>
      <c r="F198" s="815"/>
      <c r="G198" s="815"/>
      <c r="H198" s="960"/>
      <c r="I198" s="815"/>
      <c r="J198" s="815"/>
      <c r="K198" s="815"/>
      <c r="L198" s="815"/>
      <c r="M198" s="815"/>
      <c r="N198" s="815"/>
      <c r="O198" s="815"/>
      <c r="P198" s="815"/>
      <c r="Q198" s="815"/>
      <c r="R198" s="815"/>
      <c r="S198" s="830">
        <f t="shared" si="37"/>
        <v>24</v>
      </c>
      <c r="T198" s="830" t="e">
        <f>VLOOKUP(C198,'sản lượng'!$D$14:$AK$169,36,0)</f>
        <v>#N/A</v>
      </c>
      <c r="U198" s="830"/>
      <c r="V198" s="830"/>
      <c r="W198" s="830" t="e">
        <f>VLOOKUP(C198,'sản lượng'!$D$14:$AK$169,36,0)</f>
        <v>#N/A</v>
      </c>
      <c r="X198" s="830"/>
      <c r="Y198" s="830"/>
      <c r="Z198" s="830" t="e">
        <f t="shared" si="38"/>
        <v>#N/A</v>
      </c>
      <c r="AA198" s="830" t="e">
        <f>VLOOKUP(C198,'CHẤM CÔNG '!$E$13:$AM$168,33,0)</f>
        <v>#N/A</v>
      </c>
      <c r="AB198" s="830" t="e">
        <f>VLOOKUP(C198,'CHẤM CÔNG '!$E$13:$AM$168,34,0)</f>
        <v>#N/A</v>
      </c>
      <c r="AC198" s="830"/>
      <c r="AD198" s="830"/>
      <c r="AE198" s="830"/>
      <c r="AF198" s="830"/>
      <c r="AG198" s="830"/>
      <c r="AH198" s="830"/>
      <c r="AI198" s="830"/>
      <c r="AJ198" s="830"/>
      <c r="AK198" s="836"/>
      <c r="AL198" s="837" t="e">
        <f>VLOOKUP(C198,'sản lượng'!$D$14:$AP$169,38,0)</f>
        <v>#N/A</v>
      </c>
      <c r="AP198" s="799">
        <v>1</v>
      </c>
      <c r="AR198" s="799">
        <v>2</v>
      </c>
    </row>
    <row r="199" spans="1:44" ht="15.75">
      <c r="A199" s="812">
        <v>78</v>
      </c>
      <c r="B199" s="813" t="str">
        <f>VLOOKUP(C199,'DS CN MOI UP'!$B$10:$C$389,2,0)</f>
        <v>02497</v>
      </c>
      <c r="C199" s="846" t="s">
        <v>102</v>
      </c>
      <c r="D199" s="812" t="s">
        <v>15</v>
      </c>
      <c r="E199" s="815">
        <f t="shared" si="36"/>
        <v>24</v>
      </c>
      <c r="F199" s="815"/>
      <c r="G199" s="815"/>
      <c r="H199" s="960"/>
      <c r="I199" s="815"/>
      <c r="J199" s="815"/>
      <c r="K199" s="815"/>
      <c r="L199" s="815"/>
      <c r="M199" s="815"/>
      <c r="N199" s="815"/>
      <c r="O199" s="815"/>
      <c r="P199" s="815"/>
      <c r="Q199" s="815"/>
      <c r="R199" s="815"/>
      <c r="S199" s="830">
        <f t="shared" si="37"/>
        <v>24</v>
      </c>
      <c r="T199" s="830" t="e">
        <f>VLOOKUP(C199,'sản lượng'!$D$14:$AK$169,36,0)</f>
        <v>#N/A</v>
      </c>
      <c r="U199" s="830"/>
      <c r="V199" s="830"/>
      <c r="W199" s="830" t="e">
        <f>VLOOKUP(C199,'sản lượng'!$D$14:$AK$169,36,0)</f>
        <v>#N/A</v>
      </c>
      <c r="X199" s="830"/>
      <c r="Y199" s="830"/>
      <c r="Z199" s="830" t="e">
        <f t="shared" si="38"/>
        <v>#N/A</v>
      </c>
      <c r="AA199" s="830" t="e">
        <f>VLOOKUP(C199,'CHẤM CÔNG '!$E$13:$AM$168,33,0)</f>
        <v>#N/A</v>
      </c>
      <c r="AB199" s="830" t="e">
        <f>VLOOKUP(C199,'CHẤM CÔNG '!$E$13:$AM$168,34,0)</f>
        <v>#N/A</v>
      </c>
      <c r="AC199" s="830"/>
      <c r="AD199" s="830"/>
      <c r="AE199" s="830"/>
      <c r="AF199" s="830"/>
      <c r="AG199" s="830"/>
      <c r="AH199" s="830"/>
      <c r="AI199" s="830"/>
      <c r="AJ199" s="830"/>
      <c r="AK199" s="836"/>
      <c r="AL199" s="837" t="e">
        <f>VLOOKUP(C199,'sản lượng'!$D$14:$AP$169,38,0)</f>
        <v>#N/A</v>
      </c>
      <c r="AP199" s="799">
        <v>1</v>
      </c>
      <c r="AR199" s="799">
        <v>2</v>
      </c>
    </row>
    <row r="200" spans="1:44" ht="15.75">
      <c r="A200" s="812">
        <v>79</v>
      </c>
      <c r="B200" s="813" t="str">
        <f>VLOOKUP(C200,'DS CN MOI UP'!$B$10:$C$389,2,0)</f>
        <v>02464</v>
      </c>
      <c r="C200" s="846" t="s">
        <v>88</v>
      </c>
      <c r="D200" s="812" t="s">
        <v>15</v>
      </c>
      <c r="E200" s="815">
        <f t="shared" si="36"/>
        <v>24</v>
      </c>
      <c r="F200" s="815"/>
      <c r="G200" s="815"/>
      <c r="H200" s="960"/>
      <c r="I200" s="815"/>
      <c r="J200" s="815"/>
      <c r="K200" s="815"/>
      <c r="L200" s="815"/>
      <c r="M200" s="815"/>
      <c r="N200" s="815"/>
      <c r="O200" s="815"/>
      <c r="P200" s="815"/>
      <c r="Q200" s="815"/>
      <c r="R200" s="815"/>
      <c r="S200" s="830">
        <f t="shared" si="37"/>
        <v>24</v>
      </c>
      <c r="T200" s="830" t="e">
        <f>VLOOKUP(C200,'sản lượng'!$D$14:$AK$169,36,0)</f>
        <v>#N/A</v>
      </c>
      <c r="U200" s="830"/>
      <c r="V200" s="830"/>
      <c r="W200" s="830" t="e">
        <f>VLOOKUP(C200,'sản lượng'!$D$14:$AK$169,36,0)</f>
        <v>#N/A</v>
      </c>
      <c r="X200" s="830"/>
      <c r="Y200" s="830"/>
      <c r="Z200" s="830" t="e">
        <f t="shared" si="38"/>
        <v>#N/A</v>
      </c>
      <c r="AA200" s="830" t="e">
        <f>VLOOKUP(C200,'CHẤM CÔNG '!$E$13:$AM$168,33,0)</f>
        <v>#N/A</v>
      </c>
      <c r="AB200" s="830" t="e">
        <f>VLOOKUP(C200,'CHẤM CÔNG '!$E$13:$AM$168,34,0)</f>
        <v>#N/A</v>
      </c>
      <c r="AC200" s="830"/>
      <c r="AD200" s="830"/>
      <c r="AE200" s="830"/>
      <c r="AF200" s="830"/>
      <c r="AG200" s="830"/>
      <c r="AH200" s="830"/>
      <c r="AI200" s="830"/>
      <c r="AJ200" s="830"/>
      <c r="AK200" s="836"/>
      <c r="AL200" s="837" t="e">
        <f>VLOOKUP(C200,'sản lượng'!$D$14:$AP$169,38,0)</f>
        <v>#N/A</v>
      </c>
      <c r="AP200" s="799">
        <v>1</v>
      </c>
      <c r="AR200" s="799">
        <v>2</v>
      </c>
    </row>
    <row r="201" spans="1:44" ht="15.75">
      <c r="A201" s="812">
        <v>80</v>
      </c>
      <c r="B201" s="813" t="e">
        <f>VLOOKUP(C201,'DS CN MOI UP'!$B$10:$C$389,2,0)</f>
        <v>#N/A</v>
      </c>
      <c r="C201" s="846" t="s">
        <v>1292</v>
      </c>
      <c r="D201" s="812" t="s">
        <v>15</v>
      </c>
      <c r="E201" s="815">
        <f t="shared" si="36"/>
        <v>24</v>
      </c>
      <c r="F201" s="815"/>
      <c r="G201" s="815"/>
      <c r="H201" s="960"/>
      <c r="I201" s="815"/>
      <c r="J201" s="815"/>
      <c r="K201" s="815"/>
      <c r="L201" s="815"/>
      <c r="M201" s="815"/>
      <c r="N201" s="815"/>
      <c r="O201" s="815"/>
      <c r="P201" s="815"/>
      <c r="Q201" s="815"/>
      <c r="R201" s="815"/>
      <c r="S201" s="830">
        <f t="shared" si="37"/>
        <v>24</v>
      </c>
      <c r="T201" s="830" t="e">
        <f>VLOOKUP(C201,'sản lượng'!$D$14:$AK$169,36,0)</f>
        <v>#N/A</v>
      </c>
      <c r="U201" s="830"/>
      <c r="V201" s="830"/>
      <c r="W201" s="830" t="e">
        <f>VLOOKUP(C201,'sản lượng'!$D$14:$AK$169,36,0)</f>
        <v>#N/A</v>
      </c>
      <c r="X201" s="830"/>
      <c r="Y201" s="830"/>
      <c r="Z201" s="830" t="e">
        <f t="shared" si="38"/>
        <v>#N/A</v>
      </c>
      <c r="AA201" s="830" t="e">
        <f>VLOOKUP(C201,'CHẤM CÔNG '!$E$13:$AM$168,33,0)</f>
        <v>#N/A</v>
      </c>
      <c r="AB201" s="830" t="e">
        <f>VLOOKUP(C201,'CHẤM CÔNG '!$E$13:$AM$168,34,0)</f>
        <v>#N/A</v>
      </c>
      <c r="AC201" s="830"/>
      <c r="AD201" s="830"/>
      <c r="AE201" s="830"/>
      <c r="AF201" s="830"/>
      <c r="AG201" s="830"/>
      <c r="AH201" s="830"/>
      <c r="AI201" s="830"/>
      <c r="AJ201" s="830"/>
      <c r="AK201" s="836"/>
      <c r="AL201" s="837" t="e">
        <f>VLOOKUP(C201,'sản lượng'!$D$14:$AP$169,38,0)</f>
        <v>#N/A</v>
      </c>
      <c r="AP201" s="799">
        <v>1</v>
      </c>
      <c r="AR201" s="799">
        <v>2</v>
      </c>
    </row>
    <row r="202" spans="1:44" ht="15.75">
      <c r="A202" s="812">
        <v>81</v>
      </c>
      <c r="B202" s="813" t="str">
        <f>VLOOKUP(C202,'DS CN MOI UP'!$B$10:$C$389,2,0)</f>
        <v>02460</v>
      </c>
      <c r="C202" s="846" t="s">
        <v>74</v>
      </c>
      <c r="D202" s="812" t="s">
        <v>15</v>
      </c>
      <c r="E202" s="815">
        <f t="shared" si="36"/>
        <v>24</v>
      </c>
      <c r="F202" s="815"/>
      <c r="G202" s="815"/>
      <c r="H202" s="960"/>
      <c r="I202" s="815"/>
      <c r="J202" s="815"/>
      <c r="K202" s="815"/>
      <c r="L202" s="815"/>
      <c r="M202" s="815"/>
      <c r="N202" s="815"/>
      <c r="O202" s="815"/>
      <c r="P202" s="815"/>
      <c r="Q202" s="815"/>
      <c r="R202" s="815"/>
      <c r="S202" s="830">
        <f t="shared" si="37"/>
        <v>24</v>
      </c>
      <c r="T202" s="830" t="e">
        <f>VLOOKUP(C202,'sản lượng'!$D$14:$AK$169,36,0)</f>
        <v>#N/A</v>
      </c>
      <c r="U202" s="830"/>
      <c r="V202" s="830"/>
      <c r="W202" s="830" t="e">
        <f>VLOOKUP(C202,'sản lượng'!$D$14:$AK$169,36,0)</f>
        <v>#N/A</v>
      </c>
      <c r="X202" s="830"/>
      <c r="Y202" s="830"/>
      <c r="Z202" s="830" t="e">
        <f t="shared" si="38"/>
        <v>#N/A</v>
      </c>
      <c r="AA202" s="830" t="e">
        <f>VLOOKUP(C202,'CHẤM CÔNG '!$E$13:$AM$168,33,0)</f>
        <v>#N/A</v>
      </c>
      <c r="AB202" s="830" t="e">
        <f>VLOOKUP(C202,'CHẤM CÔNG '!$E$13:$AM$168,34,0)</f>
        <v>#N/A</v>
      </c>
      <c r="AC202" s="830"/>
      <c r="AD202" s="830"/>
      <c r="AE202" s="830"/>
      <c r="AF202" s="830"/>
      <c r="AG202" s="830"/>
      <c r="AH202" s="830"/>
      <c r="AI202" s="830"/>
      <c r="AJ202" s="830"/>
      <c r="AK202" s="836"/>
      <c r="AL202" s="837" t="e">
        <f>VLOOKUP(C202,'sản lượng'!$D$14:$AP$169,38,0)</f>
        <v>#N/A</v>
      </c>
      <c r="AP202" s="799">
        <v>1</v>
      </c>
      <c r="AR202" s="799">
        <v>2</v>
      </c>
    </row>
    <row r="203" spans="1:44" ht="15.75">
      <c r="A203" s="812">
        <v>82</v>
      </c>
      <c r="B203" s="813" t="str">
        <f>VLOOKUP(C203,'DS CN MOI UP'!$B$10:$C$389,2,0)</f>
        <v>02504</v>
      </c>
      <c r="C203" s="846" t="s">
        <v>77</v>
      </c>
      <c r="D203" s="812" t="s">
        <v>15</v>
      </c>
      <c r="E203" s="815">
        <f t="shared" si="36"/>
        <v>24</v>
      </c>
      <c r="F203" s="815"/>
      <c r="G203" s="815"/>
      <c r="H203" s="960"/>
      <c r="I203" s="815"/>
      <c r="J203" s="815"/>
      <c r="K203" s="815"/>
      <c r="L203" s="815"/>
      <c r="M203" s="815"/>
      <c r="N203" s="815"/>
      <c r="O203" s="815"/>
      <c r="P203" s="815"/>
      <c r="Q203" s="815"/>
      <c r="R203" s="815"/>
      <c r="S203" s="830">
        <f t="shared" si="37"/>
        <v>24</v>
      </c>
      <c r="T203" s="830" t="e">
        <f>VLOOKUP(C203,'sản lượng'!$D$14:$AK$169,36,0)</f>
        <v>#REF!</v>
      </c>
      <c r="U203" s="830"/>
      <c r="V203" s="830"/>
      <c r="W203" s="830" t="e">
        <f>VLOOKUP(C203,'sản lượng'!$D$14:$AK$169,36,0)</f>
        <v>#REF!</v>
      </c>
      <c r="X203" s="830"/>
      <c r="Y203" s="830"/>
      <c r="Z203" s="830" t="e">
        <f t="shared" si="38"/>
        <v>#REF!</v>
      </c>
      <c r="AA203" s="830">
        <f>VLOOKUP(C203,'CHẤM CÔNG '!$E$13:$AM$168,33,0)</f>
        <v>0</v>
      </c>
      <c r="AB203" s="830">
        <f>VLOOKUP(C203,'CHẤM CÔNG '!$E$13:$AM$168,34,0)</f>
        <v>7</v>
      </c>
      <c r="AC203" s="830"/>
      <c r="AD203" s="830"/>
      <c r="AE203" s="830"/>
      <c r="AF203" s="830"/>
      <c r="AG203" s="830"/>
      <c r="AH203" s="830"/>
      <c r="AI203" s="830"/>
      <c r="AJ203" s="830"/>
      <c r="AK203" s="836"/>
      <c r="AL203" s="837">
        <f>VLOOKUP(C203,'sản lượng'!$D$14:$AP$169,38,0)</f>
        <v>398.15809893605376</v>
      </c>
      <c r="AP203" s="799">
        <v>1</v>
      </c>
      <c r="AR203" s="799">
        <v>2</v>
      </c>
    </row>
    <row r="204" spans="1:44" ht="15.75">
      <c r="A204" s="812">
        <v>83</v>
      </c>
      <c r="B204" s="813" t="str">
        <f>VLOOKUP(C204,'DS CN MOI UP'!$B$10:$C$389,2,0)</f>
        <v>02481</v>
      </c>
      <c r="C204" s="846" t="s">
        <v>86</v>
      </c>
      <c r="D204" s="812" t="s">
        <v>15</v>
      </c>
      <c r="E204" s="815">
        <f t="shared" si="36"/>
        <v>24</v>
      </c>
      <c r="F204" s="815"/>
      <c r="G204" s="815"/>
      <c r="H204" s="960"/>
      <c r="I204" s="815"/>
      <c r="J204" s="815"/>
      <c r="K204" s="815"/>
      <c r="L204" s="815"/>
      <c r="M204" s="815"/>
      <c r="N204" s="815"/>
      <c r="O204" s="815"/>
      <c r="P204" s="815"/>
      <c r="Q204" s="815"/>
      <c r="R204" s="815"/>
      <c r="S204" s="830">
        <f t="shared" si="37"/>
        <v>24</v>
      </c>
      <c r="T204" s="830" t="e">
        <f>VLOOKUP(C204,'sản lượng'!$D$14:$AK$169,36,0)</f>
        <v>#N/A</v>
      </c>
      <c r="U204" s="830"/>
      <c r="V204" s="830"/>
      <c r="W204" s="830" t="e">
        <f>VLOOKUP(C204,'sản lượng'!$D$14:$AK$169,36,0)</f>
        <v>#N/A</v>
      </c>
      <c r="X204" s="830"/>
      <c r="Y204" s="830"/>
      <c r="Z204" s="830" t="e">
        <f t="shared" si="38"/>
        <v>#N/A</v>
      </c>
      <c r="AA204" s="830" t="e">
        <f>VLOOKUP(C204,'CHẤM CÔNG '!$E$13:$AM$168,33,0)</f>
        <v>#N/A</v>
      </c>
      <c r="AB204" s="830" t="e">
        <f>VLOOKUP(C204,'CHẤM CÔNG '!$E$13:$AM$168,34,0)</f>
        <v>#N/A</v>
      </c>
      <c r="AC204" s="830"/>
      <c r="AD204" s="830"/>
      <c r="AE204" s="830"/>
      <c r="AF204" s="830"/>
      <c r="AG204" s="830"/>
      <c r="AH204" s="830"/>
      <c r="AI204" s="830"/>
      <c r="AJ204" s="830"/>
      <c r="AK204" s="836"/>
      <c r="AL204" s="837" t="e">
        <f>VLOOKUP(C204,'sản lượng'!$D$14:$AP$169,38,0)</f>
        <v>#N/A</v>
      </c>
      <c r="AP204" s="799">
        <v>2</v>
      </c>
      <c r="AR204" s="799">
        <v>1</v>
      </c>
    </row>
    <row r="205" spans="1:44" ht="15.75">
      <c r="A205" s="812">
        <v>84</v>
      </c>
      <c r="B205" s="813" t="str">
        <f>VLOOKUP(C205,'DS CN MOI UP'!$B$10:$C$389,2,0)</f>
        <v>02492</v>
      </c>
      <c r="C205" s="846" t="s">
        <v>30</v>
      </c>
      <c r="D205" s="812" t="s">
        <v>15</v>
      </c>
      <c r="E205" s="815">
        <f t="shared" si="36"/>
        <v>24</v>
      </c>
      <c r="F205" s="815"/>
      <c r="G205" s="815"/>
      <c r="H205" s="960"/>
      <c r="I205" s="815"/>
      <c r="J205" s="815"/>
      <c r="K205" s="815"/>
      <c r="L205" s="815"/>
      <c r="M205" s="815"/>
      <c r="N205" s="815"/>
      <c r="O205" s="815"/>
      <c r="P205" s="815"/>
      <c r="Q205" s="815"/>
      <c r="R205" s="815"/>
      <c r="S205" s="830">
        <f t="shared" si="37"/>
        <v>24</v>
      </c>
      <c r="T205" s="830" t="e">
        <f>VLOOKUP(C205,'sản lượng'!$D$14:$AK$169,36,0)</f>
        <v>#N/A</v>
      </c>
      <c r="U205" s="830"/>
      <c r="V205" s="830"/>
      <c r="W205" s="830" t="e">
        <f>VLOOKUP(C205,'sản lượng'!$D$14:$AK$169,36,0)</f>
        <v>#N/A</v>
      </c>
      <c r="X205" s="830"/>
      <c r="Y205" s="830"/>
      <c r="Z205" s="830" t="e">
        <f t="shared" si="38"/>
        <v>#N/A</v>
      </c>
      <c r="AA205" s="830" t="e">
        <f>VLOOKUP(C205,'CHẤM CÔNG '!$E$13:$AM$168,33,0)</f>
        <v>#N/A</v>
      </c>
      <c r="AB205" s="830" t="e">
        <f>VLOOKUP(C205,'CHẤM CÔNG '!$E$13:$AM$168,34,0)</f>
        <v>#N/A</v>
      </c>
      <c r="AC205" s="830"/>
      <c r="AD205" s="830"/>
      <c r="AE205" s="830"/>
      <c r="AF205" s="830"/>
      <c r="AG205" s="830"/>
      <c r="AH205" s="830"/>
      <c r="AI205" s="830"/>
      <c r="AJ205" s="830"/>
      <c r="AK205" s="836"/>
      <c r="AL205" s="837" t="e">
        <f>VLOOKUP(C205,'sản lượng'!$D$14:$AP$169,38,0)</f>
        <v>#N/A</v>
      </c>
      <c r="AP205" s="799">
        <v>1</v>
      </c>
      <c r="AR205" s="799">
        <v>2</v>
      </c>
    </row>
    <row r="206" spans="1:44" ht="15.75">
      <c r="A206" s="812">
        <v>85</v>
      </c>
      <c r="B206" s="813" t="str">
        <f>VLOOKUP(C206,'DS CN MOI UP'!$B$10:$C$389,2,0)</f>
        <v>02470</v>
      </c>
      <c r="C206" s="846" t="s">
        <v>44</v>
      </c>
      <c r="D206" s="812" t="s">
        <v>15</v>
      </c>
      <c r="E206" s="815">
        <f t="shared" si="36"/>
        <v>24</v>
      </c>
      <c r="F206" s="815"/>
      <c r="G206" s="815"/>
      <c r="H206" s="960"/>
      <c r="I206" s="815"/>
      <c r="J206" s="815"/>
      <c r="K206" s="815"/>
      <c r="L206" s="815"/>
      <c r="M206" s="815"/>
      <c r="N206" s="815"/>
      <c r="O206" s="815"/>
      <c r="P206" s="815"/>
      <c r="Q206" s="815"/>
      <c r="R206" s="815"/>
      <c r="S206" s="830">
        <f t="shared" si="37"/>
        <v>24</v>
      </c>
      <c r="T206" s="830" t="e">
        <f>VLOOKUP(C206,'sản lượng'!$D$14:$AK$169,36,0)</f>
        <v>#N/A</v>
      </c>
      <c r="U206" s="830"/>
      <c r="V206" s="830"/>
      <c r="W206" s="830" t="e">
        <f>VLOOKUP(C206,'sản lượng'!$D$14:$AK$169,36,0)</f>
        <v>#N/A</v>
      </c>
      <c r="X206" s="830"/>
      <c r="Y206" s="830"/>
      <c r="Z206" s="830" t="e">
        <f t="shared" si="38"/>
        <v>#N/A</v>
      </c>
      <c r="AA206" s="830" t="e">
        <f>VLOOKUP(C206,'CHẤM CÔNG '!$E$13:$AM$168,33,0)</f>
        <v>#N/A</v>
      </c>
      <c r="AB206" s="830" t="e">
        <f>VLOOKUP(C206,'CHẤM CÔNG '!$E$13:$AM$168,34,0)</f>
        <v>#N/A</v>
      </c>
      <c r="AC206" s="830"/>
      <c r="AD206" s="830"/>
      <c r="AE206" s="830"/>
      <c r="AF206" s="830"/>
      <c r="AG206" s="830"/>
      <c r="AH206" s="830"/>
      <c r="AI206" s="830"/>
      <c r="AJ206" s="830"/>
      <c r="AK206" s="836"/>
      <c r="AL206" s="837" t="e">
        <f>VLOOKUP(C206,'sản lượng'!$D$14:$AP$169,38,0)</f>
        <v>#N/A</v>
      </c>
      <c r="AP206" s="799">
        <v>1</v>
      </c>
      <c r="AR206" s="799">
        <v>2</v>
      </c>
    </row>
    <row r="207" spans="1:44" ht="15.75">
      <c r="A207" s="812">
        <v>86</v>
      </c>
      <c r="B207" s="813" t="str">
        <f>VLOOKUP(C207,'DS CN MOI UP'!$B$10:$C$389,2,0)</f>
        <v>03330</v>
      </c>
      <c r="C207" s="846" t="s">
        <v>46</v>
      </c>
      <c r="D207" s="812" t="s">
        <v>15</v>
      </c>
      <c r="E207" s="815">
        <f t="shared" si="36"/>
        <v>24</v>
      </c>
      <c r="F207" s="815"/>
      <c r="G207" s="815"/>
      <c r="H207" s="960"/>
      <c r="I207" s="815"/>
      <c r="J207" s="815"/>
      <c r="K207" s="815"/>
      <c r="L207" s="815"/>
      <c r="M207" s="815"/>
      <c r="N207" s="815"/>
      <c r="O207" s="815"/>
      <c r="P207" s="815"/>
      <c r="Q207" s="815"/>
      <c r="R207" s="815"/>
      <c r="S207" s="830">
        <f t="shared" ref="S207:S228" si="39">SUM(E207:N207)</f>
        <v>24</v>
      </c>
      <c r="T207" s="830" t="e">
        <f>VLOOKUP(C207,'sản lượng'!$D$14:$AK$169,36,0)</f>
        <v>#N/A</v>
      </c>
      <c r="U207" s="830"/>
      <c r="V207" s="830"/>
      <c r="W207" s="830" t="e">
        <f>VLOOKUP(C207,'sản lượng'!$D$14:$AK$169,36,0)</f>
        <v>#N/A</v>
      </c>
      <c r="X207" s="830"/>
      <c r="Y207" s="830"/>
      <c r="Z207" s="830" t="e">
        <f t="shared" si="38"/>
        <v>#N/A</v>
      </c>
      <c r="AA207" s="830" t="e">
        <f>VLOOKUP(C207,'CHẤM CÔNG '!$E$13:$AM$168,33,0)</f>
        <v>#N/A</v>
      </c>
      <c r="AB207" s="830" t="e">
        <f>VLOOKUP(C207,'CHẤM CÔNG '!$E$13:$AM$168,34,0)</f>
        <v>#N/A</v>
      </c>
      <c r="AC207" s="830"/>
      <c r="AD207" s="830"/>
      <c r="AE207" s="830"/>
      <c r="AF207" s="830"/>
      <c r="AG207" s="830"/>
      <c r="AH207" s="830"/>
      <c r="AI207" s="830"/>
      <c r="AJ207" s="830"/>
      <c r="AK207" s="836"/>
      <c r="AL207" s="837" t="e">
        <f>VLOOKUP(C207,'sản lượng'!$D$14:$AP$169,38,0)</f>
        <v>#N/A</v>
      </c>
      <c r="AP207" s="799">
        <v>1</v>
      </c>
      <c r="AR207" s="799">
        <v>2</v>
      </c>
    </row>
    <row r="208" spans="1:44" ht="15.75">
      <c r="A208" s="812">
        <v>87</v>
      </c>
      <c r="B208" s="813">
        <v>3</v>
      </c>
      <c r="C208" s="846" t="s">
        <v>1245</v>
      </c>
      <c r="D208" s="812" t="s">
        <v>1713</v>
      </c>
      <c r="E208" s="815"/>
      <c r="F208" s="815"/>
      <c r="G208" s="815"/>
      <c r="H208" s="960"/>
      <c r="I208" s="989"/>
      <c r="J208" s="815"/>
      <c r="K208" s="815"/>
      <c r="L208" s="815"/>
      <c r="M208" s="815"/>
      <c r="N208" s="815"/>
      <c r="O208" s="815"/>
      <c r="P208" s="815"/>
      <c r="Q208" s="815"/>
      <c r="R208" s="815"/>
      <c r="S208" s="830">
        <f>SUM(E208:R208)</f>
        <v>0</v>
      </c>
      <c r="T208" s="830"/>
      <c r="U208" s="830"/>
      <c r="V208" s="830"/>
      <c r="W208" s="830"/>
      <c r="X208" s="830"/>
      <c r="Y208" s="830"/>
      <c r="Z208" s="830">
        <f>W208*$AN$9/$AN$8+X208*$AN$10+$AN$11*Y208</f>
        <v>0</v>
      </c>
      <c r="AA208" s="830"/>
      <c r="AB208" s="830"/>
      <c r="AC208" s="830"/>
      <c r="AD208" s="830"/>
      <c r="AE208" s="830"/>
      <c r="AF208" s="830"/>
      <c r="AG208" s="830"/>
      <c r="AH208" s="830"/>
      <c r="AI208" s="830"/>
      <c r="AJ208" s="830"/>
      <c r="AK208" s="836"/>
      <c r="AL208" s="837" t="e">
        <f>VLOOKUP(C208,'sản lượng'!$D$14:$AP$169,38,0)</f>
        <v>#N/A</v>
      </c>
    </row>
    <row r="209" spans="1:44" s="410" customFormat="1">
      <c r="A209" s="984" t="s">
        <v>2079</v>
      </c>
      <c r="B209" s="813" t="e">
        <f>VLOOKUP(C209,'DS CN MOI UP'!$B$10:$C$389,2,0)</f>
        <v>#N/A</v>
      </c>
      <c r="C209" s="985"/>
      <c r="D209" s="986"/>
      <c r="E209" s="987">
        <f t="shared" ref="E209:AE209" si="40">SUM(E210:E220)</f>
        <v>264</v>
      </c>
      <c r="F209" s="987">
        <f t="shared" si="40"/>
        <v>0</v>
      </c>
      <c r="G209" s="987">
        <f t="shared" si="40"/>
        <v>0</v>
      </c>
      <c r="H209" s="988">
        <f t="shared" si="40"/>
        <v>0</v>
      </c>
      <c r="I209" s="987">
        <f t="shared" si="40"/>
        <v>0</v>
      </c>
      <c r="J209" s="987">
        <f t="shared" si="40"/>
        <v>0</v>
      </c>
      <c r="K209" s="987">
        <f t="shared" si="40"/>
        <v>0</v>
      </c>
      <c r="L209" s="987">
        <f t="shared" si="40"/>
        <v>0</v>
      </c>
      <c r="M209" s="987">
        <f t="shared" si="40"/>
        <v>0</v>
      </c>
      <c r="N209" s="987">
        <f t="shared" si="40"/>
        <v>0</v>
      </c>
      <c r="O209" s="987">
        <f t="shared" si="40"/>
        <v>0</v>
      </c>
      <c r="P209" s="987">
        <f t="shared" si="40"/>
        <v>0</v>
      </c>
      <c r="Q209" s="987">
        <f t="shared" si="40"/>
        <v>0</v>
      </c>
      <c r="R209" s="987">
        <f t="shared" si="40"/>
        <v>0</v>
      </c>
      <c r="S209" s="987">
        <f t="shared" si="40"/>
        <v>264</v>
      </c>
      <c r="T209" s="987" t="e">
        <f t="shared" si="40"/>
        <v>#N/A</v>
      </c>
      <c r="U209" s="987">
        <f t="shared" si="40"/>
        <v>0</v>
      </c>
      <c r="V209" s="987" t="e">
        <f t="shared" si="40"/>
        <v>#REF!</v>
      </c>
      <c r="W209" s="987" t="e">
        <f t="shared" si="40"/>
        <v>#N/A</v>
      </c>
      <c r="X209" s="987"/>
      <c r="Y209" s="987"/>
      <c r="Z209" s="987" t="e">
        <f t="shared" ref="Z209:AA209" si="41">SUM(Z210:Z220)</f>
        <v>#N/A</v>
      </c>
      <c r="AA209" s="987" t="e">
        <f t="shared" si="41"/>
        <v>#N/A</v>
      </c>
      <c r="AB209" s="987" t="e">
        <f t="shared" si="40"/>
        <v>#N/A</v>
      </c>
      <c r="AC209" s="987">
        <f t="shared" si="40"/>
        <v>0</v>
      </c>
      <c r="AD209" s="987"/>
      <c r="AE209" s="987">
        <f t="shared" si="40"/>
        <v>0</v>
      </c>
      <c r="AF209" s="987"/>
      <c r="AG209" s="987"/>
      <c r="AH209" s="987"/>
      <c r="AI209" s="987">
        <f t="shared" ref="AI209" si="42">SUM(AI210:AI220)</f>
        <v>0</v>
      </c>
      <c r="AJ209" s="987">
        <f t="shared" ref="AJ209:AL209" si="43">SUM(AJ210:AJ220)</f>
        <v>0</v>
      </c>
      <c r="AK209" s="987">
        <f t="shared" si="43"/>
        <v>0</v>
      </c>
      <c r="AL209" s="987" t="e">
        <f t="shared" si="43"/>
        <v>#N/A</v>
      </c>
      <c r="AP209" s="990"/>
      <c r="AQ209" s="990"/>
      <c r="AR209" s="990"/>
    </row>
    <row r="210" spans="1:44" ht="15.75">
      <c r="A210" s="812">
        <v>1</v>
      </c>
      <c r="B210" s="813" t="e">
        <f>VLOOKUP(C210,'DS CN MOI UP'!$B$10:$C$389,2,0)</f>
        <v>#N/A</v>
      </c>
      <c r="C210" s="846" t="s">
        <v>104</v>
      </c>
      <c r="D210" s="812" t="s">
        <v>15</v>
      </c>
      <c r="E210" s="815">
        <f t="shared" ref="E210:E220" si="44">3*8</f>
        <v>24</v>
      </c>
      <c r="F210" s="815"/>
      <c r="G210" s="815"/>
      <c r="H210" s="960"/>
      <c r="I210" s="815"/>
      <c r="J210" s="815"/>
      <c r="K210" s="815"/>
      <c r="L210" s="815"/>
      <c r="M210" s="815"/>
      <c r="N210" s="815"/>
      <c r="O210" s="815"/>
      <c r="P210" s="815"/>
      <c r="Q210" s="815"/>
      <c r="R210" s="815"/>
      <c r="S210" s="830">
        <f t="shared" si="39"/>
        <v>24</v>
      </c>
      <c r="T210" s="830" t="e">
        <f>VLOOKUP(C210,'sản lượng'!$D$14:$AK$169,36,0)</f>
        <v>#N/A</v>
      </c>
      <c r="U210" s="830"/>
      <c r="V210" s="830"/>
      <c r="W210" s="831" t="e">
        <f>SUM(T210:V210)</f>
        <v>#N/A</v>
      </c>
      <c r="X210" s="830"/>
      <c r="Y210" s="830"/>
      <c r="Z210" s="830" t="e">
        <f t="shared" ref="Z210:Z220" si="45">W210*$AN$20+X210*$AN$10+$AN$11*Y210</f>
        <v>#N/A</v>
      </c>
      <c r="AA210" s="830" t="e">
        <f>VLOOKUP(C210,'CHẤM CÔNG '!$E$13:$AM$168,33,0)</f>
        <v>#N/A</v>
      </c>
      <c r="AB210" s="830" t="e">
        <f>VLOOKUP(C210,'CHẤM CÔNG '!$E$13:$AM$168,34,0)</f>
        <v>#N/A</v>
      </c>
      <c r="AC210" s="830"/>
      <c r="AD210" s="830"/>
      <c r="AE210" s="830"/>
      <c r="AF210" s="830"/>
      <c r="AG210" s="830"/>
      <c r="AH210" s="830"/>
      <c r="AI210" s="830"/>
      <c r="AJ210" s="830"/>
      <c r="AK210" s="836"/>
      <c r="AL210" s="837" t="e">
        <f>VLOOKUP(C210,'sản lượng'!$D$14:$AP$169,38,0)</f>
        <v>#N/A</v>
      </c>
    </row>
    <row r="211" spans="1:44" ht="15.75">
      <c r="A211" s="812">
        <v>2</v>
      </c>
      <c r="B211" s="813" t="str">
        <f>VLOOKUP(C211,'DS CN MOI UP'!$B$10:$C$389,2,0)</f>
        <v>02444</v>
      </c>
      <c r="C211" s="846" t="s">
        <v>105</v>
      </c>
      <c r="D211" s="812" t="s">
        <v>15</v>
      </c>
      <c r="E211" s="815">
        <f t="shared" si="44"/>
        <v>24</v>
      </c>
      <c r="F211" s="815"/>
      <c r="G211" s="815"/>
      <c r="H211" s="960"/>
      <c r="I211" s="815"/>
      <c r="J211" s="815"/>
      <c r="K211" s="815"/>
      <c r="L211" s="815"/>
      <c r="M211" s="815"/>
      <c r="N211" s="815"/>
      <c r="O211" s="815"/>
      <c r="P211" s="815"/>
      <c r="Q211" s="815"/>
      <c r="R211" s="815"/>
      <c r="S211" s="830">
        <f t="shared" si="39"/>
        <v>24</v>
      </c>
      <c r="T211" s="830" t="e">
        <f>VLOOKUP(C211,'sản lượng'!$D$14:$AK$169,36,0)</f>
        <v>#N/A</v>
      </c>
      <c r="U211" s="830"/>
      <c r="V211" s="830"/>
      <c r="W211" s="831" t="e">
        <f t="shared" ref="W211:W220" si="46">SUM(T211:V211)</f>
        <v>#N/A</v>
      </c>
      <c r="X211" s="830"/>
      <c r="Y211" s="830"/>
      <c r="Z211" s="830" t="e">
        <f t="shared" si="45"/>
        <v>#N/A</v>
      </c>
      <c r="AA211" s="830" t="e">
        <f>VLOOKUP(C211,'CHẤM CÔNG '!$E$13:$AM$168,33,0)</f>
        <v>#N/A</v>
      </c>
      <c r="AB211" s="830" t="e">
        <f>VLOOKUP(C211,'CHẤM CÔNG '!$E$13:$AM$168,34,0)</f>
        <v>#N/A</v>
      </c>
      <c r="AC211" s="830"/>
      <c r="AD211" s="830"/>
      <c r="AE211" s="830"/>
      <c r="AF211" s="830"/>
      <c r="AG211" s="830"/>
      <c r="AH211" s="830"/>
      <c r="AI211" s="830"/>
      <c r="AJ211" s="830"/>
      <c r="AK211" s="836"/>
      <c r="AL211" s="837" t="e">
        <f>VLOOKUP(C211,'sản lượng'!$D$14:$AP$169,38,0)</f>
        <v>#N/A</v>
      </c>
    </row>
    <row r="212" spans="1:44" ht="15.75">
      <c r="A212" s="812">
        <v>3</v>
      </c>
      <c r="B212" s="813" t="e">
        <f>VLOOKUP(C212,'DS CN MOI UP'!$B$10:$C$389,2,0)</f>
        <v>#N/A</v>
      </c>
      <c r="C212" s="846" t="s">
        <v>106</v>
      </c>
      <c r="D212" s="812" t="s">
        <v>15</v>
      </c>
      <c r="E212" s="815">
        <f t="shared" si="44"/>
        <v>24</v>
      </c>
      <c r="F212" s="815"/>
      <c r="G212" s="815"/>
      <c r="H212" s="960"/>
      <c r="I212" s="815"/>
      <c r="J212" s="815"/>
      <c r="K212" s="815"/>
      <c r="L212" s="815"/>
      <c r="M212" s="815"/>
      <c r="N212" s="815"/>
      <c r="O212" s="815"/>
      <c r="P212" s="815"/>
      <c r="Q212" s="815"/>
      <c r="R212" s="815"/>
      <c r="S212" s="830">
        <f t="shared" si="39"/>
        <v>24</v>
      </c>
      <c r="T212" s="830" t="e">
        <f>VLOOKUP(C212,'sản lượng'!$D$14:$AK$169,36,0)</f>
        <v>#N/A</v>
      </c>
      <c r="U212" s="830"/>
      <c r="V212" s="830"/>
      <c r="W212" s="831" t="e">
        <f t="shared" si="46"/>
        <v>#N/A</v>
      </c>
      <c r="X212" s="830"/>
      <c r="Y212" s="830"/>
      <c r="Z212" s="830" t="e">
        <f t="shared" si="45"/>
        <v>#N/A</v>
      </c>
      <c r="AA212" s="830" t="e">
        <f>VLOOKUP(C212,'CHẤM CÔNG '!$E$13:$AM$168,33,0)</f>
        <v>#N/A</v>
      </c>
      <c r="AB212" s="830" t="e">
        <f>VLOOKUP(C212,'CHẤM CÔNG '!$E$13:$AM$168,34,0)</f>
        <v>#N/A</v>
      </c>
      <c r="AC212" s="830"/>
      <c r="AD212" s="830"/>
      <c r="AE212" s="830"/>
      <c r="AF212" s="830"/>
      <c r="AG212" s="830"/>
      <c r="AH212" s="830"/>
      <c r="AI212" s="830"/>
      <c r="AJ212" s="830"/>
      <c r="AK212" s="836"/>
      <c r="AL212" s="837" t="e">
        <f>VLOOKUP(C212,'sản lượng'!$D$14:$AP$169,38,0)</f>
        <v>#N/A</v>
      </c>
    </row>
    <row r="213" spans="1:44" ht="15.75">
      <c r="A213" s="812">
        <v>4</v>
      </c>
      <c r="B213" s="813" t="e">
        <f>VLOOKUP(C213,'DS CN MOI UP'!$B$10:$C$389,2,0)</f>
        <v>#N/A</v>
      </c>
      <c r="C213" s="846" t="s">
        <v>107</v>
      </c>
      <c r="D213" s="812" t="s">
        <v>15</v>
      </c>
      <c r="E213" s="815">
        <f t="shared" si="44"/>
        <v>24</v>
      </c>
      <c r="F213" s="815"/>
      <c r="G213" s="815"/>
      <c r="H213" s="960"/>
      <c r="I213" s="815"/>
      <c r="J213" s="815"/>
      <c r="K213" s="815"/>
      <c r="L213" s="815"/>
      <c r="M213" s="815"/>
      <c r="N213" s="815"/>
      <c r="O213" s="815"/>
      <c r="P213" s="815"/>
      <c r="Q213" s="815"/>
      <c r="R213" s="815"/>
      <c r="S213" s="830">
        <f t="shared" si="39"/>
        <v>24</v>
      </c>
      <c r="T213" s="830" t="e">
        <f>VLOOKUP(C213,'sản lượng'!$D$14:$AK$169,36,0)</f>
        <v>#N/A</v>
      </c>
      <c r="U213" s="830"/>
      <c r="V213" s="830"/>
      <c r="W213" s="831" t="e">
        <f t="shared" si="46"/>
        <v>#N/A</v>
      </c>
      <c r="X213" s="830"/>
      <c r="Y213" s="830"/>
      <c r="Z213" s="830" t="e">
        <f t="shared" si="45"/>
        <v>#N/A</v>
      </c>
      <c r="AA213" s="830" t="e">
        <f>VLOOKUP(C213,'CHẤM CÔNG '!$E$13:$AM$168,33,0)</f>
        <v>#N/A</v>
      </c>
      <c r="AB213" s="830" t="e">
        <f>VLOOKUP(C213,'CHẤM CÔNG '!$E$13:$AM$168,34,0)</f>
        <v>#N/A</v>
      </c>
      <c r="AC213" s="830"/>
      <c r="AD213" s="830"/>
      <c r="AE213" s="830"/>
      <c r="AF213" s="830"/>
      <c r="AG213" s="830"/>
      <c r="AH213" s="830"/>
      <c r="AI213" s="830"/>
      <c r="AJ213" s="830"/>
      <c r="AK213" s="836"/>
      <c r="AL213" s="837" t="e">
        <f>VLOOKUP(C213,'sản lượng'!$D$14:$AP$169,38,0)</f>
        <v>#N/A</v>
      </c>
    </row>
    <row r="214" spans="1:44" ht="15.75">
      <c r="A214" s="812">
        <v>5</v>
      </c>
      <c r="B214" s="813" t="str">
        <f>VLOOKUP(C214,'DS CN MOI UP'!$B$10:$C$389,2,0)</f>
        <v>02449</v>
      </c>
      <c r="C214" s="846" t="s">
        <v>108</v>
      </c>
      <c r="D214" s="812" t="s">
        <v>15</v>
      </c>
      <c r="E214" s="815">
        <f t="shared" si="44"/>
        <v>24</v>
      </c>
      <c r="F214" s="815"/>
      <c r="G214" s="815"/>
      <c r="H214" s="960"/>
      <c r="I214" s="815"/>
      <c r="J214" s="815"/>
      <c r="K214" s="815"/>
      <c r="L214" s="815"/>
      <c r="M214" s="815"/>
      <c r="N214" s="815"/>
      <c r="O214" s="815"/>
      <c r="P214" s="815"/>
      <c r="Q214" s="815"/>
      <c r="R214" s="815"/>
      <c r="S214" s="830">
        <f t="shared" si="39"/>
        <v>24</v>
      </c>
      <c r="T214" s="830" t="e">
        <f>VLOOKUP(C214,'sản lượng'!$D$14:$AK$169,36,0)</f>
        <v>#N/A</v>
      </c>
      <c r="U214" s="830"/>
      <c r="V214" s="830"/>
      <c r="W214" s="831" t="e">
        <f t="shared" si="46"/>
        <v>#N/A</v>
      </c>
      <c r="X214" s="830"/>
      <c r="Y214" s="830"/>
      <c r="Z214" s="830" t="e">
        <f t="shared" si="45"/>
        <v>#N/A</v>
      </c>
      <c r="AA214" s="830" t="e">
        <f>VLOOKUP(C214,'CHẤM CÔNG '!$E$13:$AM$168,33,0)</f>
        <v>#N/A</v>
      </c>
      <c r="AB214" s="830" t="e">
        <f>VLOOKUP(C214,'CHẤM CÔNG '!$E$13:$AM$168,34,0)</f>
        <v>#N/A</v>
      </c>
      <c r="AC214" s="830"/>
      <c r="AD214" s="830"/>
      <c r="AE214" s="830"/>
      <c r="AF214" s="830"/>
      <c r="AG214" s="830"/>
      <c r="AH214" s="830"/>
      <c r="AI214" s="830"/>
      <c r="AJ214" s="830"/>
      <c r="AK214" s="836"/>
      <c r="AL214" s="837" t="e">
        <f>VLOOKUP(C214,'sản lượng'!$D$14:$AP$169,38,0)</f>
        <v>#N/A</v>
      </c>
    </row>
    <row r="215" spans="1:44" ht="15.75">
      <c r="A215" s="812">
        <v>6</v>
      </c>
      <c r="B215" s="813" t="str">
        <f>VLOOKUP(C215,'DS CN MOI UP'!$B$10:$C$389,2,0)</f>
        <v>02445</v>
      </c>
      <c r="C215" s="846" t="s">
        <v>109</v>
      </c>
      <c r="D215" s="812" t="s">
        <v>15</v>
      </c>
      <c r="E215" s="815">
        <f t="shared" si="44"/>
        <v>24</v>
      </c>
      <c r="F215" s="815"/>
      <c r="G215" s="815"/>
      <c r="H215" s="960"/>
      <c r="I215" s="815"/>
      <c r="J215" s="815"/>
      <c r="K215" s="815"/>
      <c r="L215" s="815"/>
      <c r="M215" s="815"/>
      <c r="N215" s="815"/>
      <c r="O215" s="815"/>
      <c r="P215" s="815"/>
      <c r="Q215" s="815"/>
      <c r="R215" s="815"/>
      <c r="S215" s="830">
        <f t="shared" si="39"/>
        <v>24</v>
      </c>
      <c r="T215" s="830" t="e">
        <f>VLOOKUP(C215,'sản lượng'!$D$14:$AK$169,36,0)</f>
        <v>#N/A</v>
      </c>
      <c r="U215" s="830"/>
      <c r="V215" s="830"/>
      <c r="W215" s="831" t="e">
        <f t="shared" si="46"/>
        <v>#N/A</v>
      </c>
      <c r="X215" s="830"/>
      <c r="Y215" s="830"/>
      <c r="Z215" s="830" t="e">
        <f t="shared" si="45"/>
        <v>#N/A</v>
      </c>
      <c r="AA215" s="830" t="e">
        <f>VLOOKUP(C215,'CHẤM CÔNG '!$E$13:$AM$168,33,0)</f>
        <v>#N/A</v>
      </c>
      <c r="AB215" s="830" t="e">
        <f>VLOOKUP(C215,'CHẤM CÔNG '!$E$13:$AM$168,34,0)</f>
        <v>#N/A</v>
      </c>
      <c r="AC215" s="830"/>
      <c r="AD215" s="830"/>
      <c r="AE215" s="830"/>
      <c r="AF215" s="830"/>
      <c r="AG215" s="830"/>
      <c r="AH215" s="830"/>
      <c r="AI215" s="830"/>
      <c r="AJ215" s="830"/>
      <c r="AK215" s="836"/>
      <c r="AL215" s="837" t="e">
        <f>VLOOKUP(C215,'sản lượng'!$D$14:$AP$169,38,0)</f>
        <v>#N/A</v>
      </c>
    </row>
    <row r="216" spans="1:44" ht="15.75">
      <c r="A216" s="812">
        <v>7</v>
      </c>
      <c r="B216" s="813" t="str">
        <f>VLOOKUP(C216,'DS CN MOI UP'!$B$10:$C$389,2,0)</f>
        <v>02446</v>
      </c>
      <c r="C216" s="846" t="s">
        <v>110</v>
      </c>
      <c r="D216" s="812" t="s">
        <v>15</v>
      </c>
      <c r="E216" s="815">
        <f t="shared" si="44"/>
        <v>24</v>
      </c>
      <c r="F216" s="815"/>
      <c r="G216" s="815"/>
      <c r="H216" s="960"/>
      <c r="I216" s="815"/>
      <c r="J216" s="815"/>
      <c r="K216" s="815"/>
      <c r="L216" s="815"/>
      <c r="M216" s="815"/>
      <c r="N216" s="815"/>
      <c r="O216" s="815"/>
      <c r="P216" s="815"/>
      <c r="Q216" s="815"/>
      <c r="R216" s="815"/>
      <c r="S216" s="830">
        <f t="shared" si="39"/>
        <v>24</v>
      </c>
      <c r="T216" s="830" t="e">
        <f>VLOOKUP(C216,'sản lượng'!$D$14:$AK$169,36,0)</f>
        <v>#N/A</v>
      </c>
      <c r="U216" s="830"/>
      <c r="V216" s="830"/>
      <c r="W216" s="831" t="e">
        <f t="shared" si="46"/>
        <v>#N/A</v>
      </c>
      <c r="X216" s="830"/>
      <c r="Y216" s="830"/>
      <c r="Z216" s="830" t="e">
        <f t="shared" si="45"/>
        <v>#N/A</v>
      </c>
      <c r="AA216" s="830" t="e">
        <f>VLOOKUP(C216,'CHẤM CÔNG '!$E$13:$AM$168,33,0)</f>
        <v>#N/A</v>
      </c>
      <c r="AB216" s="830" t="e">
        <f>VLOOKUP(C216,'CHẤM CÔNG '!$E$13:$AM$168,34,0)</f>
        <v>#N/A</v>
      </c>
      <c r="AC216" s="830"/>
      <c r="AD216" s="830"/>
      <c r="AE216" s="830"/>
      <c r="AF216" s="830"/>
      <c r="AG216" s="830"/>
      <c r="AH216" s="830"/>
      <c r="AI216" s="830"/>
      <c r="AJ216" s="830"/>
      <c r="AK216" s="836"/>
      <c r="AL216" s="837" t="e">
        <f>VLOOKUP(C216,'sản lượng'!$D$14:$AP$169,38,0)</f>
        <v>#N/A</v>
      </c>
    </row>
    <row r="217" spans="1:44" ht="15.75">
      <c r="A217" s="812">
        <v>8</v>
      </c>
      <c r="B217" s="813" t="str">
        <f>VLOOKUP(C217,'DS CN MOI UP'!$B$10:$C$389,2,0)</f>
        <v>03345</v>
      </c>
      <c r="C217" s="846" t="s">
        <v>111</v>
      </c>
      <c r="D217" s="812" t="s">
        <v>15</v>
      </c>
      <c r="E217" s="815">
        <f t="shared" si="44"/>
        <v>24</v>
      </c>
      <c r="F217" s="815"/>
      <c r="G217" s="815"/>
      <c r="H217" s="960"/>
      <c r="I217" s="815"/>
      <c r="J217" s="815"/>
      <c r="K217" s="815"/>
      <c r="L217" s="815"/>
      <c r="M217" s="815"/>
      <c r="N217" s="815"/>
      <c r="O217" s="815"/>
      <c r="P217" s="815"/>
      <c r="Q217" s="815"/>
      <c r="R217" s="815"/>
      <c r="S217" s="830">
        <f t="shared" si="39"/>
        <v>24</v>
      </c>
      <c r="T217" s="830" t="e">
        <f>VLOOKUP(C217,'sản lượng'!$D$14:$AK$169,36,0)</f>
        <v>#N/A</v>
      </c>
      <c r="U217" s="830"/>
      <c r="V217" s="830"/>
      <c r="W217" s="831" t="e">
        <f t="shared" si="46"/>
        <v>#N/A</v>
      </c>
      <c r="X217" s="830"/>
      <c r="Y217" s="830"/>
      <c r="Z217" s="830" t="e">
        <f t="shared" si="45"/>
        <v>#N/A</v>
      </c>
      <c r="AA217" s="830" t="e">
        <f>VLOOKUP(C217,'CHẤM CÔNG '!$E$13:$AM$168,33,0)</f>
        <v>#N/A</v>
      </c>
      <c r="AB217" s="830" t="e">
        <f>VLOOKUP(C217,'CHẤM CÔNG '!$E$13:$AM$168,34,0)</f>
        <v>#N/A</v>
      </c>
      <c r="AC217" s="830"/>
      <c r="AD217" s="830"/>
      <c r="AE217" s="830"/>
      <c r="AF217" s="830"/>
      <c r="AG217" s="830"/>
      <c r="AH217" s="830"/>
      <c r="AI217" s="830"/>
      <c r="AJ217" s="830"/>
      <c r="AK217" s="836"/>
      <c r="AL217" s="837" t="e">
        <f>VLOOKUP(C217,'sản lượng'!$D$14:$AP$169,38,0)</f>
        <v>#N/A</v>
      </c>
    </row>
    <row r="218" spans="1:44" ht="15.75">
      <c r="A218" s="812">
        <v>9</v>
      </c>
      <c r="B218" s="813" t="str">
        <f>VLOOKUP(C218,'DS CN MOI UP'!$B$10:$C$389,2,0)</f>
        <v>03854</v>
      </c>
      <c r="C218" s="846" t="s">
        <v>112</v>
      </c>
      <c r="D218" s="812" t="s">
        <v>15</v>
      </c>
      <c r="E218" s="815">
        <f t="shared" si="44"/>
        <v>24</v>
      </c>
      <c r="F218" s="815"/>
      <c r="G218" s="815"/>
      <c r="H218" s="960"/>
      <c r="I218" s="815"/>
      <c r="J218" s="815"/>
      <c r="K218" s="815"/>
      <c r="L218" s="815"/>
      <c r="M218" s="815"/>
      <c r="N218" s="815"/>
      <c r="O218" s="815"/>
      <c r="P218" s="815"/>
      <c r="Q218" s="815"/>
      <c r="R218" s="815"/>
      <c r="S218" s="830">
        <f t="shared" si="39"/>
        <v>24</v>
      </c>
      <c r="T218" s="830" t="e">
        <f>VLOOKUP(C218,'sản lượng'!$D$14:$AK$169,36,0)</f>
        <v>#N/A</v>
      </c>
      <c r="U218" s="830"/>
      <c r="V218" s="830"/>
      <c r="W218" s="831" t="e">
        <f t="shared" si="46"/>
        <v>#N/A</v>
      </c>
      <c r="X218" s="830"/>
      <c r="Y218" s="830"/>
      <c r="Z218" s="830" t="e">
        <f t="shared" si="45"/>
        <v>#N/A</v>
      </c>
      <c r="AA218" s="830" t="e">
        <f>VLOOKUP(C218,'CHẤM CÔNG '!$E$13:$AM$168,33,0)</f>
        <v>#N/A</v>
      </c>
      <c r="AB218" s="830" t="e">
        <f>VLOOKUP(C218,'CHẤM CÔNG '!$E$13:$AM$168,34,0)</f>
        <v>#N/A</v>
      </c>
      <c r="AC218" s="830"/>
      <c r="AD218" s="830"/>
      <c r="AE218" s="830"/>
      <c r="AF218" s="830"/>
      <c r="AG218" s="830"/>
      <c r="AH218" s="830"/>
      <c r="AI218" s="830"/>
      <c r="AJ218" s="830"/>
      <c r="AK218" s="836"/>
      <c r="AL218" s="837" t="e">
        <f>VLOOKUP(C218,'sản lượng'!$D$14:$AP$169,38,0)</f>
        <v>#N/A</v>
      </c>
    </row>
    <row r="219" spans="1:44" ht="15.75">
      <c r="A219" s="812">
        <v>10</v>
      </c>
      <c r="B219" s="813" t="str">
        <f>VLOOKUP(C219,'DS CN MOI UP'!$B$10:$C$389,2,0)</f>
        <v>03855</v>
      </c>
      <c r="C219" s="846" t="s">
        <v>113</v>
      </c>
      <c r="D219" s="812" t="s">
        <v>15</v>
      </c>
      <c r="E219" s="815">
        <f t="shared" si="44"/>
        <v>24</v>
      </c>
      <c r="F219" s="815"/>
      <c r="G219" s="815"/>
      <c r="H219" s="960"/>
      <c r="I219" s="815"/>
      <c r="J219" s="815"/>
      <c r="K219" s="815"/>
      <c r="L219" s="815"/>
      <c r="M219" s="815"/>
      <c r="N219" s="815"/>
      <c r="O219" s="815"/>
      <c r="P219" s="815"/>
      <c r="Q219" s="815"/>
      <c r="R219" s="815"/>
      <c r="S219" s="830">
        <f t="shared" si="39"/>
        <v>24</v>
      </c>
      <c r="T219" s="830"/>
      <c r="U219" s="830"/>
      <c r="V219" s="830" t="e">
        <f>'sản lượng'!#REF!</f>
        <v>#REF!</v>
      </c>
      <c r="W219" s="831" t="e">
        <f t="shared" si="46"/>
        <v>#REF!</v>
      </c>
      <c r="X219" s="830"/>
      <c r="Y219" s="830"/>
      <c r="Z219" s="830" t="e">
        <f t="shared" si="45"/>
        <v>#REF!</v>
      </c>
      <c r="AA219" s="830" t="e">
        <f>VLOOKUP(C219,'CHẤM CÔNG '!$E$13:$AM$168,33,0)</f>
        <v>#N/A</v>
      </c>
      <c r="AB219" s="830" t="e">
        <f>VLOOKUP(C219,'CHẤM CÔNG '!$E$13:$AM$168,34,0)</f>
        <v>#N/A</v>
      </c>
      <c r="AC219" s="830"/>
      <c r="AD219" s="830"/>
      <c r="AE219" s="830"/>
      <c r="AF219" s="830"/>
      <c r="AG219" s="830"/>
      <c r="AH219" s="830"/>
      <c r="AI219" s="830"/>
      <c r="AJ219" s="830"/>
      <c r="AK219" s="836"/>
      <c r="AL219" s="837" t="e">
        <f>VLOOKUP(C219,'sản lượng'!$D$14:$AP$169,38,0)</f>
        <v>#N/A</v>
      </c>
    </row>
    <row r="220" spans="1:44" ht="15.75">
      <c r="A220" s="812">
        <v>11</v>
      </c>
      <c r="B220" s="813" t="e">
        <f>VLOOKUP(C220,'DS CN MOI UP'!$B$10:$C$389,2,0)</f>
        <v>#N/A</v>
      </c>
      <c r="C220" s="846" t="s">
        <v>114</v>
      </c>
      <c r="D220" s="812" t="s">
        <v>15</v>
      </c>
      <c r="E220" s="815">
        <f t="shared" si="44"/>
        <v>24</v>
      </c>
      <c r="F220" s="815"/>
      <c r="G220" s="815"/>
      <c r="H220" s="960"/>
      <c r="I220" s="815"/>
      <c r="J220" s="815"/>
      <c r="K220" s="815"/>
      <c r="L220" s="815"/>
      <c r="M220" s="815"/>
      <c r="N220" s="815"/>
      <c r="O220" s="815"/>
      <c r="P220" s="815"/>
      <c r="Q220" s="815"/>
      <c r="R220" s="815"/>
      <c r="S220" s="830">
        <f t="shared" si="39"/>
        <v>24</v>
      </c>
      <c r="T220" s="830"/>
      <c r="U220" s="830"/>
      <c r="V220" s="830" t="e">
        <f>'sản lượng'!#REF!</f>
        <v>#REF!</v>
      </c>
      <c r="W220" s="831" t="e">
        <f t="shared" si="46"/>
        <v>#REF!</v>
      </c>
      <c r="X220" s="830"/>
      <c r="Y220" s="830"/>
      <c r="Z220" s="830" t="e">
        <f t="shared" si="45"/>
        <v>#REF!</v>
      </c>
      <c r="AA220" s="830" t="e">
        <f>VLOOKUP(C220,'CHẤM CÔNG '!$E$13:$AM$168,33,0)</f>
        <v>#N/A</v>
      </c>
      <c r="AB220" s="830" t="e">
        <f>VLOOKUP(C220,'CHẤM CÔNG '!$E$13:$AM$168,34,0)</f>
        <v>#N/A</v>
      </c>
      <c r="AC220" s="830"/>
      <c r="AD220" s="830"/>
      <c r="AE220" s="830"/>
      <c r="AF220" s="830"/>
      <c r="AG220" s="830"/>
      <c r="AH220" s="830"/>
      <c r="AI220" s="830"/>
      <c r="AJ220" s="830"/>
      <c r="AK220" s="836"/>
      <c r="AL220" s="837" t="e">
        <f>VLOOKUP(C220,'sản lượng'!$D$14:$AP$169,38,0)</f>
        <v>#N/A</v>
      </c>
    </row>
    <row r="221" spans="1:44" s="410" customFormat="1">
      <c r="A221" s="984" t="s">
        <v>2080</v>
      </c>
      <c r="B221" s="813"/>
      <c r="C221" s="985"/>
      <c r="D221" s="986"/>
      <c r="E221" s="987">
        <f>SUM(E222:E228)</f>
        <v>168</v>
      </c>
      <c r="F221" s="987">
        <f>SUM(F222:F228)</f>
        <v>0</v>
      </c>
      <c r="G221" s="987">
        <f t="shared" ref="G221:Z221" si="47">SUM(G222:G228)</f>
        <v>0</v>
      </c>
      <c r="H221" s="988">
        <f t="shared" si="47"/>
        <v>0</v>
      </c>
      <c r="I221" s="987">
        <f t="shared" si="47"/>
        <v>0</v>
      </c>
      <c r="J221" s="987">
        <f t="shared" si="47"/>
        <v>0</v>
      </c>
      <c r="K221" s="987">
        <f t="shared" si="47"/>
        <v>0</v>
      </c>
      <c r="L221" s="987">
        <f t="shared" si="47"/>
        <v>0</v>
      </c>
      <c r="M221" s="987">
        <f t="shared" si="47"/>
        <v>0</v>
      </c>
      <c r="N221" s="987">
        <f t="shared" si="47"/>
        <v>0</v>
      </c>
      <c r="O221" s="987">
        <f t="shared" si="47"/>
        <v>0</v>
      </c>
      <c r="P221" s="987">
        <f t="shared" si="47"/>
        <v>0</v>
      </c>
      <c r="Q221" s="987">
        <f t="shared" si="47"/>
        <v>0</v>
      </c>
      <c r="R221" s="987">
        <f t="shared" si="47"/>
        <v>0</v>
      </c>
      <c r="S221" s="987">
        <f t="shared" si="47"/>
        <v>168</v>
      </c>
      <c r="T221" s="987" t="e">
        <f t="shared" si="47"/>
        <v>#N/A</v>
      </c>
      <c r="U221" s="987">
        <f t="shared" si="47"/>
        <v>0</v>
      </c>
      <c r="V221" s="987">
        <f t="shared" si="47"/>
        <v>0</v>
      </c>
      <c r="W221" s="987" t="e">
        <f t="shared" si="47"/>
        <v>#N/A</v>
      </c>
      <c r="X221" s="987"/>
      <c r="Y221" s="987"/>
      <c r="Z221" s="987" t="e">
        <f t="shared" si="47"/>
        <v>#N/A</v>
      </c>
      <c r="AA221" s="987" t="e">
        <f t="shared" ref="AA221:AL221" si="48">SUM(AA222:AA228)</f>
        <v>#N/A</v>
      </c>
      <c r="AB221" s="987" t="e">
        <f t="shared" si="48"/>
        <v>#N/A</v>
      </c>
      <c r="AC221" s="987">
        <f t="shared" si="48"/>
        <v>0</v>
      </c>
      <c r="AD221" s="987"/>
      <c r="AE221" s="987">
        <f t="shared" si="48"/>
        <v>0</v>
      </c>
      <c r="AF221" s="987"/>
      <c r="AG221" s="987"/>
      <c r="AH221" s="987"/>
      <c r="AI221" s="987">
        <f t="shared" ref="AI221" si="49">SUM(AI222:AI228)</f>
        <v>0</v>
      </c>
      <c r="AJ221" s="987">
        <f t="shared" si="48"/>
        <v>0</v>
      </c>
      <c r="AK221" s="987">
        <f t="shared" si="48"/>
        <v>0</v>
      </c>
      <c r="AL221" s="987" t="e">
        <f t="shared" si="48"/>
        <v>#N/A</v>
      </c>
      <c r="AP221" s="990"/>
      <c r="AQ221" s="990"/>
      <c r="AR221" s="990"/>
    </row>
    <row r="222" spans="1:44" ht="15.75">
      <c r="A222" s="812">
        <v>1</v>
      </c>
      <c r="B222" s="813" t="e">
        <f>VLOOKUP(C222,'DS CN MOI UP'!$B$10:$C$389,2,0)</f>
        <v>#N/A</v>
      </c>
      <c r="C222" s="846" t="s">
        <v>116</v>
      </c>
      <c r="D222" s="812" t="s">
        <v>15</v>
      </c>
      <c r="E222" s="815">
        <f t="shared" ref="E222:E228" si="50">3*8</f>
        <v>24</v>
      </c>
      <c r="F222" s="815"/>
      <c r="G222" s="815"/>
      <c r="H222" s="960"/>
      <c r="I222" s="815"/>
      <c r="J222" s="815"/>
      <c r="K222" s="815"/>
      <c r="L222" s="815"/>
      <c r="M222" s="815"/>
      <c r="N222" s="815"/>
      <c r="O222" s="815"/>
      <c r="P222" s="815"/>
      <c r="Q222" s="815"/>
      <c r="R222" s="815"/>
      <c r="S222" s="830">
        <f>SUM(E222:N222)</f>
        <v>24</v>
      </c>
      <c r="T222" s="830" t="e">
        <f>VLOOKUP(C222,'sản lượng'!$D$14:$AK$169,36,0)</f>
        <v>#N/A</v>
      </c>
      <c r="U222" s="830"/>
      <c r="V222" s="830"/>
      <c r="W222" s="831" t="e">
        <f>SUM(T222:V222)</f>
        <v>#N/A</v>
      </c>
      <c r="X222" s="830"/>
      <c r="Y222" s="830"/>
      <c r="Z222" s="830" t="e">
        <f t="shared" ref="Z222:Z228" si="51">W222*$AN$19+X222*$AN$10+$AN$11*Y222</f>
        <v>#N/A</v>
      </c>
      <c r="AA222" s="830" t="e">
        <f>VLOOKUP(C222,'CHẤM CÔNG '!$E$13:$AM$168,33,0)</f>
        <v>#N/A</v>
      </c>
      <c r="AB222" s="830" t="e">
        <f>VLOOKUP(C222,'CHẤM CÔNG '!$E$13:$AM$168,34,0)</f>
        <v>#N/A</v>
      </c>
      <c r="AC222" s="830"/>
      <c r="AD222" s="830"/>
      <c r="AE222" s="830"/>
      <c r="AF222" s="830"/>
      <c r="AG222" s="830"/>
      <c r="AH222" s="830"/>
      <c r="AI222" s="830"/>
      <c r="AJ222" s="830"/>
      <c r="AK222" s="836"/>
      <c r="AL222" s="837" t="e">
        <f>VLOOKUP(C222,'sản lượng'!$D$14:$AP$169,38,0)</f>
        <v>#N/A</v>
      </c>
    </row>
    <row r="223" spans="1:44" ht="15.75">
      <c r="A223" s="812">
        <v>2</v>
      </c>
      <c r="B223" s="813" t="str">
        <f>VLOOKUP(C223,'DS CN MOI UP'!$B$10:$C$389,2,0)</f>
        <v>02505</v>
      </c>
      <c r="C223" s="846" t="s">
        <v>117</v>
      </c>
      <c r="D223" s="812" t="s">
        <v>15</v>
      </c>
      <c r="E223" s="815">
        <f t="shared" si="50"/>
        <v>24</v>
      </c>
      <c r="F223" s="815"/>
      <c r="G223" s="815"/>
      <c r="H223" s="960"/>
      <c r="I223" s="815"/>
      <c r="J223" s="815"/>
      <c r="K223" s="815"/>
      <c r="L223" s="815"/>
      <c r="M223" s="815"/>
      <c r="N223" s="815"/>
      <c r="O223" s="815"/>
      <c r="P223" s="815"/>
      <c r="Q223" s="815"/>
      <c r="R223" s="815"/>
      <c r="S223" s="830">
        <f t="shared" si="39"/>
        <v>24</v>
      </c>
      <c r="T223" s="830" t="e">
        <f>VLOOKUP(C223,'sản lượng'!$D$14:$AK$169,36,0)</f>
        <v>#N/A</v>
      </c>
      <c r="U223" s="830"/>
      <c r="V223" s="830"/>
      <c r="W223" s="831" t="e">
        <f t="shared" ref="W223:W228" si="52">SUM(T223:V223)</f>
        <v>#N/A</v>
      </c>
      <c r="X223" s="830"/>
      <c r="Y223" s="830"/>
      <c r="Z223" s="830" t="e">
        <f t="shared" si="51"/>
        <v>#N/A</v>
      </c>
      <c r="AA223" s="830" t="e">
        <f>VLOOKUP(C223,'CHẤM CÔNG '!$E$13:$AM$168,33,0)</f>
        <v>#N/A</v>
      </c>
      <c r="AB223" s="830" t="e">
        <f>VLOOKUP(C223,'CHẤM CÔNG '!$E$13:$AM$168,34,0)</f>
        <v>#N/A</v>
      </c>
      <c r="AC223" s="830"/>
      <c r="AD223" s="830"/>
      <c r="AE223" s="830"/>
      <c r="AF223" s="830"/>
      <c r="AG223" s="830"/>
      <c r="AH223" s="830"/>
      <c r="AI223" s="830"/>
      <c r="AJ223" s="830"/>
      <c r="AK223" s="836"/>
      <c r="AL223" s="837" t="e">
        <f>VLOOKUP(C223,'sản lượng'!$D$14:$AP$169,38,0)</f>
        <v>#N/A</v>
      </c>
    </row>
    <row r="224" spans="1:44" ht="15.75">
      <c r="A224" s="812">
        <v>3</v>
      </c>
      <c r="B224" s="813" t="str">
        <f>VLOOKUP(C224,'DS CN MOI UP'!$B$10:$C$389,2,0)</f>
        <v>02472</v>
      </c>
      <c r="C224" s="846" t="s">
        <v>118</v>
      </c>
      <c r="D224" s="812" t="s">
        <v>15</v>
      </c>
      <c r="E224" s="815">
        <f t="shared" si="50"/>
        <v>24</v>
      </c>
      <c r="F224" s="815"/>
      <c r="G224" s="815"/>
      <c r="H224" s="960"/>
      <c r="I224" s="815"/>
      <c r="J224" s="815"/>
      <c r="K224" s="815"/>
      <c r="L224" s="815"/>
      <c r="M224" s="815"/>
      <c r="N224" s="815"/>
      <c r="O224" s="815"/>
      <c r="P224" s="815"/>
      <c r="Q224" s="815"/>
      <c r="R224" s="815"/>
      <c r="S224" s="830">
        <f t="shared" si="39"/>
        <v>24</v>
      </c>
      <c r="T224" s="830" t="e">
        <f>VLOOKUP(C224,'sản lượng'!$D$14:$AK$169,36,0)</f>
        <v>#N/A</v>
      </c>
      <c r="U224" s="830"/>
      <c r="V224" s="830"/>
      <c r="W224" s="831" t="e">
        <f t="shared" si="52"/>
        <v>#N/A</v>
      </c>
      <c r="X224" s="830"/>
      <c r="Y224" s="830"/>
      <c r="Z224" s="830" t="e">
        <f t="shared" si="51"/>
        <v>#N/A</v>
      </c>
      <c r="AA224" s="830" t="e">
        <f>VLOOKUP(C224,'CHẤM CÔNG '!$E$13:$AM$168,33,0)</f>
        <v>#N/A</v>
      </c>
      <c r="AB224" s="830" t="e">
        <f>VLOOKUP(C224,'CHẤM CÔNG '!$E$13:$AM$168,34,0)</f>
        <v>#N/A</v>
      </c>
      <c r="AC224" s="830"/>
      <c r="AD224" s="830"/>
      <c r="AE224" s="830"/>
      <c r="AF224" s="830"/>
      <c r="AG224" s="830"/>
      <c r="AH224" s="830"/>
      <c r="AI224" s="830"/>
      <c r="AJ224" s="830"/>
      <c r="AK224" s="836"/>
      <c r="AL224" s="837" t="e">
        <f>VLOOKUP(C224,'sản lượng'!$D$14:$AP$169,38,0)</f>
        <v>#N/A</v>
      </c>
    </row>
    <row r="225" spans="1:44" ht="15.75">
      <c r="A225" s="812">
        <v>4</v>
      </c>
      <c r="B225" s="813" t="str">
        <f>VLOOKUP(C225,'DS CN MOI UP'!$B$10:$C$389,2,0)</f>
        <v>02477</v>
      </c>
      <c r="C225" s="846" t="s">
        <v>119</v>
      </c>
      <c r="D225" s="812" t="s">
        <v>15</v>
      </c>
      <c r="E225" s="815">
        <f t="shared" si="50"/>
        <v>24</v>
      </c>
      <c r="F225" s="815"/>
      <c r="G225" s="815"/>
      <c r="H225" s="960"/>
      <c r="I225" s="815"/>
      <c r="J225" s="815"/>
      <c r="K225" s="815"/>
      <c r="L225" s="815"/>
      <c r="M225" s="815"/>
      <c r="N225" s="815"/>
      <c r="O225" s="815"/>
      <c r="P225" s="815"/>
      <c r="Q225" s="815"/>
      <c r="R225" s="815"/>
      <c r="S225" s="830">
        <f t="shared" si="39"/>
        <v>24</v>
      </c>
      <c r="T225" s="830" t="e">
        <f>VLOOKUP(C225,'sản lượng'!$D$14:$AK$169,36,0)</f>
        <v>#N/A</v>
      </c>
      <c r="U225" s="830"/>
      <c r="V225" s="830"/>
      <c r="W225" s="831" t="e">
        <f t="shared" si="52"/>
        <v>#N/A</v>
      </c>
      <c r="X225" s="830"/>
      <c r="Y225" s="830"/>
      <c r="Z225" s="830" t="e">
        <f t="shared" si="51"/>
        <v>#N/A</v>
      </c>
      <c r="AA225" s="830" t="e">
        <f>VLOOKUP(C225,'CHẤM CÔNG '!$E$13:$AM$168,33,0)</f>
        <v>#N/A</v>
      </c>
      <c r="AB225" s="830" t="e">
        <f>VLOOKUP(C225,'CHẤM CÔNG '!$E$13:$AM$168,34,0)</f>
        <v>#N/A</v>
      </c>
      <c r="AC225" s="830"/>
      <c r="AD225" s="830"/>
      <c r="AE225" s="830"/>
      <c r="AF225" s="830"/>
      <c r="AG225" s="830"/>
      <c r="AH225" s="830"/>
      <c r="AI225" s="830"/>
      <c r="AJ225" s="830"/>
      <c r="AK225" s="836"/>
      <c r="AL225" s="837" t="e">
        <f>VLOOKUP(C225,'sản lượng'!$D$14:$AP$169,38,0)</f>
        <v>#N/A</v>
      </c>
    </row>
    <row r="226" spans="1:44" ht="15.75">
      <c r="A226" s="812">
        <v>5</v>
      </c>
      <c r="B226" s="813" t="str">
        <f>VLOOKUP(C226,'DS CN MOI UP'!$B$10:$C$389,2,0)</f>
        <v>02495</v>
      </c>
      <c r="C226" s="846" t="s">
        <v>120</v>
      </c>
      <c r="D226" s="812" t="s">
        <v>15</v>
      </c>
      <c r="E226" s="815">
        <f t="shared" si="50"/>
        <v>24</v>
      </c>
      <c r="F226" s="815"/>
      <c r="G226" s="815"/>
      <c r="H226" s="960"/>
      <c r="I226" s="815"/>
      <c r="J226" s="815"/>
      <c r="K226" s="815"/>
      <c r="L226" s="815"/>
      <c r="M226" s="815"/>
      <c r="N226" s="815"/>
      <c r="O226" s="815"/>
      <c r="P226" s="815"/>
      <c r="Q226" s="815"/>
      <c r="R226" s="815"/>
      <c r="S226" s="830">
        <f t="shared" si="39"/>
        <v>24</v>
      </c>
      <c r="T226" s="830" t="e">
        <f>VLOOKUP(C226,'sản lượng'!$D$14:$AK$169,36,0)</f>
        <v>#N/A</v>
      </c>
      <c r="U226" s="830"/>
      <c r="V226" s="830"/>
      <c r="W226" s="831" t="e">
        <f t="shared" si="52"/>
        <v>#N/A</v>
      </c>
      <c r="X226" s="830"/>
      <c r="Y226" s="830"/>
      <c r="Z226" s="830" t="e">
        <f t="shared" si="51"/>
        <v>#N/A</v>
      </c>
      <c r="AA226" s="830" t="e">
        <f>VLOOKUP(C226,'CHẤM CÔNG '!$E$13:$AM$168,33,0)</f>
        <v>#N/A</v>
      </c>
      <c r="AB226" s="830" t="e">
        <f>VLOOKUP(C226,'CHẤM CÔNG '!$E$13:$AM$168,34,0)</f>
        <v>#N/A</v>
      </c>
      <c r="AC226" s="830"/>
      <c r="AD226" s="830"/>
      <c r="AE226" s="830"/>
      <c r="AF226" s="830"/>
      <c r="AG226" s="830"/>
      <c r="AH226" s="830"/>
      <c r="AI226" s="830"/>
      <c r="AJ226" s="830"/>
      <c r="AK226" s="836"/>
      <c r="AL226" s="837" t="e">
        <f>VLOOKUP(C226,'sản lượng'!$D$14:$AP$169,38,0)</f>
        <v>#N/A</v>
      </c>
    </row>
    <row r="227" spans="1:44" ht="15.75">
      <c r="A227" s="812">
        <v>6</v>
      </c>
      <c r="B227" s="813" t="str">
        <f>VLOOKUP(C227,'DS CN MOI UP'!$B$10:$C$389,2,0)</f>
        <v>03347</v>
      </c>
      <c r="C227" s="846" t="s">
        <v>121</v>
      </c>
      <c r="D227" s="812" t="s">
        <v>15</v>
      </c>
      <c r="E227" s="815">
        <f t="shared" si="50"/>
        <v>24</v>
      </c>
      <c r="F227" s="815"/>
      <c r="G227" s="815"/>
      <c r="H227" s="960"/>
      <c r="I227" s="815"/>
      <c r="J227" s="815"/>
      <c r="K227" s="815"/>
      <c r="L227" s="815"/>
      <c r="M227" s="815"/>
      <c r="N227" s="815"/>
      <c r="O227" s="815"/>
      <c r="P227" s="815"/>
      <c r="Q227" s="815"/>
      <c r="R227" s="815"/>
      <c r="S227" s="830">
        <f t="shared" si="39"/>
        <v>24</v>
      </c>
      <c r="T227" s="830" t="e">
        <f>VLOOKUP(C227,'sản lượng'!$D$14:$AK$169,36,0)</f>
        <v>#N/A</v>
      </c>
      <c r="U227" s="830"/>
      <c r="V227" s="830"/>
      <c r="W227" s="831" t="e">
        <f t="shared" si="52"/>
        <v>#N/A</v>
      </c>
      <c r="X227" s="830"/>
      <c r="Y227" s="830"/>
      <c r="Z227" s="830" t="e">
        <f t="shared" si="51"/>
        <v>#N/A</v>
      </c>
      <c r="AA227" s="830" t="e">
        <f>VLOOKUP(C227,'CHẤM CÔNG '!$E$13:$AM$168,33,0)</f>
        <v>#N/A</v>
      </c>
      <c r="AB227" s="830" t="e">
        <f>VLOOKUP(C227,'CHẤM CÔNG '!$E$13:$AM$168,34,0)</f>
        <v>#N/A</v>
      </c>
      <c r="AC227" s="830"/>
      <c r="AD227" s="830"/>
      <c r="AE227" s="830"/>
      <c r="AF227" s="830"/>
      <c r="AG227" s="830"/>
      <c r="AH227" s="830"/>
      <c r="AI227" s="830"/>
      <c r="AJ227" s="830"/>
      <c r="AK227" s="836"/>
      <c r="AL227" s="837" t="e">
        <f>VLOOKUP(C227,'sản lượng'!$D$14:$AP$169,38,0)</f>
        <v>#N/A</v>
      </c>
    </row>
    <row r="228" spans="1:44" ht="15.75">
      <c r="A228" s="812">
        <v>7</v>
      </c>
      <c r="B228" s="813" t="str">
        <f>VLOOKUP(C228,'DS CN MOI UP'!$B$10:$C$389,2,0)</f>
        <v>02516</v>
      </c>
      <c r="C228" s="846" t="s">
        <v>122</v>
      </c>
      <c r="D228" s="812" t="s">
        <v>15</v>
      </c>
      <c r="E228" s="815">
        <f t="shared" si="50"/>
        <v>24</v>
      </c>
      <c r="F228" s="815"/>
      <c r="G228" s="815"/>
      <c r="H228" s="960"/>
      <c r="I228" s="815"/>
      <c r="J228" s="815"/>
      <c r="K228" s="815"/>
      <c r="L228" s="815"/>
      <c r="M228" s="815"/>
      <c r="N228" s="815"/>
      <c r="O228" s="815"/>
      <c r="P228" s="815"/>
      <c r="Q228" s="815"/>
      <c r="R228" s="815"/>
      <c r="S228" s="830">
        <f t="shared" si="39"/>
        <v>24</v>
      </c>
      <c r="T228" s="830" t="e">
        <f>VLOOKUP(C228,'sản lượng'!$D$14:$AK$169,36,0)</f>
        <v>#N/A</v>
      </c>
      <c r="U228" s="830"/>
      <c r="V228" s="830"/>
      <c r="W228" s="831" t="e">
        <f t="shared" si="52"/>
        <v>#N/A</v>
      </c>
      <c r="X228" s="830"/>
      <c r="Y228" s="830"/>
      <c r="Z228" s="830" t="e">
        <f t="shared" si="51"/>
        <v>#N/A</v>
      </c>
      <c r="AA228" s="830" t="e">
        <f>VLOOKUP(C228,'CHẤM CÔNG '!$E$13:$AM$168,33,0)</f>
        <v>#N/A</v>
      </c>
      <c r="AB228" s="830" t="e">
        <f>VLOOKUP(C228,'CHẤM CÔNG '!$E$13:$AM$168,34,0)</f>
        <v>#N/A</v>
      </c>
      <c r="AC228" s="830"/>
      <c r="AD228" s="830"/>
      <c r="AE228" s="830"/>
      <c r="AF228" s="830"/>
      <c r="AG228" s="830"/>
      <c r="AH228" s="830"/>
      <c r="AI228" s="830"/>
      <c r="AJ228" s="830"/>
      <c r="AK228" s="836"/>
      <c r="AL228" s="837" t="e">
        <f>VLOOKUP(C228,'sản lượng'!$D$14:$AP$169,38,0)</f>
        <v>#N/A</v>
      </c>
    </row>
    <row r="229" spans="1:44">
      <c r="A229" s="847" t="s">
        <v>123</v>
      </c>
      <c r="B229" s="813"/>
      <c r="C229" s="848"/>
      <c r="D229" s="849"/>
      <c r="E229" s="823">
        <f t="shared" ref="E229:AR229" si="53">SUM(E230:E315)</f>
        <v>1968</v>
      </c>
      <c r="F229" s="823">
        <f t="shared" si="53"/>
        <v>0</v>
      </c>
      <c r="G229" s="823">
        <f t="shared" si="53"/>
        <v>0</v>
      </c>
      <c r="H229" s="967">
        <f t="shared" si="53"/>
        <v>6996.2759999999998</v>
      </c>
      <c r="I229" s="823">
        <f t="shared" si="53"/>
        <v>0</v>
      </c>
      <c r="J229" s="823">
        <f t="shared" si="53"/>
        <v>0</v>
      </c>
      <c r="K229" s="823">
        <f t="shared" si="53"/>
        <v>0</v>
      </c>
      <c r="L229" s="823">
        <f t="shared" si="53"/>
        <v>0</v>
      </c>
      <c r="M229" s="823">
        <f t="shared" si="53"/>
        <v>0</v>
      </c>
      <c r="N229" s="823">
        <f t="shared" si="53"/>
        <v>0</v>
      </c>
      <c r="O229" s="823">
        <f t="shared" si="53"/>
        <v>0</v>
      </c>
      <c r="P229" s="823">
        <f t="shared" si="53"/>
        <v>0</v>
      </c>
      <c r="Q229" s="823">
        <f t="shared" si="53"/>
        <v>0</v>
      </c>
      <c r="R229" s="823">
        <f t="shared" si="53"/>
        <v>0</v>
      </c>
      <c r="S229" s="823">
        <f t="shared" si="53"/>
        <v>8964.2759999999998</v>
      </c>
      <c r="T229" s="823" t="e">
        <f t="shared" si="53"/>
        <v>#N/A</v>
      </c>
      <c r="U229" s="823">
        <f t="shared" si="53"/>
        <v>0</v>
      </c>
      <c r="V229" s="823">
        <f t="shared" si="53"/>
        <v>0</v>
      </c>
      <c r="W229" s="823" t="e">
        <f t="shared" si="53"/>
        <v>#N/A</v>
      </c>
      <c r="X229" s="823"/>
      <c r="Y229" s="823"/>
      <c r="Z229" s="823" t="e">
        <f t="shared" si="53"/>
        <v>#N/A</v>
      </c>
      <c r="AA229" s="823" t="e">
        <f t="shared" si="53"/>
        <v>#N/A</v>
      </c>
      <c r="AB229" s="823" t="e">
        <f t="shared" si="53"/>
        <v>#N/A</v>
      </c>
      <c r="AC229" s="823">
        <f t="shared" si="53"/>
        <v>0</v>
      </c>
      <c r="AD229" s="823"/>
      <c r="AE229" s="823">
        <f t="shared" si="53"/>
        <v>0</v>
      </c>
      <c r="AF229" s="823"/>
      <c r="AG229" s="823"/>
      <c r="AH229" s="823"/>
      <c r="AI229" s="823">
        <f t="shared" si="53"/>
        <v>0</v>
      </c>
      <c r="AJ229" s="823">
        <f t="shared" si="53"/>
        <v>0</v>
      </c>
      <c r="AK229" s="823">
        <f t="shared" si="53"/>
        <v>0</v>
      </c>
      <c r="AL229" s="823" t="e">
        <f t="shared" si="53"/>
        <v>#N/A</v>
      </c>
      <c r="AM229" s="823">
        <f t="shared" si="53"/>
        <v>128139</v>
      </c>
      <c r="AN229" s="823" t="e">
        <f t="shared" si="53"/>
        <v>#N/A</v>
      </c>
      <c r="AO229" s="823">
        <f t="shared" si="53"/>
        <v>0</v>
      </c>
      <c r="AP229" s="823">
        <f t="shared" si="53"/>
        <v>194</v>
      </c>
      <c r="AQ229" s="823">
        <f t="shared" si="53"/>
        <v>0</v>
      </c>
      <c r="AR229" s="823">
        <f t="shared" si="53"/>
        <v>52</v>
      </c>
    </row>
    <row r="230" spans="1:44" ht="15.75">
      <c r="A230" s="850">
        <v>1</v>
      </c>
      <c r="B230" s="813" t="str">
        <f>VLOOKUP(C230,'DS CN MOI UP'!$B$10:$C$389,2,0)</f>
        <v>03348</v>
      </c>
      <c r="C230" s="818" t="s">
        <v>124</v>
      </c>
      <c r="D230" s="851" t="s">
        <v>15</v>
      </c>
      <c r="E230" s="815">
        <f t="shared" ref="E230:E293" si="54">3*8</f>
        <v>24</v>
      </c>
      <c r="F230" s="815"/>
      <c r="G230" s="815"/>
      <c r="H230" s="960"/>
      <c r="I230" s="815"/>
      <c r="J230" s="815"/>
      <c r="K230" s="815"/>
      <c r="L230" s="815"/>
      <c r="M230" s="815"/>
      <c r="N230" s="815"/>
      <c r="O230" s="815"/>
      <c r="P230" s="815"/>
      <c r="Q230" s="815"/>
      <c r="R230" s="815"/>
      <c r="S230" s="830">
        <f t="shared" ref="S230:S261" si="55">SUM(E230:N230)</f>
        <v>24</v>
      </c>
      <c r="T230" s="830" t="e">
        <f>VLOOKUP(C230,'sản lượng'!$D$14:$AK$169,36,0)</f>
        <v>#N/A</v>
      </c>
      <c r="U230" s="830"/>
      <c r="V230" s="830"/>
      <c r="W230" s="830" t="e">
        <f>VLOOKUP(C230,'sản lượng'!$D$14:$AK$169,36,0)</f>
        <v>#N/A</v>
      </c>
      <c r="X230" s="830"/>
      <c r="Y230" s="830"/>
      <c r="Z230" s="830" t="e">
        <f t="shared" ref="Z230:Z261" si="56">W230*$AN$16+X230*$AN$10+$AN$11*Y230</f>
        <v>#N/A</v>
      </c>
      <c r="AA230" s="830" t="e">
        <f>VLOOKUP(C230,'CHẤM CÔNG '!$E$13:$AM$168,33,0)</f>
        <v>#N/A</v>
      </c>
      <c r="AB230" s="830" t="e">
        <f>VLOOKUP(C230,'CHẤM CÔNG '!$E$13:$AM$168,34,0)</f>
        <v>#N/A</v>
      </c>
      <c r="AC230" s="830"/>
      <c r="AD230" s="830"/>
      <c r="AE230" s="830"/>
      <c r="AF230" s="830"/>
      <c r="AG230" s="830"/>
      <c r="AH230" s="830"/>
      <c r="AI230" s="830"/>
      <c r="AJ230" s="830"/>
      <c r="AK230" s="836"/>
      <c r="AL230" s="837" t="e">
        <f>VLOOKUP(C230,'sản lượng'!$D$14:$AP$169,38,0)</f>
        <v>#N/A</v>
      </c>
      <c r="AM230" s="801">
        <v>1478</v>
      </c>
      <c r="AN230" s="831" t="e">
        <f t="shared" ref="AN230:AN261" si="57">+W230-AM230</f>
        <v>#N/A</v>
      </c>
      <c r="AP230" s="799">
        <f>3-AR230</f>
        <v>3</v>
      </c>
    </row>
    <row r="231" spans="1:44" ht="15.75">
      <c r="A231" s="850">
        <v>2</v>
      </c>
      <c r="B231" s="813" t="str">
        <f>VLOOKUP(C231,'DS CN MOI UP'!$B$10:$C$389,2,0)</f>
        <v>03349</v>
      </c>
      <c r="C231" s="818" t="s">
        <v>125</v>
      </c>
      <c r="D231" s="851" t="s">
        <v>15</v>
      </c>
      <c r="E231" s="815">
        <f t="shared" si="54"/>
        <v>24</v>
      </c>
      <c r="F231" s="815"/>
      <c r="G231" s="815"/>
      <c r="H231" s="960"/>
      <c r="I231" s="815"/>
      <c r="J231" s="815"/>
      <c r="K231" s="815"/>
      <c r="L231" s="815"/>
      <c r="M231" s="815"/>
      <c r="N231" s="815"/>
      <c r="O231" s="815"/>
      <c r="P231" s="815"/>
      <c r="Q231" s="815"/>
      <c r="R231" s="815"/>
      <c r="S231" s="830">
        <f t="shared" si="55"/>
        <v>24</v>
      </c>
      <c r="T231" s="830" t="e">
        <f>VLOOKUP(C231,'sản lượng'!$D$14:$AK$169,36,0)</f>
        <v>#N/A</v>
      </c>
      <c r="U231" s="830"/>
      <c r="V231" s="830"/>
      <c r="W231" s="830" t="e">
        <f>VLOOKUP(C231,'sản lượng'!$D$14:$AK$169,36,0)</f>
        <v>#N/A</v>
      </c>
      <c r="X231" s="830"/>
      <c r="Y231" s="830"/>
      <c r="Z231" s="830" t="e">
        <f t="shared" si="56"/>
        <v>#N/A</v>
      </c>
      <c r="AA231" s="830" t="e">
        <f>VLOOKUP(C231,'CHẤM CÔNG '!$E$13:$AM$168,33,0)</f>
        <v>#N/A</v>
      </c>
      <c r="AB231" s="830" t="e">
        <f>VLOOKUP(C231,'CHẤM CÔNG '!$E$13:$AM$168,34,0)</f>
        <v>#N/A</v>
      </c>
      <c r="AC231" s="830"/>
      <c r="AD231" s="830"/>
      <c r="AE231" s="830"/>
      <c r="AF231" s="830"/>
      <c r="AG231" s="830"/>
      <c r="AH231" s="830"/>
      <c r="AI231" s="830"/>
      <c r="AJ231" s="830"/>
      <c r="AK231" s="836"/>
      <c r="AL231" s="837" t="e">
        <f>VLOOKUP(C231,'sản lượng'!$D$14:$AP$169,38,0)</f>
        <v>#N/A</v>
      </c>
      <c r="AM231" s="801">
        <v>1129</v>
      </c>
      <c r="AN231" s="831" t="e">
        <f t="shared" si="57"/>
        <v>#N/A</v>
      </c>
      <c r="AP231" s="799">
        <f t="shared" ref="AP231:AP294" si="58">3-AR231</f>
        <v>3</v>
      </c>
    </row>
    <row r="232" spans="1:44" ht="15.75">
      <c r="A232" s="850">
        <v>3</v>
      </c>
      <c r="B232" s="813" t="str">
        <f>VLOOKUP(C232,'DS CN MOI UP'!$B$10:$C$389,2,0)</f>
        <v>02545</v>
      </c>
      <c r="C232" s="818" t="s">
        <v>126</v>
      </c>
      <c r="D232" s="851" t="s">
        <v>15</v>
      </c>
      <c r="E232" s="815">
        <f t="shared" si="54"/>
        <v>24</v>
      </c>
      <c r="F232" s="815"/>
      <c r="G232" s="815"/>
      <c r="H232" s="960"/>
      <c r="I232" s="815"/>
      <c r="J232" s="815"/>
      <c r="K232" s="815"/>
      <c r="L232" s="815"/>
      <c r="M232" s="815"/>
      <c r="N232" s="815"/>
      <c r="O232" s="815"/>
      <c r="P232" s="815"/>
      <c r="Q232" s="815"/>
      <c r="R232" s="815"/>
      <c r="S232" s="830">
        <f t="shared" si="55"/>
        <v>24</v>
      </c>
      <c r="T232" s="830" t="e">
        <f>VLOOKUP(C232,'sản lượng'!$D$14:$AK$169,36,0)</f>
        <v>#N/A</v>
      </c>
      <c r="U232" s="830"/>
      <c r="V232" s="830"/>
      <c r="W232" s="830" t="e">
        <f>VLOOKUP(C232,'sản lượng'!$D$14:$AK$169,36,0)</f>
        <v>#N/A</v>
      </c>
      <c r="X232" s="830"/>
      <c r="Y232" s="830"/>
      <c r="Z232" s="830" t="e">
        <f t="shared" si="56"/>
        <v>#N/A</v>
      </c>
      <c r="AA232" s="830" t="e">
        <f>VLOOKUP(C232,'CHẤM CÔNG '!$E$13:$AM$168,33,0)</f>
        <v>#N/A</v>
      </c>
      <c r="AB232" s="830" t="e">
        <f>VLOOKUP(C232,'CHẤM CÔNG '!$E$13:$AM$168,34,0)</f>
        <v>#N/A</v>
      </c>
      <c r="AC232" s="830"/>
      <c r="AD232" s="830"/>
      <c r="AE232" s="830"/>
      <c r="AF232" s="830"/>
      <c r="AG232" s="830"/>
      <c r="AH232" s="830"/>
      <c r="AI232" s="830"/>
      <c r="AJ232" s="830"/>
      <c r="AK232" s="836"/>
      <c r="AL232" s="837" t="e">
        <f>VLOOKUP(C232,'sản lượng'!$D$14:$AP$169,38,0)</f>
        <v>#N/A</v>
      </c>
      <c r="AM232" s="801">
        <v>1255</v>
      </c>
      <c r="AN232" s="831" t="e">
        <f t="shared" si="57"/>
        <v>#N/A</v>
      </c>
      <c r="AP232" s="799">
        <f t="shared" si="58"/>
        <v>3</v>
      </c>
    </row>
    <row r="233" spans="1:44" ht="15.75">
      <c r="A233" s="850">
        <v>4</v>
      </c>
      <c r="B233" s="813" t="str">
        <f>VLOOKUP(C233,'DS CN MOI UP'!$B$10:$C$389,2,0)</f>
        <v>02693</v>
      </c>
      <c r="C233" s="818" t="s">
        <v>127</v>
      </c>
      <c r="D233" s="851" t="s">
        <v>15</v>
      </c>
      <c r="E233" s="815">
        <f t="shared" si="54"/>
        <v>24</v>
      </c>
      <c r="F233" s="815"/>
      <c r="G233" s="815"/>
      <c r="H233" s="960"/>
      <c r="I233" s="815"/>
      <c r="J233" s="815"/>
      <c r="K233" s="815"/>
      <c r="L233" s="815"/>
      <c r="M233" s="815"/>
      <c r="N233" s="815"/>
      <c r="O233" s="815"/>
      <c r="P233" s="815"/>
      <c r="Q233" s="815"/>
      <c r="R233" s="815"/>
      <c r="S233" s="830">
        <f t="shared" si="55"/>
        <v>24</v>
      </c>
      <c r="T233" s="830" t="e">
        <f>VLOOKUP(C233,'sản lượng'!$D$14:$AK$169,36,0)</f>
        <v>#N/A</v>
      </c>
      <c r="U233" s="830"/>
      <c r="V233" s="830"/>
      <c r="W233" s="830" t="e">
        <f>VLOOKUP(C233,'sản lượng'!$D$14:$AK$169,36,0)</f>
        <v>#N/A</v>
      </c>
      <c r="X233" s="830"/>
      <c r="Y233" s="830"/>
      <c r="Z233" s="830" t="e">
        <f t="shared" si="56"/>
        <v>#N/A</v>
      </c>
      <c r="AA233" s="830" t="e">
        <f>VLOOKUP(C233,'CHẤM CÔNG '!$E$13:$AM$168,33,0)</f>
        <v>#N/A</v>
      </c>
      <c r="AB233" s="830" t="e">
        <f>VLOOKUP(C233,'CHẤM CÔNG '!$E$13:$AM$168,34,0)</f>
        <v>#N/A</v>
      </c>
      <c r="AC233" s="830"/>
      <c r="AD233" s="830"/>
      <c r="AE233" s="830"/>
      <c r="AF233" s="830"/>
      <c r="AG233" s="830"/>
      <c r="AH233" s="830"/>
      <c r="AI233" s="830"/>
      <c r="AJ233" s="830"/>
      <c r="AK233" s="836"/>
      <c r="AL233" s="837" t="e">
        <f>VLOOKUP(C233,'sản lượng'!$D$14:$AP$169,38,0)</f>
        <v>#N/A</v>
      </c>
      <c r="AM233" s="801">
        <v>1574</v>
      </c>
      <c r="AN233" s="831" t="e">
        <f t="shared" si="57"/>
        <v>#N/A</v>
      </c>
      <c r="AP233" s="799">
        <f t="shared" si="58"/>
        <v>3</v>
      </c>
    </row>
    <row r="234" spans="1:44" ht="15.75">
      <c r="A234" s="850">
        <v>5</v>
      </c>
      <c r="B234" s="813" t="str">
        <f>VLOOKUP(C234,'DS CN MOI UP'!$B$10:$C$389,2,0)</f>
        <v>03350</v>
      </c>
      <c r="C234" s="818" t="s">
        <v>128</v>
      </c>
      <c r="D234" s="851" t="s">
        <v>15</v>
      </c>
      <c r="E234" s="815">
        <f t="shared" si="54"/>
        <v>24</v>
      </c>
      <c r="F234" s="815"/>
      <c r="G234" s="815"/>
      <c r="H234" s="960"/>
      <c r="I234" s="815"/>
      <c r="J234" s="815"/>
      <c r="K234" s="815"/>
      <c r="L234" s="815"/>
      <c r="M234" s="815"/>
      <c r="N234" s="815"/>
      <c r="O234" s="815"/>
      <c r="P234" s="815"/>
      <c r="Q234" s="815"/>
      <c r="R234" s="815"/>
      <c r="S234" s="830">
        <f t="shared" si="55"/>
        <v>24</v>
      </c>
      <c r="T234" s="830" t="e">
        <f>VLOOKUP(C234,'sản lượng'!$D$14:$AK$169,36,0)</f>
        <v>#N/A</v>
      </c>
      <c r="U234" s="830"/>
      <c r="V234" s="830"/>
      <c r="W234" s="830" t="e">
        <f>VLOOKUP(C234,'sản lượng'!$D$14:$AK$169,36,0)</f>
        <v>#N/A</v>
      </c>
      <c r="X234" s="830"/>
      <c r="Y234" s="830"/>
      <c r="Z234" s="830" t="e">
        <f t="shared" si="56"/>
        <v>#N/A</v>
      </c>
      <c r="AA234" s="830" t="e">
        <f>VLOOKUP(C234,'CHẤM CÔNG '!$E$13:$AM$168,33,0)</f>
        <v>#N/A</v>
      </c>
      <c r="AB234" s="830" t="e">
        <f>VLOOKUP(C234,'CHẤM CÔNG '!$E$13:$AM$168,34,0)</f>
        <v>#N/A</v>
      </c>
      <c r="AC234" s="830"/>
      <c r="AD234" s="830"/>
      <c r="AE234" s="830"/>
      <c r="AF234" s="830"/>
      <c r="AG234" s="830"/>
      <c r="AH234" s="830"/>
      <c r="AI234" s="830"/>
      <c r="AJ234" s="830"/>
      <c r="AK234" s="836"/>
      <c r="AL234" s="837" t="e">
        <f>VLOOKUP(C234,'sản lượng'!$D$14:$AP$169,38,0)</f>
        <v>#N/A</v>
      </c>
      <c r="AM234" s="801">
        <v>1198</v>
      </c>
      <c r="AN234" s="831" t="e">
        <f t="shared" si="57"/>
        <v>#N/A</v>
      </c>
      <c r="AP234" s="799">
        <f t="shared" si="58"/>
        <v>3</v>
      </c>
    </row>
    <row r="235" spans="1:44" ht="15.75">
      <c r="A235" s="850">
        <v>6</v>
      </c>
      <c r="B235" s="813" t="str">
        <f>VLOOKUP(C235,'DS CN MOI UP'!$B$10:$C$389,2,0)</f>
        <v>02526</v>
      </c>
      <c r="C235" s="818" t="s">
        <v>129</v>
      </c>
      <c r="D235" s="851" t="s">
        <v>15</v>
      </c>
      <c r="E235" s="815">
        <f t="shared" si="54"/>
        <v>24</v>
      </c>
      <c r="F235" s="815"/>
      <c r="G235" s="815"/>
      <c r="H235" s="960"/>
      <c r="I235" s="815"/>
      <c r="J235" s="815"/>
      <c r="K235" s="815"/>
      <c r="L235" s="815"/>
      <c r="M235" s="815"/>
      <c r="N235" s="815"/>
      <c r="O235" s="815"/>
      <c r="P235" s="815"/>
      <c r="Q235" s="815"/>
      <c r="R235" s="815"/>
      <c r="S235" s="830">
        <f t="shared" si="55"/>
        <v>24</v>
      </c>
      <c r="T235" s="830" t="e">
        <f>VLOOKUP(C235,'sản lượng'!$D$14:$AK$169,36,0)</f>
        <v>#N/A</v>
      </c>
      <c r="U235" s="830"/>
      <c r="V235" s="830"/>
      <c r="W235" s="830" t="e">
        <f>VLOOKUP(C235,'sản lượng'!$D$14:$AK$169,36,0)</f>
        <v>#N/A</v>
      </c>
      <c r="X235" s="830"/>
      <c r="Y235" s="830"/>
      <c r="Z235" s="830" t="e">
        <f t="shared" si="56"/>
        <v>#N/A</v>
      </c>
      <c r="AA235" s="830" t="e">
        <f>VLOOKUP(C235,'CHẤM CÔNG '!$E$13:$AM$168,33,0)</f>
        <v>#N/A</v>
      </c>
      <c r="AB235" s="830" t="e">
        <f>VLOOKUP(C235,'CHẤM CÔNG '!$E$13:$AM$168,34,0)</f>
        <v>#N/A</v>
      </c>
      <c r="AC235" s="830"/>
      <c r="AD235" s="830"/>
      <c r="AE235" s="830"/>
      <c r="AF235" s="830"/>
      <c r="AG235" s="830"/>
      <c r="AH235" s="830"/>
      <c r="AI235" s="830"/>
      <c r="AJ235" s="830"/>
      <c r="AK235" s="836"/>
      <c r="AL235" s="837" t="e">
        <f>VLOOKUP(C235,'sản lượng'!$D$14:$AP$169,38,0)</f>
        <v>#N/A</v>
      </c>
      <c r="AM235" s="801">
        <v>1241</v>
      </c>
      <c r="AN235" s="831" t="e">
        <f t="shared" si="57"/>
        <v>#N/A</v>
      </c>
      <c r="AP235" s="799">
        <f t="shared" si="58"/>
        <v>2</v>
      </c>
      <c r="AR235" s="799">
        <v>1</v>
      </c>
    </row>
    <row r="236" spans="1:44" ht="15.75">
      <c r="A236" s="850">
        <v>7</v>
      </c>
      <c r="B236" s="813" t="str">
        <f>VLOOKUP(C236,'DS CN MOI UP'!$B$10:$C$389,2,0)</f>
        <v>03351</v>
      </c>
      <c r="C236" s="818" t="s">
        <v>130</v>
      </c>
      <c r="D236" s="851" t="s">
        <v>15</v>
      </c>
      <c r="E236" s="815">
        <f t="shared" si="54"/>
        <v>24</v>
      </c>
      <c r="F236" s="815"/>
      <c r="G236" s="815"/>
      <c r="H236" s="960"/>
      <c r="I236" s="815"/>
      <c r="J236" s="815"/>
      <c r="K236" s="815"/>
      <c r="L236" s="815"/>
      <c r="M236" s="815"/>
      <c r="N236" s="815"/>
      <c r="O236" s="815"/>
      <c r="P236" s="815"/>
      <c r="Q236" s="815"/>
      <c r="R236" s="815"/>
      <c r="S236" s="830">
        <f t="shared" si="55"/>
        <v>24</v>
      </c>
      <c r="T236" s="830" t="e">
        <f>VLOOKUP(C236,'sản lượng'!$D$14:$AK$169,36,0)</f>
        <v>#N/A</v>
      </c>
      <c r="U236" s="830"/>
      <c r="V236" s="830"/>
      <c r="W236" s="830" t="e">
        <f>VLOOKUP(C236,'sản lượng'!$D$14:$AK$169,36,0)</f>
        <v>#N/A</v>
      </c>
      <c r="X236" s="830"/>
      <c r="Y236" s="830"/>
      <c r="Z236" s="830" t="e">
        <f t="shared" si="56"/>
        <v>#N/A</v>
      </c>
      <c r="AA236" s="830" t="e">
        <f>VLOOKUP(C236,'CHẤM CÔNG '!$E$13:$AM$168,33,0)</f>
        <v>#N/A</v>
      </c>
      <c r="AB236" s="830" t="e">
        <f>VLOOKUP(C236,'CHẤM CÔNG '!$E$13:$AM$168,34,0)</f>
        <v>#N/A</v>
      </c>
      <c r="AC236" s="830"/>
      <c r="AD236" s="830"/>
      <c r="AE236" s="830"/>
      <c r="AF236" s="830"/>
      <c r="AG236" s="830"/>
      <c r="AH236" s="830"/>
      <c r="AI236" s="830"/>
      <c r="AJ236" s="830"/>
      <c r="AK236" s="836"/>
      <c r="AL236" s="837" t="e">
        <f>VLOOKUP(C236,'sản lượng'!$D$14:$AP$169,38,0)</f>
        <v>#N/A</v>
      </c>
      <c r="AM236" s="801">
        <v>2064</v>
      </c>
      <c r="AN236" s="831" t="e">
        <f t="shared" si="57"/>
        <v>#N/A</v>
      </c>
      <c r="AP236" s="799">
        <f t="shared" si="58"/>
        <v>2</v>
      </c>
      <c r="AR236" s="799">
        <v>1</v>
      </c>
    </row>
    <row r="237" spans="1:44" ht="15.75">
      <c r="A237" s="850">
        <v>8</v>
      </c>
      <c r="B237" s="813" t="str">
        <f>VLOOKUP(C237,'DS CN MOI UP'!$B$10:$C$389,2,0)</f>
        <v>03352</v>
      </c>
      <c r="C237" s="818" t="s">
        <v>131</v>
      </c>
      <c r="D237" s="851" t="s">
        <v>15</v>
      </c>
      <c r="E237" s="815">
        <f t="shared" si="54"/>
        <v>24</v>
      </c>
      <c r="F237" s="815"/>
      <c r="G237" s="815"/>
      <c r="H237" s="960"/>
      <c r="I237" s="815"/>
      <c r="J237" s="815"/>
      <c r="K237" s="815"/>
      <c r="L237" s="815"/>
      <c r="M237" s="815"/>
      <c r="N237" s="815"/>
      <c r="O237" s="815"/>
      <c r="P237" s="815"/>
      <c r="Q237" s="815"/>
      <c r="R237" s="815"/>
      <c r="S237" s="830">
        <f t="shared" si="55"/>
        <v>24</v>
      </c>
      <c r="T237" s="830" t="e">
        <f>VLOOKUP(C237,'sản lượng'!$D$14:$AK$169,36,0)</f>
        <v>#N/A</v>
      </c>
      <c r="U237" s="830"/>
      <c r="V237" s="830"/>
      <c r="W237" s="830" t="e">
        <f>VLOOKUP(C237,'sản lượng'!$D$14:$AK$169,36,0)</f>
        <v>#N/A</v>
      </c>
      <c r="X237" s="830"/>
      <c r="Y237" s="830"/>
      <c r="Z237" s="830" t="e">
        <f t="shared" si="56"/>
        <v>#N/A</v>
      </c>
      <c r="AA237" s="830" t="e">
        <f>VLOOKUP(C237,'CHẤM CÔNG '!$E$13:$AM$168,33,0)</f>
        <v>#N/A</v>
      </c>
      <c r="AB237" s="830" t="e">
        <f>VLOOKUP(C237,'CHẤM CÔNG '!$E$13:$AM$168,34,0)</f>
        <v>#N/A</v>
      </c>
      <c r="AC237" s="830"/>
      <c r="AD237" s="830"/>
      <c r="AE237" s="830"/>
      <c r="AF237" s="830"/>
      <c r="AG237" s="830"/>
      <c r="AH237" s="830"/>
      <c r="AI237" s="830"/>
      <c r="AJ237" s="830"/>
      <c r="AK237" s="836"/>
      <c r="AL237" s="837" t="e">
        <f>VLOOKUP(C237,'sản lượng'!$D$14:$AP$169,38,0)</f>
        <v>#N/A</v>
      </c>
      <c r="AM237" s="801">
        <v>2408</v>
      </c>
      <c r="AN237" s="831" t="e">
        <f t="shared" si="57"/>
        <v>#N/A</v>
      </c>
      <c r="AP237" s="799">
        <f t="shared" si="58"/>
        <v>2</v>
      </c>
      <c r="AR237" s="799">
        <v>1</v>
      </c>
    </row>
    <row r="238" spans="1:44" ht="15.75">
      <c r="A238" s="850">
        <v>9</v>
      </c>
      <c r="B238" s="813" t="str">
        <f>VLOOKUP(C238,'DS CN MOI UP'!$B$10:$C$389,2,0)</f>
        <v>02567</v>
      </c>
      <c r="C238" s="818" t="s">
        <v>132</v>
      </c>
      <c r="D238" s="851" t="s">
        <v>15</v>
      </c>
      <c r="E238" s="815">
        <f t="shared" si="54"/>
        <v>24</v>
      </c>
      <c r="F238" s="815"/>
      <c r="G238" s="815"/>
      <c r="H238" s="960"/>
      <c r="I238" s="815"/>
      <c r="J238" s="815"/>
      <c r="K238" s="815"/>
      <c r="L238" s="815"/>
      <c r="M238" s="815"/>
      <c r="N238" s="815"/>
      <c r="O238" s="815"/>
      <c r="P238" s="815"/>
      <c r="Q238" s="815"/>
      <c r="R238" s="815"/>
      <c r="S238" s="830">
        <f t="shared" si="55"/>
        <v>24</v>
      </c>
      <c r="T238" s="830" t="e">
        <f>VLOOKUP(C238,'sản lượng'!$D$14:$AK$169,36,0)</f>
        <v>#N/A</v>
      </c>
      <c r="U238" s="830"/>
      <c r="V238" s="830"/>
      <c r="W238" s="830" t="e">
        <f>VLOOKUP(C238,'sản lượng'!$D$14:$AK$169,36,0)</f>
        <v>#N/A</v>
      </c>
      <c r="X238" s="830"/>
      <c r="Y238" s="830"/>
      <c r="Z238" s="830" t="e">
        <f t="shared" si="56"/>
        <v>#N/A</v>
      </c>
      <c r="AA238" s="830" t="e">
        <f>VLOOKUP(C238,'CHẤM CÔNG '!$E$13:$AM$168,33,0)</f>
        <v>#N/A</v>
      </c>
      <c r="AB238" s="830" t="e">
        <f>VLOOKUP(C238,'CHẤM CÔNG '!$E$13:$AM$168,34,0)</f>
        <v>#N/A</v>
      </c>
      <c r="AC238" s="830"/>
      <c r="AD238" s="830"/>
      <c r="AE238" s="830"/>
      <c r="AF238" s="830"/>
      <c r="AG238" s="830"/>
      <c r="AH238" s="830"/>
      <c r="AI238" s="830"/>
      <c r="AJ238" s="830"/>
      <c r="AK238" s="836"/>
      <c r="AL238" s="837" t="e">
        <f>VLOOKUP(C238,'sản lượng'!$D$14:$AP$169,38,0)</f>
        <v>#N/A</v>
      </c>
      <c r="AM238" s="801">
        <v>1648</v>
      </c>
      <c r="AN238" s="831" t="e">
        <f t="shared" si="57"/>
        <v>#N/A</v>
      </c>
      <c r="AP238" s="799">
        <f t="shared" si="58"/>
        <v>2</v>
      </c>
      <c r="AR238" s="799">
        <v>1</v>
      </c>
    </row>
    <row r="239" spans="1:44" ht="15.75">
      <c r="A239" s="850">
        <v>10</v>
      </c>
      <c r="B239" s="813" t="str">
        <f>VLOOKUP(C239,'DS CN MOI UP'!$B$10:$C$389,2,0)</f>
        <v>02564</v>
      </c>
      <c r="C239" s="818" t="s">
        <v>133</v>
      </c>
      <c r="D239" s="851" t="s">
        <v>15</v>
      </c>
      <c r="E239" s="815">
        <f t="shared" si="54"/>
        <v>24</v>
      </c>
      <c r="F239" s="815"/>
      <c r="G239" s="815"/>
      <c r="H239" s="960"/>
      <c r="I239" s="815"/>
      <c r="J239" s="815"/>
      <c r="K239" s="815"/>
      <c r="L239" s="815"/>
      <c r="M239" s="815"/>
      <c r="N239" s="815"/>
      <c r="O239" s="815"/>
      <c r="P239" s="815"/>
      <c r="Q239" s="815"/>
      <c r="R239" s="815"/>
      <c r="S239" s="830">
        <f t="shared" si="55"/>
        <v>24</v>
      </c>
      <c r="T239" s="830" t="e">
        <f>VLOOKUP(C239,'sản lượng'!$D$14:$AK$169,36,0)</f>
        <v>#N/A</v>
      </c>
      <c r="U239" s="830"/>
      <c r="V239" s="830"/>
      <c r="W239" s="830" t="e">
        <f>VLOOKUP(C239,'sản lượng'!$D$14:$AK$169,36,0)</f>
        <v>#N/A</v>
      </c>
      <c r="X239" s="830"/>
      <c r="Y239" s="830"/>
      <c r="Z239" s="830" t="e">
        <f t="shared" si="56"/>
        <v>#N/A</v>
      </c>
      <c r="AA239" s="830" t="e">
        <f>VLOOKUP(C239,'CHẤM CÔNG '!$E$13:$AM$168,33,0)</f>
        <v>#N/A</v>
      </c>
      <c r="AB239" s="830" t="e">
        <f>VLOOKUP(C239,'CHẤM CÔNG '!$E$13:$AM$168,34,0)</f>
        <v>#N/A</v>
      </c>
      <c r="AC239" s="830"/>
      <c r="AD239" s="830"/>
      <c r="AE239" s="830"/>
      <c r="AF239" s="830"/>
      <c r="AG239" s="830"/>
      <c r="AH239" s="830"/>
      <c r="AI239" s="830"/>
      <c r="AJ239" s="830"/>
      <c r="AK239" s="836"/>
      <c r="AL239" s="837" t="e">
        <f>VLOOKUP(C239,'sản lượng'!$D$14:$AP$169,38,0)</f>
        <v>#N/A</v>
      </c>
      <c r="AM239" s="801">
        <v>1746</v>
      </c>
      <c r="AN239" s="831" t="e">
        <f t="shared" si="57"/>
        <v>#N/A</v>
      </c>
      <c r="AP239" s="799">
        <f t="shared" si="58"/>
        <v>2</v>
      </c>
      <c r="AR239" s="799">
        <v>1</v>
      </c>
    </row>
    <row r="240" spans="1:44" ht="15.75">
      <c r="A240" s="850">
        <v>11</v>
      </c>
      <c r="B240" s="813" t="str">
        <f>VLOOKUP(C240,'DS CN MOI UP'!$B$10:$C$389,2,0)</f>
        <v>03353</v>
      </c>
      <c r="C240" s="818" t="s">
        <v>134</v>
      </c>
      <c r="D240" s="851" t="s">
        <v>15</v>
      </c>
      <c r="E240" s="815">
        <f t="shared" si="54"/>
        <v>24</v>
      </c>
      <c r="F240" s="815"/>
      <c r="G240" s="815"/>
      <c r="H240" s="960"/>
      <c r="I240" s="815"/>
      <c r="J240" s="815"/>
      <c r="K240" s="815"/>
      <c r="L240" s="815"/>
      <c r="M240" s="815"/>
      <c r="N240" s="815"/>
      <c r="O240" s="815"/>
      <c r="P240" s="815"/>
      <c r="Q240" s="815"/>
      <c r="R240" s="815"/>
      <c r="S240" s="830">
        <f t="shared" si="55"/>
        <v>24</v>
      </c>
      <c r="T240" s="830" t="e">
        <f>VLOOKUP(C240,'sản lượng'!$D$14:$AK$169,36,0)</f>
        <v>#N/A</v>
      </c>
      <c r="U240" s="830"/>
      <c r="V240" s="830"/>
      <c r="W240" s="830" t="e">
        <f>VLOOKUP(C240,'sản lượng'!$D$14:$AK$169,36,0)</f>
        <v>#N/A</v>
      </c>
      <c r="X240" s="830"/>
      <c r="Y240" s="830"/>
      <c r="Z240" s="830" t="e">
        <f t="shared" si="56"/>
        <v>#N/A</v>
      </c>
      <c r="AA240" s="830" t="e">
        <f>VLOOKUP(C240,'CHẤM CÔNG '!$E$13:$AM$168,33,0)</f>
        <v>#N/A</v>
      </c>
      <c r="AB240" s="830" t="e">
        <f>VLOOKUP(C240,'CHẤM CÔNG '!$E$13:$AM$168,34,0)</f>
        <v>#N/A</v>
      </c>
      <c r="AC240" s="830"/>
      <c r="AD240" s="830"/>
      <c r="AE240" s="830"/>
      <c r="AF240" s="830"/>
      <c r="AG240" s="830"/>
      <c r="AH240" s="830"/>
      <c r="AI240" s="830"/>
      <c r="AJ240" s="830"/>
      <c r="AK240" s="836"/>
      <c r="AL240" s="837" t="e">
        <f>VLOOKUP(C240,'sản lượng'!$D$14:$AP$169,38,0)</f>
        <v>#N/A</v>
      </c>
      <c r="AM240" s="801">
        <v>1937</v>
      </c>
      <c r="AN240" s="831" t="e">
        <f t="shared" si="57"/>
        <v>#N/A</v>
      </c>
      <c r="AP240" s="799">
        <f t="shared" si="58"/>
        <v>2</v>
      </c>
      <c r="AR240" s="799">
        <v>1</v>
      </c>
    </row>
    <row r="241" spans="1:44" ht="15.75">
      <c r="A241" s="850">
        <v>12</v>
      </c>
      <c r="B241" s="813" t="str">
        <f>VLOOKUP(C241,'DS CN MOI UP'!$B$10:$C$389,2,0)</f>
        <v>02518</v>
      </c>
      <c r="C241" s="818" t="s">
        <v>135</v>
      </c>
      <c r="D241" s="851" t="s">
        <v>15</v>
      </c>
      <c r="E241" s="815">
        <f t="shared" si="54"/>
        <v>24</v>
      </c>
      <c r="F241" s="815"/>
      <c r="G241" s="815"/>
      <c r="H241" s="960"/>
      <c r="I241" s="815"/>
      <c r="J241" s="815"/>
      <c r="K241" s="815"/>
      <c r="L241" s="815"/>
      <c r="M241" s="815"/>
      <c r="N241" s="815"/>
      <c r="O241" s="815"/>
      <c r="P241" s="815"/>
      <c r="Q241" s="815"/>
      <c r="R241" s="815"/>
      <c r="S241" s="830">
        <f t="shared" si="55"/>
        <v>24</v>
      </c>
      <c r="T241" s="830" t="e">
        <f>VLOOKUP(C241,'sản lượng'!$D$14:$AK$169,36,0)</f>
        <v>#N/A</v>
      </c>
      <c r="U241" s="830"/>
      <c r="V241" s="830"/>
      <c r="W241" s="830" t="e">
        <f>VLOOKUP(C241,'sản lượng'!$D$14:$AK$169,36,0)</f>
        <v>#N/A</v>
      </c>
      <c r="X241" s="830"/>
      <c r="Y241" s="830"/>
      <c r="Z241" s="830" t="e">
        <f t="shared" si="56"/>
        <v>#N/A</v>
      </c>
      <c r="AA241" s="830" t="e">
        <f>VLOOKUP(C241,'CHẤM CÔNG '!$E$13:$AM$168,33,0)</f>
        <v>#N/A</v>
      </c>
      <c r="AB241" s="830" t="e">
        <f>VLOOKUP(C241,'CHẤM CÔNG '!$E$13:$AM$168,34,0)</f>
        <v>#N/A</v>
      </c>
      <c r="AC241" s="830"/>
      <c r="AD241" s="830"/>
      <c r="AE241" s="830"/>
      <c r="AF241" s="830"/>
      <c r="AG241" s="830"/>
      <c r="AH241" s="830"/>
      <c r="AI241" s="830"/>
      <c r="AJ241" s="830"/>
      <c r="AK241" s="836"/>
      <c r="AL241" s="837" t="e">
        <f>VLOOKUP(C241,'sản lượng'!$D$14:$AP$169,38,0)</f>
        <v>#N/A</v>
      </c>
      <c r="AM241" s="801">
        <v>1832</v>
      </c>
      <c r="AN241" s="831" t="e">
        <f t="shared" si="57"/>
        <v>#N/A</v>
      </c>
      <c r="AP241" s="799">
        <f t="shared" si="58"/>
        <v>2</v>
      </c>
      <c r="AR241" s="799">
        <v>1</v>
      </c>
    </row>
    <row r="242" spans="1:44" ht="15.75">
      <c r="A242" s="850">
        <v>13</v>
      </c>
      <c r="B242" s="813" t="str">
        <f>VLOOKUP(C242,'DS CN MOI UP'!$B$10:$C$389,2,0)</f>
        <v>03355</v>
      </c>
      <c r="C242" s="818" t="s">
        <v>136</v>
      </c>
      <c r="D242" s="851" t="s">
        <v>15</v>
      </c>
      <c r="E242" s="815">
        <f t="shared" si="54"/>
        <v>24</v>
      </c>
      <c r="F242" s="815"/>
      <c r="G242" s="815"/>
      <c r="H242" s="960"/>
      <c r="I242" s="815"/>
      <c r="J242" s="815"/>
      <c r="K242" s="815"/>
      <c r="L242" s="815"/>
      <c r="M242" s="815"/>
      <c r="N242" s="815"/>
      <c r="O242" s="815"/>
      <c r="P242" s="815"/>
      <c r="Q242" s="815"/>
      <c r="R242" s="815"/>
      <c r="S242" s="830">
        <f t="shared" si="55"/>
        <v>24</v>
      </c>
      <c r="T242" s="830" t="e">
        <f>VLOOKUP(C242,'sản lượng'!$D$14:$AK$169,36,0)</f>
        <v>#N/A</v>
      </c>
      <c r="U242" s="830"/>
      <c r="V242" s="830"/>
      <c r="W242" s="830" t="e">
        <f>VLOOKUP(C242,'sản lượng'!$D$14:$AK$169,36,0)</f>
        <v>#N/A</v>
      </c>
      <c r="X242" s="830"/>
      <c r="Y242" s="830"/>
      <c r="Z242" s="830" t="e">
        <f t="shared" si="56"/>
        <v>#N/A</v>
      </c>
      <c r="AA242" s="830" t="e">
        <f>VLOOKUP(C242,'CHẤM CÔNG '!$E$13:$AM$168,33,0)</f>
        <v>#N/A</v>
      </c>
      <c r="AB242" s="830" t="e">
        <f>VLOOKUP(C242,'CHẤM CÔNG '!$E$13:$AM$168,34,0)</f>
        <v>#N/A</v>
      </c>
      <c r="AC242" s="830"/>
      <c r="AD242" s="830"/>
      <c r="AE242" s="830"/>
      <c r="AF242" s="830"/>
      <c r="AG242" s="830"/>
      <c r="AH242" s="830"/>
      <c r="AI242" s="830"/>
      <c r="AJ242" s="830"/>
      <c r="AK242" s="836"/>
      <c r="AL242" s="837" t="e">
        <f>VLOOKUP(C242,'sản lượng'!$D$14:$AP$169,38,0)</f>
        <v>#N/A</v>
      </c>
      <c r="AM242" s="801">
        <v>1305</v>
      </c>
      <c r="AN242" s="831" t="e">
        <f t="shared" si="57"/>
        <v>#N/A</v>
      </c>
      <c r="AP242" s="799">
        <f t="shared" si="58"/>
        <v>2</v>
      </c>
      <c r="AR242" s="799">
        <v>1</v>
      </c>
    </row>
    <row r="243" spans="1:44" ht="15.75">
      <c r="A243" s="850">
        <v>14</v>
      </c>
      <c r="B243" s="813" t="str">
        <f>VLOOKUP(C243,'DS CN MOI UP'!$B$10:$C$389,2,0)</f>
        <v>02521</v>
      </c>
      <c r="C243" s="818" t="s">
        <v>137</v>
      </c>
      <c r="D243" s="851" t="s">
        <v>15</v>
      </c>
      <c r="E243" s="815">
        <f t="shared" si="54"/>
        <v>24</v>
      </c>
      <c r="F243" s="815"/>
      <c r="G243" s="815"/>
      <c r="H243" s="960"/>
      <c r="I243" s="815"/>
      <c r="J243" s="815"/>
      <c r="K243" s="815"/>
      <c r="L243" s="815"/>
      <c r="M243" s="815"/>
      <c r="N243" s="815"/>
      <c r="O243" s="815"/>
      <c r="P243" s="815"/>
      <c r="Q243" s="815"/>
      <c r="R243" s="815"/>
      <c r="S243" s="830">
        <f t="shared" si="55"/>
        <v>24</v>
      </c>
      <c r="T243" s="830" t="e">
        <f>VLOOKUP(C243,'sản lượng'!$D$14:$AK$169,36,0)</f>
        <v>#N/A</v>
      </c>
      <c r="U243" s="830"/>
      <c r="V243" s="830"/>
      <c r="W243" s="830" t="e">
        <f>VLOOKUP(C243,'sản lượng'!$D$14:$AK$169,36,0)</f>
        <v>#N/A</v>
      </c>
      <c r="X243" s="830"/>
      <c r="Y243" s="830"/>
      <c r="Z243" s="830" t="e">
        <f t="shared" si="56"/>
        <v>#N/A</v>
      </c>
      <c r="AA243" s="830" t="e">
        <f>VLOOKUP(C243,'CHẤM CÔNG '!$E$13:$AM$168,33,0)</f>
        <v>#N/A</v>
      </c>
      <c r="AB243" s="830" t="e">
        <f>VLOOKUP(C243,'CHẤM CÔNG '!$E$13:$AM$168,34,0)</f>
        <v>#N/A</v>
      </c>
      <c r="AC243" s="830"/>
      <c r="AD243" s="830"/>
      <c r="AE243" s="830"/>
      <c r="AF243" s="830"/>
      <c r="AG243" s="830"/>
      <c r="AH243" s="830"/>
      <c r="AI243" s="830"/>
      <c r="AJ243" s="830"/>
      <c r="AK243" s="836"/>
      <c r="AL243" s="837" t="e">
        <f>VLOOKUP(C243,'sản lượng'!$D$14:$AP$169,38,0)</f>
        <v>#N/A</v>
      </c>
      <c r="AM243" s="801">
        <v>1722</v>
      </c>
      <c r="AN243" s="831" t="e">
        <f t="shared" si="57"/>
        <v>#N/A</v>
      </c>
      <c r="AP243" s="799">
        <f t="shared" si="58"/>
        <v>2</v>
      </c>
      <c r="AR243" s="799">
        <v>1</v>
      </c>
    </row>
    <row r="244" spans="1:44" ht="15.75">
      <c r="A244" s="850">
        <v>15</v>
      </c>
      <c r="B244" s="813" t="str">
        <f>VLOOKUP(C244,'DS CN MOI UP'!$B$10:$C$389,2,0)</f>
        <v>03356</v>
      </c>
      <c r="C244" s="818" t="s">
        <v>138</v>
      </c>
      <c r="D244" s="851" t="s">
        <v>15</v>
      </c>
      <c r="E244" s="815">
        <f t="shared" si="54"/>
        <v>24</v>
      </c>
      <c r="F244" s="815"/>
      <c r="G244" s="815"/>
      <c r="H244" s="960"/>
      <c r="I244" s="815"/>
      <c r="J244" s="815"/>
      <c r="K244" s="815"/>
      <c r="L244" s="815"/>
      <c r="M244" s="815"/>
      <c r="N244" s="815"/>
      <c r="O244" s="815"/>
      <c r="P244" s="815"/>
      <c r="Q244" s="815"/>
      <c r="R244" s="815"/>
      <c r="S244" s="830">
        <f t="shared" si="55"/>
        <v>24</v>
      </c>
      <c r="T244" s="830" t="e">
        <f>VLOOKUP(C244,'sản lượng'!$D$14:$AK$169,36,0)</f>
        <v>#N/A</v>
      </c>
      <c r="U244" s="830"/>
      <c r="V244" s="830"/>
      <c r="W244" s="830" t="e">
        <f>VLOOKUP(C244,'sản lượng'!$D$14:$AK$169,36,0)</f>
        <v>#N/A</v>
      </c>
      <c r="X244" s="830"/>
      <c r="Y244" s="830"/>
      <c r="Z244" s="830" t="e">
        <f t="shared" si="56"/>
        <v>#N/A</v>
      </c>
      <c r="AA244" s="830" t="e">
        <f>VLOOKUP(C244,'CHẤM CÔNG '!$E$13:$AM$168,33,0)</f>
        <v>#N/A</v>
      </c>
      <c r="AB244" s="830" t="e">
        <f>VLOOKUP(C244,'CHẤM CÔNG '!$E$13:$AM$168,34,0)</f>
        <v>#N/A</v>
      </c>
      <c r="AC244" s="830"/>
      <c r="AD244" s="830"/>
      <c r="AE244" s="830"/>
      <c r="AF244" s="830"/>
      <c r="AG244" s="830"/>
      <c r="AH244" s="830"/>
      <c r="AI244" s="830"/>
      <c r="AJ244" s="830"/>
      <c r="AK244" s="836"/>
      <c r="AL244" s="837" t="e">
        <f>VLOOKUP(C244,'sản lượng'!$D$14:$AP$169,38,0)</f>
        <v>#N/A</v>
      </c>
      <c r="AM244" s="801">
        <v>1304</v>
      </c>
      <c r="AN244" s="831" t="e">
        <f t="shared" si="57"/>
        <v>#N/A</v>
      </c>
      <c r="AP244" s="799">
        <f t="shared" si="58"/>
        <v>2</v>
      </c>
      <c r="AR244" s="799">
        <v>1</v>
      </c>
    </row>
    <row r="245" spans="1:44" ht="15.75">
      <c r="A245" s="850">
        <v>16</v>
      </c>
      <c r="B245" s="813" t="str">
        <f>VLOOKUP(C245,'DS CN MOI UP'!$B$10:$C$389,2,0)</f>
        <v>02524</v>
      </c>
      <c r="C245" s="818" t="s">
        <v>139</v>
      </c>
      <c r="D245" s="851" t="s">
        <v>15</v>
      </c>
      <c r="E245" s="815">
        <f t="shared" si="54"/>
        <v>24</v>
      </c>
      <c r="F245" s="815"/>
      <c r="G245" s="815"/>
      <c r="H245" s="960"/>
      <c r="I245" s="815"/>
      <c r="J245" s="815"/>
      <c r="K245" s="815"/>
      <c r="L245" s="815"/>
      <c r="M245" s="815"/>
      <c r="N245" s="815"/>
      <c r="O245" s="815"/>
      <c r="P245" s="815"/>
      <c r="Q245" s="815"/>
      <c r="R245" s="815"/>
      <c r="S245" s="830">
        <f t="shared" si="55"/>
        <v>24</v>
      </c>
      <c r="T245" s="830" t="e">
        <f>VLOOKUP(C245,'sản lượng'!$D$14:$AK$169,36,0)</f>
        <v>#N/A</v>
      </c>
      <c r="U245" s="830"/>
      <c r="V245" s="830"/>
      <c r="W245" s="830" t="e">
        <f>VLOOKUP(C245,'sản lượng'!$D$14:$AK$169,36,0)</f>
        <v>#N/A</v>
      </c>
      <c r="X245" s="830"/>
      <c r="Y245" s="830"/>
      <c r="Z245" s="830" t="e">
        <f t="shared" si="56"/>
        <v>#N/A</v>
      </c>
      <c r="AA245" s="830" t="e">
        <f>VLOOKUP(C245,'CHẤM CÔNG '!$E$13:$AM$168,33,0)</f>
        <v>#N/A</v>
      </c>
      <c r="AB245" s="830" t="e">
        <f>VLOOKUP(C245,'CHẤM CÔNG '!$E$13:$AM$168,34,0)</f>
        <v>#N/A</v>
      </c>
      <c r="AC245" s="830"/>
      <c r="AD245" s="830"/>
      <c r="AE245" s="830"/>
      <c r="AF245" s="830"/>
      <c r="AG245" s="830"/>
      <c r="AH245" s="830"/>
      <c r="AI245" s="830"/>
      <c r="AJ245" s="830"/>
      <c r="AK245" s="836"/>
      <c r="AL245" s="837" t="e">
        <f>VLOOKUP(C245,'sản lượng'!$D$14:$AP$169,38,0)</f>
        <v>#N/A</v>
      </c>
      <c r="AM245" s="801">
        <v>2276</v>
      </c>
      <c r="AN245" s="831" t="e">
        <f t="shared" si="57"/>
        <v>#N/A</v>
      </c>
      <c r="AP245" s="799">
        <f t="shared" si="58"/>
        <v>2</v>
      </c>
      <c r="AR245" s="799">
        <v>1</v>
      </c>
    </row>
    <row r="246" spans="1:44" ht="15.75">
      <c r="A246" s="850">
        <v>17</v>
      </c>
      <c r="B246" s="813" t="str">
        <f>VLOOKUP(C246,'DS CN MOI UP'!$B$10:$C$389,2,0)</f>
        <v>03357</v>
      </c>
      <c r="C246" s="818" t="s">
        <v>140</v>
      </c>
      <c r="D246" s="851" t="s">
        <v>15</v>
      </c>
      <c r="E246" s="815">
        <f t="shared" si="54"/>
        <v>24</v>
      </c>
      <c r="F246" s="815"/>
      <c r="G246" s="815"/>
      <c r="H246" s="960"/>
      <c r="I246" s="815"/>
      <c r="J246" s="815"/>
      <c r="K246" s="815"/>
      <c r="L246" s="815"/>
      <c r="M246" s="815"/>
      <c r="N246" s="815"/>
      <c r="O246" s="815"/>
      <c r="P246" s="815"/>
      <c r="Q246" s="815"/>
      <c r="R246" s="815"/>
      <c r="S246" s="830">
        <f t="shared" si="55"/>
        <v>24</v>
      </c>
      <c r="T246" s="830" t="e">
        <f>VLOOKUP(C246,'sản lượng'!$D$14:$AK$169,36,0)</f>
        <v>#N/A</v>
      </c>
      <c r="U246" s="830"/>
      <c r="V246" s="830"/>
      <c r="W246" s="830" t="e">
        <f>VLOOKUP(C246,'sản lượng'!$D$14:$AK$169,36,0)</f>
        <v>#N/A</v>
      </c>
      <c r="X246" s="830"/>
      <c r="Y246" s="830"/>
      <c r="Z246" s="830" t="e">
        <f t="shared" si="56"/>
        <v>#N/A</v>
      </c>
      <c r="AA246" s="830" t="e">
        <f>VLOOKUP(C246,'CHẤM CÔNG '!$E$13:$AM$168,33,0)</f>
        <v>#N/A</v>
      </c>
      <c r="AB246" s="830" t="e">
        <f>VLOOKUP(C246,'CHẤM CÔNG '!$E$13:$AM$168,34,0)</f>
        <v>#N/A</v>
      </c>
      <c r="AC246" s="830"/>
      <c r="AD246" s="830"/>
      <c r="AE246" s="830"/>
      <c r="AF246" s="830"/>
      <c r="AG246" s="830"/>
      <c r="AH246" s="830"/>
      <c r="AI246" s="830"/>
      <c r="AJ246" s="830"/>
      <c r="AK246" s="836"/>
      <c r="AL246" s="837" t="e">
        <f>VLOOKUP(C246,'sản lượng'!$D$14:$AP$169,38,0)</f>
        <v>#N/A</v>
      </c>
      <c r="AM246" s="801">
        <v>2274</v>
      </c>
      <c r="AN246" s="831" t="e">
        <f t="shared" si="57"/>
        <v>#N/A</v>
      </c>
      <c r="AP246" s="799">
        <f t="shared" si="58"/>
        <v>2</v>
      </c>
      <c r="AR246" s="799">
        <v>1</v>
      </c>
    </row>
    <row r="247" spans="1:44" ht="15.75">
      <c r="A247" s="850">
        <v>18</v>
      </c>
      <c r="B247" s="813" t="str">
        <f>VLOOKUP(C247,'DS CN MOI UP'!$B$10:$C$389,2,0)</f>
        <v>03358</v>
      </c>
      <c r="C247" s="818" t="s">
        <v>141</v>
      </c>
      <c r="D247" s="851" t="s">
        <v>15</v>
      </c>
      <c r="E247" s="815">
        <f t="shared" si="54"/>
        <v>24</v>
      </c>
      <c r="F247" s="815"/>
      <c r="G247" s="815"/>
      <c r="H247" s="960"/>
      <c r="I247" s="815"/>
      <c r="J247" s="815"/>
      <c r="K247" s="815"/>
      <c r="L247" s="815"/>
      <c r="M247" s="815"/>
      <c r="N247" s="815"/>
      <c r="O247" s="815"/>
      <c r="P247" s="815"/>
      <c r="Q247" s="815"/>
      <c r="R247" s="815"/>
      <c r="S247" s="830">
        <f t="shared" si="55"/>
        <v>24</v>
      </c>
      <c r="T247" s="830" t="e">
        <f>VLOOKUP(C247,'sản lượng'!$D$14:$AK$169,36,0)</f>
        <v>#N/A</v>
      </c>
      <c r="U247" s="830"/>
      <c r="V247" s="830"/>
      <c r="W247" s="830" t="e">
        <f>VLOOKUP(C247,'sản lượng'!$D$14:$AK$169,36,0)</f>
        <v>#N/A</v>
      </c>
      <c r="X247" s="830"/>
      <c r="Y247" s="830"/>
      <c r="Z247" s="830" t="e">
        <f t="shared" si="56"/>
        <v>#N/A</v>
      </c>
      <c r="AA247" s="830" t="e">
        <f>VLOOKUP(C247,'CHẤM CÔNG '!$E$13:$AM$168,33,0)</f>
        <v>#N/A</v>
      </c>
      <c r="AB247" s="830" t="e">
        <f>VLOOKUP(C247,'CHẤM CÔNG '!$E$13:$AM$168,34,0)</f>
        <v>#N/A</v>
      </c>
      <c r="AC247" s="830"/>
      <c r="AD247" s="830"/>
      <c r="AE247" s="830"/>
      <c r="AF247" s="830"/>
      <c r="AG247" s="830"/>
      <c r="AH247" s="830"/>
      <c r="AI247" s="830"/>
      <c r="AJ247" s="830"/>
      <c r="AK247" s="836"/>
      <c r="AL247" s="837" t="e">
        <f>VLOOKUP(C247,'sản lượng'!$D$14:$AP$169,38,0)</f>
        <v>#N/A</v>
      </c>
      <c r="AM247" s="801">
        <v>1965</v>
      </c>
      <c r="AN247" s="831" t="e">
        <f t="shared" si="57"/>
        <v>#N/A</v>
      </c>
      <c r="AP247" s="799">
        <f t="shared" si="58"/>
        <v>3</v>
      </c>
    </row>
    <row r="248" spans="1:44" ht="15.75">
      <c r="A248" s="850">
        <v>19</v>
      </c>
      <c r="B248" s="813" t="str">
        <f>VLOOKUP(C248,'DS CN MOI UP'!$B$10:$C$389,2,0)</f>
        <v>02556</v>
      </c>
      <c r="C248" s="818" t="s">
        <v>142</v>
      </c>
      <c r="D248" s="851" t="s">
        <v>15</v>
      </c>
      <c r="E248" s="815">
        <f t="shared" si="54"/>
        <v>24</v>
      </c>
      <c r="F248" s="815"/>
      <c r="G248" s="815"/>
      <c r="H248" s="960"/>
      <c r="I248" s="815"/>
      <c r="J248" s="815"/>
      <c r="K248" s="815"/>
      <c r="L248" s="815"/>
      <c r="M248" s="815"/>
      <c r="N248" s="815"/>
      <c r="O248" s="815"/>
      <c r="P248" s="815"/>
      <c r="Q248" s="815"/>
      <c r="R248" s="815"/>
      <c r="S248" s="830">
        <f t="shared" si="55"/>
        <v>24</v>
      </c>
      <c r="T248" s="830" t="e">
        <f>VLOOKUP(C248,'sản lượng'!$D$14:$AK$169,36,0)</f>
        <v>#N/A</v>
      </c>
      <c r="U248" s="830"/>
      <c r="V248" s="830"/>
      <c r="W248" s="830" t="e">
        <f>VLOOKUP(C248,'sản lượng'!$D$14:$AK$169,36,0)</f>
        <v>#N/A</v>
      </c>
      <c r="X248" s="830"/>
      <c r="Y248" s="830"/>
      <c r="Z248" s="830" t="e">
        <f t="shared" si="56"/>
        <v>#N/A</v>
      </c>
      <c r="AA248" s="830" t="e">
        <f>VLOOKUP(C248,'CHẤM CÔNG '!$E$13:$AM$168,33,0)</f>
        <v>#N/A</v>
      </c>
      <c r="AB248" s="830" t="e">
        <f>VLOOKUP(C248,'CHẤM CÔNG '!$E$13:$AM$168,34,0)</f>
        <v>#N/A</v>
      </c>
      <c r="AC248" s="830"/>
      <c r="AD248" s="830"/>
      <c r="AE248" s="830"/>
      <c r="AF248" s="830"/>
      <c r="AG248" s="830"/>
      <c r="AH248" s="830"/>
      <c r="AI248" s="830"/>
      <c r="AJ248" s="830"/>
      <c r="AK248" s="836"/>
      <c r="AL248" s="837" t="e">
        <f>VLOOKUP(C248,'sản lượng'!$D$14:$AP$169,38,0)</f>
        <v>#N/A</v>
      </c>
      <c r="AM248" s="801">
        <v>797</v>
      </c>
      <c r="AN248" s="831" t="e">
        <f t="shared" si="57"/>
        <v>#N/A</v>
      </c>
      <c r="AP248" s="799">
        <f t="shared" si="58"/>
        <v>3</v>
      </c>
    </row>
    <row r="249" spans="1:44" ht="15.75">
      <c r="A249" s="850">
        <v>20</v>
      </c>
      <c r="B249" s="813" t="str">
        <f>VLOOKUP(C249,'DS CN MOI UP'!$B$10:$C$389,2,0)</f>
        <v>02537</v>
      </c>
      <c r="C249" s="818" t="s">
        <v>143</v>
      </c>
      <c r="D249" s="851" t="s">
        <v>15</v>
      </c>
      <c r="E249" s="815">
        <f t="shared" si="54"/>
        <v>24</v>
      </c>
      <c r="F249" s="815"/>
      <c r="G249" s="815"/>
      <c r="H249" s="960"/>
      <c r="I249" s="815"/>
      <c r="J249" s="815"/>
      <c r="K249" s="815"/>
      <c r="L249" s="815"/>
      <c r="M249" s="815"/>
      <c r="N249" s="815"/>
      <c r="O249" s="815"/>
      <c r="P249" s="815"/>
      <c r="Q249" s="815"/>
      <c r="R249" s="815"/>
      <c r="S249" s="830">
        <f t="shared" si="55"/>
        <v>24</v>
      </c>
      <c r="T249" s="830" t="e">
        <f>VLOOKUP(C249,'sản lượng'!$D$14:$AK$169,36,0)</f>
        <v>#N/A</v>
      </c>
      <c r="U249" s="830"/>
      <c r="V249" s="830"/>
      <c r="W249" s="830" t="e">
        <f>VLOOKUP(C249,'sản lượng'!$D$14:$AK$169,36,0)</f>
        <v>#N/A</v>
      </c>
      <c r="X249" s="830"/>
      <c r="Y249" s="830"/>
      <c r="Z249" s="830" t="e">
        <f t="shared" si="56"/>
        <v>#N/A</v>
      </c>
      <c r="AA249" s="830" t="e">
        <f>VLOOKUP(C249,'CHẤM CÔNG '!$E$13:$AM$168,33,0)</f>
        <v>#N/A</v>
      </c>
      <c r="AB249" s="830" t="e">
        <f>VLOOKUP(C249,'CHẤM CÔNG '!$E$13:$AM$168,34,0)</f>
        <v>#N/A</v>
      </c>
      <c r="AC249" s="830"/>
      <c r="AD249" s="830"/>
      <c r="AE249" s="830"/>
      <c r="AF249" s="830"/>
      <c r="AG249" s="830"/>
      <c r="AH249" s="830"/>
      <c r="AI249" s="830"/>
      <c r="AJ249" s="830"/>
      <c r="AK249" s="836"/>
      <c r="AL249" s="837" t="e">
        <f>VLOOKUP(C249,'sản lượng'!$D$14:$AP$169,38,0)</f>
        <v>#N/A</v>
      </c>
      <c r="AM249" s="801">
        <v>1518</v>
      </c>
      <c r="AN249" s="831" t="e">
        <f t="shared" si="57"/>
        <v>#N/A</v>
      </c>
      <c r="AP249" s="799">
        <f t="shared" si="58"/>
        <v>3</v>
      </c>
    </row>
    <row r="250" spans="1:44" ht="15.75">
      <c r="A250" s="850">
        <v>21</v>
      </c>
      <c r="B250" s="813" t="str">
        <f>VLOOKUP(C250,'DS CN MOI UP'!$B$10:$C$389,2,0)</f>
        <v>03359</v>
      </c>
      <c r="C250" s="818" t="s">
        <v>144</v>
      </c>
      <c r="D250" s="851" t="s">
        <v>15</v>
      </c>
      <c r="E250" s="815">
        <f t="shared" si="54"/>
        <v>24</v>
      </c>
      <c r="F250" s="815"/>
      <c r="G250" s="815"/>
      <c r="H250" s="960"/>
      <c r="I250" s="815"/>
      <c r="J250" s="815"/>
      <c r="K250" s="815"/>
      <c r="L250" s="815"/>
      <c r="M250" s="815"/>
      <c r="N250" s="815"/>
      <c r="O250" s="815"/>
      <c r="P250" s="815"/>
      <c r="Q250" s="815"/>
      <c r="R250" s="815"/>
      <c r="S250" s="830">
        <f t="shared" si="55"/>
        <v>24</v>
      </c>
      <c r="T250" s="830" t="e">
        <f>VLOOKUP(C250,'sản lượng'!$D$14:$AK$169,36,0)</f>
        <v>#N/A</v>
      </c>
      <c r="U250" s="830"/>
      <c r="V250" s="830"/>
      <c r="W250" s="830" t="e">
        <f>VLOOKUP(C250,'sản lượng'!$D$14:$AK$169,36,0)</f>
        <v>#N/A</v>
      </c>
      <c r="X250" s="830"/>
      <c r="Y250" s="830"/>
      <c r="Z250" s="830" t="e">
        <f t="shared" si="56"/>
        <v>#N/A</v>
      </c>
      <c r="AA250" s="830" t="e">
        <f>VLOOKUP(C250,'CHẤM CÔNG '!$E$13:$AM$168,33,0)</f>
        <v>#N/A</v>
      </c>
      <c r="AB250" s="830" t="e">
        <f>VLOOKUP(C250,'CHẤM CÔNG '!$E$13:$AM$168,34,0)</f>
        <v>#N/A</v>
      </c>
      <c r="AC250" s="830"/>
      <c r="AD250" s="830"/>
      <c r="AE250" s="830"/>
      <c r="AF250" s="830"/>
      <c r="AG250" s="830"/>
      <c r="AH250" s="830"/>
      <c r="AI250" s="830"/>
      <c r="AJ250" s="830"/>
      <c r="AK250" s="836"/>
      <c r="AL250" s="837" t="e">
        <f>VLOOKUP(C250,'sản lượng'!$D$14:$AP$169,38,0)</f>
        <v>#N/A</v>
      </c>
      <c r="AM250" s="801">
        <v>1263</v>
      </c>
      <c r="AN250" s="831" t="e">
        <f t="shared" si="57"/>
        <v>#N/A</v>
      </c>
      <c r="AP250" s="799">
        <f t="shared" si="58"/>
        <v>3</v>
      </c>
    </row>
    <row r="251" spans="1:44" ht="15.75">
      <c r="A251" s="850">
        <v>22</v>
      </c>
      <c r="B251" s="813" t="str">
        <f>VLOOKUP(C251,'DS CN MOI UP'!$B$10:$C$389,2,0)</f>
        <v>03360</v>
      </c>
      <c r="C251" s="818" t="s">
        <v>145</v>
      </c>
      <c r="D251" s="851" t="s">
        <v>15</v>
      </c>
      <c r="E251" s="815">
        <f t="shared" si="54"/>
        <v>24</v>
      </c>
      <c r="F251" s="815"/>
      <c r="G251" s="815"/>
      <c r="H251" s="960"/>
      <c r="I251" s="815"/>
      <c r="J251" s="815"/>
      <c r="K251" s="815"/>
      <c r="L251" s="815"/>
      <c r="M251" s="815"/>
      <c r="N251" s="815"/>
      <c r="O251" s="815"/>
      <c r="P251" s="815"/>
      <c r="Q251" s="815"/>
      <c r="R251" s="815"/>
      <c r="S251" s="830">
        <f t="shared" si="55"/>
        <v>24</v>
      </c>
      <c r="T251" s="830" t="e">
        <f>VLOOKUP(C251,'sản lượng'!$D$14:$AK$169,36,0)</f>
        <v>#N/A</v>
      </c>
      <c r="U251" s="830"/>
      <c r="V251" s="830"/>
      <c r="W251" s="830" t="e">
        <f>VLOOKUP(C251,'sản lượng'!$D$14:$AK$169,36,0)</f>
        <v>#N/A</v>
      </c>
      <c r="X251" s="830"/>
      <c r="Y251" s="830"/>
      <c r="Z251" s="830" t="e">
        <f t="shared" si="56"/>
        <v>#N/A</v>
      </c>
      <c r="AA251" s="830" t="e">
        <f>VLOOKUP(C251,'CHẤM CÔNG '!$E$13:$AM$168,33,0)</f>
        <v>#N/A</v>
      </c>
      <c r="AB251" s="830" t="e">
        <f>VLOOKUP(C251,'CHẤM CÔNG '!$E$13:$AM$168,34,0)</f>
        <v>#N/A</v>
      </c>
      <c r="AC251" s="830"/>
      <c r="AD251" s="830"/>
      <c r="AE251" s="830"/>
      <c r="AF251" s="830"/>
      <c r="AG251" s="830"/>
      <c r="AH251" s="830"/>
      <c r="AI251" s="830"/>
      <c r="AJ251" s="830"/>
      <c r="AK251" s="836"/>
      <c r="AL251" s="837" t="e">
        <f>VLOOKUP(C251,'sản lượng'!$D$14:$AP$169,38,0)</f>
        <v>#N/A</v>
      </c>
      <c r="AM251" s="801">
        <v>1497</v>
      </c>
      <c r="AN251" s="831" t="e">
        <f t="shared" si="57"/>
        <v>#N/A</v>
      </c>
      <c r="AP251" s="799">
        <f t="shared" si="58"/>
        <v>3</v>
      </c>
    </row>
    <row r="252" spans="1:44" ht="15.75">
      <c r="A252" s="850">
        <v>23</v>
      </c>
      <c r="B252" s="813" t="str">
        <f>VLOOKUP(C252,'DS CN MOI UP'!$B$10:$C$389,2,0)</f>
        <v>03413</v>
      </c>
      <c r="C252" s="818" t="s">
        <v>146</v>
      </c>
      <c r="D252" s="851" t="s">
        <v>15</v>
      </c>
      <c r="E252" s="815">
        <f t="shared" si="54"/>
        <v>24</v>
      </c>
      <c r="F252" s="815"/>
      <c r="G252" s="815"/>
      <c r="H252" s="960"/>
      <c r="I252" s="815"/>
      <c r="J252" s="815"/>
      <c r="K252" s="815"/>
      <c r="L252" s="815"/>
      <c r="M252" s="815"/>
      <c r="N252" s="815"/>
      <c r="O252" s="815"/>
      <c r="P252" s="815"/>
      <c r="Q252" s="815"/>
      <c r="R252" s="815"/>
      <c r="S252" s="830">
        <f t="shared" si="55"/>
        <v>24</v>
      </c>
      <c r="T252" s="830" t="e">
        <f>VLOOKUP(C252,'sản lượng'!$D$14:$AK$169,36,0)</f>
        <v>#N/A</v>
      </c>
      <c r="U252" s="830"/>
      <c r="V252" s="830"/>
      <c r="W252" s="830" t="e">
        <f>VLOOKUP(C252,'sản lượng'!$D$14:$AK$169,36,0)</f>
        <v>#N/A</v>
      </c>
      <c r="X252" s="830"/>
      <c r="Y252" s="830"/>
      <c r="Z252" s="830" t="e">
        <f t="shared" si="56"/>
        <v>#N/A</v>
      </c>
      <c r="AA252" s="830" t="e">
        <f>VLOOKUP(C252,'CHẤM CÔNG '!$E$13:$AM$168,33,0)</f>
        <v>#N/A</v>
      </c>
      <c r="AB252" s="830" t="e">
        <f>VLOOKUP(C252,'CHẤM CÔNG '!$E$13:$AM$168,34,0)</f>
        <v>#N/A</v>
      </c>
      <c r="AC252" s="830"/>
      <c r="AD252" s="830"/>
      <c r="AE252" s="830"/>
      <c r="AF252" s="830"/>
      <c r="AG252" s="830"/>
      <c r="AH252" s="830"/>
      <c r="AI252" s="830"/>
      <c r="AJ252" s="830"/>
      <c r="AK252" s="836"/>
      <c r="AL252" s="837" t="e">
        <f>VLOOKUP(C252,'sản lượng'!$D$14:$AP$169,38,0)</f>
        <v>#N/A</v>
      </c>
      <c r="AM252" s="801">
        <v>836</v>
      </c>
      <c r="AN252" s="831" t="e">
        <f t="shared" si="57"/>
        <v>#N/A</v>
      </c>
      <c r="AP252" s="799">
        <f t="shared" si="58"/>
        <v>3</v>
      </c>
    </row>
    <row r="253" spans="1:44" ht="15.75">
      <c r="A253" s="850">
        <v>24</v>
      </c>
      <c r="B253" s="813" t="str">
        <f>VLOOKUP(C253,'DS CN MOI UP'!$B$10:$C$389,2,0)</f>
        <v>03361</v>
      </c>
      <c r="C253" s="818" t="s">
        <v>147</v>
      </c>
      <c r="D253" s="851" t="s">
        <v>15</v>
      </c>
      <c r="E253" s="815">
        <f t="shared" si="54"/>
        <v>24</v>
      </c>
      <c r="F253" s="815"/>
      <c r="G253" s="815"/>
      <c r="H253" s="960"/>
      <c r="I253" s="815"/>
      <c r="J253" s="815"/>
      <c r="K253" s="815"/>
      <c r="L253" s="815"/>
      <c r="M253" s="815"/>
      <c r="N253" s="815"/>
      <c r="O253" s="815"/>
      <c r="P253" s="815"/>
      <c r="Q253" s="815"/>
      <c r="R253" s="815"/>
      <c r="S253" s="830">
        <f t="shared" si="55"/>
        <v>24</v>
      </c>
      <c r="T253" s="830" t="e">
        <f>VLOOKUP(C253,'sản lượng'!$D$14:$AK$169,36,0)</f>
        <v>#N/A</v>
      </c>
      <c r="U253" s="830"/>
      <c r="V253" s="830"/>
      <c r="W253" s="830" t="e">
        <f>VLOOKUP(C253,'sản lượng'!$D$14:$AK$169,36,0)</f>
        <v>#N/A</v>
      </c>
      <c r="X253" s="830"/>
      <c r="Y253" s="830"/>
      <c r="Z253" s="830" t="e">
        <f t="shared" si="56"/>
        <v>#N/A</v>
      </c>
      <c r="AA253" s="830" t="e">
        <f>VLOOKUP(C253,'CHẤM CÔNG '!$E$13:$AM$168,33,0)</f>
        <v>#N/A</v>
      </c>
      <c r="AB253" s="830" t="e">
        <f>VLOOKUP(C253,'CHẤM CÔNG '!$E$13:$AM$168,34,0)</f>
        <v>#N/A</v>
      </c>
      <c r="AC253" s="830"/>
      <c r="AD253" s="830"/>
      <c r="AE253" s="830"/>
      <c r="AF253" s="830"/>
      <c r="AG253" s="830"/>
      <c r="AH253" s="830"/>
      <c r="AI253" s="830"/>
      <c r="AJ253" s="830"/>
      <c r="AK253" s="836"/>
      <c r="AL253" s="837" t="e">
        <f>VLOOKUP(C253,'sản lượng'!$D$14:$AP$169,38,0)</f>
        <v>#N/A</v>
      </c>
      <c r="AM253" s="801">
        <v>2568</v>
      </c>
      <c r="AN253" s="831" t="e">
        <f t="shared" si="57"/>
        <v>#N/A</v>
      </c>
      <c r="AP253" s="799">
        <f t="shared" si="58"/>
        <v>3</v>
      </c>
    </row>
    <row r="254" spans="1:44" ht="15.75">
      <c r="A254" s="850">
        <v>25</v>
      </c>
      <c r="B254" s="813" t="str">
        <f>VLOOKUP(C254,'DS CN MOI UP'!$B$10:$C$389,2,0)</f>
        <v>02554</v>
      </c>
      <c r="C254" s="818" t="s">
        <v>148</v>
      </c>
      <c r="D254" s="851" t="s">
        <v>15</v>
      </c>
      <c r="E254" s="815">
        <f t="shared" si="54"/>
        <v>24</v>
      </c>
      <c r="F254" s="815"/>
      <c r="G254" s="815"/>
      <c r="H254" s="960"/>
      <c r="I254" s="815"/>
      <c r="J254" s="815"/>
      <c r="K254" s="815"/>
      <c r="L254" s="815"/>
      <c r="M254" s="815"/>
      <c r="N254" s="815"/>
      <c r="O254" s="815"/>
      <c r="P254" s="815"/>
      <c r="Q254" s="815"/>
      <c r="R254" s="815"/>
      <c r="S254" s="830">
        <f t="shared" si="55"/>
        <v>24</v>
      </c>
      <c r="T254" s="830" t="e">
        <f>VLOOKUP(C254,'sản lượng'!$D$14:$AK$169,36,0)</f>
        <v>#N/A</v>
      </c>
      <c r="U254" s="830"/>
      <c r="V254" s="830"/>
      <c r="W254" s="830" t="e">
        <f>VLOOKUP(C254,'sản lượng'!$D$14:$AK$169,36,0)</f>
        <v>#N/A</v>
      </c>
      <c r="X254" s="830"/>
      <c r="Y254" s="830"/>
      <c r="Z254" s="830" t="e">
        <f t="shared" si="56"/>
        <v>#N/A</v>
      </c>
      <c r="AA254" s="830" t="e">
        <f>VLOOKUP(C254,'CHẤM CÔNG '!$E$13:$AM$168,33,0)</f>
        <v>#N/A</v>
      </c>
      <c r="AB254" s="830" t="e">
        <f>VLOOKUP(C254,'CHẤM CÔNG '!$E$13:$AM$168,34,0)</f>
        <v>#N/A</v>
      </c>
      <c r="AC254" s="830"/>
      <c r="AD254" s="830"/>
      <c r="AE254" s="830"/>
      <c r="AF254" s="830"/>
      <c r="AG254" s="830"/>
      <c r="AH254" s="830"/>
      <c r="AI254" s="830"/>
      <c r="AJ254" s="830"/>
      <c r="AK254" s="836"/>
      <c r="AL254" s="837" t="e">
        <f>VLOOKUP(C254,'sản lượng'!$D$14:$AP$169,38,0)</f>
        <v>#N/A</v>
      </c>
      <c r="AM254" s="801">
        <v>1275</v>
      </c>
      <c r="AN254" s="831" t="e">
        <f t="shared" si="57"/>
        <v>#N/A</v>
      </c>
      <c r="AP254" s="799">
        <f t="shared" si="58"/>
        <v>3</v>
      </c>
    </row>
    <row r="255" spans="1:44" ht="15.75">
      <c r="A255" s="850">
        <v>26</v>
      </c>
      <c r="B255" s="813" t="str">
        <f>VLOOKUP(C255,'DS CN MOI UP'!$B$10:$C$389,2,0)</f>
        <v>02534</v>
      </c>
      <c r="C255" s="818" t="s">
        <v>149</v>
      </c>
      <c r="D255" s="851" t="s">
        <v>15</v>
      </c>
      <c r="E255" s="815">
        <f t="shared" si="54"/>
        <v>24</v>
      </c>
      <c r="F255" s="815"/>
      <c r="G255" s="815"/>
      <c r="H255" s="960"/>
      <c r="I255" s="815"/>
      <c r="J255" s="815"/>
      <c r="K255" s="815"/>
      <c r="L255" s="815"/>
      <c r="M255" s="815"/>
      <c r="N255" s="815"/>
      <c r="O255" s="815"/>
      <c r="P255" s="815"/>
      <c r="Q255" s="815"/>
      <c r="R255" s="815"/>
      <c r="S255" s="830">
        <f t="shared" si="55"/>
        <v>24</v>
      </c>
      <c r="T255" s="830" t="e">
        <f>VLOOKUP(C255,'sản lượng'!$D$14:$AK$169,36,0)</f>
        <v>#N/A</v>
      </c>
      <c r="U255" s="830"/>
      <c r="V255" s="830"/>
      <c r="W255" s="830" t="e">
        <f>VLOOKUP(C255,'sản lượng'!$D$14:$AK$169,36,0)</f>
        <v>#N/A</v>
      </c>
      <c r="X255" s="830"/>
      <c r="Y255" s="830"/>
      <c r="Z255" s="830" t="e">
        <f t="shared" si="56"/>
        <v>#N/A</v>
      </c>
      <c r="AA255" s="830" t="e">
        <f>VLOOKUP(C255,'CHẤM CÔNG '!$E$13:$AM$168,33,0)</f>
        <v>#N/A</v>
      </c>
      <c r="AB255" s="830" t="e">
        <f>VLOOKUP(C255,'CHẤM CÔNG '!$E$13:$AM$168,34,0)</f>
        <v>#N/A</v>
      </c>
      <c r="AC255" s="830"/>
      <c r="AD255" s="830"/>
      <c r="AE255" s="830"/>
      <c r="AF255" s="830"/>
      <c r="AG255" s="830"/>
      <c r="AH255" s="830"/>
      <c r="AI255" s="830"/>
      <c r="AJ255" s="830"/>
      <c r="AK255" s="836"/>
      <c r="AL255" s="837" t="e">
        <f>VLOOKUP(C255,'sản lượng'!$D$14:$AP$169,38,0)</f>
        <v>#N/A</v>
      </c>
      <c r="AM255" s="801">
        <v>2116</v>
      </c>
      <c r="AN255" s="831" t="e">
        <f t="shared" si="57"/>
        <v>#N/A</v>
      </c>
      <c r="AP255" s="799">
        <f t="shared" si="58"/>
        <v>3</v>
      </c>
    </row>
    <row r="256" spans="1:44" ht="15.75">
      <c r="A256" s="850">
        <v>27</v>
      </c>
      <c r="B256" s="813" t="str">
        <f>VLOOKUP(C256,'DS CN MOI UP'!$B$10:$C$389,2,0)</f>
        <v>02538</v>
      </c>
      <c r="C256" s="818" t="s">
        <v>150</v>
      </c>
      <c r="D256" s="851" t="s">
        <v>15</v>
      </c>
      <c r="E256" s="815">
        <f t="shared" si="54"/>
        <v>24</v>
      </c>
      <c r="F256" s="815"/>
      <c r="G256" s="815"/>
      <c r="H256" s="960"/>
      <c r="I256" s="815"/>
      <c r="J256" s="815"/>
      <c r="K256" s="815"/>
      <c r="L256" s="815"/>
      <c r="M256" s="815"/>
      <c r="N256" s="815"/>
      <c r="O256" s="815"/>
      <c r="P256" s="815"/>
      <c r="Q256" s="815"/>
      <c r="R256" s="815"/>
      <c r="S256" s="830">
        <f t="shared" si="55"/>
        <v>24</v>
      </c>
      <c r="T256" s="830" t="e">
        <f>VLOOKUP(C256,'sản lượng'!$D$14:$AK$169,36,0)</f>
        <v>#N/A</v>
      </c>
      <c r="U256" s="830"/>
      <c r="V256" s="830"/>
      <c r="W256" s="830" t="e">
        <f>VLOOKUP(C256,'sản lượng'!$D$14:$AK$169,36,0)</f>
        <v>#N/A</v>
      </c>
      <c r="X256" s="830"/>
      <c r="Y256" s="830"/>
      <c r="Z256" s="830" t="e">
        <f t="shared" si="56"/>
        <v>#N/A</v>
      </c>
      <c r="AA256" s="830" t="e">
        <f>VLOOKUP(C256,'CHẤM CÔNG '!$E$13:$AM$168,33,0)</f>
        <v>#N/A</v>
      </c>
      <c r="AB256" s="830" t="e">
        <f>VLOOKUP(C256,'CHẤM CÔNG '!$E$13:$AM$168,34,0)</f>
        <v>#N/A</v>
      </c>
      <c r="AC256" s="830"/>
      <c r="AD256" s="830"/>
      <c r="AE256" s="830"/>
      <c r="AF256" s="830"/>
      <c r="AG256" s="830"/>
      <c r="AH256" s="830"/>
      <c r="AI256" s="830"/>
      <c r="AJ256" s="830"/>
      <c r="AK256" s="836"/>
      <c r="AL256" s="837" t="e">
        <f>VLOOKUP(C256,'sản lượng'!$D$14:$AP$169,38,0)</f>
        <v>#N/A</v>
      </c>
      <c r="AM256" s="801">
        <v>1599</v>
      </c>
      <c r="AN256" s="831" t="e">
        <f t="shared" si="57"/>
        <v>#N/A</v>
      </c>
      <c r="AP256" s="799">
        <f t="shared" si="58"/>
        <v>3</v>
      </c>
    </row>
    <row r="257" spans="1:44" ht="15.75">
      <c r="A257" s="850">
        <v>28</v>
      </c>
      <c r="B257" s="813" t="str">
        <f>VLOOKUP(C257,'DS CN MOI UP'!$B$10:$C$389,2,0)</f>
        <v>03362</v>
      </c>
      <c r="C257" s="818" t="s">
        <v>151</v>
      </c>
      <c r="D257" s="851" t="s">
        <v>15</v>
      </c>
      <c r="E257" s="815">
        <f t="shared" si="54"/>
        <v>24</v>
      </c>
      <c r="F257" s="815"/>
      <c r="G257" s="815"/>
      <c r="H257" s="960"/>
      <c r="I257" s="815"/>
      <c r="J257" s="815"/>
      <c r="K257" s="815"/>
      <c r="L257" s="815"/>
      <c r="M257" s="815"/>
      <c r="N257" s="815"/>
      <c r="O257" s="815"/>
      <c r="P257" s="815"/>
      <c r="Q257" s="815"/>
      <c r="R257" s="815"/>
      <c r="S257" s="830">
        <f t="shared" si="55"/>
        <v>24</v>
      </c>
      <c r="T257" s="830" t="e">
        <f>VLOOKUP(C257,'sản lượng'!$D$14:$AK$169,36,0)</f>
        <v>#N/A</v>
      </c>
      <c r="U257" s="830"/>
      <c r="V257" s="830"/>
      <c r="W257" s="830" t="e">
        <f>VLOOKUP(C257,'sản lượng'!$D$14:$AK$169,36,0)</f>
        <v>#N/A</v>
      </c>
      <c r="X257" s="830"/>
      <c r="Y257" s="830"/>
      <c r="Z257" s="830" t="e">
        <f t="shared" si="56"/>
        <v>#N/A</v>
      </c>
      <c r="AA257" s="830" t="e">
        <f>VLOOKUP(C257,'CHẤM CÔNG '!$E$13:$AM$168,33,0)</f>
        <v>#N/A</v>
      </c>
      <c r="AB257" s="830" t="e">
        <f>VLOOKUP(C257,'CHẤM CÔNG '!$E$13:$AM$168,34,0)</f>
        <v>#N/A</v>
      </c>
      <c r="AC257" s="830"/>
      <c r="AD257" s="830"/>
      <c r="AE257" s="830"/>
      <c r="AF257" s="830"/>
      <c r="AG257" s="830"/>
      <c r="AH257" s="830"/>
      <c r="AI257" s="830"/>
      <c r="AJ257" s="830"/>
      <c r="AK257" s="836"/>
      <c r="AL257" s="837" t="e">
        <f>VLOOKUP(C257,'sản lượng'!$D$14:$AP$169,38,0)</f>
        <v>#N/A</v>
      </c>
      <c r="AM257" s="801">
        <v>1622</v>
      </c>
      <c r="AN257" s="831" t="e">
        <f t="shared" si="57"/>
        <v>#N/A</v>
      </c>
      <c r="AP257" s="799">
        <f t="shared" si="58"/>
        <v>3</v>
      </c>
    </row>
    <row r="258" spans="1:44" ht="15.75">
      <c r="A258" s="850">
        <v>29</v>
      </c>
      <c r="B258" s="813" t="str">
        <f>VLOOKUP(C258,'DS CN MOI UP'!$B$10:$C$389,2,0)</f>
        <v>02530</v>
      </c>
      <c r="C258" s="818" t="s">
        <v>152</v>
      </c>
      <c r="D258" s="851" t="s">
        <v>15</v>
      </c>
      <c r="E258" s="815">
        <f t="shared" si="54"/>
        <v>24</v>
      </c>
      <c r="F258" s="815"/>
      <c r="G258" s="815"/>
      <c r="H258" s="960"/>
      <c r="I258" s="815"/>
      <c r="J258" s="815"/>
      <c r="K258" s="815"/>
      <c r="L258" s="815"/>
      <c r="M258" s="815"/>
      <c r="N258" s="815"/>
      <c r="O258" s="815"/>
      <c r="P258" s="815"/>
      <c r="Q258" s="815"/>
      <c r="R258" s="815"/>
      <c r="S258" s="830">
        <f t="shared" si="55"/>
        <v>24</v>
      </c>
      <c r="T258" s="830" t="e">
        <f>VLOOKUP(C258,'sản lượng'!$D$14:$AK$169,36,0)</f>
        <v>#N/A</v>
      </c>
      <c r="U258" s="830"/>
      <c r="V258" s="830"/>
      <c r="W258" s="830" t="e">
        <f>VLOOKUP(C258,'sản lượng'!$D$14:$AK$169,36,0)</f>
        <v>#N/A</v>
      </c>
      <c r="X258" s="830"/>
      <c r="Y258" s="830"/>
      <c r="Z258" s="830" t="e">
        <f t="shared" si="56"/>
        <v>#N/A</v>
      </c>
      <c r="AA258" s="830" t="e">
        <f>VLOOKUP(C258,'CHẤM CÔNG '!$E$13:$AM$168,33,0)</f>
        <v>#N/A</v>
      </c>
      <c r="AB258" s="830" t="e">
        <f>VLOOKUP(C258,'CHẤM CÔNG '!$E$13:$AM$168,34,0)</f>
        <v>#N/A</v>
      </c>
      <c r="AC258" s="830"/>
      <c r="AD258" s="830"/>
      <c r="AE258" s="830"/>
      <c r="AF258" s="830"/>
      <c r="AG258" s="830"/>
      <c r="AH258" s="830"/>
      <c r="AI258" s="830"/>
      <c r="AJ258" s="830"/>
      <c r="AK258" s="836"/>
      <c r="AL258" s="837" t="e">
        <f>VLOOKUP(C258,'sản lượng'!$D$14:$AP$169,38,0)</f>
        <v>#N/A</v>
      </c>
      <c r="AM258" s="801">
        <v>1925</v>
      </c>
      <c r="AN258" s="831" t="e">
        <f t="shared" si="57"/>
        <v>#N/A</v>
      </c>
      <c r="AP258" s="799">
        <f t="shared" si="58"/>
        <v>3</v>
      </c>
    </row>
    <row r="259" spans="1:44" ht="15.75">
      <c r="A259" s="850">
        <v>30</v>
      </c>
      <c r="B259" s="813" t="str">
        <f>VLOOKUP(C259,'DS CN MOI UP'!$B$10:$C$389,2,0)</f>
        <v>03363</v>
      </c>
      <c r="C259" s="818" t="s">
        <v>153</v>
      </c>
      <c r="D259" s="851" t="s">
        <v>15</v>
      </c>
      <c r="E259" s="815">
        <f t="shared" si="54"/>
        <v>24</v>
      </c>
      <c r="F259" s="815"/>
      <c r="G259" s="815"/>
      <c r="H259" s="960"/>
      <c r="I259" s="815"/>
      <c r="J259" s="815"/>
      <c r="K259" s="815"/>
      <c r="L259" s="815"/>
      <c r="M259" s="815"/>
      <c r="N259" s="815"/>
      <c r="O259" s="815"/>
      <c r="P259" s="815"/>
      <c r="Q259" s="815"/>
      <c r="R259" s="815"/>
      <c r="S259" s="830">
        <f t="shared" si="55"/>
        <v>24</v>
      </c>
      <c r="T259" s="830" t="e">
        <f>VLOOKUP(C259,'sản lượng'!$D$14:$AK$169,36,0)</f>
        <v>#N/A</v>
      </c>
      <c r="U259" s="830"/>
      <c r="V259" s="830"/>
      <c r="W259" s="830" t="e">
        <f>VLOOKUP(C259,'sản lượng'!$D$14:$AK$169,36,0)</f>
        <v>#N/A</v>
      </c>
      <c r="X259" s="830"/>
      <c r="Y259" s="830"/>
      <c r="Z259" s="830" t="e">
        <f t="shared" si="56"/>
        <v>#N/A</v>
      </c>
      <c r="AA259" s="830" t="e">
        <f>VLOOKUP(C259,'CHẤM CÔNG '!$E$13:$AM$168,33,0)</f>
        <v>#N/A</v>
      </c>
      <c r="AB259" s="830" t="e">
        <f>VLOOKUP(C259,'CHẤM CÔNG '!$E$13:$AM$168,34,0)</f>
        <v>#N/A</v>
      </c>
      <c r="AC259" s="830"/>
      <c r="AD259" s="830"/>
      <c r="AE259" s="830"/>
      <c r="AF259" s="830"/>
      <c r="AG259" s="830"/>
      <c r="AH259" s="830"/>
      <c r="AI259" s="830"/>
      <c r="AJ259" s="830"/>
      <c r="AK259" s="836"/>
      <c r="AL259" s="837" t="e">
        <f>VLOOKUP(C259,'sản lượng'!$D$14:$AP$169,38,0)</f>
        <v>#N/A</v>
      </c>
      <c r="AM259" s="801">
        <v>991</v>
      </c>
      <c r="AN259" s="831" t="e">
        <f t="shared" si="57"/>
        <v>#N/A</v>
      </c>
      <c r="AP259" s="799">
        <f t="shared" si="58"/>
        <v>3</v>
      </c>
    </row>
    <row r="260" spans="1:44" ht="15.75">
      <c r="A260" s="850">
        <v>31</v>
      </c>
      <c r="B260" s="813" t="str">
        <f>VLOOKUP(C260,'DS CN MOI UP'!$B$10:$C$389,2,0)</f>
        <v>03364</v>
      </c>
      <c r="C260" s="818" t="s">
        <v>154</v>
      </c>
      <c r="D260" s="851" t="s">
        <v>15</v>
      </c>
      <c r="E260" s="815">
        <f t="shared" si="54"/>
        <v>24</v>
      </c>
      <c r="F260" s="815"/>
      <c r="G260" s="815"/>
      <c r="H260" s="960"/>
      <c r="I260" s="815"/>
      <c r="J260" s="815"/>
      <c r="K260" s="815"/>
      <c r="L260" s="815"/>
      <c r="M260" s="815"/>
      <c r="N260" s="815"/>
      <c r="O260" s="815"/>
      <c r="P260" s="815"/>
      <c r="Q260" s="815"/>
      <c r="R260" s="815"/>
      <c r="S260" s="830">
        <f t="shared" si="55"/>
        <v>24</v>
      </c>
      <c r="T260" s="830" t="e">
        <f>VLOOKUP(C260,'sản lượng'!$D$14:$AK$169,36,0)</f>
        <v>#N/A</v>
      </c>
      <c r="U260" s="830"/>
      <c r="V260" s="830"/>
      <c r="W260" s="830" t="e">
        <f>VLOOKUP(C260,'sản lượng'!$D$14:$AK$169,36,0)</f>
        <v>#N/A</v>
      </c>
      <c r="X260" s="830"/>
      <c r="Y260" s="830"/>
      <c r="Z260" s="830" t="e">
        <f t="shared" si="56"/>
        <v>#N/A</v>
      </c>
      <c r="AA260" s="830" t="e">
        <f>VLOOKUP(C260,'CHẤM CÔNG '!$E$13:$AM$168,33,0)</f>
        <v>#N/A</v>
      </c>
      <c r="AB260" s="830" t="e">
        <f>VLOOKUP(C260,'CHẤM CÔNG '!$E$13:$AM$168,34,0)</f>
        <v>#N/A</v>
      </c>
      <c r="AC260" s="830"/>
      <c r="AD260" s="830"/>
      <c r="AE260" s="830"/>
      <c r="AF260" s="830"/>
      <c r="AG260" s="830"/>
      <c r="AH260" s="830"/>
      <c r="AI260" s="830"/>
      <c r="AJ260" s="830"/>
      <c r="AK260" s="836"/>
      <c r="AL260" s="837" t="e">
        <f>VLOOKUP(C260,'sản lượng'!$D$14:$AP$169,38,0)</f>
        <v>#N/A</v>
      </c>
      <c r="AM260" s="801">
        <v>2524</v>
      </c>
      <c r="AN260" s="831" t="e">
        <f t="shared" si="57"/>
        <v>#N/A</v>
      </c>
      <c r="AP260" s="799">
        <f t="shared" si="58"/>
        <v>3</v>
      </c>
    </row>
    <row r="261" spans="1:44" ht="15.75">
      <c r="A261" s="850">
        <v>32</v>
      </c>
      <c r="B261" s="813" t="str">
        <f>VLOOKUP(C261,'DS CN MOI UP'!$B$10:$C$389,2,0)</f>
        <v>02536</v>
      </c>
      <c r="C261" s="818" t="s">
        <v>155</v>
      </c>
      <c r="D261" s="851" t="s">
        <v>15</v>
      </c>
      <c r="E261" s="815">
        <f t="shared" si="54"/>
        <v>24</v>
      </c>
      <c r="F261" s="815"/>
      <c r="G261" s="815"/>
      <c r="H261" s="960"/>
      <c r="I261" s="815"/>
      <c r="J261" s="815"/>
      <c r="K261" s="815"/>
      <c r="L261" s="815"/>
      <c r="M261" s="815"/>
      <c r="N261" s="815"/>
      <c r="O261" s="815"/>
      <c r="P261" s="815"/>
      <c r="Q261" s="815"/>
      <c r="R261" s="815"/>
      <c r="S261" s="830">
        <f t="shared" si="55"/>
        <v>24</v>
      </c>
      <c r="T261" s="830" t="e">
        <f>VLOOKUP(C261,'sản lượng'!$D$14:$AK$169,36,0)</f>
        <v>#N/A</v>
      </c>
      <c r="U261" s="830"/>
      <c r="V261" s="830"/>
      <c r="W261" s="830" t="e">
        <f>VLOOKUP(C261,'sản lượng'!$D$14:$AK$169,36,0)</f>
        <v>#N/A</v>
      </c>
      <c r="X261" s="830"/>
      <c r="Y261" s="830"/>
      <c r="Z261" s="830" t="e">
        <f t="shared" si="56"/>
        <v>#N/A</v>
      </c>
      <c r="AA261" s="830" t="e">
        <f>VLOOKUP(C261,'CHẤM CÔNG '!$E$13:$AM$168,33,0)</f>
        <v>#N/A</v>
      </c>
      <c r="AB261" s="830" t="e">
        <f>VLOOKUP(C261,'CHẤM CÔNG '!$E$13:$AM$168,34,0)</f>
        <v>#N/A</v>
      </c>
      <c r="AC261" s="830"/>
      <c r="AD261" s="830"/>
      <c r="AE261" s="830"/>
      <c r="AF261" s="830"/>
      <c r="AG261" s="830"/>
      <c r="AH261" s="830"/>
      <c r="AI261" s="830"/>
      <c r="AJ261" s="830"/>
      <c r="AK261" s="836"/>
      <c r="AL261" s="837" t="e">
        <f>VLOOKUP(C261,'sản lượng'!$D$14:$AP$169,38,0)</f>
        <v>#N/A</v>
      </c>
      <c r="AM261" s="801">
        <v>1610</v>
      </c>
      <c r="AN261" s="831" t="e">
        <f t="shared" si="57"/>
        <v>#N/A</v>
      </c>
      <c r="AP261" s="799">
        <f t="shared" si="58"/>
        <v>3</v>
      </c>
    </row>
    <row r="262" spans="1:44" ht="15.75">
      <c r="A262" s="850">
        <v>33</v>
      </c>
      <c r="B262" s="813" t="str">
        <f>VLOOKUP(C262,'DS CN MOI UP'!$B$10:$C$389,2,0)</f>
        <v>02527</v>
      </c>
      <c r="C262" s="818" t="s">
        <v>156</v>
      </c>
      <c r="D262" s="851" t="s">
        <v>15</v>
      </c>
      <c r="E262" s="815">
        <f t="shared" si="54"/>
        <v>24</v>
      </c>
      <c r="F262" s="815"/>
      <c r="G262" s="815"/>
      <c r="H262" s="960"/>
      <c r="I262" s="815"/>
      <c r="J262" s="815"/>
      <c r="K262" s="815"/>
      <c r="L262" s="815"/>
      <c r="M262" s="815"/>
      <c r="N262" s="815"/>
      <c r="O262" s="815"/>
      <c r="P262" s="815"/>
      <c r="Q262" s="815"/>
      <c r="R262" s="815"/>
      <c r="S262" s="830">
        <f t="shared" ref="S262:S288" si="59">SUM(E262:N262)</f>
        <v>24</v>
      </c>
      <c r="T262" s="830" t="e">
        <f>VLOOKUP(C262,'sản lượng'!$D$14:$AK$169,36,0)</f>
        <v>#N/A</v>
      </c>
      <c r="U262" s="830"/>
      <c r="V262" s="830"/>
      <c r="W262" s="830" t="e">
        <f>VLOOKUP(C262,'sản lượng'!$D$14:$AK$169,36,0)</f>
        <v>#N/A</v>
      </c>
      <c r="X262" s="830"/>
      <c r="Y262" s="830"/>
      <c r="Z262" s="830" t="e">
        <f t="shared" ref="Z262:Z293" si="60">W262*$AN$16+X262*$AN$10+$AN$11*Y262</f>
        <v>#N/A</v>
      </c>
      <c r="AA262" s="830" t="e">
        <f>VLOOKUP(C262,'CHẤM CÔNG '!$E$13:$AM$168,33,0)</f>
        <v>#N/A</v>
      </c>
      <c r="AB262" s="830" t="e">
        <f>VLOOKUP(C262,'CHẤM CÔNG '!$E$13:$AM$168,34,0)</f>
        <v>#N/A</v>
      </c>
      <c r="AC262" s="830"/>
      <c r="AD262" s="830"/>
      <c r="AE262" s="830"/>
      <c r="AF262" s="830"/>
      <c r="AG262" s="830"/>
      <c r="AH262" s="830"/>
      <c r="AI262" s="830"/>
      <c r="AJ262" s="830"/>
      <c r="AK262" s="836"/>
      <c r="AL262" s="837" t="e">
        <f>VLOOKUP(C262,'sản lượng'!$D$14:$AP$169,38,0)</f>
        <v>#N/A</v>
      </c>
      <c r="AM262" s="801">
        <v>1710</v>
      </c>
      <c r="AN262" s="831" t="e">
        <f t="shared" ref="AN262:AN293" si="61">+W262-AM262</f>
        <v>#N/A</v>
      </c>
      <c r="AP262" s="799">
        <f t="shared" si="58"/>
        <v>3</v>
      </c>
    </row>
    <row r="263" spans="1:44" ht="15.75">
      <c r="A263" s="850">
        <v>34</v>
      </c>
      <c r="B263" s="813" t="str">
        <f>VLOOKUP(C263,'DS CN MOI UP'!$B$10:$C$389,2,0)</f>
        <v>03366</v>
      </c>
      <c r="C263" s="818" t="s">
        <v>157</v>
      </c>
      <c r="D263" s="851" t="s">
        <v>15</v>
      </c>
      <c r="E263" s="815">
        <f t="shared" si="54"/>
        <v>24</v>
      </c>
      <c r="F263" s="815"/>
      <c r="G263" s="815"/>
      <c r="H263" s="960"/>
      <c r="I263" s="815"/>
      <c r="J263" s="815"/>
      <c r="K263" s="815"/>
      <c r="L263" s="815"/>
      <c r="M263" s="815"/>
      <c r="N263" s="815"/>
      <c r="O263" s="815"/>
      <c r="P263" s="815"/>
      <c r="Q263" s="815"/>
      <c r="R263" s="815"/>
      <c r="S263" s="830">
        <f t="shared" si="59"/>
        <v>24</v>
      </c>
      <c r="T263" s="830" t="e">
        <f>VLOOKUP(C263,'sản lượng'!$D$14:$AK$169,36,0)</f>
        <v>#N/A</v>
      </c>
      <c r="U263" s="830"/>
      <c r="V263" s="830"/>
      <c r="W263" s="830" t="e">
        <f>VLOOKUP(C263,'sản lượng'!$D$14:$AK$169,36,0)</f>
        <v>#N/A</v>
      </c>
      <c r="X263" s="830"/>
      <c r="Y263" s="830"/>
      <c r="Z263" s="830" t="e">
        <f t="shared" si="60"/>
        <v>#N/A</v>
      </c>
      <c r="AA263" s="830" t="e">
        <f>VLOOKUP(C263,'CHẤM CÔNG '!$E$13:$AM$168,33,0)</f>
        <v>#N/A</v>
      </c>
      <c r="AB263" s="830" t="e">
        <f>VLOOKUP(C263,'CHẤM CÔNG '!$E$13:$AM$168,34,0)</f>
        <v>#N/A</v>
      </c>
      <c r="AC263" s="830"/>
      <c r="AD263" s="830"/>
      <c r="AE263" s="830"/>
      <c r="AF263" s="830"/>
      <c r="AG263" s="830"/>
      <c r="AH263" s="830"/>
      <c r="AI263" s="830"/>
      <c r="AJ263" s="830"/>
      <c r="AK263" s="836"/>
      <c r="AL263" s="837" t="e">
        <f>VLOOKUP(C263,'sản lượng'!$D$14:$AP$169,38,0)</f>
        <v>#N/A</v>
      </c>
      <c r="AM263" s="801">
        <v>1050</v>
      </c>
      <c r="AN263" s="831" t="e">
        <f t="shared" si="61"/>
        <v>#N/A</v>
      </c>
      <c r="AP263" s="799">
        <f t="shared" si="58"/>
        <v>2</v>
      </c>
      <c r="AR263" s="799">
        <v>1</v>
      </c>
    </row>
    <row r="264" spans="1:44" ht="15.75">
      <c r="A264" s="850">
        <v>35</v>
      </c>
      <c r="B264" s="813" t="str">
        <f>VLOOKUP(C264,'DS CN MOI UP'!$B$10:$C$389,2,0)</f>
        <v>02532</v>
      </c>
      <c r="C264" s="818" t="s">
        <v>158</v>
      </c>
      <c r="D264" s="851" t="s">
        <v>15</v>
      </c>
      <c r="E264" s="815">
        <f t="shared" si="54"/>
        <v>24</v>
      </c>
      <c r="F264" s="815"/>
      <c r="G264" s="815"/>
      <c r="H264" s="960"/>
      <c r="I264" s="815"/>
      <c r="J264" s="815"/>
      <c r="K264" s="815"/>
      <c r="L264" s="815"/>
      <c r="M264" s="815"/>
      <c r="N264" s="815"/>
      <c r="O264" s="815"/>
      <c r="P264" s="815"/>
      <c r="Q264" s="815"/>
      <c r="R264" s="815"/>
      <c r="S264" s="830">
        <f t="shared" si="59"/>
        <v>24</v>
      </c>
      <c r="T264" s="830" t="e">
        <f>VLOOKUP(C264,'sản lượng'!$D$14:$AK$169,36,0)</f>
        <v>#N/A</v>
      </c>
      <c r="U264" s="830"/>
      <c r="V264" s="830"/>
      <c r="W264" s="830" t="e">
        <f>VLOOKUP(C264,'sản lượng'!$D$14:$AK$169,36,0)</f>
        <v>#N/A</v>
      </c>
      <c r="X264" s="830"/>
      <c r="Y264" s="830"/>
      <c r="Z264" s="830" t="e">
        <f t="shared" si="60"/>
        <v>#N/A</v>
      </c>
      <c r="AA264" s="830" t="e">
        <f>VLOOKUP(C264,'CHẤM CÔNG '!$E$13:$AM$168,33,0)</f>
        <v>#N/A</v>
      </c>
      <c r="AB264" s="830" t="e">
        <f>VLOOKUP(C264,'CHẤM CÔNG '!$E$13:$AM$168,34,0)</f>
        <v>#N/A</v>
      </c>
      <c r="AC264" s="830"/>
      <c r="AD264" s="830"/>
      <c r="AE264" s="830"/>
      <c r="AF264" s="830"/>
      <c r="AG264" s="830"/>
      <c r="AH264" s="830"/>
      <c r="AI264" s="830"/>
      <c r="AJ264" s="830"/>
      <c r="AK264" s="836"/>
      <c r="AL264" s="837" t="e">
        <f>VLOOKUP(C264,'sản lượng'!$D$14:$AP$169,38,0)</f>
        <v>#N/A</v>
      </c>
      <c r="AM264" s="801">
        <v>1529</v>
      </c>
      <c r="AN264" s="831" t="e">
        <f t="shared" si="61"/>
        <v>#N/A</v>
      </c>
      <c r="AP264" s="799">
        <f t="shared" si="58"/>
        <v>2</v>
      </c>
      <c r="AR264" s="799">
        <v>1</v>
      </c>
    </row>
    <row r="265" spans="1:44" ht="15.75">
      <c r="A265" s="850">
        <v>36</v>
      </c>
      <c r="B265" s="813" t="str">
        <f>VLOOKUP(C265,'DS CN MOI UP'!$B$10:$C$389,2,0)</f>
        <v>02528</v>
      </c>
      <c r="C265" s="818" t="s">
        <v>159</v>
      </c>
      <c r="D265" s="851" t="s">
        <v>15</v>
      </c>
      <c r="E265" s="815">
        <f t="shared" si="54"/>
        <v>24</v>
      </c>
      <c r="F265" s="815"/>
      <c r="G265" s="815"/>
      <c r="H265" s="960"/>
      <c r="I265" s="815"/>
      <c r="J265" s="815"/>
      <c r="K265" s="815"/>
      <c r="L265" s="815"/>
      <c r="M265" s="815"/>
      <c r="N265" s="815"/>
      <c r="O265" s="815"/>
      <c r="P265" s="815"/>
      <c r="Q265" s="815"/>
      <c r="R265" s="815"/>
      <c r="S265" s="830">
        <f t="shared" si="59"/>
        <v>24</v>
      </c>
      <c r="T265" s="830" t="e">
        <f>VLOOKUP(C265,'sản lượng'!$D$14:$AK$169,36,0)</f>
        <v>#N/A</v>
      </c>
      <c r="U265" s="830"/>
      <c r="V265" s="830"/>
      <c r="W265" s="830" t="e">
        <f>VLOOKUP(C265,'sản lượng'!$D$14:$AK$169,36,0)</f>
        <v>#N/A</v>
      </c>
      <c r="X265" s="830"/>
      <c r="Y265" s="830"/>
      <c r="Z265" s="830" t="e">
        <f t="shared" si="60"/>
        <v>#N/A</v>
      </c>
      <c r="AA265" s="830" t="e">
        <f>VLOOKUP(C265,'CHẤM CÔNG '!$E$13:$AM$168,33,0)</f>
        <v>#N/A</v>
      </c>
      <c r="AB265" s="830" t="e">
        <f>VLOOKUP(C265,'CHẤM CÔNG '!$E$13:$AM$168,34,0)</f>
        <v>#N/A</v>
      </c>
      <c r="AC265" s="830"/>
      <c r="AD265" s="830"/>
      <c r="AE265" s="830"/>
      <c r="AF265" s="830"/>
      <c r="AG265" s="830"/>
      <c r="AH265" s="830"/>
      <c r="AI265" s="830"/>
      <c r="AJ265" s="830"/>
      <c r="AK265" s="836"/>
      <c r="AL265" s="837" t="e">
        <f>VLOOKUP(C265,'sản lượng'!$D$14:$AP$169,38,0)</f>
        <v>#N/A</v>
      </c>
      <c r="AM265" s="801">
        <v>1261</v>
      </c>
      <c r="AN265" s="831" t="e">
        <f t="shared" si="61"/>
        <v>#N/A</v>
      </c>
      <c r="AP265" s="799">
        <f t="shared" si="58"/>
        <v>2</v>
      </c>
      <c r="AR265" s="799">
        <v>1</v>
      </c>
    </row>
    <row r="266" spans="1:44" ht="15.75">
      <c r="A266" s="850">
        <v>37</v>
      </c>
      <c r="B266" s="813" t="str">
        <f>VLOOKUP(C266,'DS CN MOI UP'!$B$10:$C$389,2,0)</f>
        <v>03367</v>
      </c>
      <c r="C266" s="818" t="s">
        <v>160</v>
      </c>
      <c r="D266" s="851" t="s">
        <v>15</v>
      </c>
      <c r="E266" s="815">
        <f t="shared" si="54"/>
        <v>24</v>
      </c>
      <c r="F266" s="815"/>
      <c r="G266" s="815"/>
      <c r="H266" s="960"/>
      <c r="I266" s="815"/>
      <c r="J266" s="815"/>
      <c r="K266" s="815"/>
      <c r="L266" s="815"/>
      <c r="M266" s="815"/>
      <c r="N266" s="815"/>
      <c r="O266" s="815"/>
      <c r="P266" s="815"/>
      <c r="Q266" s="815"/>
      <c r="R266" s="815"/>
      <c r="S266" s="830">
        <f t="shared" si="59"/>
        <v>24</v>
      </c>
      <c r="T266" s="830" t="e">
        <f>VLOOKUP(C266,'sản lượng'!$D$14:$AK$169,36,0)</f>
        <v>#N/A</v>
      </c>
      <c r="U266" s="830"/>
      <c r="V266" s="830"/>
      <c r="W266" s="830" t="e">
        <f>VLOOKUP(C266,'sản lượng'!$D$14:$AK$169,36,0)</f>
        <v>#N/A</v>
      </c>
      <c r="X266" s="830"/>
      <c r="Y266" s="830"/>
      <c r="Z266" s="830" t="e">
        <f t="shared" si="60"/>
        <v>#N/A</v>
      </c>
      <c r="AA266" s="830" t="e">
        <f>VLOOKUP(C266,'CHẤM CÔNG '!$E$13:$AM$168,33,0)</f>
        <v>#N/A</v>
      </c>
      <c r="AB266" s="830" t="e">
        <f>VLOOKUP(C266,'CHẤM CÔNG '!$E$13:$AM$168,34,0)</f>
        <v>#N/A</v>
      </c>
      <c r="AC266" s="830"/>
      <c r="AD266" s="830"/>
      <c r="AE266" s="830"/>
      <c r="AF266" s="830"/>
      <c r="AG266" s="830"/>
      <c r="AH266" s="830"/>
      <c r="AI266" s="830"/>
      <c r="AJ266" s="830"/>
      <c r="AK266" s="836"/>
      <c r="AL266" s="837" t="e">
        <f>VLOOKUP(C266,'sản lượng'!$D$14:$AP$169,38,0)</f>
        <v>#N/A</v>
      </c>
      <c r="AM266" s="801">
        <v>1995</v>
      </c>
      <c r="AN266" s="831" t="e">
        <f t="shared" si="61"/>
        <v>#N/A</v>
      </c>
      <c r="AP266" s="799">
        <f t="shared" si="58"/>
        <v>2</v>
      </c>
      <c r="AR266" s="799">
        <v>1</v>
      </c>
    </row>
    <row r="267" spans="1:44" ht="15.75">
      <c r="A267" s="850">
        <v>38</v>
      </c>
      <c r="B267" s="813" t="str">
        <f>VLOOKUP(C267,'DS CN MOI UP'!$B$10:$C$389,2,0)</f>
        <v>02517</v>
      </c>
      <c r="C267" s="818" t="s">
        <v>161</v>
      </c>
      <c r="D267" s="851" t="s">
        <v>15</v>
      </c>
      <c r="E267" s="815">
        <f t="shared" si="54"/>
        <v>24</v>
      </c>
      <c r="F267" s="815"/>
      <c r="G267" s="815"/>
      <c r="H267" s="960"/>
      <c r="I267" s="815"/>
      <c r="J267" s="815"/>
      <c r="K267" s="815"/>
      <c r="L267" s="815"/>
      <c r="M267" s="815"/>
      <c r="N267" s="815"/>
      <c r="O267" s="815"/>
      <c r="P267" s="815"/>
      <c r="Q267" s="815"/>
      <c r="R267" s="815"/>
      <c r="S267" s="830">
        <f t="shared" si="59"/>
        <v>24</v>
      </c>
      <c r="T267" s="830" t="e">
        <f>VLOOKUP(C267,'sản lượng'!$D$14:$AK$169,36,0)</f>
        <v>#N/A</v>
      </c>
      <c r="U267" s="830"/>
      <c r="V267" s="830"/>
      <c r="W267" s="830" t="e">
        <f>VLOOKUP(C267,'sản lượng'!$D$14:$AK$169,36,0)</f>
        <v>#N/A</v>
      </c>
      <c r="X267" s="830"/>
      <c r="Y267" s="830"/>
      <c r="Z267" s="830" t="e">
        <f t="shared" si="60"/>
        <v>#N/A</v>
      </c>
      <c r="AA267" s="830" t="e">
        <f>VLOOKUP(C267,'CHẤM CÔNG '!$E$13:$AM$168,33,0)</f>
        <v>#N/A</v>
      </c>
      <c r="AB267" s="830" t="e">
        <f>VLOOKUP(C267,'CHẤM CÔNG '!$E$13:$AM$168,34,0)</f>
        <v>#N/A</v>
      </c>
      <c r="AC267" s="830"/>
      <c r="AD267" s="830"/>
      <c r="AE267" s="830"/>
      <c r="AF267" s="830"/>
      <c r="AG267" s="830"/>
      <c r="AH267" s="830"/>
      <c r="AI267" s="830"/>
      <c r="AJ267" s="830"/>
      <c r="AK267" s="836"/>
      <c r="AL267" s="837" t="e">
        <f>VLOOKUP(C267,'sản lượng'!$D$14:$AP$169,38,0)</f>
        <v>#N/A</v>
      </c>
      <c r="AM267" s="801">
        <v>994</v>
      </c>
      <c r="AN267" s="831" t="e">
        <f t="shared" si="61"/>
        <v>#N/A</v>
      </c>
      <c r="AP267" s="799">
        <f t="shared" si="58"/>
        <v>2</v>
      </c>
      <c r="AR267" s="799">
        <v>1</v>
      </c>
    </row>
    <row r="268" spans="1:44" ht="15.75">
      <c r="A268" s="850">
        <v>39</v>
      </c>
      <c r="B268" s="813" t="str">
        <f>VLOOKUP(C268,'DS CN MOI UP'!$B$10:$C$389,2,0)</f>
        <v>02522</v>
      </c>
      <c r="C268" s="818" t="s">
        <v>162</v>
      </c>
      <c r="D268" s="851" t="s">
        <v>15</v>
      </c>
      <c r="E268" s="815">
        <f t="shared" si="54"/>
        <v>24</v>
      </c>
      <c r="F268" s="815"/>
      <c r="G268" s="815"/>
      <c r="H268" s="960"/>
      <c r="I268" s="815"/>
      <c r="J268" s="815"/>
      <c r="K268" s="815"/>
      <c r="L268" s="815"/>
      <c r="M268" s="815"/>
      <c r="N268" s="815"/>
      <c r="O268" s="815"/>
      <c r="P268" s="815"/>
      <c r="Q268" s="815"/>
      <c r="R268" s="815"/>
      <c r="S268" s="830">
        <f t="shared" si="59"/>
        <v>24</v>
      </c>
      <c r="T268" s="830" t="e">
        <f>VLOOKUP(C268,'sản lượng'!$D$14:$AK$169,36,0)</f>
        <v>#N/A</v>
      </c>
      <c r="U268" s="830"/>
      <c r="V268" s="830"/>
      <c r="W268" s="830" t="e">
        <f>VLOOKUP(C268,'sản lượng'!$D$14:$AK$169,36,0)</f>
        <v>#N/A</v>
      </c>
      <c r="X268" s="830"/>
      <c r="Y268" s="830"/>
      <c r="Z268" s="830" t="e">
        <f t="shared" si="60"/>
        <v>#N/A</v>
      </c>
      <c r="AA268" s="830" t="e">
        <f>VLOOKUP(C268,'CHẤM CÔNG '!$E$13:$AM$168,33,0)</f>
        <v>#N/A</v>
      </c>
      <c r="AB268" s="830" t="e">
        <f>VLOOKUP(C268,'CHẤM CÔNG '!$E$13:$AM$168,34,0)</f>
        <v>#N/A</v>
      </c>
      <c r="AC268" s="830"/>
      <c r="AD268" s="830"/>
      <c r="AE268" s="830"/>
      <c r="AF268" s="830"/>
      <c r="AG268" s="830"/>
      <c r="AH268" s="830"/>
      <c r="AI268" s="830"/>
      <c r="AJ268" s="830"/>
      <c r="AK268" s="836"/>
      <c r="AL268" s="837" t="e">
        <f>VLOOKUP(C268,'sản lượng'!$D$14:$AP$169,38,0)</f>
        <v>#N/A</v>
      </c>
      <c r="AM268" s="801">
        <v>1108</v>
      </c>
      <c r="AN268" s="831" t="e">
        <f t="shared" si="61"/>
        <v>#N/A</v>
      </c>
      <c r="AP268" s="799">
        <f t="shared" si="58"/>
        <v>2</v>
      </c>
      <c r="AR268" s="799">
        <v>1</v>
      </c>
    </row>
    <row r="269" spans="1:44" ht="15.75">
      <c r="A269" s="850">
        <v>40</v>
      </c>
      <c r="B269" s="813" t="str">
        <f>VLOOKUP(C269,'DS CN MOI UP'!$B$10:$C$389,2,0)</f>
        <v>02565</v>
      </c>
      <c r="C269" s="818" t="s">
        <v>163</v>
      </c>
      <c r="D269" s="851" t="s">
        <v>15</v>
      </c>
      <c r="E269" s="815">
        <f t="shared" si="54"/>
        <v>24</v>
      </c>
      <c r="F269" s="815"/>
      <c r="G269" s="815"/>
      <c r="H269" s="960"/>
      <c r="I269" s="815"/>
      <c r="J269" s="815"/>
      <c r="K269" s="815"/>
      <c r="L269" s="815"/>
      <c r="M269" s="815"/>
      <c r="N269" s="815"/>
      <c r="O269" s="815"/>
      <c r="P269" s="815"/>
      <c r="Q269" s="815"/>
      <c r="R269" s="815"/>
      <c r="S269" s="830">
        <f t="shared" si="59"/>
        <v>24</v>
      </c>
      <c r="T269" s="830" t="e">
        <f>VLOOKUP(C269,'sản lượng'!$D$14:$AK$169,36,0)</f>
        <v>#N/A</v>
      </c>
      <c r="U269" s="830"/>
      <c r="V269" s="830"/>
      <c r="W269" s="830" t="e">
        <f>VLOOKUP(C269,'sản lượng'!$D$14:$AK$169,36,0)</f>
        <v>#N/A</v>
      </c>
      <c r="X269" s="830"/>
      <c r="Y269" s="830"/>
      <c r="Z269" s="830" t="e">
        <f t="shared" si="60"/>
        <v>#N/A</v>
      </c>
      <c r="AA269" s="830" t="e">
        <f>VLOOKUP(C269,'CHẤM CÔNG '!$E$13:$AM$168,33,0)</f>
        <v>#N/A</v>
      </c>
      <c r="AB269" s="830" t="e">
        <f>VLOOKUP(C269,'CHẤM CÔNG '!$E$13:$AM$168,34,0)</f>
        <v>#N/A</v>
      </c>
      <c r="AC269" s="830"/>
      <c r="AD269" s="830"/>
      <c r="AE269" s="830"/>
      <c r="AF269" s="830"/>
      <c r="AG269" s="830"/>
      <c r="AH269" s="830"/>
      <c r="AI269" s="830"/>
      <c r="AJ269" s="830"/>
      <c r="AK269" s="836"/>
      <c r="AL269" s="837" t="e">
        <f>VLOOKUP(C269,'sản lượng'!$D$14:$AP$169,38,0)</f>
        <v>#N/A</v>
      </c>
      <c r="AM269" s="801">
        <v>1806</v>
      </c>
      <c r="AN269" s="831" t="e">
        <f t="shared" si="61"/>
        <v>#N/A</v>
      </c>
      <c r="AP269" s="799">
        <f t="shared" si="58"/>
        <v>2</v>
      </c>
      <c r="AR269" s="799">
        <v>1</v>
      </c>
    </row>
    <row r="270" spans="1:44" ht="15.75">
      <c r="A270" s="850">
        <v>41</v>
      </c>
      <c r="B270" s="813" t="str">
        <f>VLOOKUP(C270,'DS CN MOI UP'!$B$10:$C$389,2,0)</f>
        <v>03368</v>
      </c>
      <c r="C270" s="818" t="s">
        <v>164</v>
      </c>
      <c r="D270" s="851" t="s">
        <v>15</v>
      </c>
      <c r="E270" s="815">
        <f t="shared" si="54"/>
        <v>24</v>
      </c>
      <c r="F270" s="815"/>
      <c r="G270" s="815"/>
      <c r="H270" s="960"/>
      <c r="I270" s="815"/>
      <c r="J270" s="815"/>
      <c r="K270" s="815"/>
      <c r="L270" s="815"/>
      <c r="M270" s="815"/>
      <c r="N270" s="815"/>
      <c r="O270" s="815"/>
      <c r="P270" s="815"/>
      <c r="Q270" s="815"/>
      <c r="R270" s="815"/>
      <c r="S270" s="830">
        <f t="shared" si="59"/>
        <v>24</v>
      </c>
      <c r="T270" s="830" t="e">
        <f>VLOOKUP(C270,'sản lượng'!$D$14:$AK$169,36,0)</f>
        <v>#N/A</v>
      </c>
      <c r="U270" s="830"/>
      <c r="V270" s="830"/>
      <c r="W270" s="830" t="e">
        <f>VLOOKUP(C270,'sản lượng'!$D$14:$AK$169,36,0)</f>
        <v>#N/A</v>
      </c>
      <c r="X270" s="830"/>
      <c r="Y270" s="830"/>
      <c r="Z270" s="830" t="e">
        <f t="shared" si="60"/>
        <v>#N/A</v>
      </c>
      <c r="AA270" s="830" t="e">
        <f>VLOOKUP(C270,'CHẤM CÔNG '!$E$13:$AM$168,33,0)</f>
        <v>#N/A</v>
      </c>
      <c r="AB270" s="830" t="e">
        <f>VLOOKUP(C270,'CHẤM CÔNG '!$E$13:$AM$168,34,0)</f>
        <v>#N/A</v>
      </c>
      <c r="AC270" s="830"/>
      <c r="AD270" s="830"/>
      <c r="AE270" s="830"/>
      <c r="AF270" s="830"/>
      <c r="AG270" s="830"/>
      <c r="AH270" s="830"/>
      <c r="AI270" s="830"/>
      <c r="AJ270" s="830"/>
      <c r="AK270" s="836"/>
      <c r="AL270" s="837" t="e">
        <f>VLOOKUP(C270,'sản lượng'!$D$14:$AP$169,38,0)</f>
        <v>#N/A</v>
      </c>
      <c r="AM270" s="801">
        <v>2342</v>
      </c>
      <c r="AN270" s="831" t="e">
        <f t="shared" si="61"/>
        <v>#N/A</v>
      </c>
      <c r="AP270" s="799">
        <f t="shared" si="58"/>
        <v>2</v>
      </c>
      <c r="AR270" s="799">
        <v>1</v>
      </c>
    </row>
    <row r="271" spans="1:44" ht="15.75">
      <c r="A271" s="850">
        <v>42</v>
      </c>
      <c r="B271" s="813" t="str">
        <f>VLOOKUP(C271,'DS CN MOI UP'!$B$10:$C$389,2,0)</f>
        <v>02535</v>
      </c>
      <c r="C271" s="818" t="s">
        <v>165</v>
      </c>
      <c r="D271" s="851" t="s">
        <v>15</v>
      </c>
      <c r="E271" s="815">
        <f t="shared" si="54"/>
        <v>24</v>
      </c>
      <c r="F271" s="815"/>
      <c r="G271" s="815"/>
      <c r="H271" s="960"/>
      <c r="I271" s="815"/>
      <c r="J271" s="815"/>
      <c r="K271" s="815"/>
      <c r="L271" s="815"/>
      <c r="M271" s="815"/>
      <c r="N271" s="815"/>
      <c r="O271" s="815"/>
      <c r="P271" s="815"/>
      <c r="Q271" s="815"/>
      <c r="R271" s="815"/>
      <c r="S271" s="830">
        <f t="shared" si="59"/>
        <v>24</v>
      </c>
      <c r="T271" s="830" t="e">
        <f>VLOOKUP(C271,'sản lượng'!$D$14:$AK$169,36,0)</f>
        <v>#N/A</v>
      </c>
      <c r="U271" s="830"/>
      <c r="V271" s="830"/>
      <c r="W271" s="830" t="e">
        <f>VLOOKUP(C271,'sản lượng'!$D$14:$AK$169,36,0)</f>
        <v>#N/A</v>
      </c>
      <c r="X271" s="830"/>
      <c r="Y271" s="830"/>
      <c r="Z271" s="830" t="e">
        <f t="shared" si="60"/>
        <v>#N/A</v>
      </c>
      <c r="AA271" s="830" t="e">
        <f>VLOOKUP(C271,'CHẤM CÔNG '!$E$13:$AM$168,33,0)</f>
        <v>#N/A</v>
      </c>
      <c r="AB271" s="830" t="e">
        <f>VLOOKUP(C271,'CHẤM CÔNG '!$E$13:$AM$168,34,0)</f>
        <v>#N/A</v>
      </c>
      <c r="AC271" s="830"/>
      <c r="AD271" s="830"/>
      <c r="AE271" s="830"/>
      <c r="AF271" s="830"/>
      <c r="AG271" s="830"/>
      <c r="AH271" s="830"/>
      <c r="AI271" s="830"/>
      <c r="AJ271" s="830"/>
      <c r="AK271" s="836"/>
      <c r="AL271" s="837" t="e">
        <f>VLOOKUP(C271,'sản lượng'!$D$14:$AP$169,38,0)</f>
        <v>#N/A</v>
      </c>
      <c r="AM271" s="801">
        <v>1634</v>
      </c>
      <c r="AN271" s="831" t="e">
        <f t="shared" si="61"/>
        <v>#N/A</v>
      </c>
      <c r="AP271" s="799">
        <f t="shared" si="58"/>
        <v>2</v>
      </c>
      <c r="AR271" s="799">
        <v>1</v>
      </c>
    </row>
    <row r="272" spans="1:44" ht="15.75">
      <c r="A272" s="850">
        <v>43</v>
      </c>
      <c r="B272" s="813" t="str">
        <f>VLOOKUP(C272,'DS CN MOI UP'!$B$10:$C$389,2,0)</f>
        <v>02563</v>
      </c>
      <c r="C272" s="845" t="s">
        <v>166</v>
      </c>
      <c r="D272" s="851" t="s">
        <v>15</v>
      </c>
      <c r="E272" s="815">
        <f t="shared" si="54"/>
        <v>24</v>
      </c>
      <c r="F272" s="815"/>
      <c r="G272" s="815"/>
      <c r="H272" s="960"/>
      <c r="I272" s="815"/>
      <c r="J272" s="815"/>
      <c r="K272" s="815"/>
      <c r="L272" s="815"/>
      <c r="M272" s="815"/>
      <c r="N272" s="815"/>
      <c r="O272" s="815"/>
      <c r="P272" s="815"/>
      <c r="Q272" s="815"/>
      <c r="R272" s="815"/>
      <c r="S272" s="830">
        <f t="shared" si="59"/>
        <v>24</v>
      </c>
      <c r="T272" s="830" t="e">
        <f>VLOOKUP(C272,'sản lượng'!$D$14:$AK$169,36,0)</f>
        <v>#N/A</v>
      </c>
      <c r="U272" s="830"/>
      <c r="V272" s="830"/>
      <c r="W272" s="830" t="e">
        <f>VLOOKUP(C272,'sản lượng'!$D$14:$AK$169,36,0)</f>
        <v>#N/A</v>
      </c>
      <c r="X272" s="830"/>
      <c r="Y272" s="830"/>
      <c r="Z272" s="830" t="e">
        <f t="shared" si="60"/>
        <v>#N/A</v>
      </c>
      <c r="AA272" s="830" t="e">
        <f>VLOOKUP(C272,'CHẤM CÔNG '!$E$13:$AM$168,33,0)</f>
        <v>#N/A</v>
      </c>
      <c r="AB272" s="830" t="e">
        <f>VLOOKUP(C272,'CHẤM CÔNG '!$E$13:$AM$168,34,0)</f>
        <v>#N/A</v>
      </c>
      <c r="AC272" s="830"/>
      <c r="AD272" s="830"/>
      <c r="AE272" s="830"/>
      <c r="AF272" s="830"/>
      <c r="AG272" s="830"/>
      <c r="AH272" s="830"/>
      <c r="AI272" s="830"/>
      <c r="AJ272" s="830"/>
      <c r="AK272" s="836"/>
      <c r="AL272" s="837" t="e">
        <f>VLOOKUP(C272,'sản lượng'!$D$14:$AP$169,38,0)</f>
        <v>#N/A</v>
      </c>
      <c r="AM272" s="801">
        <v>1250</v>
      </c>
      <c r="AN272" s="831" t="e">
        <f t="shared" si="61"/>
        <v>#N/A</v>
      </c>
      <c r="AP272" s="799">
        <f t="shared" si="58"/>
        <v>2</v>
      </c>
      <c r="AR272" s="799">
        <v>1</v>
      </c>
    </row>
    <row r="273" spans="1:44" ht="15.75">
      <c r="A273" s="850">
        <v>44</v>
      </c>
      <c r="B273" s="813" t="str">
        <f>VLOOKUP(C273,'DS CN MOI UP'!$B$10:$C$389,2,0)</f>
        <v>02688</v>
      </c>
      <c r="C273" s="845" t="s">
        <v>167</v>
      </c>
      <c r="D273" s="851" t="s">
        <v>15</v>
      </c>
      <c r="E273" s="815">
        <f t="shared" si="54"/>
        <v>24</v>
      </c>
      <c r="F273" s="815"/>
      <c r="G273" s="815"/>
      <c r="H273" s="960"/>
      <c r="I273" s="815"/>
      <c r="J273" s="815"/>
      <c r="K273" s="815"/>
      <c r="L273" s="815"/>
      <c r="M273" s="815"/>
      <c r="N273" s="815"/>
      <c r="O273" s="815"/>
      <c r="P273" s="815"/>
      <c r="Q273" s="815"/>
      <c r="R273" s="815"/>
      <c r="S273" s="830">
        <f t="shared" si="59"/>
        <v>24</v>
      </c>
      <c r="T273" s="830" t="e">
        <f>VLOOKUP(C273,'sản lượng'!$D$14:$AK$169,36,0)</f>
        <v>#N/A</v>
      </c>
      <c r="U273" s="830"/>
      <c r="V273" s="830"/>
      <c r="W273" s="830" t="e">
        <f>VLOOKUP(C273,'sản lượng'!$D$14:$AK$169,36,0)</f>
        <v>#N/A</v>
      </c>
      <c r="X273" s="830"/>
      <c r="Y273" s="830"/>
      <c r="Z273" s="830" t="e">
        <f t="shared" si="60"/>
        <v>#N/A</v>
      </c>
      <c r="AA273" s="830" t="e">
        <f>VLOOKUP(C273,'CHẤM CÔNG '!$E$13:$AM$168,33,0)</f>
        <v>#N/A</v>
      </c>
      <c r="AB273" s="830" t="e">
        <f>VLOOKUP(C273,'CHẤM CÔNG '!$E$13:$AM$168,34,0)</f>
        <v>#N/A</v>
      </c>
      <c r="AC273" s="830"/>
      <c r="AD273" s="830"/>
      <c r="AE273" s="830"/>
      <c r="AF273" s="830"/>
      <c r="AG273" s="830"/>
      <c r="AH273" s="830"/>
      <c r="AI273" s="830"/>
      <c r="AJ273" s="830"/>
      <c r="AK273" s="836"/>
      <c r="AL273" s="837" t="e">
        <f>VLOOKUP(C273,'sản lượng'!$D$14:$AP$169,38,0)</f>
        <v>#N/A</v>
      </c>
      <c r="AM273" s="801">
        <v>915</v>
      </c>
      <c r="AN273" s="831" t="e">
        <f t="shared" si="61"/>
        <v>#N/A</v>
      </c>
      <c r="AP273" s="799">
        <f t="shared" si="58"/>
        <v>2</v>
      </c>
      <c r="AR273" s="799">
        <v>1</v>
      </c>
    </row>
    <row r="274" spans="1:44" ht="15.75">
      <c r="A274" s="850">
        <v>45</v>
      </c>
      <c r="B274" s="813" t="str">
        <f>VLOOKUP(C274,'DS CN MOI UP'!$B$10:$C$389,2,0)</f>
        <v>02551</v>
      </c>
      <c r="C274" s="852" t="s">
        <v>168</v>
      </c>
      <c r="D274" s="851" t="s">
        <v>15</v>
      </c>
      <c r="E274" s="815">
        <f t="shared" si="54"/>
        <v>24</v>
      </c>
      <c r="F274" s="815"/>
      <c r="G274" s="815"/>
      <c r="H274" s="960"/>
      <c r="I274" s="815"/>
      <c r="J274" s="815"/>
      <c r="K274" s="815"/>
      <c r="L274" s="815"/>
      <c r="M274" s="815"/>
      <c r="N274" s="815"/>
      <c r="O274" s="815"/>
      <c r="P274" s="815"/>
      <c r="Q274" s="815"/>
      <c r="R274" s="815"/>
      <c r="S274" s="830">
        <f t="shared" si="59"/>
        <v>24</v>
      </c>
      <c r="T274" s="830" t="e">
        <f>VLOOKUP(C274,'sản lượng'!$D$14:$AK$169,36,0)</f>
        <v>#N/A</v>
      </c>
      <c r="U274" s="830"/>
      <c r="V274" s="830"/>
      <c r="W274" s="830" t="e">
        <f>VLOOKUP(C274,'sản lượng'!$D$14:$AK$169,36,0)</f>
        <v>#N/A</v>
      </c>
      <c r="X274" s="830"/>
      <c r="Y274" s="830"/>
      <c r="Z274" s="830" t="e">
        <f t="shared" si="60"/>
        <v>#N/A</v>
      </c>
      <c r="AA274" s="830" t="e">
        <f>VLOOKUP(C274,'CHẤM CÔNG '!$E$13:$AM$168,33,0)</f>
        <v>#N/A</v>
      </c>
      <c r="AB274" s="830" t="e">
        <f>VLOOKUP(C274,'CHẤM CÔNG '!$E$13:$AM$168,34,0)</f>
        <v>#N/A</v>
      </c>
      <c r="AC274" s="830"/>
      <c r="AD274" s="830"/>
      <c r="AE274" s="830"/>
      <c r="AF274" s="830"/>
      <c r="AG274" s="830"/>
      <c r="AH274" s="830"/>
      <c r="AI274" s="830"/>
      <c r="AJ274" s="830"/>
      <c r="AK274" s="836"/>
      <c r="AL274" s="837" t="e">
        <f>VLOOKUP(C274,'sản lượng'!$D$14:$AP$169,38,0)</f>
        <v>#N/A</v>
      </c>
      <c r="AM274" s="801">
        <v>1376</v>
      </c>
      <c r="AN274" s="831" t="e">
        <f t="shared" si="61"/>
        <v>#N/A</v>
      </c>
      <c r="AP274" s="799">
        <f t="shared" si="58"/>
        <v>2</v>
      </c>
      <c r="AR274" s="799">
        <v>1</v>
      </c>
    </row>
    <row r="275" spans="1:44" ht="15.75">
      <c r="A275" s="850">
        <v>46</v>
      </c>
      <c r="B275" s="813" t="str">
        <f>VLOOKUP(C275,'DS CN MOI UP'!$B$10:$C$389,2,0)</f>
        <v>02523</v>
      </c>
      <c r="C275" s="846" t="s">
        <v>169</v>
      </c>
      <c r="D275" s="851" t="s">
        <v>15</v>
      </c>
      <c r="E275" s="815">
        <f t="shared" si="54"/>
        <v>24</v>
      </c>
      <c r="F275" s="815"/>
      <c r="G275" s="815"/>
      <c r="H275" s="960"/>
      <c r="I275" s="815"/>
      <c r="J275" s="815"/>
      <c r="K275" s="815"/>
      <c r="L275" s="815"/>
      <c r="M275" s="815"/>
      <c r="N275" s="815"/>
      <c r="O275" s="815"/>
      <c r="P275" s="815"/>
      <c r="Q275" s="815"/>
      <c r="R275" s="815"/>
      <c r="S275" s="830">
        <f t="shared" si="59"/>
        <v>24</v>
      </c>
      <c r="T275" s="830" t="e">
        <f>VLOOKUP(C275,'sản lượng'!$D$14:$AK$169,36,0)</f>
        <v>#N/A</v>
      </c>
      <c r="U275" s="830"/>
      <c r="V275" s="830"/>
      <c r="W275" s="830" t="e">
        <f>VLOOKUP(C275,'sản lượng'!$D$14:$AK$169,36,0)</f>
        <v>#N/A</v>
      </c>
      <c r="X275" s="830"/>
      <c r="Y275" s="830"/>
      <c r="Z275" s="830" t="e">
        <f t="shared" si="60"/>
        <v>#N/A</v>
      </c>
      <c r="AA275" s="830" t="e">
        <f>VLOOKUP(C275,'CHẤM CÔNG '!$E$13:$AM$168,33,0)</f>
        <v>#N/A</v>
      </c>
      <c r="AB275" s="830" t="e">
        <f>VLOOKUP(C275,'CHẤM CÔNG '!$E$13:$AM$168,34,0)</f>
        <v>#N/A</v>
      </c>
      <c r="AC275" s="830"/>
      <c r="AD275" s="830"/>
      <c r="AE275" s="830"/>
      <c r="AF275" s="830"/>
      <c r="AG275" s="830"/>
      <c r="AH275" s="830"/>
      <c r="AI275" s="830"/>
      <c r="AJ275" s="830"/>
      <c r="AK275" s="836"/>
      <c r="AL275" s="837" t="e">
        <f>VLOOKUP(C275,'sản lượng'!$D$14:$AP$169,38,0)</f>
        <v>#N/A</v>
      </c>
      <c r="AM275" s="801">
        <v>1452</v>
      </c>
      <c r="AN275" s="831" t="e">
        <f t="shared" si="61"/>
        <v>#N/A</v>
      </c>
      <c r="AP275" s="799">
        <f t="shared" si="58"/>
        <v>2</v>
      </c>
      <c r="AR275" s="799">
        <v>1</v>
      </c>
    </row>
    <row r="276" spans="1:44" ht="15.75">
      <c r="A276" s="850">
        <v>47</v>
      </c>
      <c r="B276" s="813" t="str">
        <f>VLOOKUP(C276,'DS CN MOI UP'!$B$10:$C$389,2,0)</f>
        <v>03369</v>
      </c>
      <c r="C276" s="846" t="s">
        <v>170</v>
      </c>
      <c r="D276" s="851" t="s">
        <v>15</v>
      </c>
      <c r="E276" s="815">
        <f t="shared" si="54"/>
        <v>24</v>
      </c>
      <c r="F276" s="815"/>
      <c r="G276" s="815"/>
      <c r="H276" s="960"/>
      <c r="I276" s="815"/>
      <c r="J276" s="815"/>
      <c r="K276" s="815"/>
      <c r="L276" s="815"/>
      <c r="M276" s="815"/>
      <c r="N276" s="815"/>
      <c r="O276" s="815"/>
      <c r="P276" s="815"/>
      <c r="Q276" s="815"/>
      <c r="R276" s="815"/>
      <c r="S276" s="830">
        <f t="shared" si="59"/>
        <v>24</v>
      </c>
      <c r="T276" s="830" t="e">
        <f>VLOOKUP(C276,'sản lượng'!$D$14:$AK$169,36,0)</f>
        <v>#N/A</v>
      </c>
      <c r="U276" s="830"/>
      <c r="V276" s="830"/>
      <c r="W276" s="830" t="e">
        <f>VLOOKUP(C276,'sản lượng'!$D$14:$AK$169,36,0)</f>
        <v>#N/A</v>
      </c>
      <c r="X276" s="830"/>
      <c r="Y276" s="830"/>
      <c r="Z276" s="830" t="e">
        <f t="shared" si="60"/>
        <v>#N/A</v>
      </c>
      <c r="AA276" s="830" t="e">
        <f>VLOOKUP(C276,'CHẤM CÔNG '!$E$13:$AM$168,33,0)</f>
        <v>#N/A</v>
      </c>
      <c r="AB276" s="830" t="e">
        <f>VLOOKUP(C276,'CHẤM CÔNG '!$E$13:$AM$168,34,0)</f>
        <v>#N/A</v>
      </c>
      <c r="AC276" s="830"/>
      <c r="AD276" s="830"/>
      <c r="AE276" s="830"/>
      <c r="AF276" s="830"/>
      <c r="AG276" s="830"/>
      <c r="AH276" s="830"/>
      <c r="AI276" s="830"/>
      <c r="AJ276" s="830"/>
      <c r="AK276" s="836"/>
      <c r="AL276" s="837" t="e">
        <f>VLOOKUP(C276,'sản lượng'!$D$14:$AP$169,38,0)</f>
        <v>#N/A</v>
      </c>
      <c r="AM276" s="801">
        <v>2448</v>
      </c>
      <c r="AN276" s="831" t="e">
        <f t="shared" si="61"/>
        <v>#N/A</v>
      </c>
      <c r="AP276" s="799">
        <f t="shared" si="58"/>
        <v>2</v>
      </c>
      <c r="AR276" s="799">
        <v>1</v>
      </c>
    </row>
    <row r="277" spans="1:44" ht="15.75">
      <c r="A277" s="850">
        <v>48</v>
      </c>
      <c r="B277" s="813" t="str">
        <f>VLOOKUP(C277,'DS CN MOI UP'!$B$10:$C$389,2,0)</f>
        <v>03345</v>
      </c>
      <c r="C277" s="846" t="s">
        <v>171</v>
      </c>
      <c r="D277" s="851" t="s">
        <v>15</v>
      </c>
      <c r="E277" s="815">
        <f t="shared" si="54"/>
        <v>24</v>
      </c>
      <c r="F277" s="815"/>
      <c r="G277" s="815"/>
      <c r="H277" s="960"/>
      <c r="I277" s="815"/>
      <c r="J277" s="815"/>
      <c r="K277" s="815"/>
      <c r="L277" s="815"/>
      <c r="M277" s="815"/>
      <c r="N277" s="815"/>
      <c r="O277" s="815"/>
      <c r="P277" s="815"/>
      <c r="Q277" s="815"/>
      <c r="R277" s="815"/>
      <c r="S277" s="830">
        <f t="shared" si="59"/>
        <v>24</v>
      </c>
      <c r="T277" s="830" t="e">
        <f>VLOOKUP(C277,'sản lượng'!$D$14:$AK$169,36,0)</f>
        <v>#N/A</v>
      </c>
      <c r="U277" s="830"/>
      <c r="V277" s="830"/>
      <c r="W277" s="830" t="e">
        <f>VLOOKUP(C277,'sản lượng'!$D$14:$AK$169,36,0)</f>
        <v>#N/A</v>
      </c>
      <c r="X277" s="830"/>
      <c r="Y277" s="830"/>
      <c r="Z277" s="830" t="e">
        <f t="shared" si="60"/>
        <v>#N/A</v>
      </c>
      <c r="AA277" s="830" t="e">
        <f>VLOOKUP(C277,'CHẤM CÔNG '!$E$13:$AM$168,33,0)</f>
        <v>#N/A</v>
      </c>
      <c r="AB277" s="830" t="e">
        <f>VLOOKUP(C277,'CHẤM CÔNG '!$E$13:$AM$168,34,0)</f>
        <v>#N/A</v>
      </c>
      <c r="AC277" s="830"/>
      <c r="AD277" s="830"/>
      <c r="AE277" s="830"/>
      <c r="AF277" s="830"/>
      <c r="AG277" s="830"/>
      <c r="AH277" s="830"/>
      <c r="AI277" s="830"/>
      <c r="AJ277" s="830"/>
      <c r="AK277" s="836"/>
      <c r="AL277" s="837" t="e">
        <f>VLOOKUP(C277,'sản lượng'!$D$14:$AP$169,38,0)</f>
        <v>#N/A</v>
      </c>
      <c r="AM277" s="801">
        <v>1884</v>
      </c>
      <c r="AN277" s="831" t="e">
        <f t="shared" si="61"/>
        <v>#N/A</v>
      </c>
      <c r="AP277" s="799">
        <f t="shared" si="58"/>
        <v>2</v>
      </c>
      <c r="AR277" s="799">
        <v>1</v>
      </c>
    </row>
    <row r="278" spans="1:44" ht="15.75">
      <c r="A278" s="850">
        <v>49</v>
      </c>
      <c r="B278" s="813" t="str">
        <f>VLOOKUP(C278,'DS CN MOI UP'!$B$10:$C$389,2,0)</f>
        <v>03371</v>
      </c>
      <c r="C278" s="853" t="s">
        <v>172</v>
      </c>
      <c r="D278" s="851" t="s">
        <v>15</v>
      </c>
      <c r="E278" s="815">
        <f t="shared" si="54"/>
        <v>24</v>
      </c>
      <c r="F278" s="815"/>
      <c r="G278" s="815"/>
      <c r="H278" s="960"/>
      <c r="I278" s="815"/>
      <c r="J278" s="815"/>
      <c r="K278" s="815"/>
      <c r="L278" s="815"/>
      <c r="M278" s="815"/>
      <c r="N278" s="815"/>
      <c r="O278" s="815"/>
      <c r="P278" s="815"/>
      <c r="Q278" s="815"/>
      <c r="R278" s="815"/>
      <c r="S278" s="830">
        <f t="shared" si="59"/>
        <v>24</v>
      </c>
      <c r="T278" s="830" t="e">
        <f>VLOOKUP(C278,'sản lượng'!$D$14:$AK$169,36,0)</f>
        <v>#N/A</v>
      </c>
      <c r="U278" s="830"/>
      <c r="V278" s="830"/>
      <c r="W278" s="830" t="e">
        <f>VLOOKUP(C278,'sản lượng'!$D$14:$AK$169,36,0)</f>
        <v>#N/A</v>
      </c>
      <c r="X278" s="830"/>
      <c r="Y278" s="830"/>
      <c r="Z278" s="830" t="e">
        <f t="shared" si="60"/>
        <v>#N/A</v>
      </c>
      <c r="AA278" s="830" t="e">
        <f>VLOOKUP(C278,'CHẤM CÔNG '!$E$13:$AM$168,33,0)</f>
        <v>#N/A</v>
      </c>
      <c r="AB278" s="830" t="e">
        <f>VLOOKUP(C278,'CHẤM CÔNG '!$E$13:$AM$168,34,0)</f>
        <v>#N/A</v>
      </c>
      <c r="AC278" s="830"/>
      <c r="AD278" s="830"/>
      <c r="AE278" s="830"/>
      <c r="AF278" s="830"/>
      <c r="AG278" s="830"/>
      <c r="AH278" s="830"/>
      <c r="AI278" s="830"/>
      <c r="AJ278" s="830"/>
      <c r="AK278" s="836"/>
      <c r="AL278" s="837" t="e">
        <f>VLOOKUP(C278,'sản lượng'!$D$14:$AP$169,38,0)</f>
        <v>#N/A</v>
      </c>
      <c r="AM278" s="801">
        <v>1797</v>
      </c>
      <c r="AN278" s="831" t="e">
        <f t="shared" si="61"/>
        <v>#N/A</v>
      </c>
      <c r="AP278" s="799">
        <f t="shared" si="58"/>
        <v>2</v>
      </c>
      <c r="AR278" s="799">
        <v>1</v>
      </c>
    </row>
    <row r="279" spans="1:44" ht="15.75">
      <c r="A279" s="850">
        <v>50</v>
      </c>
      <c r="B279" s="813" t="str">
        <f>VLOOKUP(C279,'DS CN MOI UP'!$B$10:$C$389,2,0)</f>
        <v>02519</v>
      </c>
      <c r="C279" s="854" t="s">
        <v>173</v>
      </c>
      <c r="D279" s="851" t="s">
        <v>15</v>
      </c>
      <c r="E279" s="815">
        <f t="shared" si="54"/>
        <v>24</v>
      </c>
      <c r="F279" s="815"/>
      <c r="G279" s="815"/>
      <c r="H279" s="960"/>
      <c r="I279" s="815"/>
      <c r="J279" s="815"/>
      <c r="K279" s="815"/>
      <c r="L279" s="815"/>
      <c r="M279" s="815"/>
      <c r="N279" s="815"/>
      <c r="O279" s="815"/>
      <c r="P279" s="815"/>
      <c r="Q279" s="815"/>
      <c r="R279" s="815"/>
      <c r="S279" s="830">
        <f t="shared" si="59"/>
        <v>24</v>
      </c>
      <c r="T279" s="830" t="e">
        <f>VLOOKUP(C279,'sản lượng'!$D$14:$AK$169,36,0)</f>
        <v>#N/A</v>
      </c>
      <c r="U279" s="830"/>
      <c r="V279" s="830"/>
      <c r="W279" s="830" t="e">
        <f>VLOOKUP(C279,'sản lượng'!$D$14:$AK$169,36,0)</f>
        <v>#N/A</v>
      </c>
      <c r="X279" s="830"/>
      <c r="Y279" s="830"/>
      <c r="Z279" s="830" t="e">
        <f t="shared" si="60"/>
        <v>#N/A</v>
      </c>
      <c r="AA279" s="830" t="e">
        <f>VLOOKUP(C279,'CHẤM CÔNG '!$E$13:$AM$168,33,0)</f>
        <v>#N/A</v>
      </c>
      <c r="AB279" s="830" t="e">
        <f>VLOOKUP(C279,'CHẤM CÔNG '!$E$13:$AM$168,34,0)</f>
        <v>#N/A</v>
      </c>
      <c r="AC279" s="830"/>
      <c r="AD279" s="830"/>
      <c r="AE279" s="830"/>
      <c r="AF279" s="830"/>
      <c r="AG279" s="830"/>
      <c r="AH279" s="830"/>
      <c r="AI279" s="830"/>
      <c r="AJ279" s="830"/>
      <c r="AK279" s="836"/>
      <c r="AL279" s="837" t="e">
        <f>VLOOKUP(C279,'sản lượng'!$D$14:$AP$169,38,0)</f>
        <v>#N/A</v>
      </c>
      <c r="AM279" s="801">
        <v>2261</v>
      </c>
      <c r="AN279" s="831" t="e">
        <f t="shared" si="61"/>
        <v>#N/A</v>
      </c>
      <c r="AP279" s="799">
        <f t="shared" si="58"/>
        <v>2</v>
      </c>
      <c r="AR279" s="799">
        <v>1</v>
      </c>
    </row>
    <row r="280" spans="1:44" ht="15.75">
      <c r="A280" s="850">
        <v>51</v>
      </c>
      <c r="B280" s="813" t="str">
        <f>VLOOKUP(C280,'DS CN MOI UP'!$B$10:$C$389,2,0)</f>
        <v>02692</v>
      </c>
      <c r="C280" s="825" t="s">
        <v>174</v>
      </c>
      <c r="D280" s="851" t="s">
        <v>15</v>
      </c>
      <c r="E280" s="815">
        <f t="shared" si="54"/>
        <v>24</v>
      </c>
      <c r="F280" s="815"/>
      <c r="G280" s="815"/>
      <c r="H280" s="960"/>
      <c r="I280" s="815"/>
      <c r="J280" s="815"/>
      <c r="K280" s="815"/>
      <c r="L280" s="815"/>
      <c r="M280" s="815"/>
      <c r="N280" s="815"/>
      <c r="O280" s="815"/>
      <c r="P280" s="815"/>
      <c r="Q280" s="815"/>
      <c r="R280" s="815"/>
      <c r="S280" s="830">
        <f t="shared" si="59"/>
        <v>24</v>
      </c>
      <c r="T280" s="830" t="e">
        <f>VLOOKUP(C280,'sản lượng'!$D$14:$AK$169,36,0)</f>
        <v>#N/A</v>
      </c>
      <c r="U280" s="830"/>
      <c r="V280" s="830"/>
      <c r="W280" s="830" t="e">
        <f>VLOOKUP(C280,'sản lượng'!$D$14:$AK$169,36,0)</f>
        <v>#N/A</v>
      </c>
      <c r="X280" s="830"/>
      <c r="Y280" s="830"/>
      <c r="Z280" s="830" t="e">
        <f t="shared" si="60"/>
        <v>#N/A</v>
      </c>
      <c r="AA280" s="830" t="e">
        <f>VLOOKUP(C280,'CHẤM CÔNG '!$E$13:$AM$168,33,0)</f>
        <v>#N/A</v>
      </c>
      <c r="AB280" s="830" t="e">
        <f>VLOOKUP(C280,'CHẤM CÔNG '!$E$13:$AM$168,34,0)</f>
        <v>#N/A</v>
      </c>
      <c r="AC280" s="830"/>
      <c r="AD280" s="830"/>
      <c r="AE280" s="830"/>
      <c r="AF280" s="830"/>
      <c r="AG280" s="830"/>
      <c r="AH280" s="830"/>
      <c r="AI280" s="830"/>
      <c r="AJ280" s="830"/>
      <c r="AK280" s="836"/>
      <c r="AL280" s="837" t="e">
        <f>VLOOKUP(C280,'sản lượng'!$D$14:$AP$169,38,0)</f>
        <v>#N/A</v>
      </c>
      <c r="AM280" s="801">
        <v>1682</v>
      </c>
      <c r="AN280" s="831" t="e">
        <f t="shared" si="61"/>
        <v>#N/A</v>
      </c>
      <c r="AP280" s="799">
        <f t="shared" si="58"/>
        <v>2</v>
      </c>
      <c r="AR280" s="799">
        <v>1</v>
      </c>
    </row>
    <row r="281" spans="1:44" ht="15.75">
      <c r="A281" s="850">
        <v>52</v>
      </c>
      <c r="B281" s="813" t="str">
        <f>VLOOKUP(C281,'DS CN MOI UP'!$B$10:$C$389,2,0)</f>
        <v>03372</v>
      </c>
      <c r="C281" s="825" t="s">
        <v>175</v>
      </c>
      <c r="D281" s="851" t="s">
        <v>15</v>
      </c>
      <c r="E281" s="815">
        <f t="shared" si="54"/>
        <v>24</v>
      </c>
      <c r="F281" s="815"/>
      <c r="G281" s="815"/>
      <c r="H281" s="960"/>
      <c r="I281" s="815"/>
      <c r="J281" s="815"/>
      <c r="K281" s="815"/>
      <c r="L281" s="815"/>
      <c r="M281" s="815"/>
      <c r="N281" s="815"/>
      <c r="O281" s="815"/>
      <c r="P281" s="815"/>
      <c r="Q281" s="815"/>
      <c r="R281" s="815"/>
      <c r="S281" s="830">
        <f t="shared" si="59"/>
        <v>24</v>
      </c>
      <c r="T281" s="830" t="e">
        <f>VLOOKUP(C281,'sản lượng'!$D$14:$AK$169,36,0)</f>
        <v>#N/A</v>
      </c>
      <c r="U281" s="830"/>
      <c r="V281" s="830"/>
      <c r="W281" s="830" t="e">
        <f>VLOOKUP(C281,'sản lượng'!$D$14:$AK$169,36,0)</f>
        <v>#N/A</v>
      </c>
      <c r="X281" s="830"/>
      <c r="Y281" s="830"/>
      <c r="Z281" s="830" t="e">
        <f t="shared" si="60"/>
        <v>#N/A</v>
      </c>
      <c r="AA281" s="830" t="e">
        <f>VLOOKUP(C281,'CHẤM CÔNG '!$E$13:$AM$168,33,0)</f>
        <v>#N/A</v>
      </c>
      <c r="AB281" s="830" t="e">
        <f>VLOOKUP(C281,'CHẤM CÔNG '!$E$13:$AM$168,34,0)</f>
        <v>#N/A</v>
      </c>
      <c r="AC281" s="830"/>
      <c r="AD281" s="830"/>
      <c r="AE281" s="830"/>
      <c r="AF281" s="830"/>
      <c r="AG281" s="830"/>
      <c r="AH281" s="830"/>
      <c r="AI281" s="830"/>
      <c r="AJ281" s="830"/>
      <c r="AK281" s="836"/>
      <c r="AL281" s="837" t="e">
        <f>VLOOKUP(C281,'sản lượng'!$D$14:$AP$169,38,0)</f>
        <v>#N/A</v>
      </c>
      <c r="AM281" s="801">
        <v>1211</v>
      </c>
      <c r="AN281" s="831" t="e">
        <f t="shared" si="61"/>
        <v>#N/A</v>
      </c>
      <c r="AP281" s="799">
        <f t="shared" si="58"/>
        <v>2</v>
      </c>
      <c r="AR281" s="799">
        <v>1</v>
      </c>
    </row>
    <row r="282" spans="1:44" ht="15.75">
      <c r="A282" s="850">
        <v>53</v>
      </c>
      <c r="B282" s="813" t="str">
        <f>VLOOKUP(C282,'DS CN MOI UP'!$B$10:$C$389,2,0)</f>
        <v>03365</v>
      </c>
      <c r="C282" s="825" t="s">
        <v>176</v>
      </c>
      <c r="D282" s="851" t="s">
        <v>15</v>
      </c>
      <c r="E282" s="815">
        <f t="shared" si="54"/>
        <v>24</v>
      </c>
      <c r="F282" s="815"/>
      <c r="G282" s="815"/>
      <c r="H282" s="960"/>
      <c r="I282" s="815"/>
      <c r="J282" s="815"/>
      <c r="K282" s="815"/>
      <c r="L282" s="815"/>
      <c r="M282" s="815"/>
      <c r="N282" s="815"/>
      <c r="O282" s="815"/>
      <c r="P282" s="815"/>
      <c r="Q282" s="815"/>
      <c r="R282" s="815"/>
      <c r="S282" s="830">
        <f t="shared" si="59"/>
        <v>24</v>
      </c>
      <c r="T282" s="830" t="e">
        <f>VLOOKUP(C282,'sản lượng'!$D$14:$AK$169,36,0)</f>
        <v>#N/A</v>
      </c>
      <c r="U282" s="830"/>
      <c r="V282" s="830"/>
      <c r="W282" s="830" t="e">
        <f>VLOOKUP(C282,'sản lượng'!$D$14:$AK$169,36,0)</f>
        <v>#N/A</v>
      </c>
      <c r="X282" s="830"/>
      <c r="Y282" s="830"/>
      <c r="Z282" s="830" t="e">
        <f t="shared" si="60"/>
        <v>#N/A</v>
      </c>
      <c r="AA282" s="830" t="e">
        <f>VLOOKUP(C282,'CHẤM CÔNG '!$E$13:$AM$168,33,0)</f>
        <v>#N/A</v>
      </c>
      <c r="AB282" s="830" t="e">
        <f>VLOOKUP(C282,'CHẤM CÔNG '!$E$13:$AM$168,34,0)</f>
        <v>#N/A</v>
      </c>
      <c r="AC282" s="830"/>
      <c r="AD282" s="830"/>
      <c r="AE282" s="830"/>
      <c r="AF282" s="830"/>
      <c r="AG282" s="830"/>
      <c r="AH282" s="830"/>
      <c r="AI282" s="830"/>
      <c r="AJ282" s="830"/>
      <c r="AK282" s="836"/>
      <c r="AL282" s="837" t="e">
        <f>VLOOKUP(C282,'sản lượng'!$D$14:$AP$169,38,0)</f>
        <v>#N/A</v>
      </c>
      <c r="AM282" s="801">
        <v>1239</v>
      </c>
      <c r="AN282" s="831" t="e">
        <f t="shared" si="61"/>
        <v>#N/A</v>
      </c>
      <c r="AP282" s="799">
        <f t="shared" si="58"/>
        <v>2</v>
      </c>
      <c r="AR282" s="799">
        <v>1</v>
      </c>
    </row>
    <row r="283" spans="1:44" ht="15.75">
      <c r="A283" s="850">
        <v>54</v>
      </c>
      <c r="B283" s="813" t="str">
        <f>VLOOKUP(C283,'DS CN MOI UP'!$B$10:$C$389,2,0)</f>
        <v>03373</v>
      </c>
      <c r="C283" s="825" t="s">
        <v>177</v>
      </c>
      <c r="D283" s="851" t="s">
        <v>15</v>
      </c>
      <c r="E283" s="815">
        <f t="shared" si="54"/>
        <v>24</v>
      </c>
      <c r="F283" s="815"/>
      <c r="G283" s="815"/>
      <c r="H283" s="960"/>
      <c r="I283" s="815"/>
      <c r="J283" s="815"/>
      <c r="K283" s="815"/>
      <c r="L283" s="815"/>
      <c r="M283" s="815"/>
      <c r="N283" s="815"/>
      <c r="O283" s="815"/>
      <c r="P283" s="815"/>
      <c r="Q283" s="815"/>
      <c r="R283" s="815"/>
      <c r="S283" s="830">
        <f t="shared" si="59"/>
        <v>24</v>
      </c>
      <c r="T283" s="830" t="e">
        <f>VLOOKUP(C283,'sản lượng'!$D$14:$AK$169,36,0)</f>
        <v>#N/A</v>
      </c>
      <c r="U283" s="830"/>
      <c r="V283" s="830"/>
      <c r="W283" s="830" t="e">
        <f>VLOOKUP(C283,'sản lượng'!$D$14:$AK$169,36,0)</f>
        <v>#N/A</v>
      </c>
      <c r="X283" s="830"/>
      <c r="Y283" s="830"/>
      <c r="Z283" s="830" t="e">
        <f t="shared" si="60"/>
        <v>#N/A</v>
      </c>
      <c r="AA283" s="830" t="e">
        <f>VLOOKUP(C283,'CHẤM CÔNG '!$E$13:$AM$168,33,0)</f>
        <v>#N/A</v>
      </c>
      <c r="AB283" s="830" t="e">
        <f>VLOOKUP(C283,'CHẤM CÔNG '!$E$13:$AM$168,34,0)</f>
        <v>#N/A</v>
      </c>
      <c r="AC283" s="830"/>
      <c r="AD283" s="830"/>
      <c r="AE283" s="830"/>
      <c r="AF283" s="830"/>
      <c r="AG283" s="830"/>
      <c r="AH283" s="830"/>
      <c r="AI283" s="830"/>
      <c r="AJ283" s="830"/>
      <c r="AK283" s="836"/>
      <c r="AL283" s="837" t="e">
        <f>VLOOKUP(C283,'sản lượng'!$D$14:$AP$169,38,0)</f>
        <v>#N/A</v>
      </c>
      <c r="AM283" s="801">
        <v>1196</v>
      </c>
      <c r="AN283" s="831" t="e">
        <f t="shared" si="61"/>
        <v>#N/A</v>
      </c>
      <c r="AP283" s="799">
        <f t="shared" si="58"/>
        <v>2</v>
      </c>
      <c r="AR283" s="799">
        <v>1</v>
      </c>
    </row>
    <row r="284" spans="1:44" ht="15.75">
      <c r="A284" s="850">
        <v>55</v>
      </c>
      <c r="B284" s="813" t="str">
        <f>VLOOKUP(C284,'DS CN MOI UP'!$B$10:$C$389,2,0)</f>
        <v>03374</v>
      </c>
      <c r="C284" s="825" t="s">
        <v>178</v>
      </c>
      <c r="D284" s="851" t="s">
        <v>15</v>
      </c>
      <c r="E284" s="815">
        <f t="shared" si="54"/>
        <v>24</v>
      </c>
      <c r="F284" s="815"/>
      <c r="G284" s="815"/>
      <c r="H284" s="960"/>
      <c r="I284" s="815"/>
      <c r="J284" s="815"/>
      <c r="K284" s="815"/>
      <c r="L284" s="815"/>
      <c r="M284" s="815"/>
      <c r="N284" s="815"/>
      <c r="O284" s="815"/>
      <c r="P284" s="815"/>
      <c r="Q284" s="815"/>
      <c r="R284" s="815"/>
      <c r="S284" s="830">
        <f t="shared" si="59"/>
        <v>24</v>
      </c>
      <c r="T284" s="830" t="e">
        <f>VLOOKUP(C284,'sản lượng'!$D$14:$AK$169,36,0)</f>
        <v>#N/A</v>
      </c>
      <c r="U284" s="830"/>
      <c r="V284" s="830"/>
      <c r="W284" s="830" t="e">
        <f>VLOOKUP(C284,'sản lượng'!$D$14:$AK$169,36,0)</f>
        <v>#N/A</v>
      </c>
      <c r="X284" s="830"/>
      <c r="Y284" s="830"/>
      <c r="Z284" s="830" t="e">
        <f t="shared" si="60"/>
        <v>#N/A</v>
      </c>
      <c r="AA284" s="830" t="e">
        <f>VLOOKUP(C284,'CHẤM CÔNG '!$E$13:$AM$168,33,0)</f>
        <v>#N/A</v>
      </c>
      <c r="AB284" s="830" t="e">
        <f>VLOOKUP(C284,'CHẤM CÔNG '!$E$13:$AM$168,34,0)</f>
        <v>#N/A</v>
      </c>
      <c r="AC284" s="830"/>
      <c r="AD284" s="830"/>
      <c r="AE284" s="830"/>
      <c r="AF284" s="830"/>
      <c r="AG284" s="830"/>
      <c r="AH284" s="830"/>
      <c r="AI284" s="830"/>
      <c r="AJ284" s="830"/>
      <c r="AK284" s="836"/>
      <c r="AL284" s="837" t="e">
        <f>VLOOKUP(C284,'sản lượng'!$D$14:$AP$169,38,0)</f>
        <v>#N/A</v>
      </c>
      <c r="AM284" s="801">
        <v>1120</v>
      </c>
      <c r="AN284" s="831" t="e">
        <f t="shared" si="61"/>
        <v>#N/A</v>
      </c>
      <c r="AP284" s="799">
        <f t="shared" si="58"/>
        <v>2</v>
      </c>
      <c r="AR284" s="799">
        <v>1</v>
      </c>
    </row>
    <row r="285" spans="1:44" ht="15.75">
      <c r="A285" s="850">
        <v>56</v>
      </c>
      <c r="B285" s="813" t="str">
        <f>VLOOKUP(C285,'DS CN MOI UP'!$B$10:$C$389,2,0)</f>
        <v>02557</v>
      </c>
      <c r="C285" s="825" t="s">
        <v>179</v>
      </c>
      <c r="D285" s="851" t="s">
        <v>15</v>
      </c>
      <c r="E285" s="815">
        <f t="shared" si="54"/>
        <v>24</v>
      </c>
      <c r="F285" s="815"/>
      <c r="G285" s="815"/>
      <c r="H285" s="960"/>
      <c r="I285" s="815"/>
      <c r="J285" s="815"/>
      <c r="K285" s="815"/>
      <c r="L285" s="815"/>
      <c r="M285" s="815"/>
      <c r="N285" s="815"/>
      <c r="O285" s="815"/>
      <c r="P285" s="815"/>
      <c r="Q285" s="815"/>
      <c r="R285" s="815"/>
      <c r="S285" s="830">
        <f t="shared" si="59"/>
        <v>24</v>
      </c>
      <c r="T285" s="830" t="e">
        <f>VLOOKUP(C285,'sản lượng'!$D$14:$AK$169,36,0)</f>
        <v>#N/A</v>
      </c>
      <c r="U285" s="830"/>
      <c r="V285" s="830"/>
      <c r="W285" s="830" t="e">
        <f>VLOOKUP(C285,'sản lượng'!$D$14:$AK$169,36,0)</f>
        <v>#N/A</v>
      </c>
      <c r="X285" s="830"/>
      <c r="Y285" s="830"/>
      <c r="Z285" s="830" t="e">
        <f t="shared" si="60"/>
        <v>#N/A</v>
      </c>
      <c r="AA285" s="830" t="e">
        <f>VLOOKUP(C285,'CHẤM CÔNG '!$E$13:$AM$168,33,0)</f>
        <v>#N/A</v>
      </c>
      <c r="AB285" s="830" t="e">
        <f>VLOOKUP(C285,'CHẤM CÔNG '!$E$13:$AM$168,34,0)</f>
        <v>#N/A</v>
      </c>
      <c r="AC285" s="830"/>
      <c r="AD285" s="830"/>
      <c r="AE285" s="830"/>
      <c r="AF285" s="830"/>
      <c r="AG285" s="830"/>
      <c r="AH285" s="830"/>
      <c r="AI285" s="830"/>
      <c r="AJ285" s="830"/>
      <c r="AK285" s="836"/>
      <c r="AL285" s="837" t="e">
        <f>VLOOKUP(C285,'sản lượng'!$D$14:$AP$169,38,0)</f>
        <v>#N/A</v>
      </c>
      <c r="AM285" s="801">
        <v>1471</v>
      </c>
      <c r="AN285" s="831" t="e">
        <f t="shared" si="61"/>
        <v>#N/A</v>
      </c>
      <c r="AP285" s="799">
        <f t="shared" si="58"/>
        <v>2</v>
      </c>
      <c r="AR285" s="799">
        <v>1</v>
      </c>
    </row>
    <row r="286" spans="1:44" ht="15.75">
      <c r="A286" s="850">
        <v>57</v>
      </c>
      <c r="B286" s="813" t="str">
        <f>VLOOKUP(C286,'DS CN MOI UP'!$B$10:$C$389,2,0)</f>
        <v>02525</v>
      </c>
      <c r="C286" s="825" t="s">
        <v>180</v>
      </c>
      <c r="D286" s="851" t="s">
        <v>15</v>
      </c>
      <c r="E286" s="815">
        <f t="shared" si="54"/>
        <v>24</v>
      </c>
      <c r="F286" s="815"/>
      <c r="G286" s="815"/>
      <c r="H286" s="960"/>
      <c r="I286" s="815"/>
      <c r="J286" s="815"/>
      <c r="K286" s="815"/>
      <c r="L286" s="815"/>
      <c r="M286" s="815"/>
      <c r="N286" s="815"/>
      <c r="O286" s="815"/>
      <c r="P286" s="815"/>
      <c r="Q286" s="815"/>
      <c r="R286" s="815"/>
      <c r="S286" s="830">
        <f t="shared" si="59"/>
        <v>24</v>
      </c>
      <c r="T286" s="830" t="e">
        <f>VLOOKUP(C286,'sản lượng'!$D$14:$AK$169,36,0)</f>
        <v>#N/A</v>
      </c>
      <c r="U286" s="830"/>
      <c r="V286" s="830"/>
      <c r="W286" s="830" t="e">
        <f>VLOOKUP(C286,'sản lượng'!$D$14:$AK$169,36,0)</f>
        <v>#N/A</v>
      </c>
      <c r="X286" s="830"/>
      <c r="Y286" s="830"/>
      <c r="Z286" s="830" t="e">
        <f t="shared" si="60"/>
        <v>#N/A</v>
      </c>
      <c r="AA286" s="830" t="e">
        <f>VLOOKUP(C286,'CHẤM CÔNG '!$E$13:$AM$168,33,0)</f>
        <v>#N/A</v>
      </c>
      <c r="AB286" s="830" t="e">
        <f>VLOOKUP(C286,'CHẤM CÔNG '!$E$13:$AM$168,34,0)</f>
        <v>#N/A</v>
      </c>
      <c r="AC286" s="830"/>
      <c r="AD286" s="830"/>
      <c r="AE286" s="830"/>
      <c r="AF286" s="830"/>
      <c r="AG286" s="830"/>
      <c r="AH286" s="830"/>
      <c r="AI286" s="830"/>
      <c r="AJ286" s="830"/>
      <c r="AK286" s="836"/>
      <c r="AL286" s="837" t="e">
        <f>VLOOKUP(C286,'sản lượng'!$D$14:$AP$169,38,0)</f>
        <v>#N/A</v>
      </c>
      <c r="AM286" s="801">
        <v>2106</v>
      </c>
      <c r="AN286" s="831" t="e">
        <f t="shared" si="61"/>
        <v>#N/A</v>
      </c>
      <c r="AP286" s="799">
        <f t="shared" si="58"/>
        <v>2</v>
      </c>
      <c r="AR286" s="799">
        <v>1</v>
      </c>
    </row>
    <row r="287" spans="1:44" ht="15.75">
      <c r="A287" s="850">
        <v>58</v>
      </c>
      <c r="B287" s="813" t="str">
        <f>VLOOKUP(C287,'DS CN MOI UP'!$B$10:$C$389,2,0)</f>
        <v>03375</v>
      </c>
      <c r="C287" s="825" t="s">
        <v>181</v>
      </c>
      <c r="D287" s="851" t="s">
        <v>2081</v>
      </c>
      <c r="E287" s="815">
        <f t="shared" si="54"/>
        <v>24</v>
      </c>
      <c r="F287" s="815"/>
      <c r="G287" s="815"/>
      <c r="H287" s="960"/>
      <c r="I287" s="815"/>
      <c r="J287" s="815"/>
      <c r="K287" s="815"/>
      <c r="L287" s="815"/>
      <c r="M287" s="815"/>
      <c r="N287" s="815"/>
      <c r="O287" s="815"/>
      <c r="P287" s="815"/>
      <c r="Q287" s="815"/>
      <c r="R287" s="815"/>
      <c r="S287" s="830">
        <f t="shared" si="59"/>
        <v>24</v>
      </c>
      <c r="T287" s="830" t="e">
        <f>VLOOKUP(C287,'sản lượng'!$D$14:$AK$169,36,0)</f>
        <v>#N/A</v>
      </c>
      <c r="U287" s="830"/>
      <c r="V287" s="830"/>
      <c r="W287" s="830" t="e">
        <f>VLOOKUP(C287,'sản lượng'!$D$14:$AK$169,36,0)</f>
        <v>#N/A</v>
      </c>
      <c r="X287" s="830"/>
      <c r="Y287" s="830"/>
      <c r="Z287" s="830" t="e">
        <f t="shared" si="60"/>
        <v>#N/A</v>
      </c>
      <c r="AA287" s="830" t="e">
        <f>VLOOKUP(C287,'CHẤM CÔNG '!$E$13:$AM$168,33,0)</f>
        <v>#N/A</v>
      </c>
      <c r="AB287" s="830" t="e">
        <f>VLOOKUP(C287,'CHẤM CÔNG '!$E$13:$AM$168,34,0)</f>
        <v>#N/A</v>
      </c>
      <c r="AC287" s="830"/>
      <c r="AD287" s="830"/>
      <c r="AE287" s="830"/>
      <c r="AF287" s="830"/>
      <c r="AG287" s="830"/>
      <c r="AH287" s="830"/>
      <c r="AI287" s="830"/>
      <c r="AJ287" s="830"/>
      <c r="AK287" s="836"/>
      <c r="AL287" s="837" t="e">
        <f>VLOOKUP(C287,'sản lượng'!$D$14:$AP$169,38,0)</f>
        <v>#N/A</v>
      </c>
      <c r="AM287" s="801">
        <v>1647</v>
      </c>
      <c r="AN287" s="831" t="e">
        <f t="shared" si="61"/>
        <v>#N/A</v>
      </c>
      <c r="AP287" s="799">
        <f t="shared" si="58"/>
        <v>2</v>
      </c>
      <c r="AR287" s="799">
        <v>1</v>
      </c>
    </row>
    <row r="288" spans="1:44" ht="15.75">
      <c r="A288" s="850">
        <v>59</v>
      </c>
      <c r="B288" s="813" t="str">
        <f>VLOOKUP(C288,'DS CN MOI UP'!$B$10:$C$389,2,0)</f>
        <v>02691</v>
      </c>
      <c r="C288" s="825" t="s">
        <v>182</v>
      </c>
      <c r="D288" s="851" t="s">
        <v>2081</v>
      </c>
      <c r="E288" s="815">
        <f t="shared" si="54"/>
        <v>24</v>
      </c>
      <c r="F288" s="815"/>
      <c r="G288" s="815"/>
      <c r="H288" s="960"/>
      <c r="I288" s="815"/>
      <c r="J288" s="815"/>
      <c r="K288" s="815"/>
      <c r="L288" s="815"/>
      <c r="M288" s="815"/>
      <c r="N288" s="815"/>
      <c r="O288" s="815"/>
      <c r="P288" s="815"/>
      <c r="Q288" s="815"/>
      <c r="R288" s="815"/>
      <c r="S288" s="830">
        <f t="shared" si="59"/>
        <v>24</v>
      </c>
      <c r="T288" s="830" t="e">
        <f>VLOOKUP(C288,'sản lượng'!$D$14:$AK$169,36,0)</f>
        <v>#N/A</v>
      </c>
      <c r="U288" s="830"/>
      <c r="V288" s="830"/>
      <c r="W288" s="830" t="e">
        <f>VLOOKUP(C288,'sản lượng'!$D$14:$AK$169,36,0)</f>
        <v>#N/A</v>
      </c>
      <c r="X288" s="830"/>
      <c r="Y288" s="830"/>
      <c r="Z288" s="830" t="e">
        <f t="shared" si="60"/>
        <v>#N/A</v>
      </c>
      <c r="AA288" s="830" t="e">
        <f>VLOOKUP(C288,'CHẤM CÔNG '!$E$13:$AM$168,33,0)</f>
        <v>#N/A</v>
      </c>
      <c r="AB288" s="830" t="e">
        <f>VLOOKUP(C288,'CHẤM CÔNG '!$E$13:$AM$168,34,0)</f>
        <v>#N/A</v>
      </c>
      <c r="AC288" s="830"/>
      <c r="AD288" s="830"/>
      <c r="AE288" s="830"/>
      <c r="AF288" s="830"/>
      <c r="AG288" s="830"/>
      <c r="AH288" s="830"/>
      <c r="AI288" s="830"/>
      <c r="AJ288" s="830"/>
      <c r="AK288" s="836"/>
      <c r="AL288" s="837" t="e">
        <f>VLOOKUP(C288,'sản lượng'!$D$14:$AP$169,38,0)</f>
        <v>#N/A</v>
      </c>
      <c r="AM288" s="801">
        <v>2045</v>
      </c>
      <c r="AN288" s="831" t="e">
        <f t="shared" si="61"/>
        <v>#N/A</v>
      </c>
      <c r="AP288" s="799">
        <f t="shared" si="58"/>
        <v>2</v>
      </c>
      <c r="AR288" s="799">
        <v>1</v>
      </c>
    </row>
    <row r="289" spans="1:44" ht="15.75">
      <c r="A289" s="850">
        <v>60</v>
      </c>
      <c r="B289" s="813" t="str">
        <f>VLOOKUP(C289,'DS CN MOI UP'!$B$10:$C$389,2,0)</f>
        <v>03376</v>
      </c>
      <c r="C289" s="825" t="s">
        <v>183</v>
      </c>
      <c r="D289" s="851" t="s">
        <v>15</v>
      </c>
      <c r="E289" s="815">
        <f t="shared" si="54"/>
        <v>24</v>
      </c>
      <c r="F289" s="815"/>
      <c r="G289" s="815"/>
      <c r="H289" s="960"/>
      <c r="I289" s="815"/>
      <c r="J289" s="815"/>
      <c r="K289" s="815"/>
      <c r="L289" s="815"/>
      <c r="M289" s="815"/>
      <c r="N289" s="815"/>
      <c r="O289" s="815"/>
      <c r="P289" s="815"/>
      <c r="Q289" s="815"/>
      <c r="R289" s="815"/>
      <c r="S289" s="830">
        <f t="shared" ref="S289:S313" si="62">SUM(E289:N289)</f>
        <v>24</v>
      </c>
      <c r="T289" s="830" t="e">
        <f>VLOOKUP(C289,'sản lượng'!$D$14:$AK$169,36,0)</f>
        <v>#N/A</v>
      </c>
      <c r="U289" s="830"/>
      <c r="V289" s="830"/>
      <c r="W289" s="830" t="e">
        <f>VLOOKUP(C289,'sản lượng'!$D$14:$AK$169,36,0)</f>
        <v>#N/A</v>
      </c>
      <c r="X289" s="830"/>
      <c r="Y289" s="830"/>
      <c r="Z289" s="830" t="e">
        <f t="shared" si="60"/>
        <v>#N/A</v>
      </c>
      <c r="AA289" s="830" t="e">
        <f>VLOOKUP(C289,'CHẤM CÔNG '!$E$13:$AM$168,33,0)</f>
        <v>#N/A</v>
      </c>
      <c r="AB289" s="830" t="e">
        <f>VLOOKUP(C289,'CHẤM CÔNG '!$E$13:$AM$168,34,0)</f>
        <v>#N/A</v>
      </c>
      <c r="AC289" s="830"/>
      <c r="AD289" s="830"/>
      <c r="AE289" s="830"/>
      <c r="AF289" s="830"/>
      <c r="AG289" s="830"/>
      <c r="AH289" s="830"/>
      <c r="AI289" s="830"/>
      <c r="AJ289" s="830"/>
      <c r="AK289" s="836"/>
      <c r="AL289" s="837" t="e">
        <f>VLOOKUP(C289,'sản lượng'!$D$14:$AP$169,38,0)</f>
        <v>#N/A</v>
      </c>
      <c r="AM289" s="801">
        <v>1973</v>
      </c>
      <c r="AN289" s="831" t="e">
        <f t="shared" si="61"/>
        <v>#N/A</v>
      </c>
      <c r="AP289" s="799">
        <f t="shared" si="58"/>
        <v>2</v>
      </c>
      <c r="AR289" s="799">
        <v>1</v>
      </c>
    </row>
    <row r="290" spans="1:44" ht="15.75">
      <c r="A290" s="850">
        <v>61</v>
      </c>
      <c r="B290" s="813" t="str">
        <f>VLOOKUP(C290,'DS CN MOI UP'!$B$10:$C$389,2,0)</f>
        <v>03377</v>
      </c>
      <c r="C290" s="825" t="s">
        <v>184</v>
      </c>
      <c r="D290" s="851" t="s">
        <v>15</v>
      </c>
      <c r="E290" s="815">
        <f t="shared" si="54"/>
        <v>24</v>
      </c>
      <c r="F290" s="815"/>
      <c r="G290" s="815"/>
      <c r="H290" s="960"/>
      <c r="I290" s="815"/>
      <c r="J290" s="815"/>
      <c r="K290" s="815"/>
      <c r="L290" s="815"/>
      <c r="M290" s="815"/>
      <c r="N290" s="815"/>
      <c r="O290" s="815"/>
      <c r="P290" s="815"/>
      <c r="Q290" s="815"/>
      <c r="R290" s="815"/>
      <c r="S290" s="830">
        <f t="shared" si="62"/>
        <v>24</v>
      </c>
      <c r="T290" s="830" t="e">
        <f>VLOOKUP(C290,'sản lượng'!$D$14:$AK$169,36,0)</f>
        <v>#N/A</v>
      </c>
      <c r="U290" s="830"/>
      <c r="V290" s="830"/>
      <c r="W290" s="830" t="e">
        <f>VLOOKUP(C290,'sản lượng'!$D$14:$AK$169,36,0)</f>
        <v>#N/A</v>
      </c>
      <c r="X290" s="830"/>
      <c r="Y290" s="830"/>
      <c r="Z290" s="830" t="e">
        <f t="shared" si="60"/>
        <v>#N/A</v>
      </c>
      <c r="AA290" s="830" t="e">
        <f>VLOOKUP(C290,'CHẤM CÔNG '!$E$13:$AM$168,33,0)</f>
        <v>#N/A</v>
      </c>
      <c r="AB290" s="830" t="e">
        <f>VLOOKUP(C290,'CHẤM CÔNG '!$E$13:$AM$168,34,0)</f>
        <v>#N/A</v>
      </c>
      <c r="AC290" s="830"/>
      <c r="AD290" s="830"/>
      <c r="AE290" s="830"/>
      <c r="AF290" s="830"/>
      <c r="AG290" s="830"/>
      <c r="AH290" s="830"/>
      <c r="AI290" s="830"/>
      <c r="AJ290" s="830"/>
      <c r="AK290" s="836"/>
      <c r="AL290" s="837" t="e">
        <f>VLOOKUP(C290,'sản lượng'!$D$14:$AP$169,38,0)</f>
        <v>#N/A</v>
      </c>
      <c r="AM290" s="801">
        <v>1648</v>
      </c>
      <c r="AN290" s="831" t="e">
        <f t="shared" si="61"/>
        <v>#N/A</v>
      </c>
      <c r="AP290" s="799">
        <f t="shared" si="58"/>
        <v>2</v>
      </c>
      <c r="AR290" s="799">
        <v>1</v>
      </c>
    </row>
    <row r="291" spans="1:44" ht="15.75">
      <c r="A291" s="850">
        <v>62</v>
      </c>
      <c r="B291" s="813" t="str">
        <f>VLOOKUP(C291,'DS CN MOI UP'!$B$10:$C$389,2,0)</f>
        <v>02541</v>
      </c>
      <c r="C291" s="825" t="s">
        <v>185</v>
      </c>
      <c r="D291" s="851" t="s">
        <v>15</v>
      </c>
      <c r="E291" s="815">
        <f t="shared" si="54"/>
        <v>24</v>
      </c>
      <c r="F291" s="815"/>
      <c r="G291" s="815"/>
      <c r="H291" s="960"/>
      <c r="I291" s="815"/>
      <c r="J291" s="815"/>
      <c r="K291" s="815"/>
      <c r="L291" s="815"/>
      <c r="M291" s="815"/>
      <c r="N291" s="815"/>
      <c r="O291" s="815"/>
      <c r="P291" s="815"/>
      <c r="Q291" s="815"/>
      <c r="R291" s="815"/>
      <c r="S291" s="830">
        <f t="shared" si="62"/>
        <v>24</v>
      </c>
      <c r="T291" s="830" t="e">
        <f>VLOOKUP(C291,'sản lượng'!$D$14:$AK$169,36,0)</f>
        <v>#N/A</v>
      </c>
      <c r="U291" s="830"/>
      <c r="V291" s="830"/>
      <c r="W291" s="830" t="e">
        <f>VLOOKUP(C291,'sản lượng'!$D$14:$AK$169,36,0)</f>
        <v>#N/A</v>
      </c>
      <c r="X291" s="830"/>
      <c r="Y291" s="830"/>
      <c r="Z291" s="830" t="e">
        <f t="shared" si="60"/>
        <v>#N/A</v>
      </c>
      <c r="AA291" s="830" t="e">
        <f>VLOOKUP(C291,'CHẤM CÔNG '!$E$13:$AM$168,33,0)</f>
        <v>#N/A</v>
      </c>
      <c r="AB291" s="830" t="e">
        <f>VLOOKUP(C291,'CHẤM CÔNG '!$E$13:$AM$168,34,0)</f>
        <v>#N/A</v>
      </c>
      <c r="AC291" s="830"/>
      <c r="AD291" s="830"/>
      <c r="AE291" s="830"/>
      <c r="AF291" s="830"/>
      <c r="AG291" s="830"/>
      <c r="AH291" s="830"/>
      <c r="AI291" s="830"/>
      <c r="AJ291" s="830"/>
      <c r="AK291" s="836"/>
      <c r="AL291" s="837" t="e">
        <f>VLOOKUP(C291,'sản lượng'!$D$14:$AP$169,38,0)</f>
        <v>#N/A</v>
      </c>
      <c r="AM291" s="801">
        <v>979</v>
      </c>
      <c r="AN291" s="831" t="e">
        <f t="shared" si="61"/>
        <v>#N/A</v>
      </c>
      <c r="AP291" s="799">
        <f t="shared" si="58"/>
        <v>2</v>
      </c>
      <c r="AR291" s="799">
        <v>1</v>
      </c>
    </row>
    <row r="292" spans="1:44" ht="15.75">
      <c r="A292" s="850">
        <v>63</v>
      </c>
      <c r="B292" s="813" t="str">
        <f>VLOOKUP(C292,'DS CN MOI UP'!$B$10:$C$389,2,0)</f>
        <v>02690</v>
      </c>
      <c r="C292" s="825" t="s">
        <v>186</v>
      </c>
      <c r="D292" s="851" t="s">
        <v>15</v>
      </c>
      <c r="E292" s="815">
        <f t="shared" si="54"/>
        <v>24</v>
      </c>
      <c r="F292" s="815"/>
      <c r="G292" s="815"/>
      <c r="H292" s="960"/>
      <c r="I292" s="815"/>
      <c r="J292" s="815"/>
      <c r="K292" s="815"/>
      <c r="L292" s="815"/>
      <c r="M292" s="815"/>
      <c r="N292" s="815"/>
      <c r="O292" s="815"/>
      <c r="P292" s="815"/>
      <c r="Q292" s="815"/>
      <c r="R292" s="815"/>
      <c r="S292" s="830">
        <f t="shared" si="62"/>
        <v>24</v>
      </c>
      <c r="T292" s="830" t="e">
        <f>VLOOKUP(C292,'sản lượng'!$D$14:$AK$169,36,0)</f>
        <v>#N/A</v>
      </c>
      <c r="U292" s="830"/>
      <c r="V292" s="830"/>
      <c r="W292" s="830" t="e">
        <f>VLOOKUP(C292,'sản lượng'!$D$14:$AK$169,36,0)</f>
        <v>#N/A</v>
      </c>
      <c r="X292" s="830"/>
      <c r="Y292" s="830"/>
      <c r="Z292" s="830" t="e">
        <f t="shared" si="60"/>
        <v>#N/A</v>
      </c>
      <c r="AA292" s="830" t="e">
        <f>VLOOKUP(C292,'CHẤM CÔNG '!$E$13:$AM$168,33,0)</f>
        <v>#N/A</v>
      </c>
      <c r="AB292" s="830" t="e">
        <f>VLOOKUP(C292,'CHẤM CÔNG '!$E$13:$AM$168,34,0)</f>
        <v>#N/A</v>
      </c>
      <c r="AC292" s="830"/>
      <c r="AD292" s="830"/>
      <c r="AE292" s="830"/>
      <c r="AF292" s="830"/>
      <c r="AG292" s="830"/>
      <c r="AH292" s="830"/>
      <c r="AI292" s="830"/>
      <c r="AJ292" s="830"/>
      <c r="AK292" s="836"/>
      <c r="AL292" s="837" t="e">
        <f>VLOOKUP(C292,'sản lượng'!$D$14:$AP$169,38,0)</f>
        <v>#N/A</v>
      </c>
      <c r="AM292" s="801">
        <v>1455</v>
      </c>
      <c r="AN292" s="831" t="e">
        <f t="shared" si="61"/>
        <v>#N/A</v>
      </c>
      <c r="AP292" s="799">
        <f t="shared" si="58"/>
        <v>2</v>
      </c>
      <c r="AR292" s="799">
        <v>1</v>
      </c>
    </row>
    <row r="293" spans="1:44" ht="15.75">
      <c r="A293" s="850">
        <v>64</v>
      </c>
      <c r="B293" s="813" t="str">
        <f>VLOOKUP(C293,'DS CN MOI UP'!$B$10:$C$389,2,0)</f>
        <v>03378</v>
      </c>
      <c r="C293" s="825" t="s">
        <v>187</v>
      </c>
      <c r="D293" s="851" t="s">
        <v>15</v>
      </c>
      <c r="E293" s="815">
        <f t="shared" si="54"/>
        <v>24</v>
      </c>
      <c r="F293" s="815"/>
      <c r="G293" s="815"/>
      <c r="H293" s="960"/>
      <c r="I293" s="815"/>
      <c r="J293" s="815"/>
      <c r="K293" s="815"/>
      <c r="L293" s="815"/>
      <c r="M293" s="815"/>
      <c r="N293" s="815"/>
      <c r="O293" s="815"/>
      <c r="P293" s="815"/>
      <c r="Q293" s="815"/>
      <c r="R293" s="815"/>
      <c r="S293" s="830">
        <f t="shared" si="62"/>
        <v>24</v>
      </c>
      <c r="T293" s="830" t="e">
        <f>VLOOKUP(C293,'sản lượng'!$D$14:$AK$169,36,0)</f>
        <v>#N/A</v>
      </c>
      <c r="U293" s="830"/>
      <c r="V293" s="830"/>
      <c r="W293" s="830" t="e">
        <f>VLOOKUP(C293,'sản lượng'!$D$14:$AK$169,36,0)</f>
        <v>#N/A</v>
      </c>
      <c r="X293" s="830"/>
      <c r="Y293" s="830"/>
      <c r="Z293" s="830" t="e">
        <f t="shared" si="60"/>
        <v>#N/A</v>
      </c>
      <c r="AA293" s="830" t="e">
        <f>VLOOKUP(C293,'CHẤM CÔNG '!$E$13:$AM$168,33,0)</f>
        <v>#N/A</v>
      </c>
      <c r="AB293" s="830" t="e">
        <f>VLOOKUP(C293,'CHẤM CÔNG '!$E$13:$AM$168,34,0)</f>
        <v>#N/A</v>
      </c>
      <c r="AC293" s="830"/>
      <c r="AD293" s="830"/>
      <c r="AE293" s="830"/>
      <c r="AF293" s="830"/>
      <c r="AG293" s="830"/>
      <c r="AH293" s="830"/>
      <c r="AI293" s="830"/>
      <c r="AJ293" s="830"/>
      <c r="AK293" s="836"/>
      <c r="AL293" s="837" t="e">
        <f>VLOOKUP(C293,'sản lượng'!$D$14:$AP$169,38,0)</f>
        <v>#N/A</v>
      </c>
      <c r="AM293" s="801">
        <v>1428</v>
      </c>
      <c r="AN293" s="831" t="e">
        <f t="shared" si="61"/>
        <v>#N/A</v>
      </c>
      <c r="AP293" s="799">
        <f t="shared" si="58"/>
        <v>2</v>
      </c>
      <c r="AR293" s="799">
        <v>1</v>
      </c>
    </row>
    <row r="294" spans="1:44" ht="15.75">
      <c r="A294" s="850">
        <v>65</v>
      </c>
      <c r="B294" s="813" t="str">
        <f>VLOOKUP(C294,'DS CN MOI UP'!$B$10:$C$389,2,0)</f>
        <v>02520</v>
      </c>
      <c r="C294" s="825" t="s">
        <v>188</v>
      </c>
      <c r="D294" s="851" t="s">
        <v>15</v>
      </c>
      <c r="E294" s="815">
        <f t="shared" ref="E294:E311" si="63">3*8</f>
        <v>24</v>
      </c>
      <c r="F294" s="815"/>
      <c r="G294" s="815"/>
      <c r="H294" s="960"/>
      <c r="I294" s="815"/>
      <c r="J294" s="815"/>
      <c r="K294" s="815"/>
      <c r="L294" s="815"/>
      <c r="M294" s="815"/>
      <c r="N294" s="815"/>
      <c r="O294" s="815"/>
      <c r="P294" s="815"/>
      <c r="Q294" s="815"/>
      <c r="R294" s="815"/>
      <c r="S294" s="830">
        <f t="shared" ref="S294:S307" si="64">SUM(E294:N294)</f>
        <v>24</v>
      </c>
      <c r="T294" s="830" t="e">
        <f>VLOOKUP(C294,'sản lượng'!$D$14:$AK$169,36,0)</f>
        <v>#N/A</v>
      </c>
      <c r="U294" s="830"/>
      <c r="V294" s="830"/>
      <c r="W294" s="830" t="e">
        <f>VLOOKUP(C294,'sản lượng'!$D$14:$AK$169,36,0)</f>
        <v>#N/A</v>
      </c>
      <c r="X294" s="830"/>
      <c r="Y294" s="830"/>
      <c r="Z294" s="830" t="e">
        <f t="shared" ref="Z294:Z313" si="65">W294*$AN$16+X294*$AN$10+$AN$11*Y294</f>
        <v>#N/A</v>
      </c>
      <c r="AA294" s="830" t="e">
        <f>VLOOKUP(C294,'CHẤM CÔNG '!$E$13:$AM$168,33,0)</f>
        <v>#N/A</v>
      </c>
      <c r="AB294" s="830" t="e">
        <f>VLOOKUP(C294,'CHẤM CÔNG '!$E$13:$AM$168,34,0)</f>
        <v>#N/A</v>
      </c>
      <c r="AC294" s="830"/>
      <c r="AD294" s="830"/>
      <c r="AE294" s="830"/>
      <c r="AF294" s="830"/>
      <c r="AG294" s="830"/>
      <c r="AH294" s="830"/>
      <c r="AI294" s="830"/>
      <c r="AJ294" s="830"/>
      <c r="AK294" s="836"/>
      <c r="AL294" s="837" t="e">
        <f>VLOOKUP(C294,'sản lượng'!$D$14:$AP$169,38,0)</f>
        <v>#N/A</v>
      </c>
      <c r="AM294" s="801">
        <v>1508</v>
      </c>
      <c r="AN294" s="831" t="e">
        <f t="shared" ref="AN294:AN315" si="66">+W294-AM294</f>
        <v>#N/A</v>
      </c>
      <c r="AP294" s="799">
        <f t="shared" si="58"/>
        <v>2</v>
      </c>
      <c r="AR294" s="799">
        <v>1</v>
      </c>
    </row>
    <row r="295" spans="1:44" ht="15.75">
      <c r="A295" s="850">
        <v>66</v>
      </c>
      <c r="B295" s="813" t="str">
        <f>VLOOKUP(C295,'DS CN MOI UP'!$B$10:$C$389,2,0)</f>
        <v>02543</v>
      </c>
      <c r="C295" s="825" t="s">
        <v>189</v>
      </c>
      <c r="D295" s="851" t="s">
        <v>15</v>
      </c>
      <c r="E295" s="815">
        <f t="shared" si="63"/>
        <v>24</v>
      </c>
      <c r="F295" s="815"/>
      <c r="G295" s="815"/>
      <c r="H295" s="960"/>
      <c r="I295" s="815"/>
      <c r="J295" s="815"/>
      <c r="K295" s="815"/>
      <c r="L295" s="815"/>
      <c r="M295" s="815"/>
      <c r="N295" s="815"/>
      <c r="O295" s="815"/>
      <c r="P295" s="815"/>
      <c r="Q295" s="815"/>
      <c r="R295" s="815"/>
      <c r="S295" s="830">
        <f t="shared" si="64"/>
        <v>24</v>
      </c>
      <c r="T295" s="830" t="e">
        <f>VLOOKUP(C295,'sản lượng'!$D$14:$AK$169,36,0)</f>
        <v>#N/A</v>
      </c>
      <c r="U295" s="830"/>
      <c r="V295" s="830"/>
      <c r="W295" s="830" t="e">
        <f>VLOOKUP(C295,'sản lượng'!$D$14:$AK$169,36,0)</f>
        <v>#N/A</v>
      </c>
      <c r="X295" s="830"/>
      <c r="Y295" s="830"/>
      <c r="Z295" s="830" t="e">
        <f t="shared" si="65"/>
        <v>#N/A</v>
      </c>
      <c r="AA295" s="830" t="e">
        <f>VLOOKUP(C295,'CHẤM CÔNG '!$E$13:$AM$168,33,0)</f>
        <v>#N/A</v>
      </c>
      <c r="AB295" s="830" t="e">
        <f>VLOOKUP(C295,'CHẤM CÔNG '!$E$13:$AM$168,34,0)</f>
        <v>#N/A</v>
      </c>
      <c r="AC295" s="830"/>
      <c r="AD295" s="830"/>
      <c r="AE295" s="830"/>
      <c r="AF295" s="830"/>
      <c r="AG295" s="830"/>
      <c r="AH295" s="830"/>
      <c r="AI295" s="830"/>
      <c r="AJ295" s="830"/>
      <c r="AK295" s="836"/>
      <c r="AL295" s="837" t="e">
        <f>VLOOKUP(C295,'sản lượng'!$D$14:$AP$169,38,0)</f>
        <v>#N/A</v>
      </c>
      <c r="AM295" s="801">
        <v>1464</v>
      </c>
      <c r="AN295" s="831" t="e">
        <f t="shared" si="66"/>
        <v>#N/A</v>
      </c>
      <c r="AP295" s="799">
        <f t="shared" ref="AP295:AP311" si="67">3-AR295</f>
        <v>2</v>
      </c>
      <c r="AR295" s="799">
        <v>1</v>
      </c>
    </row>
    <row r="296" spans="1:44" ht="15.75">
      <c r="A296" s="850">
        <v>67</v>
      </c>
      <c r="B296" s="813" t="str">
        <f>VLOOKUP(C296,'DS CN MOI UP'!$B$10:$C$389,2,0)</f>
        <v>03379</v>
      </c>
      <c r="C296" s="825" t="s">
        <v>190</v>
      </c>
      <c r="D296" s="851" t="s">
        <v>15</v>
      </c>
      <c r="E296" s="815">
        <f t="shared" si="63"/>
        <v>24</v>
      </c>
      <c r="F296" s="815"/>
      <c r="G296" s="815"/>
      <c r="H296" s="960"/>
      <c r="I296" s="815"/>
      <c r="J296" s="815"/>
      <c r="K296" s="815"/>
      <c r="L296" s="815"/>
      <c r="M296" s="815"/>
      <c r="N296" s="815"/>
      <c r="O296" s="815"/>
      <c r="P296" s="815"/>
      <c r="Q296" s="815"/>
      <c r="R296" s="815"/>
      <c r="S296" s="830">
        <f t="shared" si="64"/>
        <v>24</v>
      </c>
      <c r="T296" s="830" t="e">
        <f>VLOOKUP(C296,'sản lượng'!$D$14:$AK$169,36,0)</f>
        <v>#N/A</v>
      </c>
      <c r="U296" s="830"/>
      <c r="V296" s="830"/>
      <c r="W296" s="830" t="e">
        <f>VLOOKUP(C296,'sản lượng'!$D$14:$AK$169,36,0)</f>
        <v>#N/A</v>
      </c>
      <c r="X296" s="830"/>
      <c r="Y296" s="830"/>
      <c r="Z296" s="830" t="e">
        <f t="shared" si="65"/>
        <v>#N/A</v>
      </c>
      <c r="AA296" s="830" t="e">
        <f>VLOOKUP(C296,'CHẤM CÔNG '!$E$13:$AM$168,33,0)</f>
        <v>#N/A</v>
      </c>
      <c r="AB296" s="830" t="e">
        <f>VLOOKUP(C296,'CHẤM CÔNG '!$E$13:$AM$168,34,0)</f>
        <v>#N/A</v>
      </c>
      <c r="AC296" s="830"/>
      <c r="AD296" s="830"/>
      <c r="AE296" s="830"/>
      <c r="AF296" s="830"/>
      <c r="AG296" s="830"/>
      <c r="AH296" s="830"/>
      <c r="AI296" s="830"/>
      <c r="AJ296" s="830"/>
      <c r="AK296" s="836"/>
      <c r="AL296" s="837" t="e">
        <f>VLOOKUP(C296,'sản lượng'!$D$14:$AP$169,38,0)</f>
        <v>#N/A</v>
      </c>
      <c r="AM296" s="801">
        <v>1416</v>
      </c>
      <c r="AN296" s="831" t="e">
        <f t="shared" si="66"/>
        <v>#N/A</v>
      </c>
      <c r="AP296" s="799">
        <f t="shared" si="67"/>
        <v>2</v>
      </c>
      <c r="AR296" s="799">
        <v>1</v>
      </c>
    </row>
    <row r="297" spans="1:44" ht="15.75">
      <c r="A297" s="850">
        <v>68</v>
      </c>
      <c r="B297" s="813" t="str">
        <f>VLOOKUP(C297,'DS CN MOI UP'!$B$10:$C$389,2,0)</f>
        <v>03354</v>
      </c>
      <c r="C297" s="825" t="s">
        <v>191</v>
      </c>
      <c r="D297" s="851" t="s">
        <v>15</v>
      </c>
      <c r="E297" s="815">
        <f t="shared" si="63"/>
        <v>24</v>
      </c>
      <c r="F297" s="815"/>
      <c r="G297" s="815"/>
      <c r="H297" s="960"/>
      <c r="I297" s="815"/>
      <c r="J297" s="815"/>
      <c r="K297" s="815"/>
      <c r="L297" s="815"/>
      <c r="M297" s="815"/>
      <c r="N297" s="815"/>
      <c r="O297" s="815"/>
      <c r="P297" s="815"/>
      <c r="Q297" s="815"/>
      <c r="R297" s="815"/>
      <c r="S297" s="830">
        <f t="shared" si="64"/>
        <v>24</v>
      </c>
      <c r="T297" s="830" t="e">
        <f>VLOOKUP(C297,'sản lượng'!$D$14:$AK$169,36,0)</f>
        <v>#N/A</v>
      </c>
      <c r="U297" s="830"/>
      <c r="V297" s="830"/>
      <c r="W297" s="830" t="e">
        <f>VLOOKUP(C297,'sản lượng'!$D$14:$AK$169,36,0)</f>
        <v>#N/A</v>
      </c>
      <c r="X297" s="830"/>
      <c r="Y297" s="830"/>
      <c r="Z297" s="830" t="e">
        <f t="shared" si="65"/>
        <v>#N/A</v>
      </c>
      <c r="AA297" s="830" t="e">
        <f>VLOOKUP(C297,'CHẤM CÔNG '!$E$13:$AM$168,33,0)</f>
        <v>#N/A</v>
      </c>
      <c r="AB297" s="830" t="e">
        <f>VLOOKUP(C297,'CHẤM CÔNG '!$E$13:$AM$168,34,0)</f>
        <v>#N/A</v>
      </c>
      <c r="AC297" s="830"/>
      <c r="AD297" s="830"/>
      <c r="AE297" s="830"/>
      <c r="AF297" s="830"/>
      <c r="AG297" s="830"/>
      <c r="AH297" s="830"/>
      <c r="AI297" s="830"/>
      <c r="AJ297" s="830"/>
      <c r="AK297" s="836"/>
      <c r="AL297" s="837" t="e">
        <f>VLOOKUP(C297,'sản lượng'!$D$14:$AP$169,38,0)</f>
        <v>#N/A</v>
      </c>
      <c r="AM297" s="801">
        <v>1417</v>
      </c>
      <c r="AN297" s="831" t="e">
        <f t="shared" si="66"/>
        <v>#N/A</v>
      </c>
      <c r="AP297" s="799">
        <f t="shared" si="67"/>
        <v>2</v>
      </c>
      <c r="AR297" s="799">
        <v>1</v>
      </c>
    </row>
    <row r="298" spans="1:44" ht="15.75">
      <c r="A298" s="850">
        <v>69</v>
      </c>
      <c r="B298" s="813" t="e">
        <f>VLOOKUP(C298,'DS CN MOI UP'!$B$10:$C$389,2,0)</f>
        <v>#N/A</v>
      </c>
      <c r="C298" s="825" t="s">
        <v>192</v>
      </c>
      <c r="D298" s="851" t="s">
        <v>15</v>
      </c>
      <c r="E298" s="815">
        <f t="shared" si="63"/>
        <v>24</v>
      </c>
      <c r="F298" s="815"/>
      <c r="G298" s="815"/>
      <c r="H298" s="960"/>
      <c r="I298" s="815"/>
      <c r="J298" s="815"/>
      <c r="K298" s="815"/>
      <c r="L298" s="815"/>
      <c r="M298" s="815"/>
      <c r="N298" s="815"/>
      <c r="O298" s="815"/>
      <c r="P298" s="815"/>
      <c r="Q298" s="815"/>
      <c r="R298" s="815"/>
      <c r="S298" s="830">
        <f t="shared" si="64"/>
        <v>24</v>
      </c>
      <c r="T298" s="830" t="e">
        <f>VLOOKUP(C298,'sản lượng'!$D$14:$AK$169,36,0)</f>
        <v>#N/A</v>
      </c>
      <c r="U298" s="830"/>
      <c r="V298" s="830"/>
      <c r="W298" s="830" t="e">
        <f>VLOOKUP(C298,'sản lượng'!$D$14:$AK$169,36,0)</f>
        <v>#N/A</v>
      </c>
      <c r="X298" s="830"/>
      <c r="Y298" s="830"/>
      <c r="Z298" s="830" t="e">
        <f t="shared" si="65"/>
        <v>#N/A</v>
      </c>
      <c r="AA298" s="830" t="e">
        <f>VLOOKUP(C298,'CHẤM CÔNG '!$E$13:$AM$168,33,0)</f>
        <v>#N/A</v>
      </c>
      <c r="AB298" s="830" t="e">
        <f>VLOOKUP(C298,'CHẤM CÔNG '!$E$13:$AM$168,34,0)</f>
        <v>#N/A</v>
      </c>
      <c r="AC298" s="830"/>
      <c r="AD298" s="830"/>
      <c r="AE298" s="830"/>
      <c r="AF298" s="830"/>
      <c r="AG298" s="830"/>
      <c r="AH298" s="830"/>
      <c r="AI298" s="830"/>
      <c r="AJ298" s="830"/>
      <c r="AK298" s="836"/>
      <c r="AL298" s="837" t="e">
        <f>VLOOKUP(C298,'sản lượng'!$D$14:$AP$169,38,0)</f>
        <v>#N/A</v>
      </c>
      <c r="AM298" s="801">
        <v>1442</v>
      </c>
      <c r="AN298" s="831" t="e">
        <f t="shared" si="66"/>
        <v>#N/A</v>
      </c>
      <c r="AP298" s="799">
        <f t="shared" si="67"/>
        <v>2</v>
      </c>
      <c r="AR298" s="799">
        <v>1</v>
      </c>
    </row>
    <row r="299" spans="1:44" ht="15.75">
      <c r="A299" s="850">
        <v>70</v>
      </c>
      <c r="B299" s="813" t="str">
        <f>VLOOKUP(C299,'DS CN MOI UP'!$B$10:$C$389,2,0)</f>
        <v>02529</v>
      </c>
      <c r="C299" s="825" t="s">
        <v>193</v>
      </c>
      <c r="D299" s="851" t="s">
        <v>15</v>
      </c>
      <c r="E299" s="815">
        <f t="shared" si="63"/>
        <v>24</v>
      </c>
      <c r="F299" s="815"/>
      <c r="G299" s="815"/>
      <c r="H299" s="960"/>
      <c r="I299" s="815"/>
      <c r="J299" s="815"/>
      <c r="K299" s="815"/>
      <c r="L299" s="815"/>
      <c r="M299" s="815"/>
      <c r="N299" s="815"/>
      <c r="O299" s="815"/>
      <c r="P299" s="815"/>
      <c r="Q299" s="815"/>
      <c r="R299" s="815"/>
      <c r="S299" s="830">
        <f t="shared" si="64"/>
        <v>24</v>
      </c>
      <c r="T299" s="830" t="e">
        <f>VLOOKUP(C299,'sản lượng'!$D$14:$AK$169,36,0)</f>
        <v>#N/A</v>
      </c>
      <c r="U299" s="830"/>
      <c r="V299" s="830"/>
      <c r="W299" s="830" t="e">
        <f>VLOOKUP(C299,'sản lượng'!$D$14:$AK$169,36,0)</f>
        <v>#N/A</v>
      </c>
      <c r="X299" s="830"/>
      <c r="Y299" s="830"/>
      <c r="Z299" s="830" t="e">
        <f t="shared" si="65"/>
        <v>#N/A</v>
      </c>
      <c r="AA299" s="830" t="e">
        <f>VLOOKUP(C299,'CHẤM CÔNG '!$E$13:$AM$168,33,0)</f>
        <v>#N/A</v>
      </c>
      <c r="AB299" s="830" t="e">
        <f>VLOOKUP(C299,'CHẤM CÔNG '!$E$13:$AM$168,34,0)</f>
        <v>#N/A</v>
      </c>
      <c r="AC299" s="830"/>
      <c r="AD299" s="830"/>
      <c r="AE299" s="830"/>
      <c r="AF299" s="830"/>
      <c r="AG299" s="830"/>
      <c r="AH299" s="830"/>
      <c r="AI299" s="830"/>
      <c r="AJ299" s="830"/>
      <c r="AK299" s="836"/>
      <c r="AL299" s="837" t="e">
        <f>VLOOKUP(C299,'sản lượng'!$D$14:$AP$169,38,0)</f>
        <v>#N/A</v>
      </c>
      <c r="AM299" s="801">
        <v>1476</v>
      </c>
      <c r="AN299" s="831" t="e">
        <f t="shared" si="66"/>
        <v>#N/A</v>
      </c>
      <c r="AP299" s="799">
        <f t="shared" si="67"/>
        <v>2</v>
      </c>
      <c r="AR299" s="799">
        <v>1</v>
      </c>
    </row>
    <row r="300" spans="1:44" ht="15.75">
      <c r="A300" s="850">
        <v>71</v>
      </c>
      <c r="B300" s="813" t="str">
        <f>VLOOKUP(C300,'DS CN MOI UP'!$B$10:$C$389,2,0)</f>
        <v>02531</v>
      </c>
      <c r="C300" s="825" t="s">
        <v>194</v>
      </c>
      <c r="D300" s="851" t="s">
        <v>15</v>
      </c>
      <c r="E300" s="815">
        <f t="shared" si="63"/>
        <v>24</v>
      </c>
      <c r="F300" s="815"/>
      <c r="G300" s="815"/>
      <c r="H300" s="960"/>
      <c r="I300" s="815"/>
      <c r="J300" s="815"/>
      <c r="K300" s="815"/>
      <c r="L300" s="815"/>
      <c r="M300" s="815"/>
      <c r="N300" s="815"/>
      <c r="O300" s="815"/>
      <c r="P300" s="815"/>
      <c r="Q300" s="815"/>
      <c r="R300" s="815"/>
      <c r="S300" s="830">
        <f t="shared" si="64"/>
        <v>24</v>
      </c>
      <c r="T300" s="830" t="e">
        <f>VLOOKUP(C300,'sản lượng'!$D$14:$AK$169,36,0)</f>
        <v>#N/A</v>
      </c>
      <c r="U300" s="830"/>
      <c r="V300" s="830"/>
      <c r="W300" s="830" t="e">
        <f>VLOOKUP(C300,'sản lượng'!$D$14:$AK$169,36,0)</f>
        <v>#N/A</v>
      </c>
      <c r="X300" s="830"/>
      <c r="Y300" s="830"/>
      <c r="Z300" s="830" t="e">
        <f t="shared" si="65"/>
        <v>#N/A</v>
      </c>
      <c r="AA300" s="830" t="e">
        <f>VLOOKUP(C300,'CHẤM CÔNG '!$E$13:$AM$168,33,0)</f>
        <v>#N/A</v>
      </c>
      <c r="AB300" s="830" t="e">
        <f>VLOOKUP(C300,'CHẤM CÔNG '!$E$13:$AM$168,34,0)</f>
        <v>#N/A</v>
      </c>
      <c r="AC300" s="830"/>
      <c r="AD300" s="830"/>
      <c r="AE300" s="830"/>
      <c r="AF300" s="830"/>
      <c r="AG300" s="830"/>
      <c r="AH300" s="830"/>
      <c r="AI300" s="830"/>
      <c r="AJ300" s="830"/>
      <c r="AK300" s="836"/>
      <c r="AL300" s="837" t="e">
        <f>VLOOKUP(C300,'sản lượng'!$D$14:$AP$169,38,0)</f>
        <v>#N/A</v>
      </c>
      <c r="AM300" s="801">
        <v>1366</v>
      </c>
      <c r="AN300" s="831" t="e">
        <f t="shared" si="66"/>
        <v>#N/A</v>
      </c>
      <c r="AP300" s="799">
        <f t="shared" si="67"/>
        <v>2</v>
      </c>
      <c r="AR300" s="799">
        <v>1</v>
      </c>
    </row>
    <row r="301" spans="1:44" ht="15.75">
      <c r="A301" s="850">
        <v>72</v>
      </c>
      <c r="B301" s="813" t="str">
        <f>VLOOKUP(C301,'DS CN MOI UP'!$B$10:$C$389,2,0)</f>
        <v>02539</v>
      </c>
      <c r="C301" s="825" t="s">
        <v>195</v>
      </c>
      <c r="D301" s="851" t="s">
        <v>15</v>
      </c>
      <c r="E301" s="815">
        <f t="shared" si="63"/>
        <v>24</v>
      </c>
      <c r="F301" s="815"/>
      <c r="G301" s="815"/>
      <c r="H301" s="960"/>
      <c r="I301" s="815"/>
      <c r="J301" s="815"/>
      <c r="K301" s="815"/>
      <c r="L301" s="815"/>
      <c r="M301" s="815"/>
      <c r="N301" s="815"/>
      <c r="O301" s="815"/>
      <c r="P301" s="815"/>
      <c r="Q301" s="815"/>
      <c r="R301" s="815"/>
      <c r="S301" s="830">
        <f t="shared" si="64"/>
        <v>24</v>
      </c>
      <c r="T301" s="830" t="e">
        <f>VLOOKUP(C301,'sản lượng'!$D$14:$AK$169,36,0)</f>
        <v>#N/A</v>
      </c>
      <c r="U301" s="830"/>
      <c r="V301" s="830"/>
      <c r="W301" s="830" t="e">
        <f>VLOOKUP(C301,'sản lượng'!$D$14:$AK$169,36,0)</f>
        <v>#N/A</v>
      </c>
      <c r="X301" s="830"/>
      <c r="Y301" s="830"/>
      <c r="Z301" s="830" t="e">
        <f t="shared" si="65"/>
        <v>#N/A</v>
      </c>
      <c r="AA301" s="830" t="e">
        <f>VLOOKUP(C301,'CHẤM CÔNG '!$E$13:$AM$168,33,0)</f>
        <v>#N/A</v>
      </c>
      <c r="AB301" s="830" t="e">
        <f>VLOOKUP(C301,'CHẤM CÔNG '!$E$13:$AM$168,34,0)</f>
        <v>#N/A</v>
      </c>
      <c r="AC301" s="830"/>
      <c r="AD301" s="830"/>
      <c r="AE301" s="830"/>
      <c r="AF301" s="830"/>
      <c r="AG301" s="830"/>
      <c r="AH301" s="830"/>
      <c r="AI301" s="830"/>
      <c r="AJ301" s="830"/>
      <c r="AK301" s="836"/>
      <c r="AL301" s="837" t="e">
        <f>VLOOKUP(C301,'sản lượng'!$D$14:$AP$169,38,0)</f>
        <v>#N/A</v>
      </c>
      <c r="AM301" s="801">
        <v>1500</v>
      </c>
      <c r="AN301" s="831" t="e">
        <f t="shared" si="66"/>
        <v>#N/A</v>
      </c>
      <c r="AP301" s="799">
        <f t="shared" si="67"/>
        <v>2</v>
      </c>
      <c r="AR301" s="799">
        <v>1</v>
      </c>
    </row>
    <row r="302" spans="1:44" ht="15.75">
      <c r="A302" s="850">
        <v>73</v>
      </c>
      <c r="B302" s="813" t="str">
        <f>VLOOKUP(C302,'DS CN MOI UP'!$B$10:$C$389,2,0)</f>
        <v>03380</v>
      </c>
      <c r="C302" s="825" t="s">
        <v>196</v>
      </c>
      <c r="D302" s="851" t="s">
        <v>15</v>
      </c>
      <c r="E302" s="815">
        <f t="shared" si="63"/>
        <v>24</v>
      </c>
      <c r="F302" s="815"/>
      <c r="G302" s="815"/>
      <c r="H302" s="960"/>
      <c r="I302" s="815"/>
      <c r="J302" s="815"/>
      <c r="K302" s="815"/>
      <c r="L302" s="815"/>
      <c r="M302" s="815"/>
      <c r="N302" s="815"/>
      <c r="O302" s="815"/>
      <c r="P302" s="815"/>
      <c r="Q302" s="815"/>
      <c r="R302" s="815"/>
      <c r="S302" s="830">
        <f t="shared" si="64"/>
        <v>24</v>
      </c>
      <c r="T302" s="830" t="e">
        <f>VLOOKUP(C302,'sản lượng'!$D$14:$AK$169,36,0)</f>
        <v>#N/A</v>
      </c>
      <c r="U302" s="830"/>
      <c r="V302" s="830"/>
      <c r="W302" s="830" t="e">
        <f>VLOOKUP(C302,'sản lượng'!$D$14:$AK$169,36,0)</f>
        <v>#N/A</v>
      </c>
      <c r="X302" s="830"/>
      <c r="Y302" s="830"/>
      <c r="Z302" s="830" t="e">
        <f t="shared" si="65"/>
        <v>#N/A</v>
      </c>
      <c r="AA302" s="830" t="e">
        <f>VLOOKUP(C302,'CHẤM CÔNG '!$E$13:$AM$168,33,0)</f>
        <v>#N/A</v>
      </c>
      <c r="AB302" s="830" t="e">
        <f>VLOOKUP(C302,'CHẤM CÔNG '!$E$13:$AM$168,34,0)</f>
        <v>#N/A</v>
      </c>
      <c r="AC302" s="830"/>
      <c r="AD302" s="830"/>
      <c r="AE302" s="830"/>
      <c r="AF302" s="830"/>
      <c r="AG302" s="830"/>
      <c r="AH302" s="830"/>
      <c r="AI302" s="830"/>
      <c r="AJ302" s="830"/>
      <c r="AK302" s="836"/>
      <c r="AL302" s="837" t="e">
        <f>VLOOKUP(C302,'sản lượng'!$D$14:$AP$169,38,0)</f>
        <v>#N/A</v>
      </c>
      <c r="AM302" s="801">
        <v>914</v>
      </c>
      <c r="AN302" s="831" t="e">
        <f t="shared" si="66"/>
        <v>#N/A</v>
      </c>
      <c r="AP302" s="799">
        <f t="shared" si="67"/>
        <v>2</v>
      </c>
      <c r="AR302" s="799">
        <v>1</v>
      </c>
    </row>
    <row r="303" spans="1:44" ht="15.75">
      <c r="A303" s="850">
        <v>74</v>
      </c>
      <c r="B303" s="813" t="str">
        <f>VLOOKUP(C303,'DS CN MOI UP'!$B$10:$C$389,2,0)</f>
        <v>02561</v>
      </c>
      <c r="C303" s="825" t="s">
        <v>197</v>
      </c>
      <c r="D303" s="851" t="s">
        <v>15</v>
      </c>
      <c r="E303" s="815">
        <f t="shared" si="63"/>
        <v>24</v>
      </c>
      <c r="F303" s="815"/>
      <c r="G303" s="815"/>
      <c r="H303" s="960"/>
      <c r="I303" s="815"/>
      <c r="J303" s="815"/>
      <c r="K303" s="815"/>
      <c r="L303" s="815"/>
      <c r="M303" s="815"/>
      <c r="N303" s="815"/>
      <c r="O303" s="815"/>
      <c r="P303" s="815"/>
      <c r="Q303" s="815"/>
      <c r="R303" s="815"/>
      <c r="S303" s="830">
        <f t="shared" si="64"/>
        <v>24</v>
      </c>
      <c r="T303" s="830" t="e">
        <f>VLOOKUP(C303,'sản lượng'!$D$14:$AK$169,36,0)</f>
        <v>#N/A</v>
      </c>
      <c r="U303" s="830"/>
      <c r="V303" s="830"/>
      <c r="W303" s="830" t="e">
        <f>VLOOKUP(C303,'sản lượng'!$D$14:$AK$169,36,0)</f>
        <v>#N/A</v>
      </c>
      <c r="X303" s="830"/>
      <c r="Y303" s="830"/>
      <c r="Z303" s="830" t="e">
        <f t="shared" si="65"/>
        <v>#N/A</v>
      </c>
      <c r="AA303" s="830" t="e">
        <f>VLOOKUP(C303,'CHẤM CÔNG '!$E$13:$AM$168,33,0)</f>
        <v>#N/A</v>
      </c>
      <c r="AB303" s="830" t="e">
        <f>VLOOKUP(C303,'CHẤM CÔNG '!$E$13:$AM$168,34,0)</f>
        <v>#N/A</v>
      </c>
      <c r="AC303" s="830"/>
      <c r="AD303" s="830"/>
      <c r="AE303" s="830"/>
      <c r="AF303" s="830"/>
      <c r="AG303" s="830"/>
      <c r="AH303" s="830"/>
      <c r="AI303" s="830"/>
      <c r="AJ303" s="830"/>
      <c r="AK303" s="836"/>
      <c r="AL303" s="837" t="e">
        <f>VLOOKUP(C303,'sản lượng'!$D$14:$AP$169,38,0)</f>
        <v>#N/A</v>
      </c>
      <c r="AM303" s="801">
        <v>1563</v>
      </c>
      <c r="AN303" s="831" t="e">
        <f t="shared" si="66"/>
        <v>#N/A</v>
      </c>
      <c r="AP303" s="799">
        <f t="shared" si="67"/>
        <v>3</v>
      </c>
    </row>
    <row r="304" spans="1:44" ht="15.75">
      <c r="A304" s="850">
        <v>75</v>
      </c>
      <c r="B304" s="813" t="str">
        <f>VLOOKUP(C304,'DS CN MOI UP'!$B$10:$C$389,2,0)</f>
        <v>02533</v>
      </c>
      <c r="C304" s="825" t="s">
        <v>198</v>
      </c>
      <c r="D304" s="851" t="s">
        <v>15</v>
      </c>
      <c r="E304" s="815">
        <f t="shared" si="63"/>
        <v>24</v>
      </c>
      <c r="F304" s="815"/>
      <c r="G304" s="815"/>
      <c r="H304" s="960"/>
      <c r="I304" s="815"/>
      <c r="J304" s="815"/>
      <c r="K304" s="815"/>
      <c r="L304" s="815"/>
      <c r="M304" s="815"/>
      <c r="N304" s="815"/>
      <c r="O304" s="815"/>
      <c r="P304" s="815"/>
      <c r="Q304" s="815"/>
      <c r="R304" s="815"/>
      <c r="S304" s="830">
        <f t="shared" si="64"/>
        <v>24</v>
      </c>
      <c r="T304" s="830" t="e">
        <f>VLOOKUP(C304,'sản lượng'!$D$14:$AK$169,36,0)</f>
        <v>#N/A</v>
      </c>
      <c r="U304" s="830"/>
      <c r="V304" s="830"/>
      <c r="W304" s="830" t="e">
        <f>VLOOKUP(C304,'sản lượng'!$D$14:$AK$169,36,0)</f>
        <v>#N/A</v>
      </c>
      <c r="X304" s="830"/>
      <c r="Y304" s="830"/>
      <c r="Z304" s="830" t="e">
        <f t="shared" si="65"/>
        <v>#N/A</v>
      </c>
      <c r="AA304" s="830" t="e">
        <f>VLOOKUP(C304,'CHẤM CÔNG '!$E$13:$AM$168,33,0)</f>
        <v>#N/A</v>
      </c>
      <c r="AB304" s="830" t="e">
        <f>VLOOKUP(C304,'CHẤM CÔNG '!$E$13:$AM$168,34,0)</f>
        <v>#N/A</v>
      </c>
      <c r="AC304" s="830"/>
      <c r="AD304" s="830"/>
      <c r="AE304" s="830"/>
      <c r="AF304" s="830"/>
      <c r="AG304" s="830"/>
      <c r="AH304" s="830"/>
      <c r="AI304" s="830"/>
      <c r="AJ304" s="830"/>
      <c r="AK304" s="836"/>
      <c r="AL304" s="837" t="e">
        <f>VLOOKUP(C304,'sản lượng'!$D$14:$AP$169,38,0)</f>
        <v>#N/A</v>
      </c>
      <c r="AM304" s="801">
        <v>1431</v>
      </c>
      <c r="AN304" s="831" t="e">
        <f t="shared" si="66"/>
        <v>#N/A</v>
      </c>
      <c r="AP304" s="799">
        <f t="shared" si="67"/>
        <v>3</v>
      </c>
    </row>
    <row r="305" spans="1:44" ht="15.75">
      <c r="A305" s="850">
        <v>76</v>
      </c>
      <c r="B305" s="813" t="str">
        <f>VLOOKUP(C305,'DS CN MOI UP'!$B$10:$C$389,2,0)</f>
        <v>02547</v>
      </c>
      <c r="C305" s="825" t="s">
        <v>199</v>
      </c>
      <c r="D305" s="851" t="s">
        <v>15</v>
      </c>
      <c r="E305" s="815">
        <f t="shared" si="63"/>
        <v>24</v>
      </c>
      <c r="F305" s="815"/>
      <c r="G305" s="815"/>
      <c r="H305" s="960"/>
      <c r="I305" s="815"/>
      <c r="J305" s="815"/>
      <c r="K305" s="815"/>
      <c r="L305" s="815"/>
      <c r="M305" s="815"/>
      <c r="N305" s="815"/>
      <c r="O305" s="815"/>
      <c r="P305" s="815"/>
      <c r="Q305" s="815"/>
      <c r="R305" s="815"/>
      <c r="S305" s="830">
        <f t="shared" si="64"/>
        <v>24</v>
      </c>
      <c r="T305" s="830" t="e">
        <f>VLOOKUP(C305,'sản lượng'!$D$14:$AK$169,36,0)</f>
        <v>#N/A</v>
      </c>
      <c r="U305" s="830"/>
      <c r="V305" s="830"/>
      <c r="W305" s="830" t="e">
        <f>VLOOKUP(C305,'sản lượng'!$D$14:$AK$169,36,0)</f>
        <v>#N/A</v>
      </c>
      <c r="X305" s="830"/>
      <c r="Y305" s="830"/>
      <c r="Z305" s="830" t="e">
        <f t="shared" si="65"/>
        <v>#N/A</v>
      </c>
      <c r="AA305" s="830" t="e">
        <f>VLOOKUP(C305,'CHẤM CÔNG '!$E$13:$AM$168,33,0)</f>
        <v>#N/A</v>
      </c>
      <c r="AB305" s="830" t="e">
        <f>VLOOKUP(C305,'CHẤM CÔNG '!$E$13:$AM$168,34,0)</f>
        <v>#N/A</v>
      </c>
      <c r="AC305" s="830"/>
      <c r="AD305" s="830"/>
      <c r="AE305" s="830"/>
      <c r="AF305" s="830"/>
      <c r="AG305" s="830"/>
      <c r="AH305" s="830"/>
      <c r="AI305" s="830"/>
      <c r="AJ305" s="830"/>
      <c r="AK305" s="836"/>
      <c r="AL305" s="837" t="e">
        <f>VLOOKUP(C305,'sản lượng'!$D$14:$AP$169,38,0)</f>
        <v>#N/A</v>
      </c>
      <c r="AM305" s="801">
        <v>1355</v>
      </c>
      <c r="AN305" s="831" t="e">
        <f t="shared" si="66"/>
        <v>#N/A</v>
      </c>
      <c r="AP305" s="799">
        <f t="shared" si="67"/>
        <v>3</v>
      </c>
    </row>
    <row r="306" spans="1:44" ht="15.75">
      <c r="A306" s="850">
        <v>77</v>
      </c>
      <c r="B306" s="813" t="str">
        <f>VLOOKUP(C306,'DS CN MOI UP'!$B$10:$C$389,2,0)</f>
        <v>02550</v>
      </c>
      <c r="C306" s="825" t="s">
        <v>200</v>
      </c>
      <c r="D306" s="851" t="s">
        <v>15</v>
      </c>
      <c r="E306" s="815">
        <f t="shared" si="63"/>
        <v>24</v>
      </c>
      <c r="F306" s="815"/>
      <c r="G306" s="815"/>
      <c r="H306" s="960"/>
      <c r="I306" s="815"/>
      <c r="J306" s="815"/>
      <c r="K306" s="815"/>
      <c r="L306" s="815"/>
      <c r="M306" s="815"/>
      <c r="N306" s="815"/>
      <c r="O306" s="815"/>
      <c r="P306" s="815"/>
      <c r="Q306" s="815"/>
      <c r="R306" s="815"/>
      <c r="S306" s="830">
        <f t="shared" si="64"/>
        <v>24</v>
      </c>
      <c r="T306" s="830" t="e">
        <f>VLOOKUP(C306,'sản lượng'!$D$14:$AK$169,36,0)</f>
        <v>#N/A</v>
      </c>
      <c r="U306" s="830"/>
      <c r="V306" s="830"/>
      <c r="W306" s="830" t="e">
        <f>VLOOKUP(C306,'sản lượng'!$D$14:$AK$169,36,0)</f>
        <v>#N/A</v>
      </c>
      <c r="X306" s="830"/>
      <c r="Y306" s="830"/>
      <c r="Z306" s="830" t="e">
        <f t="shared" si="65"/>
        <v>#N/A</v>
      </c>
      <c r="AA306" s="830" t="e">
        <f>VLOOKUP(C306,'CHẤM CÔNG '!$E$13:$AM$168,33,0)</f>
        <v>#N/A</v>
      </c>
      <c r="AB306" s="830" t="e">
        <f>VLOOKUP(C306,'CHẤM CÔNG '!$E$13:$AM$168,34,0)</f>
        <v>#N/A</v>
      </c>
      <c r="AC306" s="830"/>
      <c r="AD306" s="830"/>
      <c r="AE306" s="830"/>
      <c r="AF306" s="830"/>
      <c r="AG306" s="830"/>
      <c r="AH306" s="830"/>
      <c r="AI306" s="830"/>
      <c r="AJ306" s="830"/>
      <c r="AK306" s="836"/>
      <c r="AL306" s="837" t="e">
        <f>VLOOKUP(C306,'sản lượng'!$D$14:$AP$169,38,0)</f>
        <v>#N/A</v>
      </c>
      <c r="AM306" s="801">
        <v>1915</v>
      </c>
      <c r="AN306" s="831" t="e">
        <f t="shared" si="66"/>
        <v>#N/A</v>
      </c>
      <c r="AP306" s="799">
        <f t="shared" si="67"/>
        <v>3</v>
      </c>
    </row>
    <row r="307" spans="1:44" ht="15.75">
      <c r="A307" s="850">
        <v>78</v>
      </c>
      <c r="B307" s="813" t="str">
        <f>VLOOKUP(C307,'DS CN MOI UP'!$B$10:$C$389,2,0)</f>
        <v>02566</v>
      </c>
      <c r="C307" s="825" t="s">
        <v>201</v>
      </c>
      <c r="D307" s="851" t="s">
        <v>15</v>
      </c>
      <c r="E307" s="815">
        <f t="shared" si="63"/>
        <v>24</v>
      </c>
      <c r="F307" s="815"/>
      <c r="G307" s="815"/>
      <c r="H307" s="960"/>
      <c r="I307" s="815"/>
      <c r="J307" s="815"/>
      <c r="K307" s="815"/>
      <c r="L307" s="815"/>
      <c r="M307" s="815"/>
      <c r="N307" s="815"/>
      <c r="O307" s="815"/>
      <c r="P307" s="815"/>
      <c r="Q307" s="815"/>
      <c r="R307" s="815"/>
      <c r="S307" s="830">
        <f t="shared" si="64"/>
        <v>24</v>
      </c>
      <c r="T307" s="830" t="e">
        <f>VLOOKUP(C307,'sản lượng'!$D$14:$AK$169,36,0)</f>
        <v>#N/A</v>
      </c>
      <c r="U307" s="830"/>
      <c r="V307" s="830"/>
      <c r="W307" s="830" t="e">
        <f>VLOOKUP(C307,'sản lượng'!$D$14:$AK$169,36,0)</f>
        <v>#N/A</v>
      </c>
      <c r="X307" s="830"/>
      <c r="Y307" s="830"/>
      <c r="Z307" s="830" t="e">
        <f t="shared" si="65"/>
        <v>#N/A</v>
      </c>
      <c r="AA307" s="830" t="e">
        <f>VLOOKUP(C307,'CHẤM CÔNG '!$E$13:$AM$168,33,0)</f>
        <v>#N/A</v>
      </c>
      <c r="AB307" s="830" t="e">
        <f>VLOOKUP(C307,'CHẤM CÔNG '!$E$13:$AM$168,34,0)</f>
        <v>#N/A</v>
      </c>
      <c r="AC307" s="830"/>
      <c r="AD307" s="830"/>
      <c r="AE307" s="830"/>
      <c r="AF307" s="830"/>
      <c r="AG307" s="830"/>
      <c r="AH307" s="830"/>
      <c r="AI307" s="830"/>
      <c r="AJ307" s="830"/>
      <c r="AK307" s="836"/>
      <c r="AL307" s="837" t="e">
        <f>VLOOKUP(C307,'sản lượng'!$D$14:$AP$169,38,0)</f>
        <v>#N/A</v>
      </c>
      <c r="AM307" s="801">
        <v>1006</v>
      </c>
      <c r="AN307" s="831" t="e">
        <f t="shared" si="66"/>
        <v>#N/A</v>
      </c>
      <c r="AP307" s="799">
        <f t="shared" si="67"/>
        <v>3</v>
      </c>
    </row>
    <row r="308" spans="1:44" ht="15.75">
      <c r="A308" s="850">
        <v>79</v>
      </c>
      <c r="B308" s="813" t="str">
        <f>VLOOKUP(C308,'DS CN MOI UP'!$B$10:$C$389,2,0)</f>
        <v>03381</v>
      </c>
      <c r="C308" s="825" t="s">
        <v>202</v>
      </c>
      <c r="D308" s="851" t="s">
        <v>15</v>
      </c>
      <c r="E308" s="815">
        <f t="shared" si="63"/>
        <v>24</v>
      </c>
      <c r="F308" s="815"/>
      <c r="G308" s="815"/>
      <c r="H308" s="960"/>
      <c r="I308" s="815"/>
      <c r="J308" s="815"/>
      <c r="K308" s="815"/>
      <c r="L308" s="815"/>
      <c r="M308" s="815"/>
      <c r="N308" s="815"/>
      <c r="O308" s="815"/>
      <c r="P308" s="815"/>
      <c r="Q308" s="815"/>
      <c r="R308" s="815"/>
      <c r="S308" s="830">
        <f t="shared" si="62"/>
        <v>24</v>
      </c>
      <c r="T308" s="830" t="e">
        <f>VLOOKUP(C308,'sản lượng'!$D$14:$AK$169,36,0)</f>
        <v>#N/A</v>
      </c>
      <c r="U308" s="830"/>
      <c r="V308" s="830"/>
      <c r="W308" s="830" t="e">
        <f>VLOOKUP(C308,'sản lượng'!$D$14:$AK$169,36,0)</f>
        <v>#N/A</v>
      </c>
      <c r="X308" s="830"/>
      <c r="Y308" s="830"/>
      <c r="Z308" s="830" t="e">
        <f t="shared" si="65"/>
        <v>#N/A</v>
      </c>
      <c r="AA308" s="830" t="e">
        <f>VLOOKUP(C308,'CHẤM CÔNG '!$E$13:$AM$168,33,0)</f>
        <v>#N/A</v>
      </c>
      <c r="AB308" s="830" t="e">
        <f>VLOOKUP(C308,'CHẤM CÔNG '!$E$13:$AM$168,34,0)</f>
        <v>#N/A</v>
      </c>
      <c r="AC308" s="830"/>
      <c r="AD308" s="830"/>
      <c r="AE308" s="830"/>
      <c r="AF308" s="830"/>
      <c r="AG308" s="830"/>
      <c r="AH308" s="830"/>
      <c r="AI308" s="830"/>
      <c r="AJ308" s="830"/>
      <c r="AK308" s="836"/>
      <c r="AL308" s="837" t="e">
        <f>VLOOKUP(C308,'sản lượng'!$D$14:$AP$169,38,0)</f>
        <v>#N/A</v>
      </c>
      <c r="AM308" s="801">
        <v>1099</v>
      </c>
      <c r="AN308" s="831" t="e">
        <f t="shared" si="66"/>
        <v>#N/A</v>
      </c>
      <c r="AP308" s="799">
        <f t="shared" si="67"/>
        <v>3</v>
      </c>
    </row>
    <row r="309" spans="1:44" ht="15.75">
      <c r="A309" s="850">
        <v>80</v>
      </c>
      <c r="B309" s="813" t="str">
        <f>VLOOKUP(C309,'DS CN MOI UP'!$B$10:$C$389,2,0)</f>
        <v>02689</v>
      </c>
      <c r="C309" s="825" t="s">
        <v>203</v>
      </c>
      <c r="D309" s="851" t="s">
        <v>15</v>
      </c>
      <c r="E309" s="815">
        <f t="shared" si="63"/>
        <v>24</v>
      </c>
      <c r="F309" s="815"/>
      <c r="G309" s="815"/>
      <c r="H309" s="960"/>
      <c r="I309" s="815"/>
      <c r="J309" s="815"/>
      <c r="K309" s="815"/>
      <c r="L309" s="815"/>
      <c r="M309" s="815"/>
      <c r="N309" s="815"/>
      <c r="O309" s="815"/>
      <c r="P309" s="815"/>
      <c r="Q309" s="815"/>
      <c r="R309" s="815"/>
      <c r="S309" s="830">
        <f t="shared" si="62"/>
        <v>24</v>
      </c>
      <c r="T309" s="830" t="e">
        <f>VLOOKUP(C309,'sản lượng'!$D$14:$AK$169,36,0)</f>
        <v>#N/A</v>
      </c>
      <c r="U309" s="830"/>
      <c r="V309" s="830"/>
      <c r="W309" s="830" t="e">
        <f>VLOOKUP(C309,'sản lượng'!$D$14:$AK$169,36,0)</f>
        <v>#N/A</v>
      </c>
      <c r="X309" s="830"/>
      <c r="Y309" s="830"/>
      <c r="Z309" s="830" t="e">
        <f t="shared" si="65"/>
        <v>#N/A</v>
      </c>
      <c r="AA309" s="830" t="e">
        <f>VLOOKUP(C309,'CHẤM CÔNG '!$E$13:$AM$168,33,0)</f>
        <v>#N/A</v>
      </c>
      <c r="AB309" s="830" t="e">
        <f>VLOOKUP(C309,'CHẤM CÔNG '!$E$13:$AM$168,34,0)</f>
        <v>#N/A</v>
      </c>
      <c r="AC309" s="830"/>
      <c r="AD309" s="830"/>
      <c r="AE309" s="830"/>
      <c r="AF309" s="830"/>
      <c r="AG309" s="830"/>
      <c r="AH309" s="830"/>
      <c r="AI309" s="830"/>
      <c r="AJ309" s="830"/>
      <c r="AK309" s="836"/>
      <c r="AL309" s="837" t="e">
        <f>VLOOKUP(C309,'sản lượng'!$D$14:$AP$169,38,0)</f>
        <v>#N/A</v>
      </c>
      <c r="AM309" s="801">
        <v>947</v>
      </c>
      <c r="AN309" s="831" t="e">
        <f t="shared" si="66"/>
        <v>#N/A</v>
      </c>
      <c r="AP309" s="799">
        <f t="shared" si="67"/>
        <v>3</v>
      </c>
    </row>
    <row r="310" spans="1:44" ht="15.75">
      <c r="A310" s="850">
        <v>81</v>
      </c>
      <c r="B310" s="813" t="str">
        <f>VLOOKUP(C310,'DS CN MOI UP'!$B$10:$C$389,2,0)</f>
        <v>02546</v>
      </c>
      <c r="C310" s="825" t="s">
        <v>204</v>
      </c>
      <c r="D310" s="851" t="s">
        <v>15</v>
      </c>
      <c r="E310" s="815">
        <f t="shared" si="63"/>
        <v>24</v>
      </c>
      <c r="F310" s="815"/>
      <c r="G310" s="815"/>
      <c r="H310" s="960"/>
      <c r="I310" s="815"/>
      <c r="J310" s="815"/>
      <c r="K310" s="815"/>
      <c r="L310" s="815"/>
      <c r="M310" s="815"/>
      <c r="N310" s="815"/>
      <c r="O310" s="815"/>
      <c r="P310" s="815"/>
      <c r="Q310" s="815"/>
      <c r="R310" s="815"/>
      <c r="S310" s="830">
        <f t="shared" si="62"/>
        <v>24</v>
      </c>
      <c r="T310" s="830" t="e">
        <f>VLOOKUP(C310,'sản lượng'!$D$14:$AK$169,36,0)</f>
        <v>#N/A</v>
      </c>
      <c r="U310" s="830"/>
      <c r="V310" s="830"/>
      <c r="W310" s="830" t="e">
        <f>VLOOKUP(C310,'sản lượng'!$D$14:$AK$169,36,0)</f>
        <v>#N/A</v>
      </c>
      <c r="X310" s="830"/>
      <c r="Y310" s="830"/>
      <c r="Z310" s="830" t="e">
        <f t="shared" si="65"/>
        <v>#N/A</v>
      </c>
      <c r="AA310" s="830" t="e">
        <f>VLOOKUP(C310,'CHẤM CÔNG '!$E$13:$AM$168,33,0)</f>
        <v>#N/A</v>
      </c>
      <c r="AB310" s="830" t="e">
        <f>VLOOKUP(C310,'CHẤM CÔNG '!$E$13:$AM$168,34,0)</f>
        <v>#N/A</v>
      </c>
      <c r="AC310" s="830"/>
      <c r="AD310" s="830"/>
      <c r="AE310" s="830"/>
      <c r="AF310" s="830"/>
      <c r="AG310" s="830"/>
      <c r="AH310" s="830"/>
      <c r="AI310" s="830"/>
      <c r="AJ310" s="830"/>
      <c r="AK310" s="836"/>
      <c r="AL310" s="837" t="e">
        <f>VLOOKUP(C310,'sản lượng'!$D$14:$AP$169,38,0)</f>
        <v>#N/A</v>
      </c>
      <c r="AM310" s="801">
        <v>1771</v>
      </c>
      <c r="AN310" s="831" t="e">
        <f t="shared" si="66"/>
        <v>#N/A</v>
      </c>
      <c r="AP310" s="799">
        <f t="shared" si="67"/>
        <v>3</v>
      </c>
    </row>
    <row r="311" spans="1:44" ht="15.75">
      <c r="A311" s="850">
        <v>82</v>
      </c>
      <c r="B311" s="813" t="str">
        <f>VLOOKUP(C311,'DS CN MOI UP'!$B$10:$C$389,2,0)</f>
        <v>02559</v>
      </c>
      <c r="C311" s="825" t="s">
        <v>205</v>
      </c>
      <c r="D311" s="851" t="s">
        <v>15</v>
      </c>
      <c r="E311" s="815">
        <f t="shared" si="63"/>
        <v>24</v>
      </c>
      <c r="F311" s="815"/>
      <c r="G311" s="815"/>
      <c r="H311" s="960"/>
      <c r="I311" s="815"/>
      <c r="J311" s="815"/>
      <c r="K311" s="815"/>
      <c r="L311" s="815"/>
      <c r="M311" s="815"/>
      <c r="N311" s="815"/>
      <c r="O311" s="815"/>
      <c r="P311" s="815"/>
      <c r="Q311" s="815"/>
      <c r="R311" s="815"/>
      <c r="S311" s="830">
        <f t="shared" si="62"/>
        <v>24</v>
      </c>
      <c r="T311" s="830" t="e">
        <f>VLOOKUP(C311,'sản lượng'!$D$14:$AK$169,36,0)</f>
        <v>#N/A</v>
      </c>
      <c r="U311" s="830"/>
      <c r="V311" s="830"/>
      <c r="W311" s="830" t="e">
        <f>VLOOKUP(C311,'sản lượng'!$D$14:$AK$169,36,0)</f>
        <v>#N/A</v>
      </c>
      <c r="X311" s="830"/>
      <c r="Y311" s="830"/>
      <c r="Z311" s="830" t="e">
        <f t="shared" si="65"/>
        <v>#N/A</v>
      </c>
      <c r="AA311" s="830" t="e">
        <f>VLOOKUP(C311,'CHẤM CÔNG '!$E$13:$AM$168,33,0)</f>
        <v>#N/A</v>
      </c>
      <c r="AB311" s="830" t="e">
        <f>VLOOKUP(C311,'CHẤM CÔNG '!$E$13:$AM$168,34,0)</f>
        <v>#N/A</v>
      </c>
      <c r="AC311" s="830"/>
      <c r="AD311" s="830"/>
      <c r="AE311" s="830"/>
      <c r="AF311" s="830"/>
      <c r="AG311" s="830"/>
      <c r="AH311" s="830"/>
      <c r="AI311" s="830"/>
      <c r="AJ311" s="830"/>
      <c r="AK311" s="836"/>
      <c r="AL311" s="837" t="e">
        <f>VLOOKUP(C311,'sản lượng'!$D$14:$AP$169,38,0)</f>
        <v>#N/A</v>
      </c>
      <c r="AM311" s="801">
        <v>1852</v>
      </c>
      <c r="AN311" s="831" t="e">
        <f t="shared" si="66"/>
        <v>#N/A</v>
      </c>
      <c r="AP311" s="799">
        <f t="shared" si="67"/>
        <v>3</v>
      </c>
    </row>
    <row r="312" spans="1:44" ht="15.75">
      <c r="A312" s="850">
        <v>83</v>
      </c>
      <c r="B312" s="813" t="e">
        <f>VLOOKUP(C312,'DS CN MOI UP'!$B$10:$C$389,2,0)</f>
        <v>#N/A</v>
      </c>
      <c r="C312" s="825" t="s">
        <v>505</v>
      </c>
      <c r="D312" s="851" t="s">
        <v>2081</v>
      </c>
      <c r="E312" s="815"/>
      <c r="F312" s="815"/>
      <c r="G312" s="815"/>
      <c r="H312" s="960"/>
      <c r="I312" s="815"/>
      <c r="J312" s="815"/>
      <c r="K312" s="815"/>
      <c r="L312" s="815"/>
      <c r="M312" s="815"/>
      <c r="N312" s="815"/>
      <c r="O312" s="815"/>
      <c r="P312" s="815"/>
      <c r="Q312" s="815"/>
      <c r="R312" s="815"/>
      <c r="S312" s="830">
        <f t="shared" si="62"/>
        <v>0</v>
      </c>
      <c r="T312" s="830" t="e">
        <f>VLOOKUP(C312,'sản lượng'!$D$14:$AK$169,36,0)</f>
        <v>#N/A</v>
      </c>
      <c r="U312" s="830"/>
      <c r="V312" s="830"/>
      <c r="W312" s="830" t="e">
        <f>VLOOKUP(C312,'sản lượng'!$D$14:$AK$169,36,0)</f>
        <v>#N/A</v>
      </c>
      <c r="X312" s="830"/>
      <c r="Y312" s="830"/>
      <c r="Z312" s="830" t="e">
        <f t="shared" si="65"/>
        <v>#N/A</v>
      </c>
      <c r="AA312" s="830" t="e">
        <f>VLOOKUP(C312,'CHẤM CÔNG '!$E$13:$AM$168,33,0)</f>
        <v>#N/A</v>
      </c>
      <c r="AB312" s="830" t="e">
        <f>VLOOKUP(C312,'CHẤM CÔNG '!$E$13:$AM$168,34,0)</f>
        <v>#N/A</v>
      </c>
      <c r="AC312" s="830"/>
      <c r="AD312" s="830"/>
      <c r="AE312" s="830"/>
      <c r="AF312" s="830"/>
      <c r="AG312" s="830"/>
      <c r="AH312" s="830"/>
      <c r="AI312" s="830"/>
      <c r="AJ312" s="830"/>
      <c r="AK312" s="836"/>
      <c r="AL312" s="837" t="e">
        <f>VLOOKUP(C312,'sản lượng'!$D$14:$AP$169,38,0)</f>
        <v>#N/A</v>
      </c>
      <c r="AM312" s="801">
        <v>128</v>
      </c>
      <c r="AN312" s="831" t="e">
        <f t="shared" si="66"/>
        <v>#N/A</v>
      </c>
    </row>
    <row r="313" spans="1:44" ht="15.75">
      <c r="A313" s="850">
        <v>84</v>
      </c>
      <c r="B313" s="813" t="e">
        <f>VLOOKUP(C313,'DS CN MOI UP'!$B$10:$C$389,2,0)</f>
        <v>#N/A</v>
      </c>
      <c r="C313" s="825" t="s">
        <v>506</v>
      </c>
      <c r="D313" s="851" t="s">
        <v>2081</v>
      </c>
      <c r="E313" s="815"/>
      <c r="F313" s="815"/>
      <c r="G313" s="815"/>
      <c r="H313" s="960"/>
      <c r="I313" s="815"/>
      <c r="J313" s="815"/>
      <c r="K313" s="815"/>
      <c r="L313" s="815"/>
      <c r="M313" s="815"/>
      <c r="N313" s="815"/>
      <c r="O313" s="815"/>
      <c r="P313" s="815"/>
      <c r="Q313" s="815"/>
      <c r="R313" s="815"/>
      <c r="S313" s="830">
        <f t="shared" si="62"/>
        <v>0</v>
      </c>
      <c r="T313" s="830" t="e">
        <f>VLOOKUP(C313,'sản lượng'!$D$14:$AK$169,36,0)</f>
        <v>#N/A</v>
      </c>
      <c r="U313" s="830"/>
      <c r="V313" s="830"/>
      <c r="W313" s="830" t="e">
        <f>VLOOKUP(C313,'sản lượng'!$D$14:$AK$169,36,0)</f>
        <v>#N/A</v>
      </c>
      <c r="X313" s="830"/>
      <c r="Y313" s="830"/>
      <c r="Z313" s="830" t="e">
        <f t="shared" si="65"/>
        <v>#N/A</v>
      </c>
      <c r="AA313" s="830" t="e">
        <f>VLOOKUP(C313,'CHẤM CÔNG '!$E$13:$AM$168,33,0)</f>
        <v>#N/A</v>
      </c>
      <c r="AB313" s="830" t="e">
        <f>VLOOKUP(C313,'CHẤM CÔNG '!$E$13:$AM$168,34,0)</f>
        <v>#N/A</v>
      </c>
      <c r="AC313" s="830"/>
      <c r="AD313" s="830"/>
      <c r="AE313" s="830"/>
      <c r="AF313" s="830"/>
      <c r="AG313" s="830"/>
      <c r="AH313" s="830"/>
      <c r="AI313" s="830"/>
      <c r="AJ313" s="830"/>
      <c r="AK313" s="836"/>
      <c r="AL313" s="837" t="e">
        <f>VLOOKUP(C313,'sản lượng'!$D$14:$AP$169,38,0)</f>
        <v>#N/A</v>
      </c>
      <c r="AM313" s="801">
        <v>60</v>
      </c>
      <c r="AN313" s="831" t="e">
        <f t="shared" si="66"/>
        <v>#N/A</v>
      </c>
    </row>
    <row r="314" spans="1:44" ht="15.75">
      <c r="A314" s="850">
        <v>85</v>
      </c>
      <c r="B314" s="813" t="e">
        <f>VLOOKUP(C314,'DS CN MOI UP'!$B$10:$C$389,2,0)</f>
        <v>#N/A</v>
      </c>
      <c r="C314" s="825" t="s">
        <v>507</v>
      </c>
      <c r="D314" s="851" t="s">
        <v>15</v>
      </c>
      <c r="E314" s="815"/>
      <c r="F314" s="815"/>
      <c r="G314" s="815"/>
      <c r="H314" s="960"/>
      <c r="I314" s="815"/>
      <c r="J314" s="815"/>
      <c r="K314" s="815"/>
      <c r="L314" s="815"/>
      <c r="M314" s="815"/>
      <c r="N314" s="815"/>
      <c r="O314" s="815"/>
      <c r="P314" s="815"/>
      <c r="Q314" s="815"/>
      <c r="R314" s="815"/>
      <c r="S314" s="830">
        <f t="shared" ref="S314" si="68">SUM(E314:N314)</f>
        <v>0</v>
      </c>
      <c r="T314" s="830"/>
      <c r="U314" s="830"/>
      <c r="V314" s="830"/>
      <c r="W314" s="830"/>
      <c r="X314" s="830"/>
      <c r="Y314" s="830"/>
      <c r="Z314" s="830">
        <f>W314*$AN$16+X314*$AN$10+$AN$25*Y314</f>
        <v>0</v>
      </c>
      <c r="AA314" s="830"/>
      <c r="AB314" s="830"/>
      <c r="AC314" s="830"/>
      <c r="AD314" s="830"/>
      <c r="AE314" s="830"/>
      <c r="AF314" s="830"/>
      <c r="AG314" s="830"/>
      <c r="AH314" s="830"/>
      <c r="AI314" s="830"/>
      <c r="AJ314" s="830"/>
      <c r="AK314" s="836"/>
      <c r="AL314" s="837" t="e">
        <f>VLOOKUP(C314,'sản lượng'!$D$14:$AP$169,38,0)</f>
        <v>#N/A</v>
      </c>
      <c r="AN314" s="831">
        <f t="shared" si="66"/>
        <v>0</v>
      </c>
    </row>
    <row r="315" spans="1:44" ht="15.75">
      <c r="A315" s="850">
        <v>86</v>
      </c>
      <c r="B315" s="813">
        <v>4</v>
      </c>
      <c r="C315" s="825" t="s">
        <v>1232</v>
      </c>
      <c r="D315" s="991" t="s">
        <v>1713</v>
      </c>
      <c r="E315" s="815"/>
      <c r="F315" s="815"/>
      <c r="G315" s="815"/>
      <c r="H315" s="960">
        <v>6996.2759999999998</v>
      </c>
      <c r="I315" s="815"/>
      <c r="J315" s="815"/>
      <c r="K315" s="815"/>
      <c r="L315" s="815"/>
      <c r="M315" s="815"/>
      <c r="N315" s="815"/>
      <c r="O315" s="815"/>
      <c r="P315" s="815"/>
      <c r="Q315" s="815"/>
      <c r="R315" s="815"/>
      <c r="S315" s="830">
        <f>SUM(E315:R315)</f>
        <v>6996.2759999999998</v>
      </c>
      <c r="T315" s="830"/>
      <c r="U315" s="830"/>
      <c r="V315" s="830"/>
      <c r="W315" s="830"/>
      <c r="X315" s="830"/>
      <c r="Y315" s="830"/>
      <c r="Z315" s="830">
        <f>W315*$AN$9/$AN$8+X315*$AN$10+$AN$11*Y315</f>
        <v>0</v>
      </c>
      <c r="AA315" s="830"/>
      <c r="AB315" s="830"/>
      <c r="AC315" s="830"/>
      <c r="AD315" s="830"/>
      <c r="AE315" s="830"/>
      <c r="AF315" s="830"/>
      <c r="AG315" s="830"/>
      <c r="AH315" s="830"/>
      <c r="AI315" s="830"/>
      <c r="AJ315" s="830"/>
      <c r="AK315" s="836"/>
      <c r="AL315" s="837" t="e">
        <f>VLOOKUP(C315,'sản lượng'!$D$14:$AP$169,38,0)</f>
        <v>#N/A</v>
      </c>
      <c r="AN315" s="831">
        <f t="shared" si="66"/>
        <v>0</v>
      </c>
    </row>
    <row r="316" spans="1:44">
      <c r="A316" s="847" t="s">
        <v>522</v>
      </c>
      <c r="B316" s="813"/>
      <c r="C316" s="848"/>
      <c r="D316" s="849"/>
      <c r="E316" s="823">
        <f t="shared" ref="E316:W316" si="69">SUM(E317:E395)</f>
        <v>1928</v>
      </c>
      <c r="F316" s="823">
        <f t="shared" si="69"/>
        <v>0</v>
      </c>
      <c r="G316" s="823">
        <f t="shared" si="69"/>
        <v>0</v>
      </c>
      <c r="H316" s="967">
        <f t="shared" si="69"/>
        <v>0</v>
      </c>
      <c r="I316" s="823">
        <f t="shared" si="69"/>
        <v>0</v>
      </c>
      <c r="J316" s="823">
        <f t="shared" si="69"/>
        <v>0</v>
      </c>
      <c r="K316" s="823">
        <f t="shared" si="69"/>
        <v>0</v>
      </c>
      <c r="L316" s="823">
        <f t="shared" si="69"/>
        <v>0</v>
      </c>
      <c r="M316" s="823">
        <f t="shared" si="69"/>
        <v>0</v>
      </c>
      <c r="N316" s="823">
        <f t="shared" si="69"/>
        <v>0</v>
      </c>
      <c r="O316" s="823">
        <f t="shared" si="69"/>
        <v>0</v>
      </c>
      <c r="P316" s="823">
        <f t="shared" si="69"/>
        <v>0</v>
      </c>
      <c r="Q316" s="823">
        <f t="shared" si="69"/>
        <v>0</v>
      </c>
      <c r="R316" s="823">
        <f t="shared" si="69"/>
        <v>0</v>
      </c>
      <c r="S316" s="823">
        <f t="shared" si="69"/>
        <v>1928</v>
      </c>
      <c r="T316" s="823" t="e">
        <f t="shared" si="69"/>
        <v>#N/A</v>
      </c>
      <c r="U316" s="823">
        <f t="shared" si="69"/>
        <v>0</v>
      </c>
      <c r="V316" s="823">
        <f t="shared" si="69"/>
        <v>0</v>
      </c>
      <c r="W316" s="823" t="e">
        <f t="shared" si="69"/>
        <v>#N/A</v>
      </c>
      <c r="X316" s="823"/>
      <c r="Y316" s="823"/>
      <c r="Z316" s="823" t="e">
        <f>SUM(Z317:Z395)</f>
        <v>#N/A</v>
      </c>
      <c r="AA316" s="823" t="e">
        <f>SUM(AA317:AA395)</f>
        <v>#N/A</v>
      </c>
      <c r="AB316" s="823" t="e">
        <f>SUM(AB317:AB395)</f>
        <v>#N/A</v>
      </c>
      <c r="AC316" s="830"/>
      <c r="AD316" s="823"/>
      <c r="AE316" s="823">
        <f>SUM(AE317:AE395)</f>
        <v>26</v>
      </c>
      <c r="AF316" s="823"/>
      <c r="AG316" s="823"/>
      <c r="AH316" s="823"/>
      <c r="AI316" s="823">
        <f t="shared" ref="AI316:AR316" si="70">SUM(AI317:AI395)</f>
        <v>0</v>
      </c>
      <c r="AJ316" s="823">
        <f t="shared" si="70"/>
        <v>0</v>
      </c>
      <c r="AK316" s="823">
        <f t="shared" si="70"/>
        <v>0</v>
      </c>
      <c r="AL316" s="837" t="e">
        <f>VLOOKUP(C316,'sản lượng'!$D$14:$AP$169,38,0)</f>
        <v>#N/A</v>
      </c>
      <c r="AM316" s="823" t="e">
        <f t="shared" si="70"/>
        <v>#N/A</v>
      </c>
      <c r="AN316" s="823">
        <f t="shared" si="70"/>
        <v>0</v>
      </c>
      <c r="AO316" s="823" t="e">
        <f t="shared" si="70"/>
        <v>#N/A</v>
      </c>
      <c r="AP316" s="823" t="e">
        <f t="shared" si="70"/>
        <v>#N/A</v>
      </c>
      <c r="AQ316" s="823" t="e">
        <f t="shared" si="70"/>
        <v>#N/A</v>
      </c>
      <c r="AR316" s="823">
        <f t="shared" si="70"/>
        <v>63</v>
      </c>
    </row>
    <row r="317" spans="1:44" ht="15.75">
      <c r="A317" s="850">
        <v>1</v>
      </c>
      <c r="B317" s="813" t="str">
        <f>VLOOKUP(C317,'DS CN MOI UP'!$B$10:$C$389,2,0)</f>
        <v>02615</v>
      </c>
      <c r="C317" s="112" t="s">
        <v>206</v>
      </c>
      <c r="D317" s="855" t="s">
        <v>15</v>
      </c>
      <c r="E317" s="815">
        <f t="shared" ref="E317:E380" si="71">3*8</f>
        <v>24</v>
      </c>
      <c r="F317" s="815"/>
      <c r="G317" s="815"/>
      <c r="H317" s="960"/>
      <c r="I317" s="815"/>
      <c r="J317" s="815"/>
      <c r="K317" s="815"/>
      <c r="L317" s="815"/>
      <c r="M317" s="815"/>
      <c r="N317" s="815"/>
      <c r="O317" s="815"/>
      <c r="P317" s="815"/>
      <c r="Q317" s="815"/>
      <c r="R317" s="815"/>
      <c r="S317" s="830">
        <f t="shared" ref="S317:S348" si="72">SUM(E317:R317)</f>
        <v>24</v>
      </c>
      <c r="T317" s="830" t="e">
        <f>VLOOKUP(C317,'sản lượng'!$D$14:$AK$169,36,0)</f>
        <v>#N/A</v>
      </c>
      <c r="U317" s="830"/>
      <c r="V317" s="830"/>
      <c r="W317" s="830" t="e">
        <f>VLOOKUP(C317,'sản lượng'!$D$14:$AK$169,36,0)</f>
        <v>#N/A</v>
      </c>
      <c r="X317" s="830"/>
      <c r="Y317" s="830"/>
      <c r="Z317" s="830" t="e">
        <f t="shared" ref="Z317:Z348" si="73">W317*$AN$17+X317*$AN$10+$AN$11*Y317</f>
        <v>#N/A</v>
      </c>
      <c r="AA317" s="830" t="e">
        <f>VLOOKUP(C317,'CHẤM CÔNG '!$E$13:$AM$168,33,0)</f>
        <v>#N/A</v>
      </c>
      <c r="AB317" s="830" t="e">
        <f>VLOOKUP(C317,'CHẤM CÔNG '!$E$13:$AM$168,34,0)</f>
        <v>#N/A</v>
      </c>
      <c r="AC317" s="830"/>
      <c r="AD317" s="830"/>
      <c r="AE317" s="830"/>
      <c r="AF317" s="830"/>
      <c r="AG317" s="830"/>
      <c r="AH317" s="830"/>
      <c r="AI317" s="830"/>
      <c r="AJ317" s="830"/>
      <c r="AK317" s="836"/>
      <c r="AL317" s="837" t="e">
        <f>VLOOKUP(C317,'sản lượng'!$D$14:$AP$169,38,0)</f>
        <v>#N/A</v>
      </c>
      <c r="AM317" s="831" t="e">
        <f>SUM(W317:W387)</f>
        <v>#N/A</v>
      </c>
      <c r="AN317" s="831">
        <f>SUM(X317:X387)</f>
        <v>0</v>
      </c>
      <c r="AO317" s="831" t="e">
        <f>SUM(Z317:Z387)</f>
        <v>#N/A</v>
      </c>
      <c r="AP317" s="831" t="e">
        <f>SUM(AA317:AA387)</f>
        <v>#N/A</v>
      </c>
      <c r="AQ317" s="831" t="e">
        <f>SUM(AB317:AB387)</f>
        <v>#N/A</v>
      </c>
      <c r="AR317" s="831">
        <f>SUM(AC317:AC387)</f>
        <v>0</v>
      </c>
    </row>
    <row r="318" spans="1:44" ht="15.75">
      <c r="A318" s="850">
        <v>2</v>
      </c>
      <c r="B318" s="813" t="str">
        <f>VLOOKUP(C318,'DS CN MOI UP'!$B$10:$C$389,2,0)</f>
        <v>02594</v>
      </c>
      <c r="C318" s="112" t="s">
        <v>207</v>
      </c>
      <c r="D318" s="855" t="s">
        <v>15</v>
      </c>
      <c r="E318" s="815">
        <f t="shared" si="71"/>
        <v>24</v>
      </c>
      <c r="F318" s="815"/>
      <c r="G318" s="815"/>
      <c r="H318" s="960"/>
      <c r="I318" s="815"/>
      <c r="J318" s="815"/>
      <c r="K318" s="815"/>
      <c r="L318" s="815"/>
      <c r="M318" s="815"/>
      <c r="N318" s="815"/>
      <c r="O318" s="815"/>
      <c r="P318" s="815"/>
      <c r="Q318" s="815"/>
      <c r="R318" s="815"/>
      <c r="S318" s="830">
        <f t="shared" si="72"/>
        <v>24</v>
      </c>
      <c r="T318" s="830" t="e">
        <f>VLOOKUP(C318,'sản lượng'!$D$14:$AK$169,36,0)</f>
        <v>#N/A</v>
      </c>
      <c r="U318" s="830"/>
      <c r="V318" s="830"/>
      <c r="W318" s="830" t="e">
        <f>VLOOKUP(C318,'sản lượng'!$D$14:$AK$169,36,0)</f>
        <v>#N/A</v>
      </c>
      <c r="X318" s="830"/>
      <c r="Y318" s="830"/>
      <c r="Z318" s="830" t="e">
        <f t="shared" si="73"/>
        <v>#N/A</v>
      </c>
      <c r="AA318" s="830" t="e">
        <f>VLOOKUP(C318,'CHẤM CÔNG '!$E$13:$AM$168,33,0)</f>
        <v>#N/A</v>
      </c>
      <c r="AB318" s="830" t="e">
        <f>VLOOKUP(C318,'CHẤM CÔNG '!$E$13:$AM$168,34,0)</f>
        <v>#N/A</v>
      </c>
      <c r="AC318" s="830"/>
      <c r="AD318" s="830"/>
      <c r="AE318" s="830"/>
      <c r="AF318" s="830"/>
      <c r="AG318" s="830"/>
      <c r="AH318" s="830"/>
      <c r="AI318" s="830"/>
      <c r="AJ318" s="830"/>
      <c r="AK318" s="836"/>
      <c r="AL318" s="837" t="e">
        <f>VLOOKUP(C318,'sản lượng'!$D$14:$AP$169,38,0)</f>
        <v>#N/A</v>
      </c>
      <c r="AM318" s="831" t="e">
        <f>+W316-AM317</f>
        <v>#N/A</v>
      </c>
      <c r="AN318" s="831">
        <f>+X316-AN317</f>
        <v>0</v>
      </c>
      <c r="AO318" s="831" t="e">
        <f>+Z316-AO317</f>
        <v>#N/A</v>
      </c>
      <c r="AP318" s="831" t="e">
        <f>+AA316-AP317</f>
        <v>#N/A</v>
      </c>
      <c r="AQ318" s="831" t="e">
        <f>+AB316-AQ317</f>
        <v>#N/A</v>
      </c>
    </row>
    <row r="319" spans="1:44" ht="15.75">
      <c r="A319" s="850">
        <v>3</v>
      </c>
      <c r="B319" s="813" t="str">
        <f>VLOOKUP(C319,'DS CN MOI UP'!$B$10:$C$389,2,0)</f>
        <v>02596</v>
      </c>
      <c r="C319" s="112" t="s">
        <v>208</v>
      </c>
      <c r="D319" s="855" t="s">
        <v>15</v>
      </c>
      <c r="E319" s="815">
        <f t="shared" si="71"/>
        <v>24</v>
      </c>
      <c r="F319" s="815"/>
      <c r="G319" s="815"/>
      <c r="H319" s="960"/>
      <c r="I319" s="815"/>
      <c r="J319" s="815"/>
      <c r="K319" s="815"/>
      <c r="L319" s="815"/>
      <c r="M319" s="815"/>
      <c r="N319" s="815"/>
      <c r="O319" s="815"/>
      <c r="P319" s="815"/>
      <c r="Q319" s="815"/>
      <c r="R319" s="815"/>
      <c r="S319" s="830">
        <f t="shared" si="72"/>
        <v>24</v>
      </c>
      <c r="T319" s="830" t="e">
        <f>VLOOKUP(C319,'sản lượng'!$D$14:$AK$169,36,0)</f>
        <v>#N/A</v>
      </c>
      <c r="U319" s="830"/>
      <c r="V319" s="830"/>
      <c r="W319" s="830" t="e">
        <f>VLOOKUP(C319,'sản lượng'!$D$14:$AK$169,36,0)</f>
        <v>#N/A</v>
      </c>
      <c r="X319" s="830"/>
      <c r="Y319" s="830"/>
      <c r="Z319" s="830" t="e">
        <f t="shared" si="73"/>
        <v>#N/A</v>
      </c>
      <c r="AA319" s="830" t="e">
        <f>VLOOKUP(C319,'CHẤM CÔNG '!$E$13:$AM$168,33,0)</f>
        <v>#N/A</v>
      </c>
      <c r="AB319" s="830" t="e">
        <f>VLOOKUP(C319,'CHẤM CÔNG '!$E$13:$AM$168,34,0)</f>
        <v>#N/A</v>
      </c>
      <c r="AC319" s="830"/>
      <c r="AD319" s="830"/>
      <c r="AE319" s="830"/>
      <c r="AF319" s="830"/>
      <c r="AG319" s="830"/>
      <c r="AH319" s="830"/>
      <c r="AI319" s="830"/>
      <c r="AJ319" s="830"/>
      <c r="AK319" s="836"/>
      <c r="AL319" s="837" t="e">
        <f>VLOOKUP(C319,'sản lượng'!$D$14:$AP$169,38,0)</f>
        <v>#N/A</v>
      </c>
      <c r="AP319" s="799">
        <f t="shared" ref="AP319:AP381" si="74">3-AR319</f>
        <v>3</v>
      </c>
    </row>
    <row r="320" spans="1:44" ht="15.75">
      <c r="A320" s="850">
        <v>4</v>
      </c>
      <c r="B320" s="813" t="str">
        <f>VLOOKUP(C320,'DS CN MOI UP'!$B$10:$C$389,2,0)</f>
        <v>02601</v>
      </c>
      <c r="C320" s="112" t="s">
        <v>209</v>
      </c>
      <c r="D320" s="855" t="s">
        <v>15</v>
      </c>
      <c r="E320" s="815">
        <f t="shared" si="71"/>
        <v>24</v>
      </c>
      <c r="F320" s="815"/>
      <c r="G320" s="815"/>
      <c r="H320" s="960"/>
      <c r="I320" s="815"/>
      <c r="J320" s="815"/>
      <c r="K320" s="815"/>
      <c r="L320" s="815"/>
      <c r="M320" s="815"/>
      <c r="N320" s="815"/>
      <c r="O320" s="815"/>
      <c r="P320" s="815"/>
      <c r="Q320" s="815"/>
      <c r="R320" s="815"/>
      <c r="S320" s="830">
        <f t="shared" si="72"/>
        <v>24</v>
      </c>
      <c r="T320" s="830" t="e">
        <f>VLOOKUP(C320,'sản lượng'!$D$14:$AK$169,36,0)</f>
        <v>#N/A</v>
      </c>
      <c r="U320" s="830"/>
      <c r="V320" s="830"/>
      <c r="W320" s="830" t="e">
        <f>VLOOKUP(C320,'sản lượng'!$D$14:$AK$169,36,0)</f>
        <v>#N/A</v>
      </c>
      <c r="X320" s="830"/>
      <c r="Y320" s="830"/>
      <c r="Z320" s="830" t="e">
        <f t="shared" si="73"/>
        <v>#N/A</v>
      </c>
      <c r="AA320" s="830" t="e">
        <f>VLOOKUP(C320,'CHẤM CÔNG '!$E$13:$AM$168,33,0)</f>
        <v>#N/A</v>
      </c>
      <c r="AB320" s="830" t="e">
        <f>VLOOKUP(C320,'CHẤM CÔNG '!$E$13:$AM$168,34,0)</f>
        <v>#N/A</v>
      </c>
      <c r="AC320" s="830"/>
      <c r="AD320" s="830"/>
      <c r="AE320" s="830"/>
      <c r="AF320" s="830"/>
      <c r="AG320" s="830"/>
      <c r="AH320" s="830"/>
      <c r="AI320" s="830"/>
      <c r="AJ320" s="830"/>
      <c r="AK320" s="836"/>
      <c r="AL320" s="837" t="e">
        <f>VLOOKUP(C320,'sản lượng'!$D$14:$AP$169,38,0)</f>
        <v>#N/A</v>
      </c>
      <c r="AP320" s="799">
        <f t="shared" si="74"/>
        <v>3</v>
      </c>
    </row>
    <row r="321" spans="1:44" ht="15.75">
      <c r="A321" s="850">
        <v>5</v>
      </c>
      <c r="B321" s="813" t="str">
        <f>VLOOKUP(C321,'DS CN MOI UP'!$B$10:$C$389,2,0)</f>
        <v>02697</v>
      </c>
      <c r="C321" s="112" t="s">
        <v>210</v>
      </c>
      <c r="D321" s="855" t="s">
        <v>15</v>
      </c>
      <c r="E321" s="815">
        <f t="shared" si="71"/>
        <v>24</v>
      </c>
      <c r="F321" s="815"/>
      <c r="G321" s="815"/>
      <c r="H321" s="960"/>
      <c r="I321" s="815"/>
      <c r="J321" s="815"/>
      <c r="K321" s="815"/>
      <c r="L321" s="815"/>
      <c r="M321" s="815"/>
      <c r="N321" s="815"/>
      <c r="O321" s="815"/>
      <c r="P321" s="815"/>
      <c r="Q321" s="815"/>
      <c r="R321" s="815"/>
      <c r="S321" s="830">
        <f t="shared" si="72"/>
        <v>24</v>
      </c>
      <c r="T321" s="830" t="e">
        <f>VLOOKUP(C321,'sản lượng'!$D$14:$AK$169,36,0)</f>
        <v>#N/A</v>
      </c>
      <c r="U321" s="830"/>
      <c r="V321" s="830"/>
      <c r="W321" s="830" t="e">
        <f>VLOOKUP(C321,'sản lượng'!$D$14:$AK$169,36,0)</f>
        <v>#N/A</v>
      </c>
      <c r="X321" s="830"/>
      <c r="Y321" s="830"/>
      <c r="Z321" s="830" t="e">
        <f t="shared" si="73"/>
        <v>#N/A</v>
      </c>
      <c r="AA321" s="830" t="e">
        <f>VLOOKUP(C321,'CHẤM CÔNG '!$E$13:$AM$168,33,0)</f>
        <v>#N/A</v>
      </c>
      <c r="AB321" s="830" t="e">
        <f>VLOOKUP(C321,'CHẤM CÔNG '!$E$13:$AM$168,34,0)</f>
        <v>#N/A</v>
      </c>
      <c r="AC321" s="830"/>
      <c r="AD321" s="830"/>
      <c r="AE321" s="830"/>
      <c r="AF321" s="830"/>
      <c r="AG321" s="830"/>
      <c r="AH321" s="830"/>
      <c r="AI321" s="830"/>
      <c r="AJ321" s="830"/>
      <c r="AK321" s="836"/>
      <c r="AL321" s="837" t="e">
        <f>VLOOKUP(C321,'sản lượng'!$D$14:$AP$169,38,0)</f>
        <v>#N/A</v>
      </c>
      <c r="AP321" s="799">
        <f t="shared" si="74"/>
        <v>3</v>
      </c>
    </row>
    <row r="322" spans="1:44" ht="15.75">
      <c r="A322" s="850">
        <v>6</v>
      </c>
      <c r="B322" s="813" t="str">
        <f>VLOOKUP(C322,'DS CN MOI UP'!$B$10:$C$389,2,0)</f>
        <v>02610</v>
      </c>
      <c r="C322" s="112" t="s">
        <v>211</v>
      </c>
      <c r="D322" s="855" t="s">
        <v>15</v>
      </c>
      <c r="E322" s="815">
        <f t="shared" si="71"/>
        <v>24</v>
      </c>
      <c r="F322" s="815"/>
      <c r="G322" s="815"/>
      <c r="H322" s="960"/>
      <c r="I322" s="815"/>
      <c r="J322" s="815"/>
      <c r="K322" s="815"/>
      <c r="L322" s="815"/>
      <c r="M322" s="815"/>
      <c r="N322" s="815"/>
      <c r="O322" s="815"/>
      <c r="P322" s="815"/>
      <c r="Q322" s="815"/>
      <c r="R322" s="815"/>
      <c r="S322" s="830">
        <f t="shared" si="72"/>
        <v>24</v>
      </c>
      <c r="T322" s="830" t="e">
        <f>VLOOKUP(C322,'sản lượng'!$D$14:$AK$169,36,0)</f>
        <v>#N/A</v>
      </c>
      <c r="U322" s="830"/>
      <c r="V322" s="830"/>
      <c r="W322" s="830" t="e">
        <f>VLOOKUP(C322,'sản lượng'!$D$14:$AK$169,36,0)</f>
        <v>#N/A</v>
      </c>
      <c r="X322" s="830"/>
      <c r="Y322" s="830"/>
      <c r="Z322" s="830" t="e">
        <f t="shared" si="73"/>
        <v>#N/A</v>
      </c>
      <c r="AA322" s="830" t="e">
        <f>VLOOKUP(C322,'CHẤM CÔNG '!$E$13:$AM$168,33,0)</f>
        <v>#N/A</v>
      </c>
      <c r="AB322" s="830" t="e">
        <f>VLOOKUP(C322,'CHẤM CÔNG '!$E$13:$AM$168,34,0)</f>
        <v>#N/A</v>
      </c>
      <c r="AC322" s="830"/>
      <c r="AD322" s="830"/>
      <c r="AE322" s="830"/>
      <c r="AF322" s="830"/>
      <c r="AG322" s="830"/>
      <c r="AH322" s="830"/>
      <c r="AI322" s="830"/>
      <c r="AJ322" s="830"/>
      <c r="AK322" s="836"/>
      <c r="AL322" s="837" t="e">
        <f>VLOOKUP(C322,'sản lượng'!$D$14:$AP$169,38,0)</f>
        <v>#N/A</v>
      </c>
      <c r="AP322" s="799">
        <f t="shared" si="74"/>
        <v>3</v>
      </c>
    </row>
    <row r="323" spans="1:44" ht="15.75">
      <c r="A323" s="850">
        <v>7</v>
      </c>
      <c r="B323" s="813" t="str">
        <f>VLOOKUP(C323,'DS CN MOI UP'!$B$10:$C$389,2,0)</f>
        <v>02611</v>
      </c>
      <c r="C323" s="112" t="s">
        <v>212</v>
      </c>
      <c r="D323" s="855" t="s">
        <v>15</v>
      </c>
      <c r="E323" s="815">
        <f t="shared" si="71"/>
        <v>24</v>
      </c>
      <c r="F323" s="815"/>
      <c r="G323" s="815"/>
      <c r="H323" s="960"/>
      <c r="I323" s="815"/>
      <c r="J323" s="815"/>
      <c r="K323" s="815"/>
      <c r="L323" s="815"/>
      <c r="M323" s="815"/>
      <c r="N323" s="815"/>
      <c r="O323" s="815"/>
      <c r="P323" s="815"/>
      <c r="Q323" s="815"/>
      <c r="R323" s="815"/>
      <c r="S323" s="830">
        <f t="shared" si="72"/>
        <v>24</v>
      </c>
      <c r="T323" s="830" t="e">
        <f>VLOOKUP(C323,'sản lượng'!$D$14:$AK$169,36,0)</f>
        <v>#N/A</v>
      </c>
      <c r="U323" s="830"/>
      <c r="V323" s="830"/>
      <c r="W323" s="830" t="e">
        <f>VLOOKUP(C323,'sản lượng'!$D$14:$AK$169,36,0)</f>
        <v>#N/A</v>
      </c>
      <c r="X323" s="830"/>
      <c r="Y323" s="830"/>
      <c r="Z323" s="830" t="e">
        <f t="shared" si="73"/>
        <v>#N/A</v>
      </c>
      <c r="AA323" s="830" t="e">
        <f>VLOOKUP(C323,'CHẤM CÔNG '!$E$13:$AM$168,33,0)</f>
        <v>#N/A</v>
      </c>
      <c r="AB323" s="830" t="e">
        <f>VLOOKUP(C323,'CHẤM CÔNG '!$E$13:$AM$168,34,0)</f>
        <v>#N/A</v>
      </c>
      <c r="AC323" s="830"/>
      <c r="AD323" s="830"/>
      <c r="AE323" s="830"/>
      <c r="AF323" s="830"/>
      <c r="AG323" s="830"/>
      <c r="AH323" s="830"/>
      <c r="AI323" s="830"/>
      <c r="AJ323" s="830"/>
      <c r="AK323" s="836"/>
      <c r="AL323" s="837" t="e">
        <f>VLOOKUP(C323,'sản lượng'!$D$14:$AP$169,38,0)</f>
        <v>#N/A</v>
      </c>
      <c r="AP323" s="799">
        <f t="shared" si="74"/>
        <v>2</v>
      </c>
      <c r="AR323" s="799">
        <v>1</v>
      </c>
    </row>
    <row r="324" spans="1:44" ht="15.75">
      <c r="A324" s="850">
        <v>8</v>
      </c>
      <c r="B324" s="813" t="str">
        <f>VLOOKUP(C324,'DS CN MOI UP'!$B$10:$C$389,2,0)</f>
        <v>02602</v>
      </c>
      <c r="C324" s="112" t="s">
        <v>213</v>
      </c>
      <c r="D324" s="855" t="s">
        <v>15</v>
      </c>
      <c r="E324" s="815">
        <f t="shared" si="71"/>
        <v>24</v>
      </c>
      <c r="F324" s="815"/>
      <c r="G324" s="815"/>
      <c r="H324" s="960"/>
      <c r="I324" s="815"/>
      <c r="J324" s="815"/>
      <c r="K324" s="815"/>
      <c r="L324" s="815"/>
      <c r="M324" s="815"/>
      <c r="N324" s="815"/>
      <c r="O324" s="815"/>
      <c r="P324" s="815"/>
      <c r="Q324" s="815"/>
      <c r="R324" s="815"/>
      <c r="S324" s="830">
        <f t="shared" si="72"/>
        <v>24</v>
      </c>
      <c r="T324" s="830" t="e">
        <f>VLOOKUP(C324,'sản lượng'!$D$14:$AK$169,36,0)</f>
        <v>#N/A</v>
      </c>
      <c r="U324" s="830"/>
      <c r="V324" s="830"/>
      <c r="W324" s="830" t="e">
        <f>VLOOKUP(C324,'sản lượng'!$D$14:$AK$169,36,0)</f>
        <v>#N/A</v>
      </c>
      <c r="X324" s="830"/>
      <c r="Y324" s="830"/>
      <c r="Z324" s="830" t="e">
        <f t="shared" si="73"/>
        <v>#N/A</v>
      </c>
      <c r="AA324" s="830" t="e">
        <f>VLOOKUP(C324,'CHẤM CÔNG '!$E$13:$AM$168,33,0)</f>
        <v>#N/A</v>
      </c>
      <c r="AB324" s="830" t="e">
        <f>VLOOKUP(C324,'CHẤM CÔNG '!$E$13:$AM$168,34,0)</f>
        <v>#N/A</v>
      </c>
      <c r="AC324" s="830"/>
      <c r="AD324" s="830"/>
      <c r="AE324" s="830"/>
      <c r="AF324" s="830"/>
      <c r="AG324" s="830"/>
      <c r="AH324" s="830"/>
      <c r="AI324" s="830"/>
      <c r="AJ324" s="830"/>
      <c r="AK324" s="836"/>
      <c r="AL324" s="837" t="e">
        <f>VLOOKUP(C324,'sản lượng'!$D$14:$AP$169,38,0)</f>
        <v>#N/A</v>
      </c>
      <c r="AP324" s="799">
        <f t="shared" si="74"/>
        <v>3</v>
      </c>
    </row>
    <row r="325" spans="1:44" ht="15.75">
      <c r="A325" s="850">
        <v>9</v>
      </c>
      <c r="B325" s="813" t="str">
        <f>VLOOKUP(C325,'DS CN MOI UP'!$B$10:$C$389,2,0)</f>
        <v>02609</v>
      </c>
      <c r="C325" s="112" t="s">
        <v>214</v>
      </c>
      <c r="D325" s="855" t="s">
        <v>15</v>
      </c>
      <c r="E325" s="815">
        <f t="shared" si="71"/>
        <v>24</v>
      </c>
      <c r="F325" s="815"/>
      <c r="G325" s="815"/>
      <c r="H325" s="960"/>
      <c r="I325" s="815"/>
      <c r="J325" s="815"/>
      <c r="K325" s="815"/>
      <c r="L325" s="815"/>
      <c r="M325" s="815"/>
      <c r="N325" s="815"/>
      <c r="O325" s="815"/>
      <c r="P325" s="815"/>
      <c r="Q325" s="815"/>
      <c r="R325" s="815"/>
      <c r="S325" s="830">
        <f t="shared" si="72"/>
        <v>24</v>
      </c>
      <c r="T325" s="830" t="e">
        <f>VLOOKUP(C325,'sản lượng'!$D$14:$AK$169,36,0)</f>
        <v>#N/A</v>
      </c>
      <c r="U325" s="830"/>
      <c r="V325" s="830"/>
      <c r="W325" s="830" t="e">
        <f>VLOOKUP(C325,'sản lượng'!$D$14:$AK$169,36,0)</f>
        <v>#N/A</v>
      </c>
      <c r="X325" s="830"/>
      <c r="Y325" s="830"/>
      <c r="Z325" s="830" t="e">
        <f t="shared" si="73"/>
        <v>#N/A</v>
      </c>
      <c r="AA325" s="830" t="e">
        <f>VLOOKUP(C325,'CHẤM CÔNG '!$E$13:$AM$168,33,0)</f>
        <v>#N/A</v>
      </c>
      <c r="AB325" s="830" t="e">
        <f>VLOOKUP(C325,'CHẤM CÔNG '!$E$13:$AM$168,34,0)</f>
        <v>#N/A</v>
      </c>
      <c r="AC325" s="830"/>
      <c r="AD325" s="830"/>
      <c r="AE325" s="830"/>
      <c r="AF325" s="830"/>
      <c r="AG325" s="830"/>
      <c r="AH325" s="830"/>
      <c r="AI325" s="830"/>
      <c r="AJ325" s="830"/>
      <c r="AK325" s="836"/>
      <c r="AL325" s="837" t="e">
        <f>VLOOKUP(C325,'sản lượng'!$D$14:$AP$169,38,0)</f>
        <v>#N/A</v>
      </c>
      <c r="AP325" s="799">
        <f t="shared" si="74"/>
        <v>3</v>
      </c>
    </row>
    <row r="326" spans="1:44" ht="15.75">
      <c r="A326" s="850">
        <v>10</v>
      </c>
      <c r="B326" s="813" t="str">
        <f>VLOOKUP(C326,'DS CN MOI UP'!$B$10:$C$389,2,0)</f>
        <v>02569</v>
      </c>
      <c r="C326" s="112" t="s">
        <v>215</v>
      </c>
      <c r="D326" s="855" t="s">
        <v>15</v>
      </c>
      <c r="E326" s="815">
        <f t="shared" si="71"/>
        <v>24</v>
      </c>
      <c r="F326" s="815"/>
      <c r="G326" s="815"/>
      <c r="H326" s="960"/>
      <c r="I326" s="815"/>
      <c r="J326" s="815"/>
      <c r="K326" s="815"/>
      <c r="L326" s="815"/>
      <c r="M326" s="815"/>
      <c r="N326" s="815"/>
      <c r="O326" s="815"/>
      <c r="P326" s="815"/>
      <c r="Q326" s="815"/>
      <c r="R326" s="815"/>
      <c r="S326" s="830">
        <f t="shared" si="72"/>
        <v>24</v>
      </c>
      <c r="T326" s="830" t="e">
        <f>VLOOKUP(C326,'sản lượng'!$D$14:$AK$169,36,0)</f>
        <v>#N/A</v>
      </c>
      <c r="U326" s="830"/>
      <c r="V326" s="830"/>
      <c r="W326" s="830" t="e">
        <f>VLOOKUP(C326,'sản lượng'!$D$14:$AK$169,36,0)</f>
        <v>#N/A</v>
      </c>
      <c r="X326" s="830"/>
      <c r="Y326" s="830"/>
      <c r="Z326" s="830" t="e">
        <f t="shared" si="73"/>
        <v>#N/A</v>
      </c>
      <c r="AA326" s="830" t="e">
        <f>VLOOKUP(C326,'CHẤM CÔNG '!$E$13:$AM$168,33,0)</f>
        <v>#N/A</v>
      </c>
      <c r="AB326" s="830" t="e">
        <f>VLOOKUP(C326,'CHẤM CÔNG '!$E$13:$AM$168,34,0)</f>
        <v>#N/A</v>
      </c>
      <c r="AC326" s="830"/>
      <c r="AD326" s="830"/>
      <c r="AE326" s="830"/>
      <c r="AF326" s="830"/>
      <c r="AG326" s="830"/>
      <c r="AH326" s="830"/>
      <c r="AI326" s="830"/>
      <c r="AJ326" s="830"/>
      <c r="AK326" s="836"/>
      <c r="AL326" s="837" t="e">
        <f>VLOOKUP(C326,'sản lượng'!$D$14:$AP$169,38,0)</f>
        <v>#N/A</v>
      </c>
      <c r="AP326" s="799">
        <f t="shared" si="74"/>
        <v>2</v>
      </c>
      <c r="AR326" s="799">
        <v>1</v>
      </c>
    </row>
    <row r="327" spans="1:44" ht="15.75">
      <c r="A327" s="850">
        <v>11</v>
      </c>
      <c r="B327" s="813" t="str">
        <f>VLOOKUP(C327,'DS CN MOI UP'!$B$10:$C$389,2,0)</f>
        <v>02583</v>
      </c>
      <c r="C327" s="112" t="s">
        <v>216</v>
      </c>
      <c r="D327" s="855" t="s">
        <v>15</v>
      </c>
      <c r="E327" s="815">
        <f t="shared" si="71"/>
        <v>24</v>
      </c>
      <c r="F327" s="815"/>
      <c r="G327" s="815"/>
      <c r="H327" s="960"/>
      <c r="I327" s="815"/>
      <c r="J327" s="815"/>
      <c r="K327" s="815"/>
      <c r="L327" s="815"/>
      <c r="M327" s="815"/>
      <c r="N327" s="815"/>
      <c r="O327" s="815"/>
      <c r="P327" s="815"/>
      <c r="Q327" s="815"/>
      <c r="R327" s="815"/>
      <c r="S327" s="830">
        <f t="shared" si="72"/>
        <v>24</v>
      </c>
      <c r="T327" s="830" t="e">
        <f>VLOOKUP(C327,'sản lượng'!$D$14:$AK$169,36,0)</f>
        <v>#N/A</v>
      </c>
      <c r="U327" s="830"/>
      <c r="V327" s="830"/>
      <c r="W327" s="830" t="e">
        <f>VLOOKUP(C327,'sản lượng'!$D$14:$AK$169,36,0)</f>
        <v>#N/A</v>
      </c>
      <c r="X327" s="830"/>
      <c r="Y327" s="830"/>
      <c r="Z327" s="830" t="e">
        <f t="shared" si="73"/>
        <v>#N/A</v>
      </c>
      <c r="AA327" s="830" t="e">
        <f>VLOOKUP(C327,'CHẤM CÔNG '!$E$13:$AM$168,33,0)</f>
        <v>#N/A</v>
      </c>
      <c r="AB327" s="830" t="e">
        <f>VLOOKUP(C327,'CHẤM CÔNG '!$E$13:$AM$168,34,0)</f>
        <v>#N/A</v>
      </c>
      <c r="AC327" s="830"/>
      <c r="AD327" s="830"/>
      <c r="AE327" s="830"/>
      <c r="AF327" s="830"/>
      <c r="AG327" s="830"/>
      <c r="AH327" s="830"/>
      <c r="AI327" s="830"/>
      <c r="AJ327" s="830"/>
      <c r="AK327" s="836"/>
      <c r="AL327" s="837" t="e">
        <f>VLOOKUP(C327,'sản lượng'!$D$14:$AP$169,38,0)</f>
        <v>#N/A</v>
      </c>
      <c r="AP327" s="799">
        <f t="shared" si="74"/>
        <v>2</v>
      </c>
      <c r="AR327" s="799">
        <v>1</v>
      </c>
    </row>
    <row r="328" spans="1:44" ht="15.75">
      <c r="A328" s="850">
        <v>12</v>
      </c>
      <c r="B328" s="813" t="str">
        <f>VLOOKUP(C328,'DS CN MOI UP'!$B$10:$C$389,2,0)</f>
        <v>02604</v>
      </c>
      <c r="C328" s="112" t="s">
        <v>217</v>
      </c>
      <c r="D328" s="855" t="s">
        <v>15</v>
      </c>
      <c r="E328" s="815">
        <f t="shared" si="71"/>
        <v>24</v>
      </c>
      <c r="F328" s="815"/>
      <c r="G328" s="815"/>
      <c r="H328" s="960"/>
      <c r="I328" s="815"/>
      <c r="J328" s="815"/>
      <c r="K328" s="815"/>
      <c r="L328" s="815"/>
      <c r="M328" s="815"/>
      <c r="N328" s="815"/>
      <c r="O328" s="815"/>
      <c r="P328" s="815"/>
      <c r="Q328" s="815"/>
      <c r="R328" s="815"/>
      <c r="S328" s="830">
        <f t="shared" si="72"/>
        <v>24</v>
      </c>
      <c r="T328" s="830" t="e">
        <f>VLOOKUP(C328,'sản lượng'!$D$14:$AK$169,36,0)</f>
        <v>#N/A</v>
      </c>
      <c r="U328" s="830"/>
      <c r="V328" s="830"/>
      <c r="W328" s="830" t="e">
        <f>VLOOKUP(C328,'sản lượng'!$D$14:$AK$169,36,0)</f>
        <v>#N/A</v>
      </c>
      <c r="X328" s="830"/>
      <c r="Y328" s="830"/>
      <c r="Z328" s="830" t="e">
        <f t="shared" si="73"/>
        <v>#N/A</v>
      </c>
      <c r="AA328" s="830" t="e">
        <f>VLOOKUP(C328,'CHẤM CÔNG '!$E$13:$AM$168,33,0)</f>
        <v>#N/A</v>
      </c>
      <c r="AB328" s="830" t="e">
        <f>VLOOKUP(C328,'CHẤM CÔNG '!$E$13:$AM$168,34,0)</f>
        <v>#N/A</v>
      </c>
      <c r="AC328" s="830"/>
      <c r="AD328" s="830"/>
      <c r="AE328" s="830"/>
      <c r="AF328" s="830"/>
      <c r="AG328" s="830"/>
      <c r="AH328" s="830"/>
      <c r="AI328" s="830"/>
      <c r="AJ328" s="830"/>
      <c r="AK328" s="836"/>
      <c r="AL328" s="837" t="e">
        <f>VLOOKUP(C328,'sản lượng'!$D$14:$AP$169,38,0)</f>
        <v>#N/A</v>
      </c>
      <c r="AP328" s="799">
        <f t="shared" si="74"/>
        <v>2</v>
      </c>
      <c r="AR328" s="799">
        <v>1</v>
      </c>
    </row>
    <row r="329" spans="1:44" ht="15.75">
      <c r="A329" s="850">
        <v>13</v>
      </c>
      <c r="B329" s="813" t="str">
        <f>VLOOKUP(C329,'DS CN MOI UP'!$B$10:$C$389,2,0)</f>
        <v>02600</v>
      </c>
      <c r="C329" s="112" t="s">
        <v>218</v>
      </c>
      <c r="D329" s="855" t="s">
        <v>15</v>
      </c>
      <c r="E329" s="815">
        <f t="shared" si="71"/>
        <v>24</v>
      </c>
      <c r="F329" s="815"/>
      <c r="G329" s="815"/>
      <c r="H329" s="960"/>
      <c r="I329" s="815"/>
      <c r="J329" s="815"/>
      <c r="K329" s="815"/>
      <c r="L329" s="815"/>
      <c r="M329" s="815"/>
      <c r="N329" s="815"/>
      <c r="O329" s="815"/>
      <c r="P329" s="815"/>
      <c r="Q329" s="815"/>
      <c r="R329" s="815"/>
      <c r="S329" s="830">
        <f t="shared" si="72"/>
        <v>24</v>
      </c>
      <c r="T329" s="830" t="e">
        <f>VLOOKUP(C329,'sản lượng'!$D$14:$AK$169,36,0)</f>
        <v>#N/A</v>
      </c>
      <c r="U329" s="830"/>
      <c r="V329" s="830"/>
      <c r="W329" s="830" t="e">
        <f>VLOOKUP(C329,'sản lượng'!$D$14:$AK$169,36,0)</f>
        <v>#N/A</v>
      </c>
      <c r="X329" s="830"/>
      <c r="Y329" s="830"/>
      <c r="Z329" s="830" t="e">
        <f t="shared" si="73"/>
        <v>#N/A</v>
      </c>
      <c r="AA329" s="830" t="e">
        <f>VLOOKUP(C329,'CHẤM CÔNG '!$E$13:$AM$168,33,0)</f>
        <v>#N/A</v>
      </c>
      <c r="AB329" s="830" t="e">
        <f>VLOOKUP(C329,'CHẤM CÔNG '!$E$13:$AM$168,34,0)</f>
        <v>#N/A</v>
      </c>
      <c r="AC329" s="830"/>
      <c r="AD329" s="830"/>
      <c r="AE329" s="830"/>
      <c r="AF329" s="830"/>
      <c r="AG329" s="830"/>
      <c r="AH329" s="830"/>
      <c r="AI329" s="830"/>
      <c r="AJ329" s="830"/>
      <c r="AK329" s="836"/>
      <c r="AL329" s="837" t="e">
        <f>VLOOKUP(C329,'sản lượng'!$D$14:$AP$169,38,0)</f>
        <v>#N/A</v>
      </c>
      <c r="AP329" s="799">
        <f t="shared" si="74"/>
        <v>2</v>
      </c>
      <c r="AR329" s="799">
        <v>1</v>
      </c>
    </row>
    <row r="330" spans="1:44" ht="15.75">
      <c r="A330" s="850">
        <v>14</v>
      </c>
      <c r="B330" s="813" t="str">
        <f>VLOOKUP(C330,'DS CN MOI UP'!$B$10:$C$389,2,0)</f>
        <v>03382</v>
      </c>
      <c r="C330" s="112" t="s">
        <v>219</v>
      </c>
      <c r="D330" s="855" t="s">
        <v>15</v>
      </c>
      <c r="E330" s="815">
        <f t="shared" si="71"/>
        <v>24</v>
      </c>
      <c r="F330" s="815"/>
      <c r="G330" s="815"/>
      <c r="H330" s="960"/>
      <c r="I330" s="815"/>
      <c r="J330" s="815"/>
      <c r="K330" s="815"/>
      <c r="L330" s="815"/>
      <c r="M330" s="815"/>
      <c r="N330" s="815"/>
      <c r="O330" s="815"/>
      <c r="P330" s="815"/>
      <c r="Q330" s="815"/>
      <c r="R330" s="815"/>
      <c r="S330" s="830">
        <f t="shared" si="72"/>
        <v>24</v>
      </c>
      <c r="T330" s="830" t="e">
        <f>VLOOKUP(C330,'sản lượng'!$D$14:$AK$169,36,0)</f>
        <v>#N/A</v>
      </c>
      <c r="U330" s="830"/>
      <c r="V330" s="830"/>
      <c r="W330" s="830" t="e">
        <f>VLOOKUP(C330,'sản lượng'!$D$14:$AK$169,36,0)</f>
        <v>#N/A</v>
      </c>
      <c r="X330" s="830"/>
      <c r="Y330" s="830"/>
      <c r="Z330" s="830" t="e">
        <f t="shared" si="73"/>
        <v>#N/A</v>
      </c>
      <c r="AA330" s="830" t="e">
        <f>VLOOKUP(C330,'CHẤM CÔNG '!$E$13:$AM$168,33,0)</f>
        <v>#N/A</v>
      </c>
      <c r="AB330" s="830" t="e">
        <f>VLOOKUP(C330,'CHẤM CÔNG '!$E$13:$AM$168,34,0)</f>
        <v>#N/A</v>
      </c>
      <c r="AC330" s="830"/>
      <c r="AD330" s="830"/>
      <c r="AE330" s="830"/>
      <c r="AF330" s="830"/>
      <c r="AG330" s="830"/>
      <c r="AH330" s="830"/>
      <c r="AI330" s="830"/>
      <c r="AJ330" s="830"/>
      <c r="AK330" s="836"/>
      <c r="AL330" s="837" t="e">
        <f>VLOOKUP(C330,'sản lượng'!$D$14:$AP$169,38,0)</f>
        <v>#N/A</v>
      </c>
      <c r="AP330" s="799">
        <f t="shared" si="74"/>
        <v>2</v>
      </c>
      <c r="AR330" s="799">
        <v>1</v>
      </c>
    </row>
    <row r="331" spans="1:44" ht="15.75">
      <c r="A331" s="850">
        <v>15</v>
      </c>
      <c r="B331" s="813" t="str">
        <f>VLOOKUP(C331,'DS CN MOI UP'!$B$10:$C$389,2,0)</f>
        <v>02571</v>
      </c>
      <c r="C331" s="112" t="s">
        <v>220</v>
      </c>
      <c r="D331" s="855" t="s">
        <v>15</v>
      </c>
      <c r="E331" s="815">
        <f t="shared" si="71"/>
        <v>24</v>
      </c>
      <c r="F331" s="815"/>
      <c r="G331" s="815"/>
      <c r="H331" s="960"/>
      <c r="I331" s="815"/>
      <c r="J331" s="815"/>
      <c r="K331" s="815"/>
      <c r="L331" s="815"/>
      <c r="M331" s="815"/>
      <c r="N331" s="815"/>
      <c r="O331" s="815"/>
      <c r="P331" s="815"/>
      <c r="Q331" s="815"/>
      <c r="R331" s="815"/>
      <c r="S331" s="830">
        <f t="shared" si="72"/>
        <v>24</v>
      </c>
      <c r="T331" s="830" t="e">
        <f>VLOOKUP(C331,'sản lượng'!$D$14:$AK$169,36,0)</f>
        <v>#N/A</v>
      </c>
      <c r="U331" s="830"/>
      <c r="V331" s="830"/>
      <c r="W331" s="830" t="e">
        <f>VLOOKUP(C331,'sản lượng'!$D$14:$AK$169,36,0)</f>
        <v>#N/A</v>
      </c>
      <c r="X331" s="830"/>
      <c r="Y331" s="830"/>
      <c r="Z331" s="830" t="e">
        <f t="shared" si="73"/>
        <v>#N/A</v>
      </c>
      <c r="AA331" s="830" t="e">
        <f>VLOOKUP(C331,'CHẤM CÔNG '!$E$13:$AM$168,33,0)</f>
        <v>#N/A</v>
      </c>
      <c r="AB331" s="830" t="e">
        <f>VLOOKUP(C331,'CHẤM CÔNG '!$E$13:$AM$168,34,0)</f>
        <v>#N/A</v>
      </c>
      <c r="AC331" s="830"/>
      <c r="AD331" s="830"/>
      <c r="AE331" s="830"/>
      <c r="AF331" s="830"/>
      <c r="AG331" s="830"/>
      <c r="AH331" s="830"/>
      <c r="AI331" s="830"/>
      <c r="AJ331" s="830"/>
      <c r="AK331" s="836"/>
      <c r="AL331" s="837" t="e">
        <f>VLOOKUP(C331,'sản lượng'!$D$14:$AP$169,38,0)</f>
        <v>#N/A</v>
      </c>
      <c r="AP331" s="799">
        <f t="shared" si="74"/>
        <v>2</v>
      </c>
      <c r="AR331" s="799">
        <v>1</v>
      </c>
    </row>
    <row r="332" spans="1:44" ht="15.75">
      <c r="A332" s="850">
        <v>16</v>
      </c>
      <c r="B332" s="813" t="str">
        <f>VLOOKUP(C332,'DS CN MOI UP'!$B$10:$C$389,2,0)</f>
        <v>02570</v>
      </c>
      <c r="C332" s="112" t="s">
        <v>221</v>
      </c>
      <c r="D332" s="855" t="s">
        <v>15</v>
      </c>
      <c r="E332" s="815">
        <f t="shared" si="71"/>
        <v>24</v>
      </c>
      <c r="F332" s="815"/>
      <c r="G332" s="815"/>
      <c r="H332" s="960"/>
      <c r="I332" s="815"/>
      <c r="J332" s="815"/>
      <c r="K332" s="815"/>
      <c r="L332" s="815"/>
      <c r="M332" s="815"/>
      <c r="N332" s="815"/>
      <c r="O332" s="815"/>
      <c r="P332" s="815"/>
      <c r="Q332" s="815"/>
      <c r="R332" s="815"/>
      <c r="S332" s="830">
        <f t="shared" si="72"/>
        <v>24</v>
      </c>
      <c r="T332" s="830" t="e">
        <f>VLOOKUP(C332,'sản lượng'!$D$14:$AK$169,36,0)</f>
        <v>#N/A</v>
      </c>
      <c r="U332" s="830"/>
      <c r="V332" s="830"/>
      <c r="W332" s="830" t="e">
        <f>VLOOKUP(C332,'sản lượng'!$D$14:$AK$169,36,0)</f>
        <v>#N/A</v>
      </c>
      <c r="X332" s="830"/>
      <c r="Y332" s="830"/>
      <c r="Z332" s="830" t="e">
        <f t="shared" si="73"/>
        <v>#N/A</v>
      </c>
      <c r="AA332" s="830" t="e">
        <f>VLOOKUP(C332,'CHẤM CÔNG '!$E$13:$AM$168,33,0)</f>
        <v>#N/A</v>
      </c>
      <c r="AB332" s="830" t="e">
        <f>VLOOKUP(C332,'CHẤM CÔNG '!$E$13:$AM$168,34,0)</f>
        <v>#N/A</v>
      </c>
      <c r="AC332" s="830"/>
      <c r="AD332" s="830"/>
      <c r="AE332" s="830"/>
      <c r="AF332" s="830"/>
      <c r="AG332" s="830"/>
      <c r="AH332" s="830"/>
      <c r="AI332" s="830"/>
      <c r="AJ332" s="830"/>
      <c r="AK332" s="836"/>
      <c r="AL332" s="837" t="e">
        <f>VLOOKUP(C332,'sản lượng'!$D$14:$AP$169,38,0)</f>
        <v>#N/A</v>
      </c>
      <c r="AP332" s="799">
        <f t="shared" si="74"/>
        <v>2</v>
      </c>
      <c r="AR332" s="799">
        <v>1</v>
      </c>
    </row>
    <row r="333" spans="1:44" ht="15.75">
      <c r="A333" s="850">
        <v>17</v>
      </c>
      <c r="B333" s="813" t="str">
        <f>VLOOKUP(C333,'DS CN MOI UP'!$B$10:$C$389,2,0)</f>
        <v>02573</v>
      </c>
      <c r="C333" s="112" t="s">
        <v>222</v>
      </c>
      <c r="D333" s="855" t="s">
        <v>15</v>
      </c>
      <c r="E333" s="815">
        <f t="shared" si="71"/>
        <v>24</v>
      </c>
      <c r="F333" s="815"/>
      <c r="G333" s="815"/>
      <c r="H333" s="960"/>
      <c r="I333" s="815"/>
      <c r="J333" s="815"/>
      <c r="K333" s="815"/>
      <c r="L333" s="815"/>
      <c r="M333" s="815"/>
      <c r="N333" s="815"/>
      <c r="O333" s="815"/>
      <c r="P333" s="815"/>
      <c r="Q333" s="815"/>
      <c r="R333" s="815"/>
      <c r="S333" s="830">
        <f t="shared" si="72"/>
        <v>24</v>
      </c>
      <c r="T333" s="830" t="e">
        <f>VLOOKUP(C333,'sản lượng'!$D$14:$AK$169,36,0)</f>
        <v>#N/A</v>
      </c>
      <c r="U333" s="830"/>
      <c r="V333" s="830"/>
      <c r="W333" s="830" t="e">
        <f>VLOOKUP(C333,'sản lượng'!$D$14:$AK$169,36,0)</f>
        <v>#N/A</v>
      </c>
      <c r="X333" s="830"/>
      <c r="Y333" s="830"/>
      <c r="Z333" s="830" t="e">
        <f t="shared" si="73"/>
        <v>#N/A</v>
      </c>
      <c r="AA333" s="830" t="e">
        <f>VLOOKUP(C333,'CHẤM CÔNG '!$E$13:$AM$168,33,0)</f>
        <v>#N/A</v>
      </c>
      <c r="AB333" s="830" t="e">
        <f>VLOOKUP(C333,'CHẤM CÔNG '!$E$13:$AM$168,34,0)</f>
        <v>#N/A</v>
      </c>
      <c r="AC333" s="830"/>
      <c r="AD333" s="830"/>
      <c r="AE333" s="830"/>
      <c r="AF333" s="830"/>
      <c r="AG333" s="830"/>
      <c r="AH333" s="830"/>
      <c r="AI333" s="830"/>
      <c r="AJ333" s="830"/>
      <c r="AK333" s="836"/>
      <c r="AL333" s="837" t="e">
        <f>VLOOKUP(C333,'sản lượng'!$D$14:$AP$169,38,0)</f>
        <v>#N/A</v>
      </c>
      <c r="AP333" s="799">
        <f t="shared" si="74"/>
        <v>2</v>
      </c>
      <c r="AR333" s="799">
        <v>1</v>
      </c>
    </row>
    <row r="334" spans="1:44" ht="15.75">
      <c r="A334" s="850">
        <v>18</v>
      </c>
      <c r="B334" s="813" t="str">
        <f>VLOOKUP(C334,'DS CN MOI UP'!$B$10:$C$389,2,0)</f>
        <v>02695</v>
      </c>
      <c r="C334" s="112" t="s">
        <v>223</v>
      </c>
      <c r="D334" s="855" t="s">
        <v>15</v>
      </c>
      <c r="E334" s="815">
        <f t="shared" si="71"/>
        <v>24</v>
      </c>
      <c r="F334" s="815"/>
      <c r="G334" s="815"/>
      <c r="H334" s="960"/>
      <c r="I334" s="815"/>
      <c r="J334" s="815"/>
      <c r="K334" s="815"/>
      <c r="L334" s="815"/>
      <c r="M334" s="815"/>
      <c r="N334" s="815"/>
      <c r="O334" s="815"/>
      <c r="P334" s="815"/>
      <c r="Q334" s="815"/>
      <c r="R334" s="815"/>
      <c r="S334" s="830">
        <f t="shared" si="72"/>
        <v>24</v>
      </c>
      <c r="T334" s="830" t="e">
        <f>VLOOKUP(C334,'sản lượng'!$D$14:$AK$169,36,0)</f>
        <v>#N/A</v>
      </c>
      <c r="U334" s="830"/>
      <c r="V334" s="830"/>
      <c r="W334" s="830" t="e">
        <f>VLOOKUP(C334,'sản lượng'!$D$14:$AK$169,36,0)</f>
        <v>#N/A</v>
      </c>
      <c r="X334" s="830"/>
      <c r="Y334" s="830"/>
      <c r="Z334" s="830" t="e">
        <f t="shared" si="73"/>
        <v>#N/A</v>
      </c>
      <c r="AA334" s="830" t="e">
        <f>VLOOKUP(C334,'CHẤM CÔNG '!$E$13:$AM$168,33,0)</f>
        <v>#N/A</v>
      </c>
      <c r="AB334" s="830" t="e">
        <f>VLOOKUP(C334,'CHẤM CÔNG '!$E$13:$AM$168,34,0)</f>
        <v>#N/A</v>
      </c>
      <c r="AC334" s="830"/>
      <c r="AD334" s="830"/>
      <c r="AE334" s="830"/>
      <c r="AF334" s="830"/>
      <c r="AG334" s="830"/>
      <c r="AH334" s="830"/>
      <c r="AI334" s="830"/>
      <c r="AJ334" s="830"/>
      <c r="AK334" s="836"/>
      <c r="AL334" s="837" t="e">
        <f>VLOOKUP(C334,'sản lượng'!$D$14:$AP$169,38,0)</f>
        <v>#N/A</v>
      </c>
      <c r="AP334" s="799">
        <f t="shared" si="74"/>
        <v>2</v>
      </c>
      <c r="AR334" s="799">
        <v>1</v>
      </c>
    </row>
    <row r="335" spans="1:44" ht="15.75">
      <c r="A335" s="850">
        <v>19</v>
      </c>
      <c r="B335" s="813" t="str">
        <f>VLOOKUP(C335,'DS CN MOI UP'!$B$10:$C$389,2,0)</f>
        <v>02599</v>
      </c>
      <c r="C335" s="112" t="s">
        <v>224</v>
      </c>
      <c r="D335" s="855" t="s">
        <v>15</v>
      </c>
      <c r="E335" s="815">
        <f t="shared" si="71"/>
        <v>24</v>
      </c>
      <c r="F335" s="815"/>
      <c r="G335" s="815"/>
      <c r="H335" s="960"/>
      <c r="I335" s="815"/>
      <c r="J335" s="815"/>
      <c r="K335" s="815"/>
      <c r="L335" s="815"/>
      <c r="M335" s="815"/>
      <c r="N335" s="815"/>
      <c r="O335" s="815"/>
      <c r="P335" s="815"/>
      <c r="Q335" s="815"/>
      <c r="R335" s="815"/>
      <c r="S335" s="830">
        <f t="shared" si="72"/>
        <v>24</v>
      </c>
      <c r="T335" s="830" t="e">
        <f>VLOOKUP(C335,'sản lượng'!$D$14:$AK$169,36,0)</f>
        <v>#N/A</v>
      </c>
      <c r="U335" s="830"/>
      <c r="V335" s="830"/>
      <c r="W335" s="830" t="e">
        <f>VLOOKUP(C335,'sản lượng'!$D$14:$AK$169,36,0)</f>
        <v>#N/A</v>
      </c>
      <c r="X335" s="830"/>
      <c r="Y335" s="830"/>
      <c r="Z335" s="830" t="e">
        <f t="shared" si="73"/>
        <v>#N/A</v>
      </c>
      <c r="AA335" s="830" t="e">
        <f>VLOOKUP(C335,'CHẤM CÔNG '!$E$13:$AM$168,33,0)</f>
        <v>#N/A</v>
      </c>
      <c r="AB335" s="830" t="e">
        <f>VLOOKUP(C335,'CHẤM CÔNG '!$E$13:$AM$168,34,0)</f>
        <v>#N/A</v>
      </c>
      <c r="AC335" s="830"/>
      <c r="AD335" s="830"/>
      <c r="AE335" s="830"/>
      <c r="AF335" s="830"/>
      <c r="AG335" s="830"/>
      <c r="AH335" s="830"/>
      <c r="AI335" s="830"/>
      <c r="AJ335" s="830"/>
      <c r="AK335" s="836"/>
      <c r="AL335" s="837" t="e">
        <f>VLOOKUP(C335,'sản lượng'!$D$14:$AP$169,38,0)</f>
        <v>#N/A</v>
      </c>
      <c r="AP335" s="799">
        <f t="shared" si="74"/>
        <v>2</v>
      </c>
      <c r="AR335" s="799">
        <v>1</v>
      </c>
    </row>
    <row r="336" spans="1:44" ht="15.75">
      <c r="A336" s="850">
        <v>20</v>
      </c>
      <c r="B336" s="813" t="str">
        <f>VLOOKUP(C336,'DS CN MOI UP'!$B$10:$C$389,2,0)</f>
        <v>03383</v>
      </c>
      <c r="C336" s="112" t="s">
        <v>225</v>
      </c>
      <c r="D336" s="855" t="s">
        <v>15</v>
      </c>
      <c r="E336" s="815">
        <f t="shared" si="71"/>
        <v>24</v>
      </c>
      <c r="F336" s="815"/>
      <c r="G336" s="815"/>
      <c r="H336" s="960"/>
      <c r="I336" s="815"/>
      <c r="J336" s="815"/>
      <c r="K336" s="815"/>
      <c r="L336" s="815"/>
      <c r="M336" s="815"/>
      <c r="N336" s="815"/>
      <c r="O336" s="815"/>
      <c r="P336" s="815"/>
      <c r="Q336" s="815"/>
      <c r="R336" s="815"/>
      <c r="S336" s="830">
        <f t="shared" si="72"/>
        <v>24</v>
      </c>
      <c r="T336" s="830" t="e">
        <f>VLOOKUP(C336,'sản lượng'!$D$14:$AK$169,36,0)</f>
        <v>#N/A</v>
      </c>
      <c r="U336" s="830"/>
      <c r="V336" s="830"/>
      <c r="W336" s="830" t="e">
        <f>VLOOKUP(C336,'sản lượng'!$D$14:$AK$169,36,0)</f>
        <v>#N/A</v>
      </c>
      <c r="X336" s="830"/>
      <c r="Y336" s="830"/>
      <c r="Z336" s="830" t="e">
        <f t="shared" si="73"/>
        <v>#N/A</v>
      </c>
      <c r="AA336" s="830" t="e">
        <f>VLOOKUP(C336,'CHẤM CÔNG '!$E$13:$AM$168,33,0)</f>
        <v>#N/A</v>
      </c>
      <c r="AB336" s="830" t="e">
        <f>VLOOKUP(C336,'CHẤM CÔNG '!$E$13:$AM$168,34,0)</f>
        <v>#N/A</v>
      </c>
      <c r="AC336" s="830"/>
      <c r="AD336" s="830"/>
      <c r="AE336" s="830"/>
      <c r="AF336" s="830"/>
      <c r="AG336" s="830"/>
      <c r="AH336" s="830"/>
      <c r="AI336" s="830"/>
      <c r="AJ336" s="830"/>
      <c r="AK336" s="836"/>
      <c r="AL336" s="837" t="e">
        <f>VLOOKUP(C336,'sản lượng'!$D$14:$AP$169,38,0)</f>
        <v>#N/A</v>
      </c>
      <c r="AP336" s="799">
        <f t="shared" si="74"/>
        <v>2</v>
      </c>
      <c r="AR336" s="799">
        <v>1</v>
      </c>
    </row>
    <row r="337" spans="1:44" ht="15.75">
      <c r="A337" s="850">
        <v>21</v>
      </c>
      <c r="B337" s="813" t="str">
        <f>VLOOKUP(C337,'DS CN MOI UP'!$B$10:$C$389,2,0)</f>
        <v>03384</v>
      </c>
      <c r="C337" s="112" t="s">
        <v>226</v>
      </c>
      <c r="D337" s="855" t="s">
        <v>15</v>
      </c>
      <c r="E337" s="815">
        <f t="shared" si="71"/>
        <v>24</v>
      </c>
      <c r="F337" s="815"/>
      <c r="G337" s="815"/>
      <c r="H337" s="960"/>
      <c r="I337" s="815"/>
      <c r="J337" s="815"/>
      <c r="K337" s="815"/>
      <c r="L337" s="815"/>
      <c r="M337" s="815"/>
      <c r="N337" s="815"/>
      <c r="O337" s="815"/>
      <c r="P337" s="815"/>
      <c r="Q337" s="815"/>
      <c r="R337" s="815"/>
      <c r="S337" s="830">
        <f t="shared" si="72"/>
        <v>24</v>
      </c>
      <c r="T337" s="830" t="e">
        <f>VLOOKUP(C337,'sản lượng'!$D$14:$AK$169,36,0)</f>
        <v>#N/A</v>
      </c>
      <c r="U337" s="830"/>
      <c r="V337" s="830"/>
      <c r="W337" s="830" t="e">
        <f>VLOOKUP(C337,'sản lượng'!$D$14:$AK$169,36,0)</f>
        <v>#N/A</v>
      </c>
      <c r="X337" s="830"/>
      <c r="Y337" s="830"/>
      <c r="Z337" s="830" t="e">
        <f t="shared" si="73"/>
        <v>#N/A</v>
      </c>
      <c r="AA337" s="830" t="e">
        <f>VLOOKUP(C337,'CHẤM CÔNG '!$E$13:$AM$168,33,0)</f>
        <v>#N/A</v>
      </c>
      <c r="AB337" s="830" t="e">
        <f>VLOOKUP(C337,'CHẤM CÔNG '!$E$13:$AM$168,34,0)</f>
        <v>#N/A</v>
      </c>
      <c r="AC337" s="830"/>
      <c r="AD337" s="830"/>
      <c r="AE337" s="830"/>
      <c r="AF337" s="830"/>
      <c r="AG337" s="830"/>
      <c r="AH337" s="830"/>
      <c r="AI337" s="830"/>
      <c r="AJ337" s="830"/>
      <c r="AK337" s="836"/>
      <c r="AL337" s="837" t="e">
        <f>VLOOKUP(C337,'sản lượng'!$D$14:$AP$169,38,0)</f>
        <v>#N/A</v>
      </c>
      <c r="AP337" s="799">
        <f t="shared" si="74"/>
        <v>2</v>
      </c>
      <c r="AR337" s="799">
        <v>1</v>
      </c>
    </row>
    <row r="338" spans="1:44" ht="15.75">
      <c r="A338" s="850">
        <v>22</v>
      </c>
      <c r="B338" s="813" t="str">
        <f>VLOOKUP(C338,'DS CN MOI UP'!$B$10:$C$389,2,0)</f>
        <v>02608</v>
      </c>
      <c r="C338" s="112" t="s">
        <v>227</v>
      </c>
      <c r="D338" s="855" t="s">
        <v>15</v>
      </c>
      <c r="E338" s="815">
        <f t="shared" si="71"/>
        <v>24</v>
      </c>
      <c r="F338" s="815"/>
      <c r="G338" s="815"/>
      <c r="H338" s="960"/>
      <c r="I338" s="815"/>
      <c r="J338" s="815"/>
      <c r="K338" s="815"/>
      <c r="L338" s="815"/>
      <c r="M338" s="815"/>
      <c r="N338" s="815"/>
      <c r="O338" s="815"/>
      <c r="P338" s="815"/>
      <c r="Q338" s="815"/>
      <c r="R338" s="815"/>
      <c r="S338" s="830">
        <f t="shared" si="72"/>
        <v>24</v>
      </c>
      <c r="T338" s="830" t="e">
        <f>VLOOKUP(C338,'sản lượng'!$D$14:$AK$169,36,0)</f>
        <v>#N/A</v>
      </c>
      <c r="U338" s="830"/>
      <c r="V338" s="830"/>
      <c r="W338" s="830" t="e">
        <f>VLOOKUP(C338,'sản lượng'!$D$14:$AK$169,36,0)</f>
        <v>#N/A</v>
      </c>
      <c r="X338" s="830"/>
      <c r="Y338" s="830"/>
      <c r="Z338" s="830" t="e">
        <f t="shared" si="73"/>
        <v>#N/A</v>
      </c>
      <c r="AA338" s="830" t="e">
        <f>VLOOKUP(C338,'CHẤM CÔNG '!$E$13:$AM$168,33,0)</f>
        <v>#N/A</v>
      </c>
      <c r="AB338" s="830" t="e">
        <f>VLOOKUP(C338,'CHẤM CÔNG '!$E$13:$AM$168,34,0)</f>
        <v>#N/A</v>
      </c>
      <c r="AC338" s="830"/>
      <c r="AD338" s="830"/>
      <c r="AE338" s="830"/>
      <c r="AF338" s="830"/>
      <c r="AG338" s="830"/>
      <c r="AH338" s="830"/>
      <c r="AI338" s="830"/>
      <c r="AJ338" s="830"/>
      <c r="AK338" s="836"/>
      <c r="AL338" s="837" t="e">
        <f>VLOOKUP(C338,'sản lượng'!$D$14:$AP$169,38,0)</f>
        <v>#N/A</v>
      </c>
      <c r="AP338" s="799">
        <f t="shared" si="74"/>
        <v>2</v>
      </c>
      <c r="AR338" s="799">
        <v>1</v>
      </c>
    </row>
    <row r="339" spans="1:44" ht="15.75">
      <c r="A339" s="850">
        <v>23</v>
      </c>
      <c r="B339" s="813" t="str">
        <f>VLOOKUP(C339,'DS CN MOI UP'!$B$10:$C$389,2,0)</f>
        <v>02603</v>
      </c>
      <c r="C339" s="112" t="s">
        <v>228</v>
      </c>
      <c r="D339" s="855" t="s">
        <v>15</v>
      </c>
      <c r="E339" s="815">
        <f t="shared" si="71"/>
        <v>24</v>
      </c>
      <c r="F339" s="815"/>
      <c r="G339" s="815"/>
      <c r="H339" s="960"/>
      <c r="I339" s="815"/>
      <c r="J339" s="815"/>
      <c r="K339" s="815"/>
      <c r="L339" s="815"/>
      <c r="M339" s="815"/>
      <c r="N339" s="815"/>
      <c r="O339" s="815"/>
      <c r="P339" s="815"/>
      <c r="Q339" s="815"/>
      <c r="R339" s="815"/>
      <c r="S339" s="830">
        <f t="shared" si="72"/>
        <v>24</v>
      </c>
      <c r="T339" s="830" t="e">
        <f>VLOOKUP(C339,'sản lượng'!$D$14:$AK$169,36,0)</f>
        <v>#N/A</v>
      </c>
      <c r="U339" s="830"/>
      <c r="V339" s="830"/>
      <c r="W339" s="830" t="e">
        <f>VLOOKUP(C339,'sản lượng'!$D$14:$AK$169,36,0)</f>
        <v>#N/A</v>
      </c>
      <c r="X339" s="830"/>
      <c r="Y339" s="830"/>
      <c r="Z339" s="830" t="e">
        <f t="shared" si="73"/>
        <v>#N/A</v>
      </c>
      <c r="AA339" s="830" t="e">
        <f>VLOOKUP(C339,'CHẤM CÔNG '!$E$13:$AM$168,33,0)</f>
        <v>#N/A</v>
      </c>
      <c r="AB339" s="830" t="e">
        <f>VLOOKUP(C339,'CHẤM CÔNG '!$E$13:$AM$168,34,0)</f>
        <v>#N/A</v>
      </c>
      <c r="AC339" s="830"/>
      <c r="AD339" s="830"/>
      <c r="AE339" s="830"/>
      <c r="AF339" s="830"/>
      <c r="AG339" s="830"/>
      <c r="AH339" s="830"/>
      <c r="AI339" s="830"/>
      <c r="AJ339" s="830"/>
      <c r="AK339" s="836"/>
      <c r="AL339" s="837" t="e">
        <f>VLOOKUP(C339,'sản lượng'!$D$14:$AP$169,38,0)</f>
        <v>#N/A</v>
      </c>
      <c r="AP339" s="799">
        <f t="shared" si="74"/>
        <v>2</v>
      </c>
      <c r="AR339" s="799">
        <v>1</v>
      </c>
    </row>
    <row r="340" spans="1:44" ht="15.75">
      <c r="A340" s="850">
        <v>24</v>
      </c>
      <c r="B340" s="813" t="str">
        <f>VLOOKUP(C340,'DS CN MOI UP'!$B$10:$C$389,2,0)</f>
        <v>03385</v>
      </c>
      <c r="C340" s="112" t="s">
        <v>229</v>
      </c>
      <c r="D340" s="855" t="s">
        <v>15</v>
      </c>
      <c r="E340" s="815">
        <f t="shared" si="71"/>
        <v>24</v>
      </c>
      <c r="F340" s="815"/>
      <c r="G340" s="815"/>
      <c r="H340" s="960"/>
      <c r="I340" s="815"/>
      <c r="J340" s="815"/>
      <c r="K340" s="815"/>
      <c r="L340" s="815"/>
      <c r="M340" s="815"/>
      <c r="N340" s="815"/>
      <c r="O340" s="815"/>
      <c r="P340" s="815"/>
      <c r="Q340" s="815"/>
      <c r="R340" s="815"/>
      <c r="S340" s="830">
        <f t="shared" si="72"/>
        <v>24</v>
      </c>
      <c r="T340" s="830" t="e">
        <f>VLOOKUP(C340,'sản lượng'!$D$14:$AK$169,36,0)</f>
        <v>#N/A</v>
      </c>
      <c r="U340" s="830"/>
      <c r="V340" s="830"/>
      <c r="W340" s="830" t="e">
        <f>VLOOKUP(C340,'sản lượng'!$D$14:$AK$169,36,0)</f>
        <v>#N/A</v>
      </c>
      <c r="X340" s="830"/>
      <c r="Y340" s="830"/>
      <c r="Z340" s="830" t="e">
        <f t="shared" si="73"/>
        <v>#N/A</v>
      </c>
      <c r="AA340" s="830" t="e">
        <f>VLOOKUP(C340,'CHẤM CÔNG '!$E$13:$AM$168,33,0)</f>
        <v>#N/A</v>
      </c>
      <c r="AB340" s="830" t="e">
        <f>VLOOKUP(C340,'CHẤM CÔNG '!$E$13:$AM$168,34,0)</f>
        <v>#N/A</v>
      </c>
      <c r="AC340" s="830"/>
      <c r="AD340" s="830"/>
      <c r="AE340" s="830"/>
      <c r="AF340" s="830"/>
      <c r="AG340" s="830"/>
      <c r="AH340" s="830"/>
      <c r="AI340" s="830"/>
      <c r="AJ340" s="830"/>
      <c r="AK340" s="836"/>
      <c r="AL340" s="837" t="e">
        <f>VLOOKUP(C340,'sản lượng'!$D$14:$AP$169,38,0)</f>
        <v>#N/A</v>
      </c>
      <c r="AP340" s="799">
        <f t="shared" si="74"/>
        <v>2</v>
      </c>
      <c r="AR340" s="799">
        <v>1</v>
      </c>
    </row>
    <row r="341" spans="1:44" ht="15.75">
      <c r="A341" s="850">
        <v>25</v>
      </c>
      <c r="B341" s="813" t="str">
        <f>VLOOKUP(C341,'DS CN MOI UP'!$B$10:$C$389,2,0)</f>
        <v>02586</v>
      </c>
      <c r="C341" s="112" t="s">
        <v>230</v>
      </c>
      <c r="D341" s="855" t="s">
        <v>15</v>
      </c>
      <c r="E341" s="815">
        <f t="shared" si="71"/>
        <v>24</v>
      </c>
      <c r="F341" s="815"/>
      <c r="G341" s="815"/>
      <c r="H341" s="960"/>
      <c r="I341" s="815"/>
      <c r="J341" s="815"/>
      <c r="K341" s="815"/>
      <c r="L341" s="815"/>
      <c r="M341" s="815"/>
      <c r="N341" s="815"/>
      <c r="O341" s="815"/>
      <c r="P341" s="815"/>
      <c r="Q341" s="815"/>
      <c r="R341" s="815"/>
      <c r="S341" s="830">
        <f t="shared" si="72"/>
        <v>24</v>
      </c>
      <c r="T341" s="830" t="e">
        <f>VLOOKUP(C341,'sản lượng'!$D$14:$AK$169,36,0)</f>
        <v>#N/A</v>
      </c>
      <c r="U341" s="830"/>
      <c r="V341" s="830"/>
      <c r="W341" s="830" t="e">
        <f>VLOOKUP(C341,'sản lượng'!$D$14:$AK$169,36,0)</f>
        <v>#N/A</v>
      </c>
      <c r="X341" s="830"/>
      <c r="Y341" s="830"/>
      <c r="Z341" s="830" t="e">
        <f t="shared" si="73"/>
        <v>#N/A</v>
      </c>
      <c r="AA341" s="830" t="e">
        <f>VLOOKUP(C341,'CHẤM CÔNG '!$E$13:$AM$168,33,0)</f>
        <v>#N/A</v>
      </c>
      <c r="AB341" s="830" t="e">
        <f>VLOOKUP(C341,'CHẤM CÔNG '!$E$13:$AM$168,34,0)</f>
        <v>#N/A</v>
      </c>
      <c r="AC341" s="830"/>
      <c r="AD341" s="830"/>
      <c r="AE341" s="830"/>
      <c r="AF341" s="830"/>
      <c r="AG341" s="830"/>
      <c r="AH341" s="830"/>
      <c r="AI341" s="830"/>
      <c r="AJ341" s="830"/>
      <c r="AK341" s="836"/>
      <c r="AL341" s="837" t="e">
        <f>VLOOKUP(C341,'sản lượng'!$D$14:$AP$169,38,0)</f>
        <v>#N/A</v>
      </c>
      <c r="AP341" s="799">
        <f t="shared" si="74"/>
        <v>2</v>
      </c>
      <c r="AR341" s="799">
        <v>1</v>
      </c>
    </row>
    <row r="342" spans="1:44" ht="15.75">
      <c r="A342" s="850">
        <v>26</v>
      </c>
      <c r="B342" s="813" t="str">
        <f>VLOOKUP(C342,'DS CN MOI UP'!$B$10:$C$389,2,0)</f>
        <v>02614</v>
      </c>
      <c r="C342" s="112" t="s">
        <v>231</v>
      </c>
      <c r="D342" s="855" t="s">
        <v>15</v>
      </c>
      <c r="E342" s="815">
        <f t="shared" si="71"/>
        <v>24</v>
      </c>
      <c r="F342" s="815"/>
      <c r="G342" s="815"/>
      <c r="H342" s="960"/>
      <c r="I342" s="815"/>
      <c r="J342" s="815"/>
      <c r="K342" s="815"/>
      <c r="L342" s="815"/>
      <c r="M342" s="815"/>
      <c r="N342" s="815"/>
      <c r="O342" s="815"/>
      <c r="P342" s="815"/>
      <c r="Q342" s="815"/>
      <c r="R342" s="815"/>
      <c r="S342" s="830">
        <f t="shared" si="72"/>
        <v>24</v>
      </c>
      <c r="T342" s="830" t="e">
        <f>VLOOKUP(C342,'sản lượng'!$D$14:$AK$169,36,0)</f>
        <v>#N/A</v>
      </c>
      <c r="U342" s="830"/>
      <c r="V342" s="830"/>
      <c r="W342" s="830" t="e">
        <f>VLOOKUP(C342,'sản lượng'!$D$14:$AK$169,36,0)</f>
        <v>#N/A</v>
      </c>
      <c r="X342" s="830"/>
      <c r="Y342" s="830"/>
      <c r="Z342" s="830" t="e">
        <f t="shared" si="73"/>
        <v>#N/A</v>
      </c>
      <c r="AA342" s="830" t="e">
        <f>VLOOKUP(C342,'CHẤM CÔNG '!$E$13:$AM$168,33,0)</f>
        <v>#N/A</v>
      </c>
      <c r="AB342" s="830" t="e">
        <f>VLOOKUP(C342,'CHẤM CÔNG '!$E$13:$AM$168,34,0)</f>
        <v>#N/A</v>
      </c>
      <c r="AC342" s="830"/>
      <c r="AD342" s="830"/>
      <c r="AE342" s="830"/>
      <c r="AF342" s="830"/>
      <c r="AG342" s="830"/>
      <c r="AH342" s="830"/>
      <c r="AI342" s="830"/>
      <c r="AJ342" s="830"/>
      <c r="AK342" s="836"/>
      <c r="AL342" s="837" t="e">
        <f>VLOOKUP(C342,'sản lượng'!$D$14:$AP$169,38,0)</f>
        <v>#N/A</v>
      </c>
      <c r="AP342" s="799">
        <f t="shared" si="74"/>
        <v>2</v>
      </c>
      <c r="AR342" s="799">
        <v>1</v>
      </c>
    </row>
    <row r="343" spans="1:44" ht="15.75">
      <c r="A343" s="850">
        <v>27</v>
      </c>
      <c r="B343" s="813" t="str">
        <f>VLOOKUP(C343,'DS CN MOI UP'!$B$10:$C$389,2,0)</f>
        <v>02581</v>
      </c>
      <c r="C343" s="112" t="s">
        <v>232</v>
      </c>
      <c r="D343" s="855" t="s">
        <v>15</v>
      </c>
      <c r="E343" s="815">
        <f t="shared" si="71"/>
        <v>24</v>
      </c>
      <c r="F343" s="815"/>
      <c r="G343" s="815"/>
      <c r="H343" s="960"/>
      <c r="I343" s="815"/>
      <c r="J343" s="815"/>
      <c r="K343" s="815"/>
      <c r="L343" s="815"/>
      <c r="M343" s="815"/>
      <c r="N343" s="815"/>
      <c r="O343" s="815"/>
      <c r="P343" s="815"/>
      <c r="Q343" s="815"/>
      <c r="R343" s="815"/>
      <c r="S343" s="830">
        <f t="shared" si="72"/>
        <v>24</v>
      </c>
      <c r="T343" s="830" t="e">
        <f>VLOOKUP(C343,'sản lượng'!$D$14:$AK$169,36,0)</f>
        <v>#N/A</v>
      </c>
      <c r="U343" s="830"/>
      <c r="V343" s="830"/>
      <c r="W343" s="830" t="e">
        <f>VLOOKUP(C343,'sản lượng'!$D$14:$AK$169,36,0)</f>
        <v>#N/A</v>
      </c>
      <c r="X343" s="830"/>
      <c r="Y343" s="830"/>
      <c r="Z343" s="830" t="e">
        <f t="shared" si="73"/>
        <v>#N/A</v>
      </c>
      <c r="AA343" s="830" t="e">
        <f>VLOOKUP(C343,'CHẤM CÔNG '!$E$13:$AM$168,33,0)</f>
        <v>#N/A</v>
      </c>
      <c r="AB343" s="830" t="e">
        <f>VLOOKUP(C343,'CHẤM CÔNG '!$E$13:$AM$168,34,0)</f>
        <v>#N/A</v>
      </c>
      <c r="AC343" s="830"/>
      <c r="AD343" s="830"/>
      <c r="AE343" s="830"/>
      <c r="AF343" s="830"/>
      <c r="AG343" s="830"/>
      <c r="AH343" s="830"/>
      <c r="AI343" s="830"/>
      <c r="AJ343" s="830"/>
      <c r="AK343" s="836"/>
      <c r="AL343" s="837" t="e">
        <f>VLOOKUP(C343,'sản lượng'!$D$14:$AP$169,38,0)</f>
        <v>#N/A</v>
      </c>
      <c r="AP343" s="799">
        <f t="shared" si="74"/>
        <v>2</v>
      </c>
      <c r="AR343" s="799">
        <v>1</v>
      </c>
    </row>
    <row r="344" spans="1:44" ht="15.75">
      <c r="A344" s="850">
        <v>28</v>
      </c>
      <c r="B344" s="813" t="str">
        <f>VLOOKUP(C344,'DS CN MOI UP'!$B$10:$C$389,2,0)</f>
        <v>02613</v>
      </c>
      <c r="C344" s="112" t="s">
        <v>233</v>
      </c>
      <c r="D344" s="855" t="s">
        <v>15</v>
      </c>
      <c r="E344" s="815">
        <f t="shared" si="71"/>
        <v>24</v>
      </c>
      <c r="F344" s="815"/>
      <c r="G344" s="815"/>
      <c r="H344" s="960"/>
      <c r="I344" s="815"/>
      <c r="J344" s="815"/>
      <c r="K344" s="815"/>
      <c r="L344" s="815"/>
      <c r="M344" s="815"/>
      <c r="N344" s="815"/>
      <c r="O344" s="815"/>
      <c r="P344" s="815"/>
      <c r="Q344" s="815"/>
      <c r="R344" s="815"/>
      <c r="S344" s="830">
        <f t="shared" si="72"/>
        <v>24</v>
      </c>
      <c r="T344" s="830" t="e">
        <f>VLOOKUP(C344,'sản lượng'!$D$14:$AK$169,36,0)</f>
        <v>#REF!</v>
      </c>
      <c r="U344" s="830"/>
      <c r="V344" s="830"/>
      <c r="W344" s="830" t="e">
        <f>VLOOKUP(C344,'sản lượng'!$D$14:$AK$169,36,0)</f>
        <v>#REF!</v>
      </c>
      <c r="X344" s="830"/>
      <c r="Y344" s="830"/>
      <c r="Z344" s="830" t="e">
        <f t="shared" si="73"/>
        <v>#REF!</v>
      </c>
      <c r="AA344" s="830" t="str">
        <f>VLOOKUP(C344,'CHẤM CÔNG '!$E$13:$AM$168,33,0)</f>
        <v>đ</v>
      </c>
      <c r="AB344" s="830">
        <f>VLOOKUP(C344,'CHẤM CÔNG '!$E$13:$AM$168,34,0)</f>
        <v>23</v>
      </c>
      <c r="AC344" s="830"/>
      <c r="AD344" s="830"/>
      <c r="AE344" s="830"/>
      <c r="AF344" s="830"/>
      <c r="AG344" s="830"/>
      <c r="AH344" s="830"/>
      <c r="AI344" s="830"/>
      <c r="AJ344" s="830"/>
      <c r="AK344" s="836"/>
      <c r="AL344" s="837">
        <f>VLOOKUP(C344,'sản lượng'!$D$14:$AP$169,38,0)</f>
        <v>1334.4964033717974</v>
      </c>
      <c r="AP344" s="799">
        <f t="shared" si="74"/>
        <v>2</v>
      </c>
      <c r="AR344" s="799">
        <v>1</v>
      </c>
    </row>
    <row r="345" spans="1:44" ht="15.75">
      <c r="A345" s="850">
        <v>29</v>
      </c>
      <c r="B345" s="813" t="str">
        <f>VLOOKUP(C345,'DS CN MOI UP'!$B$10:$C$389,2,0)</f>
        <v>03386</v>
      </c>
      <c r="C345" s="112" t="s">
        <v>234</v>
      </c>
      <c r="D345" s="855" t="s">
        <v>15</v>
      </c>
      <c r="E345" s="815">
        <f t="shared" si="71"/>
        <v>24</v>
      </c>
      <c r="F345" s="815"/>
      <c r="G345" s="815"/>
      <c r="H345" s="960"/>
      <c r="I345" s="815"/>
      <c r="J345" s="815"/>
      <c r="K345" s="815"/>
      <c r="L345" s="815"/>
      <c r="M345" s="815"/>
      <c r="N345" s="815"/>
      <c r="O345" s="815"/>
      <c r="P345" s="815"/>
      <c r="Q345" s="815"/>
      <c r="R345" s="815"/>
      <c r="S345" s="830">
        <f t="shared" si="72"/>
        <v>24</v>
      </c>
      <c r="T345" s="830" t="e">
        <f>VLOOKUP(C345,'sản lượng'!$D$14:$AK$169,36,0)</f>
        <v>#N/A</v>
      </c>
      <c r="U345" s="830"/>
      <c r="V345" s="830"/>
      <c r="W345" s="830" t="e">
        <f>VLOOKUP(C345,'sản lượng'!$D$14:$AK$169,36,0)</f>
        <v>#N/A</v>
      </c>
      <c r="X345" s="830"/>
      <c r="Y345" s="830"/>
      <c r="Z345" s="830" t="e">
        <f t="shared" si="73"/>
        <v>#N/A</v>
      </c>
      <c r="AA345" s="830" t="e">
        <f>VLOOKUP(C345,'CHẤM CÔNG '!$E$13:$AM$168,33,0)</f>
        <v>#N/A</v>
      </c>
      <c r="AB345" s="830" t="e">
        <f>VLOOKUP(C345,'CHẤM CÔNG '!$E$13:$AM$168,34,0)</f>
        <v>#N/A</v>
      </c>
      <c r="AC345" s="830"/>
      <c r="AD345" s="830"/>
      <c r="AE345" s="830"/>
      <c r="AF345" s="830"/>
      <c r="AG345" s="830"/>
      <c r="AH345" s="830"/>
      <c r="AI345" s="830"/>
      <c r="AJ345" s="830"/>
      <c r="AK345" s="836"/>
      <c r="AL345" s="837" t="e">
        <f>VLOOKUP(C345,'sản lượng'!$D$14:$AP$169,38,0)</f>
        <v>#N/A</v>
      </c>
      <c r="AP345" s="799">
        <f t="shared" si="74"/>
        <v>2</v>
      </c>
      <c r="AR345" s="799">
        <v>1</v>
      </c>
    </row>
    <row r="346" spans="1:44" ht="15.75">
      <c r="A346" s="850">
        <v>30</v>
      </c>
      <c r="B346" s="813" t="str">
        <f>VLOOKUP(C346,'DS CN MOI UP'!$B$10:$C$389,2,0)</f>
        <v>03387</v>
      </c>
      <c r="C346" s="112" t="s">
        <v>235</v>
      </c>
      <c r="D346" s="855" t="s">
        <v>15</v>
      </c>
      <c r="E346" s="815">
        <f t="shared" si="71"/>
        <v>24</v>
      </c>
      <c r="F346" s="815"/>
      <c r="G346" s="815"/>
      <c r="H346" s="960"/>
      <c r="I346" s="815"/>
      <c r="J346" s="815"/>
      <c r="K346" s="815"/>
      <c r="L346" s="815"/>
      <c r="M346" s="815"/>
      <c r="N346" s="815"/>
      <c r="O346" s="815"/>
      <c r="P346" s="815"/>
      <c r="Q346" s="815"/>
      <c r="R346" s="815"/>
      <c r="S346" s="830">
        <f t="shared" si="72"/>
        <v>24</v>
      </c>
      <c r="T346" s="830" t="e">
        <f>VLOOKUP(C346,'sản lượng'!$D$14:$AK$169,36,0)</f>
        <v>#N/A</v>
      </c>
      <c r="U346" s="830"/>
      <c r="V346" s="830"/>
      <c r="W346" s="830" t="e">
        <f>VLOOKUP(C346,'sản lượng'!$D$14:$AK$169,36,0)</f>
        <v>#N/A</v>
      </c>
      <c r="X346" s="830"/>
      <c r="Y346" s="830"/>
      <c r="Z346" s="830" t="e">
        <f t="shared" si="73"/>
        <v>#N/A</v>
      </c>
      <c r="AA346" s="830" t="e">
        <f>VLOOKUP(C346,'CHẤM CÔNG '!$E$13:$AM$168,33,0)</f>
        <v>#N/A</v>
      </c>
      <c r="AB346" s="830" t="e">
        <f>VLOOKUP(C346,'CHẤM CÔNG '!$E$13:$AM$168,34,0)</f>
        <v>#N/A</v>
      </c>
      <c r="AC346" s="830"/>
      <c r="AD346" s="830"/>
      <c r="AE346" s="830"/>
      <c r="AF346" s="830"/>
      <c r="AG346" s="830"/>
      <c r="AH346" s="830"/>
      <c r="AI346" s="830"/>
      <c r="AJ346" s="830"/>
      <c r="AK346" s="836"/>
      <c r="AL346" s="837" t="e">
        <f>VLOOKUP(C346,'sản lượng'!$D$14:$AP$169,38,0)</f>
        <v>#N/A</v>
      </c>
      <c r="AP346" s="799">
        <f t="shared" si="74"/>
        <v>2</v>
      </c>
      <c r="AR346" s="799">
        <v>1</v>
      </c>
    </row>
    <row r="347" spans="1:44" ht="15.75">
      <c r="A347" s="850">
        <v>31</v>
      </c>
      <c r="B347" s="813" t="str">
        <f>VLOOKUP(C347,'DS CN MOI UP'!$B$10:$C$389,2,0)</f>
        <v>03388</v>
      </c>
      <c r="C347" s="112" t="s">
        <v>236</v>
      </c>
      <c r="D347" s="855" t="s">
        <v>15</v>
      </c>
      <c r="E347" s="815">
        <f t="shared" si="71"/>
        <v>24</v>
      </c>
      <c r="F347" s="815"/>
      <c r="G347" s="815"/>
      <c r="H347" s="960"/>
      <c r="I347" s="815"/>
      <c r="J347" s="815"/>
      <c r="K347" s="815"/>
      <c r="L347" s="815"/>
      <c r="M347" s="815"/>
      <c r="N347" s="815"/>
      <c r="O347" s="815"/>
      <c r="P347" s="815"/>
      <c r="Q347" s="815"/>
      <c r="R347" s="815"/>
      <c r="S347" s="830">
        <f t="shared" si="72"/>
        <v>24</v>
      </c>
      <c r="T347" s="830" t="e">
        <f>VLOOKUP(C347,'sản lượng'!$D$14:$AK$169,36,0)</f>
        <v>#REF!</v>
      </c>
      <c r="U347" s="830"/>
      <c r="V347" s="830"/>
      <c r="W347" s="830" t="e">
        <f>VLOOKUP(C347,'sản lượng'!$D$14:$AK$169,36,0)</f>
        <v>#REF!</v>
      </c>
      <c r="X347" s="830"/>
      <c r="Y347" s="830"/>
      <c r="Z347" s="830" t="e">
        <f t="shared" si="73"/>
        <v>#REF!</v>
      </c>
      <c r="AA347" s="830" t="str">
        <f>VLOOKUP(C347,'CHẤM CÔNG '!$E$13:$AM$168,33,0)</f>
        <v>đ</v>
      </c>
      <c r="AB347" s="830">
        <f>VLOOKUP(C347,'CHẤM CÔNG '!$E$13:$AM$168,34,0)</f>
        <v>12</v>
      </c>
      <c r="AC347" s="830"/>
      <c r="AD347" s="830"/>
      <c r="AE347" s="830"/>
      <c r="AF347" s="830"/>
      <c r="AG347" s="830"/>
      <c r="AH347" s="830"/>
      <c r="AI347" s="830"/>
      <c r="AJ347" s="830"/>
      <c r="AK347" s="836"/>
      <c r="AL347" s="837">
        <f>VLOOKUP(C347,'sản lượng'!$D$14:$AP$169,38,0)</f>
        <v>1017.7797337635727</v>
      </c>
      <c r="AP347" s="799">
        <f t="shared" si="74"/>
        <v>2</v>
      </c>
      <c r="AR347" s="799">
        <v>1</v>
      </c>
    </row>
    <row r="348" spans="1:44" ht="15.75">
      <c r="A348" s="850">
        <v>32</v>
      </c>
      <c r="B348" s="813" t="str">
        <f>VLOOKUP(C348,'DS CN MOI UP'!$B$10:$C$389,2,0)</f>
        <v>03389</v>
      </c>
      <c r="C348" s="112" t="s">
        <v>237</v>
      </c>
      <c r="D348" s="855" t="s">
        <v>15</v>
      </c>
      <c r="E348" s="815">
        <f t="shared" si="71"/>
        <v>24</v>
      </c>
      <c r="F348" s="815"/>
      <c r="G348" s="815"/>
      <c r="H348" s="960"/>
      <c r="I348" s="815"/>
      <c r="J348" s="815"/>
      <c r="K348" s="815"/>
      <c r="L348" s="815"/>
      <c r="M348" s="815"/>
      <c r="N348" s="815"/>
      <c r="O348" s="815"/>
      <c r="P348" s="815"/>
      <c r="Q348" s="815"/>
      <c r="R348" s="815"/>
      <c r="S348" s="830">
        <f t="shared" si="72"/>
        <v>24</v>
      </c>
      <c r="T348" s="830" t="e">
        <f>VLOOKUP(C348,'sản lượng'!$D$14:$AK$169,36,0)</f>
        <v>#N/A</v>
      </c>
      <c r="U348" s="830"/>
      <c r="V348" s="830"/>
      <c r="W348" s="830" t="e">
        <f>VLOOKUP(C348,'sản lượng'!$D$14:$AK$169,36,0)</f>
        <v>#N/A</v>
      </c>
      <c r="X348" s="830"/>
      <c r="Y348" s="830"/>
      <c r="Z348" s="830" t="e">
        <f t="shared" si="73"/>
        <v>#N/A</v>
      </c>
      <c r="AA348" s="830" t="e">
        <f>VLOOKUP(C348,'CHẤM CÔNG '!$E$13:$AM$168,33,0)</f>
        <v>#N/A</v>
      </c>
      <c r="AB348" s="830" t="e">
        <f>VLOOKUP(C348,'CHẤM CÔNG '!$E$13:$AM$168,34,0)</f>
        <v>#N/A</v>
      </c>
      <c r="AC348" s="830"/>
      <c r="AD348" s="830"/>
      <c r="AE348" s="830"/>
      <c r="AF348" s="830"/>
      <c r="AG348" s="830"/>
      <c r="AH348" s="830"/>
      <c r="AI348" s="830"/>
      <c r="AJ348" s="830"/>
      <c r="AK348" s="836"/>
      <c r="AL348" s="837" t="e">
        <f>VLOOKUP(C348,'sản lượng'!$D$14:$AP$169,38,0)</f>
        <v>#N/A</v>
      </c>
      <c r="AP348" s="799">
        <f t="shared" si="74"/>
        <v>2</v>
      </c>
      <c r="AR348" s="799">
        <v>1</v>
      </c>
    </row>
    <row r="349" spans="1:44" ht="15.75">
      <c r="A349" s="850">
        <v>33</v>
      </c>
      <c r="B349" s="813" t="str">
        <f>VLOOKUP(C349,'DS CN MOI UP'!$B$10:$C$389,2,0)</f>
        <v>03390</v>
      </c>
      <c r="C349" s="112" t="s">
        <v>238</v>
      </c>
      <c r="D349" s="855" t="s">
        <v>15</v>
      </c>
      <c r="E349" s="815">
        <f t="shared" si="71"/>
        <v>24</v>
      </c>
      <c r="F349" s="815"/>
      <c r="G349" s="815"/>
      <c r="H349" s="960"/>
      <c r="I349" s="815"/>
      <c r="J349" s="815"/>
      <c r="K349" s="815"/>
      <c r="L349" s="815"/>
      <c r="M349" s="815"/>
      <c r="N349" s="815"/>
      <c r="O349" s="815"/>
      <c r="P349" s="815"/>
      <c r="Q349" s="815"/>
      <c r="R349" s="815"/>
      <c r="S349" s="830">
        <f t="shared" ref="S349:S395" si="75">SUM(E349:R349)</f>
        <v>24</v>
      </c>
      <c r="T349" s="830" t="e">
        <f>VLOOKUP(C349,'sản lượng'!$D$14:$AK$169,36,0)</f>
        <v>#N/A</v>
      </c>
      <c r="U349" s="830"/>
      <c r="V349" s="830"/>
      <c r="W349" s="830" t="e">
        <f>VLOOKUP(C349,'sản lượng'!$D$14:$AK$169,36,0)</f>
        <v>#N/A</v>
      </c>
      <c r="X349" s="830"/>
      <c r="Y349" s="830"/>
      <c r="Z349" s="830" t="e">
        <f t="shared" ref="Z349:Z387" si="76">W349*$AN$17+X349*$AN$10+$AN$11*Y349</f>
        <v>#N/A</v>
      </c>
      <c r="AA349" s="830" t="e">
        <f>VLOOKUP(C349,'CHẤM CÔNG '!$E$13:$AM$168,33,0)</f>
        <v>#N/A</v>
      </c>
      <c r="AB349" s="830" t="e">
        <f>VLOOKUP(C349,'CHẤM CÔNG '!$E$13:$AM$168,34,0)</f>
        <v>#N/A</v>
      </c>
      <c r="AC349" s="830"/>
      <c r="AD349" s="830"/>
      <c r="AE349" s="830"/>
      <c r="AF349" s="830"/>
      <c r="AG349" s="830"/>
      <c r="AH349" s="830"/>
      <c r="AI349" s="830"/>
      <c r="AJ349" s="830"/>
      <c r="AK349" s="836"/>
      <c r="AL349" s="837" t="e">
        <f>VLOOKUP(C349,'sản lượng'!$D$14:$AP$169,38,0)</f>
        <v>#N/A</v>
      </c>
      <c r="AP349" s="799">
        <f t="shared" si="74"/>
        <v>2</v>
      </c>
      <c r="AR349" s="799">
        <v>1</v>
      </c>
    </row>
    <row r="350" spans="1:44" ht="15.75">
      <c r="A350" s="850">
        <v>34</v>
      </c>
      <c r="B350" s="813" t="str">
        <f>VLOOKUP(C350,'DS CN MOI UP'!$B$10:$C$389,2,0)</f>
        <v>03391</v>
      </c>
      <c r="C350" s="112" t="s">
        <v>239</v>
      </c>
      <c r="D350" s="855" t="s">
        <v>15</v>
      </c>
      <c r="E350" s="815">
        <f t="shared" si="71"/>
        <v>24</v>
      </c>
      <c r="F350" s="815"/>
      <c r="G350" s="815"/>
      <c r="H350" s="960"/>
      <c r="I350" s="815"/>
      <c r="J350" s="815"/>
      <c r="K350" s="815"/>
      <c r="L350" s="815"/>
      <c r="M350" s="815"/>
      <c r="N350" s="815"/>
      <c r="O350" s="815"/>
      <c r="P350" s="815"/>
      <c r="Q350" s="815"/>
      <c r="R350" s="815"/>
      <c r="S350" s="830">
        <f t="shared" si="75"/>
        <v>24</v>
      </c>
      <c r="T350" s="830" t="e">
        <f>VLOOKUP(C350,'sản lượng'!$D$14:$AK$169,36,0)</f>
        <v>#N/A</v>
      </c>
      <c r="U350" s="830"/>
      <c r="V350" s="830"/>
      <c r="W350" s="830" t="e">
        <f>VLOOKUP(C350,'sản lượng'!$D$14:$AK$169,36,0)</f>
        <v>#N/A</v>
      </c>
      <c r="X350" s="830"/>
      <c r="Y350" s="830"/>
      <c r="Z350" s="830" t="e">
        <f t="shared" si="76"/>
        <v>#N/A</v>
      </c>
      <c r="AA350" s="830" t="e">
        <f>VLOOKUP(C350,'CHẤM CÔNG '!$E$13:$AM$168,33,0)</f>
        <v>#N/A</v>
      </c>
      <c r="AB350" s="830" t="e">
        <f>VLOOKUP(C350,'CHẤM CÔNG '!$E$13:$AM$168,34,0)</f>
        <v>#N/A</v>
      </c>
      <c r="AC350" s="830"/>
      <c r="AD350" s="830"/>
      <c r="AE350" s="830"/>
      <c r="AF350" s="830"/>
      <c r="AG350" s="830"/>
      <c r="AH350" s="830"/>
      <c r="AI350" s="830"/>
      <c r="AJ350" s="830"/>
      <c r="AK350" s="836"/>
      <c r="AL350" s="837" t="e">
        <f>VLOOKUP(C350,'sản lượng'!$D$14:$AP$169,38,0)</f>
        <v>#N/A</v>
      </c>
      <c r="AP350" s="799">
        <f t="shared" si="74"/>
        <v>2</v>
      </c>
      <c r="AR350" s="799">
        <v>1</v>
      </c>
    </row>
    <row r="351" spans="1:44" ht="15.75">
      <c r="A351" s="850">
        <v>35</v>
      </c>
      <c r="B351" s="813" t="str">
        <f>VLOOKUP(C351,'DS CN MOI UP'!$B$10:$C$389,2,0)</f>
        <v>02589</v>
      </c>
      <c r="C351" s="112" t="s">
        <v>240</v>
      </c>
      <c r="D351" s="855" t="s">
        <v>15</v>
      </c>
      <c r="E351" s="815">
        <f t="shared" si="71"/>
        <v>24</v>
      </c>
      <c r="F351" s="815"/>
      <c r="G351" s="815"/>
      <c r="H351" s="960"/>
      <c r="I351" s="815"/>
      <c r="J351" s="815"/>
      <c r="K351" s="815"/>
      <c r="L351" s="815"/>
      <c r="M351" s="815"/>
      <c r="N351" s="815"/>
      <c r="O351" s="815"/>
      <c r="P351" s="815"/>
      <c r="Q351" s="815"/>
      <c r="R351" s="815"/>
      <c r="S351" s="830">
        <f t="shared" si="75"/>
        <v>24</v>
      </c>
      <c r="T351" s="830" t="e">
        <f>VLOOKUP(C351,'sản lượng'!$D$14:$AK$169,36,0)</f>
        <v>#N/A</v>
      </c>
      <c r="U351" s="830"/>
      <c r="V351" s="830"/>
      <c r="W351" s="830" t="e">
        <f>VLOOKUP(C351,'sản lượng'!$D$14:$AK$169,36,0)</f>
        <v>#N/A</v>
      </c>
      <c r="X351" s="830"/>
      <c r="Y351" s="830"/>
      <c r="Z351" s="830" t="e">
        <f t="shared" si="76"/>
        <v>#N/A</v>
      </c>
      <c r="AA351" s="830" t="e">
        <f>VLOOKUP(C351,'CHẤM CÔNG '!$E$13:$AM$168,33,0)</f>
        <v>#N/A</v>
      </c>
      <c r="AB351" s="830" t="e">
        <f>VLOOKUP(C351,'CHẤM CÔNG '!$E$13:$AM$168,34,0)</f>
        <v>#N/A</v>
      </c>
      <c r="AC351" s="830"/>
      <c r="AD351" s="830"/>
      <c r="AE351" s="830"/>
      <c r="AF351" s="830"/>
      <c r="AG351" s="830"/>
      <c r="AH351" s="830"/>
      <c r="AI351" s="830"/>
      <c r="AJ351" s="830"/>
      <c r="AK351" s="836"/>
      <c r="AL351" s="837" t="e">
        <f>VLOOKUP(C351,'sản lượng'!$D$14:$AP$169,38,0)</f>
        <v>#N/A</v>
      </c>
      <c r="AP351" s="799">
        <f t="shared" si="74"/>
        <v>2</v>
      </c>
      <c r="AR351" s="799">
        <v>1</v>
      </c>
    </row>
    <row r="352" spans="1:44" ht="15.75">
      <c r="A352" s="850">
        <v>36</v>
      </c>
      <c r="B352" s="813" t="str">
        <f>VLOOKUP(C352,'DS CN MOI UP'!$B$10:$C$389,2,0)</f>
        <v>03392</v>
      </c>
      <c r="C352" s="112" t="s">
        <v>241</v>
      </c>
      <c r="D352" s="855" t="s">
        <v>15</v>
      </c>
      <c r="E352" s="815">
        <f t="shared" si="71"/>
        <v>24</v>
      </c>
      <c r="F352" s="815"/>
      <c r="G352" s="815"/>
      <c r="H352" s="960"/>
      <c r="I352" s="815"/>
      <c r="J352" s="815"/>
      <c r="K352" s="815"/>
      <c r="L352" s="815"/>
      <c r="M352" s="815"/>
      <c r="N352" s="815"/>
      <c r="O352" s="815"/>
      <c r="P352" s="815"/>
      <c r="Q352" s="815"/>
      <c r="R352" s="815"/>
      <c r="S352" s="830">
        <f t="shared" si="75"/>
        <v>24</v>
      </c>
      <c r="T352" s="830" t="e">
        <f>VLOOKUP(C352,'sản lượng'!$D$14:$AK$169,36,0)</f>
        <v>#N/A</v>
      </c>
      <c r="U352" s="830"/>
      <c r="V352" s="830"/>
      <c r="W352" s="830" t="e">
        <f>VLOOKUP(C352,'sản lượng'!$D$14:$AK$169,36,0)</f>
        <v>#N/A</v>
      </c>
      <c r="X352" s="830"/>
      <c r="Y352" s="830"/>
      <c r="Z352" s="830" t="e">
        <f t="shared" si="76"/>
        <v>#N/A</v>
      </c>
      <c r="AA352" s="830" t="e">
        <f>VLOOKUP(C352,'CHẤM CÔNG '!$E$13:$AM$168,33,0)</f>
        <v>#N/A</v>
      </c>
      <c r="AB352" s="830" t="e">
        <f>VLOOKUP(C352,'CHẤM CÔNG '!$E$13:$AM$168,34,0)</f>
        <v>#N/A</v>
      </c>
      <c r="AC352" s="830"/>
      <c r="AD352" s="830"/>
      <c r="AE352" s="830"/>
      <c r="AF352" s="830"/>
      <c r="AG352" s="830"/>
      <c r="AH352" s="830"/>
      <c r="AI352" s="830"/>
      <c r="AJ352" s="830"/>
      <c r="AK352" s="836"/>
      <c r="AL352" s="837" t="e">
        <f>VLOOKUP(C352,'sản lượng'!$D$14:$AP$169,38,0)</f>
        <v>#N/A</v>
      </c>
      <c r="AP352" s="799">
        <f t="shared" si="74"/>
        <v>2</v>
      </c>
      <c r="AR352" s="799">
        <v>1</v>
      </c>
    </row>
    <row r="353" spans="1:44" ht="15.75">
      <c r="A353" s="850">
        <v>37</v>
      </c>
      <c r="B353" s="813" t="str">
        <f>VLOOKUP(C353,'DS CN MOI UP'!$B$10:$C$389,2,0)</f>
        <v>03393</v>
      </c>
      <c r="C353" s="112" t="s">
        <v>242</v>
      </c>
      <c r="D353" s="855" t="s">
        <v>15</v>
      </c>
      <c r="E353" s="815">
        <f t="shared" si="71"/>
        <v>24</v>
      </c>
      <c r="F353" s="815"/>
      <c r="G353" s="815"/>
      <c r="H353" s="960"/>
      <c r="I353" s="815"/>
      <c r="J353" s="815"/>
      <c r="K353" s="815"/>
      <c r="L353" s="815"/>
      <c r="M353" s="815"/>
      <c r="N353" s="815"/>
      <c r="O353" s="815"/>
      <c r="P353" s="815"/>
      <c r="Q353" s="815"/>
      <c r="R353" s="815"/>
      <c r="S353" s="830">
        <f t="shared" si="75"/>
        <v>24</v>
      </c>
      <c r="T353" s="830" t="e">
        <f>VLOOKUP(C353,'sản lượng'!$D$14:$AK$169,36,0)</f>
        <v>#N/A</v>
      </c>
      <c r="U353" s="830"/>
      <c r="V353" s="830"/>
      <c r="W353" s="830" t="e">
        <f>VLOOKUP(C353,'sản lượng'!$D$14:$AK$169,36,0)</f>
        <v>#N/A</v>
      </c>
      <c r="X353" s="830"/>
      <c r="Y353" s="830"/>
      <c r="Z353" s="830" t="e">
        <f t="shared" si="76"/>
        <v>#N/A</v>
      </c>
      <c r="AA353" s="830" t="e">
        <f>VLOOKUP(C353,'CHẤM CÔNG '!$E$13:$AM$168,33,0)</f>
        <v>#N/A</v>
      </c>
      <c r="AB353" s="830" t="e">
        <f>VLOOKUP(C353,'CHẤM CÔNG '!$E$13:$AM$168,34,0)</f>
        <v>#N/A</v>
      </c>
      <c r="AC353" s="830"/>
      <c r="AD353" s="830"/>
      <c r="AE353" s="830"/>
      <c r="AF353" s="830"/>
      <c r="AG353" s="830"/>
      <c r="AH353" s="830"/>
      <c r="AI353" s="830"/>
      <c r="AJ353" s="830"/>
      <c r="AK353" s="836"/>
      <c r="AL353" s="837" t="e">
        <f>VLOOKUP(C353,'sản lượng'!$D$14:$AP$169,38,0)</f>
        <v>#N/A</v>
      </c>
      <c r="AP353" s="799">
        <f t="shared" si="74"/>
        <v>2</v>
      </c>
      <c r="AR353" s="799">
        <v>1</v>
      </c>
    </row>
    <row r="354" spans="1:44" ht="15.75">
      <c r="A354" s="850">
        <v>38</v>
      </c>
      <c r="B354" s="813" t="str">
        <f>VLOOKUP(C354,'DS CN MOI UP'!$B$10:$C$389,2,0)</f>
        <v>03394</v>
      </c>
      <c r="C354" s="112" t="s">
        <v>243</v>
      </c>
      <c r="D354" s="855" t="s">
        <v>15</v>
      </c>
      <c r="E354" s="815">
        <f t="shared" si="71"/>
        <v>24</v>
      </c>
      <c r="F354" s="815"/>
      <c r="G354" s="815"/>
      <c r="H354" s="960"/>
      <c r="I354" s="815"/>
      <c r="J354" s="815"/>
      <c r="K354" s="815"/>
      <c r="L354" s="815"/>
      <c r="M354" s="815"/>
      <c r="N354" s="815"/>
      <c r="O354" s="815"/>
      <c r="P354" s="815"/>
      <c r="Q354" s="815"/>
      <c r="R354" s="815"/>
      <c r="S354" s="830">
        <f t="shared" si="75"/>
        <v>24</v>
      </c>
      <c r="T354" s="830" t="e">
        <f>VLOOKUP(C354,'sản lượng'!$D$14:$AK$169,36,0)</f>
        <v>#N/A</v>
      </c>
      <c r="U354" s="830"/>
      <c r="V354" s="830"/>
      <c r="W354" s="830" t="e">
        <f>VLOOKUP(C354,'sản lượng'!$D$14:$AK$169,36,0)</f>
        <v>#N/A</v>
      </c>
      <c r="X354" s="830"/>
      <c r="Y354" s="830"/>
      <c r="Z354" s="830" t="e">
        <f t="shared" si="76"/>
        <v>#N/A</v>
      </c>
      <c r="AA354" s="830" t="e">
        <f>VLOOKUP(C354,'CHẤM CÔNG '!$E$13:$AM$168,33,0)</f>
        <v>#N/A</v>
      </c>
      <c r="AB354" s="830" t="e">
        <f>VLOOKUP(C354,'CHẤM CÔNG '!$E$13:$AM$168,34,0)</f>
        <v>#N/A</v>
      </c>
      <c r="AC354" s="830"/>
      <c r="AD354" s="830"/>
      <c r="AE354" s="830"/>
      <c r="AF354" s="830"/>
      <c r="AG354" s="830"/>
      <c r="AH354" s="830"/>
      <c r="AI354" s="830"/>
      <c r="AJ354" s="830"/>
      <c r="AK354" s="836"/>
      <c r="AL354" s="837" t="e">
        <f>VLOOKUP(C354,'sản lượng'!$D$14:$AP$169,38,0)</f>
        <v>#N/A</v>
      </c>
      <c r="AP354" s="799">
        <f t="shared" si="74"/>
        <v>2</v>
      </c>
      <c r="AR354" s="799">
        <v>1</v>
      </c>
    </row>
    <row r="355" spans="1:44" ht="15.75">
      <c r="A355" s="850">
        <v>39</v>
      </c>
      <c r="B355" s="813" t="str">
        <f>VLOOKUP(C355,'DS CN MOI UP'!$B$10:$C$389,2,0)</f>
        <v>03395</v>
      </c>
      <c r="C355" s="112" t="s">
        <v>244</v>
      </c>
      <c r="D355" s="855" t="s">
        <v>15</v>
      </c>
      <c r="E355" s="815">
        <f t="shared" si="71"/>
        <v>24</v>
      </c>
      <c r="F355" s="815"/>
      <c r="G355" s="815"/>
      <c r="H355" s="960"/>
      <c r="I355" s="815"/>
      <c r="J355" s="815"/>
      <c r="K355" s="815"/>
      <c r="L355" s="815"/>
      <c r="M355" s="815"/>
      <c r="N355" s="815"/>
      <c r="O355" s="815"/>
      <c r="P355" s="815"/>
      <c r="Q355" s="815"/>
      <c r="R355" s="815"/>
      <c r="S355" s="830">
        <f t="shared" si="75"/>
        <v>24</v>
      </c>
      <c r="T355" s="830" t="e">
        <f>VLOOKUP(C355,'sản lượng'!$D$14:$AK$169,36,0)</f>
        <v>#N/A</v>
      </c>
      <c r="U355" s="830"/>
      <c r="V355" s="830"/>
      <c r="W355" s="830" t="e">
        <f>VLOOKUP(C355,'sản lượng'!$D$14:$AK$169,36,0)</f>
        <v>#N/A</v>
      </c>
      <c r="X355" s="830"/>
      <c r="Y355" s="830"/>
      <c r="Z355" s="830" t="e">
        <f t="shared" si="76"/>
        <v>#N/A</v>
      </c>
      <c r="AA355" s="830" t="e">
        <f>VLOOKUP(C355,'CHẤM CÔNG '!$E$13:$AM$168,33,0)</f>
        <v>#N/A</v>
      </c>
      <c r="AB355" s="830" t="e">
        <f>VLOOKUP(C355,'CHẤM CÔNG '!$E$13:$AM$168,34,0)</f>
        <v>#N/A</v>
      </c>
      <c r="AC355" s="830"/>
      <c r="AD355" s="830"/>
      <c r="AE355" s="830"/>
      <c r="AF355" s="830"/>
      <c r="AG355" s="830"/>
      <c r="AH355" s="830"/>
      <c r="AI355" s="830"/>
      <c r="AJ355" s="830"/>
      <c r="AK355" s="836"/>
      <c r="AL355" s="837" t="e">
        <f>VLOOKUP(C355,'sản lượng'!$D$14:$AP$169,38,0)</f>
        <v>#N/A</v>
      </c>
      <c r="AP355" s="799">
        <f t="shared" si="74"/>
        <v>2</v>
      </c>
      <c r="AR355" s="799">
        <v>1</v>
      </c>
    </row>
    <row r="356" spans="1:44" ht="15.75">
      <c r="A356" s="850">
        <v>40</v>
      </c>
      <c r="B356" s="813" t="str">
        <f>VLOOKUP(C356,'DS CN MOI UP'!$B$10:$C$389,2,0)</f>
        <v>03396</v>
      </c>
      <c r="C356" s="112" t="s">
        <v>245</v>
      </c>
      <c r="D356" s="855" t="s">
        <v>15</v>
      </c>
      <c r="E356" s="815">
        <f t="shared" si="71"/>
        <v>24</v>
      </c>
      <c r="F356" s="815"/>
      <c r="G356" s="815"/>
      <c r="H356" s="960"/>
      <c r="I356" s="815"/>
      <c r="J356" s="815"/>
      <c r="K356" s="815"/>
      <c r="L356" s="815"/>
      <c r="M356" s="815"/>
      <c r="N356" s="815"/>
      <c r="O356" s="815"/>
      <c r="P356" s="815"/>
      <c r="Q356" s="815"/>
      <c r="R356" s="815"/>
      <c r="S356" s="830">
        <f t="shared" si="75"/>
        <v>24</v>
      </c>
      <c r="T356" s="830" t="e">
        <f>VLOOKUP(C356,'sản lượng'!$D$14:$AK$169,36,0)</f>
        <v>#N/A</v>
      </c>
      <c r="U356" s="830"/>
      <c r="V356" s="830"/>
      <c r="W356" s="830" t="e">
        <f>VLOOKUP(C356,'sản lượng'!$D$14:$AK$169,36,0)</f>
        <v>#N/A</v>
      </c>
      <c r="X356" s="830"/>
      <c r="Y356" s="830"/>
      <c r="Z356" s="830" t="e">
        <f t="shared" si="76"/>
        <v>#N/A</v>
      </c>
      <c r="AA356" s="830" t="e">
        <f>VLOOKUP(C356,'CHẤM CÔNG '!$E$13:$AM$168,33,0)</f>
        <v>#N/A</v>
      </c>
      <c r="AB356" s="830" t="e">
        <f>VLOOKUP(C356,'CHẤM CÔNG '!$E$13:$AM$168,34,0)</f>
        <v>#N/A</v>
      </c>
      <c r="AC356" s="830"/>
      <c r="AD356" s="830"/>
      <c r="AE356" s="830"/>
      <c r="AF356" s="830"/>
      <c r="AG356" s="830"/>
      <c r="AH356" s="830"/>
      <c r="AI356" s="830"/>
      <c r="AJ356" s="830"/>
      <c r="AK356" s="836"/>
      <c r="AL356" s="837" t="e">
        <f>VLOOKUP(C356,'sản lượng'!$D$14:$AP$169,38,0)</f>
        <v>#N/A</v>
      </c>
      <c r="AP356" s="799">
        <f t="shared" si="74"/>
        <v>2</v>
      </c>
      <c r="AR356" s="799">
        <v>1</v>
      </c>
    </row>
    <row r="357" spans="1:44" ht="15.75">
      <c r="A357" s="850">
        <v>41</v>
      </c>
      <c r="B357" s="813" t="str">
        <f>VLOOKUP(C357,'DS CN MOI UP'!$B$10:$C$389,2,0)</f>
        <v>02593</v>
      </c>
      <c r="C357" s="112" t="s">
        <v>246</v>
      </c>
      <c r="D357" s="855" t="s">
        <v>15</v>
      </c>
      <c r="E357" s="815">
        <f t="shared" si="71"/>
        <v>24</v>
      </c>
      <c r="F357" s="815"/>
      <c r="G357" s="815"/>
      <c r="H357" s="960"/>
      <c r="I357" s="815"/>
      <c r="J357" s="815"/>
      <c r="K357" s="815"/>
      <c r="L357" s="815"/>
      <c r="M357" s="815"/>
      <c r="N357" s="815"/>
      <c r="O357" s="815"/>
      <c r="P357" s="815"/>
      <c r="Q357" s="815"/>
      <c r="R357" s="815"/>
      <c r="S357" s="830">
        <f t="shared" si="75"/>
        <v>24</v>
      </c>
      <c r="T357" s="830" t="e">
        <f>VLOOKUP(C357,'sản lượng'!$D$14:$AK$169,36,0)</f>
        <v>#N/A</v>
      </c>
      <c r="U357" s="830"/>
      <c r="V357" s="830"/>
      <c r="W357" s="830" t="e">
        <f>VLOOKUP(C357,'sản lượng'!$D$14:$AK$169,36,0)</f>
        <v>#N/A</v>
      </c>
      <c r="X357" s="830"/>
      <c r="Y357" s="830"/>
      <c r="Z357" s="830" t="e">
        <f t="shared" si="76"/>
        <v>#N/A</v>
      </c>
      <c r="AA357" s="830" t="e">
        <f>VLOOKUP(C357,'CHẤM CÔNG '!$E$13:$AM$168,33,0)</f>
        <v>#N/A</v>
      </c>
      <c r="AB357" s="830" t="e">
        <f>VLOOKUP(C357,'CHẤM CÔNG '!$E$13:$AM$168,34,0)</f>
        <v>#N/A</v>
      </c>
      <c r="AC357" s="830"/>
      <c r="AD357" s="830"/>
      <c r="AE357" s="830"/>
      <c r="AF357" s="830"/>
      <c r="AG357" s="830"/>
      <c r="AH357" s="830"/>
      <c r="AI357" s="830"/>
      <c r="AJ357" s="830"/>
      <c r="AK357" s="836"/>
      <c r="AL357" s="837" t="e">
        <f>VLOOKUP(C357,'sản lượng'!$D$14:$AP$169,38,0)</f>
        <v>#N/A</v>
      </c>
      <c r="AP357" s="799">
        <f t="shared" si="74"/>
        <v>2</v>
      </c>
      <c r="AR357" s="799">
        <v>1</v>
      </c>
    </row>
    <row r="358" spans="1:44" ht="15.75">
      <c r="A358" s="850">
        <v>42</v>
      </c>
      <c r="B358" s="813" t="str">
        <f>VLOOKUP(C358,'DS CN MOI UP'!$B$10:$C$389,2,0)</f>
        <v>02696</v>
      </c>
      <c r="C358" s="112" t="s">
        <v>247</v>
      </c>
      <c r="D358" s="855" t="s">
        <v>15</v>
      </c>
      <c r="E358" s="815">
        <f t="shared" si="71"/>
        <v>24</v>
      </c>
      <c r="F358" s="815"/>
      <c r="G358" s="815"/>
      <c r="H358" s="960"/>
      <c r="I358" s="815"/>
      <c r="J358" s="815"/>
      <c r="K358" s="815"/>
      <c r="L358" s="815"/>
      <c r="M358" s="815"/>
      <c r="N358" s="815"/>
      <c r="O358" s="815"/>
      <c r="P358" s="815"/>
      <c r="Q358" s="815"/>
      <c r="R358" s="815"/>
      <c r="S358" s="830">
        <f t="shared" si="75"/>
        <v>24</v>
      </c>
      <c r="T358" s="830" t="e">
        <f>VLOOKUP(C358,'sản lượng'!$D$14:$AK$169,36,0)</f>
        <v>#N/A</v>
      </c>
      <c r="U358" s="830"/>
      <c r="V358" s="830"/>
      <c r="W358" s="830" t="e">
        <f>VLOOKUP(C358,'sản lượng'!$D$14:$AK$169,36,0)</f>
        <v>#N/A</v>
      </c>
      <c r="X358" s="830"/>
      <c r="Y358" s="830"/>
      <c r="Z358" s="830" t="e">
        <f t="shared" si="76"/>
        <v>#N/A</v>
      </c>
      <c r="AA358" s="830" t="e">
        <f>VLOOKUP(C358,'CHẤM CÔNG '!$E$13:$AM$168,33,0)</f>
        <v>#N/A</v>
      </c>
      <c r="AB358" s="830" t="e">
        <f>VLOOKUP(C358,'CHẤM CÔNG '!$E$13:$AM$168,34,0)</f>
        <v>#N/A</v>
      </c>
      <c r="AC358" s="830"/>
      <c r="AD358" s="830"/>
      <c r="AE358" s="830"/>
      <c r="AF358" s="830"/>
      <c r="AG358" s="830"/>
      <c r="AH358" s="830"/>
      <c r="AI358" s="830"/>
      <c r="AJ358" s="830"/>
      <c r="AK358" s="836"/>
      <c r="AL358" s="837" t="e">
        <f>VLOOKUP(C358,'sản lượng'!$D$14:$AP$169,38,0)</f>
        <v>#N/A</v>
      </c>
      <c r="AP358" s="799">
        <f t="shared" si="74"/>
        <v>2</v>
      </c>
      <c r="AR358" s="799">
        <v>1</v>
      </c>
    </row>
    <row r="359" spans="1:44" ht="15.75">
      <c r="A359" s="850">
        <v>43</v>
      </c>
      <c r="B359" s="813" t="str">
        <f>VLOOKUP(C359,'DS CN MOI UP'!$B$10:$C$389,2,0)</f>
        <v>03397</v>
      </c>
      <c r="C359" s="112" t="s">
        <v>248</v>
      </c>
      <c r="D359" s="855" t="s">
        <v>15</v>
      </c>
      <c r="E359" s="815">
        <f t="shared" si="71"/>
        <v>24</v>
      </c>
      <c r="F359" s="815"/>
      <c r="G359" s="815"/>
      <c r="H359" s="960"/>
      <c r="I359" s="815"/>
      <c r="J359" s="815"/>
      <c r="K359" s="815"/>
      <c r="L359" s="815"/>
      <c r="M359" s="815"/>
      <c r="N359" s="815"/>
      <c r="O359" s="815"/>
      <c r="P359" s="815"/>
      <c r="Q359" s="815"/>
      <c r="R359" s="815"/>
      <c r="S359" s="830">
        <f t="shared" si="75"/>
        <v>24</v>
      </c>
      <c r="T359" s="830" t="e">
        <f>VLOOKUP(C359,'sản lượng'!$D$14:$AK$169,36,0)</f>
        <v>#N/A</v>
      </c>
      <c r="U359" s="830"/>
      <c r="V359" s="830"/>
      <c r="W359" s="830" t="e">
        <f>VLOOKUP(C359,'sản lượng'!$D$14:$AK$169,36,0)</f>
        <v>#N/A</v>
      </c>
      <c r="X359" s="830"/>
      <c r="Y359" s="830"/>
      <c r="Z359" s="830" t="e">
        <f t="shared" si="76"/>
        <v>#N/A</v>
      </c>
      <c r="AA359" s="830" t="e">
        <f>VLOOKUP(C359,'CHẤM CÔNG '!$E$13:$AM$168,33,0)</f>
        <v>#N/A</v>
      </c>
      <c r="AB359" s="830" t="e">
        <f>VLOOKUP(C359,'CHẤM CÔNG '!$E$13:$AM$168,34,0)</f>
        <v>#N/A</v>
      </c>
      <c r="AC359" s="830"/>
      <c r="AD359" s="830"/>
      <c r="AE359" s="830"/>
      <c r="AF359" s="830"/>
      <c r="AG359" s="830"/>
      <c r="AH359" s="830"/>
      <c r="AI359" s="830"/>
      <c r="AJ359" s="830"/>
      <c r="AK359" s="836"/>
      <c r="AL359" s="837" t="e">
        <f>VLOOKUP(C359,'sản lượng'!$D$14:$AP$169,38,0)</f>
        <v>#N/A</v>
      </c>
      <c r="AP359" s="799">
        <f t="shared" si="74"/>
        <v>2</v>
      </c>
      <c r="AR359" s="799">
        <v>1</v>
      </c>
    </row>
    <row r="360" spans="1:44" ht="15.75">
      <c r="A360" s="850">
        <v>44</v>
      </c>
      <c r="B360" s="813" t="str">
        <f>VLOOKUP(C360,'DS CN MOI UP'!$B$10:$C$389,2,0)</f>
        <v>03398</v>
      </c>
      <c r="C360" s="112" t="s">
        <v>249</v>
      </c>
      <c r="D360" s="855" t="s">
        <v>15</v>
      </c>
      <c r="E360" s="815">
        <f t="shared" si="71"/>
        <v>24</v>
      </c>
      <c r="F360" s="815"/>
      <c r="G360" s="815"/>
      <c r="H360" s="960"/>
      <c r="I360" s="815"/>
      <c r="J360" s="815"/>
      <c r="K360" s="815"/>
      <c r="L360" s="815"/>
      <c r="M360" s="815"/>
      <c r="N360" s="815"/>
      <c r="O360" s="815"/>
      <c r="P360" s="815"/>
      <c r="Q360" s="815"/>
      <c r="R360" s="815"/>
      <c r="S360" s="830">
        <f t="shared" si="75"/>
        <v>24</v>
      </c>
      <c r="T360" s="830" t="e">
        <f>VLOOKUP(C360,'sản lượng'!$D$14:$AK$169,36,0)</f>
        <v>#N/A</v>
      </c>
      <c r="U360" s="830"/>
      <c r="V360" s="830"/>
      <c r="W360" s="830" t="e">
        <f>VLOOKUP(C360,'sản lượng'!$D$14:$AK$169,36,0)</f>
        <v>#N/A</v>
      </c>
      <c r="X360" s="830"/>
      <c r="Y360" s="830"/>
      <c r="Z360" s="830" t="e">
        <f t="shared" si="76"/>
        <v>#N/A</v>
      </c>
      <c r="AA360" s="830" t="e">
        <f>VLOOKUP(C360,'CHẤM CÔNG '!$E$13:$AM$168,33,0)</f>
        <v>#N/A</v>
      </c>
      <c r="AB360" s="830" t="e">
        <f>VLOOKUP(C360,'CHẤM CÔNG '!$E$13:$AM$168,34,0)</f>
        <v>#N/A</v>
      </c>
      <c r="AC360" s="830"/>
      <c r="AD360" s="830"/>
      <c r="AE360" s="830"/>
      <c r="AF360" s="830"/>
      <c r="AG360" s="830"/>
      <c r="AH360" s="830"/>
      <c r="AI360" s="830"/>
      <c r="AJ360" s="830"/>
      <c r="AK360" s="836"/>
      <c r="AL360" s="837" t="e">
        <f>VLOOKUP(C360,'sản lượng'!$D$14:$AP$169,38,0)</f>
        <v>#N/A</v>
      </c>
      <c r="AP360" s="799">
        <f t="shared" si="74"/>
        <v>2</v>
      </c>
      <c r="AR360" s="799">
        <v>1</v>
      </c>
    </row>
    <row r="361" spans="1:44" ht="15.75">
      <c r="A361" s="850">
        <v>45</v>
      </c>
      <c r="B361" s="813" t="str">
        <f>VLOOKUP(C361,'DS CN MOI UP'!$B$10:$C$389,2,0)</f>
        <v>02592</v>
      </c>
      <c r="C361" s="112" t="s">
        <v>250</v>
      </c>
      <c r="D361" s="855" t="s">
        <v>15</v>
      </c>
      <c r="E361" s="815">
        <f t="shared" si="71"/>
        <v>24</v>
      </c>
      <c r="F361" s="815"/>
      <c r="G361" s="815"/>
      <c r="H361" s="960"/>
      <c r="I361" s="815"/>
      <c r="J361" s="815"/>
      <c r="K361" s="815"/>
      <c r="L361" s="815"/>
      <c r="M361" s="815"/>
      <c r="N361" s="815"/>
      <c r="O361" s="815"/>
      <c r="P361" s="815"/>
      <c r="Q361" s="815"/>
      <c r="R361" s="815"/>
      <c r="S361" s="830">
        <f t="shared" si="75"/>
        <v>24</v>
      </c>
      <c r="T361" s="830" t="e">
        <f>VLOOKUP(C361,'sản lượng'!$D$14:$AK$169,36,0)</f>
        <v>#N/A</v>
      </c>
      <c r="U361" s="830"/>
      <c r="V361" s="830"/>
      <c r="W361" s="830" t="e">
        <f>VLOOKUP(C361,'sản lượng'!$D$14:$AK$169,36,0)</f>
        <v>#N/A</v>
      </c>
      <c r="X361" s="830"/>
      <c r="Y361" s="830"/>
      <c r="Z361" s="830" t="e">
        <f t="shared" si="76"/>
        <v>#N/A</v>
      </c>
      <c r="AA361" s="830" t="e">
        <f>VLOOKUP(C361,'CHẤM CÔNG '!$E$13:$AM$168,33,0)</f>
        <v>#N/A</v>
      </c>
      <c r="AB361" s="830" t="e">
        <f>VLOOKUP(C361,'CHẤM CÔNG '!$E$13:$AM$168,34,0)</f>
        <v>#N/A</v>
      </c>
      <c r="AC361" s="830"/>
      <c r="AD361" s="830"/>
      <c r="AE361" s="830"/>
      <c r="AF361" s="830"/>
      <c r="AG361" s="830"/>
      <c r="AH361" s="830"/>
      <c r="AI361" s="830"/>
      <c r="AJ361" s="830"/>
      <c r="AK361" s="836"/>
      <c r="AL361" s="837" t="e">
        <f>VLOOKUP(C361,'sản lượng'!$D$14:$AP$169,38,0)</f>
        <v>#N/A</v>
      </c>
      <c r="AP361" s="799">
        <f t="shared" si="74"/>
        <v>2</v>
      </c>
      <c r="AR361" s="799">
        <v>1</v>
      </c>
    </row>
    <row r="362" spans="1:44" ht="15.75">
      <c r="A362" s="850">
        <v>46</v>
      </c>
      <c r="B362" s="813" t="str">
        <f>VLOOKUP(C362,'DS CN MOI UP'!$B$10:$C$389,2,0)</f>
        <v>02598</v>
      </c>
      <c r="C362" s="112" t="s">
        <v>251</v>
      </c>
      <c r="D362" s="855" t="s">
        <v>15</v>
      </c>
      <c r="E362" s="815">
        <f t="shared" si="71"/>
        <v>24</v>
      </c>
      <c r="F362" s="815"/>
      <c r="G362" s="815"/>
      <c r="H362" s="960"/>
      <c r="I362" s="815"/>
      <c r="J362" s="815"/>
      <c r="K362" s="815"/>
      <c r="L362" s="815"/>
      <c r="M362" s="815"/>
      <c r="N362" s="815"/>
      <c r="O362" s="815"/>
      <c r="P362" s="815"/>
      <c r="Q362" s="815"/>
      <c r="R362" s="815"/>
      <c r="S362" s="830">
        <f t="shared" si="75"/>
        <v>24</v>
      </c>
      <c r="T362" s="830" t="e">
        <f>VLOOKUP(C362,'sản lượng'!$D$14:$AK$169,36,0)</f>
        <v>#N/A</v>
      </c>
      <c r="U362" s="830"/>
      <c r="V362" s="830"/>
      <c r="W362" s="830" t="e">
        <f>VLOOKUP(C362,'sản lượng'!$D$14:$AK$169,36,0)</f>
        <v>#N/A</v>
      </c>
      <c r="X362" s="830"/>
      <c r="Y362" s="830"/>
      <c r="Z362" s="830" t="e">
        <f t="shared" si="76"/>
        <v>#N/A</v>
      </c>
      <c r="AA362" s="830" t="e">
        <f>VLOOKUP(C362,'CHẤM CÔNG '!$E$13:$AM$168,33,0)</f>
        <v>#N/A</v>
      </c>
      <c r="AB362" s="830" t="e">
        <f>VLOOKUP(C362,'CHẤM CÔNG '!$E$13:$AM$168,34,0)</f>
        <v>#N/A</v>
      </c>
      <c r="AC362" s="830"/>
      <c r="AD362" s="830"/>
      <c r="AE362" s="830"/>
      <c r="AF362" s="830"/>
      <c r="AG362" s="830"/>
      <c r="AH362" s="830"/>
      <c r="AI362" s="830"/>
      <c r="AJ362" s="830"/>
      <c r="AK362" s="836"/>
      <c r="AL362" s="837" t="e">
        <f>VLOOKUP(C362,'sản lượng'!$D$14:$AP$169,38,0)</f>
        <v>#N/A</v>
      </c>
      <c r="AP362" s="799">
        <f t="shared" si="74"/>
        <v>2</v>
      </c>
      <c r="AR362" s="799">
        <v>1</v>
      </c>
    </row>
    <row r="363" spans="1:44" ht="15.75">
      <c r="A363" s="850">
        <v>47</v>
      </c>
      <c r="B363" s="813" t="str">
        <f>VLOOKUP(C363,'DS CN MOI UP'!$B$10:$C$389,2,0)</f>
        <v>02575</v>
      </c>
      <c r="C363" s="112" t="s">
        <v>252</v>
      </c>
      <c r="D363" s="855" t="s">
        <v>15</v>
      </c>
      <c r="E363" s="815">
        <f t="shared" si="71"/>
        <v>24</v>
      </c>
      <c r="F363" s="815"/>
      <c r="G363" s="815"/>
      <c r="H363" s="960"/>
      <c r="I363" s="815"/>
      <c r="J363" s="815"/>
      <c r="K363" s="815"/>
      <c r="L363" s="815"/>
      <c r="M363" s="815"/>
      <c r="N363" s="815"/>
      <c r="O363" s="815"/>
      <c r="P363" s="815"/>
      <c r="Q363" s="815"/>
      <c r="R363" s="815"/>
      <c r="S363" s="830">
        <f t="shared" si="75"/>
        <v>24</v>
      </c>
      <c r="T363" s="830" t="e">
        <f>VLOOKUP(C363,'sản lượng'!$D$14:$AK$169,36,0)</f>
        <v>#N/A</v>
      </c>
      <c r="U363" s="830"/>
      <c r="V363" s="830"/>
      <c r="W363" s="830" t="e">
        <f>VLOOKUP(C363,'sản lượng'!$D$14:$AK$169,36,0)</f>
        <v>#N/A</v>
      </c>
      <c r="X363" s="830"/>
      <c r="Y363" s="830"/>
      <c r="Z363" s="830" t="e">
        <f t="shared" si="76"/>
        <v>#N/A</v>
      </c>
      <c r="AA363" s="830" t="e">
        <f>VLOOKUP(C363,'CHẤM CÔNG '!$E$13:$AM$168,33,0)</f>
        <v>#N/A</v>
      </c>
      <c r="AB363" s="830" t="e">
        <f>VLOOKUP(C363,'CHẤM CÔNG '!$E$13:$AM$168,34,0)</f>
        <v>#N/A</v>
      </c>
      <c r="AC363" s="830"/>
      <c r="AD363" s="830"/>
      <c r="AE363" s="830"/>
      <c r="AF363" s="830"/>
      <c r="AG363" s="830"/>
      <c r="AH363" s="830"/>
      <c r="AI363" s="830"/>
      <c r="AJ363" s="830"/>
      <c r="AK363" s="836"/>
      <c r="AL363" s="837" t="e">
        <f>VLOOKUP(C363,'sản lượng'!$D$14:$AP$169,38,0)</f>
        <v>#N/A</v>
      </c>
      <c r="AP363" s="799">
        <f t="shared" si="74"/>
        <v>2</v>
      </c>
      <c r="AR363" s="799">
        <v>1</v>
      </c>
    </row>
    <row r="364" spans="1:44" ht="15.75">
      <c r="A364" s="850">
        <v>48</v>
      </c>
      <c r="B364" s="813" t="str">
        <f>VLOOKUP(C364,'DS CN MOI UP'!$B$10:$C$389,2,0)</f>
        <v>02606</v>
      </c>
      <c r="C364" s="112" t="s">
        <v>253</v>
      </c>
      <c r="D364" s="855" t="s">
        <v>15</v>
      </c>
      <c r="E364" s="815">
        <f t="shared" si="71"/>
        <v>24</v>
      </c>
      <c r="F364" s="815"/>
      <c r="G364" s="815"/>
      <c r="H364" s="960"/>
      <c r="I364" s="815"/>
      <c r="J364" s="815"/>
      <c r="K364" s="815"/>
      <c r="L364" s="815"/>
      <c r="M364" s="815"/>
      <c r="N364" s="815"/>
      <c r="O364" s="815"/>
      <c r="P364" s="815"/>
      <c r="Q364" s="815"/>
      <c r="R364" s="815"/>
      <c r="S364" s="830">
        <f t="shared" si="75"/>
        <v>24</v>
      </c>
      <c r="T364" s="830" t="e">
        <f>VLOOKUP(C364,'sản lượng'!$D$14:$AK$169,36,0)</f>
        <v>#N/A</v>
      </c>
      <c r="U364" s="830"/>
      <c r="V364" s="830"/>
      <c r="W364" s="830" t="e">
        <f>VLOOKUP(C364,'sản lượng'!$D$14:$AK$169,36,0)</f>
        <v>#N/A</v>
      </c>
      <c r="X364" s="830"/>
      <c r="Y364" s="830"/>
      <c r="Z364" s="830" t="e">
        <f t="shared" si="76"/>
        <v>#N/A</v>
      </c>
      <c r="AA364" s="830" t="e">
        <f>VLOOKUP(C364,'CHẤM CÔNG '!$E$13:$AM$168,33,0)</f>
        <v>#N/A</v>
      </c>
      <c r="AB364" s="830" t="e">
        <f>VLOOKUP(C364,'CHẤM CÔNG '!$E$13:$AM$168,34,0)</f>
        <v>#N/A</v>
      </c>
      <c r="AC364" s="830"/>
      <c r="AD364" s="830"/>
      <c r="AE364" s="830"/>
      <c r="AF364" s="830"/>
      <c r="AG364" s="830"/>
      <c r="AH364" s="830"/>
      <c r="AI364" s="830"/>
      <c r="AJ364" s="830"/>
      <c r="AK364" s="836"/>
      <c r="AL364" s="837" t="e">
        <f>VLOOKUP(C364,'sản lượng'!$D$14:$AP$169,38,0)</f>
        <v>#N/A</v>
      </c>
      <c r="AP364" s="799">
        <f t="shared" si="74"/>
        <v>2</v>
      </c>
      <c r="AR364" s="799">
        <v>1</v>
      </c>
    </row>
    <row r="365" spans="1:44" ht="15.75">
      <c r="A365" s="850">
        <v>49</v>
      </c>
      <c r="B365" s="813" t="str">
        <f>VLOOKUP(C365,'DS CN MOI UP'!$B$10:$C$389,2,0)</f>
        <v>02607</v>
      </c>
      <c r="C365" s="112" t="s">
        <v>254</v>
      </c>
      <c r="D365" s="855" t="s">
        <v>15</v>
      </c>
      <c r="E365" s="815">
        <f t="shared" si="71"/>
        <v>24</v>
      </c>
      <c r="F365" s="815"/>
      <c r="G365" s="815"/>
      <c r="H365" s="960"/>
      <c r="I365" s="815"/>
      <c r="J365" s="815"/>
      <c r="K365" s="815"/>
      <c r="L365" s="815"/>
      <c r="M365" s="815"/>
      <c r="N365" s="815"/>
      <c r="O365" s="815"/>
      <c r="P365" s="815"/>
      <c r="Q365" s="815"/>
      <c r="R365" s="815"/>
      <c r="S365" s="830">
        <f t="shared" si="75"/>
        <v>24</v>
      </c>
      <c r="T365" s="830" t="e">
        <f>VLOOKUP(C365,'sản lượng'!$D$14:$AK$169,36,0)</f>
        <v>#N/A</v>
      </c>
      <c r="U365" s="830"/>
      <c r="V365" s="830"/>
      <c r="W365" s="830" t="e">
        <f>VLOOKUP(C365,'sản lượng'!$D$14:$AK$169,36,0)</f>
        <v>#N/A</v>
      </c>
      <c r="X365" s="830"/>
      <c r="Y365" s="830"/>
      <c r="Z365" s="830" t="e">
        <f t="shared" si="76"/>
        <v>#N/A</v>
      </c>
      <c r="AA365" s="830" t="e">
        <f>VLOOKUP(C365,'CHẤM CÔNG '!$E$13:$AM$168,33,0)</f>
        <v>#N/A</v>
      </c>
      <c r="AB365" s="830" t="e">
        <f>VLOOKUP(C365,'CHẤM CÔNG '!$E$13:$AM$168,34,0)</f>
        <v>#N/A</v>
      </c>
      <c r="AC365" s="830"/>
      <c r="AD365" s="830"/>
      <c r="AE365" s="830"/>
      <c r="AF365" s="830"/>
      <c r="AG365" s="830"/>
      <c r="AH365" s="830"/>
      <c r="AI365" s="830"/>
      <c r="AJ365" s="830"/>
      <c r="AK365" s="836"/>
      <c r="AL365" s="837" t="e">
        <f>VLOOKUP(C365,'sản lượng'!$D$14:$AP$169,38,0)</f>
        <v>#N/A</v>
      </c>
      <c r="AP365" s="799">
        <f t="shared" si="74"/>
        <v>2</v>
      </c>
      <c r="AR365" s="799">
        <v>1</v>
      </c>
    </row>
    <row r="366" spans="1:44" ht="15.75">
      <c r="A366" s="850">
        <v>50</v>
      </c>
      <c r="B366" s="813" t="str">
        <f>VLOOKUP(C366,'DS CN MOI UP'!$B$10:$C$389,2,0)</f>
        <v>02612</v>
      </c>
      <c r="C366" s="112" t="s">
        <v>255</v>
      </c>
      <c r="D366" s="855" t="s">
        <v>15</v>
      </c>
      <c r="E366" s="815">
        <f t="shared" si="71"/>
        <v>24</v>
      </c>
      <c r="F366" s="815"/>
      <c r="G366" s="815"/>
      <c r="H366" s="960"/>
      <c r="I366" s="815"/>
      <c r="J366" s="815"/>
      <c r="K366" s="815"/>
      <c r="L366" s="815"/>
      <c r="M366" s="815"/>
      <c r="N366" s="815"/>
      <c r="O366" s="815"/>
      <c r="P366" s="815"/>
      <c r="Q366" s="815"/>
      <c r="R366" s="815"/>
      <c r="S366" s="830">
        <f t="shared" si="75"/>
        <v>24</v>
      </c>
      <c r="T366" s="830" t="e">
        <f>VLOOKUP(C366,'sản lượng'!$D$14:$AK$169,36,0)</f>
        <v>#N/A</v>
      </c>
      <c r="U366" s="830"/>
      <c r="V366" s="830"/>
      <c r="W366" s="830" t="e">
        <f>VLOOKUP(C366,'sản lượng'!$D$14:$AK$169,36,0)</f>
        <v>#N/A</v>
      </c>
      <c r="X366" s="830"/>
      <c r="Y366" s="830"/>
      <c r="Z366" s="830" t="e">
        <f t="shared" si="76"/>
        <v>#N/A</v>
      </c>
      <c r="AA366" s="830" t="e">
        <f>VLOOKUP(C366,'CHẤM CÔNG '!$E$13:$AM$168,33,0)</f>
        <v>#N/A</v>
      </c>
      <c r="AB366" s="830" t="e">
        <f>VLOOKUP(C366,'CHẤM CÔNG '!$E$13:$AM$168,34,0)</f>
        <v>#N/A</v>
      </c>
      <c r="AC366" s="830"/>
      <c r="AD366" s="830"/>
      <c r="AE366" s="830"/>
      <c r="AF366" s="830"/>
      <c r="AG366" s="830"/>
      <c r="AH366" s="830"/>
      <c r="AI366" s="830"/>
      <c r="AJ366" s="830"/>
      <c r="AK366" s="836"/>
      <c r="AL366" s="837" t="e">
        <f>VLOOKUP(C366,'sản lượng'!$D$14:$AP$169,38,0)</f>
        <v>#N/A</v>
      </c>
      <c r="AP366" s="799">
        <f t="shared" si="74"/>
        <v>2</v>
      </c>
      <c r="AR366" s="799">
        <v>1</v>
      </c>
    </row>
    <row r="367" spans="1:44" ht="15.75">
      <c r="A367" s="850">
        <v>51</v>
      </c>
      <c r="B367" s="813" t="str">
        <f>VLOOKUP(C367,'DS CN MOI UP'!$B$10:$C$389,2,0)</f>
        <v>02574</v>
      </c>
      <c r="C367" s="112" t="s">
        <v>256</v>
      </c>
      <c r="D367" s="855" t="s">
        <v>15</v>
      </c>
      <c r="E367" s="815">
        <f t="shared" si="71"/>
        <v>24</v>
      </c>
      <c r="F367" s="815"/>
      <c r="G367" s="815"/>
      <c r="H367" s="960"/>
      <c r="I367" s="815"/>
      <c r="J367" s="815"/>
      <c r="K367" s="815"/>
      <c r="L367" s="815"/>
      <c r="M367" s="815"/>
      <c r="N367" s="815"/>
      <c r="O367" s="815"/>
      <c r="P367" s="815"/>
      <c r="Q367" s="815"/>
      <c r="R367" s="815"/>
      <c r="S367" s="830">
        <f t="shared" si="75"/>
        <v>24</v>
      </c>
      <c r="T367" s="830" t="e">
        <f>VLOOKUP(C367,'sản lượng'!$D$14:$AK$169,36,0)</f>
        <v>#N/A</v>
      </c>
      <c r="U367" s="830"/>
      <c r="V367" s="830"/>
      <c r="W367" s="830" t="e">
        <f>VLOOKUP(C367,'sản lượng'!$D$14:$AK$169,36,0)</f>
        <v>#N/A</v>
      </c>
      <c r="X367" s="830"/>
      <c r="Y367" s="830"/>
      <c r="Z367" s="830" t="e">
        <f t="shared" si="76"/>
        <v>#N/A</v>
      </c>
      <c r="AA367" s="830" t="e">
        <f>VLOOKUP(C367,'CHẤM CÔNG '!$E$13:$AM$168,33,0)</f>
        <v>#N/A</v>
      </c>
      <c r="AB367" s="830" t="e">
        <f>VLOOKUP(C367,'CHẤM CÔNG '!$E$13:$AM$168,34,0)</f>
        <v>#N/A</v>
      </c>
      <c r="AC367" s="830"/>
      <c r="AD367" s="830"/>
      <c r="AE367" s="830"/>
      <c r="AF367" s="830"/>
      <c r="AG367" s="830"/>
      <c r="AH367" s="830"/>
      <c r="AI367" s="830"/>
      <c r="AJ367" s="830"/>
      <c r="AK367" s="836"/>
      <c r="AL367" s="837" t="e">
        <f>VLOOKUP(C367,'sản lượng'!$D$14:$AP$169,38,0)</f>
        <v>#N/A</v>
      </c>
      <c r="AP367" s="799">
        <f t="shared" si="74"/>
        <v>2</v>
      </c>
      <c r="AR367" s="799">
        <v>1</v>
      </c>
    </row>
    <row r="368" spans="1:44" ht="15.75">
      <c r="A368" s="850">
        <v>52</v>
      </c>
      <c r="B368" s="813" t="str">
        <f>VLOOKUP(C368,'DS CN MOI UP'!$B$10:$C$389,2,0)</f>
        <v>02577</v>
      </c>
      <c r="C368" s="112" t="s">
        <v>257</v>
      </c>
      <c r="D368" s="855" t="s">
        <v>15</v>
      </c>
      <c r="E368" s="815">
        <f t="shared" si="71"/>
        <v>24</v>
      </c>
      <c r="F368" s="815"/>
      <c r="G368" s="815"/>
      <c r="H368" s="960"/>
      <c r="I368" s="815"/>
      <c r="J368" s="815"/>
      <c r="K368" s="815"/>
      <c r="L368" s="815"/>
      <c r="M368" s="815"/>
      <c r="N368" s="815"/>
      <c r="O368" s="815"/>
      <c r="P368" s="815"/>
      <c r="Q368" s="815"/>
      <c r="R368" s="815"/>
      <c r="S368" s="830">
        <f t="shared" si="75"/>
        <v>24</v>
      </c>
      <c r="T368" s="830" t="e">
        <f>VLOOKUP(C368,'sản lượng'!$D$14:$AK$169,36,0)</f>
        <v>#N/A</v>
      </c>
      <c r="U368" s="830"/>
      <c r="V368" s="830"/>
      <c r="W368" s="830" t="e">
        <f>VLOOKUP(C368,'sản lượng'!$D$14:$AK$169,36,0)</f>
        <v>#N/A</v>
      </c>
      <c r="X368" s="830"/>
      <c r="Y368" s="830"/>
      <c r="Z368" s="830" t="e">
        <f t="shared" si="76"/>
        <v>#N/A</v>
      </c>
      <c r="AA368" s="830" t="e">
        <f>VLOOKUP(C368,'CHẤM CÔNG '!$E$13:$AM$168,33,0)</f>
        <v>#N/A</v>
      </c>
      <c r="AB368" s="830" t="e">
        <f>VLOOKUP(C368,'CHẤM CÔNG '!$E$13:$AM$168,34,0)</f>
        <v>#N/A</v>
      </c>
      <c r="AC368" s="830"/>
      <c r="AD368" s="830"/>
      <c r="AE368" s="830"/>
      <c r="AF368" s="830"/>
      <c r="AG368" s="830"/>
      <c r="AH368" s="830"/>
      <c r="AI368" s="830"/>
      <c r="AJ368" s="830"/>
      <c r="AK368" s="836"/>
      <c r="AL368" s="837" t="e">
        <f>VLOOKUP(C368,'sản lượng'!$D$14:$AP$169,38,0)</f>
        <v>#N/A</v>
      </c>
      <c r="AP368" s="799">
        <f t="shared" si="74"/>
        <v>2</v>
      </c>
      <c r="AR368" s="799">
        <v>1</v>
      </c>
    </row>
    <row r="369" spans="1:44" ht="15.75">
      <c r="A369" s="850">
        <v>53</v>
      </c>
      <c r="B369" s="813" t="str">
        <f>VLOOKUP(C369,'DS CN MOI UP'!$B$10:$C$389,2,0)</f>
        <v>02605</v>
      </c>
      <c r="C369" s="112" t="s">
        <v>258</v>
      </c>
      <c r="D369" s="855" t="s">
        <v>15</v>
      </c>
      <c r="E369" s="815">
        <f t="shared" si="71"/>
        <v>24</v>
      </c>
      <c r="F369" s="815"/>
      <c r="G369" s="815"/>
      <c r="H369" s="960"/>
      <c r="I369" s="815"/>
      <c r="J369" s="815"/>
      <c r="K369" s="815"/>
      <c r="L369" s="815"/>
      <c r="M369" s="815"/>
      <c r="N369" s="815"/>
      <c r="O369" s="815"/>
      <c r="P369" s="815"/>
      <c r="Q369" s="815"/>
      <c r="R369" s="815"/>
      <c r="S369" s="830">
        <f t="shared" si="75"/>
        <v>24</v>
      </c>
      <c r="T369" s="830" t="e">
        <f>VLOOKUP(C369,'sản lượng'!$D$14:$AK$169,36,0)</f>
        <v>#N/A</v>
      </c>
      <c r="U369" s="830"/>
      <c r="V369" s="830"/>
      <c r="W369" s="830" t="e">
        <f>VLOOKUP(C369,'sản lượng'!$D$14:$AK$169,36,0)</f>
        <v>#N/A</v>
      </c>
      <c r="X369" s="830"/>
      <c r="Y369" s="830"/>
      <c r="Z369" s="830" t="e">
        <f t="shared" si="76"/>
        <v>#N/A</v>
      </c>
      <c r="AA369" s="830" t="e">
        <f>VLOOKUP(C369,'CHẤM CÔNG '!$E$13:$AM$168,33,0)</f>
        <v>#N/A</v>
      </c>
      <c r="AB369" s="830" t="e">
        <f>VLOOKUP(C369,'CHẤM CÔNG '!$E$13:$AM$168,34,0)</f>
        <v>#N/A</v>
      </c>
      <c r="AC369" s="830"/>
      <c r="AD369" s="830"/>
      <c r="AE369" s="830"/>
      <c r="AF369" s="830"/>
      <c r="AG369" s="830"/>
      <c r="AH369" s="830"/>
      <c r="AI369" s="830"/>
      <c r="AJ369" s="830"/>
      <c r="AK369" s="836"/>
      <c r="AL369" s="837" t="e">
        <f>VLOOKUP(C369,'sản lượng'!$D$14:$AP$169,38,0)</f>
        <v>#N/A</v>
      </c>
      <c r="AP369" s="799">
        <f t="shared" si="74"/>
        <v>2</v>
      </c>
      <c r="AR369" s="799">
        <v>1</v>
      </c>
    </row>
    <row r="370" spans="1:44" ht="15.75">
      <c r="A370" s="850">
        <v>54</v>
      </c>
      <c r="B370" s="813" t="str">
        <f>VLOOKUP(C370,'DS CN MOI UP'!$B$10:$C$389,2,0)</f>
        <v>02588</v>
      </c>
      <c r="C370" s="112" t="s">
        <v>259</v>
      </c>
      <c r="D370" s="855" t="s">
        <v>15</v>
      </c>
      <c r="E370" s="815">
        <f t="shared" si="71"/>
        <v>24</v>
      </c>
      <c r="F370" s="815"/>
      <c r="G370" s="815"/>
      <c r="H370" s="960"/>
      <c r="I370" s="815"/>
      <c r="J370" s="815"/>
      <c r="K370" s="815"/>
      <c r="L370" s="815"/>
      <c r="M370" s="815"/>
      <c r="N370" s="815"/>
      <c r="O370" s="815"/>
      <c r="P370" s="815"/>
      <c r="Q370" s="815"/>
      <c r="R370" s="815"/>
      <c r="S370" s="830">
        <f t="shared" si="75"/>
        <v>24</v>
      </c>
      <c r="T370" s="830" t="e">
        <f>VLOOKUP(C370,'sản lượng'!$D$14:$AK$169,36,0)</f>
        <v>#N/A</v>
      </c>
      <c r="U370" s="830"/>
      <c r="V370" s="830"/>
      <c r="W370" s="830" t="e">
        <f>VLOOKUP(C370,'sản lượng'!$D$14:$AK$169,36,0)</f>
        <v>#N/A</v>
      </c>
      <c r="X370" s="830"/>
      <c r="Y370" s="830"/>
      <c r="Z370" s="830" t="e">
        <f t="shared" si="76"/>
        <v>#N/A</v>
      </c>
      <c r="AA370" s="830" t="e">
        <f>VLOOKUP(C370,'CHẤM CÔNG '!$E$13:$AM$168,33,0)</f>
        <v>#N/A</v>
      </c>
      <c r="AB370" s="830" t="e">
        <f>VLOOKUP(C370,'CHẤM CÔNG '!$E$13:$AM$168,34,0)</f>
        <v>#N/A</v>
      </c>
      <c r="AC370" s="830"/>
      <c r="AD370" s="830"/>
      <c r="AE370" s="830"/>
      <c r="AF370" s="830"/>
      <c r="AG370" s="830"/>
      <c r="AH370" s="830"/>
      <c r="AI370" s="830"/>
      <c r="AJ370" s="830"/>
      <c r="AK370" s="836"/>
      <c r="AL370" s="837" t="e">
        <f>VLOOKUP(C370,'sản lượng'!$D$14:$AP$169,38,0)</f>
        <v>#N/A</v>
      </c>
      <c r="AP370" s="799">
        <f t="shared" si="74"/>
        <v>2</v>
      </c>
      <c r="AR370" s="799">
        <v>1</v>
      </c>
    </row>
    <row r="371" spans="1:44" ht="15.75">
      <c r="A371" s="850">
        <v>55</v>
      </c>
      <c r="B371" s="813" t="str">
        <f>VLOOKUP(C371,'DS CN MOI UP'!$B$10:$C$389,2,0)</f>
        <v>03857</v>
      </c>
      <c r="C371" s="112" t="s">
        <v>260</v>
      </c>
      <c r="D371" s="855" t="s">
        <v>15</v>
      </c>
      <c r="E371" s="815">
        <f t="shared" si="71"/>
        <v>24</v>
      </c>
      <c r="F371" s="815"/>
      <c r="G371" s="815"/>
      <c r="H371" s="960"/>
      <c r="I371" s="815"/>
      <c r="J371" s="815"/>
      <c r="K371" s="815"/>
      <c r="L371" s="815"/>
      <c r="M371" s="815"/>
      <c r="N371" s="815"/>
      <c r="O371" s="815"/>
      <c r="P371" s="815"/>
      <c r="Q371" s="815"/>
      <c r="R371" s="815"/>
      <c r="S371" s="830">
        <f t="shared" ref="S371:S383" si="77">SUM(E371:R371)</f>
        <v>24</v>
      </c>
      <c r="T371" s="830" t="e">
        <f>VLOOKUP(C371,'sản lượng'!$D$14:$AK$169,36,0)</f>
        <v>#N/A</v>
      </c>
      <c r="U371" s="830"/>
      <c r="V371" s="830"/>
      <c r="W371" s="830" t="e">
        <f>VLOOKUP(C371,'sản lượng'!$D$14:$AK$169,36,0)</f>
        <v>#N/A</v>
      </c>
      <c r="X371" s="830"/>
      <c r="Y371" s="830"/>
      <c r="Z371" s="830" t="e">
        <f t="shared" si="76"/>
        <v>#N/A</v>
      </c>
      <c r="AA371" s="830" t="e">
        <f>VLOOKUP(C371,'CHẤM CÔNG '!$E$13:$AM$168,33,0)</f>
        <v>#N/A</v>
      </c>
      <c r="AB371" s="830" t="e">
        <f>VLOOKUP(C371,'CHẤM CÔNG '!$E$13:$AM$168,34,0)</f>
        <v>#N/A</v>
      </c>
      <c r="AC371" s="830"/>
      <c r="AD371" s="830"/>
      <c r="AE371" s="830"/>
      <c r="AF371" s="830"/>
      <c r="AG371" s="830"/>
      <c r="AH371" s="830"/>
      <c r="AI371" s="830"/>
      <c r="AJ371" s="830"/>
      <c r="AK371" s="836"/>
      <c r="AL371" s="837" t="e">
        <f>VLOOKUP(C371,'sản lượng'!$D$14:$AP$169,38,0)</f>
        <v>#N/A</v>
      </c>
      <c r="AP371" s="799">
        <f t="shared" si="74"/>
        <v>2</v>
      </c>
      <c r="AR371" s="799">
        <v>1</v>
      </c>
    </row>
    <row r="372" spans="1:44" ht="15.75">
      <c r="A372" s="850">
        <v>56</v>
      </c>
      <c r="B372" s="813" t="str">
        <f>VLOOKUP(C372,'DS CN MOI UP'!$B$10:$C$389,2,0)</f>
        <v>02597</v>
      </c>
      <c r="C372" s="112" t="s">
        <v>261</v>
      </c>
      <c r="D372" s="855" t="s">
        <v>15</v>
      </c>
      <c r="E372" s="815">
        <f t="shared" si="71"/>
        <v>24</v>
      </c>
      <c r="F372" s="815"/>
      <c r="G372" s="815"/>
      <c r="H372" s="960"/>
      <c r="I372" s="815"/>
      <c r="J372" s="815"/>
      <c r="K372" s="815"/>
      <c r="L372" s="815"/>
      <c r="M372" s="815"/>
      <c r="N372" s="815"/>
      <c r="O372" s="815"/>
      <c r="P372" s="815"/>
      <c r="Q372" s="815"/>
      <c r="R372" s="815"/>
      <c r="S372" s="830">
        <f t="shared" si="77"/>
        <v>24</v>
      </c>
      <c r="T372" s="830" t="e">
        <f>VLOOKUP(C372,'sản lượng'!$D$14:$AK$169,36,0)</f>
        <v>#N/A</v>
      </c>
      <c r="U372" s="830"/>
      <c r="V372" s="830"/>
      <c r="W372" s="830" t="e">
        <f>VLOOKUP(C372,'sản lượng'!$D$14:$AK$169,36,0)</f>
        <v>#N/A</v>
      </c>
      <c r="X372" s="830"/>
      <c r="Y372" s="830"/>
      <c r="Z372" s="830" t="e">
        <f t="shared" si="76"/>
        <v>#N/A</v>
      </c>
      <c r="AA372" s="830" t="e">
        <f>VLOOKUP(C372,'CHẤM CÔNG '!$E$13:$AM$168,33,0)</f>
        <v>#N/A</v>
      </c>
      <c r="AB372" s="830" t="e">
        <f>VLOOKUP(C372,'CHẤM CÔNG '!$E$13:$AM$168,34,0)</f>
        <v>#N/A</v>
      </c>
      <c r="AC372" s="830"/>
      <c r="AD372" s="830"/>
      <c r="AE372" s="830"/>
      <c r="AF372" s="830"/>
      <c r="AG372" s="830"/>
      <c r="AH372" s="830"/>
      <c r="AI372" s="830"/>
      <c r="AJ372" s="830"/>
      <c r="AK372" s="836"/>
      <c r="AL372" s="837" t="e">
        <f>VLOOKUP(C372,'sản lượng'!$D$14:$AP$169,38,0)</f>
        <v>#N/A</v>
      </c>
      <c r="AP372" s="799">
        <f t="shared" si="74"/>
        <v>2</v>
      </c>
      <c r="AR372" s="799">
        <v>1</v>
      </c>
    </row>
    <row r="373" spans="1:44" ht="15.75">
      <c r="A373" s="850">
        <v>57</v>
      </c>
      <c r="B373" s="813" t="str">
        <f>VLOOKUP(C373,'DS CN MOI UP'!$B$10:$C$389,2,0)</f>
        <v>02590</v>
      </c>
      <c r="C373" s="112" t="s">
        <v>262</v>
      </c>
      <c r="D373" s="855" t="s">
        <v>15</v>
      </c>
      <c r="E373" s="815">
        <f t="shared" si="71"/>
        <v>24</v>
      </c>
      <c r="F373" s="815"/>
      <c r="G373" s="815"/>
      <c r="H373" s="960"/>
      <c r="I373" s="815"/>
      <c r="J373" s="815"/>
      <c r="K373" s="815"/>
      <c r="L373" s="815"/>
      <c r="M373" s="815"/>
      <c r="N373" s="815"/>
      <c r="O373" s="815"/>
      <c r="P373" s="815"/>
      <c r="Q373" s="815"/>
      <c r="R373" s="815"/>
      <c r="S373" s="830">
        <f t="shared" si="77"/>
        <v>24</v>
      </c>
      <c r="T373" s="830" t="e">
        <f>VLOOKUP(C373,'sản lượng'!$D$14:$AK$169,36,0)</f>
        <v>#N/A</v>
      </c>
      <c r="U373" s="830"/>
      <c r="V373" s="830"/>
      <c r="W373" s="830" t="e">
        <f>VLOOKUP(C373,'sản lượng'!$D$14:$AK$169,36,0)</f>
        <v>#N/A</v>
      </c>
      <c r="X373" s="830"/>
      <c r="Y373" s="830"/>
      <c r="Z373" s="830" t="e">
        <f t="shared" si="76"/>
        <v>#N/A</v>
      </c>
      <c r="AA373" s="830" t="e">
        <f>VLOOKUP(C373,'CHẤM CÔNG '!$E$13:$AM$168,33,0)</f>
        <v>#N/A</v>
      </c>
      <c r="AB373" s="830" t="e">
        <f>VLOOKUP(C373,'CHẤM CÔNG '!$E$13:$AM$168,34,0)</f>
        <v>#N/A</v>
      </c>
      <c r="AC373" s="830"/>
      <c r="AD373" s="830"/>
      <c r="AE373" s="830"/>
      <c r="AF373" s="830"/>
      <c r="AG373" s="830"/>
      <c r="AH373" s="830"/>
      <c r="AI373" s="830"/>
      <c r="AJ373" s="830"/>
      <c r="AK373" s="836"/>
      <c r="AL373" s="837" t="e">
        <f>VLOOKUP(C373,'sản lượng'!$D$14:$AP$169,38,0)</f>
        <v>#N/A</v>
      </c>
      <c r="AP373" s="799">
        <f t="shared" si="74"/>
        <v>2</v>
      </c>
      <c r="AR373" s="799">
        <v>1</v>
      </c>
    </row>
    <row r="374" spans="1:44" ht="15.75">
      <c r="A374" s="850">
        <v>58</v>
      </c>
      <c r="B374" s="813" t="str">
        <f>VLOOKUP(C374,'DS CN MOI UP'!$B$10:$C$389,2,0)</f>
        <v>02585</v>
      </c>
      <c r="C374" s="112" t="s">
        <v>263</v>
      </c>
      <c r="D374" s="855" t="s">
        <v>15</v>
      </c>
      <c r="E374" s="815">
        <f t="shared" si="71"/>
        <v>24</v>
      </c>
      <c r="F374" s="815"/>
      <c r="G374" s="815"/>
      <c r="H374" s="960"/>
      <c r="I374" s="815"/>
      <c r="J374" s="815"/>
      <c r="K374" s="815"/>
      <c r="L374" s="815"/>
      <c r="M374" s="815"/>
      <c r="N374" s="815"/>
      <c r="O374" s="815"/>
      <c r="P374" s="815"/>
      <c r="Q374" s="815"/>
      <c r="R374" s="815"/>
      <c r="S374" s="830">
        <f t="shared" si="77"/>
        <v>24</v>
      </c>
      <c r="T374" s="830" t="e">
        <f>VLOOKUP(C374,'sản lượng'!$D$14:$AK$169,36,0)</f>
        <v>#N/A</v>
      </c>
      <c r="U374" s="830"/>
      <c r="V374" s="830"/>
      <c r="W374" s="830" t="e">
        <f>VLOOKUP(C374,'sản lượng'!$D$14:$AK$169,36,0)</f>
        <v>#N/A</v>
      </c>
      <c r="X374" s="830"/>
      <c r="Y374" s="830"/>
      <c r="Z374" s="830" t="e">
        <f t="shared" si="76"/>
        <v>#N/A</v>
      </c>
      <c r="AA374" s="830" t="e">
        <f>VLOOKUP(C374,'CHẤM CÔNG '!$E$13:$AM$168,33,0)</f>
        <v>#N/A</v>
      </c>
      <c r="AB374" s="830" t="e">
        <f>VLOOKUP(C374,'CHẤM CÔNG '!$E$13:$AM$168,34,0)</f>
        <v>#N/A</v>
      </c>
      <c r="AC374" s="830"/>
      <c r="AD374" s="830"/>
      <c r="AE374" s="830"/>
      <c r="AF374" s="830"/>
      <c r="AG374" s="830"/>
      <c r="AH374" s="830"/>
      <c r="AI374" s="830"/>
      <c r="AJ374" s="830"/>
      <c r="AK374" s="836"/>
      <c r="AL374" s="837" t="e">
        <f>VLOOKUP(C374,'sản lượng'!$D$14:$AP$169,38,0)</f>
        <v>#N/A</v>
      </c>
      <c r="AP374" s="799">
        <f t="shared" si="74"/>
        <v>2</v>
      </c>
      <c r="AR374" s="799">
        <v>1</v>
      </c>
    </row>
    <row r="375" spans="1:44" ht="15.75">
      <c r="A375" s="850">
        <v>59</v>
      </c>
      <c r="B375" s="813" t="str">
        <f>VLOOKUP(C375,'DS CN MOI UP'!$B$10:$C$389,2,0)</f>
        <v>03399</v>
      </c>
      <c r="C375" s="112" t="s">
        <v>264</v>
      </c>
      <c r="D375" s="855" t="s">
        <v>15</v>
      </c>
      <c r="E375" s="815">
        <f t="shared" si="71"/>
        <v>24</v>
      </c>
      <c r="F375" s="815"/>
      <c r="G375" s="815"/>
      <c r="H375" s="960"/>
      <c r="I375" s="815"/>
      <c r="J375" s="815"/>
      <c r="K375" s="815"/>
      <c r="L375" s="815"/>
      <c r="M375" s="815"/>
      <c r="N375" s="815"/>
      <c r="O375" s="815"/>
      <c r="P375" s="815"/>
      <c r="Q375" s="815"/>
      <c r="R375" s="815"/>
      <c r="S375" s="830">
        <f t="shared" si="77"/>
        <v>24</v>
      </c>
      <c r="T375" s="830" t="e">
        <f>VLOOKUP(C375,'sản lượng'!$D$14:$AK$169,36,0)</f>
        <v>#N/A</v>
      </c>
      <c r="U375" s="830"/>
      <c r="V375" s="830"/>
      <c r="W375" s="830" t="e">
        <f>VLOOKUP(C375,'sản lượng'!$D$14:$AK$169,36,0)</f>
        <v>#N/A</v>
      </c>
      <c r="X375" s="830"/>
      <c r="Y375" s="830"/>
      <c r="Z375" s="830" t="e">
        <f t="shared" si="76"/>
        <v>#N/A</v>
      </c>
      <c r="AA375" s="830" t="e">
        <f>VLOOKUP(C375,'CHẤM CÔNG '!$E$13:$AM$168,33,0)</f>
        <v>#N/A</v>
      </c>
      <c r="AB375" s="830" t="e">
        <f>VLOOKUP(C375,'CHẤM CÔNG '!$E$13:$AM$168,34,0)</f>
        <v>#N/A</v>
      </c>
      <c r="AC375" s="830"/>
      <c r="AD375" s="830"/>
      <c r="AE375" s="830"/>
      <c r="AF375" s="830"/>
      <c r="AG375" s="830"/>
      <c r="AH375" s="830"/>
      <c r="AI375" s="830"/>
      <c r="AJ375" s="830"/>
      <c r="AK375" s="836"/>
      <c r="AL375" s="837" t="e">
        <f>VLOOKUP(C375,'sản lượng'!$D$14:$AP$169,38,0)</f>
        <v>#N/A</v>
      </c>
      <c r="AP375" s="799">
        <f t="shared" si="74"/>
        <v>2</v>
      </c>
      <c r="AR375" s="799">
        <v>1</v>
      </c>
    </row>
    <row r="376" spans="1:44" ht="15.75">
      <c r="A376" s="850">
        <v>60</v>
      </c>
      <c r="B376" s="813" t="str">
        <f>VLOOKUP(C376,'DS CN MOI UP'!$B$10:$C$389,2,0)</f>
        <v>02584</v>
      </c>
      <c r="C376" s="112" t="s">
        <v>265</v>
      </c>
      <c r="D376" s="855" t="s">
        <v>15</v>
      </c>
      <c r="E376" s="815">
        <f t="shared" si="71"/>
        <v>24</v>
      </c>
      <c r="F376" s="815"/>
      <c r="G376" s="815"/>
      <c r="H376" s="960"/>
      <c r="I376" s="815"/>
      <c r="J376" s="815"/>
      <c r="K376" s="815"/>
      <c r="L376" s="815"/>
      <c r="M376" s="815"/>
      <c r="N376" s="815"/>
      <c r="O376" s="815"/>
      <c r="P376" s="815"/>
      <c r="Q376" s="815"/>
      <c r="R376" s="815"/>
      <c r="S376" s="830">
        <f t="shared" si="77"/>
        <v>24</v>
      </c>
      <c r="T376" s="830" t="e">
        <f>VLOOKUP(C376,'sản lượng'!$D$14:$AK$169,36,0)</f>
        <v>#N/A</v>
      </c>
      <c r="U376" s="830"/>
      <c r="V376" s="830"/>
      <c r="W376" s="830" t="e">
        <f>VLOOKUP(C376,'sản lượng'!$D$14:$AK$169,36,0)</f>
        <v>#N/A</v>
      </c>
      <c r="X376" s="830"/>
      <c r="Y376" s="830"/>
      <c r="Z376" s="830" t="e">
        <f t="shared" si="76"/>
        <v>#N/A</v>
      </c>
      <c r="AA376" s="830" t="e">
        <f>VLOOKUP(C376,'CHẤM CÔNG '!$E$13:$AM$168,33,0)</f>
        <v>#N/A</v>
      </c>
      <c r="AB376" s="830" t="e">
        <f>VLOOKUP(C376,'CHẤM CÔNG '!$E$13:$AM$168,34,0)</f>
        <v>#N/A</v>
      </c>
      <c r="AC376" s="830"/>
      <c r="AD376" s="830"/>
      <c r="AE376" s="830"/>
      <c r="AF376" s="830"/>
      <c r="AG376" s="830"/>
      <c r="AH376" s="830"/>
      <c r="AI376" s="830"/>
      <c r="AJ376" s="830"/>
      <c r="AK376" s="836"/>
      <c r="AL376" s="837" t="e">
        <f>VLOOKUP(C376,'sản lượng'!$D$14:$AP$169,38,0)</f>
        <v>#N/A</v>
      </c>
      <c r="AP376" s="799">
        <f t="shared" si="74"/>
        <v>2</v>
      </c>
      <c r="AR376" s="799">
        <v>1</v>
      </c>
    </row>
    <row r="377" spans="1:44" ht="15.75">
      <c r="A377" s="850">
        <v>61</v>
      </c>
      <c r="B377" s="813" t="str">
        <f>VLOOKUP(C377,'DS CN MOI UP'!$B$10:$C$389,2,0)</f>
        <v>02698</v>
      </c>
      <c r="C377" s="112" t="s">
        <v>266</v>
      </c>
      <c r="D377" s="855" t="s">
        <v>15</v>
      </c>
      <c r="E377" s="815">
        <f t="shared" si="71"/>
        <v>24</v>
      </c>
      <c r="F377" s="815"/>
      <c r="G377" s="815"/>
      <c r="H377" s="960"/>
      <c r="I377" s="815"/>
      <c r="J377" s="815"/>
      <c r="K377" s="815"/>
      <c r="L377" s="815"/>
      <c r="M377" s="815"/>
      <c r="N377" s="815"/>
      <c r="O377" s="815"/>
      <c r="P377" s="815"/>
      <c r="Q377" s="815"/>
      <c r="R377" s="815"/>
      <c r="S377" s="830">
        <f t="shared" si="77"/>
        <v>24</v>
      </c>
      <c r="T377" s="830" t="e">
        <f>VLOOKUP(C377,'sản lượng'!$D$14:$AK$169,36,0)</f>
        <v>#N/A</v>
      </c>
      <c r="U377" s="830"/>
      <c r="V377" s="830"/>
      <c r="W377" s="830" t="e">
        <f>VLOOKUP(C377,'sản lượng'!$D$14:$AK$169,36,0)</f>
        <v>#N/A</v>
      </c>
      <c r="X377" s="830"/>
      <c r="Y377" s="830"/>
      <c r="Z377" s="830" t="e">
        <f t="shared" si="76"/>
        <v>#N/A</v>
      </c>
      <c r="AA377" s="830" t="e">
        <f>VLOOKUP(C377,'CHẤM CÔNG '!$E$13:$AM$168,33,0)</f>
        <v>#N/A</v>
      </c>
      <c r="AB377" s="830" t="e">
        <f>VLOOKUP(C377,'CHẤM CÔNG '!$E$13:$AM$168,34,0)</f>
        <v>#N/A</v>
      </c>
      <c r="AC377" s="830"/>
      <c r="AD377" s="830"/>
      <c r="AE377" s="830"/>
      <c r="AF377" s="830"/>
      <c r="AG377" s="830"/>
      <c r="AH377" s="830"/>
      <c r="AI377" s="830"/>
      <c r="AJ377" s="830"/>
      <c r="AK377" s="836"/>
      <c r="AL377" s="837" t="e">
        <f>VLOOKUP(C377,'sản lượng'!$D$14:$AP$169,38,0)</f>
        <v>#N/A</v>
      </c>
      <c r="AP377" s="799">
        <f t="shared" si="74"/>
        <v>2</v>
      </c>
      <c r="AR377" s="799">
        <v>1</v>
      </c>
    </row>
    <row r="378" spans="1:44" ht="15.75">
      <c r="A378" s="850">
        <v>62</v>
      </c>
      <c r="B378" s="813" t="str">
        <f>VLOOKUP(C378,'DS CN MOI UP'!$B$10:$C$389,2,0)</f>
        <v>03858</v>
      </c>
      <c r="C378" s="112" t="s">
        <v>267</v>
      </c>
      <c r="D378" s="855" t="s">
        <v>15</v>
      </c>
      <c r="E378" s="815">
        <f t="shared" si="71"/>
        <v>24</v>
      </c>
      <c r="F378" s="815"/>
      <c r="G378" s="815"/>
      <c r="H378" s="960"/>
      <c r="I378" s="815"/>
      <c r="J378" s="815"/>
      <c r="K378" s="815"/>
      <c r="L378" s="815"/>
      <c r="M378" s="815"/>
      <c r="N378" s="815"/>
      <c r="O378" s="815"/>
      <c r="P378" s="815"/>
      <c r="Q378" s="815"/>
      <c r="R378" s="815"/>
      <c r="S378" s="830">
        <f t="shared" si="77"/>
        <v>24</v>
      </c>
      <c r="T378" s="830" t="e">
        <f>VLOOKUP(C378,'sản lượng'!$D$14:$AK$169,36,0)</f>
        <v>#N/A</v>
      </c>
      <c r="U378" s="830"/>
      <c r="V378" s="830"/>
      <c r="W378" s="830" t="e">
        <f>VLOOKUP(C378,'sản lượng'!$D$14:$AK$169,36,0)</f>
        <v>#N/A</v>
      </c>
      <c r="X378" s="830"/>
      <c r="Y378" s="830"/>
      <c r="Z378" s="830" t="e">
        <f t="shared" si="76"/>
        <v>#N/A</v>
      </c>
      <c r="AA378" s="830" t="e">
        <f>VLOOKUP(C378,'CHẤM CÔNG '!$E$13:$AM$168,33,0)</f>
        <v>#N/A</v>
      </c>
      <c r="AB378" s="830" t="e">
        <f>VLOOKUP(C378,'CHẤM CÔNG '!$E$13:$AM$168,34,0)</f>
        <v>#N/A</v>
      </c>
      <c r="AC378" s="830"/>
      <c r="AD378" s="830"/>
      <c r="AE378" s="830"/>
      <c r="AF378" s="830"/>
      <c r="AG378" s="830"/>
      <c r="AH378" s="830"/>
      <c r="AI378" s="830"/>
      <c r="AJ378" s="830"/>
      <c r="AK378" s="836"/>
      <c r="AL378" s="837" t="e">
        <f>VLOOKUP(C378,'sản lượng'!$D$14:$AP$169,38,0)</f>
        <v>#N/A</v>
      </c>
      <c r="AP378" s="799">
        <f t="shared" si="74"/>
        <v>2</v>
      </c>
      <c r="AR378" s="799">
        <v>1</v>
      </c>
    </row>
    <row r="379" spans="1:44" ht="15.75">
      <c r="A379" s="850">
        <v>63</v>
      </c>
      <c r="B379" s="813" t="str">
        <f>VLOOKUP(C379,'DS CN MOI UP'!$B$10:$C$389,2,0)</f>
        <v>02591</v>
      </c>
      <c r="C379" s="112" t="s">
        <v>268</v>
      </c>
      <c r="D379" s="855" t="s">
        <v>15</v>
      </c>
      <c r="E379" s="815">
        <f t="shared" si="71"/>
        <v>24</v>
      </c>
      <c r="F379" s="815"/>
      <c r="G379" s="815"/>
      <c r="H379" s="960"/>
      <c r="I379" s="815"/>
      <c r="J379" s="815"/>
      <c r="K379" s="815"/>
      <c r="L379" s="815"/>
      <c r="M379" s="815"/>
      <c r="N379" s="815"/>
      <c r="O379" s="815"/>
      <c r="P379" s="815"/>
      <c r="Q379" s="815"/>
      <c r="R379" s="815"/>
      <c r="S379" s="830">
        <f t="shared" si="77"/>
        <v>24</v>
      </c>
      <c r="T379" s="830" t="e">
        <f>VLOOKUP(C379,'sản lượng'!$D$14:$AK$169,36,0)</f>
        <v>#N/A</v>
      </c>
      <c r="U379" s="830"/>
      <c r="V379" s="830"/>
      <c r="W379" s="830" t="e">
        <f>VLOOKUP(C379,'sản lượng'!$D$14:$AK$169,36,0)</f>
        <v>#N/A</v>
      </c>
      <c r="X379" s="830"/>
      <c r="Y379" s="830"/>
      <c r="Z379" s="830" t="e">
        <f t="shared" si="76"/>
        <v>#N/A</v>
      </c>
      <c r="AA379" s="830" t="e">
        <f>VLOOKUP(C379,'CHẤM CÔNG '!$E$13:$AM$168,33,0)</f>
        <v>#N/A</v>
      </c>
      <c r="AB379" s="830" t="e">
        <f>VLOOKUP(C379,'CHẤM CÔNG '!$E$13:$AM$168,34,0)</f>
        <v>#N/A</v>
      </c>
      <c r="AC379" s="830"/>
      <c r="AD379" s="830"/>
      <c r="AE379" s="830"/>
      <c r="AF379" s="830"/>
      <c r="AG379" s="830"/>
      <c r="AH379" s="830"/>
      <c r="AI379" s="830"/>
      <c r="AJ379" s="830"/>
      <c r="AK379" s="836"/>
      <c r="AL379" s="837" t="e">
        <f>VLOOKUP(C379,'sản lượng'!$D$14:$AP$169,38,0)</f>
        <v>#N/A</v>
      </c>
      <c r="AP379" s="799">
        <f t="shared" si="74"/>
        <v>2</v>
      </c>
      <c r="AR379" s="799">
        <v>1</v>
      </c>
    </row>
    <row r="380" spans="1:44" ht="15.75">
      <c r="A380" s="850">
        <v>64</v>
      </c>
      <c r="B380" s="813" t="str">
        <f>VLOOKUP(C380,'DS CN MOI UP'!$B$10:$C$389,2,0)</f>
        <v>02595</v>
      </c>
      <c r="C380" s="112" t="s">
        <v>269</v>
      </c>
      <c r="D380" s="855" t="s">
        <v>15</v>
      </c>
      <c r="E380" s="815">
        <f t="shared" si="71"/>
        <v>24</v>
      </c>
      <c r="F380" s="815"/>
      <c r="G380" s="815"/>
      <c r="H380" s="960"/>
      <c r="I380" s="815"/>
      <c r="J380" s="815"/>
      <c r="K380" s="815"/>
      <c r="L380" s="815"/>
      <c r="M380" s="815"/>
      <c r="N380" s="815"/>
      <c r="O380" s="815"/>
      <c r="P380" s="815"/>
      <c r="Q380" s="815"/>
      <c r="R380" s="815"/>
      <c r="S380" s="830">
        <f t="shared" si="77"/>
        <v>24</v>
      </c>
      <c r="T380" s="830" t="e">
        <f>VLOOKUP(C380,'sản lượng'!$D$14:$AK$169,36,0)</f>
        <v>#N/A</v>
      </c>
      <c r="U380" s="830"/>
      <c r="V380" s="830"/>
      <c r="W380" s="830" t="e">
        <f>VLOOKUP(C380,'sản lượng'!$D$14:$AK$169,36,0)</f>
        <v>#N/A</v>
      </c>
      <c r="X380" s="830"/>
      <c r="Y380" s="830"/>
      <c r="Z380" s="830" t="e">
        <f t="shared" si="76"/>
        <v>#N/A</v>
      </c>
      <c r="AA380" s="830" t="e">
        <f>VLOOKUP(C380,'CHẤM CÔNG '!$E$13:$AM$168,33,0)</f>
        <v>#N/A</v>
      </c>
      <c r="AB380" s="830" t="e">
        <f>VLOOKUP(C380,'CHẤM CÔNG '!$E$13:$AM$168,34,0)</f>
        <v>#N/A</v>
      </c>
      <c r="AC380" s="830"/>
      <c r="AD380" s="830"/>
      <c r="AE380" s="830"/>
      <c r="AF380" s="830"/>
      <c r="AG380" s="830"/>
      <c r="AH380" s="830"/>
      <c r="AI380" s="830"/>
      <c r="AJ380" s="830"/>
      <c r="AK380" s="836"/>
      <c r="AL380" s="837" t="e">
        <f>VLOOKUP(C380,'sản lượng'!$D$14:$AP$169,38,0)</f>
        <v>#N/A</v>
      </c>
      <c r="AP380" s="799">
        <f t="shared" si="74"/>
        <v>2</v>
      </c>
      <c r="AR380" s="799">
        <v>1</v>
      </c>
    </row>
    <row r="381" spans="1:44" ht="15.75">
      <c r="A381" s="850">
        <v>65</v>
      </c>
      <c r="B381" s="813" t="str">
        <f>VLOOKUP(C381,'DS CN MOI UP'!$B$10:$C$389,2,0)</f>
        <v>02582</v>
      </c>
      <c r="C381" s="112" t="s">
        <v>270</v>
      </c>
      <c r="D381" s="855" t="s">
        <v>15</v>
      </c>
      <c r="E381" s="815">
        <f t="shared" ref="E381:E387" si="78">3*8</f>
        <v>24</v>
      </c>
      <c r="F381" s="815"/>
      <c r="G381" s="815"/>
      <c r="H381" s="960"/>
      <c r="I381" s="815"/>
      <c r="J381" s="815"/>
      <c r="K381" s="815"/>
      <c r="L381" s="815"/>
      <c r="M381" s="815"/>
      <c r="N381" s="815"/>
      <c r="O381" s="815"/>
      <c r="P381" s="815"/>
      <c r="Q381" s="815"/>
      <c r="R381" s="815"/>
      <c r="S381" s="830">
        <f t="shared" si="77"/>
        <v>24</v>
      </c>
      <c r="T381" s="830" t="e">
        <f>VLOOKUP(C381,'sản lượng'!$D$14:$AK$169,36,0)</f>
        <v>#N/A</v>
      </c>
      <c r="U381" s="830"/>
      <c r="V381" s="830"/>
      <c r="W381" s="830" t="e">
        <f>VLOOKUP(C381,'sản lượng'!$D$14:$AK$169,36,0)</f>
        <v>#N/A</v>
      </c>
      <c r="X381" s="830"/>
      <c r="Y381" s="830"/>
      <c r="Z381" s="830" t="e">
        <f t="shared" si="76"/>
        <v>#N/A</v>
      </c>
      <c r="AA381" s="830" t="e">
        <f>VLOOKUP(C381,'CHẤM CÔNG '!$E$13:$AM$168,33,0)</f>
        <v>#N/A</v>
      </c>
      <c r="AB381" s="830" t="e">
        <f>VLOOKUP(C381,'CHẤM CÔNG '!$E$13:$AM$168,34,0)</f>
        <v>#N/A</v>
      </c>
      <c r="AC381" s="830"/>
      <c r="AD381" s="830"/>
      <c r="AE381" s="830"/>
      <c r="AF381" s="830"/>
      <c r="AG381" s="830"/>
      <c r="AH381" s="830"/>
      <c r="AI381" s="830"/>
      <c r="AJ381" s="830"/>
      <c r="AK381" s="836"/>
      <c r="AL381" s="837" t="e">
        <f>VLOOKUP(C381,'sản lượng'!$D$14:$AP$169,38,0)</f>
        <v>#N/A</v>
      </c>
      <c r="AP381" s="799">
        <f t="shared" si="74"/>
        <v>2</v>
      </c>
      <c r="AR381" s="799">
        <v>1</v>
      </c>
    </row>
    <row r="382" spans="1:44" ht="15.75">
      <c r="A382" s="850">
        <v>66</v>
      </c>
      <c r="B382" s="813" t="str">
        <f>VLOOKUP(C382,'DS CN MOI UP'!$B$10:$C$389,2,0)</f>
        <v>02572</v>
      </c>
      <c r="C382" s="112" t="s">
        <v>271</v>
      </c>
      <c r="D382" s="855" t="s">
        <v>15</v>
      </c>
      <c r="E382" s="815">
        <f t="shared" si="78"/>
        <v>24</v>
      </c>
      <c r="F382" s="815"/>
      <c r="G382" s="815"/>
      <c r="H382" s="960"/>
      <c r="I382" s="815"/>
      <c r="J382" s="815"/>
      <c r="K382" s="815"/>
      <c r="L382" s="815"/>
      <c r="M382" s="815"/>
      <c r="N382" s="815"/>
      <c r="O382" s="815"/>
      <c r="P382" s="815"/>
      <c r="Q382" s="815"/>
      <c r="R382" s="815"/>
      <c r="S382" s="830">
        <f t="shared" si="77"/>
        <v>24</v>
      </c>
      <c r="T382" s="830" t="e">
        <f>VLOOKUP(C382,'sản lượng'!$D$14:$AK$169,36,0)</f>
        <v>#REF!</v>
      </c>
      <c r="U382" s="830"/>
      <c r="V382" s="830"/>
      <c r="W382" s="830" t="e">
        <f>VLOOKUP(C382,'sản lượng'!$D$14:$AK$169,36,0)</f>
        <v>#REF!</v>
      </c>
      <c r="X382" s="830"/>
      <c r="Y382" s="830"/>
      <c r="Z382" s="830" t="e">
        <f t="shared" si="76"/>
        <v>#REF!</v>
      </c>
      <c r="AA382" s="830" t="str">
        <f>VLOOKUP(C382,'CHẤM CÔNG '!$E$13:$AM$168,33,0)</f>
        <v>x</v>
      </c>
      <c r="AB382" s="830">
        <f>VLOOKUP(C382,'CHẤM CÔNG '!$E$13:$AM$168,34,0)</f>
        <v>21</v>
      </c>
      <c r="AC382" s="830"/>
      <c r="AD382" s="830"/>
      <c r="AE382" s="830"/>
      <c r="AF382" s="830"/>
      <c r="AG382" s="830"/>
      <c r="AH382" s="830"/>
      <c r="AI382" s="830"/>
      <c r="AJ382" s="830"/>
      <c r="AK382" s="836"/>
      <c r="AL382" s="837">
        <f>VLOOKUP(C382,'sản lượng'!$D$14:$AP$169,38,0)</f>
        <v>1486.0321696862216</v>
      </c>
      <c r="AP382" s="799">
        <f t="shared" ref="AP382:AP385" si="79">3-AR382</f>
        <v>2</v>
      </c>
      <c r="AR382" s="799">
        <v>1</v>
      </c>
    </row>
    <row r="383" spans="1:44" ht="15.75">
      <c r="A383" s="850">
        <v>67</v>
      </c>
      <c r="B383" s="813" t="str">
        <f>VLOOKUP(C383,'DS CN MOI UP'!$B$10:$C$389,2,0)</f>
        <v>02694</v>
      </c>
      <c r="C383" s="112" t="s">
        <v>272</v>
      </c>
      <c r="D383" s="855" t="s">
        <v>15</v>
      </c>
      <c r="E383" s="815">
        <f t="shared" si="78"/>
        <v>24</v>
      </c>
      <c r="F383" s="815"/>
      <c r="G383" s="815"/>
      <c r="H383" s="960"/>
      <c r="I383" s="815"/>
      <c r="J383" s="815"/>
      <c r="K383" s="815"/>
      <c r="L383" s="815"/>
      <c r="M383" s="815"/>
      <c r="N383" s="815"/>
      <c r="O383" s="815"/>
      <c r="P383" s="815"/>
      <c r="Q383" s="815"/>
      <c r="R383" s="815"/>
      <c r="S383" s="830">
        <f t="shared" si="77"/>
        <v>24</v>
      </c>
      <c r="T383" s="830" t="e">
        <f>VLOOKUP(C383,'sản lượng'!$D$14:$AK$169,36,0)</f>
        <v>#N/A</v>
      </c>
      <c r="U383" s="830"/>
      <c r="V383" s="830"/>
      <c r="W383" s="830" t="e">
        <f>VLOOKUP(C383,'sản lượng'!$D$14:$AK$169,36,0)</f>
        <v>#N/A</v>
      </c>
      <c r="X383" s="830"/>
      <c r="Y383" s="830"/>
      <c r="Z383" s="830" t="e">
        <f t="shared" si="76"/>
        <v>#N/A</v>
      </c>
      <c r="AA383" s="830" t="e">
        <f>VLOOKUP(C383,'CHẤM CÔNG '!$E$13:$AM$168,33,0)</f>
        <v>#N/A</v>
      </c>
      <c r="AB383" s="830" t="e">
        <f>VLOOKUP(C383,'CHẤM CÔNG '!$E$13:$AM$168,34,0)</f>
        <v>#N/A</v>
      </c>
      <c r="AC383" s="830"/>
      <c r="AD383" s="830"/>
      <c r="AE383" s="830"/>
      <c r="AF383" s="830"/>
      <c r="AG383" s="830"/>
      <c r="AH383" s="830"/>
      <c r="AI383" s="830"/>
      <c r="AJ383" s="830"/>
      <c r="AK383" s="836"/>
      <c r="AL383" s="837" t="e">
        <f>VLOOKUP(C383,'sản lượng'!$D$14:$AP$169,38,0)</f>
        <v>#N/A</v>
      </c>
      <c r="AP383" s="799">
        <f t="shared" si="79"/>
        <v>2</v>
      </c>
      <c r="AR383" s="799">
        <v>1</v>
      </c>
    </row>
    <row r="384" spans="1:44" ht="15.75">
      <c r="A384" s="850">
        <v>68</v>
      </c>
      <c r="B384" s="813" t="str">
        <f>VLOOKUP(C384,'DS CN MOI UP'!$B$10:$C$389,2,0)</f>
        <v>02699</v>
      </c>
      <c r="C384" s="112" t="s">
        <v>273</v>
      </c>
      <c r="D384" s="855" t="s">
        <v>15</v>
      </c>
      <c r="E384" s="815">
        <f t="shared" si="78"/>
        <v>24</v>
      </c>
      <c r="F384" s="815"/>
      <c r="G384" s="815"/>
      <c r="H384" s="960"/>
      <c r="I384" s="815"/>
      <c r="J384" s="815"/>
      <c r="K384" s="815"/>
      <c r="L384" s="815"/>
      <c r="M384" s="815"/>
      <c r="N384" s="815"/>
      <c r="O384" s="815"/>
      <c r="P384" s="815"/>
      <c r="Q384" s="815"/>
      <c r="R384" s="815"/>
      <c r="S384" s="830">
        <f t="shared" ref="S384:S385" si="80">SUM(E384:R384)</f>
        <v>24</v>
      </c>
      <c r="T384" s="830" t="e">
        <f>VLOOKUP(C384,'sản lượng'!$D$14:$AK$169,36,0)</f>
        <v>#N/A</v>
      </c>
      <c r="U384" s="830"/>
      <c r="V384" s="830"/>
      <c r="W384" s="830" t="e">
        <f>VLOOKUP(C384,'sản lượng'!$D$14:$AK$169,36,0)</f>
        <v>#N/A</v>
      </c>
      <c r="X384" s="830"/>
      <c r="Y384" s="830"/>
      <c r="Z384" s="830" t="e">
        <f t="shared" si="76"/>
        <v>#N/A</v>
      </c>
      <c r="AA384" s="830" t="e">
        <f>VLOOKUP(C384,'CHẤM CÔNG '!$E$13:$AM$168,33,0)</f>
        <v>#N/A</v>
      </c>
      <c r="AB384" s="830" t="e">
        <f>VLOOKUP(C384,'CHẤM CÔNG '!$E$13:$AM$168,34,0)</f>
        <v>#N/A</v>
      </c>
      <c r="AC384" s="830"/>
      <c r="AD384" s="830"/>
      <c r="AE384" s="830"/>
      <c r="AF384" s="830"/>
      <c r="AG384" s="830"/>
      <c r="AH384" s="830"/>
      <c r="AI384" s="830"/>
      <c r="AJ384" s="830"/>
      <c r="AK384" s="836"/>
      <c r="AL384" s="837" t="e">
        <f>VLOOKUP(C384,'sản lượng'!$D$14:$AP$169,38,0)</f>
        <v>#N/A</v>
      </c>
      <c r="AP384" s="799">
        <f t="shared" si="79"/>
        <v>2</v>
      </c>
      <c r="AR384" s="799">
        <v>1</v>
      </c>
    </row>
    <row r="385" spans="1:44" ht="15.75">
      <c r="A385" s="850">
        <v>69</v>
      </c>
      <c r="B385" s="813" t="str">
        <f>VLOOKUP(C385,'DS CN MOI UP'!$B$10:$C$389,2,0)</f>
        <v>03400</v>
      </c>
      <c r="C385" s="112" t="s">
        <v>274</v>
      </c>
      <c r="D385" s="855" t="s">
        <v>15</v>
      </c>
      <c r="E385" s="815">
        <f t="shared" si="78"/>
        <v>24</v>
      </c>
      <c r="F385" s="815"/>
      <c r="G385" s="815"/>
      <c r="H385" s="960"/>
      <c r="I385" s="815"/>
      <c r="J385" s="815"/>
      <c r="K385" s="815"/>
      <c r="L385" s="815"/>
      <c r="M385" s="815"/>
      <c r="N385" s="815"/>
      <c r="O385" s="815"/>
      <c r="P385" s="815"/>
      <c r="Q385" s="815"/>
      <c r="R385" s="815"/>
      <c r="S385" s="830">
        <f t="shared" si="80"/>
        <v>24</v>
      </c>
      <c r="T385" s="830" t="e">
        <f>VLOOKUP(C385,'sản lượng'!$D$14:$AK$169,36,0)</f>
        <v>#N/A</v>
      </c>
      <c r="U385" s="830"/>
      <c r="V385" s="830"/>
      <c r="W385" s="830" t="e">
        <f>VLOOKUP(C385,'sản lượng'!$D$14:$AK$169,36,0)</f>
        <v>#N/A</v>
      </c>
      <c r="X385" s="830"/>
      <c r="Y385" s="830"/>
      <c r="Z385" s="830" t="e">
        <f t="shared" si="76"/>
        <v>#N/A</v>
      </c>
      <c r="AA385" s="830" t="e">
        <f>VLOOKUP(C385,'CHẤM CÔNG '!$E$13:$AM$168,33,0)</f>
        <v>#N/A</v>
      </c>
      <c r="AB385" s="830" t="e">
        <f>VLOOKUP(C385,'CHẤM CÔNG '!$E$13:$AM$168,34,0)</f>
        <v>#N/A</v>
      </c>
      <c r="AC385" s="830"/>
      <c r="AD385" s="830"/>
      <c r="AE385" s="830"/>
      <c r="AF385" s="830"/>
      <c r="AG385" s="830"/>
      <c r="AH385" s="830"/>
      <c r="AI385" s="830"/>
      <c r="AJ385" s="830"/>
      <c r="AK385" s="836"/>
      <c r="AL385" s="837" t="e">
        <f>VLOOKUP(C385,'sản lượng'!$D$14:$AP$169,38,0)</f>
        <v>#N/A</v>
      </c>
      <c r="AP385" s="799">
        <f t="shared" si="79"/>
        <v>2</v>
      </c>
      <c r="AR385" s="799">
        <v>1</v>
      </c>
    </row>
    <row r="386" spans="1:44" ht="15.75">
      <c r="A386" s="850">
        <v>70</v>
      </c>
      <c r="B386" s="813" t="e">
        <f>VLOOKUP(C386,'DS CN MOI UP'!$B$10:$C$389,2,0)</f>
        <v>#N/A</v>
      </c>
      <c r="C386" s="112" t="s">
        <v>275</v>
      </c>
      <c r="D386" s="855" t="s">
        <v>2082</v>
      </c>
      <c r="E386" s="815">
        <f t="shared" si="78"/>
        <v>24</v>
      </c>
      <c r="F386" s="815"/>
      <c r="G386" s="815"/>
      <c r="H386" s="960"/>
      <c r="I386" s="815"/>
      <c r="J386" s="815"/>
      <c r="K386" s="815"/>
      <c r="L386" s="815"/>
      <c r="M386" s="815"/>
      <c r="N386" s="815"/>
      <c r="O386" s="815"/>
      <c r="P386" s="815"/>
      <c r="Q386" s="815"/>
      <c r="R386" s="815"/>
      <c r="S386" s="830">
        <f t="shared" ref="S386:S387" si="81">SUM(E386:R386)</f>
        <v>24</v>
      </c>
      <c r="T386" s="830" t="e">
        <f>VLOOKUP(C386,'sản lượng'!$D$14:$AK$169,36,0)</f>
        <v>#N/A</v>
      </c>
      <c r="U386" s="830"/>
      <c r="V386" s="830"/>
      <c r="W386" s="830" t="e">
        <f>VLOOKUP(C386,'sản lượng'!$D$14:$AK$169,36,0)</f>
        <v>#N/A</v>
      </c>
      <c r="X386" s="830"/>
      <c r="Y386" s="830"/>
      <c r="Z386" s="830" t="e">
        <f t="shared" si="76"/>
        <v>#N/A</v>
      </c>
      <c r="AA386" s="830" t="e">
        <f>VLOOKUP(C386,'CHẤM CÔNG '!$E$13:$AM$168,33,0)</f>
        <v>#N/A</v>
      </c>
      <c r="AB386" s="830" t="e">
        <f>VLOOKUP(C386,'CHẤM CÔNG '!$E$13:$AM$168,34,0)</f>
        <v>#N/A</v>
      </c>
      <c r="AC386" s="830"/>
      <c r="AD386" s="830"/>
      <c r="AE386" s="830">
        <f>VLOOKUP(C386,'Công cây non'!$C$10:$AJ$28,34,0)</f>
        <v>13</v>
      </c>
      <c r="AF386" s="830"/>
      <c r="AG386" s="830"/>
      <c r="AH386" s="830"/>
      <c r="AI386" s="830"/>
      <c r="AJ386" s="830"/>
      <c r="AK386" s="836"/>
      <c r="AL386" s="837" t="e">
        <f>VLOOKUP(C386,'sản lượng'!$D$14:$AP$169,38,0)</f>
        <v>#N/A</v>
      </c>
      <c r="AP386" s="799">
        <f t="shared" ref="AP386:AP387" si="82">3-AR386</f>
        <v>2</v>
      </c>
      <c r="AR386" s="799">
        <v>1</v>
      </c>
    </row>
    <row r="387" spans="1:44" ht="15.75">
      <c r="A387" s="850">
        <v>71</v>
      </c>
      <c r="B387" s="813" t="e">
        <f>VLOOKUP(C387,'DS CN MOI UP'!$B$10:$C$389,2,0)</f>
        <v>#N/A</v>
      </c>
      <c r="C387" s="112" t="s">
        <v>276</v>
      </c>
      <c r="D387" s="855" t="s">
        <v>2082</v>
      </c>
      <c r="E387" s="815">
        <f t="shared" si="78"/>
        <v>24</v>
      </c>
      <c r="F387" s="815"/>
      <c r="G387" s="815"/>
      <c r="H387" s="960"/>
      <c r="I387" s="815"/>
      <c r="J387" s="815"/>
      <c r="K387" s="815"/>
      <c r="L387" s="815"/>
      <c r="M387" s="815"/>
      <c r="N387" s="815"/>
      <c r="O387" s="815"/>
      <c r="P387" s="815"/>
      <c r="Q387" s="815"/>
      <c r="R387" s="815"/>
      <c r="S387" s="830">
        <f t="shared" si="81"/>
        <v>24</v>
      </c>
      <c r="T387" s="830" t="e">
        <f>VLOOKUP(C387,'sản lượng'!$D$14:$AK$169,36,0)</f>
        <v>#N/A</v>
      </c>
      <c r="U387" s="830"/>
      <c r="V387" s="830"/>
      <c r="W387" s="830" t="e">
        <f>VLOOKUP(C387,'sản lượng'!$D$14:$AK$169,36,0)</f>
        <v>#N/A</v>
      </c>
      <c r="X387" s="830"/>
      <c r="Y387" s="830"/>
      <c r="Z387" s="830" t="e">
        <f t="shared" si="76"/>
        <v>#N/A</v>
      </c>
      <c r="AA387" s="830" t="e">
        <f>VLOOKUP(C387,'CHẤM CÔNG '!$E$13:$AM$168,33,0)</f>
        <v>#N/A</v>
      </c>
      <c r="AB387" s="830" t="e">
        <f>VLOOKUP(C387,'CHẤM CÔNG '!$E$13:$AM$168,34,0)</f>
        <v>#N/A</v>
      </c>
      <c r="AC387" s="830"/>
      <c r="AD387" s="830"/>
      <c r="AE387" s="830">
        <f>VLOOKUP(C387,'Công cây non'!$C$10:$AJ$28,34,0)</f>
        <v>13</v>
      </c>
      <c r="AF387" s="830"/>
      <c r="AG387" s="830"/>
      <c r="AH387" s="830"/>
      <c r="AI387" s="830"/>
      <c r="AJ387" s="830"/>
      <c r="AK387" s="836"/>
      <c r="AL387" s="837" t="e">
        <f>VLOOKUP(C387,'sản lượng'!$D$14:$AP$169,38,0)</f>
        <v>#N/A</v>
      </c>
      <c r="AP387" s="799">
        <f t="shared" si="82"/>
        <v>2</v>
      </c>
      <c r="AR387" s="799">
        <v>1</v>
      </c>
    </row>
    <row r="388" spans="1:44" ht="15.75">
      <c r="A388" s="850">
        <v>72</v>
      </c>
      <c r="B388" s="813" t="str">
        <f>VLOOKUP(C388,'DS CN MOI UP'!$B$10:$C$389,2,0)</f>
        <v>02658</v>
      </c>
      <c r="C388" s="846" t="s">
        <v>278</v>
      </c>
      <c r="D388" s="855" t="s">
        <v>15</v>
      </c>
      <c r="E388" s="815">
        <f t="shared" ref="E388:E394" si="83">4*8</f>
        <v>32</v>
      </c>
      <c r="F388" s="815"/>
      <c r="G388" s="815"/>
      <c r="H388" s="960"/>
      <c r="I388" s="815"/>
      <c r="J388" s="815"/>
      <c r="K388" s="815"/>
      <c r="L388" s="815"/>
      <c r="M388" s="815"/>
      <c r="N388" s="815"/>
      <c r="O388" s="815"/>
      <c r="P388" s="815"/>
      <c r="Q388" s="815"/>
      <c r="R388" s="815"/>
      <c r="S388" s="830">
        <f t="shared" si="75"/>
        <v>32</v>
      </c>
      <c r="T388" s="830" t="e">
        <f>VLOOKUP(C388,'sản lượng'!$D$14:$AK$169,36,0)</f>
        <v>#N/A</v>
      </c>
      <c r="U388" s="830"/>
      <c r="V388" s="830"/>
      <c r="W388" s="830" t="e">
        <f>VLOOKUP(C388,'sản lượng'!$D$14:$AK$169,36,0)</f>
        <v>#N/A</v>
      </c>
      <c r="X388" s="830"/>
      <c r="Y388" s="830"/>
      <c r="Z388" s="830" t="e">
        <f t="shared" ref="Z388:Z394" si="84">W388*$AN$21+X388*$AN$10+$AN$11*Y388</f>
        <v>#N/A</v>
      </c>
      <c r="AA388" s="830" t="e">
        <f>VLOOKUP(C388,'CHẤM CÔNG '!$E$13:$AM$168,33,0)</f>
        <v>#N/A</v>
      </c>
      <c r="AB388" s="830" t="e">
        <f>VLOOKUP(C388,'CHẤM CÔNG '!$E$13:$AM$168,34,0)</f>
        <v>#N/A</v>
      </c>
      <c r="AC388" s="830"/>
      <c r="AD388" s="830"/>
      <c r="AE388" s="830"/>
      <c r="AF388" s="830"/>
      <c r="AG388" s="830"/>
      <c r="AH388" s="830"/>
      <c r="AI388" s="830"/>
      <c r="AJ388" s="830"/>
      <c r="AK388" s="836"/>
      <c r="AL388" s="837" t="e">
        <f>VLOOKUP(C388,'sản lượng'!$D$14:$AP$169,38,0)</f>
        <v>#N/A</v>
      </c>
      <c r="AP388" s="799">
        <v>4</v>
      </c>
    </row>
    <row r="389" spans="1:44" ht="15.75">
      <c r="A389" s="850">
        <v>73</v>
      </c>
      <c r="B389" s="813" t="str">
        <f>VLOOKUP(C389,'DS CN MOI UP'!$B$10:$C$389,2,0)</f>
        <v>02705</v>
      </c>
      <c r="C389" s="846" t="s">
        <v>279</v>
      </c>
      <c r="D389" s="855" t="s">
        <v>15</v>
      </c>
      <c r="E389" s="815">
        <f t="shared" si="83"/>
        <v>32</v>
      </c>
      <c r="F389" s="815"/>
      <c r="G389" s="815"/>
      <c r="H389" s="960"/>
      <c r="I389" s="815"/>
      <c r="J389" s="815"/>
      <c r="K389" s="815"/>
      <c r="L389" s="815"/>
      <c r="M389" s="815"/>
      <c r="N389" s="815"/>
      <c r="O389" s="815"/>
      <c r="P389" s="815"/>
      <c r="Q389" s="815"/>
      <c r="R389" s="815"/>
      <c r="S389" s="830">
        <f t="shared" si="75"/>
        <v>32</v>
      </c>
      <c r="T389" s="830" t="e">
        <f>VLOOKUP(C389,'sản lượng'!$D$14:$AK$169,36,0)</f>
        <v>#N/A</v>
      </c>
      <c r="U389" s="830"/>
      <c r="V389" s="830"/>
      <c r="W389" s="830" t="e">
        <f>VLOOKUP(C389,'sản lượng'!$D$14:$AK$169,36,0)</f>
        <v>#N/A</v>
      </c>
      <c r="X389" s="830"/>
      <c r="Y389" s="830"/>
      <c r="Z389" s="830" t="e">
        <f t="shared" si="84"/>
        <v>#N/A</v>
      </c>
      <c r="AA389" s="830" t="e">
        <f>VLOOKUP(C389,'CHẤM CÔNG '!$E$13:$AM$168,33,0)</f>
        <v>#N/A</v>
      </c>
      <c r="AB389" s="830" t="e">
        <f>VLOOKUP(C389,'CHẤM CÔNG '!$E$13:$AM$168,34,0)</f>
        <v>#N/A</v>
      </c>
      <c r="AC389" s="830"/>
      <c r="AD389" s="830"/>
      <c r="AE389" s="830"/>
      <c r="AF389" s="830"/>
      <c r="AG389" s="830"/>
      <c r="AH389" s="830"/>
      <c r="AI389" s="830"/>
      <c r="AJ389" s="830"/>
      <c r="AK389" s="836"/>
      <c r="AL389" s="837" t="e">
        <f>VLOOKUP(C389,'sản lượng'!$D$14:$AP$169,38,0)</f>
        <v>#N/A</v>
      </c>
      <c r="AP389" s="799">
        <v>4</v>
      </c>
    </row>
    <row r="390" spans="1:44" ht="15.75">
      <c r="A390" s="850">
        <v>74</v>
      </c>
      <c r="B390" s="813" t="str">
        <f>VLOOKUP(C390,'DS CN MOI UP'!$B$10:$C$389,2,0)</f>
        <v>02659</v>
      </c>
      <c r="C390" s="846" t="s">
        <v>280</v>
      </c>
      <c r="D390" s="855" t="s">
        <v>15</v>
      </c>
      <c r="E390" s="815">
        <f t="shared" si="83"/>
        <v>32</v>
      </c>
      <c r="F390" s="815"/>
      <c r="G390" s="815"/>
      <c r="H390" s="960"/>
      <c r="I390" s="815"/>
      <c r="J390" s="815"/>
      <c r="K390" s="815"/>
      <c r="L390" s="815"/>
      <c r="M390" s="815"/>
      <c r="N390" s="815"/>
      <c r="O390" s="815"/>
      <c r="P390" s="815"/>
      <c r="Q390" s="815"/>
      <c r="R390" s="815"/>
      <c r="S390" s="830">
        <f t="shared" si="75"/>
        <v>32</v>
      </c>
      <c r="T390" s="830" t="e">
        <f>VLOOKUP(C390,'sản lượng'!$D$14:$AK$169,36,0)</f>
        <v>#N/A</v>
      </c>
      <c r="U390" s="830"/>
      <c r="V390" s="830"/>
      <c r="W390" s="830" t="e">
        <f>VLOOKUP(C390,'sản lượng'!$D$14:$AK$169,36,0)</f>
        <v>#N/A</v>
      </c>
      <c r="X390" s="830"/>
      <c r="Y390" s="830"/>
      <c r="Z390" s="830" t="e">
        <f t="shared" si="84"/>
        <v>#N/A</v>
      </c>
      <c r="AA390" s="830" t="e">
        <f>VLOOKUP(C390,'CHẤM CÔNG '!$E$13:$AM$168,33,0)</f>
        <v>#N/A</v>
      </c>
      <c r="AB390" s="830" t="e">
        <f>VLOOKUP(C390,'CHẤM CÔNG '!$E$13:$AM$168,34,0)</f>
        <v>#N/A</v>
      </c>
      <c r="AC390" s="830"/>
      <c r="AD390" s="830"/>
      <c r="AE390" s="830"/>
      <c r="AF390" s="830"/>
      <c r="AG390" s="830"/>
      <c r="AH390" s="830"/>
      <c r="AI390" s="830"/>
      <c r="AJ390" s="830"/>
      <c r="AK390" s="836"/>
      <c r="AL390" s="837" t="e">
        <f>VLOOKUP(C390,'sản lượng'!$D$14:$AP$169,38,0)</f>
        <v>#N/A</v>
      </c>
      <c r="AP390" s="799">
        <v>4</v>
      </c>
    </row>
    <row r="391" spans="1:44" ht="15.75">
      <c r="A391" s="850">
        <v>75</v>
      </c>
      <c r="B391" s="813" t="str">
        <f>VLOOKUP(C391,'DS CN MOI UP'!$B$10:$C$389,2,0)</f>
        <v>02660</v>
      </c>
      <c r="C391" s="846" t="s">
        <v>281</v>
      </c>
      <c r="D391" s="855" t="s">
        <v>15</v>
      </c>
      <c r="E391" s="815">
        <f t="shared" si="83"/>
        <v>32</v>
      </c>
      <c r="F391" s="815"/>
      <c r="G391" s="815"/>
      <c r="H391" s="960"/>
      <c r="I391" s="815"/>
      <c r="J391" s="815"/>
      <c r="K391" s="815"/>
      <c r="L391" s="815"/>
      <c r="M391" s="815"/>
      <c r="N391" s="815"/>
      <c r="O391" s="815"/>
      <c r="P391" s="815"/>
      <c r="Q391" s="815"/>
      <c r="R391" s="815"/>
      <c r="S391" s="830">
        <f t="shared" si="75"/>
        <v>32</v>
      </c>
      <c r="T391" s="830" t="e">
        <f>VLOOKUP(C391,'sản lượng'!$D$14:$AK$169,36,0)</f>
        <v>#N/A</v>
      </c>
      <c r="U391" s="830"/>
      <c r="V391" s="830"/>
      <c r="W391" s="830" t="e">
        <f>VLOOKUP(C391,'sản lượng'!$D$14:$AK$169,36,0)</f>
        <v>#N/A</v>
      </c>
      <c r="X391" s="830"/>
      <c r="Y391" s="830"/>
      <c r="Z391" s="830" t="e">
        <f t="shared" si="84"/>
        <v>#N/A</v>
      </c>
      <c r="AA391" s="830" t="e">
        <f>VLOOKUP(C391,'CHẤM CÔNG '!$E$13:$AM$168,33,0)</f>
        <v>#N/A</v>
      </c>
      <c r="AB391" s="830" t="e">
        <f>VLOOKUP(C391,'CHẤM CÔNG '!$E$13:$AM$168,34,0)</f>
        <v>#N/A</v>
      </c>
      <c r="AC391" s="830"/>
      <c r="AD391" s="830"/>
      <c r="AE391" s="830"/>
      <c r="AF391" s="830"/>
      <c r="AG391" s="830"/>
      <c r="AH391" s="830"/>
      <c r="AI391" s="830"/>
      <c r="AJ391" s="830"/>
      <c r="AK391" s="836"/>
      <c r="AL391" s="837" t="e">
        <f>VLOOKUP(C391,'sản lượng'!$D$14:$AP$169,38,0)</f>
        <v>#N/A</v>
      </c>
      <c r="AP391" s="799">
        <v>4</v>
      </c>
    </row>
    <row r="392" spans="1:44" ht="15.75">
      <c r="A392" s="850">
        <v>76</v>
      </c>
      <c r="B392" s="813" t="str">
        <f>VLOOKUP(C392,'DS CN MOI UP'!$B$10:$C$389,2,0)</f>
        <v>02662</v>
      </c>
      <c r="C392" s="846" t="s">
        <v>282</v>
      </c>
      <c r="D392" s="855" t="s">
        <v>15</v>
      </c>
      <c r="E392" s="815">
        <f t="shared" si="83"/>
        <v>32</v>
      </c>
      <c r="F392" s="815"/>
      <c r="G392" s="815"/>
      <c r="H392" s="960"/>
      <c r="I392" s="815"/>
      <c r="J392" s="815"/>
      <c r="K392" s="815"/>
      <c r="L392" s="815"/>
      <c r="M392" s="815"/>
      <c r="N392" s="815"/>
      <c r="O392" s="815"/>
      <c r="P392" s="815"/>
      <c r="Q392" s="815"/>
      <c r="R392" s="815"/>
      <c r="S392" s="830">
        <f t="shared" si="75"/>
        <v>32</v>
      </c>
      <c r="T392" s="830" t="e">
        <f>VLOOKUP(C392,'sản lượng'!$D$14:$AK$169,36,0)</f>
        <v>#N/A</v>
      </c>
      <c r="U392" s="830"/>
      <c r="V392" s="830"/>
      <c r="W392" s="830" t="e">
        <f>VLOOKUP(C392,'sản lượng'!$D$14:$AK$169,36,0)</f>
        <v>#N/A</v>
      </c>
      <c r="X392" s="830"/>
      <c r="Y392" s="830"/>
      <c r="Z392" s="830" t="e">
        <f t="shared" si="84"/>
        <v>#N/A</v>
      </c>
      <c r="AA392" s="830" t="e">
        <f>VLOOKUP(C392,'CHẤM CÔNG '!$E$13:$AM$168,33,0)</f>
        <v>#N/A</v>
      </c>
      <c r="AB392" s="830" t="e">
        <f>VLOOKUP(C392,'CHẤM CÔNG '!$E$13:$AM$168,34,0)</f>
        <v>#N/A</v>
      </c>
      <c r="AC392" s="830"/>
      <c r="AD392" s="830"/>
      <c r="AE392" s="830"/>
      <c r="AF392" s="830"/>
      <c r="AG392" s="830"/>
      <c r="AH392" s="830"/>
      <c r="AI392" s="830"/>
      <c r="AJ392" s="830"/>
      <c r="AK392" s="836"/>
      <c r="AL392" s="837" t="e">
        <f>VLOOKUP(C392,'sản lượng'!$D$14:$AP$169,38,0)</f>
        <v>#N/A</v>
      </c>
      <c r="AP392" s="799">
        <v>4</v>
      </c>
    </row>
    <row r="393" spans="1:44" ht="15.75">
      <c r="A393" s="850">
        <v>77</v>
      </c>
      <c r="B393" s="813" t="str">
        <f>VLOOKUP(C393,'DS CN MOI UP'!$B$10:$C$389,2,0)</f>
        <v>02657</v>
      </c>
      <c r="C393" s="846" t="s">
        <v>283</v>
      </c>
      <c r="D393" s="855" t="s">
        <v>15</v>
      </c>
      <c r="E393" s="815">
        <f t="shared" si="83"/>
        <v>32</v>
      </c>
      <c r="F393" s="815"/>
      <c r="G393" s="815"/>
      <c r="H393" s="960"/>
      <c r="I393" s="815"/>
      <c r="J393" s="815"/>
      <c r="K393" s="815"/>
      <c r="L393" s="815"/>
      <c r="M393" s="815"/>
      <c r="N393" s="815"/>
      <c r="O393" s="815"/>
      <c r="P393" s="815"/>
      <c r="Q393" s="815"/>
      <c r="R393" s="815"/>
      <c r="S393" s="830">
        <f t="shared" si="75"/>
        <v>32</v>
      </c>
      <c r="T393" s="830" t="e">
        <f>VLOOKUP(C393,'sản lượng'!$D$14:$AK$169,36,0)</f>
        <v>#N/A</v>
      </c>
      <c r="U393" s="830"/>
      <c r="V393" s="830"/>
      <c r="W393" s="830" t="e">
        <f>VLOOKUP(C393,'sản lượng'!$D$14:$AK$169,36,0)</f>
        <v>#N/A</v>
      </c>
      <c r="X393" s="830"/>
      <c r="Y393" s="830"/>
      <c r="Z393" s="830" t="e">
        <f t="shared" si="84"/>
        <v>#N/A</v>
      </c>
      <c r="AA393" s="830" t="e">
        <f>VLOOKUP(C393,'CHẤM CÔNG '!$E$13:$AM$168,33,0)</f>
        <v>#N/A</v>
      </c>
      <c r="AB393" s="830" t="e">
        <f>VLOOKUP(C393,'CHẤM CÔNG '!$E$13:$AM$168,34,0)</f>
        <v>#N/A</v>
      </c>
      <c r="AC393" s="830"/>
      <c r="AD393" s="830"/>
      <c r="AE393" s="830"/>
      <c r="AF393" s="830"/>
      <c r="AG393" s="830"/>
      <c r="AH393" s="830"/>
      <c r="AI393" s="830"/>
      <c r="AJ393" s="830"/>
      <c r="AK393" s="836"/>
      <c r="AL393" s="837" t="e">
        <f>VLOOKUP(C393,'sản lượng'!$D$14:$AP$169,38,0)</f>
        <v>#N/A</v>
      </c>
      <c r="AP393" s="799">
        <v>4</v>
      </c>
    </row>
    <row r="394" spans="1:44" ht="15.75">
      <c r="A394" s="850">
        <v>78</v>
      </c>
      <c r="B394" s="813" t="str">
        <f>VLOOKUP(C394,'DS CN MOI UP'!$B$10:$C$389,2,0)</f>
        <v>02661</v>
      </c>
      <c r="C394" s="846" t="s">
        <v>284</v>
      </c>
      <c r="D394" s="855" t="s">
        <v>15</v>
      </c>
      <c r="E394" s="815">
        <f t="shared" si="83"/>
        <v>32</v>
      </c>
      <c r="F394" s="815"/>
      <c r="G394" s="815"/>
      <c r="H394" s="960"/>
      <c r="I394" s="815"/>
      <c r="J394" s="815"/>
      <c r="K394" s="815"/>
      <c r="L394" s="815"/>
      <c r="M394" s="815"/>
      <c r="N394" s="815"/>
      <c r="O394" s="815"/>
      <c r="P394" s="815"/>
      <c r="Q394" s="815"/>
      <c r="R394" s="815"/>
      <c r="S394" s="830">
        <f t="shared" si="75"/>
        <v>32</v>
      </c>
      <c r="T394" s="830" t="e">
        <f>VLOOKUP(C394,'sản lượng'!$D$14:$AK$169,36,0)</f>
        <v>#N/A</v>
      </c>
      <c r="U394" s="830"/>
      <c r="V394" s="830"/>
      <c r="W394" s="830" t="e">
        <f>VLOOKUP(C394,'sản lượng'!$D$14:$AK$169,36,0)</f>
        <v>#N/A</v>
      </c>
      <c r="X394" s="830"/>
      <c r="Y394" s="830"/>
      <c r="Z394" s="830" t="e">
        <f t="shared" si="84"/>
        <v>#N/A</v>
      </c>
      <c r="AA394" s="830" t="e">
        <f>VLOOKUP(C394,'CHẤM CÔNG '!$E$13:$AM$168,33,0)</f>
        <v>#N/A</v>
      </c>
      <c r="AB394" s="830" t="e">
        <f>VLOOKUP(C394,'CHẤM CÔNG '!$E$13:$AM$168,34,0)</f>
        <v>#N/A</v>
      </c>
      <c r="AC394" s="830"/>
      <c r="AD394" s="830"/>
      <c r="AE394" s="830"/>
      <c r="AF394" s="830"/>
      <c r="AG394" s="830"/>
      <c r="AH394" s="830"/>
      <c r="AI394" s="830"/>
      <c r="AJ394" s="830"/>
      <c r="AK394" s="836"/>
      <c r="AL394" s="837" t="e">
        <f>VLOOKUP(C394,'sản lượng'!$D$14:$AP$169,38,0)</f>
        <v>#N/A</v>
      </c>
      <c r="AP394" s="799">
        <v>4</v>
      </c>
    </row>
    <row r="395" spans="1:44" ht="15.75">
      <c r="A395" s="850">
        <v>79</v>
      </c>
      <c r="B395" s="813">
        <v>5</v>
      </c>
      <c r="C395" s="846" t="s">
        <v>1352</v>
      </c>
      <c r="D395" s="992" t="s">
        <v>1713</v>
      </c>
      <c r="E395" s="815"/>
      <c r="F395" s="815"/>
      <c r="G395" s="815"/>
      <c r="H395" s="960"/>
      <c r="I395" s="815"/>
      <c r="J395" s="815"/>
      <c r="K395" s="815"/>
      <c r="L395" s="815"/>
      <c r="M395" s="815"/>
      <c r="N395" s="815"/>
      <c r="O395" s="815"/>
      <c r="P395" s="815"/>
      <c r="Q395" s="815"/>
      <c r="R395" s="815"/>
      <c r="S395" s="830">
        <f t="shared" si="75"/>
        <v>0</v>
      </c>
      <c r="T395" s="830"/>
      <c r="U395" s="830"/>
      <c r="V395" s="830"/>
      <c r="W395" s="830"/>
      <c r="X395" s="830"/>
      <c r="Y395" s="830"/>
      <c r="Z395" s="830">
        <f>W395*$AN$9/$AN$8+X395*$AN$10+$AN$11*Y395</f>
        <v>0</v>
      </c>
      <c r="AA395" s="830"/>
      <c r="AB395" s="830"/>
      <c r="AC395" s="830"/>
      <c r="AD395" s="830"/>
      <c r="AE395" s="830"/>
      <c r="AF395" s="830"/>
      <c r="AG395" s="830"/>
      <c r="AH395" s="830"/>
      <c r="AI395" s="830"/>
      <c r="AJ395" s="830"/>
      <c r="AK395" s="836"/>
      <c r="AL395" s="837" t="e">
        <f>VLOOKUP(C395,'sản lượng'!$D$14:$AP$169,38,0)</f>
        <v>#N/A</v>
      </c>
    </row>
    <row r="396" spans="1:44" s="798" customFormat="1">
      <c r="A396" s="809" t="s">
        <v>285</v>
      </c>
      <c r="B396" s="813"/>
      <c r="C396" s="810"/>
      <c r="D396" s="811"/>
      <c r="E396" s="856">
        <f t="shared" ref="E396:L396" si="85">SUM(E397:E460)</f>
        <v>1516</v>
      </c>
      <c r="F396" s="856">
        <f t="shared" si="85"/>
        <v>16</v>
      </c>
      <c r="G396" s="856">
        <f t="shared" si="85"/>
        <v>24</v>
      </c>
      <c r="H396" s="993">
        <f t="shared" si="85"/>
        <v>0</v>
      </c>
      <c r="I396" s="856">
        <f t="shared" si="85"/>
        <v>0</v>
      </c>
      <c r="J396" s="856">
        <f t="shared" si="85"/>
        <v>0</v>
      </c>
      <c r="K396" s="856">
        <f t="shared" si="85"/>
        <v>0</v>
      </c>
      <c r="L396" s="856">
        <f t="shared" si="85"/>
        <v>0</v>
      </c>
      <c r="M396" s="856">
        <f>+SUM(M397:M460)</f>
        <v>0</v>
      </c>
      <c r="N396" s="856">
        <f>SUM(N397:N460)</f>
        <v>0</v>
      </c>
      <c r="O396" s="856">
        <f>SUM(O397:O460)</f>
        <v>0</v>
      </c>
      <c r="P396" s="856">
        <f>SUM(P397:P460)</f>
        <v>0</v>
      </c>
      <c r="Q396" s="856">
        <f>SUM(Q397:Q460)</f>
        <v>0</v>
      </c>
      <c r="R396" s="856">
        <f>SUM(R397:R460)</f>
        <v>0</v>
      </c>
      <c r="S396" s="856">
        <f>+SUM(S397:S460)</f>
        <v>1556</v>
      </c>
      <c r="T396" s="856" t="e">
        <f>+SUM(T397:T460)</f>
        <v>#N/A</v>
      </c>
      <c r="U396" s="856">
        <f>+SUM(U397:U460)</f>
        <v>0</v>
      </c>
      <c r="V396" s="856">
        <f>+SUM(V397:V460)</f>
        <v>0</v>
      </c>
      <c r="W396" s="856" t="e">
        <f>+SUM(W397:W460)</f>
        <v>#N/A</v>
      </c>
      <c r="X396" s="856"/>
      <c r="Y396" s="856"/>
      <c r="Z396" s="856" t="e">
        <f>+SUM(Z397:Z460)</f>
        <v>#N/A</v>
      </c>
      <c r="AA396" s="856" t="e">
        <f>+SUM(AA397:AA460)</f>
        <v>#N/A</v>
      </c>
      <c r="AB396" s="856" t="e">
        <f>+SUM(AB397:AB460)</f>
        <v>#N/A</v>
      </c>
      <c r="AC396" s="856">
        <f>+SUM(AC397:AC460)</f>
        <v>0</v>
      </c>
      <c r="AD396" s="856"/>
      <c r="AE396" s="856">
        <f>+SUM(AE397:AE460)</f>
        <v>8</v>
      </c>
      <c r="AF396" s="856"/>
      <c r="AG396" s="856"/>
      <c r="AH396" s="856"/>
      <c r="AI396" s="856" t="e">
        <f>+SUM(AI397:AI460)</f>
        <v>#N/A</v>
      </c>
      <c r="AJ396" s="856">
        <f>+SUM(AJ397:AJ460)</f>
        <v>0</v>
      </c>
      <c r="AK396" s="856">
        <f>+SUM(AK397:AK460)</f>
        <v>0</v>
      </c>
      <c r="AL396" s="837" t="e">
        <f>VLOOKUP(C396,'sản lượng'!$D$14:$AP$169,38,0)</f>
        <v>#N/A</v>
      </c>
      <c r="AP396" s="840"/>
      <c r="AQ396" s="840"/>
      <c r="AR396" s="840"/>
    </row>
    <row r="397" spans="1:44" ht="15.75">
      <c r="A397" s="812">
        <v>1</v>
      </c>
      <c r="B397" s="813" t="e">
        <f>VLOOKUP(C397,'DS CN MOI UP'!$B$10:$C$389,2,0)</f>
        <v>#N/A</v>
      </c>
      <c r="C397" s="846" t="s">
        <v>286</v>
      </c>
      <c r="D397" s="812" t="s">
        <v>15</v>
      </c>
      <c r="E397" s="815">
        <f>4*6</f>
        <v>24</v>
      </c>
      <c r="F397" s="815"/>
      <c r="G397" s="815"/>
      <c r="H397" s="960"/>
      <c r="I397" s="815"/>
      <c r="J397" s="815"/>
      <c r="K397" s="815"/>
      <c r="L397" s="815"/>
      <c r="M397" s="815"/>
      <c r="N397" s="815"/>
      <c r="O397" s="815"/>
      <c r="P397" s="815"/>
      <c r="Q397" s="815"/>
      <c r="R397" s="815"/>
      <c r="S397" s="830">
        <f>SUM(E397:R397)</f>
        <v>24</v>
      </c>
      <c r="T397" s="830" t="e">
        <f>VLOOKUP(C397,'sản lượng'!$D$14:$AK$169,36,0)</f>
        <v>#N/A</v>
      </c>
      <c r="U397" s="830"/>
      <c r="V397" s="830"/>
      <c r="W397" s="831" t="e">
        <f t="shared" ref="W397:W457" si="86">SUM(T397:V397)</f>
        <v>#N/A</v>
      </c>
      <c r="X397" s="830"/>
      <c r="Y397" s="830"/>
      <c r="Z397" s="830" t="e">
        <f t="shared" ref="Z397:Z406" si="87">W397*$AN$18+X397*$AN$10+$AN$11*Y397</f>
        <v>#N/A</v>
      </c>
      <c r="AA397" s="830" t="e">
        <f>VLOOKUP(C397,'CHẤM CÔNG '!$E$13:$AM$168,33,0)</f>
        <v>#N/A</v>
      </c>
      <c r="AB397" s="830" t="e">
        <f>VLOOKUP(C397,'CHẤM CÔNG '!$E$13:$AM$168,34,0)</f>
        <v>#N/A</v>
      </c>
      <c r="AC397" s="830"/>
      <c r="AD397" s="830"/>
      <c r="AE397" s="830"/>
      <c r="AF397" s="830"/>
      <c r="AG397" s="830"/>
      <c r="AH397" s="830"/>
      <c r="AI397" s="830"/>
      <c r="AJ397" s="830"/>
      <c r="AK397" s="836"/>
      <c r="AL397" s="837" t="e">
        <f>VLOOKUP(C397,'sản lượng'!$D$14:$AP$169,38,0)</f>
        <v>#N/A</v>
      </c>
    </row>
    <row r="398" spans="1:44" ht="15.75">
      <c r="A398" s="812">
        <v>2</v>
      </c>
      <c r="B398" s="813" t="str">
        <f>VLOOKUP(C398,'DS CN MOI UP'!$B$10:$C$389,2,0)</f>
        <v>02637</v>
      </c>
      <c r="C398" s="846" t="s">
        <v>287</v>
      </c>
      <c r="D398" s="812" t="s">
        <v>15</v>
      </c>
      <c r="E398" s="815">
        <f t="shared" ref="E398:E459" si="88">4*6</f>
        <v>24</v>
      </c>
      <c r="F398" s="815"/>
      <c r="G398" s="815"/>
      <c r="H398" s="960"/>
      <c r="I398" s="815"/>
      <c r="J398" s="815"/>
      <c r="K398" s="815"/>
      <c r="L398" s="815"/>
      <c r="M398" s="815"/>
      <c r="N398" s="815"/>
      <c r="O398" s="815"/>
      <c r="P398" s="815"/>
      <c r="Q398" s="815"/>
      <c r="R398" s="815"/>
      <c r="S398" s="830">
        <f t="shared" ref="S398:S448" si="89">SUM(E398:R398)</f>
        <v>24</v>
      </c>
      <c r="T398" s="830" t="e">
        <f>VLOOKUP(C398,'sản lượng'!$D$14:$AK$169,36,0)</f>
        <v>#N/A</v>
      </c>
      <c r="U398" s="830"/>
      <c r="V398" s="830"/>
      <c r="W398" s="831" t="e">
        <f t="shared" si="86"/>
        <v>#N/A</v>
      </c>
      <c r="X398" s="830"/>
      <c r="Y398" s="830"/>
      <c r="Z398" s="830" t="e">
        <f t="shared" si="87"/>
        <v>#N/A</v>
      </c>
      <c r="AA398" s="830" t="e">
        <f>VLOOKUP(C398,'CHẤM CÔNG '!$E$13:$AM$168,33,0)</f>
        <v>#N/A</v>
      </c>
      <c r="AB398" s="830" t="e">
        <f>VLOOKUP(C398,'CHẤM CÔNG '!$E$13:$AM$168,34,0)</f>
        <v>#N/A</v>
      </c>
      <c r="AC398" s="830"/>
      <c r="AD398" s="830"/>
      <c r="AE398" s="830"/>
      <c r="AF398" s="830"/>
      <c r="AG398" s="830"/>
      <c r="AH398" s="830"/>
      <c r="AI398" s="830"/>
      <c r="AJ398" s="830"/>
      <c r="AK398" s="836"/>
      <c r="AL398" s="837" t="e">
        <f>VLOOKUP(C398,'sản lượng'!$D$14:$AP$169,38,0)</f>
        <v>#N/A</v>
      </c>
    </row>
    <row r="399" spans="1:44" ht="15.75">
      <c r="A399" s="812">
        <v>3</v>
      </c>
      <c r="B399" s="813" t="str">
        <f>VLOOKUP(C399,'DS CN MOI UP'!$B$10:$C$389,2,0)</f>
        <v>02638</v>
      </c>
      <c r="C399" s="846" t="s">
        <v>288</v>
      </c>
      <c r="D399" s="812" t="s">
        <v>15</v>
      </c>
      <c r="E399" s="815">
        <f t="shared" si="88"/>
        <v>24</v>
      </c>
      <c r="F399" s="815"/>
      <c r="G399" s="815"/>
      <c r="H399" s="960"/>
      <c r="I399" s="815"/>
      <c r="J399" s="815"/>
      <c r="K399" s="815"/>
      <c r="L399" s="815"/>
      <c r="M399" s="815"/>
      <c r="N399" s="815"/>
      <c r="O399" s="815"/>
      <c r="P399" s="815"/>
      <c r="Q399" s="815"/>
      <c r="R399" s="815"/>
      <c r="S399" s="830">
        <f t="shared" si="89"/>
        <v>24</v>
      </c>
      <c r="T399" s="830" t="e">
        <f>VLOOKUP(C399,'sản lượng'!$D$14:$AK$169,36,0)</f>
        <v>#N/A</v>
      </c>
      <c r="U399" s="830"/>
      <c r="V399" s="830"/>
      <c r="W399" s="831" t="e">
        <f t="shared" si="86"/>
        <v>#N/A</v>
      </c>
      <c r="X399" s="830"/>
      <c r="Y399" s="830"/>
      <c r="Z399" s="830" t="e">
        <f t="shared" si="87"/>
        <v>#N/A</v>
      </c>
      <c r="AA399" s="830" t="e">
        <f>VLOOKUP(C399,'CHẤM CÔNG '!$E$13:$AM$168,33,0)</f>
        <v>#N/A</v>
      </c>
      <c r="AB399" s="830" t="e">
        <f>VLOOKUP(C399,'CHẤM CÔNG '!$E$13:$AM$168,34,0)</f>
        <v>#N/A</v>
      </c>
      <c r="AC399" s="830"/>
      <c r="AD399" s="830"/>
      <c r="AE399" s="830"/>
      <c r="AF399" s="830"/>
      <c r="AG399" s="830"/>
      <c r="AH399" s="830"/>
      <c r="AI399" s="830"/>
      <c r="AJ399" s="830"/>
      <c r="AK399" s="836"/>
      <c r="AL399" s="837" t="e">
        <f>VLOOKUP(C399,'sản lượng'!$D$14:$AP$169,38,0)</f>
        <v>#N/A</v>
      </c>
    </row>
    <row r="400" spans="1:44" ht="15.75">
      <c r="A400" s="812">
        <v>4</v>
      </c>
      <c r="B400" s="813" t="str">
        <f>VLOOKUP(C400,'DS CN MOI UP'!$B$10:$C$389,2,0)</f>
        <v>02639</v>
      </c>
      <c r="C400" s="846" t="s">
        <v>289</v>
      </c>
      <c r="D400" s="812" t="s">
        <v>15</v>
      </c>
      <c r="E400" s="815">
        <f t="shared" si="88"/>
        <v>24</v>
      </c>
      <c r="F400" s="815"/>
      <c r="G400" s="815"/>
      <c r="H400" s="960"/>
      <c r="I400" s="815"/>
      <c r="J400" s="815"/>
      <c r="K400" s="815"/>
      <c r="L400" s="815"/>
      <c r="M400" s="815"/>
      <c r="N400" s="815"/>
      <c r="O400" s="815"/>
      <c r="P400" s="815"/>
      <c r="Q400" s="815"/>
      <c r="R400" s="815"/>
      <c r="S400" s="830">
        <f t="shared" si="89"/>
        <v>24</v>
      </c>
      <c r="T400" s="830" t="e">
        <f>VLOOKUP(C400,'sản lượng'!$D$14:$AK$169,36,0)</f>
        <v>#N/A</v>
      </c>
      <c r="U400" s="830"/>
      <c r="V400" s="830"/>
      <c r="W400" s="831" t="e">
        <f t="shared" si="86"/>
        <v>#N/A</v>
      </c>
      <c r="X400" s="830"/>
      <c r="Y400" s="830"/>
      <c r="Z400" s="830" t="e">
        <f t="shared" si="87"/>
        <v>#N/A</v>
      </c>
      <c r="AA400" s="830" t="e">
        <f>VLOOKUP(C400,'CHẤM CÔNG '!$E$13:$AM$168,33,0)</f>
        <v>#N/A</v>
      </c>
      <c r="AB400" s="830" t="e">
        <f>VLOOKUP(C400,'CHẤM CÔNG '!$E$13:$AM$168,34,0)</f>
        <v>#N/A</v>
      </c>
      <c r="AC400" s="830"/>
      <c r="AD400" s="830"/>
      <c r="AE400" s="830"/>
      <c r="AF400" s="830"/>
      <c r="AG400" s="830"/>
      <c r="AH400" s="830"/>
      <c r="AI400" s="830"/>
      <c r="AJ400" s="830"/>
      <c r="AK400" s="836"/>
      <c r="AL400" s="837" t="e">
        <f>VLOOKUP(C400,'sản lượng'!$D$14:$AP$169,38,0)</f>
        <v>#N/A</v>
      </c>
    </row>
    <row r="401" spans="1:38" ht="15.75">
      <c r="A401" s="812">
        <v>5</v>
      </c>
      <c r="B401" s="813" t="e">
        <f>VLOOKUP(C401,'DS CN MOI UP'!$B$10:$C$389,2,0)</f>
        <v>#N/A</v>
      </c>
      <c r="C401" s="846" t="s">
        <v>290</v>
      </c>
      <c r="D401" s="812" t="s">
        <v>15</v>
      </c>
      <c r="E401" s="815">
        <f t="shared" si="88"/>
        <v>24</v>
      </c>
      <c r="F401" s="815"/>
      <c r="G401" s="815"/>
      <c r="H401" s="960"/>
      <c r="I401" s="815"/>
      <c r="J401" s="815"/>
      <c r="K401" s="815"/>
      <c r="L401" s="815"/>
      <c r="M401" s="815"/>
      <c r="N401" s="815"/>
      <c r="O401" s="815"/>
      <c r="P401" s="815"/>
      <c r="Q401" s="815"/>
      <c r="R401" s="815"/>
      <c r="S401" s="830">
        <f t="shared" si="89"/>
        <v>24</v>
      </c>
      <c r="T401" s="830" t="e">
        <f>VLOOKUP(C401,'sản lượng'!$D$14:$AK$169,36,0)</f>
        <v>#N/A</v>
      </c>
      <c r="U401" s="830"/>
      <c r="V401" s="830"/>
      <c r="W401" s="831" t="e">
        <f t="shared" si="86"/>
        <v>#N/A</v>
      </c>
      <c r="X401" s="830"/>
      <c r="Y401" s="830"/>
      <c r="Z401" s="830" t="e">
        <f t="shared" si="87"/>
        <v>#N/A</v>
      </c>
      <c r="AA401" s="830" t="e">
        <f>VLOOKUP(C401,'CHẤM CÔNG '!$E$13:$AM$168,33,0)</f>
        <v>#N/A</v>
      </c>
      <c r="AB401" s="830" t="e">
        <f>VLOOKUP(C401,'CHẤM CÔNG '!$E$13:$AM$168,34,0)</f>
        <v>#N/A</v>
      </c>
      <c r="AC401" s="830"/>
      <c r="AD401" s="830"/>
      <c r="AE401" s="830"/>
      <c r="AF401" s="830"/>
      <c r="AG401" s="830"/>
      <c r="AH401" s="830"/>
      <c r="AI401" s="830"/>
      <c r="AJ401" s="830"/>
      <c r="AK401" s="836"/>
      <c r="AL401" s="837" t="e">
        <f>VLOOKUP(C401,'sản lượng'!$D$14:$AP$169,38,0)</f>
        <v>#N/A</v>
      </c>
    </row>
    <row r="402" spans="1:38" ht="15.75">
      <c r="A402" s="812">
        <v>6</v>
      </c>
      <c r="B402" s="813" t="str">
        <f>VLOOKUP(C402,'DS CN MOI UP'!$B$10:$C$389,2,0)</f>
        <v>02641</v>
      </c>
      <c r="C402" s="846" t="s">
        <v>291</v>
      </c>
      <c r="D402" s="812" t="s">
        <v>15</v>
      </c>
      <c r="E402" s="815">
        <f t="shared" si="88"/>
        <v>24</v>
      </c>
      <c r="F402" s="815"/>
      <c r="G402" s="815"/>
      <c r="H402" s="960"/>
      <c r="I402" s="815"/>
      <c r="J402" s="815"/>
      <c r="K402" s="815"/>
      <c r="L402" s="815"/>
      <c r="M402" s="815"/>
      <c r="N402" s="815"/>
      <c r="O402" s="815"/>
      <c r="P402" s="815"/>
      <c r="Q402" s="815"/>
      <c r="R402" s="815"/>
      <c r="S402" s="830">
        <f t="shared" si="89"/>
        <v>24</v>
      </c>
      <c r="T402" s="830" t="e">
        <f>VLOOKUP(C402,'sản lượng'!$D$14:$AK$169,36,0)</f>
        <v>#N/A</v>
      </c>
      <c r="U402" s="830"/>
      <c r="V402" s="830"/>
      <c r="W402" s="831" t="e">
        <f t="shared" si="86"/>
        <v>#N/A</v>
      </c>
      <c r="X402" s="830"/>
      <c r="Y402" s="830"/>
      <c r="Z402" s="830" t="e">
        <f t="shared" si="87"/>
        <v>#N/A</v>
      </c>
      <c r="AA402" s="830" t="e">
        <f>VLOOKUP(C402,'CHẤM CÔNG '!$E$13:$AM$168,33,0)</f>
        <v>#N/A</v>
      </c>
      <c r="AB402" s="830" t="e">
        <f>VLOOKUP(C402,'CHẤM CÔNG '!$E$13:$AM$168,34,0)</f>
        <v>#N/A</v>
      </c>
      <c r="AC402" s="830"/>
      <c r="AD402" s="830"/>
      <c r="AE402" s="830"/>
      <c r="AF402" s="830"/>
      <c r="AG402" s="830"/>
      <c r="AH402" s="830"/>
      <c r="AI402" s="830"/>
      <c r="AJ402" s="830"/>
      <c r="AK402" s="836"/>
      <c r="AL402" s="837" t="e">
        <f>VLOOKUP(C402,'sản lượng'!$D$14:$AP$169,38,0)</f>
        <v>#N/A</v>
      </c>
    </row>
    <row r="403" spans="1:38" ht="15.75">
      <c r="A403" s="812">
        <v>7</v>
      </c>
      <c r="B403" s="813" t="str">
        <f>VLOOKUP(C403,'DS CN MOI UP'!$B$10:$C$389,2,0)</f>
        <v>03406</v>
      </c>
      <c r="C403" s="846" t="s">
        <v>292</v>
      </c>
      <c r="D403" s="812" t="s">
        <v>15</v>
      </c>
      <c r="E403" s="815">
        <f t="shared" si="88"/>
        <v>24</v>
      </c>
      <c r="F403" s="815"/>
      <c r="G403" s="815"/>
      <c r="H403" s="960"/>
      <c r="I403" s="815"/>
      <c r="J403" s="815"/>
      <c r="K403" s="815"/>
      <c r="L403" s="815"/>
      <c r="M403" s="815"/>
      <c r="N403" s="815"/>
      <c r="O403" s="815"/>
      <c r="P403" s="815"/>
      <c r="Q403" s="815"/>
      <c r="R403" s="815"/>
      <c r="S403" s="830">
        <f t="shared" si="89"/>
        <v>24</v>
      </c>
      <c r="T403" s="830" t="e">
        <f>VLOOKUP(C403,'sản lượng'!$D$14:$AK$169,36,0)</f>
        <v>#N/A</v>
      </c>
      <c r="U403" s="830"/>
      <c r="V403" s="830"/>
      <c r="W403" s="831" t="e">
        <f t="shared" si="86"/>
        <v>#N/A</v>
      </c>
      <c r="X403" s="830"/>
      <c r="Y403" s="830"/>
      <c r="Z403" s="830" t="e">
        <f t="shared" si="87"/>
        <v>#N/A</v>
      </c>
      <c r="AA403" s="830" t="e">
        <f>VLOOKUP(C403,'CHẤM CÔNG '!$E$13:$AM$168,33,0)</f>
        <v>#N/A</v>
      </c>
      <c r="AB403" s="830" t="e">
        <f>VLOOKUP(C403,'CHẤM CÔNG '!$E$13:$AM$168,34,0)</f>
        <v>#N/A</v>
      </c>
      <c r="AC403" s="830"/>
      <c r="AD403" s="830"/>
      <c r="AE403" s="830"/>
      <c r="AF403" s="830"/>
      <c r="AG403" s="830"/>
      <c r="AH403" s="830"/>
      <c r="AI403" s="830"/>
      <c r="AJ403" s="830"/>
      <c r="AK403" s="836"/>
      <c r="AL403" s="837" t="e">
        <f>VLOOKUP(C403,'sản lượng'!$D$14:$AP$169,38,0)</f>
        <v>#N/A</v>
      </c>
    </row>
    <row r="404" spans="1:38" ht="15.75">
      <c r="A404" s="812">
        <v>8</v>
      </c>
      <c r="B404" s="813" t="str">
        <f>VLOOKUP(C404,'DS CN MOI UP'!$B$10:$C$389,2,0)</f>
        <v>02643</v>
      </c>
      <c r="C404" s="846" t="s">
        <v>293</v>
      </c>
      <c r="D404" s="812" t="s">
        <v>15</v>
      </c>
      <c r="E404" s="815">
        <f t="shared" si="88"/>
        <v>24</v>
      </c>
      <c r="F404" s="815"/>
      <c r="G404" s="815"/>
      <c r="H404" s="960"/>
      <c r="I404" s="815"/>
      <c r="J404" s="815"/>
      <c r="K404" s="815"/>
      <c r="L404" s="815"/>
      <c r="M404" s="815"/>
      <c r="N404" s="815"/>
      <c r="O404" s="815"/>
      <c r="P404" s="815"/>
      <c r="Q404" s="815"/>
      <c r="R404" s="815"/>
      <c r="S404" s="830">
        <f t="shared" si="89"/>
        <v>24</v>
      </c>
      <c r="T404" s="830" t="e">
        <f>VLOOKUP(C404,'sản lượng'!$D$14:$AK$169,36,0)</f>
        <v>#N/A</v>
      </c>
      <c r="U404" s="830"/>
      <c r="V404" s="830"/>
      <c r="W404" s="831" t="e">
        <f t="shared" si="86"/>
        <v>#N/A</v>
      </c>
      <c r="X404" s="830"/>
      <c r="Y404" s="830"/>
      <c r="Z404" s="830" t="e">
        <f t="shared" si="87"/>
        <v>#N/A</v>
      </c>
      <c r="AA404" s="830" t="e">
        <f>VLOOKUP(C404,'CHẤM CÔNG '!$E$13:$AM$168,33,0)</f>
        <v>#N/A</v>
      </c>
      <c r="AB404" s="830" t="e">
        <f>VLOOKUP(C404,'CHẤM CÔNG '!$E$13:$AM$168,34,0)</f>
        <v>#N/A</v>
      </c>
      <c r="AC404" s="830"/>
      <c r="AD404" s="830"/>
      <c r="AE404" s="830"/>
      <c r="AF404" s="830"/>
      <c r="AG404" s="830"/>
      <c r="AH404" s="830"/>
      <c r="AI404" s="830"/>
      <c r="AJ404" s="830"/>
      <c r="AK404" s="836"/>
      <c r="AL404" s="837" t="e">
        <f>VLOOKUP(C404,'sản lượng'!$D$14:$AP$169,38,0)</f>
        <v>#N/A</v>
      </c>
    </row>
    <row r="405" spans="1:38" ht="15.75">
      <c r="A405" s="812">
        <v>9</v>
      </c>
      <c r="B405" s="813" t="str">
        <f>VLOOKUP(C405,'DS CN MOI UP'!$B$10:$C$389,2,0)</f>
        <v>03407</v>
      </c>
      <c r="C405" s="846" t="s">
        <v>294</v>
      </c>
      <c r="D405" s="812" t="s">
        <v>15</v>
      </c>
      <c r="E405" s="815">
        <f t="shared" si="88"/>
        <v>24</v>
      </c>
      <c r="F405" s="815"/>
      <c r="G405" s="815"/>
      <c r="H405" s="960"/>
      <c r="I405" s="815"/>
      <c r="J405" s="815"/>
      <c r="K405" s="815"/>
      <c r="L405" s="815"/>
      <c r="M405" s="815"/>
      <c r="N405" s="815"/>
      <c r="O405" s="815"/>
      <c r="P405" s="815"/>
      <c r="Q405" s="815"/>
      <c r="R405" s="815"/>
      <c r="S405" s="830">
        <f t="shared" si="89"/>
        <v>24</v>
      </c>
      <c r="T405" s="830" t="e">
        <f>VLOOKUP(C405,'sản lượng'!$D$14:$AK$169,36,0)</f>
        <v>#N/A</v>
      </c>
      <c r="U405" s="830"/>
      <c r="V405" s="830"/>
      <c r="W405" s="831" t="e">
        <f t="shared" si="86"/>
        <v>#N/A</v>
      </c>
      <c r="X405" s="830"/>
      <c r="Y405" s="830"/>
      <c r="Z405" s="830" t="e">
        <f t="shared" si="87"/>
        <v>#N/A</v>
      </c>
      <c r="AA405" s="830" t="e">
        <f>VLOOKUP(C405,'CHẤM CÔNG '!$E$13:$AM$168,33,0)</f>
        <v>#N/A</v>
      </c>
      <c r="AB405" s="830" t="e">
        <f>VLOOKUP(C405,'CHẤM CÔNG '!$E$13:$AM$168,34,0)</f>
        <v>#N/A</v>
      </c>
      <c r="AC405" s="830"/>
      <c r="AD405" s="830"/>
      <c r="AE405" s="830"/>
      <c r="AF405" s="830"/>
      <c r="AG405" s="830"/>
      <c r="AH405" s="830"/>
      <c r="AI405" s="830"/>
      <c r="AJ405" s="830"/>
      <c r="AK405" s="836"/>
      <c r="AL405" s="837" t="e">
        <f>VLOOKUP(C405,'sản lượng'!$D$14:$AP$169,38,0)</f>
        <v>#N/A</v>
      </c>
    </row>
    <row r="406" spans="1:38" ht="15.75">
      <c r="A406" s="812">
        <v>10</v>
      </c>
      <c r="B406" s="813" t="str">
        <f>VLOOKUP(C406,'DS CN MOI UP'!$B$10:$C$389,2,0)</f>
        <v>03408</v>
      </c>
      <c r="C406" s="846" t="s">
        <v>295</v>
      </c>
      <c r="D406" s="812" t="s">
        <v>15</v>
      </c>
      <c r="E406" s="815">
        <f t="shared" si="88"/>
        <v>24</v>
      </c>
      <c r="F406" s="815"/>
      <c r="G406" s="815"/>
      <c r="H406" s="960"/>
      <c r="I406" s="815"/>
      <c r="J406" s="815"/>
      <c r="K406" s="815"/>
      <c r="L406" s="815"/>
      <c r="M406" s="815"/>
      <c r="N406" s="815"/>
      <c r="O406" s="815"/>
      <c r="P406" s="815"/>
      <c r="Q406" s="815"/>
      <c r="R406" s="815"/>
      <c r="S406" s="830">
        <f t="shared" si="89"/>
        <v>24</v>
      </c>
      <c r="T406" s="830" t="e">
        <f>VLOOKUP(C406,'sản lượng'!$D$14:$AK$169,36,0)</f>
        <v>#N/A</v>
      </c>
      <c r="U406" s="830"/>
      <c r="V406" s="830"/>
      <c r="W406" s="831" t="e">
        <f t="shared" si="86"/>
        <v>#N/A</v>
      </c>
      <c r="X406" s="830"/>
      <c r="Y406" s="830"/>
      <c r="Z406" s="830" t="e">
        <f t="shared" si="87"/>
        <v>#N/A</v>
      </c>
      <c r="AA406" s="830" t="e">
        <f>VLOOKUP(C406,'CHẤM CÔNG '!$E$13:$AM$168,33,0)</f>
        <v>#N/A</v>
      </c>
      <c r="AB406" s="830" t="e">
        <f>VLOOKUP(C406,'CHẤM CÔNG '!$E$13:$AM$168,34,0)</f>
        <v>#N/A</v>
      </c>
      <c r="AC406" s="830"/>
      <c r="AD406" s="830"/>
      <c r="AE406" s="830"/>
      <c r="AF406" s="830"/>
      <c r="AG406" s="830"/>
      <c r="AH406" s="830"/>
      <c r="AI406" s="830"/>
      <c r="AJ406" s="830"/>
      <c r="AK406" s="836"/>
      <c r="AL406" s="837" t="e">
        <f>VLOOKUP(C406,'sản lượng'!$D$14:$AP$169,38,0)</f>
        <v>#N/A</v>
      </c>
    </row>
    <row r="407" spans="1:38" ht="15.75">
      <c r="A407" s="812">
        <v>11</v>
      </c>
      <c r="B407" s="813" t="str">
        <f>VLOOKUP(C407,'DS CN MOI UP'!$B$10:$C$389,2,0)</f>
        <v>02646</v>
      </c>
      <c r="C407" s="846" t="s">
        <v>296</v>
      </c>
      <c r="D407" s="812" t="s">
        <v>15</v>
      </c>
      <c r="E407" s="815">
        <f t="shared" si="88"/>
        <v>24</v>
      </c>
      <c r="F407" s="815"/>
      <c r="G407" s="815"/>
      <c r="H407" s="960"/>
      <c r="I407" s="815"/>
      <c r="J407" s="815"/>
      <c r="K407" s="815"/>
      <c r="L407" s="815"/>
      <c r="M407" s="815"/>
      <c r="N407" s="815"/>
      <c r="O407" s="815"/>
      <c r="P407" s="815"/>
      <c r="Q407" s="815"/>
      <c r="R407" s="815"/>
      <c r="S407" s="830">
        <f t="shared" si="89"/>
        <v>24</v>
      </c>
      <c r="T407" s="830" t="e">
        <f>VLOOKUP(C407,'sản lượng'!$D$14:$AK$169,36,0)</f>
        <v>#N/A</v>
      </c>
      <c r="U407" s="830"/>
      <c r="V407" s="830"/>
      <c r="W407" s="831" t="e">
        <f t="shared" si="86"/>
        <v>#N/A</v>
      </c>
      <c r="X407" s="830"/>
      <c r="Y407" s="830"/>
      <c r="Z407" s="830" t="e">
        <f t="shared" ref="Z407:Z457" si="90">W407*$AN$18+X407*$AN$10+$AN$11*Y407</f>
        <v>#N/A</v>
      </c>
      <c r="AA407" s="830" t="e">
        <f>VLOOKUP(C407,'CHẤM CÔNG '!$E$13:$AM$168,33,0)</f>
        <v>#N/A</v>
      </c>
      <c r="AB407" s="830" t="e">
        <f>VLOOKUP(C407,'CHẤM CÔNG '!$E$13:$AM$168,34,0)</f>
        <v>#N/A</v>
      </c>
      <c r="AC407" s="830"/>
      <c r="AD407" s="830"/>
      <c r="AE407" s="830"/>
      <c r="AF407" s="830"/>
      <c r="AG407" s="830"/>
      <c r="AH407" s="830"/>
      <c r="AI407" s="830"/>
      <c r="AJ407" s="830"/>
      <c r="AK407" s="836"/>
      <c r="AL407" s="837" t="e">
        <f>VLOOKUP(C407,'sản lượng'!$D$14:$AP$169,38,0)</f>
        <v>#N/A</v>
      </c>
    </row>
    <row r="408" spans="1:38" ht="15.75">
      <c r="A408" s="812">
        <v>12</v>
      </c>
      <c r="B408" s="813" t="str">
        <f>VLOOKUP(C408,'DS CN MOI UP'!$B$10:$C$389,2,0)</f>
        <v>02647</v>
      </c>
      <c r="C408" s="846" t="s">
        <v>297</v>
      </c>
      <c r="D408" s="812" t="s">
        <v>15</v>
      </c>
      <c r="E408" s="815">
        <f t="shared" si="88"/>
        <v>24</v>
      </c>
      <c r="F408" s="815"/>
      <c r="G408" s="815"/>
      <c r="H408" s="960"/>
      <c r="I408" s="815"/>
      <c r="J408" s="815"/>
      <c r="K408" s="815"/>
      <c r="L408" s="815"/>
      <c r="M408" s="815"/>
      <c r="N408" s="815"/>
      <c r="O408" s="815"/>
      <c r="P408" s="815"/>
      <c r="Q408" s="815"/>
      <c r="R408" s="815"/>
      <c r="S408" s="830">
        <f t="shared" si="89"/>
        <v>24</v>
      </c>
      <c r="T408" s="830" t="e">
        <f>VLOOKUP(C408,'sản lượng'!$D$14:$AK$169,36,0)</f>
        <v>#N/A</v>
      </c>
      <c r="U408" s="830"/>
      <c r="V408" s="830"/>
      <c r="W408" s="831" t="e">
        <f t="shared" si="86"/>
        <v>#N/A</v>
      </c>
      <c r="X408" s="830"/>
      <c r="Y408" s="830"/>
      <c r="Z408" s="830" t="e">
        <f t="shared" si="90"/>
        <v>#N/A</v>
      </c>
      <c r="AA408" s="830" t="e">
        <f>VLOOKUP(C408,'CHẤM CÔNG '!$E$13:$AM$168,33,0)</f>
        <v>#N/A</v>
      </c>
      <c r="AB408" s="830" t="e">
        <f>VLOOKUP(C408,'CHẤM CÔNG '!$E$13:$AM$168,34,0)</f>
        <v>#N/A</v>
      </c>
      <c r="AC408" s="830"/>
      <c r="AD408" s="830"/>
      <c r="AE408" s="830"/>
      <c r="AF408" s="830"/>
      <c r="AG408" s="830"/>
      <c r="AH408" s="830"/>
      <c r="AI408" s="830"/>
      <c r="AJ408" s="830"/>
      <c r="AK408" s="836"/>
      <c r="AL408" s="837" t="e">
        <f>VLOOKUP(C408,'sản lượng'!$D$14:$AP$169,38,0)</f>
        <v>#N/A</v>
      </c>
    </row>
    <row r="409" spans="1:38" ht="15.75">
      <c r="A409" s="812">
        <v>13</v>
      </c>
      <c r="B409" s="813" t="str">
        <f>VLOOKUP(C409,'DS CN MOI UP'!$B$10:$C$389,2,0)</f>
        <v>02648</v>
      </c>
      <c r="C409" s="846" t="s">
        <v>298</v>
      </c>
      <c r="D409" s="812" t="s">
        <v>15</v>
      </c>
      <c r="E409" s="815">
        <f t="shared" si="88"/>
        <v>24</v>
      </c>
      <c r="F409" s="815"/>
      <c r="G409" s="815"/>
      <c r="H409" s="960"/>
      <c r="I409" s="815"/>
      <c r="J409" s="815"/>
      <c r="K409" s="815"/>
      <c r="L409" s="815"/>
      <c r="M409" s="815"/>
      <c r="N409" s="815"/>
      <c r="O409" s="815"/>
      <c r="P409" s="815"/>
      <c r="Q409" s="815"/>
      <c r="R409" s="815"/>
      <c r="S409" s="830">
        <f t="shared" si="89"/>
        <v>24</v>
      </c>
      <c r="T409" s="830" t="e">
        <f>VLOOKUP(C409,'sản lượng'!$D$14:$AK$169,36,0)</f>
        <v>#N/A</v>
      </c>
      <c r="U409" s="830"/>
      <c r="V409" s="830"/>
      <c r="W409" s="831" t="e">
        <f t="shared" si="86"/>
        <v>#N/A</v>
      </c>
      <c r="X409" s="830"/>
      <c r="Y409" s="830"/>
      <c r="Z409" s="830" t="e">
        <f t="shared" si="90"/>
        <v>#N/A</v>
      </c>
      <c r="AA409" s="830" t="e">
        <f>VLOOKUP(C409,'CHẤM CÔNG '!$E$13:$AM$168,33,0)</f>
        <v>#N/A</v>
      </c>
      <c r="AB409" s="830" t="e">
        <f>VLOOKUP(C409,'CHẤM CÔNG '!$E$13:$AM$168,34,0)</f>
        <v>#N/A</v>
      </c>
      <c r="AC409" s="830"/>
      <c r="AD409" s="830"/>
      <c r="AE409" s="830"/>
      <c r="AF409" s="830"/>
      <c r="AG409" s="830"/>
      <c r="AH409" s="830"/>
      <c r="AI409" s="830"/>
      <c r="AJ409" s="830"/>
      <c r="AK409" s="836"/>
      <c r="AL409" s="837" t="e">
        <f>VLOOKUP(C409,'sản lượng'!$D$14:$AP$169,38,0)</f>
        <v>#N/A</v>
      </c>
    </row>
    <row r="410" spans="1:38" ht="15.75">
      <c r="A410" s="812">
        <v>14</v>
      </c>
      <c r="B410" s="813" t="str">
        <f>VLOOKUP(C410,'DS CN MOI UP'!$B$10:$C$389,2,0)</f>
        <v>02649</v>
      </c>
      <c r="C410" s="846" t="s">
        <v>299</v>
      </c>
      <c r="D410" s="812" t="s">
        <v>15</v>
      </c>
      <c r="E410" s="815">
        <f t="shared" si="88"/>
        <v>24</v>
      </c>
      <c r="F410" s="815"/>
      <c r="G410" s="815"/>
      <c r="H410" s="960"/>
      <c r="I410" s="815"/>
      <c r="J410" s="815"/>
      <c r="K410" s="815"/>
      <c r="L410" s="815"/>
      <c r="M410" s="815"/>
      <c r="N410" s="815"/>
      <c r="O410" s="815"/>
      <c r="P410" s="815"/>
      <c r="Q410" s="815"/>
      <c r="R410" s="815"/>
      <c r="S410" s="830">
        <f t="shared" si="89"/>
        <v>24</v>
      </c>
      <c r="T410" s="830" t="e">
        <f>VLOOKUP(C410,'sản lượng'!$D$14:$AK$169,36,0)</f>
        <v>#N/A</v>
      </c>
      <c r="U410" s="830"/>
      <c r="V410" s="830"/>
      <c r="W410" s="831" t="e">
        <f t="shared" si="86"/>
        <v>#N/A</v>
      </c>
      <c r="X410" s="830"/>
      <c r="Y410" s="830"/>
      <c r="Z410" s="830" t="e">
        <f t="shared" si="90"/>
        <v>#N/A</v>
      </c>
      <c r="AA410" s="830" t="e">
        <f>VLOOKUP(C410,'CHẤM CÔNG '!$E$13:$AM$168,33,0)</f>
        <v>#N/A</v>
      </c>
      <c r="AB410" s="830" t="e">
        <f>VLOOKUP(C410,'CHẤM CÔNG '!$E$13:$AM$168,34,0)</f>
        <v>#N/A</v>
      </c>
      <c r="AC410" s="830"/>
      <c r="AD410" s="830"/>
      <c r="AE410" s="830"/>
      <c r="AF410" s="830"/>
      <c r="AG410" s="830"/>
      <c r="AH410" s="830"/>
      <c r="AI410" s="830"/>
      <c r="AJ410" s="830"/>
      <c r="AK410" s="836"/>
      <c r="AL410" s="837" t="e">
        <f>VLOOKUP(C410,'sản lượng'!$D$14:$AP$169,38,0)</f>
        <v>#N/A</v>
      </c>
    </row>
    <row r="411" spans="1:38" ht="15.75">
      <c r="A411" s="812">
        <v>15</v>
      </c>
      <c r="B411" s="813" t="str">
        <f>VLOOKUP(C411,'DS CN MOI UP'!$B$10:$C$389,2,0)</f>
        <v>02650</v>
      </c>
      <c r="C411" s="846" t="s">
        <v>300</v>
      </c>
      <c r="D411" s="812" t="s">
        <v>15</v>
      </c>
      <c r="E411" s="815">
        <f t="shared" si="88"/>
        <v>24</v>
      </c>
      <c r="F411" s="815"/>
      <c r="G411" s="815"/>
      <c r="H411" s="960"/>
      <c r="I411" s="815"/>
      <c r="J411" s="815"/>
      <c r="K411" s="815"/>
      <c r="L411" s="815"/>
      <c r="M411" s="815"/>
      <c r="N411" s="815"/>
      <c r="O411" s="815"/>
      <c r="P411" s="815"/>
      <c r="Q411" s="815"/>
      <c r="R411" s="815"/>
      <c r="S411" s="830">
        <f t="shared" si="89"/>
        <v>24</v>
      </c>
      <c r="T411" s="830" t="e">
        <f>VLOOKUP(C411,'sản lượng'!$D$14:$AK$169,36,0)</f>
        <v>#N/A</v>
      </c>
      <c r="U411" s="830"/>
      <c r="V411" s="830"/>
      <c r="W411" s="831" t="e">
        <f t="shared" si="86"/>
        <v>#N/A</v>
      </c>
      <c r="X411" s="830"/>
      <c r="Y411" s="830"/>
      <c r="Z411" s="830" t="e">
        <f t="shared" si="90"/>
        <v>#N/A</v>
      </c>
      <c r="AA411" s="830" t="e">
        <f>VLOOKUP(C411,'CHẤM CÔNG '!$E$13:$AM$168,33,0)</f>
        <v>#N/A</v>
      </c>
      <c r="AB411" s="830" t="e">
        <f>VLOOKUP(C411,'CHẤM CÔNG '!$E$13:$AM$168,34,0)</f>
        <v>#N/A</v>
      </c>
      <c r="AC411" s="830"/>
      <c r="AD411" s="830"/>
      <c r="AE411" s="830"/>
      <c r="AF411" s="830"/>
      <c r="AG411" s="830"/>
      <c r="AH411" s="830"/>
      <c r="AI411" s="830"/>
      <c r="AJ411" s="830"/>
      <c r="AK411" s="836"/>
      <c r="AL411" s="837" t="e">
        <f>VLOOKUP(C411,'sản lượng'!$D$14:$AP$169,38,0)</f>
        <v>#N/A</v>
      </c>
    </row>
    <row r="412" spans="1:38" ht="15.75">
      <c r="A412" s="812">
        <v>16</v>
      </c>
      <c r="B412" s="813" t="str">
        <f>VLOOKUP(C412,'DS CN MOI UP'!$B$10:$C$389,2,0)</f>
        <v>02651</v>
      </c>
      <c r="C412" s="846" t="s">
        <v>301</v>
      </c>
      <c r="D412" s="812" t="s">
        <v>15</v>
      </c>
      <c r="E412" s="815">
        <f t="shared" si="88"/>
        <v>24</v>
      </c>
      <c r="F412" s="815"/>
      <c r="G412" s="815"/>
      <c r="H412" s="960"/>
      <c r="I412" s="815"/>
      <c r="J412" s="815"/>
      <c r="K412" s="815"/>
      <c r="L412" s="815"/>
      <c r="M412" s="815"/>
      <c r="N412" s="815"/>
      <c r="O412" s="815"/>
      <c r="P412" s="815"/>
      <c r="Q412" s="815"/>
      <c r="R412" s="815"/>
      <c r="S412" s="830">
        <f t="shared" si="89"/>
        <v>24</v>
      </c>
      <c r="T412" s="830" t="e">
        <f>VLOOKUP(C412,'sản lượng'!$D$14:$AK$169,36,0)</f>
        <v>#N/A</v>
      </c>
      <c r="U412" s="830"/>
      <c r="V412" s="830"/>
      <c r="W412" s="831" t="e">
        <f t="shared" si="86"/>
        <v>#N/A</v>
      </c>
      <c r="X412" s="830"/>
      <c r="Y412" s="830"/>
      <c r="Z412" s="830" t="e">
        <f t="shared" si="90"/>
        <v>#N/A</v>
      </c>
      <c r="AA412" s="830" t="e">
        <f>VLOOKUP(C412,'CHẤM CÔNG '!$E$13:$AM$168,33,0)</f>
        <v>#N/A</v>
      </c>
      <c r="AB412" s="830" t="e">
        <f>VLOOKUP(C412,'CHẤM CÔNG '!$E$13:$AM$168,34,0)</f>
        <v>#N/A</v>
      </c>
      <c r="AC412" s="830"/>
      <c r="AD412" s="830"/>
      <c r="AE412" s="830"/>
      <c r="AF412" s="830"/>
      <c r="AG412" s="830"/>
      <c r="AH412" s="830"/>
      <c r="AI412" s="830"/>
      <c r="AJ412" s="830"/>
      <c r="AK412" s="836"/>
      <c r="AL412" s="837" t="e">
        <f>VLOOKUP(C412,'sản lượng'!$D$14:$AP$169,38,0)</f>
        <v>#N/A</v>
      </c>
    </row>
    <row r="413" spans="1:38" ht="15.75">
      <c r="A413" s="812">
        <v>17</v>
      </c>
      <c r="B413" s="813" t="str">
        <f>VLOOKUP(C413,'DS CN MOI UP'!$B$10:$C$389,2,0)</f>
        <v>02652</v>
      </c>
      <c r="C413" s="846" t="s">
        <v>302</v>
      </c>
      <c r="D413" s="812" t="s">
        <v>15</v>
      </c>
      <c r="E413" s="815">
        <f t="shared" si="88"/>
        <v>24</v>
      </c>
      <c r="F413" s="815"/>
      <c r="G413" s="815"/>
      <c r="H413" s="960"/>
      <c r="I413" s="815"/>
      <c r="J413" s="815"/>
      <c r="K413" s="815"/>
      <c r="L413" s="815"/>
      <c r="M413" s="815"/>
      <c r="N413" s="815"/>
      <c r="O413" s="815"/>
      <c r="P413" s="815"/>
      <c r="Q413" s="815"/>
      <c r="R413" s="815"/>
      <c r="S413" s="830">
        <f t="shared" si="89"/>
        <v>24</v>
      </c>
      <c r="T413" s="830" t="e">
        <f>VLOOKUP(C413,'sản lượng'!$D$14:$AK$169,36,0)</f>
        <v>#N/A</v>
      </c>
      <c r="U413" s="830"/>
      <c r="V413" s="830"/>
      <c r="W413" s="831" t="e">
        <f t="shared" si="86"/>
        <v>#N/A</v>
      </c>
      <c r="X413" s="830"/>
      <c r="Y413" s="830"/>
      <c r="Z413" s="830" t="e">
        <f t="shared" si="90"/>
        <v>#N/A</v>
      </c>
      <c r="AA413" s="830" t="e">
        <f>VLOOKUP(C413,'CHẤM CÔNG '!$E$13:$AM$168,33,0)</f>
        <v>#N/A</v>
      </c>
      <c r="AB413" s="830" t="e">
        <f>VLOOKUP(C413,'CHẤM CÔNG '!$E$13:$AM$168,34,0)</f>
        <v>#N/A</v>
      </c>
      <c r="AC413" s="830"/>
      <c r="AD413" s="830"/>
      <c r="AE413" s="830"/>
      <c r="AF413" s="830"/>
      <c r="AG413" s="830"/>
      <c r="AH413" s="830"/>
      <c r="AI413" s="830"/>
      <c r="AJ413" s="830"/>
      <c r="AK413" s="836"/>
      <c r="AL413" s="837" t="e">
        <f>VLOOKUP(C413,'sản lượng'!$D$14:$AP$169,38,0)</f>
        <v>#N/A</v>
      </c>
    </row>
    <row r="414" spans="1:38" ht="15.75">
      <c r="A414" s="812">
        <v>18</v>
      </c>
      <c r="B414" s="813" t="e">
        <f>VLOOKUP(C414,'DS CN MOI UP'!$B$10:$C$389,2,0)</f>
        <v>#N/A</v>
      </c>
      <c r="C414" s="846" t="s">
        <v>303</v>
      </c>
      <c r="D414" s="812" t="s">
        <v>15</v>
      </c>
      <c r="E414" s="815">
        <f t="shared" si="88"/>
        <v>24</v>
      </c>
      <c r="F414" s="815"/>
      <c r="G414" s="815"/>
      <c r="H414" s="960"/>
      <c r="I414" s="815"/>
      <c r="J414" s="815"/>
      <c r="K414" s="815"/>
      <c r="L414" s="815"/>
      <c r="M414" s="815"/>
      <c r="N414" s="815"/>
      <c r="O414" s="815"/>
      <c r="P414" s="815"/>
      <c r="Q414" s="815"/>
      <c r="R414" s="815"/>
      <c r="S414" s="830">
        <f t="shared" si="89"/>
        <v>24</v>
      </c>
      <c r="T414" s="830" t="e">
        <f>VLOOKUP(C414,'sản lượng'!$D$14:$AK$169,36,0)</f>
        <v>#N/A</v>
      </c>
      <c r="U414" s="830"/>
      <c r="V414" s="830"/>
      <c r="W414" s="831" t="e">
        <f t="shared" si="86"/>
        <v>#N/A</v>
      </c>
      <c r="X414" s="830"/>
      <c r="Y414" s="830"/>
      <c r="Z414" s="830" t="e">
        <f t="shared" si="90"/>
        <v>#N/A</v>
      </c>
      <c r="AA414" s="830" t="e">
        <f>VLOOKUP(C414,'CHẤM CÔNG '!$E$13:$AM$168,33,0)</f>
        <v>#N/A</v>
      </c>
      <c r="AB414" s="830" t="e">
        <f>VLOOKUP(C414,'CHẤM CÔNG '!$E$13:$AM$168,34,0)</f>
        <v>#N/A</v>
      </c>
      <c r="AC414" s="830"/>
      <c r="AD414" s="830"/>
      <c r="AE414" s="830"/>
      <c r="AF414" s="830"/>
      <c r="AG414" s="830"/>
      <c r="AH414" s="830"/>
      <c r="AI414" s="830"/>
      <c r="AJ414" s="830"/>
      <c r="AK414" s="836"/>
      <c r="AL414" s="837" t="e">
        <f>VLOOKUP(C414,'sản lượng'!$D$14:$AP$169,38,0)</f>
        <v>#N/A</v>
      </c>
    </row>
    <row r="415" spans="1:38" ht="15.75">
      <c r="A415" s="812">
        <v>19</v>
      </c>
      <c r="B415" s="813" t="str">
        <f>VLOOKUP(C415,'DS CN MOI UP'!$B$10:$C$389,2,0)</f>
        <v>02654</v>
      </c>
      <c r="C415" s="846" t="s">
        <v>304</v>
      </c>
      <c r="D415" s="812" t="s">
        <v>15</v>
      </c>
      <c r="E415" s="815">
        <f t="shared" si="88"/>
        <v>24</v>
      </c>
      <c r="F415" s="815"/>
      <c r="G415" s="815"/>
      <c r="H415" s="960"/>
      <c r="I415" s="815"/>
      <c r="J415" s="815"/>
      <c r="K415" s="815"/>
      <c r="L415" s="815"/>
      <c r="M415" s="815"/>
      <c r="N415" s="815"/>
      <c r="O415" s="815"/>
      <c r="P415" s="815"/>
      <c r="Q415" s="815"/>
      <c r="R415" s="815"/>
      <c r="S415" s="830">
        <f t="shared" si="89"/>
        <v>24</v>
      </c>
      <c r="T415" s="830" t="e">
        <f>VLOOKUP(C415,'sản lượng'!$D$14:$AK$169,36,0)</f>
        <v>#N/A</v>
      </c>
      <c r="U415" s="830"/>
      <c r="V415" s="830"/>
      <c r="W415" s="831" t="e">
        <f t="shared" si="86"/>
        <v>#N/A</v>
      </c>
      <c r="X415" s="830"/>
      <c r="Y415" s="830"/>
      <c r="Z415" s="830" t="e">
        <f t="shared" si="90"/>
        <v>#N/A</v>
      </c>
      <c r="AA415" s="830" t="e">
        <f>VLOOKUP(C415,'CHẤM CÔNG '!$E$13:$AM$168,33,0)</f>
        <v>#N/A</v>
      </c>
      <c r="AB415" s="830" t="e">
        <f>VLOOKUP(C415,'CHẤM CÔNG '!$E$13:$AM$168,34,0)</f>
        <v>#N/A</v>
      </c>
      <c r="AC415" s="830"/>
      <c r="AD415" s="830"/>
      <c r="AE415" s="830"/>
      <c r="AF415" s="830"/>
      <c r="AG415" s="830"/>
      <c r="AH415" s="830"/>
      <c r="AI415" s="830"/>
      <c r="AJ415" s="830"/>
      <c r="AK415" s="836"/>
      <c r="AL415" s="837" t="e">
        <f>VLOOKUP(C415,'sản lượng'!$D$14:$AP$169,38,0)</f>
        <v>#N/A</v>
      </c>
    </row>
    <row r="416" spans="1:38" ht="15.75">
      <c r="A416" s="812">
        <v>20</v>
      </c>
      <c r="B416" s="813" t="str">
        <f>VLOOKUP(C416,'DS CN MOI UP'!$B$10:$C$389,2,0)</f>
        <v>03861</v>
      </c>
      <c r="C416" s="846" t="s">
        <v>305</v>
      </c>
      <c r="D416" s="812" t="s">
        <v>15</v>
      </c>
      <c r="E416" s="815">
        <f t="shared" si="88"/>
        <v>24</v>
      </c>
      <c r="F416" s="815"/>
      <c r="G416" s="815"/>
      <c r="H416" s="960"/>
      <c r="I416" s="815"/>
      <c r="J416" s="815"/>
      <c r="K416" s="815"/>
      <c r="L416" s="815"/>
      <c r="M416" s="815"/>
      <c r="N416" s="815"/>
      <c r="O416" s="815"/>
      <c r="P416" s="815"/>
      <c r="Q416" s="815"/>
      <c r="R416" s="815"/>
      <c r="S416" s="830">
        <f t="shared" si="89"/>
        <v>24</v>
      </c>
      <c r="T416" s="830" t="e">
        <f>VLOOKUP(C416,'sản lượng'!$D$14:$AK$169,36,0)</f>
        <v>#N/A</v>
      </c>
      <c r="U416" s="830"/>
      <c r="V416" s="830"/>
      <c r="W416" s="831" t="e">
        <f t="shared" si="86"/>
        <v>#N/A</v>
      </c>
      <c r="X416" s="830"/>
      <c r="Y416" s="830"/>
      <c r="Z416" s="830" t="e">
        <f t="shared" si="90"/>
        <v>#N/A</v>
      </c>
      <c r="AA416" s="830" t="e">
        <f>VLOOKUP(C416,'CHẤM CÔNG '!$E$13:$AM$168,33,0)</f>
        <v>#N/A</v>
      </c>
      <c r="AB416" s="830" t="e">
        <f>VLOOKUP(C416,'CHẤM CÔNG '!$E$13:$AM$168,34,0)</f>
        <v>#N/A</v>
      </c>
      <c r="AC416" s="830"/>
      <c r="AD416" s="830"/>
      <c r="AE416" s="830"/>
      <c r="AF416" s="830"/>
      <c r="AG416" s="830"/>
      <c r="AH416" s="830"/>
      <c r="AI416" s="830"/>
      <c r="AJ416" s="830"/>
      <c r="AK416" s="836"/>
      <c r="AL416" s="837" t="e">
        <f>VLOOKUP(C416,'sản lượng'!$D$14:$AP$169,38,0)</f>
        <v>#N/A</v>
      </c>
    </row>
    <row r="417" spans="1:38" ht="15.75">
      <c r="A417" s="812">
        <v>21</v>
      </c>
      <c r="B417" s="813" t="e">
        <f>VLOOKUP(C417,'DS CN MOI UP'!$B$10:$C$389,2,0)</f>
        <v>#N/A</v>
      </c>
      <c r="C417" s="846" t="s">
        <v>306</v>
      </c>
      <c r="D417" s="812" t="s">
        <v>15</v>
      </c>
      <c r="E417" s="815">
        <f t="shared" si="88"/>
        <v>24</v>
      </c>
      <c r="F417" s="815"/>
      <c r="G417" s="815"/>
      <c r="H417" s="960"/>
      <c r="I417" s="815"/>
      <c r="J417" s="815"/>
      <c r="K417" s="815"/>
      <c r="L417" s="815"/>
      <c r="M417" s="815"/>
      <c r="N417" s="815"/>
      <c r="O417" s="815"/>
      <c r="P417" s="815"/>
      <c r="Q417" s="815"/>
      <c r="R417" s="815"/>
      <c r="S417" s="830">
        <f t="shared" ref="S417:S438" si="91">SUM(E417:R417)</f>
        <v>24</v>
      </c>
      <c r="T417" s="830" t="e">
        <f>VLOOKUP(C417,'sản lượng'!$D$14:$AK$169,36,0)</f>
        <v>#N/A</v>
      </c>
      <c r="U417" s="830"/>
      <c r="V417" s="830"/>
      <c r="W417" s="831" t="e">
        <f t="shared" si="86"/>
        <v>#N/A</v>
      </c>
      <c r="X417" s="830"/>
      <c r="Y417" s="830"/>
      <c r="Z417" s="830" t="e">
        <f t="shared" si="90"/>
        <v>#N/A</v>
      </c>
      <c r="AA417" s="830" t="e">
        <f>VLOOKUP(C417,'CHẤM CÔNG '!$E$13:$AM$168,33,0)</f>
        <v>#N/A</v>
      </c>
      <c r="AB417" s="830" t="e">
        <f>VLOOKUP(C417,'CHẤM CÔNG '!$E$13:$AM$168,34,0)</f>
        <v>#N/A</v>
      </c>
      <c r="AC417" s="830"/>
      <c r="AD417" s="830"/>
      <c r="AE417" s="830"/>
      <c r="AF417" s="830"/>
      <c r="AG417" s="830"/>
      <c r="AH417" s="830"/>
      <c r="AI417" s="830"/>
      <c r="AJ417" s="830"/>
      <c r="AK417" s="836"/>
      <c r="AL417" s="837" t="e">
        <f>VLOOKUP(C417,'sản lượng'!$D$14:$AP$169,38,0)</f>
        <v>#N/A</v>
      </c>
    </row>
    <row r="418" spans="1:38" ht="15.75">
      <c r="A418" s="812">
        <v>22</v>
      </c>
      <c r="B418" s="813" t="e">
        <f>VLOOKUP(C418,'DS CN MOI UP'!$B$10:$C$389,2,0)</f>
        <v>#N/A</v>
      </c>
      <c r="C418" s="846" t="s">
        <v>307</v>
      </c>
      <c r="D418" s="812" t="s">
        <v>15</v>
      </c>
      <c r="E418" s="815">
        <f t="shared" si="88"/>
        <v>24</v>
      </c>
      <c r="F418" s="815">
        <f>4*4</f>
        <v>16</v>
      </c>
      <c r="G418" s="815">
        <f>4*6</f>
        <v>24</v>
      </c>
      <c r="H418" s="960"/>
      <c r="I418" s="815"/>
      <c r="J418" s="815"/>
      <c r="K418" s="815"/>
      <c r="L418" s="815"/>
      <c r="M418" s="815"/>
      <c r="N418" s="815"/>
      <c r="O418" s="815"/>
      <c r="P418" s="815"/>
      <c r="Q418" s="815"/>
      <c r="R418" s="815"/>
      <c r="S418" s="830">
        <f t="shared" si="91"/>
        <v>64</v>
      </c>
      <c r="T418" s="830" t="e">
        <f>VLOOKUP(C418,'sản lượng'!$D$14:$AK$169,36,0)</f>
        <v>#N/A</v>
      </c>
      <c r="U418" s="830"/>
      <c r="V418" s="830"/>
      <c r="W418" s="831" t="e">
        <f t="shared" ref="W418:W438" si="92">SUM(T418:V418)</f>
        <v>#N/A</v>
      </c>
      <c r="X418" s="830"/>
      <c r="Y418" s="830"/>
      <c r="Z418" s="830" t="e">
        <f t="shared" si="90"/>
        <v>#N/A</v>
      </c>
      <c r="AA418" s="830" t="e">
        <f>VLOOKUP(C418,'CHẤM CÔNG '!$E$13:$AM$168,33,0)</f>
        <v>#N/A</v>
      </c>
      <c r="AB418" s="830" t="e">
        <f>VLOOKUP(C418,'CHẤM CÔNG '!$E$13:$AM$168,34,0)</f>
        <v>#N/A</v>
      </c>
      <c r="AC418" s="830"/>
      <c r="AD418" s="830"/>
      <c r="AE418" s="830"/>
      <c r="AF418" s="830"/>
      <c r="AG418" s="830"/>
      <c r="AH418" s="830"/>
      <c r="AI418" s="830"/>
      <c r="AJ418" s="830"/>
      <c r="AK418" s="836"/>
      <c r="AL418" s="837" t="e">
        <f>VLOOKUP(C418,'sản lượng'!$D$14:$AP$169,38,0)</f>
        <v>#N/A</v>
      </c>
    </row>
    <row r="419" spans="1:38" ht="15.75">
      <c r="A419" s="812">
        <v>23</v>
      </c>
      <c r="B419" s="813" t="str">
        <f>VLOOKUP(C419,'DS CN MOI UP'!$B$10:$C$389,2,0)</f>
        <v>02616</v>
      </c>
      <c r="C419" s="846" t="s">
        <v>308</v>
      </c>
      <c r="D419" s="812" t="s">
        <v>15</v>
      </c>
      <c r="E419" s="815">
        <f t="shared" si="88"/>
        <v>24</v>
      </c>
      <c r="F419" s="815"/>
      <c r="G419" s="815"/>
      <c r="H419" s="960"/>
      <c r="I419" s="815"/>
      <c r="J419" s="815"/>
      <c r="K419" s="815"/>
      <c r="L419" s="815"/>
      <c r="M419" s="815"/>
      <c r="N419" s="815"/>
      <c r="O419" s="815"/>
      <c r="P419" s="815"/>
      <c r="Q419" s="815"/>
      <c r="R419" s="815"/>
      <c r="S419" s="830">
        <f t="shared" si="91"/>
        <v>24</v>
      </c>
      <c r="T419" s="830" t="e">
        <f>VLOOKUP(C419,'sản lượng'!$D$14:$AK$169,36,0)</f>
        <v>#N/A</v>
      </c>
      <c r="U419" s="830"/>
      <c r="V419" s="830"/>
      <c r="W419" s="831" t="e">
        <f t="shared" si="92"/>
        <v>#N/A</v>
      </c>
      <c r="X419" s="830"/>
      <c r="Y419" s="830"/>
      <c r="Z419" s="830" t="e">
        <f t="shared" si="90"/>
        <v>#N/A</v>
      </c>
      <c r="AA419" s="830" t="e">
        <f>VLOOKUP(C419,'CHẤM CÔNG '!$E$13:$AM$168,33,0)</f>
        <v>#N/A</v>
      </c>
      <c r="AB419" s="830" t="e">
        <f>VLOOKUP(C419,'CHẤM CÔNG '!$E$13:$AM$168,34,0)</f>
        <v>#N/A</v>
      </c>
      <c r="AC419" s="830"/>
      <c r="AD419" s="830"/>
      <c r="AE419" s="830"/>
      <c r="AF419" s="830"/>
      <c r="AG419" s="830"/>
      <c r="AH419" s="830"/>
      <c r="AI419" s="830"/>
      <c r="AJ419" s="830"/>
      <c r="AK419" s="836"/>
      <c r="AL419" s="837" t="e">
        <f>VLOOKUP(C419,'sản lượng'!$D$14:$AP$169,38,0)</f>
        <v>#N/A</v>
      </c>
    </row>
    <row r="420" spans="1:38" ht="15.75">
      <c r="A420" s="812">
        <v>24</v>
      </c>
      <c r="B420" s="813" t="str">
        <f>VLOOKUP(C420,'DS CN MOI UP'!$B$10:$C$389,2,0)</f>
        <v>02617</v>
      </c>
      <c r="C420" s="846" t="s">
        <v>309</v>
      </c>
      <c r="D420" s="812" t="s">
        <v>15</v>
      </c>
      <c r="E420" s="815">
        <f t="shared" si="88"/>
        <v>24</v>
      </c>
      <c r="F420" s="815"/>
      <c r="G420" s="815"/>
      <c r="H420" s="960"/>
      <c r="I420" s="815"/>
      <c r="J420" s="815"/>
      <c r="K420" s="815"/>
      <c r="L420" s="815"/>
      <c r="M420" s="815"/>
      <c r="N420" s="815"/>
      <c r="O420" s="815"/>
      <c r="P420" s="815"/>
      <c r="Q420" s="815"/>
      <c r="R420" s="815"/>
      <c r="S420" s="830">
        <f t="shared" si="91"/>
        <v>24</v>
      </c>
      <c r="T420" s="830" t="e">
        <f>VLOOKUP(C420,'sản lượng'!$D$14:$AK$169,36,0)</f>
        <v>#N/A</v>
      </c>
      <c r="U420" s="830"/>
      <c r="V420" s="830"/>
      <c r="W420" s="831" t="e">
        <f t="shared" si="92"/>
        <v>#N/A</v>
      </c>
      <c r="X420" s="830"/>
      <c r="Y420" s="830"/>
      <c r="Z420" s="830" t="e">
        <f t="shared" si="90"/>
        <v>#N/A</v>
      </c>
      <c r="AA420" s="830" t="e">
        <f>VLOOKUP(C420,'CHẤM CÔNG '!$E$13:$AM$168,33,0)</f>
        <v>#N/A</v>
      </c>
      <c r="AB420" s="830" t="e">
        <f>VLOOKUP(C420,'CHẤM CÔNG '!$E$13:$AM$168,34,0)</f>
        <v>#N/A</v>
      </c>
      <c r="AC420" s="830"/>
      <c r="AD420" s="830"/>
      <c r="AE420" s="830"/>
      <c r="AF420" s="830"/>
      <c r="AG420" s="830"/>
      <c r="AH420" s="830"/>
      <c r="AI420" s="830"/>
      <c r="AJ420" s="830"/>
      <c r="AK420" s="836"/>
      <c r="AL420" s="837" t="e">
        <f>VLOOKUP(C420,'sản lượng'!$D$14:$AP$169,38,0)</f>
        <v>#N/A</v>
      </c>
    </row>
    <row r="421" spans="1:38" ht="15.75">
      <c r="A421" s="812">
        <v>25</v>
      </c>
      <c r="B421" s="813" t="str">
        <f>VLOOKUP(C421,'DS CN MOI UP'!$B$10:$C$389,2,0)</f>
        <v>02618</v>
      </c>
      <c r="C421" s="846" t="s">
        <v>310</v>
      </c>
      <c r="D421" s="812" t="s">
        <v>15</v>
      </c>
      <c r="E421" s="815">
        <f t="shared" si="88"/>
        <v>24</v>
      </c>
      <c r="F421" s="815"/>
      <c r="G421" s="815"/>
      <c r="H421" s="960"/>
      <c r="I421" s="815"/>
      <c r="J421" s="815"/>
      <c r="K421" s="815"/>
      <c r="L421" s="815"/>
      <c r="M421" s="815"/>
      <c r="N421" s="815"/>
      <c r="O421" s="815"/>
      <c r="P421" s="815"/>
      <c r="Q421" s="815"/>
      <c r="R421" s="815"/>
      <c r="S421" s="830">
        <f t="shared" si="91"/>
        <v>24</v>
      </c>
      <c r="T421" s="830" t="e">
        <f>VLOOKUP(C421,'sản lượng'!$D$14:$AK$169,36,0)</f>
        <v>#N/A</v>
      </c>
      <c r="U421" s="830"/>
      <c r="V421" s="830"/>
      <c r="W421" s="831" t="e">
        <f t="shared" si="92"/>
        <v>#N/A</v>
      </c>
      <c r="X421" s="830"/>
      <c r="Y421" s="830"/>
      <c r="Z421" s="830" t="e">
        <f t="shared" si="90"/>
        <v>#N/A</v>
      </c>
      <c r="AA421" s="830" t="e">
        <f>VLOOKUP(C421,'CHẤM CÔNG '!$E$13:$AM$168,33,0)</f>
        <v>#N/A</v>
      </c>
      <c r="AB421" s="830" t="e">
        <f>VLOOKUP(C421,'CHẤM CÔNG '!$E$13:$AM$168,34,0)</f>
        <v>#N/A</v>
      </c>
      <c r="AC421" s="830"/>
      <c r="AD421" s="830"/>
      <c r="AE421" s="830"/>
      <c r="AF421" s="830"/>
      <c r="AG421" s="830"/>
      <c r="AH421" s="830"/>
      <c r="AI421" s="830"/>
      <c r="AJ421" s="830"/>
      <c r="AK421" s="836"/>
      <c r="AL421" s="837" t="e">
        <f>VLOOKUP(C421,'sản lượng'!$D$14:$AP$169,38,0)</f>
        <v>#N/A</v>
      </c>
    </row>
    <row r="422" spans="1:38" ht="15.75">
      <c r="A422" s="812">
        <v>26</v>
      </c>
      <c r="B422" s="813" t="str">
        <f>VLOOKUP(C422,'DS CN MOI UP'!$B$10:$C$389,2,0)</f>
        <v>03401</v>
      </c>
      <c r="C422" s="846" t="s">
        <v>311</v>
      </c>
      <c r="D422" s="812" t="s">
        <v>15</v>
      </c>
      <c r="E422" s="815">
        <f t="shared" si="88"/>
        <v>24</v>
      </c>
      <c r="F422" s="815"/>
      <c r="G422" s="815"/>
      <c r="H422" s="960"/>
      <c r="I422" s="815"/>
      <c r="J422" s="815"/>
      <c r="K422" s="815"/>
      <c r="L422" s="815"/>
      <c r="M422" s="815"/>
      <c r="N422" s="815"/>
      <c r="O422" s="815"/>
      <c r="P422" s="815"/>
      <c r="Q422" s="815"/>
      <c r="R422" s="815"/>
      <c r="S422" s="830">
        <f t="shared" si="91"/>
        <v>24</v>
      </c>
      <c r="T422" s="830" t="e">
        <f>VLOOKUP(C422,'sản lượng'!$D$14:$AK$169,36,0)</f>
        <v>#N/A</v>
      </c>
      <c r="U422" s="830"/>
      <c r="V422" s="830"/>
      <c r="W422" s="831" t="e">
        <f t="shared" si="92"/>
        <v>#N/A</v>
      </c>
      <c r="X422" s="830"/>
      <c r="Y422" s="830"/>
      <c r="Z422" s="830" t="e">
        <f t="shared" si="90"/>
        <v>#N/A</v>
      </c>
      <c r="AA422" s="830" t="e">
        <f>VLOOKUP(C422,'CHẤM CÔNG '!$E$13:$AM$168,33,0)</f>
        <v>#N/A</v>
      </c>
      <c r="AB422" s="830" t="e">
        <f>VLOOKUP(C422,'CHẤM CÔNG '!$E$13:$AM$168,34,0)</f>
        <v>#N/A</v>
      </c>
      <c r="AC422" s="830"/>
      <c r="AD422" s="830"/>
      <c r="AE422" s="830"/>
      <c r="AF422" s="830"/>
      <c r="AG422" s="830"/>
      <c r="AH422" s="830"/>
      <c r="AI422" s="830"/>
      <c r="AJ422" s="830"/>
      <c r="AK422" s="836"/>
      <c r="AL422" s="837" t="e">
        <f>VLOOKUP(C422,'sản lượng'!$D$14:$AP$169,38,0)</f>
        <v>#N/A</v>
      </c>
    </row>
    <row r="423" spans="1:38" ht="15.75">
      <c r="A423" s="812">
        <v>27</v>
      </c>
      <c r="B423" s="813" t="str">
        <f>VLOOKUP(C423,'DS CN MOI UP'!$B$10:$C$389,2,0)</f>
        <v>03402</v>
      </c>
      <c r="C423" s="846" t="s">
        <v>312</v>
      </c>
      <c r="D423" s="812" t="s">
        <v>15</v>
      </c>
      <c r="E423" s="815">
        <f t="shared" si="88"/>
        <v>24</v>
      </c>
      <c r="F423" s="815"/>
      <c r="G423" s="815"/>
      <c r="H423" s="960"/>
      <c r="I423" s="815"/>
      <c r="J423" s="815"/>
      <c r="K423" s="815"/>
      <c r="L423" s="815"/>
      <c r="M423" s="815"/>
      <c r="N423" s="815"/>
      <c r="O423" s="815"/>
      <c r="P423" s="815"/>
      <c r="Q423" s="815"/>
      <c r="R423" s="815"/>
      <c r="S423" s="830">
        <f t="shared" si="91"/>
        <v>24</v>
      </c>
      <c r="T423" s="830" t="e">
        <f>VLOOKUP(C423,'sản lượng'!$D$14:$AK$169,36,0)</f>
        <v>#N/A</v>
      </c>
      <c r="U423" s="830"/>
      <c r="V423" s="830"/>
      <c r="W423" s="831" t="e">
        <f t="shared" si="92"/>
        <v>#N/A</v>
      </c>
      <c r="X423" s="830"/>
      <c r="Y423" s="830"/>
      <c r="Z423" s="830" t="e">
        <f t="shared" si="90"/>
        <v>#N/A</v>
      </c>
      <c r="AA423" s="830" t="e">
        <f>VLOOKUP(C423,'CHẤM CÔNG '!$E$13:$AM$168,33,0)</f>
        <v>#N/A</v>
      </c>
      <c r="AB423" s="830" t="e">
        <f>VLOOKUP(C423,'CHẤM CÔNG '!$E$13:$AM$168,34,0)</f>
        <v>#N/A</v>
      </c>
      <c r="AC423" s="830"/>
      <c r="AD423" s="830"/>
      <c r="AE423" s="830"/>
      <c r="AF423" s="830"/>
      <c r="AG423" s="830"/>
      <c r="AH423" s="830"/>
      <c r="AI423" s="830"/>
      <c r="AJ423" s="830"/>
      <c r="AK423" s="836"/>
      <c r="AL423" s="837" t="e">
        <f>VLOOKUP(C423,'sản lượng'!$D$14:$AP$169,38,0)</f>
        <v>#N/A</v>
      </c>
    </row>
    <row r="424" spans="1:38" ht="15.75">
      <c r="A424" s="812">
        <v>28</v>
      </c>
      <c r="B424" s="813" t="str">
        <f>VLOOKUP(C424,'DS CN MOI UP'!$B$10:$C$389,2,0)</f>
        <v>02621</v>
      </c>
      <c r="C424" s="846" t="s">
        <v>313</v>
      </c>
      <c r="D424" s="812" t="s">
        <v>15</v>
      </c>
      <c r="E424" s="815">
        <f t="shared" si="88"/>
        <v>24</v>
      </c>
      <c r="F424" s="815"/>
      <c r="G424" s="815"/>
      <c r="H424" s="960"/>
      <c r="I424" s="815"/>
      <c r="J424" s="815"/>
      <c r="K424" s="815"/>
      <c r="L424" s="815"/>
      <c r="M424" s="815"/>
      <c r="N424" s="815"/>
      <c r="O424" s="815"/>
      <c r="P424" s="815"/>
      <c r="Q424" s="815"/>
      <c r="R424" s="815"/>
      <c r="S424" s="830">
        <f t="shared" si="91"/>
        <v>24</v>
      </c>
      <c r="T424" s="830" t="e">
        <f>VLOOKUP(C424,'sản lượng'!$D$14:$AK$169,36,0)</f>
        <v>#N/A</v>
      </c>
      <c r="U424" s="830"/>
      <c r="V424" s="830"/>
      <c r="W424" s="831" t="e">
        <f t="shared" si="92"/>
        <v>#N/A</v>
      </c>
      <c r="X424" s="830"/>
      <c r="Y424" s="830"/>
      <c r="Z424" s="830" t="e">
        <f t="shared" si="90"/>
        <v>#N/A</v>
      </c>
      <c r="AA424" s="830" t="e">
        <f>VLOOKUP(C424,'CHẤM CÔNG '!$E$13:$AM$168,33,0)</f>
        <v>#N/A</v>
      </c>
      <c r="AB424" s="830" t="e">
        <f>VLOOKUP(C424,'CHẤM CÔNG '!$E$13:$AM$168,34,0)</f>
        <v>#N/A</v>
      </c>
      <c r="AC424" s="830"/>
      <c r="AD424" s="830"/>
      <c r="AE424" s="830"/>
      <c r="AF424" s="830"/>
      <c r="AG424" s="830"/>
      <c r="AH424" s="830"/>
      <c r="AI424" s="830"/>
      <c r="AJ424" s="830"/>
      <c r="AK424" s="836"/>
      <c r="AL424" s="837" t="e">
        <f>VLOOKUP(C424,'sản lượng'!$D$14:$AP$169,38,0)</f>
        <v>#N/A</v>
      </c>
    </row>
    <row r="425" spans="1:38" ht="15.75">
      <c r="A425" s="812">
        <v>29</v>
      </c>
      <c r="B425" s="813" t="str">
        <f>VLOOKUP(C425,'DS CN MOI UP'!$B$10:$C$389,2,0)</f>
        <v>02622</v>
      </c>
      <c r="C425" s="846" t="s">
        <v>314</v>
      </c>
      <c r="D425" s="812" t="s">
        <v>15</v>
      </c>
      <c r="E425" s="815">
        <f t="shared" si="88"/>
        <v>24</v>
      </c>
      <c r="F425" s="815"/>
      <c r="G425" s="815"/>
      <c r="H425" s="960"/>
      <c r="I425" s="815"/>
      <c r="J425" s="815"/>
      <c r="K425" s="815"/>
      <c r="L425" s="815"/>
      <c r="M425" s="815"/>
      <c r="N425" s="815"/>
      <c r="O425" s="815"/>
      <c r="P425" s="815"/>
      <c r="Q425" s="815"/>
      <c r="R425" s="815"/>
      <c r="S425" s="830">
        <f t="shared" si="91"/>
        <v>24</v>
      </c>
      <c r="T425" s="830" t="e">
        <f>VLOOKUP(C425,'sản lượng'!$D$14:$AK$169,36,0)</f>
        <v>#N/A</v>
      </c>
      <c r="U425" s="830"/>
      <c r="V425" s="830"/>
      <c r="W425" s="831" t="e">
        <f t="shared" si="92"/>
        <v>#N/A</v>
      </c>
      <c r="X425" s="830"/>
      <c r="Y425" s="830"/>
      <c r="Z425" s="830" t="e">
        <f t="shared" si="90"/>
        <v>#N/A</v>
      </c>
      <c r="AA425" s="830" t="e">
        <f>VLOOKUP(C425,'CHẤM CÔNG '!$E$13:$AM$168,33,0)</f>
        <v>#N/A</v>
      </c>
      <c r="AB425" s="830" t="e">
        <f>VLOOKUP(C425,'CHẤM CÔNG '!$E$13:$AM$168,34,0)</f>
        <v>#N/A</v>
      </c>
      <c r="AC425" s="830"/>
      <c r="AD425" s="830"/>
      <c r="AE425" s="830"/>
      <c r="AF425" s="830"/>
      <c r="AG425" s="830"/>
      <c r="AH425" s="830"/>
      <c r="AI425" s="830"/>
      <c r="AJ425" s="830"/>
      <c r="AK425" s="836"/>
      <c r="AL425" s="837" t="e">
        <f>VLOOKUP(C425,'sản lượng'!$D$14:$AP$169,38,0)</f>
        <v>#N/A</v>
      </c>
    </row>
    <row r="426" spans="1:38" ht="15.75">
      <c r="A426" s="812">
        <v>30</v>
      </c>
      <c r="B426" s="813" t="e">
        <f>VLOOKUP(C426,'DS CN MOI UP'!$B$10:$C$389,2,0)</f>
        <v>#N/A</v>
      </c>
      <c r="C426" s="846" t="s">
        <v>315</v>
      </c>
      <c r="D426" s="812" t="s">
        <v>15</v>
      </c>
      <c r="E426" s="815">
        <f t="shared" si="88"/>
        <v>24</v>
      </c>
      <c r="F426" s="815"/>
      <c r="G426" s="815"/>
      <c r="H426" s="960"/>
      <c r="I426" s="815"/>
      <c r="J426" s="815"/>
      <c r="K426" s="815"/>
      <c r="L426" s="815"/>
      <c r="M426" s="815"/>
      <c r="N426" s="815"/>
      <c r="O426" s="815"/>
      <c r="P426" s="815"/>
      <c r="Q426" s="815"/>
      <c r="R426" s="815"/>
      <c r="S426" s="830">
        <f t="shared" si="91"/>
        <v>24</v>
      </c>
      <c r="T426" s="830" t="e">
        <f>VLOOKUP(C426,'sản lượng'!$D$14:$AK$169,36,0)</f>
        <v>#N/A</v>
      </c>
      <c r="U426" s="830"/>
      <c r="V426" s="830"/>
      <c r="W426" s="831" t="e">
        <f t="shared" si="92"/>
        <v>#N/A</v>
      </c>
      <c r="X426" s="830"/>
      <c r="Y426" s="830"/>
      <c r="Z426" s="830" t="e">
        <f t="shared" si="90"/>
        <v>#N/A</v>
      </c>
      <c r="AA426" s="830" t="e">
        <f>VLOOKUP(C426,'CHẤM CÔNG '!$E$13:$AM$168,33,0)</f>
        <v>#N/A</v>
      </c>
      <c r="AB426" s="830" t="e">
        <f>VLOOKUP(C426,'CHẤM CÔNG '!$E$13:$AM$168,34,0)</f>
        <v>#N/A</v>
      </c>
      <c r="AC426" s="830"/>
      <c r="AD426" s="830"/>
      <c r="AE426" s="830"/>
      <c r="AF426" s="830"/>
      <c r="AG426" s="830"/>
      <c r="AH426" s="830"/>
      <c r="AI426" s="830"/>
      <c r="AJ426" s="830"/>
      <c r="AK426" s="836"/>
      <c r="AL426" s="837" t="e">
        <f>VLOOKUP(C426,'sản lượng'!$D$14:$AP$169,38,0)</f>
        <v>#N/A</v>
      </c>
    </row>
    <row r="427" spans="1:38" ht="15.75">
      <c r="A427" s="812">
        <v>31</v>
      </c>
      <c r="B427" s="813" t="str">
        <f>VLOOKUP(C427,'DS CN MOI UP'!$B$10:$C$389,2,0)</f>
        <v>02623</v>
      </c>
      <c r="C427" s="846" t="s">
        <v>316</v>
      </c>
      <c r="D427" s="812" t="s">
        <v>15</v>
      </c>
      <c r="E427" s="815">
        <f t="shared" si="88"/>
        <v>24</v>
      </c>
      <c r="F427" s="815"/>
      <c r="G427" s="815"/>
      <c r="H427" s="960"/>
      <c r="I427" s="815"/>
      <c r="J427" s="815"/>
      <c r="K427" s="815"/>
      <c r="L427" s="815"/>
      <c r="M427" s="815"/>
      <c r="N427" s="815"/>
      <c r="O427" s="815"/>
      <c r="P427" s="815"/>
      <c r="Q427" s="815"/>
      <c r="R427" s="815"/>
      <c r="S427" s="830">
        <f t="shared" si="91"/>
        <v>24</v>
      </c>
      <c r="T427" s="830" t="e">
        <f>VLOOKUP(C427,'sản lượng'!$D$14:$AK$169,36,0)</f>
        <v>#N/A</v>
      </c>
      <c r="U427" s="830"/>
      <c r="V427" s="830"/>
      <c r="W427" s="831" t="e">
        <f t="shared" si="92"/>
        <v>#N/A</v>
      </c>
      <c r="X427" s="830"/>
      <c r="Y427" s="830"/>
      <c r="Z427" s="830" t="e">
        <f t="shared" si="90"/>
        <v>#N/A</v>
      </c>
      <c r="AA427" s="830" t="e">
        <f>VLOOKUP(C427,'CHẤM CÔNG '!$E$13:$AM$168,33,0)</f>
        <v>#N/A</v>
      </c>
      <c r="AB427" s="830" t="e">
        <f>VLOOKUP(C427,'CHẤM CÔNG '!$E$13:$AM$168,34,0)</f>
        <v>#N/A</v>
      </c>
      <c r="AC427" s="830"/>
      <c r="AD427" s="830"/>
      <c r="AE427" s="830"/>
      <c r="AF427" s="830"/>
      <c r="AG427" s="830"/>
      <c r="AH427" s="830"/>
      <c r="AI427" s="830"/>
      <c r="AJ427" s="830"/>
      <c r="AK427" s="836"/>
      <c r="AL427" s="837" t="e">
        <f>VLOOKUP(C427,'sản lượng'!$D$14:$AP$169,38,0)</f>
        <v>#N/A</v>
      </c>
    </row>
    <row r="428" spans="1:38" ht="15.75">
      <c r="A428" s="812">
        <v>32</v>
      </c>
      <c r="B428" s="813" t="str">
        <f>VLOOKUP(C428,'DS CN MOI UP'!$B$10:$C$389,2,0)</f>
        <v>02624</v>
      </c>
      <c r="C428" s="846" t="s">
        <v>317</v>
      </c>
      <c r="D428" s="812" t="s">
        <v>15</v>
      </c>
      <c r="E428" s="815">
        <f t="shared" si="88"/>
        <v>24</v>
      </c>
      <c r="F428" s="815"/>
      <c r="G428" s="815"/>
      <c r="H428" s="960"/>
      <c r="I428" s="815"/>
      <c r="J428" s="815"/>
      <c r="K428" s="815"/>
      <c r="L428" s="815"/>
      <c r="M428" s="815"/>
      <c r="N428" s="815"/>
      <c r="O428" s="815"/>
      <c r="P428" s="815"/>
      <c r="Q428" s="815"/>
      <c r="R428" s="815"/>
      <c r="S428" s="830">
        <f t="shared" si="91"/>
        <v>24</v>
      </c>
      <c r="T428" s="830" t="e">
        <f>VLOOKUP(C428,'sản lượng'!$D$14:$AK$169,36,0)</f>
        <v>#N/A</v>
      </c>
      <c r="U428" s="830"/>
      <c r="V428" s="830"/>
      <c r="W428" s="831" t="e">
        <f t="shared" si="92"/>
        <v>#N/A</v>
      </c>
      <c r="X428" s="830"/>
      <c r="Y428" s="830"/>
      <c r="Z428" s="830" t="e">
        <f t="shared" si="90"/>
        <v>#N/A</v>
      </c>
      <c r="AA428" s="830" t="e">
        <f>VLOOKUP(C428,'CHẤM CÔNG '!$E$13:$AM$168,33,0)</f>
        <v>#N/A</v>
      </c>
      <c r="AB428" s="830" t="e">
        <f>VLOOKUP(C428,'CHẤM CÔNG '!$E$13:$AM$168,34,0)</f>
        <v>#N/A</v>
      </c>
      <c r="AC428" s="830"/>
      <c r="AD428" s="830"/>
      <c r="AE428" s="830"/>
      <c r="AF428" s="830"/>
      <c r="AG428" s="830"/>
      <c r="AH428" s="830"/>
      <c r="AI428" s="830"/>
      <c r="AJ428" s="830"/>
      <c r="AK428" s="836"/>
      <c r="AL428" s="837" t="e">
        <f>VLOOKUP(C428,'sản lượng'!$D$14:$AP$169,38,0)</f>
        <v>#N/A</v>
      </c>
    </row>
    <row r="429" spans="1:38" ht="15.75">
      <c r="A429" s="812">
        <v>33</v>
      </c>
      <c r="B429" s="813" t="str">
        <f>VLOOKUP(C429,'DS CN MOI UP'!$B$10:$C$389,2,0)</f>
        <v>03404</v>
      </c>
      <c r="C429" s="846" t="s">
        <v>318</v>
      </c>
      <c r="D429" s="812" t="s">
        <v>15</v>
      </c>
      <c r="E429" s="815">
        <f t="shared" si="88"/>
        <v>24</v>
      </c>
      <c r="F429" s="815"/>
      <c r="G429" s="815"/>
      <c r="H429" s="960"/>
      <c r="I429" s="815"/>
      <c r="J429" s="815"/>
      <c r="K429" s="815"/>
      <c r="L429" s="815"/>
      <c r="M429" s="815"/>
      <c r="N429" s="815"/>
      <c r="O429" s="815"/>
      <c r="P429" s="815"/>
      <c r="Q429" s="815"/>
      <c r="R429" s="815"/>
      <c r="S429" s="830">
        <f t="shared" si="91"/>
        <v>24</v>
      </c>
      <c r="T429" s="830" t="e">
        <f>VLOOKUP(C429,'sản lượng'!$D$14:$AK$169,36,0)</f>
        <v>#N/A</v>
      </c>
      <c r="U429" s="830"/>
      <c r="V429" s="830"/>
      <c r="W429" s="831" t="e">
        <f t="shared" si="92"/>
        <v>#N/A</v>
      </c>
      <c r="X429" s="830"/>
      <c r="Y429" s="830"/>
      <c r="Z429" s="830" t="e">
        <f t="shared" si="90"/>
        <v>#N/A</v>
      </c>
      <c r="AA429" s="830" t="e">
        <f>VLOOKUP(C429,'CHẤM CÔNG '!$E$13:$AM$168,33,0)</f>
        <v>#N/A</v>
      </c>
      <c r="AB429" s="830" t="e">
        <f>VLOOKUP(C429,'CHẤM CÔNG '!$E$13:$AM$168,34,0)</f>
        <v>#N/A</v>
      </c>
      <c r="AC429" s="830"/>
      <c r="AD429" s="830"/>
      <c r="AE429" s="830"/>
      <c r="AF429" s="830"/>
      <c r="AG429" s="830"/>
      <c r="AH429" s="830"/>
      <c r="AI429" s="830"/>
      <c r="AJ429" s="830"/>
      <c r="AK429" s="836"/>
      <c r="AL429" s="837" t="e">
        <f>VLOOKUP(C429,'sản lượng'!$D$14:$AP$169,38,0)</f>
        <v>#N/A</v>
      </c>
    </row>
    <row r="430" spans="1:38" ht="15.75">
      <c r="A430" s="812">
        <v>34</v>
      </c>
      <c r="B430" s="813" t="str">
        <f>VLOOKUP(C430,'DS CN MOI UP'!$B$10:$C$389,2,0)</f>
        <v>02626</v>
      </c>
      <c r="C430" s="846" t="s">
        <v>319</v>
      </c>
      <c r="D430" s="812" t="s">
        <v>15</v>
      </c>
      <c r="E430" s="815">
        <f t="shared" si="88"/>
        <v>24</v>
      </c>
      <c r="F430" s="815"/>
      <c r="G430" s="815"/>
      <c r="H430" s="960"/>
      <c r="I430" s="815"/>
      <c r="J430" s="815"/>
      <c r="K430" s="815"/>
      <c r="L430" s="815"/>
      <c r="M430" s="815"/>
      <c r="N430" s="815"/>
      <c r="O430" s="815"/>
      <c r="P430" s="815"/>
      <c r="Q430" s="815"/>
      <c r="R430" s="815"/>
      <c r="S430" s="830">
        <f t="shared" si="91"/>
        <v>24</v>
      </c>
      <c r="T430" s="830" t="e">
        <f>VLOOKUP(C430,'sản lượng'!$D$14:$AK$169,36,0)</f>
        <v>#N/A</v>
      </c>
      <c r="U430" s="830"/>
      <c r="V430" s="830"/>
      <c r="W430" s="831" t="e">
        <f t="shared" si="92"/>
        <v>#N/A</v>
      </c>
      <c r="X430" s="830"/>
      <c r="Y430" s="830"/>
      <c r="Z430" s="830" t="e">
        <f t="shared" si="90"/>
        <v>#N/A</v>
      </c>
      <c r="AA430" s="830" t="e">
        <f>VLOOKUP(C430,'CHẤM CÔNG '!$E$13:$AM$168,33,0)</f>
        <v>#N/A</v>
      </c>
      <c r="AB430" s="830" t="e">
        <f>VLOOKUP(C430,'CHẤM CÔNG '!$E$13:$AM$168,34,0)</f>
        <v>#N/A</v>
      </c>
      <c r="AC430" s="830"/>
      <c r="AD430" s="830"/>
      <c r="AE430" s="830"/>
      <c r="AF430" s="830"/>
      <c r="AG430" s="830"/>
      <c r="AH430" s="830"/>
      <c r="AI430" s="830"/>
      <c r="AJ430" s="830"/>
      <c r="AK430" s="836"/>
      <c r="AL430" s="837" t="e">
        <f>VLOOKUP(C430,'sản lượng'!$D$14:$AP$169,38,0)</f>
        <v>#N/A</v>
      </c>
    </row>
    <row r="431" spans="1:38" ht="15.75">
      <c r="A431" s="812">
        <v>35</v>
      </c>
      <c r="B431" s="813" t="str">
        <f>VLOOKUP(C431,'DS CN MOI UP'!$B$10:$C$389,2,0)</f>
        <v>02627</v>
      </c>
      <c r="C431" s="846" t="s">
        <v>320</v>
      </c>
      <c r="D431" s="812" t="s">
        <v>15</v>
      </c>
      <c r="E431" s="815">
        <f t="shared" si="88"/>
        <v>24</v>
      </c>
      <c r="F431" s="815"/>
      <c r="G431" s="815"/>
      <c r="H431" s="960"/>
      <c r="I431" s="815"/>
      <c r="J431" s="815"/>
      <c r="K431" s="815"/>
      <c r="L431" s="815"/>
      <c r="M431" s="815"/>
      <c r="N431" s="815"/>
      <c r="O431" s="815"/>
      <c r="P431" s="815"/>
      <c r="Q431" s="815"/>
      <c r="R431" s="815"/>
      <c r="S431" s="830">
        <f t="shared" si="91"/>
        <v>24</v>
      </c>
      <c r="T431" s="830" t="e">
        <f>VLOOKUP(C431,'sản lượng'!$D$14:$AK$169,36,0)</f>
        <v>#N/A</v>
      </c>
      <c r="U431" s="830"/>
      <c r="V431" s="830"/>
      <c r="W431" s="831" t="e">
        <f t="shared" si="92"/>
        <v>#N/A</v>
      </c>
      <c r="X431" s="830"/>
      <c r="Y431" s="830"/>
      <c r="Z431" s="830" t="e">
        <f t="shared" si="90"/>
        <v>#N/A</v>
      </c>
      <c r="AA431" s="830" t="e">
        <f>VLOOKUP(C431,'CHẤM CÔNG '!$E$13:$AM$168,33,0)</f>
        <v>#N/A</v>
      </c>
      <c r="AB431" s="830" t="e">
        <f>VLOOKUP(C431,'CHẤM CÔNG '!$E$13:$AM$168,34,0)</f>
        <v>#N/A</v>
      </c>
      <c r="AC431" s="830"/>
      <c r="AD431" s="830"/>
      <c r="AE431" s="830"/>
      <c r="AF431" s="830"/>
      <c r="AG431" s="830"/>
      <c r="AH431" s="830"/>
      <c r="AI431" s="830"/>
      <c r="AJ431" s="830"/>
      <c r="AK431" s="836"/>
      <c r="AL431" s="837" t="e">
        <f>VLOOKUP(C431,'sản lượng'!$D$14:$AP$169,38,0)</f>
        <v>#N/A</v>
      </c>
    </row>
    <row r="432" spans="1:38" ht="15.75">
      <c r="A432" s="812">
        <v>36</v>
      </c>
      <c r="B432" s="813" t="str">
        <f>VLOOKUP(C432,'DS CN MOI UP'!$B$10:$C$389,2,0)</f>
        <v>02628</v>
      </c>
      <c r="C432" s="846" t="s">
        <v>321</v>
      </c>
      <c r="D432" s="812" t="s">
        <v>15</v>
      </c>
      <c r="E432" s="815">
        <f t="shared" si="88"/>
        <v>24</v>
      </c>
      <c r="F432" s="815"/>
      <c r="G432" s="815"/>
      <c r="H432" s="960"/>
      <c r="I432" s="815"/>
      <c r="J432" s="815"/>
      <c r="K432" s="815"/>
      <c r="L432" s="815"/>
      <c r="M432" s="815"/>
      <c r="N432" s="815"/>
      <c r="O432" s="815"/>
      <c r="P432" s="815"/>
      <c r="Q432" s="815"/>
      <c r="R432" s="815"/>
      <c r="S432" s="830">
        <f t="shared" si="91"/>
        <v>24</v>
      </c>
      <c r="T432" s="830" t="e">
        <f>VLOOKUP(C432,'sản lượng'!$D$14:$AK$169,36,0)</f>
        <v>#N/A</v>
      </c>
      <c r="U432" s="830"/>
      <c r="V432" s="830"/>
      <c r="W432" s="831" t="e">
        <f t="shared" si="92"/>
        <v>#N/A</v>
      </c>
      <c r="X432" s="830"/>
      <c r="Y432" s="830"/>
      <c r="Z432" s="830" t="e">
        <f t="shared" si="90"/>
        <v>#N/A</v>
      </c>
      <c r="AA432" s="830" t="e">
        <f>VLOOKUP(C432,'CHẤM CÔNG '!$E$13:$AM$168,33,0)</f>
        <v>#N/A</v>
      </c>
      <c r="AB432" s="830" t="e">
        <f>VLOOKUP(C432,'CHẤM CÔNG '!$E$13:$AM$168,34,0)</f>
        <v>#N/A</v>
      </c>
      <c r="AC432" s="830"/>
      <c r="AD432" s="830"/>
      <c r="AE432" s="830"/>
      <c r="AF432" s="830"/>
      <c r="AG432" s="830"/>
      <c r="AH432" s="830"/>
      <c r="AI432" s="830"/>
      <c r="AJ432" s="830"/>
      <c r="AK432" s="836"/>
      <c r="AL432" s="837" t="e">
        <f>VLOOKUP(C432,'sản lượng'!$D$14:$AP$169,38,0)</f>
        <v>#N/A</v>
      </c>
    </row>
    <row r="433" spans="1:44" ht="15.75">
      <c r="A433" s="812">
        <v>37</v>
      </c>
      <c r="B433" s="813" t="str">
        <f>VLOOKUP(C433,'DS CN MOI UP'!$B$10:$C$389,2,0)</f>
        <v>03405</v>
      </c>
      <c r="C433" s="846" t="s">
        <v>322</v>
      </c>
      <c r="D433" s="812" t="s">
        <v>15</v>
      </c>
      <c r="E433" s="815">
        <f t="shared" si="88"/>
        <v>24</v>
      </c>
      <c r="F433" s="815"/>
      <c r="G433" s="815"/>
      <c r="H433" s="960"/>
      <c r="I433" s="815"/>
      <c r="J433" s="815"/>
      <c r="K433" s="815"/>
      <c r="L433" s="815"/>
      <c r="M433" s="815"/>
      <c r="N433" s="815"/>
      <c r="O433" s="815"/>
      <c r="P433" s="815"/>
      <c r="Q433" s="815"/>
      <c r="R433" s="815"/>
      <c r="S433" s="830">
        <f t="shared" si="91"/>
        <v>24</v>
      </c>
      <c r="T433" s="830" t="e">
        <f>VLOOKUP(C433,'sản lượng'!$D$14:$AK$169,36,0)</f>
        <v>#N/A</v>
      </c>
      <c r="U433" s="830"/>
      <c r="V433" s="830"/>
      <c r="W433" s="831" t="e">
        <f t="shared" si="92"/>
        <v>#N/A</v>
      </c>
      <c r="X433" s="830"/>
      <c r="Y433" s="830"/>
      <c r="Z433" s="830" t="e">
        <f t="shared" si="90"/>
        <v>#N/A</v>
      </c>
      <c r="AA433" s="830" t="e">
        <f>VLOOKUP(C433,'CHẤM CÔNG '!$E$13:$AM$168,33,0)</f>
        <v>#N/A</v>
      </c>
      <c r="AB433" s="830" t="e">
        <f>VLOOKUP(C433,'CHẤM CÔNG '!$E$13:$AM$168,34,0)</f>
        <v>#N/A</v>
      </c>
      <c r="AC433" s="830"/>
      <c r="AD433" s="830"/>
      <c r="AE433" s="830"/>
      <c r="AF433" s="830"/>
      <c r="AG433" s="830"/>
      <c r="AH433" s="830"/>
      <c r="AI433" s="830"/>
      <c r="AJ433" s="830"/>
      <c r="AK433" s="836"/>
      <c r="AL433" s="837" t="e">
        <f>VLOOKUP(C433,'sản lượng'!$D$14:$AP$169,38,0)</f>
        <v>#N/A</v>
      </c>
    </row>
    <row r="434" spans="1:44" ht="15.75">
      <c r="A434" s="812">
        <v>38</v>
      </c>
      <c r="B434" s="813" t="str">
        <f>VLOOKUP(C434,'DS CN MOI UP'!$B$10:$C$389,2,0)</f>
        <v>02629</v>
      </c>
      <c r="C434" s="846" t="s">
        <v>323</v>
      </c>
      <c r="D434" s="812" t="s">
        <v>15</v>
      </c>
      <c r="E434" s="815">
        <f t="shared" si="88"/>
        <v>24</v>
      </c>
      <c r="F434" s="815"/>
      <c r="G434" s="815"/>
      <c r="H434" s="960"/>
      <c r="I434" s="815"/>
      <c r="J434" s="815"/>
      <c r="K434" s="815"/>
      <c r="L434" s="815"/>
      <c r="M434" s="815"/>
      <c r="N434" s="815"/>
      <c r="O434" s="815"/>
      <c r="P434" s="815"/>
      <c r="Q434" s="815"/>
      <c r="R434" s="815"/>
      <c r="S434" s="830">
        <f t="shared" si="91"/>
        <v>24</v>
      </c>
      <c r="T434" s="830" t="e">
        <f>VLOOKUP(C434,'sản lượng'!$D$14:$AK$169,36,0)</f>
        <v>#N/A</v>
      </c>
      <c r="U434" s="830"/>
      <c r="V434" s="830"/>
      <c r="W434" s="831" t="e">
        <f t="shared" si="92"/>
        <v>#N/A</v>
      </c>
      <c r="X434" s="830"/>
      <c r="Y434" s="830"/>
      <c r="Z434" s="830" t="e">
        <f t="shared" si="90"/>
        <v>#N/A</v>
      </c>
      <c r="AA434" s="830" t="e">
        <f>VLOOKUP(C434,'CHẤM CÔNG '!$E$13:$AM$168,33,0)</f>
        <v>#N/A</v>
      </c>
      <c r="AB434" s="830" t="e">
        <f>VLOOKUP(C434,'CHẤM CÔNG '!$E$13:$AM$168,34,0)</f>
        <v>#N/A</v>
      </c>
      <c r="AC434" s="830"/>
      <c r="AD434" s="830"/>
      <c r="AE434" s="830"/>
      <c r="AF434" s="830"/>
      <c r="AG434" s="830"/>
      <c r="AH434" s="830"/>
      <c r="AI434" s="830"/>
      <c r="AJ434" s="830"/>
      <c r="AK434" s="836"/>
      <c r="AL434" s="837" t="e">
        <f>VLOOKUP(C434,'sản lượng'!$D$14:$AP$169,38,0)</f>
        <v>#N/A</v>
      </c>
    </row>
    <row r="435" spans="1:44" ht="15.75">
      <c r="A435" s="812">
        <v>39</v>
      </c>
      <c r="B435" s="813" t="str">
        <f>VLOOKUP(C435,'DS CN MOI UP'!$B$10:$C$389,2,0)</f>
        <v>02630</v>
      </c>
      <c r="C435" s="846" t="s">
        <v>324</v>
      </c>
      <c r="D435" s="812" t="s">
        <v>15</v>
      </c>
      <c r="E435" s="815">
        <f t="shared" si="88"/>
        <v>24</v>
      </c>
      <c r="F435" s="815"/>
      <c r="G435" s="815"/>
      <c r="H435" s="960"/>
      <c r="I435" s="815"/>
      <c r="J435" s="815"/>
      <c r="K435" s="815"/>
      <c r="L435" s="815"/>
      <c r="M435" s="815"/>
      <c r="N435" s="815"/>
      <c r="O435" s="815"/>
      <c r="P435" s="815"/>
      <c r="Q435" s="815"/>
      <c r="R435" s="815"/>
      <c r="S435" s="830">
        <f t="shared" si="91"/>
        <v>24</v>
      </c>
      <c r="T435" s="830" t="e">
        <f>VLOOKUP(C435,'sản lượng'!$D$14:$AK$169,36,0)</f>
        <v>#N/A</v>
      </c>
      <c r="U435" s="830"/>
      <c r="V435" s="830"/>
      <c r="W435" s="831" t="e">
        <f t="shared" si="92"/>
        <v>#N/A</v>
      </c>
      <c r="X435" s="830"/>
      <c r="Y435" s="830"/>
      <c r="Z435" s="830" t="e">
        <f t="shared" si="90"/>
        <v>#N/A</v>
      </c>
      <c r="AA435" s="830" t="e">
        <f>VLOOKUP(C435,'CHẤM CÔNG '!$E$13:$AM$168,33,0)</f>
        <v>#N/A</v>
      </c>
      <c r="AB435" s="830" t="e">
        <f>VLOOKUP(C435,'CHẤM CÔNG '!$E$13:$AM$168,34,0)</f>
        <v>#N/A</v>
      </c>
      <c r="AC435" s="830"/>
      <c r="AD435" s="830"/>
      <c r="AE435" s="830"/>
      <c r="AF435" s="830"/>
      <c r="AG435" s="830"/>
      <c r="AH435" s="830"/>
      <c r="AI435" s="830"/>
      <c r="AJ435" s="830"/>
      <c r="AK435" s="836"/>
      <c r="AL435" s="837" t="e">
        <f>VLOOKUP(C435,'sản lượng'!$D$14:$AP$169,38,0)</f>
        <v>#N/A</v>
      </c>
    </row>
    <row r="436" spans="1:44" ht="15.75">
      <c r="A436" s="812">
        <v>40</v>
      </c>
      <c r="B436" s="813" t="str">
        <f>VLOOKUP(C436,'DS CN MOI UP'!$B$10:$C$389,2,0)</f>
        <v>02631</v>
      </c>
      <c r="C436" s="846" t="s">
        <v>325</v>
      </c>
      <c r="D436" s="812" t="s">
        <v>15</v>
      </c>
      <c r="E436" s="815">
        <f t="shared" si="88"/>
        <v>24</v>
      </c>
      <c r="F436" s="815"/>
      <c r="G436" s="815"/>
      <c r="H436" s="960"/>
      <c r="I436" s="815"/>
      <c r="J436" s="815"/>
      <c r="K436" s="815"/>
      <c r="L436" s="815"/>
      <c r="M436" s="815"/>
      <c r="N436" s="815"/>
      <c r="O436" s="815"/>
      <c r="P436" s="815"/>
      <c r="Q436" s="815"/>
      <c r="R436" s="815"/>
      <c r="S436" s="830">
        <f t="shared" si="91"/>
        <v>24</v>
      </c>
      <c r="T436" s="830" t="e">
        <f>VLOOKUP(C436,'sản lượng'!$D$14:$AK$169,36,0)</f>
        <v>#N/A</v>
      </c>
      <c r="U436" s="830"/>
      <c r="V436" s="830"/>
      <c r="W436" s="831" t="e">
        <f t="shared" si="92"/>
        <v>#N/A</v>
      </c>
      <c r="X436" s="830"/>
      <c r="Y436" s="830"/>
      <c r="Z436" s="830" t="e">
        <f t="shared" si="90"/>
        <v>#N/A</v>
      </c>
      <c r="AA436" s="830" t="e">
        <f>VLOOKUP(C436,'CHẤM CÔNG '!$E$13:$AM$168,33,0)</f>
        <v>#N/A</v>
      </c>
      <c r="AB436" s="830" t="e">
        <f>VLOOKUP(C436,'CHẤM CÔNG '!$E$13:$AM$168,34,0)</f>
        <v>#N/A</v>
      </c>
      <c r="AC436" s="830"/>
      <c r="AD436" s="830"/>
      <c r="AE436" s="830"/>
      <c r="AF436" s="830"/>
      <c r="AG436" s="830"/>
      <c r="AH436" s="830"/>
      <c r="AI436" s="830"/>
      <c r="AJ436" s="830"/>
      <c r="AK436" s="836"/>
      <c r="AL436" s="837" t="e">
        <f>VLOOKUP(C436,'sản lượng'!$D$14:$AP$169,38,0)</f>
        <v>#N/A</v>
      </c>
    </row>
    <row r="437" spans="1:44" ht="15.75">
      <c r="A437" s="812">
        <v>41</v>
      </c>
      <c r="B437" s="813" t="str">
        <f>VLOOKUP(C437,'DS CN MOI UP'!$B$10:$C$389,2,0)</f>
        <v>02632</v>
      </c>
      <c r="C437" s="846" t="s">
        <v>326</v>
      </c>
      <c r="D437" s="812" t="s">
        <v>15</v>
      </c>
      <c r="E437" s="815">
        <f t="shared" si="88"/>
        <v>24</v>
      </c>
      <c r="F437" s="815"/>
      <c r="G437" s="815"/>
      <c r="H437" s="960"/>
      <c r="I437" s="815"/>
      <c r="J437" s="815"/>
      <c r="K437" s="815"/>
      <c r="L437" s="815"/>
      <c r="M437" s="815"/>
      <c r="N437" s="815"/>
      <c r="O437" s="815"/>
      <c r="P437" s="815"/>
      <c r="Q437" s="815"/>
      <c r="R437" s="815"/>
      <c r="S437" s="830">
        <f t="shared" si="91"/>
        <v>24</v>
      </c>
      <c r="T437" s="830" t="e">
        <f>VLOOKUP(C437,'sản lượng'!$D$14:$AK$169,36,0)</f>
        <v>#N/A</v>
      </c>
      <c r="U437" s="830"/>
      <c r="V437" s="830"/>
      <c r="W437" s="831" t="e">
        <f t="shared" si="92"/>
        <v>#N/A</v>
      </c>
      <c r="X437" s="830"/>
      <c r="Y437" s="830"/>
      <c r="Z437" s="830" t="e">
        <f t="shared" si="90"/>
        <v>#N/A</v>
      </c>
      <c r="AA437" s="830" t="e">
        <f>VLOOKUP(C437,'CHẤM CÔNG '!$E$13:$AM$168,33,0)</f>
        <v>#N/A</v>
      </c>
      <c r="AB437" s="830" t="e">
        <f>VLOOKUP(C437,'CHẤM CÔNG '!$E$13:$AM$168,34,0)</f>
        <v>#N/A</v>
      </c>
      <c r="AC437" s="830"/>
      <c r="AD437" s="830"/>
      <c r="AE437" s="830"/>
      <c r="AF437" s="830"/>
      <c r="AG437" s="830"/>
      <c r="AH437" s="830"/>
      <c r="AI437" s="830"/>
      <c r="AJ437" s="830"/>
      <c r="AK437" s="836"/>
      <c r="AL437" s="837" t="e">
        <f>VLOOKUP(C437,'sản lượng'!$D$14:$AP$169,38,0)</f>
        <v>#N/A</v>
      </c>
    </row>
    <row r="438" spans="1:44" ht="15.75">
      <c r="A438" s="812">
        <v>42</v>
      </c>
      <c r="B438" s="813" t="str">
        <f>VLOOKUP(C438,'DS CN MOI UP'!$B$10:$C$389,2,0)</f>
        <v>02633</v>
      </c>
      <c r="C438" s="846" t="s">
        <v>327</v>
      </c>
      <c r="D438" s="812" t="s">
        <v>15</v>
      </c>
      <c r="E438" s="815">
        <f t="shared" si="88"/>
        <v>24</v>
      </c>
      <c r="F438" s="815"/>
      <c r="G438" s="815"/>
      <c r="H438" s="960"/>
      <c r="I438" s="815"/>
      <c r="J438" s="815"/>
      <c r="K438" s="815"/>
      <c r="L438" s="815"/>
      <c r="M438" s="815"/>
      <c r="N438" s="815"/>
      <c r="O438" s="815"/>
      <c r="P438" s="815"/>
      <c r="Q438" s="815"/>
      <c r="R438" s="815"/>
      <c r="S438" s="830">
        <f t="shared" si="91"/>
        <v>24</v>
      </c>
      <c r="T438" s="830" t="e">
        <f>VLOOKUP(C438,'sản lượng'!$D$14:$AK$169,36,0)</f>
        <v>#N/A</v>
      </c>
      <c r="U438" s="830"/>
      <c r="V438" s="830"/>
      <c r="W438" s="831" t="e">
        <f t="shared" si="92"/>
        <v>#N/A</v>
      </c>
      <c r="X438" s="830"/>
      <c r="Y438" s="830"/>
      <c r="Z438" s="830" t="e">
        <f t="shared" si="90"/>
        <v>#N/A</v>
      </c>
      <c r="AA438" s="830" t="e">
        <f>VLOOKUP(C438,'CHẤM CÔNG '!$E$13:$AM$168,33,0)</f>
        <v>#N/A</v>
      </c>
      <c r="AB438" s="830" t="e">
        <f>VLOOKUP(C438,'CHẤM CÔNG '!$E$13:$AM$168,34,0)</f>
        <v>#N/A</v>
      </c>
      <c r="AC438" s="830"/>
      <c r="AD438" s="830"/>
      <c r="AE438" s="830"/>
      <c r="AF438" s="830"/>
      <c r="AG438" s="830"/>
      <c r="AH438" s="830"/>
      <c r="AI438" s="830"/>
      <c r="AJ438" s="830"/>
      <c r="AK438" s="836"/>
      <c r="AL438" s="837" t="e">
        <f>VLOOKUP(C438,'sản lượng'!$D$14:$AP$169,38,0)</f>
        <v>#N/A</v>
      </c>
    </row>
    <row r="439" spans="1:44" ht="15.75">
      <c r="A439" s="812">
        <v>43</v>
      </c>
      <c r="B439" s="813">
        <f>VLOOKUP(C439,'DS CN MOI UP'!$B$10:$C$389,2,0)</f>
        <v>3863</v>
      </c>
      <c r="C439" s="846" t="s">
        <v>328</v>
      </c>
      <c r="D439" s="812" t="s">
        <v>15</v>
      </c>
      <c r="E439" s="815">
        <f t="shared" si="88"/>
        <v>24</v>
      </c>
      <c r="F439" s="815"/>
      <c r="G439" s="815"/>
      <c r="H439" s="960"/>
      <c r="I439" s="815"/>
      <c r="J439" s="815"/>
      <c r="K439" s="815"/>
      <c r="L439" s="815"/>
      <c r="M439" s="815"/>
      <c r="N439" s="815"/>
      <c r="O439" s="815"/>
      <c r="P439" s="815"/>
      <c r="Q439" s="815"/>
      <c r="R439" s="815"/>
      <c r="S439" s="830">
        <f t="shared" si="89"/>
        <v>24</v>
      </c>
      <c r="T439" s="830" t="e">
        <f>VLOOKUP(C439,'sản lượng'!$D$14:$AK$169,36,0)</f>
        <v>#N/A</v>
      </c>
      <c r="U439" s="830"/>
      <c r="V439" s="830"/>
      <c r="W439" s="831" t="e">
        <f t="shared" si="86"/>
        <v>#N/A</v>
      </c>
      <c r="X439" s="830"/>
      <c r="Y439" s="830"/>
      <c r="Z439" s="830" t="e">
        <f t="shared" si="90"/>
        <v>#N/A</v>
      </c>
      <c r="AA439" s="830" t="e">
        <f>VLOOKUP(C439,'CHẤM CÔNG '!$E$13:$AM$168,33,0)</f>
        <v>#N/A</v>
      </c>
      <c r="AB439" s="830" t="e">
        <f>VLOOKUP(C439,'CHẤM CÔNG '!$E$13:$AM$168,34,0)</f>
        <v>#N/A</v>
      </c>
      <c r="AC439" s="830"/>
      <c r="AD439" s="830"/>
      <c r="AE439" s="830"/>
      <c r="AF439" s="830"/>
      <c r="AG439" s="830"/>
      <c r="AH439" s="830"/>
      <c r="AI439" s="830"/>
      <c r="AJ439" s="830"/>
      <c r="AK439" s="836"/>
      <c r="AL439" s="837" t="e">
        <f>VLOOKUP(C439,'sản lượng'!$D$14:$AP$169,38,0)</f>
        <v>#N/A</v>
      </c>
    </row>
    <row r="440" spans="1:44" ht="15.75">
      <c r="A440" s="812">
        <v>44</v>
      </c>
      <c r="B440" s="813" t="str">
        <f>VLOOKUP(C440,'DS CN MOI UP'!$B$10:$C$389,2,0)</f>
        <v>02635</v>
      </c>
      <c r="C440" s="846" t="s">
        <v>329</v>
      </c>
      <c r="D440" s="812" t="s">
        <v>15</v>
      </c>
      <c r="E440" s="815">
        <f t="shared" si="88"/>
        <v>24</v>
      </c>
      <c r="F440" s="815"/>
      <c r="G440" s="815"/>
      <c r="H440" s="960"/>
      <c r="I440" s="815"/>
      <c r="J440" s="815"/>
      <c r="K440" s="815"/>
      <c r="L440" s="815"/>
      <c r="M440" s="815"/>
      <c r="N440" s="815"/>
      <c r="O440" s="815"/>
      <c r="P440" s="815"/>
      <c r="Q440" s="815"/>
      <c r="R440" s="815"/>
      <c r="S440" s="830">
        <f t="shared" si="89"/>
        <v>24</v>
      </c>
      <c r="T440" s="830" t="e">
        <f>VLOOKUP(C440,'sản lượng'!$D$14:$AK$169,36,0)</f>
        <v>#N/A</v>
      </c>
      <c r="U440" s="830"/>
      <c r="V440" s="830"/>
      <c r="W440" s="831" t="e">
        <f t="shared" si="86"/>
        <v>#N/A</v>
      </c>
      <c r="X440" s="830"/>
      <c r="Y440" s="830"/>
      <c r="Z440" s="830" t="e">
        <f t="shared" si="90"/>
        <v>#N/A</v>
      </c>
      <c r="AA440" s="830" t="e">
        <f>VLOOKUP(C440,'CHẤM CÔNG '!$E$13:$AM$168,33,0)</f>
        <v>#N/A</v>
      </c>
      <c r="AB440" s="830" t="e">
        <f>VLOOKUP(C440,'CHẤM CÔNG '!$E$13:$AM$168,34,0)</f>
        <v>#N/A</v>
      </c>
      <c r="AC440" s="830"/>
      <c r="AD440" s="830"/>
      <c r="AE440" s="830"/>
      <c r="AF440" s="830"/>
      <c r="AG440" s="830"/>
      <c r="AH440" s="830"/>
      <c r="AI440" s="830"/>
      <c r="AJ440" s="830"/>
      <c r="AK440" s="836"/>
      <c r="AL440" s="837" t="e">
        <f>VLOOKUP(C440,'sản lượng'!$D$14:$AP$169,38,0)</f>
        <v>#N/A</v>
      </c>
    </row>
    <row r="441" spans="1:44" s="953" customFormat="1" ht="15.75">
      <c r="A441" s="812">
        <v>45</v>
      </c>
      <c r="B441" s="962" t="str">
        <f>VLOOKUP(C441,'DS CN MOI UP'!$B$10:$C$389,2,0)</f>
        <v>07002</v>
      </c>
      <c r="C441" s="994" t="s">
        <v>330</v>
      </c>
      <c r="D441" s="961" t="s">
        <v>15</v>
      </c>
      <c r="E441" s="815">
        <f>2*6+2*8</f>
        <v>28</v>
      </c>
      <c r="F441" s="964"/>
      <c r="G441" s="815"/>
      <c r="H441" s="960"/>
      <c r="I441" s="964"/>
      <c r="J441" s="964"/>
      <c r="K441" s="964"/>
      <c r="L441" s="964"/>
      <c r="M441" s="964"/>
      <c r="N441" s="964"/>
      <c r="O441" s="964"/>
      <c r="P441" s="964"/>
      <c r="Q441" s="964"/>
      <c r="R441" s="964"/>
      <c r="S441" s="970">
        <f t="shared" si="89"/>
        <v>28</v>
      </c>
      <c r="T441" s="830" t="e">
        <f>VLOOKUP(C441,'sản lượng'!$D$14:$AK$169,36,0)</f>
        <v>#N/A</v>
      </c>
      <c r="U441" s="830"/>
      <c r="V441" s="830"/>
      <c r="W441" s="831" t="e">
        <f t="shared" si="86"/>
        <v>#N/A</v>
      </c>
      <c r="X441" s="970"/>
      <c r="Y441" s="970"/>
      <c r="Z441" s="830" t="e">
        <f t="shared" si="90"/>
        <v>#N/A</v>
      </c>
      <c r="AA441" s="970" t="e">
        <f>VLOOKUP(C441,'CHẤM CÔNG '!$E$13:$AM$168,33,0)</f>
        <v>#N/A</v>
      </c>
      <c r="AB441" s="970" t="e">
        <f>VLOOKUP(C441,'CHẤM CÔNG '!$E$13:$AM$168,34,0)</f>
        <v>#N/A</v>
      </c>
      <c r="AC441" s="970"/>
      <c r="AD441" s="970"/>
      <c r="AE441" s="830">
        <f>VLOOKUP(C441,'Công cây non'!$C$10:$AJ$28,34,0)</f>
        <v>8</v>
      </c>
      <c r="AF441" s="830"/>
      <c r="AG441" s="830"/>
      <c r="AH441" s="830"/>
      <c r="AI441" s="830"/>
      <c r="AJ441" s="830"/>
      <c r="AK441" s="836"/>
      <c r="AL441" s="837" t="e">
        <f>VLOOKUP(C441,'sản lượng'!$D$14:$AP$169,38,0)</f>
        <v>#N/A</v>
      </c>
      <c r="AP441" s="954"/>
      <c r="AQ441" s="954"/>
      <c r="AR441" s="954"/>
    </row>
    <row r="442" spans="1:44" ht="15.75">
      <c r="A442" s="812">
        <v>46</v>
      </c>
      <c r="B442" s="813" t="str">
        <f>VLOOKUP(C442,'DS CN MOI UP'!$B$10:$C$389,2,0)</f>
        <v>03859</v>
      </c>
      <c r="C442" s="846" t="s">
        <v>331</v>
      </c>
      <c r="D442" s="812" t="s">
        <v>15</v>
      </c>
      <c r="E442" s="815">
        <f t="shared" si="88"/>
        <v>24</v>
      </c>
      <c r="F442" s="815"/>
      <c r="G442" s="815"/>
      <c r="H442" s="960"/>
      <c r="I442" s="815"/>
      <c r="J442" s="815"/>
      <c r="K442" s="815"/>
      <c r="L442" s="815"/>
      <c r="M442" s="815"/>
      <c r="N442" s="815"/>
      <c r="O442" s="815"/>
      <c r="P442" s="815"/>
      <c r="Q442" s="815"/>
      <c r="R442" s="815"/>
      <c r="S442" s="830">
        <f t="shared" si="89"/>
        <v>24</v>
      </c>
      <c r="T442" s="830" t="e">
        <f>VLOOKUP(C442,'sản lượng'!$D$14:$AK$169,36,0)</f>
        <v>#N/A</v>
      </c>
      <c r="U442" s="830"/>
      <c r="V442" s="830"/>
      <c r="W442" s="831" t="e">
        <f t="shared" si="86"/>
        <v>#N/A</v>
      </c>
      <c r="X442" s="830"/>
      <c r="Y442" s="830"/>
      <c r="Z442" s="830" t="e">
        <f t="shared" si="90"/>
        <v>#N/A</v>
      </c>
      <c r="AA442" s="830" t="e">
        <f>VLOOKUP(C442,'CHẤM CÔNG '!$E$13:$AM$168,33,0)</f>
        <v>#N/A</v>
      </c>
      <c r="AB442" s="830" t="e">
        <f>VLOOKUP(C442,'CHẤM CÔNG '!$E$13:$AM$168,34,0)</f>
        <v>#N/A</v>
      </c>
      <c r="AC442" s="830"/>
      <c r="AD442" s="830"/>
      <c r="AE442" s="830"/>
      <c r="AF442" s="830"/>
      <c r="AG442" s="830"/>
      <c r="AH442" s="830"/>
      <c r="AI442" s="830" t="e">
        <f>SUM(AA442:AB442)</f>
        <v>#N/A</v>
      </c>
      <c r="AJ442" s="830"/>
      <c r="AK442" s="836"/>
      <c r="AL442" s="837" t="e">
        <f>VLOOKUP(C442,'sản lượng'!$D$14:$AP$169,38,0)</f>
        <v>#N/A</v>
      </c>
    </row>
    <row r="443" spans="1:44" ht="15.75">
      <c r="A443" s="812">
        <v>47</v>
      </c>
      <c r="B443" s="813" t="str">
        <f>VLOOKUP(C443,'DS CN MOI UP'!$B$10:$C$389,2,0)</f>
        <v>03411</v>
      </c>
      <c r="C443" s="846" t="s">
        <v>332</v>
      </c>
      <c r="D443" s="812" t="s">
        <v>15</v>
      </c>
      <c r="E443" s="815">
        <f t="shared" si="88"/>
        <v>24</v>
      </c>
      <c r="F443" s="815"/>
      <c r="G443" s="815"/>
      <c r="H443" s="960"/>
      <c r="I443" s="815"/>
      <c r="J443" s="815"/>
      <c r="K443" s="815"/>
      <c r="L443" s="815"/>
      <c r="M443" s="815"/>
      <c r="N443" s="815"/>
      <c r="O443" s="815"/>
      <c r="P443" s="815"/>
      <c r="Q443" s="815"/>
      <c r="R443" s="815"/>
      <c r="S443" s="830">
        <f t="shared" si="89"/>
        <v>24</v>
      </c>
      <c r="T443" s="830" t="e">
        <f>VLOOKUP(C443,'sản lượng'!$D$14:$AK$169,36,0)</f>
        <v>#N/A</v>
      </c>
      <c r="U443" s="830"/>
      <c r="V443" s="830"/>
      <c r="W443" s="831" t="e">
        <f t="shared" si="86"/>
        <v>#N/A</v>
      </c>
      <c r="X443" s="830"/>
      <c r="Y443" s="830"/>
      <c r="Z443" s="830" t="e">
        <f t="shared" si="90"/>
        <v>#N/A</v>
      </c>
      <c r="AA443" s="830" t="e">
        <f>VLOOKUP(C443,'CHẤM CÔNG '!$E$13:$AM$168,33,0)</f>
        <v>#N/A</v>
      </c>
      <c r="AB443" s="830" t="e">
        <f>VLOOKUP(C443,'CHẤM CÔNG '!$E$13:$AM$168,34,0)</f>
        <v>#N/A</v>
      </c>
      <c r="AC443" s="830"/>
      <c r="AD443" s="830"/>
      <c r="AE443" s="830"/>
      <c r="AF443" s="830"/>
      <c r="AG443" s="830"/>
      <c r="AH443" s="830"/>
      <c r="AI443" s="830" t="e">
        <f t="shared" ref="AI443:AI459" si="93">SUM(AA443:AB443)</f>
        <v>#N/A</v>
      </c>
      <c r="AJ443" s="830"/>
      <c r="AK443" s="836"/>
      <c r="AL443" s="837" t="e">
        <f>VLOOKUP(C443,'sản lượng'!$D$14:$AP$169,38,0)</f>
        <v>#N/A</v>
      </c>
    </row>
    <row r="444" spans="1:44" ht="15.75">
      <c r="A444" s="812">
        <v>48</v>
      </c>
      <c r="B444" s="813" t="e">
        <f>VLOOKUP(C444,'DS CN MOI UP'!$B$10:$C$389,2,0)</f>
        <v>#N/A</v>
      </c>
      <c r="C444" s="846" t="s">
        <v>333</v>
      </c>
      <c r="D444" s="812" t="s">
        <v>15</v>
      </c>
      <c r="E444" s="815">
        <f t="shared" si="88"/>
        <v>24</v>
      </c>
      <c r="F444" s="815"/>
      <c r="G444" s="815"/>
      <c r="H444" s="960"/>
      <c r="I444" s="815"/>
      <c r="J444" s="815"/>
      <c r="K444" s="815"/>
      <c r="L444" s="815"/>
      <c r="M444" s="815"/>
      <c r="N444" s="815"/>
      <c r="O444" s="815"/>
      <c r="P444" s="815"/>
      <c r="Q444" s="815"/>
      <c r="R444" s="815"/>
      <c r="S444" s="830">
        <f t="shared" si="89"/>
        <v>24</v>
      </c>
      <c r="T444" s="830" t="e">
        <f>VLOOKUP(C444,'sản lượng'!$D$14:$AK$169,36,0)</f>
        <v>#N/A</v>
      </c>
      <c r="U444" s="830"/>
      <c r="V444" s="830"/>
      <c r="W444" s="831" t="e">
        <f t="shared" si="86"/>
        <v>#N/A</v>
      </c>
      <c r="X444" s="830"/>
      <c r="Y444" s="830"/>
      <c r="Z444" s="830" t="e">
        <f t="shared" si="90"/>
        <v>#N/A</v>
      </c>
      <c r="AA444" s="830" t="e">
        <f>VLOOKUP(C444,'CHẤM CÔNG '!$E$13:$AM$168,33,0)</f>
        <v>#N/A</v>
      </c>
      <c r="AB444" s="830" t="e">
        <f>VLOOKUP(C444,'CHẤM CÔNG '!$E$13:$AM$168,34,0)</f>
        <v>#N/A</v>
      </c>
      <c r="AC444" s="830"/>
      <c r="AD444" s="830"/>
      <c r="AE444" s="830"/>
      <c r="AF444" s="830"/>
      <c r="AG444" s="830"/>
      <c r="AH444" s="830"/>
      <c r="AI444" s="830" t="e">
        <f t="shared" si="93"/>
        <v>#N/A</v>
      </c>
      <c r="AJ444" s="830"/>
      <c r="AK444" s="836"/>
      <c r="AL444" s="837" t="e">
        <f>VLOOKUP(C444,'sản lượng'!$D$14:$AP$169,38,0)</f>
        <v>#N/A</v>
      </c>
    </row>
    <row r="445" spans="1:44" ht="15.75">
      <c r="A445" s="812">
        <v>49</v>
      </c>
      <c r="B445" s="813" t="str">
        <f>VLOOKUP(C445,'DS CN MOI UP'!$B$10:$C$389,2,0)</f>
        <v>02625</v>
      </c>
      <c r="C445" s="846" t="s">
        <v>334</v>
      </c>
      <c r="D445" s="812" t="s">
        <v>15</v>
      </c>
      <c r="E445" s="815">
        <f t="shared" si="88"/>
        <v>24</v>
      </c>
      <c r="F445" s="815"/>
      <c r="G445" s="815"/>
      <c r="H445" s="960"/>
      <c r="I445" s="815"/>
      <c r="J445" s="815"/>
      <c r="K445" s="815"/>
      <c r="L445" s="815"/>
      <c r="M445" s="815"/>
      <c r="N445" s="815"/>
      <c r="O445" s="815"/>
      <c r="P445" s="815"/>
      <c r="Q445" s="815"/>
      <c r="R445" s="815"/>
      <c r="S445" s="830">
        <f t="shared" si="89"/>
        <v>24</v>
      </c>
      <c r="T445" s="830" t="e">
        <f>VLOOKUP(C445,'sản lượng'!$D$14:$AK$169,36,0)</f>
        <v>#N/A</v>
      </c>
      <c r="U445" s="830"/>
      <c r="V445" s="830"/>
      <c r="W445" s="831" t="e">
        <f t="shared" si="86"/>
        <v>#N/A</v>
      </c>
      <c r="X445" s="830"/>
      <c r="Y445" s="830"/>
      <c r="Z445" s="830" t="e">
        <f t="shared" si="90"/>
        <v>#N/A</v>
      </c>
      <c r="AA445" s="830" t="e">
        <f>VLOOKUP(C445,'CHẤM CÔNG '!$E$13:$AM$168,33,0)</f>
        <v>#N/A</v>
      </c>
      <c r="AB445" s="830" t="e">
        <f>VLOOKUP(C445,'CHẤM CÔNG '!$E$13:$AM$168,34,0)</f>
        <v>#N/A</v>
      </c>
      <c r="AC445" s="830"/>
      <c r="AD445" s="830"/>
      <c r="AE445" s="830"/>
      <c r="AF445" s="830"/>
      <c r="AG445" s="830"/>
      <c r="AH445" s="830"/>
      <c r="AI445" s="830" t="e">
        <f t="shared" si="93"/>
        <v>#N/A</v>
      </c>
      <c r="AJ445" s="830"/>
      <c r="AK445" s="836"/>
      <c r="AL445" s="837" t="e">
        <f>VLOOKUP(C445,'sản lượng'!$D$14:$AP$169,38,0)</f>
        <v>#N/A</v>
      </c>
    </row>
    <row r="446" spans="1:44" ht="15.75">
      <c r="A446" s="812">
        <v>50</v>
      </c>
      <c r="B446" s="813" t="str">
        <f>VLOOKUP(C446,'DS CN MOI UP'!$B$10:$C$389,2,0)</f>
        <v>03862</v>
      </c>
      <c r="C446" s="846" t="s">
        <v>335</v>
      </c>
      <c r="D446" s="812" t="s">
        <v>15</v>
      </c>
      <c r="E446" s="815">
        <f t="shared" si="88"/>
        <v>24</v>
      </c>
      <c r="F446" s="815"/>
      <c r="G446" s="815"/>
      <c r="H446" s="960"/>
      <c r="I446" s="815"/>
      <c r="J446" s="815"/>
      <c r="K446" s="815"/>
      <c r="L446" s="815"/>
      <c r="M446" s="815"/>
      <c r="N446" s="815"/>
      <c r="O446" s="815"/>
      <c r="P446" s="815"/>
      <c r="Q446" s="815"/>
      <c r="R446" s="815"/>
      <c r="S446" s="830">
        <f t="shared" si="89"/>
        <v>24</v>
      </c>
      <c r="T446" s="830" t="e">
        <f>VLOOKUP(C446,'sản lượng'!$D$14:$AK$169,36,0)</f>
        <v>#N/A</v>
      </c>
      <c r="U446" s="830"/>
      <c r="V446" s="830"/>
      <c r="W446" s="831" t="e">
        <f t="shared" si="86"/>
        <v>#N/A</v>
      </c>
      <c r="X446" s="830"/>
      <c r="Y446" s="830"/>
      <c r="Z446" s="830" t="e">
        <f t="shared" si="90"/>
        <v>#N/A</v>
      </c>
      <c r="AA446" s="830" t="e">
        <f>VLOOKUP(C446,'CHẤM CÔNG '!$E$13:$AM$168,33,0)</f>
        <v>#N/A</v>
      </c>
      <c r="AB446" s="830" t="e">
        <f>VLOOKUP(C446,'CHẤM CÔNG '!$E$13:$AM$168,34,0)</f>
        <v>#N/A</v>
      </c>
      <c r="AC446" s="830"/>
      <c r="AD446" s="830"/>
      <c r="AE446" s="830"/>
      <c r="AF446" s="830"/>
      <c r="AG446" s="830"/>
      <c r="AH446" s="830"/>
      <c r="AI446" s="830" t="e">
        <f t="shared" si="93"/>
        <v>#N/A</v>
      </c>
      <c r="AJ446" s="830"/>
      <c r="AK446" s="836"/>
      <c r="AL446" s="837" t="e">
        <f>VLOOKUP(C446,'sản lượng'!$D$14:$AP$169,38,0)</f>
        <v>#N/A</v>
      </c>
    </row>
    <row r="447" spans="1:44" ht="15.75">
      <c r="A447" s="812">
        <v>51</v>
      </c>
      <c r="B447" s="813" t="str">
        <f>VLOOKUP(C447,'DS CN MOI UP'!$B$10:$C$389,2,0)</f>
        <v>03413</v>
      </c>
      <c r="C447" s="846" t="s">
        <v>336</v>
      </c>
      <c r="D447" s="812" t="s">
        <v>15</v>
      </c>
      <c r="E447" s="815">
        <f t="shared" si="88"/>
        <v>24</v>
      </c>
      <c r="F447" s="815"/>
      <c r="G447" s="815"/>
      <c r="H447" s="960"/>
      <c r="I447" s="815"/>
      <c r="J447" s="815"/>
      <c r="K447" s="815"/>
      <c r="L447" s="815"/>
      <c r="M447" s="815"/>
      <c r="N447" s="815"/>
      <c r="O447" s="815"/>
      <c r="P447" s="815"/>
      <c r="Q447" s="815"/>
      <c r="R447" s="815"/>
      <c r="S447" s="830">
        <f t="shared" si="89"/>
        <v>24</v>
      </c>
      <c r="T447" s="830" t="e">
        <f>VLOOKUP(C447,'sản lượng'!$D$14:$AK$169,36,0)</f>
        <v>#N/A</v>
      </c>
      <c r="U447" s="830"/>
      <c r="V447" s="830"/>
      <c r="W447" s="831" t="e">
        <f t="shared" si="86"/>
        <v>#N/A</v>
      </c>
      <c r="X447" s="830"/>
      <c r="Y447" s="830"/>
      <c r="Z447" s="830" t="e">
        <f t="shared" si="90"/>
        <v>#N/A</v>
      </c>
      <c r="AA447" s="830" t="e">
        <f>VLOOKUP(C447,'CHẤM CÔNG '!$E$13:$AM$168,33,0)</f>
        <v>#N/A</v>
      </c>
      <c r="AB447" s="830" t="e">
        <f>VLOOKUP(C447,'CHẤM CÔNG '!$E$13:$AM$168,34,0)</f>
        <v>#N/A</v>
      </c>
      <c r="AC447" s="830"/>
      <c r="AD447" s="830"/>
      <c r="AE447" s="830"/>
      <c r="AF447" s="830"/>
      <c r="AG447" s="830"/>
      <c r="AH447" s="830"/>
      <c r="AI447" s="830" t="e">
        <f t="shared" si="93"/>
        <v>#N/A</v>
      </c>
      <c r="AJ447" s="830"/>
      <c r="AK447" s="836"/>
      <c r="AL447" s="837" t="e">
        <f>VLOOKUP(C447,'sản lượng'!$D$14:$AP$169,38,0)</f>
        <v>#N/A</v>
      </c>
    </row>
    <row r="448" spans="1:44" ht="15.75">
      <c r="A448" s="812">
        <v>52</v>
      </c>
      <c r="B448" s="813" t="str">
        <f>VLOOKUP(C448,'DS CN MOI UP'!$B$10:$C$389,2,0)</f>
        <v>03414</v>
      </c>
      <c r="C448" s="846" t="s">
        <v>337</v>
      </c>
      <c r="D448" s="812" t="s">
        <v>15</v>
      </c>
      <c r="E448" s="815">
        <f t="shared" si="88"/>
        <v>24</v>
      </c>
      <c r="F448" s="815"/>
      <c r="G448" s="815"/>
      <c r="H448" s="960"/>
      <c r="I448" s="815"/>
      <c r="J448" s="815"/>
      <c r="K448" s="815"/>
      <c r="L448" s="815"/>
      <c r="M448" s="815"/>
      <c r="N448" s="815"/>
      <c r="O448" s="815"/>
      <c r="P448" s="815"/>
      <c r="Q448" s="815"/>
      <c r="R448" s="815"/>
      <c r="S448" s="830">
        <f t="shared" si="89"/>
        <v>24</v>
      </c>
      <c r="T448" s="830" t="e">
        <f>VLOOKUP(C448,'sản lượng'!$D$14:$AK$169,36,0)</f>
        <v>#N/A</v>
      </c>
      <c r="U448" s="830"/>
      <c r="V448" s="830"/>
      <c r="W448" s="831" t="e">
        <f t="shared" si="86"/>
        <v>#N/A</v>
      </c>
      <c r="X448" s="830"/>
      <c r="Y448" s="830"/>
      <c r="Z448" s="830" t="e">
        <f t="shared" si="90"/>
        <v>#N/A</v>
      </c>
      <c r="AA448" s="830" t="e">
        <f>VLOOKUP(C448,'CHẤM CÔNG '!$E$13:$AM$168,33,0)</f>
        <v>#N/A</v>
      </c>
      <c r="AB448" s="830" t="e">
        <f>VLOOKUP(C448,'CHẤM CÔNG '!$E$13:$AM$168,34,0)</f>
        <v>#N/A</v>
      </c>
      <c r="AC448" s="830"/>
      <c r="AD448" s="830"/>
      <c r="AE448" s="830"/>
      <c r="AF448" s="830"/>
      <c r="AG448" s="830"/>
      <c r="AH448" s="830"/>
      <c r="AI448" s="830" t="e">
        <f t="shared" si="93"/>
        <v>#N/A</v>
      </c>
      <c r="AJ448" s="830"/>
      <c r="AK448" s="836"/>
      <c r="AL448" s="837" t="e">
        <f>VLOOKUP(C448,'sản lượng'!$D$14:$AP$169,38,0)</f>
        <v>#N/A</v>
      </c>
    </row>
    <row r="449" spans="1:44" ht="15.75">
      <c r="A449" s="812">
        <v>53</v>
      </c>
      <c r="B449" s="813" t="str">
        <f>VLOOKUP(C449,'DS CN MOI UP'!$B$10:$C$389,2,0)</f>
        <v>03415</v>
      </c>
      <c r="C449" s="846" t="s">
        <v>338</v>
      </c>
      <c r="D449" s="812" t="s">
        <v>15</v>
      </c>
      <c r="E449" s="815">
        <f t="shared" si="88"/>
        <v>24</v>
      </c>
      <c r="F449" s="815"/>
      <c r="G449" s="815"/>
      <c r="H449" s="960"/>
      <c r="I449" s="815"/>
      <c r="J449" s="815"/>
      <c r="K449" s="815"/>
      <c r="L449" s="815"/>
      <c r="M449" s="815"/>
      <c r="N449" s="815"/>
      <c r="O449" s="815"/>
      <c r="P449" s="815"/>
      <c r="Q449" s="815"/>
      <c r="R449" s="815"/>
      <c r="S449" s="830">
        <f t="shared" ref="S449:S456" si="94">SUM(E449:R449)</f>
        <v>24</v>
      </c>
      <c r="T449" s="830" t="e">
        <f>VLOOKUP(C449,'sản lượng'!$D$14:$AK$169,36,0)</f>
        <v>#N/A</v>
      </c>
      <c r="U449" s="830"/>
      <c r="V449" s="830"/>
      <c r="W449" s="831" t="e">
        <f t="shared" si="86"/>
        <v>#N/A</v>
      </c>
      <c r="X449" s="830"/>
      <c r="Y449" s="830"/>
      <c r="Z449" s="830" t="e">
        <f t="shared" si="90"/>
        <v>#N/A</v>
      </c>
      <c r="AA449" s="830" t="e">
        <f>VLOOKUP(C449,'CHẤM CÔNG '!$E$13:$AM$168,33,0)</f>
        <v>#N/A</v>
      </c>
      <c r="AB449" s="830" t="e">
        <f>VLOOKUP(C449,'CHẤM CÔNG '!$E$13:$AM$168,34,0)</f>
        <v>#N/A</v>
      </c>
      <c r="AC449" s="830"/>
      <c r="AD449" s="830"/>
      <c r="AE449" s="830"/>
      <c r="AF449" s="830"/>
      <c r="AG449" s="830"/>
      <c r="AH449" s="830"/>
      <c r="AI449" s="830" t="e">
        <f t="shared" si="93"/>
        <v>#N/A</v>
      </c>
      <c r="AJ449" s="830"/>
      <c r="AK449" s="836"/>
      <c r="AL449" s="837" t="e">
        <f>VLOOKUP(C449,'sản lượng'!$D$14:$AP$169,38,0)</f>
        <v>#N/A</v>
      </c>
    </row>
    <row r="450" spans="1:44" ht="15.75">
      <c r="A450" s="812">
        <v>54</v>
      </c>
      <c r="B450" s="813" t="e">
        <f>VLOOKUP(C450,'DS CN MOI UP'!$B$10:$C$389,2,0)</f>
        <v>#N/A</v>
      </c>
      <c r="C450" s="846" t="s">
        <v>339</v>
      </c>
      <c r="D450" s="812" t="s">
        <v>15</v>
      </c>
      <c r="E450" s="815">
        <f t="shared" si="88"/>
        <v>24</v>
      </c>
      <c r="F450" s="815"/>
      <c r="G450" s="815"/>
      <c r="H450" s="960"/>
      <c r="I450" s="815"/>
      <c r="J450" s="815"/>
      <c r="K450" s="815"/>
      <c r="L450" s="815"/>
      <c r="M450" s="815"/>
      <c r="N450" s="815"/>
      <c r="O450" s="815"/>
      <c r="P450" s="815"/>
      <c r="Q450" s="815"/>
      <c r="R450" s="815"/>
      <c r="S450" s="830">
        <f t="shared" si="94"/>
        <v>24</v>
      </c>
      <c r="T450" s="830" t="e">
        <f>VLOOKUP(C450,'sản lượng'!$D$14:$AK$169,36,0)</f>
        <v>#N/A</v>
      </c>
      <c r="U450" s="830"/>
      <c r="V450" s="830"/>
      <c r="W450" s="831" t="e">
        <f t="shared" si="86"/>
        <v>#N/A</v>
      </c>
      <c r="X450" s="830"/>
      <c r="Y450" s="830"/>
      <c r="Z450" s="830" t="e">
        <f t="shared" si="90"/>
        <v>#N/A</v>
      </c>
      <c r="AA450" s="830" t="e">
        <f>VLOOKUP(C450,'CHẤM CÔNG '!$E$13:$AM$168,33,0)</f>
        <v>#N/A</v>
      </c>
      <c r="AB450" s="830" t="e">
        <f>VLOOKUP(C450,'CHẤM CÔNG '!$E$13:$AM$168,34,0)</f>
        <v>#N/A</v>
      </c>
      <c r="AC450" s="830"/>
      <c r="AD450" s="830"/>
      <c r="AE450" s="830"/>
      <c r="AF450" s="830"/>
      <c r="AG450" s="830"/>
      <c r="AH450" s="830"/>
      <c r="AI450" s="830" t="e">
        <f t="shared" si="93"/>
        <v>#N/A</v>
      </c>
      <c r="AJ450" s="830"/>
      <c r="AK450" s="836"/>
      <c r="AL450" s="837" t="e">
        <f>VLOOKUP(C450,'sản lượng'!$D$14:$AP$169,38,0)</f>
        <v>#N/A</v>
      </c>
    </row>
    <row r="451" spans="1:44" ht="15.75">
      <c r="A451" s="812">
        <v>55</v>
      </c>
      <c r="B451" s="813" t="str">
        <f>VLOOKUP(C451,'DS CN MOI UP'!$B$10:$C$389,2,0)</f>
        <v>03417</v>
      </c>
      <c r="C451" s="846" t="s">
        <v>340</v>
      </c>
      <c r="D451" s="812" t="s">
        <v>15</v>
      </c>
      <c r="E451" s="815">
        <f t="shared" si="88"/>
        <v>24</v>
      </c>
      <c r="F451" s="815"/>
      <c r="G451" s="815"/>
      <c r="H451" s="960"/>
      <c r="I451" s="815"/>
      <c r="J451" s="815"/>
      <c r="K451" s="815"/>
      <c r="L451" s="815"/>
      <c r="M451" s="815"/>
      <c r="N451" s="815"/>
      <c r="O451" s="815"/>
      <c r="P451" s="815"/>
      <c r="Q451" s="815"/>
      <c r="R451" s="815"/>
      <c r="S451" s="830">
        <f t="shared" si="94"/>
        <v>24</v>
      </c>
      <c r="T451" s="830" t="e">
        <f>VLOOKUP(C451,'sản lượng'!$D$14:$AK$169,36,0)</f>
        <v>#N/A</v>
      </c>
      <c r="U451" s="830"/>
      <c r="V451" s="830"/>
      <c r="W451" s="831" t="e">
        <f t="shared" si="86"/>
        <v>#N/A</v>
      </c>
      <c r="X451" s="830"/>
      <c r="Y451" s="830"/>
      <c r="Z451" s="830" t="e">
        <f t="shared" si="90"/>
        <v>#N/A</v>
      </c>
      <c r="AA451" s="830" t="e">
        <f>VLOOKUP(C451,'CHẤM CÔNG '!$E$13:$AM$168,33,0)</f>
        <v>#N/A</v>
      </c>
      <c r="AB451" s="830" t="e">
        <f>VLOOKUP(C451,'CHẤM CÔNG '!$E$13:$AM$168,34,0)</f>
        <v>#N/A</v>
      </c>
      <c r="AC451" s="830"/>
      <c r="AD451" s="830"/>
      <c r="AE451" s="830"/>
      <c r="AF451" s="830"/>
      <c r="AG451" s="830"/>
      <c r="AH451" s="830"/>
      <c r="AI451" s="830" t="e">
        <f t="shared" si="93"/>
        <v>#N/A</v>
      </c>
      <c r="AJ451" s="830"/>
      <c r="AK451" s="836"/>
      <c r="AL451" s="837" t="e">
        <f>VLOOKUP(C451,'sản lượng'!$D$14:$AP$169,38,0)</f>
        <v>#N/A</v>
      </c>
    </row>
    <row r="452" spans="1:44" ht="15.75">
      <c r="A452" s="812">
        <v>56</v>
      </c>
      <c r="B452" s="813" t="str">
        <f>VLOOKUP(C452,'DS CN MOI UP'!$B$10:$C$389,2,0)</f>
        <v>03418</v>
      </c>
      <c r="C452" s="846" t="s">
        <v>341</v>
      </c>
      <c r="D452" s="812" t="s">
        <v>15</v>
      </c>
      <c r="E452" s="815">
        <f t="shared" si="88"/>
        <v>24</v>
      </c>
      <c r="F452" s="815"/>
      <c r="G452" s="815"/>
      <c r="H452" s="960"/>
      <c r="I452" s="815"/>
      <c r="J452" s="815"/>
      <c r="K452" s="815"/>
      <c r="L452" s="815"/>
      <c r="M452" s="815"/>
      <c r="N452" s="815"/>
      <c r="O452" s="815"/>
      <c r="P452" s="815"/>
      <c r="Q452" s="815"/>
      <c r="R452" s="815"/>
      <c r="S452" s="830">
        <f t="shared" si="94"/>
        <v>24</v>
      </c>
      <c r="T452" s="830" t="e">
        <f>VLOOKUP(C452,'sản lượng'!$D$14:$AK$169,36,0)</f>
        <v>#N/A</v>
      </c>
      <c r="U452" s="830"/>
      <c r="V452" s="830"/>
      <c r="W452" s="831" t="e">
        <f t="shared" si="86"/>
        <v>#N/A</v>
      </c>
      <c r="X452" s="830"/>
      <c r="Y452" s="830"/>
      <c r="Z452" s="830" t="e">
        <f t="shared" si="90"/>
        <v>#N/A</v>
      </c>
      <c r="AA452" s="830" t="e">
        <f>VLOOKUP(C452,'CHẤM CÔNG '!$E$13:$AM$168,33,0)</f>
        <v>#N/A</v>
      </c>
      <c r="AB452" s="830" t="e">
        <f>VLOOKUP(C452,'CHẤM CÔNG '!$E$13:$AM$168,34,0)</f>
        <v>#N/A</v>
      </c>
      <c r="AC452" s="830"/>
      <c r="AD452" s="830"/>
      <c r="AE452" s="830"/>
      <c r="AF452" s="830"/>
      <c r="AG452" s="830"/>
      <c r="AH452" s="830"/>
      <c r="AI452" s="830" t="e">
        <f t="shared" si="93"/>
        <v>#N/A</v>
      </c>
      <c r="AJ452" s="830"/>
      <c r="AK452" s="836"/>
      <c r="AL452" s="837" t="e">
        <f>VLOOKUP(C452,'sản lượng'!$D$14:$AP$169,38,0)</f>
        <v>#N/A</v>
      </c>
    </row>
    <row r="453" spans="1:44" ht="15.75">
      <c r="A453" s="812">
        <v>57</v>
      </c>
      <c r="B453" s="813" t="str">
        <f>VLOOKUP(C453,'DS CN MOI UP'!$B$10:$C$389,2,0)</f>
        <v>03419</v>
      </c>
      <c r="C453" s="846" t="s">
        <v>342</v>
      </c>
      <c r="D453" s="812" t="s">
        <v>15</v>
      </c>
      <c r="E453" s="815">
        <f t="shared" si="88"/>
        <v>24</v>
      </c>
      <c r="F453" s="815"/>
      <c r="G453" s="815"/>
      <c r="H453" s="960"/>
      <c r="I453" s="815"/>
      <c r="J453" s="815"/>
      <c r="K453" s="815"/>
      <c r="L453" s="815"/>
      <c r="M453" s="815"/>
      <c r="N453" s="815"/>
      <c r="O453" s="815"/>
      <c r="P453" s="815"/>
      <c r="Q453" s="815"/>
      <c r="R453" s="815"/>
      <c r="S453" s="830">
        <f t="shared" si="94"/>
        <v>24</v>
      </c>
      <c r="T453" s="830" t="e">
        <f>VLOOKUP(C453,'sản lượng'!$D$14:$AK$169,36,0)</f>
        <v>#N/A</v>
      </c>
      <c r="U453" s="830"/>
      <c r="V453" s="830"/>
      <c r="W453" s="831" t="e">
        <f t="shared" ref="W453:W456" si="95">SUM(T453:V453)</f>
        <v>#N/A</v>
      </c>
      <c r="X453" s="830"/>
      <c r="Y453" s="830"/>
      <c r="Z453" s="830" t="e">
        <f t="shared" ref="Z453:Z456" si="96">W453*$AN$18+X453*$AN$10+$AN$11*Y453</f>
        <v>#N/A</v>
      </c>
      <c r="AA453" s="830" t="e">
        <f>VLOOKUP(C453,'CHẤM CÔNG '!$E$13:$AM$168,33,0)</f>
        <v>#N/A</v>
      </c>
      <c r="AB453" s="830" t="e">
        <f>VLOOKUP(C453,'CHẤM CÔNG '!$E$13:$AM$168,34,0)</f>
        <v>#N/A</v>
      </c>
      <c r="AC453" s="830"/>
      <c r="AD453" s="830"/>
      <c r="AE453" s="830"/>
      <c r="AF453" s="830"/>
      <c r="AG453" s="830"/>
      <c r="AH453" s="830"/>
      <c r="AI453" s="830" t="e">
        <f t="shared" si="93"/>
        <v>#N/A</v>
      </c>
      <c r="AJ453" s="830"/>
      <c r="AK453" s="836"/>
      <c r="AL453" s="837" t="e">
        <f>VLOOKUP(C453,'sản lượng'!$D$14:$AP$169,38,0)</f>
        <v>#N/A</v>
      </c>
    </row>
    <row r="454" spans="1:44" ht="15.75">
      <c r="A454" s="812">
        <v>58</v>
      </c>
      <c r="B454" s="813" t="str">
        <f>VLOOKUP(C454,'DS CN MOI UP'!$B$10:$C$389,2,0)</f>
        <v>03420</v>
      </c>
      <c r="C454" s="846" t="s">
        <v>343</v>
      </c>
      <c r="D454" s="812" t="s">
        <v>15</v>
      </c>
      <c r="E454" s="815">
        <f t="shared" si="88"/>
        <v>24</v>
      </c>
      <c r="F454" s="815"/>
      <c r="G454" s="815"/>
      <c r="H454" s="960"/>
      <c r="I454" s="815"/>
      <c r="J454" s="815"/>
      <c r="K454" s="815"/>
      <c r="L454" s="815"/>
      <c r="M454" s="815"/>
      <c r="N454" s="815"/>
      <c r="O454" s="815"/>
      <c r="P454" s="815"/>
      <c r="Q454" s="815"/>
      <c r="R454" s="815"/>
      <c r="S454" s="830">
        <f t="shared" si="94"/>
        <v>24</v>
      </c>
      <c r="T454" s="830" t="e">
        <f>VLOOKUP(C454,'sản lượng'!$D$14:$AK$169,36,0)</f>
        <v>#N/A</v>
      </c>
      <c r="U454" s="830"/>
      <c r="V454" s="830"/>
      <c r="W454" s="831" t="e">
        <f t="shared" si="95"/>
        <v>#N/A</v>
      </c>
      <c r="X454" s="830"/>
      <c r="Y454" s="830"/>
      <c r="Z454" s="830" t="e">
        <f t="shared" si="96"/>
        <v>#N/A</v>
      </c>
      <c r="AA454" s="830" t="e">
        <f>VLOOKUP(C454,'CHẤM CÔNG '!$E$13:$AM$168,33,0)</f>
        <v>#N/A</v>
      </c>
      <c r="AB454" s="830" t="e">
        <f>VLOOKUP(C454,'CHẤM CÔNG '!$E$13:$AM$168,34,0)</f>
        <v>#N/A</v>
      </c>
      <c r="AC454" s="830"/>
      <c r="AD454" s="830"/>
      <c r="AE454" s="830"/>
      <c r="AF454" s="830"/>
      <c r="AG454" s="830"/>
      <c r="AH454" s="830"/>
      <c r="AI454" s="830" t="e">
        <f t="shared" si="93"/>
        <v>#N/A</v>
      </c>
      <c r="AJ454" s="830"/>
      <c r="AK454" s="836"/>
      <c r="AL454" s="837" t="e">
        <f>VLOOKUP(C454,'sản lượng'!$D$14:$AP$169,38,0)</f>
        <v>#N/A</v>
      </c>
    </row>
    <row r="455" spans="1:44" ht="15.75">
      <c r="A455" s="812">
        <v>59</v>
      </c>
      <c r="B455" s="813" t="str">
        <f>VLOOKUP(C455,'DS CN MOI UP'!$B$10:$C$389,2,0)</f>
        <v>03385</v>
      </c>
      <c r="C455" s="846" t="s">
        <v>344</v>
      </c>
      <c r="D455" s="812" t="s">
        <v>15</v>
      </c>
      <c r="E455" s="815">
        <f t="shared" si="88"/>
        <v>24</v>
      </c>
      <c r="F455" s="815"/>
      <c r="G455" s="815"/>
      <c r="H455" s="960"/>
      <c r="I455" s="815"/>
      <c r="J455" s="815"/>
      <c r="K455" s="815"/>
      <c r="L455" s="815"/>
      <c r="M455" s="815"/>
      <c r="N455" s="815"/>
      <c r="O455" s="815"/>
      <c r="P455" s="815"/>
      <c r="Q455" s="815"/>
      <c r="R455" s="815"/>
      <c r="S455" s="830">
        <f t="shared" si="94"/>
        <v>24</v>
      </c>
      <c r="T455" s="830" t="e">
        <f>VLOOKUP(C455,'sản lượng'!$D$14:$AK$169,36,0)</f>
        <v>#N/A</v>
      </c>
      <c r="U455" s="830"/>
      <c r="V455" s="830"/>
      <c r="W455" s="831" t="e">
        <f t="shared" si="95"/>
        <v>#N/A</v>
      </c>
      <c r="X455" s="830"/>
      <c r="Y455" s="830"/>
      <c r="Z455" s="830" t="e">
        <f t="shared" si="96"/>
        <v>#N/A</v>
      </c>
      <c r="AA455" s="830" t="e">
        <f>VLOOKUP(C455,'CHẤM CÔNG '!$E$13:$AM$168,33,0)</f>
        <v>#N/A</v>
      </c>
      <c r="AB455" s="830" t="e">
        <f>VLOOKUP(C455,'CHẤM CÔNG '!$E$13:$AM$168,34,0)</f>
        <v>#N/A</v>
      </c>
      <c r="AC455" s="830"/>
      <c r="AD455" s="830"/>
      <c r="AE455" s="830"/>
      <c r="AF455" s="830"/>
      <c r="AG455" s="830"/>
      <c r="AH455" s="830"/>
      <c r="AI455" s="830" t="e">
        <f t="shared" si="93"/>
        <v>#N/A</v>
      </c>
      <c r="AJ455" s="830"/>
      <c r="AK455" s="836"/>
      <c r="AL455" s="837" t="e">
        <f>VLOOKUP(C455,'sản lượng'!$D$14:$AP$169,38,0)</f>
        <v>#N/A</v>
      </c>
    </row>
    <row r="456" spans="1:44" ht="15.75">
      <c r="A456" s="812">
        <v>60</v>
      </c>
      <c r="B456" s="813" t="str">
        <f>VLOOKUP(C456,'DS CN MOI UP'!$B$10:$C$389,2,0)</f>
        <v>03422</v>
      </c>
      <c r="C456" s="846" t="s">
        <v>345</v>
      </c>
      <c r="D456" s="812" t="s">
        <v>15</v>
      </c>
      <c r="E456" s="815">
        <f t="shared" si="88"/>
        <v>24</v>
      </c>
      <c r="F456" s="815"/>
      <c r="G456" s="815"/>
      <c r="H456" s="960"/>
      <c r="I456" s="815"/>
      <c r="J456" s="815"/>
      <c r="K456" s="815"/>
      <c r="L456" s="815"/>
      <c r="M456" s="815"/>
      <c r="N456" s="815"/>
      <c r="O456" s="815"/>
      <c r="P456" s="815"/>
      <c r="Q456" s="815"/>
      <c r="R456" s="815"/>
      <c r="S456" s="830">
        <f t="shared" si="94"/>
        <v>24</v>
      </c>
      <c r="T456" s="830" t="e">
        <f>VLOOKUP(C456,'sản lượng'!$D$14:$AK$169,36,0)</f>
        <v>#N/A</v>
      </c>
      <c r="U456" s="830"/>
      <c r="V456" s="830"/>
      <c r="W456" s="831" t="e">
        <f t="shared" si="95"/>
        <v>#N/A</v>
      </c>
      <c r="X456" s="830"/>
      <c r="Y456" s="830"/>
      <c r="Z456" s="830" t="e">
        <f t="shared" si="96"/>
        <v>#N/A</v>
      </c>
      <c r="AA456" s="830" t="e">
        <f>VLOOKUP(C456,'CHẤM CÔNG '!$E$13:$AM$168,33,0)</f>
        <v>#N/A</v>
      </c>
      <c r="AB456" s="830" t="e">
        <f>VLOOKUP(C456,'CHẤM CÔNG '!$E$13:$AM$168,34,0)</f>
        <v>#N/A</v>
      </c>
      <c r="AC456" s="830"/>
      <c r="AD456" s="830"/>
      <c r="AE456" s="830"/>
      <c r="AF456" s="830"/>
      <c r="AG456" s="830"/>
      <c r="AH456" s="830"/>
      <c r="AI456" s="830" t="e">
        <f t="shared" si="93"/>
        <v>#N/A</v>
      </c>
      <c r="AJ456" s="830"/>
      <c r="AK456" s="836"/>
      <c r="AL456" s="837" t="e">
        <f>VLOOKUP(C456,'sản lượng'!$D$14:$AP$169,38,0)</f>
        <v>#N/A</v>
      </c>
    </row>
    <row r="457" spans="1:44" ht="15.75">
      <c r="A457" s="812">
        <v>61</v>
      </c>
      <c r="B457" s="813" t="e">
        <f>VLOOKUP(C457,'DS CN MOI UP'!$B$10:$C$389,2,0)</f>
        <v>#N/A</v>
      </c>
      <c r="C457" s="846" t="s">
        <v>346</v>
      </c>
      <c r="D457" s="812" t="s">
        <v>15</v>
      </c>
      <c r="E457" s="815">
        <f t="shared" si="88"/>
        <v>24</v>
      </c>
      <c r="F457" s="815"/>
      <c r="G457" s="815"/>
      <c r="H457" s="960"/>
      <c r="I457" s="815"/>
      <c r="J457" s="815"/>
      <c r="K457" s="815"/>
      <c r="L457" s="815"/>
      <c r="M457" s="815"/>
      <c r="N457" s="815"/>
      <c r="O457" s="815"/>
      <c r="P457" s="815"/>
      <c r="Q457" s="815"/>
      <c r="R457" s="815"/>
      <c r="S457" s="830">
        <f t="shared" ref="S457:S460" si="97">SUM(E457:R457)</f>
        <v>24</v>
      </c>
      <c r="T457" s="830" t="e">
        <f>VLOOKUP(C457,'sản lượng'!$D$14:$AK$169,36,0)</f>
        <v>#N/A</v>
      </c>
      <c r="U457" s="830"/>
      <c r="V457" s="830"/>
      <c r="W457" s="831" t="e">
        <f t="shared" si="86"/>
        <v>#N/A</v>
      </c>
      <c r="X457" s="830"/>
      <c r="Y457" s="830"/>
      <c r="Z457" s="830" t="e">
        <f t="shared" si="90"/>
        <v>#N/A</v>
      </c>
      <c r="AA457" s="830" t="e">
        <f>VLOOKUP(C457,'CHẤM CÔNG '!$E$13:$AM$168,33,0)</f>
        <v>#N/A</v>
      </c>
      <c r="AB457" s="830" t="e">
        <f>VLOOKUP(C457,'CHẤM CÔNG '!$E$13:$AM$168,34,0)</f>
        <v>#N/A</v>
      </c>
      <c r="AC457" s="830"/>
      <c r="AD457" s="830"/>
      <c r="AE457" s="830"/>
      <c r="AF457" s="830"/>
      <c r="AG457" s="830"/>
      <c r="AH457" s="830"/>
      <c r="AI457" s="830" t="e">
        <f t="shared" si="93"/>
        <v>#N/A</v>
      </c>
      <c r="AJ457" s="830"/>
      <c r="AK457" s="836"/>
      <c r="AL457" s="837" t="e">
        <f>VLOOKUP(C457,'sản lượng'!$D$14:$AP$169,38,0)</f>
        <v>#N/A</v>
      </c>
    </row>
    <row r="458" spans="1:44" ht="15.75">
      <c r="A458" s="812">
        <v>62</v>
      </c>
      <c r="B458" s="813" t="e">
        <f>VLOOKUP(C458,'DS CN MOI UP'!$B$10:$C$389,2,0)</f>
        <v>#N/A</v>
      </c>
      <c r="C458" s="846" t="s">
        <v>347</v>
      </c>
      <c r="D458" s="812" t="s">
        <v>15</v>
      </c>
      <c r="E458" s="815">
        <f t="shared" si="88"/>
        <v>24</v>
      </c>
      <c r="F458" s="815"/>
      <c r="G458" s="815"/>
      <c r="H458" s="960"/>
      <c r="I458" s="815"/>
      <c r="J458" s="815"/>
      <c r="K458" s="815"/>
      <c r="L458" s="815"/>
      <c r="M458" s="815"/>
      <c r="N458" s="815"/>
      <c r="O458" s="815"/>
      <c r="P458" s="815"/>
      <c r="Q458" s="815"/>
      <c r="R458" s="815"/>
      <c r="S458" s="830">
        <f t="shared" ref="S458:S459" si="98">SUM(E458:R458)</f>
        <v>24</v>
      </c>
      <c r="T458" s="830" t="e">
        <f>VLOOKUP(C458,'sản lượng'!$D$14:$AK$169,36,0)</f>
        <v>#N/A</v>
      </c>
      <c r="U458" s="830"/>
      <c r="V458" s="830"/>
      <c r="W458" s="831" t="e">
        <f t="shared" ref="W458" si="99">SUM(T458:V458)</f>
        <v>#N/A</v>
      </c>
      <c r="X458" s="830"/>
      <c r="Y458" s="830"/>
      <c r="Z458" s="830" t="e">
        <f t="shared" ref="Z458" si="100">W458*$AN$18+X458*$AN$10+$AN$11*Y458</f>
        <v>#N/A</v>
      </c>
      <c r="AA458" s="830" t="e">
        <f>VLOOKUP(C458,'CHẤM CÔNG '!$E$13:$AM$168,33,0)</f>
        <v>#N/A</v>
      </c>
      <c r="AB458" s="830" t="e">
        <f>VLOOKUP(C458,'CHẤM CÔNG '!$E$13:$AM$168,34,0)</f>
        <v>#N/A</v>
      </c>
      <c r="AC458" s="830"/>
      <c r="AD458" s="830"/>
      <c r="AE458" s="830"/>
      <c r="AF458" s="830"/>
      <c r="AG458" s="830"/>
      <c r="AH458" s="830"/>
      <c r="AI458" s="830" t="e">
        <f t="shared" si="93"/>
        <v>#N/A</v>
      </c>
      <c r="AJ458" s="830"/>
      <c r="AK458" s="836"/>
      <c r="AL458" s="837" t="e">
        <f>VLOOKUP(C458,'sản lượng'!$D$14:$AP$169,38,0)</f>
        <v>#N/A</v>
      </c>
    </row>
    <row r="459" spans="1:44" ht="15.75">
      <c r="A459" s="812">
        <v>63</v>
      </c>
      <c r="B459" s="813" t="e">
        <f>VLOOKUP(C459,'DS CN MOI UP'!$B$10:$C$389,2,0)</f>
        <v>#N/A</v>
      </c>
      <c r="C459" s="846" t="s">
        <v>348</v>
      </c>
      <c r="D459" s="812" t="s">
        <v>15</v>
      </c>
      <c r="E459" s="815">
        <f t="shared" si="88"/>
        <v>24</v>
      </c>
      <c r="F459" s="815"/>
      <c r="G459" s="815"/>
      <c r="H459" s="960"/>
      <c r="I459" s="815"/>
      <c r="J459" s="815"/>
      <c r="K459" s="815"/>
      <c r="L459" s="815"/>
      <c r="M459" s="815"/>
      <c r="N459" s="815"/>
      <c r="O459" s="815"/>
      <c r="P459" s="815"/>
      <c r="Q459" s="815"/>
      <c r="R459" s="815"/>
      <c r="S459" s="830">
        <f t="shared" si="98"/>
        <v>24</v>
      </c>
      <c r="T459" s="830" t="e">
        <f>VLOOKUP(C459,'sản lượng'!$D$14:$AK$169,36,0)</f>
        <v>#N/A</v>
      </c>
      <c r="U459" s="830"/>
      <c r="V459" s="830"/>
      <c r="W459" s="831" t="e">
        <f t="shared" ref="W459" si="101">SUM(T459:V459)</f>
        <v>#N/A</v>
      </c>
      <c r="X459" s="830"/>
      <c r="Y459" s="830"/>
      <c r="Z459" s="830" t="e">
        <f t="shared" ref="Z459" si="102">W459*$AN$18+X459*$AN$10+$AN$11*Y459</f>
        <v>#N/A</v>
      </c>
      <c r="AA459" s="830" t="e">
        <f>VLOOKUP(C459,'CHẤM CÔNG '!$E$13:$AM$168,33,0)</f>
        <v>#N/A</v>
      </c>
      <c r="AB459" s="830" t="e">
        <f>VLOOKUP(C459,'CHẤM CÔNG '!$E$13:$AM$168,34,0)</f>
        <v>#N/A</v>
      </c>
      <c r="AC459" s="830"/>
      <c r="AD459" s="830"/>
      <c r="AE459" s="830"/>
      <c r="AF459" s="830"/>
      <c r="AG459" s="830"/>
      <c r="AH459" s="830"/>
      <c r="AI459" s="830" t="e">
        <f t="shared" si="93"/>
        <v>#N/A</v>
      </c>
      <c r="AJ459" s="830"/>
      <c r="AK459" s="836"/>
      <c r="AL459" s="837" t="e">
        <f>VLOOKUP(C459,'sản lượng'!$D$14:$AP$169,38,0)</f>
        <v>#N/A</v>
      </c>
    </row>
    <row r="460" spans="1:44" ht="15.75">
      <c r="A460" s="812">
        <v>64</v>
      </c>
      <c r="B460" s="813">
        <v>6</v>
      </c>
      <c r="C460" s="846" t="s">
        <v>2083</v>
      </c>
      <c r="D460" s="812" t="s">
        <v>1713</v>
      </c>
      <c r="E460" s="815"/>
      <c r="F460" s="815"/>
      <c r="G460" s="815"/>
      <c r="H460" s="960"/>
      <c r="I460" s="815"/>
      <c r="J460" s="815"/>
      <c r="K460" s="815"/>
      <c r="L460" s="815"/>
      <c r="M460" s="815"/>
      <c r="N460" s="815"/>
      <c r="O460" s="815"/>
      <c r="P460" s="815"/>
      <c r="Q460" s="815"/>
      <c r="R460" s="815"/>
      <c r="S460" s="830">
        <f t="shared" si="97"/>
        <v>0</v>
      </c>
      <c r="T460" s="830"/>
      <c r="U460" s="830"/>
      <c r="V460" s="830"/>
      <c r="W460" s="830"/>
      <c r="X460" s="830"/>
      <c r="Y460" s="830"/>
      <c r="Z460" s="830"/>
      <c r="AA460" s="830"/>
      <c r="AB460" s="830"/>
      <c r="AC460" s="830"/>
      <c r="AD460" s="830"/>
      <c r="AE460" s="830"/>
      <c r="AF460" s="830"/>
      <c r="AG460" s="830"/>
      <c r="AH460" s="830"/>
      <c r="AI460" s="830"/>
      <c r="AJ460" s="830"/>
      <c r="AK460" s="836"/>
      <c r="AL460" s="1020"/>
    </row>
    <row r="461" spans="1:44">
      <c r="A461" s="2574" t="s">
        <v>349</v>
      </c>
      <c r="B461" s="2574"/>
      <c r="C461" s="2574"/>
      <c r="D461" s="2574"/>
      <c r="E461" s="858">
        <f t="shared" ref="E461:W461" si="103">+E10</f>
        <v>10660</v>
      </c>
      <c r="F461" s="858">
        <f t="shared" si="103"/>
        <v>16</v>
      </c>
      <c r="G461" s="858">
        <f t="shared" si="103"/>
        <v>24</v>
      </c>
      <c r="H461" s="995">
        <f t="shared" si="103"/>
        <v>6996.2759999999998</v>
      </c>
      <c r="I461" s="858">
        <f t="shared" si="103"/>
        <v>11</v>
      </c>
      <c r="J461" s="858">
        <f t="shared" si="103"/>
        <v>45</v>
      </c>
      <c r="K461" s="858">
        <f t="shared" si="103"/>
        <v>0</v>
      </c>
      <c r="L461" s="858">
        <f t="shared" si="103"/>
        <v>0</v>
      </c>
      <c r="M461" s="858">
        <f t="shared" si="103"/>
        <v>0</v>
      </c>
      <c r="N461" s="858">
        <f t="shared" si="103"/>
        <v>0</v>
      </c>
      <c r="O461" s="858">
        <f t="shared" si="103"/>
        <v>0</v>
      </c>
      <c r="P461" s="858">
        <f t="shared" si="103"/>
        <v>0</v>
      </c>
      <c r="Q461" s="858">
        <f t="shared" si="103"/>
        <v>0</v>
      </c>
      <c r="R461" s="858">
        <f t="shared" si="103"/>
        <v>0</v>
      </c>
      <c r="S461" s="858">
        <f t="shared" si="103"/>
        <v>17752.275999999998</v>
      </c>
      <c r="T461" s="858" t="e">
        <f t="shared" si="103"/>
        <v>#N/A</v>
      </c>
      <c r="U461" s="858" t="e">
        <f t="shared" si="103"/>
        <v>#N/A</v>
      </c>
      <c r="V461" s="858" t="e">
        <f t="shared" si="103"/>
        <v>#N/A</v>
      </c>
      <c r="W461" s="868" t="e">
        <f t="shared" si="103"/>
        <v>#N/A</v>
      </c>
      <c r="X461" s="858"/>
      <c r="Y461" s="858"/>
      <c r="Z461" s="858" t="e">
        <f t="shared" ref="Z461:AE461" si="104">+Z10</f>
        <v>#N/A</v>
      </c>
      <c r="AA461" s="858" t="e">
        <f t="shared" si="104"/>
        <v>#N/A</v>
      </c>
      <c r="AB461" s="858" t="e">
        <f t="shared" si="104"/>
        <v>#N/A</v>
      </c>
      <c r="AC461" s="858" t="e">
        <f t="shared" si="104"/>
        <v>#N/A</v>
      </c>
      <c r="AD461" s="858">
        <f t="shared" si="104"/>
        <v>0</v>
      </c>
      <c r="AE461" s="858">
        <f t="shared" si="104"/>
        <v>62</v>
      </c>
      <c r="AF461" s="858">
        <f t="shared" ref="AF461:AK461" si="105">+AF10</f>
        <v>0</v>
      </c>
      <c r="AG461" s="858">
        <f t="shared" si="105"/>
        <v>0</v>
      </c>
      <c r="AH461" s="858">
        <f t="shared" ref="AH461:AI461" si="106">+AH10</f>
        <v>0</v>
      </c>
      <c r="AI461" s="858" t="e">
        <f t="shared" si="106"/>
        <v>#N/A</v>
      </c>
      <c r="AJ461" s="858">
        <f t="shared" si="105"/>
        <v>0</v>
      </c>
      <c r="AK461" s="858">
        <f t="shared" si="105"/>
        <v>0</v>
      </c>
      <c r="AL461" s="874"/>
      <c r="AM461" s="831" t="e">
        <f>SUM(#REF!,W386:W387,W312:W314,#REF!,#REF!)</f>
        <v>#REF!</v>
      </c>
      <c r="AN461" s="831" t="e">
        <f>SUM(#REF!,X386:X387,X312:X314,#REF!,#REF!)</f>
        <v>#REF!</v>
      </c>
    </row>
    <row r="462" spans="1:44">
      <c r="A462" s="804"/>
      <c r="B462" s="804"/>
      <c r="C462" s="804"/>
      <c r="D462" s="804"/>
      <c r="E462" s="996"/>
      <c r="F462" s="996"/>
      <c r="G462" s="996"/>
      <c r="H462" s="997"/>
      <c r="I462" s="996"/>
      <c r="J462" s="996"/>
      <c r="K462" s="996"/>
      <c r="L462" s="996"/>
      <c r="M462" s="996"/>
      <c r="N462" s="996"/>
      <c r="O462" s="996"/>
      <c r="P462" s="996"/>
      <c r="Q462" s="996"/>
      <c r="R462" s="996"/>
      <c r="S462" s="996"/>
      <c r="T462" s="996"/>
      <c r="U462" s="996"/>
      <c r="V462" s="996"/>
      <c r="W462" s="606"/>
      <c r="X462" s="996"/>
      <c r="Y462" s="996"/>
      <c r="Z462" s="996"/>
      <c r="AA462" s="996"/>
      <c r="AB462" s="996"/>
      <c r="AC462" s="996"/>
      <c r="AD462" s="996"/>
      <c r="AE462" s="996"/>
      <c r="AF462" s="996"/>
      <c r="AG462" s="996"/>
      <c r="AH462" s="996"/>
      <c r="AI462" s="996"/>
      <c r="AJ462" s="996"/>
      <c r="AK462" s="996"/>
      <c r="AL462" s="1021"/>
      <c r="AM462" s="831"/>
      <c r="AN462" s="831"/>
      <c r="AP462" s="875"/>
      <c r="AQ462" s="875"/>
      <c r="AR462" s="875"/>
    </row>
    <row r="463" spans="1:44">
      <c r="A463" s="804"/>
      <c r="B463" s="804"/>
      <c r="C463" s="804"/>
      <c r="D463" s="804"/>
      <c r="E463" s="996"/>
      <c r="F463" s="996"/>
      <c r="G463" s="996"/>
      <c r="H463" s="997"/>
      <c r="I463" s="996"/>
      <c r="J463" s="996"/>
      <c r="K463" s="996"/>
      <c r="L463" s="996"/>
      <c r="M463" s="996"/>
      <c r="N463" s="996"/>
      <c r="O463" s="996"/>
      <c r="P463" s="996"/>
      <c r="Q463" s="996"/>
      <c r="R463" s="996"/>
      <c r="S463" s="996"/>
      <c r="T463" s="996"/>
      <c r="U463" s="996"/>
      <c r="V463" s="996"/>
      <c r="W463" s="606"/>
      <c r="X463" s="996"/>
      <c r="Y463" s="996"/>
      <c r="Z463" s="606">
        <f>'TRẠM 1'!E8</f>
        <v>600</v>
      </c>
      <c r="AA463" s="606">
        <f>46.1*Z463</f>
        <v>27660</v>
      </c>
      <c r="AB463" s="606">
        <f>76.9*Z463</f>
        <v>46140</v>
      </c>
      <c r="AC463" s="606">
        <v>20000</v>
      </c>
      <c r="AD463" s="606"/>
      <c r="AE463" s="606">
        <f>30.7*Z463</f>
        <v>18420</v>
      </c>
      <c r="AF463" s="606"/>
      <c r="AG463" s="606"/>
      <c r="AH463" s="606"/>
      <c r="AI463" s="606">
        <v>20000</v>
      </c>
      <c r="AJ463" s="996"/>
      <c r="AK463" s="996"/>
      <c r="AL463" s="1021"/>
      <c r="AM463" s="831"/>
      <c r="AN463" s="831"/>
      <c r="AP463" s="875"/>
      <c r="AQ463" s="875"/>
      <c r="AR463" s="875"/>
    </row>
    <row r="464" spans="1:44">
      <c r="A464" s="804"/>
      <c r="B464" s="804"/>
      <c r="C464" s="804"/>
      <c r="D464" s="804"/>
      <c r="E464" s="996"/>
      <c r="F464" s="996"/>
      <c r="G464" s="996"/>
      <c r="H464" s="997"/>
      <c r="I464" s="996"/>
      <c r="J464" s="996"/>
      <c r="K464" s="996"/>
      <c r="L464" s="996"/>
      <c r="M464" s="996"/>
      <c r="N464" s="996"/>
      <c r="O464" s="996"/>
      <c r="P464" s="996"/>
      <c r="Q464" s="996"/>
      <c r="R464" s="996"/>
      <c r="S464" s="996"/>
      <c r="T464" s="996"/>
      <c r="U464" s="996"/>
      <c r="V464" s="996"/>
      <c r="W464" s="606"/>
      <c r="X464" s="996"/>
      <c r="Y464" s="996"/>
      <c r="Z464" s="606"/>
      <c r="AA464" s="606" t="e">
        <f>+AA461*AA463</f>
        <v>#N/A</v>
      </c>
      <c r="AB464" s="606" t="e">
        <f t="shared" ref="AB464:AI464" si="107">+AB461*AB463</f>
        <v>#N/A</v>
      </c>
      <c r="AC464" s="606" t="e">
        <f t="shared" si="107"/>
        <v>#N/A</v>
      </c>
      <c r="AD464" s="606">
        <f t="shared" si="107"/>
        <v>0</v>
      </c>
      <c r="AE464" s="606">
        <f t="shared" si="107"/>
        <v>1142040</v>
      </c>
      <c r="AF464" s="606">
        <f t="shared" si="107"/>
        <v>0</v>
      </c>
      <c r="AG464" s="606">
        <f t="shared" si="107"/>
        <v>0</v>
      </c>
      <c r="AH464" s="606">
        <f t="shared" si="107"/>
        <v>0</v>
      </c>
      <c r="AI464" s="606" t="e">
        <f t="shared" si="107"/>
        <v>#N/A</v>
      </c>
      <c r="AJ464" s="996"/>
      <c r="AK464" s="996"/>
      <c r="AL464" s="1021"/>
      <c r="AM464" s="831"/>
      <c r="AN464" s="831"/>
      <c r="AP464" s="875"/>
      <c r="AQ464" s="875"/>
      <c r="AR464" s="875"/>
    </row>
    <row r="465" spans="1:44">
      <c r="A465" s="804"/>
      <c r="B465" s="804"/>
      <c r="C465" s="804"/>
      <c r="D465" s="804"/>
      <c r="E465" s="996"/>
      <c r="F465" s="996"/>
      <c r="G465" s="996"/>
      <c r="H465" s="997"/>
      <c r="I465" s="996"/>
      <c r="J465" s="996"/>
      <c r="K465" s="996"/>
      <c r="L465" s="996"/>
      <c r="M465" s="996"/>
      <c r="N465" s="996"/>
      <c r="O465" s="996"/>
      <c r="P465" s="996"/>
      <c r="Q465" s="996"/>
      <c r="R465" s="996"/>
      <c r="S465" s="996"/>
      <c r="T465" s="996"/>
      <c r="U465" s="996"/>
      <c r="V465" s="996"/>
      <c r="W465" s="606"/>
      <c r="X465" s="996"/>
      <c r="Y465" s="996"/>
      <c r="Z465" s="996"/>
      <c r="AA465" s="996" t="e">
        <f>AA461*30000</f>
        <v>#N/A</v>
      </c>
      <c r="AB465" s="996"/>
      <c r="AC465" s="996"/>
      <c r="AD465" s="996"/>
      <c r="AE465" s="996"/>
      <c r="AF465" s="996"/>
      <c r="AG465" s="996"/>
      <c r="AH465" s="996"/>
      <c r="AI465" s="996"/>
      <c r="AJ465" s="996"/>
      <c r="AK465" s="996"/>
      <c r="AL465" s="1021"/>
      <c r="AM465" s="831"/>
      <c r="AN465" s="831"/>
      <c r="AP465" s="875"/>
      <c r="AQ465" s="875"/>
      <c r="AR465" s="875"/>
    </row>
    <row r="466" spans="1:44">
      <c r="E466" s="801">
        <v>10660</v>
      </c>
      <c r="G466" s="859"/>
      <c r="H466" s="955">
        <v>6996.2759999999998</v>
      </c>
      <c r="I466" s="865"/>
      <c r="L466" s="866"/>
      <c r="M466" s="866"/>
      <c r="S466" s="869"/>
      <c r="T466" s="869"/>
      <c r="U466" s="869"/>
      <c r="V466" s="869"/>
      <c r="W466" s="869" t="e">
        <f>+W461*0.4</f>
        <v>#N/A</v>
      </c>
      <c r="X466" s="870">
        <f>+X461*0.5</f>
        <v>0</v>
      </c>
      <c r="Y466" s="870">
        <f>+Y461*0.5</f>
        <v>0</v>
      </c>
      <c r="AA466" s="831" t="e">
        <f>+AA465-AA464</f>
        <v>#N/A</v>
      </c>
      <c r="AP466" s="875"/>
      <c r="AQ466" s="875"/>
      <c r="AR466" s="875"/>
    </row>
    <row r="467" spans="1:44" s="954" customFormat="1" ht="15" customHeight="1">
      <c r="A467" s="998"/>
      <c r="B467" s="998"/>
      <c r="C467" s="999"/>
      <c r="D467" s="999"/>
      <c r="E467" s="1000"/>
      <c r="F467" s="1000"/>
      <c r="G467" s="1001">
        <f>232/1.25</f>
        <v>185.6</v>
      </c>
      <c r="H467" s="1002">
        <f>249.6+51.2+70.4+753.6+745.6+342.4+64+96+93.6</f>
        <v>2466.4</v>
      </c>
      <c r="I467" s="1008"/>
      <c r="J467" s="1008"/>
      <c r="K467" s="1008">
        <v>2493.13</v>
      </c>
      <c r="L467" s="859">
        <f>435.24+707.84+88.8+496.92+278.4+589.08+571.8+148.48+79.04+73.2</f>
        <v>3468.7999999999997</v>
      </c>
      <c r="M467" s="859">
        <f>36.86+9.6+1537.82+200.26+232.51+36+212.02+330.62+380.06+180.82+130.61+69.12</f>
        <v>3356.3</v>
      </c>
      <c r="N467" s="801">
        <f>23.2+292.2+60.32+73.66+29.58+23.78</f>
        <v>502.74</v>
      </c>
      <c r="O467" s="1009"/>
      <c r="P467" s="1009"/>
      <c r="Q467" s="1009"/>
      <c r="R467" s="1009"/>
      <c r="S467" s="1009">
        <f>SUM(H467:P467)</f>
        <v>12287.37</v>
      </c>
      <c r="T467" s="1012"/>
      <c r="U467" s="1012"/>
      <c r="V467" s="1012"/>
      <c r="W467" s="1013" t="s">
        <v>2084</v>
      </c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3"/>
      <c r="AK467" s="1013"/>
      <c r="AL467" s="1013"/>
    </row>
    <row r="468" spans="1:44">
      <c r="C468" s="798" t="s">
        <v>2085</v>
      </c>
      <c r="D468" s="798"/>
      <c r="E468" s="873"/>
      <c r="F468" s="873"/>
      <c r="G468" s="873"/>
      <c r="H468" s="1003">
        <f>+H461-H467</f>
        <v>4529.8760000000002</v>
      </c>
      <c r="I468" s="873"/>
      <c r="J468" s="873"/>
      <c r="K468" s="873"/>
      <c r="L468" s="873"/>
      <c r="M468" s="873">
        <f>+M467-M461</f>
        <v>3356.3</v>
      </c>
      <c r="N468" s="873"/>
      <c r="O468" s="873"/>
      <c r="P468" s="873"/>
      <c r="Q468" s="873"/>
      <c r="R468" s="873"/>
      <c r="S468" s="873">
        <f>11209.13-S461</f>
        <v>-6543.1459999999988</v>
      </c>
      <c r="T468" s="873"/>
      <c r="U468" s="873"/>
      <c r="V468" s="873"/>
      <c r="W468" s="2575" t="s">
        <v>2086</v>
      </c>
      <c r="X468" s="2575"/>
      <c r="Y468" s="2575"/>
      <c r="Z468" s="2575"/>
      <c r="AA468" s="2575"/>
      <c r="AB468" s="2575"/>
      <c r="AC468" s="2575"/>
      <c r="AD468" s="2575"/>
      <c r="AE468" s="2575"/>
      <c r="AF468" s="2575"/>
      <c r="AG468" s="2575"/>
      <c r="AH468" s="2575"/>
      <c r="AI468" s="2575"/>
      <c r="AJ468" s="2575"/>
      <c r="AK468" s="2575"/>
      <c r="AL468" s="2575"/>
      <c r="AP468" s="876"/>
      <c r="AQ468" s="876"/>
      <c r="AR468" s="876"/>
    </row>
    <row r="469" spans="1:44" ht="15" customHeight="1">
      <c r="E469" s="831">
        <f>+E466-E461</f>
        <v>0</v>
      </c>
      <c r="G469" s="859"/>
      <c r="H469" s="1002">
        <f>+H461-H467</f>
        <v>4529.8760000000002</v>
      </c>
      <c r="I469" s="859"/>
      <c r="J469" s="859"/>
      <c r="K469" s="859"/>
      <c r="L469" s="859"/>
      <c r="M469" s="2576"/>
      <c r="N469" s="2576"/>
      <c r="O469" s="2576"/>
      <c r="P469" s="2576"/>
      <c r="Q469" s="2576"/>
      <c r="R469" s="2576"/>
      <c r="S469" s="2576"/>
      <c r="T469" s="880" t="e">
        <f>T461*$AN$7</f>
        <v>#N/A</v>
      </c>
      <c r="U469" s="880" t="e">
        <f>U461*$AN$7</f>
        <v>#N/A</v>
      </c>
      <c r="V469" s="880" t="e">
        <f>V461*$AN$7</f>
        <v>#N/A</v>
      </c>
      <c r="W469" s="881"/>
      <c r="X469" s="831"/>
      <c r="Y469" s="831"/>
      <c r="Z469" s="831"/>
      <c r="AE469" s="892"/>
      <c r="AG469" s="892"/>
      <c r="AH469" s="892"/>
      <c r="AI469" s="892"/>
      <c r="AJ469" s="892"/>
      <c r="AK469" s="892"/>
    </row>
    <row r="470" spans="1:44">
      <c r="G470" s="1004"/>
      <c r="H470" s="1002"/>
      <c r="I470" s="1010"/>
      <c r="L470" s="859"/>
      <c r="M470" s="859"/>
      <c r="S470" s="880"/>
      <c r="T470" s="880"/>
      <c r="U470" s="880"/>
      <c r="V470" s="880"/>
      <c r="W470" s="831">
        <f>+'sản lượng'!AK170</f>
        <v>516429</v>
      </c>
      <c r="X470" s="801">
        <f>+X461*0.5</f>
        <v>0</v>
      </c>
      <c r="Z470" s="977"/>
      <c r="AA470" s="882"/>
      <c r="AB470" s="882"/>
      <c r="AC470" s="882"/>
      <c r="AD470" s="882"/>
      <c r="AE470" s="882"/>
      <c r="AF470" s="882"/>
      <c r="AG470" s="882"/>
      <c r="AH470" s="882"/>
      <c r="AI470" s="882"/>
      <c r="AJ470" s="882"/>
      <c r="AK470" s="882"/>
    </row>
    <row r="471" spans="1:44">
      <c r="C471" s="866"/>
      <c r="G471" s="831"/>
      <c r="H471" s="1005"/>
      <c r="I471" s="1011"/>
      <c r="L471" s="859"/>
      <c r="M471" s="859"/>
      <c r="S471" s="880"/>
      <c r="T471" s="880"/>
      <c r="U471" s="880"/>
      <c r="V471" s="880"/>
      <c r="W471" s="882" t="e">
        <f>+W470-W461</f>
        <v>#N/A</v>
      </c>
      <c r="X471" s="831"/>
      <c r="Y471" s="831"/>
      <c r="AE471" s="801">
        <f>13046+487</f>
        <v>13533</v>
      </c>
    </row>
    <row r="472" spans="1:44">
      <c r="E472" s="859"/>
      <c r="F472" s="859"/>
      <c r="H472" s="1006"/>
      <c r="J472" s="1011"/>
      <c r="L472" s="859"/>
      <c r="M472" s="859"/>
      <c r="S472" s="859"/>
      <c r="T472" s="859"/>
      <c r="U472" s="859"/>
      <c r="V472" s="859"/>
      <c r="W472" s="883"/>
      <c r="X472" s="831"/>
      <c r="Y472" s="831"/>
      <c r="Z472" s="859"/>
    </row>
    <row r="473" spans="1:44" ht="15">
      <c r="G473" s="866"/>
      <c r="I473" s="866"/>
      <c r="J473" s="866"/>
      <c r="K473" s="866"/>
      <c r="L473" s="859"/>
      <c r="M473" s="859"/>
      <c r="N473" s="859"/>
      <c r="O473" s="859"/>
      <c r="P473" s="859"/>
      <c r="Q473" s="859"/>
      <c r="R473" s="859"/>
      <c r="S473" s="1014">
        <f>17477.12-S10</f>
        <v>-275.15599999999904</v>
      </c>
      <c r="T473" s="865"/>
      <c r="U473" s="865"/>
      <c r="V473" s="865"/>
      <c r="W473" s="884"/>
      <c r="X473" s="884"/>
      <c r="Y473" s="884"/>
      <c r="Z473" s="96"/>
      <c r="AA473" s="1061">
        <v>4330</v>
      </c>
      <c r="AB473" s="1215">
        <v>779</v>
      </c>
      <c r="AC473" s="1215">
        <v>0</v>
      </c>
      <c r="AD473" s="1215">
        <v>0</v>
      </c>
      <c r="AE473" s="1215">
        <v>0</v>
      </c>
      <c r="AF473" s="1215">
        <v>0</v>
      </c>
      <c r="AG473" s="1215">
        <v>62</v>
      </c>
      <c r="AH473" s="1215">
        <v>42</v>
      </c>
      <c r="AI473" s="1215">
        <v>280</v>
      </c>
      <c r="AJ473" s="1215">
        <v>8540</v>
      </c>
      <c r="AK473" s="1212"/>
      <c r="AL473" s="580">
        <v>391380220</v>
      </c>
    </row>
    <row r="474" spans="1:44" ht="15">
      <c r="C474" s="632"/>
      <c r="D474" s="632"/>
      <c r="E474" s="632"/>
      <c r="F474" s="632"/>
      <c r="G474" s="632"/>
      <c r="H474" s="1007"/>
      <c r="I474" s="632"/>
      <c r="J474" s="632"/>
      <c r="L474" s="890"/>
      <c r="M474" s="890"/>
      <c r="N474" s="890"/>
      <c r="O474" s="890"/>
      <c r="P474" s="890"/>
      <c r="Q474" s="890"/>
      <c r="R474" s="890"/>
      <c r="T474" s="865"/>
      <c r="U474" s="865"/>
      <c r="V474" s="1015" t="s">
        <v>2087</v>
      </c>
      <c r="W474" s="1016">
        <v>311</v>
      </c>
      <c r="X474" s="1017" t="e">
        <f>+Z461/1000/W474*100</f>
        <v>#N/A</v>
      </c>
      <c r="Y474" s="890"/>
      <c r="Z474" s="1214">
        <v>655.8</v>
      </c>
      <c r="AA474" s="606">
        <f>46.1*Z474</f>
        <v>30232.379999999997</v>
      </c>
      <c r="AB474" s="606">
        <f>76.9*Z474</f>
        <v>50431.02</v>
      </c>
      <c r="AC474" s="606">
        <v>20000</v>
      </c>
      <c r="AD474" s="606"/>
      <c r="AE474" s="606">
        <f>30.7*Z474</f>
        <v>20133.059999999998</v>
      </c>
      <c r="AF474" s="606"/>
      <c r="AG474" s="606">
        <f>30.7*Z474</f>
        <v>20133.059999999998</v>
      </c>
      <c r="AH474" s="606">
        <v>20000</v>
      </c>
      <c r="AI474" s="606">
        <v>20000</v>
      </c>
      <c r="AJ474" s="613">
        <v>25000</v>
      </c>
      <c r="AK474" s="613"/>
      <c r="AL474" s="1209"/>
    </row>
    <row r="475" spans="1:44" ht="15">
      <c r="L475" s="859"/>
      <c r="M475" s="859"/>
      <c r="N475" s="859"/>
      <c r="O475" s="859"/>
      <c r="P475" s="859"/>
      <c r="Q475" s="859"/>
      <c r="R475" s="859"/>
      <c r="S475" s="859">
        <f>+S461/W475</f>
        <v>1.1967724320556361</v>
      </c>
      <c r="T475" s="859"/>
      <c r="U475" s="859"/>
      <c r="V475" s="1015" t="s">
        <v>2088</v>
      </c>
      <c r="W475" s="1018">
        <f>3091.67+11741.79</f>
        <v>14833.460000000001</v>
      </c>
      <c r="X475" s="1019">
        <f>+S461/W475*100</f>
        <v>119.67724320556361</v>
      </c>
      <c r="Y475" s="894"/>
      <c r="Z475" s="96"/>
      <c r="AA475" s="1216">
        <f t="shared" ref="AA475:AK475" si="108">+AA473*AA474</f>
        <v>130906205.39999999</v>
      </c>
      <c r="AB475" s="1216">
        <f t="shared" si="108"/>
        <v>39285764.579999998</v>
      </c>
      <c r="AC475" s="1216">
        <f t="shared" si="108"/>
        <v>0</v>
      </c>
      <c r="AD475" s="1216">
        <f t="shared" si="108"/>
        <v>0</v>
      </c>
      <c r="AE475" s="1216">
        <f t="shared" si="108"/>
        <v>0</v>
      </c>
      <c r="AF475" s="1216">
        <f t="shared" si="108"/>
        <v>0</v>
      </c>
      <c r="AG475" s="1216">
        <f t="shared" si="108"/>
        <v>1248249.7199999997</v>
      </c>
      <c r="AH475" s="1216">
        <f t="shared" si="108"/>
        <v>840000</v>
      </c>
      <c r="AI475" s="1216">
        <f t="shared" si="108"/>
        <v>5600000</v>
      </c>
      <c r="AJ475" s="1216">
        <f t="shared" si="108"/>
        <v>213500000</v>
      </c>
      <c r="AK475" s="1216">
        <f t="shared" si="108"/>
        <v>0</v>
      </c>
      <c r="AL475" s="1217">
        <f>SUM(AA475:AK475)</f>
        <v>391380219.69999999</v>
      </c>
    </row>
    <row r="476" spans="1:44" ht="15">
      <c r="L476" s="859"/>
      <c r="M476" s="859"/>
      <c r="N476" s="859"/>
      <c r="O476" s="859"/>
      <c r="P476" s="859"/>
      <c r="Q476" s="859"/>
      <c r="R476" s="859"/>
      <c r="S476" s="859"/>
      <c r="T476" s="859"/>
      <c r="U476" s="859"/>
      <c r="V476" s="859"/>
      <c r="X476" s="890"/>
      <c r="Y476" s="890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6">
        <f>+AL475-AL473</f>
        <v>-0.30000001192092896</v>
      </c>
    </row>
    <row r="477" spans="1:44">
      <c r="L477" s="859"/>
      <c r="M477" s="859"/>
      <c r="N477" s="859"/>
      <c r="O477" s="859"/>
      <c r="P477" s="859"/>
      <c r="Q477" s="859"/>
      <c r="R477" s="859"/>
      <c r="S477" s="859">
        <f>+S460-'[2]BCSX T10'!$P$64</f>
        <v>-6669.9059999999999</v>
      </c>
      <c r="T477" s="859"/>
      <c r="U477" s="859"/>
      <c r="V477" s="859"/>
      <c r="Y477" s="890"/>
      <c r="AA477" s="801">
        <f>129+173+8</f>
        <v>310</v>
      </c>
    </row>
    <row r="478" spans="1:44">
      <c r="G478" s="859"/>
      <c r="L478" s="859"/>
      <c r="M478" s="859"/>
      <c r="N478" s="859"/>
      <c r="O478" s="859"/>
      <c r="P478" s="859"/>
      <c r="Q478" s="859"/>
      <c r="R478" s="859"/>
      <c r="S478" s="859">
        <f>SUM('[2]BCSX T10'!$M$32:$M$49,'[2]BCSX T10'!$M$57,'[2]BCSX T10'!$M$60:$M$61,'[2]BCSX T10'!$M$66,'[2]BCSX T10'!$M$68,'[2]BCSX T10'!$M$70)</f>
        <v>6428.3459999999995</v>
      </c>
      <c r="T478" s="859"/>
      <c r="U478" s="859"/>
      <c r="V478" s="859"/>
      <c r="X478" s="890"/>
      <c r="Y478" s="890"/>
      <c r="Z478" s="859"/>
      <c r="AA478" s="801">
        <f>+AA477*9</f>
        <v>2790</v>
      </c>
    </row>
    <row r="479" spans="1:44">
      <c r="G479" s="2577"/>
      <c r="H479" s="2577"/>
      <c r="I479" s="866"/>
      <c r="L479" s="859"/>
      <c r="M479" s="859"/>
      <c r="N479" s="859"/>
      <c r="O479" s="859"/>
      <c r="P479" s="859"/>
      <c r="Q479" s="859"/>
      <c r="R479" s="859"/>
      <c r="S479" s="859"/>
      <c r="T479" s="859"/>
      <c r="U479" s="859"/>
      <c r="V479" s="859"/>
      <c r="X479" s="859"/>
      <c r="Y479" s="859"/>
    </row>
    <row r="480" spans="1:44">
      <c r="E480" s="831"/>
      <c r="F480" s="831"/>
      <c r="H480" s="1002"/>
      <c r="O480" s="831">
        <f>+E10+F10+H10+L10+O10</f>
        <v>17672.275999999998</v>
      </c>
    </row>
    <row r="481" spans="7:26">
      <c r="G481" s="866"/>
      <c r="O481" s="831">
        <f>+O480-17477.12</f>
        <v>195.15599999999904</v>
      </c>
    </row>
    <row r="491" spans="7:26">
      <c r="Z491" s="846" t="s">
        <v>331</v>
      </c>
    </row>
    <row r="492" spans="7:26">
      <c r="Z492" s="846" t="s">
        <v>332</v>
      </c>
    </row>
    <row r="493" spans="7:26">
      <c r="Z493" s="846" t="s">
        <v>333</v>
      </c>
    </row>
    <row r="494" spans="7:26">
      <c r="Z494" s="846" t="s">
        <v>334</v>
      </c>
    </row>
    <row r="495" spans="7:26">
      <c r="Z495" s="846" t="s">
        <v>335</v>
      </c>
    </row>
    <row r="496" spans="7:26">
      <c r="Z496" s="846" t="s">
        <v>336</v>
      </c>
    </row>
    <row r="497" spans="23:26">
      <c r="Z497" s="846" t="s">
        <v>337</v>
      </c>
    </row>
    <row r="498" spans="23:26">
      <c r="Z498" s="846" t="s">
        <v>338</v>
      </c>
    </row>
    <row r="499" spans="23:26">
      <c r="Z499" s="846" t="s">
        <v>339</v>
      </c>
    </row>
    <row r="500" spans="23:26">
      <c r="Z500" s="846" t="s">
        <v>340</v>
      </c>
    </row>
    <row r="501" spans="23:26">
      <c r="Z501" s="846" t="s">
        <v>341</v>
      </c>
    </row>
    <row r="502" spans="23:26">
      <c r="W502" s="866"/>
      <c r="Z502" s="846" t="s">
        <v>342</v>
      </c>
    </row>
    <row r="503" spans="23:26">
      <c r="Z503" s="846" t="s">
        <v>343</v>
      </c>
    </row>
    <row r="504" spans="23:26">
      <c r="Z504" s="846" t="s">
        <v>344</v>
      </c>
    </row>
    <row r="505" spans="23:26">
      <c r="Z505" s="846" t="s">
        <v>345</v>
      </c>
    </row>
    <row r="506" spans="23:26">
      <c r="Z506" s="801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1" width="19.5703125" style="898" customWidth="1"/>
    <col min="12" max="12" width="19.42578125" style="898" customWidth="1"/>
    <col min="13" max="13" width="14.5703125" style="898" customWidth="1"/>
    <col min="14" max="15" width="13.7109375" style="898" customWidth="1"/>
    <col min="16" max="16" width="10.710937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6" ht="12" customHeight="1">
      <c r="A1" s="2361" t="s">
        <v>354</v>
      </c>
      <c r="B1" s="2361"/>
      <c r="C1" s="2361"/>
      <c r="D1" s="2361"/>
      <c r="E1" s="2361"/>
      <c r="F1" s="2361"/>
      <c r="G1" s="2361"/>
      <c r="H1" s="2361"/>
      <c r="I1" s="2361"/>
      <c r="J1" s="2361"/>
    </row>
    <row r="2" spans="1:16" ht="15" customHeight="1">
      <c r="A2" s="2360" t="str">
        <f>$K$2</f>
        <v>THÁNG 04/2025</v>
      </c>
      <c r="B2" s="2360"/>
      <c r="C2" s="2360"/>
      <c r="D2" s="2360"/>
      <c r="E2" s="903"/>
      <c r="F2" s="904"/>
      <c r="G2" s="2360" t="str">
        <f>$K$2</f>
        <v>THÁNG 04/2025</v>
      </c>
      <c r="H2" s="2360"/>
      <c r="I2" s="2360"/>
      <c r="J2" s="2360"/>
      <c r="K2" s="276" t="s">
        <v>2089</v>
      </c>
    </row>
    <row r="3" spans="1:16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2">
        <f>'LƯƠNG KT'!F8</f>
        <v>600</v>
      </c>
      <c r="M3" s="933"/>
      <c r="N3" s="933"/>
      <c r="O3" s="933"/>
    </row>
    <row r="4" spans="1:16" ht="15" customHeight="1">
      <c r="A4" s="908" t="s">
        <v>359</v>
      </c>
      <c r="B4" s="909" t="s">
        <v>2090</v>
      </c>
      <c r="C4" s="910" t="e">
        <f>VLOOKUP(B3,'LƯƠNG KT'!$D$16:$Z$184,4,0)</f>
        <v>#N/A</v>
      </c>
      <c r="D4" s="609" t="e">
        <f>+C4*25000</f>
        <v>#N/A</v>
      </c>
      <c r="E4" s="911"/>
      <c r="F4" s="911"/>
      <c r="G4" s="908" t="s">
        <v>359</v>
      </c>
      <c r="H4" s="909" t="s">
        <v>2090</v>
      </c>
      <c r="I4" s="910" t="e">
        <f>VLOOKUP(H3,'LƯƠNG KT'!$D$16:$Z$184,4,0)</f>
        <v>#N/A</v>
      </c>
      <c r="J4" s="609" t="e">
        <f>+I4*25000</f>
        <v>#N/A</v>
      </c>
      <c r="K4" s="934" t="s">
        <v>361</v>
      </c>
      <c r="L4" s="935">
        <f>46.1*L3</f>
        <v>27660</v>
      </c>
      <c r="M4" s="936" t="s">
        <v>2013</v>
      </c>
      <c r="N4" s="937">
        <f>P4/O4</f>
        <v>0.40802589501655984</v>
      </c>
      <c r="O4" s="936">
        <v>46776</v>
      </c>
      <c r="P4" s="546">
        <v>19085.819265294602</v>
      </c>
    </row>
    <row r="5" spans="1:16" ht="15" customHeight="1">
      <c r="A5" s="908" t="s">
        <v>361</v>
      </c>
      <c r="B5" s="909" t="s">
        <v>2091</v>
      </c>
      <c r="C5" s="910" t="e">
        <f>VLOOKUP(B3,'LƯƠNG KT'!$D$16:$Z$184,15,0)</f>
        <v>#N/A</v>
      </c>
      <c r="D5" s="609" t="e">
        <f>C5*$L$4</f>
        <v>#N/A</v>
      </c>
      <c r="E5" s="912"/>
      <c r="F5" s="912"/>
      <c r="G5" s="908" t="s">
        <v>361</v>
      </c>
      <c r="H5" s="909" t="s">
        <v>2091</v>
      </c>
      <c r="I5" s="910" t="e">
        <f>VLOOKUP(H3,'LƯƠNG KT'!$D$16:$Z$184,15,0)</f>
        <v>#N/A</v>
      </c>
      <c r="J5" s="609" t="e">
        <f>I5*$L$4</f>
        <v>#N/A</v>
      </c>
      <c r="K5" s="934" t="s">
        <v>363</v>
      </c>
      <c r="L5" s="935">
        <f>76.9*L3</f>
        <v>46140</v>
      </c>
      <c r="M5" s="936" t="s">
        <v>2014</v>
      </c>
      <c r="N5" s="937">
        <f t="shared" ref="N5:N12" si="0">P5/O5</f>
        <v>0.40706759165411632</v>
      </c>
      <c r="O5" s="936">
        <v>60503</v>
      </c>
      <c r="P5" s="546">
        <v>24628.810497849001</v>
      </c>
    </row>
    <row r="6" spans="1:16" ht="15" customHeight="1">
      <c r="A6" s="908" t="s">
        <v>364</v>
      </c>
      <c r="B6" s="909" t="s">
        <v>2092</v>
      </c>
      <c r="C6" s="910" t="e">
        <f>VLOOKUP(B3,'LƯƠNG KT'!$D$16:$Z$184,16,0)</f>
        <v>#N/A</v>
      </c>
      <c r="D6" s="609" t="e">
        <f>C6*$L$5</f>
        <v>#N/A</v>
      </c>
      <c r="E6" s="912"/>
      <c r="F6" s="912"/>
      <c r="G6" s="908" t="s">
        <v>364</v>
      </c>
      <c r="H6" s="909" t="s">
        <v>2092</v>
      </c>
      <c r="I6" s="910" t="e">
        <f>VLOOKUP(H3,'LƯƠNG KT'!$D$16:$Z$184,16,0)</f>
        <v>#N/A</v>
      </c>
      <c r="J6" s="609" t="e">
        <f>I6*$L$5</f>
        <v>#N/A</v>
      </c>
      <c r="K6" s="934" t="s">
        <v>370</v>
      </c>
      <c r="L6" s="935">
        <v>30000</v>
      </c>
      <c r="M6" s="546" t="s">
        <v>2015</v>
      </c>
      <c r="N6" s="937">
        <f t="shared" si="0"/>
        <v>0.41834962270139836</v>
      </c>
      <c r="O6" s="546">
        <v>138596</v>
      </c>
      <c r="P6" s="546">
        <v>57981.584307923004</v>
      </c>
    </row>
    <row r="7" spans="1:16" ht="15" customHeight="1">
      <c r="A7" s="908" t="s">
        <v>370</v>
      </c>
      <c r="B7" s="909" t="s">
        <v>2093</v>
      </c>
      <c r="C7" s="910" t="e">
        <f>VLOOKUP(B3,'LƯƠNG KT'!$D$16:$Z$184,24,0)</f>
        <v>#N/A</v>
      </c>
      <c r="D7" s="609" t="e">
        <f>+C7*$L$6</f>
        <v>#N/A</v>
      </c>
      <c r="E7" s="912"/>
      <c r="F7" s="912"/>
      <c r="G7" s="908" t="s">
        <v>370</v>
      </c>
      <c r="H7" s="909" t="s">
        <v>2093</v>
      </c>
      <c r="I7" s="910" t="e">
        <f>VLOOKUP(H3,'LƯƠNG KT'!$D$16:$Z$184,24,0)</f>
        <v>#N/A</v>
      </c>
      <c r="J7" s="609" t="e">
        <f>+I7*$L$6</f>
        <v>#N/A</v>
      </c>
      <c r="K7" s="934" t="s">
        <v>368</v>
      </c>
      <c r="L7" s="935">
        <f>30.7*L3</f>
        <v>18420</v>
      </c>
      <c r="M7" s="936" t="s">
        <v>2016</v>
      </c>
      <c r="N7" s="937">
        <f t="shared" si="0"/>
        <v>0.40446565428761455</v>
      </c>
      <c r="O7" s="936">
        <v>146632</v>
      </c>
      <c r="P7" s="546">
        <v>59307.6078195015</v>
      </c>
    </row>
    <row r="8" spans="1:16" ht="15" customHeight="1">
      <c r="A8" s="908" t="s">
        <v>2094</v>
      </c>
      <c r="B8" s="909" t="s">
        <v>2095</v>
      </c>
      <c r="C8" s="910" t="e">
        <f>VLOOKUP(B3,'LƯƠNG KT'!$D$16:$Z$184,19,0)</f>
        <v>#N/A</v>
      </c>
      <c r="D8" s="609" t="e">
        <f>+C8*$L$8</f>
        <v>#N/A</v>
      </c>
      <c r="E8" s="912"/>
      <c r="F8" s="912"/>
      <c r="G8" s="908" t="s">
        <v>2094</v>
      </c>
      <c r="H8" s="909" t="s">
        <v>2095</v>
      </c>
      <c r="I8" s="910" t="e">
        <f>VLOOKUP(H3,'LƯƠNG KT'!$D$16:$Z$184,19,0)</f>
        <v>#N/A</v>
      </c>
      <c r="J8" s="609" t="e">
        <f>+I8*$L$8</f>
        <v>#N/A</v>
      </c>
      <c r="K8" s="934" t="s">
        <v>2094</v>
      </c>
      <c r="L8" s="935">
        <f>92.2*$L$3</f>
        <v>55320</v>
      </c>
      <c r="M8" s="936" t="s">
        <v>2017</v>
      </c>
      <c r="N8" s="937">
        <f t="shared" si="0"/>
        <v>0.43283653003514416</v>
      </c>
      <c r="O8" s="936">
        <v>110687</v>
      </c>
      <c r="P8" s="546">
        <v>47909.377</v>
      </c>
    </row>
    <row r="9" spans="1:16" ht="15" customHeight="1">
      <c r="A9" s="908" t="s">
        <v>2096</v>
      </c>
      <c r="B9" s="913" t="s">
        <v>2097</v>
      </c>
      <c r="C9" s="910" t="e">
        <f>VLOOKUP(B3,'LƯƠNG KT'!$D$16:$Z$184,20,0)</f>
        <v>#N/A</v>
      </c>
      <c r="D9" s="609" t="e">
        <f>+C9*$L$9</f>
        <v>#N/A</v>
      </c>
      <c r="E9" s="912"/>
      <c r="F9" s="912"/>
      <c r="G9" s="908" t="s">
        <v>2096</v>
      </c>
      <c r="H9" s="913" t="s">
        <v>2097</v>
      </c>
      <c r="I9" s="910" t="e">
        <f>VLOOKUP(H3,'LƯƠNG KT'!$D$16:$Z$184,20,0)</f>
        <v>#N/A</v>
      </c>
      <c r="J9" s="609" t="e">
        <f>+I9*$L$9</f>
        <v>#N/A</v>
      </c>
      <c r="K9" s="934" t="s">
        <v>2098</v>
      </c>
      <c r="L9" s="935">
        <f>76.9*2*L3</f>
        <v>92280</v>
      </c>
      <c r="M9" s="936" t="s">
        <v>2018</v>
      </c>
      <c r="N9" s="937">
        <f t="shared" si="0"/>
        <v>0.39774417626914049</v>
      </c>
      <c r="O9" s="936">
        <v>144095</v>
      </c>
      <c r="P9" s="546">
        <v>57312.947079501799</v>
      </c>
    </row>
    <row r="10" spans="1:16" ht="15" customHeight="1">
      <c r="A10" s="908" t="s">
        <v>2099</v>
      </c>
      <c r="B10" s="909" t="s">
        <v>2100</v>
      </c>
      <c r="C10" s="910" t="e">
        <f>VLOOKUP(B3,'LƯƠNG KT'!$D$16:$Z$184,17,0)</f>
        <v>#N/A</v>
      </c>
      <c r="D10" s="609" t="e">
        <f>+C10*$L$10</f>
        <v>#N/A</v>
      </c>
      <c r="E10" s="912"/>
      <c r="F10" s="912"/>
      <c r="G10" s="908" t="s">
        <v>2099</v>
      </c>
      <c r="H10" s="909" t="s">
        <v>2100</v>
      </c>
      <c r="I10" s="910" t="e">
        <f>VLOOKUP(H3,'LƯƠNG KT'!$D$16:$Z$184,17,0)</f>
        <v>#N/A</v>
      </c>
      <c r="J10" s="609" t="e">
        <f>+I10*$L$10</f>
        <v>#N/A</v>
      </c>
      <c r="K10" s="934" t="s">
        <v>2101</v>
      </c>
      <c r="L10" s="935">
        <v>10000</v>
      </c>
      <c r="M10" s="937" t="s">
        <v>2019</v>
      </c>
      <c r="N10" s="937">
        <f t="shared" si="0"/>
        <v>0.4077808473101005</v>
      </c>
      <c r="O10" s="936">
        <v>9853</v>
      </c>
      <c r="P10" s="546">
        <v>4017.86468854642</v>
      </c>
    </row>
    <row r="11" spans="1:16" ht="15" customHeight="1">
      <c r="A11" s="908" t="s">
        <v>374</v>
      </c>
      <c r="B11" s="909" t="s">
        <v>2102</v>
      </c>
      <c r="C11" s="910" t="e">
        <f>VLOOKUP(B3,'LƯƠNG KT'!$D$16:$Z$184,12,0)</f>
        <v>#N/A</v>
      </c>
      <c r="D11" s="609" t="e">
        <f>VLOOKUP(B3,'LƯƠNG KT'!$D$16:$Z$184,14,0)</f>
        <v>#N/A</v>
      </c>
      <c r="E11" s="914"/>
      <c r="F11" s="912"/>
      <c r="G11" s="908" t="s">
        <v>374</v>
      </c>
      <c r="H11" s="909" t="s">
        <v>2102</v>
      </c>
      <c r="I11" s="910" t="e">
        <f>VLOOKUP(H3,'LƯƠNG KT'!$D$16:$Z$184,12,0)</f>
        <v>#N/A</v>
      </c>
      <c r="J11" s="609" t="e">
        <f>VLOOKUP(H3,'LƯƠNG KT'!$D$16:$Z$184,14,0)</f>
        <v>#N/A</v>
      </c>
      <c r="K11" s="934" t="s">
        <v>376</v>
      </c>
      <c r="L11" s="937">
        <v>0.45169613116931301</v>
      </c>
      <c r="M11" s="937" t="s">
        <v>2020</v>
      </c>
      <c r="N11" s="937">
        <f t="shared" si="0"/>
        <v>0.42452995100251811</v>
      </c>
      <c r="O11" s="936">
        <v>11207</v>
      </c>
      <c r="P11" s="546">
        <v>4757.7071608852202</v>
      </c>
    </row>
    <row r="12" spans="1:16" ht="15" customHeight="1">
      <c r="A12" s="908" t="s">
        <v>2103</v>
      </c>
      <c r="B12" s="909" t="s">
        <v>2104</v>
      </c>
      <c r="D12" s="915" t="e">
        <f>VLOOKUP(B3,'LƯƠNG KT'!$D$16:$Z$184,13,0)</f>
        <v>#N/A</v>
      </c>
      <c r="E12" s="916"/>
      <c r="F12" s="916"/>
      <c r="G12" s="908" t="s">
        <v>2103</v>
      </c>
      <c r="H12" s="909" t="s">
        <v>2104</v>
      </c>
      <c r="J12" s="915" t="e">
        <f>VLOOKUP(H3,'LƯƠNG KT'!$D$16:$Z$184,13,0)</f>
        <v>#N/A</v>
      </c>
      <c r="M12" s="546" t="s">
        <v>2021</v>
      </c>
      <c r="N12" s="937">
        <f t="shared" si="0"/>
        <v>0.3903806119531027</v>
      </c>
      <c r="O12" s="546">
        <v>24479</v>
      </c>
      <c r="P12" s="546">
        <v>9556.1270000000004</v>
      </c>
    </row>
    <row r="13" spans="1:16" ht="15" customHeight="1">
      <c r="A13" s="547"/>
      <c r="B13" s="546"/>
      <c r="C13" s="910"/>
      <c r="D13" s="609"/>
      <c r="E13" s="914"/>
      <c r="F13" s="916"/>
      <c r="G13" s="547"/>
      <c r="H13" s="546"/>
      <c r="I13" s="910"/>
      <c r="J13" s="609"/>
    </row>
    <row r="14" spans="1:16" ht="15" customHeight="1">
      <c r="A14" s="905"/>
      <c r="B14" s="546"/>
      <c r="C14" s="910"/>
      <c r="D14" s="609"/>
      <c r="E14" s="917"/>
      <c r="F14" s="904"/>
      <c r="G14" s="905"/>
      <c r="H14" s="546"/>
      <c r="I14" s="910"/>
      <c r="J14" s="609"/>
      <c r="K14" s="909" t="s">
        <v>2105</v>
      </c>
      <c r="L14" s="909" t="s">
        <v>2106</v>
      </c>
    </row>
    <row r="15" spans="1:16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  <c r="K15" s="908" t="s">
        <v>356</v>
      </c>
      <c r="L15" s="909" t="s">
        <v>2107</v>
      </c>
    </row>
    <row r="16" spans="1:16" ht="18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K16" s="908" t="s">
        <v>359</v>
      </c>
      <c r="L16" s="909" t="s">
        <v>2090</v>
      </c>
      <c r="M16" s="898" t="s">
        <v>370</v>
      </c>
    </row>
    <row r="17" spans="1:15" ht="18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  <c r="K17" s="908" t="s">
        <v>361</v>
      </c>
      <c r="L17" s="909" t="s">
        <v>2091</v>
      </c>
    </row>
    <row r="18" spans="1:15" ht="15" customHeight="1">
      <c r="A18" s="2360" t="str">
        <f>$K$2</f>
        <v>THÁNG 04/2025</v>
      </c>
      <c r="B18" s="2360"/>
      <c r="C18" s="2360"/>
      <c r="D18" s="2360"/>
      <c r="E18" s="903"/>
      <c r="F18" s="904"/>
      <c r="G18" s="2360" t="str">
        <f>$K$2</f>
        <v>THÁNG 04/2025</v>
      </c>
      <c r="H18" s="2360"/>
      <c r="I18" s="2360"/>
      <c r="J18" s="2360"/>
      <c r="K18" s="908" t="s">
        <v>364</v>
      </c>
      <c r="L18" s="909" t="s">
        <v>2092</v>
      </c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1936</v>
      </c>
      <c r="I19" s="546"/>
      <c r="J19" s="902"/>
      <c r="K19" s="908" t="s">
        <v>370</v>
      </c>
      <c r="L19" s="909" t="s">
        <v>2093</v>
      </c>
      <c r="M19" s="938"/>
      <c r="N19" s="938"/>
      <c r="O19" s="938"/>
    </row>
    <row r="20" spans="1:15" ht="15" customHeight="1">
      <c r="A20" s="908" t="s">
        <v>359</v>
      </c>
      <c r="B20" s="909" t="s">
        <v>2090</v>
      </c>
      <c r="C20" s="910" t="e">
        <f>VLOOKUP(B19,'LƯƠNG KT'!$D$16:$Z$184,4,0)</f>
        <v>#N/A</v>
      </c>
      <c r="D20" s="609" t="e">
        <f>+C20*25000</f>
        <v>#N/A</v>
      </c>
      <c r="E20" s="911"/>
      <c r="F20" s="911"/>
      <c r="G20" s="908" t="s">
        <v>359</v>
      </c>
      <c r="H20" s="909" t="s">
        <v>2090</v>
      </c>
      <c r="I20" s="910" t="e">
        <f>VLOOKUP(H19,'LƯƠNG KT'!$D$16:$Z$184,4,0)</f>
        <v>#N/A</v>
      </c>
      <c r="J20" s="609" t="e">
        <f>+I20*25000</f>
        <v>#N/A</v>
      </c>
      <c r="K20" s="908" t="s">
        <v>2094</v>
      </c>
      <c r="L20" s="909" t="s">
        <v>2095</v>
      </c>
      <c r="M20" s="935"/>
      <c r="N20" s="935"/>
      <c r="O20" s="935"/>
    </row>
    <row r="21" spans="1:15" ht="15" customHeight="1">
      <c r="A21" s="908" t="s">
        <v>361</v>
      </c>
      <c r="B21" s="909" t="s">
        <v>2091</v>
      </c>
      <c r="C21" s="910" t="e">
        <f>VLOOKUP(B19,'LƯƠNG KT'!$D$16:$Z$184,15,0)</f>
        <v>#N/A</v>
      </c>
      <c r="D21" s="609" t="e">
        <f>C21*$L$4</f>
        <v>#N/A</v>
      </c>
      <c r="E21" s="912"/>
      <c r="F21" s="912"/>
      <c r="G21" s="908" t="s">
        <v>361</v>
      </c>
      <c r="H21" s="909" t="s">
        <v>2091</v>
      </c>
      <c r="I21" s="910" t="e">
        <f>VLOOKUP(H19,'LƯƠNG KT'!$D$16:$Z$184,15,0)</f>
        <v>#N/A</v>
      </c>
      <c r="J21" s="609" t="e">
        <f>I21*$L$4</f>
        <v>#N/A</v>
      </c>
      <c r="K21" s="908" t="s">
        <v>2108</v>
      </c>
      <c r="L21" s="909" t="s">
        <v>2097</v>
      </c>
      <c r="M21" s="935"/>
      <c r="N21" s="935"/>
      <c r="O21" s="935"/>
    </row>
    <row r="22" spans="1:15" ht="15" customHeight="1">
      <c r="A22" s="908" t="s">
        <v>364</v>
      </c>
      <c r="B22" s="909" t="s">
        <v>2092</v>
      </c>
      <c r="C22" s="910" t="e">
        <f>VLOOKUP(B19,'LƯƠNG KT'!$D$16:$Z$184,16,0)</f>
        <v>#N/A</v>
      </c>
      <c r="D22" s="609" t="e">
        <f>C22*$L$5</f>
        <v>#N/A</v>
      </c>
      <c r="E22" s="912"/>
      <c r="F22" s="912"/>
      <c r="G22" s="908" t="s">
        <v>364</v>
      </c>
      <c r="H22" s="909" t="s">
        <v>2092</v>
      </c>
      <c r="I22" s="910" t="e">
        <f>VLOOKUP(H19,'LƯƠNG KT'!$D$16:$Z$184,16,0)</f>
        <v>#N/A</v>
      </c>
      <c r="J22" s="609" t="e">
        <f>I22*$L$5</f>
        <v>#N/A</v>
      </c>
      <c r="K22" s="908" t="s">
        <v>2099</v>
      </c>
      <c r="L22" s="909" t="s">
        <v>2100</v>
      </c>
      <c r="M22" s="935"/>
      <c r="N22" s="935"/>
      <c r="O22" s="935"/>
    </row>
    <row r="23" spans="1:15" ht="15" customHeight="1">
      <c r="A23" s="908" t="s">
        <v>370</v>
      </c>
      <c r="B23" s="909" t="s">
        <v>2093</v>
      </c>
      <c r="C23" s="910" t="e">
        <f>VLOOKUP(B19,'LƯƠNG KT'!$D$16:$Z$184,24,0)</f>
        <v>#N/A</v>
      </c>
      <c r="D23" s="609" t="e">
        <f>+C23*$L$6</f>
        <v>#N/A</v>
      </c>
      <c r="E23" s="912"/>
      <c r="F23" s="912"/>
      <c r="G23" s="908" t="s">
        <v>370</v>
      </c>
      <c r="H23" s="909" t="s">
        <v>2093</v>
      </c>
      <c r="I23" s="910" t="e">
        <f>VLOOKUP(H19,'LƯƠNG KT'!$D$16:$Z$184,24,0)</f>
        <v>#N/A</v>
      </c>
      <c r="J23" s="609" t="e">
        <f>+I23*$L$6</f>
        <v>#N/A</v>
      </c>
      <c r="K23" s="908" t="s">
        <v>2109</v>
      </c>
      <c r="L23" s="909" t="s">
        <v>2110</v>
      </c>
      <c r="M23" s="935">
        <f>425*50</f>
        <v>21250</v>
      </c>
      <c r="N23" s="935"/>
      <c r="O23" s="935"/>
    </row>
    <row r="24" spans="1:15" ht="15" customHeight="1">
      <c r="A24" s="908" t="s">
        <v>2094</v>
      </c>
      <c r="B24" s="909" t="s">
        <v>2095</v>
      </c>
      <c r="C24" s="910" t="e">
        <f>VLOOKUP(B19,'LƯƠNG KT'!$D$16:$Z$184,19,0)</f>
        <v>#N/A</v>
      </c>
      <c r="D24" s="609" t="e">
        <f>+C24*$L$8</f>
        <v>#N/A</v>
      </c>
      <c r="E24" s="912"/>
      <c r="F24" s="912"/>
      <c r="G24" s="908" t="s">
        <v>2094</v>
      </c>
      <c r="H24" s="909" t="s">
        <v>2095</v>
      </c>
      <c r="I24" s="910" t="e">
        <f>VLOOKUP(H19,'LƯƠNG KT'!$D$16:$Z$184,19,0)</f>
        <v>#N/A</v>
      </c>
      <c r="J24" s="609" t="e">
        <f>+I24*$L$8</f>
        <v>#N/A</v>
      </c>
      <c r="K24" s="908" t="s">
        <v>2111</v>
      </c>
      <c r="L24" s="909" t="s">
        <v>2112</v>
      </c>
      <c r="M24" s="935">
        <f t="shared" ref="M24:M25" si="1">425*50</f>
        <v>21250</v>
      </c>
      <c r="N24" s="935"/>
      <c r="O24" s="935"/>
    </row>
    <row r="25" spans="1:15" ht="15" customHeight="1">
      <c r="A25" s="908" t="s">
        <v>2096</v>
      </c>
      <c r="B25" s="913" t="s">
        <v>2097</v>
      </c>
      <c r="C25" s="910" t="e">
        <f>VLOOKUP(B19,'LƯƠNG KT'!$D$16:$Z$184,20,0)</f>
        <v>#N/A</v>
      </c>
      <c r="D25" s="609" t="e">
        <f>+C25*$L$9</f>
        <v>#N/A</v>
      </c>
      <c r="E25" s="912"/>
      <c r="F25" s="912"/>
      <c r="G25" s="908" t="s">
        <v>2108</v>
      </c>
      <c r="H25" s="909" t="s">
        <v>2097</v>
      </c>
      <c r="I25" s="910" t="e">
        <f>VLOOKUP(H19,'LƯƠNG KT'!$D$16:$Z$184,20,0)</f>
        <v>#N/A</v>
      </c>
      <c r="J25" s="609" t="e">
        <f>+I25*$L$9</f>
        <v>#N/A</v>
      </c>
      <c r="K25" s="908" t="s">
        <v>374</v>
      </c>
      <c r="L25" s="909" t="s">
        <v>2102</v>
      </c>
      <c r="M25" s="935">
        <f t="shared" si="1"/>
        <v>21250</v>
      </c>
      <c r="N25" s="935"/>
      <c r="O25" s="935"/>
    </row>
    <row r="26" spans="1:15" ht="15" customHeight="1">
      <c r="A26" s="908" t="s">
        <v>2099</v>
      </c>
      <c r="B26" s="909" t="s">
        <v>2100</v>
      </c>
      <c r="C26" s="910" t="e">
        <f>VLOOKUP(B19,'LƯƠNG KT'!$D$16:$Z$184,17,0)</f>
        <v>#N/A</v>
      </c>
      <c r="D26" s="609" t="e">
        <f>+C26*$L$10</f>
        <v>#N/A</v>
      </c>
      <c r="E26" s="912"/>
      <c r="F26" s="912"/>
      <c r="G26" s="908" t="s">
        <v>2099</v>
      </c>
      <c r="H26" s="909" t="s">
        <v>2100</v>
      </c>
      <c r="I26" s="910" t="e">
        <f>VLOOKUP(H19,'LƯƠNG KT'!$D$16:$Z$184,17,0)</f>
        <v>#N/A</v>
      </c>
      <c r="J26" s="609" t="e">
        <f>+I26*$L$10</f>
        <v>#N/A</v>
      </c>
      <c r="K26" s="908" t="s">
        <v>2103</v>
      </c>
      <c r="L26" s="909" t="s">
        <v>2104</v>
      </c>
      <c r="M26" s="935"/>
      <c r="N26" s="935"/>
      <c r="O26" s="935"/>
    </row>
    <row r="27" spans="1:15" ht="15" customHeight="1">
      <c r="A27" s="908" t="s">
        <v>374</v>
      </c>
      <c r="B27" s="909" t="s">
        <v>2102</v>
      </c>
      <c r="C27" s="910" t="e">
        <f>VLOOKUP(B19,'LƯƠNG KT'!$D$16:$Z$184,12,0)</f>
        <v>#N/A</v>
      </c>
      <c r="D27" s="609" t="e">
        <f>VLOOKUP(B19,'LƯƠNG KT'!$D$16:$Z$184,14,0)</f>
        <v>#N/A</v>
      </c>
      <c r="E27" s="914"/>
      <c r="F27" s="912"/>
      <c r="G27" s="905" t="s">
        <v>374</v>
      </c>
      <c r="H27" s="909" t="s">
        <v>2102</v>
      </c>
      <c r="I27" s="910" t="e">
        <f>VLOOKUP(H19,'LƯƠNG KT'!$D$16:$Z$184,12,0)</f>
        <v>#N/A</v>
      </c>
      <c r="J27" s="609" t="e">
        <f>VLOOKUP(H19,'LƯƠNG KT'!$D$16:$Z$184,14,0)+(I21+I22+I24+I25)*20000</f>
        <v>#N/A</v>
      </c>
      <c r="K27" s="935"/>
      <c r="L27" s="935"/>
      <c r="M27" s="935"/>
      <c r="N27" s="935"/>
      <c r="O27" s="935"/>
    </row>
    <row r="28" spans="1:15" ht="15" customHeight="1">
      <c r="A28" s="908" t="s">
        <v>2103</v>
      </c>
      <c r="B28" s="909" t="s">
        <v>2104</v>
      </c>
      <c r="D28" s="915" t="e">
        <f>VLOOKUP(B19,'LƯƠNG KT'!$D$16:$Z$184,13,0)</f>
        <v>#N/A</v>
      </c>
      <c r="E28" s="916"/>
      <c r="F28" s="916"/>
      <c r="G28" s="908" t="s">
        <v>2103</v>
      </c>
      <c r="H28" s="909" t="s">
        <v>2104</v>
      </c>
      <c r="J28" s="915" t="e">
        <f>VLOOKUP(H19,'LƯƠNG KT'!$D$16:$Z$184,13,0)</f>
        <v>#N/A</v>
      </c>
    </row>
    <row r="29" spans="1:15" ht="15" customHeight="1">
      <c r="A29" s="547"/>
      <c r="B29" s="546"/>
      <c r="C29" s="910"/>
      <c r="D29" s="609"/>
      <c r="E29" s="914"/>
      <c r="F29" s="916"/>
      <c r="G29" s="547"/>
      <c r="H29" s="546"/>
      <c r="I29" s="910"/>
      <c r="J29" s="609"/>
      <c r="M29" s="898">
        <f>425+9</f>
        <v>434</v>
      </c>
      <c r="N29" s="898">
        <f>+M29*20</f>
        <v>8680</v>
      </c>
    </row>
    <row r="30" spans="1:15" ht="15" customHeight="1">
      <c r="A30" s="905"/>
      <c r="B30" s="546"/>
      <c r="C30" s="910"/>
      <c r="D30" s="609"/>
      <c r="E30" s="917"/>
      <c r="F30" s="904"/>
      <c r="G30" s="905"/>
      <c r="H30" s="546"/>
      <c r="I30" s="910"/>
      <c r="J30" s="609"/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60" t="str">
        <f>$K$2</f>
        <v>THÁNG 04/2025</v>
      </c>
      <c r="B34" s="2360"/>
      <c r="C34" s="2360"/>
      <c r="D34" s="2360"/>
      <c r="E34" s="903"/>
      <c r="F34" s="904"/>
      <c r="G34" s="2360" t="str">
        <f>$K$2</f>
        <v>THÁNG 04/2025</v>
      </c>
      <c r="H34" s="2360"/>
      <c r="I34" s="2360"/>
      <c r="J34" s="2360"/>
      <c r="K34" s="276"/>
      <c r="M34" s="898">
        <v>4250</v>
      </c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>
        <f>+M34+8500</f>
        <v>12750</v>
      </c>
      <c r="N35" s="938"/>
      <c r="O35" s="938"/>
    </row>
    <row r="36" spans="1:15" ht="15" customHeight="1">
      <c r="A36" s="908" t="s">
        <v>359</v>
      </c>
      <c r="B36" s="909" t="s">
        <v>2090</v>
      </c>
      <c r="C36" s="910" t="e">
        <f>VLOOKUP(B35,'LƯƠNG KT'!$D$16:$Z$184,4,0)</f>
        <v>#N/A</v>
      </c>
      <c r="D36" s="609" t="e">
        <f>+C36*25000</f>
        <v>#N/A</v>
      </c>
      <c r="E36" s="911"/>
      <c r="F36" s="911"/>
      <c r="G36" s="908" t="s">
        <v>359</v>
      </c>
      <c r="H36" s="909" t="s">
        <v>2090</v>
      </c>
      <c r="I36" s="910" t="e">
        <f>VLOOKUP(H35,'LƯƠNG KT'!$D$16:$Z$184,4,0)</f>
        <v>#N/A</v>
      </c>
      <c r="J36" s="609" t="e">
        <f>+I36*25000</f>
        <v>#N/A</v>
      </c>
      <c r="K36" s="935"/>
      <c r="L36" s="935"/>
      <c r="M36" s="935" t="s">
        <v>2113</v>
      </c>
      <c r="N36" s="935"/>
      <c r="O36" s="935"/>
    </row>
    <row r="37" spans="1:15" ht="15" customHeight="1">
      <c r="A37" s="908" t="s">
        <v>361</v>
      </c>
      <c r="B37" s="909" t="s">
        <v>2091</v>
      </c>
      <c r="C37" s="910" t="e">
        <f>VLOOKUP(B35,'LƯƠNG KT'!$D$16:$Z$184,15,0)</f>
        <v>#N/A</v>
      </c>
      <c r="D37" s="609" t="e">
        <f>C37*$L$4</f>
        <v>#N/A</v>
      </c>
      <c r="E37" s="912"/>
      <c r="F37" s="912"/>
      <c r="G37" s="908" t="s">
        <v>361</v>
      </c>
      <c r="H37" s="909" t="s">
        <v>2091</v>
      </c>
      <c r="I37" s="910" t="e">
        <f>VLOOKUP(H35,'LƯƠNG KT'!$D$16:$Z$184,15,0)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8" t="s">
        <v>364</v>
      </c>
      <c r="B38" s="909" t="s">
        <v>2092</v>
      </c>
      <c r="C38" s="910" t="e">
        <f>VLOOKUP(B35,'LƯƠNG KT'!$D$16:$Z$184,16,0)</f>
        <v>#N/A</v>
      </c>
      <c r="D38" s="609" t="e">
        <f>C38*$L$5</f>
        <v>#N/A</v>
      </c>
      <c r="E38" s="912"/>
      <c r="F38" s="912"/>
      <c r="G38" s="908" t="s">
        <v>364</v>
      </c>
      <c r="H38" s="909" t="s">
        <v>2092</v>
      </c>
      <c r="I38" s="910" t="e">
        <f>VLOOKUP(H35,'LƯƠNG KT'!$D$16:$Z$184,16,0)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8" t="s">
        <v>370</v>
      </c>
      <c r="B39" s="909" t="s">
        <v>2093</v>
      </c>
      <c r="C39" s="910" t="e">
        <f>VLOOKUP(B35,'LƯƠNG KT'!$D$16:$Z$184,24,0)</f>
        <v>#N/A</v>
      </c>
      <c r="D39" s="609" t="e">
        <f>+C39*$L$6</f>
        <v>#N/A</v>
      </c>
      <c r="E39" s="912"/>
      <c r="F39" s="912"/>
      <c r="G39" s="908" t="s">
        <v>370</v>
      </c>
      <c r="H39" s="909" t="s">
        <v>2093</v>
      </c>
      <c r="I39" s="910" t="e">
        <f>VLOOKUP(H35,'LƯƠNG KT'!$D$16:$Z$184,24,0)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8" t="s">
        <v>2094</v>
      </c>
      <c r="B40" s="909" t="s">
        <v>2095</v>
      </c>
      <c r="C40" s="910" t="e">
        <f>VLOOKUP(B35,'LƯƠNG KT'!$D$16:$Z$184,19,0)</f>
        <v>#N/A</v>
      </c>
      <c r="D40" s="609" t="e">
        <f>+C40*$L$8</f>
        <v>#N/A</v>
      </c>
      <c r="E40" s="912"/>
      <c r="F40" s="912"/>
      <c r="G40" s="908" t="s">
        <v>2094</v>
      </c>
      <c r="H40" s="909" t="s">
        <v>2095</v>
      </c>
      <c r="I40" s="910" t="e">
        <f>VLOOKUP(H35,'LƯƠNG KT'!$D$16:$Z$184,19,0)</f>
        <v>#N/A</v>
      </c>
      <c r="J40" s="609" t="e">
        <f>+I40*$L$8</f>
        <v>#N/A</v>
      </c>
      <c r="K40" s="935"/>
      <c r="L40" s="935"/>
      <c r="M40" s="935"/>
      <c r="N40" s="935"/>
      <c r="O40" s="935"/>
    </row>
    <row r="41" spans="1:15" ht="15" customHeight="1">
      <c r="A41" s="908" t="s">
        <v>2108</v>
      </c>
      <c r="B41" s="909" t="s">
        <v>2097</v>
      </c>
      <c r="C41" s="910" t="e">
        <f>VLOOKUP(B35,'LƯƠNG KT'!$D$16:$Z$184,20,0)</f>
        <v>#N/A</v>
      </c>
      <c r="D41" s="609" t="e">
        <f>+C41*$L$9</f>
        <v>#N/A</v>
      </c>
      <c r="E41" s="912"/>
      <c r="F41" s="912"/>
      <c r="G41" s="908" t="s">
        <v>2096</v>
      </c>
      <c r="H41" s="913" t="s">
        <v>2097</v>
      </c>
      <c r="I41" s="910" t="e">
        <f>VLOOKUP(H35,'LƯƠNG KT'!$D$16:$Z$184,20,0)</f>
        <v>#N/A</v>
      </c>
      <c r="J41" s="609" t="e">
        <f>+I41*$L$9</f>
        <v>#N/A</v>
      </c>
      <c r="K41" s="935"/>
      <c r="L41" s="935"/>
      <c r="M41" s="935"/>
      <c r="N41" s="935"/>
      <c r="O41" s="935"/>
    </row>
    <row r="42" spans="1:15" ht="15" customHeight="1">
      <c r="A42" s="908" t="s">
        <v>2099</v>
      </c>
      <c r="B42" s="909" t="s">
        <v>2100</v>
      </c>
      <c r="C42" s="910" t="e">
        <f>VLOOKUP(B35,'LƯƠNG KT'!$D$16:$Z$184,17,0)</f>
        <v>#N/A</v>
      </c>
      <c r="D42" s="609" t="e">
        <f>+C42*$L$10</f>
        <v>#N/A</v>
      </c>
      <c r="E42" s="912"/>
      <c r="F42" s="912"/>
      <c r="G42" s="908" t="s">
        <v>2099</v>
      </c>
      <c r="H42" s="909" t="s">
        <v>2100</v>
      </c>
      <c r="I42" s="910" t="e">
        <f>VLOOKUP(H35,'LƯƠNG KT'!$D$16:$Z$184,17,0)</f>
        <v>#N/A</v>
      </c>
      <c r="J42" s="609" t="e">
        <f>+I42*$L$10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909" t="s">
        <v>2102</v>
      </c>
      <c r="C43" s="910" t="e">
        <f>VLOOKUP(B35,'LƯƠNG KT'!$D$16:$Z$184,12,0)</f>
        <v>#N/A</v>
      </c>
      <c r="D43" s="609" t="e">
        <f>VLOOKUP(B35,'LƯƠNG KT'!$D$16:$Z$184,14,0)+(C37+C38+C40+C41)*20000</f>
        <v>#N/A</v>
      </c>
      <c r="E43" s="914"/>
      <c r="F43" s="912"/>
      <c r="G43" s="908" t="s">
        <v>374</v>
      </c>
      <c r="H43" s="909" t="s">
        <v>2102</v>
      </c>
      <c r="I43" s="910" t="e">
        <f>VLOOKUP(H35,'LƯƠNG KT'!$D$16:$Z$184,12,0)</f>
        <v>#N/A</v>
      </c>
      <c r="J43" s="609" t="e">
        <f>VLOOKUP(H35,'LƯƠNG KT'!$D$16:$Z$184,14,0)</f>
        <v>#N/A</v>
      </c>
      <c r="K43" s="935"/>
      <c r="L43" s="935"/>
      <c r="M43" s="935"/>
      <c r="N43" s="935"/>
      <c r="O43" s="935"/>
    </row>
    <row r="44" spans="1:15" ht="15" customHeight="1">
      <c r="A44" s="908" t="s">
        <v>2103</v>
      </c>
      <c r="B44" s="909" t="s">
        <v>2104</v>
      </c>
      <c r="D44" s="915" t="e">
        <f>VLOOKUP(B35,'LƯƠNG KT'!$D$16:$Z$184,13,0)</f>
        <v>#N/A</v>
      </c>
      <c r="E44" s="916"/>
      <c r="F44" s="916"/>
      <c r="G44" s="908" t="s">
        <v>2103</v>
      </c>
      <c r="H44" s="909" t="s">
        <v>2104</v>
      </c>
      <c r="J44" s="915" t="e">
        <f>VLOOKUP(H35,'LƯƠNG KT'!$D$16:$Z$184,13,0)</f>
        <v>#N/A</v>
      </c>
    </row>
    <row r="45" spans="1:15" ht="15" customHeight="1">
      <c r="A45" s="547"/>
      <c r="B45" s="546"/>
      <c r="C45" s="910"/>
      <c r="D45" s="609"/>
      <c r="E45" s="914"/>
      <c r="F45" s="916"/>
      <c r="G45" s="547"/>
      <c r="H45" s="546"/>
      <c r="I45" s="910"/>
      <c r="J45" s="609"/>
    </row>
    <row r="46" spans="1:15" ht="15" customHeight="1">
      <c r="A46" s="905"/>
      <c r="B46" s="546"/>
      <c r="C46" s="910"/>
      <c r="D46" s="609"/>
      <c r="E46" s="917"/>
      <c r="F46" s="904"/>
      <c r="G46" s="905"/>
      <c r="H46" s="546"/>
      <c r="I46" s="910"/>
      <c r="J46" s="609"/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4"/>
      <c r="B49" s="925"/>
      <c r="C49" s="926"/>
      <c r="D49" s="927"/>
      <c r="E49" s="927"/>
      <c r="F49" s="928"/>
      <c r="G49" s="924"/>
      <c r="H49" s="925"/>
      <c r="I49" s="926"/>
      <c r="J49" s="927"/>
    </row>
    <row r="50" spans="1:15" ht="18.75" customHeight="1">
      <c r="A50" s="924"/>
      <c r="B50" s="925"/>
      <c r="C50" s="926"/>
      <c r="D50" s="927"/>
      <c r="E50" s="927"/>
      <c r="F50" s="928"/>
      <c r="G50" s="924"/>
      <c r="H50" s="925"/>
      <c r="I50" s="926"/>
      <c r="J50" s="927"/>
    </row>
    <row r="51" spans="1:15" ht="18.75" customHeight="1">
      <c r="A51" s="924"/>
      <c r="B51" s="925"/>
      <c r="C51" s="926"/>
      <c r="D51" s="927"/>
      <c r="E51" s="927"/>
      <c r="F51" s="928"/>
      <c r="G51" s="924"/>
      <c r="H51" s="925"/>
      <c r="I51" s="926"/>
      <c r="J51" s="927"/>
    </row>
    <row r="52" spans="1:15" ht="18.75" customHeight="1">
      <c r="A52" s="924"/>
      <c r="B52" s="925"/>
      <c r="C52" s="926"/>
      <c r="D52" s="927"/>
      <c r="E52" s="927"/>
      <c r="F52" s="928"/>
      <c r="G52" s="924"/>
      <c r="H52" s="925"/>
      <c r="I52" s="926"/>
      <c r="J52" s="927"/>
    </row>
    <row r="53" spans="1:15" ht="18.75" customHeight="1">
      <c r="A53" s="924"/>
      <c r="B53" s="925"/>
      <c r="C53" s="926"/>
      <c r="D53" s="927"/>
      <c r="E53" s="927"/>
      <c r="F53" s="928"/>
      <c r="G53" s="924"/>
      <c r="H53" s="925"/>
      <c r="I53" s="926"/>
      <c r="J53" s="927"/>
    </row>
    <row r="54" spans="1:15" ht="18.75" customHeight="1">
      <c r="A54" s="924"/>
      <c r="B54" s="925"/>
      <c r="C54" s="926"/>
      <c r="D54" s="927"/>
      <c r="E54" s="927"/>
      <c r="F54" s="928"/>
      <c r="G54" s="924"/>
      <c r="H54" s="925"/>
      <c r="I54" s="926"/>
      <c r="J54" s="927"/>
    </row>
    <row r="55" spans="1:15" ht="18.75" customHeight="1">
      <c r="A55" s="924"/>
      <c r="B55" s="925"/>
      <c r="C55" s="926"/>
      <c r="D55" s="927"/>
      <c r="E55" s="927"/>
      <c r="F55" s="928"/>
      <c r="G55" s="924"/>
      <c r="H55" s="925"/>
      <c r="I55" s="926"/>
      <c r="J55" s="927"/>
    </row>
    <row r="56" spans="1:15" ht="15" customHeight="1">
      <c r="A56" s="2360" t="str">
        <f>$K$2</f>
        <v>THÁNG 04/2025</v>
      </c>
      <c r="B56" s="2360"/>
      <c r="C56" s="2360"/>
      <c r="D56" s="2360"/>
      <c r="E56" s="903"/>
      <c r="F56" s="904"/>
      <c r="G56" s="2360" t="str">
        <f>$K$2</f>
        <v>THÁNG 04/2025</v>
      </c>
      <c r="H56" s="2360"/>
      <c r="I56" s="2360"/>
      <c r="J56" s="2360"/>
      <c r="K56" s="276"/>
    </row>
    <row r="57" spans="1:15" ht="15" customHeight="1">
      <c r="A57" s="905" t="s">
        <v>356</v>
      </c>
      <c r="B57" s="642" t="s">
        <v>389</v>
      </c>
      <c r="C57" s="546"/>
      <c r="D57" s="902"/>
      <c r="E57" s="906"/>
      <c r="F57" s="907"/>
      <c r="G57" s="905" t="s">
        <v>356</v>
      </c>
      <c r="H57" s="642" t="s">
        <v>1937</v>
      </c>
      <c r="I57" s="546"/>
      <c r="J57" s="902"/>
      <c r="L57" s="938"/>
      <c r="M57" s="938"/>
      <c r="N57" s="938"/>
      <c r="O57" s="938"/>
    </row>
    <row r="58" spans="1:15" ht="15" customHeight="1">
      <c r="A58" s="908" t="s">
        <v>359</v>
      </c>
      <c r="B58" s="909" t="s">
        <v>2090</v>
      </c>
      <c r="C58" s="910" t="e">
        <f>VLOOKUP(B57,'LƯƠNG KT'!$D$16:$Z$184,4,0)</f>
        <v>#N/A</v>
      </c>
      <c r="D58" s="609" t="e">
        <f>+C58*25000</f>
        <v>#N/A</v>
      </c>
      <c r="E58" s="911"/>
      <c r="F58" s="911"/>
      <c r="G58" s="908" t="s">
        <v>359</v>
      </c>
      <c r="H58" s="909" t="s">
        <v>2090</v>
      </c>
      <c r="I58" s="910" t="e">
        <f>VLOOKUP(H57,'LƯƠNG KT'!$D$16:$Z$184,4,0)</f>
        <v>#N/A</v>
      </c>
      <c r="J58" s="609" t="e">
        <f>+I58*25000</f>
        <v>#N/A</v>
      </c>
      <c r="K58" s="935"/>
      <c r="L58" s="935"/>
      <c r="M58" s="935"/>
      <c r="N58" s="935"/>
      <c r="O58" s="935"/>
    </row>
    <row r="59" spans="1:15" ht="15" customHeight="1">
      <c r="A59" s="908" t="s">
        <v>361</v>
      </c>
      <c r="B59" s="909" t="s">
        <v>2091</v>
      </c>
      <c r="C59" s="910" t="e">
        <f>VLOOKUP(B57,'LƯƠNG KT'!$D$16:$Z$184,15,0)</f>
        <v>#N/A</v>
      </c>
      <c r="D59" s="609" t="e">
        <f>C59*$L$4</f>
        <v>#N/A</v>
      </c>
      <c r="E59" s="912"/>
      <c r="F59" s="912"/>
      <c r="G59" s="908" t="s">
        <v>361</v>
      </c>
      <c r="H59" s="909" t="s">
        <v>2091</v>
      </c>
      <c r="I59" s="910" t="e">
        <f>VLOOKUP(H57,'LƯƠNG KT'!$D$16:$Z$184,15,0)</f>
        <v>#N/A</v>
      </c>
      <c r="J59" s="609" t="e">
        <f>I59*$L$4</f>
        <v>#N/A</v>
      </c>
      <c r="K59" s="935"/>
      <c r="L59" s="935"/>
      <c r="M59" s="935"/>
      <c r="N59" s="935"/>
      <c r="O59" s="935"/>
    </row>
    <row r="60" spans="1:15" ht="15" customHeight="1">
      <c r="A60" s="908" t="s">
        <v>364</v>
      </c>
      <c r="B60" s="909" t="s">
        <v>2092</v>
      </c>
      <c r="C60" s="910" t="e">
        <f>VLOOKUP(B57,'LƯƠNG KT'!$D$16:$Z$184,16,0)</f>
        <v>#N/A</v>
      </c>
      <c r="D60" s="609" t="e">
        <f>C60*$L$5</f>
        <v>#N/A</v>
      </c>
      <c r="E60" s="912"/>
      <c r="F60" s="912"/>
      <c r="G60" s="908" t="s">
        <v>364</v>
      </c>
      <c r="H60" s="909" t="s">
        <v>2092</v>
      </c>
      <c r="I60" s="910" t="e">
        <f>VLOOKUP(H57,'LƯƠNG KT'!$D$16:$Z$184,16,0)</f>
        <v>#N/A</v>
      </c>
      <c r="J60" s="609" t="e">
        <f>I60*$L$5</f>
        <v>#N/A</v>
      </c>
      <c r="K60" s="935"/>
      <c r="L60" s="935"/>
      <c r="M60" s="935"/>
      <c r="N60" s="935"/>
      <c r="O60" s="935"/>
    </row>
    <row r="61" spans="1:15" ht="15" customHeight="1">
      <c r="A61" s="908" t="s">
        <v>370</v>
      </c>
      <c r="B61" s="909" t="s">
        <v>2093</v>
      </c>
      <c r="C61" s="910" t="e">
        <f>VLOOKUP(B57,'LƯƠNG KT'!$D$16:$Z$184,24,0)</f>
        <v>#N/A</v>
      </c>
      <c r="D61" s="609" t="e">
        <f>+C61*$L$6</f>
        <v>#N/A</v>
      </c>
      <c r="E61" s="912"/>
      <c r="F61" s="912"/>
      <c r="G61" s="908" t="s">
        <v>370</v>
      </c>
      <c r="H61" s="909" t="s">
        <v>2093</v>
      </c>
      <c r="I61" s="910" t="e">
        <f>VLOOKUP(H57,'LƯƠNG KT'!$D$16:$Z$184,24,0)</f>
        <v>#N/A</v>
      </c>
      <c r="J61" s="609" t="e">
        <f>+I61*$L$6</f>
        <v>#N/A</v>
      </c>
      <c r="K61" s="935"/>
      <c r="L61" s="935"/>
      <c r="M61" s="935"/>
      <c r="N61" s="935"/>
      <c r="O61" s="935"/>
    </row>
    <row r="62" spans="1:15" ht="15" customHeight="1">
      <c r="A62" s="908" t="s">
        <v>2094</v>
      </c>
      <c r="B62" s="909" t="s">
        <v>2095</v>
      </c>
      <c r="C62" s="910" t="e">
        <f>VLOOKUP(B57,'LƯƠNG KT'!$D$16:$Z$184,19,0)</f>
        <v>#N/A</v>
      </c>
      <c r="D62" s="609" t="e">
        <f>+C62*$L$8</f>
        <v>#N/A</v>
      </c>
      <c r="E62" s="912"/>
      <c r="F62" s="912"/>
      <c r="G62" s="908" t="s">
        <v>2094</v>
      </c>
      <c r="H62" s="909" t="s">
        <v>2095</v>
      </c>
      <c r="I62" s="910" t="e">
        <f>VLOOKUP(H57,'LƯƠNG KT'!$D$16:$Z$184,19,0)</f>
        <v>#N/A</v>
      </c>
      <c r="J62" s="609" t="e">
        <f>+I62*$L$8</f>
        <v>#N/A</v>
      </c>
      <c r="K62" s="935"/>
      <c r="L62" s="935"/>
      <c r="M62" s="935"/>
      <c r="N62" s="935"/>
      <c r="O62" s="935"/>
    </row>
    <row r="63" spans="1:15" ht="15" customHeight="1">
      <c r="A63" s="908" t="s">
        <v>2096</v>
      </c>
      <c r="B63" s="913" t="s">
        <v>2097</v>
      </c>
      <c r="C63" s="910" t="e">
        <f>VLOOKUP(B57,'LƯƠNG KT'!$D$16:$Z$184,20,0)</f>
        <v>#N/A</v>
      </c>
      <c r="D63" s="609" t="e">
        <f>+C63*$L$9</f>
        <v>#N/A</v>
      </c>
      <c r="E63" s="912"/>
      <c r="F63" s="912"/>
      <c r="G63" s="908" t="s">
        <v>2096</v>
      </c>
      <c r="H63" s="913" t="s">
        <v>2097</v>
      </c>
      <c r="I63" s="910" t="e">
        <f>VLOOKUP(H57,'LƯƠNG KT'!$D$16:$Z$184,20,0)</f>
        <v>#N/A</v>
      </c>
      <c r="J63" s="609" t="e">
        <f>+I63*$L$9</f>
        <v>#N/A</v>
      </c>
      <c r="K63" s="935"/>
      <c r="L63" s="935"/>
      <c r="M63" s="935"/>
      <c r="N63" s="935"/>
      <c r="O63" s="935"/>
    </row>
    <row r="64" spans="1:15" ht="15" customHeight="1">
      <c r="A64" s="908" t="s">
        <v>2099</v>
      </c>
      <c r="B64" s="909" t="s">
        <v>2100</v>
      </c>
      <c r="C64" s="910" t="e">
        <f>VLOOKUP(B57,'LƯƠNG KT'!$D$16:$Z$184,17,0)</f>
        <v>#N/A</v>
      </c>
      <c r="D64" s="609" t="e">
        <f>+C64*$L$10</f>
        <v>#N/A</v>
      </c>
      <c r="E64" s="912"/>
      <c r="F64" s="912"/>
      <c r="G64" s="908" t="s">
        <v>2099</v>
      </c>
      <c r="H64" s="909" t="s">
        <v>2100</v>
      </c>
      <c r="I64" s="910" t="e">
        <f>VLOOKUP(H57,'LƯƠNG KT'!$D$16:$Z$184,17,0)</f>
        <v>#N/A</v>
      </c>
      <c r="J64" s="609" t="e">
        <f>+I64*$L$10</f>
        <v>#N/A</v>
      </c>
      <c r="K64" s="935"/>
      <c r="L64" s="935"/>
      <c r="M64" s="935"/>
      <c r="N64" s="935"/>
      <c r="O64" s="935"/>
    </row>
    <row r="65" spans="1:15" ht="15" customHeight="1">
      <c r="A65" s="908" t="s">
        <v>374</v>
      </c>
      <c r="B65" s="909" t="s">
        <v>2102</v>
      </c>
      <c r="C65" s="910" t="e">
        <f>VLOOKUP(B57,'LƯƠNG KT'!$D$16:$Z$184,12,0)</f>
        <v>#N/A</v>
      </c>
      <c r="D65" s="609" t="e">
        <f>VLOOKUP(B57,'LƯƠNG KT'!$D$16:$Z$184,14,0)</f>
        <v>#N/A</v>
      </c>
      <c r="E65" s="914"/>
      <c r="F65" s="912"/>
      <c r="G65" s="908" t="s">
        <v>374</v>
      </c>
      <c r="H65" s="909" t="s">
        <v>2102</v>
      </c>
      <c r="I65" s="910" t="e">
        <f>VLOOKUP(H57,'LƯƠNG KT'!$D$16:$Z$184,12,0)</f>
        <v>#N/A</v>
      </c>
      <c r="J65" s="609" t="e">
        <f>VLOOKUP(H57,'LƯƠNG KT'!$D$16:$Z$184,14,0)</f>
        <v>#N/A</v>
      </c>
      <c r="K65" s="935"/>
      <c r="L65" s="935"/>
      <c r="M65" s="935"/>
      <c r="N65" s="935"/>
      <c r="O65" s="935"/>
    </row>
    <row r="66" spans="1:15" ht="15" customHeight="1">
      <c r="A66" s="908" t="s">
        <v>2103</v>
      </c>
      <c r="B66" s="909" t="s">
        <v>2104</v>
      </c>
      <c r="D66" s="915" t="e">
        <f>VLOOKUP(B57,'LƯƠNG KT'!$D$16:$Z$184,13,0)</f>
        <v>#N/A</v>
      </c>
      <c r="E66" s="916"/>
      <c r="F66" s="916"/>
      <c r="G66" s="908" t="s">
        <v>2103</v>
      </c>
      <c r="H66" s="909" t="s">
        <v>2104</v>
      </c>
      <c r="J66" s="915" t="e">
        <f>VLOOKUP(H57,'LƯƠNG KT'!$D$16:$Z$184,13,0)</f>
        <v>#N/A</v>
      </c>
    </row>
    <row r="67" spans="1:15" ht="15" customHeight="1">
      <c r="A67" s="547"/>
      <c r="B67" s="546"/>
      <c r="C67" s="910"/>
      <c r="D67" s="609"/>
      <c r="E67" s="914"/>
      <c r="F67" s="916"/>
      <c r="G67" s="547"/>
      <c r="H67" s="546"/>
      <c r="I67" s="910"/>
      <c r="J67" s="609"/>
    </row>
    <row r="68" spans="1:15" ht="15" customHeight="1">
      <c r="A68" s="905"/>
      <c r="B68" s="546"/>
      <c r="C68" s="910"/>
      <c r="D68" s="609"/>
      <c r="E68" s="917"/>
      <c r="F68" s="904"/>
      <c r="G68" s="905"/>
      <c r="H68" s="546"/>
      <c r="I68" s="910"/>
      <c r="J68" s="609"/>
    </row>
    <row r="69" spans="1:15" ht="15" customHeight="1">
      <c r="A69" s="918" t="s">
        <v>383</v>
      </c>
      <c r="B69" s="919" t="s">
        <v>384</v>
      </c>
      <c r="C69" s="920"/>
      <c r="D69" s="921" t="e">
        <f>SUM(D58:D65)-D68</f>
        <v>#N/A</v>
      </c>
      <c r="E69" s="922"/>
      <c r="F69" s="923"/>
      <c r="G69" s="918" t="s">
        <v>383</v>
      </c>
      <c r="H69" s="919" t="s">
        <v>384</v>
      </c>
      <c r="I69" s="920"/>
      <c r="J69" s="921" t="e">
        <f>SUM(J58:J65)-J68</f>
        <v>#N/A</v>
      </c>
    </row>
    <row r="70" spans="1:15" ht="15.75" customHeight="1">
      <c r="A70" s="924"/>
      <c r="B70" s="925"/>
      <c r="C70" s="926"/>
      <c r="D70" s="927"/>
      <c r="E70" s="927"/>
      <c r="F70" s="928"/>
      <c r="G70" s="924"/>
      <c r="H70" s="925"/>
      <c r="I70" s="926"/>
      <c r="J70" s="927"/>
    </row>
    <row r="72" spans="1:15" ht="12" customHeight="1">
      <c r="A72" s="2361"/>
      <c r="B72" s="2361"/>
      <c r="C72" s="2361"/>
      <c r="D72" s="2361"/>
      <c r="E72" s="2361"/>
      <c r="F72" s="2361"/>
      <c r="G72" s="2361"/>
      <c r="H72" s="2361"/>
      <c r="I72" s="2361"/>
      <c r="J72" s="2361"/>
    </row>
    <row r="73" spans="1:15" ht="15" customHeight="1">
      <c r="A73" s="2360" t="str">
        <f>$K$2</f>
        <v>THÁNG 04/2025</v>
      </c>
      <c r="B73" s="2360"/>
      <c r="C73" s="2360"/>
      <c r="D73" s="2360"/>
      <c r="E73" s="903"/>
      <c r="F73" s="904"/>
      <c r="G73" s="2360" t="str">
        <f>$K$2</f>
        <v>THÁNG 04/2025</v>
      </c>
      <c r="H73" s="2360"/>
      <c r="I73" s="2360"/>
      <c r="J73" s="2360"/>
      <c r="K73" s="276"/>
    </row>
    <row r="74" spans="1:15" ht="15" customHeight="1">
      <c r="A74" s="905" t="s">
        <v>356</v>
      </c>
      <c r="B74" s="642" t="s">
        <v>391</v>
      </c>
      <c r="C74" s="546"/>
      <c r="D74" s="902"/>
      <c r="E74" s="906"/>
      <c r="F74" s="907"/>
      <c r="G74" s="905" t="s">
        <v>356</v>
      </c>
      <c r="H74" s="642" t="s">
        <v>392</v>
      </c>
      <c r="I74" s="546"/>
      <c r="J74" s="902"/>
      <c r="L74" s="938"/>
      <c r="M74" s="938"/>
      <c r="N74" s="938"/>
      <c r="O74" s="938"/>
    </row>
    <row r="75" spans="1:15" ht="15" customHeight="1">
      <c r="A75" s="908" t="s">
        <v>359</v>
      </c>
      <c r="B75" s="909" t="s">
        <v>2090</v>
      </c>
      <c r="C75" s="910" t="e">
        <f>VLOOKUP(B74,'LƯƠNG KT'!$D$16:$Z$184,4,0)</f>
        <v>#N/A</v>
      </c>
      <c r="D75" s="609" t="e">
        <f>+C75*25000</f>
        <v>#N/A</v>
      </c>
      <c r="E75" s="911"/>
      <c r="F75" s="911"/>
      <c r="G75" s="908" t="s">
        <v>359</v>
      </c>
      <c r="H75" s="909" t="s">
        <v>2090</v>
      </c>
      <c r="I75" s="910" t="e">
        <f>VLOOKUP(H74,'LƯƠNG KT'!$D$16:$Z$184,4,0)</f>
        <v>#N/A</v>
      </c>
      <c r="J75" s="609" t="e">
        <f>+I75*25000</f>
        <v>#N/A</v>
      </c>
      <c r="K75" s="934"/>
      <c r="L75" s="935"/>
      <c r="M75" s="935"/>
      <c r="N75" s="935"/>
      <c r="O75" s="935"/>
    </row>
    <row r="76" spans="1:15" ht="15" customHeight="1">
      <c r="A76" s="908" t="s">
        <v>361</v>
      </c>
      <c r="B76" s="909" t="s">
        <v>2091</v>
      </c>
      <c r="C76" s="910" t="e">
        <f>VLOOKUP(B74,'LƯƠNG KT'!$D$16:$Z$184,15,0)</f>
        <v>#N/A</v>
      </c>
      <c r="D76" s="609" t="e">
        <f>C76*$L$4</f>
        <v>#N/A</v>
      </c>
      <c r="E76" s="912"/>
      <c r="F76" s="912"/>
      <c r="G76" s="908" t="s">
        <v>361</v>
      </c>
      <c r="H76" s="909" t="s">
        <v>2091</v>
      </c>
      <c r="I76" s="910" t="e">
        <f>VLOOKUP(H74,'LƯƠNG KT'!$D$16:$Z$184,15,0)</f>
        <v>#N/A</v>
      </c>
      <c r="J76" s="609" t="e">
        <f>I76*$L$4</f>
        <v>#N/A</v>
      </c>
      <c r="K76" s="934"/>
      <c r="L76" s="935"/>
      <c r="M76" s="935"/>
      <c r="N76" s="935"/>
      <c r="O76" s="935"/>
    </row>
    <row r="77" spans="1:15" ht="15" customHeight="1">
      <c r="A77" s="908" t="s">
        <v>364</v>
      </c>
      <c r="B77" s="909" t="s">
        <v>2092</v>
      </c>
      <c r="C77" s="910" t="e">
        <f>VLOOKUP(B74,'LƯƠNG KT'!$D$16:$Z$184,16,0)</f>
        <v>#N/A</v>
      </c>
      <c r="D77" s="609" t="e">
        <f>C77*$L$5</f>
        <v>#N/A</v>
      </c>
      <c r="E77" s="912"/>
      <c r="F77" s="912"/>
      <c r="G77" s="908" t="s">
        <v>364</v>
      </c>
      <c r="H77" s="909" t="s">
        <v>2092</v>
      </c>
      <c r="I77" s="910" t="e">
        <f>VLOOKUP(H74,'LƯƠNG KT'!$D$16:$Z$184,16,0)</f>
        <v>#N/A</v>
      </c>
      <c r="J77" s="609" t="e">
        <f>I77*$L$5</f>
        <v>#N/A</v>
      </c>
      <c r="K77" s="934"/>
      <c r="L77" s="935"/>
      <c r="M77" s="935"/>
      <c r="N77" s="935"/>
      <c r="O77" s="935"/>
    </row>
    <row r="78" spans="1:15" ht="15" customHeight="1">
      <c r="A78" s="908" t="s">
        <v>370</v>
      </c>
      <c r="B78" s="909" t="s">
        <v>2093</v>
      </c>
      <c r="C78" s="910" t="e">
        <f>VLOOKUP(B74,'LƯƠNG KT'!$D$16:$Z$184,24,0)</f>
        <v>#N/A</v>
      </c>
      <c r="D78" s="609" t="e">
        <f>+C78*$L$6</f>
        <v>#N/A</v>
      </c>
      <c r="E78" s="912"/>
      <c r="F78" s="912"/>
      <c r="G78" s="908" t="s">
        <v>370</v>
      </c>
      <c r="H78" s="909" t="s">
        <v>2093</v>
      </c>
      <c r="I78" s="910" t="e">
        <f>VLOOKUP(H74,'LƯƠNG KT'!$D$16:$Z$184,24,0)</f>
        <v>#N/A</v>
      </c>
      <c r="J78" s="609" t="e">
        <f>+I78*$L$6</f>
        <v>#N/A</v>
      </c>
      <c r="K78" s="935"/>
      <c r="L78" s="935"/>
      <c r="M78" s="935"/>
      <c r="N78" s="935"/>
      <c r="O78" s="935"/>
    </row>
    <row r="79" spans="1:15" ht="15" customHeight="1">
      <c r="A79" s="908" t="s">
        <v>2094</v>
      </c>
      <c r="B79" s="909" t="s">
        <v>2095</v>
      </c>
      <c r="C79" s="910" t="e">
        <f>VLOOKUP(B74,'LƯƠNG KT'!$D$16:$Z$184,19,0)</f>
        <v>#N/A</v>
      </c>
      <c r="D79" s="609" t="e">
        <f>+C79*$L$8</f>
        <v>#N/A</v>
      </c>
      <c r="E79" s="912"/>
      <c r="F79" s="912"/>
      <c r="G79" s="908" t="s">
        <v>2094</v>
      </c>
      <c r="H79" s="909" t="s">
        <v>2095</v>
      </c>
      <c r="I79" s="910" t="e">
        <f>VLOOKUP(H74,'LƯƠNG KT'!$D$16:$Z$184,19,0)</f>
        <v>#N/A</v>
      </c>
      <c r="J79" s="609" t="e">
        <f>+I79*$L$8</f>
        <v>#N/A</v>
      </c>
      <c r="K79" s="935"/>
      <c r="L79" s="935"/>
      <c r="M79" s="935"/>
      <c r="N79" s="935"/>
      <c r="O79" s="935"/>
    </row>
    <row r="80" spans="1:15" ht="15" customHeight="1">
      <c r="A80" s="908" t="s">
        <v>2096</v>
      </c>
      <c r="B80" s="913" t="s">
        <v>2097</v>
      </c>
      <c r="C80" s="910" t="e">
        <f>VLOOKUP(B74,'LƯƠNG KT'!$D$16:$Z$184,20,0)</f>
        <v>#N/A</v>
      </c>
      <c r="D80" s="609" t="e">
        <f>+C80*$L$9</f>
        <v>#N/A</v>
      </c>
      <c r="E80" s="912"/>
      <c r="F80" s="912"/>
      <c r="G80" s="908" t="s">
        <v>2096</v>
      </c>
      <c r="H80" s="913" t="s">
        <v>2097</v>
      </c>
      <c r="I80" s="910" t="e">
        <f>VLOOKUP(H74,'LƯƠNG KT'!$D$16:$Z$184,20,0)</f>
        <v>#N/A</v>
      </c>
      <c r="J80" s="609" t="e">
        <f>+I80*$L$9</f>
        <v>#N/A</v>
      </c>
      <c r="K80" s="935"/>
      <c r="L80" s="935"/>
      <c r="M80" s="935"/>
      <c r="N80" s="935"/>
      <c r="O80" s="935"/>
    </row>
    <row r="81" spans="1:15" ht="15" customHeight="1">
      <c r="A81" s="908" t="s">
        <v>2099</v>
      </c>
      <c r="B81" s="909" t="s">
        <v>2100</v>
      </c>
      <c r="C81" s="910" t="e">
        <f>VLOOKUP(B74,'LƯƠNG KT'!$D$16:$Z$184,17,0)</f>
        <v>#N/A</v>
      </c>
      <c r="D81" s="609" t="e">
        <f>+C81*$L$10</f>
        <v>#N/A</v>
      </c>
      <c r="E81" s="912"/>
      <c r="F81" s="912"/>
      <c r="G81" s="908" t="s">
        <v>2099</v>
      </c>
      <c r="H81" s="909" t="s">
        <v>2100</v>
      </c>
      <c r="I81" s="910" t="e">
        <f>VLOOKUP(H74,'LƯƠNG KT'!$D$16:$Z$184,17,0)</f>
        <v>#N/A</v>
      </c>
      <c r="J81" s="609" t="e">
        <f>+I81*$L$10</f>
        <v>#N/A</v>
      </c>
      <c r="K81" s="935"/>
      <c r="L81" s="935"/>
      <c r="M81" s="935"/>
      <c r="N81" s="935"/>
      <c r="O81" s="935"/>
    </row>
    <row r="82" spans="1:15" ht="15" customHeight="1">
      <c r="A82" s="908" t="s">
        <v>374</v>
      </c>
      <c r="B82" s="909" t="s">
        <v>2102</v>
      </c>
      <c r="C82" s="910" t="e">
        <f>VLOOKUP(B74,'LƯƠNG KT'!$D$16:$Z$184,12,0)</f>
        <v>#N/A</v>
      </c>
      <c r="D82" s="609" t="e">
        <f>VLOOKUP(B74,'LƯƠNG KT'!$D$16:$Z$184,14,0)</f>
        <v>#N/A</v>
      </c>
      <c r="E82" s="914"/>
      <c r="F82" s="912"/>
      <c r="G82" s="908" t="s">
        <v>374</v>
      </c>
      <c r="H82" s="909" t="s">
        <v>2102</v>
      </c>
      <c r="I82" s="910" t="e">
        <f>VLOOKUP(H74,'LƯƠNG KT'!$D$16:$Z$184,12,0)</f>
        <v>#N/A</v>
      </c>
      <c r="J82" s="609" t="e">
        <f>VLOOKUP(H74,'LƯƠNG KT'!$D$16:$Z$184,14,0)</f>
        <v>#N/A</v>
      </c>
      <c r="K82" s="935"/>
      <c r="L82" s="935"/>
      <c r="M82" s="935"/>
      <c r="N82" s="935"/>
      <c r="O82" s="935"/>
    </row>
    <row r="83" spans="1:15" ht="15" customHeight="1">
      <c r="A83" s="908" t="s">
        <v>2103</v>
      </c>
      <c r="B83" s="909" t="s">
        <v>2104</v>
      </c>
      <c r="D83" s="915" t="e">
        <f>VLOOKUP(B74,'LƯƠNG KT'!$D$16:$Z$184,13,0)</f>
        <v>#N/A</v>
      </c>
      <c r="E83" s="916"/>
      <c r="F83" s="916"/>
      <c r="G83" s="908" t="s">
        <v>2103</v>
      </c>
      <c r="H83" s="909" t="s">
        <v>2104</v>
      </c>
      <c r="J83" s="915" t="e">
        <f>VLOOKUP(H74,'LƯƠNG KT'!$D$16:$Z$184,13,0)</f>
        <v>#N/A</v>
      </c>
    </row>
    <row r="84" spans="1:15" ht="15" customHeight="1">
      <c r="A84" s="547"/>
      <c r="B84" s="546"/>
      <c r="C84" s="910"/>
      <c r="D84" s="609"/>
      <c r="E84" s="914"/>
      <c r="F84" s="916"/>
      <c r="G84" s="547"/>
      <c r="H84" s="546"/>
      <c r="I84" s="910"/>
      <c r="J84" s="609"/>
    </row>
    <row r="85" spans="1:15" ht="15" customHeight="1">
      <c r="A85" s="905"/>
      <c r="B85" s="546"/>
      <c r="C85" s="910"/>
      <c r="D85" s="609"/>
      <c r="E85" s="917"/>
      <c r="F85" s="904"/>
      <c r="G85" s="905"/>
      <c r="H85" s="546"/>
      <c r="I85" s="910"/>
      <c r="J85" s="609"/>
    </row>
    <row r="86" spans="1:15" ht="15" customHeight="1">
      <c r="A86" s="918" t="s">
        <v>383</v>
      </c>
      <c r="B86" s="919" t="s">
        <v>384</v>
      </c>
      <c r="C86" s="920"/>
      <c r="D86" s="921" t="e">
        <f>SUM(D75:D82)-D85</f>
        <v>#N/A</v>
      </c>
      <c r="E86" s="922"/>
      <c r="F86" s="923"/>
      <c r="G86" s="918" t="s">
        <v>383</v>
      </c>
      <c r="H86" s="919" t="s">
        <v>384</v>
      </c>
      <c r="I86" s="920"/>
      <c r="J86" s="921" t="e">
        <f>SUM(J75:J82)-J85</f>
        <v>#N/A</v>
      </c>
    </row>
    <row r="87" spans="1:15" ht="12.6" customHeight="1">
      <c r="A87" s="924"/>
      <c r="B87" s="925"/>
      <c r="C87" s="926"/>
      <c r="D87" s="927"/>
      <c r="E87" s="927"/>
      <c r="F87" s="928"/>
      <c r="G87" s="924"/>
      <c r="H87" s="925"/>
      <c r="I87" s="926"/>
      <c r="J87" s="927"/>
    </row>
    <row r="88" spans="1:15" ht="12.6" customHeight="1">
      <c r="A88" s="925"/>
      <c r="B88" s="925"/>
      <c r="C88" s="929"/>
      <c r="D88" s="930"/>
      <c r="E88" s="925"/>
      <c r="F88" s="931"/>
      <c r="G88" s="925"/>
      <c r="H88" s="925"/>
      <c r="I88" s="929"/>
      <c r="J88" s="930"/>
    </row>
    <row r="89" spans="1:15" ht="15" customHeight="1">
      <c r="A89" s="2360" t="str">
        <f>$K$2</f>
        <v>THÁNG 04/2025</v>
      </c>
      <c r="B89" s="2360"/>
      <c r="C89" s="2360"/>
      <c r="D89" s="2360"/>
      <c r="E89" s="903"/>
      <c r="F89" s="904"/>
      <c r="G89" s="2360" t="str">
        <f>$K$2</f>
        <v>THÁNG 04/2025</v>
      </c>
      <c r="H89" s="2360"/>
      <c r="I89" s="2360"/>
      <c r="J89" s="2360"/>
      <c r="K89" s="276"/>
    </row>
    <row r="90" spans="1:15" ht="15" customHeight="1">
      <c r="A90" s="905" t="s">
        <v>356</v>
      </c>
      <c r="B90" s="642" t="s">
        <v>393</v>
      </c>
      <c r="C90" s="546"/>
      <c r="D90" s="902"/>
      <c r="E90" s="906"/>
      <c r="F90" s="907"/>
      <c r="G90" s="905" t="s">
        <v>356</v>
      </c>
      <c r="H90" s="642" t="s">
        <v>394</v>
      </c>
      <c r="I90" s="546"/>
      <c r="J90" s="902"/>
      <c r="L90" s="938"/>
      <c r="M90" s="938"/>
      <c r="N90" s="938"/>
      <c r="O90" s="938"/>
    </row>
    <row r="91" spans="1:15" ht="15" customHeight="1">
      <c r="A91" s="908" t="s">
        <v>359</v>
      </c>
      <c r="B91" s="909" t="s">
        <v>2090</v>
      </c>
      <c r="C91" s="910" t="e">
        <f>VLOOKUP(B90,'LƯƠNG KT'!$D$16:$Z$184,4,0)</f>
        <v>#N/A</v>
      </c>
      <c r="D91" s="609" t="e">
        <f>+C91*25000</f>
        <v>#N/A</v>
      </c>
      <c r="E91" s="911"/>
      <c r="F91" s="911"/>
      <c r="G91" s="908" t="s">
        <v>359</v>
      </c>
      <c r="H91" s="909" t="s">
        <v>2090</v>
      </c>
      <c r="I91" s="910" t="e">
        <f>VLOOKUP(H90,'LƯƠNG KT'!$D$16:$Z$184,4,0)</f>
        <v>#N/A</v>
      </c>
      <c r="J91" s="609" t="e">
        <f>+I91*25000</f>
        <v>#N/A</v>
      </c>
      <c r="K91" s="935"/>
      <c r="L91" s="935"/>
      <c r="M91" s="935"/>
      <c r="N91" s="935"/>
      <c r="O91" s="935"/>
    </row>
    <row r="92" spans="1:15" ht="15" customHeight="1">
      <c r="A92" s="908" t="s">
        <v>361</v>
      </c>
      <c r="B92" s="909" t="s">
        <v>2091</v>
      </c>
      <c r="C92" s="910" t="e">
        <f>VLOOKUP(B90,'LƯƠNG KT'!$D$16:$Z$184,15,0)</f>
        <v>#N/A</v>
      </c>
      <c r="D92" s="609" t="e">
        <f>C92*$L$4</f>
        <v>#N/A</v>
      </c>
      <c r="E92" s="912"/>
      <c r="F92" s="912"/>
      <c r="G92" s="908" t="s">
        <v>361</v>
      </c>
      <c r="H92" s="909" t="s">
        <v>2091</v>
      </c>
      <c r="I92" s="910" t="e">
        <f>VLOOKUP(H90,'LƯƠNG KT'!$D$16:$Z$184,15,0)</f>
        <v>#N/A</v>
      </c>
      <c r="J92" s="609" t="e">
        <f>I92*$L$4</f>
        <v>#N/A</v>
      </c>
      <c r="K92" s="935"/>
      <c r="L92" s="935"/>
      <c r="M92" s="935"/>
      <c r="N92" s="935"/>
      <c r="O92" s="935"/>
    </row>
    <row r="93" spans="1:15" ht="15" customHeight="1">
      <c r="A93" s="908" t="s">
        <v>364</v>
      </c>
      <c r="B93" s="909" t="s">
        <v>2092</v>
      </c>
      <c r="C93" s="910" t="e">
        <f>VLOOKUP(B90,'LƯƠNG KT'!$D$16:$Z$184,16,0)</f>
        <v>#N/A</v>
      </c>
      <c r="D93" s="609" t="e">
        <f>C93*$L$5</f>
        <v>#N/A</v>
      </c>
      <c r="E93" s="912"/>
      <c r="F93" s="912"/>
      <c r="G93" s="908" t="s">
        <v>364</v>
      </c>
      <c r="H93" s="909" t="s">
        <v>2092</v>
      </c>
      <c r="I93" s="910" t="e">
        <f>VLOOKUP(H90,'LƯƠNG KT'!$D$16:$Z$184,16,0)</f>
        <v>#N/A</v>
      </c>
      <c r="J93" s="609" t="e">
        <f>I93*$L$5</f>
        <v>#N/A</v>
      </c>
      <c r="K93" s="935"/>
      <c r="L93" s="935"/>
      <c r="M93" s="935"/>
      <c r="N93" s="935"/>
      <c r="O93" s="935"/>
    </row>
    <row r="94" spans="1:15" ht="15" customHeight="1">
      <c r="A94" s="908" t="s">
        <v>370</v>
      </c>
      <c r="B94" s="909" t="s">
        <v>2093</v>
      </c>
      <c r="C94" s="910" t="e">
        <f>VLOOKUP(B90,'LƯƠNG KT'!$D$16:$Z$184,24,0)</f>
        <v>#N/A</v>
      </c>
      <c r="D94" s="609" t="e">
        <f>+C94*$L$6</f>
        <v>#N/A</v>
      </c>
      <c r="E94" s="912"/>
      <c r="F94" s="912"/>
      <c r="G94" s="908" t="s">
        <v>370</v>
      </c>
      <c r="H94" s="909" t="s">
        <v>2093</v>
      </c>
      <c r="I94" s="910" t="e">
        <f>VLOOKUP(H90,'LƯƠNG KT'!$D$16:$Z$184,24,0)</f>
        <v>#N/A</v>
      </c>
      <c r="J94" s="609" t="e">
        <f>+I94*$L$6</f>
        <v>#N/A</v>
      </c>
      <c r="K94" s="935"/>
      <c r="L94" s="935"/>
      <c r="M94" s="935"/>
      <c r="N94" s="935"/>
      <c r="O94" s="935"/>
    </row>
    <row r="95" spans="1:15" ht="15" customHeight="1">
      <c r="A95" s="908" t="s">
        <v>2094</v>
      </c>
      <c r="B95" s="909" t="s">
        <v>2095</v>
      </c>
      <c r="C95" s="910" t="e">
        <f>VLOOKUP(B90,'LƯƠNG KT'!$D$16:$Z$184,19,0)</f>
        <v>#N/A</v>
      </c>
      <c r="D95" s="609" t="e">
        <f>+C95*$L$8</f>
        <v>#N/A</v>
      </c>
      <c r="E95" s="912"/>
      <c r="F95" s="912"/>
      <c r="G95" s="908" t="s">
        <v>2094</v>
      </c>
      <c r="H95" s="909" t="s">
        <v>2095</v>
      </c>
      <c r="I95" s="910" t="e">
        <f>VLOOKUP(H90,'LƯƠNG KT'!$D$16:$Z$184,19,0)</f>
        <v>#N/A</v>
      </c>
      <c r="J95" s="609" t="e">
        <f>+I95*$L$8</f>
        <v>#N/A</v>
      </c>
      <c r="K95" s="935"/>
      <c r="L95" s="935"/>
      <c r="M95" s="935"/>
      <c r="N95" s="935"/>
      <c r="O95" s="935"/>
    </row>
    <row r="96" spans="1:15" ht="15" customHeight="1">
      <c r="A96" s="908" t="s">
        <v>2096</v>
      </c>
      <c r="B96" s="913" t="s">
        <v>2097</v>
      </c>
      <c r="C96" s="910" t="e">
        <f>VLOOKUP(B90,'LƯƠNG KT'!$D$16:$Z$184,20,0)</f>
        <v>#N/A</v>
      </c>
      <c r="D96" s="609" t="e">
        <f>+C96*$L$9</f>
        <v>#N/A</v>
      </c>
      <c r="E96" s="912"/>
      <c r="F96" s="912"/>
      <c r="G96" s="908" t="s">
        <v>2096</v>
      </c>
      <c r="H96" s="913" t="s">
        <v>2097</v>
      </c>
      <c r="I96" s="910" t="e">
        <f>VLOOKUP(H90,'LƯƠNG KT'!$D$16:$Z$184,20,0)</f>
        <v>#N/A</v>
      </c>
      <c r="J96" s="609" t="e">
        <f>+I96*$L$9</f>
        <v>#N/A</v>
      </c>
      <c r="K96" s="935"/>
      <c r="L96" s="935"/>
      <c r="M96" s="935"/>
      <c r="N96" s="935"/>
      <c r="O96" s="935"/>
    </row>
    <row r="97" spans="1:15" ht="15" customHeight="1">
      <c r="A97" s="908" t="s">
        <v>2099</v>
      </c>
      <c r="B97" s="909" t="s">
        <v>2100</v>
      </c>
      <c r="C97" s="910" t="e">
        <f>VLOOKUP(B90,'LƯƠNG KT'!$D$16:$Z$184,17,0)</f>
        <v>#N/A</v>
      </c>
      <c r="D97" s="609" t="e">
        <f>+C97*$L$10</f>
        <v>#N/A</v>
      </c>
      <c r="E97" s="912"/>
      <c r="F97" s="912"/>
      <c r="G97" s="908" t="s">
        <v>2099</v>
      </c>
      <c r="H97" s="909" t="s">
        <v>2100</v>
      </c>
      <c r="I97" s="910" t="e">
        <f>VLOOKUP(H90,'LƯƠNG KT'!$D$16:$Z$184,17,0)</f>
        <v>#N/A</v>
      </c>
      <c r="J97" s="609" t="e">
        <f>+I97*$L$10</f>
        <v>#N/A</v>
      </c>
      <c r="K97" s="935"/>
      <c r="L97" s="935"/>
      <c r="M97" s="935"/>
      <c r="N97" s="935"/>
      <c r="O97" s="935"/>
    </row>
    <row r="98" spans="1:15" ht="15" customHeight="1">
      <c r="A98" s="908" t="s">
        <v>374</v>
      </c>
      <c r="B98" s="909" t="s">
        <v>2102</v>
      </c>
      <c r="C98" s="910" t="e">
        <f>VLOOKUP(B90,'LƯƠNG KT'!$D$16:$Z$184,12,0)</f>
        <v>#N/A</v>
      </c>
      <c r="D98" s="609" t="e">
        <f>VLOOKUP(B90,'LƯƠNG KT'!$D$16:$Z$184,14,0)+(C92+C93+C95+C96)*20000</f>
        <v>#N/A</v>
      </c>
      <c r="E98" s="914"/>
      <c r="F98" s="912"/>
      <c r="G98" s="908" t="s">
        <v>374</v>
      </c>
      <c r="H98" s="909" t="s">
        <v>2102</v>
      </c>
      <c r="I98" s="910" t="e">
        <f>VLOOKUP(H90,'LƯƠNG KT'!$D$16:$Z$184,12,0)</f>
        <v>#N/A</v>
      </c>
      <c r="J98" s="609" t="e">
        <f>VLOOKUP(H90,'LƯƠNG KT'!$D$16:$Z$184,14,0)</f>
        <v>#N/A</v>
      </c>
      <c r="K98" s="935"/>
      <c r="L98" s="935"/>
      <c r="M98" s="935"/>
      <c r="N98" s="935"/>
      <c r="O98" s="935"/>
    </row>
    <row r="99" spans="1:15" ht="15" customHeight="1">
      <c r="A99" s="908" t="s">
        <v>2103</v>
      </c>
      <c r="B99" s="909" t="s">
        <v>2104</v>
      </c>
      <c r="D99" s="915" t="e">
        <f>VLOOKUP(B90,'LƯƠNG KT'!$D$16:$Z$184,13,0)</f>
        <v>#N/A</v>
      </c>
      <c r="E99" s="916"/>
      <c r="F99" s="916"/>
      <c r="G99" s="908" t="s">
        <v>2103</v>
      </c>
      <c r="H99" s="909" t="s">
        <v>2104</v>
      </c>
      <c r="J99" s="915" t="e">
        <f>VLOOKUP(H90,'LƯƠNG KT'!$D$16:$Z$184,13,0)</f>
        <v>#N/A</v>
      </c>
    </row>
    <row r="100" spans="1:15" ht="15" customHeight="1">
      <c r="A100" s="547"/>
      <c r="B100" s="546"/>
      <c r="C100" s="910"/>
      <c r="D100" s="609"/>
      <c r="E100" s="914"/>
      <c r="F100" s="916"/>
      <c r="G100" s="547"/>
      <c r="H100" s="546"/>
      <c r="I100" s="910"/>
      <c r="J100" s="609"/>
    </row>
    <row r="101" spans="1:15" ht="15" customHeight="1">
      <c r="A101" s="905"/>
      <c r="B101" s="546"/>
      <c r="C101" s="910"/>
      <c r="D101" s="609"/>
      <c r="E101" s="917"/>
      <c r="F101" s="904"/>
      <c r="G101" s="905"/>
      <c r="H101" s="546"/>
      <c r="I101" s="910"/>
      <c r="J101" s="609"/>
    </row>
    <row r="102" spans="1:15" ht="15" customHeight="1">
      <c r="A102" s="918" t="s">
        <v>383</v>
      </c>
      <c r="B102" s="919" t="s">
        <v>384</v>
      </c>
      <c r="C102" s="920"/>
      <c r="D102" s="921" t="e">
        <f>SUM(D91:D98)-D101</f>
        <v>#N/A</v>
      </c>
      <c r="E102" s="922"/>
      <c r="F102" s="923"/>
      <c r="G102" s="918" t="s">
        <v>383</v>
      </c>
      <c r="H102" s="919" t="s">
        <v>384</v>
      </c>
      <c r="I102" s="920"/>
      <c r="J102" s="921" t="e">
        <f>SUM(J91:J98)-J101</f>
        <v>#N/A</v>
      </c>
    </row>
    <row r="103" spans="1:15" ht="18.75" customHeight="1">
      <c r="A103" s="924"/>
      <c r="B103" s="925"/>
      <c r="C103" s="926"/>
      <c r="D103" s="927"/>
      <c r="E103" s="927"/>
      <c r="F103" s="928"/>
      <c r="G103" s="924"/>
      <c r="H103" s="925"/>
      <c r="I103" s="926"/>
      <c r="J103" s="927"/>
    </row>
    <row r="104" spans="1:15" ht="18.75" customHeight="1">
      <c r="A104" s="924"/>
      <c r="B104" s="925"/>
      <c r="C104" s="926"/>
      <c r="D104" s="927"/>
      <c r="E104" s="927"/>
      <c r="F104" s="928"/>
      <c r="G104" s="924"/>
      <c r="H104" s="925"/>
      <c r="I104" s="926"/>
      <c r="J104" s="927"/>
    </row>
    <row r="105" spans="1:15" ht="18.75" customHeight="1">
      <c r="A105" s="924"/>
      <c r="B105" s="925"/>
      <c r="C105" s="926"/>
      <c r="D105" s="927"/>
      <c r="E105" s="927"/>
      <c r="F105" s="928"/>
      <c r="G105" s="924"/>
      <c r="H105" s="925"/>
      <c r="I105" s="926"/>
      <c r="J105" s="927"/>
    </row>
    <row r="106" spans="1:15" ht="18.75" customHeight="1">
      <c r="A106" s="924"/>
      <c r="B106" s="925"/>
      <c r="C106" s="926"/>
      <c r="D106" s="927"/>
      <c r="E106" s="927"/>
      <c r="F106" s="928"/>
      <c r="G106" s="924"/>
      <c r="H106" s="925"/>
      <c r="I106" s="926"/>
      <c r="J106" s="927"/>
    </row>
    <row r="107" spans="1:15" ht="18.75" customHeight="1">
      <c r="A107" s="924"/>
      <c r="B107" s="925"/>
      <c r="C107" s="926"/>
      <c r="D107" s="927"/>
      <c r="E107" s="927"/>
      <c r="F107" s="928"/>
      <c r="G107" s="924"/>
      <c r="H107" s="925"/>
      <c r="I107" s="926"/>
      <c r="J107" s="927"/>
    </row>
    <row r="108" spans="1:15" ht="18.75" customHeight="1">
      <c r="A108" s="924"/>
      <c r="B108" s="925"/>
      <c r="C108" s="926"/>
      <c r="D108" s="927"/>
      <c r="E108" s="927"/>
      <c r="F108" s="928"/>
      <c r="G108" s="924"/>
      <c r="H108" s="925"/>
      <c r="I108" s="926"/>
      <c r="J108" s="927"/>
    </row>
    <row r="109" spans="1:15" ht="18.75" customHeight="1">
      <c r="A109" s="924"/>
      <c r="B109" s="925"/>
      <c r="C109" s="926"/>
      <c r="D109" s="927"/>
      <c r="E109" s="927"/>
      <c r="F109" s="928"/>
      <c r="G109" s="924"/>
      <c r="H109" s="925"/>
      <c r="I109" s="926"/>
      <c r="J109" s="927"/>
    </row>
    <row r="110" spans="1:15" ht="18.75" customHeight="1">
      <c r="A110" s="924"/>
      <c r="B110" s="925"/>
      <c r="C110" s="926"/>
      <c r="D110" s="927"/>
      <c r="E110" s="927"/>
      <c r="F110" s="928"/>
      <c r="G110" s="924"/>
      <c r="H110" s="925"/>
      <c r="I110" s="926"/>
      <c r="J110" s="927"/>
    </row>
    <row r="111" spans="1:15" ht="18.75" customHeight="1">
      <c r="A111" s="924"/>
      <c r="B111" s="925"/>
      <c r="C111" s="926"/>
      <c r="D111" s="927"/>
      <c r="E111" s="927"/>
      <c r="F111" s="928"/>
      <c r="G111" s="924"/>
      <c r="H111" s="925"/>
      <c r="I111" s="926"/>
      <c r="J111" s="927"/>
    </row>
    <row r="112" spans="1:15" ht="15" customHeight="1">
      <c r="A112" s="2360" t="str">
        <f>$K$2</f>
        <v>THÁNG 04/2025</v>
      </c>
      <c r="B112" s="2360"/>
      <c r="C112" s="2360"/>
      <c r="D112" s="2360"/>
      <c r="E112" s="903"/>
      <c r="F112" s="904"/>
      <c r="G112" s="2360" t="str">
        <f>$K$2</f>
        <v>THÁNG 04/2025</v>
      </c>
      <c r="H112" s="2360"/>
      <c r="I112" s="2360"/>
      <c r="J112" s="2360"/>
      <c r="K112" s="276"/>
    </row>
    <row r="113" spans="1:15" ht="15" customHeight="1">
      <c r="A113" s="905" t="s">
        <v>356</v>
      </c>
      <c r="B113" s="642" t="s">
        <v>395</v>
      </c>
      <c r="C113" s="546"/>
      <c r="D113" s="902"/>
      <c r="E113" s="906"/>
      <c r="F113" s="907"/>
      <c r="G113" s="905" t="s">
        <v>356</v>
      </c>
      <c r="H113" s="642" t="s">
        <v>1969</v>
      </c>
      <c r="I113" s="546"/>
      <c r="J113" s="902"/>
      <c r="L113" s="938"/>
      <c r="M113" s="938"/>
      <c r="N113" s="938"/>
      <c r="O113" s="938"/>
    </row>
    <row r="114" spans="1:15" ht="15" customHeight="1">
      <c r="A114" s="908" t="s">
        <v>359</v>
      </c>
      <c r="B114" s="909" t="s">
        <v>2090</v>
      </c>
      <c r="C114" s="910" t="e">
        <f>VLOOKUP(B113,'LƯƠNG KT'!$D$16:$Z$184,4,0)</f>
        <v>#N/A</v>
      </c>
      <c r="D114" s="609" t="e">
        <f>+C114*25000</f>
        <v>#N/A</v>
      </c>
      <c r="E114" s="911"/>
      <c r="F114" s="911"/>
      <c r="G114" s="908" t="s">
        <v>359</v>
      </c>
      <c r="H114" s="909" t="s">
        <v>2090</v>
      </c>
      <c r="I114" s="910" t="e">
        <f>VLOOKUP(H113,'LƯƠNG KT'!$D$16:$Z$184,4,0)</f>
        <v>#N/A</v>
      </c>
      <c r="J114" s="609" t="e">
        <f>+I114*25000</f>
        <v>#N/A</v>
      </c>
      <c r="K114" s="935"/>
      <c r="L114" s="935"/>
      <c r="M114" s="935"/>
      <c r="N114" s="935"/>
      <c r="O114" s="935"/>
    </row>
    <row r="115" spans="1:15" ht="15" customHeight="1">
      <c r="A115" s="908" t="s">
        <v>361</v>
      </c>
      <c r="B115" s="909" t="s">
        <v>2091</v>
      </c>
      <c r="C115" s="910" t="e">
        <f>VLOOKUP(B113,'LƯƠNG KT'!$D$16:$Z$184,15,0)</f>
        <v>#N/A</v>
      </c>
      <c r="D115" s="609" t="e">
        <f>C115*$L$4</f>
        <v>#N/A</v>
      </c>
      <c r="E115" s="912"/>
      <c r="F115" s="912"/>
      <c r="G115" s="908" t="s">
        <v>361</v>
      </c>
      <c r="H115" s="909" t="s">
        <v>2091</v>
      </c>
      <c r="I115" s="910" t="e">
        <f>VLOOKUP(H113,'LƯƠNG KT'!$D$16:$Z$184,15,0)</f>
        <v>#N/A</v>
      </c>
      <c r="J115" s="609" t="e">
        <f>I115*$L$4</f>
        <v>#N/A</v>
      </c>
      <c r="K115" s="935"/>
      <c r="L115" s="935"/>
      <c r="M115" s="935"/>
      <c r="N115" s="935"/>
      <c r="O115" s="935"/>
    </row>
    <row r="116" spans="1:15" ht="15" customHeight="1">
      <c r="A116" s="908" t="s">
        <v>364</v>
      </c>
      <c r="B116" s="909" t="s">
        <v>2092</v>
      </c>
      <c r="C116" s="910" t="e">
        <f>VLOOKUP(B113,'LƯƠNG KT'!$D$16:$Z$184,16,0)</f>
        <v>#N/A</v>
      </c>
      <c r="D116" s="609" t="e">
        <f>C116*$L$5</f>
        <v>#N/A</v>
      </c>
      <c r="E116" s="912"/>
      <c r="F116" s="912"/>
      <c r="G116" s="908" t="s">
        <v>364</v>
      </c>
      <c r="H116" s="909" t="s">
        <v>2092</v>
      </c>
      <c r="I116" s="910" t="e">
        <f>VLOOKUP(H113,'LƯƠNG KT'!$D$16:$Z$184,16,0)</f>
        <v>#N/A</v>
      </c>
      <c r="J116" s="609" t="e">
        <f>I116*$L$5</f>
        <v>#N/A</v>
      </c>
      <c r="K116" s="935"/>
      <c r="L116" s="935"/>
      <c r="M116" s="935"/>
      <c r="N116" s="935"/>
      <c r="O116" s="935"/>
    </row>
    <row r="117" spans="1:15" ht="15" customHeight="1">
      <c r="A117" s="908" t="s">
        <v>370</v>
      </c>
      <c r="B117" s="909" t="s">
        <v>2093</v>
      </c>
      <c r="C117" s="910" t="e">
        <f>VLOOKUP(B113,'LƯƠNG KT'!$D$16:$Z$184,24,0)</f>
        <v>#N/A</v>
      </c>
      <c r="D117" s="609" t="e">
        <f>+C117*$L$6</f>
        <v>#N/A</v>
      </c>
      <c r="E117" s="912"/>
      <c r="F117" s="912"/>
      <c r="G117" s="908" t="s">
        <v>370</v>
      </c>
      <c r="H117" s="909" t="s">
        <v>2093</v>
      </c>
      <c r="I117" s="910" t="e">
        <f>VLOOKUP(H113,'LƯƠNG KT'!$D$16:$Z$184,24,0)</f>
        <v>#N/A</v>
      </c>
      <c r="J117" s="609" t="e">
        <f>+I117*$L$6</f>
        <v>#N/A</v>
      </c>
      <c r="K117" s="935"/>
      <c r="L117" s="935"/>
      <c r="M117" s="935"/>
      <c r="N117" s="935"/>
      <c r="O117" s="935"/>
    </row>
    <row r="118" spans="1:15" ht="15" customHeight="1">
      <c r="A118" s="908" t="s">
        <v>2094</v>
      </c>
      <c r="B118" s="909" t="s">
        <v>2095</v>
      </c>
      <c r="C118" s="910" t="e">
        <f>VLOOKUP(B113,'LƯƠNG KT'!$D$16:$Z$184,19,0)</f>
        <v>#N/A</v>
      </c>
      <c r="D118" s="609" t="e">
        <f>+C118*$L$8</f>
        <v>#N/A</v>
      </c>
      <c r="E118" s="912"/>
      <c r="F118" s="912"/>
      <c r="G118" s="908" t="s">
        <v>2094</v>
      </c>
      <c r="H118" s="909" t="s">
        <v>2095</v>
      </c>
      <c r="I118" s="910" t="e">
        <f>VLOOKUP(H113,'LƯƠNG KT'!$D$16:$Z$184,19,0)</f>
        <v>#N/A</v>
      </c>
      <c r="J118" s="609" t="e">
        <f>+I118*$L$8</f>
        <v>#N/A</v>
      </c>
      <c r="K118" s="935"/>
      <c r="L118" s="935"/>
      <c r="M118" s="935"/>
      <c r="N118" s="935"/>
      <c r="O118" s="935"/>
    </row>
    <row r="119" spans="1:15" ht="15" customHeight="1">
      <c r="A119" s="908" t="s">
        <v>2096</v>
      </c>
      <c r="B119" s="913" t="s">
        <v>2097</v>
      </c>
      <c r="C119" s="910" t="e">
        <f>VLOOKUP(B113,'LƯƠNG KT'!$D$16:$Z$184,20,0)</f>
        <v>#N/A</v>
      </c>
      <c r="D119" s="609" t="e">
        <f>+C119*$L$9</f>
        <v>#N/A</v>
      </c>
      <c r="E119" s="912"/>
      <c r="F119" s="912"/>
      <c r="G119" s="908" t="s">
        <v>2096</v>
      </c>
      <c r="H119" s="913" t="s">
        <v>2097</v>
      </c>
      <c r="I119" s="910" t="e">
        <f>VLOOKUP(H113,'LƯƠNG KT'!$D$16:$Z$184,20,0)</f>
        <v>#N/A</v>
      </c>
      <c r="J119" s="609" t="e">
        <f>+I119*$L$9</f>
        <v>#N/A</v>
      </c>
      <c r="K119" s="935"/>
      <c r="L119" s="935"/>
      <c r="M119" s="935"/>
      <c r="N119" s="935"/>
      <c r="O119" s="935"/>
    </row>
    <row r="120" spans="1:15" ht="15" customHeight="1">
      <c r="A120" s="908" t="s">
        <v>2099</v>
      </c>
      <c r="B120" s="909" t="s">
        <v>2100</v>
      </c>
      <c r="C120" s="910" t="e">
        <f>VLOOKUP(B113,'LƯƠNG KT'!$D$16:$Z$184,17,0)</f>
        <v>#N/A</v>
      </c>
      <c r="D120" s="609" t="e">
        <f>+C120*$L$10</f>
        <v>#N/A</v>
      </c>
      <c r="E120" s="912"/>
      <c r="F120" s="912"/>
      <c r="G120" s="908" t="s">
        <v>2099</v>
      </c>
      <c r="H120" s="909" t="s">
        <v>2100</v>
      </c>
      <c r="I120" s="910" t="e">
        <f>VLOOKUP(H113,'LƯƠNG KT'!$D$16:$Z$184,17,0)</f>
        <v>#N/A</v>
      </c>
      <c r="J120" s="609" t="e">
        <f>+I120*$L$10</f>
        <v>#N/A</v>
      </c>
      <c r="K120" s="935"/>
      <c r="L120" s="935"/>
      <c r="M120" s="935"/>
      <c r="N120" s="935"/>
      <c r="O120" s="935"/>
    </row>
    <row r="121" spans="1:15" ht="15" customHeight="1">
      <c r="A121" s="908" t="s">
        <v>374</v>
      </c>
      <c r="B121" s="909" t="s">
        <v>2102</v>
      </c>
      <c r="C121" s="910" t="e">
        <f>VLOOKUP(B113,'LƯƠNG KT'!$D$16:$Z$184,12,0)</f>
        <v>#N/A</v>
      </c>
      <c r="D121" s="609" t="e">
        <f>VLOOKUP(B113,'LƯƠNG KT'!$D$16:$Z$184,14,0)</f>
        <v>#N/A</v>
      </c>
      <c r="E121" s="914"/>
      <c r="F121" s="912"/>
      <c r="G121" s="908" t="s">
        <v>374</v>
      </c>
      <c r="H121" s="909" t="s">
        <v>2102</v>
      </c>
      <c r="I121" s="910" t="e">
        <f>VLOOKUP(H113,'LƯƠNG KT'!$D$16:$Z$184,12,0)</f>
        <v>#N/A</v>
      </c>
      <c r="J121" s="609" t="e">
        <f>VLOOKUP(H113,'LƯƠNG KT'!$D$16:$Z$184,14,0)</f>
        <v>#N/A</v>
      </c>
      <c r="K121" s="935"/>
      <c r="L121" s="935"/>
      <c r="M121" s="935"/>
      <c r="N121" s="935"/>
      <c r="O121" s="935"/>
    </row>
    <row r="122" spans="1:15" ht="15" customHeight="1">
      <c r="A122" s="908" t="s">
        <v>2103</v>
      </c>
      <c r="B122" s="909" t="s">
        <v>2104</v>
      </c>
      <c r="D122" s="915" t="e">
        <f>VLOOKUP(B113,'LƯƠNG KT'!$D$16:$Z$184,13,0)</f>
        <v>#N/A</v>
      </c>
      <c r="E122" s="916"/>
      <c r="F122" s="916"/>
      <c r="G122" s="908" t="s">
        <v>2103</v>
      </c>
      <c r="H122" s="909" t="s">
        <v>2104</v>
      </c>
      <c r="J122" s="915" t="e">
        <f>VLOOKUP(H113,'LƯƠNG KT'!$D$16:$Z$184,13,0)</f>
        <v>#N/A</v>
      </c>
    </row>
    <row r="123" spans="1:15" ht="15" customHeight="1">
      <c r="A123" s="547"/>
      <c r="B123" s="546"/>
      <c r="C123" s="910"/>
      <c r="D123" s="609"/>
      <c r="E123" s="914"/>
      <c r="F123" s="916"/>
      <c r="G123" s="547"/>
      <c r="H123" s="546"/>
      <c r="I123" s="910"/>
      <c r="J123" s="609"/>
    </row>
    <row r="124" spans="1:15" ht="15" customHeight="1">
      <c r="A124" s="905"/>
      <c r="B124" s="546"/>
      <c r="C124" s="910"/>
      <c r="D124" s="609"/>
      <c r="E124" s="917"/>
      <c r="F124" s="904"/>
      <c r="G124" s="905"/>
      <c r="H124" s="546"/>
      <c r="I124" s="910"/>
      <c r="J124" s="609"/>
    </row>
    <row r="125" spans="1:15" ht="15" customHeight="1">
      <c r="A125" s="918" t="s">
        <v>383</v>
      </c>
      <c r="B125" s="919" t="s">
        <v>384</v>
      </c>
      <c r="C125" s="920"/>
      <c r="D125" s="921" t="e">
        <f>SUM(D114:D121)-D124</f>
        <v>#N/A</v>
      </c>
      <c r="E125" s="922"/>
      <c r="F125" s="923"/>
      <c r="G125" s="918" t="s">
        <v>383</v>
      </c>
      <c r="H125" s="919" t="s">
        <v>384</v>
      </c>
      <c r="I125" s="920"/>
      <c r="J125" s="921" t="e">
        <f>SUM(J114:J121)-J124</f>
        <v>#N/A</v>
      </c>
    </row>
    <row r="126" spans="1:15" ht="18.75" customHeight="1">
      <c r="A126" s="924"/>
      <c r="B126" s="925"/>
      <c r="C126" s="926"/>
      <c r="D126" s="927"/>
      <c r="E126" s="927"/>
      <c r="F126" s="928"/>
      <c r="G126" s="924"/>
      <c r="H126" s="925"/>
      <c r="I126" s="926"/>
      <c r="J126" s="927"/>
    </row>
    <row r="127" spans="1:15" ht="18.75" customHeight="1">
      <c r="A127" s="925"/>
      <c r="B127" s="925"/>
      <c r="C127" s="929"/>
      <c r="D127" s="930"/>
      <c r="E127" s="925"/>
      <c r="F127" s="931"/>
      <c r="G127" s="925"/>
      <c r="H127" s="925"/>
      <c r="I127" s="929"/>
      <c r="J127" s="930"/>
    </row>
    <row r="128" spans="1:15" ht="15" customHeight="1">
      <c r="A128" s="2360" t="str">
        <f>$K$2</f>
        <v>THÁNG 04/2025</v>
      </c>
      <c r="B128" s="2360"/>
      <c r="C128" s="2360"/>
      <c r="D128" s="2360"/>
      <c r="E128" s="903"/>
      <c r="F128" s="904"/>
      <c r="G128" s="2360" t="str">
        <f>$K$2</f>
        <v>THÁNG 04/2025</v>
      </c>
      <c r="H128" s="2360"/>
      <c r="I128" s="2360"/>
      <c r="J128" s="2360"/>
      <c r="K128" s="276"/>
    </row>
    <row r="129" spans="1:15" ht="15" customHeight="1">
      <c r="A129" s="905" t="s">
        <v>356</v>
      </c>
      <c r="B129" s="642" t="s">
        <v>397</v>
      </c>
      <c r="C129" s="546"/>
      <c r="D129" s="902"/>
      <c r="E129" s="906"/>
      <c r="F129" s="907"/>
      <c r="G129" s="905" t="s">
        <v>356</v>
      </c>
      <c r="H129" s="642" t="s">
        <v>1938</v>
      </c>
      <c r="I129" s="546"/>
      <c r="J129" s="902"/>
      <c r="L129" s="938"/>
      <c r="M129" s="938"/>
      <c r="N129" s="938"/>
      <c r="O129" s="938"/>
    </row>
    <row r="130" spans="1:15" ht="15" customHeight="1">
      <c r="A130" s="908" t="s">
        <v>359</v>
      </c>
      <c r="B130" s="909" t="s">
        <v>2090</v>
      </c>
      <c r="C130" s="910" t="e">
        <f>VLOOKUP(B129,'LƯƠNG KT'!$D$16:$Z$184,4,0)</f>
        <v>#N/A</v>
      </c>
      <c r="D130" s="609" t="e">
        <f>+C130*25000</f>
        <v>#N/A</v>
      </c>
      <c r="E130" s="911"/>
      <c r="F130" s="911"/>
      <c r="G130" s="908" t="s">
        <v>359</v>
      </c>
      <c r="H130" s="909" t="s">
        <v>2090</v>
      </c>
      <c r="I130" s="910" t="e">
        <f>VLOOKUP(H129,'LƯƠNG KT'!$D$16:$Z$184,4,0)</f>
        <v>#N/A</v>
      </c>
      <c r="J130" s="609" t="e">
        <f>+I130*25000</f>
        <v>#N/A</v>
      </c>
      <c r="K130" s="935"/>
      <c r="L130" s="935"/>
      <c r="M130" s="935"/>
      <c r="N130" s="935"/>
      <c r="O130" s="935"/>
    </row>
    <row r="131" spans="1:15" ht="15" customHeight="1">
      <c r="A131" s="908" t="s">
        <v>361</v>
      </c>
      <c r="B131" s="909" t="s">
        <v>2091</v>
      </c>
      <c r="C131" s="910" t="e">
        <f>VLOOKUP(B129,'LƯƠNG KT'!$D$16:$Z$184,15,0)</f>
        <v>#N/A</v>
      </c>
      <c r="D131" s="609" t="e">
        <f>C131*$L$4</f>
        <v>#N/A</v>
      </c>
      <c r="E131" s="912"/>
      <c r="F131" s="912"/>
      <c r="G131" s="908" t="s">
        <v>361</v>
      </c>
      <c r="H131" s="909" t="s">
        <v>2091</v>
      </c>
      <c r="I131" s="910" t="e">
        <f>VLOOKUP(H129,'LƯƠNG KT'!$D$16:$Z$184,15,0)</f>
        <v>#N/A</v>
      </c>
      <c r="J131" s="609" t="e">
        <f>I131*$L$4</f>
        <v>#N/A</v>
      </c>
      <c r="K131" s="935"/>
      <c r="L131" s="935"/>
      <c r="M131" s="935"/>
      <c r="N131" s="935"/>
      <c r="O131" s="935"/>
    </row>
    <row r="132" spans="1:15" ht="15" customHeight="1">
      <c r="A132" s="908" t="s">
        <v>364</v>
      </c>
      <c r="B132" s="909" t="s">
        <v>2092</v>
      </c>
      <c r="C132" s="910" t="e">
        <f>VLOOKUP(B129,'LƯƠNG KT'!$D$16:$Z$184,16,0)</f>
        <v>#N/A</v>
      </c>
      <c r="D132" s="609" t="e">
        <f>C132*$L$5</f>
        <v>#N/A</v>
      </c>
      <c r="E132" s="912"/>
      <c r="F132" s="912"/>
      <c r="G132" s="908" t="s">
        <v>364</v>
      </c>
      <c r="H132" s="909" t="s">
        <v>2092</v>
      </c>
      <c r="I132" s="910" t="e">
        <f>VLOOKUP(H129,'LƯƠNG KT'!$D$16:$Z$184,16,0)</f>
        <v>#N/A</v>
      </c>
      <c r="J132" s="609" t="e">
        <f>I132*$L$5</f>
        <v>#N/A</v>
      </c>
      <c r="K132" s="935"/>
      <c r="L132" s="935"/>
      <c r="M132" s="935"/>
      <c r="N132" s="935"/>
      <c r="O132" s="935"/>
    </row>
    <row r="133" spans="1:15" ht="15" customHeight="1">
      <c r="A133" s="908" t="s">
        <v>370</v>
      </c>
      <c r="B133" s="909" t="s">
        <v>2093</v>
      </c>
      <c r="C133" s="910" t="e">
        <f>VLOOKUP(B129,'LƯƠNG KT'!$D$16:$Z$184,24,0)</f>
        <v>#N/A</v>
      </c>
      <c r="D133" s="609" t="e">
        <f>+C133*$L$6</f>
        <v>#N/A</v>
      </c>
      <c r="E133" s="912"/>
      <c r="F133" s="912"/>
      <c r="G133" s="908" t="s">
        <v>370</v>
      </c>
      <c r="H133" s="909" t="s">
        <v>2093</v>
      </c>
      <c r="I133" s="910" t="e">
        <f>VLOOKUP(H129,'LƯƠNG KT'!$D$16:$Z$184,24,0)</f>
        <v>#N/A</v>
      </c>
      <c r="J133" s="609" t="e">
        <f>+I133*$L$6</f>
        <v>#N/A</v>
      </c>
      <c r="K133" s="935"/>
      <c r="L133" s="935"/>
      <c r="M133" s="935"/>
      <c r="N133" s="935"/>
      <c r="O133" s="935"/>
    </row>
    <row r="134" spans="1:15" ht="15" customHeight="1">
      <c r="A134" s="908" t="s">
        <v>2094</v>
      </c>
      <c r="B134" s="909" t="s">
        <v>2095</v>
      </c>
      <c r="C134" s="910" t="e">
        <f>VLOOKUP(B129,'LƯƠNG KT'!$D$16:$Z$184,19,0)</f>
        <v>#N/A</v>
      </c>
      <c r="D134" s="609" t="e">
        <f>+C134*$L$8</f>
        <v>#N/A</v>
      </c>
      <c r="E134" s="912"/>
      <c r="F134" s="912"/>
      <c r="G134" s="908" t="s">
        <v>2094</v>
      </c>
      <c r="H134" s="909" t="s">
        <v>2095</v>
      </c>
      <c r="I134" s="910" t="e">
        <f>VLOOKUP(H129,'LƯƠNG KT'!$D$16:$Z$184,19,0)</f>
        <v>#N/A</v>
      </c>
      <c r="J134" s="609" t="e">
        <f>+I134*$L$8</f>
        <v>#N/A</v>
      </c>
      <c r="K134" s="935"/>
      <c r="L134" s="935"/>
      <c r="M134" s="935"/>
      <c r="N134" s="935"/>
      <c r="O134" s="935"/>
    </row>
    <row r="135" spans="1:15" ht="15" customHeight="1">
      <c r="A135" s="908" t="s">
        <v>2096</v>
      </c>
      <c r="B135" s="913" t="s">
        <v>2097</v>
      </c>
      <c r="C135" s="910" t="e">
        <f>VLOOKUP(B129,'LƯƠNG KT'!$D$16:$Z$184,20,0)</f>
        <v>#N/A</v>
      </c>
      <c r="D135" s="609" t="e">
        <f>+C135*$L$9</f>
        <v>#N/A</v>
      </c>
      <c r="E135" s="912"/>
      <c r="F135" s="912"/>
      <c r="G135" s="908" t="s">
        <v>2096</v>
      </c>
      <c r="H135" s="913" t="s">
        <v>2097</v>
      </c>
      <c r="I135" s="910" t="e">
        <f>VLOOKUP(H129,'LƯƠNG KT'!$D$16:$Z$184,20,0)</f>
        <v>#N/A</v>
      </c>
      <c r="J135" s="609" t="e">
        <f>+I135*$L$9</f>
        <v>#N/A</v>
      </c>
      <c r="K135" s="935"/>
      <c r="L135" s="935"/>
      <c r="M135" s="935"/>
      <c r="N135" s="935"/>
      <c r="O135" s="935"/>
    </row>
    <row r="136" spans="1:15" ht="15" customHeight="1">
      <c r="A136" s="908" t="s">
        <v>2099</v>
      </c>
      <c r="B136" s="909" t="s">
        <v>2100</v>
      </c>
      <c r="C136" s="910" t="e">
        <f>VLOOKUP(B129,'LƯƠNG KT'!$D$16:$Z$184,17,0)</f>
        <v>#N/A</v>
      </c>
      <c r="D136" s="609" t="e">
        <f>+C136*$L$10</f>
        <v>#N/A</v>
      </c>
      <c r="E136" s="912"/>
      <c r="F136" s="912"/>
      <c r="G136" s="908" t="s">
        <v>2099</v>
      </c>
      <c r="H136" s="909" t="s">
        <v>2100</v>
      </c>
      <c r="I136" s="910" t="e">
        <f>VLOOKUP(H129,'LƯƠNG KT'!$D$16:$Z$184,17,0)</f>
        <v>#N/A</v>
      </c>
      <c r="J136" s="609" t="e">
        <f>+I136*$L$10</f>
        <v>#N/A</v>
      </c>
      <c r="K136" s="935"/>
      <c r="L136" s="935"/>
      <c r="M136" s="935"/>
      <c r="N136" s="935"/>
      <c r="O136" s="935"/>
    </row>
    <row r="137" spans="1:15" ht="15" customHeight="1">
      <c r="A137" s="908" t="s">
        <v>374</v>
      </c>
      <c r="B137" s="909" t="s">
        <v>2102</v>
      </c>
      <c r="C137" s="910" t="e">
        <f>VLOOKUP(B129,'LƯƠNG KT'!$D$16:$Z$184,12,0)</f>
        <v>#N/A</v>
      </c>
      <c r="D137" s="609" t="e">
        <f>VLOOKUP(B129,'LƯƠNG KT'!$D$16:$Z$184,14,0)</f>
        <v>#N/A</v>
      </c>
      <c r="E137" s="914"/>
      <c r="F137" s="912"/>
      <c r="G137" s="908" t="s">
        <v>374</v>
      </c>
      <c r="H137" s="909" t="s">
        <v>2102</v>
      </c>
      <c r="I137" s="910" t="e">
        <f>VLOOKUP(H129,'LƯƠNG KT'!$D$16:$Z$184,12,0)</f>
        <v>#N/A</v>
      </c>
      <c r="J137" s="609" t="e">
        <f>VLOOKUP(H129,'LƯƠNG KT'!$D$16:$Z$184,14,0)</f>
        <v>#N/A</v>
      </c>
      <c r="K137" s="935"/>
      <c r="L137" s="935"/>
      <c r="M137" s="935"/>
      <c r="N137" s="935"/>
      <c r="O137" s="935"/>
    </row>
    <row r="138" spans="1:15" ht="15" customHeight="1">
      <c r="A138" s="908" t="s">
        <v>2103</v>
      </c>
      <c r="B138" s="909" t="s">
        <v>2104</v>
      </c>
      <c r="D138" s="915" t="e">
        <f>VLOOKUP(B129,'LƯƠNG KT'!$D$16:$Z$184,13,0)</f>
        <v>#N/A</v>
      </c>
      <c r="E138" s="916"/>
      <c r="F138" s="916"/>
      <c r="G138" s="908" t="s">
        <v>2103</v>
      </c>
      <c r="H138" s="909" t="s">
        <v>2104</v>
      </c>
      <c r="J138" s="915" t="e">
        <f>VLOOKUP(H129,'LƯƠNG KT'!$D$16:$Z$184,13,0)</f>
        <v>#N/A</v>
      </c>
    </row>
    <row r="139" spans="1:15" ht="15" customHeight="1">
      <c r="A139" s="547"/>
      <c r="B139" s="546"/>
      <c r="C139" s="910"/>
      <c r="D139" s="609"/>
      <c r="E139" s="914"/>
      <c r="F139" s="916"/>
      <c r="G139" s="547"/>
      <c r="H139" s="546"/>
      <c r="I139" s="910"/>
      <c r="J139" s="609"/>
    </row>
    <row r="140" spans="1:15" ht="15" customHeight="1">
      <c r="A140" s="905"/>
      <c r="B140" s="546"/>
      <c r="C140" s="910"/>
      <c r="D140" s="609"/>
      <c r="E140" s="917"/>
      <c r="F140" s="904"/>
      <c r="G140" s="905"/>
      <c r="H140" s="546"/>
      <c r="I140" s="910"/>
      <c r="J140" s="609"/>
    </row>
    <row r="141" spans="1:15" ht="15" customHeight="1">
      <c r="A141" s="918" t="s">
        <v>383</v>
      </c>
      <c r="B141" s="919" t="s">
        <v>384</v>
      </c>
      <c r="C141" s="920"/>
      <c r="D141" s="921" t="e">
        <f>SUM(D130:D137)-D140</f>
        <v>#N/A</v>
      </c>
      <c r="E141" s="922"/>
      <c r="F141" s="923"/>
      <c r="G141" s="918" t="s">
        <v>383</v>
      </c>
      <c r="H141" s="919" t="s">
        <v>384</v>
      </c>
      <c r="I141" s="920"/>
      <c r="J141" s="921" t="e">
        <f>SUM(J130:J137)-J140</f>
        <v>#N/A</v>
      </c>
    </row>
    <row r="142" spans="1:15" ht="15.75" customHeight="1">
      <c r="A142" s="924"/>
      <c r="B142" s="925"/>
      <c r="C142" s="926"/>
      <c r="D142" s="927"/>
      <c r="E142" s="927"/>
      <c r="F142" s="928"/>
      <c r="G142" s="924"/>
      <c r="H142" s="925"/>
      <c r="I142" s="926"/>
      <c r="J142" s="927"/>
    </row>
    <row r="144" spans="1:15" ht="12" customHeight="1">
      <c r="A144" s="2361"/>
      <c r="B144" s="2361"/>
      <c r="C144" s="2361"/>
      <c r="D144" s="2361"/>
      <c r="E144" s="2361"/>
      <c r="F144" s="2361"/>
      <c r="G144" s="2361"/>
      <c r="H144" s="2361"/>
      <c r="I144" s="2361"/>
      <c r="J144" s="2361"/>
    </row>
    <row r="145" spans="1:15" ht="15" customHeight="1">
      <c r="A145" s="2360" t="str">
        <f>$K$2</f>
        <v>THÁNG 04/2025</v>
      </c>
      <c r="B145" s="2360"/>
      <c r="C145" s="2360"/>
      <c r="D145" s="2360"/>
      <c r="E145" s="903"/>
      <c r="F145" s="904"/>
      <c r="G145" s="2360" t="str">
        <f>$K$2</f>
        <v>THÁNG 04/2025</v>
      </c>
      <c r="H145" s="2360"/>
      <c r="I145" s="2360"/>
      <c r="J145" s="2360"/>
      <c r="K145" s="276"/>
    </row>
    <row r="146" spans="1:15" ht="15" customHeight="1">
      <c r="A146" s="905" t="s">
        <v>356</v>
      </c>
      <c r="B146" s="642" t="s">
        <v>399</v>
      </c>
      <c r="C146" s="546"/>
      <c r="D146" s="902"/>
      <c r="E146" s="906"/>
      <c r="F146" s="907"/>
      <c r="G146" s="905" t="s">
        <v>356</v>
      </c>
      <c r="H146" s="642" t="s">
        <v>400</v>
      </c>
      <c r="I146" s="546"/>
      <c r="J146" s="902"/>
      <c r="L146" s="938"/>
      <c r="M146" s="938"/>
      <c r="N146" s="938"/>
      <c r="O146" s="938"/>
    </row>
    <row r="147" spans="1:15" ht="15" customHeight="1">
      <c r="A147" s="908" t="s">
        <v>359</v>
      </c>
      <c r="B147" s="909" t="s">
        <v>2090</v>
      </c>
      <c r="C147" s="910" t="e">
        <f>VLOOKUP(B146,'LƯƠNG KT'!$D$16:$Z$184,4,0)</f>
        <v>#N/A</v>
      </c>
      <c r="D147" s="609" t="e">
        <f>+C147*25000</f>
        <v>#N/A</v>
      </c>
      <c r="E147" s="911"/>
      <c r="F147" s="911"/>
      <c r="G147" s="908" t="s">
        <v>359</v>
      </c>
      <c r="H147" s="909" t="s">
        <v>2090</v>
      </c>
      <c r="I147" s="910" t="e">
        <f>VLOOKUP(H146,'LƯƠNG KT'!$D$16:$Z$184,4,0)</f>
        <v>#N/A</v>
      </c>
      <c r="J147" s="609" t="e">
        <f>+I147*25000</f>
        <v>#N/A</v>
      </c>
      <c r="K147" s="934"/>
      <c r="L147" s="935"/>
      <c r="M147" s="935"/>
      <c r="N147" s="935"/>
      <c r="O147" s="935"/>
    </row>
    <row r="148" spans="1:15" ht="15" customHeight="1">
      <c r="A148" s="908" t="s">
        <v>361</v>
      </c>
      <c r="B148" s="909" t="s">
        <v>2091</v>
      </c>
      <c r="C148" s="910" t="e">
        <f>VLOOKUP(B146,'LƯƠNG KT'!$D$16:$Z$184,15,0)</f>
        <v>#N/A</v>
      </c>
      <c r="D148" s="609" t="e">
        <f>C148*$L$4</f>
        <v>#N/A</v>
      </c>
      <c r="E148" s="912"/>
      <c r="F148" s="912"/>
      <c r="G148" s="908" t="s">
        <v>361</v>
      </c>
      <c r="H148" s="909" t="s">
        <v>2091</v>
      </c>
      <c r="I148" s="910" t="e">
        <f>VLOOKUP(H146,'LƯƠNG KT'!$D$16:$Z$184,15,0)</f>
        <v>#N/A</v>
      </c>
      <c r="J148" s="609" t="e">
        <f>I148*$L$4</f>
        <v>#N/A</v>
      </c>
      <c r="K148" s="934"/>
      <c r="L148" s="935"/>
      <c r="M148" s="935"/>
      <c r="N148" s="935"/>
      <c r="O148" s="935"/>
    </row>
    <row r="149" spans="1:15" ht="15" customHeight="1">
      <c r="A149" s="908" t="s">
        <v>364</v>
      </c>
      <c r="B149" s="909" t="s">
        <v>2092</v>
      </c>
      <c r="C149" s="910" t="e">
        <f>VLOOKUP(B146,'LƯƠNG KT'!$D$16:$Z$184,16,0)</f>
        <v>#N/A</v>
      </c>
      <c r="D149" s="609" t="e">
        <f>C149*$L$5</f>
        <v>#N/A</v>
      </c>
      <c r="E149" s="912"/>
      <c r="F149" s="912"/>
      <c r="G149" s="908" t="s">
        <v>364</v>
      </c>
      <c r="H149" s="909" t="s">
        <v>2092</v>
      </c>
      <c r="I149" s="910" t="e">
        <f>VLOOKUP(H146,'LƯƠNG KT'!$D$16:$Z$184,16,0)</f>
        <v>#N/A</v>
      </c>
      <c r="J149" s="609" t="e">
        <f>I149*$L$5</f>
        <v>#N/A</v>
      </c>
      <c r="K149" s="934"/>
      <c r="L149" s="935"/>
      <c r="M149" s="935"/>
      <c r="N149" s="935"/>
      <c r="O149" s="935"/>
    </row>
    <row r="150" spans="1:15" ht="15" customHeight="1">
      <c r="A150" s="908" t="s">
        <v>370</v>
      </c>
      <c r="B150" s="909" t="s">
        <v>2093</v>
      </c>
      <c r="C150" s="910" t="e">
        <f>VLOOKUP(B146,'LƯƠNG KT'!$D$16:$Z$184,24,0)</f>
        <v>#N/A</v>
      </c>
      <c r="D150" s="609" t="e">
        <f>+C150*$L$6</f>
        <v>#N/A</v>
      </c>
      <c r="E150" s="912"/>
      <c r="F150" s="912"/>
      <c r="G150" s="908" t="s">
        <v>370</v>
      </c>
      <c r="H150" s="909" t="s">
        <v>2093</v>
      </c>
      <c r="I150" s="910" t="e">
        <f>VLOOKUP(H146,'LƯƠNG KT'!$D$16:$Z$184,24,0)</f>
        <v>#N/A</v>
      </c>
      <c r="J150" s="609" t="e">
        <f>+I150*$L$6</f>
        <v>#N/A</v>
      </c>
      <c r="K150" s="935"/>
      <c r="L150" s="935"/>
      <c r="M150" s="935"/>
      <c r="N150" s="935"/>
      <c r="O150" s="935"/>
    </row>
    <row r="151" spans="1:15" ht="15" customHeight="1">
      <c r="A151" s="908" t="s">
        <v>2094</v>
      </c>
      <c r="B151" s="909" t="s">
        <v>2095</v>
      </c>
      <c r="C151" s="910" t="e">
        <f>VLOOKUP(B146,'LƯƠNG KT'!$D$16:$Z$184,19,0)</f>
        <v>#N/A</v>
      </c>
      <c r="D151" s="609" t="e">
        <f>+C151*$L$8</f>
        <v>#N/A</v>
      </c>
      <c r="E151" s="912"/>
      <c r="F151" s="912"/>
      <c r="G151" s="908" t="s">
        <v>2094</v>
      </c>
      <c r="H151" s="909" t="s">
        <v>2095</v>
      </c>
      <c r="I151" s="910" t="e">
        <f>VLOOKUP(H146,'LƯƠNG KT'!$D$16:$Z$184,19,0)</f>
        <v>#N/A</v>
      </c>
      <c r="J151" s="609" t="e">
        <f>+I151*$L$8</f>
        <v>#N/A</v>
      </c>
      <c r="K151" s="935"/>
      <c r="L151" s="935"/>
      <c r="M151" s="935"/>
      <c r="N151" s="935"/>
      <c r="O151" s="935"/>
    </row>
    <row r="152" spans="1:15" ht="15" customHeight="1">
      <c r="A152" s="908" t="s">
        <v>2096</v>
      </c>
      <c r="B152" s="913" t="s">
        <v>2097</v>
      </c>
      <c r="C152" s="910" t="e">
        <f>VLOOKUP(B146,'LƯƠNG KT'!$D$16:$Z$184,20,0)</f>
        <v>#N/A</v>
      </c>
      <c r="D152" s="609" t="e">
        <f>+C152*$L$9</f>
        <v>#N/A</v>
      </c>
      <c r="E152" s="912"/>
      <c r="F152" s="912"/>
      <c r="G152" s="908" t="s">
        <v>2096</v>
      </c>
      <c r="H152" s="913" t="s">
        <v>2097</v>
      </c>
      <c r="I152" s="910" t="e">
        <f>VLOOKUP(H146,'LƯƠNG KT'!$D$16:$Z$184,20,0)</f>
        <v>#N/A</v>
      </c>
      <c r="J152" s="609" t="e">
        <f>+I152*$L$9</f>
        <v>#N/A</v>
      </c>
      <c r="K152" s="935"/>
      <c r="L152" s="935"/>
      <c r="M152" s="935"/>
      <c r="N152" s="935"/>
      <c r="O152" s="935"/>
    </row>
    <row r="153" spans="1:15" ht="15" customHeight="1">
      <c r="A153" s="908" t="s">
        <v>2099</v>
      </c>
      <c r="B153" s="909" t="s">
        <v>2100</v>
      </c>
      <c r="C153" s="910" t="e">
        <f>VLOOKUP(B146,'LƯƠNG KT'!$D$16:$Z$184,17,0)</f>
        <v>#N/A</v>
      </c>
      <c r="D153" s="609" t="e">
        <f>+C153*$L$10</f>
        <v>#N/A</v>
      </c>
      <c r="E153" s="912"/>
      <c r="F153" s="912"/>
      <c r="G153" s="908" t="s">
        <v>2099</v>
      </c>
      <c r="H153" s="909" t="s">
        <v>2100</v>
      </c>
      <c r="I153" s="910" t="e">
        <f>VLOOKUP(H146,'LƯƠNG KT'!$D$16:$Z$184,17,0)</f>
        <v>#N/A</v>
      </c>
      <c r="J153" s="609" t="e">
        <f>+I153*$L$10</f>
        <v>#N/A</v>
      </c>
      <c r="K153" s="935"/>
      <c r="L153" s="935"/>
      <c r="M153" s="935"/>
      <c r="N153" s="935"/>
      <c r="O153" s="935"/>
    </row>
    <row r="154" spans="1:15" ht="15" customHeight="1">
      <c r="A154" s="908" t="s">
        <v>374</v>
      </c>
      <c r="B154" s="909" t="s">
        <v>2102</v>
      </c>
      <c r="C154" s="910" t="e">
        <f>VLOOKUP(B146,'LƯƠNG KT'!$D$16:$Z$184,12,0)</f>
        <v>#N/A</v>
      </c>
      <c r="D154" s="609" t="e">
        <f>VLOOKUP(B146,'LƯƠNG KT'!$D$16:$Z$184,14,0)</f>
        <v>#N/A</v>
      </c>
      <c r="E154" s="914"/>
      <c r="F154" s="912"/>
      <c r="G154" s="908" t="s">
        <v>374</v>
      </c>
      <c r="H154" s="909" t="s">
        <v>2102</v>
      </c>
      <c r="I154" s="910" t="e">
        <f>VLOOKUP(H146,'LƯƠNG KT'!$D$16:$Z$184,12,0)</f>
        <v>#N/A</v>
      </c>
      <c r="J154" s="609" t="e">
        <f>VLOOKUP(H146,'LƯƠNG KT'!$D$16:$Z$184,14,0)</f>
        <v>#N/A</v>
      </c>
      <c r="K154" s="935"/>
      <c r="L154" s="935"/>
      <c r="M154" s="935"/>
      <c r="N154" s="935"/>
      <c r="O154" s="935"/>
    </row>
    <row r="155" spans="1:15" ht="15" customHeight="1">
      <c r="A155" s="908" t="s">
        <v>2103</v>
      </c>
      <c r="B155" s="909" t="s">
        <v>2104</v>
      </c>
      <c r="D155" s="915" t="e">
        <f>VLOOKUP(B146,'LƯƠNG KT'!$D$16:$Z$184,13,0)</f>
        <v>#N/A</v>
      </c>
      <c r="E155" s="916"/>
      <c r="F155" s="916"/>
      <c r="G155" s="908" t="s">
        <v>2103</v>
      </c>
      <c r="H155" s="909" t="s">
        <v>2104</v>
      </c>
      <c r="J155" s="915" t="e">
        <f>VLOOKUP(H146,'LƯƠNG KT'!$D$16:$Z$184,13,0)</f>
        <v>#N/A</v>
      </c>
    </row>
    <row r="156" spans="1:15" ht="15" customHeight="1">
      <c r="A156" s="547"/>
      <c r="B156" s="546"/>
      <c r="C156" s="910"/>
      <c r="D156" s="609"/>
      <c r="E156" s="914"/>
      <c r="F156" s="916"/>
      <c r="G156" s="547"/>
      <c r="H156" s="546"/>
      <c r="I156" s="910"/>
      <c r="J156" s="609"/>
    </row>
    <row r="157" spans="1:15" ht="15" customHeight="1">
      <c r="A157" s="905"/>
      <c r="B157" s="546"/>
      <c r="C157" s="910"/>
      <c r="D157" s="609"/>
      <c r="E157" s="917"/>
      <c r="F157" s="904"/>
      <c r="G157" s="905"/>
      <c r="H157" s="546"/>
      <c r="I157" s="910"/>
      <c r="J157" s="609"/>
    </row>
    <row r="158" spans="1:15" ht="15" customHeight="1">
      <c r="A158" s="918" t="s">
        <v>383</v>
      </c>
      <c r="B158" s="919" t="s">
        <v>384</v>
      </c>
      <c r="C158" s="920"/>
      <c r="D158" s="921" t="e">
        <f>SUM(D147:D154)-D157</f>
        <v>#N/A</v>
      </c>
      <c r="E158" s="922"/>
      <c r="F158" s="923"/>
      <c r="G158" s="918" t="s">
        <v>383</v>
      </c>
      <c r="H158" s="919" t="s">
        <v>384</v>
      </c>
      <c r="I158" s="920"/>
      <c r="J158" s="921" t="e">
        <f>SUM(J147:J154)-J157</f>
        <v>#N/A</v>
      </c>
    </row>
    <row r="159" spans="1:15" ht="12.6" customHeight="1">
      <c r="A159" s="924"/>
      <c r="B159" s="925"/>
      <c r="C159" s="926"/>
      <c r="D159" s="927"/>
      <c r="E159" s="927"/>
      <c r="F159" s="928"/>
      <c r="G159" s="924"/>
      <c r="H159" s="925"/>
      <c r="I159" s="926"/>
      <c r="J159" s="927"/>
    </row>
    <row r="160" spans="1:15" ht="12.6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2.6" customHeight="1">
      <c r="A161" s="924"/>
      <c r="B161" s="925"/>
      <c r="C161" s="926"/>
      <c r="D161" s="927"/>
      <c r="E161" s="927"/>
      <c r="F161" s="928"/>
      <c r="G161" s="924"/>
      <c r="H161" s="925"/>
      <c r="I161" s="926"/>
      <c r="J161" s="927"/>
    </row>
    <row r="162" spans="1:15" ht="12.6" customHeight="1">
      <c r="A162" s="924"/>
      <c r="B162" s="925"/>
      <c r="C162" s="926"/>
      <c r="D162" s="927"/>
      <c r="E162" s="927"/>
      <c r="F162" s="928"/>
      <c r="G162" s="924"/>
      <c r="H162" s="925"/>
      <c r="I162" s="926"/>
      <c r="J162" s="927"/>
    </row>
    <row r="163" spans="1:15" ht="12.6" customHeight="1">
      <c r="A163" s="924"/>
      <c r="B163" s="925"/>
      <c r="C163" s="926"/>
      <c r="D163" s="927"/>
      <c r="E163" s="927"/>
      <c r="F163" s="928"/>
      <c r="G163" s="924"/>
      <c r="H163" s="925"/>
      <c r="I163" s="926"/>
      <c r="J163" s="927"/>
    </row>
    <row r="164" spans="1:15" ht="12.6" customHeight="1">
      <c r="A164" s="924"/>
      <c r="B164" s="925"/>
      <c r="C164" s="926"/>
      <c r="D164" s="927"/>
      <c r="E164" s="927"/>
      <c r="F164" s="928"/>
      <c r="G164" s="924"/>
      <c r="H164" s="925"/>
      <c r="I164" s="926"/>
      <c r="J164" s="927"/>
    </row>
    <row r="165" spans="1:15" ht="12.6" customHeight="1">
      <c r="A165" s="924"/>
      <c r="B165" s="925"/>
      <c r="C165" s="926"/>
      <c r="D165" s="927"/>
      <c r="E165" s="927"/>
      <c r="F165" s="928"/>
      <c r="G165" s="924"/>
      <c r="H165" s="925"/>
      <c r="I165" s="926"/>
      <c r="J165" s="927"/>
    </row>
    <row r="166" spans="1:15" ht="12.6" customHeight="1">
      <c r="A166" s="924"/>
      <c r="B166" s="925"/>
      <c r="C166" s="926"/>
      <c r="D166" s="927"/>
      <c r="E166" s="927"/>
      <c r="F166" s="928"/>
      <c r="G166" s="924"/>
      <c r="H166" s="925"/>
      <c r="I166" s="926"/>
      <c r="J166" s="927"/>
    </row>
    <row r="167" spans="1:15" ht="12.6" customHeight="1">
      <c r="A167" s="924"/>
      <c r="B167" s="925"/>
      <c r="C167" s="926"/>
      <c r="D167" s="927"/>
      <c r="E167" s="927"/>
      <c r="F167" s="928"/>
      <c r="G167" s="924"/>
      <c r="H167" s="925"/>
      <c r="I167" s="926"/>
      <c r="J167" s="927"/>
    </row>
    <row r="168" spans="1:15" ht="12.6" customHeight="1">
      <c r="A168" s="924"/>
      <c r="B168" s="925"/>
      <c r="C168" s="926"/>
      <c r="D168" s="927"/>
      <c r="E168" s="927"/>
      <c r="F168" s="928"/>
      <c r="G168" s="924"/>
      <c r="H168" s="925"/>
      <c r="I168" s="926"/>
      <c r="J168" s="927"/>
    </row>
    <row r="169" spans="1:15" ht="12.6" customHeight="1">
      <c r="A169" s="924"/>
      <c r="B169" s="925"/>
      <c r="C169" s="926"/>
      <c r="D169" s="927"/>
      <c r="E169" s="927"/>
      <c r="F169" s="928"/>
      <c r="G169" s="924"/>
      <c r="H169" s="925"/>
      <c r="I169" s="926"/>
      <c r="J169" s="927"/>
    </row>
    <row r="170" spans="1:15" ht="12.6" customHeight="1">
      <c r="A170" s="925"/>
      <c r="B170" s="925"/>
      <c r="C170" s="929"/>
      <c r="D170" s="930"/>
      <c r="E170" s="925"/>
      <c r="F170" s="931"/>
      <c r="G170" s="925"/>
      <c r="H170" s="925"/>
      <c r="I170" s="929"/>
      <c r="J170" s="930"/>
    </row>
    <row r="171" spans="1:15" ht="15" customHeight="1">
      <c r="A171" s="2360" t="str">
        <f>$K$2</f>
        <v>THÁNG 04/2025</v>
      </c>
      <c r="B171" s="2360"/>
      <c r="C171" s="2360"/>
      <c r="D171" s="2360"/>
      <c r="E171" s="903"/>
      <c r="F171" s="904"/>
      <c r="G171" s="2360" t="str">
        <f>$K$2</f>
        <v>THÁNG 04/2025</v>
      </c>
      <c r="H171" s="2360"/>
      <c r="I171" s="2360"/>
      <c r="J171" s="2360"/>
      <c r="K171" s="276"/>
    </row>
    <row r="172" spans="1:15" ht="15" customHeight="1">
      <c r="A172" s="905" t="s">
        <v>356</v>
      </c>
      <c r="B172" s="642" t="s">
        <v>401</v>
      </c>
      <c r="C172" s="546"/>
      <c r="D172" s="902"/>
      <c r="E172" s="906"/>
      <c r="F172" s="907"/>
      <c r="G172" s="905" t="s">
        <v>356</v>
      </c>
      <c r="H172" s="642" t="s">
        <v>402</v>
      </c>
      <c r="I172" s="546"/>
      <c r="J172" s="902"/>
      <c r="L172" s="938"/>
      <c r="M172" s="938"/>
      <c r="N172" s="938"/>
      <c r="O172" s="938"/>
    </row>
    <row r="173" spans="1:15" ht="15" customHeight="1">
      <c r="A173" s="908" t="s">
        <v>359</v>
      </c>
      <c r="B173" s="909" t="s">
        <v>2090</v>
      </c>
      <c r="C173" s="910" t="e">
        <f>VLOOKUP(B172,'LƯƠNG KT'!$D$16:$Z$184,4,0)</f>
        <v>#N/A</v>
      </c>
      <c r="D173" s="609" t="e">
        <f>+C173*25000</f>
        <v>#N/A</v>
      </c>
      <c r="E173" s="911"/>
      <c r="F173" s="911"/>
      <c r="G173" s="908" t="s">
        <v>359</v>
      </c>
      <c r="H173" s="909" t="s">
        <v>2090</v>
      </c>
      <c r="I173" s="910" t="e">
        <f>VLOOKUP(H172,'LƯƠNG KT'!$D$16:$Z$184,4,0)</f>
        <v>#N/A</v>
      </c>
      <c r="J173" s="609" t="e">
        <f>+I173*25000</f>
        <v>#N/A</v>
      </c>
      <c r="K173" s="935"/>
      <c r="L173" s="935"/>
      <c r="M173" s="935"/>
      <c r="N173" s="935"/>
      <c r="O173" s="935"/>
    </row>
    <row r="174" spans="1:15" ht="15" customHeight="1">
      <c r="A174" s="908" t="s">
        <v>361</v>
      </c>
      <c r="B174" s="909" t="s">
        <v>2091</v>
      </c>
      <c r="C174" s="910" t="e">
        <f>VLOOKUP(B172,'LƯƠNG KT'!$D$16:$Z$184,15,0)</f>
        <v>#N/A</v>
      </c>
      <c r="D174" s="609" t="e">
        <f>C174*$L$4</f>
        <v>#N/A</v>
      </c>
      <c r="E174" s="912"/>
      <c r="F174" s="912"/>
      <c r="G174" s="908" t="s">
        <v>361</v>
      </c>
      <c r="H174" s="909" t="s">
        <v>2091</v>
      </c>
      <c r="I174" s="910" t="e">
        <f>VLOOKUP(H172,'LƯƠNG KT'!$D$16:$Z$184,15,0)</f>
        <v>#N/A</v>
      </c>
      <c r="J174" s="609" t="e">
        <f>I174*$L$4</f>
        <v>#N/A</v>
      </c>
      <c r="K174" s="935"/>
      <c r="L174" s="935"/>
      <c r="M174" s="935"/>
      <c r="N174" s="935"/>
      <c r="O174" s="935"/>
    </row>
    <row r="175" spans="1:15" ht="15" customHeight="1">
      <c r="A175" s="908" t="s">
        <v>364</v>
      </c>
      <c r="B175" s="909" t="s">
        <v>2092</v>
      </c>
      <c r="C175" s="910" t="e">
        <f>VLOOKUP(B172,'LƯƠNG KT'!$D$16:$Z$184,16,0)</f>
        <v>#N/A</v>
      </c>
      <c r="D175" s="609" t="e">
        <f>C175*$L$5</f>
        <v>#N/A</v>
      </c>
      <c r="E175" s="912"/>
      <c r="F175" s="912"/>
      <c r="G175" s="908" t="s">
        <v>364</v>
      </c>
      <c r="H175" s="909" t="s">
        <v>2092</v>
      </c>
      <c r="I175" s="910" t="e">
        <f>VLOOKUP(H172,'LƯƠNG KT'!$D$16:$Z$184,16,0)</f>
        <v>#N/A</v>
      </c>
      <c r="J175" s="609" t="e">
        <f>I175*$L$5</f>
        <v>#N/A</v>
      </c>
      <c r="K175" s="935"/>
      <c r="L175" s="935"/>
      <c r="M175" s="935"/>
      <c r="N175" s="935"/>
      <c r="O175" s="935"/>
    </row>
    <row r="176" spans="1:15" ht="15" customHeight="1">
      <c r="A176" s="908" t="s">
        <v>370</v>
      </c>
      <c r="B176" s="909" t="s">
        <v>2093</v>
      </c>
      <c r="C176" s="910" t="e">
        <f>VLOOKUP(B172,'LƯƠNG KT'!$D$16:$Z$184,24,0)</f>
        <v>#N/A</v>
      </c>
      <c r="D176" s="609" t="e">
        <f>+C176*$L$6</f>
        <v>#N/A</v>
      </c>
      <c r="E176" s="912"/>
      <c r="F176" s="912"/>
      <c r="G176" s="908" t="s">
        <v>370</v>
      </c>
      <c r="H176" s="909" t="s">
        <v>2093</v>
      </c>
      <c r="I176" s="910" t="e">
        <f>VLOOKUP(H172,'LƯƠNG KT'!$D$16:$Z$184,24,0)</f>
        <v>#N/A</v>
      </c>
      <c r="J176" s="609" t="e">
        <f>+I176*$L$6</f>
        <v>#N/A</v>
      </c>
      <c r="K176" s="935"/>
      <c r="L176" s="935"/>
      <c r="M176" s="935"/>
      <c r="N176" s="935"/>
      <c r="O176" s="935"/>
    </row>
    <row r="177" spans="1:15" ht="15" customHeight="1">
      <c r="A177" s="908" t="s">
        <v>2094</v>
      </c>
      <c r="B177" s="909" t="s">
        <v>2095</v>
      </c>
      <c r="C177" s="910" t="e">
        <f>VLOOKUP(B172,'LƯƠNG KT'!$D$16:$Z$184,19,0)</f>
        <v>#N/A</v>
      </c>
      <c r="D177" s="609" t="e">
        <f>+C177*$L$8</f>
        <v>#N/A</v>
      </c>
      <c r="E177" s="912"/>
      <c r="F177" s="912"/>
      <c r="G177" s="908" t="s">
        <v>2094</v>
      </c>
      <c r="H177" s="909" t="s">
        <v>2095</v>
      </c>
      <c r="I177" s="910" t="e">
        <f>VLOOKUP(H172,'LƯƠNG KT'!$D$16:$Z$184,19,0)</f>
        <v>#N/A</v>
      </c>
      <c r="J177" s="609" t="e">
        <f>+I177*$L$8</f>
        <v>#N/A</v>
      </c>
      <c r="K177" s="935"/>
      <c r="L177" s="935"/>
      <c r="M177" s="935"/>
      <c r="N177" s="935"/>
      <c r="O177" s="935"/>
    </row>
    <row r="178" spans="1:15" ht="15" customHeight="1">
      <c r="A178" s="908" t="s">
        <v>2096</v>
      </c>
      <c r="B178" s="913" t="s">
        <v>2097</v>
      </c>
      <c r="C178" s="910" t="e">
        <f>VLOOKUP(B172,'LƯƠNG KT'!$D$16:$Z$184,20,0)</f>
        <v>#N/A</v>
      </c>
      <c r="D178" s="609" t="e">
        <f>+C178*$L$9</f>
        <v>#N/A</v>
      </c>
      <c r="E178" s="912"/>
      <c r="F178" s="912"/>
      <c r="G178" s="908" t="s">
        <v>2096</v>
      </c>
      <c r="H178" s="913" t="s">
        <v>2097</v>
      </c>
      <c r="I178" s="910" t="e">
        <f>VLOOKUP(H172,'LƯƠNG KT'!$D$16:$Z$184,20,0)</f>
        <v>#N/A</v>
      </c>
      <c r="J178" s="609" t="e">
        <f>+I178*$L$9</f>
        <v>#N/A</v>
      </c>
      <c r="K178" s="935"/>
      <c r="L178" s="935"/>
      <c r="M178" s="935"/>
      <c r="N178" s="935"/>
      <c r="O178" s="935"/>
    </row>
    <row r="179" spans="1:15" ht="15" customHeight="1">
      <c r="A179" s="908" t="s">
        <v>2099</v>
      </c>
      <c r="B179" s="909" t="s">
        <v>2100</v>
      </c>
      <c r="C179" s="910" t="e">
        <f>VLOOKUP(B172,'LƯƠNG KT'!$D$16:$Z$184,17,0)</f>
        <v>#N/A</v>
      </c>
      <c r="D179" s="609" t="e">
        <f>+C179*$L$10</f>
        <v>#N/A</v>
      </c>
      <c r="E179" s="912"/>
      <c r="F179" s="912"/>
      <c r="G179" s="908" t="s">
        <v>2099</v>
      </c>
      <c r="H179" s="909" t="s">
        <v>2100</v>
      </c>
      <c r="I179" s="910" t="e">
        <f>VLOOKUP(H172,'LƯƠNG KT'!$D$16:$Z$184,17,0)</f>
        <v>#N/A</v>
      </c>
      <c r="J179" s="609" t="e">
        <f>+I179*$L$10</f>
        <v>#N/A</v>
      </c>
      <c r="K179" s="935"/>
      <c r="L179" s="935"/>
      <c r="M179" s="935"/>
      <c r="N179" s="935"/>
      <c r="O179" s="935"/>
    </row>
    <row r="180" spans="1:15" ht="15" customHeight="1">
      <c r="A180" s="908" t="s">
        <v>374</v>
      </c>
      <c r="B180" s="909" t="s">
        <v>2102</v>
      </c>
      <c r="C180" s="910" t="e">
        <f>VLOOKUP(B172,'LƯƠNG KT'!$D$16:$Z$184,12,0)</f>
        <v>#N/A</v>
      </c>
      <c r="D180" s="609" t="e">
        <f>VLOOKUP(B172,'LƯƠNG KT'!$D$16:$Z$184,14,0)</f>
        <v>#N/A</v>
      </c>
      <c r="E180" s="914"/>
      <c r="F180" s="912"/>
      <c r="G180" s="908" t="s">
        <v>374</v>
      </c>
      <c r="H180" s="909" t="s">
        <v>2102</v>
      </c>
      <c r="I180" s="910" t="e">
        <f>VLOOKUP(H172,'LƯƠNG KT'!$D$16:$Z$184,12,0)</f>
        <v>#N/A</v>
      </c>
      <c r="J180" s="609" t="e">
        <f>VLOOKUP(H172,'LƯƠNG KT'!$D$16:$Z$184,14,0)</f>
        <v>#N/A</v>
      </c>
      <c r="K180" s="935"/>
      <c r="L180" s="935"/>
      <c r="M180" s="935"/>
      <c r="N180" s="935"/>
      <c r="O180" s="935"/>
    </row>
    <row r="181" spans="1:15" ht="15" customHeight="1">
      <c r="A181" s="908" t="s">
        <v>2103</v>
      </c>
      <c r="B181" s="909" t="s">
        <v>2104</v>
      </c>
      <c r="D181" s="915" t="e">
        <f>VLOOKUP(B172,'LƯƠNG KT'!$D$16:$Z$184,13,0)</f>
        <v>#N/A</v>
      </c>
      <c r="E181" s="916"/>
      <c r="F181" s="916"/>
      <c r="G181" s="908" t="s">
        <v>2103</v>
      </c>
      <c r="H181" s="909" t="s">
        <v>2104</v>
      </c>
      <c r="J181" s="915" t="e">
        <f>VLOOKUP(H172,'LƯƠNG KT'!$D$16:$Z$184,13,0)</f>
        <v>#N/A</v>
      </c>
    </row>
    <row r="182" spans="1:15" ht="15" customHeight="1">
      <c r="A182" s="547"/>
      <c r="B182" s="546"/>
      <c r="C182" s="910"/>
      <c r="D182" s="609"/>
      <c r="E182" s="914"/>
      <c r="F182" s="916"/>
      <c r="G182" s="547"/>
      <c r="H182" s="546"/>
      <c r="I182" s="910"/>
      <c r="J182" s="609"/>
    </row>
    <row r="183" spans="1:15" ht="15" customHeight="1">
      <c r="A183" s="905"/>
      <c r="B183" s="546"/>
      <c r="C183" s="910"/>
      <c r="D183" s="609"/>
      <c r="E183" s="917"/>
      <c r="F183" s="904"/>
      <c r="G183" s="905"/>
      <c r="H183" s="546"/>
      <c r="I183" s="910"/>
      <c r="J183" s="609"/>
    </row>
    <row r="184" spans="1:15" ht="15" customHeight="1">
      <c r="A184" s="918" t="s">
        <v>383</v>
      </c>
      <c r="B184" s="919" t="s">
        <v>384</v>
      </c>
      <c r="C184" s="920"/>
      <c r="D184" s="921" t="e">
        <f>SUM(D173:D180)-D183</f>
        <v>#N/A</v>
      </c>
      <c r="E184" s="922"/>
      <c r="F184" s="923"/>
      <c r="G184" s="918" t="s">
        <v>383</v>
      </c>
      <c r="H184" s="919" t="s">
        <v>384</v>
      </c>
      <c r="I184" s="920"/>
      <c r="J184" s="921" t="e">
        <f>SUM(J173:J180)-J183</f>
        <v>#N/A</v>
      </c>
    </row>
    <row r="185" spans="1:15" ht="18.75" customHeight="1">
      <c r="A185" s="924"/>
      <c r="B185" s="925"/>
      <c r="C185" s="926"/>
      <c r="D185" s="927"/>
      <c r="E185" s="927"/>
      <c r="F185" s="928"/>
      <c r="G185" s="924"/>
      <c r="H185" s="925"/>
      <c r="I185" s="926"/>
      <c r="J185" s="927"/>
    </row>
    <row r="186" spans="1:15" ht="18.75" customHeight="1">
      <c r="A186" s="925"/>
      <c r="B186" s="925"/>
      <c r="C186" s="929"/>
      <c r="D186" s="930"/>
      <c r="E186" s="925"/>
      <c r="F186" s="931"/>
      <c r="G186" s="925"/>
      <c r="H186" s="925"/>
      <c r="I186" s="929"/>
      <c r="J186" s="930"/>
    </row>
    <row r="187" spans="1:15" ht="15" customHeight="1">
      <c r="A187" s="2360" t="str">
        <f>$K$2</f>
        <v>THÁNG 04/2025</v>
      </c>
      <c r="B187" s="2360"/>
      <c r="C187" s="2360"/>
      <c r="D187" s="2360"/>
      <c r="E187" s="903"/>
      <c r="F187" s="904"/>
      <c r="G187" s="2360" t="str">
        <f>$K$2</f>
        <v>THÁNG 04/2025</v>
      </c>
      <c r="H187" s="2360"/>
      <c r="I187" s="2360"/>
      <c r="J187" s="2360"/>
      <c r="K187" s="276"/>
    </row>
    <row r="188" spans="1:15" ht="15" customHeight="1">
      <c r="A188" s="905" t="s">
        <v>356</v>
      </c>
      <c r="B188" s="642" t="s">
        <v>1970</v>
      </c>
      <c r="C188" s="546"/>
      <c r="D188" s="902"/>
      <c r="E188" s="906"/>
      <c r="F188" s="907"/>
      <c r="G188" s="905" t="s">
        <v>356</v>
      </c>
      <c r="H188" s="642" t="s">
        <v>404</v>
      </c>
      <c r="I188" s="546"/>
      <c r="J188" s="902"/>
      <c r="L188" s="938"/>
      <c r="M188" s="938"/>
      <c r="N188" s="938"/>
      <c r="O188" s="938"/>
    </row>
    <row r="189" spans="1:15" ht="15" customHeight="1">
      <c r="A189" s="908" t="s">
        <v>359</v>
      </c>
      <c r="B189" s="909" t="s">
        <v>2090</v>
      </c>
      <c r="C189" s="910" t="e">
        <f>VLOOKUP(B188,'LƯƠNG KT'!$D$16:$Z$184,4,0)</f>
        <v>#N/A</v>
      </c>
      <c r="D189" s="609" t="e">
        <f>+C189*25000</f>
        <v>#N/A</v>
      </c>
      <c r="E189" s="911"/>
      <c r="F189" s="911"/>
      <c r="G189" s="908" t="s">
        <v>359</v>
      </c>
      <c r="H189" s="909" t="s">
        <v>2090</v>
      </c>
      <c r="I189" s="910" t="e">
        <f>VLOOKUP(H188,'LƯƠNG KT'!$D$16:$Z$184,4,0)</f>
        <v>#N/A</v>
      </c>
      <c r="J189" s="609" t="e">
        <f>+I189*25000</f>
        <v>#N/A</v>
      </c>
      <c r="K189" s="935"/>
      <c r="L189" s="935"/>
      <c r="M189" s="935"/>
      <c r="N189" s="935"/>
      <c r="O189" s="935"/>
    </row>
    <row r="190" spans="1:15" ht="15" customHeight="1">
      <c r="A190" s="908" t="s">
        <v>361</v>
      </c>
      <c r="B190" s="909" t="s">
        <v>2091</v>
      </c>
      <c r="C190" s="910" t="e">
        <f>VLOOKUP(B188,'LƯƠNG KT'!$D$16:$Z$184,15,0)</f>
        <v>#N/A</v>
      </c>
      <c r="D190" s="609" t="e">
        <f>C190*$L$4</f>
        <v>#N/A</v>
      </c>
      <c r="E190" s="912"/>
      <c r="F190" s="912"/>
      <c r="G190" s="908" t="s">
        <v>361</v>
      </c>
      <c r="H190" s="909" t="s">
        <v>2091</v>
      </c>
      <c r="I190" s="910" t="e">
        <f>VLOOKUP(H188,'LƯƠNG KT'!$D$16:$Z$184,15,0)</f>
        <v>#N/A</v>
      </c>
      <c r="J190" s="609" t="e">
        <f>I190*$L$4</f>
        <v>#N/A</v>
      </c>
      <c r="K190" s="935"/>
      <c r="L190" s="935"/>
      <c r="M190" s="935"/>
      <c r="N190" s="935"/>
      <c r="O190" s="935"/>
    </row>
    <row r="191" spans="1:15" ht="15" customHeight="1">
      <c r="A191" s="908" t="s">
        <v>364</v>
      </c>
      <c r="B191" s="909" t="s">
        <v>2092</v>
      </c>
      <c r="C191" s="910" t="e">
        <f>VLOOKUP(B188,'LƯƠNG KT'!$D$16:$Z$184,16,0)</f>
        <v>#N/A</v>
      </c>
      <c r="D191" s="609" t="e">
        <f>C191*$L$5</f>
        <v>#N/A</v>
      </c>
      <c r="E191" s="912"/>
      <c r="F191" s="912"/>
      <c r="G191" s="908" t="s">
        <v>364</v>
      </c>
      <c r="H191" s="909" t="s">
        <v>2092</v>
      </c>
      <c r="I191" s="910" t="e">
        <f>VLOOKUP(H188,'LƯƠNG KT'!$D$16:$Z$184,16,0)</f>
        <v>#N/A</v>
      </c>
      <c r="J191" s="609" t="e">
        <f>I191*$L$5</f>
        <v>#N/A</v>
      </c>
      <c r="K191" s="935"/>
      <c r="L191" s="935"/>
      <c r="M191" s="935"/>
      <c r="N191" s="935"/>
      <c r="O191" s="935"/>
    </row>
    <row r="192" spans="1:15" ht="15" customHeight="1">
      <c r="A192" s="908" t="s">
        <v>370</v>
      </c>
      <c r="B192" s="909" t="s">
        <v>2093</v>
      </c>
      <c r="C192" s="910" t="e">
        <f>VLOOKUP(B188,'LƯƠNG KT'!$D$16:$Z$184,24,0)</f>
        <v>#N/A</v>
      </c>
      <c r="D192" s="609" t="e">
        <f>+C192*$L$6</f>
        <v>#N/A</v>
      </c>
      <c r="E192" s="912"/>
      <c r="F192" s="912"/>
      <c r="G192" s="908" t="s">
        <v>370</v>
      </c>
      <c r="H192" s="909" t="s">
        <v>2093</v>
      </c>
      <c r="I192" s="910" t="e">
        <f>VLOOKUP(H188,'LƯƠNG KT'!$D$16:$Z$184,24,0)</f>
        <v>#N/A</v>
      </c>
      <c r="J192" s="609" t="e">
        <f>+I192*$L$6</f>
        <v>#N/A</v>
      </c>
      <c r="K192" s="935"/>
      <c r="L192" s="935"/>
      <c r="M192" s="935"/>
      <c r="N192" s="935"/>
      <c r="O192" s="935"/>
    </row>
    <row r="193" spans="1:15" ht="15" customHeight="1">
      <c r="A193" s="908" t="s">
        <v>2094</v>
      </c>
      <c r="B193" s="909" t="s">
        <v>2095</v>
      </c>
      <c r="C193" s="910" t="e">
        <f>VLOOKUP(B188,'LƯƠNG KT'!$D$16:$Z$184,19,0)</f>
        <v>#N/A</v>
      </c>
      <c r="D193" s="609" t="e">
        <f>+C193*$L$8</f>
        <v>#N/A</v>
      </c>
      <c r="E193" s="912"/>
      <c r="F193" s="912"/>
      <c r="G193" s="908" t="s">
        <v>2094</v>
      </c>
      <c r="H193" s="909" t="s">
        <v>2095</v>
      </c>
      <c r="I193" s="910" t="e">
        <f>VLOOKUP(H188,'LƯƠNG KT'!$D$16:$Z$184,19,0)</f>
        <v>#N/A</v>
      </c>
      <c r="J193" s="609" t="e">
        <f>+I193*$L$8</f>
        <v>#N/A</v>
      </c>
      <c r="K193" s="935"/>
      <c r="L193" s="935"/>
      <c r="M193" s="935"/>
      <c r="N193" s="935"/>
      <c r="O193" s="935"/>
    </row>
    <row r="194" spans="1:15" ht="15" customHeight="1">
      <c r="A194" s="908" t="s">
        <v>2096</v>
      </c>
      <c r="B194" s="913" t="s">
        <v>2097</v>
      </c>
      <c r="C194" s="910" t="e">
        <f>VLOOKUP(B188,'LƯƠNG KT'!$D$16:$Z$184,20,0)</f>
        <v>#N/A</v>
      </c>
      <c r="D194" s="609" t="e">
        <f>+C194*$L$9</f>
        <v>#N/A</v>
      </c>
      <c r="E194" s="912"/>
      <c r="F194" s="912"/>
      <c r="G194" s="908" t="s">
        <v>2096</v>
      </c>
      <c r="H194" s="913" t="s">
        <v>2097</v>
      </c>
      <c r="I194" s="910" t="e">
        <f>VLOOKUP(H188,'LƯƠNG KT'!$D$16:$Z$184,20,0)</f>
        <v>#N/A</v>
      </c>
      <c r="J194" s="609" t="e">
        <f>+I194*$L$9</f>
        <v>#N/A</v>
      </c>
      <c r="K194" s="935"/>
      <c r="L194" s="935"/>
      <c r="M194" s="935"/>
      <c r="N194" s="935"/>
      <c r="O194" s="935"/>
    </row>
    <row r="195" spans="1:15" ht="15" customHeight="1">
      <c r="A195" s="908" t="s">
        <v>2099</v>
      </c>
      <c r="B195" s="909" t="s">
        <v>2100</v>
      </c>
      <c r="C195" s="910" t="e">
        <f>VLOOKUP(B188,'LƯƠNG KT'!$D$16:$Z$184,17,0)</f>
        <v>#N/A</v>
      </c>
      <c r="D195" s="609" t="e">
        <f>+C195*$L$10</f>
        <v>#N/A</v>
      </c>
      <c r="E195" s="912"/>
      <c r="F195" s="912"/>
      <c r="G195" s="908" t="s">
        <v>2099</v>
      </c>
      <c r="H195" s="909" t="s">
        <v>2100</v>
      </c>
      <c r="I195" s="910" t="e">
        <f>VLOOKUP(H188,'LƯƠNG KT'!$D$16:$Z$184,17,0)</f>
        <v>#N/A</v>
      </c>
      <c r="J195" s="609" t="e">
        <f>+I195*$L$10</f>
        <v>#N/A</v>
      </c>
      <c r="K195" s="935"/>
      <c r="L195" s="935"/>
      <c r="M195" s="935"/>
      <c r="N195" s="935"/>
      <c r="O195" s="935"/>
    </row>
    <row r="196" spans="1:15" ht="15" customHeight="1">
      <c r="A196" s="908" t="s">
        <v>374</v>
      </c>
      <c r="B196" s="909" t="s">
        <v>2102</v>
      </c>
      <c r="C196" s="910" t="e">
        <f>VLOOKUP(B188,'LƯƠNG KT'!$D$16:$Z$184,12,0)</f>
        <v>#N/A</v>
      </c>
      <c r="D196" s="609" t="e">
        <f>VLOOKUP(B188,'LƯƠNG KT'!$D$16:$Z$184,14,0)</f>
        <v>#N/A</v>
      </c>
      <c r="E196" s="914"/>
      <c r="F196" s="912"/>
      <c r="G196" s="908" t="s">
        <v>374</v>
      </c>
      <c r="H196" s="909" t="s">
        <v>2102</v>
      </c>
      <c r="I196" s="910" t="e">
        <f>VLOOKUP(H188,'LƯƠNG KT'!$D$16:$Z$184,12,0)</f>
        <v>#N/A</v>
      </c>
      <c r="J196" s="609" t="e">
        <f>VLOOKUP(H188,'LƯƠNG KT'!$D$16:$Z$184,14,0)</f>
        <v>#N/A</v>
      </c>
      <c r="K196" s="935"/>
      <c r="L196" s="935"/>
      <c r="M196" s="935"/>
      <c r="N196" s="935"/>
      <c r="O196" s="935"/>
    </row>
    <row r="197" spans="1:15" ht="15" customHeight="1">
      <c r="A197" s="908" t="s">
        <v>2103</v>
      </c>
      <c r="B197" s="909" t="s">
        <v>2104</v>
      </c>
      <c r="D197" s="915" t="e">
        <f>VLOOKUP(B188,'LƯƠNG KT'!$D$16:$Z$184,13,0)</f>
        <v>#N/A</v>
      </c>
      <c r="E197" s="916"/>
      <c r="F197" s="916"/>
      <c r="G197" s="908" t="s">
        <v>2103</v>
      </c>
      <c r="H197" s="909" t="s">
        <v>2104</v>
      </c>
      <c r="J197" s="915" t="e">
        <f>VLOOKUP(H188,'LƯƠNG KT'!$D$16:$Z$184,13,0)</f>
        <v>#N/A</v>
      </c>
    </row>
    <row r="198" spans="1:15" ht="15" customHeight="1">
      <c r="A198" s="547"/>
      <c r="B198" s="546"/>
      <c r="C198" s="910"/>
      <c r="D198" s="609"/>
      <c r="E198" s="914"/>
      <c r="F198" s="916"/>
      <c r="G198" s="547"/>
      <c r="H198" s="546"/>
      <c r="I198" s="910"/>
      <c r="J198" s="609"/>
    </row>
    <row r="199" spans="1:15" ht="15" customHeight="1">
      <c r="A199" s="905"/>
      <c r="B199" s="546"/>
      <c r="C199" s="910"/>
      <c r="D199" s="609"/>
      <c r="E199" s="917"/>
      <c r="F199" s="904"/>
      <c r="G199" s="905"/>
      <c r="H199" s="546"/>
      <c r="I199" s="910"/>
      <c r="J199" s="609"/>
    </row>
    <row r="200" spans="1:15" ht="15" customHeight="1">
      <c r="A200" s="918" t="s">
        <v>383</v>
      </c>
      <c r="B200" s="919" t="s">
        <v>384</v>
      </c>
      <c r="C200" s="920"/>
      <c r="D200" s="921" t="e">
        <f>SUM(D189:D196)-D199</f>
        <v>#N/A</v>
      </c>
      <c r="E200" s="922"/>
      <c r="F200" s="923"/>
      <c r="G200" s="918" t="s">
        <v>383</v>
      </c>
      <c r="H200" s="919" t="s">
        <v>384</v>
      </c>
      <c r="I200" s="920"/>
      <c r="J200" s="921" t="e">
        <f>SUM(J189:J196)-J199</f>
        <v>#N/A</v>
      </c>
    </row>
    <row r="201" spans="1:15" ht="18.75" customHeight="1">
      <c r="A201" s="924"/>
      <c r="B201" s="925"/>
      <c r="C201" s="926"/>
      <c r="D201" s="927"/>
      <c r="E201" s="927"/>
      <c r="F201" s="928"/>
      <c r="G201" s="924"/>
      <c r="H201" s="925"/>
      <c r="I201" s="926"/>
      <c r="J201" s="927"/>
    </row>
    <row r="202" spans="1:15" ht="18.75" customHeight="1">
      <c r="A202" s="925"/>
      <c r="B202" s="925"/>
      <c r="C202" s="929"/>
      <c r="D202" s="930"/>
      <c r="E202" s="925"/>
      <c r="F202" s="931"/>
      <c r="G202" s="925"/>
      <c r="H202" s="925"/>
      <c r="I202" s="929"/>
      <c r="J202" s="930"/>
    </row>
    <row r="203" spans="1:15" ht="15" customHeight="1">
      <c r="A203" s="2360" t="str">
        <f>$K$2</f>
        <v>THÁNG 04/2025</v>
      </c>
      <c r="B203" s="2360"/>
      <c r="C203" s="2360"/>
      <c r="D203" s="2360"/>
      <c r="E203" s="903"/>
      <c r="F203" s="904"/>
      <c r="G203" s="2360" t="str">
        <f>$K$2</f>
        <v>THÁNG 04/2025</v>
      </c>
      <c r="H203" s="2360"/>
      <c r="I203" s="2360"/>
      <c r="J203" s="2360"/>
      <c r="K203" s="276"/>
    </row>
    <row r="204" spans="1:15" ht="15" customHeight="1">
      <c r="A204" s="905" t="s">
        <v>356</v>
      </c>
      <c r="B204" s="642" t="s">
        <v>664</v>
      </c>
      <c r="C204" s="546"/>
      <c r="D204" s="902"/>
      <c r="E204" s="906"/>
      <c r="F204" s="907"/>
      <c r="G204" s="905" t="s">
        <v>356</v>
      </c>
      <c r="H204" s="642" t="s">
        <v>406</v>
      </c>
      <c r="I204" s="546"/>
      <c r="J204" s="902"/>
      <c r="L204" s="938"/>
      <c r="M204" s="938"/>
      <c r="N204" s="938"/>
      <c r="O204" s="938"/>
    </row>
    <row r="205" spans="1:15" ht="15" customHeight="1">
      <c r="A205" s="908" t="s">
        <v>359</v>
      </c>
      <c r="B205" s="909" t="s">
        <v>2090</v>
      </c>
      <c r="C205" s="910" t="e">
        <f>VLOOKUP(B204,'LƯƠNG KT'!$D$16:$Z$184,4,0)</f>
        <v>#N/A</v>
      </c>
      <c r="D205" s="609" t="e">
        <f>+C205*25000</f>
        <v>#N/A</v>
      </c>
      <c r="E205" s="911"/>
      <c r="F205" s="911"/>
      <c r="G205" s="908" t="s">
        <v>359</v>
      </c>
      <c r="H205" s="909" t="s">
        <v>2090</v>
      </c>
      <c r="I205" s="910" t="e">
        <f>VLOOKUP(H204,'LƯƠNG KT'!$D$16:$Z$184,4,0)</f>
        <v>#N/A</v>
      </c>
      <c r="J205" s="609" t="e">
        <f>+I205*25000</f>
        <v>#N/A</v>
      </c>
      <c r="K205" s="935"/>
      <c r="L205" s="935"/>
      <c r="M205" s="935"/>
      <c r="N205" s="935"/>
      <c r="O205" s="935"/>
    </row>
    <row r="206" spans="1:15" ht="15" customHeight="1">
      <c r="A206" s="908" t="s">
        <v>361</v>
      </c>
      <c r="B206" s="909" t="s">
        <v>2091</v>
      </c>
      <c r="C206" s="910" t="e">
        <f>VLOOKUP(B204,'LƯƠNG KT'!$D$16:$Z$184,15,0)</f>
        <v>#N/A</v>
      </c>
      <c r="D206" s="609" t="e">
        <f>C206*$L$4</f>
        <v>#N/A</v>
      </c>
      <c r="E206" s="912"/>
      <c r="F206" s="912"/>
      <c r="G206" s="908" t="s">
        <v>361</v>
      </c>
      <c r="H206" s="909" t="s">
        <v>2091</v>
      </c>
      <c r="I206" s="910" t="e">
        <f>VLOOKUP(H204,'LƯƠNG KT'!$D$16:$Z$184,15,0)</f>
        <v>#N/A</v>
      </c>
      <c r="J206" s="609" t="e">
        <f>I206*$L$4</f>
        <v>#N/A</v>
      </c>
      <c r="K206" s="935"/>
      <c r="L206" s="935"/>
      <c r="M206" s="935"/>
      <c r="N206" s="935"/>
      <c r="O206" s="935"/>
    </row>
    <row r="207" spans="1:15" ht="15" customHeight="1">
      <c r="A207" s="908" t="s">
        <v>364</v>
      </c>
      <c r="B207" s="909" t="s">
        <v>2092</v>
      </c>
      <c r="C207" s="910" t="e">
        <f>VLOOKUP(B204,'LƯƠNG KT'!$D$16:$Z$184,16,0)</f>
        <v>#N/A</v>
      </c>
      <c r="D207" s="609" t="e">
        <f>C207*$L$5</f>
        <v>#N/A</v>
      </c>
      <c r="E207" s="912"/>
      <c r="F207" s="912"/>
      <c r="G207" s="908" t="s">
        <v>364</v>
      </c>
      <c r="H207" s="909" t="s">
        <v>2092</v>
      </c>
      <c r="I207" s="910" t="e">
        <f>VLOOKUP(H204,'LƯƠNG KT'!$D$16:$Z$184,16,0)</f>
        <v>#N/A</v>
      </c>
      <c r="J207" s="609" t="e">
        <f>I207*$L$5</f>
        <v>#N/A</v>
      </c>
      <c r="K207" s="935"/>
      <c r="L207" s="935"/>
      <c r="M207" s="935"/>
      <c r="N207" s="935"/>
      <c r="O207" s="935"/>
    </row>
    <row r="208" spans="1:15" ht="15" customHeight="1">
      <c r="A208" s="908" t="s">
        <v>370</v>
      </c>
      <c r="B208" s="909" t="s">
        <v>2093</v>
      </c>
      <c r="C208" s="910" t="e">
        <f>VLOOKUP(B204,'LƯƠNG KT'!$D$16:$Z$184,24,0)</f>
        <v>#N/A</v>
      </c>
      <c r="D208" s="609" t="e">
        <f>+C208*$L$6</f>
        <v>#N/A</v>
      </c>
      <c r="E208" s="912"/>
      <c r="F208" s="912"/>
      <c r="G208" s="908" t="s">
        <v>370</v>
      </c>
      <c r="H208" s="909" t="s">
        <v>2093</v>
      </c>
      <c r="I208" s="910" t="e">
        <f>VLOOKUP(H204,'LƯƠNG KT'!$D$16:$Z$184,24,0)</f>
        <v>#N/A</v>
      </c>
      <c r="J208" s="609" t="e">
        <f>+I208*$L$6</f>
        <v>#N/A</v>
      </c>
      <c r="K208" s="935"/>
      <c r="L208" s="935"/>
      <c r="M208" s="935"/>
      <c r="N208" s="935"/>
      <c r="O208" s="935"/>
    </row>
    <row r="209" spans="1:15" ht="15" customHeight="1">
      <c r="A209" s="908" t="s">
        <v>2094</v>
      </c>
      <c r="B209" s="909" t="s">
        <v>2095</v>
      </c>
      <c r="C209" s="910" t="e">
        <f>VLOOKUP(B204,'LƯƠNG KT'!$D$16:$Z$184,19,0)</f>
        <v>#N/A</v>
      </c>
      <c r="D209" s="609" t="e">
        <f>+C209*$L$8</f>
        <v>#N/A</v>
      </c>
      <c r="E209" s="912"/>
      <c r="F209" s="912"/>
      <c r="G209" s="908" t="s">
        <v>2094</v>
      </c>
      <c r="H209" s="909" t="s">
        <v>2095</v>
      </c>
      <c r="I209" s="910" t="e">
        <f>VLOOKUP(H204,'LƯƠNG KT'!$D$16:$Z$184,19,0)</f>
        <v>#N/A</v>
      </c>
      <c r="J209" s="609" t="e">
        <f>+I209*$L$8</f>
        <v>#N/A</v>
      </c>
      <c r="K209" s="935"/>
      <c r="L209" s="935"/>
      <c r="M209" s="935"/>
      <c r="N209" s="935"/>
      <c r="O209" s="935"/>
    </row>
    <row r="210" spans="1:15" ht="15" customHeight="1">
      <c r="A210" s="908" t="s">
        <v>2096</v>
      </c>
      <c r="B210" s="913" t="s">
        <v>2097</v>
      </c>
      <c r="C210" s="910" t="e">
        <f>VLOOKUP(B204,'LƯƠNG KT'!$D$16:$Z$184,20,0)</f>
        <v>#N/A</v>
      </c>
      <c r="D210" s="609" t="e">
        <f>+C210*$L$9</f>
        <v>#N/A</v>
      </c>
      <c r="E210" s="912"/>
      <c r="F210" s="912"/>
      <c r="G210" s="908" t="s">
        <v>2096</v>
      </c>
      <c r="H210" s="913" t="s">
        <v>2097</v>
      </c>
      <c r="I210" s="910" t="e">
        <f>VLOOKUP(H204,'LƯƠNG KT'!$D$16:$Z$184,20,0)</f>
        <v>#N/A</v>
      </c>
      <c r="J210" s="609" t="e">
        <f>+I210*$L$9</f>
        <v>#N/A</v>
      </c>
      <c r="K210" s="935"/>
      <c r="L210" s="935"/>
      <c r="M210" s="935"/>
      <c r="N210" s="935"/>
      <c r="O210" s="935"/>
    </row>
    <row r="211" spans="1:15" ht="15" customHeight="1">
      <c r="A211" s="908" t="s">
        <v>2099</v>
      </c>
      <c r="B211" s="909" t="s">
        <v>2100</v>
      </c>
      <c r="C211" s="910" t="e">
        <f>VLOOKUP(B204,'LƯƠNG KT'!$D$16:$Z$184,17,0)</f>
        <v>#N/A</v>
      </c>
      <c r="D211" s="609" t="e">
        <f>+C211*$L$10</f>
        <v>#N/A</v>
      </c>
      <c r="E211" s="912"/>
      <c r="F211" s="912"/>
      <c r="G211" s="908" t="s">
        <v>2099</v>
      </c>
      <c r="H211" s="909" t="s">
        <v>2100</v>
      </c>
      <c r="I211" s="910" t="e">
        <f>VLOOKUP(H204,'LƯƠNG KT'!$D$16:$Z$184,17,0)</f>
        <v>#N/A</v>
      </c>
      <c r="J211" s="609" t="e">
        <f>+I211*$L$10</f>
        <v>#N/A</v>
      </c>
      <c r="K211" s="935"/>
      <c r="L211" s="935"/>
      <c r="M211" s="935"/>
      <c r="N211" s="935"/>
      <c r="O211" s="935"/>
    </row>
    <row r="212" spans="1:15" ht="15" customHeight="1">
      <c r="A212" s="908" t="s">
        <v>374</v>
      </c>
      <c r="B212" s="909" t="s">
        <v>2102</v>
      </c>
      <c r="C212" s="910" t="e">
        <f>VLOOKUP(B204,'LƯƠNG KT'!$D$16:$Z$184,12,0)</f>
        <v>#N/A</v>
      </c>
      <c r="D212" s="609" t="e">
        <f>VLOOKUP(B204,'LƯƠNG KT'!$D$16:$Z$184,14,0)+(C206+C207+C209+C210)*20000</f>
        <v>#N/A</v>
      </c>
      <c r="E212" s="914"/>
      <c r="F212" s="912"/>
      <c r="G212" s="908" t="s">
        <v>374</v>
      </c>
      <c r="H212" s="909" t="s">
        <v>2102</v>
      </c>
      <c r="I212" s="910" t="e">
        <f>VLOOKUP(H204,'LƯƠNG KT'!$D$16:$Z$184,12,0)</f>
        <v>#N/A</v>
      </c>
      <c r="J212" s="609" t="e">
        <f>VLOOKUP(H204,'LƯƠNG KT'!$D$16:$Z$184,14,0)</f>
        <v>#N/A</v>
      </c>
      <c r="K212" s="935"/>
      <c r="L212" s="935"/>
      <c r="M212" s="935"/>
      <c r="N212" s="935"/>
      <c r="O212" s="935"/>
    </row>
    <row r="213" spans="1:15" ht="15" customHeight="1">
      <c r="A213" s="908" t="s">
        <v>2103</v>
      </c>
      <c r="B213" s="909" t="s">
        <v>2104</v>
      </c>
      <c r="D213" s="915" t="e">
        <f>VLOOKUP(B204,'LƯƠNG KT'!$D$16:$Z$184,13,0)</f>
        <v>#N/A</v>
      </c>
      <c r="E213" s="916"/>
      <c r="F213" s="916"/>
      <c r="G213" s="908" t="s">
        <v>2103</v>
      </c>
      <c r="H213" s="909" t="s">
        <v>2104</v>
      </c>
      <c r="J213" s="915" t="e">
        <f>VLOOKUP(H204,'LƯƠNG KT'!$D$16:$Z$184,13,0)</f>
        <v>#N/A</v>
      </c>
    </row>
    <row r="214" spans="1:15" ht="15" customHeight="1">
      <c r="A214" s="547"/>
      <c r="B214" s="546"/>
      <c r="C214" s="910"/>
      <c r="D214" s="609"/>
      <c r="E214" s="914"/>
      <c r="F214" s="916"/>
      <c r="G214" s="547"/>
      <c r="H214" s="546"/>
      <c r="I214" s="910"/>
      <c r="J214" s="609"/>
    </row>
    <row r="215" spans="1:15" ht="15" customHeight="1">
      <c r="A215" s="905"/>
      <c r="B215" s="546"/>
      <c r="C215" s="910"/>
      <c r="D215" s="609"/>
      <c r="E215" s="917"/>
      <c r="F215" s="904"/>
      <c r="G215" s="905"/>
      <c r="H215" s="546"/>
      <c r="I215" s="910"/>
      <c r="J215" s="609"/>
    </row>
    <row r="216" spans="1:15" ht="15" customHeight="1">
      <c r="A216" s="918" t="s">
        <v>383</v>
      </c>
      <c r="B216" s="919" t="s">
        <v>384</v>
      </c>
      <c r="C216" s="920"/>
      <c r="D216" s="921" t="e">
        <f>SUM(D205:D212)-D215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SUM(J205:J212)-J215</f>
        <v>#N/A</v>
      </c>
    </row>
    <row r="217" spans="1:15" ht="15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9" spans="1:15" ht="130.5" customHeight="1">
      <c r="A219" s="2361"/>
      <c r="B219" s="2361"/>
      <c r="C219" s="2361"/>
      <c r="D219" s="2361"/>
      <c r="E219" s="2361"/>
      <c r="F219" s="2361"/>
      <c r="G219" s="2361"/>
      <c r="H219" s="2361"/>
      <c r="I219" s="2361"/>
      <c r="J219" s="2361"/>
    </row>
    <row r="220" spans="1:15" ht="15" customHeight="1">
      <c r="A220" s="2360" t="str">
        <f>$K$2</f>
        <v>THÁNG 04/2025</v>
      </c>
      <c r="B220" s="2360"/>
      <c r="C220" s="2360"/>
      <c r="D220" s="2360"/>
      <c r="E220" s="903"/>
      <c r="F220" s="904"/>
      <c r="G220" s="2360" t="str">
        <f>$K$2</f>
        <v>THÁNG 04/2025</v>
      </c>
      <c r="H220" s="2360"/>
      <c r="I220" s="2360"/>
      <c r="J220" s="2360"/>
      <c r="K220" s="276"/>
    </row>
    <row r="221" spans="1:15" ht="15" customHeight="1">
      <c r="A221" s="905" t="s">
        <v>356</v>
      </c>
      <c r="B221" s="642" t="s">
        <v>407</v>
      </c>
      <c r="C221" s="546"/>
      <c r="D221" s="902"/>
      <c r="E221" s="906"/>
      <c r="F221" s="907"/>
      <c r="G221" s="905" t="s">
        <v>356</v>
      </c>
      <c r="H221" s="642" t="s">
        <v>408</v>
      </c>
      <c r="I221" s="546"/>
      <c r="J221" s="902"/>
      <c r="L221" s="938"/>
      <c r="M221" s="938"/>
      <c r="N221" s="938"/>
      <c r="O221" s="938"/>
    </row>
    <row r="222" spans="1:15" ht="15" customHeight="1">
      <c r="A222" s="908" t="s">
        <v>359</v>
      </c>
      <c r="B222" s="909" t="s">
        <v>2090</v>
      </c>
      <c r="C222" s="910" t="e">
        <f>VLOOKUP(B221,'LƯƠNG KT'!$D$16:$Z$184,4,0)</f>
        <v>#N/A</v>
      </c>
      <c r="D222" s="609" t="e">
        <f>+C222*25000</f>
        <v>#N/A</v>
      </c>
      <c r="E222" s="911"/>
      <c r="F222" s="911"/>
      <c r="G222" s="908" t="s">
        <v>359</v>
      </c>
      <c r="H222" s="909" t="s">
        <v>2090</v>
      </c>
      <c r="I222" s="910" t="e">
        <f>VLOOKUP(H221,'LƯƠNG KT'!$D$16:$Z$184,4,0)</f>
        <v>#N/A</v>
      </c>
      <c r="J222" s="609" t="e">
        <f>+I222*25000</f>
        <v>#N/A</v>
      </c>
      <c r="K222" s="934"/>
      <c r="L222" s="935"/>
      <c r="M222" s="935"/>
      <c r="N222" s="935"/>
      <c r="O222" s="935"/>
    </row>
    <row r="223" spans="1:15" ht="15" customHeight="1">
      <c r="A223" s="908" t="s">
        <v>361</v>
      </c>
      <c r="B223" s="909" t="s">
        <v>2091</v>
      </c>
      <c r="C223" s="910" t="e">
        <f>VLOOKUP(B221,'LƯƠNG KT'!$D$16:$Z$184,15,0)</f>
        <v>#N/A</v>
      </c>
      <c r="D223" s="609" t="e">
        <f>C223*$L$4</f>
        <v>#N/A</v>
      </c>
      <c r="E223" s="912"/>
      <c r="F223" s="912"/>
      <c r="G223" s="908" t="s">
        <v>361</v>
      </c>
      <c r="H223" s="909" t="s">
        <v>2091</v>
      </c>
      <c r="I223" s="910" t="e">
        <f>VLOOKUP(H221,'LƯƠNG KT'!$D$16:$Z$184,15,0)</f>
        <v>#N/A</v>
      </c>
      <c r="J223" s="609" t="e">
        <f>I223*$L$4</f>
        <v>#N/A</v>
      </c>
      <c r="K223" s="934"/>
      <c r="L223" s="935"/>
      <c r="M223" s="935"/>
      <c r="N223" s="935"/>
      <c r="O223" s="935"/>
    </row>
    <row r="224" spans="1:15" ht="15" customHeight="1">
      <c r="A224" s="908" t="s">
        <v>364</v>
      </c>
      <c r="B224" s="909" t="s">
        <v>2092</v>
      </c>
      <c r="C224" s="910" t="e">
        <f>VLOOKUP(B221,'LƯƠNG KT'!$D$16:$Z$184,16,0)</f>
        <v>#N/A</v>
      </c>
      <c r="D224" s="609" t="e">
        <f>C224*$L$5</f>
        <v>#N/A</v>
      </c>
      <c r="E224" s="912"/>
      <c r="F224" s="912"/>
      <c r="G224" s="908" t="s">
        <v>364</v>
      </c>
      <c r="H224" s="909" t="s">
        <v>2092</v>
      </c>
      <c r="I224" s="910" t="e">
        <f>VLOOKUP(H221,'LƯƠNG KT'!$D$16:$Z$184,16,0)</f>
        <v>#N/A</v>
      </c>
      <c r="J224" s="609" t="e">
        <f>I224*$L$5</f>
        <v>#N/A</v>
      </c>
      <c r="K224" s="934"/>
      <c r="L224" s="935"/>
      <c r="M224" s="935"/>
      <c r="N224" s="935"/>
      <c r="O224" s="935"/>
    </row>
    <row r="225" spans="1:15" ht="15" customHeight="1">
      <c r="A225" s="908" t="s">
        <v>370</v>
      </c>
      <c r="B225" s="909" t="s">
        <v>2093</v>
      </c>
      <c r="C225" s="910" t="e">
        <f>VLOOKUP(B221,'LƯƠNG KT'!$D$16:$Z$184,24,0)</f>
        <v>#N/A</v>
      </c>
      <c r="D225" s="609" t="e">
        <f>+C225*$L$6</f>
        <v>#N/A</v>
      </c>
      <c r="E225" s="912"/>
      <c r="F225" s="912"/>
      <c r="G225" s="908" t="s">
        <v>370</v>
      </c>
      <c r="H225" s="909" t="s">
        <v>2093</v>
      </c>
      <c r="I225" s="910" t="e">
        <f>VLOOKUP(H221,'LƯƠNG KT'!$D$16:$Z$184,24,0)</f>
        <v>#N/A</v>
      </c>
      <c r="J225" s="609" t="e">
        <f>+I225*$L$6</f>
        <v>#N/A</v>
      </c>
      <c r="K225" s="935"/>
      <c r="L225" s="935"/>
      <c r="M225" s="935"/>
      <c r="N225" s="935"/>
      <c r="O225" s="935"/>
    </row>
    <row r="226" spans="1:15" ht="15" customHeight="1">
      <c r="A226" s="908" t="s">
        <v>2094</v>
      </c>
      <c r="B226" s="909" t="s">
        <v>2095</v>
      </c>
      <c r="C226" s="910" t="e">
        <f>VLOOKUP(B221,'LƯƠNG KT'!$D$16:$Z$184,19,0)</f>
        <v>#N/A</v>
      </c>
      <c r="D226" s="609" t="e">
        <f>+C226*$L$8</f>
        <v>#N/A</v>
      </c>
      <c r="E226" s="912"/>
      <c r="F226" s="912"/>
      <c r="G226" s="908" t="s">
        <v>2094</v>
      </c>
      <c r="H226" s="909" t="s">
        <v>2095</v>
      </c>
      <c r="I226" s="910" t="e">
        <f>VLOOKUP(H221,'LƯƠNG KT'!$D$16:$Z$184,19,0)</f>
        <v>#N/A</v>
      </c>
      <c r="J226" s="609" t="e">
        <f>+I226*$L$8</f>
        <v>#N/A</v>
      </c>
      <c r="K226" s="935"/>
      <c r="L226" s="935"/>
      <c r="M226" s="935"/>
      <c r="N226" s="935"/>
      <c r="O226" s="935"/>
    </row>
    <row r="227" spans="1:15" ht="15" customHeight="1">
      <c r="A227" s="908" t="s">
        <v>2096</v>
      </c>
      <c r="B227" s="913" t="s">
        <v>2097</v>
      </c>
      <c r="C227" s="910" t="e">
        <f>VLOOKUP(B221,'LƯƠNG KT'!$D$16:$Z$184,20,0)</f>
        <v>#N/A</v>
      </c>
      <c r="D227" s="609" t="e">
        <f>+C227*$L$9</f>
        <v>#N/A</v>
      </c>
      <c r="E227" s="912"/>
      <c r="F227" s="912"/>
      <c r="G227" s="908" t="s">
        <v>2096</v>
      </c>
      <c r="H227" s="913" t="s">
        <v>2097</v>
      </c>
      <c r="I227" s="910" t="e">
        <f>VLOOKUP(H221,'LƯƠNG KT'!$D$16:$Z$184,20,0)</f>
        <v>#N/A</v>
      </c>
      <c r="J227" s="609" t="e">
        <f>+I227*$L$9</f>
        <v>#N/A</v>
      </c>
      <c r="K227" s="935"/>
      <c r="L227" s="935"/>
      <c r="M227" s="935"/>
      <c r="N227" s="935"/>
      <c r="O227" s="935"/>
    </row>
    <row r="228" spans="1:15" ht="15" customHeight="1">
      <c r="A228" s="908" t="s">
        <v>2099</v>
      </c>
      <c r="B228" s="909" t="s">
        <v>2100</v>
      </c>
      <c r="C228" s="910" t="e">
        <f>VLOOKUP(B221,'LƯƠNG KT'!$D$16:$Z$184,17,0)</f>
        <v>#N/A</v>
      </c>
      <c r="D228" s="609" t="e">
        <f>+C228*$L$10</f>
        <v>#N/A</v>
      </c>
      <c r="E228" s="912"/>
      <c r="F228" s="912"/>
      <c r="G228" s="908" t="s">
        <v>2099</v>
      </c>
      <c r="H228" s="909" t="s">
        <v>2100</v>
      </c>
      <c r="I228" s="910" t="e">
        <f>VLOOKUP(H221,'LƯƠNG KT'!$D$16:$Z$184,17,0)</f>
        <v>#N/A</v>
      </c>
      <c r="J228" s="609" t="e">
        <f>+I228*$L$10</f>
        <v>#N/A</v>
      </c>
      <c r="K228" s="935"/>
      <c r="L228" s="935"/>
      <c r="M228" s="935"/>
      <c r="N228" s="935"/>
      <c r="O228" s="935"/>
    </row>
    <row r="229" spans="1:15" ht="15" customHeight="1">
      <c r="A229" s="908" t="s">
        <v>374</v>
      </c>
      <c r="B229" s="909" t="s">
        <v>2102</v>
      </c>
      <c r="C229" s="910" t="e">
        <f>VLOOKUP(B221,'LƯƠNG KT'!$D$16:$Z$184,12,0)</f>
        <v>#N/A</v>
      </c>
      <c r="D229" s="609" t="e">
        <f>VLOOKUP(B221,'LƯƠNG KT'!$D$16:$Z$184,14,0)</f>
        <v>#N/A</v>
      </c>
      <c r="E229" s="914"/>
      <c r="F229" s="912"/>
      <c r="G229" s="908" t="s">
        <v>374</v>
      </c>
      <c r="H229" s="909" t="s">
        <v>2102</v>
      </c>
      <c r="I229" s="910" t="e">
        <f>VLOOKUP(H221,'LƯƠNG KT'!$D$16:$Z$184,12,0)</f>
        <v>#N/A</v>
      </c>
      <c r="J229" s="609" t="e">
        <f>VLOOKUP(H221,'LƯƠNG KT'!$D$16:$Z$184,14,0)</f>
        <v>#N/A</v>
      </c>
      <c r="K229" s="935"/>
      <c r="L229" s="935"/>
      <c r="M229" s="935"/>
      <c r="N229" s="935"/>
      <c r="O229" s="935"/>
    </row>
    <row r="230" spans="1:15" ht="15" customHeight="1">
      <c r="A230" s="908" t="s">
        <v>2103</v>
      </c>
      <c r="B230" s="909" t="s">
        <v>2104</v>
      </c>
      <c r="D230" s="915" t="e">
        <f>VLOOKUP(B221,'LƯƠNG KT'!$D$16:$Z$184,13,0)</f>
        <v>#N/A</v>
      </c>
      <c r="E230" s="916"/>
      <c r="F230" s="916"/>
      <c r="G230" s="908" t="s">
        <v>2103</v>
      </c>
      <c r="H230" s="909" t="s">
        <v>2104</v>
      </c>
      <c r="J230" s="915" t="e">
        <f>VLOOKUP(H221,'LƯƠNG KT'!$D$16:$Z$184,13,0)</f>
        <v>#N/A</v>
      </c>
    </row>
    <row r="231" spans="1:15" ht="15" customHeight="1">
      <c r="A231" s="547"/>
      <c r="B231" s="546"/>
      <c r="C231" s="910"/>
      <c r="D231" s="609"/>
      <c r="E231" s="914"/>
      <c r="F231" s="916"/>
      <c r="G231" s="547"/>
      <c r="H231" s="546"/>
      <c r="I231" s="910"/>
      <c r="J231" s="609"/>
    </row>
    <row r="232" spans="1:15" ht="15" customHeight="1">
      <c r="A232" s="905"/>
      <c r="B232" s="546"/>
      <c r="C232" s="910"/>
      <c r="D232" s="609"/>
      <c r="E232" s="917"/>
      <c r="F232" s="904"/>
      <c r="G232" s="905"/>
      <c r="H232" s="546"/>
      <c r="I232" s="910"/>
      <c r="J232" s="609"/>
    </row>
    <row r="233" spans="1:15" ht="15" customHeight="1">
      <c r="A233" s="918" t="s">
        <v>383</v>
      </c>
      <c r="B233" s="919" t="s">
        <v>384</v>
      </c>
      <c r="C233" s="920"/>
      <c r="D233" s="921" t="e">
        <f>SUM(D222:D229)-D232</f>
        <v>#N/A</v>
      </c>
      <c r="E233" s="922"/>
      <c r="F233" s="923"/>
      <c r="G233" s="918" t="s">
        <v>383</v>
      </c>
      <c r="H233" s="919" t="s">
        <v>384</v>
      </c>
      <c r="I233" s="920"/>
      <c r="J233" s="921" t="e">
        <f>SUM(J222:J229)-J232</f>
        <v>#N/A</v>
      </c>
    </row>
    <row r="234" spans="1:15" ht="12.6" customHeight="1">
      <c r="A234" s="924"/>
      <c r="B234" s="925"/>
      <c r="C234" s="926"/>
      <c r="D234" s="927"/>
      <c r="E234" s="927"/>
      <c r="F234" s="928"/>
      <c r="G234" s="924"/>
      <c r="H234" s="925"/>
      <c r="I234" s="926"/>
      <c r="J234" s="927"/>
    </row>
    <row r="235" spans="1:15" ht="12.6" customHeight="1">
      <c r="A235" s="925"/>
      <c r="B235" s="925"/>
      <c r="C235" s="929"/>
      <c r="D235" s="930"/>
      <c r="E235" s="925"/>
      <c r="F235" s="931"/>
      <c r="G235" s="925"/>
      <c r="H235" s="925"/>
      <c r="I235" s="929"/>
      <c r="J235" s="930"/>
    </row>
    <row r="236" spans="1:15" ht="15" customHeight="1">
      <c r="A236" s="2360" t="str">
        <f>$K$2</f>
        <v>THÁNG 04/2025</v>
      </c>
      <c r="B236" s="2360"/>
      <c r="C236" s="2360"/>
      <c r="D236" s="2360"/>
      <c r="E236" s="903"/>
      <c r="F236" s="904"/>
      <c r="G236" s="2360" t="str">
        <f>$K$2</f>
        <v>THÁNG 04/2025</v>
      </c>
      <c r="H236" s="2360"/>
      <c r="I236" s="2360"/>
      <c r="J236" s="2360"/>
      <c r="K236" s="276"/>
    </row>
    <row r="237" spans="1:15" ht="15" customHeight="1">
      <c r="A237" s="905" t="s">
        <v>356</v>
      </c>
      <c r="B237" s="642" t="s">
        <v>1939</v>
      </c>
      <c r="C237" s="546"/>
      <c r="D237" s="902"/>
      <c r="E237" s="906"/>
      <c r="F237" s="907"/>
      <c r="G237" s="905" t="s">
        <v>356</v>
      </c>
      <c r="H237" s="642" t="s">
        <v>424</v>
      </c>
      <c r="I237" s="546"/>
      <c r="J237" s="902"/>
      <c r="L237" s="938"/>
      <c r="M237" s="938"/>
      <c r="N237" s="938"/>
      <c r="O237" s="938"/>
    </row>
    <row r="238" spans="1:15" ht="15" customHeight="1">
      <c r="A238" s="908" t="s">
        <v>359</v>
      </c>
      <c r="B238" s="909" t="s">
        <v>2090</v>
      </c>
      <c r="C238" s="910" t="e">
        <f>VLOOKUP(B237,'LƯƠNG KT'!$D$16:$Z$184,4,0)</f>
        <v>#N/A</v>
      </c>
      <c r="D238" s="609" t="e">
        <f>+C238*25000</f>
        <v>#N/A</v>
      </c>
      <c r="E238" s="911"/>
      <c r="F238" s="911"/>
      <c r="G238" s="908" t="s">
        <v>359</v>
      </c>
      <c r="H238" s="909" t="s">
        <v>2090</v>
      </c>
      <c r="I238" s="910" t="e">
        <f>VLOOKUP(H237,'LƯƠNG KT'!$D$16:$Z$184,4,0)</f>
        <v>#N/A</v>
      </c>
      <c r="J238" s="609" t="e">
        <f>+I238*25000</f>
        <v>#N/A</v>
      </c>
      <c r="K238" s="935"/>
      <c r="L238" s="935"/>
      <c r="M238" s="935"/>
      <c r="N238" s="935"/>
      <c r="O238" s="935"/>
    </row>
    <row r="239" spans="1:15" ht="15" customHeight="1">
      <c r="A239" s="908" t="s">
        <v>361</v>
      </c>
      <c r="B239" s="909" t="s">
        <v>2091</v>
      </c>
      <c r="C239" s="910" t="e">
        <f>VLOOKUP(B237,'LƯƠNG KT'!$D$16:$Z$184,15,0)</f>
        <v>#N/A</v>
      </c>
      <c r="D239" s="609" t="e">
        <f>C239*$L$4</f>
        <v>#N/A</v>
      </c>
      <c r="E239" s="912"/>
      <c r="F239" s="912"/>
      <c r="G239" s="908" t="s">
        <v>361</v>
      </c>
      <c r="H239" s="909" t="s">
        <v>2091</v>
      </c>
      <c r="I239" s="910" t="e">
        <f>VLOOKUP(H237,'LƯƠNG KT'!$D$16:$Z$184,15,0)</f>
        <v>#N/A</v>
      </c>
      <c r="J239" s="609" t="e">
        <f>I239*$L$4</f>
        <v>#N/A</v>
      </c>
      <c r="K239" s="935"/>
      <c r="L239" s="935"/>
      <c r="M239" s="935"/>
      <c r="N239" s="935"/>
      <c r="O239" s="935"/>
    </row>
    <row r="240" spans="1:15" ht="15" customHeight="1">
      <c r="A240" s="908" t="s">
        <v>364</v>
      </c>
      <c r="B240" s="909" t="s">
        <v>2092</v>
      </c>
      <c r="C240" s="910" t="e">
        <f>VLOOKUP(B237,'LƯƠNG KT'!$D$16:$Z$184,16,0)</f>
        <v>#N/A</v>
      </c>
      <c r="D240" s="609" t="e">
        <f>C240*$L$5</f>
        <v>#N/A</v>
      </c>
      <c r="E240" s="912"/>
      <c r="F240" s="912"/>
      <c r="G240" s="908" t="s">
        <v>364</v>
      </c>
      <c r="H240" s="909" t="s">
        <v>2092</v>
      </c>
      <c r="I240" s="910" t="e">
        <f>VLOOKUP(H237,'LƯƠNG KT'!$D$16:$Z$184,16,0)</f>
        <v>#N/A</v>
      </c>
      <c r="J240" s="609" t="e">
        <f>I240*$L$5</f>
        <v>#N/A</v>
      </c>
      <c r="K240" s="935"/>
      <c r="L240" s="935"/>
      <c r="M240" s="935"/>
      <c r="N240" s="935"/>
      <c r="O240" s="935"/>
    </row>
    <row r="241" spans="1:15" ht="15" customHeight="1">
      <c r="A241" s="908" t="s">
        <v>370</v>
      </c>
      <c r="B241" s="909" t="s">
        <v>2093</v>
      </c>
      <c r="C241" s="910" t="e">
        <f>VLOOKUP(B237,'LƯƠNG KT'!$D$16:$Z$184,24,0)</f>
        <v>#N/A</v>
      </c>
      <c r="D241" s="609" t="e">
        <f>+C241*$L$6</f>
        <v>#N/A</v>
      </c>
      <c r="E241" s="912"/>
      <c r="F241" s="912"/>
      <c r="G241" s="908" t="s">
        <v>370</v>
      </c>
      <c r="H241" s="909" t="s">
        <v>2093</v>
      </c>
      <c r="I241" s="910" t="e">
        <f>VLOOKUP(H237,'LƯƠNG KT'!$D$16:$Z$184,24,0)</f>
        <v>#N/A</v>
      </c>
      <c r="J241" s="609" t="e">
        <f>+I241*$L$6</f>
        <v>#N/A</v>
      </c>
      <c r="K241" s="935"/>
      <c r="L241" s="935"/>
      <c r="M241" s="935"/>
      <c r="N241" s="935"/>
      <c r="O241" s="935"/>
    </row>
    <row r="242" spans="1:15" ht="15" customHeight="1">
      <c r="A242" s="908" t="s">
        <v>2094</v>
      </c>
      <c r="B242" s="909" t="s">
        <v>2095</v>
      </c>
      <c r="C242" s="910" t="e">
        <f>VLOOKUP(B237,'LƯƠNG KT'!$D$16:$Z$184,19,0)</f>
        <v>#N/A</v>
      </c>
      <c r="D242" s="609" t="e">
        <f>+C242*$L$8</f>
        <v>#N/A</v>
      </c>
      <c r="E242" s="912"/>
      <c r="F242" s="912"/>
      <c r="G242" s="908" t="s">
        <v>2094</v>
      </c>
      <c r="H242" s="909" t="s">
        <v>2095</v>
      </c>
      <c r="I242" s="910" t="e">
        <f>VLOOKUP(H237,'LƯƠNG KT'!$D$16:$Z$184,19,0)</f>
        <v>#N/A</v>
      </c>
      <c r="J242" s="609" t="e">
        <f>+I242*$L$8</f>
        <v>#N/A</v>
      </c>
      <c r="K242" s="935"/>
      <c r="L242" s="935"/>
      <c r="M242" s="935"/>
      <c r="N242" s="935"/>
      <c r="O242" s="935"/>
    </row>
    <row r="243" spans="1:15" ht="15" customHeight="1">
      <c r="A243" s="908" t="s">
        <v>2096</v>
      </c>
      <c r="B243" s="913" t="s">
        <v>2097</v>
      </c>
      <c r="C243" s="910" t="e">
        <f>VLOOKUP(B237,'LƯƠNG KT'!$D$16:$Z$184,20,0)</f>
        <v>#N/A</v>
      </c>
      <c r="D243" s="609" t="e">
        <f>+C243*$L$9</f>
        <v>#N/A</v>
      </c>
      <c r="E243" s="912"/>
      <c r="F243" s="912"/>
      <c r="G243" s="908" t="s">
        <v>2096</v>
      </c>
      <c r="H243" s="913" t="s">
        <v>2097</v>
      </c>
      <c r="I243" s="910" t="e">
        <f>VLOOKUP(H237,'LƯƠNG KT'!$D$16:$Z$184,20,0)</f>
        <v>#N/A</v>
      </c>
      <c r="J243" s="609" t="e">
        <f>+I243*$L$9</f>
        <v>#N/A</v>
      </c>
      <c r="K243" s="935"/>
      <c r="L243" s="935"/>
      <c r="M243" s="935"/>
      <c r="N243" s="935"/>
      <c r="O243" s="935"/>
    </row>
    <row r="244" spans="1:15" ht="15" customHeight="1">
      <c r="A244" s="908" t="s">
        <v>2099</v>
      </c>
      <c r="B244" s="909" t="s">
        <v>2100</v>
      </c>
      <c r="C244" s="910" t="e">
        <f>VLOOKUP(B237,'LƯƠNG KT'!$D$16:$Z$184,17,0)</f>
        <v>#N/A</v>
      </c>
      <c r="D244" s="609" t="e">
        <f>+C244*$L$10</f>
        <v>#N/A</v>
      </c>
      <c r="E244" s="912"/>
      <c r="F244" s="912"/>
      <c r="G244" s="908" t="s">
        <v>2099</v>
      </c>
      <c r="H244" s="909" t="s">
        <v>2100</v>
      </c>
      <c r="I244" s="910" t="e">
        <f>VLOOKUP(H237,'LƯƠNG KT'!$D$16:$Z$184,17,0)</f>
        <v>#N/A</v>
      </c>
      <c r="J244" s="609" t="e">
        <f>+I244*$L$10</f>
        <v>#N/A</v>
      </c>
      <c r="K244" s="935"/>
      <c r="L244" s="935"/>
      <c r="M244" s="935"/>
      <c r="N244" s="935"/>
      <c r="O244" s="935"/>
    </row>
    <row r="245" spans="1:15" ht="15" customHeight="1">
      <c r="A245" s="908" t="s">
        <v>374</v>
      </c>
      <c r="B245" s="909" t="s">
        <v>2102</v>
      </c>
      <c r="C245" s="910" t="e">
        <f>VLOOKUP(B237,'LƯƠNG KT'!$D$16:$Z$184,12,0)</f>
        <v>#N/A</v>
      </c>
      <c r="D245" s="609" t="e">
        <f>VLOOKUP(B237,'LƯƠNG KT'!$D$16:$Z$184,14,0)</f>
        <v>#N/A</v>
      </c>
      <c r="E245" s="914"/>
      <c r="F245" s="912"/>
      <c r="G245" s="908" t="s">
        <v>374</v>
      </c>
      <c r="H245" s="909" t="s">
        <v>2102</v>
      </c>
      <c r="I245" s="910" t="e">
        <f>VLOOKUP(H237,'LƯƠNG KT'!$D$16:$Z$184,12,0)</f>
        <v>#N/A</v>
      </c>
      <c r="J245" s="609" t="e">
        <f>VLOOKUP(H237,'LƯƠNG KT'!$D$16:$Z$184,14,0)</f>
        <v>#N/A</v>
      </c>
      <c r="K245" s="935"/>
      <c r="L245" s="935"/>
      <c r="M245" s="935"/>
      <c r="N245" s="935"/>
      <c r="O245" s="935"/>
    </row>
    <row r="246" spans="1:15" ht="15" customHeight="1">
      <c r="A246" s="908" t="s">
        <v>2103</v>
      </c>
      <c r="B246" s="909" t="s">
        <v>2104</v>
      </c>
      <c r="D246" s="915" t="e">
        <f>VLOOKUP(B237,'LƯƠNG KT'!$D$16:$Z$184,13,0)</f>
        <v>#N/A</v>
      </c>
      <c r="E246" s="916"/>
      <c r="F246" s="916"/>
      <c r="G246" s="908" t="s">
        <v>2103</v>
      </c>
      <c r="H246" s="909" t="s">
        <v>2104</v>
      </c>
      <c r="J246" s="915" t="e">
        <f>VLOOKUP(H237,'LƯƠNG KT'!$D$16:$Z$184,13,0)</f>
        <v>#N/A</v>
      </c>
    </row>
    <row r="247" spans="1:15" ht="15" customHeight="1">
      <c r="A247" s="547"/>
      <c r="B247" s="546"/>
      <c r="C247" s="910"/>
      <c r="D247" s="609"/>
      <c r="E247" s="914"/>
      <c r="F247" s="916"/>
      <c r="G247" s="547"/>
      <c r="H247" s="546"/>
      <c r="I247" s="910"/>
      <c r="J247" s="609"/>
    </row>
    <row r="248" spans="1:15" ht="15" customHeight="1">
      <c r="A248" s="905"/>
      <c r="B248" s="546"/>
      <c r="C248" s="910"/>
      <c r="D248" s="609"/>
      <c r="E248" s="917"/>
      <c r="F248" s="904"/>
      <c r="G248" s="905"/>
      <c r="H248" s="546"/>
      <c r="I248" s="910"/>
      <c r="J248" s="609"/>
    </row>
    <row r="249" spans="1:15" ht="15" customHeight="1">
      <c r="A249" s="918" t="s">
        <v>383</v>
      </c>
      <c r="B249" s="919" t="s">
        <v>384</v>
      </c>
      <c r="C249" s="920"/>
      <c r="D249" s="921" t="e">
        <f>SUM(D238:D245)-D248</f>
        <v>#N/A</v>
      </c>
      <c r="E249" s="922"/>
      <c r="F249" s="923"/>
      <c r="G249" s="918" t="s">
        <v>383</v>
      </c>
      <c r="H249" s="919" t="s">
        <v>384</v>
      </c>
      <c r="I249" s="920"/>
      <c r="J249" s="921" t="e">
        <f>SUM(J238:J245)-J248</f>
        <v>#N/A</v>
      </c>
    </row>
    <row r="250" spans="1:15" ht="18.75" customHeight="1">
      <c r="A250" s="924"/>
      <c r="B250" s="925"/>
      <c r="C250" s="926"/>
      <c r="D250" s="927"/>
      <c r="E250" s="927"/>
      <c r="F250" s="928"/>
      <c r="G250" s="924"/>
      <c r="H250" s="925"/>
      <c r="I250" s="926"/>
      <c r="J250" s="927"/>
    </row>
    <row r="251" spans="1:15" ht="18.75" customHeight="1">
      <c r="A251" s="925"/>
      <c r="B251" s="925"/>
      <c r="C251" s="929"/>
      <c r="D251" s="930"/>
      <c r="E251" s="925"/>
      <c r="F251" s="931"/>
      <c r="G251" s="925"/>
      <c r="H251" s="925"/>
      <c r="I251" s="929"/>
      <c r="J251" s="930"/>
    </row>
    <row r="252" spans="1:15" ht="15" customHeight="1">
      <c r="A252" s="2360" t="str">
        <f>$K$2</f>
        <v>THÁNG 04/2025</v>
      </c>
      <c r="B252" s="2360"/>
      <c r="C252" s="2360"/>
      <c r="D252" s="2360"/>
      <c r="E252" s="903"/>
      <c r="F252" s="904"/>
      <c r="G252" s="2360" t="str">
        <f>$K$2</f>
        <v>THÁNG 04/2025</v>
      </c>
      <c r="H252" s="2360"/>
      <c r="I252" s="2360"/>
      <c r="J252" s="2360"/>
      <c r="K252" s="276"/>
    </row>
    <row r="253" spans="1:15" ht="15" customHeight="1">
      <c r="A253" s="905" t="s">
        <v>356</v>
      </c>
      <c r="B253" s="642" t="s">
        <v>411</v>
      </c>
      <c r="C253" s="546"/>
      <c r="D253" s="902"/>
      <c r="E253" s="906"/>
      <c r="F253" s="907"/>
      <c r="G253" s="905" t="s">
        <v>356</v>
      </c>
      <c r="H253" s="642" t="s">
        <v>412</v>
      </c>
      <c r="I253" s="546"/>
      <c r="J253" s="902"/>
      <c r="L253" s="938"/>
      <c r="M253" s="938"/>
      <c r="N253" s="938"/>
      <c r="O253" s="938"/>
    </row>
    <row r="254" spans="1:15" ht="15" customHeight="1">
      <c r="A254" s="908" t="s">
        <v>359</v>
      </c>
      <c r="B254" s="909" t="s">
        <v>2090</v>
      </c>
      <c r="C254" s="910" t="e">
        <f>VLOOKUP(B253,'LƯƠNG KT'!$D$16:$Z$184,4,0)</f>
        <v>#N/A</v>
      </c>
      <c r="D254" s="609" t="e">
        <f>+C254*25000</f>
        <v>#N/A</v>
      </c>
      <c r="E254" s="911"/>
      <c r="F254" s="911"/>
      <c r="G254" s="908" t="s">
        <v>359</v>
      </c>
      <c r="H254" s="909" t="s">
        <v>2090</v>
      </c>
      <c r="I254" s="910" t="e">
        <f>VLOOKUP(H253,'LƯƠNG KT'!$D$16:$Z$184,4,0)</f>
        <v>#N/A</v>
      </c>
      <c r="J254" s="609" t="e">
        <f>+I254*25000</f>
        <v>#N/A</v>
      </c>
      <c r="K254" s="935"/>
      <c r="L254" s="935"/>
      <c r="M254" s="935"/>
      <c r="N254" s="935"/>
      <c r="O254" s="935"/>
    </row>
    <row r="255" spans="1:15" ht="15" customHeight="1">
      <c r="A255" s="908" t="s">
        <v>361</v>
      </c>
      <c r="B255" s="909" t="s">
        <v>2091</v>
      </c>
      <c r="C255" s="910" t="e">
        <f>VLOOKUP(B253,'LƯƠNG KT'!$D$16:$Z$184,15,0)</f>
        <v>#N/A</v>
      </c>
      <c r="D255" s="609" t="e">
        <f>C255*$L$4</f>
        <v>#N/A</v>
      </c>
      <c r="E255" s="912"/>
      <c r="F255" s="912"/>
      <c r="G255" s="908" t="s">
        <v>361</v>
      </c>
      <c r="H255" s="909" t="s">
        <v>2091</v>
      </c>
      <c r="I255" s="910" t="e">
        <f>VLOOKUP(H253,'LƯƠNG KT'!$D$16:$Z$184,15,0)</f>
        <v>#N/A</v>
      </c>
      <c r="J255" s="609" t="e">
        <f>I255*$L$4</f>
        <v>#N/A</v>
      </c>
      <c r="K255" s="935"/>
      <c r="L255" s="935"/>
      <c r="M255" s="935"/>
      <c r="N255" s="935"/>
      <c r="O255" s="935"/>
    </row>
    <row r="256" spans="1:15" ht="15" customHeight="1">
      <c r="A256" s="908" t="s">
        <v>364</v>
      </c>
      <c r="B256" s="909" t="s">
        <v>2092</v>
      </c>
      <c r="C256" s="910" t="e">
        <f>VLOOKUP(B253,'LƯƠNG KT'!$D$16:$Z$184,16,0)</f>
        <v>#N/A</v>
      </c>
      <c r="D256" s="609" t="e">
        <f>C256*$L$5</f>
        <v>#N/A</v>
      </c>
      <c r="E256" s="912"/>
      <c r="F256" s="912"/>
      <c r="G256" s="908" t="s">
        <v>364</v>
      </c>
      <c r="H256" s="909" t="s">
        <v>2092</v>
      </c>
      <c r="I256" s="910" t="e">
        <f>VLOOKUP(H253,'LƯƠNG KT'!$D$16:$Z$184,16,0)</f>
        <v>#N/A</v>
      </c>
      <c r="J256" s="609" t="e">
        <f>I256*$L$5</f>
        <v>#N/A</v>
      </c>
      <c r="K256" s="935"/>
      <c r="L256" s="935"/>
      <c r="M256" s="935"/>
      <c r="N256" s="935"/>
      <c r="O256" s="935"/>
    </row>
    <row r="257" spans="1:15" ht="15" customHeight="1">
      <c r="A257" s="908" t="s">
        <v>370</v>
      </c>
      <c r="B257" s="909" t="s">
        <v>2093</v>
      </c>
      <c r="C257" s="910" t="e">
        <f>VLOOKUP(B253,'LƯƠNG KT'!$D$16:$Z$184,24,0)</f>
        <v>#N/A</v>
      </c>
      <c r="D257" s="609" t="e">
        <f>+C257*$L$6</f>
        <v>#N/A</v>
      </c>
      <c r="E257" s="912"/>
      <c r="F257" s="912"/>
      <c r="G257" s="908" t="s">
        <v>370</v>
      </c>
      <c r="H257" s="909" t="s">
        <v>2093</v>
      </c>
      <c r="I257" s="910" t="e">
        <f>VLOOKUP(H253,'LƯƠNG KT'!$D$16:$Z$184,24,0)</f>
        <v>#N/A</v>
      </c>
      <c r="J257" s="609" t="e">
        <f>+I257*$L$6</f>
        <v>#N/A</v>
      </c>
      <c r="K257" s="935"/>
      <c r="L257" s="935"/>
      <c r="M257" s="935"/>
      <c r="N257" s="935"/>
      <c r="O257" s="935"/>
    </row>
    <row r="258" spans="1:15" ht="15" customHeight="1">
      <c r="A258" s="908" t="s">
        <v>2094</v>
      </c>
      <c r="B258" s="909" t="s">
        <v>2095</v>
      </c>
      <c r="C258" s="910" t="e">
        <f>VLOOKUP(B253,'LƯƠNG KT'!$D$16:$Z$184,19,0)</f>
        <v>#N/A</v>
      </c>
      <c r="D258" s="609" t="e">
        <f>+C258*$L$8</f>
        <v>#N/A</v>
      </c>
      <c r="E258" s="912"/>
      <c r="F258" s="912"/>
      <c r="G258" s="908" t="s">
        <v>2094</v>
      </c>
      <c r="H258" s="909" t="s">
        <v>2095</v>
      </c>
      <c r="I258" s="910" t="e">
        <f>VLOOKUP(H253,'LƯƠNG KT'!$D$16:$Z$184,19,0)</f>
        <v>#N/A</v>
      </c>
      <c r="J258" s="609" t="e">
        <f>+I258*$L$8</f>
        <v>#N/A</v>
      </c>
      <c r="K258" s="935"/>
      <c r="L258" s="935"/>
      <c r="M258" s="935"/>
      <c r="N258" s="935"/>
      <c r="O258" s="935"/>
    </row>
    <row r="259" spans="1:15" ht="15" customHeight="1">
      <c r="A259" s="908" t="s">
        <v>2096</v>
      </c>
      <c r="B259" s="913" t="s">
        <v>2097</v>
      </c>
      <c r="C259" s="910" t="e">
        <f>VLOOKUP(B253,'LƯƠNG KT'!$D$16:$Z$184,20,0)</f>
        <v>#N/A</v>
      </c>
      <c r="D259" s="609" t="e">
        <f>+C259*$L$9</f>
        <v>#N/A</v>
      </c>
      <c r="E259" s="912"/>
      <c r="F259" s="912"/>
      <c r="G259" s="908" t="s">
        <v>2096</v>
      </c>
      <c r="H259" s="913" t="s">
        <v>2097</v>
      </c>
      <c r="I259" s="910" t="e">
        <f>VLOOKUP(H253,'LƯƠNG KT'!$D$16:$Z$184,20,0)</f>
        <v>#N/A</v>
      </c>
      <c r="J259" s="609" t="e">
        <f>+I259*$L$9</f>
        <v>#N/A</v>
      </c>
      <c r="K259" s="935"/>
      <c r="L259" s="935"/>
      <c r="M259" s="935"/>
      <c r="N259" s="935"/>
      <c r="O259" s="935"/>
    </row>
    <row r="260" spans="1:15" ht="15" customHeight="1">
      <c r="A260" s="908" t="s">
        <v>2099</v>
      </c>
      <c r="B260" s="909" t="s">
        <v>2100</v>
      </c>
      <c r="C260" s="910" t="e">
        <f>VLOOKUP(B253,'LƯƠNG KT'!$D$16:$Z$184,17,0)</f>
        <v>#N/A</v>
      </c>
      <c r="D260" s="609" t="e">
        <f>+C260*$L$10</f>
        <v>#N/A</v>
      </c>
      <c r="E260" s="912"/>
      <c r="F260" s="912"/>
      <c r="G260" s="908" t="s">
        <v>2099</v>
      </c>
      <c r="H260" s="909" t="s">
        <v>2100</v>
      </c>
      <c r="I260" s="910" t="e">
        <f>VLOOKUP(H253,'LƯƠNG KT'!$D$16:$Z$184,17,0)</f>
        <v>#N/A</v>
      </c>
      <c r="J260" s="609" t="e">
        <f>+I260*$L$10</f>
        <v>#N/A</v>
      </c>
      <c r="K260" s="935"/>
      <c r="L260" s="935"/>
      <c r="M260" s="935"/>
      <c r="N260" s="935"/>
      <c r="O260" s="935"/>
    </row>
    <row r="261" spans="1:15" ht="15" customHeight="1">
      <c r="A261" s="908" t="s">
        <v>374</v>
      </c>
      <c r="B261" s="909" t="s">
        <v>2102</v>
      </c>
      <c r="C261" s="910" t="e">
        <f>VLOOKUP(B253,'LƯƠNG KT'!$D$16:$Z$184,12,0)</f>
        <v>#N/A</v>
      </c>
      <c r="D261" s="609" t="e">
        <f>VLOOKUP(B253,'LƯƠNG KT'!$D$16:$Z$184,14,0)</f>
        <v>#N/A</v>
      </c>
      <c r="E261" s="914"/>
      <c r="F261" s="912"/>
      <c r="G261" s="908" t="s">
        <v>374</v>
      </c>
      <c r="H261" s="909" t="s">
        <v>2102</v>
      </c>
      <c r="I261" s="910" t="e">
        <f>VLOOKUP(H253,'LƯƠNG KT'!$D$16:$Z$184,12,0)</f>
        <v>#N/A</v>
      </c>
      <c r="J261" s="609" t="e">
        <f>VLOOKUP(H253,'LƯƠNG KT'!$D$16:$Z$184,14,0)</f>
        <v>#N/A</v>
      </c>
      <c r="K261" s="935"/>
      <c r="L261" s="935"/>
      <c r="M261" s="935"/>
      <c r="N261" s="935"/>
      <c r="O261" s="935"/>
    </row>
    <row r="262" spans="1:15" ht="15" customHeight="1">
      <c r="A262" s="908" t="s">
        <v>2103</v>
      </c>
      <c r="B262" s="909" t="s">
        <v>2104</v>
      </c>
      <c r="D262" s="915" t="e">
        <f>VLOOKUP(B253,'LƯƠNG KT'!$D$16:$Z$184,13,0)</f>
        <v>#N/A</v>
      </c>
      <c r="E262" s="916"/>
      <c r="F262" s="916"/>
      <c r="G262" s="908" t="s">
        <v>2103</v>
      </c>
      <c r="H262" s="909" t="s">
        <v>2104</v>
      </c>
      <c r="J262" s="915" t="e">
        <f>VLOOKUP(H253,'LƯƠNG KT'!$D$16:$Z$184,13,0)</f>
        <v>#N/A</v>
      </c>
    </row>
    <row r="263" spans="1:15" ht="15" customHeight="1">
      <c r="A263" s="547"/>
      <c r="B263" s="546"/>
      <c r="C263" s="910"/>
      <c r="D263" s="609"/>
      <c r="E263" s="914"/>
      <c r="F263" s="916"/>
      <c r="G263" s="547"/>
      <c r="H263" s="546"/>
      <c r="I263" s="910"/>
      <c r="J263" s="609"/>
    </row>
    <row r="264" spans="1:15" ht="15" customHeight="1">
      <c r="A264" s="905"/>
      <c r="B264" s="546"/>
      <c r="C264" s="910"/>
      <c r="D264" s="609"/>
      <c r="E264" s="917"/>
      <c r="F264" s="904"/>
      <c r="G264" s="905"/>
      <c r="H264" s="546"/>
      <c r="I264" s="910"/>
      <c r="J264" s="609"/>
    </row>
    <row r="265" spans="1:15" ht="15" customHeight="1">
      <c r="A265" s="918" t="s">
        <v>383</v>
      </c>
      <c r="B265" s="919" t="s">
        <v>384</v>
      </c>
      <c r="C265" s="920"/>
      <c r="D265" s="921" t="e">
        <f>SUM(D254:D261)-D264</f>
        <v>#N/A</v>
      </c>
      <c r="E265" s="922"/>
      <c r="F265" s="923"/>
      <c r="G265" s="918" t="s">
        <v>383</v>
      </c>
      <c r="H265" s="919" t="s">
        <v>384</v>
      </c>
      <c r="I265" s="920"/>
      <c r="J265" s="921" t="e">
        <f>SUM(J254:J261)-J264</f>
        <v>#N/A</v>
      </c>
    </row>
    <row r="266" spans="1:15" ht="18.75" customHeight="1">
      <c r="A266" s="924"/>
      <c r="B266" s="925"/>
      <c r="C266" s="926"/>
      <c r="D266" s="927"/>
      <c r="E266" s="927"/>
      <c r="F266" s="928"/>
      <c r="G266" s="924"/>
      <c r="H266" s="925"/>
      <c r="I266" s="926"/>
      <c r="J266" s="927"/>
    </row>
    <row r="267" spans="1:15" ht="156" customHeight="1">
      <c r="A267" s="925"/>
      <c r="B267" s="925"/>
      <c r="C267" s="929"/>
      <c r="D267" s="930"/>
      <c r="E267" s="925"/>
      <c r="F267" s="931"/>
      <c r="G267" s="925"/>
      <c r="H267" s="925"/>
      <c r="I267" s="929"/>
      <c r="J267" s="930"/>
    </row>
    <row r="268" spans="1:15" ht="15" customHeight="1">
      <c r="A268" s="2360" t="str">
        <f>$K$2</f>
        <v>THÁNG 04/2025</v>
      </c>
      <c r="B268" s="2360"/>
      <c r="C268" s="2360"/>
      <c r="D268" s="2360"/>
      <c r="E268" s="903"/>
      <c r="F268" s="904"/>
      <c r="G268" s="2360" t="str">
        <f>$K$2</f>
        <v>THÁNG 04/2025</v>
      </c>
      <c r="H268" s="2360"/>
      <c r="I268" s="2360"/>
      <c r="J268" s="2360"/>
      <c r="K268" s="276"/>
    </row>
    <row r="269" spans="1:15" ht="15" customHeight="1">
      <c r="A269" s="905" t="s">
        <v>356</v>
      </c>
      <c r="B269" s="642" t="s">
        <v>413</v>
      </c>
      <c r="C269" s="546"/>
      <c r="D269" s="902"/>
      <c r="E269" s="906"/>
      <c r="F269" s="907"/>
      <c r="G269" s="905" t="s">
        <v>356</v>
      </c>
      <c r="H269" s="642" t="s">
        <v>414</v>
      </c>
      <c r="I269" s="546"/>
      <c r="J269" s="902"/>
      <c r="L269" s="938"/>
      <c r="M269" s="938"/>
      <c r="N269" s="938"/>
      <c r="O269" s="938"/>
    </row>
    <row r="270" spans="1:15" ht="15" customHeight="1">
      <c r="A270" s="908" t="s">
        <v>359</v>
      </c>
      <c r="B270" s="909" t="s">
        <v>2090</v>
      </c>
      <c r="C270" s="910" t="e">
        <f>VLOOKUP(B269,'LƯƠNG KT'!$D$16:$Z$184,4,0)</f>
        <v>#N/A</v>
      </c>
      <c r="D270" s="609" t="e">
        <f>+C270*25000</f>
        <v>#N/A</v>
      </c>
      <c r="E270" s="911"/>
      <c r="F270" s="911"/>
      <c r="G270" s="908" t="s">
        <v>359</v>
      </c>
      <c r="H270" s="909" t="s">
        <v>2090</v>
      </c>
      <c r="I270" s="910" t="e">
        <f>VLOOKUP(H269,'LƯƠNG KT'!$D$16:$Z$184,4,0)</f>
        <v>#N/A</v>
      </c>
      <c r="J270" s="609" t="e">
        <f>+I270*25000</f>
        <v>#N/A</v>
      </c>
      <c r="K270" s="935"/>
      <c r="L270" s="935"/>
      <c r="M270" s="935"/>
      <c r="N270" s="935"/>
      <c r="O270" s="935"/>
    </row>
    <row r="271" spans="1:15" ht="15" customHeight="1">
      <c r="A271" s="908" t="s">
        <v>361</v>
      </c>
      <c r="B271" s="909" t="s">
        <v>2091</v>
      </c>
      <c r="C271" s="910" t="e">
        <f>VLOOKUP(B269,'LƯƠNG KT'!$D$16:$Z$184,15,0)</f>
        <v>#N/A</v>
      </c>
      <c r="D271" s="609" t="e">
        <f>C271*$L$4</f>
        <v>#N/A</v>
      </c>
      <c r="E271" s="912"/>
      <c r="F271" s="912"/>
      <c r="G271" s="908" t="s">
        <v>361</v>
      </c>
      <c r="H271" s="909" t="s">
        <v>2091</v>
      </c>
      <c r="I271" s="910" t="e">
        <f>VLOOKUP(H269,'LƯƠNG KT'!$D$16:$Z$184,15,0)</f>
        <v>#N/A</v>
      </c>
      <c r="J271" s="609" t="e">
        <f>I271*$L$4</f>
        <v>#N/A</v>
      </c>
      <c r="K271" s="935"/>
      <c r="L271" s="935"/>
      <c r="M271" s="935"/>
      <c r="N271" s="935"/>
      <c r="O271" s="935"/>
    </row>
    <row r="272" spans="1:15" ht="15" customHeight="1">
      <c r="A272" s="908" t="s">
        <v>364</v>
      </c>
      <c r="B272" s="909" t="s">
        <v>2092</v>
      </c>
      <c r="C272" s="910" t="e">
        <f>VLOOKUP(B269,'LƯƠNG KT'!$D$16:$Z$184,16,0)</f>
        <v>#N/A</v>
      </c>
      <c r="D272" s="609" t="e">
        <f>C272*$L$5</f>
        <v>#N/A</v>
      </c>
      <c r="E272" s="912"/>
      <c r="F272" s="912"/>
      <c r="G272" s="908" t="s">
        <v>364</v>
      </c>
      <c r="H272" s="909" t="s">
        <v>2092</v>
      </c>
      <c r="I272" s="910" t="e">
        <f>VLOOKUP(H269,'LƯƠNG KT'!$D$16:$Z$184,16,0)</f>
        <v>#N/A</v>
      </c>
      <c r="J272" s="609" t="e">
        <f>I272*$L$5</f>
        <v>#N/A</v>
      </c>
      <c r="K272" s="935"/>
      <c r="L272" s="935"/>
      <c r="M272" s="935"/>
      <c r="N272" s="935"/>
      <c r="O272" s="935"/>
    </row>
    <row r="273" spans="1:15" ht="15" customHeight="1">
      <c r="A273" s="908" t="s">
        <v>370</v>
      </c>
      <c r="B273" s="909" t="s">
        <v>2093</v>
      </c>
      <c r="C273" s="910" t="e">
        <f>VLOOKUP(B269,'LƯƠNG KT'!$D$16:$Z$184,24,0)</f>
        <v>#N/A</v>
      </c>
      <c r="D273" s="609" t="e">
        <f>+C273*$L$6</f>
        <v>#N/A</v>
      </c>
      <c r="E273" s="912"/>
      <c r="F273" s="912"/>
      <c r="G273" s="908" t="s">
        <v>370</v>
      </c>
      <c r="H273" s="909" t="s">
        <v>2093</v>
      </c>
      <c r="I273" s="910" t="e">
        <f>VLOOKUP(H269,'LƯƠNG KT'!$D$16:$Z$184,24,0)</f>
        <v>#N/A</v>
      </c>
      <c r="J273" s="609" t="e">
        <f>+I273*$L$6</f>
        <v>#N/A</v>
      </c>
      <c r="K273" s="935"/>
      <c r="L273" s="935"/>
      <c r="M273" s="935"/>
      <c r="N273" s="935"/>
      <c r="O273" s="935"/>
    </row>
    <row r="274" spans="1:15" ht="15" customHeight="1">
      <c r="A274" s="908" t="s">
        <v>2094</v>
      </c>
      <c r="B274" s="909" t="s">
        <v>2095</v>
      </c>
      <c r="C274" s="910" t="e">
        <f>VLOOKUP(B269,'LƯƠNG KT'!$D$16:$Z$184,19,0)</f>
        <v>#N/A</v>
      </c>
      <c r="D274" s="609" t="e">
        <f>+C274*$L$8</f>
        <v>#N/A</v>
      </c>
      <c r="E274" s="912"/>
      <c r="F274" s="912"/>
      <c r="G274" s="908" t="s">
        <v>2094</v>
      </c>
      <c r="H274" s="909" t="s">
        <v>2095</v>
      </c>
      <c r="I274" s="910" t="e">
        <f>VLOOKUP(H269,'LƯƠNG KT'!$D$16:$Z$184,19,0)</f>
        <v>#N/A</v>
      </c>
      <c r="J274" s="609" t="e">
        <f>+I274*$L$8</f>
        <v>#N/A</v>
      </c>
      <c r="K274" s="935"/>
      <c r="L274" s="935"/>
      <c r="M274" s="935"/>
      <c r="N274" s="935"/>
      <c r="O274" s="935"/>
    </row>
    <row r="275" spans="1:15" ht="15" customHeight="1">
      <c r="A275" s="908" t="s">
        <v>2096</v>
      </c>
      <c r="B275" s="913" t="s">
        <v>2097</v>
      </c>
      <c r="C275" s="910" t="e">
        <f>VLOOKUP(B269,'LƯƠNG KT'!$D$16:$Z$184,20,0)</f>
        <v>#N/A</v>
      </c>
      <c r="D275" s="609" t="e">
        <f>+C275*$L$9</f>
        <v>#N/A</v>
      </c>
      <c r="E275" s="912"/>
      <c r="F275" s="912"/>
      <c r="G275" s="908" t="s">
        <v>2096</v>
      </c>
      <c r="H275" s="913" t="s">
        <v>2097</v>
      </c>
      <c r="I275" s="910" t="e">
        <f>VLOOKUP(H269,'LƯƠNG KT'!$D$16:$Z$184,20,0)</f>
        <v>#N/A</v>
      </c>
      <c r="J275" s="609" t="e">
        <f>+I275*$L$9</f>
        <v>#N/A</v>
      </c>
      <c r="K275" s="935"/>
      <c r="L275" s="935"/>
      <c r="M275" s="935"/>
      <c r="N275" s="935"/>
      <c r="O275" s="935"/>
    </row>
    <row r="276" spans="1:15" ht="15" customHeight="1">
      <c r="A276" s="908" t="s">
        <v>2099</v>
      </c>
      <c r="B276" s="909" t="s">
        <v>2100</v>
      </c>
      <c r="C276" s="910" t="e">
        <f>VLOOKUP(B269,'LƯƠNG KT'!$D$16:$Z$184,17,0)</f>
        <v>#N/A</v>
      </c>
      <c r="D276" s="609" t="e">
        <f>+C276*$L$10</f>
        <v>#N/A</v>
      </c>
      <c r="E276" s="912"/>
      <c r="F276" s="912"/>
      <c r="G276" s="908" t="s">
        <v>2099</v>
      </c>
      <c r="H276" s="909" t="s">
        <v>2100</v>
      </c>
      <c r="I276" s="910" t="e">
        <f>VLOOKUP(H269,'LƯƠNG KT'!$D$16:$Z$184,17,0)</f>
        <v>#N/A</v>
      </c>
      <c r="J276" s="609" t="e">
        <f>+I276*$L$10</f>
        <v>#N/A</v>
      </c>
      <c r="K276" s="935"/>
      <c r="L276" s="935"/>
      <c r="M276" s="935"/>
      <c r="N276" s="935"/>
      <c r="O276" s="935"/>
    </row>
    <row r="277" spans="1:15" ht="15" customHeight="1">
      <c r="A277" s="908" t="s">
        <v>374</v>
      </c>
      <c r="B277" s="909" t="s">
        <v>2102</v>
      </c>
      <c r="C277" s="910" t="e">
        <f>VLOOKUP(B269,'LƯƠNG KT'!$D$16:$Z$184,12,0)</f>
        <v>#N/A</v>
      </c>
      <c r="D277" s="609" t="e">
        <f>VLOOKUP(B269,'LƯƠNG KT'!$D$16:$Z$184,14,0)</f>
        <v>#N/A</v>
      </c>
      <c r="E277" s="914"/>
      <c r="F277" s="912"/>
      <c r="G277" s="908" t="s">
        <v>374</v>
      </c>
      <c r="H277" s="909" t="s">
        <v>2102</v>
      </c>
      <c r="I277" s="910" t="e">
        <f>VLOOKUP(H269,'LƯƠNG KT'!$D$16:$Z$184,12,0)</f>
        <v>#N/A</v>
      </c>
      <c r="J277" s="609" t="e">
        <f>VLOOKUP(H269,'LƯƠNG KT'!$D$16:$Z$184,14,0)+(I271+I272+I274+I275)*20000</f>
        <v>#N/A</v>
      </c>
      <c r="K277" s="935"/>
      <c r="L277" s="935"/>
      <c r="M277" s="935"/>
      <c r="N277" s="935"/>
      <c r="O277" s="935"/>
    </row>
    <row r="278" spans="1:15" ht="15" customHeight="1">
      <c r="A278" s="908" t="s">
        <v>2103</v>
      </c>
      <c r="B278" s="909" t="s">
        <v>2104</v>
      </c>
      <c r="D278" s="915" t="e">
        <f>VLOOKUP(B269,'LƯƠNG KT'!$D$16:$Z$184,13,0)</f>
        <v>#N/A</v>
      </c>
      <c r="E278" s="916"/>
      <c r="F278" s="916"/>
      <c r="G278" s="908" t="s">
        <v>2103</v>
      </c>
      <c r="H278" s="909" t="s">
        <v>2104</v>
      </c>
      <c r="J278" s="915" t="e">
        <f>VLOOKUP(H269,'LƯƠNG KT'!$D$16:$Z$184,13,0)</f>
        <v>#N/A</v>
      </c>
    </row>
    <row r="279" spans="1:15" ht="15" customHeight="1">
      <c r="A279" s="547"/>
      <c r="B279" s="546"/>
      <c r="C279" s="910"/>
      <c r="D279" s="609"/>
      <c r="E279" s="914"/>
      <c r="F279" s="916"/>
      <c r="G279" s="547"/>
      <c r="H279" s="546"/>
      <c r="I279" s="910"/>
      <c r="J279" s="609"/>
    </row>
    <row r="280" spans="1:15" ht="15" customHeight="1">
      <c r="A280" s="905"/>
      <c r="B280" s="546"/>
      <c r="C280" s="910"/>
      <c r="D280" s="609"/>
      <c r="E280" s="917"/>
      <c r="F280" s="904"/>
      <c r="G280" s="905"/>
      <c r="H280" s="546"/>
      <c r="I280" s="910"/>
      <c r="J280" s="609"/>
    </row>
    <row r="281" spans="1:15" ht="15" customHeight="1">
      <c r="A281" s="918" t="s">
        <v>383</v>
      </c>
      <c r="B281" s="919" t="s">
        <v>384</v>
      </c>
      <c r="C281" s="920"/>
      <c r="D281" s="921" t="e">
        <f>SUM(D270:D277)-D280</f>
        <v>#N/A</v>
      </c>
      <c r="E281" s="922"/>
      <c r="F281" s="923"/>
      <c r="G281" s="918" t="s">
        <v>383</v>
      </c>
      <c r="H281" s="919" t="s">
        <v>384</v>
      </c>
      <c r="I281" s="920"/>
      <c r="J281" s="921" t="e">
        <f>SUM(J270:J277)-J280</f>
        <v>#N/A</v>
      </c>
    </row>
    <row r="282" spans="1:15" ht="15.75" customHeight="1">
      <c r="A282" s="924"/>
      <c r="B282" s="925"/>
      <c r="C282" s="926"/>
      <c r="D282" s="927"/>
      <c r="E282" s="927"/>
      <c r="F282" s="928"/>
      <c r="G282" s="924"/>
      <c r="H282" s="925"/>
      <c r="I282" s="926"/>
      <c r="J282" s="927"/>
    </row>
    <row r="284" spans="1:15" ht="12" customHeight="1">
      <c r="A284" s="2361"/>
      <c r="B284" s="2361"/>
      <c r="C284" s="2361"/>
      <c r="D284" s="2361"/>
      <c r="E284" s="2361"/>
      <c r="F284" s="2361"/>
      <c r="G284" s="2361"/>
      <c r="H284" s="2361"/>
      <c r="I284" s="2361"/>
      <c r="J284" s="2361"/>
    </row>
    <row r="285" spans="1:15" ht="15" customHeight="1">
      <c r="A285" s="2360" t="str">
        <f>$K$2</f>
        <v>THÁNG 04/2025</v>
      </c>
      <c r="B285" s="2360"/>
      <c r="C285" s="2360"/>
      <c r="D285" s="2360"/>
      <c r="E285" s="903"/>
      <c r="F285" s="904"/>
      <c r="G285" s="2360" t="str">
        <f>$K$2</f>
        <v>THÁNG 04/2025</v>
      </c>
      <c r="H285" s="2360"/>
      <c r="I285" s="2360"/>
      <c r="J285" s="2360"/>
      <c r="K285" s="276"/>
    </row>
    <row r="286" spans="1:15" ht="15" customHeight="1">
      <c r="A286" s="905" t="s">
        <v>356</v>
      </c>
      <c r="B286" s="642" t="s">
        <v>415</v>
      </c>
      <c r="C286" s="546"/>
      <c r="D286" s="902"/>
      <c r="E286" s="906"/>
      <c r="F286" s="907"/>
      <c r="G286" s="905" t="s">
        <v>356</v>
      </c>
      <c r="H286" s="642" t="s">
        <v>1940</v>
      </c>
      <c r="I286" s="546"/>
      <c r="J286" s="902"/>
      <c r="L286" s="938"/>
      <c r="M286" s="938"/>
      <c r="N286" s="938"/>
      <c r="O286" s="938"/>
    </row>
    <row r="287" spans="1:15" ht="15" customHeight="1">
      <c r="A287" s="908" t="s">
        <v>359</v>
      </c>
      <c r="B287" s="909" t="s">
        <v>2090</v>
      </c>
      <c r="C287" s="910" t="e">
        <f>VLOOKUP(B286,'LƯƠNG KT'!$D$16:$Z$184,4,0)</f>
        <v>#N/A</v>
      </c>
      <c r="D287" s="609" t="e">
        <f>+C287*25000</f>
        <v>#N/A</v>
      </c>
      <c r="E287" s="911"/>
      <c r="F287" s="911"/>
      <c r="G287" s="908" t="s">
        <v>359</v>
      </c>
      <c r="H287" s="909" t="s">
        <v>2090</v>
      </c>
      <c r="I287" s="910" t="e">
        <f>VLOOKUP(H286,'LƯƠNG KT'!$D$16:$Z$184,4,0)</f>
        <v>#N/A</v>
      </c>
      <c r="J287" s="609" t="e">
        <f>+I287*25000</f>
        <v>#N/A</v>
      </c>
      <c r="K287" s="934"/>
      <c r="L287" s="935"/>
      <c r="M287" s="935"/>
      <c r="N287" s="935"/>
      <c r="O287" s="935"/>
    </row>
    <row r="288" spans="1:15" ht="15" customHeight="1">
      <c r="A288" s="908" t="s">
        <v>361</v>
      </c>
      <c r="B288" s="909" t="s">
        <v>2091</v>
      </c>
      <c r="C288" s="910" t="e">
        <f>VLOOKUP(B286,'LƯƠNG KT'!$D$16:$Z$184,15,0)</f>
        <v>#N/A</v>
      </c>
      <c r="D288" s="609" t="e">
        <f>C288*$L$4</f>
        <v>#N/A</v>
      </c>
      <c r="E288" s="912"/>
      <c r="F288" s="912"/>
      <c r="G288" s="908" t="s">
        <v>361</v>
      </c>
      <c r="H288" s="909" t="s">
        <v>2091</v>
      </c>
      <c r="I288" s="910" t="e">
        <f>VLOOKUP(H286,'LƯƠNG KT'!$D$16:$Z$184,15,0)</f>
        <v>#N/A</v>
      </c>
      <c r="J288" s="609" t="e">
        <f>I288*$L$4</f>
        <v>#N/A</v>
      </c>
      <c r="K288" s="934"/>
      <c r="L288" s="935"/>
      <c r="M288" s="935"/>
      <c r="N288" s="935"/>
      <c r="O288" s="935"/>
    </row>
    <row r="289" spans="1:15" ht="15" customHeight="1">
      <c r="A289" s="908" t="s">
        <v>364</v>
      </c>
      <c r="B289" s="909" t="s">
        <v>2092</v>
      </c>
      <c r="C289" s="910" t="e">
        <f>VLOOKUP(B286,'LƯƠNG KT'!$D$16:$Z$184,16,0)</f>
        <v>#N/A</v>
      </c>
      <c r="D289" s="609" t="e">
        <f>C289*$L$5</f>
        <v>#N/A</v>
      </c>
      <c r="E289" s="912"/>
      <c r="F289" s="912"/>
      <c r="G289" s="908" t="s">
        <v>364</v>
      </c>
      <c r="H289" s="909" t="s">
        <v>2092</v>
      </c>
      <c r="I289" s="910" t="e">
        <f>VLOOKUP(H286,'LƯƠNG KT'!$D$16:$Z$184,16,0)</f>
        <v>#N/A</v>
      </c>
      <c r="J289" s="609" t="e">
        <f>I289*$L$5</f>
        <v>#N/A</v>
      </c>
      <c r="K289" s="934"/>
      <c r="L289" s="935"/>
      <c r="M289" s="935"/>
      <c r="N289" s="935"/>
      <c r="O289" s="935"/>
    </row>
    <row r="290" spans="1:15" ht="15" customHeight="1">
      <c r="A290" s="908" t="s">
        <v>370</v>
      </c>
      <c r="B290" s="909" t="s">
        <v>2093</v>
      </c>
      <c r="C290" s="910" t="e">
        <f>VLOOKUP(B286,'LƯƠNG KT'!$D$16:$Z$184,24,0)</f>
        <v>#N/A</v>
      </c>
      <c r="D290" s="609" t="e">
        <f>+C290*$L$6</f>
        <v>#N/A</v>
      </c>
      <c r="E290" s="912"/>
      <c r="F290" s="912"/>
      <c r="G290" s="908" t="s">
        <v>370</v>
      </c>
      <c r="H290" s="909" t="s">
        <v>2093</v>
      </c>
      <c r="I290" s="910" t="e">
        <f>VLOOKUP(H286,'LƯƠNG KT'!$D$16:$Z$184,24,0)</f>
        <v>#N/A</v>
      </c>
      <c r="J290" s="609" t="e">
        <f>+I290*$L$6</f>
        <v>#N/A</v>
      </c>
      <c r="K290" s="935"/>
      <c r="L290" s="935"/>
      <c r="M290" s="935"/>
      <c r="N290" s="935"/>
      <c r="O290" s="935"/>
    </row>
    <row r="291" spans="1:15" ht="15" customHeight="1">
      <c r="A291" s="908" t="s">
        <v>2094</v>
      </c>
      <c r="B291" s="909" t="s">
        <v>2095</v>
      </c>
      <c r="C291" s="910" t="e">
        <f>VLOOKUP(B286,'LƯƠNG KT'!$D$16:$Z$184,19,0)</f>
        <v>#N/A</v>
      </c>
      <c r="D291" s="609" t="e">
        <f>+C291*$L$8</f>
        <v>#N/A</v>
      </c>
      <c r="E291" s="912"/>
      <c r="F291" s="912"/>
      <c r="G291" s="908" t="s">
        <v>2094</v>
      </c>
      <c r="H291" s="909" t="s">
        <v>2095</v>
      </c>
      <c r="I291" s="910" t="e">
        <f>VLOOKUP(H286,'LƯƠNG KT'!$D$16:$Z$184,19,0)</f>
        <v>#N/A</v>
      </c>
      <c r="J291" s="609" t="e">
        <f>+I291*$L$8</f>
        <v>#N/A</v>
      </c>
      <c r="K291" s="935"/>
      <c r="L291" s="935"/>
      <c r="M291" s="935"/>
      <c r="N291" s="935"/>
      <c r="O291" s="935"/>
    </row>
    <row r="292" spans="1:15" ht="15" customHeight="1">
      <c r="A292" s="908" t="s">
        <v>2096</v>
      </c>
      <c r="B292" s="913" t="s">
        <v>2097</v>
      </c>
      <c r="C292" s="910" t="e">
        <f>VLOOKUP(B286,'LƯƠNG KT'!$D$16:$Z$184,20,0)</f>
        <v>#N/A</v>
      </c>
      <c r="D292" s="609" t="e">
        <f>+C292*$L$9</f>
        <v>#N/A</v>
      </c>
      <c r="E292" s="912"/>
      <c r="F292" s="912"/>
      <c r="G292" s="908" t="s">
        <v>2096</v>
      </c>
      <c r="H292" s="913" t="s">
        <v>2097</v>
      </c>
      <c r="I292" s="910" t="e">
        <f>VLOOKUP(H286,'LƯƠNG KT'!$D$16:$Z$184,20,0)</f>
        <v>#N/A</v>
      </c>
      <c r="J292" s="609" t="e">
        <f>+I292*$L$9</f>
        <v>#N/A</v>
      </c>
      <c r="K292" s="935"/>
      <c r="L292" s="935"/>
      <c r="M292" s="935"/>
      <c r="N292" s="935"/>
      <c r="O292" s="935"/>
    </row>
    <row r="293" spans="1:15" ht="15" customHeight="1">
      <c r="A293" s="908" t="s">
        <v>2099</v>
      </c>
      <c r="B293" s="909" t="s">
        <v>2100</v>
      </c>
      <c r="C293" s="910" t="e">
        <f>VLOOKUP(B286,'LƯƠNG KT'!$D$16:$Z$184,17,0)</f>
        <v>#N/A</v>
      </c>
      <c r="D293" s="609" t="e">
        <f>+C293*$L$10</f>
        <v>#N/A</v>
      </c>
      <c r="E293" s="912"/>
      <c r="F293" s="912"/>
      <c r="G293" s="908" t="s">
        <v>2099</v>
      </c>
      <c r="H293" s="909" t="s">
        <v>2100</v>
      </c>
      <c r="I293" s="910" t="e">
        <f>VLOOKUP(H286,'LƯƠNG KT'!$D$16:$Z$184,17,0)</f>
        <v>#N/A</v>
      </c>
      <c r="J293" s="609" t="e">
        <f>+I293*$L$10</f>
        <v>#N/A</v>
      </c>
      <c r="K293" s="935"/>
      <c r="L293" s="935"/>
      <c r="M293" s="935"/>
      <c r="N293" s="935"/>
      <c r="O293" s="935"/>
    </row>
    <row r="294" spans="1:15" ht="15" customHeight="1">
      <c r="A294" s="908" t="s">
        <v>374</v>
      </c>
      <c r="B294" s="909" t="s">
        <v>2102</v>
      </c>
      <c r="C294" s="910" t="e">
        <f>VLOOKUP(B286,'LƯƠNG KT'!$D$16:$Z$184,12,0)</f>
        <v>#N/A</v>
      </c>
      <c r="D294" s="609" t="e">
        <f>VLOOKUP(B286,'LƯƠNG KT'!$D$16:$Z$184,14,0)</f>
        <v>#N/A</v>
      </c>
      <c r="E294" s="914"/>
      <c r="F294" s="912"/>
      <c r="G294" s="908" t="s">
        <v>374</v>
      </c>
      <c r="H294" s="909" t="s">
        <v>2102</v>
      </c>
      <c r="I294" s="910" t="e">
        <f>VLOOKUP(H286,'LƯƠNG KT'!$D$16:$Z$184,12,0)</f>
        <v>#N/A</v>
      </c>
      <c r="J294" s="609" t="e">
        <f>VLOOKUP(H286,'LƯƠNG KT'!$D$16:$Z$184,14,0)</f>
        <v>#N/A</v>
      </c>
      <c r="K294" s="935"/>
      <c r="L294" s="935"/>
      <c r="M294" s="935"/>
      <c r="N294" s="935"/>
      <c r="O294" s="935"/>
    </row>
    <row r="295" spans="1:15" ht="15" customHeight="1">
      <c r="A295" s="908" t="s">
        <v>2103</v>
      </c>
      <c r="B295" s="909" t="s">
        <v>2104</v>
      </c>
      <c r="D295" s="915" t="e">
        <f>VLOOKUP(B286,'LƯƠNG KT'!$D$16:$Z$184,13,0)</f>
        <v>#N/A</v>
      </c>
      <c r="E295" s="916"/>
      <c r="F295" s="916"/>
      <c r="G295" s="908" t="s">
        <v>2103</v>
      </c>
      <c r="H295" s="909" t="s">
        <v>2104</v>
      </c>
      <c r="J295" s="915" t="e">
        <f>VLOOKUP(H286,'LƯƠNG KT'!$D$16:$Z$184,13,0)</f>
        <v>#N/A</v>
      </c>
    </row>
    <row r="296" spans="1:15" ht="15" customHeight="1">
      <c r="A296" s="547"/>
      <c r="B296" s="546"/>
      <c r="C296" s="910"/>
      <c r="D296" s="609"/>
      <c r="E296" s="914"/>
      <c r="F296" s="916"/>
      <c r="G296" s="547"/>
      <c r="H296" s="546"/>
      <c r="I296" s="910"/>
      <c r="J296" s="609"/>
    </row>
    <row r="297" spans="1:15" ht="15" customHeight="1">
      <c r="A297" s="905"/>
      <c r="B297" s="546"/>
      <c r="C297" s="910"/>
      <c r="D297" s="609"/>
      <c r="E297" s="917"/>
      <c r="F297" s="904"/>
      <c r="G297" s="905"/>
      <c r="H297" s="546"/>
      <c r="I297" s="910"/>
      <c r="J297" s="609"/>
    </row>
    <row r="298" spans="1:15" ht="15" customHeight="1">
      <c r="A298" s="918" t="s">
        <v>383</v>
      </c>
      <c r="B298" s="919" t="s">
        <v>384</v>
      </c>
      <c r="C298" s="920"/>
      <c r="D298" s="921" t="e">
        <f>SUM(D287:D294)-D297</f>
        <v>#N/A</v>
      </c>
      <c r="E298" s="922"/>
      <c r="F298" s="923"/>
      <c r="G298" s="918" t="s">
        <v>383</v>
      </c>
      <c r="H298" s="919" t="s">
        <v>384</v>
      </c>
      <c r="I298" s="920"/>
      <c r="J298" s="921" t="e">
        <f>SUM(J287:J294)-J297</f>
        <v>#N/A</v>
      </c>
    </row>
    <row r="299" spans="1:15" ht="12.6" customHeight="1">
      <c r="A299" s="924"/>
      <c r="B299" s="925"/>
      <c r="C299" s="926"/>
      <c r="D299" s="927"/>
      <c r="E299" s="927"/>
      <c r="F299" s="928"/>
      <c r="G299" s="924"/>
      <c r="H299" s="925"/>
      <c r="I299" s="926"/>
      <c r="J299" s="927"/>
    </row>
    <row r="300" spans="1:15" ht="12.6" customHeight="1">
      <c r="A300" s="925"/>
      <c r="B300" s="925"/>
      <c r="C300" s="929"/>
      <c r="D300" s="930"/>
      <c r="E300" s="925"/>
      <c r="F300" s="931"/>
      <c r="G300" s="925"/>
      <c r="H300" s="925"/>
      <c r="I300" s="929"/>
      <c r="J300" s="930"/>
    </row>
    <row r="301" spans="1:15" ht="15" customHeight="1">
      <c r="A301" s="2360" t="str">
        <f>$K$2</f>
        <v>THÁNG 04/2025</v>
      </c>
      <c r="B301" s="2360"/>
      <c r="C301" s="2360"/>
      <c r="D301" s="2360"/>
      <c r="E301" s="903"/>
      <c r="F301" s="904"/>
      <c r="G301" s="2360" t="str">
        <f>$K$2</f>
        <v>THÁNG 04/2025</v>
      </c>
      <c r="H301" s="2360"/>
      <c r="I301" s="2360"/>
      <c r="J301" s="2360"/>
      <c r="K301" s="276"/>
    </row>
    <row r="302" spans="1:15" ht="15" customHeight="1">
      <c r="A302" s="905" t="s">
        <v>356</v>
      </c>
      <c r="B302" s="642" t="s">
        <v>417</v>
      </c>
      <c r="C302" s="546"/>
      <c r="D302" s="902"/>
      <c r="E302" s="906"/>
      <c r="F302" s="907"/>
      <c r="G302" s="905" t="s">
        <v>356</v>
      </c>
      <c r="H302" s="642" t="s">
        <v>418</v>
      </c>
      <c r="I302" s="546"/>
      <c r="J302" s="902"/>
      <c r="L302" s="938"/>
      <c r="M302" s="938"/>
      <c r="N302" s="938"/>
      <c r="O302" s="938"/>
    </row>
    <row r="303" spans="1:15" ht="15" customHeight="1">
      <c r="A303" s="908" t="s">
        <v>359</v>
      </c>
      <c r="B303" s="909" t="s">
        <v>2090</v>
      </c>
      <c r="C303" s="910" t="e">
        <f>VLOOKUP(B302,'LƯƠNG KT'!$D$16:$Z$184,4,0)</f>
        <v>#N/A</v>
      </c>
      <c r="D303" s="609" t="e">
        <f>+C303*25000</f>
        <v>#N/A</v>
      </c>
      <c r="E303" s="911"/>
      <c r="F303" s="911"/>
      <c r="G303" s="908" t="s">
        <v>359</v>
      </c>
      <c r="H303" s="909" t="s">
        <v>2090</v>
      </c>
      <c r="I303" s="910" t="e">
        <f>VLOOKUP(H302,'LƯƠNG KT'!$D$16:$Z$184,4,0)</f>
        <v>#N/A</v>
      </c>
      <c r="J303" s="609" t="e">
        <f>+I303*25000</f>
        <v>#N/A</v>
      </c>
      <c r="K303" s="935"/>
      <c r="L303" s="935"/>
      <c r="M303" s="935"/>
      <c r="N303" s="935"/>
      <c r="O303" s="935"/>
    </row>
    <row r="304" spans="1:15" ht="15" customHeight="1">
      <c r="A304" s="908" t="s">
        <v>361</v>
      </c>
      <c r="B304" s="909" t="s">
        <v>2091</v>
      </c>
      <c r="C304" s="910" t="e">
        <f>VLOOKUP(B302,'LƯƠNG KT'!$D$16:$Z$184,15,0)</f>
        <v>#N/A</v>
      </c>
      <c r="D304" s="609" t="e">
        <f>C304*$L$4</f>
        <v>#N/A</v>
      </c>
      <c r="E304" s="912"/>
      <c r="F304" s="912"/>
      <c r="G304" s="908" t="s">
        <v>361</v>
      </c>
      <c r="H304" s="909" t="s">
        <v>2091</v>
      </c>
      <c r="I304" s="910" t="e">
        <f>VLOOKUP(H302,'LƯƠNG KT'!$D$16:$Z$184,15,0)</f>
        <v>#N/A</v>
      </c>
      <c r="J304" s="609" t="e">
        <f>I304*$L$4</f>
        <v>#N/A</v>
      </c>
      <c r="K304" s="935"/>
      <c r="L304" s="935"/>
      <c r="M304" s="935"/>
      <c r="N304" s="935"/>
      <c r="O304" s="935"/>
    </row>
    <row r="305" spans="1:15" ht="15" customHeight="1">
      <c r="A305" s="908" t="s">
        <v>364</v>
      </c>
      <c r="B305" s="909" t="s">
        <v>2092</v>
      </c>
      <c r="C305" s="910" t="e">
        <f>VLOOKUP(B302,'LƯƠNG KT'!$D$16:$Z$184,16,0)</f>
        <v>#N/A</v>
      </c>
      <c r="D305" s="609" t="e">
        <f>C305*$L$5</f>
        <v>#N/A</v>
      </c>
      <c r="E305" s="912"/>
      <c r="F305" s="912"/>
      <c r="G305" s="908" t="s">
        <v>364</v>
      </c>
      <c r="H305" s="909" t="s">
        <v>2092</v>
      </c>
      <c r="I305" s="910" t="e">
        <f>VLOOKUP(H302,'LƯƠNG KT'!$D$16:$Z$184,16,0)</f>
        <v>#N/A</v>
      </c>
      <c r="J305" s="609" t="e">
        <f>I305*$L$5</f>
        <v>#N/A</v>
      </c>
      <c r="K305" s="935"/>
      <c r="L305" s="935"/>
      <c r="M305" s="935"/>
      <c r="N305" s="935"/>
      <c r="O305" s="935"/>
    </row>
    <row r="306" spans="1:15" ht="15" customHeight="1">
      <c r="A306" s="908" t="s">
        <v>370</v>
      </c>
      <c r="B306" s="909" t="s">
        <v>2093</v>
      </c>
      <c r="C306" s="910" t="e">
        <f>VLOOKUP(B302,'LƯƠNG KT'!$D$16:$Z$184,24,0)</f>
        <v>#N/A</v>
      </c>
      <c r="D306" s="609" t="e">
        <f>+C306*$L$6</f>
        <v>#N/A</v>
      </c>
      <c r="E306" s="912"/>
      <c r="F306" s="912"/>
      <c r="G306" s="908" t="s">
        <v>370</v>
      </c>
      <c r="H306" s="909" t="s">
        <v>2093</v>
      </c>
      <c r="I306" s="910" t="e">
        <f>VLOOKUP(H302,'LƯƠNG KT'!$D$16:$Z$184,24,0)</f>
        <v>#N/A</v>
      </c>
      <c r="J306" s="609" t="e">
        <f>+I306*$L$6</f>
        <v>#N/A</v>
      </c>
      <c r="K306" s="935"/>
      <c r="L306" s="935"/>
      <c r="M306" s="935"/>
      <c r="N306" s="935"/>
      <c r="O306" s="935"/>
    </row>
    <row r="307" spans="1:15" ht="15" customHeight="1">
      <c r="A307" s="908" t="s">
        <v>2094</v>
      </c>
      <c r="B307" s="909" t="s">
        <v>2095</v>
      </c>
      <c r="C307" s="910" t="e">
        <f>VLOOKUP(B302,'LƯƠNG KT'!$D$16:$Z$184,19,0)</f>
        <v>#N/A</v>
      </c>
      <c r="D307" s="609" t="e">
        <f>+C307*$L$8</f>
        <v>#N/A</v>
      </c>
      <c r="E307" s="912"/>
      <c r="F307" s="912"/>
      <c r="G307" s="908" t="s">
        <v>2094</v>
      </c>
      <c r="H307" s="909" t="s">
        <v>2095</v>
      </c>
      <c r="I307" s="910" t="e">
        <f>VLOOKUP(H302,'LƯƠNG KT'!$D$16:$Z$184,19,0)</f>
        <v>#N/A</v>
      </c>
      <c r="J307" s="609" t="e">
        <f>+I307*$L$8</f>
        <v>#N/A</v>
      </c>
      <c r="K307" s="935"/>
      <c r="L307" s="935"/>
      <c r="M307" s="935"/>
      <c r="N307" s="935"/>
      <c r="O307" s="935"/>
    </row>
    <row r="308" spans="1:15" ht="15" customHeight="1">
      <c r="A308" s="908" t="s">
        <v>2096</v>
      </c>
      <c r="B308" s="913" t="s">
        <v>2097</v>
      </c>
      <c r="C308" s="910" t="e">
        <f>VLOOKUP(B302,'LƯƠNG KT'!$D$16:$Z$184,20,0)</f>
        <v>#N/A</v>
      </c>
      <c r="D308" s="609" t="e">
        <f>+C308*$L$9</f>
        <v>#N/A</v>
      </c>
      <c r="E308" s="912"/>
      <c r="F308" s="912"/>
      <c r="G308" s="908" t="s">
        <v>2096</v>
      </c>
      <c r="H308" s="913" t="s">
        <v>2097</v>
      </c>
      <c r="I308" s="910" t="e">
        <f>VLOOKUP(H302,'LƯƠNG KT'!$D$16:$Z$184,20,0)</f>
        <v>#N/A</v>
      </c>
      <c r="J308" s="609" t="e">
        <f>+I308*$L$9</f>
        <v>#N/A</v>
      </c>
      <c r="K308" s="935"/>
      <c r="L308" s="935"/>
      <c r="M308" s="935"/>
      <c r="N308" s="935"/>
      <c r="O308" s="935"/>
    </row>
    <row r="309" spans="1:15" ht="15" customHeight="1">
      <c r="A309" s="908" t="s">
        <v>2099</v>
      </c>
      <c r="B309" s="909" t="s">
        <v>2100</v>
      </c>
      <c r="C309" s="910" t="e">
        <f>VLOOKUP(B302,'LƯƠNG KT'!$D$16:$Z$184,17,0)</f>
        <v>#N/A</v>
      </c>
      <c r="D309" s="609" t="e">
        <f>+C309*$L$10</f>
        <v>#N/A</v>
      </c>
      <c r="E309" s="912"/>
      <c r="F309" s="912"/>
      <c r="G309" s="908" t="s">
        <v>2099</v>
      </c>
      <c r="H309" s="909" t="s">
        <v>2100</v>
      </c>
      <c r="I309" s="910" t="e">
        <f>VLOOKUP(H302,'LƯƠNG KT'!$D$16:$Z$184,17,0)</f>
        <v>#N/A</v>
      </c>
      <c r="J309" s="609" t="e">
        <f>+I309*$L$10</f>
        <v>#N/A</v>
      </c>
      <c r="K309" s="935"/>
      <c r="L309" s="935"/>
      <c r="M309" s="935"/>
      <c r="N309" s="935"/>
      <c r="O309" s="935"/>
    </row>
    <row r="310" spans="1:15" ht="15" customHeight="1">
      <c r="A310" s="908" t="s">
        <v>374</v>
      </c>
      <c r="B310" s="909" t="s">
        <v>2102</v>
      </c>
      <c r="C310" s="910" t="e">
        <f>VLOOKUP(B302,'LƯƠNG KT'!$D$16:$Z$184,12,0)</f>
        <v>#N/A</v>
      </c>
      <c r="D310" s="609" t="e">
        <f>VLOOKUP(B302,'LƯƠNG KT'!$D$16:$Z$184,14,0)</f>
        <v>#N/A</v>
      </c>
      <c r="E310" s="914"/>
      <c r="F310" s="912"/>
      <c r="G310" s="908" t="s">
        <v>374</v>
      </c>
      <c r="H310" s="909" t="s">
        <v>2102</v>
      </c>
      <c r="I310" s="910" t="e">
        <f>VLOOKUP(H302,'LƯƠNG KT'!$D$16:$Z$184,12,0)</f>
        <v>#N/A</v>
      </c>
      <c r="J310" s="609" t="e">
        <f>VLOOKUP(H302,'LƯƠNG KT'!$D$16:$Z$184,14,0)</f>
        <v>#N/A</v>
      </c>
      <c r="K310" s="935"/>
      <c r="L310" s="935"/>
      <c r="M310" s="935"/>
      <c r="N310" s="935"/>
      <c r="O310" s="935"/>
    </row>
    <row r="311" spans="1:15" ht="15" customHeight="1">
      <c r="A311" s="908" t="s">
        <v>2103</v>
      </c>
      <c r="B311" s="909" t="s">
        <v>2104</v>
      </c>
      <c r="D311" s="915" t="e">
        <f>VLOOKUP(B302,'LƯƠNG KT'!$D$16:$Z$184,13,0)</f>
        <v>#N/A</v>
      </c>
      <c r="E311" s="916"/>
      <c r="F311" s="916"/>
      <c r="G311" s="908" t="s">
        <v>2103</v>
      </c>
      <c r="H311" s="909" t="s">
        <v>2104</v>
      </c>
      <c r="J311" s="915" t="e">
        <f>VLOOKUP(H302,'LƯƠNG KT'!$D$16:$Z$184,13,0)</f>
        <v>#N/A</v>
      </c>
    </row>
    <row r="312" spans="1:15" ht="15" customHeight="1">
      <c r="A312" s="547"/>
      <c r="B312" s="546"/>
      <c r="C312" s="910"/>
      <c r="D312" s="609"/>
      <c r="E312" s="914"/>
      <c r="F312" s="916"/>
      <c r="G312" s="547"/>
      <c r="H312" s="546"/>
      <c r="I312" s="910"/>
      <c r="J312" s="609"/>
    </row>
    <row r="313" spans="1:15" ht="15" customHeight="1">
      <c r="A313" s="905"/>
      <c r="B313" s="546"/>
      <c r="C313" s="910"/>
      <c r="D313" s="609"/>
      <c r="E313" s="917"/>
      <c r="F313" s="904"/>
      <c r="G313" s="905"/>
      <c r="H313" s="546"/>
      <c r="I313" s="910"/>
      <c r="J313" s="609"/>
    </row>
    <row r="314" spans="1:15" ht="15" customHeight="1">
      <c r="A314" s="918" t="s">
        <v>383</v>
      </c>
      <c r="B314" s="919" t="s">
        <v>384</v>
      </c>
      <c r="C314" s="920"/>
      <c r="D314" s="921" t="e">
        <f>SUM(D303:D310)-D313</f>
        <v>#N/A</v>
      </c>
      <c r="E314" s="922"/>
      <c r="F314" s="923"/>
      <c r="G314" s="918" t="s">
        <v>383</v>
      </c>
      <c r="H314" s="919" t="s">
        <v>384</v>
      </c>
      <c r="I314" s="920"/>
      <c r="J314" s="921" t="e">
        <f>SUM(J303:J310)-J313</f>
        <v>#N/A</v>
      </c>
    </row>
    <row r="315" spans="1:15" ht="18.75" customHeight="1">
      <c r="A315" s="924"/>
      <c r="B315" s="925"/>
      <c r="C315" s="926"/>
      <c r="D315" s="927"/>
      <c r="E315" s="927"/>
      <c r="F315" s="928"/>
      <c r="G315" s="924"/>
      <c r="H315" s="925"/>
      <c r="I315" s="926"/>
      <c r="J315" s="927"/>
    </row>
    <row r="316" spans="1:15" ht="18.75" customHeight="1">
      <c r="A316" s="925"/>
      <c r="B316" s="925"/>
      <c r="C316" s="929"/>
      <c r="D316" s="930"/>
      <c r="E316" s="925"/>
      <c r="F316" s="931"/>
      <c r="G316" s="925"/>
      <c r="H316" s="925"/>
      <c r="I316" s="929"/>
      <c r="J316" s="930"/>
    </row>
    <row r="317" spans="1:15" ht="15" customHeight="1">
      <c r="A317" s="2360" t="str">
        <f>$K$2</f>
        <v>THÁNG 04/2025</v>
      </c>
      <c r="B317" s="2360"/>
      <c r="C317" s="2360"/>
      <c r="D317" s="2360"/>
      <c r="E317" s="903"/>
      <c r="F317" s="904"/>
      <c r="G317" s="2360" t="str">
        <f>$K$2</f>
        <v>THÁNG 04/2025</v>
      </c>
      <c r="H317" s="2360"/>
      <c r="I317" s="2360"/>
      <c r="J317" s="2360"/>
      <c r="K317" s="276"/>
    </row>
    <row r="318" spans="1:15" ht="15" customHeight="1">
      <c r="A318" s="905" t="s">
        <v>356</v>
      </c>
      <c r="B318" s="642" t="s">
        <v>419</v>
      </c>
      <c r="C318" s="546"/>
      <c r="D318" s="902"/>
      <c r="E318" s="906"/>
      <c r="F318" s="907"/>
      <c r="G318" s="905" t="s">
        <v>356</v>
      </c>
      <c r="H318" s="642" t="s">
        <v>420</v>
      </c>
      <c r="I318" s="546"/>
      <c r="J318" s="902"/>
      <c r="L318" s="938"/>
      <c r="M318" s="938"/>
      <c r="N318" s="938"/>
      <c r="O318" s="938"/>
    </row>
    <row r="319" spans="1:15" ht="15" customHeight="1">
      <c r="A319" s="908" t="s">
        <v>359</v>
      </c>
      <c r="B319" s="909" t="s">
        <v>2090</v>
      </c>
      <c r="C319" s="910" t="e">
        <f>VLOOKUP(B318,'LƯƠNG KT'!$D$16:$Z$184,4,0)</f>
        <v>#N/A</v>
      </c>
      <c r="D319" s="609" t="e">
        <f>+C319*25000</f>
        <v>#N/A</v>
      </c>
      <c r="E319" s="911"/>
      <c r="F319" s="911"/>
      <c r="G319" s="908" t="s">
        <v>359</v>
      </c>
      <c r="H319" s="909" t="s">
        <v>2090</v>
      </c>
      <c r="I319" s="910" t="e">
        <f>VLOOKUP(H318,'LƯƠNG KT'!$D$16:$Z$184,4,0)</f>
        <v>#N/A</v>
      </c>
      <c r="J319" s="609" t="e">
        <f>+I319*25000</f>
        <v>#N/A</v>
      </c>
      <c r="K319" s="935"/>
      <c r="L319" s="935"/>
      <c r="M319" s="935"/>
      <c r="N319" s="935"/>
      <c r="O319" s="935"/>
    </row>
    <row r="320" spans="1:15" ht="15" customHeight="1">
      <c r="A320" s="908" t="s">
        <v>361</v>
      </c>
      <c r="B320" s="909" t="s">
        <v>2091</v>
      </c>
      <c r="C320" s="910" t="e">
        <f>VLOOKUP(B318,'LƯƠNG KT'!$D$16:$Z$184,15,0)</f>
        <v>#N/A</v>
      </c>
      <c r="D320" s="609" t="e">
        <f>C320*$L$4</f>
        <v>#N/A</v>
      </c>
      <c r="E320" s="912"/>
      <c r="F320" s="912"/>
      <c r="G320" s="908" t="s">
        <v>361</v>
      </c>
      <c r="H320" s="909" t="s">
        <v>2091</v>
      </c>
      <c r="I320" s="910" t="e">
        <f>VLOOKUP(H318,'LƯƠNG KT'!$D$16:$Z$184,15,0)</f>
        <v>#N/A</v>
      </c>
      <c r="J320" s="609" t="e">
        <f>I320*$L$4</f>
        <v>#N/A</v>
      </c>
      <c r="K320" s="935"/>
      <c r="L320" s="935"/>
      <c r="M320" s="935"/>
      <c r="N320" s="935"/>
      <c r="O320" s="935"/>
    </row>
    <row r="321" spans="1:15" ht="15" customHeight="1">
      <c r="A321" s="908" t="s">
        <v>364</v>
      </c>
      <c r="B321" s="909" t="s">
        <v>2092</v>
      </c>
      <c r="C321" s="910" t="e">
        <f>VLOOKUP(B318,'LƯƠNG KT'!$D$16:$Z$184,16,0)</f>
        <v>#N/A</v>
      </c>
      <c r="D321" s="609" t="e">
        <f>C321*$L$5</f>
        <v>#N/A</v>
      </c>
      <c r="E321" s="912"/>
      <c r="F321" s="912"/>
      <c r="G321" s="908" t="s">
        <v>364</v>
      </c>
      <c r="H321" s="909" t="s">
        <v>2092</v>
      </c>
      <c r="I321" s="910" t="e">
        <f>VLOOKUP(H318,'LƯƠNG KT'!$D$16:$Z$184,16,0)</f>
        <v>#N/A</v>
      </c>
      <c r="J321" s="609" t="e">
        <f>I321*$L$5</f>
        <v>#N/A</v>
      </c>
      <c r="K321" s="935"/>
      <c r="L321" s="935"/>
      <c r="M321" s="935"/>
      <c r="N321" s="935"/>
      <c r="O321" s="935"/>
    </row>
    <row r="322" spans="1:15" ht="15" customHeight="1">
      <c r="A322" s="908" t="s">
        <v>370</v>
      </c>
      <c r="B322" s="909" t="s">
        <v>2093</v>
      </c>
      <c r="C322" s="910" t="e">
        <f>VLOOKUP(B318,'LƯƠNG KT'!$D$16:$Z$184,24,0)</f>
        <v>#N/A</v>
      </c>
      <c r="D322" s="609" t="e">
        <f>+C322*$L$6</f>
        <v>#N/A</v>
      </c>
      <c r="E322" s="912"/>
      <c r="F322" s="912"/>
      <c r="G322" s="908" t="s">
        <v>370</v>
      </c>
      <c r="H322" s="909" t="s">
        <v>2093</v>
      </c>
      <c r="I322" s="910" t="e">
        <f>VLOOKUP(H318,'LƯƠNG KT'!$D$16:$Z$184,24,0)</f>
        <v>#N/A</v>
      </c>
      <c r="J322" s="609" t="e">
        <f>+I322*$L$6</f>
        <v>#N/A</v>
      </c>
      <c r="K322" s="935"/>
      <c r="L322" s="935"/>
      <c r="M322" s="935"/>
      <c r="N322" s="935"/>
      <c r="O322" s="935"/>
    </row>
    <row r="323" spans="1:15" ht="15" customHeight="1">
      <c r="A323" s="908" t="s">
        <v>2094</v>
      </c>
      <c r="B323" s="909" t="s">
        <v>2095</v>
      </c>
      <c r="C323" s="910" t="e">
        <f>VLOOKUP(B318,'LƯƠNG KT'!$D$16:$Z$184,19,0)</f>
        <v>#N/A</v>
      </c>
      <c r="D323" s="609" t="e">
        <f>+C323*$L$8</f>
        <v>#N/A</v>
      </c>
      <c r="E323" s="912"/>
      <c r="F323" s="912"/>
      <c r="G323" s="908" t="s">
        <v>2094</v>
      </c>
      <c r="H323" s="909" t="s">
        <v>2095</v>
      </c>
      <c r="I323" s="910" t="e">
        <f>VLOOKUP(H318,'LƯƠNG KT'!$D$16:$Z$184,19,0)</f>
        <v>#N/A</v>
      </c>
      <c r="J323" s="609" t="e">
        <f>+I323*$L$8</f>
        <v>#N/A</v>
      </c>
      <c r="K323" s="935"/>
      <c r="L323" s="935"/>
      <c r="M323" s="935"/>
      <c r="N323" s="935"/>
      <c r="O323" s="935"/>
    </row>
    <row r="324" spans="1:15" ht="15" customHeight="1">
      <c r="A324" s="908" t="s">
        <v>2096</v>
      </c>
      <c r="B324" s="913" t="s">
        <v>2097</v>
      </c>
      <c r="C324" s="910" t="e">
        <f>VLOOKUP(B318,'LƯƠNG KT'!$D$16:$Z$184,20,0)</f>
        <v>#N/A</v>
      </c>
      <c r="D324" s="609" t="e">
        <f>+C324*$L$9</f>
        <v>#N/A</v>
      </c>
      <c r="E324" s="912"/>
      <c r="F324" s="912"/>
      <c r="G324" s="908" t="s">
        <v>2096</v>
      </c>
      <c r="H324" s="913" t="s">
        <v>2097</v>
      </c>
      <c r="I324" s="910" t="e">
        <f>VLOOKUP(H318,'LƯƠNG KT'!$D$16:$Z$184,20,0)</f>
        <v>#N/A</v>
      </c>
      <c r="J324" s="609" t="e">
        <f>+I324*$L$9</f>
        <v>#N/A</v>
      </c>
      <c r="K324" s="935"/>
      <c r="L324" s="935"/>
      <c r="M324" s="935"/>
      <c r="N324" s="935"/>
      <c r="O324" s="935"/>
    </row>
    <row r="325" spans="1:15" ht="15" customHeight="1">
      <c r="A325" s="908" t="s">
        <v>2099</v>
      </c>
      <c r="B325" s="909" t="s">
        <v>2100</v>
      </c>
      <c r="C325" s="910" t="e">
        <f>VLOOKUP(B318,'LƯƠNG KT'!$D$16:$Z$184,17,0)</f>
        <v>#N/A</v>
      </c>
      <c r="D325" s="609" t="e">
        <f>+C325*$L$10</f>
        <v>#N/A</v>
      </c>
      <c r="E325" s="912"/>
      <c r="F325" s="912"/>
      <c r="G325" s="908" t="s">
        <v>2099</v>
      </c>
      <c r="H325" s="909" t="s">
        <v>2100</v>
      </c>
      <c r="I325" s="910" t="e">
        <f>VLOOKUP(H318,'LƯƠNG KT'!$D$16:$Z$184,17,0)</f>
        <v>#N/A</v>
      </c>
      <c r="J325" s="609" t="e">
        <f>+I325*$L$10</f>
        <v>#N/A</v>
      </c>
      <c r="K325" s="935"/>
      <c r="L325" s="935"/>
      <c r="M325" s="935"/>
      <c r="N325" s="935"/>
      <c r="O325" s="935"/>
    </row>
    <row r="326" spans="1:15" ht="15" customHeight="1">
      <c r="A326" s="908" t="s">
        <v>374</v>
      </c>
      <c r="B326" s="909" t="s">
        <v>2102</v>
      </c>
      <c r="C326" s="910" t="e">
        <f>VLOOKUP(B318,'LƯƠNG KT'!$D$16:$Z$184,12,0)</f>
        <v>#N/A</v>
      </c>
      <c r="D326" s="609" t="e">
        <f>VLOOKUP(B318,'LƯƠNG KT'!$D$16:$Z$184,14,0)</f>
        <v>#N/A</v>
      </c>
      <c r="E326" s="914"/>
      <c r="F326" s="912"/>
      <c r="G326" s="908" t="s">
        <v>374</v>
      </c>
      <c r="H326" s="909" t="s">
        <v>2102</v>
      </c>
      <c r="I326" s="910" t="e">
        <f>VLOOKUP(H318,'LƯƠNG KT'!$D$16:$Z$184,12,0)</f>
        <v>#N/A</v>
      </c>
      <c r="J326" s="609" t="e">
        <f>VLOOKUP(H318,'LƯƠNG KT'!$D$16:$Z$184,14,0)</f>
        <v>#N/A</v>
      </c>
      <c r="K326" s="935"/>
      <c r="L326" s="935"/>
      <c r="M326" s="935"/>
      <c r="N326" s="935"/>
      <c r="O326" s="935"/>
    </row>
    <row r="327" spans="1:15" ht="15" customHeight="1">
      <c r="A327" s="908" t="s">
        <v>2103</v>
      </c>
      <c r="B327" s="909" t="s">
        <v>2104</v>
      </c>
      <c r="D327" s="915" t="e">
        <f>VLOOKUP(B318,'LƯƠNG KT'!$D$16:$Z$184,13,0)</f>
        <v>#N/A</v>
      </c>
      <c r="E327" s="916"/>
      <c r="F327" s="916"/>
      <c r="G327" s="908" t="s">
        <v>2103</v>
      </c>
      <c r="H327" s="909" t="s">
        <v>2104</v>
      </c>
      <c r="J327" s="915" t="e">
        <f>VLOOKUP(H318,'LƯƠNG KT'!$D$16:$Z$184,13,0)</f>
        <v>#N/A</v>
      </c>
    </row>
    <row r="328" spans="1:15" ht="15" customHeight="1">
      <c r="A328" s="547"/>
      <c r="B328" s="546"/>
      <c r="C328" s="910"/>
      <c r="D328" s="609"/>
      <c r="E328" s="914"/>
      <c r="F328" s="916"/>
      <c r="G328" s="547"/>
      <c r="H328" s="546"/>
      <c r="I328" s="910"/>
      <c r="J328" s="609"/>
    </row>
    <row r="329" spans="1:15" ht="15" customHeight="1">
      <c r="A329" s="905"/>
      <c r="B329" s="546"/>
      <c r="C329" s="910"/>
      <c r="D329" s="609"/>
      <c r="E329" s="917"/>
      <c r="F329" s="904"/>
      <c r="G329" s="905"/>
      <c r="H329" s="546"/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SUM(D319:D326)-D329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 t="e">
        <f>SUM(J319:J326)-J329</f>
        <v>#N/A</v>
      </c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60" t="str">
        <f>$K$2</f>
        <v>THÁNG 04/2025</v>
      </c>
      <c r="B333" s="2360"/>
      <c r="C333" s="2360"/>
      <c r="D333" s="2360"/>
      <c r="E333" s="903"/>
      <c r="F333" s="904"/>
      <c r="G333" s="2360" t="str">
        <f>$K$2</f>
        <v>THÁNG 04/2025</v>
      </c>
      <c r="H333" s="2360"/>
      <c r="I333" s="2360"/>
      <c r="J333" s="2360"/>
      <c r="K333" s="276"/>
    </row>
    <row r="334" spans="1:15" ht="15" customHeight="1">
      <c r="A334" s="905" t="s">
        <v>356</v>
      </c>
      <c r="B334" s="642" t="s">
        <v>421</v>
      </c>
      <c r="C334" s="546"/>
      <c r="D334" s="902"/>
      <c r="E334" s="906"/>
      <c r="F334" s="907"/>
      <c r="G334" s="905" t="s">
        <v>356</v>
      </c>
      <c r="H334" s="642" t="s">
        <v>422</v>
      </c>
      <c r="I334" s="546"/>
      <c r="J334" s="902"/>
      <c r="L334" s="938"/>
      <c r="M334" s="938"/>
      <c r="N334" s="938"/>
      <c r="O334" s="938"/>
    </row>
    <row r="335" spans="1:15" ht="15" customHeight="1">
      <c r="A335" s="908" t="s">
        <v>359</v>
      </c>
      <c r="B335" s="909" t="s">
        <v>2090</v>
      </c>
      <c r="C335" s="910" t="e">
        <f>VLOOKUP(B334,'LƯƠNG KT'!$D$16:$Z$184,4,0)</f>
        <v>#N/A</v>
      </c>
      <c r="D335" s="609" t="e">
        <f>+C335*25000</f>
        <v>#N/A</v>
      </c>
      <c r="E335" s="911"/>
      <c r="F335" s="911"/>
      <c r="G335" s="908" t="s">
        <v>359</v>
      </c>
      <c r="H335" s="909" t="s">
        <v>2090</v>
      </c>
      <c r="I335" s="910" t="e">
        <f>VLOOKUP(H334,'LƯƠNG KT'!$D$16:$Z$184,4,0)</f>
        <v>#N/A</v>
      </c>
      <c r="J335" s="609" t="e">
        <f>+I335*25000</f>
        <v>#N/A</v>
      </c>
      <c r="K335" s="935"/>
      <c r="L335" s="935"/>
      <c r="M335" s="935"/>
      <c r="N335" s="935"/>
      <c r="O335" s="935"/>
    </row>
    <row r="336" spans="1:15" ht="15" customHeight="1">
      <c r="A336" s="908" t="s">
        <v>361</v>
      </c>
      <c r="B336" s="909" t="s">
        <v>2091</v>
      </c>
      <c r="C336" s="910" t="e">
        <f>VLOOKUP(B334,'LƯƠNG KT'!$D$16:$Z$184,15,0)</f>
        <v>#N/A</v>
      </c>
      <c r="D336" s="609" t="e">
        <f>C336*$L$4</f>
        <v>#N/A</v>
      </c>
      <c r="E336" s="912"/>
      <c r="F336" s="912"/>
      <c r="G336" s="908" t="s">
        <v>361</v>
      </c>
      <c r="H336" s="909" t="s">
        <v>2091</v>
      </c>
      <c r="I336" s="910" t="e">
        <f>VLOOKUP(H334,'LƯƠNG KT'!$D$16:$Z$184,15,0)</f>
        <v>#N/A</v>
      </c>
      <c r="J336" s="609" t="e">
        <f>I336*$L$4</f>
        <v>#N/A</v>
      </c>
      <c r="K336" s="935"/>
      <c r="L336" s="935"/>
      <c r="M336" s="935"/>
      <c r="N336" s="935"/>
      <c r="O336" s="935"/>
    </row>
    <row r="337" spans="1:15" ht="15" customHeight="1">
      <c r="A337" s="908" t="s">
        <v>364</v>
      </c>
      <c r="B337" s="909" t="s">
        <v>2092</v>
      </c>
      <c r="C337" s="910" t="e">
        <f>VLOOKUP(B334,'LƯƠNG KT'!$D$16:$Z$184,16,0)</f>
        <v>#N/A</v>
      </c>
      <c r="D337" s="609" t="e">
        <f>C337*$L$5</f>
        <v>#N/A</v>
      </c>
      <c r="E337" s="912"/>
      <c r="F337" s="912"/>
      <c r="G337" s="908" t="s">
        <v>364</v>
      </c>
      <c r="H337" s="909" t="s">
        <v>2092</v>
      </c>
      <c r="I337" s="910" t="e">
        <f>VLOOKUP(H334,'LƯƠNG KT'!$D$16:$Z$184,16,0)</f>
        <v>#N/A</v>
      </c>
      <c r="J337" s="609" t="e">
        <f>I337*$L$5</f>
        <v>#N/A</v>
      </c>
      <c r="K337" s="935"/>
      <c r="L337" s="935"/>
      <c r="M337" s="935"/>
      <c r="N337" s="935"/>
      <c r="O337" s="935"/>
    </row>
    <row r="338" spans="1:15" ht="15" customHeight="1">
      <c r="A338" s="908" t="s">
        <v>370</v>
      </c>
      <c r="B338" s="909" t="s">
        <v>2093</v>
      </c>
      <c r="C338" s="910" t="e">
        <f>VLOOKUP(B334,'LƯƠNG KT'!$D$16:$Z$184,24,0)</f>
        <v>#N/A</v>
      </c>
      <c r="D338" s="609" t="e">
        <f>+C338*$L$6</f>
        <v>#N/A</v>
      </c>
      <c r="E338" s="912"/>
      <c r="F338" s="912"/>
      <c r="G338" s="908" t="s">
        <v>370</v>
      </c>
      <c r="H338" s="909" t="s">
        <v>2093</v>
      </c>
      <c r="I338" s="910" t="e">
        <f>VLOOKUP(H334,'LƯƠNG KT'!$D$16:$Z$184,24,0)</f>
        <v>#N/A</v>
      </c>
      <c r="J338" s="609" t="e">
        <f>+I338*$L$6</f>
        <v>#N/A</v>
      </c>
      <c r="K338" s="935"/>
      <c r="L338" s="935"/>
      <c r="M338" s="935"/>
      <c r="N338" s="935"/>
      <c r="O338" s="935"/>
    </row>
    <row r="339" spans="1:15" ht="15" customHeight="1">
      <c r="A339" s="908" t="s">
        <v>2094</v>
      </c>
      <c r="B339" s="909" t="s">
        <v>2095</v>
      </c>
      <c r="C339" s="910" t="e">
        <f>VLOOKUP(B334,'LƯƠNG KT'!$D$16:$Z$184,19,0)</f>
        <v>#N/A</v>
      </c>
      <c r="D339" s="609" t="e">
        <f>+C339*$L$8</f>
        <v>#N/A</v>
      </c>
      <c r="E339" s="912"/>
      <c r="F339" s="912"/>
      <c r="G339" s="908" t="s">
        <v>2094</v>
      </c>
      <c r="H339" s="909" t="s">
        <v>2095</v>
      </c>
      <c r="I339" s="910" t="e">
        <f>VLOOKUP(H334,'LƯƠNG KT'!$D$16:$Z$184,19,0)</f>
        <v>#N/A</v>
      </c>
      <c r="J339" s="609" t="e">
        <f>+I339*$L$8</f>
        <v>#N/A</v>
      </c>
      <c r="K339" s="935"/>
      <c r="L339" s="935"/>
      <c r="M339" s="935"/>
      <c r="N339" s="935"/>
      <c r="O339" s="935"/>
    </row>
    <row r="340" spans="1:15" ht="15" customHeight="1">
      <c r="A340" s="908" t="s">
        <v>2096</v>
      </c>
      <c r="B340" s="913" t="s">
        <v>2097</v>
      </c>
      <c r="C340" s="910" t="e">
        <f>VLOOKUP(B334,'LƯƠNG KT'!$D$16:$Z$184,20,0)</f>
        <v>#N/A</v>
      </c>
      <c r="D340" s="609" t="e">
        <f>+C340*$L$9</f>
        <v>#N/A</v>
      </c>
      <c r="E340" s="912"/>
      <c r="F340" s="912"/>
      <c r="G340" s="908" t="s">
        <v>2096</v>
      </c>
      <c r="H340" s="913" t="s">
        <v>2097</v>
      </c>
      <c r="I340" s="910" t="e">
        <f>VLOOKUP(H334,'LƯƠNG KT'!$D$16:$Z$184,20,0)</f>
        <v>#N/A</v>
      </c>
      <c r="J340" s="609" t="e">
        <f>+I340*$L$9</f>
        <v>#N/A</v>
      </c>
      <c r="K340" s="935"/>
      <c r="L340" s="935"/>
      <c r="M340" s="935"/>
      <c r="N340" s="935"/>
      <c r="O340" s="935"/>
    </row>
    <row r="341" spans="1:15" ht="15" customHeight="1">
      <c r="A341" s="908" t="s">
        <v>2099</v>
      </c>
      <c r="B341" s="909" t="s">
        <v>2100</v>
      </c>
      <c r="C341" s="910" t="e">
        <f>VLOOKUP(B334,'LƯƠNG KT'!$D$16:$Z$184,17,0)</f>
        <v>#N/A</v>
      </c>
      <c r="D341" s="609" t="e">
        <f>+C341*$L$10</f>
        <v>#N/A</v>
      </c>
      <c r="E341" s="912"/>
      <c r="F341" s="912"/>
      <c r="G341" s="908" t="s">
        <v>2099</v>
      </c>
      <c r="H341" s="909" t="s">
        <v>2100</v>
      </c>
      <c r="I341" s="910" t="e">
        <f>VLOOKUP(H334,'LƯƠNG KT'!$D$16:$Z$184,17,0)</f>
        <v>#N/A</v>
      </c>
      <c r="J341" s="609" t="e">
        <f>+I341*$L$10</f>
        <v>#N/A</v>
      </c>
      <c r="K341" s="935"/>
      <c r="L341" s="935"/>
      <c r="M341" s="935"/>
      <c r="N341" s="935"/>
      <c r="O341" s="935"/>
    </row>
    <row r="342" spans="1:15" ht="15" customHeight="1">
      <c r="A342" s="908" t="s">
        <v>374</v>
      </c>
      <c r="B342" s="909" t="s">
        <v>2102</v>
      </c>
      <c r="C342" s="910" t="e">
        <f>VLOOKUP(B334,'LƯƠNG KT'!$D$16:$Z$184,12,0)</f>
        <v>#N/A</v>
      </c>
      <c r="D342" s="609" t="e">
        <f>VLOOKUP(B334,'LƯƠNG KT'!$D$16:$Z$184,14,0)+(C336+C337+C339+C340)*20000</f>
        <v>#N/A</v>
      </c>
      <c r="E342" s="914"/>
      <c r="F342" s="912"/>
      <c r="G342" s="908" t="s">
        <v>374</v>
      </c>
      <c r="H342" s="909" t="s">
        <v>2102</v>
      </c>
      <c r="I342" s="910" t="e">
        <f>VLOOKUP(H334,'LƯƠNG KT'!$D$16:$Z$184,12,0)</f>
        <v>#N/A</v>
      </c>
      <c r="J342" s="609" t="e">
        <f>VLOOKUP(H334,'LƯƠNG KT'!$D$16:$Z$184,14,0)</f>
        <v>#N/A</v>
      </c>
      <c r="K342" s="935"/>
      <c r="L342" s="935"/>
      <c r="M342" s="935"/>
      <c r="N342" s="935"/>
      <c r="O342" s="935"/>
    </row>
    <row r="343" spans="1:15" ht="15" customHeight="1">
      <c r="A343" s="908" t="s">
        <v>2103</v>
      </c>
      <c r="B343" s="909" t="s">
        <v>2104</v>
      </c>
      <c r="D343" s="915" t="e">
        <f>VLOOKUP(B334,'LƯƠNG KT'!$D$16:$Z$184,13,0)</f>
        <v>#N/A</v>
      </c>
      <c r="E343" s="916"/>
      <c r="F343" s="916"/>
      <c r="G343" s="908" t="s">
        <v>2103</v>
      </c>
      <c r="H343" s="909" t="s">
        <v>2104</v>
      </c>
      <c r="J343" s="915" t="e">
        <f>VLOOKUP(H334,'LƯƠNG KT'!$D$16:$Z$184,13,0)</f>
        <v>#N/A</v>
      </c>
    </row>
    <row r="344" spans="1:15" ht="15" customHeight="1">
      <c r="A344" s="547"/>
      <c r="B344" s="546"/>
      <c r="C344" s="910"/>
      <c r="D344" s="609"/>
      <c r="E344" s="914"/>
      <c r="F344" s="916"/>
      <c r="G344" s="547"/>
      <c r="H344" s="546"/>
      <c r="I344" s="910"/>
      <c r="J344" s="609"/>
    </row>
    <row r="345" spans="1:15" ht="15" customHeight="1">
      <c r="A345" s="905"/>
      <c r="B345" s="546"/>
      <c r="C345" s="910"/>
      <c r="D345" s="609"/>
      <c r="E345" s="917"/>
      <c r="F345" s="904"/>
      <c r="G345" s="905"/>
      <c r="H345" s="546"/>
      <c r="I345" s="910"/>
      <c r="J345" s="609"/>
    </row>
    <row r="346" spans="1:15" ht="15" customHeight="1">
      <c r="A346" s="918" t="s">
        <v>383</v>
      </c>
      <c r="B346" s="919" t="s">
        <v>384</v>
      </c>
      <c r="C346" s="920"/>
      <c r="D346" s="921" t="e">
        <f>SUM(D335:D342)-D345</f>
        <v>#N/A</v>
      </c>
      <c r="E346" s="922"/>
      <c r="F346" s="923"/>
      <c r="G346" s="918" t="s">
        <v>383</v>
      </c>
      <c r="H346" s="919" t="s">
        <v>384</v>
      </c>
      <c r="I346" s="920"/>
      <c r="J346" s="921" t="e">
        <f>SUM(J335:J342)-J345</f>
        <v>#N/A</v>
      </c>
    </row>
    <row r="347" spans="1:15" ht="15.75" customHeight="1">
      <c r="A347" s="924"/>
      <c r="B347" s="925"/>
      <c r="C347" s="926"/>
      <c r="D347" s="927"/>
      <c r="E347" s="927"/>
      <c r="F347" s="928"/>
      <c r="G347" s="924"/>
      <c r="H347" s="925"/>
      <c r="I347" s="926"/>
      <c r="J347" s="927"/>
    </row>
    <row r="349" spans="1:15" ht="12" customHeight="1">
      <c r="A349" s="2361"/>
      <c r="B349" s="2361"/>
      <c r="C349" s="2361"/>
      <c r="D349" s="2361"/>
      <c r="E349" s="2361"/>
      <c r="F349" s="2361"/>
      <c r="G349" s="2361"/>
      <c r="H349" s="2361"/>
      <c r="I349" s="2361"/>
      <c r="J349" s="2361"/>
    </row>
    <row r="350" spans="1:15" ht="15" customHeight="1">
      <c r="A350" s="2360" t="str">
        <f>$K$2</f>
        <v>THÁNG 04/2025</v>
      </c>
      <c r="B350" s="2360"/>
      <c r="C350" s="2360"/>
      <c r="D350" s="2360"/>
      <c r="E350" s="903"/>
      <c r="F350" s="904"/>
      <c r="G350" s="2360" t="str">
        <f>$K$2</f>
        <v>THÁNG 04/2025</v>
      </c>
      <c r="H350" s="2360"/>
      <c r="I350" s="2360"/>
      <c r="J350" s="2360"/>
      <c r="K350" s="276"/>
    </row>
    <row r="351" spans="1:15" ht="15" customHeight="1">
      <c r="A351" s="905" t="s">
        <v>356</v>
      </c>
      <c r="B351" s="642" t="s">
        <v>423</v>
      </c>
      <c r="C351" s="546"/>
      <c r="D351" s="902"/>
      <c r="E351" s="906"/>
      <c r="F351" s="907"/>
      <c r="G351" s="905" t="s">
        <v>356</v>
      </c>
      <c r="H351" s="642" t="s">
        <v>1971</v>
      </c>
      <c r="I351" s="546"/>
      <c r="J351" s="902"/>
      <c r="L351" s="938"/>
      <c r="M351" s="938"/>
      <c r="N351" s="938"/>
      <c r="O351" s="938"/>
    </row>
    <row r="352" spans="1:15" ht="15" customHeight="1">
      <c r="A352" s="908" t="s">
        <v>359</v>
      </c>
      <c r="B352" s="909" t="s">
        <v>2090</v>
      </c>
      <c r="C352" s="910" t="e">
        <f>VLOOKUP(B351,'LƯƠNG KT'!$D$16:$Z$184,4,0)</f>
        <v>#N/A</v>
      </c>
      <c r="D352" s="609" t="e">
        <f>+C352*25000</f>
        <v>#N/A</v>
      </c>
      <c r="E352" s="911"/>
      <c r="F352" s="911"/>
      <c r="G352" s="908" t="s">
        <v>359</v>
      </c>
      <c r="H352" s="909" t="s">
        <v>2090</v>
      </c>
      <c r="I352" s="910" t="e">
        <f>VLOOKUP(H351,'LƯƠNG KT'!$D$16:$Z$184,4,0)</f>
        <v>#N/A</v>
      </c>
      <c r="J352" s="609" t="e">
        <f>+I352*25000</f>
        <v>#N/A</v>
      </c>
      <c r="K352" s="934"/>
      <c r="L352" s="935"/>
      <c r="M352" s="935"/>
      <c r="N352" s="935"/>
      <c r="O352" s="935"/>
    </row>
    <row r="353" spans="1:15" ht="15" customHeight="1">
      <c r="A353" s="908" t="s">
        <v>361</v>
      </c>
      <c r="B353" s="909" t="s">
        <v>2091</v>
      </c>
      <c r="C353" s="910" t="e">
        <f>VLOOKUP(B351,'LƯƠNG KT'!$D$16:$Z$184,15,0)</f>
        <v>#N/A</v>
      </c>
      <c r="D353" s="609" t="e">
        <f>C353*$L$4</f>
        <v>#N/A</v>
      </c>
      <c r="E353" s="912"/>
      <c r="F353" s="912"/>
      <c r="G353" s="908" t="s">
        <v>361</v>
      </c>
      <c r="H353" s="909" t="s">
        <v>2091</v>
      </c>
      <c r="I353" s="910" t="e">
        <f>VLOOKUP(H351,'LƯƠNG KT'!$D$16:$Z$184,15,0)</f>
        <v>#N/A</v>
      </c>
      <c r="J353" s="609" t="e">
        <f>I353*$L$4</f>
        <v>#N/A</v>
      </c>
      <c r="K353" s="934"/>
      <c r="L353" s="935"/>
      <c r="M353" s="935"/>
      <c r="N353" s="935"/>
      <c r="O353" s="935"/>
    </row>
    <row r="354" spans="1:15" ht="15" customHeight="1">
      <c r="A354" s="908" t="s">
        <v>364</v>
      </c>
      <c r="B354" s="909" t="s">
        <v>2092</v>
      </c>
      <c r="C354" s="910" t="e">
        <f>VLOOKUP(B351,'LƯƠNG KT'!$D$16:$Z$184,16,0)</f>
        <v>#N/A</v>
      </c>
      <c r="D354" s="609" t="e">
        <f>C354*$L$5</f>
        <v>#N/A</v>
      </c>
      <c r="E354" s="912"/>
      <c r="F354" s="912"/>
      <c r="G354" s="908" t="s">
        <v>364</v>
      </c>
      <c r="H354" s="909" t="s">
        <v>2092</v>
      </c>
      <c r="I354" s="910" t="e">
        <f>VLOOKUP(H351,'LƯƠNG KT'!$D$16:$Z$184,16,0)</f>
        <v>#N/A</v>
      </c>
      <c r="J354" s="609" t="e">
        <f>I354*$L$5</f>
        <v>#N/A</v>
      </c>
      <c r="K354" s="934"/>
      <c r="L354" s="935"/>
      <c r="M354" s="935"/>
      <c r="N354" s="935"/>
      <c r="O354" s="935"/>
    </row>
    <row r="355" spans="1:15" ht="15" customHeight="1">
      <c r="A355" s="908" t="s">
        <v>370</v>
      </c>
      <c r="B355" s="909" t="s">
        <v>2093</v>
      </c>
      <c r="C355" s="910" t="e">
        <f>VLOOKUP(B351,'LƯƠNG KT'!$D$16:$Z$184,24,0)</f>
        <v>#N/A</v>
      </c>
      <c r="D355" s="609" t="e">
        <f>+C355*$L$6</f>
        <v>#N/A</v>
      </c>
      <c r="E355" s="912"/>
      <c r="F355" s="912"/>
      <c r="G355" s="908" t="s">
        <v>370</v>
      </c>
      <c r="H355" s="909" t="s">
        <v>2093</v>
      </c>
      <c r="I355" s="910" t="e">
        <f>VLOOKUP(H351,'LƯƠNG KT'!$D$16:$Z$184,24,0)</f>
        <v>#N/A</v>
      </c>
      <c r="J355" s="609" t="e">
        <f>+I355*$L$6</f>
        <v>#N/A</v>
      </c>
      <c r="K355" s="935"/>
      <c r="L355" s="935"/>
      <c r="M355" s="935"/>
      <c r="N355" s="935"/>
      <c r="O355" s="935"/>
    </row>
    <row r="356" spans="1:15" ht="15" customHeight="1">
      <c r="A356" s="908" t="s">
        <v>2094</v>
      </c>
      <c r="B356" s="909" t="s">
        <v>2095</v>
      </c>
      <c r="C356" s="910" t="e">
        <f>VLOOKUP(B351,'LƯƠNG KT'!$D$16:$Z$184,19,0)</f>
        <v>#N/A</v>
      </c>
      <c r="D356" s="609" t="e">
        <f>+C356*$L$8</f>
        <v>#N/A</v>
      </c>
      <c r="E356" s="912"/>
      <c r="F356" s="912"/>
      <c r="G356" s="908" t="s">
        <v>2094</v>
      </c>
      <c r="H356" s="909" t="s">
        <v>2095</v>
      </c>
      <c r="I356" s="910" t="e">
        <f>VLOOKUP(H351,'LƯƠNG KT'!$D$16:$Z$184,19,0)</f>
        <v>#N/A</v>
      </c>
      <c r="J356" s="609" t="e">
        <f>+I356*$L$8</f>
        <v>#N/A</v>
      </c>
      <c r="K356" s="935"/>
      <c r="L356" s="935"/>
      <c r="M356" s="935"/>
      <c r="N356" s="935"/>
      <c r="O356" s="935"/>
    </row>
    <row r="357" spans="1:15" ht="15" customHeight="1">
      <c r="A357" s="908" t="s">
        <v>2096</v>
      </c>
      <c r="B357" s="913" t="s">
        <v>2097</v>
      </c>
      <c r="C357" s="910" t="e">
        <f>VLOOKUP(B351,'LƯƠNG KT'!$D$16:$Z$184,20,0)</f>
        <v>#N/A</v>
      </c>
      <c r="D357" s="609" t="e">
        <f>+C357*$L$9</f>
        <v>#N/A</v>
      </c>
      <c r="E357" s="912"/>
      <c r="F357" s="912"/>
      <c r="G357" s="908" t="s">
        <v>2096</v>
      </c>
      <c r="H357" s="913" t="s">
        <v>2097</v>
      </c>
      <c r="I357" s="910" t="e">
        <f>VLOOKUP(H351,'LƯƠNG KT'!$D$16:$Z$184,20,0)</f>
        <v>#N/A</v>
      </c>
      <c r="J357" s="609" t="e">
        <f>+I357*$L$9</f>
        <v>#N/A</v>
      </c>
      <c r="K357" s="935"/>
      <c r="L357" s="935"/>
      <c r="M357" s="935"/>
      <c r="N357" s="935"/>
      <c r="O357" s="935"/>
    </row>
    <row r="358" spans="1:15" ht="15" customHeight="1">
      <c r="A358" s="908" t="s">
        <v>2099</v>
      </c>
      <c r="B358" s="909" t="s">
        <v>2100</v>
      </c>
      <c r="C358" s="910" t="e">
        <f>VLOOKUP(B351,'LƯƠNG KT'!$D$16:$Z$184,17,0)</f>
        <v>#N/A</v>
      </c>
      <c r="D358" s="609" t="e">
        <f>+C358*$L$10</f>
        <v>#N/A</v>
      </c>
      <c r="E358" s="912"/>
      <c r="F358" s="912"/>
      <c r="G358" s="908" t="s">
        <v>2099</v>
      </c>
      <c r="H358" s="909" t="s">
        <v>2100</v>
      </c>
      <c r="I358" s="910" t="e">
        <f>VLOOKUP(H351,'LƯƠNG KT'!$D$16:$Z$184,17,0)</f>
        <v>#N/A</v>
      </c>
      <c r="J358" s="609" t="e">
        <f>+I358*$L$10</f>
        <v>#N/A</v>
      </c>
      <c r="K358" s="935"/>
      <c r="L358" s="935"/>
      <c r="M358" s="935"/>
      <c r="N358" s="935"/>
      <c r="O358" s="935"/>
    </row>
    <row r="359" spans="1:15" ht="15" customHeight="1">
      <c r="A359" s="908" t="s">
        <v>374</v>
      </c>
      <c r="B359" s="909" t="s">
        <v>2102</v>
      </c>
      <c r="C359" s="910" t="e">
        <f>VLOOKUP(B351,'LƯƠNG KT'!$D$16:$Z$184,12,0)</f>
        <v>#N/A</v>
      </c>
      <c r="D359" s="609" t="e">
        <f>VLOOKUP(B351,'LƯƠNG KT'!$D$16:$Z$184,14,0)</f>
        <v>#N/A</v>
      </c>
      <c r="E359" s="914"/>
      <c r="F359" s="912"/>
      <c r="G359" s="908" t="s">
        <v>374</v>
      </c>
      <c r="H359" s="909" t="s">
        <v>2102</v>
      </c>
      <c r="I359" s="910" t="e">
        <f>VLOOKUP(H351,'LƯƠNG KT'!$D$16:$Z$184,12,0)</f>
        <v>#N/A</v>
      </c>
      <c r="J359" s="609" t="e">
        <f>VLOOKUP(H351,'LƯƠNG KT'!$D$16:$Z$184,14,0)</f>
        <v>#N/A</v>
      </c>
      <c r="K359" s="935"/>
      <c r="L359" s="935"/>
      <c r="M359" s="935"/>
      <c r="N359" s="935"/>
      <c r="O359" s="935"/>
    </row>
    <row r="360" spans="1:15" ht="15" customHeight="1">
      <c r="A360" s="908" t="s">
        <v>2103</v>
      </c>
      <c r="B360" s="909" t="s">
        <v>2104</v>
      </c>
      <c r="D360" s="915" t="e">
        <f>VLOOKUP(B351,'LƯƠNG KT'!$D$16:$Z$184,13,0)</f>
        <v>#N/A</v>
      </c>
      <c r="E360" s="916"/>
      <c r="F360" s="916"/>
      <c r="G360" s="908" t="s">
        <v>2103</v>
      </c>
      <c r="H360" s="909" t="s">
        <v>2104</v>
      </c>
      <c r="J360" s="915" t="e">
        <f>VLOOKUP(H351,'LƯƠNG KT'!$D$16:$Z$184,13,0)</f>
        <v>#N/A</v>
      </c>
    </row>
    <row r="361" spans="1:15" ht="15" customHeight="1">
      <c r="A361" s="547"/>
      <c r="B361" s="546"/>
      <c r="C361" s="910"/>
      <c r="D361" s="609"/>
      <c r="E361" s="914"/>
      <c r="F361" s="916"/>
      <c r="G361" s="547"/>
      <c r="H361" s="546"/>
      <c r="I361" s="910"/>
      <c r="J361" s="609"/>
    </row>
    <row r="362" spans="1:15" ht="15" customHeight="1">
      <c r="A362" s="905"/>
      <c r="B362" s="546"/>
      <c r="C362" s="910"/>
      <c r="D362" s="609"/>
      <c r="E362" s="917"/>
      <c r="F362" s="904"/>
      <c r="G362" s="905"/>
      <c r="H362" s="546"/>
      <c r="I362" s="910"/>
      <c r="J362" s="609"/>
    </row>
    <row r="363" spans="1:15" ht="15" customHeight="1">
      <c r="A363" s="918" t="s">
        <v>383</v>
      </c>
      <c r="B363" s="919" t="s">
        <v>384</v>
      </c>
      <c r="C363" s="920"/>
      <c r="D363" s="921" t="e">
        <f>SUM(D352:D359)-D362</f>
        <v>#N/A</v>
      </c>
      <c r="E363" s="922"/>
      <c r="F363" s="923"/>
      <c r="G363" s="918" t="s">
        <v>383</v>
      </c>
      <c r="H363" s="919" t="s">
        <v>384</v>
      </c>
      <c r="I363" s="920"/>
      <c r="J363" s="921" t="e">
        <f>SUM(J352:J359)-J362</f>
        <v>#N/A</v>
      </c>
    </row>
    <row r="364" spans="1:15" ht="12.6" customHeight="1">
      <c r="A364" s="924"/>
      <c r="B364" s="925"/>
      <c r="C364" s="926"/>
      <c r="D364" s="927"/>
      <c r="E364" s="927"/>
      <c r="F364" s="928"/>
      <c r="G364" s="924"/>
      <c r="H364" s="925"/>
      <c r="I364" s="926"/>
      <c r="J364" s="927"/>
    </row>
    <row r="365" spans="1:15" ht="99" customHeight="1">
      <c r="A365" s="925"/>
      <c r="B365" s="925"/>
      <c r="C365" s="929"/>
      <c r="D365" s="930"/>
      <c r="E365" s="925"/>
      <c r="F365" s="931"/>
      <c r="G365" s="925"/>
      <c r="H365" s="925"/>
      <c r="I365" s="929"/>
      <c r="J365" s="930"/>
    </row>
    <row r="366" spans="1:15" ht="15" customHeight="1">
      <c r="A366" s="2360" t="str">
        <f>$K$2</f>
        <v>THÁNG 04/2025</v>
      </c>
      <c r="B366" s="2360"/>
      <c r="C366" s="2360"/>
      <c r="D366" s="2360"/>
      <c r="E366" s="903"/>
      <c r="F366" s="904"/>
      <c r="G366" s="2360" t="str">
        <f>$K$2</f>
        <v>THÁNG 04/2025</v>
      </c>
      <c r="H366" s="2360"/>
      <c r="I366" s="2360"/>
      <c r="J366" s="2360"/>
      <c r="K366" s="276"/>
    </row>
    <row r="367" spans="1:15" ht="15" customHeight="1">
      <c r="A367" s="905" t="s">
        <v>356</v>
      </c>
      <c r="B367" s="642" t="s">
        <v>425</v>
      </c>
      <c r="C367" s="546"/>
      <c r="D367" s="902"/>
      <c r="E367" s="906"/>
      <c r="F367" s="907"/>
      <c r="G367" s="905" t="s">
        <v>356</v>
      </c>
      <c r="H367" s="642" t="s">
        <v>1960</v>
      </c>
      <c r="I367" s="546"/>
      <c r="J367" s="902"/>
      <c r="L367" s="938"/>
      <c r="M367" s="938"/>
      <c r="N367" s="938"/>
      <c r="O367" s="938"/>
    </row>
    <row r="368" spans="1:15" ht="15" customHeight="1">
      <c r="A368" s="908" t="s">
        <v>359</v>
      </c>
      <c r="B368" s="909" t="s">
        <v>2090</v>
      </c>
      <c r="C368" s="910" t="e">
        <f>VLOOKUP(B367,'LƯƠNG KT'!$D$16:$Z$184,4,0)</f>
        <v>#N/A</v>
      </c>
      <c r="D368" s="609" t="e">
        <f>+C368*25000</f>
        <v>#N/A</v>
      </c>
      <c r="E368" s="911"/>
      <c r="F368" s="911"/>
      <c r="G368" s="908" t="s">
        <v>359</v>
      </c>
      <c r="H368" s="909" t="s">
        <v>2090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8" t="s">
        <v>361</v>
      </c>
      <c r="B369" s="909" t="s">
        <v>2091</v>
      </c>
      <c r="C369" s="910" t="e">
        <f>VLOOKUP(B367,'LƯƠNG KT'!$D$16:$Z$184,15,0)</f>
        <v>#N/A</v>
      </c>
      <c r="D369" s="609" t="e">
        <f>C369*$L$4</f>
        <v>#N/A</v>
      </c>
      <c r="E369" s="912"/>
      <c r="F369" s="912"/>
      <c r="G369" s="908" t="s">
        <v>361</v>
      </c>
      <c r="H369" s="909" t="s">
        <v>2091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908" t="s">
        <v>364</v>
      </c>
      <c r="B370" s="909" t="s">
        <v>2092</v>
      </c>
      <c r="C370" s="910" t="e">
        <f>VLOOKUP(B367,'LƯƠNG KT'!$D$16:$Z$184,16,0)</f>
        <v>#N/A</v>
      </c>
      <c r="D370" s="609" t="e">
        <f>C370*$L$5</f>
        <v>#N/A</v>
      </c>
      <c r="E370" s="912"/>
      <c r="F370" s="912"/>
      <c r="G370" s="908" t="s">
        <v>364</v>
      </c>
      <c r="H370" s="909" t="s">
        <v>2092</v>
      </c>
      <c r="I370" s="910"/>
      <c r="J370" s="609"/>
      <c r="K370" s="935"/>
      <c r="L370" s="935"/>
      <c r="M370" s="935"/>
      <c r="N370" s="935"/>
      <c r="O370" s="935"/>
    </row>
    <row r="371" spans="1:15" ht="15" customHeight="1">
      <c r="A371" s="908" t="s">
        <v>370</v>
      </c>
      <c r="B371" s="909" t="s">
        <v>2093</v>
      </c>
      <c r="C371" s="910" t="e">
        <f>VLOOKUP(B367,'LƯƠNG KT'!$D$16:$Z$184,24,0)</f>
        <v>#N/A</v>
      </c>
      <c r="D371" s="609" t="e">
        <f>+C371*$L$6</f>
        <v>#N/A</v>
      </c>
      <c r="E371" s="912"/>
      <c r="F371" s="912"/>
      <c r="G371" s="908" t="s">
        <v>370</v>
      </c>
      <c r="H371" s="909" t="s">
        <v>2093</v>
      </c>
      <c r="I371" s="910"/>
      <c r="J371" s="609"/>
      <c r="K371" s="935"/>
      <c r="L371" s="935"/>
      <c r="M371" s="935"/>
      <c r="N371" s="935"/>
      <c r="O371" s="935"/>
    </row>
    <row r="372" spans="1:15" ht="15" customHeight="1">
      <c r="A372" s="908" t="s">
        <v>2094</v>
      </c>
      <c r="B372" s="909" t="s">
        <v>2095</v>
      </c>
      <c r="C372" s="910" t="e">
        <f>VLOOKUP(B367,'LƯƠNG KT'!$D$16:$Z$184,19,0)</f>
        <v>#N/A</v>
      </c>
      <c r="D372" s="609" t="e">
        <f>+C372*$L$8</f>
        <v>#N/A</v>
      </c>
      <c r="E372" s="912"/>
      <c r="F372" s="912"/>
      <c r="G372" s="908" t="s">
        <v>2094</v>
      </c>
      <c r="H372" s="909" t="s">
        <v>2095</v>
      </c>
      <c r="I372" s="910"/>
      <c r="J372" s="609"/>
      <c r="K372" s="935"/>
      <c r="L372" s="935"/>
      <c r="M372" s="935"/>
      <c r="N372" s="935"/>
      <c r="O372" s="935"/>
    </row>
    <row r="373" spans="1:15" ht="15" customHeight="1">
      <c r="A373" s="908" t="s">
        <v>2096</v>
      </c>
      <c r="B373" s="913" t="s">
        <v>2097</v>
      </c>
      <c r="C373" s="910" t="e">
        <f>VLOOKUP(B367,'LƯƠNG KT'!$D$16:$Z$184,20,0)</f>
        <v>#N/A</v>
      </c>
      <c r="D373" s="609" t="e">
        <f>+C373*$L$9</f>
        <v>#N/A</v>
      </c>
      <c r="E373" s="912"/>
      <c r="F373" s="912"/>
      <c r="G373" s="908" t="s">
        <v>2096</v>
      </c>
      <c r="H373" s="913" t="s">
        <v>2097</v>
      </c>
      <c r="I373" s="910"/>
      <c r="J373" s="609"/>
      <c r="K373" s="935"/>
      <c r="L373" s="935"/>
      <c r="M373" s="935"/>
      <c r="N373" s="935"/>
      <c r="O373" s="935"/>
    </row>
    <row r="374" spans="1:15" ht="15" customHeight="1">
      <c r="A374" s="908" t="s">
        <v>2099</v>
      </c>
      <c r="B374" s="909" t="s">
        <v>2100</v>
      </c>
      <c r="C374" s="910" t="e">
        <f>VLOOKUP(B367,'LƯƠNG KT'!$D$16:$Z$184,17,0)</f>
        <v>#N/A</v>
      </c>
      <c r="D374" s="609" t="e">
        <f>+C374*$L$10</f>
        <v>#N/A</v>
      </c>
      <c r="E374" s="912"/>
      <c r="F374" s="912"/>
      <c r="G374" s="908" t="s">
        <v>2099</v>
      </c>
      <c r="H374" s="909" t="s">
        <v>2100</v>
      </c>
      <c r="I374" s="910"/>
      <c r="J374" s="609"/>
      <c r="K374" s="935"/>
      <c r="L374" s="935"/>
      <c r="M374" s="935"/>
      <c r="N374" s="935"/>
      <c r="O374" s="935"/>
    </row>
    <row r="375" spans="1:15" ht="15" customHeight="1">
      <c r="A375" s="908" t="s">
        <v>374</v>
      </c>
      <c r="B375" s="909" t="s">
        <v>2102</v>
      </c>
      <c r="C375" s="910" t="e">
        <f>VLOOKUP(B367,'LƯƠNG KT'!$D$16:$Z$184,12,0)</f>
        <v>#N/A</v>
      </c>
      <c r="D375" s="609" t="e">
        <f>VLOOKUP(B367,'LƯƠNG KT'!$D$16:$Z$184,14,0)+(C369+C370+C372+C373)*20000</f>
        <v>#N/A</v>
      </c>
      <c r="E375" s="914"/>
      <c r="F375" s="912"/>
      <c r="G375" s="908" t="s">
        <v>374</v>
      </c>
      <c r="H375" s="909" t="s">
        <v>2102</v>
      </c>
      <c r="I375" s="910"/>
      <c r="J375" s="609"/>
      <c r="K375" s="935"/>
      <c r="L375" s="935"/>
      <c r="M375" s="935"/>
      <c r="N375" s="935"/>
      <c r="O375" s="935"/>
    </row>
    <row r="376" spans="1:15" ht="15" customHeight="1">
      <c r="A376" s="908" t="s">
        <v>2103</v>
      </c>
      <c r="B376" s="909" t="s">
        <v>2104</v>
      </c>
      <c r="D376" s="915" t="e">
        <f>VLOOKUP(B367,'LƯƠNG KT'!$D$16:$Z$184,13,0)</f>
        <v>#N/A</v>
      </c>
      <c r="E376" s="916"/>
      <c r="F376" s="916"/>
      <c r="G376" s="908" t="s">
        <v>2103</v>
      </c>
      <c r="H376" s="909" t="s">
        <v>2104</v>
      </c>
      <c r="J376" s="915"/>
    </row>
    <row r="377" spans="1:15" ht="15" customHeight="1">
      <c r="A377" s="547"/>
      <c r="B377" s="546"/>
      <c r="C377" s="910"/>
      <c r="D377" s="609"/>
      <c r="E377" s="914"/>
      <c r="F377" s="916"/>
      <c r="G377" s="547"/>
      <c r="H377" s="546"/>
      <c r="I377" s="910"/>
      <c r="J377" s="609"/>
    </row>
    <row r="378" spans="1:15" ht="15" customHeight="1">
      <c r="A378" s="905"/>
      <c r="B378" s="546"/>
      <c r="C378" s="910"/>
      <c r="D378" s="609"/>
      <c r="E378" s="917"/>
      <c r="F378" s="904"/>
      <c r="G378" s="905"/>
      <c r="H378" s="546"/>
      <c r="I378" s="910"/>
      <c r="J378" s="609"/>
    </row>
    <row r="379" spans="1:15" ht="15" customHeight="1">
      <c r="A379" s="918" t="s">
        <v>383</v>
      </c>
      <c r="B379" s="919" t="s">
        <v>384</v>
      </c>
      <c r="C379" s="920"/>
      <c r="D379" s="921" t="e">
        <f>SUM(D368:D375)-D378</f>
        <v>#N/A</v>
      </c>
      <c r="E379" s="922"/>
      <c r="F379" s="923"/>
      <c r="G379" s="918" t="s">
        <v>383</v>
      </c>
      <c r="H379" s="919" t="s">
        <v>384</v>
      </c>
      <c r="I379" s="920"/>
      <c r="J379" s="921">
        <f>SUM(J368:J375)-J378</f>
        <v>0</v>
      </c>
    </row>
    <row r="380" spans="1:15" ht="18.75" customHeight="1">
      <c r="A380" s="924"/>
      <c r="B380" s="925"/>
      <c r="C380" s="926"/>
      <c r="D380" s="927"/>
      <c r="E380" s="927"/>
      <c r="F380" s="928"/>
      <c r="G380" s="924"/>
      <c r="H380" s="925"/>
      <c r="I380" s="926"/>
      <c r="J380" s="927"/>
    </row>
    <row r="381" spans="1:15" ht="18.75" customHeight="1">
      <c r="A381" s="925"/>
      <c r="B381" s="925"/>
      <c r="C381" s="929"/>
      <c r="D381" s="930"/>
      <c r="E381" s="925"/>
      <c r="F381" s="931"/>
      <c r="G381" s="925"/>
      <c r="H381" s="925"/>
      <c r="I381" s="929"/>
      <c r="J381" s="930"/>
    </row>
    <row r="382" spans="1:15" ht="15" customHeight="1">
      <c r="A382" s="2360" t="str">
        <f>$K$2</f>
        <v>THÁNG 04/2025</v>
      </c>
      <c r="B382" s="2360"/>
      <c r="C382" s="2360"/>
      <c r="D382" s="2360"/>
      <c r="E382" s="903"/>
      <c r="F382" s="904"/>
      <c r="G382" s="2360" t="str">
        <f>$K$2</f>
        <v>THÁNG 04/2025</v>
      </c>
      <c r="H382" s="2360"/>
      <c r="I382" s="2360"/>
      <c r="J382" s="2360"/>
      <c r="K382" s="276"/>
    </row>
    <row r="383" spans="1:15" ht="15" customHeight="1">
      <c r="A383" s="905" t="s">
        <v>356</v>
      </c>
      <c r="B383" s="642" t="s">
        <v>426</v>
      </c>
      <c r="C383" s="546"/>
      <c r="D383" s="902"/>
      <c r="E383" s="906"/>
      <c r="F383" s="907"/>
      <c r="G383" s="905" t="s">
        <v>356</v>
      </c>
      <c r="H383" s="642" t="s">
        <v>1989</v>
      </c>
      <c r="I383" s="546"/>
      <c r="J383" s="902"/>
      <c r="L383" s="938"/>
      <c r="M383" s="938"/>
      <c r="N383" s="938"/>
      <c r="O383" s="938"/>
    </row>
    <row r="384" spans="1:15" ht="15" customHeight="1">
      <c r="A384" s="905" t="s">
        <v>359</v>
      </c>
      <c r="B384" s="939" t="s">
        <v>360</v>
      </c>
      <c r="C384" s="910"/>
      <c r="D384" s="609"/>
      <c r="E384" s="911"/>
      <c r="F384" s="911"/>
      <c r="G384" s="908" t="s">
        <v>359</v>
      </c>
      <c r="H384" s="909" t="s">
        <v>2090</v>
      </c>
      <c r="I384" s="910"/>
      <c r="J384" s="609"/>
      <c r="K384" s="935"/>
      <c r="L384" s="935"/>
      <c r="M384" s="935"/>
      <c r="N384" s="935"/>
      <c r="O384" s="935"/>
    </row>
    <row r="385" spans="1:15" ht="15" customHeight="1">
      <c r="A385" s="905" t="s">
        <v>361</v>
      </c>
      <c r="B385" s="546" t="s">
        <v>362</v>
      </c>
      <c r="C385" s="910"/>
      <c r="D385" s="609"/>
      <c r="E385" s="912"/>
      <c r="F385" s="912"/>
      <c r="G385" s="908" t="s">
        <v>361</v>
      </c>
      <c r="H385" s="909" t="s">
        <v>2091</v>
      </c>
      <c r="I385" s="910"/>
      <c r="J385" s="609"/>
      <c r="K385" s="935"/>
      <c r="L385" s="935"/>
      <c r="M385" s="935"/>
      <c r="N385" s="935"/>
      <c r="O385" s="935"/>
    </row>
    <row r="386" spans="1:15" ht="15" customHeight="1">
      <c r="A386" s="905" t="s">
        <v>364</v>
      </c>
      <c r="B386" s="546" t="s">
        <v>365</v>
      </c>
      <c r="C386" s="910"/>
      <c r="D386" s="609"/>
      <c r="E386" s="912"/>
      <c r="F386" s="912"/>
      <c r="G386" s="908" t="s">
        <v>364</v>
      </c>
      <c r="H386" s="909" t="s">
        <v>2092</v>
      </c>
      <c r="I386" s="910"/>
      <c r="J386" s="609"/>
      <c r="K386" s="935"/>
      <c r="L386" s="935"/>
      <c r="M386" s="935"/>
      <c r="N386" s="935"/>
      <c r="O386" s="935"/>
    </row>
    <row r="387" spans="1:15" ht="15" customHeight="1">
      <c r="A387" s="905" t="s">
        <v>367</v>
      </c>
      <c r="B387" s="546"/>
      <c r="C387" s="910"/>
      <c r="D387" s="609"/>
      <c r="E387" s="912"/>
      <c r="F387" s="912"/>
      <c r="G387" s="908" t="s">
        <v>370</v>
      </c>
      <c r="H387" s="909" t="s">
        <v>2093</v>
      </c>
      <c r="I387" s="910"/>
      <c r="J387" s="609"/>
      <c r="K387" s="935"/>
      <c r="L387" s="935"/>
      <c r="M387" s="935"/>
      <c r="N387" s="935"/>
      <c r="O387" s="935"/>
    </row>
    <row r="388" spans="1:15" ht="15" customHeight="1">
      <c r="A388" s="905" t="s">
        <v>371</v>
      </c>
      <c r="B388" s="546" t="s">
        <v>372</v>
      </c>
      <c r="C388" s="910"/>
      <c r="D388" s="609"/>
      <c r="E388" s="912"/>
      <c r="F388" s="912"/>
      <c r="G388" s="908" t="s">
        <v>2094</v>
      </c>
      <c r="H388" s="909" t="s">
        <v>2095</v>
      </c>
      <c r="I388" s="910"/>
      <c r="J388" s="609"/>
      <c r="K388" s="935"/>
      <c r="L388" s="935"/>
      <c r="M388" s="935"/>
      <c r="N388" s="935"/>
      <c r="O388" s="935"/>
    </row>
    <row r="389" spans="1:15" ht="15" customHeight="1">
      <c r="A389" s="905" t="s">
        <v>374</v>
      </c>
      <c r="B389" s="546" t="s">
        <v>375</v>
      </c>
      <c r="C389" s="910"/>
      <c r="D389" s="609"/>
      <c r="E389" s="914"/>
      <c r="F389" s="912"/>
      <c r="G389" s="908" t="s">
        <v>2096</v>
      </c>
      <c r="H389" s="913" t="s">
        <v>2097</v>
      </c>
      <c r="I389" s="910"/>
      <c r="J389" s="609"/>
      <c r="K389" s="935"/>
      <c r="L389" s="935"/>
      <c r="M389" s="935"/>
      <c r="N389" s="935"/>
      <c r="O389" s="935"/>
    </row>
    <row r="390" spans="1:15" ht="15" customHeight="1">
      <c r="A390" s="609" t="s">
        <v>377</v>
      </c>
      <c r="B390" s="546" t="s">
        <v>378</v>
      </c>
      <c r="C390" s="910"/>
      <c r="D390" s="609"/>
      <c r="E390" s="916"/>
      <c r="F390" s="916"/>
      <c r="G390" s="908" t="s">
        <v>2099</v>
      </c>
      <c r="H390" s="909" t="s">
        <v>2100</v>
      </c>
      <c r="I390" s="910"/>
      <c r="J390" s="609"/>
    </row>
    <row r="391" spans="1:15" ht="15" customHeight="1">
      <c r="A391" s="547" t="s">
        <v>379</v>
      </c>
      <c r="B391" s="546" t="s">
        <v>380</v>
      </c>
      <c r="C391" s="910"/>
      <c r="D391" s="609"/>
      <c r="E391" s="914"/>
      <c r="F391" s="916"/>
      <c r="G391" s="908" t="s">
        <v>374</v>
      </c>
      <c r="H391" s="909" t="s">
        <v>2102</v>
      </c>
      <c r="I391" s="910"/>
      <c r="J391" s="609"/>
    </row>
    <row r="392" spans="1:15" ht="15" customHeight="1">
      <c r="A392" s="905" t="s">
        <v>381</v>
      </c>
      <c r="B392" s="546" t="s">
        <v>382</v>
      </c>
      <c r="C392" s="910"/>
      <c r="D392" s="609"/>
      <c r="E392" s="917"/>
      <c r="F392" s="904"/>
      <c r="G392" s="908" t="s">
        <v>2103</v>
      </c>
      <c r="H392" s="909" t="s">
        <v>2104</v>
      </c>
      <c r="J392" s="915"/>
    </row>
    <row r="393" spans="1:15" ht="15" customHeight="1">
      <c r="A393" s="918" t="s">
        <v>383</v>
      </c>
      <c r="B393" s="919" t="s">
        <v>384</v>
      </c>
      <c r="C393" s="920"/>
      <c r="D393" s="921"/>
      <c r="E393" s="922"/>
      <c r="F393" s="923"/>
      <c r="G393" s="547"/>
      <c r="H393" s="546"/>
      <c r="I393" s="910"/>
      <c r="J393" s="609"/>
    </row>
    <row r="394" spans="1:15" ht="18.75" customHeight="1">
      <c r="A394" s="924"/>
      <c r="B394" s="925"/>
      <c r="C394" s="926"/>
      <c r="D394" s="927"/>
      <c r="E394" s="927"/>
      <c r="F394" s="928"/>
      <c r="G394" s="905"/>
      <c r="H394" s="546"/>
      <c r="I394" s="910"/>
      <c r="J394" s="609"/>
    </row>
    <row r="395" spans="1:15" ht="18.75" customHeight="1">
      <c r="A395" s="925"/>
      <c r="B395" s="925"/>
      <c r="C395" s="929"/>
      <c r="D395" s="930"/>
      <c r="E395" s="925"/>
      <c r="F395" s="931"/>
      <c r="G395" s="918" t="s">
        <v>383</v>
      </c>
      <c r="H395" s="919" t="s">
        <v>384</v>
      </c>
      <c r="I395" s="920"/>
      <c r="J395" s="921">
        <f>SUM(J384:J391)-J394</f>
        <v>0</v>
      </c>
    </row>
    <row r="396" spans="1:15" ht="15" customHeight="1">
      <c r="A396" s="2585" t="str">
        <f>$K$2</f>
        <v>THÁNG 04/2025</v>
      </c>
      <c r="B396" s="2586"/>
      <c r="C396" s="2586"/>
      <c r="D396" s="2587"/>
      <c r="E396" s="903"/>
      <c r="F396" s="904"/>
      <c r="G396" s="2585" t="str">
        <f>$K$2</f>
        <v>THÁNG 04/2025</v>
      </c>
      <c r="H396" s="2586"/>
      <c r="I396" s="2586"/>
      <c r="J396" s="2587"/>
      <c r="K396" s="276"/>
    </row>
    <row r="397" spans="1:15" ht="15" customHeight="1">
      <c r="A397" s="905" t="s">
        <v>356</v>
      </c>
      <c r="B397" s="642"/>
      <c r="C397" s="546"/>
      <c r="D397" s="902"/>
      <c r="E397" s="906"/>
      <c r="F397" s="907"/>
      <c r="G397" s="905" t="s">
        <v>356</v>
      </c>
      <c r="H397" s="642"/>
      <c r="I397" s="546"/>
      <c r="J397" s="902"/>
      <c r="L397" s="938"/>
      <c r="M397" s="938"/>
      <c r="N397" s="938"/>
      <c r="O397" s="938"/>
    </row>
    <row r="398" spans="1:15" ht="15" customHeight="1">
      <c r="A398" s="905" t="s">
        <v>359</v>
      </c>
      <c r="B398" s="939"/>
      <c r="C398" s="910"/>
      <c r="D398" s="609"/>
      <c r="E398" s="911"/>
      <c r="F398" s="911"/>
      <c r="G398" s="905" t="s">
        <v>359</v>
      </c>
      <c r="H398" s="939"/>
      <c r="I398" s="910"/>
      <c r="J398" s="609"/>
      <c r="K398" s="935"/>
      <c r="L398" s="935"/>
      <c r="M398" s="935"/>
      <c r="N398" s="935"/>
      <c r="O398" s="935"/>
    </row>
    <row r="399" spans="1:15" ht="15" customHeight="1">
      <c r="A399" s="905" t="s">
        <v>361</v>
      </c>
      <c r="B399" s="546"/>
      <c r="C399" s="910"/>
      <c r="D399" s="609"/>
      <c r="E399" s="912"/>
      <c r="F399" s="912"/>
      <c r="G399" s="905" t="s">
        <v>361</v>
      </c>
      <c r="H399" s="546"/>
      <c r="I399" s="910"/>
      <c r="J399" s="609"/>
      <c r="K399" s="935"/>
      <c r="L399" s="935"/>
      <c r="M399" s="935"/>
      <c r="N399" s="935"/>
      <c r="O399" s="935"/>
    </row>
    <row r="400" spans="1:15" ht="15" customHeight="1">
      <c r="A400" s="905" t="s">
        <v>364</v>
      </c>
      <c r="B400" s="546"/>
      <c r="C400" s="910"/>
      <c r="D400" s="609"/>
      <c r="E400" s="912"/>
      <c r="F400" s="912"/>
      <c r="G400" s="905" t="s">
        <v>364</v>
      </c>
      <c r="H400" s="546"/>
      <c r="I400" s="910"/>
      <c r="J400" s="609"/>
      <c r="K400" s="935"/>
      <c r="L400" s="935"/>
      <c r="M400" s="935"/>
      <c r="N400" s="935"/>
      <c r="O400" s="935"/>
    </row>
    <row r="401" spans="1:15" ht="15" customHeight="1">
      <c r="A401" s="905" t="s">
        <v>367</v>
      </c>
      <c r="B401" s="546"/>
      <c r="C401" s="910"/>
      <c r="D401" s="609"/>
      <c r="E401" s="912"/>
      <c r="F401" s="912"/>
      <c r="G401" s="905" t="s">
        <v>367</v>
      </c>
      <c r="H401" s="546"/>
      <c r="I401" s="910"/>
      <c r="J401" s="609"/>
      <c r="K401" s="935"/>
      <c r="L401" s="935"/>
      <c r="M401" s="935"/>
      <c r="N401" s="935"/>
      <c r="O401" s="935"/>
    </row>
    <row r="402" spans="1:15" ht="15" customHeight="1">
      <c r="A402" s="905" t="s">
        <v>371</v>
      </c>
      <c r="B402" s="546"/>
      <c r="C402" s="910"/>
      <c r="D402" s="609"/>
      <c r="E402" s="912"/>
      <c r="F402" s="912"/>
      <c r="G402" s="905" t="s">
        <v>371</v>
      </c>
      <c r="H402" s="546"/>
      <c r="I402" s="910"/>
      <c r="J402" s="609"/>
      <c r="K402" s="935"/>
      <c r="L402" s="935"/>
      <c r="M402" s="935"/>
      <c r="N402" s="935"/>
      <c r="O402" s="935"/>
    </row>
    <row r="403" spans="1:15" ht="15" customHeight="1">
      <c r="A403" s="905" t="s">
        <v>374</v>
      </c>
      <c r="B403" s="546"/>
      <c r="C403" s="910"/>
      <c r="D403" s="609"/>
      <c r="E403" s="914"/>
      <c r="F403" s="912"/>
      <c r="G403" s="905" t="s">
        <v>374</v>
      </c>
      <c r="H403" s="546"/>
      <c r="I403" s="910"/>
      <c r="J403" s="609"/>
      <c r="K403" s="935"/>
      <c r="L403" s="935"/>
      <c r="M403" s="935"/>
      <c r="N403" s="935"/>
      <c r="O403" s="935"/>
    </row>
    <row r="404" spans="1:15" ht="15" customHeight="1">
      <c r="A404" s="609" t="s">
        <v>377</v>
      </c>
      <c r="B404" s="546"/>
      <c r="C404" s="910"/>
      <c r="D404" s="609"/>
      <c r="E404" s="916"/>
      <c r="F404" s="916"/>
      <c r="G404" s="609" t="s">
        <v>377</v>
      </c>
      <c r="H404" s="546"/>
      <c r="I404" s="910"/>
      <c r="J404" s="609"/>
    </row>
    <row r="405" spans="1:15" ht="15" customHeight="1">
      <c r="A405" s="547" t="s">
        <v>379</v>
      </c>
      <c r="B405" s="546"/>
      <c r="C405" s="910"/>
      <c r="D405" s="609"/>
      <c r="E405" s="914"/>
      <c r="F405" s="916"/>
      <c r="G405" s="547" t="s">
        <v>379</v>
      </c>
      <c r="H405" s="546"/>
      <c r="I405" s="910"/>
      <c r="J405" s="609"/>
    </row>
    <row r="406" spans="1:15" ht="15" customHeight="1">
      <c r="A406" s="905" t="s">
        <v>381</v>
      </c>
      <c r="B406" s="546"/>
      <c r="C406" s="910"/>
      <c r="D406" s="609"/>
      <c r="E406" s="917"/>
      <c r="F406" s="904"/>
      <c r="G406" s="905" t="s">
        <v>381</v>
      </c>
      <c r="H406" s="546"/>
      <c r="I406" s="910"/>
      <c r="J406" s="609"/>
    </row>
    <row r="407" spans="1:15" ht="15" customHeight="1">
      <c r="A407" s="918" t="s">
        <v>383</v>
      </c>
      <c r="B407" s="919"/>
      <c r="C407" s="920"/>
      <c r="D407" s="921"/>
      <c r="E407" s="922"/>
      <c r="F407" s="923"/>
      <c r="G407" s="918" t="s">
        <v>383</v>
      </c>
      <c r="H407" s="919"/>
      <c r="I407" s="920"/>
      <c r="J407" s="921"/>
    </row>
    <row r="408" spans="1:15" ht="15.75" customHeight="1">
      <c r="A408" s="924"/>
      <c r="B408" s="925"/>
      <c r="C408" s="926"/>
      <c r="D408" s="927"/>
      <c r="E408" s="927"/>
      <c r="F408" s="928"/>
      <c r="G408" s="924"/>
      <c r="H408" s="925"/>
      <c r="I408" s="926"/>
      <c r="J408" s="927"/>
    </row>
    <row r="410" spans="1:15" ht="12" customHeight="1">
      <c r="A410" s="2361"/>
      <c r="B410" s="2361"/>
      <c r="C410" s="2361"/>
      <c r="D410" s="2361"/>
      <c r="E410" s="2361"/>
      <c r="F410" s="2361"/>
      <c r="G410" s="2361"/>
      <c r="H410" s="2361"/>
      <c r="I410" s="2361"/>
      <c r="J410" s="2361"/>
    </row>
    <row r="411" spans="1:15" ht="15" customHeight="1">
      <c r="A411" s="2360" t="str">
        <f>$K$2</f>
        <v>THÁNG 04/2025</v>
      </c>
      <c r="B411" s="2360"/>
      <c r="C411" s="2360"/>
      <c r="D411" s="2360"/>
      <c r="E411" s="903"/>
      <c r="F411" s="904"/>
      <c r="G411" s="2360" t="str">
        <f>$K$2</f>
        <v>THÁNG 04/2025</v>
      </c>
      <c r="H411" s="2360"/>
      <c r="I411" s="2360"/>
      <c r="J411" s="2360"/>
      <c r="K411" s="276"/>
    </row>
    <row r="412" spans="1:15" ht="15" customHeight="1">
      <c r="A412" s="905" t="s">
        <v>356</v>
      </c>
      <c r="B412" s="642"/>
      <c r="C412" s="546"/>
      <c r="D412" s="902"/>
      <c r="E412" s="906"/>
      <c r="F412" s="907"/>
      <c r="G412" s="905" t="s">
        <v>356</v>
      </c>
      <c r="H412" s="642"/>
      <c r="I412" s="546"/>
      <c r="J412" s="902"/>
      <c r="L412" s="938"/>
      <c r="M412" s="938"/>
      <c r="N412" s="938"/>
      <c r="O412" s="938"/>
    </row>
    <row r="413" spans="1:15" ht="15" customHeight="1">
      <c r="A413" s="905" t="s">
        <v>359</v>
      </c>
      <c r="B413" s="939" t="s">
        <v>360</v>
      </c>
      <c r="C413" s="910"/>
      <c r="D413" s="609"/>
      <c r="E413" s="911"/>
      <c r="F413" s="911"/>
      <c r="G413" s="905" t="s">
        <v>359</v>
      </c>
      <c r="H413" s="939" t="s">
        <v>360</v>
      </c>
      <c r="I413" s="910"/>
      <c r="J413" s="609"/>
      <c r="K413" s="934"/>
      <c r="L413" s="935"/>
      <c r="M413" s="935"/>
      <c r="N413" s="935"/>
      <c r="O413" s="935"/>
    </row>
    <row r="414" spans="1:15" ht="15" customHeight="1">
      <c r="A414" s="905" t="s">
        <v>361</v>
      </c>
      <c r="B414" s="546" t="s">
        <v>362</v>
      </c>
      <c r="C414" s="910"/>
      <c r="D414" s="609"/>
      <c r="E414" s="912"/>
      <c r="F414" s="912"/>
      <c r="G414" s="905" t="s">
        <v>361</v>
      </c>
      <c r="H414" s="546" t="s">
        <v>362</v>
      </c>
      <c r="I414" s="910"/>
      <c r="J414" s="609"/>
      <c r="K414" s="934"/>
      <c r="L414" s="935"/>
      <c r="M414" s="935"/>
      <c r="N414" s="935"/>
      <c r="O414" s="935"/>
    </row>
    <row r="415" spans="1:15" ht="15" customHeight="1">
      <c r="A415" s="905" t="s">
        <v>364</v>
      </c>
      <c r="B415" s="546" t="s">
        <v>365</v>
      </c>
      <c r="C415" s="910"/>
      <c r="D415" s="609"/>
      <c r="E415" s="912"/>
      <c r="F415" s="912"/>
      <c r="G415" s="905" t="s">
        <v>364</v>
      </c>
      <c r="H415" s="546" t="s">
        <v>365</v>
      </c>
      <c r="I415" s="910"/>
      <c r="J415" s="609"/>
      <c r="K415" s="934"/>
      <c r="L415" s="935"/>
      <c r="M415" s="935"/>
      <c r="N415" s="935"/>
      <c r="O415" s="935"/>
    </row>
    <row r="416" spans="1:15" ht="15" customHeight="1">
      <c r="A416" s="905" t="s">
        <v>367</v>
      </c>
      <c r="B416" s="546"/>
      <c r="C416" s="910"/>
      <c r="D416" s="609"/>
      <c r="E416" s="912"/>
      <c r="F416" s="912"/>
      <c r="G416" s="905" t="s">
        <v>367</v>
      </c>
      <c r="H416" s="546"/>
      <c r="I416" s="910"/>
      <c r="J416" s="609"/>
      <c r="K416" s="935"/>
      <c r="L416" s="935"/>
      <c r="M416" s="935"/>
      <c r="N416" s="935"/>
      <c r="O416" s="935"/>
    </row>
    <row r="417" spans="1:15" ht="15" customHeight="1">
      <c r="A417" s="905" t="s">
        <v>371</v>
      </c>
      <c r="B417" s="546" t="s">
        <v>372</v>
      </c>
      <c r="C417" s="910"/>
      <c r="D417" s="609"/>
      <c r="E417" s="912"/>
      <c r="F417" s="912"/>
      <c r="G417" s="905" t="s">
        <v>371</v>
      </c>
      <c r="H417" s="546" t="s">
        <v>372</v>
      </c>
      <c r="I417" s="910"/>
      <c r="J417" s="609"/>
      <c r="K417" s="935"/>
      <c r="L417" s="935"/>
      <c r="M417" s="935"/>
      <c r="N417" s="935"/>
      <c r="O417" s="935"/>
    </row>
    <row r="418" spans="1:15" ht="15" customHeight="1">
      <c r="A418" s="905" t="s">
        <v>374</v>
      </c>
      <c r="B418" s="546" t="s">
        <v>375</v>
      </c>
      <c r="C418" s="910"/>
      <c r="D418" s="609"/>
      <c r="E418" s="914"/>
      <c r="F418" s="912"/>
      <c r="G418" s="905" t="s">
        <v>374</v>
      </c>
      <c r="H418" s="546" t="s">
        <v>375</v>
      </c>
      <c r="I418" s="910"/>
      <c r="J418" s="609"/>
      <c r="K418" s="935"/>
      <c r="L418" s="935"/>
      <c r="M418" s="935"/>
      <c r="N418" s="935"/>
      <c r="O418" s="935"/>
    </row>
    <row r="419" spans="1:15" ht="15" customHeight="1">
      <c r="A419" s="609" t="s">
        <v>377</v>
      </c>
      <c r="B419" s="546" t="s">
        <v>378</v>
      </c>
      <c r="C419" s="910"/>
      <c r="D419" s="609"/>
      <c r="E419" s="916"/>
      <c r="F419" s="916"/>
      <c r="G419" s="609" t="s">
        <v>377</v>
      </c>
      <c r="H419" s="546" t="s">
        <v>378</v>
      </c>
      <c r="I419" s="910"/>
      <c r="J419" s="609"/>
    </row>
    <row r="420" spans="1:15" ht="15" customHeight="1">
      <c r="A420" s="547" t="s">
        <v>379</v>
      </c>
      <c r="B420" s="546" t="s">
        <v>380</v>
      </c>
      <c r="C420" s="910"/>
      <c r="D420" s="609"/>
      <c r="E420" s="914"/>
      <c r="F420" s="916"/>
      <c r="G420" s="547" t="s">
        <v>379</v>
      </c>
      <c r="H420" s="546" t="s">
        <v>380</v>
      </c>
      <c r="I420" s="910"/>
      <c r="J420" s="609"/>
    </row>
    <row r="421" spans="1:15" ht="15" customHeight="1">
      <c r="A421" s="905" t="s">
        <v>381</v>
      </c>
      <c r="B421" s="546" t="s">
        <v>382</v>
      </c>
      <c r="C421" s="910"/>
      <c r="D421" s="609"/>
      <c r="E421" s="917"/>
      <c r="F421" s="904"/>
      <c r="G421" s="905" t="s">
        <v>381</v>
      </c>
      <c r="H421" s="546" t="s">
        <v>382</v>
      </c>
      <c r="I421" s="910"/>
      <c r="J421" s="609"/>
    </row>
    <row r="422" spans="1:15" ht="15" customHeight="1">
      <c r="A422" s="918" t="s">
        <v>383</v>
      </c>
      <c r="B422" s="919" t="s">
        <v>384</v>
      </c>
      <c r="C422" s="920"/>
      <c r="D422" s="921"/>
      <c r="E422" s="922"/>
      <c r="F422" s="923"/>
      <c r="G422" s="918" t="s">
        <v>383</v>
      </c>
      <c r="H422" s="919" t="s">
        <v>384</v>
      </c>
      <c r="I422" s="920"/>
      <c r="J422" s="921"/>
    </row>
    <row r="423" spans="1:15" ht="12.6" customHeight="1">
      <c r="A423" s="924"/>
      <c r="B423" s="925"/>
      <c r="C423" s="926"/>
      <c r="D423" s="927"/>
      <c r="E423" s="927"/>
      <c r="F423" s="928"/>
      <c r="G423" s="924"/>
      <c r="H423" s="925"/>
      <c r="I423" s="926"/>
      <c r="J423" s="927"/>
    </row>
    <row r="424" spans="1:15" ht="12.6" customHeight="1">
      <c r="A424" s="925"/>
      <c r="B424" s="925"/>
      <c r="C424" s="929"/>
      <c r="D424" s="930"/>
      <c r="E424" s="925"/>
      <c r="F424" s="931"/>
      <c r="G424" s="925"/>
      <c r="H424" s="925"/>
      <c r="I424" s="929"/>
      <c r="J424" s="930"/>
    </row>
    <row r="425" spans="1:15" ht="15" customHeight="1">
      <c r="A425" s="2360" t="str">
        <f>$K$2</f>
        <v>THÁNG 04/2025</v>
      </c>
      <c r="B425" s="2360"/>
      <c r="C425" s="2360"/>
      <c r="D425" s="2360"/>
      <c r="E425" s="903"/>
      <c r="F425" s="904"/>
      <c r="G425" s="2360" t="str">
        <f>$K$2</f>
        <v>THÁNG 04/2025</v>
      </c>
      <c r="H425" s="2360"/>
      <c r="I425" s="2360"/>
      <c r="J425" s="2360"/>
      <c r="K425" s="276"/>
    </row>
    <row r="426" spans="1:15" ht="15" customHeight="1">
      <c r="A426" s="905" t="s">
        <v>356</v>
      </c>
      <c r="B426" s="642"/>
      <c r="C426" s="546"/>
      <c r="D426" s="902"/>
      <c r="E426" s="906"/>
      <c r="F426" s="907"/>
      <c r="G426" s="905" t="s">
        <v>356</v>
      </c>
      <c r="H426" s="642"/>
      <c r="I426" s="546"/>
      <c r="J426" s="902"/>
      <c r="L426" s="938"/>
      <c r="M426" s="938"/>
      <c r="N426" s="938"/>
      <c r="O426" s="938"/>
    </row>
    <row r="427" spans="1:15" ht="15" customHeight="1">
      <c r="A427" s="905" t="s">
        <v>359</v>
      </c>
      <c r="B427" s="939" t="s">
        <v>360</v>
      </c>
      <c r="C427" s="910" t="e">
        <f>VLOOKUP(B426,'LƯƠNG KT'!$D$16:$AC$184,3,0)</f>
        <v>#N/A</v>
      </c>
      <c r="D427" s="609" t="e">
        <f>+C427*25000</f>
        <v>#N/A</v>
      </c>
      <c r="E427" s="911"/>
      <c r="F427" s="911"/>
      <c r="G427" s="905" t="s">
        <v>359</v>
      </c>
      <c r="H427" s="939" t="s">
        <v>360</v>
      </c>
      <c r="I427" s="910" t="e">
        <f>VLOOKUP(H426,'LƯƠNG KT'!$D$16:$AC$184,3,0)</f>
        <v>#N/A</v>
      </c>
      <c r="J427" s="609" t="e">
        <f>+I427*25000</f>
        <v>#N/A</v>
      </c>
      <c r="K427" s="940" t="s">
        <v>427</v>
      </c>
      <c r="L427" s="940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0"/>
      <c r="N427" s="940"/>
      <c r="O427" s="940"/>
    </row>
    <row r="428" spans="1:15" ht="15" customHeight="1">
      <c r="A428" s="905" t="s">
        <v>361</v>
      </c>
      <c r="B428" s="546" t="s">
        <v>362</v>
      </c>
      <c r="C428" s="910" t="e">
        <f>VLOOKUP(B426,'LƯƠNG KT'!$D$16:$AC$184,14,0)</f>
        <v>#N/A</v>
      </c>
      <c r="D428" s="609" t="e">
        <f>C428*$L$4</f>
        <v>#N/A</v>
      </c>
      <c r="E428" s="912"/>
      <c r="F428" s="912"/>
      <c r="G428" s="905" t="s">
        <v>361</v>
      </c>
      <c r="H428" s="546" t="s">
        <v>362</v>
      </c>
      <c r="I428" s="910" t="e">
        <f>VLOOKUP(H426,'LƯƠNG KT'!$D$16:$AC$184,14,0)</f>
        <v>#N/A</v>
      </c>
      <c r="J428" s="609" t="e">
        <f>I428*$L$4</f>
        <v>#N/A</v>
      </c>
      <c r="K428" s="935"/>
      <c r="L428" s="935" t="e">
        <f>'TRẠM 1'!AB108-'TRẠM 1'!#REF!</f>
        <v>#REF!</v>
      </c>
      <c r="M428" s="935"/>
      <c r="N428" s="935"/>
      <c r="O428" s="935"/>
    </row>
    <row r="429" spans="1:15" ht="15" customHeight="1">
      <c r="A429" s="905" t="s">
        <v>364</v>
      </c>
      <c r="B429" s="546" t="s">
        <v>365</v>
      </c>
      <c r="C429" s="910" t="e">
        <f>VLOOKUP(B426,'LƯƠNG KT'!$D$16:$AC$184,15,0)</f>
        <v>#N/A</v>
      </c>
      <c r="D429" s="609" t="e">
        <f>C429*$L$5</f>
        <v>#N/A</v>
      </c>
      <c r="E429" s="912"/>
      <c r="F429" s="912"/>
      <c r="G429" s="905" t="s">
        <v>364</v>
      </c>
      <c r="H429" s="546" t="s">
        <v>365</v>
      </c>
      <c r="I429" s="910" t="e">
        <f>VLOOKUP(H426,'LƯƠNG KT'!$D$16:$AC$184,15,0)</f>
        <v>#N/A</v>
      </c>
      <c r="J429" s="609" t="e">
        <f>I429*$L$5</f>
        <v>#N/A</v>
      </c>
      <c r="K429" s="935"/>
      <c r="L429" s="935" t="e">
        <f>+L428-L427</f>
        <v>#REF!</v>
      </c>
      <c r="M429" s="935"/>
      <c r="N429" s="935"/>
      <c r="O429" s="935"/>
    </row>
    <row r="430" spans="1:15" ht="15" customHeight="1">
      <c r="A430" s="905" t="s">
        <v>367</v>
      </c>
      <c r="B430" s="546"/>
      <c r="C430" s="910" t="e">
        <f>VLOOKUP(B426,'LƯƠNG KT'!$D$16:$AC$184,16,0)</f>
        <v>#N/A</v>
      </c>
      <c r="D430" s="609" t="e">
        <f>+C430*$L$6</f>
        <v>#N/A</v>
      </c>
      <c r="E430" s="912"/>
      <c r="F430" s="912"/>
      <c r="G430" s="905" t="s">
        <v>367</v>
      </c>
      <c r="H430" s="546"/>
      <c r="I430" s="910" t="e">
        <f>VLOOKUP(H426,'LƯƠNG KT'!$D$16:$AC$184,16,0)</f>
        <v>#N/A</v>
      </c>
      <c r="J430" s="609" t="e">
        <f>+I430*$L$6</f>
        <v>#N/A</v>
      </c>
      <c r="K430" s="935"/>
      <c r="L430" s="935" t="e">
        <f>+L429/20</f>
        <v>#REF!</v>
      </c>
      <c r="M430" s="935"/>
      <c r="N430" s="935"/>
      <c r="O430" s="935"/>
    </row>
    <row r="431" spans="1:15" ht="15" customHeight="1">
      <c r="A431" s="905" t="s">
        <v>371</v>
      </c>
      <c r="B431" s="546" t="s">
        <v>372</v>
      </c>
      <c r="C431" s="910" t="e">
        <f>VLOOKUP(B426,'LƯƠNG KT'!$D$16:$AC$184,9,0)*$L$10</f>
        <v>#N/A</v>
      </c>
      <c r="D431" s="609" t="e">
        <f>+C431*0.5*3000</f>
        <v>#N/A</v>
      </c>
      <c r="E431" s="912"/>
      <c r="F431" s="912"/>
      <c r="G431" s="905" t="s">
        <v>371</v>
      </c>
      <c r="H431" s="546" t="s">
        <v>372</v>
      </c>
      <c r="I431" s="910" t="e">
        <f>VLOOKUP(H426,'LƯƠNG KT'!$D$16:$AC$184,9,0)*$L$10</f>
        <v>#N/A</v>
      </c>
      <c r="J431" s="609" t="e">
        <f>+I431*0.5*3000</f>
        <v>#N/A</v>
      </c>
      <c r="K431" s="935"/>
      <c r="L431" s="935">
        <v>191066572.506852</v>
      </c>
      <c r="M431" s="935"/>
      <c r="N431" s="935"/>
      <c r="O431" s="935"/>
    </row>
    <row r="432" spans="1:15" ht="15" customHeight="1">
      <c r="A432" s="905" t="s">
        <v>374</v>
      </c>
      <c r="B432" s="546" t="s">
        <v>375</v>
      </c>
      <c r="C432" s="910" t="e">
        <f>VLOOKUP(B426,'LƯƠNG KT'!$D$16:$AC$184,8,0)*$L$11</f>
        <v>#N/A</v>
      </c>
      <c r="D432" s="609" t="e">
        <f>VLOOKUP(B426,'LƯƠNG KT'!$D$16:$AC$184,13,0)-D431</f>
        <v>#N/A</v>
      </c>
      <c r="E432" s="914"/>
      <c r="F432" s="912"/>
      <c r="G432" s="905" t="s">
        <v>374</v>
      </c>
      <c r="H432" s="546" t="s">
        <v>375</v>
      </c>
      <c r="I432" s="910" t="e">
        <f>VLOOKUP(H426,'LƯƠNG KT'!$D$16:$AC$184,8,0)*$L$11</f>
        <v>#N/A</v>
      </c>
      <c r="J432" s="609" t="e">
        <f>VLOOKUP(H426,'LƯƠNG KT'!$D$16:$AC$184,13,0)-J431</f>
        <v>#N/A</v>
      </c>
      <c r="K432" s="935"/>
      <c r="L432" s="935"/>
      <c r="M432" s="935"/>
      <c r="N432" s="935"/>
      <c r="O432" s="935"/>
    </row>
    <row r="433" spans="1:15" ht="15" customHeight="1">
      <c r="A433" s="609" t="s">
        <v>377</v>
      </c>
      <c r="B433" s="546" t="s">
        <v>378</v>
      </c>
      <c r="C433" s="910"/>
      <c r="D433" s="609"/>
      <c r="E433" s="916"/>
      <c r="F433" s="916"/>
      <c r="G433" s="609" t="s">
        <v>377</v>
      </c>
      <c r="H433" s="546"/>
      <c r="I433" s="910"/>
      <c r="J433" s="609"/>
    </row>
    <row r="434" spans="1:15" ht="15" customHeight="1">
      <c r="A434" s="547" t="s">
        <v>379</v>
      </c>
      <c r="B434" s="546" t="s">
        <v>380</v>
      </c>
      <c r="C434" s="910"/>
      <c r="D434" s="609"/>
      <c r="E434" s="914"/>
      <c r="F434" s="916"/>
      <c r="G434" s="547" t="s">
        <v>379</v>
      </c>
      <c r="H434" s="546"/>
      <c r="I434" s="910"/>
      <c r="J434" s="609"/>
    </row>
    <row r="435" spans="1:15" ht="15" customHeight="1">
      <c r="A435" s="905" t="s">
        <v>381</v>
      </c>
      <c r="B435" s="546" t="s">
        <v>382</v>
      </c>
      <c r="C435" s="910"/>
      <c r="D435" s="609"/>
      <c r="E435" s="917"/>
      <c r="F435" s="904"/>
      <c r="G435" s="905" t="s">
        <v>381</v>
      </c>
      <c r="H435" s="546"/>
      <c r="I435" s="910"/>
      <c r="J435" s="609"/>
    </row>
    <row r="436" spans="1:15" ht="15" customHeight="1">
      <c r="A436" s="918" t="s">
        <v>383</v>
      </c>
      <c r="B436" s="919" t="s">
        <v>384</v>
      </c>
      <c r="C436" s="920"/>
      <c r="D436" s="921"/>
      <c r="E436" s="922"/>
      <c r="F436" s="923"/>
      <c r="G436" s="918" t="s">
        <v>383</v>
      </c>
      <c r="H436" s="919"/>
      <c r="I436" s="920"/>
      <c r="J436" s="921"/>
    </row>
    <row r="437" spans="1:15" ht="18.75" customHeight="1">
      <c r="A437" s="924"/>
      <c r="B437" s="925"/>
      <c r="C437" s="926"/>
      <c r="D437" s="927"/>
      <c r="E437" s="927"/>
      <c r="F437" s="928"/>
      <c r="G437" s="924"/>
      <c r="H437" s="925"/>
      <c r="I437" s="926"/>
      <c r="J437" s="927"/>
    </row>
    <row r="438" spans="1:15" ht="12" customHeight="1">
      <c r="A438" s="2362" t="s">
        <v>429</v>
      </c>
      <c r="B438" s="2362"/>
      <c r="C438" s="2362"/>
      <c r="D438" s="2362"/>
      <c r="E438" s="2362"/>
      <c r="F438" s="2362"/>
      <c r="G438" s="2362"/>
      <c r="H438" s="2362"/>
      <c r="I438" s="2362"/>
      <c r="J438" s="2362"/>
    </row>
    <row r="439" spans="1:15" ht="15" customHeight="1">
      <c r="A439" s="2360" t="str">
        <f>$K$2</f>
        <v>THÁNG 04/2025</v>
      </c>
      <c r="B439" s="2360"/>
      <c r="C439" s="2360"/>
      <c r="D439" s="2360"/>
      <c r="E439" s="903"/>
      <c r="F439" s="904"/>
      <c r="G439" s="2360" t="str">
        <f>$K$2</f>
        <v>THÁNG 04/2025</v>
      </c>
      <c r="H439" s="2360"/>
      <c r="I439" s="2360"/>
      <c r="J439" s="2360"/>
      <c r="K439" s="276"/>
    </row>
    <row r="440" spans="1:15" ht="15" customHeight="1">
      <c r="A440" s="905" t="s">
        <v>356</v>
      </c>
      <c r="B440" s="642" t="s">
        <v>1991</v>
      </c>
      <c r="C440" s="546"/>
      <c r="D440" s="902"/>
      <c r="E440" s="906"/>
      <c r="F440" s="907"/>
      <c r="G440" s="905" t="s">
        <v>356</v>
      </c>
      <c r="H440" s="642"/>
      <c r="I440" s="546"/>
      <c r="J440" s="902"/>
      <c r="L440" s="938"/>
      <c r="M440" s="938"/>
      <c r="N440" s="938"/>
      <c r="O440" s="938"/>
    </row>
    <row r="441" spans="1:15" ht="15" customHeight="1">
      <c r="A441" s="908" t="s">
        <v>359</v>
      </c>
      <c r="B441" s="909" t="s">
        <v>2090</v>
      </c>
      <c r="C441" s="910" t="e">
        <f>VLOOKUP(B440,'LƯƠNG KT'!$D$16:$Z$184,4,0)</f>
        <v>#N/A</v>
      </c>
      <c r="D441" s="609" t="e">
        <f>+C441*25000</f>
        <v>#N/A</v>
      </c>
      <c r="E441" s="911"/>
      <c r="F441" s="911"/>
      <c r="G441" s="905" t="s">
        <v>359</v>
      </c>
      <c r="H441" s="939"/>
      <c r="I441" s="910"/>
      <c r="J441" s="609"/>
      <c r="K441" s="935"/>
      <c r="L441" s="935"/>
      <c r="M441" s="935"/>
      <c r="N441" s="935"/>
      <c r="O441" s="935"/>
    </row>
    <row r="442" spans="1:15" ht="15" customHeight="1">
      <c r="A442" s="908" t="s">
        <v>361</v>
      </c>
      <c r="B442" s="909" t="s">
        <v>2091</v>
      </c>
      <c r="C442" s="910" t="e">
        <f>VLOOKUP(B440,'LƯƠNG KT'!$D$16:$Z$184,15,0)</f>
        <v>#N/A</v>
      </c>
      <c r="D442" s="609" t="e">
        <f>C442*$L$4</f>
        <v>#N/A</v>
      </c>
      <c r="E442" s="912"/>
      <c r="F442" s="912"/>
      <c r="G442" s="905" t="s">
        <v>361</v>
      </c>
      <c r="H442" s="546"/>
      <c r="I442" s="910"/>
      <c r="J442" s="609"/>
      <c r="K442" s="935"/>
      <c r="L442" s="935"/>
      <c r="M442" s="935"/>
      <c r="N442" s="935"/>
      <c r="O442" s="935"/>
    </row>
    <row r="443" spans="1:15" ht="15" customHeight="1">
      <c r="A443" s="908" t="s">
        <v>364</v>
      </c>
      <c r="B443" s="909" t="s">
        <v>2092</v>
      </c>
      <c r="C443" s="910" t="e">
        <f>VLOOKUP(B440,'LƯƠNG KT'!$D$16:$Z$184,16,0)</f>
        <v>#N/A</v>
      </c>
      <c r="D443" s="609" t="e">
        <f>C443*$L$5</f>
        <v>#N/A</v>
      </c>
      <c r="E443" s="912"/>
      <c r="F443" s="912"/>
      <c r="G443" s="905" t="s">
        <v>364</v>
      </c>
      <c r="H443" s="546"/>
      <c r="I443" s="910"/>
      <c r="J443" s="609"/>
      <c r="K443" s="935"/>
      <c r="L443" s="935"/>
      <c r="M443" s="935"/>
      <c r="N443" s="935"/>
      <c r="O443" s="935"/>
    </row>
    <row r="444" spans="1:15" ht="15" customHeight="1">
      <c r="A444" s="908" t="s">
        <v>370</v>
      </c>
      <c r="B444" s="909" t="s">
        <v>2093</v>
      </c>
      <c r="C444" s="910" t="e">
        <f>VLOOKUP(B440,'LƯƠNG KT'!$D$16:$Z$184,24,0)</f>
        <v>#N/A</v>
      </c>
      <c r="D444" s="609" t="e">
        <f>+C444*$L$6</f>
        <v>#N/A</v>
      </c>
      <c r="E444" s="912"/>
      <c r="F444" s="912"/>
      <c r="G444" s="905"/>
      <c r="H444" s="546"/>
      <c r="I444" s="910"/>
      <c r="J444" s="609"/>
      <c r="K444" s="935"/>
      <c r="L444" s="935"/>
      <c r="M444" s="935"/>
      <c r="N444" s="935"/>
      <c r="O444" s="935"/>
    </row>
    <row r="445" spans="1:15" ht="15" customHeight="1">
      <c r="A445" s="908" t="s">
        <v>2094</v>
      </c>
      <c r="B445" s="909" t="s">
        <v>2095</v>
      </c>
      <c r="C445" s="910" t="e">
        <f>VLOOKUP(B440,'LƯƠNG KT'!$D$16:$Z$184,19,0)</f>
        <v>#N/A</v>
      </c>
      <c r="D445" s="609" t="e">
        <f>+C445*$L$8</f>
        <v>#N/A</v>
      </c>
      <c r="E445" s="912"/>
      <c r="F445" s="912"/>
      <c r="G445" s="905"/>
      <c r="H445" s="546"/>
      <c r="I445" s="910"/>
      <c r="J445" s="609"/>
      <c r="K445" s="935"/>
      <c r="L445" s="935"/>
      <c r="M445" s="935"/>
      <c r="N445" s="935"/>
      <c r="O445" s="935"/>
    </row>
    <row r="446" spans="1:15" ht="15" customHeight="1">
      <c r="A446" s="908" t="s">
        <v>2096</v>
      </c>
      <c r="B446" s="913" t="s">
        <v>2097</v>
      </c>
      <c r="C446" s="910" t="e">
        <f>VLOOKUP(B440,'LƯƠNG KT'!$D$16:$Z$184,20,0)</f>
        <v>#N/A</v>
      </c>
      <c r="D446" s="609" t="e">
        <f>+C446*$L$9</f>
        <v>#N/A</v>
      </c>
      <c r="E446" s="912"/>
      <c r="F446" s="912"/>
      <c r="G446" s="905"/>
      <c r="H446" s="546"/>
      <c r="I446" s="910"/>
      <c r="J446" s="609"/>
      <c r="K446" s="935"/>
      <c r="L446" s="935"/>
      <c r="M446" s="935"/>
      <c r="N446" s="935"/>
      <c r="O446" s="935"/>
    </row>
    <row r="447" spans="1:15" ht="15" customHeight="1">
      <c r="A447" s="908" t="s">
        <v>2099</v>
      </c>
      <c r="B447" s="909" t="s">
        <v>2100</v>
      </c>
      <c r="C447" s="910" t="e">
        <f>VLOOKUP(B440,'LƯƠNG KT'!$D$16:$Z$184,17,0)</f>
        <v>#N/A</v>
      </c>
      <c r="D447" s="609" t="e">
        <f>+C447*$L$10</f>
        <v>#N/A</v>
      </c>
      <c r="E447" s="912"/>
      <c r="F447" s="912"/>
      <c r="G447" s="905"/>
      <c r="H447" s="546"/>
      <c r="I447" s="910"/>
      <c r="J447" s="609"/>
      <c r="K447" s="935"/>
      <c r="L447" s="935"/>
      <c r="M447" s="935"/>
      <c r="N447" s="935"/>
      <c r="O447" s="935"/>
    </row>
    <row r="448" spans="1:15" ht="15" customHeight="1">
      <c r="A448" s="908" t="s">
        <v>374</v>
      </c>
      <c r="B448" s="909" t="s">
        <v>2102</v>
      </c>
      <c r="C448" s="910" t="e">
        <f>VLOOKUP(B440,'LƯƠNG KT'!$D$16:$Z$184,12,0)</f>
        <v>#N/A</v>
      </c>
      <c r="D448" s="609" t="e">
        <f>VLOOKUP(B440,'LƯƠNG KT'!$D$16:$Z$184,14,0)</f>
        <v>#N/A</v>
      </c>
      <c r="E448" s="912"/>
      <c r="F448" s="912"/>
      <c r="G448" s="905" t="s">
        <v>367</v>
      </c>
      <c r="H448" s="546"/>
      <c r="I448" s="910"/>
      <c r="J448" s="609"/>
      <c r="K448" s="935"/>
      <c r="L448" s="935"/>
      <c r="M448" s="935"/>
      <c r="N448" s="935"/>
      <c r="O448" s="935"/>
    </row>
    <row r="449" spans="1:15" ht="15" customHeight="1">
      <c r="A449" s="908" t="s">
        <v>2103</v>
      </c>
      <c r="B449" s="909" t="s">
        <v>2104</v>
      </c>
      <c r="D449" s="915" t="e">
        <f>VLOOKUP(B440,'LƯƠNG KT'!$D$16:$Z$184,13,0)</f>
        <v>#N/A</v>
      </c>
      <c r="E449" s="912"/>
      <c r="F449" s="912"/>
      <c r="G449" s="905" t="s">
        <v>371</v>
      </c>
      <c r="H449" s="546"/>
      <c r="I449" s="910"/>
      <c r="J449" s="609"/>
      <c r="K449" s="935"/>
      <c r="L449" s="935"/>
      <c r="M449" s="935"/>
      <c r="N449" s="935"/>
      <c r="O449" s="935"/>
    </row>
    <row r="450" spans="1:15" ht="15" customHeight="1">
      <c r="A450" s="547"/>
      <c r="B450" s="546"/>
      <c r="C450" s="910"/>
      <c r="D450" s="609"/>
      <c r="E450" s="914"/>
      <c r="F450" s="912"/>
      <c r="G450" s="905" t="s">
        <v>374</v>
      </c>
      <c r="H450" s="546"/>
      <c r="I450" s="910"/>
      <c r="J450" s="609"/>
      <c r="K450" s="935"/>
      <c r="L450" s="935"/>
      <c r="M450" s="935"/>
      <c r="N450" s="935"/>
      <c r="O450" s="935"/>
    </row>
    <row r="451" spans="1:15" ht="15" customHeight="1">
      <c r="A451" s="905"/>
      <c r="B451" s="546"/>
      <c r="C451" s="910"/>
      <c r="D451" s="609"/>
      <c r="E451" s="916"/>
      <c r="F451" s="916"/>
      <c r="G451" s="609" t="s">
        <v>377</v>
      </c>
      <c r="H451" s="546"/>
      <c r="I451" s="910"/>
      <c r="J451" s="609"/>
    </row>
    <row r="452" spans="1:15" ht="15" customHeight="1">
      <c r="A452" s="918" t="s">
        <v>383</v>
      </c>
      <c r="B452" s="919" t="s">
        <v>384</v>
      </c>
      <c r="C452" s="920"/>
      <c r="D452" s="921" t="e">
        <f>SUM(D441:D448)-D451</f>
        <v>#N/A</v>
      </c>
      <c r="E452" s="914"/>
      <c r="F452" s="916"/>
      <c r="G452" s="547" t="s">
        <v>379</v>
      </c>
      <c r="H452" s="546"/>
      <c r="I452" s="910"/>
      <c r="J452" s="609"/>
    </row>
    <row r="453" spans="1:15" ht="18.75" customHeight="1">
      <c r="A453" s="925"/>
      <c r="B453" s="925"/>
      <c r="C453" s="929"/>
      <c r="D453" s="930"/>
      <c r="E453" s="925"/>
      <c r="F453" s="931"/>
      <c r="G453" s="925"/>
      <c r="H453" s="925"/>
      <c r="I453" s="929"/>
      <c r="J453" s="930"/>
    </row>
    <row r="454" spans="1:15" ht="15" customHeight="1">
      <c r="A454" s="2360" t="str">
        <f>$K$2</f>
        <v>THÁNG 04/2025</v>
      </c>
      <c r="B454" s="2360"/>
      <c r="C454" s="2360"/>
      <c r="D454" s="2360"/>
      <c r="E454" s="903"/>
      <c r="F454" s="904"/>
      <c r="G454" s="2360" t="str">
        <f>$K$2</f>
        <v>THÁNG 04/2025</v>
      </c>
      <c r="H454" s="2360"/>
      <c r="I454" s="2360"/>
      <c r="J454" s="2360"/>
      <c r="K454" s="276"/>
    </row>
    <row r="455" spans="1:15" ht="15" customHeight="1">
      <c r="A455" s="905"/>
      <c r="B455" s="642"/>
      <c r="C455" s="546"/>
      <c r="D455" s="902"/>
      <c r="E455" s="906"/>
      <c r="F455" s="907"/>
      <c r="G455" s="905"/>
      <c r="H455" s="642"/>
      <c r="I455" s="546"/>
      <c r="J455" s="902"/>
      <c r="L455" s="938"/>
      <c r="M455" s="938"/>
      <c r="N455" s="938"/>
      <c r="O455" s="938"/>
    </row>
    <row r="456" spans="1:15" ht="15" customHeight="1">
      <c r="A456" s="905"/>
      <c r="B456" s="939"/>
      <c r="C456" s="910"/>
      <c r="D456" s="609"/>
      <c r="E456" s="911"/>
      <c r="F456" s="911"/>
      <c r="G456" s="905"/>
      <c r="H456" s="939"/>
      <c r="I456" s="910"/>
      <c r="J456" s="609"/>
      <c r="K456" s="935"/>
      <c r="L456" s="935"/>
      <c r="M456" s="935"/>
      <c r="N456" s="935"/>
      <c r="O456" s="935"/>
    </row>
    <row r="457" spans="1:15" ht="15" customHeight="1">
      <c r="A457" s="905"/>
      <c r="B457" s="546"/>
      <c r="C457" s="910"/>
      <c r="D457" s="609"/>
      <c r="E457" s="912"/>
      <c r="F457" s="912"/>
      <c r="G457" s="905"/>
      <c r="H457" s="546"/>
      <c r="I457" s="910"/>
      <c r="J457" s="609"/>
      <c r="K457" s="935"/>
      <c r="L457" s="935"/>
      <c r="M457" s="935"/>
      <c r="N457" s="935"/>
      <c r="O457" s="935"/>
    </row>
    <row r="458" spans="1:15" ht="15" customHeight="1">
      <c r="A458" s="905"/>
      <c r="B458" s="546"/>
      <c r="C458" s="910"/>
      <c r="D458" s="609"/>
      <c r="E458" s="912"/>
      <c r="F458" s="912"/>
      <c r="G458" s="905"/>
      <c r="H458" s="546"/>
      <c r="I458" s="910"/>
      <c r="J458" s="609"/>
      <c r="K458" s="935"/>
      <c r="L458" s="935"/>
      <c r="M458" s="935"/>
      <c r="N458" s="935"/>
      <c r="O458" s="935"/>
    </row>
    <row r="459" spans="1:15" ht="15" customHeight="1">
      <c r="A459" s="905"/>
      <c r="B459" s="546"/>
      <c r="C459" s="910"/>
      <c r="D459" s="609"/>
      <c r="E459" s="912"/>
      <c r="F459" s="912"/>
      <c r="G459" s="905"/>
      <c r="H459" s="546"/>
      <c r="I459" s="910"/>
      <c r="J459" s="609"/>
      <c r="K459" s="935"/>
      <c r="L459" s="935"/>
      <c r="M459" s="935"/>
      <c r="N459" s="935"/>
      <c r="O459" s="935"/>
    </row>
    <row r="460" spans="1:15" ht="15" customHeight="1">
      <c r="A460" s="905"/>
      <c r="B460" s="546"/>
      <c r="C460" s="910"/>
      <c r="D460" s="609"/>
      <c r="E460" s="912"/>
      <c r="F460" s="912"/>
      <c r="G460" s="905"/>
      <c r="H460" s="546"/>
      <c r="I460" s="910"/>
      <c r="J460" s="609"/>
      <c r="K460" s="935"/>
      <c r="L460" s="935"/>
      <c r="M460" s="935"/>
      <c r="N460" s="935"/>
      <c r="O460" s="935"/>
    </row>
    <row r="461" spans="1:15" ht="15" customHeight="1">
      <c r="A461" s="905"/>
      <c r="B461" s="546"/>
      <c r="C461" s="910"/>
      <c r="D461" s="609"/>
      <c r="E461" s="914"/>
      <c r="F461" s="912"/>
      <c r="G461" s="905"/>
      <c r="H461" s="546"/>
      <c r="I461" s="910"/>
      <c r="J461" s="609"/>
      <c r="K461" s="935"/>
      <c r="L461" s="935"/>
      <c r="M461" s="935"/>
      <c r="N461" s="935"/>
      <c r="O461" s="935"/>
    </row>
    <row r="462" spans="1:15" ht="15" customHeight="1">
      <c r="A462" s="609"/>
      <c r="B462" s="546"/>
      <c r="C462" s="910"/>
      <c r="D462" s="609"/>
      <c r="E462" s="916"/>
      <c r="F462" s="916"/>
      <c r="G462" s="609"/>
      <c r="H462" s="546"/>
      <c r="I462" s="910"/>
      <c r="J462" s="609"/>
    </row>
    <row r="463" spans="1:15" ht="15.75" customHeight="1">
      <c r="A463" s="924"/>
      <c r="B463" s="925"/>
      <c r="C463" s="926"/>
      <c r="D463" s="927"/>
      <c r="E463" s="927"/>
      <c r="F463" s="928"/>
      <c r="G463" s="924"/>
      <c r="H463" s="925"/>
      <c r="I463" s="926"/>
      <c r="J463" s="927"/>
    </row>
    <row r="465" spans="1:15" ht="12" customHeight="1">
      <c r="A465" s="2362" t="s">
        <v>429</v>
      </c>
      <c r="B465" s="2362"/>
      <c r="C465" s="2362"/>
      <c r="D465" s="2362"/>
      <c r="E465" s="2362"/>
      <c r="F465" s="2362"/>
      <c r="G465" s="2362"/>
      <c r="H465" s="2362"/>
      <c r="I465" s="2362"/>
      <c r="J465" s="2362"/>
    </row>
    <row r="466" spans="1:15" ht="15" customHeight="1">
      <c r="A466" s="2360" t="str">
        <f>$K$2</f>
        <v>THÁNG 04/2025</v>
      </c>
      <c r="B466" s="2360"/>
      <c r="C466" s="2360"/>
      <c r="D466" s="2360"/>
      <c r="E466" s="903"/>
      <c r="F466" s="904"/>
      <c r="G466" s="2360" t="str">
        <f>$K$2</f>
        <v>THÁNG 04/2025</v>
      </c>
      <c r="H466" s="2360"/>
      <c r="I466" s="2360"/>
      <c r="J466" s="2360"/>
      <c r="K466" s="276"/>
    </row>
    <row r="467" spans="1:15" ht="15" customHeight="1">
      <c r="A467" s="905" t="s">
        <v>356</v>
      </c>
      <c r="B467" s="642" t="s">
        <v>1972</v>
      </c>
      <c r="C467" s="546"/>
      <c r="D467" s="902"/>
      <c r="E467" s="906"/>
      <c r="F467" s="907"/>
      <c r="G467" s="905" t="s">
        <v>356</v>
      </c>
      <c r="H467" s="642" t="s">
        <v>1050</v>
      </c>
      <c r="I467" s="546"/>
      <c r="J467" s="902"/>
      <c r="L467" s="938"/>
      <c r="M467" s="938"/>
      <c r="N467" s="938"/>
      <c r="O467" s="938"/>
    </row>
    <row r="468" spans="1:15" ht="15" customHeight="1">
      <c r="A468" s="908" t="s">
        <v>359</v>
      </c>
      <c r="B468" s="909" t="s">
        <v>2090</v>
      </c>
      <c r="C468" s="910" t="e">
        <f>VLOOKUP(B467,'LƯƠNG KT'!$D$16:$Z$184,4,0)</f>
        <v>#N/A</v>
      </c>
      <c r="D468" s="609" t="e">
        <f>+C468*25000</f>
        <v>#N/A</v>
      </c>
      <c r="E468" s="911"/>
      <c r="F468" s="911"/>
      <c r="G468" s="908" t="s">
        <v>359</v>
      </c>
      <c r="H468" s="909" t="s">
        <v>2090</v>
      </c>
      <c r="I468" s="910" t="e">
        <f>VLOOKUP(H467,'LƯƠNG KT'!$D$16:$Z$184,4,0)</f>
        <v>#N/A</v>
      </c>
      <c r="J468" s="609" t="e">
        <f>+I468*25000</f>
        <v>#N/A</v>
      </c>
      <c r="K468" s="934"/>
      <c r="L468" s="935"/>
      <c r="M468" s="935"/>
      <c r="N468" s="935"/>
      <c r="O468" s="935"/>
    </row>
    <row r="469" spans="1:15" ht="15" customHeight="1">
      <c r="A469" s="908" t="s">
        <v>361</v>
      </c>
      <c r="B469" s="909" t="s">
        <v>2091</v>
      </c>
      <c r="C469" s="910" t="e">
        <f>VLOOKUP(B467,'LƯƠNG KT'!$D$16:$Z$184,15,0)</f>
        <v>#N/A</v>
      </c>
      <c r="D469" s="609" t="e">
        <f>C469*$L$4</f>
        <v>#N/A</v>
      </c>
      <c r="E469" s="912"/>
      <c r="F469" s="912"/>
      <c r="G469" s="908" t="s">
        <v>361</v>
      </c>
      <c r="H469" s="909" t="s">
        <v>2091</v>
      </c>
      <c r="I469" s="910" t="e">
        <f>VLOOKUP(H467,'LƯƠNG KT'!$D$16:$Z$184,15,0)</f>
        <v>#N/A</v>
      </c>
      <c r="J469" s="609" t="e">
        <f>I469*$L$4</f>
        <v>#N/A</v>
      </c>
      <c r="K469" s="934"/>
      <c r="L469" s="935"/>
      <c r="M469" s="935"/>
      <c r="N469" s="935"/>
      <c r="O469" s="935"/>
    </row>
    <row r="470" spans="1:15" ht="15" customHeight="1">
      <c r="A470" s="908" t="s">
        <v>364</v>
      </c>
      <c r="B470" s="909" t="s">
        <v>2092</v>
      </c>
      <c r="C470" s="910" t="e">
        <f>VLOOKUP(B467,'LƯƠNG KT'!$D$16:$Z$184,16,0)</f>
        <v>#N/A</v>
      </c>
      <c r="D470" s="609" t="e">
        <f>C470*$L$5</f>
        <v>#N/A</v>
      </c>
      <c r="E470" s="912"/>
      <c r="F470" s="912"/>
      <c r="G470" s="908" t="s">
        <v>364</v>
      </c>
      <c r="H470" s="909" t="s">
        <v>2092</v>
      </c>
      <c r="I470" s="910" t="e">
        <f>VLOOKUP(H467,'LƯƠNG KT'!$D$16:$Z$184,16,0)</f>
        <v>#N/A</v>
      </c>
      <c r="J470" s="609" t="e">
        <f>I470*$L$5</f>
        <v>#N/A</v>
      </c>
      <c r="K470" s="934"/>
      <c r="L470" s="935"/>
      <c r="M470" s="935"/>
      <c r="N470" s="935"/>
      <c r="O470" s="935"/>
    </row>
    <row r="471" spans="1:15" ht="15" customHeight="1">
      <c r="A471" s="908" t="s">
        <v>370</v>
      </c>
      <c r="B471" s="909" t="s">
        <v>2093</v>
      </c>
      <c r="C471" s="910" t="e">
        <f>VLOOKUP(B467,'LƯƠNG KT'!$D$16:$Z$184,24,0)</f>
        <v>#N/A</v>
      </c>
      <c r="D471" s="609" t="e">
        <f>+C471*$L$6</f>
        <v>#N/A</v>
      </c>
      <c r="E471" s="912"/>
      <c r="F471" s="912"/>
      <c r="G471" s="908" t="s">
        <v>370</v>
      </c>
      <c r="H471" s="909" t="s">
        <v>2093</v>
      </c>
      <c r="I471" s="910" t="e">
        <f>VLOOKUP(H467,'LƯƠNG KT'!$D$16:$Z$184,24,0)</f>
        <v>#N/A</v>
      </c>
      <c r="J471" s="609" t="e">
        <f>+I471*$L$6</f>
        <v>#N/A</v>
      </c>
      <c r="K471" s="935"/>
      <c r="L471" s="935"/>
      <c r="M471" s="935"/>
      <c r="N471" s="935"/>
      <c r="O471" s="935"/>
    </row>
    <row r="472" spans="1:15" ht="15" customHeight="1">
      <c r="A472" s="908" t="s">
        <v>2094</v>
      </c>
      <c r="B472" s="909" t="s">
        <v>2095</v>
      </c>
      <c r="C472" s="910" t="e">
        <f>VLOOKUP(B467,'LƯƠNG KT'!$D$16:$Z$184,19,0)</f>
        <v>#N/A</v>
      </c>
      <c r="D472" s="609" t="e">
        <f>+C472*$L$8</f>
        <v>#N/A</v>
      </c>
      <c r="E472" s="912"/>
      <c r="F472" s="912"/>
      <c r="G472" s="908" t="s">
        <v>2094</v>
      </c>
      <c r="H472" s="909" t="s">
        <v>2095</v>
      </c>
      <c r="I472" s="910" t="e">
        <f>VLOOKUP(H467,'LƯƠNG KT'!$D$16:$Z$184,19,0)</f>
        <v>#N/A</v>
      </c>
      <c r="J472" s="609" t="e">
        <f>+I472*$L$8</f>
        <v>#N/A</v>
      </c>
      <c r="K472" s="935"/>
      <c r="L472" s="935"/>
      <c r="M472" s="935"/>
      <c r="N472" s="935"/>
      <c r="O472" s="935"/>
    </row>
    <row r="473" spans="1:15" ht="15" customHeight="1">
      <c r="A473" s="908" t="s">
        <v>2096</v>
      </c>
      <c r="B473" s="913" t="s">
        <v>2097</v>
      </c>
      <c r="C473" s="910" t="e">
        <f>VLOOKUP(B467,'LƯƠNG KT'!$D$16:$Z$184,20,0)</f>
        <v>#N/A</v>
      </c>
      <c r="D473" s="609" t="e">
        <f>+C473*$L$9</f>
        <v>#N/A</v>
      </c>
      <c r="E473" s="912"/>
      <c r="F473" s="912"/>
      <c r="G473" s="908" t="s">
        <v>2096</v>
      </c>
      <c r="H473" s="913" t="s">
        <v>2097</v>
      </c>
      <c r="I473" s="910" t="e">
        <f>VLOOKUP(H467,'LƯƠNG KT'!$D$16:$Z$184,20,0)</f>
        <v>#N/A</v>
      </c>
      <c r="J473" s="609" t="e">
        <f>+I473*$L$9</f>
        <v>#N/A</v>
      </c>
      <c r="K473" s="935"/>
      <c r="L473" s="935"/>
      <c r="M473" s="935"/>
      <c r="N473" s="935"/>
      <c r="O473" s="935"/>
    </row>
    <row r="474" spans="1:15" ht="15" customHeight="1">
      <c r="A474" s="908" t="s">
        <v>2099</v>
      </c>
      <c r="B474" s="909" t="s">
        <v>2100</v>
      </c>
      <c r="C474" s="910" t="e">
        <f>VLOOKUP(B467,'LƯƠNG KT'!$D$16:$Z$184,17,0)</f>
        <v>#N/A</v>
      </c>
      <c r="D474" s="609" t="e">
        <f>+C474*$L$10</f>
        <v>#N/A</v>
      </c>
      <c r="E474" s="912"/>
      <c r="F474" s="912"/>
      <c r="G474" s="908" t="s">
        <v>2099</v>
      </c>
      <c r="H474" s="909" t="s">
        <v>2100</v>
      </c>
      <c r="I474" s="910" t="e">
        <f>VLOOKUP(H467,'LƯƠNG KT'!$D$16:$Z$184,17,0)</f>
        <v>#N/A</v>
      </c>
      <c r="J474" s="609" t="e">
        <f>+I474*$L$10</f>
        <v>#N/A</v>
      </c>
      <c r="K474" s="935"/>
      <c r="L474" s="935"/>
      <c r="M474" s="935"/>
      <c r="N474" s="935"/>
      <c r="O474" s="935"/>
    </row>
    <row r="475" spans="1:15" ht="15" customHeight="1">
      <c r="A475" s="908" t="s">
        <v>374</v>
      </c>
      <c r="B475" s="909" t="s">
        <v>2102</v>
      </c>
      <c r="C475" s="910" t="e">
        <f>VLOOKUP(B467,'LƯƠNG KT'!$D$16:$Z$184,12,0)</f>
        <v>#N/A</v>
      </c>
      <c r="D475" s="609" t="e">
        <f>VLOOKUP(B467,'LƯƠNG KT'!$D$16:$Z$184,14,0)</f>
        <v>#N/A</v>
      </c>
      <c r="E475" s="914"/>
      <c r="F475" s="912"/>
      <c r="G475" s="908" t="s">
        <v>374</v>
      </c>
      <c r="H475" s="909" t="s">
        <v>2102</v>
      </c>
      <c r="I475" s="910" t="e">
        <f>VLOOKUP(H467,'LƯƠNG KT'!$D$16:$Z$184,12,0)</f>
        <v>#N/A</v>
      </c>
      <c r="J475" s="609" t="e">
        <f>VLOOKUP(H467,'LƯƠNG KT'!$D$16:$Z$184,14,0)</f>
        <v>#N/A</v>
      </c>
      <c r="K475" s="935"/>
      <c r="L475" s="935"/>
      <c r="M475" s="935"/>
      <c r="N475" s="935"/>
      <c r="O475" s="935"/>
    </row>
    <row r="476" spans="1:15" ht="15" customHeight="1">
      <c r="A476" s="908" t="s">
        <v>2103</v>
      </c>
      <c r="B476" s="909" t="s">
        <v>2104</v>
      </c>
      <c r="D476" s="915" t="e">
        <f>VLOOKUP(B467,'LƯƠNG KT'!$D$16:$Z$184,13,0)</f>
        <v>#N/A</v>
      </c>
      <c r="E476" s="916"/>
      <c r="F476" s="916"/>
      <c r="G476" s="908" t="s">
        <v>2103</v>
      </c>
      <c r="H476" s="909" t="s">
        <v>2104</v>
      </c>
      <c r="J476" s="915" t="e">
        <f>VLOOKUP(H467,'LƯƠNG KT'!$D$16:$Z$184,13,0)</f>
        <v>#N/A</v>
      </c>
    </row>
    <row r="477" spans="1:15" ht="15" customHeight="1">
      <c r="A477" s="547"/>
      <c r="B477" s="546"/>
      <c r="C477" s="910"/>
      <c r="D477" s="609"/>
      <c r="E477" s="914"/>
      <c r="F477" s="916"/>
      <c r="G477" s="547"/>
      <c r="H477" s="546"/>
      <c r="I477" s="910"/>
      <c r="J477" s="609"/>
    </row>
    <row r="478" spans="1:15" ht="15" customHeight="1">
      <c r="A478" s="905"/>
      <c r="B478" s="546"/>
      <c r="C478" s="910"/>
      <c r="D478" s="609"/>
      <c r="E478" s="917"/>
      <c r="F478" s="904"/>
      <c r="G478" s="905"/>
      <c r="H478" s="546"/>
      <c r="I478" s="910"/>
      <c r="J478" s="609"/>
    </row>
    <row r="479" spans="1:15" ht="15" customHeight="1">
      <c r="A479" s="918" t="s">
        <v>383</v>
      </c>
      <c r="B479" s="919" t="s">
        <v>384</v>
      </c>
      <c r="C479" s="920"/>
      <c r="D479" s="921" t="e">
        <f>SUM(D468:D475)-D478</f>
        <v>#N/A</v>
      </c>
      <c r="E479" s="922"/>
      <c r="F479" s="923"/>
      <c r="G479" s="918" t="s">
        <v>383</v>
      </c>
      <c r="H479" s="919" t="s">
        <v>384</v>
      </c>
      <c r="I479" s="920"/>
      <c r="J479" s="921" t="e">
        <f>SUM(J468:J475)-J478</f>
        <v>#N/A</v>
      </c>
    </row>
    <row r="480" spans="1:15" ht="12.6" customHeight="1">
      <c r="A480" s="924"/>
      <c r="B480" s="925"/>
      <c r="C480" s="926"/>
      <c r="D480" s="927"/>
      <c r="E480" s="927"/>
      <c r="F480" s="928"/>
      <c r="G480" s="924"/>
      <c r="H480" s="925"/>
      <c r="I480" s="926"/>
      <c r="J480" s="927"/>
    </row>
    <row r="481" spans="1:15" ht="12.6" customHeight="1">
      <c r="A481" s="925"/>
      <c r="B481" s="925"/>
      <c r="C481" s="929"/>
      <c r="D481" s="930"/>
      <c r="E481" s="925"/>
      <c r="F481" s="931"/>
      <c r="G481" s="925"/>
      <c r="H481" s="925"/>
      <c r="I481" s="929"/>
      <c r="J481" s="930"/>
    </row>
    <row r="482" spans="1:15" ht="15" customHeight="1">
      <c r="A482" s="2360" t="str">
        <f>$K$2</f>
        <v>THÁNG 04/2025</v>
      </c>
      <c r="B482" s="2360"/>
      <c r="C482" s="2360"/>
      <c r="D482" s="2360"/>
      <c r="E482" s="903"/>
      <c r="F482" s="904"/>
      <c r="G482" s="2360" t="str">
        <f>$K$2</f>
        <v>THÁNG 04/2025</v>
      </c>
      <c r="H482" s="2360"/>
      <c r="I482" s="2360"/>
      <c r="J482" s="2360"/>
      <c r="K482" s="276"/>
    </row>
    <row r="483" spans="1:15" ht="15" customHeight="1">
      <c r="A483" s="905" t="s">
        <v>356</v>
      </c>
      <c r="B483" s="642" t="s">
        <v>432</v>
      </c>
      <c r="C483" s="546"/>
      <c r="D483" s="902"/>
      <c r="E483" s="906"/>
      <c r="F483" s="907"/>
      <c r="G483" s="905" t="s">
        <v>356</v>
      </c>
      <c r="H483" s="642" t="s">
        <v>433</v>
      </c>
      <c r="I483" s="546"/>
      <c r="J483" s="902"/>
      <c r="L483" s="938"/>
      <c r="M483" s="938"/>
      <c r="N483" s="938"/>
      <c r="O483" s="938"/>
    </row>
    <row r="484" spans="1:15" ht="15" customHeight="1">
      <c r="A484" s="908" t="s">
        <v>359</v>
      </c>
      <c r="B484" s="909" t="s">
        <v>2090</v>
      </c>
      <c r="C484" s="910" t="e">
        <f>VLOOKUP(B483,'LƯƠNG KT'!$D$16:$Z$184,4,0)</f>
        <v>#N/A</v>
      </c>
      <c r="D484" s="609" t="e">
        <f>+C484*25000</f>
        <v>#N/A</v>
      </c>
      <c r="E484" s="911"/>
      <c r="F484" s="911"/>
      <c r="G484" s="908" t="s">
        <v>359</v>
      </c>
      <c r="H484" s="909" t="s">
        <v>2090</v>
      </c>
      <c r="I484" s="910" t="e">
        <f>VLOOKUP(H483,'LƯƠNG KT'!$D$16:$Z$184,4,0)</f>
        <v>#N/A</v>
      </c>
      <c r="J484" s="609" t="e">
        <f>+I484*25000</f>
        <v>#N/A</v>
      </c>
      <c r="K484" s="935"/>
      <c r="L484" s="935"/>
      <c r="M484" s="935"/>
      <c r="N484" s="935"/>
      <c r="O484" s="935"/>
    </row>
    <row r="485" spans="1:15" ht="15" customHeight="1">
      <c r="A485" s="908" t="s">
        <v>361</v>
      </c>
      <c r="B485" s="909" t="s">
        <v>2091</v>
      </c>
      <c r="C485" s="910" t="e">
        <f>VLOOKUP(B483,'LƯƠNG KT'!$D$16:$Z$184,15,0)</f>
        <v>#N/A</v>
      </c>
      <c r="D485" s="609" t="e">
        <f>C485*$L$4</f>
        <v>#N/A</v>
      </c>
      <c r="E485" s="912"/>
      <c r="F485" s="912"/>
      <c r="G485" s="908" t="s">
        <v>361</v>
      </c>
      <c r="H485" s="909" t="s">
        <v>2091</v>
      </c>
      <c r="I485" s="910" t="e">
        <f>VLOOKUP(H483,'LƯƠNG KT'!$D$16:$Z$184,15,0)</f>
        <v>#N/A</v>
      </c>
      <c r="J485" s="609" t="e">
        <f>I485*$L$4</f>
        <v>#N/A</v>
      </c>
      <c r="K485" s="935"/>
      <c r="L485" s="935"/>
      <c r="M485" s="935"/>
      <c r="N485" s="935"/>
      <c r="O485" s="935"/>
    </row>
    <row r="486" spans="1:15" ht="15" customHeight="1">
      <c r="A486" s="908" t="s">
        <v>364</v>
      </c>
      <c r="B486" s="909" t="s">
        <v>2092</v>
      </c>
      <c r="C486" s="910" t="e">
        <f>VLOOKUP(B483,'LƯƠNG KT'!$D$16:$Z$184,16,0)</f>
        <v>#N/A</v>
      </c>
      <c r="D486" s="609" t="e">
        <f>C486*$L$5</f>
        <v>#N/A</v>
      </c>
      <c r="E486" s="912"/>
      <c r="F486" s="912"/>
      <c r="G486" s="908" t="s">
        <v>364</v>
      </c>
      <c r="H486" s="909" t="s">
        <v>2092</v>
      </c>
      <c r="I486" s="910" t="e">
        <f>VLOOKUP(H483,'LƯƠNG KT'!$D$16:$Z$184,16,0)</f>
        <v>#N/A</v>
      </c>
      <c r="J486" s="609" t="e">
        <f>I486*$L$5</f>
        <v>#N/A</v>
      </c>
      <c r="K486" s="935"/>
      <c r="L486" s="935"/>
      <c r="M486" s="935"/>
      <c r="N486" s="935"/>
      <c r="O486" s="935"/>
    </row>
    <row r="487" spans="1:15" ht="15" customHeight="1">
      <c r="A487" s="908" t="s">
        <v>370</v>
      </c>
      <c r="B487" s="909" t="s">
        <v>2093</v>
      </c>
      <c r="C487" s="910" t="e">
        <f>VLOOKUP(B483,'LƯƠNG KT'!$D$16:$Z$184,24,0)</f>
        <v>#N/A</v>
      </c>
      <c r="D487" s="609" t="e">
        <f>+C487*$L$6</f>
        <v>#N/A</v>
      </c>
      <c r="E487" s="912"/>
      <c r="F487" s="912"/>
      <c r="G487" s="908" t="s">
        <v>370</v>
      </c>
      <c r="H487" s="909" t="s">
        <v>2093</v>
      </c>
      <c r="I487" s="910" t="e">
        <f>VLOOKUP(H483,'LƯƠNG KT'!$D$16:$Z$184,24,0)</f>
        <v>#N/A</v>
      </c>
      <c r="J487" s="609" t="e">
        <f>+I487*$L$6</f>
        <v>#N/A</v>
      </c>
      <c r="K487" s="935"/>
      <c r="L487" s="935"/>
      <c r="M487" s="935"/>
      <c r="N487" s="935"/>
      <c r="O487" s="935"/>
    </row>
    <row r="488" spans="1:15" ht="15" customHeight="1">
      <c r="A488" s="908" t="s">
        <v>2094</v>
      </c>
      <c r="B488" s="909" t="s">
        <v>2095</v>
      </c>
      <c r="C488" s="910" t="e">
        <f>VLOOKUP(B483,'LƯƠNG KT'!$D$16:$Z$184,19,0)</f>
        <v>#N/A</v>
      </c>
      <c r="D488" s="609" t="e">
        <f>+C488*$L$8</f>
        <v>#N/A</v>
      </c>
      <c r="E488" s="912"/>
      <c r="F488" s="912"/>
      <c r="G488" s="908" t="s">
        <v>2094</v>
      </c>
      <c r="H488" s="909" t="s">
        <v>2095</v>
      </c>
      <c r="I488" s="910" t="e">
        <f>VLOOKUP(H483,'LƯƠNG KT'!$D$16:$Z$184,19,0)</f>
        <v>#N/A</v>
      </c>
      <c r="J488" s="609" t="e">
        <f>+I488*$L$8</f>
        <v>#N/A</v>
      </c>
      <c r="K488" s="935"/>
      <c r="L488" s="935"/>
      <c r="M488" s="935"/>
      <c r="N488" s="935"/>
      <c r="O488" s="935"/>
    </row>
    <row r="489" spans="1:15" ht="15" customHeight="1">
      <c r="A489" s="908" t="s">
        <v>2096</v>
      </c>
      <c r="B489" s="913" t="s">
        <v>2097</v>
      </c>
      <c r="C489" s="910" t="e">
        <f>VLOOKUP(B483,'LƯƠNG KT'!$D$16:$Z$184,20,0)</f>
        <v>#N/A</v>
      </c>
      <c r="D489" s="609" t="e">
        <f>+C489*$L$9</f>
        <v>#N/A</v>
      </c>
      <c r="E489" s="912"/>
      <c r="F489" s="912"/>
      <c r="G489" s="908" t="s">
        <v>2096</v>
      </c>
      <c r="H489" s="913" t="s">
        <v>2097</v>
      </c>
      <c r="I489" s="910" t="e">
        <f>VLOOKUP(H483,'LƯƠNG KT'!$D$16:$Z$184,20,0)</f>
        <v>#N/A</v>
      </c>
      <c r="J489" s="609" t="e">
        <f>+I489*$L$9</f>
        <v>#N/A</v>
      </c>
      <c r="K489" s="935"/>
      <c r="L489" s="935"/>
      <c r="M489" s="935"/>
      <c r="N489" s="935"/>
      <c r="O489" s="935"/>
    </row>
    <row r="490" spans="1:15" ht="15" customHeight="1">
      <c r="A490" s="908" t="s">
        <v>2099</v>
      </c>
      <c r="B490" s="909" t="s">
        <v>2100</v>
      </c>
      <c r="C490" s="910" t="e">
        <f>VLOOKUP(B483,'LƯƠNG KT'!$D$16:$Z$184,17,0)</f>
        <v>#N/A</v>
      </c>
      <c r="D490" s="609" t="e">
        <f>+C490*$L$10</f>
        <v>#N/A</v>
      </c>
      <c r="E490" s="912"/>
      <c r="F490" s="912"/>
      <c r="G490" s="908" t="s">
        <v>2099</v>
      </c>
      <c r="H490" s="909" t="s">
        <v>2100</v>
      </c>
      <c r="I490" s="910" t="e">
        <f>VLOOKUP(H483,'LƯƠNG KT'!$D$16:$Z$184,17,0)</f>
        <v>#N/A</v>
      </c>
      <c r="J490" s="609" t="e">
        <f>+I490*$L$10</f>
        <v>#N/A</v>
      </c>
      <c r="K490" s="935"/>
      <c r="L490" s="935"/>
      <c r="M490" s="935"/>
      <c r="N490" s="935"/>
      <c r="O490" s="935"/>
    </row>
    <row r="491" spans="1:15" ht="15" customHeight="1">
      <c r="A491" s="908" t="s">
        <v>374</v>
      </c>
      <c r="B491" s="909" t="s">
        <v>2102</v>
      </c>
      <c r="C491" s="910" t="e">
        <f>VLOOKUP(B483,'LƯƠNG KT'!$D$16:$Z$184,12,0)</f>
        <v>#N/A</v>
      </c>
      <c r="D491" s="609" t="e">
        <f>VLOOKUP(B483,'LƯƠNG KT'!$D$16:$Z$184,14,0)</f>
        <v>#N/A</v>
      </c>
      <c r="E491" s="914"/>
      <c r="F491" s="912"/>
      <c r="G491" s="908" t="s">
        <v>374</v>
      </c>
      <c r="H491" s="909" t="s">
        <v>2102</v>
      </c>
      <c r="I491" s="910" t="e">
        <f>VLOOKUP(H483,'LƯƠNG KT'!$D$16:$Z$184,12,0)</f>
        <v>#N/A</v>
      </c>
      <c r="J491" s="609" t="e">
        <f>VLOOKUP(H483,'LƯƠNG KT'!$D$16:$Z$184,14,0)</f>
        <v>#N/A</v>
      </c>
      <c r="K491" s="935"/>
      <c r="L491" s="935"/>
      <c r="M491" s="935"/>
      <c r="N491" s="935"/>
      <c r="O491" s="935"/>
    </row>
    <row r="492" spans="1:15" ht="15" customHeight="1">
      <c r="A492" s="908" t="s">
        <v>2103</v>
      </c>
      <c r="B492" s="909" t="s">
        <v>2104</v>
      </c>
      <c r="D492" s="915" t="e">
        <f>VLOOKUP(B483,'LƯƠNG KT'!$D$16:$Z$184,13,0)</f>
        <v>#N/A</v>
      </c>
      <c r="E492" s="916"/>
      <c r="F492" s="916"/>
      <c r="G492" s="908" t="s">
        <v>2103</v>
      </c>
      <c r="H492" s="909" t="s">
        <v>2104</v>
      </c>
      <c r="J492" s="915" t="e">
        <f>VLOOKUP(H483,'LƯƠNG KT'!$D$16:$Z$184,13,0)</f>
        <v>#N/A</v>
      </c>
    </row>
    <row r="493" spans="1:15" ht="15" customHeight="1">
      <c r="A493" s="547"/>
      <c r="B493" s="546"/>
      <c r="C493" s="910"/>
      <c r="D493" s="609"/>
      <c r="E493" s="914"/>
      <c r="F493" s="916"/>
      <c r="G493" s="547"/>
      <c r="H493" s="546"/>
      <c r="I493" s="910"/>
      <c r="J493" s="609"/>
    </row>
    <row r="494" spans="1:15" ht="15" customHeight="1">
      <c r="A494" s="905"/>
      <c r="B494" s="546"/>
      <c r="C494" s="910"/>
      <c r="D494" s="609"/>
      <c r="E494" s="917"/>
      <c r="F494" s="904"/>
      <c r="G494" s="905"/>
      <c r="H494" s="546"/>
      <c r="I494" s="910"/>
      <c r="J494" s="609"/>
    </row>
    <row r="495" spans="1:15" ht="15" customHeight="1">
      <c r="A495" s="918" t="s">
        <v>383</v>
      </c>
      <c r="B495" s="919" t="s">
        <v>384</v>
      </c>
      <c r="C495" s="920"/>
      <c r="D495" s="921" t="e">
        <f>SUM(D484:D491)-D494</f>
        <v>#N/A</v>
      </c>
      <c r="E495" s="922"/>
      <c r="F495" s="923"/>
      <c r="G495" s="918" t="s">
        <v>383</v>
      </c>
      <c r="H495" s="919" t="s">
        <v>384</v>
      </c>
      <c r="I495" s="920"/>
      <c r="J495" s="921" t="e">
        <f>SUM(J484:J491)-J494</f>
        <v>#N/A</v>
      </c>
    </row>
    <row r="496" spans="1:15" ht="18.75" customHeight="1">
      <c r="A496" s="924"/>
      <c r="B496" s="925"/>
      <c r="C496" s="926"/>
      <c r="D496" s="927"/>
      <c r="E496" s="927"/>
      <c r="F496" s="928"/>
      <c r="G496" s="924"/>
      <c r="H496" s="925"/>
      <c r="I496" s="926"/>
      <c r="J496" s="927"/>
    </row>
    <row r="497" spans="1:15" ht="18.75" customHeight="1">
      <c r="A497" s="925"/>
      <c r="B497" s="925"/>
      <c r="C497" s="929"/>
      <c r="D497" s="930"/>
      <c r="E497" s="925"/>
      <c r="F497" s="931"/>
      <c r="G497" s="925"/>
      <c r="H497" s="925"/>
      <c r="I497" s="929"/>
      <c r="J497" s="930"/>
    </row>
    <row r="498" spans="1:15" ht="15" customHeight="1">
      <c r="A498" s="2360" t="str">
        <f>$K$2</f>
        <v>THÁNG 04/2025</v>
      </c>
      <c r="B498" s="2360"/>
      <c r="C498" s="2360"/>
      <c r="D498" s="2360"/>
      <c r="E498" s="903"/>
      <c r="F498" s="904"/>
      <c r="G498" s="2360" t="str">
        <f>$K$2</f>
        <v>THÁNG 04/2025</v>
      </c>
      <c r="H498" s="2360"/>
      <c r="I498" s="2360"/>
      <c r="J498" s="2360"/>
      <c r="K498" s="276"/>
    </row>
    <row r="499" spans="1:15" ht="15" customHeight="1">
      <c r="A499" s="905" t="s">
        <v>356</v>
      </c>
      <c r="B499" s="642" t="s">
        <v>434</v>
      </c>
      <c r="C499" s="546"/>
      <c r="D499" s="902"/>
      <c r="E499" s="906"/>
      <c r="F499" s="907"/>
      <c r="G499" s="905" t="s">
        <v>356</v>
      </c>
      <c r="H499" s="642" t="s">
        <v>435</v>
      </c>
      <c r="I499" s="546"/>
      <c r="J499" s="902"/>
      <c r="L499" s="938"/>
      <c r="M499" s="938"/>
      <c r="N499" s="938"/>
      <c r="O499" s="938"/>
    </row>
    <row r="500" spans="1:15" ht="15" customHeight="1">
      <c r="A500" s="908" t="s">
        <v>359</v>
      </c>
      <c r="B500" s="909" t="s">
        <v>2090</v>
      </c>
      <c r="C500" s="910" t="e">
        <f>VLOOKUP(B499,'LƯƠNG KT'!$D$16:$Z$184,4,0)</f>
        <v>#N/A</v>
      </c>
      <c r="D500" s="609" t="e">
        <f>+C500*25000</f>
        <v>#N/A</v>
      </c>
      <c r="E500" s="911"/>
      <c r="F500" s="911"/>
      <c r="G500" s="908" t="s">
        <v>359</v>
      </c>
      <c r="H500" s="909" t="s">
        <v>2090</v>
      </c>
      <c r="I500" s="910" t="e">
        <f>VLOOKUP(H499,'LƯƠNG KT'!$D$16:$Z$184,4,0)</f>
        <v>#N/A</v>
      </c>
      <c r="J500" s="609" t="e">
        <f>+I500*25000</f>
        <v>#N/A</v>
      </c>
      <c r="K500" s="935"/>
      <c r="L500" s="935"/>
      <c r="M500" s="935"/>
      <c r="N500" s="935"/>
      <c r="O500" s="935"/>
    </row>
    <row r="501" spans="1:15" ht="15" customHeight="1">
      <c r="A501" s="908" t="s">
        <v>361</v>
      </c>
      <c r="B501" s="909" t="s">
        <v>2091</v>
      </c>
      <c r="C501" s="910" t="e">
        <f>VLOOKUP(B499,'LƯƠNG KT'!$D$16:$Z$184,15,0)</f>
        <v>#N/A</v>
      </c>
      <c r="D501" s="609" t="e">
        <f>C501*$L$4</f>
        <v>#N/A</v>
      </c>
      <c r="E501" s="912"/>
      <c r="F501" s="912"/>
      <c r="G501" s="908" t="s">
        <v>361</v>
      </c>
      <c r="H501" s="909" t="s">
        <v>2091</v>
      </c>
      <c r="I501" s="910" t="e">
        <f>VLOOKUP(H499,'LƯƠNG KT'!$D$16:$Z$184,15,0)</f>
        <v>#N/A</v>
      </c>
      <c r="J501" s="609" t="e">
        <f>I501*$L$4</f>
        <v>#N/A</v>
      </c>
      <c r="K501" s="935"/>
      <c r="L501" s="935"/>
      <c r="M501" s="935"/>
      <c r="N501" s="935"/>
      <c r="O501" s="935"/>
    </row>
    <row r="502" spans="1:15" ht="15" customHeight="1">
      <c r="A502" s="908" t="s">
        <v>364</v>
      </c>
      <c r="B502" s="909" t="s">
        <v>2092</v>
      </c>
      <c r="C502" s="910" t="e">
        <f>VLOOKUP(B499,'LƯƠNG KT'!$D$16:$Z$184,16,0)</f>
        <v>#N/A</v>
      </c>
      <c r="D502" s="609" t="e">
        <f>C502*$L$5</f>
        <v>#N/A</v>
      </c>
      <c r="E502" s="912"/>
      <c r="F502" s="912"/>
      <c r="G502" s="908" t="s">
        <v>364</v>
      </c>
      <c r="H502" s="909" t="s">
        <v>2092</v>
      </c>
      <c r="I502" s="910" t="e">
        <f>VLOOKUP(H499,'LƯƠNG KT'!$D$16:$Z$184,16,0)</f>
        <v>#N/A</v>
      </c>
      <c r="J502" s="609" t="e">
        <f>I502*$L$5</f>
        <v>#N/A</v>
      </c>
      <c r="K502" s="935"/>
      <c r="L502" s="935"/>
      <c r="M502" s="935"/>
      <c r="N502" s="935"/>
      <c r="O502" s="935"/>
    </row>
    <row r="503" spans="1:15" ht="15" customHeight="1">
      <c r="A503" s="908" t="s">
        <v>370</v>
      </c>
      <c r="B503" s="909" t="s">
        <v>2093</v>
      </c>
      <c r="C503" s="910" t="e">
        <f>VLOOKUP(B499,'LƯƠNG KT'!$D$16:$Z$184,24,0)</f>
        <v>#N/A</v>
      </c>
      <c r="D503" s="609" t="e">
        <f>+C503*$L$6</f>
        <v>#N/A</v>
      </c>
      <c r="E503" s="912"/>
      <c r="F503" s="912"/>
      <c r="G503" s="908" t="s">
        <v>370</v>
      </c>
      <c r="H503" s="909" t="s">
        <v>2093</v>
      </c>
      <c r="I503" s="910" t="e">
        <f>VLOOKUP(H499,'LƯƠNG KT'!$D$16:$Z$184,24,0)</f>
        <v>#N/A</v>
      </c>
      <c r="J503" s="609" t="e">
        <f>+I503*$L$6</f>
        <v>#N/A</v>
      </c>
      <c r="K503" s="935"/>
      <c r="L503" s="935"/>
      <c r="M503" s="935"/>
      <c r="N503" s="935"/>
      <c r="O503" s="935"/>
    </row>
    <row r="504" spans="1:15" ht="15" customHeight="1">
      <c r="A504" s="908" t="s">
        <v>2094</v>
      </c>
      <c r="B504" s="909" t="s">
        <v>2095</v>
      </c>
      <c r="C504" s="910" t="e">
        <f>VLOOKUP(B499,'LƯƠNG KT'!$D$16:$Z$184,19,0)</f>
        <v>#N/A</v>
      </c>
      <c r="D504" s="609" t="e">
        <f>+C504*$L$8</f>
        <v>#N/A</v>
      </c>
      <c r="E504" s="912"/>
      <c r="F504" s="912"/>
      <c r="G504" s="908" t="s">
        <v>2094</v>
      </c>
      <c r="H504" s="909" t="s">
        <v>2095</v>
      </c>
      <c r="I504" s="910" t="e">
        <f>VLOOKUP(H499,'LƯƠNG KT'!$D$16:$Z$184,19,0)</f>
        <v>#N/A</v>
      </c>
      <c r="J504" s="609" t="e">
        <f>+I504*$L$8</f>
        <v>#N/A</v>
      </c>
      <c r="K504" s="935"/>
      <c r="L504" s="935"/>
      <c r="M504" s="935"/>
      <c r="N504" s="935"/>
      <c r="O504" s="935"/>
    </row>
    <row r="505" spans="1:15" ht="15" customHeight="1">
      <c r="A505" s="908" t="s">
        <v>2096</v>
      </c>
      <c r="B505" s="913" t="s">
        <v>2097</v>
      </c>
      <c r="C505" s="910" t="e">
        <f>VLOOKUP(B499,'LƯƠNG KT'!$D$16:$Z$184,20,0)</f>
        <v>#N/A</v>
      </c>
      <c r="D505" s="609" t="e">
        <f>+C505*$L$9</f>
        <v>#N/A</v>
      </c>
      <c r="E505" s="912"/>
      <c r="F505" s="912"/>
      <c r="G505" s="908" t="s">
        <v>2096</v>
      </c>
      <c r="H505" s="913" t="s">
        <v>2097</v>
      </c>
      <c r="I505" s="910" t="e">
        <f>VLOOKUP(H499,'LƯƠNG KT'!$D$16:$Z$184,20,0)</f>
        <v>#N/A</v>
      </c>
      <c r="J505" s="609" t="e">
        <f>+I505*$L$9</f>
        <v>#N/A</v>
      </c>
      <c r="K505" s="935"/>
      <c r="L505" s="935"/>
      <c r="M505" s="935"/>
      <c r="N505" s="935"/>
      <c r="O505" s="935"/>
    </row>
    <row r="506" spans="1:15" ht="15" customHeight="1">
      <c r="A506" s="908" t="s">
        <v>2099</v>
      </c>
      <c r="B506" s="909" t="s">
        <v>2100</v>
      </c>
      <c r="C506" s="910" t="e">
        <f>VLOOKUP(B499,'LƯƠNG KT'!$D$16:$Z$184,17,0)</f>
        <v>#N/A</v>
      </c>
      <c r="D506" s="609" t="e">
        <f>+C506*$L$10</f>
        <v>#N/A</v>
      </c>
      <c r="E506" s="912"/>
      <c r="F506" s="912"/>
      <c r="G506" s="908" t="s">
        <v>2099</v>
      </c>
      <c r="H506" s="909" t="s">
        <v>2100</v>
      </c>
      <c r="I506" s="910" t="e">
        <f>VLOOKUP(H499,'LƯƠNG KT'!$D$16:$Z$184,17,0)</f>
        <v>#N/A</v>
      </c>
      <c r="J506" s="609" t="e">
        <f>+I506*$L$10</f>
        <v>#N/A</v>
      </c>
      <c r="K506" s="935"/>
      <c r="L506" s="935"/>
      <c r="M506" s="935"/>
      <c r="N506" s="935"/>
      <c r="O506" s="935"/>
    </row>
    <row r="507" spans="1:15" ht="15" customHeight="1">
      <c r="A507" s="908" t="s">
        <v>374</v>
      </c>
      <c r="B507" s="909" t="s">
        <v>2102</v>
      </c>
      <c r="C507" s="910" t="e">
        <f>VLOOKUP(B499,'LƯƠNG KT'!$D$16:$Z$184,12,0)</f>
        <v>#N/A</v>
      </c>
      <c r="D507" s="609" t="e">
        <f>VLOOKUP(B499,'LƯƠNG KT'!$D$16:$Z$184,14,0)</f>
        <v>#N/A</v>
      </c>
      <c r="E507" s="914"/>
      <c r="F507" s="912"/>
      <c r="G507" s="908" t="s">
        <v>374</v>
      </c>
      <c r="H507" s="909" t="s">
        <v>2102</v>
      </c>
      <c r="I507" s="910" t="e">
        <f>VLOOKUP(H499,'LƯƠNG KT'!$D$16:$Z$184,12,0)</f>
        <v>#N/A</v>
      </c>
      <c r="J507" s="609" t="e">
        <f>VLOOKUP(H499,'LƯƠNG KT'!$D$16:$Z$184,14,0)</f>
        <v>#N/A</v>
      </c>
      <c r="K507" s="935"/>
      <c r="L507" s="935"/>
      <c r="M507" s="935"/>
      <c r="N507" s="935"/>
      <c r="O507" s="935"/>
    </row>
    <row r="508" spans="1:15" ht="15" customHeight="1">
      <c r="A508" s="908" t="s">
        <v>2103</v>
      </c>
      <c r="B508" s="909" t="s">
        <v>2104</v>
      </c>
      <c r="D508" s="915" t="e">
        <f>VLOOKUP(B499,'LƯƠNG KT'!$D$16:$Z$184,13,0)</f>
        <v>#N/A</v>
      </c>
      <c r="E508" s="916"/>
      <c r="F508" s="916"/>
      <c r="G508" s="908" t="s">
        <v>2103</v>
      </c>
      <c r="H508" s="909" t="s">
        <v>2104</v>
      </c>
      <c r="J508" s="915" t="e">
        <f>VLOOKUP(H499,'LƯƠNG KT'!$D$16:$Z$184,13,0)</f>
        <v>#N/A</v>
      </c>
    </row>
    <row r="509" spans="1:15" ht="15" customHeight="1">
      <c r="A509" s="547"/>
      <c r="B509" s="546"/>
      <c r="C509" s="910"/>
      <c r="D509" s="609"/>
      <c r="E509" s="914"/>
      <c r="F509" s="916"/>
      <c r="G509" s="547"/>
      <c r="H509" s="546"/>
      <c r="I509" s="910"/>
      <c r="J509" s="609"/>
    </row>
    <row r="510" spans="1:15" ht="15" customHeight="1">
      <c r="A510" s="905"/>
      <c r="B510" s="546"/>
      <c r="C510" s="910"/>
      <c r="D510" s="609"/>
      <c r="E510" s="917"/>
      <c r="F510" s="904"/>
      <c r="G510" s="905"/>
      <c r="H510" s="546"/>
      <c r="I510" s="910"/>
      <c r="J510" s="609"/>
    </row>
    <row r="511" spans="1:15" ht="15" customHeight="1">
      <c r="A511" s="918" t="s">
        <v>383</v>
      </c>
      <c r="B511" s="919" t="s">
        <v>384</v>
      </c>
      <c r="C511" s="920"/>
      <c r="D511" s="921" t="e">
        <f>SUM(D500:D507)-D510</f>
        <v>#N/A</v>
      </c>
      <c r="E511" s="922"/>
      <c r="F511" s="923"/>
      <c r="G511" s="918" t="s">
        <v>383</v>
      </c>
      <c r="H511" s="919" t="s">
        <v>384</v>
      </c>
      <c r="I511" s="920"/>
      <c r="J511" s="921" t="e">
        <f>SUM(J500:J507)-J510</f>
        <v>#N/A</v>
      </c>
    </row>
    <row r="512" spans="1:15" ht="18.75" customHeight="1">
      <c r="A512" s="924"/>
      <c r="B512" s="925"/>
      <c r="C512" s="926"/>
      <c r="D512" s="927"/>
      <c r="E512" s="927"/>
      <c r="F512" s="928"/>
      <c r="G512" s="924"/>
      <c r="H512" s="925"/>
      <c r="I512" s="926"/>
      <c r="J512" s="927"/>
    </row>
    <row r="513" spans="1:15" ht="18.75" customHeight="1">
      <c r="A513" s="925"/>
      <c r="B513" s="925"/>
      <c r="C513" s="929"/>
      <c r="D513" s="930"/>
      <c r="E513" s="925"/>
      <c r="F513" s="931"/>
      <c r="G513" s="925"/>
      <c r="H513" s="925"/>
      <c r="I513" s="929"/>
      <c r="J513" s="930"/>
    </row>
    <row r="514" spans="1:15" ht="15" customHeight="1">
      <c r="A514" s="2360" t="str">
        <f>$K$2</f>
        <v>THÁNG 04/2025</v>
      </c>
      <c r="B514" s="2360"/>
      <c r="C514" s="2360"/>
      <c r="D514" s="2360"/>
      <c r="E514" s="903"/>
      <c r="F514" s="904"/>
      <c r="G514" s="2360" t="str">
        <f>$K$2</f>
        <v>THÁNG 04/2025</v>
      </c>
      <c r="H514" s="2360"/>
      <c r="I514" s="2360"/>
      <c r="J514" s="2360"/>
      <c r="K514" s="276"/>
    </row>
    <row r="515" spans="1:15" ht="15" customHeight="1">
      <c r="A515" s="905" t="s">
        <v>356</v>
      </c>
      <c r="B515" s="642" t="s">
        <v>436</v>
      </c>
      <c r="C515" s="546"/>
      <c r="D515" s="902"/>
      <c r="E515" s="906"/>
      <c r="F515" s="907"/>
      <c r="G515" s="905" t="s">
        <v>356</v>
      </c>
      <c r="H515" s="642" t="s">
        <v>437</v>
      </c>
      <c r="I515" s="546"/>
      <c r="J515" s="902"/>
      <c r="L515" s="938"/>
      <c r="M515" s="938"/>
      <c r="N515" s="938"/>
      <c r="O515" s="938"/>
    </row>
    <row r="516" spans="1:15" ht="15" customHeight="1">
      <c r="A516" s="908" t="s">
        <v>359</v>
      </c>
      <c r="B516" s="909" t="s">
        <v>2090</v>
      </c>
      <c r="C516" s="910" t="e">
        <f>VLOOKUP(B515,'LƯƠNG KT'!$D$16:$Z$184,4,0)</f>
        <v>#N/A</v>
      </c>
      <c r="D516" s="609" t="e">
        <f>+C516*25000</f>
        <v>#N/A</v>
      </c>
      <c r="E516" s="911"/>
      <c r="F516" s="911"/>
      <c r="G516" s="908" t="s">
        <v>359</v>
      </c>
      <c r="H516" s="909" t="s">
        <v>2090</v>
      </c>
      <c r="I516" s="910" t="e">
        <f>VLOOKUP(H515,'LƯƠNG KT'!$D$16:$Z$184,4,0)</f>
        <v>#N/A</v>
      </c>
      <c r="J516" s="609" t="e">
        <f>+I516*25000</f>
        <v>#N/A</v>
      </c>
      <c r="K516" s="935"/>
      <c r="L516" s="935"/>
      <c r="M516" s="935"/>
      <c r="N516" s="935"/>
      <c r="O516" s="935"/>
    </row>
    <row r="517" spans="1:15" ht="15" customHeight="1">
      <c r="A517" s="908" t="s">
        <v>361</v>
      </c>
      <c r="B517" s="909" t="s">
        <v>2091</v>
      </c>
      <c r="C517" s="910" t="e">
        <f>VLOOKUP(B515,'LƯƠNG KT'!$D$16:$Z$184,15,0)</f>
        <v>#N/A</v>
      </c>
      <c r="D517" s="609" t="e">
        <f>C517*$L$4</f>
        <v>#N/A</v>
      </c>
      <c r="E517" s="912"/>
      <c r="F517" s="912"/>
      <c r="G517" s="908" t="s">
        <v>361</v>
      </c>
      <c r="H517" s="909" t="s">
        <v>2091</v>
      </c>
      <c r="I517" s="910" t="e">
        <f>VLOOKUP(H515,'LƯƠNG KT'!$D$16:$Z$184,15,0)</f>
        <v>#N/A</v>
      </c>
      <c r="J517" s="609" t="e">
        <f>I517*$L$4</f>
        <v>#N/A</v>
      </c>
      <c r="K517" s="935"/>
      <c r="L517" s="935"/>
      <c r="M517" s="935"/>
      <c r="N517" s="935"/>
      <c r="O517" s="935"/>
    </row>
    <row r="518" spans="1:15" ht="15" customHeight="1">
      <c r="A518" s="908" t="s">
        <v>364</v>
      </c>
      <c r="B518" s="909" t="s">
        <v>2092</v>
      </c>
      <c r="C518" s="910" t="e">
        <f>VLOOKUP(B515,'LƯƠNG KT'!$D$16:$Z$184,16,0)</f>
        <v>#N/A</v>
      </c>
      <c r="D518" s="609" t="e">
        <f>C518*$L$5</f>
        <v>#N/A</v>
      </c>
      <c r="E518" s="912"/>
      <c r="F518" s="912"/>
      <c r="G518" s="908" t="s">
        <v>364</v>
      </c>
      <c r="H518" s="909" t="s">
        <v>2092</v>
      </c>
      <c r="I518" s="910" t="e">
        <f>VLOOKUP(H515,'LƯƠNG KT'!$D$16:$Z$184,16,0)</f>
        <v>#N/A</v>
      </c>
      <c r="J518" s="609" t="e">
        <f>I518*$L$5</f>
        <v>#N/A</v>
      </c>
      <c r="K518" s="935"/>
      <c r="L518" s="935"/>
      <c r="M518" s="935"/>
      <c r="N518" s="935"/>
      <c r="O518" s="935"/>
    </row>
    <row r="519" spans="1:15" ht="15" customHeight="1">
      <c r="A519" s="908" t="s">
        <v>370</v>
      </c>
      <c r="B519" s="909" t="s">
        <v>2093</v>
      </c>
      <c r="C519" s="910" t="e">
        <f>VLOOKUP(B515,'LƯƠNG KT'!$D$16:$Z$184,24,0)</f>
        <v>#N/A</v>
      </c>
      <c r="D519" s="609" t="e">
        <f>+C519*$L$6</f>
        <v>#N/A</v>
      </c>
      <c r="E519" s="912"/>
      <c r="F519" s="912"/>
      <c r="G519" s="908" t="s">
        <v>370</v>
      </c>
      <c r="H519" s="909" t="s">
        <v>2093</v>
      </c>
      <c r="I519" s="910" t="e">
        <f>VLOOKUP(H515,'LƯƠNG KT'!$D$16:$Z$184,24,0)</f>
        <v>#N/A</v>
      </c>
      <c r="J519" s="609" t="e">
        <f>+I519*$L$6</f>
        <v>#N/A</v>
      </c>
      <c r="K519" s="935"/>
      <c r="L519" s="935"/>
      <c r="M519" s="935"/>
      <c r="N519" s="935"/>
      <c r="O519" s="935"/>
    </row>
    <row r="520" spans="1:15" ht="15" customHeight="1">
      <c r="A520" s="908" t="s">
        <v>2094</v>
      </c>
      <c r="B520" s="909" t="s">
        <v>2095</v>
      </c>
      <c r="C520" s="910" t="e">
        <f>VLOOKUP(B515,'LƯƠNG KT'!$D$16:$Z$184,19,0)</f>
        <v>#N/A</v>
      </c>
      <c r="D520" s="609" t="e">
        <f>+C520*$L$8</f>
        <v>#N/A</v>
      </c>
      <c r="E520" s="912"/>
      <c r="F520" s="912"/>
      <c r="G520" s="908" t="s">
        <v>2094</v>
      </c>
      <c r="H520" s="909" t="s">
        <v>2095</v>
      </c>
      <c r="I520" s="910" t="e">
        <f>VLOOKUP(H515,'LƯƠNG KT'!$D$16:$Z$184,19,0)</f>
        <v>#N/A</v>
      </c>
      <c r="J520" s="609" t="e">
        <f>+I520*$L$8</f>
        <v>#N/A</v>
      </c>
      <c r="K520" s="935"/>
      <c r="L520" s="935"/>
      <c r="M520" s="935"/>
      <c r="N520" s="935"/>
      <c r="O520" s="935"/>
    </row>
    <row r="521" spans="1:15" ht="15" customHeight="1">
      <c r="A521" s="908" t="s">
        <v>2096</v>
      </c>
      <c r="B521" s="913" t="s">
        <v>2097</v>
      </c>
      <c r="C521" s="910" t="e">
        <f>VLOOKUP(B515,'LƯƠNG KT'!$D$16:$Z$184,20,0)</f>
        <v>#N/A</v>
      </c>
      <c r="D521" s="609" t="e">
        <f>+C521*$L$9</f>
        <v>#N/A</v>
      </c>
      <c r="E521" s="912"/>
      <c r="F521" s="912"/>
      <c r="G521" s="908" t="s">
        <v>2096</v>
      </c>
      <c r="H521" s="913" t="s">
        <v>2097</v>
      </c>
      <c r="I521" s="910" t="e">
        <f>VLOOKUP(H515,'LƯƠNG KT'!$D$16:$Z$184,20,0)</f>
        <v>#N/A</v>
      </c>
      <c r="J521" s="609" t="e">
        <f>+I521*$L$9</f>
        <v>#N/A</v>
      </c>
      <c r="K521" s="935"/>
      <c r="L521" s="935"/>
      <c r="M521" s="935"/>
      <c r="N521" s="935"/>
      <c r="O521" s="935"/>
    </row>
    <row r="522" spans="1:15" ht="15" customHeight="1">
      <c r="A522" s="908" t="s">
        <v>2099</v>
      </c>
      <c r="B522" s="909" t="s">
        <v>2100</v>
      </c>
      <c r="C522" s="910" t="e">
        <f>VLOOKUP(B515,'LƯƠNG KT'!$D$16:$Z$184,17,0)</f>
        <v>#N/A</v>
      </c>
      <c r="D522" s="609" t="e">
        <f>+C522*$L$10</f>
        <v>#N/A</v>
      </c>
      <c r="E522" s="912"/>
      <c r="F522" s="912"/>
      <c r="G522" s="908" t="s">
        <v>2099</v>
      </c>
      <c r="H522" s="909" t="s">
        <v>2100</v>
      </c>
      <c r="I522" s="910" t="e">
        <f>VLOOKUP(H515,'LƯƠNG KT'!$D$16:$Z$184,17,0)</f>
        <v>#N/A</v>
      </c>
      <c r="J522" s="609" t="e">
        <f>+I522*$L$10</f>
        <v>#N/A</v>
      </c>
      <c r="K522" s="935"/>
      <c r="L522" s="935"/>
      <c r="M522" s="935"/>
      <c r="N522" s="935"/>
      <c r="O522" s="935"/>
    </row>
    <row r="523" spans="1:15" ht="15" customHeight="1">
      <c r="A523" s="908" t="s">
        <v>374</v>
      </c>
      <c r="B523" s="909" t="s">
        <v>2102</v>
      </c>
      <c r="C523" s="910" t="e">
        <f>VLOOKUP(B515,'LƯƠNG KT'!$D$16:$Z$184,12,0)</f>
        <v>#N/A</v>
      </c>
      <c r="D523" s="609" t="e">
        <f>VLOOKUP(B515,'LƯƠNG KT'!$D$16:$Z$184,14,0)</f>
        <v>#N/A</v>
      </c>
      <c r="E523" s="914"/>
      <c r="F523" s="912"/>
      <c r="G523" s="908" t="s">
        <v>374</v>
      </c>
      <c r="H523" s="909" t="s">
        <v>2102</v>
      </c>
      <c r="I523" s="910" t="e">
        <f>VLOOKUP(H515,'LƯƠNG KT'!$D$16:$Z$184,12,0)</f>
        <v>#N/A</v>
      </c>
      <c r="J523" s="609" t="e">
        <f>VLOOKUP(H515,'LƯƠNG KT'!$D$16:$Z$184,14,0)</f>
        <v>#N/A</v>
      </c>
      <c r="K523" s="935"/>
      <c r="L523" s="935"/>
      <c r="M523" s="935"/>
      <c r="N523" s="935"/>
      <c r="O523" s="935"/>
    </row>
    <row r="524" spans="1:15" ht="15" customHeight="1">
      <c r="A524" s="908" t="s">
        <v>2103</v>
      </c>
      <c r="B524" s="909" t="s">
        <v>2104</v>
      </c>
      <c r="D524" s="915" t="e">
        <f>VLOOKUP(B515,'LƯƠNG KT'!$D$16:$Z$184,13,0)</f>
        <v>#N/A</v>
      </c>
      <c r="E524" s="916"/>
      <c r="F524" s="916"/>
      <c r="G524" s="908" t="s">
        <v>2103</v>
      </c>
      <c r="H524" s="909" t="s">
        <v>2104</v>
      </c>
      <c r="J524" s="915" t="e">
        <f>VLOOKUP(H515,'LƯƠNG KT'!$D$16:$Z$184,13,0)</f>
        <v>#N/A</v>
      </c>
    </row>
    <row r="525" spans="1:15" ht="15" customHeight="1">
      <c r="A525" s="547"/>
      <c r="B525" s="546"/>
      <c r="C525" s="910"/>
      <c r="D525" s="609"/>
      <c r="E525" s="914"/>
      <c r="F525" s="916"/>
      <c r="G525" s="547"/>
      <c r="H525" s="546"/>
      <c r="I525" s="910"/>
      <c r="J525" s="609"/>
    </row>
    <row r="526" spans="1:15" ht="15" customHeight="1">
      <c r="A526" s="905"/>
      <c r="B526" s="546"/>
      <c r="C526" s="910"/>
      <c r="D526" s="609"/>
      <c r="E526" s="917"/>
      <c r="F526" s="904"/>
      <c r="G526" s="905"/>
      <c r="H526" s="546"/>
      <c r="I526" s="910"/>
      <c r="J526" s="609"/>
    </row>
    <row r="527" spans="1:15" ht="15" customHeight="1">
      <c r="A527" s="918" t="s">
        <v>383</v>
      </c>
      <c r="B527" s="919" t="s">
        <v>384</v>
      </c>
      <c r="C527" s="920"/>
      <c r="D527" s="921" t="e">
        <f>SUM(D516:D523)-D526</f>
        <v>#N/A</v>
      </c>
      <c r="E527" s="922"/>
      <c r="F527" s="923"/>
      <c r="G527" s="918" t="s">
        <v>383</v>
      </c>
      <c r="H527" s="919" t="s">
        <v>384</v>
      </c>
      <c r="I527" s="920"/>
      <c r="J527" s="921" t="e">
        <f>SUM(J516:J523)-J526</f>
        <v>#N/A</v>
      </c>
    </row>
    <row r="528" spans="1:15" ht="15.75" customHeight="1">
      <c r="A528" s="924"/>
      <c r="B528" s="925"/>
      <c r="C528" s="926"/>
      <c r="D528" s="927"/>
      <c r="E528" s="927"/>
      <c r="F528" s="928"/>
      <c r="G528" s="924"/>
      <c r="H528" s="925"/>
      <c r="I528" s="926"/>
      <c r="J528" s="927"/>
    </row>
    <row r="530" spans="1:15" ht="114" customHeight="1">
      <c r="A530" s="2361"/>
      <c r="B530" s="2361"/>
      <c r="C530" s="2361"/>
      <c r="D530" s="2361"/>
      <c r="E530" s="2361"/>
      <c r="F530" s="2361"/>
      <c r="G530" s="2361"/>
      <c r="H530" s="2361"/>
      <c r="I530" s="2361"/>
      <c r="J530" s="2361"/>
    </row>
    <row r="531" spans="1:15" ht="15" customHeight="1">
      <c r="A531" s="2360" t="str">
        <f>$K$2</f>
        <v>THÁNG 04/2025</v>
      </c>
      <c r="B531" s="2360"/>
      <c r="C531" s="2360"/>
      <c r="D531" s="2360"/>
      <c r="E531" s="903"/>
      <c r="F531" s="904"/>
      <c r="G531" s="2360" t="str">
        <f>$K$2</f>
        <v>THÁNG 04/2025</v>
      </c>
      <c r="H531" s="2360"/>
      <c r="I531" s="2360"/>
      <c r="J531" s="2360"/>
      <c r="K531" s="276"/>
    </row>
    <row r="532" spans="1:15" ht="15" customHeight="1">
      <c r="A532" s="905" t="s">
        <v>356</v>
      </c>
      <c r="B532" s="642" t="s">
        <v>1973</v>
      </c>
      <c r="C532" s="546"/>
      <c r="D532" s="902"/>
      <c r="E532" s="906"/>
      <c r="F532" s="907"/>
      <c r="G532" s="905" t="s">
        <v>356</v>
      </c>
      <c r="H532" s="642" t="s">
        <v>439</v>
      </c>
      <c r="I532" s="546"/>
      <c r="J532" s="902"/>
      <c r="L532" s="938"/>
      <c r="M532" s="938"/>
      <c r="N532" s="938"/>
      <c r="O532" s="938"/>
    </row>
    <row r="533" spans="1:15" ht="15" customHeight="1">
      <c r="A533" s="908" t="s">
        <v>359</v>
      </c>
      <c r="B533" s="909" t="s">
        <v>2090</v>
      </c>
      <c r="C533" s="910" t="e">
        <f>VLOOKUP(B532,'LƯƠNG KT'!$D$16:$Z$184,4,0)</f>
        <v>#N/A</v>
      </c>
      <c r="D533" s="609" t="e">
        <f>+C533*25000</f>
        <v>#N/A</v>
      </c>
      <c r="E533" s="911"/>
      <c r="F533" s="911"/>
      <c r="G533" s="908" t="s">
        <v>359</v>
      </c>
      <c r="H533" s="909" t="s">
        <v>2090</v>
      </c>
      <c r="I533" s="910" t="e">
        <f>VLOOKUP(H532,'LƯƠNG KT'!$D$16:$Z$184,4,0)</f>
        <v>#N/A</v>
      </c>
      <c r="J533" s="609" t="e">
        <f>+I533*25000</f>
        <v>#N/A</v>
      </c>
      <c r="K533" s="934"/>
      <c r="L533" s="935"/>
      <c r="M533" s="935"/>
      <c r="N533" s="935"/>
      <c r="O533" s="935"/>
    </row>
    <row r="534" spans="1:15" ht="15" customHeight="1">
      <c r="A534" s="908" t="s">
        <v>361</v>
      </c>
      <c r="B534" s="909" t="s">
        <v>2091</v>
      </c>
      <c r="C534" s="910" t="e">
        <f>VLOOKUP(B532,'LƯƠNG KT'!$D$16:$Z$184,15,0)</f>
        <v>#N/A</v>
      </c>
      <c r="D534" s="609" t="e">
        <f>C534*$L$4</f>
        <v>#N/A</v>
      </c>
      <c r="E534" s="912"/>
      <c r="F534" s="912"/>
      <c r="G534" s="908" t="s">
        <v>361</v>
      </c>
      <c r="H534" s="909" t="s">
        <v>2091</v>
      </c>
      <c r="I534" s="910" t="e">
        <f>VLOOKUP(H532,'LƯƠNG KT'!$D$16:$Z$184,15,0)</f>
        <v>#N/A</v>
      </c>
      <c r="J534" s="609" t="e">
        <f>I534*$L$4</f>
        <v>#N/A</v>
      </c>
      <c r="K534" s="934"/>
      <c r="L534" s="935"/>
      <c r="M534" s="935"/>
      <c r="N534" s="935"/>
      <c r="O534" s="935"/>
    </row>
    <row r="535" spans="1:15" ht="15" customHeight="1">
      <c r="A535" s="908" t="s">
        <v>364</v>
      </c>
      <c r="B535" s="909" t="s">
        <v>2092</v>
      </c>
      <c r="C535" s="910" t="e">
        <f>VLOOKUP(B532,'LƯƠNG KT'!$D$16:$Z$184,16,0)</f>
        <v>#N/A</v>
      </c>
      <c r="D535" s="609" t="e">
        <f>C535*$L$5</f>
        <v>#N/A</v>
      </c>
      <c r="E535" s="912"/>
      <c r="F535" s="912"/>
      <c r="G535" s="908" t="s">
        <v>364</v>
      </c>
      <c r="H535" s="909" t="s">
        <v>2092</v>
      </c>
      <c r="I535" s="910" t="e">
        <f>VLOOKUP(H532,'LƯƠNG KT'!$D$16:$Z$184,16,0)</f>
        <v>#N/A</v>
      </c>
      <c r="J535" s="609" t="e">
        <f>I535*$L$5</f>
        <v>#N/A</v>
      </c>
      <c r="K535" s="934"/>
      <c r="L535" s="935"/>
      <c r="M535" s="935"/>
      <c r="N535" s="935"/>
      <c r="O535" s="935"/>
    </row>
    <row r="536" spans="1:15" ht="15" customHeight="1">
      <c r="A536" s="908" t="s">
        <v>370</v>
      </c>
      <c r="B536" s="909" t="s">
        <v>2093</v>
      </c>
      <c r="C536" s="910" t="e">
        <f>VLOOKUP(B532,'LƯƠNG KT'!$D$16:$Z$184,24,0)</f>
        <v>#N/A</v>
      </c>
      <c r="D536" s="609" t="e">
        <f>+C536*$L$6</f>
        <v>#N/A</v>
      </c>
      <c r="E536" s="912"/>
      <c r="F536" s="912"/>
      <c r="G536" s="908" t="s">
        <v>370</v>
      </c>
      <c r="H536" s="909" t="s">
        <v>2093</v>
      </c>
      <c r="I536" s="910" t="e">
        <f>VLOOKUP(H532,'LƯƠNG KT'!$D$16:$Z$184,24,0)</f>
        <v>#N/A</v>
      </c>
      <c r="J536" s="609" t="e">
        <f>+I536*$L$6</f>
        <v>#N/A</v>
      </c>
      <c r="K536" s="935"/>
      <c r="L536" s="935"/>
      <c r="M536" s="935"/>
      <c r="N536" s="935"/>
      <c r="O536" s="935"/>
    </row>
    <row r="537" spans="1:15" ht="15" customHeight="1">
      <c r="A537" s="908" t="s">
        <v>2094</v>
      </c>
      <c r="B537" s="909" t="s">
        <v>2095</v>
      </c>
      <c r="C537" s="910" t="e">
        <f>VLOOKUP(B532,'LƯƠNG KT'!$D$16:$Z$184,19,0)</f>
        <v>#N/A</v>
      </c>
      <c r="D537" s="609" t="e">
        <f>+C537*$L$8</f>
        <v>#N/A</v>
      </c>
      <c r="E537" s="912"/>
      <c r="F537" s="912"/>
      <c r="G537" s="908" t="s">
        <v>2094</v>
      </c>
      <c r="H537" s="909" t="s">
        <v>2095</v>
      </c>
      <c r="I537" s="910" t="e">
        <f>VLOOKUP(H532,'LƯƠNG KT'!$D$16:$Z$184,19,0)</f>
        <v>#N/A</v>
      </c>
      <c r="J537" s="609" t="e">
        <f>+I537*$L$8</f>
        <v>#N/A</v>
      </c>
      <c r="K537" s="935"/>
      <c r="L537" s="935"/>
      <c r="M537" s="935"/>
      <c r="N537" s="935"/>
      <c r="O537" s="935"/>
    </row>
    <row r="538" spans="1:15" ht="15" customHeight="1">
      <c r="A538" s="908" t="s">
        <v>2096</v>
      </c>
      <c r="B538" s="913" t="s">
        <v>2097</v>
      </c>
      <c r="C538" s="910" t="e">
        <f>VLOOKUP(B532,'LƯƠNG KT'!$D$16:$Z$184,20,0)</f>
        <v>#N/A</v>
      </c>
      <c r="D538" s="609" t="e">
        <f>+C538*$L$9</f>
        <v>#N/A</v>
      </c>
      <c r="E538" s="912"/>
      <c r="F538" s="912"/>
      <c r="G538" s="908" t="s">
        <v>2096</v>
      </c>
      <c r="H538" s="913" t="s">
        <v>2097</v>
      </c>
      <c r="I538" s="910" t="e">
        <f>VLOOKUP(H532,'LƯƠNG KT'!$D$16:$Z$184,20,0)</f>
        <v>#N/A</v>
      </c>
      <c r="J538" s="609" t="e">
        <f>+I538*$L$9</f>
        <v>#N/A</v>
      </c>
      <c r="K538" s="935"/>
      <c r="L538" s="935"/>
      <c r="M538" s="935"/>
      <c r="N538" s="935"/>
      <c r="O538" s="935"/>
    </row>
    <row r="539" spans="1:15" ht="15" customHeight="1">
      <c r="A539" s="908" t="s">
        <v>2099</v>
      </c>
      <c r="B539" s="909" t="s">
        <v>2100</v>
      </c>
      <c r="C539" s="910" t="e">
        <f>VLOOKUP(B532,'LƯƠNG KT'!$D$16:$Z$184,17,0)</f>
        <v>#N/A</v>
      </c>
      <c r="D539" s="609" t="e">
        <f>+C539*$L$10</f>
        <v>#N/A</v>
      </c>
      <c r="E539" s="912"/>
      <c r="F539" s="912"/>
      <c r="G539" s="908" t="s">
        <v>2099</v>
      </c>
      <c r="H539" s="909" t="s">
        <v>2100</v>
      </c>
      <c r="I539" s="910" t="e">
        <f>VLOOKUP(H532,'LƯƠNG KT'!$D$16:$Z$184,17,0)</f>
        <v>#N/A</v>
      </c>
      <c r="J539" s="609" t="e">
        <f>+I539*$L$10</f>
        <v>#N/A</v>
      </c>
      <c r="K539" s="935"/>
      <c r="L539" s="935"/>
      <c r="M539" s="935"/>
      <c r="N539" s="935"/>
      <c r="O539" s="935"/>
    </row>
    <row r="540" spans="1:15" ht="15" customHeight="1">
      <c r="A540" s="908" t="s">
        <v>374</v>
      </c>
      <c r="B540" s="909" t="s">
        <v>2102</v>
      </c>
      <c r="C540" s="910" t="e">
        <f>VLOOKUP(B532,'LƯƠNG KT'!$D$16:$Z$184,12,0)</f>
        <v>#N/A</v>
      </c>
      <c r="D540" s="609" t="e">
        <f>VLOOKUP(B532,'LƯƠNG KT'!$D$16:$Z$184,14,0)</f>
        <v>#N/A</v>
      </c>
      <c r="E540" s="914"/>
      <c r="F540" s="912"/>
      <c r="G540" s="908" t="s">
        <v>374</v>
      </c>
      <c r="H540" s="909" t="s">
        <v>2102</v>
      </c>
      <c r="I540" s="910" t="e">
        <f>VLOOKUP(H532,'LƯƠNG KT'!$D$16:$Z$184,12,0)</f>
        <v>#N/A</v>
      </c>
      <c r="J540" s="609" t="e">
        <f>VLOOKUP(H532,'LƯƠNG KT'!$D$16:$Z$184,14,0)</f>
        <v>#N/A</v>
      </c>
      <c r="K540" s="935"/>
      <c r="L540" s="935"/>
      <c r="M540" s="935"/>
      <c r="N540" s="935"/>
      <c r="O540" s="935"/>
    </row>
    <row r="541" spans="1:15" ht="15" customHeight="1">
      <c r="A541" s="908" t="s">
        <v>2103</v>
      </c>
      <c r="B541" s="909" t="s">
        <v>2104</v>
      </c>
      <c r="D541" s="915" t="e">
        <f>VLOOKUP(B532,'LƯƠNG KT'!$D$16:$Z$184,13,0)</f>
        <v>#N/A</v>
      </c>
      <c r="E541" s="916"/>
      <c r="F541" s="916"/>
      <c r="G541" s="908" t="s">
        <v>2103</v>
      </c>
      <c r="H541" s="909" t="s">
        <v>2104</v>
      </c>
      <c r="J541" s="915" t="e">
        <f>VLOOKUP(H532,'LƯƠNG KT'!$D$16:$Z$184,13,0)</f>
        <v>#N/A</v>
      </c>
    </row>
    <row r="542" spans="1:15" ht="15" customHeight="1">
      <c r="A542" s="547"/>
      <c r="B542" s="546"/>
      <c r="C542" s="910"/>
      <c r="D542" s="609"/>
      <c r="E542" s="914"/>
      <c r="F542" s="916"/>
      <c r="G542" s="547"/>
      <c r="H542" s="546"/>
      <c r="I542" s="910"/>
      <c r="J542" s="609"/>
    </row>
    <row r="543" spans="1:15" ht="15" customHeight="1">
      <c r="A543" s="905"/>
      <c r="B543" s="546"/>
      <c r="C543" s="910"/>
      <c r="D543" s="609"/>
      <c r="E543" s="917"/>
      <c r="F543" s="904"/>
      <c r="G543" s="905"/>
      <c r="H543" s="546"/>
      <c r="I543" s="910"/>
      <c r="J543" s="609"/>
    </row>
    <row r="544" spans="1:15" ht="15" customHeight="1">
      <c r="A544" s="918" t="s">
        <v>383</v>
      </c>
      <c r="B544" s="919" t="s">
        <v>384</v>
      </c>
      <c r="C544" s="920"/>
      <c r="D544" s="921" t="e">
        <f>SUM(D533:D540)-D543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SUM(J533:J540)-J543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60" t="str">
        <f>$K$2</f>
        <v>THÁNG 04/2025</v>
      </c>
      <c r="B547" s="2360"/>
      <c r="C547" s="2360"/>
      <c r="D547" s="2360"/>
      <c r="E547" s="903"/>
      <c r="F547" s="904"/>
      <c r="G547" s="2360" t="str">
        <f>$K$2</f>
        <v>THÁNG 04/2025</v>
      </c>
      <c r="H547" s="2360"/>
      <c r="I547" s="2360"/>
      <c r="J547" s="2360"/>
      <c r="K547" s="276"/>
    </row>
    <row r="548" spans="1:15" ht="15" customHeight="1">
      <c r="A548" s="905" t="s">
        <v>356</v>
      </c>
      <c r="B548" s="642" t="s">
        <v>440</v>
      </c>
      <c r="C548" s="546"/>
      <c r="D548" s="902"/>
      <c r="E548" s="906"/>
      <c r="F548" s="907"/>
      <c r="G548" s="905" t="s">
        <v>356</v>
      </c>
      <c r="H548" s="642" t="s">
        <v>441</v>
      </c>
      <c r="I548" s="546"/>
      <c r="J548" s="902"/>
      <c r="L548" s="938"/>
      <c r="M548" s="938"/>
      <c r="N548" s="938"/>
      <c r="O548" s="938"/>
    </row>
    <row r="549" spans="1:15" ht="15" customHeight="1">
      <c r="A549" s="908" t="s">
        <v>359</v>
      </c>
      <c r="B549" s="909" t="s">
        <v>2090</v>
      </c>
      <c r="C549" s="910">
        <f>VLOOKUP(B548,'LƯƠNG KT'!$D$16:$Z$184,4,0)</f>
        <v>0</v>
      </c>
      <c r="D549" s="609">
        <f>+C549*25000</f>
        <v>0</v>
      </c>
      <c r="E549" s="911"/>
      <c r="F549" s="911"/>
      <c r="G549" s="908" t="s">
        <v>359</v>
      </c>
      <c r="H549" s="909" t="s">
        <v>2090</v>
      </c>
      <c r="I549" s="910" t="e">
        <f>VLOOKUP(H548,'LƯƠNG KT'!$D$16:$Z$184,4,0)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8" t="s">
        <v>361</v>
      </c>
      <c r="B550" s="909" t="s">
        <v>2091</v>
      </c>
      <c r="C550" s="910">
        <f>VLOOKUP(B548,'LƯƠNG KT'!$D$16:$Z$184,15,0)</f>
        <v>0</v>
      </c>
      <c r="D550" s="609">
        <f>C550*$L$4</f>
        <v>0</v>
      </c>
      <c r="E550" s="912"/>
      <c r="F550" s="912"/>
      <c r="G550" s="908" t="s">
        <v>361</v>
      </c>
      <c r="H550" s="909" t="s">
        <v>2091</v>
      </c>
      <c r="I550" s="910" t="e">
        <f>VLOOKUP(H548,'LƯƠNG KT'!$D$16:$Z$184,15,0)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8" t="s">
        <v>364</v>
      </c>
      <c r="B551" s="909" t="s">
        <v>2092</v>
      </c>
      <c r="C551" s="910">
        <f>VLOOKUP(B548,'LƯƠNG KT'!$D$16:$Z$184,16,0)</f>
        <v>5</v>
      </c>
      <c r="D551" s="609">
        <f>C551*$L$5</f>
        <v>230700</v>
      </c>
      <c r="E551" s="912"/>
      <c r="F551" s="912"/>
      <c r="G551" s="908" t="s">
        <v>364</v>
      </c>
      <c r="H551" s="909" t="s">
        <v>2092</v>
      </c>
      <c r="I551" s="910" t="e">
        <f>VLOOKUP(H548,'LƯƠNG KT'!$D$16:$Z$184,16,0)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8" t="s">
        <v>370</v>
      </c>
      <c r="B552" s="909" t="s">
        <v>2093</v>
      </c>
      <c r="C552" s="910" t="e">
        <f>VLOOKUP(B548,'LƯƠNG KT'!$D$16:$Z$184,24,0)</f>
        <v>#REF!</v>
      </c>
      <c r="D552" s="609" t="e">
        <f>+C552*$L$6</f>
        <v>#REF!</v>
      </c>
      <c r="E552" s="912"/>
      <c r="F552" s="912"/>
      <c r="G552" s="908" t="s">
        <v>370</v>
      </c>
      <c r="H552" s="909" t="s">
        <v>2093</v>
      </c>
      <c r="I552" s="910" t="e">
        <f>VLOOKUP(H548,'LƯƠNG KT'!$D$16:$Z$184,24,0)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8" t="s">
        <v>2094</v>
      </c>
      <c r="B553" s="909" t="s">
        <v>2095</v>
      </c>
      <c r="C553" s="910">
        <f>VLOOKUP(B548,'LƯƠNG KT'!$D$16:$Z$184,19,0)</f>
        <v>36</v>
      </c>
      <c r="D553" s="609">
        <f>+C553*$L$8</f>
        <v>1991520</v>
      </c>
      <c r="E553" s="912"/>
      <c r="F553" s="912"/>
      <c r="G553" s="908" t="s">
        <v>2094</v>
      </c>
      <c r="H553" s="909" t="s">
        <v>2095</v>
      </c>
      <c r="I553" s="910" t="e">
        <f>VLOOKUP(H548,'LƯƠNG KT'!$D$16:$Z$184,19,0)</f>
        <v>#N/A</v>
      </c>
      <c r="J553" s="609" t="e">
        <f>+I553*$L$8</f>
        <v>#N/A</v>
      </c>
      <c r="K553" s="935"/>
      <c r="L553" s="935"/>
      <c r="M553" s="935"/>
      <c r="N553" s="935"/>
      <c r="O553" s="935"/>
    </row>
    <row r="554" spans="1:15" ht="15" customHeight="1">
      <c r="A554" s="908" t="s">
        <v>2096</v>
      </c>
      <c r="B554" s="913" t="s">
        <v>2097</v>
      </c>
      <c r="C554" s="910">
        <f>VLOOKUP(B548,'LƯƠNG KT'!$D$16:$Z$184,20,0)</f>
        <v>0</v>
      </c>
      <c r="D554" s="609">
        <f>+C554*$L$9</f>
        <v>0</v>
      </c>
      <c r="E554" s="912"/>
      <c r="F554" s="912"/>
      <c r="G554" s="908" t="s">
        <v>2096</v>
      </c>
      <c r="H554" s="913" t="s">
        <v>2097</v>
      </c>
      <c r="I554" s="910" t="e">
        <f>VLOOKUP(H548,'LƯƠNG KT'!$D$16:$Z$184,20,0)</f>
        <v>#N/A</v>
      </c>
      <c r="J554" s="609" t="e">
        <f>+I554*$L$9</f>
        <v>#N/A</v>
      </c>
      <c r="K554" s="935"/>
      <c r="L554" s="935"/>
      <c r="M554" s="935"/>
      <c r="N554" s="935"/>
      <c r="O554" s="935"/>
    </row>
    <row r="555" spans="1:15" ht="15" customHeight="1">
      <c r="A555" s="908" t="s">
        <v>2099</v>
      </c>
      <c r="B555" s="909" t="s">
        <v>2100</v>
      </c>
      <c r="C555" s="910" t="e">
        <f>VLOOKUP(B548,'LƯƠNG KT'!$D$16:$Z$184,17,0)</f>
        <v>#N/A</v>
      </c>
      <c r="D555" s="609" t="e">
        <f>+C555*$L$10</f>
        <v>#N/A</v>
      </c>
      <c r="E555" s="912"/>
      <c r="F555" s="912"/>
      <c r="G555" s="908" t="s">
        <v>2099</v>
      </c>
      <c r="H555" s="909" t="s">
        <v>2100</v>
      </c>
      <c r="I555" s="910" t="e">
        <f>VLOOKUP(H548,'LƯƠNG KT'!$D$16:$Z$184,17,0)</f>
        <v>#N/A</v>
      </c>
      <c r="J555" s="609" t="e">
        <f>+I555*$L$10</f>
        <v>#N/A</v>
      </c>
      <c r="K555" s="935"/>
      <c r="L555" s="935"/>
      <c r="M555" s="935"/>
      <c r="N555" s="935"/>
      <c r="O555" s="935"/>
    </row>
    <row r="556" spans="1:15" ht="15" customHeight="1">
      <c r="A556" s="908" t="s">
        <v>374</v>
      </c>
      <c r="B556" s="909" t="s">
        <v>2102</v>
      </c>
      <c r="C556" s="910">
        <f>VLOOKUP(B548,'LƯƠNG KT'!$D$16:$Z$184,12,0)</f>
        <v>22</v>
      </c>
      <c r="D556" s="609">
        <f>VLOOKUP(B548,'LƯƠNG KT'!$D$16:$Z$184,14,0)</f>
        <v>5</v>
      </c>
      <c r="E556" s="914"/>
      <c r="F556" s="912"/>
      <c r="G556" s="908" t="s">
        <v>374</v>
      </c>
      <c r="H556" s="909" t="s">
        <v>2102</v>
      </c>
      <c r="I556" s="910" t="e">
        <f>VLOOKUP(H548,'LƯƠNG KT'!$D$16:$Z$184,12,0)</f>
        <v>#N/A</v>
      </c>
      <c r="J556" s="609" t="e">
        <f>VLOOKUP(H548,'LƯƠNG KT'!$D$16:$Z$184,14,0)</f>
        <v>#N/A</v>
      </c>
      <c r="K556" s="935"/>
      <c r="L556" s="935"/>
      <c r="M556" s="935"/>
      <c r="N556" s="935"/>
      <c r="O556" s="935"/>
    </row>
    <row r="557" spans="1:15" ht="15" customHeight="1">
      <c r="A557" s="908" t="s">
        <v>2103</v>
      </c>
      <c r="B557" s="909" t="s">
        <v>2104</v>
      </c>
      <c r="D557" s="915">
        <f>VLOOKUP(B548,'LƯƠNG KT'!$D$16:$Z$184,13,0)</f>
        <v>4</v>
      </c>
      <c r="E557" s="916"/>
      <c r="F557" s="916"/>
      <c r="G557" s="908" t="s">
        <v>2103</v>
      </c>
      <c r="H557" s="909" t="s">
        <v>2104</v>
      </c>
      <c r="J557" s="915" t="e">
        <f>VLOOKUP(H548,'LƯƠNG KT'!$D$16:$Z$184,13,0)</f>
        <v>#N/A</v>
      </c>
    </row>
    <row r="558" spans="1:15" ht="15" customHeight="1">
      <c r="A558" s="547"/>
      <c r="B558" s="546"/>
      <c r="C558" s="910"/>
      <c r="D558" s="609"/>
      <c r="E558" s="914"/>
      <c r="F558" s="916"/>
      <c r="G558" s="547"/>
      <c r="H558" s="546"/>
      <c r="I558" s="910"/>
      <c r="J558" s="609"/>
    </row>
    <row r="559" spans="1:15" ht="15" customHeight="1">
      <c r="A559" s="905"/>
      <c r="B559" s="546"/>
      <c r="C559" s="910"/>
      <c r="D559" s="609"/>
      <c r="E559" s="917"/>
      <c r="F559" s="904"/>
      <c r="G559" s="905"/>
      <c r="H559" s="546"/>
      <c r="I559" s="910"/>
      <c r="J559" s="609"/>
    </row>
    <row r="560" spans="1:15" ht="15" customHeight="1">
      <c r="A560" s="918" t="s">
        <v>383</v>
      </c>
      <c r="B560" s="919" t="s">
        <v>384</v>
      </c>
      <c r="C560" s="920"/>
      <c r="D560" s="921" t="e">
        <f>SUM(D549:D556)-D559</f>
        <v>#REF!</v>
      </c>
      <c r="E560" s="922"/>
      <c r="F560" s="923"/>
      <c r="G560" s="918" t="s">
        <v>383</v>
      </c>
      <c r="H560" s="919" t="s">
        <v>384</v>
      </c>
      <c r="I560" s="920"/>
      <c r="J560" s="921" t="e">
        <f>SUM(J549:J556)-J559</f>
        <v>#N/A</v>
      </c>
    </row>
    <row r="561" spans="1:15" ht="18.75" customHeight="1">
      <c r="A561" s="924"/>
      <c r="B561" s="925"/>
      <c r="C561" s="926"/>
      <c r="D561" s="927"/>
      <c r="E561" s="927"/>
      <c r="F561" s="928"/>
      <c r="G561" s="924"/>
      <c r="H561" s="925"/>
      <c r="I561" s="926"/>
      <c r="J561" s="927"/>
    </row>
    <row r="562" spans="1:15" ht="18.75" customHeight="1">
      <c r="A562" s="925"/>
      <c r="B562" s="925"/>
      <c r="C562" s="929"/>
      <c r="D562" s="930"/>
      <c r="E562" s="925"/>
      <c r="F562" s="931"/>
      <c r="G562" s="925"/>
      <c r="H562" s="925"/>
      <c r="I562" s="929"/>
      <c r="J562" s="930"/>
    </row>
    <row r="563" spans="1:15" ht="15" customHeight="1">
      <c r="A563" s="2360" t="str">
        <f>$K$2</f>
        <v>THÁNG 04/2025</v>
      </c>
      <c r="B563" s="2360"/>
      <c r="C563" s="2360"/>
      <c r="D563" s="2360"/>
      <c r="E563" s="903"/>
      <c r="F563" s="904"/>
      <c r="G563" s="2360" t="str">
        <f>$K$2</f>
        <v>THÁNG 04/2025</v>
      </c>
      <c r="H563" s="2360"/>
      <c r="I563" s="2360"/>
      <c r="J563" s="2360"/>
      <c r="K563" s="276"/>
    </row>
    <row r="564" spans="1:15" ht="15" customHeight="1">
      <c r="A564" s="905" t="s">
        <v>356</v>
      </c>
      <c r="B564" s="642" t="s">
        <v>442</v>
      </c>
      <c r="C564" s="546"/>
      <c r="D564" s="902"/>
      <c r="E564" s="906"/>
      <c r="F564" s="907"/>
      <c r="G564" s="905" t="s">
        <v>356</v>
      </c>
      <c r="H564" s="642" t="s">
        <v>443</v>
      </c>
      <c r="I564" s="546"/>
      <c r="J564" s="902"/>
      <c r="L564" s="938"/>
      <c r="M564" s="938"/>
      <c r="N564" s="938"/>
      <c r="O564" s="938"/>
    </row>
    <row r="565" spans="1:15" ht="15" customHeight="1">
      <c r="A565" s="908" t="s">
        <v>359</v>
      </c>
      <c r="B565" s="909" t="s">
        <v>2090</v>
      </c>
      <c r="C565" s="910" t="e">
        <f>VLOOKUP(B564,'LƯƠNG KT'!$D$16:$Z$184,4,0)</f>
        <v>#N/A</v>
      </c>
      <c r="D565" s="609" t="e">
        <f>+C565*25000</f>
        <v>#N/A</v>
      </c>
      <c r="E565" s="911"/>
      <c r="F565" s="911"/>
      <c r="G565" s="908" t="s">
        <v>359</v>
      </c>
      <c r="H565" s="909" t="s">
        <v>2090</v>
      </c>
      <c r="I565" s="910" t="e">
        <f>VLOOKUP(H564,'LƯƠNG KT'!$D$16:$Z$184,4,0)</f>
        <v>#N/A</v>
      </c>
      <c r="J565" s="609" t="e">
        <f>+I565*25000</f>
        <v>#N/A</v>
      </c>
      <c r="K565" s="935"/>
      <c r="L565" s="935"/>
      <c r="M565" s="935"/>
      <c r="N565" s="935"/>
      <c r="O565" s="935"/>
    </row>
    <row r="566" spans="1:15" ht="15" customHeight="1">
      <c r="A566" s="908" t="s">
        <v>361</v>
      </c>
      <c r="B566" s="909" t="s">
        <v>2091</v>
      </c>
      <c r="C566" s="910" t="e">
        <f>VLOOKUP(B564,'LƯƠNG KT'!$D$16:$Z$184,15,0)</f>
        <v>#N/A</v>
      </c>
      <c r="D566" s="609" t="e">
        <f>C566*$L$4</f>
        <v>#N/A</v>
      </c>
      <c r="E566" s="912"/>
      <c r="F566" s="912"/>
      <c r="G566" s="908" t="s">
        <v>361</v>
      </c>
      <c r="H566" s="909" t="s">
        <v>2091</v>
      </c>
      <c r="I566" s="910" t="e">
        <f>VLOOKUP(H564,'LƯƠNG KT'!$D$16:$Z$184,15,0)</f>
        <v>#N/A</v>
      </c>
      <c r="J566" s="609" t="e">
        <f>I566*$L$4</f>
        <v>#N/A</v>
      </c>
      <c r="K566" s="935"/>
      <c r="L566" s="935"/>
      <c r="M566" s="935"/>
      <c r="N566" s="935"/>
      <c r="O566" s="935"/>
    </row>
    <row r="567" spans="1:15" ht="15" customHeight="1">
      <c r="A567" s="908" t="s">
        <v>364</v>
      </c>
      <c r="B567" s="909" t="s">
        <v>2092</v>
      </c>
      <c r="C567" s="910" t="e">
        <f>VLOOKUP(B564,'LƯƠNG KT'!$D$16:$Z$184,16,0)</f>
        <v>#N/A</v>
      </c>
      <c r="D567" s="609" t="e">
        <f>C567*$L$5</f>
        <v>#N/A</v>
      </c>
      <c r="E567" s="912"/>
      <c r="F567" s="912"/>
      <c r="G567" s="908" t="s">
        <v>364</v>
      </c>
      <c r="H567" s="909" t="s">
        <v>2092</v>
      </c>
      <c r="I567" s="910" t="e">
        <f>VLOOKUP(H564,'LƯƠNG KT'!$D$16:$Z$184,16,0)</f>
        <v>#N/A</v>
      </c>
      <c r="J567" s="609" t="e">
        <f>I567*$L$5</f>
        <v>#N/A</v>
      </c>
      <c r="K567" s="935"/>
      <c r="L567" s="935"/>
      <c r="M567" s="935"/>
      <c r="N567" s="935"/>
      <c r="O567" s="935"/>
    </row>
    <row r="568" spans="1:15" ht="15" customHeight="1">
      <c r="A568" s="908" t="s">
        <v>370</v>
      </c>
      <c r="B568" s="909" t="s">
        <v>2093</v>
      </c>
      <c r="C568" s="910" t="e">
        <f>VLOOKUP(B564,'LƯƠNG KT'!$D$16:$Z$184,24,0)</f>
        <v>#N/A</v>
      </c>
      <c r="D568" s="609" t="e">
        <f>+C568*$L$6</f>
        <v>#N/A</v>
      </c>
      <c r="E568" s="912"/>
      <c r="F568" s="912"/>
      <c r="G568" s="908" t="s">
        <v>370</v>
      </c>
      <c r="H568" s="909" t="s">
        <v>2093</v>
      </c>
      <c r="I568" s="910" t="e">
        <f>VLOOKUP(H564,'LƯƠNG KT'!$D$16:$Z$184,24,0)</f>
        <v>#N/A</v>
      </c>
      <c r="J568" s="609" t="e">
        <f>+I568*$L$6</f>
        <v>#N/A</v>
      </c>
      <c r="K568" s="935"/>
      <c r="L568" s="935"/>
      <c r="M568" s="935"/>
      <c r="N568" s="935"/>
      <c r="O568" s="935"/>
    </row>
    <row r="569" spans="1:15" ht="15" customHeight="1">
      <c r="A569" s="908" t="s">
        <v>2094</v>
      </c>
      <c r="B569" s="909" t="s">
        <v>2095</v>
      </c>
      <c r="C569" s="910" t="e">
        <f>VLOOKUP(B564,'LƯƠNG KT'!$D$16:$Z$184,19,0)</f>
        <v>#N/A</v>
      </c>
      <c r="D569" s="609" t="e">
        <f>+C569*$L$8</f>
        <v>#N/A</v>
      </c>
      <c r="E569" s="912"/>
      <c r="F569" s="912"/>
      <c r="G569" s="908" t="s">
        <v>2094</v>
      </c>
      <c r="H569" s="909" t="s">
        <v>2095</v>
      </c>
      <c r="I569" s="910" t="e">
        <f>VLOOKUP(H564,'LƯƠNG KT'!$D$16:$Z$184,19,0)</f>
        <v>#N/A</v>
      </c>
      <c r="J569" s="609" t="e">
        <f>+I569*$L$8</f>
        <v>#N/A</v>
      </c>
      <c r="K569" s="935"/>
      <c r="L569" s="935"/>
      <c r="M569" s="935"/>
      <c r="N569" s="935"/>
      <c r="O569" s="935"/>
    </row>
    <row r="570" spans="1:15" ht="15" customHeight="1">
      <c r="A570" s="908" t="s">
        <v>2096</v>
      </c>
      <c r="B570" s="913" t="s">
        <v>2097</v>
      </c>
      <c r="C570" s="910" t="e">
        <f>VLOOKUP(B564,'LƯƠNG KT'!$D$16:$Z$184,20,0)</f>
        <v>#N/A</v>
      </c>
      <c r="D570" s="609" t="e">
        <f>+C570*$L$9</f>
        <v>#N/A</v>
      </c>
      <c r="E570" s="912"/>
      <c r="F570" s="912"/>
      <c r="G570" s="908" t="s">
        <v>2096</v>
      </c>
      <c r="H570" s="913" t="s">
        <v>2097</v>
      </c>
      <c r="I570" s="910" t="e">
        <f>VLOOKUP(H564,'LƯƠNG KT'!$D$16:$Z$184,20,0)</f>
        <v>#N/A</v>
      </c>
      <c r="J570" s="609" t="e">
        <f>+I570*$L$9</f>
        <v>#N/A</v>
      </c>
      <c r="K570" s="935"/>
      <c r="L570" s="935"/>
      <c r="M570" s="935"/>
      <c r="N570" s="935"/>
      <c r="O570" s="935"/>
    </row>
    <row r="571" spans="1:15" ht="15" customHeight="1">
      <c r="A571" s="908" t="s">
        <v>2099</v>
      </c>
      <c r="B571" s="909" t="s">
        <v>2100</v>
      </c>
      <c r="C571" s="910" t="e">
        <f>VLOOKUP(B564,'LƯƠNG KT'!$D$16:$Z$184,17,0)</f>
        <v>#N/A</v>
      </c>
      <c r="D571" s="609" t="e">
        <f>+C571*$L$10</f>
        <v>#N/A</v>
      </c>
      <c r="E571" s="912"/>
      <c r="F571" s="912"/>
      <c r="G571" s="908" t="s">
        <v>2099</v>
      </c>
      <c r="H571" s="909" t="s">
        <v>2100</v>
      </c>
      <c r="I571" s="910" t="e">
        <f>VLOOKUP(H564,'LƯƠNG KT'!$D$16:$Z$184,17,0)</f>
        <v>#N/A</v>
      </c>
      <c r="J571" s="609" t="e">
        <f>+I571*$L$10</f>
        <v>#N/A</v>
      </c>
      <c r="K571" s="935"/>
      <c r="L571" s="935"/>
      <c r="M571" s="935"/>
      <c r="N571" s="935"/>
      <c r="O571" s="935"/>
    </row>
    <row r="572" spans="1:15" ht="15" customHeight="1">
      <c r="A572" s="908" t="s">
        <v>374</v>
      </c>
      <c r="B572" s="909" t="s">
        <v>2102</v>
      </c>
      <c r="C572" s="910" t="e">
        <f>VLOOKUP(B564,'LƯƠNG KT'!$D$16:$Z$184,12,0)</f>
        <v>#N/A</v>
      </c>
      <c r="D572" s="609" t="e">
        <f>VLOOKUP(B564,'LƯƠNG KT'!$D$16:$Z$184,14,0)</f>
        <v>#N/A</v>
      </c>
      <c r="E572" s="914"/>
      <c r="F572" s="912"/>
      <c r="G572" s="908" t="s">
        <v>374</v>
      </c>
      <c r="H572" s="909" t="s">
        <v>2102</v>
      </c>
      <c r="I572" s="910" t="e">
        <f>VLOOKUP(H564,'LƯƠNG KT'!$D$16:$Z$184,12,0)</f>
        <v>#N/A</v>
      </c>
      <c r="J572" s="609" t="e">
        <f>VLOOKUP(H564,'LƯƠNG KT'!$D$16:$Z$184,14,0)</f>
        <v>#N/A</v>
      </c>
      <c r="K572" s="935"/>
      <c r="L572" s="935"/>
      <c r="M572" s="935"/>
      <c r="N572" s="935"/>
      <c r="O572" s="935"/>
    </row>
    <row r="573" spans="1:15" ht="15" customHeight="1">
      <c r="A573" s="908" t="s">
        <v>2103</v>
      </c>
      <c r="B573" s="909" t="s">
        <v>2104</v>
      </c>
      <c r="D573" s="915" t="e">
        <f>VLOOKUP(B564,'LƯƠNG KT'!$D$16:$Z$184,13,0)</f>
        <v>#N/A</v>
      </c>
      <c r="E573" s="916"/>
      <c r="F573" s="916"/>
      <c r="G573" s="908" t="s">
        <v>2103</v>
      </c>
      <c r="H573" s="909" t="s">
        <v>2104</v>
      </c>
      <c r="J573" s="915" t="e">
        <f>VLOOKUP(H564,'LƯƠNG KT'!$D$16:$Z$184,13,0)</f>
        <v>#N/A</v>
      </c>
    </row>
    <row r="574" spans="1:15" ht="15" customHeight="1">
      <c r="A574" s="547"/>
      <c r="B574" s="546"/>
      <c r="C574" s="910"/>
      <c r="D574" s="609"/>
      <c r="E574" s="914"/>
      <c r="F574" s="916"/>
      <c r="G574" s="547"/>
      <c r="H574" s="546"/>
      <c r="I574" s="910"/>
      <c r="J574" s="609"/>
    </row>
    <row r="575" spans="1:15" ht="15" customHeight="1">
      <c r="A575" s="905"/>
      <c r="B575" s="546"/>
      <c r="C575" s="910"/>
      <c r="D575" s="609"/>
      <c r="E575" s="917"/>
      <c r="F575" s="904"/>
      <c r="G575" s="905"/>
      <c r="H575" s="546"/>
      <c r="I575" s="910"/>
      <c r="J575" s="609"/>
    </row>
    <row r="576" spans="1:15" ht="15" customHeight="1">
      <c r="A576" s="918" t="s">
        <v>383</v>
      </c>
      <c r="B576" s="919" t="s">
        <v>384</v>
      </c>
      <c r="C576" s="920"/>
      <c r="D576" s="921" t="e">
        <f>SUM(D565:D572)-D575</f>
        <v>#N/A</v>
      </c>
      <c r="E576" s="922"/>
      <c r="F576" s="923"/>
      <c r="G576" s="918" t="s">
        <v>383</v>
      </c>
      <c r="H576" s="919" t="s">
        <v>384</v>
      </c>
      <c r="I576" s="920"/>
      <c r="J576" s="921" t="e">
        <f>SUM(J565:J572)-J575</f>
        <v>#N/A</v>
      </c>
    </row>
    <row r="577" spans="1:15" ht="18.75" customHeight="1">
      <c r="A577" s="924"/>
      <c r="B577" s="925"/>
      <c r="C577" s="926"/>
      <c r="D577" s="927"/>
      <c r="E577" s="927"/>
      <c r="F577" s="928"/>
      <c r="G577" s="924"/>
      <c r="H577" s="925"/>
      <c r="I577" s="926"/>
      <c r="J577" s="927"/>
    </row>
    <row r="578" spans="1:15" ht="153.75" customHeight="1">
      <c r="A578" s="925"/>
      <c r="B578" s="925"/>
      <c r="C578" s="929"/>
      <c r="D578" s="930"/>
      <c r="E578" s="925"/>
      <c r="F578" s="931"/>
      <c r="G578" s="925"/>
      <c r="H578" s="925"/>
      <c r="I578" s="929"/>
      <c r="J578" s="930"/>
    </row>
    <row r="579" spans="1:15" ht="15" customHeight="1">
      <c r="A579" s="2360" t="str">
        <f>$K$2</f>
        <v>THÁNG 04/2025</v>
      </c>
      <c r="B579" s="2360"/>
      <c r="C579" s="2360"/>
      <c r="D579" s="2360"/>
      <c r="E579" s="903"/>
      <c r="F579" s="904"/>
      <c r="G579" s="2360" t="str">
        <f>$K$2</f>
        <v>THÁNG 04/2025</v>
      </c>
      <c r="H579" s="2360"/>
      <c r="I579" s="2360"/>
      <c r="J579" s="2360"/>
      <c r="K579" s="276"/>
    </row>
    <row r="580" spans="1:15" ht="15" customHeight="1">
      <c r="A580" s="905" t="s">
        <v>356</v>
      </c>
      <c r="B580" s="642" t="s">
        <v>1974</v>
      </c>
      <c r="C580" s="546"/>
      <c r="D580" s="902"/>
      <c r="E580" s="906"/>
      <c r="F580" s="907"/>
      <c r="G580" s="905" t="s">
        <v>356</v>
      </c>
      <c r="H580" s="642" t="s">
        <v>445</v>
      </c>
      <c r="I580" s="546"/>
      <c r="J580" s="902"/>
      <c r="L580" s="938"/>
      <c r="M580" s="938"/>
      <c r="N580" s="938"/>
      <c r="O580" s="938"/>
    </row>
    <row r="581" spans="1:15" ht="15" customHeight="1">
      <c r="A581" s="908" t="s">
        <v>359</v>
      </c>
      <c r="B581" s="909" t="s">
        <v>2090</v>
      </c>
      <c r="C581" s="910" t="e">
        <f>VLOOKUP(B580,'LƯƠNG KT'!$D$16:$Z$184,4,0)</f>
        <v>#N/A</v>
      </c>
      <c r="D581" s="609" t="e">
        <f>+C581*25000</f>
        <v>#N/A</v>
      </c>
      <c r="E581" s="911"/>
      <c r="F581" s="911"/>
      <c r="G581" s="908" t="s">
        <v>359</v>
      </c>
      <c r="H581" s="909" t="s">
        <v>2090</v>
      </c>
      <c r="I581" s="910" t="e">
        <f>VLOOKUP(H580,'LƯƠNG KT'!$D$16:$Z$184,4,0)</f>
        <v>#N/A</v>
      </c>
      <c r="J581" s="609" t="e">
        <f>+I581*25000</f>
        <v>#N/A</v>
      </c>
      <c r="K581" s="935"/>
      <c r="L581" s="935"/>
      <c r="M581" s="935"/>
      <c r="N581" s="935"/>
      <c r="O581" s="935"/>
    </row>
    <row r="582" spans="1:15" ht="15" customHeight="1">
      <c r="A582" s="908" t="s">
        <v>361</v>
      </c>
      <c r="B582" s="909" t="s">
        <v>2091</v>
      </c>
      <c r="C582" s="910" t="e">
        <f>VLOOKUP(B580,'LƯƠNG KT'!$D$16:$Z$184,15,0)</f>
        <v>#N/A</v>
      </c>
      <c r="D582" s="609" t="e">
        <f>C582*$L$4</f>
        <v>#N/A</v>
      </c>
      <c r="E582" s="912"/>
      <c r="F582" s="912"/>
      <c r="G582" s="908" t="s">
        <v>361</v>
      </c>
      <c r="H582" s="909" t="s">
        <v>2091</v>
      </c>
      <c r="I582" s="910" t="e">
        <f>VLOOKUP(H580,'LƯƠNG KT'!$D$16:$Z$184,15,0)</f>
        <v>#N/A</v>
      </c>
      <c r="J582" s="609" t="e">
        <f>I582*$L$4</f>
        <v>#N/A</v>
      </c>
      <c r="K582" s="935"/>
      <c r="L582" s="935"/>
      <c r="M582" s="935"/>
      <c r="N582" s="935"/>
      <c r="O582" s="935"/>
    </row>
    <row r="583" spans="1:15" ht="15" customHeight="1">
      <c r="A583" s="908" t="s">
        <v>364</v>
      </c>
      <c r="B583" s="909" t="s">
        <v>2092</v>
      </c>
      <c r="C583" s="910" t="e">
        <f>VLOOKUP(B580,'LƯƠNG KT'!$D$16:$Z$184,16,0)</f>
        <v>#N/A</v>
      </c>
      <c r="D583" s="609" t="e">
        <f>C583*$L$5</f>
        <v>#N/A</v>
      </c>
      <c r="E583" s="912"/>
      <c r="F583" s="912"/>
      <c r="G583" s="908" t="s">
        <v>364</v>
      </c>
      <c r="H583" s="909" t="s">
        <v>2092</v>
      </c>
      <c r="I583" s="910" t="e">
        <f>VLOOKUP(H580,'LƯƠNG KT'!$D$16:$Z$184,16,0)</f>
        <v>#N/A</v>
      </c>
      <c r="J583" s="609" t="e">
        <f>I583*$L$5</f>
        <v>#N/A</v>
      </c>
      <c r="K583" s="935"/>
      <c r="L583" s="935"/>
      <c r="M583" s="935"/>
      <c r="N583" s="935"/>
      <c r="O583" s="935"/>
    </row>
    <row r="584" spans="1:15" ht="15" customHeight="1">
      <c r="A584" s="908" t="s">
        <v>370</v>
      </c>
      <c r="B584" s="909" t="s">
        <v>2093</v>
      </c>
      <c r="C584" s="910" t="e">
        <f>VLOOKUP(B580,'LƯƠNG KT'!$D$16:$Z$184,24,0)</f>
        <v>#N/A</v>
      </c>
      <c r="D584" s="609" t="e">
        <f>+C584*$L$6</f>
        <v>#N/A</v>
      </c>
      <c r="E584" s="912"/>
      <c r="F584" s="912"/>
      <c r="G584" s="908" t="s">
        <v>370</v>
      </c>
      <c r="H584" s="909" t="s">
        <v>2093</v>
      </c>
      <c r="I584" s="910" t="e">
        <f>VLOOKUP(H580,'LƯƠNG KT'!$D$16:$Z$184,24,0)</f>
        <v>#N/A</v>
      </c>
      <c r="J584" s="609" t="e">
        <f>+I584*$L$6</f>
        <v>#N/A</v>
      </c>
      <c r="K584" s="935"/>
      <c r="L584" s="935"/>
      <c r="M584" s="935"/>
      <c r="N584" s="935"/>
      <c r="O584" s="935"/>
    </row>
    <row r="585" spans="1:15" ht="15" customHeight="1">
      <c r="A585" s="908" t="s">
        <v>2094</v>
      </c>
      <c r="B585" s="909" t="s">
        <v>2095</v>
      </c>
      <c r="C585" s="910" t="e">
        <f>VLOOKUP(B580,'LƯƠNG KT'!$D$16:$Z$184,19,0)</f>
        <v>#N/A</v>
      </c>
      <c r="D585" s="609" t="e">
        <f>+C585*$L$8</f>
        <v>#N/A</v>
      </c>
      <c r="E585" s="912"/>
      <c r="F585" s="912"/>
      <c r="G585" s="908" t="s">
        <v>2094</v>
      </c>
      <c r="H585" s="909" t="s">
        <v>2095</v>
      </c>
      <c r="I585" s="910" t="e">
        <f>VLOOKUP(H580,'LƯƠNG KT'!$D$16:$Z$184,19,0)</f>
        <v>#N/A</v>
      </c>
      <c r="J585" s="609" t="e">
        <f>+I585*$L$8</f>
        <v>#N/A</v>
      </c>
      <c r="K585" s="935"/>
      <c r="L585" s="935"/>
      <c r="M585" s="935"/>
      <c r="N585" s="935"/>
      <c r="O585" s="935"/>
    </row>
    <row r="586" spans="1:15" ht="15" customHeight="1">
      <c r="A586" s="908" t="s">
        <v>2096</v>
      </c>
      <c r="B586" s="913" t="s">
        <v>2097</v>
      </c>
      <c r="C586" s="910" t="e">
        <f>VLOOKUP(B580,'LƯƠNG KT'!$D$16:$Z$184,20,0)</f>
        <v>#N/A</v>
      </c>
      <c r="D586" s="609" t="e">
        <f>+C586*$L$9</f>
        <v>#N/A</v>
      </c>
      <c r="E586" s="912"/>
      <c r="F586" s="912"/>
      <c r="G586" s="908" t="s">
        <v>2096</v>
      </c>
      <c r="H586" s="913" t="s">
        <v>2097</v>
      </c>
      <c r="I586" s="910" t="e">
        <f>VLOOKUP(H580,'LƯƠNG KT'!$D$16:$Z$184,20,0)</f>
        <v>#N/A</v>
      </c>
      <c r="J586" s="609" t="e">
        <f>+I586*$L$9</f>
        <v>#N/A</v>
      </c>
      <c r="K586" s="935"/>
      <c r="L586" s="935"/>
      <c r="M586" s="935"/>
      <c r="N586" s="935"/>
      <c r="O586" s="935"/>
    </row>
    <row r="587" spans="1:15" ht="15" customHeight="1">
      <c r="A587" s="908" t="s">
        <v>2099</v>
      </c>
      <c r="B587" s="909" t="s">
        <v>2100</v>
      </c>
      <c r="C587" s="910" t="e">
        <f>VLOOKUP(B580,'LƯƠNG KT'!$D$16:$Z$184,17,0)</f>
        <v>#N/A</v>
      </c>
      <c r="D587" s="609" t="e">
        <f>+C587*$L$10</f>
        <v>#N/A</v>
      </c>
      <c r="E587" s="912"/>
      <c r="F587" s="912"/>
      <c r="G587" s="908" t="s">
        <v>2099</v>
      </c>
      <c r="H587" s="909" t="s">
        <v>2100</v>
      </c>
      <c r="I587" s="910" t="e">
        <f>VLOOKUP(H580,'LƯƠNG KT'!$D$16:$Z$184,17,0)</f>
        <v>#N/A</v>
      </c>
      <c r="J587" s="609" t="e">
        <f>+I587*$L$10</f>
        <v>#N/A</v>
      </c>
      <c r="K587" s="935"/>
      <c r="L587" s="935"/>
      <c r="M587" s="935"/>
      <c r="N587" s="935"/>
      <c r="O587" s="935"/>
    </row>
    <row r="588" spans="1:15" ht="15" customHeight="1">
      <c r="A588" s="908" t="s">
        <v>374</v>
      </c>
      <c r="B588" s="909" t="s">
        <v>2102</v>
      </c>
      <c r="C588" s="910" t="e">
        <f>VLOOKUP(B580,'LƯƠNG KT'!$D$16:$Z$184,12,0)</f>
        <v>#N/A</v>
      </c>
      <c r="D588" s="609" t="e">
        <f>VLOOKUP(B580,'LƯƠNG KT'!$D$16:$Z$184,14,0)</f>
        <v>#N/A</v>
      </c>
      <c r="E588" s="914"/>
      <c r="F588" s="912"/>
      <c r="G588" s="908" t="s">
        <v>374</v>
      </c>
      <c r="H588" s="909" t="s">
        <v>2102</v>
      </c>
      <c r="I588" s="910" t="e">
        <f>VLOOKUP(H580,'LƯƠNG KT'!$D$16:$Z$184,12,0)</f>
        <v>#N/A</v>
      </c>
      <c r="J588" s="609" t="e">
        <f>VLOOKUP(H580,'LƯƠNG KT'!$D$16:$Z$184,14,0)</f>
        <v>#N/A</v>
      </c>
      <c r="K588" s="935"/>
      <c r="L588" s="935"/>
      <c r="M588" s="935"/>
      <c r="N588" s="935"/>
      <c r="O588" s="935"/>
    </row>
    <row r="589" spans="1:15" ht="15" customHeight="1">
      <c r="A589" s="908" t="s">
        <v>2103</v>
      </c>
      <c r="B589" s="909" t="s">
        <v>2104</v>
      </c>
      <c r="D589" s="915" t="e">
        <f>VLOOKUP(B580,'LƯƠNG KT'!$D$16:$Z$184,13,0)</f>
        <v>#N/A</v>
      </c>
      <c r="E589" s="916"/>
      <c r="F589" s="916"/>
      <c r="G589" s="908" t="s">
        <v>2103</v>
      </c>
      <c r="H589" s="909" t="s">
        <v>2104</v>
      </c>
      <c r="J589" s="915" t="e">
        <f>VLOOKUP(H580,'LƯƠNG KT'!$D$16:$Z$184,13,0)</f>
        <v>#N/A</v>
      </c>
    </row>
    <row r="590" spans="1:15" ht="15" customHeight="1">
      <c r="A590" s="547"/>
      <c r="B590" s="546"/>
      <c r="C590" s="910"/>
      <c r="D590" s="609"/>
      <c r="E590" s="914"/>
      <c r="F590" s="916"/>
      <c r="G590" s="547"/>
      <c r="H590" s="546"/>
      <c r="I590" s="910"/>
      <c r="J590" s="609"/>
    </row>
    <row r="591" spans="1:15" ht="15" customHeight="1">
      <c r="A591" s="905"/>
      <c r="B591" s="546"/>
      <c r="C591" s="910"/>
      <c r="D591" s="609"/>
      <c r="E591" s="917"/>
      <c r="F591" s="904"/>
      <c r="G591" s="905"/>
      <c r="H591" s="546"/>
      <c r="I591" s="910"/>
      <c r="J591" s="609"/>
    </row>
    <row r="592" spans="1:15" ht="15" customHeight="1">
      <c r="A592" s="918" t="s">
        <v>383</v>
      </c>
      <c r="B592" s="919" t="s">
        <v>384</v>
      </c>
      <c r="C592" s="920"/>
      <c r="D592" s="921" t="e">
        <f>SUM(D581:D588)-D591</f>
        <v>#N/A</v>
      </c>
      <c r="E592" s="922"/>
      <c r="F592" s="923"/>
      <c r="G592" s="918" t="s">
        <v>383</v>
      </c>
      <c r="H592" s="919" t="s">
        <v>384</v>
      </c>
      <c r="I592" s="920"/>
      <c r="J592" s="921" t="e">
        <f>SUM(J581:J588)-J591</f>
        <v>#N/A</v>
      </c>
    </row>
    <row r="593" spans="1:15" ht="15.75" customHeight="1">
      <c r="A593" s="924"/>
      <c r="B593" s="925"/>
      <c r="C593" s="926"/>
      <c r="D593" s="927"/>
      <c r="E593" s="927"/>
      <c r="F593" s="928"/>
      <c r="G593" s="924"/>
      <c r="H593" s="925"/>
      <c r="I593" s="926"/>
      <c r="J593" s="927"/>
    </row>
    <row r="595" spans="1:15" ht="12" customHeight="1">
      <c r="A595" s="2361"/>
      <c r="B595" s="2361"/>
      <c r="C595" s="2361"/>
      <c r="D595" s="2361"/>
      <c r="E595" s="2361"/>
      <c r="F595" s="2361"/>
      <c r="G595" s="2361"/>
      <c r="H595" s="2361"/>
      <c r="I595" s="2361"/>
      <c r="J595" s="2361"/>
    </row>
    <row r="596" spans="1:15" ht="15" customHeight="1">
      <c r="A596" s="2360" t="str">
        <f>$K$2</f>
        <v>THÁNG 04/2025</v>
      </c>
      <c r="B596" s="2360"/>
      <c r="C596" s="2360"/>
      <c r="D596" s="2360"/>
      <c r="E596" s="903"/>
      <c r="F596" s="904"/>
      <c r="G596" s="2360" t="str">
        <f>$K$2</f>
        <v>THÁNG 04/2025</v>
      </c>
      <c r="H596" s="2360"/>
      <c r="I596" s="2360"/>
      <c r="J596" s="2360"/>
      <c r="K596" s="276"/>
    </row>
    <row r="597" spans="1:15" ht="15" customHeight="1">
      <c r="A597" s="905" t="s">
        <v>356</v>
      </c>
      <c r="B597" s="642" t="s">
        <v>1975</v>
      </c>
      <c r="C597" s="546"/>
      <c r="D597" s="902"/>
      <c r="E597" s="906"/>
      <c r="F597" s="907"/>
      <c r="G597" s="905" t="s">
        <v>356</v>
      </c>
      <c r="H597" s="642" t="s">
        <v>1976</v>
      </c>
      <c r="I597" s="546"/>
      <c r="J597" s="902"/>
      <c r="L597" s="938"/>
      <c r="M597" s="938"/>
      <c r="N597" s="938"/>
      <c r="O597" s="938"/>
    </row>
    <row r="598" spans="1:15" ht="15" customHeight="1">
      <c r="A598" s="908" t="s">
        <v>359</v>
      </c>
      <c r="B598" s="909" t="s">
        <v>2090</v>
      </c>
      <c r="C598" s="910" t="e">
        <f>VLOOKUP(B597,'LƯƠNG KT'!$D$16:$Z$184,4,0)</f>
        <v>#N/A</v>
      </c>
      <c r="D598" s="609" t="e">
        <f>+C598*25000</f>
        <v>#N/A</v>
      </c>
      <c r="E598" s="911"/>
      <c r="F598" s="911"/>
      <c r="G598" s="908" t="s">
        <v>359</v>
      </c>
      <c r="H598" s="909" t="s">
        <v>2090</v>
      </c>
      <c r="I598" s="910" t="e">
        <f>VLOOKUP(H597,'LƯƠNG KT'!$D$16:$Z$184,4,0)</f>
        <v>#N/A</v>
      </c>
      <c r="J598" s="609" t="e">
        <f>+I598*25000</f>
        <v>#N/A</v>
      </c>
      <c r="K598" s="934"/>
      <c r="L598" s="935"/>
      <c r="M598" s="935"/>
      <c r="N598" s="935"/>
      <c r="O598" s="935"/>
    </row>
    <row r="599" spans="1:15" ht="15" customHeight="1">
      <c r="A599" s="908" t="s">
        <v>361</v>
      </c>
      <c r="B599" s="909" t="s">
        <v>2091</v>
      </c>
      <c r="C599" s="910" t="e">
        <f>VLOOKUP(B597,'LƯƠNG KT'!$D$16:$Z$184,15,0)</f>
        <v>#N/A</v>
      </c>
      <c r="D599" s="609" t="e">
        <f>C599*$L$4</f>
        <v>#N/A</v>
      </c>
      <c r="E599" s="912"/>
      <c r="F599" s="912"/>
      <c r="G599" s="908" t="s">
        <v>361</v>
      </c>
      <c r="H599" s="909" t="s">
        <v>2091</v>
      </c>
      <c r="I599" s="910" t="e">
        <f>VLOOKUP(H597,'LƯƠNG KT'!$D$16:$Z$184,15,0)</f>
        <v>#N/A</v>
      </c>
      <c r="J599" s="609" t="e">
        <f>I599*$L$4</f>
        <v>#N/A</v>
      </c>
      <c r="K599" s="934"/>
      <c r="L599" s="935"/>
      <c r="M599" s="935"/>
      <c r="N599" s="935"/>
      <c r="O599" s="935"/>
    </row>
    <row r="600" spans="1:15" ht="15" customHeight="1">
      <c r="A600" s="908" t="s">
        <v>364</v>
      </c>
      <c r="B600" s="909" t="s">
        <v>2092</v>
      </c>
      <c r="C600" s="910" t="e">
        <f>VLOOKUP(B597,'LƯƠNG KT'!$D$16:$Z$184,16,0)</f>
        <v>#N/A</v>
      </c>
      <c r="D600" s="609" t="e">
        <f>C600*$L$5</f>
        <v>#N/A</v>
      </c>
      <c r="E600" s="912"/>
      <c r="F600" s="912"/>
      <c r="G600" s="908" t="s">
        <v>364</v>
      </c>
      <c r="H600" s="909" t="s">
        <v>2092</v>
      </c>
      <c r="I600" s="910" t="e">
        <f>VLOOKUP(H597,'LƯƠNG KT'!$D$16:$Z$184,16,0)</f>
        <v>#N/A</v>
      </c>
      <c r="J600" s="609" t="e">
        <f>I600*$L$5</f>
        <v>#N/A</v>
      </c>
      <c r="K600" s="934"/>
      <c r="L600" s="935"/>
      <c r="M600" s="935"/>
      <c r="N600" s="935"/>
      <c r="O600" s="935"/>
    </row>
    <row r="601" spans="1:15" ht="15" customHeight="1">
      <c r="A601" s="908" t="s">
        <v>370</v>
      </c>
      <c r="B601" s="909" t="s">
        <v>2093</v>
      </c>
      <c r="C601" s="910" t="e">
        <f>VLOOKUP(B597,'LƯƠNG KT'!$D$16:$Z$184,24,0)</f>
        <v>#N/A</v>
      </c>
      <c r="D601" s="609" t="e">
        <f>+C601*$L$6</f>
        <v>#N/A</v>
      </c>
      <c r="E601" s="912"/>
      <c r="F601" s="912"/>
      <c r="G601" s="908" t="s">
        <v>370</v>
      </c>
      <c r="H601" s="909" t="s">
        <v>2093</v>
      </c>
      <c r="I601" s="910" t="e">
        <f>VLOOKUP(H597,'LƯƠNG KT'!$D$16:$Z$184,24,0)</f>
        <v>#N/A</v>
      </c>
      <c r="J601" s="609" t="e">
        <f>+I601*$L$6</f>
        <v>#N/A</v>
      </c>
      <c r="K601" s="935"/>
      <c r="L601" s="935"/>
      <c r="M601" s="935"/>
      <c r="N601" s="935"/>
      <c r="O601" s="935"/>
    </row>
    <row r="602" spans="1:15" ht="15" customHeight="1">
      <c r="A602" s="908" t="s">
        <v>2094</v>
      </c>
      <c r="B602" s="909" t="s">
        <v>2095</v>
      </c>
      <c r="C602" s="910" t="e">
        <f>VLOOKUP(B597,'LƯƠNG KT'!$D$16:$Z$184,19,0)</f>
        <v>#N/A</v>
      </c>
      <c r="D602" s="609" t="e">
        <f>+C602*$L$8</f>
        <v>#N/A</v>
      </c>
      <c r="E602" s="912"/>
      <c r="F602" s="912"/>
      <c r="G602" s="908" t="s">
        <v>2094</v>
      </c>
      <c r="H602" s="909" t="s">
        <v>2095</v>
      </c>
      <c r="I602" s="910" t="e">
        <f>VLOOKUP(H597,'LƯƠNG KT'!$D$16:$Z$184,19,0)</f>
        <v>#N/A</v>
      </c>
      <c r="J602" s="609" t="e">
        <f>+I602*$L$8</f>
        <v>#N/A</v>
      </c>
      <c r="K602" s="935"/>
      <c r="L602" s="935"/>
      <c r="M602" s="935"/>
      <c r="N602" s="935"/>
      <c r="O602" s="935"/>
    </row>
    <row r="603" spans="1:15" ht="15" customHeight="1">
      <c r="A603" s="908" t="s">
        <v>2096</v>
      </c>
      <c r="B603" s="913" t="s">
        <v>2097</v>
      </c>
      <c r="C603" s="910" t="e">
        <f>VLOOKUP(B597,'LƯƠNG KT'!$D$16:$Z$184,20,0)</f>
        <v>#N/A</v>
      </c>
      <c r="D603" s="609" t="e">
        <f>+C603*$L$9</f>
        <v>#N/A</v>
      </c>
      <c r="E603" s="912"/>
      <c r="F603" s="912"/>
      <c r="G603" s="908" t="s">
        <v>2096</v>
      </c>
      <c r="H603" s="913" t="s">
        <v>2097</v>
      </c>
      <c r="I603" s="910" t="e">
        <f>VLOOKUP(H597,'LƯƠNG KT'!$D$16:$Z$184,20,0)</f>
        <v>#N/A</v>
      </c>
      <c r="J603" s="609" t="e">
        <f>+I603*$L$9</f>
        <v>#N/A</v>
      </c>
      <c r="K603" s="935"/>
      <c r="L603" s="935"/>
      <c r="M603" s="935"/>
      <c r="N603" s="935"/>
      <c r="O603" s="935"/>
    </row>
    <row r="604" spans="1:15" ht="15" customHeight="1">
      <c r="A604" s="908" t="s">
        <v>2099</v>
      </c>
      <c r="B604" s="909" t="s">
        <v>2100</v>
      </c>
      <c r="C604" s="910" t="e">
        <f>VLOOKUP(B597,'LƯƠNG KT'!$D$16:$Z$184,17,0)</f>
        <v>#N/A</v>
      </c>
      <c r="D604" s="609" t="e">
        <f>+C604*$L$10</f>
        <v>#N/A</v>
      </c>
      <c r="E604" s="912"/>
      <c r="F604" s="912"/>
      <c r="G604" s="908" t="s">
        <v>2099</v>
      </c>
      <c r="H604" s="909" t="s">
        <v>2100</v>
      </c>
      <c r="I604" s="910" t="e">
        <f>VLOOKUP(H597,'LƯƠNG KT'!$D$16:$Z$184,17,0)</f>
        <v>#N/A</v>
      </c>
      <c r="J604" s="609" t="e">
        <f>+I604*$L$10</f>
        <v>#N/A</v>
      </c>
      <c r="K604" s="935"/>
      <c r="L604" s="935"/>
      <c r="M604" s="935"/>
      <c r="N604" s="935"/>
      <c r="O604" s="935"/>
    </row>
    <row r="605" spans="1:15" ht="15" customHeight="1">
      <c r="A605" s="908" t="s">
        <v>374</v>
      </c>
      <c r="B605" s="909" t="s">
        <v>2102</v>
      </c>
      <c r="C605" s="910" t="e">
        <f>VLOOKUP(B597,'LƯƠNG KT'!$D$16:$Z$184,12,0)</f>
        <v>#N/A</v>
      </c>
      <c r="D605" s="609" t="e">
        <f>VLOOKUP(B597,'LƯƠNG KT'!$D$16:$Z$184,14,0)</f>
        <v>#N/A</v>
      </c>
      <c r="E605" s="914"/>
      <c r="F605" s="912"/>
      <c r="G605" s="908" t="s">
        <v>374</v>
      </c>
      <c r="H605" s="909" t="s">
        <v>2102</v>
      </c>
      <c r="I605" s="910" t="e">
        <f>VLOOKUP(H597,'LƯƠNG KT'!$D$16:$Z$184,12,0)</f>
        <v>#N/A</v>
      </c>
      <c r="J605" s="609" t="e">
        <f>VLOOKUP(H597,'LƯƠNG KT'!$D$16:$Z$184,14,0)</f>
        <v>#N/A</v>
      </c>
      <c r="K605" s="935"/>
      <c r="L605" s="935"/>
      <c r="M605" s="935"/>
      <c r="N605" s="935"/>
      <c r="O605" s="935"/>
    </row>
    <row r="606" spans="1:15" ht="15" customHeight="1">
      <c r="A606" s="908" t="s">
        <v>2103</v>
      </c>
      <c r="B606" s="909" t="s">
        <v>2104</v>
      </c>
      <c r="D606" s="915" t="e">
        <f>VLOOKUP(B597,'LƯƠNG KT'!$D$16:$Z$184,13,0)</f>
        <v>#N/A</v>
      </c>
      <c r="E606" s="916"/>
      <c r="F606" s="916"/>
      <c r="G606" s="908" t="s">
        <v>2103</v>
      </c>
      <c r="H606" s="909" t="s">
        <v>2104</v>
      </c>
      <c r="J606" s="915" t="e">
        <f>VLOOKUP(H597,'LƯƠNG KT'!$D$16:$Z$184,13,0)</f>
        <v>#N/A</v>
      </c>
    </row>
    <row r="607" spans="1:15" ht="15" customHeight="1">
      <c r="A607" s="547"/>
      <c r="B607" s="546"/>
      <c r="C607" s="910"/>
      <c r="D607" s="609"/>
      <c r="E607" s="914"/>
      <c r="F607" s="916"/>
      <c r="G607" s="547"/>
      <c r="H607" s="546"/>
      <c r="I607" s="910"/>
      <c r="J607" s="609"/>
    </row>
    <row r="608" spans="1:15" ht="15" customHeight="1">
      <c r="A608" s="905"/>
      <c r="B608" s="546"/>
      <c r="C608" s="910"/>
      <c r="D608" s="609"/>
      <c r="E608" s="917"/>
      <c r="F608" s="904"/>
      <c r="G608" s="905"/>
      <c r="H608" s="546"/>
      <c r="I608" s="910"/>
      <c r="J608" s="609"/>
    </row>
    <row r="609" spans="1:15" ht="15" customHeight="1">
      <c r="A609" s="918" t="s">
        <v>383</v>
      </c>
      <c r="B609" s="919" t="s">
        <v>384</v>
      </c>
      <c r="C609" s="920"/>
      <c r="D609" s="921" t="e">
        <f>SUM(D598:D605)-D608</f>
        <v>#N/A</v>
      </c>
      <c r="E609" s="922"/>
      <c r="F609" s="923"/>
      <c r="G609" s="918" t="s">
        <v>383</v>
      </c>
      <c r="H609" s="919" t="s">
        <v>384</v>
      </c>
      <c r="I609" s="920"/>
      <c r="J609" s="921" t="e">
        <f>SUM(J598:J605)-J608</f>
        <v>#N/A</v>
      </c>
    </row>
    <row r="610" spans="1:15" ht="12.6" customHeight="1">
      <c r="A610" s="924"/>
      <c r="B610" s="925"/>
      <c r="C610" s="926"/>
      <c r="D610" s="927"/>
      <c r="E610" s="927"/>
      <c r="F610" s="928"/>
      <c r="G610" s="924"/>
      <c r="H610" s="925"/>
      <c r="I610" s="926"/>
      <c r="J610" s="927"/>
    </row>
    <row r="611" spans="1:15" ht="12.6" customHeight="1">
      <c r="A611" s="925"/>
      <c r="B611" s="925"/>
      <c r="C611" s="929"/>
      <c r="D611" s="930"/>
      <c r="E611" s="925"/>
      <c r="F611" s="931"/>
      <c r="G611" s="925"/>
      <c r="H611" s="925"/>
      <c r="I611" s="929"/>
      <c r="J611" s="930"/>
    </row>
    <row r="612" spans="1:15" ht="15" customHeight="1">
      <c r="A612" s="2360" t="str">
        <f>$K$2</f>
        <v>THÁNG 04/2025</v>
      </c>
      <c r="B612" s="2360"/>
      <c r="C612" s="2360"/>
      <c r="D612" s="2360"/>
      <c r="E612" s="903"/>
      <c r="F612" s="904"/>
      <c r="G612" s="2360" t="str">
        <f>$K$2</f>
        <v>THÁNG 04/2025</v>
      </c>
      <c r="H612" s="2360"/>
      <c r="I612" s="2360"/>
      <c r="J612" s="2360"/>
      <c r="K612" s="276"/>
    </row>
    <row r="613" spans="1:15" ht="15" customHeight="1">
      <c r="A613" s="905" t="s">
        <v>356</v>
      </c>
      <c r="B613" s="642" t="s">
        <v>447</v>
      </c>
      <c r="C613" s="546"/>
      <c r="D613" s="902"/>
      <c r="E613" s="906"/>
      <c r="F613" s="907"/>
      <c r="G613" s="905" t="s">
        <v>356</v>
      </c>
      <c r="H613" s="642" t="s">
        <v>1977</v>
      </c>
      <c r="I613" s="546"/>
      <c r="J613" s="902"/>
      <c r="L613" s="938"/>
      <c r="M613" s="938"/>
      <c r="N613" s="938"/>
      <c r="O613" s="938"/>
    </row>
    <row r="614" spans="1:15" ht="15" customHeight="1">
      <c r="A614" s="908" t="s">
        <v>359</v>
      </c>
      <c r="B614" s="909" t="s">
        <v>2090</v>
      </c>
      <c r="C614" s="910" t="e">
        <f>VLOOKUP(B613,'LƯƠNG KT'!$D$16:$Z$184,4,0)</f>
        <v>#N/A</v>
      </c>
      <c r="D614" s="609" t="e">
        <f>+C614*25000</f>
        <v>#N/A</v>
      </c>
      <c r="E614" s="911"/>
      <c r="F614" s="911"/>
      <c r="G614" s="908" t="s">
        <v>359</v>
      </c>
      <c r="H614" s="909" t="s">
        <v>2090</v>
      </c>
      <c r="I614" s="910" t="e">
        <f>VLOOKUP(H613,'LƯƠNG KT'!$D$16:$Z$184,4,0)</f>
        <v>#N/A</v>
      </c>
      <c r="J614" s="609" t="e">
        <f>+I614*25000</f>
        <v>#N/A</v>
      </c>
      <c r="K614" s="935"/>
      <c r="L614" s="935"/>
      <c r="M614" s="935"/>
      <c r="N614" s="935"/>
      <c r="O614" s="935"/>
    </row>
    <row r="615" spans="1:15" ht="15" customHeight="1">
      <c r="A615" s="908" t="s">
        <v>361</v>
      </c>
      <c r="B615" s="909" t="s">
        <v>2091</v>
      </c>
      <c r="C615" s="910" t="e">
        <f>VLOOKUP(B613,'LƯƠNG KT'!$D$16:$Z$184,15,0)</f>
        <v>#N/A</v>
      </c>
      <c r="D615" s="609" t="e">
        <f>C615*$L$4</f>
        <v>#N/A</v>
      </c>
      <c r="E615" s="912"/>
      <c r="F615" s="912"/>
      <c r="G615" s="908" t="s">
        <v>361</v>
      </c>
      <c r="H615" s="909" t="s">
        <v>2091</v>
      </c>
      <c r="I615" s="910" t="e">
        <f>VLOOKUP(H613,'LƯƠNG KT'!$D$16:$Z$184,15,0)</f>
        <v>#N/A</v>
      </c>
      <c r="J615" s="609" t="e">
        <f>I615*$L$4</f>
        <v>#N/A</v>
      </c>
      <c r="K615" s="935"/>
      <c r="L615" s="935"/>
      <c r="M615" s="935"/>
      <c r="N615" s="935"/>
      <c r="O615" s="935"/>
    </row>
    <row r="616" spans="1:15" ht="15" customHeight="1">
      <c r="A616" s="908" t="s">
        <v>364</v>
      </c>
      <c r="B616" s="909" t="s">
        <v>2092</v>
      </c>
      <c r="C616" s="910" t="e">
        <f>VLOOKUP(B613,'LƯƠNG KT'!$D$16:$Z$184,16,0)</f>
        <v>#N/A</v>
      </c>
      <c r="D616" s="609" t="e">
        <f>C616*$L$5</f>
        <v>#N/A</v>
      </c>
      <c r="E616" s="912"/>
      <c r="F616" s="912"/>
      <c r="G616" s="908" t="s">
        <v>364</v>
      </c>
      <c r="H616" s="909" t="s">
        <v>2092</v>
      </c>
      <c r="I616" s="910" t="e">
        <f>VLOOKUP(H613,'LƯƠNG KT'!$D$16:$Z$184,16,0)</f>
        <v>#N/A</v>
      </c>
      <c r="J616" s="609" t="e">
        <f>I616*$L$5</f>
        <v>#N/A</v>
      </c>
      <c r="K616" s="935"/>
      <c r="L616" s="935"/>
      <c r="M616" s="935"/>
      <c r="N616" s="935"/>
      <c r="O616" s="935"/>
    </row>
    <row r="617" spans="1:15" ht="15" customHeight="1">
      <c r="A617" s="908" t="s">
        <v>370</v>
      </c>
      <c r="B617" s="909" t="s">
        <v>2093</v>
      </c>
      <c r="C617" s="910" t="e">
        <f>VLOOKUP(B613,'LƯƠNG KT'!$D$16:$Z$184,24,0)</f>
        <v>#N/A</v>
      </c>
      <c r="D617" s="609" t="e">
        <f>+C617*$L$6</f>
        <v>#N/A</v>
      </c>
      <c r="E617" s="912"/>
      <c r="F617" s="912"/>
      <c r="G617" s="908" t="s">
        <v>370</v>
      </c>
      <c r="H617" s="909" t="s">
        <v>2093</v>
      </c>
      <c r="I617" s="910" t="e">
        <f>VLOOKUP(H613,'LƯƠNG KT'!$D$16:$Z$184,24,0)</f>
        <v>#N/A</v>
      </c>
      <c r="J617" s="609" t="e">
        <f>+I617*$L$6</f>
        <v>#N/A</v>
      </c>
      <c r="K617" s="935"/>
      <c r="L617" s="935"/>
      <c r="M617" s="935"/>
      <c r="N617" s="935"/>
      <c r="O617" s="935"/>
    </row>
    <row r="618" spans="1:15" ht="15" customHeight="1">
      <c r="A618" s="908" t="s">
        <v>2094</v>
      </c>
      <c r="B618" s="909" t="s">
        <v>2095</v>
      </c>
      <c r="C618" s="910" t="e">
        <f>VLOOKUP(B613,'LƯƠNG KT'!$D$16:$Z$184,19,0)</f>
        <v>#N/A</v>
      </c>
      <c r="D618" s="609" t="e">
        <f>+C618*$L$8</f>
        <v>#N/A</v>
      </c>
      <c r="E618" s="912"/>
      <c r="F618" s="912"/>
      <c r="G618" s="908" t="s">
        <v>2094</v>
      </c>
      <c r="H618" s="909" t="s">
        <v>2095</v>
      </c>
      <c r="I618" s="910" t="e">
        <f>VLOOKUP(H613,'LƯƠNG KT'!$D$16:$Z$184,19,0)</f>
        <v>#N/A</v>
      </c>
      <c r="J618" s="609" t="e">
        <f>+I618*$L$8</f>
        <v>#N/A</v>
      </c>
      <c r="K618" s="935"/>
      <c r="L618" s="935"/>
      <c r="M618" s="935"/>
      <c r="N618" s="935"/>
      <c r="O618" s="935"/>
    </row>
    <row r="619" spans="1:15" ht="15" customHeight="1">
      <c r="A619" s="908" t="s">
        <v>2096</v>
      </c>
      <c r="B619" s="913" t="s">
        <v>2097</v>
      </c>
      <c r="C619" s="910" t="e">
        <f>VLOOKUP(B613,'LƯƠNG KT'!$D$16:$Z$184,20,0)</f>
        <v>#N/A</v>
      </c>
      <c r="D619" s="609" t="e">
        <f>+C619*$L$9</f>
        <v>#N/A</v>
      </c>
      <c r="E619" s="912"/>
      <c r="F619" s="912"/>
      <c r="G619" s="908" t="s">
        <v>2096</v>
      </c>
      <c r="H619" s="913" t="s">
        <v>2097</v>
      </c>
      <c r="I619" s="910" t="e">
        <f>VLOOKUP(H613,'LƯƠNG KT'!$D$16:$Z$184,20,0)</f>
        <v>#N/A</v>
      </c>
      <c r="J619" s="609" t="e">
        <f>+I619*$L$9</f>
        <v>#N/A</v>
      </c>
      <c r="K619" s="935"/>
      <c r="L619" s="935"/>
      <c r="M619" s="935"/>
      <c r="N619" s="935"/>
      <c r="O619" s="935"/>
    </row>
    <row r="620" spans="1:15" ht="15" customHeight="1">
      <c r="A620" s="908" t="s">
        <v>2099</v>
      </c>
      <c r="B620" s="909" t="s">
        <v>2100</v>
      </c>
      <c r="C620" s="910" t="e">
        <f>VLOOKUP(B613,'LƯƠNG KT'!$D$16:$Z$184,17,0)</f>
        <v>#N/A</v>
      </c>
      <c r="D620" s="609" t="e">
        <f>+C620*$L$10</f>
        <v>#N/A</v>
      </c>
      <c r="E620" s="912"/>
      <c r="F620" s="912"/>
      <c r="G620" s="908" t="s">
        <v>2099</v>
      </c>
      <c r="H620" s="909" t="s">
        <v>2100</v>
      </c>
      <c r="I620" s="910" t="e">
        <f>VLOOKUP(H613,'LƯƠNG KT'!$D$16:$Z$184,17,0)</f>
        <v>#N/A</v>
      </c>
      <c r="J620" s="609" t="e">
        <f>+I620*$L$10</f>
        <v>#N/A</v>
      </c>
      <c r="K620" s="935"/>
      <c r="L620" s="935"/>
      <c r="M620" s="935"/>
      <c r="N620" s="935"/>
      <c r="O620" s="935"/>
    </row>
    <row r="621" spans="1:15" ht="15" customHeight="1">
      <c r="A621" s="908" t="s">
        <v>374</v>
      </c>
      <c r="B621" s="909" t="s">
        <v>2102</v>
      </c>
      <c r="C621" s="910" t="e">
        <f>VLOOKUP(B613,'LƯƠNG KT'!$D$16:$Z$184,12,0)</f>
        <v>#N/A</v>
      </c>
      <c r="D621" s="609" t="e">
        <f>VLOOKUP(B613,'LƯƠNG KT'!$D$16:$Z$184,14,0)</f>
        <v>#N/A</v>
      </c>
      <c r="E621" s="914"/>
      <c r="F621" s="912"/>
      <c r="G621" s="908" t="s">
        <v>374</v>
      </c>
      <c r="H621" s="909" t="s">
        <v>2102</v>
      </c>
      <c r="I621" s="910" t="e">
        <f>VLOOKUP(H613,'LƯƠNG KT'!$D$16:$Z$184,12,0)</f>
        <v>#N/A</v>
      </c>
      <c r="J621" s="609" t="e">
        <f>VLOOKUP(H613,'LƯƠNG KT'!$D$16:$Z$184,14,0)</f>
        <v>#N/A</v>
      </c>
      <c r="K621" s="935"/>
      <c r="L621" s="935"/>
      <c r="M621" s="935"/>
      <c r="N621" s="935"/>
      <c r="O621" s="935"/>
    </row>
    <row r="622" spans="1:15" ht="15" customHeight="1">
      <c r="A622" s="908" t="s">
        <v>2103</v>
      </c>
      <c r="B622" s="909" t="s">
        <v>2104</v>
      </c>
      <c r="D622" s="915" t="e">
        <f>VLOOKUP(B613,'LƯƠNG KT'!$D$16:$Z$184,13,0)</f>
        <v>#N/A</v>
      </c>
      <c r="E622" s="916"/>
      <c r="F622" s="916"/>
      <c r="G622" s="908" t="s">
        <v>2103</v>
      </c>
      <c r="H622" s="909" t="s">
        <v>2104</v>
      </c>
      <c r="J622" s="915" t="e">
        <f>VLOOKUP(H613,'LƯƠNG KT'!$D$16:$Z$184,13,0)</f>
        <v>#N/A</v>
      </c>
    </row>
    <row r="623" spans="1:15" ht="15" customHeight="1">
      <c r="A623" s="547"/>
      <c r="B623" s="546"/>
      <c r="C623" s="910"/>
      <c r="D623" s="609"/>
      <c r="E623" s="914"/>
      <c r="F623" s="916"/>
      <c r="G623" s="547"/>
      <c r="H623" s="546"/>
      <c r="I623" s="910"/>
      <c r="J623" s="609"/>
    </row>
    <row r="624" spans="1:15" ht="15" customHeight="1">
      <c r="A624" s="905"/>
      <c r="B624" s="546"/>
      <c r="C624" s="910"/>
      <c r="D624" s="609"/>
      <c r="E624" s="917"/>
      <c r="F624" s="904"/>
      <c r="G624" s="905"/>
      <c r="H624" s="546"/>
      <c r="I624" s="910"/>
      <c r="J624" s="609"/>
    </row>
    <row r="625" spans="1:15" ht="15" customHeight="1">
      <c r="A625" s="918" t="s">
        <v>383</v>
      </c>
      <c r="B625" s="919" t="s">
        <v>384</v>
      </c>
      <c r="C625" s="920"/>
      <c r="D625" s="921" t="e">
        <f>SUM(D614:D621)-D624</f>
        <v>#N/A</v>
      </c>
      <c r="E625" s="922"/>
      <c r="F625" s="923"/>
      <c r="G625" s="918" t="s">
        <v>383</v>
      </c>
      <c r="H625" s="919" t="s">
        <v>384</v>
      </c>
      <c r="I625" s="920"/>
      <c r="J625" s="921" t="e">
        <f>SUM(J614:J621)-J624</f>
        <v>#N/A</v>
      </c>
    </row>
    <row r="626" spans="1:15" ht="18.75" customHeight="1">
      <c r="A626" s="924"/>
      <c r="B626" s="925"/>
      <c r="C626" s="926"/>
      <c r="D626" s="927"/>
      <c r="E626" s="927"/>
      <c r="F626" s="928"/>
      <c r="G626" s="924"/>
      <c r="H626" s="925"/>
      <c r="I626" s="926"/>
      <c r="J626" s="927"/>
    </row>
    <row r="627" spans="1:15" ht="150.75" customHeight="1">
      <c r="A627" s="925"/>
      <c r="B627" s="925"/>
      <c r="C627" s="929"/>
      <c r="D627" s="930"/>
      <c r="E627" s="925"/>
      <c r="F627" s="931"/>
      <c r="G627" s="925"/>
      <c r="H627" s="925"/>
      <c r="I627" s="929"/>
      <c r="J627" s="930"/>
    </row>
    <row r="628" spans="1:15" ht="15" customHeight="1">
      <c r="A628" s="2360" t="str">
        <f>$K$2</f>
        <v>THÁNG 04/2025</v>
      </c>
      <c r="B628" s="2360"/>
      <c r="C628" s="2360"/>
      <c r="D628" s="2360"/>
      <c r="E628" s="903"/>
      <c r="F628" s="904"/>
      <c r="G628" s="2360" t="str">
        <f>$K$2</f>
        <v>THÁNG 04/2025</v>
      </c>
      <c r="H628" s="2360"/>
      <c r="I628" s="2360"/>
      <c r="J628" s="2360"/>
    </row>
    <row r="629" spans="1:15" ht="15" customHeight="1">
      <c r="A629" s="905" t="s">
        <v>356</v>
      </c>
      <c r="B629" s="642" t="s">
        <v>470</v>
      </c>
      <c r="C629" s="546"/>
      <c r="D629" s="902"/>
      <c r="E629" s="906"/>
      <c r="F629" s="907"/>
      <c r="G629" s="905" t="s">
        <v>356</v>
      </c>
      <c r="H629" s="642" t="s">
        <v>1978</v>
      </c>
      <c r="I629" s="546"/>
      <c r="J629" s="902"/>
      <c r="L629" s="938"/>
      <c r="M629" s="938"/>
      <c r="N629" s="938"/>
      <c r="O629" s="938"/>
    </row>
    <row r="630" spans="1:15" ht="15" customHeight="1">
      <c r="A630" s="908" t="s">
        <v>359</v>
      </c>
      <c r="B630" s="909" t="s">
        <v>2090</v>
      </c>
      <c r="C630" s="910" t="e">
        <f>VLOOKUP(B629,'LƯƠNG KT'!$D$16:$Z$184,4,0)</f>
        <v>#N/A</v>
      </c>
      <c r="D630" s="609" t="e">
        <f>+C630*25000</f>
        <v>#N/A</v>
      </c>
      <c r="E630" s="911"/>
      <c r="F630" s="911"/>
      <c r="G630" s="908" t="s">
        <v>359</v>
      </c>
      <c r="H630" s="909" t="s">
        <v>2090</v>
      </c>
      <c r="I630" s="910" t="e">
        <f>VLOOKUP(H629,'LƯƠNG KT'!$D$16:$Z$184,4,0)</f>
        <v>#N/A</v>
      </c>
      <c r="J630" s="609" t="e">
        <f>+I630*25000</f>
        <v>#N/A</v>
      </c>
      <c r="K630" s="935"/>
      <c r="L630" s="935"/>
      <c r="M630" s="935"/>
      <c r="N630" s="935"/>
      <c r="O630" s="935"/>
    </row>
    <row r="631" spans="1:15" ht="15" customHeight="1">
      <c r="A631" s="908" t="s">
        <v>361</v>
      </c>
      <c r="B631" s="909" t="s">
        <v>2091</v>
      </c>
      <c r="C631" s="910" t="e">
        <f>VLOOKUP(B629,'LƯƠNG KT'!$D$16:$Z$184,15,0)</f>
        <v>#N/A</v>
      </c>
      <c r="D631" s="609" t="e">
        <f>C631*$L$4</f>
        <v>#N/A</v>
      </c>
      <c r="E631" s="912"/>
      <c r="F631" s="912"/>
      <c r="G631" s="908" t="s">
        <v>361</v>
      </c>
      <c r="H631" s="909" t="s">
        <v>2091</v>
      </c>
      <c r="I631" s="910" t="e">
        <f>VLOOKUP(H629,'LƯƠNG KT'!$D$16:$Z$184,15,0)</f>
        <v>#N/A</v>
      </c>
      <c r="J631" s="609" t="e">
        <f>I631*$L$4</f>
        <v>#N/A</v>
      </c>
      <c r="K631" s="935"/>
      <c r="L631" s="935"/>
      <c r="M631" s="935"/>
      <c r="N631" s="935"/>
      <c r="O631" s="935"/>
    </row>
    <row r="632" spans="1:15" ht="15" customHeight="1">
      <c r="A632" s="908" t="s">
        <v>364</v>
      </c>
      <c r="B632" s="909" t="s">
        <v>2092</v>
      </c>
      <c r="C632" s="910" t="e">
        <f>VLOOKUP(B629,'LƯƠNG KT'!$D$16:$Z$184,16,0)</f>
        <v>#N/A</v>
      </c>
      <c r="D632" s="609" t="e">
        <f>C632*$L$5</f>
        <v>#N/A</v>
      </c>
      <c r="E632" s="912"/>
      <c r="F632" s="912"/>
      <c r="G632" s="908" t="s">
        <v>364</v>
      </c>
      <c r="H632" s="909" t="s">
        <v>2092</v>
      </c>
      <c r="I632" s="910" t="e">
        <f>VLOOKUP(H629,'LƯƠNG KT'!$D$16:$Z$184,16,0)</f>
        <v>#N/A</v>
      </c>
      <c r="J632" s="609" t="e">
        <f>I632*$L$5</f>
        <v>#N/A</v>
      </c>
      <c r="K632" s="935"/>
      <c r="L632" s="935"/>
      <c r="M632" s="935"/>
      <c r="N632" s="935"/>
      <c r="O632" s="935"/>
    </row>
    <row r="633" spans="1:15" ht="15" customHeight="1">
      <c r="A633" s="908" t="s">
        <v>370</v>
      </c>
      <c r="B633" s="909" t="s">
        <v>2093</v>
      </c>
      <c r="C633" s="910" t="e">
        <f>VLOOKUP(B629,'LƯƠNG KT'!$D$16:$Z$184,24,0)</f>
        <v>#N/A</v>
      </c>
      <c r="D633" s="609" t="e">
        <f>+C633*$L$6</f>
        <v>#N/A</v>
      </c>
      <c r="E633" s="912"/>
      <c r="F633" s="912"/>
      <c r="G633" s="908" t="s">
        <v>370</v>
      </c>
      <c r="H633" s="909" t="s">
        <v>2093</v>
      </c>
      <c r="I633" s="910" t="e">
        <f>VLOOKUP(H629,'LƯƠNG KT'!$D$16:$Z$184,24,0)</f>
        <v>#N/A</v>
      </c>
      <c r="J633" s="609" t="e">
        <f>+I633*$L$6</f>
        <v>#N/A</v>
      </c>
      <c r="K633" s="935"/>
      <c r="L633" s="935"/>
      <c r="M633" s="935"/>
      <c r="N633" s="935"/>
      <c r="O633" s="935"/>
    </row>
    <row r="634" spans="1:15" ht="15" customHeight="1">
      <c r="A634" s="908" t="s">
        <v>2094</v>
      </c>
      <c r="B634" s="909" t="s">
        <v>2095</v>
      </c>
      <c r="C634" s="910" t="e">
        <f>VLOOKUP(B629,'LƯƠNG KT'!$D$16:$Z$184,19,0)</f>
        <v>#N/A</v>
      </c>
      <c r="D634" s="609" t="e">
        <f>+C634*$L$8</f>
        <v>#N/A</v>
      </c>
      <c r="E634" s="912"/>
      <c r="F634" s="912"/>
      <c r="G634" s="908" t="s">
        <v>2094</v>
      </c>
      <c r="H634" s="909" t="s">
        <v>2095</v>
      </c>
      <c r="I634" s="910" t="e">
        <f>VLOOKUP(H629,'LƯƠNG KT'!$D$16:$Z$184,19,0)</f>
        <v>#N/A</v>
      </c>
      <c r="J634" s="609" t="e">
        <f>+I634*$L$8</f>
        <v>#N/A</v>
      </c>
      <c r="K634" s="935"/>
      <c r="L634" s="935"/>
      <c r="M634" s="935"/>
      <c r="N634" s="935"/>
      <c r="O634" s="935"/>
    </row>
    <row r="635" spans="1:15" ht="15" customHeight="1">
      <c r="A635" s="908" t="s">
        <v>2096</v>
      </c>
      <c r="B635" s="913" t="s">
        <v>2097</v>
      </c>
      <c r="C635" s="910" t="e">
        <f>VLOOKUP(B629,'LƯƠNG KT'!$D$16:$Z$184,20,0)</f>
        <v>#N/A</v>
      </c>
      <c r="D635" s="609" t="e">
        <f>+C635*$L$9</f>
        <v>#N/A</v>
      </c>
      <c r="E635" s="912"/>
      <c r="F635" s="912"/>
      <c r="G635" s="908" t="s">
        <v>2096</v>
      </c>
      <c r="H635" s="913" t="s">
        <v>2097</v>
      </c>
      <c r="I635" s="910" t="e">
        <f>VLOOKUP(H629,'LƯƠNG KT'!$D$16:$Z$184,20,0)</f>
        <v>#N/A</v>
      </c>
      <c r="J635" s="609" t="e">
        <f>+I635*$L$9</f>
        <v>#N/A</v>
      </c>
      <c r="K635" s="935"/>
      <c r="L635" s="935"/>
      <c r="M635" s="935"/>
      <c r="N635" s="935"/>
      <c r="O635" s="935"/>
    </row>
    <row r="636" spans="1:15" ht="15" customHeight="1">
      <c r="A636" s="908" t="s">
        <v>2099</v>
      </c>
      <c r="B636" s="909" t="s">
        <v>2100</v>
      </c>
      <c r="C636" s="910" t="e">
        <f>VLOOKUP(B629,'LƯƠNG KT'!$D$16:$Z$184,17,0)</f>
        <v>#N/A</v>
      </c>
      <c r="D636" s="609" t="e">
        <f>+C636*$L$10</f>
        <v>#N/A</v>
      </c>
      <c r="E636" s="912"/>
      <c r="F636" s="912"/>
      <c r="G636" s="908" t="s">
        <v>2099</v>
      </c>
      <c r="H636" s="909" t="s">
        <v>2100</v>
      </c>
      <c r="I636" s="910" t="e">
        <f>VLOOKUP(H629,'LƯƠNG KT'!$D$16:$Z$184,17,0)</f>
        <v>#N/A</v>
      </c>
      <c r="J636" s="609" t="e">
        <f>+I636*$L$10</f>
        <v>#N/A</v>
      </c>
      <c r="K636" s="935"/>
      <c r="L636" s="935"/>
      <c r="M636" s="935"/>
      <c r="N636" s="935"/>
      <c r="O636" s="935"/>
    </row>
    <row r="637" spans="1:15" ht="15" customHeight="1">
      <c r="A637" s="908" t="s">
        <v>374</v>
      </c>
      <c r="B637" s="909" t="s">
        <v>2102</v>
      </c>
      <c r="C637" s="910" t="e">
        <f>VLOOKUP(B629,'LƯƠNG KT'!$D$16:$Z$184,12,0)</f>
        <v>#N/A</v>
      </c>
      <c r="D637" s="609" t="e">
        <f>VLOOKUP(B629,'LƯƠNG KT'!$D$16:$Z$184,14,0)</f>
        <v>#N/A</v>
      </c>
      <c r="E637" s="914"/>
      <c r="F637" s="912"/>
      <c r="G637" s="908" t="s">
        <v>374</v>
      </c>
      <c r="H637" s="909" t="s">
        <v>2102</v>
      </c>
      <c r="I637" s="910" t="e">
        <f>VLOOKUP(H629,'LƯƠNG KT'!$D$16:$Z$184,12,0)</f>
        <v>#N/A</v>
      </c>
      <c r="J637" s="609" t="e">
        <f>VLOOKUP(H629,'LƯƠNG KT'!$D$16:$Z$184,14,0)</f>
        <v>#N/A</v>
      </c>
      <c r="K637" s="935"/>
      <c r="L637" s="935"/>
      <c r="M637" s="935"/>
      <c r="N637" s="935"/>
      <c r="O637" s="935"/>
    </row>
    <row r="638" spans="1:15" ht="15" customHeight="1">
      <c r="A638" s="908" t="s">
        <v>2103</v>
      </c>
      <c r="B638" s="909" t="s">
        <v>2104</v>
      </c>
      <c r="D638" s="915" t="e">
        <f>VLOOKUP(B629,'LƯƠNG KT'!$D$16:$Z$184,13,0)</f>
        <v>#N/A</v>
      </c>
      <c r="E638" s="916"/>
      <c r="F638" s="916"/>
      <c r="G638" s="908" t="s">
        <v>2103</v>
      </c>
      <c r="H638" s="909" t="s">
        <v>2104</v>
      </c>
      <c r="J638" s="915" t="e">
        <f>VLOOKUP(H629,'LƯƠNG KT'!$D$16:$Z$184,13,0)</f>
        <v>#N/A</v>
      </c>
    </row>
    <row r="639" spans="1:15" ht="15" customHeight="1">
      <c r="A639" s="547"/>
      <c r="B639" s="546"/>
      <c r="C639" s="910"/>
      <c r="D639" s="609"/>
      <c r="E639" s="914"/>
      <c r="F639" s="916"/>
      <c r="G639" s="547"/>
      <c r="H639" s="546"/>
      <c r="I639" s="910"/>
      <c r="J639" s="609"/>
    </row>
    <row r="640" spans="1:15" ht="15" customHeight="1">
      <c r="A640" s="905"/>
      <c r="B640" s="546"/>
      <c r="C640" s="910"/>
      <c r="D640" s="609"/>
      <c r="E640" s="917"/>
      <c r="F640" s="904"/>
      <c r="G640" s="905"/>
      <c r="H640" s="546"/>
      <c r="I640" s="910"/>
      <c r="J640" s="609"/>
    </row>
    <row r="641" spans="1:15" ht="15" customHeight="1">
      <c r="A641" s="918" t="s">
        <v>383</v>
      </c>
      <c r="B641" s="919" t="s">
        <v>384</v>
      </c>
      <c r="C641" s="920"/>
      <c r="D641" s="921" t="e">
        <f>SUM(D630:D637)-D640</f>
        <v>#N/A</v>
      </c>
      <c r="E641" s="922"/>
      <c r="F641" s="923"/>
      <c r="G641" s="918" t="s">
        <v>383</v>
      </c>
      <c r="H641" s="919" t="s">
        <v>384</v>
      </c>
      <c r="I641" s="920"/>
      <c r="J641" s="921" t="e">
        <f>SUM(J630:J637)-J640</f>
        <v>#N/A</v>
      </c>
    </row>
    <row r="642" spans="1:15" ht="18.75" customHeight="1">
      <c r="A642" s="924"/>
      <c r="B642" s="925"/>
      <c r="C642" s="926"/>
      <c r="D642" s="927"/>
      <c r="E642" s="927"/>
      <c r="F642" s="928"/>
      <c r="G642" s="924"/>
      <c r="H642" s="925"/>
      <c r="I642" s="926"/>
      <c r="J642" s="927"/>
    </row>
    <row r="643" spans="1:15" ht="18.75" customHeight="1">
      <c r="A643" s="925"/>
      <c r="B643" s="925"/>
      <c r="C643" s="929"/>
      <c r="D643" s="930"/>
      <c r="E643" s="925"/>
      <c r="F643" s="931"/>
      <c r="G643" s="925"/>
      <c r="H643" s="925"/>
      <c r="I643" s="929"/>
      <c r="J643" s="930"/>
    </row>
    <row r="644" spans="1:15" ht="15" customHeight="1">
      <c r="A644" s="2360" t="str">
        <f>$K$2</f>
        <v>THÁNG 04/2025</v>
      </c>
      <c r="B644" s="2360"/>
      <c r="C644" s="2360"/>
      <c r="D644" s="2360"/>
      <c r="E644" s="903"/>
      <c r="F644" s="904"/>
      <c r="G644" s="2360" t="str">
        <f>$K$2</f>
        <v>THÁNG 04/2025</v>
      </c>
      <c r="H644" s="2360"/>
      <c r="I644" s="2360"/>
      <c r="J644" s="2360"/>
      <c r="K644" s="276"/>
    </row>
    <row r="645" spans="1:15" ht="15" customHeight="1">
      <c r="A645" s="905" t="s">
        <v>356</v>
      </c>
      <c r="B645" s="642" t="s">
        <v>451</v>
      </c>
      <c r="C645" s="546"/>
      <c r="D645" s="902"/>
      <c r="E645" s="906"/>
      <c r="F645" s="907"/>
      <c r="G645" s="905" t="s">
        <v>356</v>
      </c>
      <c r="H645" s="642" t="s">
        <v>452</v>
      </c>
      <c r="I645" s="546"/>
      <c r="J645" s="902"/>
      <c r="L645" s="938"/>
      <c r="M645" s="938"/>
      <c r="N645" s="938"/>
      <c r="O645" s="938"/>
    </row>
    <row r="646" spans="1:15" ht="15" customHeight="1">
      <c r="A646" s="908" t="s">
        <v>359</v>
      </c>
      <c r="B646" s="909" t="s">
        <v>2090</v>
      </c>
      <c r="C646" s="910" t="e">
        <f>VLOOKUP(B645,'LƯƠNG KT'!$D$16:$Z$184,4,0)</f>
        <v>#N/A</v>
      </c>
      <c r="D646" s="609" t="e">
        <f>+C646*25000</f>
        <v>#N/A</v>
      </c>
      <c r="E646" s="911"/>
      <c r="F646" s="911"/>
      <c r="G646" s="908" t="s">
        <v>359</v>
      </c>
      <c r="H646" s="909" t="s">
        <v>2090</v>
      </c>
      <c r="I646" s="910" t="e">
        <f>VLOOKUP(H645,'LƯƠNG KT'!$D$16:$Z$184,4,0)</f>
        <v>#N/A</v>
      </c>
      <c r="J646" s="609" t="e">
        <f>+I646*25000</f>
        <v>#N/A</v>
      </c>
      <c r="K646" s="935"/>
      <c r="L646" s="935"/>
      <c r="M646" s="935"/>
      <c r="N646" s="935"/>
      <c r="O646" s="935"/>
    </row>
    <row r="647" spans="1:15" ht="15" customHeight="1">
      <c r="A647" s="908" t="s">
        <v>361</v>
      </c>
      <c r="B647" s="909" t="s">
        <v>2091</v>
      </c>
      <c r="C647" s="910" t="e">
        <f>VLOOKUP(B645,'LƯƠNG KT'!$D$16:$Z$184,15,0)</f>
        <v>#N/A</v>
      </c>
      <c r="D647" s="609" t="e">
        <f>C647*$L$4</f>
        <v>#N/A</v>
      </c>
      <c r="E647" s="912"/>
      <c r="F647" s="912"/>
      <c r="G647" s="908" t="s">
        <v>361</v>
      </c>
      <c r="H647" s="909" t="s">
        <v>2091</v>
      </c>
      <c r="I647" s="910" t="e">
        <f>VLOOKUP(H645,'LƯƠNG KT'!$D$16:$Z$184,15,0)</f>
        <v>#N/A</v>
      </c>
      <c r="J647" s="609" t="e">
        <f>I647*$L$4</f>
        <v>#N/A</v>
      </c>
      <c r="K647" s="935"/>
      <c r="L647" s="935"/>
      <c r="M647" s="935"/>
      <c r="N647" s="935"/>
      <c r="O647" s="935"/>
    </row>
    <row r="648" spans="1:15" ht="15" customHeight="1">
      <c r="A648" s="908" t="s">
        <v>364</v>
      </c>
      <c r="B648" s="909" t="s">
        <v>2092</v>
      </c>
      <c r="C648" s="910" t="e">
        <f>VLOOKUP(B645,'LƯƠNG KT'!$D$16:$Z$184,16,0)</f>
        <v>#N/A</v>
      </c>
      <c r="D648" s="609" t="e">
        <f>C648*$L$5</f>
        <v>#N/A</v>
      </c>
      <c r="E648" s="912"/>
      <c r="F648" s="912"/>
      <c r="G648" s="908" t="s">
        <v>364</v>
      </c>
      <c r="H648" s="909" t="s">
        <v>2092</v>
      </c>
      <c r="I648" s="910" t="e">
        <f>VLOOKUP(H645,'LƯƠNG KT'!$D$16:$Z$184,16,0)</f>
        <v>#N/A</v>
      </c>
      <c r="J648" s="609" t="e">
        <f>I648*$L$5</f>
        <v>#N/A</v>
      </c>
      <c r="K648" s="935"/>
      <c r="L648" s="935"/>
      <c r="M648" s="935"/>
      <c r="N648" s="935"/>
      <c r="O648" s="935"/>
    </row>
    <row r="649" spans="1:15" ht="15" customHeight="1">
      <c r="A649" s="908" t="s">
        <v>370</v>
      </c>
      <c r="B649" s="909" t="s">
        <v>2093</v>
      </c>
      <c r="C649" s="910" t="e">
        <f>VLOOKUP(B645,'LƯƠNG KT'!$D$16:$Z$184,24,0)</f>
        <v>#N/A</v>
      </c>
      <c r="D649" s="609" t="e">
        <f>+C649*$L$6</f>
        <v>#N/A</v>
      </c>
      <c r="E649" s="912"/>
      <c r="F649" s="912"/>
      <c r="G649" s="908" t="s">
        <v>370</v>
      </c>
      <c r="H649" s="909" t="s">
        <v>2093</v>
      </c>
      <c r="I649" s="910" t="e">
        <f>VLOOKUP(H645,'LƯƠNG KT'!$D$16:$Z$184,24,0)</f>
        <v>#N/A</v>
      </c>
      <c r="J649" s="609" t="e">
        <f>+I649*$L$6</f>
        <v>#N/A</v>
      </c>
      <c r="K649" s="935"/>
      <c r="L649" s="935"/>
      <c r="M649" s="935"/>
      <c r="N649" s="935"/>
      <c r="O649" s="935"/>
    </row>
    <row r="650" spans="1:15" ht="15" customHeight="1">
      <c r="A650" s="908" t="s">
        <v>2094</v>
      </c>
      <c r="B650" s="909" t="s">
        <v>2095</v>
      </c>
      <c r="C650" s="910" t="e">
        <f>VLOOKUP(B645,'LƯƠNG KT'!$D$16:$Z$184,19,0)</f>
        <v>#N/A</v>
      </c>
      <c r="D650" s="609" t="e">
        <f>+C650*$L$8</f>
        <v>#N/A</v>
      </c>
      <c r="E650" s="912"/>
      <c r="F650" s="912"/>
      <c r="G650" s="908" t="s">
        <v>2094</v>
      </c>
      <c r="H650" s="909" t="s">
        <v>2095</v>
      </c>
      <c r="I650" s="910" t="e">
        <f>VLOOKUP(H645,'LƯƠNG KT'!$D$16:$Z$184,19,0)</f>
        <v>#N/A</v>
      </c>
      <c r="J650" s="609" t="e">
        <f>+I650*$L$8</f>
        <v>#N/A</v>
      </c>
      <c r="K650" s="935"/>
      <c r="L650" s="935"/>
      <c r="M650" s="935"/>
      <c r="N650" s="935"/>
      <c r="O650" s="935"/>
    </row>
    <row r="651" spans="1:15" ht="15" customHeight="1">
      <c r="A651" s="908" t="s">
        <v>2096</v>
      </c>
      <c r="B651" s="913" t="s">
        <v>2097</v>
      </c>
      <c r="C651" s="910" t="e">
        <f>VLOOKUP(B645,'LƯƠNG KT'!$D$16:$Z$184,20,0)</f>
        <v>#N/A</v>
      </c>
      <c r="D651" s="609" t="e">
        <f>+C651*$L$9</f>
        <v>#N/A</v>
      </c>
      <c r="E651" s="912"/>
      <c r="F651" s="912"/>
      <c r="G651" s="908" t="s">
        <v>2096</v>
      </c>
      <c r="H651" s="913" t="s">
        <v>2097</v>
      </c>
      <c r="I651" s="910" t="e">
        <f>VLOOKUP(H645,'LƯƠNG KT'!$D$16:$Z$184,20,0)</f>
        <v>#N/A</v>
      </c>
      <c r="J651" s="609" t="e">
        <f>+I651*$L$9</f>
        <v>#N/A</v>
      </c>
      <c r="K651" s="935"/>
      <c r="L651" s="935"/>
      <c r="M651" s="935"/>
      <c r="N651" s="935"/>
      <c r="O651" s="935"/>
    </row>
    <row r="652" spans="1:15" ht="15" customHeight="1">
      <c r="A652" s="908" t="s">
        <v>2099</v>
      </c>
      <c r="B652" s="909" t="s">
        <v>2100</v>
      </c>
      <c r="C652" s="910" t="e">
        <f>VLOOKUP(B645,'LƯƠNG KT'!$D$16:$Z$184,17,0)</f>
        <v>#N/A</v>
      </c>
      <c r="D652" s="609" t="e">
        <f>+C652*$L$10</f>
        <v>#N/A</v>
      </c>
      <c r="E652" s="912"/>
      <c r="F652" s="912"/>
      <c r="G652" s="908" t="s">
        <v>2099</v>
      </c>
      <c r="H652" s="909" t="s">
        <v>2100</v>
      </c>
      <c r="I652" s="910" t="e">
        <f>VLOOKUP(H645,'LƯƠNG KT'!$D$16:$Z$184,17,0)</f>
        <v>#N/A</v>
      </c>
      <c r="J652" s="609" t="e">
        <f>+I652*$L$10</f>
        <v>#N/A</v>
      </c>
      <c r="K652" s="935"/>
      <c r="L652" s="935"/>
      <c r="M652" s="935"/>
      <c r="N652" s="935"/>
      <c r="O652" s="935"/>
    </row>
    <row r="653" spans="1:15" ht="15" customHeight="1">
      <c r="A653" s="908" t="s">
        <v>374</v>
      </c>
      <c r="B653" s="909" t="s">
        <v>2102</v>
      </c>
      <c r="C653" s="910" t="e">
        <f>VLOOKUP(B645,'LƯƠNG KT'!$D$16:$Z$184,12,0)</f>
        <v>#N/A</v>
      </c>
      <c r="D653" s="609" t="e">
        <f>VLOOKUP(B645,'LƯƠNG KT'!$D$16:$Z$184,14,0)</f>
        <v>#N/A</v>
      </c>
      <c r="E653" s="914"/>
      <c r="F653" s="912"/>
      <c r="G653" s="908" t="s">
        <v>374</v>
      </c>
      <c r="H653" s="909" t="s">
        <v>2102</v>
      </c>
      <c r="I653" s="910" t="e">
        <f>VLOOKUP(H645,'LƯƠNG KT'!$D$16:$Z$184,12,0)</f>
        <v>#N/A</v>
      </c>
      <c r="J653" s="609" t="e">
        <f>VLOOKUP(H645,'LƯƠNG KT'!$D$16:$Z$184,14,0)</f>
        <v>#N/A</v>
      </c>
      <c r="K653" s="935"/>
      <c r="L653" s="935"/>
      <c r="M653" s="935"/>
      <c r="N653" s="935"/>
      <c r="O653" s="935"/>
    </row>
    <row r="654" spans="1:15" ht="15" customHeight="1">
      <c r="A654" s="908" t="s">
        <v>2103</v>
      </c>
      <c r="B654" s="909" t="s">
        <v>2104</v>
      </c>
      <c r="D654" s="915" t="e">
        <f>VLOOKUP(B645,'LƯƠNG KT'!$D$16:$Z$184,13,0)</f>
        <v>#N/A</v>
      </c>
      <c r="E654" s="916"/>
      <c r="F654" s="916"/>
      <c r="G654" s="908" t="s">
        <v>2103</v>
      </c>
      <c r="H654" s="909" t="s">
        <v>2104</v>
      </c>
      <c r="J654" s="915" t="e">
        <f>VLOOKUP(H645,'LƯƠNG KT'!$D$16:$Z$184,13,0)</f>
        <v>#N/A</v>
      </c>
    </row>
    <row r="655" spans="1:15" ht="15" customHeight="1">
      <c r="A655" s="547"/>
      <c r="B655" s="546"/>
      <c r="C655" s="910"/>
      <c r="D655" s="609"/>
      <c r="E655" s="914"/>
      <c r="F655" s="916"/>
      <c r="G655" s="547"/>
      <c r="H655" s="546"/>
      <c r="I655" s="910"/>
      <c r="J655" s="609"/>
    </row>
    <row r="656" spans="1:15" ht="15" customHeight="1">
      <c r="A656" s="905"/>
      <c r="B656" s="546"/>
      <c r="C656" s="910"/>
      <c r="D656" s="609"/>
      <c r="E656" s="917"/>
      <c r="F656" s="904"/>
      <c r="G656" s="905"/>
      <c r="H656" s="546"/>
      <c r="I656" s="910"/>
      <c r="J656" s="609"/>
    </row>
    <row r="657" spans="1:15" ht="15" customHeight="1">
      <c r="A657" s="918" t="s">
        <v>383</v>
      </c>
      <c r="B657" s="919" t="s">
        <v>384</v>
      </c>
      <c r="C657" s="920"/>
      <c r="D657" s="921" t="e">
        <f>SUM(D646:D653)-D656</f>
        <v>#N/A</v>
      </c>
      <c r="E657" s="922"/>
      <c r="F657" s="923"/>
      <c r="G657" s="918" t="s">
        <v>383</v>
      </c>
      <c r="H657" s="919" t="s">
        <v>384</v>
      </c>
      <c r="I657" s="920"/>
      <c r="J657" s="921" t="e">
        <f>SUM(J646:J653)-J656</f>
        <v>#N/A</v>
      </c>
    </row>
    <row r="658" spans="1:15" ht="15.75" customHeight="1">
      <c r="A658" s="924"/>
      <c r="B658" s="925"/>
      <c r="C658" s="926"/>
      <c r="D658" s="927"/>
      <c r="E658" s="927"/>
      <c r="F658" s="928"/>
      <c r="G658" s="924"/>
      <c r="H658" s="925"/>
      <c r="I658" s="926"/>
      <c r="J658" s="927"/>
    </row>
    <row r="660" spans="1:15" ht="12" customHeight="1">
      <c r="A660" s="2361"/>
      <c r="B660" s="2361"/>
      <c r="C660" s="2361"/>
      <c r="D660" s="2361"/>
      <c r="E660" s="2361"/>
      <c r="F660" s="2361"/>
      <c r="G660" s="2361"/>
      <c r="H660" s="2361"/>
      <c r="I660" s="2361"/>
      <c r="J660" s="2361"/>
    </row>
    <row r="661" spans="1:15" ht="15" customHeight="1">
      <c r="A661" s="2360" t="str">
        <f>$K$2</f>
        <v>THÁNG 04/2025</v>
      </c>
      <c r="B661" s="2360"/>
      <c r="C661" s="2360"/>
      <c r="D661" s="2360"/>
      <c r="E661" s="903"/>
      <c r="F661" s="904"/>
      <c r="G661" s="2360" t="str">
        <f>$K$2</f>
        <v>THÁNG 04/2025</v>
      </c>
      <c r="H661" s="2360"/>
      <c r="I661" s="2360"/>
      <c r="J661" s="2360"/>
      <c r="K661" s="276"/>
    </row>
    <row r="662" spans="1:15" ht="15" customHeight="1">
      <c r="A662" s="905" t="s">
        <v>356</v>
      </c>
      <c r="B662" s="642" t="s">
        <v>453</v>
      </c>
      <c r="C662" s="546"/>
      <c r="D662" s="902"/>
      <c r="E662" s="906"/>
      <c r="F662" s="907"/>
      <c r="G662" s="905" t="s">
        <v>356</v>
      </c>
      <c r="H662" s="642" t="s">
        <v>454</v>
      </c>
      <c r="I662" s="546"/>
      <c r="J662" s="902"/>
      <c r="L662" s="938"/>
      <c r="M662" s="938"/>
      <c r="N662" s="938"/>
      <c r="O662" s="938"/>
    </row>
    <row r="663" spans="1:15" ht="15" customHeight="1">
      <c r="A663" s="908" t="s">
        <v>359</v>
      </c>
      <c r="B663" s="909" t="s">
        <v>2090</v>
      </c>
      <c r="C663" s="910" t="e">
        <f>VLOOKUP(B662,'LƯƠNG KT'!$D$16:$Z$184,4,0)</f>
        <v>#N/A</v>
      </c>
      <c r="D663" s="609" t="e">
        <f>+C663*25000</f>
        <v>#N/A</v>
      </c>
      <c r="E663" s="911"/>
      <c r="F663" s="911"/>
      <c r="G663" s="908" t="s">
        <v>359</v>
      </c>
      <c r="H663" s="909" t="s">
        <v>2090</v>
      </c>
      <c r="I663" s="910" t="e">
        <f>VLOOKUP(H662,'LƯƠNG KT'!$D$16:$Z$184,4,0)</f>
        <v>#N/A</v>
      </c>
      <c r="J663" s="609" t="e">
        <f>+I663*25000</f>
        <v>#N/A</v>
      </c>
      <c r="K663" s="934"/>
      <c r="L663" s="935"/>
      <c r="M663" s="935"/>
      <c r="N663" s="935"/>
      <c r="O663" s="935"/>
    </row>
    <row r="664" spans="1:15" ht="15" customHeight="1">
      <c r="A664" s="908" t="s">
        <v>361</v>
      </c>
      <c r="B664" s="909" t="s">
        <v>2091</v>
      </c>
      <c r="C664" s="910" t="e">
        <f>VLOOKUP(B662,'LƯƠNG KT'!$D$16:$Z$184,15,0)</f>
        <v>#N/A</v>
      </c>
      <c r="D664" s="609" t="e">
        <f>C664*$L$4</f>
        <v>#N/A</v>
      </c>
      <c r="E664" s="912"/>
      <c r="F664" s="912"/>
      <c r="G664" s="908" t="s">
        <v>361</v>
      </c>
      <c r="H664" s="909" t="s">
        <v>2091</v>
      </c>
      <c r="I664" s="910" t="e">
        <f>VLOOKUP(H662,'LƯƠNG KT'!$D$16:$Z$184,15,0)</f>
        <v>#N/A</v>
      </c>
      <c r="J664" s="609" t="e">
        <f>I664*$L$4</f>
        <v>#N/A</v>
      </c>
      <c r="K664" s="934"/>
      <c r="L664" s="935"/>
      <c r="M664" s="935"/>
      <c r="N664" s="935"/>
      <c r="O664" s="935"/>
    </row>
    <row r="665" spans="1:15" ht="15" customHeight="1">
      <c r="A665" s="908" t="s">
        <v>364</v>
      </c>
      <c r="B665" s="909" t="s">
        <v>2092</v>
      </c>
      <c r="C665" s="910" t="e">
        <f>VLOOKUP(B662,'LƯƠNG KT'!$D$16:$Z$184,16,0)</f>
        <v>#N/A</v>
      </c>
      <c r="D665" s="609" t="e">
        <f>C665*$L$5</f>
        <v>#N/A</v>
      </c>
      <c r="E665" s="912"/>
      <c r="F665" s="912"/>
      <c r="G665" s="908" t="s">
        <v>364</v>
      </c>
      <c r="H665" s="909" t="s">
        <v>2092</v>
      </c>
      <c r="I665" s="910" t="e">
        <f>VLOOKUP(H662,'LƯƠNG KT'!$D$16:$Z$184,16,0)</f>
        <v>#N/A</v>
      </c>
      <c r="J665" s="609" t="e">
        <f>I665*$L$5</f>
        <v>#N/A</v>
      </c>
      <c r="K665" s="934"/>
      <c r="L665" s="935"/>
      <c r="M665" s="935"/>
      <c r="N665" s="935"/>
      <c r="O665" s="935"/>
    </row>
    <row r="666" spans="1:15" ht="15" customHeight="1">
      <c r="A666" s="908" t="s">
        <v>370</v>
      </c>
      <c r="B666" s="909" t="s">
        <v>2093</v>
      </c>
      <c r="C666" s="910" t="e">
        <f>VLOOKUP(B662,'LƯƠNG KT'!$D$16:$Z$184,24,0)</f>
        <v>#N/A</v>
      </c>
      <c r="D666" s="609" t="e">
        <f>+C666*$L$6</f>
        <v>#N/A</v>
      </c>
      <c r="E666" s="912"/>
      <c r="F666" s="912"/>
      <c r="G666" s="908" t="s">
        <v>370</v>
      </c>
      <c r="H666" s="909" t="s">
        <v>2093</v>
      </c>
      <c r="I666" s="910" t="e">
        <f>VLOOKUP(H662,'LƯƠNG KT'!$D$16:$Z$184,24,0)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8" t="s">
        <v>2094</v>
      </c>
      <c r="B667" s="909" t="s">
        <v>2095</v>
      </c>
      <c r="C667" s="910" t="e">
        <f>VLOOKUP(B662,'LƯƠNG KT'!$D$16:$Z$184,19,0)</f>
        <v>#N/A</v>
      </c>
      <c r="D667" s="609" t="e">
        <f>+C667*$L$8</f>
        <v>#N/A</v>
      </c>
      <c r="E667" s="912"/>
      <c r="F667" s="912"/>
      <c r="G667" s="908" t="s">
        <v>2094</v>
      </c>
      <c r="H667" s="909" t="s">
        <v>2095</v>
      </c>
      <c r="I667" s="910" t="e">
        <f>VLOOKUP(H662,'LƯƠNG KT'!$D$16:$Z$184,19,0)</f>
        <v>#N/A</v>
      </c>
      <c r="J667" s="609" t="e">
        <f>+I667*$L$8</f>
        <v>#N/A</v>
      </c>
      <c r="K667" s="935"/>
      <c r="L667" s="935"/>
      <c r="M667" s="935"/>
      <c r="N667" s="935"/>
      <c r="O667" s="935"/>
    </row>
    <row r="668" spans="1:15" ht="15" customHeight="1">
      <c r="A668" s="908" t="s">
        <v>2096</v>
      </c>
      <c r="B668" s="913" t="s">
        <v>2097</v>
      </c>
      <c r="C668" s="910" t="e">
        <f>VLOOKUP(B662,'LƯƠNG KT'!$D$16:$Z$184,20,0)</f>
        <v>#N/A</v>
      </c>
      <c r="D668" s="609" t="e">
        <f>+C668*$L$9</f>
        <v>#N/A</v>
      </c>
      <c r="E668" s="912"/>
      <c r="F668" s="912"/>
      <c r="G668" s="908" t="s">
        <v>2096</v>
      </c>
      <c r="H668" s="913" t="s">
        <v>2097</v>
      </c>
      <c r="I668" s="910" t="e">
        <f>VLOOKUP(H662,'LƯƠNG KT'!$D$16:$Z$184,20,0)</f>
        <v>#N/A</v>
      </c>
      <c r="J668" s="609" t="e">
        <f>+I668*$L$9</f>
        <v>#N/A</v>
      </c>
      <c r="K668" s="935"/>
      <c r="L668" s="935"/>
      <c r="M668" s="935"/>
      <c r="N668" s="935"/>
      <c r="O668" s="935"/>
    </row>
    <row r="669" spans="1:15" ht="15" customHeight="1">
      <c r="A669" s="908" t="s">
        <v>2099</v>
      </c>
      <c r="B669" s="909" t="s">
        <v>2100</v>
      </c>
      <c r="C669" s="910" t="e">
        <f>VLOOKUP(B662,'LƯƠNG KT'!$D$16:$Z$184,17,0)</f>
        <v>#N/A</v>
      </c>
      <c r="D669" s="609" t="e">
        <f>+C669*$L$10</f>
        <v>#N/A</v>
      </c>
      <c r="E669" s="912"/>
      <c r="F669" s="912"/>
      <c r="G669" s="908" t="s">
        <v>2099</v>
      </c>
      <c r="H669" s="909" t="s">
        <v>2100</v>
      </c>
      <c r="I669" s="910" t="e">
        <f>VLOOKUP(H662,'LƯƠNG KT'!$D$16:$Z$184,17,0)</f>
        <v>#N/A</v>
      </c>
      <c r="J669" s="609" t="e">
        <f>+I669*$L$10</f>
        <v>#N/A</v>
      </c>
      <c r="K669" s="935"/>
      <c r="L669" s="935"/>
      <c r="M669" s="935"/>
      <c r="N669" s="935"/>
      <c r="O669" s="935"/>
    </row>
    <row r="670" spans="1:15" ht="15" customHeight="1">
      <c r="A670" s="908" t="s">
        <v>374</v>
      </c>
      <c r="B670" s="909" t="s">
        <v>2102</v>
      </c>
      <c r="C670" s="910" t="e">
        <f>VLOOKUP(B662,'LƯƠNG KT'!$D$16:$Z$184,12,0)</f>
        <v>#N/A</v>
      </c>
      <c r="D670" s="609" t="e">
        <f>VLOOKUP(B662,'LƯƠNG KT'!$D$16:$Z$184,14,0)</f>
        <v>#N/A</v>
      </c>
      <c r="E670" s="914"/>
      <c r="F670" s="912"/>
      <c r="G670" s="908" t="s">
        <v>374</v>
      </c>
      <c r="H670" s="909" t="s">
        <v>2102</v>
      </c>
      <c r="I670" s="910" t="e">
        <f>VLOOKUP(H662,'LƯƠNG KT'!$D$16:$Z$184,12,0)</f>
        <v>#N/A</v>
      </c>
      <c r="J670" s="609" t="e">
        <f>VLOOKUP(H662,'LƯƠNG KT'!$D$16:$Z$184,14,0)</f>
        <v>#N/A</v>
      </c>
      <c r="K670" s="935"/>
      <c r="L670" s="935"/>
      <c r="M670" s="935"/>
      <c r="N670" s="935"/>
      <c r="O670" s="935"/>
    </row>
    <row r="671" spans="1:15" ht="15" customHeight="1">
      <c r="A671" s="908" t="s">
        <v>2103</v>
      </c>
      <c r="B671" s="909" t="s">
        <v>2104</v>
      </c>
      <c r="D671" s="915" t="e">
        <f>VLOOKUP(B662,'LƯƠNG KT'!$D$16:$Z$184,13,0)</f>
        <v>#N/A</v>
      </c>
      <c r="E671" s="916"/>
      <c r="F671" s="916"/>
      <c r="G671" s="908" t="s">
        <v>2103</v>
      </c>
      <c r="H671" s="909" t="s">
        <v>2104</v>
      </c>
      <c r="J671" s="915" t="e">
        <f>VLOOKUP(H662,'LƯƠNG KT'!$D$16:$Z$184,13,0)</f>
        <v>#N/A</v>
      </c>
    </row>
    <row r="672" spans="1:15" ht="15" customHeight="1">
      <c r="A672" s="547"/>
      <c r="B672" s="546"/>
      <c r="C672" s="910"/>
      <c r="D672" s="609"/>
      <c r="E672" s="914"/>
      <c r="F672" s="916"/>
      <c r="G672" s="547"/>
      <c r="H672" s="546"/>
      <c r="I672" s="910"/>
      <c r="J672" s="609"/>
    </row>
    <row r="673" spans="1:15" ht="15" customHeight="1">
      <c r="A673" s="905"/>
      <c r="B673" s="546"/>
      <c r="C673" s="910"/>
      <c r="D673" s="609"/>
      <c r="E673" s="917"/>
      <c r="F673" s="904"/>
      <c r="G673" s="905"/>
      <c r="H673" s="546"/>
      <c r="I673" s="910"/>
      <c r="J673" s="609"/>
    </row>
    <row r="674" spans="1:15" ht="15" customHeight="1">
      <c r="A674" s="918" t="s">
        <v>383</v>
      </c>
      <c r="B674" s="919" t="s">
        <v>384</v>
      </c>
      <c r="C674" s="920"/>
      <c r="D674" s="921" t="e">
        <f>SUM(D663:D670)-D673</f>
        <v>#N/A</v>
      </c>
      <c r="E674" s="922"/>
      <c r="F674" s="923"/>
      <c r="G674" s="918" t="s">
        <v>383</v>
      </c>
      <c r="H674" s="919" t="s">
        <v>384</v>
      </c>
      <c r="I674" s="920"/>
      <c r="J674" s="921" t="e">
        <f>SUM(J663:J670)-J673</f>
        <v>#N/A</v>
      </c>
    </row>
    <row r="675" spans="1:15" ht="12.6" customHeight="1">
      <c r="A675" s="924"/>
      <c r="B675" s="925"/>
      <c r="C675" s="926"/>
      <c r="D675" s="927"/>
      <c r="E675" s="927"/>
      <c r="F675" s="928"/>
      <c r="G675" s="924"/>
      <c r="H675" s="925"/>
      <c r="I675" s="926"/>
      <c r="J675" s="927"/>
    </row>
    <row r="676" spans="1:15" ht="132.75" customHeight="1">
      <c r="A676" s="925"/>
      <c r="B676" s="925"/>
      <c r="C676" s="929"/>
      <c r="D676" s="930"/>
      <c r="E676" s="925"/>
      <c r="F676" s="931"/>
      <c r="G676" s="925"/>
      <c r="H676" s="925"/>
      <c r="I676" s="929"/>
      <c r="J676" s="930"/>
    </row>
    <row r="677" spans="1:15" ht="15" customHeight="1">
      <c r="A677" s="2360" t="str">
        <f>$K$2</f>
        <v>THÁNG 04/2025</v>
      </c>
      <c r="B677" s="2360"/>
      <c r="C677" s="2360"/>
      <c r="D677" s="2360"/>
      <c r="E677" s="903"/>
      <c r="F677" s="904"/>
      <c r="G677" s="2360" t="str">
        <f>$K$2</f>
        <v>THÁNG 04/2025</v>
      </c>
      <c r="H677" s="2360"/>
      <c r="I677" s="2360"/>
      <c r="J677" s="2360"/>
      <c r="K677" s="276"/>
    </row>
    <row r="678" spans="1:15" ht="15" customHeight="1">
      <c r="A678" s="905" t="s">
        <v>356</v>
      </c>
      <c r="B678" s="642" t="s">
        <v>911</v>
      </c>
      <c r="C678" s="546"/>
      <c r="D678" s="902"/>
      <c r="E678" s="906"/>
      <c r="F678" s="907"/>
      <c r="G678" s="905" t="s">
        <v>356</v>
      </c>
      <c r="H678" s="642" t="s">
        <v>1979</v>
      </c>
      <c r="I678" s="546"/>
      <c r="J678" s="902"/>
      <c r="L678" s="938"/>
      <c r="M678" s="938"/>
      <c r="N678" s="938"/>
      <c r="O678" s="938"/>
    </row>
    <row r="679" spans="1:15" ht="15" customHeight="1">
      <c r="A679" s="908" t="s">
        <v>359</v>
      </c>
      <c r="B679" s="909" t="s">
        <v>2090</v>
      </c>
      <c r="C679" s="910" t="e">
        <f>VLOOKUP(B678,'LƯƠNG KT'!$D$16:$Z$184,4,0)</f>
        <v>#N/A</v>
      </c>
      <c r="D679" s="609" t="e">
        <f>+C679*25000</f>
        <v>#N/A</v>
      </c>
      <c r="E679" s="911"/>
      <c r="F679" s="911"/>
      <c r="G679" s="908" t="s">
        <v>359</v>
      </c>
      <c r="H679" s="909" t="s">
        <v>2090</v>
      </c>
      <c r="I679" s="910" t="e">
        <f>VLOOKUP(H678,'LƯƠNG KT'!$D$16:$Z$184,4,0)</f>
        <v>#N/A</v>
      </c>
      <c r="J679" s="609" t="e">
        <f>+I679*25000</f>
        <v>#N/A</v>
      </c>
      <c r="K679" s="935"/>
      <c r="L679" s="935"/>
      <c r="M679" s="935"/>
      <c r="N679" s="935"/>
      <c r="O679" s="935"/>
    </row>
    <row r="680" spans="1:15" ht="15" customHeight="1">
      <c r="A680" s="908" t="s">
        <v>361</v>
      </c>
      <c r="B680" s="909" t="s">
        <v>2091</v>
      </c>
      <c r="C680" s="910" t="e">
        <f>VLOOKUP(B678,'LƯƠNG KT'!$D$16:$Z$184,15,0)</f>
        <v>#N/A</v>
      </c>
      <c r="D680" s="609" t="e">
        <f>C680*$L$4</f>
        <v>#N/A</v>
      </c>
      <c r="E680" s="912"/>
      <c r="F680" s="912"/>
      <c r="G680" s="908" t="s">
        <v>361</v>
      </c>
      <c r="H680" s="909" t="s">
        <v>2091</v>
      </c>
      <c r="I680" s="910" t="e">
        <f>VLOOKUP(H678,'LƯƠNG KT'!$D$16:$Z$184,15,0)</f>
        <v>#N/A</v>
      </c>
      <c r="J680" s="609" t="e">
        <f>I680*$L$4</f>
        <v>#N/A</v>
      </c>
      <c r="K680" s="935"/>
      <c r="L680" s="935"/>
      <c r="M680" s="935"/>
      <c r="N680" s="935"/>
      <c r="O680" s="935"/>
    </row>
    <row r="681" spans="1:15" ht="15" customHeight="1">
      <c r="A681" s="908" t="s">
        <v>364</v>
      </c>
      <c r="B681" s="909" t="s">
        <v>2092</v>
      </c>
      <c r="C681" s="910" t="e">
        <f>VLOOKUP(B678,'LƯƠNG KT'!$D$16:$Z$184,16,0)</f>
        <v>#N/A</v>
      </c>
      <c r="D681" s="609" t="e">
        <f>C681*$L$5</f>
        <v>#N/A</v>
      </c>
      <c r="E681" s="912"/>
      <c r="F681" s="912"/>
      <c r="G681" s="908" t="s">
        <v>364</v>
      </c>
      <c r="H681" s="909" t="s">
        <v>2092</v>
      </c>
      <c r="I681" s="910" t="e">
        <f>VLOOKUP(H678,'LƯƠNG KT'!$D$16:$Z$184,16,0)</f>
        <v>#N/A</v>
      </c>
      <c r="J681" s="609" t="e">
        <f>I681*$L$5</f>
        <v>#N/A</v>
      </c>
      <c r="K681" s="935"/>
      <c r="L681" s="935"/>
      <c r="M681" s="935"/>
      <c r="N681" s="935"/>
      <c r="O681" s="935"/>
    </row>
    <row r="682" spans="1:15" ht="15" customHeight="1">
      <c r="A682" s="908" t="s">
        <v>370</v>
      </c>
      <c r="B682" s="909" t="s">
        <v>2093</v>
      </c>
      <c r="C682" s="910" t="e">
        <f>VLOOKUP(B678,'LƯƠNG KT'!$D$16:$Z$184,24,0)</f>
        <v>#N/A</v>
      </c>
      <c r="D682" s="609" t="e">
        <f>+C682*$L$6</f>
        <v>#N/A</v>
      </c>
      <c r="E682" s="912"/>
      <c r="F682" s="912"/>
      <c r="G682" s="908" t="s">
        <v>370</v>
      </c>
      <c r="H682" s="909" t="s">
        <v>2093</v>
      </c>
      <c r="I682" s="910" t="e">
        <f>VLOOKUP(H678,'LƯƠNG KT'!$D$16:$Z$184,24,0)</f>
        <v>#N/A</v>
      </c>
      <c r="J682" s="609" t="e">
        <f>+I682*$L$6</f>
        <v>#N/A</v>
      </c>
      <c r="K682" s="935"/>
      <c r="L682" s="935"/>
      <c r="M682" s="935"/>
      <c r="N682" s="935"/>
      <c r="O682" s="935"/>
    </row>
    <row r="683" spans="1:15" ht="15" customHeight="1">
      <c r="A683" s="908" t="s">
        <v>2094</v>
      </c>
      <c r="B683" s="909" t="s">
        <v>2095</v>
      </c>
      <c r="C683" s="910" t="e">
        <f>VLOOKUP(B678,'LƯƠNG KT'!$D$16:$Z$184,19,0)</f>
        <v>#N/A</v>
      </c>
      <c r="D683" s="609" t="e">
        <f>+C683*$L$8</f>
        <v>#N/A</v>
      </c>
      <c r="E683" s="912"/>
      <c r="F683" s="912"/>
      <c r="G683" s="908" t="s">
        <v>2094</v>
      </c>
      <c r="H683" s="909" t="s">
        <v>2095</v>
      </c>
      <c r="I683" s="910" t="e">
        <f>VLOOKUP(H678,'LƯƠNG KT'!$D$16:$Z$184,19,0)</f>
        <v>#N/A</v>
      </c>
      <c r="J683" s="609" t="e">
        <f>+I683*$L$8</f>
        <v>#N/A</v>
      </c>
      <c r="K683" s="935"/>
      <c r="L683" s="935"/>
      <c r="M683" s="935"/>
      <c r="N683" s="935"/>
      <c r="O683" s="935"/>
    </row>
    <row r="684" spans="1:15" ht="15" customHeight="1">
      <c r="A684" s="908" t="s">
        <v>2096</v>
      </c>
      <c r="B684" s="913" t="s">
        <v>2097</v>
      </c>
      <c r="C684" s="910" t="e">
        <f>VLOOKUP(B678,'LƯƠNG KT'!$D$16:$Z$184,20,0)</f>
        <v>#N/A</v>
      </c>
      <c r="D684" s="609" t="e">
        <f>+C684*$L$9</f>
        <v>#N/A</v>
      </c>
      <c r="E684" s="912"/>
      <c r="F684" s="912"/>
      <c r="G684" s="908" t="s">
        <v>2096</v>
      </c>
      <c r="H684" s="913" t="s">
        <v>2097</v>
      </c>
      <c r="I684" s="910" t="e">
        <f>VLOOKUP(H678,'LƯƠNG KT'!$D$16:$Z$184,20,0)</f>
        <v>#N/A</v>
      </c>
      <c r="J684" s="609" t="e">
        <f>+I684*$L$9</f>
        <v>#N/A</v>
      </c>
      <c r="K684" s="935"/>
      <c r="L684" s="935"/>
      <c r="M684" s="935"/>
      <c r="N684" s="935"/>
      <c r="O684" s="935"/>
    </row>
    <row r="685" spans="1:15" ht="15" customHeight="1">
      <c r="A685" s="908" t="s">
        <v>2099</v>
      </c>
      <c r="B685" s="909" t="s">
        <v>2100</v>
      </c>
      <c r="C685" s="910" t="e">
        <f>VLOOKUP(B678,'LƯƠNG KT'!$D$16:$Z$184,17,0)</f>
        <v>#N/A</v>
      </c>
      <c r="D685" s="609" t="e">
        <f>+C685*$L$10</f>
        <v>#N/A</v>
      </c>
      <c r="E685" s="912"/>
      <c r="F685" s="912"/>
      <c r="G685" s="908" t="s">
        <v>2099</v>
      </c>
      <c r="H685" s="909" t="s">
        <v>2100</v>
      </c>
      <c r="I685" s="910" t="e">
        <f>VLOOKUP(H678,'LƯƠNG KT'!$D$16:$Z$184,17,0)</f>
        <v>#N/A</v>
      </c>
      <c r="J685" s="609" t="e">
        <f>+I685*$L$10</f>
        <v>#N/A</v>
      </c>
      <c r="K685" s="935"/>
      <c r="L685" s="935"/>
      <c r="M685" s="935"/>
      <c r="N685" s="935"/>
      <c r="O685" s="935"/>
    </row>
    <row r="686" spans="1:15" ht="15" customHeight="1">
      <c r="A686" s="908" t="s">
        <v>374</v>
      </c>
      <c r="B686" s="909" t="s">
        <v>2102</v>
      </c>
      <c r="C686" s="910" t="e">
        <f>VLOOKUP(B678,'LƯƠNG KT'!$D$16:$Z$184,12,0)</f>
        <v>#N/A</v>
      </c>
      <c r="D686" s="609" t="e">
        <f>VLOOKUP(B678,'LƯƠNG KT'!$D$16:$Z$184,14,0)</f>
        <v>#N/A</v>
      </c>
      <c r="E686" s="914"/>
      <c r="F686" s="912"/>
      <c r="G686" s="908" t="s">
        <v>374</v>
      </c>
      <c r="H686" s="909" t="s">
        <v>2102</v>
      </c>
      <c r="I686" s="910" t="e">
        <f>VLOOKUP(H678,'LƯƠNG KT'!$D$16:$Z$184,12,0)</f>
        <v>#N/A</v>
      </c>
      <c r="J686" s="609" t="e">
        <f>VLOOKUP(H678,'LƯƠNG KT'!$D$16:$Z$184,14,0)</f>
        <v>#N/A</v>
      </c>
      <c r="K686" s="935"/>
      <c r="L686" s="935"/>
      <c r="M686" s="935"/>
      <c r="N686" s="935"/>
      <c r="O686" s="935"/>
    </row>
    <row r="687" spans="1:15" ht="15" customHeight="1">
      <c r="A687" s="908" t="s">
        <v>2103</v>
      </c>
      <c r="B687" s="909" t="s">
        <v>2104</v>
      </c>
      <c r="D687" s="915" t="e">
        <f>VLOOKUP(B678,'LƯƠNG KT'!$D$16:$Z$184,13,0)</f>
        <v>#N/A</v>
      </c>
      <c r="E687" s="916"/>
      <c r="F687" s="916"/>
      <c r="G687" s="908" t="s">
        <v>2103</v>
      </c>
      <c r="H687" s="909" t="s">
        <v>2104</v>
      </c>
      <c r="J687" s="915" t="e">
        <f>VLOOKUP(H678,'LƯƠNG KT'!$D$16:$Z$184,13,0)</f>
        <v>#N/A</v>
      </c>
    </row>
    <row r="688" spans="1:15" ht="15" customHeight="1">
      <c r="A688" s="547"/>
      <c r="B688" s="546"/>
      <c r="C688" s="910"/>
      <c r="D688" s="609"/>
      <c r="E688" s="914"/>
      <c r="F688" s="916"/>
      <c r="G688" s="547"/>
      <c r="H688" s="546"/>
      <c r="I688" s="910"/>
      <c r="J688" s="609"/>
    </row>
    <row r="689" spans="1:15" ht="15" customHeight="1">
      <c r="A689" s="905"/>
      <c r="B689" s="546"/>
      <c r="C689" s="910"/>
      <c r="D689" s="609"/>
      <c r="E689" s="917"/>
      <c r="F689" s="904"/>
      <c r="G689" s="905"/>
      <c r="H689" s="546"/>
      <c r="I689" s="910"/>
      <c r="J689" s="609"/>
    </row>
    <row r="690" spans="1:15" ht="15" customHeight="1">
      <c r="A690" s="918" t="s">
        <v>383</v>
      </c>
      <c r="B690" s="919" t="s">
        <v>384</v>
      </c>
      <c r="C690" s="920"/>
      <c r="D690" s="921" t="e">
        <f>SUM(D679:D686)-D689</f>
        <v>#N/A</v>
      </c>
      <c r="E690" s="922"/>
      <c r="F690" s="923"/>
      <c r="G690" s="918" t="s">
        <v>383</v>
      </c>
      <c r="H690" s="919" t="s">
        <v>384</v>
      </c>
      <c r="I690" s="920"/>
      <c r="J690" s="921" t="e">
        <f>SUM(J679:J686)-J689</f>
        <v>#N/A</v>
      </c>
    </row>
    <row r="691" spans="1:15" ht="18.75" customHeight="1">
      <c r="A691" s="924"/>
      <c r="B691" s="925"/>
      <c r="C691" s="926"/>
      <c r="D691" s="927"/>
      <c r="E691" s="927"/>
      <c r="F691" s="928"/>
      <c r="G691" s="924"/>
      <c r="H691" s="925"/>
      <c r="I691" s="926"/>
      <c r="J691" s="927"/>
    </row>
    <row r="692" spans="1:15" ht="18.75" customHeight="1">
      <c r="A692" s="925"/>
      <c r="B692" s="925"/>
      <c r="C692" s="929"/>
      <c r="D692" s="930"/>
      <c r="E692" s="925"/>
      <c r="F692" s="931"/>
      <c r="G692" s="925"/>
      <c r="H692" s="925"/>
      <c r="I692" s="929"/>
      <c r="J692" s="930"/>
    </row>
    <row r="693" spans="1:15" ht="15" customHeight="1">
      <c r="A693" s="2360" t="str">
        <f>$K$2</f>
        <v>THÁNG 04/2025</v>
      </c>
      <c r="B693" s="2360"/>
      <c r="C693" s="2360"/>
      <c r="D693" s="2360"/>
      <c r="E693" s="903"/>
      <c r="F693" s="904"/>
      <c r="G693" s="2360" t="str">
        <f>$K$2</f>
        <v>THÁNG 04/2025</v>
      </c>
      <c r="H693" s="2360"/>
      <c r="I693" s="2360"/>
      <c r="J693" s="2360"/>
      <c r="K693" s="276"/>
    </row>
    <row r="694" spans="1:15" ht="15" customHeight="1">
      <c r="A694" s="905" t="s">
        <v>356</v>
      </c>
      <c r="B694" s="642" t="s">
        <v>457</v>
      </c>
      <c r="C694" s="546"/>
      <c r="D694" s="902"/>
      <c r="E694" s="906"/>
      <c r="F694" s="907"/>
      <c r="G694" s="905" t="s">
        <v>356</v>
      </c>
      <c r="H694" s="642" t="s">
        <v>467</v>
      </c>
      <c r="I694" s="546"/>
      <c r="J694" s="902"/>
      <c r="L694" s="938"/>
      <c r="M694" s="938"/>
      <c r="N694" s="938"/>
      <c r="O694" s="938"/>
    </row>
    <row r="695" spans="1:15" ht="15" customHeight="1">
      <c r="A695" s="908" t="s">
        <v>359</v>
      </c>
      <c r="B695" s="909" t="s">
        <v>2090</v>
      </c>
      <c r="C695" s="910" t="e">
        <f>VLOOKUP(B694,'LƯƠNG KT'!$D$16:$Z$184,4,0)</f>
        <v>#N/A</v>
      </c>
      <c r="D695" s="609" t="e">
        <f>+C695*25000</f>
        <v>#N/A</v>
      </c>
      <c r="E695" s="911"/>
      <c r="F695" s="911"/>
      <c r="G695" s="908" t="s">
        <v>359</v>
      </c>
      <c r="H695" s="909" t="s">
        <v>2090</v>
      </c>
      <c r="I695" s="910" t="e">
        <f>VLOOKUP(H694,'LƯƠNG KT'!$D$16:$Z$184,4,0)</f>
        <v>#N/A</v>
      </c>
      <c r="J695" s="609" t="e">
        <f>+I695*25000</f>
        <v>#N/A</v>
      </c>
      <c r="K695" s="935"/>
      <c r="L695" s="935"/>
      <c r="M695" s="935"/>
      <c r="N695" s="935"/>
      <c r="O695" s="935"/>
    </row>
    <row r="696" spans="1:15" ht="15" customHeight="1">
      <c r="A696" s="908" t="s">
        <v>361</v>
      </c>
      <c r="B696" s="909" t="s">
        <v>2091</v>
      </c>
      <c r="C696" s="910" t="e">
        <f>VLOOKUP(B694,'LƯƠNG KT'!$D$16:$Z$184,15,0)</f>
        <v>#N/A</v>
      </c>
      <c r="D696" s="609" t="e">
        <f>C696*$L$4</f>
        <v>#N/A</v>
      </c>
      <c r="E696" s="912"/>
      <c r="F696" s="912"/>
      <c r="G696" s="908" t="s">
        <v>361</v>
      </c>
      <c r="H696" s="909" t="s">
        <v>2091</v>
      </c>
      <c r="I696" s="910" t="e">
        <f>VLOOKUP(H694,'LƯƠNG KT'!$D$16:$Z$184,15,0)</f>
        <v>#N/A</v>
      </c>
      <c r="J696" s="609" t="e">
        <f>I696*$L$4</f>
        <v>#N/A</v>
      </c>
      <c r="K696" s="935"/>
      <c r="L696" s="935"/>
      <c r="M696" s="935"/>
      <c r="N696" s="935"/>
      <c r="O696" s="935"/>
    </row>
    <row r="697" spans="1:15" ht="15" customHeight="1">
      <c r="A697" s="908" t="s">
        <v>364</v>
      </c>
      <c r="B697" s="909" t="s">
        <v>2092</v>
      </c>
      <c r="C697" s="910" t="e">
        <f>VLOOKUP(B694,'LƯƠNG KT'!$D$16:$Z$184,16,0)</f>
        <v>#N/A</v>
      </c>
      <c r="D697" s="609" t="e">
        <f>C697*$L$5</f>
        <v>#N/A</v>
      </c>
      <c r="E697" s="912"/>
      <c r="F697" s="912"/>
      <c r="G697" s="908" t="s">
        <v>364</v>
      </c>
      <c r="H697" s="909" t="s">
        <v>2092</v>
      </c>
      <c r="I697" s="910" t="e">
        <f>VLOOKUP(H694,'LƯƠNG KT'!$D$16:$Z$184,16,0)</f>
        <v>#N/A</v>
      </c>
      <c r="J697" s="609" t="e">
        <f>I697*$L$5</f>
        <v>#N/A</v>
      </c>
      <c r="K697" s="935"/>
      <c r="L697" s="935"/>
      <c r="M697" s="935"/>
      <c r="N697" s="935"/>
      <c r="O697" s="935"/>
    </row>
    <row r="698" spans="1:15" ht="15" customHeight="1">
      <c r="A698" s="908" t="s">
        <v>370</v>
      </c>
      <c r="B698" s="909" t="s">
        <v>2093</v>
      </c>
      <c r="C698" s="910" t="e">
        <f>VLOOKUP(B694,'LƯƠNG KT'!$D$16:$Z$184,24,0)</f>
        <v>#N/A</v>
      </c>
      <c r="D698" s="609" t="e">
        <f>+C698*$L$6</f>
        <v>#N/A</v>
      </c>
      <c r="E698" s="912"/>
      <c r="F698" s="912"/>
      <c r="G698" s="908" t="s">
        <v>370</v>
      </c>
      <c r="H698" s="909" t="s">
        <v>2093</v>
      </c>
      <c r="I698" s="910" t="e">
        <f>VLOOKUP(H694,'LƯƠNG KT'!$D$16:$Z$184,24,0)</f>
        <v>#N/A</v>
      </c>
      <c r="J698" s="609" t="e">
        <f>+I698*$L$6</f>
        <v>#N/A</v>
      </c>
      <c r="K698" s="935"/>
      <c r="L698" s="935"/>
      <c r="M698" s="935"/>
      <c r="N698" s="935"/>
      <c r="O698" s="935"/>
    </row>
    <row r="699" spans="1:15" ht="15" customHeight="1">
      <c r="A699" s="908" t="s">
        <v>2094</v>
      </c>
      <c r="B699" s="909" t="s">
        <v>2095</v>
      </c>
      <c r="C699" s="910" t="e">
        <f>VLOOKUP(B694,'LƯƠNG KT'!$D$16:$Z$184,19,0)</f>
        <v>#N/A</v>
      </c>
      <c r="D699" s="609" t="e">
        <f>+C699*$L$8</f>
        <v>#N/A</v>
      </c>
      <c r="E699" s="912"/>
      <c r="F699" s="912"/>
      <c r="G699" s="908" t="s">
        <v>2094</v>
      </c>
      <c r="H699" s="909" t="s">
        <v>2095</v>
      </c>
      <c r="I699" s="910" t="e">
        <f>VLOOKUP(H694,'LƯƠNG KT'!$D$16:$Z$184,19,0)</f>
        <v>#N/A</v>
      </c>
      <c r="J699" s="609" t="e">
        <f>+I699*$L$8</f>
        <v>#N/A</v>
      </c>
      <c r="K699" s="935"/>
      <c r="L699" s="935"/>
      <c r="M699" s="935"/>
      <c r="N699" s="935"/>
      <c r="O699" s="935"/>
    </row>
    <row r="700" spans="1:15" ht="15" customHeight="1">
      <c r="A700" s="908" t="s">
        <v>2096</v>
      </c>
      <c r="B700" s="913" t="s">
        <v>2097</v>
      </c>
      <c r="C700" s="910" t="e">
        <f>VLOOKUP(B694,'LƯƠNG KT'!$D$16:$Z$184,20,0)</f>
        <v>#N/A</v>
      </c>
      <c r="D700" s="609" t="e">
        <f>+C700*$L$9</f>
        <v>#N/A</v>
      </c>
      <c r="E700" s="912"/>
      <c r="F700" s="912"/>
      <c r="G700" s="908" t="s">
        <v>2096</v>
      </c>
      <c r="H700" s="913" t="s">
        <v>2097</v>
      </c>
      <c r="I700" s="910" t="e">
        <f>VLOOKUP(H694,'LƯƠNG KT'!$D$16:$Z$184,20,0)</f>
        <v>#N/A</v>
      </c>
      <c r="J700" s="609" t="e">
        <f>+I700*$L$9</f>
        <v>#N/A</v>
      </c>
      <c r="K700" s="935"/>
      <c r="L700" s="935"/>
      <c r="M700" s="935"/>
      <c r="N700" s="935"/>
      <c r="O700" s="935"/>
    </row>
    <row r="701" spans="1:15" ht="15" customHeight="1">
      <c r="A701" s="908" t="s">
        <v>2099</v>
      </c>
      <c r="B701" s="909" t="s">
        <v>2100</v>
      </c>
      <c r="C701" s="910" t="e">
        <f>VLOOKUP(B694,'LƯƠNG KT'!$D$16:$Z$184,17,0)</f>
        <v>#N/A</v>
      </c>
      <c r="D701" s="609" t="e">
        <f>+C701*$L$10</f>
        <v>#N/A</v>
      </c>
      <c r="E701" s="912"/>
      <c r="F701" s="912"/>
      <c r="G701" s="908" t="s">
        <v>2099</v>
      </c>
      <c r="H701" s="909" t="s">
        <v>2100</v>
      </c>
      <c r="I701" s="910" t="e">
        <f>VLOOKUP(H694,'LƯƠNG KT'!$D$16:$Z$184,17,0)</f>
        <v>#N/A</v>
      </c>
      <c r="J701" s="609" t="e">
        <f>+I701*$L$10</f>
        <v>#N/A</v>
      </c>
      <c r="K701" s="935"/>
      <c r="L701" s="935"/>
      <c r="M701" s="935"/>
      <c r="N701" s="935"/>
      <c r="O701" s="935"/>
    </row>
    <row r="702" spans="1:15" ht="15" customHeight="1">
      <c r="A702" s="908" t="s">
        <v>374</v>
      </c>
      <c r="B702" s="909" t="s">
        <v>2102</v>
      </c>
      <c r="C702" s="910" t="e">
        <f>VLOOKUP(B694,'LƯƠNG KT'!$D$16:$Z$184,12,0)</f>
        <v>#N/A</v>
      </c>
      <c r="D702" s="609" t="e">
        <f>VLOOKUP(B694,'LƯƠNG KT'!$D$16:$Z$184,14,0)</f>
        <v>#N/A</v>
      </c>
      <c r="E702" s="914"/>
      <c r="F702" s="912"/>
      <c r="G702" s="908" t="s">
        <v>374</v>
      </c>
      <c r="H702" s="909" t="s">
        <v>2102</v>
      </c>
      <c r="I702" s="910" t="e">
        <f>VLOOKUP(H694,'LƯƠNG KT'!$D$16:$Z$184,12,0)</f>
        <v>#N/A</v>
      </c>
      <c r="J702" s="609" t="e">
        <f>VLOOKUP(H694,'LƯƠNG KT'!$D$16:$Z$184,14,0)</f>
        <v>#N/A</v>
      </c>
      <c r="K702" s="935"/>
      <c r="L702" s="935"/>
      <c r="M702" s="935"/>
      <c r="N702" s="935"/>
      <c r="O702" s="935"/>
    </row>
    <row r="703" spans="1:15" ht="15" customHeight="1">
      <c r="A703" s="908" t="s">
        <v>2103</v>
      </c>
      <c r="B703" s="909" t="s">
        <v>2104</v>
      </c>
      <c r="D703" s="915" t="e">
        <f>VLOOKUP(B694,'LƯƠNG KT'!$D$16:$Z$184,13,0)</f>
        <v>#N/A</v>
      </c>
      <c r="E703" s="916"/>
      <c r="F703" s="916"/>
      <c r="G703" s="908" t="s">
        <v>2103</v>
      </c>
      <c r="H703" s="909" t="s">
        <v>2104</v>
      </c>
      <c r="J703" s="915" t="e">
        <f>VLOOKUP(H694,'LƯƠNG KT'!$D$16:$Z$184,13,0)</f>
        <v>#N/A</v>
      </c>
    </row>
    <row r="704" spans="1:15" ht="15" customHeight="1">
      <c r="A704" s="547"/>
      <c r="B704" s="546"/>
      <c r="C704" s="910"/>
      <c r="D704" s="609"/>
      <c r="E704" s="914"/>
      <c r="F704" s="916"/>
      <c r="G704" s="547"/>
      <c r="H704" s="546"/>
      <c r="I704" s="910"/>
      <c r="J704" s="609"/>
    </row>
    <row r="705" spans="1:15" ht="15" customHeight="1">
      <c r="A705" s="905"/>
      <c r="B705" s="546"/>
      <c r="C705" s="910"/>
      <c r="D705" s="609"/>
      <c r="E705" s="917"/>
      <c r="F705" s="904"/>
      <c r="G705" s="905"/>
      <c r="H705" s="546"/>
      <c r="I705" s="910"/>
      <c r="J705" s="609"/>
    </row>
    <row r="706" spans="1:15" ht="15" customHeight="1">
      <c r="A706" s="918" t="s">
        <v>383</v>
      </c>
      <c r="B706" s="919" t="s">
        <v>384</v>
      </c>
      <c r="C706" s="920"/>
      <c r="D706" s="921" t="e">
        <f>SUM(D695:D702)-D705</f>
        <v>#N/A</v>
      </c>
      <c r="E706" s="922"/>
      <c r="F706" s="923"/>
      <c r="G706" s="918" t="s">
        <v>383</v>
      </c>
      <c r="H706" s="919" t="s">
        <v>384</v>
      </c>
      <c r="I706" s="920"/>
      <c r="J706" s="921" t="e">
        <f>SUM(J695:J702)-J705</f>
        <v>#N/A</v>
      </c>
    </row>
    <row r="707" spans="1:15" ht="18.75" customHeight="1">
      <c r="A707" s="924"/>
      <c r="B707" s="925"/>
      <c r="C707" s="926"/>
      <c r="D707" s="927"/>
      <c r="E707" s="927"/>
      <c r="F707" s="928"/>
      <c r="G707" s="924"/>
      <c r="H707" s="925"/>
      <c r="I707" s="926"/>
      <c r="J707" s="927"/>
    </row>
    <row r="708" spans="1:15" ht="18.75" customHeight="1">
      <c r="A708" s="925"/>
      <c r="B708" s="925"/>
      <c r="C708" s="929"/>
      <c r="D708" s="930"/>
      <c r="E708" s="925"/>
      <c r="F708" s="931"/>
      <c r="G708" s="925"/>
      <c r="H708" s="925"/>
      <c r="I708" s="929"/>
      <c r="J708" s="930"/>
    </row>
    <row r="709" spans="1:15" ht="15" customHeight="1">
      <c r="A709" s="2360" t="str">
        <f>$K$2</f>
        <v>THÁNG 04/2025</v>
      </c>
      <c r="B709" s="2360"/>
      <c r="C709" s="2360"/>
      <c r="D709" s="2360"/>
      <c r="E709" s="903"/>
      <c r="F709" s="904"/>
      <c r="G709" s="2360" t="str">
        <f>$K$2</f>
        <v>THÁNG 04/2025</v>
      </c>
      <c r="H709" s="2360"/>
      <c r="I709" s="2360"/>
      <c r="J709" s="2360"/>
      <c r="K709" s="276"/>
    </row>
    <row r="710" spans="1:15" ht="15" customHeight="1">
      <c r="A710" s="905" t="s">
        <v>356</v>
      </c>
      <c r="B710" s="642" t="s">
        <v>459</v>
      </c>
      <c r="C710" s="546"/>
      <c r="D710" s="902"/>
      <c r="E710" s="906"/>
      <c r="F710" s="907"/>
      <c r="G710" s="905" t="s">
        <v>356</v>
      </c>
      <c r="H710" s="642" t="s">
        <v>460</v>
      </c>
      <c r="I710" s="546"/>
      <c r="J710" s="902"/>
      <c r="L710" s="938"/>
      <c r="M710" s="938"/>
      <c r="N710" s="938"/>
      <c r="O710" s="938"/>
    </row>
    <row r="711" spans="1:15" ht="15" customHeight="1">
      <c r="A711" s="908" t="s">
        <v>359</v>
      </c>
      <c r="B711" s="909" t="s">
        <v>2090</v>
      </c>
      <c r="C711" s="910" t="e">
        <f>VLOOKUP(B710,'LƯƠNG KT'!$D$16:$Z$184,4,0)</f>
        <v>#N/A</v>
      </c>
      <c r="D711" s="609" t="e">
        <f>+C711*25000</f>
        <v>#N/A</v>
      </c>
      <c r="E711" s="911"/>
      <c r="F711" s="911"/>
      <c r="G711" s="908" t="s">
        <v>359</v>
      </c>
      <c r="H711" s="909" t="s">
        <v>2090</v>
      </c>
      <c r="I711" s="910" t="e">
        <f>VLOOKUP(H710,'LƯƠNG KT'!$D$16:$Z$184,4,0)</f>
        <v>#N/A</v>
      </c>
      <c r="J711" s="609" t="e">
        <f>+I711*25000</f>
        <v>#N/A</v>
      </c>
      <c r="K711" s="935"/>
      <c r="L711" s="935"/>
      <c r="M711" s="935"/>
      <c r="N711" s="935"/>
      <c r="O711" s="935"/>
    </row>
    <row r="712" spans="1:15" ht="15" customHeight="1">
      <c r="A712" s="908" t="s">
        <v>361</v>
      </c>
      <c r="B712" s="909" t="s">
        <v>2091</v>
      </c>
      <c r="C712" s="910" t="e">
        <f>VLOOKUP(B710,'LƯƠNG KT'!$D$16:$Z$184,15,0)</f>
        <v>#N/A</v>
      </c>
      <c r="D712" s="609" t="e">
        <f>C712*$L$4</f>
        <v>#N/A</v>
      </c>
      <c r="E712" s="912"/>
      <c r="F712" s="912"/>
      <c r="G712" s="908" t="s">
        <v>361</v>
      </c>
      <c r="H712" s="909" t="s">
        <v>2091</v>
      </c>
      <c r="I712" s="910" t="e">
        <f>VLOOKUP(H710,'LƯƠNG KT'!$D$16:$Z$184,15,0)</f>
        <v>#N/A</v>
      </c>
      <c r="J712" s="609" t="e">
        <f>I712*$L$4</f>
        <v>#N/A</v>
      </c>
      <c r="K712" s="935"/>
      <c r="L712" s="935"/>
      <c r="M712" s="935"/>
      <c r="N712" s="935"/>
      <c r="O712" s="935"/>
    </row>
    <row r="713" spans="1:15" ht="15" customHeight="1">
      <c r="A713" s="908" t="s">
        <v>364</v>
      </c>
      <c r="B713" s="909" t="s">
        <v>2092</v>
      </c>
      <c r="C713" s="910" t="e">
        <f>VLOOKUP(B710,'LƯƠNG KT'!$D$16:$Z$184,16,0)</f>
        <v>#N/A</v>
      </c>
      <c r="D713" s="609" t="e">
        <f>C713*$L$5</f>
        <v>#N/A</v>
      </c>
      <c r="E713" s="912"/>
      <c r="F713" s="912"/>
      <c r="G713" s="908" t="s">
        <v>364</v>
      </c>
      <c r="H713" s="909" t="s">
        <v>2092</v>
      </c>
      <c r="I713" s="910" t="e">
        <f>VLOOKUP(H710,'LƯƠNG KT'!$D$16:$Z$184,16,0)</f>
        <v>#N/A</v>
      </c>
      <c r="J713" s="609" t="e">
        <f>I713*$L$5</f>
        <v>#N/A</v>
      </c>
      <c r="K713" s="935"/>
      <c r="L713" s="935"/>
      <c r="M713" s="935"/>
      <c r="N713" s="935"/>
      <c r="O713" s="935"/>
    </row>
    <row r="714" spans="1:15" ht="15" customHeight="1">
      <c r="A714" s="908" t="s">
        <v>370</v>
      </c>
      <c r="B714" s="909" t="s">
        <v>2093</v>
      </c>
      <c r="C714" s="910" t="e">
        <f>VLOOKUP(B710,'LƯƠNG KT'!$D$16:$Z$184,24,0)</f>
        <v>#N/A</v>
      </c>
      <c r="D714" s="609" t="e">
        <f>+C714*$L$6</f>
        <v>#N/A</v>
      </c>
      <c r="E714" s="912"/>
      <c r="F714" s="912"/>
      <c r="G714" s="908" t="s">
        <v>370</v>
      </c>
      <c r="H714" s="909" t="s">
        <v>2093</v>
      </c>
      <c r="I714" s="910" t="e">
        <f>VLOOKUP(H710,'LƯƠNG KT'!$D$16:$Z$184,24,0)</f>
        <v>#N/A</v>
      </c>
      <c r="J714" s="609" t="e">
        <f>+I714*$L$6</f>
        <v>#N/A</v>
      </c>
      <c r="K714" s="935"/>
      <c r="L714" s="935"/>
      <c r="M714" s="935"/>
      <c r="N714" s="935"/>
      <c r="O714" s="935"/>
    </row>
    <row r="715" spans="1:15" ht="15" customHeight="1">
      <c r="A715" s="908" t="s">
        <v>2094</v>
      </c>
      <c r="B715" s="909" t="s">
        <v>2095</v>
      </c>
      <c r="C715" s="910" t="e">
        <f>VLOOKUP(B710,'LƯƠNG KT'!$D$16:$Z$184,19,0)</f>
        <v>#N/A</v>
      </c>
      <c r="D715" s="609" t="e">
        <f>+C715*$L$8</f>
        <v>#N/A</v>
      </c>
      <c r="E715" s="912"/>
      <c r="F715" s="912"/>
      <c r="G715" s="908" t="s">
        <v>2094</v>
      </c>
      <c r="H715" s="909" t="s">
        <v>2095</v>
      </c>
      <c r="I715" s="910" t="e">
        <f>VLOOKUP(H710,'LƯƠNG KT'!$D$16:$Z$184,19,0)</f>
        <v>#N/A</v>
      </c>
      <c r="J715" s="609" t="e">
        <f>+I715*$L$8</f>
        <v>#N/A</v>
      </c>
      <c r="K715" s="935"/>
      <c r="L715" s="935"/>
      <c r="M715" s="935"/>
      <c r="N715" s="935"/>
      <c r="O715" s="935"/>
    </row>
    <row r="716" spans="1:15" ht="15" customHeight="1">
      <c r="A716" s="908" t="s">
        <v>2096</v>
      </c>
      <c r="B716" s="913" t="s">
        <v>2097</v>
      </c>
      <c r="C716" s="910" t="e">
        <f>VLOOKUP(B710,'LƯƠNG KT'!$D$16:$Z$184,20,0)</f>
        <v>#N/A</v>
      </c>
      <c r="D716" s="609" t="e">
        <f>+C716*$L$9</f>
        <v>#N/A</v>
      </c>
      <c r="E716" s="912"/>
      <c r="F716" s="912"/>
      <c r="G716" s="908" t="s">
        <v>2096</v>
      </c>
      <c r="H716" s="913" t="s">
        <v>2097</v>
      </c>
      <c r="I716" s="910" t="e">
        <f>VLOOKUP(H710,'LƯƠNG KT'!$D$16:$Z$184,20,0)</f>
        <v>#N/A</v>
      </c>
      <c r="J716" s="609" t="e">
        <f>+I716*$L$9</f>
        <v>#N/A</v>
      </c>
      <c r="K716" s="935"/>
      <c r="L716" s="935"/>
      <c r="M716" s="935"/>
      <c r="N716" s="935"/>
      <c r="O716" s="935"/>
    </row>
    <row r="717" spans="1:15" ht="15" customHeight="1">
      <c r="A717" s="908" t="s">
        <v>2099</v>
      </c>
      <c r="B717" s="909" t="s">
        <v>2100</v>
      </c>
      <c r="C717" s="910" t="e">
        <f>VLOOKUP(B710,'LƯƠNG KT'!$D$16:$Z$184,17,0)</f>
        <v>#N/A</v>
      </c>
      <c r="D717" s="609" t="e">
        <f>+C717*$L$10</f>
        <v>#N/A</v>
      </c>
      <c r="E717" s="912"/>
      <c r="F717" s="912"/>
      <c r="G717" s="908" t="s">
        <v>2099</v>
      </c>
      <c r="H717" s="909" t="s">
        <v>2100</v>
      </c>
      <c r="I717" s="910" t="e">
        <f>VLOOKUP(H710,'LƯƠNG KT'!$D$16:$Z$184,17,0)</f>
        <v>#N/A</v>
      </c>
      <c r="J717" s="609" t="e">
        <f>+I717*$L$10</f>
        <v>#N/A</v>
      </c>
      <c r="K717" s="935"/>
      <c r="L717" s="935"/>
      <c r="M717" s="935"/>
      <c r="N717" s="935"/>
      <c r="O717" s="935"/>
    </row>
    <row r="718" spans="1:15" ht="15" customHeight="1">
      <c r="A718" s="908" t="s">
        <v>374</v>
      </c>
      <c r="B718" s="909" t="s">
        <v>2102</v>
      </c>
      <c r="C718" s="910" t="e">
        <f>VLOOKUP(B710,'LƯƠNG KT'!$D$16:$Z$184,12,0)</f>
        <v>#N/A</v>
      </c>
      <c r="D718" s="609" t="e">
        <f>VLOOKUP(B710,'LƯƠNG KT'!$D$16:$Z$184,14,0)</f>
        <v>#N/A</v>
      </c>
      <c r="E718" s="914"/>
      <c r="F718" s="912"/>
      <c r="G718" s="908" t="s">
        <v>374</v>
      </c>
      <c r="H718" s="909" t="s">
        <v>2102</v>
      </c>
      <c r="I718" s="910" t="e">
        <f>VLOOKUP(H710,'LƯƠNG KT'!$D$16:$Z$184,12,0)</f>
        <v>#N/A</v>
      </c>
      <c r="J718" s="609" t="e">
        <f>VLOOKUP(H710,'LƯƠNG KT'!$D$16:$Z$184,14,0)</f>
        <v>#N/A</v>
      </c>
      <c r="K718" s="935"/>
      <c r="L718" s="935"/>
      <c r="M718" s="935"/>
      <c r="N718" s="935"/>
      <c r="O718" s="935"/>
    </row>
    <row r="719" spans="1:15" ht="15" customHeight="1">
      <c r="A719" s="908" t="s">
        <v>2103</v>
      </c>
      <c r="B719" s="909" t="s">
        <v>2104</v>
      </c>
      <c r="D719" s="915" t="e">
        <f>VLOOKUP(B710,'LƯƠNG KT'!$D$16:$Z$184,13,0)</f>
        <v>#N/A</v>
      </c>
      <c r="E719" s="916"/>
      <c r="F719" s="916"/>
      <c r="G719" s="908" t="s">
        <v>2103</v>
      </c>
      <c r="H719" s="909" t="s">
        <v>2104</v>
      </c>
      <c r="J719" s="915" t="e">
        <f>VLOOKUP(H710,'LƯƠNG KT'!$D$16:$Z$184,13,0)</f>
        <v>#N/A</v>
      </c>
    </row>
    <row r="720" spans="1:15" ht="15" customHeight="1">
      <c r="A720" s="547"/>
      <c r="B720" s="546"/>
      <c r="C720" s="910"/>
      <c r="D720" s="609"/>
      <c r="E720" s="914"/>
      <c r="F720" s="916"/>
      <c r="G720" s="547"/>
      <c r="H720" s="546"/>
      <c r="I720" s="910"/>
      <c r="J720" s="609"/>
    </row>
    <row r="721" spans="1:15" ht="15" customHeight="1">
      <c r="A721" s="905"/>
      <c r="B721" s="546"/>
      <c r="C721" s="910"/>
      <c r="D721" s="609"/>
      <c r="E721" s="917"/>
      <c r="F721" s="904"/>
      <c r="G721" s="905"/>
      <c r="H721" s="546"/>
      <c r="I721" s="910"/>
      <c r="J721" s="609"/>
    </row>
    <row r="722" spans="1:15" ht="15" customHeight="1">
      <c r="A722" s="918" t="s">
        <v>383</v>
      </c>
      <c r="B722" s="919" t="s">
        <v>384</v>
      </c>
      <c r="C722" s="920"/>
      <c r="D722" s="921" t="e">
        <f>SUM(D711:D718)-D721</f>
        <v>#N/A</v>
      </c>
      <c r="E722" s="922"/>
      <c r="F722" s="923"/>
      <c r="G722" s="918" t="s">
        <v>383</v>
      </c>
      <c r="H722" s="919" t="s">
        <v>384</v>
      </c>
      <c r="I722" s="920"/>
      <c r="J722" s="921" t="e">
        <f>SUM(J711:J718)-J721</f>
        <v>#N/A</v>
      </c>
    </row>
    <row r="723" spans="1:15" ht="15.75" customHeight="1">
      <c r="A723" s="924"/>
      <c r="B723" s="925"/>
      <c r="C723" s="926"/>
      <c r="D723" s="927"/>
      <c r="E723" s="927"/>
      <c r="F723" s="928"/>
      <c r="G723" s="924"/>
      <c r="H723" s="925"/>
      <c r="I723" s="926"/>
      <c r="J723" s="927"/>
    </row>
    <row r="725" spans="1:15" ht="129" customHeight="1">
      <c r="A725" s="2361"/>
      <c r="B725" s="2361"/>
      <c r="C725" s="2361"/>
      <c r="D725" s="2361"/>
      <c r="E725" s="2361"/>
      <c r="F725" s="2361"/>
      <c r="G725" s="2361"/>
      <c r="H725" s="2361"/>
      <c r="I725" s="2361"/>
      <c r="J725" s="2361"/>
    </row>
    <row r="726" spans="1:15" ht="15" customHeight="1">
      <c r="A726" s="2360" t="str">
        <f>$K$2</f>
        <v>THÁNG 04/2025</v>
      </c>
      <c r="B726" s="2360"/>
      <c r="C726" s="2360"/>
      <c r="D726" s="2360"/>
      <c r="E726" s="903"/>
      <c r="F726" s="904"/>
      <c r="G726" s="2360" t="str">
        <f>$K$2</f>
        <v>THÁNG 04/2025</v>
      </c>
      <c r="H726" s="2360"/>
      <c r="I726" s="2360"/>
      <c r="J726" s="2360"/>
      <c r="K726" s="276"/>
    </row>
    <row r="727" spans="1:15" ht="15" customHeight="1">
      <c r="A727" s="905" t="s">
        <v>356</v>
      </c>
      <c r="B727" s="642" t="s">
        <v>461</v>
      </c>
      <c r="C727" s="546"/>
      <c r="D727" s="902"/>
      <c r="E727" s="906"/>
      <c r="F727" s="907"/>
      <c r="G727" s="905" t="s">
        <v>356</v>
      </c>
      <c r="H727" s="642" t="s">
        <v>1980</v>
      </c>
      <c r="I727" s="546"/>
      <c r="J727" s="902"/>
      <c r="L727" s="938"/>
      <c r="M727" s="938"/>
      <c r="N727" s="938"/>
      <c r="O727" s="938"/>
    </row>
    <row r="728" spans="1:15" ht="15" customHeight="1">
      <c r="A728" s="908" t="s">
        <v>359</v>
      </c>
      <c r="B728" s="909" t="s">
        <v>2090</v>
      </c>
      <c r="C728" s="910" t="e">
        <f>VLOOKUP(B727,'LƯƠNG KT'!$D$16:$Z$184,4,0)</f>
        <v>#N/A</v>
      </c>
      <c r="D728" s="609" t="e">
        <f>+C728*25000</f>
        <v>#N/A</v>
      </c>
      <c r="E728" s="911"/>
      <c r="F728" s="911"/>
      <c r="G728" s="908" t="s">
        <v>359</v>
      </c>
      <c r="H728" s="909" t="s">
        <v>2090</v>
      </c>
      <c r="I728" s="910">
        <f>VLOOKUP(H727,'LƯƠNG KT'!$D$16:$Z$184,4,0)</f>
        <v>0</v>
      </c>
      <c r="J728" s="609">
        <f>+I728*25000</f>
        <v>0</v>
      </c>
      <c r="K728" s="934"/>
      <c r="L728" s="935"/>
      <c r="M728" s="935"/>
      <c r="N728" s="935"/>
      <c r="O728" s="935"/>
    </row>
    <row r="729" spans="1:15" ht="15" customHeight="1">
      <c r="A729" s="908" t="s">
        <v>361</v>
      </c>
      <c r="B729" s="909" t="s">
        <v>2091</v>
      </c>
      <c r="C729" s="910" t="e">
        <f>VLOOKUP(B727,'LƯƠNG KT'!$D$16:$Z$184,15,0)</f>
        <v>#N/A</v>
      </c>
      <c r="D729" s="609" t="e">
        <f>C729*$L$4</f>
        <v>#N/A</v>
      </c>
      <c r="E729" s="912"/>
      <c r="F729" s="912"/>
      <c r="G729" s="908" t="s">
        <v>361</v>
      </c>
      <c r="H729" s="909" t="s">
        <v>2091</v>
      </c>
      <c r="I729" s="910">
        <f>VLOOKUP(H727,'LƯƠNG KT'!$D$16:$Z$184,15,0)</f>
        <v>0</v>
      </c>
      <c r="J729" s="609">
        <f>I729*$L$4</f>
        <v>0</v>
      </c>
      <c r="K729" s="934"/>
      <c r="L729" s="935"/>
      <c r="M729" s="935"/>
      <c r="N729" s="935"/>
      <c r="O729" s="935"/>
    </row>
    <row r="730" spans="1:15" ht="15" customHeight="1">
      <c r="A730" s="908" t="s">
        <v>364</v>
      </c>
      <c r="B730" s="909" t="s">
        <v>2092</v>
      </c>
      <c r="C730" s="910" t="e">
        <f>VLOOKUP(B727,'LƯƠNG KT'!$D$16:$Z$184,16,0)</f>
        <v>#N/A</v>
      </c>
      <c r="D730" s="609" t="e">
        <f>C730*$L$5</f>
        <v>#N/A</v>
      </c>
      <c r="E730" s="912"/>
      <c r="F730" s="912"/>
      <c r="G730" s="908" t="s">
        <v>364</v>
      </c>
      <c r="H730" s="909" t="s">
        <v>2092</v>
      </c>
      <c r="I730" s="910">
        <f>VLOOKUP(H727,'LƯƠNG KT'!$D$16:$Z$184,16,0)</f>
        <v>0</v>
      </c>
      <c r="J730" s="609">
        <f>I730*$L$5</f>
        <v>0</v>
      </c>
      <c r="K730" s="934"/>
      <c r="L730" s="935"/>
      <c r="M730" s="935"/>
      <c r="N730" s="935"/>
      <c r="O730" s="935"/>
    </row>
    <row r="731" spans="1:15" ht="15" customHeight="1">
      <c r="A731" s="908" t="s">
        <v>370</v>
      </c>
      <c r="B731" s="909" t="s">
        <v>2093</v>
      </c>
      <c r="C731" s="910" t="e">
        <f>VLOOKUP(B727,'LƯƠNG KT'!$D$16:$Z$184,24,0)</f>
        <v>#N/A</v>
      </c>
      <c r="D731" s="609" t="e">
        <f>+C731*$L$6</f>
        <v>#N/A</v>
      </c>
      <c r="E731" s="912"/>
      <c r="F731" s="912"/>
      <c r="G731" s="908" t="s">
        <v>370</v>
      </c>
      <c r="H731" s="909" t="s">
        <v>2093</v>
      </c>
      <c r="I731" s="910" t="e">
        <f>VLOOKUP(H727,'LƯƠNG KT'!$D$16:$Z$184,24,0)</f>
        <v>#REF!</v>
      </c>
      <c r="J731" s="609" t="e">
        <f>+I731*$L$6</f>
        <v>#REF!</v>
      </c>
      <c r="K731" s="935"/>
      <c r="L731" s="935"/>
      <c r="M731" s="935"/>
      <c r="N731" s="935"/>
      <c r="O731" s="935"/>
    </row>
    <row r="732" spans="1:15" ht="15" customHeight="1">
      <c r="A732" s="908" t="s">
        <v>2094</v>
      </c>
      <c r="B732" s="909" t="s">
        <v>2095</v>
      </c>
      <c r="C732" s="910" t="e">
        <f>VLOOKUP(B727,'LƯƠNG KT'!$D$16:$Z$184,19,0)</f>
        <v>#N/A</v>
      </c>
      <c r="D732" s="609" t="e">
        <f>+C732*$L$8</f>
        <v>#N/A</v>
      </c>
      <c r="E732" s="912"/>
      <c r="F732" s="912"/>
      <c r="G732" s="908" t="s">
        <v>2094</v>
      </c>
      <c r="H732" s="909" t="s">
        <v>2095</v>
      </c>
      <c r="I732" s="910">
        <f>VLOOKUP(H727,'LƯƠNG KT'!$D$16:$Z$184,19,0)</f>
        <v>0</v>
      </c>
      <c r="J732" s="609">
        <f>+I732*$L$8</f>
        <v>0</v>
      </c>
      <c r="K732" s="935"/>
      <c r="L732" s="935"/>
      <c r="M732" s="935"/>
      <c r="N732" s="935"/>
      <c r="O732" s="935"/>
    </row>
    <row r="733" spans="1:15" ht="15" customHeight="1">
      <c r="A733" s="908" t="s">
        <v>2096</v>
      </c>
      <c r="B733" s="913" t="s">
        <v>2097</v>
      </c>
      <c r="C733" s="910" t="e">
        <f>VLOOKUP(B727,'LƯƠNG KT'!$D$16:$Z$184,20,0)</f>
        <v>#N/A</v>
      </c>
      <c r="D733" s="609" t="e">
        <f>+C733*$L$9</f>
        <v>#N/A</v>
      </c>
      <c r="E733" s="912"/>
      <c r="F733" s="912"/>
      <c r="G733" s="908" t="s">
        <v>2096</v>
      </c>
      <c r="H733" s="913" t="s">
        <v>2097</v>
      </c>
      <c r="I733" s="910">
        <f>VLOOKUP(H727,'LƯƠNG KT'!$D$16:$Z$184,20,0)</f>
        <v>0</v>
      </c>
      <c r="J733" s="609">
        <f>+I733*$L$9</f>
        <v>0</v>
      </c>
      <c r="K733" s="935"/>
      <c r="L733" s="935"/>
      <c r="M733" s="935"/>
      <c r="N733" s="935"/>
      <c r="O733" s="935"/>
    </row>
    <row r="734" spans="1:15" ht="15" customHeight="1">
      <c r="A734" s="908" t="s">
        <v>2099</v>
      </c>
      <c r="B734" s="909" t="s">
        <v>2100</v>
      </c>
      <c r="C734" s="910" t="e">
        <f>VLOOKUP(B727,'LƯƠNG KT'!$D$16:$Z$184,17,0)</f>
        <v>#N/A</v>
      </c>
      <c r="D734" s="609" t="e">
        <f>+C734*$L$10</f>
        <v>#N/A</v>
      </c>
      <c r="E734" s="912"/>
      <c r="F734" s="912"/>
      <c r="G734" s="908" t="s">
        <v>2099</v>
      </c>
      <c r="H734" s="909" t="s">
        <v>2100</v>
      </c>
      <c r="I734" s="910" t="e">
        <f>VLOOKUP(H727,'LƯƠNG KT'!$D$16:$Z$184,17,0)</f>
        <v>#N/A</v>
      </c>
      <c r="J734" s="609" t="e">
        <f>+I734*$L$10</f>
        <v>#N/A</v>
      </c>
      <c r="K734" s="935"/>
      <c r="L734" s="935"/>
      <c r="M734" s="935"/>
      <c r="N734" s="935"/>
      <c r="O734" s="935"/>
    </row>
    <row r="735" spans="1:15" ht="15" customHeight="1">
      <c r="A735" s="908" t="s">
        <v>374</v>
      </c>
      <c r="B735" s="909" t="s">
        <v>2102</v>
      </c>
      <c r="C735" s="910" t="e">
        <f>VLOOKUP(B727,'LƯƠNG KT'!$D$16:$Z$184,12,0)</f>
        <v>#N/A</v>
      </c>
      <c r="D735" s="609" t="e">
        <f>VLOOKUP(B727,'LƯƠNG KT'!$D$16:$Z$184,14,0)</f>
        <v>#N/A</v>
      </c>
      <c r="E735" s="914"/>
      <c r="F735" s="912"/>
      <c r="G735" s="908" t="s">
        <v>374</v>
      </c>
      <c r="H735" s="909" t="s">
        <v>2102</v>
      </c>
      <c r="I735" s="910">
        <f>VLOOKUP(H727,'LƯƠNG KT'!$D$16:$Z$184,12,0)</f>
        <v>0</v>
      </c>
      <c r="J735" s="609">
        <f>VLOOKUP(H727,'LƯƠNG KT'!$D$16:$Z$184,14,0)</f>
        <v>0</v>
      </c>
      <c r="K735" s="935"/>
      <c r="L735" s="935"/>
      <c r="M735" s="935"/>
      <c r="N735" s="935"/>
      <c r="O735" s="935"/>
    </row>
    <row r="736" spans="1:15" ht="15" customHeight="1">
      <c r="A736" s="908" t="s">
        <v>2103</v>
      </c>
      <c r="B736" s="909" t="s">
        <v>2104</v>
      </c>
      <c r="D736" s="915" t="e">
        <f>VLOOKUP(B727,'LƯƠNG KT'!$D$16:$Z$184,13,0)</f>
        <v>#N/A</v>
      </c>
      <c r="E736" s="916"/>
      <c r="F736" s="916"/>
      <c r="G736" s="908" t="s">
        <v>2103</v>
      </c>
      <c r="H736" s="909" t="s">
        <v>2104</v>
      </c>
      <c r="J736" s="915">
        <f>VLOOKUP(H727,'LƯƠNG KT'!$D$16:$Z$184,13,0)</f>
        <v>0</v>
      </c>
    </row>
    <row r="737" spans="1:15" ht="15" customHeight="1">
      <c r="A737" s="547"/>
      <c r="B737" s="546"/>
      <c r="C737" s="910"/>
      <c r="D737" s="609"/>
      <c r="E737" s="914"/>
      <c r="F737" s="916"/>
      <c r="G737" s="547"/>
      <c r="H737" s="546"/>
      <c r="I737" s="910"/>
      <c r="J737" s="609"/>
    </row>
    <row r="738" spans="1:15" ht="15" customHeight="1">
      <c r="A738" s="905"/>
      <c r="B738" s="546"/>
      <c r="C738" s="910"/>
      <c r="D738" s="609"/>
      <c r="E738" s="917"/>
      <c r="F738" s="904"/>
      <c r="G738" s="905"/>
      <c r="H738" s="546"/>
      <c r="I738" s="910"/>
      <c r="J738" s="609"/>
    </row>
    <row r="739" spans="1:15" ht="15" customHeight="1">
      <c r="A739" s="918" t="s">
        <v>383</v>
      </c>
      <c r="B739" s="919" t="s">
        <v>384</v>
      </c>
      <c r="C739" s="920"/>
      <c r="D739" s="921" t="e">
        <f>SUM(D728:D735)-D738</f>
        <v>#N/A</v>
      </c>
      <c r="E739" s="922"/>
      <c r="F739" s="923"/>
      <c r="G739" s="918" t="s">
        <v>383</v>
      </c>
      <c r="H739" s="919" t="s">
        <v>384</v>
      </c>
      <c r="I739" s="920"/>
      <c r="J739" s="921" t="e">
        <f>SUM(J728:J735)-J738</f>
        <v>#REF!</v>
      </c>
    </row>
    <row r="740" spans="1:15" ht="12.6" customHeight="1">
      <c r="A740" s="924"/>
      <c r="B740" s="925"/>
      <c r="C740" s="926"/>
      <c r="D740" s="927"/>
      <c r="E740" s="927"/>
      <c r="F740" s="928"/>
      <c r="G740" s="924"/>
      <c r="H740" s="925"/>
      <c r="I740" s="926"/>
      <c r="J740" s="927"/>
    </row>
    <row r="741" spans="1:15" ht="12.6" customHeight="1">
      <c r="A741" s="925"/>
      <c r="B741" s="925"/>
      <c r="C741" s="929"/>
      <c r="D741" s="930"/>
      <c r="E741" s="925"/>
      <c r="F741" s="931"/>
      <c r="G741" s="925"/>
      <c r="H741" s="925"/>
      <c r="I741" s="929"/>
      <c r="J741" s="930"/>
    </row>
    <row r="742" spans="1:15" ht="15" customHeight="1">
      <c r="A742" s="2360" t="str">
        <f>$K$2</f>
        <v>THÁNG 04/2025</v>
      </c>
      <c r="B742" s="2360"/>
      <c r="C742" s="2360"/>
      <c r="D742" s="2360"/>
      <c r="E742" s="903"/>
      <c r="F742" s="904"/>
      <c r="G742" s="2360" t="str">
        <f>$K$2</f>
        <v>THÁNG 04/2025</v>
      </c>
      <c r="H742" s="2360"/>
      <c r="I742" s="2360"/>
      <c r="J742" s="2360"/>
      <c r="K742" s="276"/>
    </row>
    <row r="743" spans="1:15" ht="15" customHeight="1">
      <c r="A743" s="905" t="s">
        <v>356</v>
      </c>
      <c r="B743" s="642" t="s">
        <v>463</v>
      </c>
      <c r="C743" s="546"/>
      <c r="D743" s="902"/>
      <c r="E743" s="906"/>
      <c r="F743" s="907"/>
      <c r="G743" s="905" t="s">
        <v>356</v>
      </c>
      <c r="H743" s="642" t="s">
        <v>464</v>
      </c>
      <c r="I743" s="546"/>
      <c r="J743" s="902"/>
      <c r="L743" s="938"/>
      <c r="M743" s="938"/>
      <c r="N743" s="938"/>
      <c r="O743" s="938"/>
    </row>
    <row r="744" spans="1:15" ht="15" customHeight="1">
      <c r="A744" s="908" t="s">
        <v>359</v>
      </c>
      <c r="B744" s="909" t="s">
        <v>2090</v>
      </c>
      <c r="C744" s="910" t="e">
        <f>VLOOKUP(B743,'LƯƠNG KT'!$D$16:$Z$184,4,0)</f>
        <v>#N/A</v>
      </c>
      <c r="D744" s="609" t="e">
        <f>+C744*25000</f>
        <v>#N/A</v>
      </c>
      <c r="E744" s="911"/>
      <c r="F744" s="911"/>
      <c r="G744" s="908" t="s">
        <v>359</v>
      </c>
      <c r="H744" s="909" t="s">
        <v>2090</v>
      </c>
      <c r="I744" s="910" t="e">
        <f>VLOOKUP(H743,'LƯƠNG KT'!$D$16:$Z$184,4,0)</f>
        <v>#N/A</v>
      </c>
      <c r="J744" s="609" t="e">
        <f>+I744*25000</f>
        <v>#N/A</v>
      </c>
      <c r="K744" s="935"/>
      <c r="L744" s="935"/>
      <c r="M744" s="935"/>
      <c r="N744" s="935"/>
      <c r="O744" s="935"/>
    </row>
    <row r="745" spans="1:15" ht="15" customHeight="1">
      <c r="A745" s="908" t="s">
        <v>361</v>
      </c>
      <c r="B745" s="909" t="s">
        <v>2091</v>
      </c>
      <c r="C745" s="910" t="e">
        <f>VLOOKUP(B743,'LƯƠNG KT'!$D$16:$Z$184,15,0)</f>
        <v>#N/A</v>
      </c>
      <c r="D745" s="609" t="e">
        <f>C745*$L$4</f>
        <v>#N/A</v>
      </c>
      <c r="E745" s="912"/>
      <c r="F745" s="912"/>
      <c r="G745" s="908" t="s">
        <v>361</v>
      </c>
      <c r="H745" s="909" t="s">
        <v>2091</v>
      </c>
      <c r="I745" s="910" t="e">
        <f>VLOOKUP(H743,'LƯƠNG KT'!$D$16:$Z$184,15,0)</f>
        <v>#N/A</v>
      </c>
      <c r="J745" s="609" t="e">
        <f>I745*$L$4</f>
        <v>#N/A</v>
      </c>
      <c r="K745" s="935"/>
      <c r="L745" s="935"/>
      <c r="M745" s="935"/>
      <c r="N745" s="935"/>
      <c r="O745" s="935"/>
    </row>
    <row r="746" spans="1:15" ht="15" customHeight="1">
      <c r="A746" s="908" t="s">
        <v>364</v>
      </c>
      <c r="B746" s="909" t="s">
        <v>2092</v>
      </c>
      <c r="C746" s="910" t="e">
        <f>VLOOKUP(B743,'LƯƠNG KT'!$D$16:$Z$184,16,0)</f>
        <v>#N/A</v>
      </c>
      <c r="D746" s="609" t="e">
        <f>C746*$L$5</f>
        <v>#N/A</v>
      </c>
      <c r="E746" s="912"/>
      <c r="F746" s="912"/>
      <c r="G746" s="908" t="s">
        <v>364</v>
      </c>
      <c r="H746" s="909" t="s">
        <v>2092</v>
      </c>
      <c r="I746" s="910" t="e">
        <f>VLOOKUP(H743,'LƯƠNG KT'!$D$16:$Z$184,16,0)</f>
        <v>#N/A</v>
      </c>
      <c r="J746" s="609" t="e">
        <f>I746*$L$5</f>
        <v>#N/A</v>
      </c>
      <c r="K746" s="935"/>
      <c r="L746" s="935"/>
      <c r="M746" s="935"/>
      <c r="N746" s="935"/>
      <c r="O746" s="935"/>
    </row>
    <row r="747" spans="1:15" ht="15" customHeight="1">
      <c r="A747" s="908" t="s">
        <v>370</v>
      </c>
      <c r="B747" s="909" t="s">
        <v>2093</v>
      </c>
      <c r="C747" s="910" t="e">
        <f>VLOOKUP(B743,'LƯƠNG KT'!$D$16:$Z$184,24,0)</f>
        <v>#N/A</v>
      </c>
      <c r="D747" s="609" t="e">
        <f>+C747*$L$6</f>
        <v>#N/A</v>
      </c>
      <c r="E747" s="912"/>
      <c r="F747" s="912"/>
      <c r="G747" s="908" t="s">
        <v>370</v>
      </c>
      <c r="H747" s="909" t="s">
        <v>2093</v>
      </c>
      <c r="I747" s="910" t="e">
        <f>VLOOKUP(H743,'LƯƠNG KT'!$D$16:$Z$184,24,0)</f>
        <v>#N/A</v>
      </c>
      <c r="J747" s="609" t="e">
        <f>+I747*$L$6</f>
        <v>#N/A</v>
      </c>
      <c r="K747" s="935"/>
      <c r="L747" s="935"/>
      <c r="M747" s="935"/>
      <c r="N747" s="935"/>
      <c r="O747" s="935"/>
    </row>
    <row r="748" spans="1:15" ht="15" customHeight="1">
      <c r="A748" s="908" t="s">
        <v>2094</v>
      </c>
      <c r="B748" s="909" t="s">
        <v>2095</v>
      </c>
      <c r="C748" s="910" t="e">
        <f>VLOOKUP(B743,'LƯƠNG KT'!$D$16:$Z$184,19,0)</f>
        <v>#N/A</v>
      </c>
      <c r="D748" s="609" t="e">
        <f>+C748*$L$8</f>
        <v>#N/A</v>
      </c>
      <c r="E748" s="912"/>
      <c r="F748" s="912"/>
      <c r="G748" s="908" t="s">
        <v>2094</v>
      </c>
      <c r="H748" s="909" t="s">
        <v>2095</v>
      </c>
      <c r="I748" s="910" t="e">
        <f>VLOOKUP(H743,'LƯƠNG KT'!$D$16:$Z$184,19,0)</f>
        <v>#N/A</v>
      </c>
      <c r="J748" s="609" t="e">
        <f>+I748*$L$8</f>
        <v>#N/A</v>
      </c>
      <c r="K748" s="935"/>
      <c r="L748" s="935"/>
      <c r="M748" s="935"/>
      <c r="N748" s="935"/>
      <c r="O748" s="935"/>
    </row>
    <row r="749" spans="1:15" ht="15" customHeight="1">
      <c r="A749" s="908" t="s">
        <v>2096</v>
      </c>
      <c r="B749" s="913" t="s">
        <v>2097</v>
      </c>
      <c r="C749" s="910" t="e">
        <f>VLOOKUP(B743,'LƯƠNG KT'!$D$16:$Z$184,20,0)</f>
        <v>#N/A</v>
      </c>
      <c r="D749" s="609" t="e">
        <f>+C749*$L$9</f>
        <v>#N/A</v>
      </c>
      <c r="E749" s="912"/>
      <c r="F749" s="912"/>
      <c r="G749" s="908" t="s">
        <v>2096</v>
      </c>
      <c r="H749" s="913" t="s">
        <v>2097</v>
      </c>
      <c r="I749" s="910" t="e">
        <f>VLOOKUP(H743,'LƯƠNG KT'!$D$16:$Z$184,20,0)</f>
        <v>#N/A</v>
      </c>
      <c r="J749" s="609" t="e">
        <f>+I749*$L$9</f>
        <v>#N/A</v>
      </c>
      <c r="K749" s="935"/>
      <c r="L749" s="935"/>
      <c r="M749" s="935"/>
      <c r="N749" s="935"/>
      <c r="O749" s="935"/>
    </row>
    <row r="750" spans="1:15" ht="15" customHeight="1">
      <c r="A750" s="908" t="s">
        <v>2099</v>
      </c>
      <c r="B750" s="909" t="s">
        <v>2100</v>
      </c>
      <c r="C750" s="910" t="e">
        <f>VLOOKUP(B743,'LƯƠNG KT'!$D$16:$Z$184,17,0)</f>
        <v>#N/A</v>
      </c>
      <c r="D750" s="609" t="e">
        <f>+C750*$L$10</f>
        <v>#N/A</v>
      </c>
      <c r="E750" s="912"/>
      <c r="F750" s="912"/>
      <c r="G750" s="908" t="s">
        <v>2099</v>
      </c>
      <c r="H750" s="909" t="s">
        <v>2100</v>
      </c>
      <c r="I750" s="910" t="e">
        <f>VLOOKUP(H743,'LƯƠNG KT'!$D$16:$Z$184,17,0)</f>
        <v>#N/A</v>
      </c>
      <c r="J750" s="609" t="e">
        <f>+I750*$L$10</f>
        <v>#N/A</v>
      </c>
      <c r="K750" s="935"/>
      <c r="L750" s="935"/>
      <c r="M750" s="935"/>
      <c r="N750" s="935"/>
      <c r="O750" s="935"/>
    </row>
    <row r="751" spans="1:15" ht="15" customHeight="1">
      <c r="A751" s="908" t="s">
        <v>374</v>
      </c>
      <c r="B751" s="909" t="s">
        <v>2102</v>
      </c>
      <c r="C751" s="910" t="e">
        <f>VLOOKUP(B743,'LƯƠNG KT'!$D$16:$Z$184,12,0)</f>
        <v>#N/A</v>
      </c>
      <c r="D751" s="609" t="e">
        <f>VLOOKUP(B743,'LƯƠNG KT'!$D$16:$Z$184,14,0)</f>
        <v>#N/A</v>
      </c>
      <c r="E751" s="914"/>
      <c r="F751" s="912"/>
      <c r="G751" s="908" t="s">
        <v>374</v>
      </c>
      <c r="H751" s="909" t="s">
        <v>2102</v>
      </c>
      <c r="I751" s="910" t="e">
        <f>VLOOKUP(H743,'LƯƠNG KT'!$D$16:$Z$184,12,0)</f>
        <v>#N/A</v>
      </c>
      <c r="J751" s="609" t="e">
        <f>VLOOKUP(H743,'LƯƠNG KT'!$D$16:$Z$184,14,0)</f>
        <v>#N/A</v>
      </c>
      <c r="K751" s="935"/>
      <c r="L751" s="935"/>
      <c r="M751" s="935"/>
      <c r="N751" s="935"/>
      <c r="O751" s="935"/>
    </row>
    <row r="752" spans="1:15" ht="15" customHeight="1">
      <c r="A752" s="908" t="s">
        <v>2103</v>
      </c>
      <c r="B752" s="909" t="s">
        <v>2104</v>
      </c>
      <c r="D752" s="915" t="e">
        <f>VLOOKUP(B743,'LƯƠNG KT'!$D$16:$Z$184,13,0)</f>
        <v>#N/A</v>
      </c>
      <c r="E752" s="916"/>
      <c r="F752" s="916"/>
      <c r="G752" s="908" t="s">
        <v>2103</v>
      </c>
      <c r="H752" s="909" t="s">
        <v>2104</v>
      </c>
      <c r="J752" s="915" t="e">
        <f>VLOOKUP(H743,'LƯƠNG KT'!$D$16:$Z$184,13,0)</f>
        <v>#N/A</v>
      </c>
    </row>
    <row r="753" spans="1:15" ht="15" customHeight="1">
      <c r="A753" s="547"/>
      <c r="B753" s="546"/>
      <c r="C753" s="910"/>
      <c r="D753" s="609"/>
      <c r="E753" s="914"/>
      <c r="F753" s="916"/>
      <c r="G753" s="547"/>
      <c r="H753" s="546"/>
      <c r="I753" s="910"/>
      <c r="J753" s="609"/>
    </row>
    <row r="754" spans="1:15" ht="15" customHeight="1">
      <c r="A754" s="905"/>
      <c r="B754" s="546"/>
      <c r="C754" s="910"/>
      <c r="D754" s="609"/>
      <c r="E754" s="917"/>
      <c r="F754" s="904"/>
      <c r="G754" s="905"/>
      <c r="H754" s="546"/>
      <c r="I754" s="910"/>
      <c r="J754" s="609"/>
    </row>
    <row r="755" spans="1:15" ht="15" customHeight="1">
      <c r="A755" s="918" t="s">
        <v>383</v>
      </c>
      <c r="B755" s="919" t="s">
        <v>384</v>
      </c>
      <c r="C755" s="920"/>
      <c r="D755" s="921" t="e">
        <f>SUM(D744:D751)-D754</f>
        <v>#N/A</v>
      </c>
      <c r="E755" s="922"/>
      <c r="F755" s="923"/>
      <c r="G755" s="918" t="s">
        <v>383</v>
      </c>
      <c r="H755" s="919" t="s">
        <v>384</v>
      </c>
      <c r="I755" s="920"/>
      <c r="J755" s="921" t="e">
        <f>SUM(J744:J751)-J754</f>
        <v>#N/A</v>
      </c>
    </row>
    <row r="756" spans="1:15" ht="18.75" customHeight="1">
      <c r="A756" s="924"/>
      <c r="B756" s="925"/>
      <c r="C756" s="926"/>
      <c r="D756" s="927"/>
      <c r="E756" s="927"/>
      <c r="F756" s="928"/>
      <c r="G756" s="924"/>
      <c r="H756" s="925"/>
      <c r="I756" s="926"/>
      <c r="J756" s="927"/>
    </row>
    <row r="757" spans="1:15" ht="18.75" customHeight="1">
      <c r="A757" s="925"/>
      <c r="B757" s="925"/>
      <c r="C757" s="929"/>
      <c r="D757" s="930"/>
      <c r="E757" s="925"/>
      <c r="F757" s="931"/>
      <c r="G757" s="925"/>
      <c r="H757" s="925"/>
      <c r="I757" s="929"/>
      <c r="J757" s="930"/>
    </row>
    <row r="758" spans="1:15" ht="15" customHeight="1">
      <c r="A758" s="2360" t="str">
        <f>$K$2</f>
        <v>THÁNG 04/2025</v>
      </c>
      <c r="B758" s="2360"/>
      <c r="C758" s="2360"/>
      <c r="D758" s="2360"/>
      <c r="E758" s="903"/>
      <c r="F758" s="904"/>
      <c r="G758" s="2360" t="str">
        <f>$K$2</f>
        <v>THÁNG 04/2025</v>
      </c>
      <c r="H758" s="2360"/>
      <c r="I758" s="2360"/>
      <c r="J758" s="2360"/>
      <c r="K758" s="276"/>
    </row>
    <row r="759" spans="1:15" ht="15" customHeight="1">
      <c r="A759" s="905" t="s">
        <v>356</v>
      </c>
      <c r="B759" s="642" t="s">
        <v>465</v>
      </c>
      <c r="C759" s="546"/>
      <c r="D759" s="902"/>
      <c r="E759" s="906"/>
      <c r="F759" s="907"/>
      <c r="G759" s="905" t="s">
        <v>356</v>
      </c>
      <c r="H759" s="642" t="s">
        <v>466</v>
      </c>
      <c r="I759" s="546"/>
      <c r="J759" s="902"/>
      <c r="L759" s="938"/>
      <c r="M759" s="938"/>
      <c r="N759" s="938"/>
      <c r="O759" s="938"/>
    </row>
    <row r="760" spans="1:15" ht="15" customHeight="1">
      <c r="A760" s="908" t="s">
        <v>359</v>
      </c>
      <c r="B760" s="909" t="s">
        <v>2090</v>
      </c>
      <c r="C760" s="910" t="e">
        <f>VLOOKUP(B759,'LƯƠNG KT'!$D$16:$Z$184,4,0)</f>
        <v>#N/A</v>
      </c>
      <c r="D760" s="609" t="e">
        <f>+C760*25000</f>
        <v>#N/A</v>
      </c>
      <c r="E760" s="911"/>
      <c r="F760" s="911"/>
      <c r="G760" s="908" t="s">
        <v>359</v>
      </c>
      <c r="H760" s="909" t="s">
        <v>2090</v>
      </c>
      <c r="I760" s="910" t="e">
        <f>VLOOKUP(H759,'LƯƠNG KT'!$D$16:$Z$184,4,0)</f>
        <v>#N/A</v>
      </c>
      <c r="J760" s="609" t="e">
        <f>+I760*25000</f>
        <v>#N/A</v>
      </c>
      <c r="K760" s="935"/>
      <c r="L760" s="935"/>
      <c r="M760" s="935"/>
      <c r="N760" s="935"/>
      <c r="O760" s="935"/>
    </row>
    <row r="761" spans="1:15" ht="15" customHeight="1">
      <c r="A761" s="908" t="s">
        <v>361</v>
      </c>
      <c r="B761" s="909" t="s">
        <v>2091</v>
      </c>
      <c r="C761" s="910" t="e">
        <f>VLOOKUP(B759,'LƯƠNG KT'!$D$16:$Z$184,15,0)</f>
        <v>#N/A</v>
      </c>
      <c r="D761" s="609" t="e">
        <f>C761*$L$4</f>
        <v>#N/A</v>
      </c>
      <c r="E761" s="912"/>
      <c r="F761" s="912"/>
      <c r="G761" s="908" t="s">
        <v>361</v>
      </c>
      <c r="H761" s="909" t="s">
        <v>2091</v>
      </c>
      <c r="I761" s="910" t="e">
        <f>VLOOKUP(H759,'LƯƠNG KT'!$D$16:$Z$184,15,0)</f>
        <v>#N/A</v>
      </c>
      <c r="J761" s="609" t="e">
        <f>I761*$L$4</f>
        <v>#N/A</v>
      </c>
      <c r="K761" s="935"/>
      <c r="L761" s="935"/>
      <c r="M761" s="935"/>
      <c r="N761" s="935"/>
      <c r="O761" s="935"/>
    </row>
    <row r="762" spans="1:15" ht="15" customHeight="1">
      <c r="A762" s="908" t="s">
        <v>364</v>
      </c>
      <c r="B762" s="909" t="s">
        <v>2092</v>
      </c>
      <c r="C762" s="910" t="e">
        <f>VLOOKUP(B759,'LƯƠNG KT'!$D$16:$Z$184,16,0)</f>
        <v>#N/A</v>
      </c>
      <c r="D762" s="609" t="e">
        <f>C762*$L$5</f>
        <v>#N/A</v>
      </c>
      <c r="E762" s="912"/>
      <c r="F762" s="912"/>
      <c r="G762" s="908" t="s">
        <v>364</v>
      </c>
      <c r="H762" s="909" t="s">
        <v>2092</v>
      </c>
      <c r="I762" s="910" t="e">
        <f>VLOOKUP(H759,'LƯƠNG KT'!$D$16:$Z$184,16,0)</f>
        <v>#N/A</v>
      </c>
      <c r="J762" s="609" t="e">
        <f>I762*$L$5</f>
        <v>#N/A</v>
      </c>
      <c r="K762" s="935"/>
      <c r="L762" s="935"/>
      <c r="M762" s="935"/>
      <c r="N762" s="935"/>
      <c r="O762" s="935"/>
    </row>
    <row r="763" spans="1:15" ht="15" customHeight="1">
      <c r="A763" s="908" t="s">
        <v>370</v>
      </c>
      <c r="B763" s="909" t="s">
        <v>2093</v>
      </c>
      <c r="C763" s="910" t="e">
        <f>VLOOKUP(B759,'LƯƠNG KT'!$D$16:$Z$184,24,0)</f>
        <v>#N/A</v>
      </c>
      <c r="D763" s="609" t="e">
        <f>+C763*$L$6</f>
        <v>#N/A</v>
      </c>
      <c r="E763" s="912"/>
      <c r="F763" s="912"/>
      <c r="G763" s="908" t="s">
        <v>370</v>
      </c>
      <c r="H763" s="909" t="s">
        <v>2093</v>
      </c>
      <c r="I763" s="910" t="e">
        <f>VLOOKUP(H759,'LƯƠNG KT'!$D$16:$Z$184,24,0)</f>
        <v>#N/A</v>
      </c>
      <c r="J763" s="609" t="e">
        <f>+I763*$L$6</f>
        <v>#N/A</v>
      </c>
      <c r="K763" s="935"/>
      <c r="L763" s="935"/>
      <c r="M763" s="935"/>
      <c r="N763" s="935"/>
      <c r="O763" s="935"/>
    </row>
    <row r="764" spans="1:15" ht="15" customHeight="1">
      <c r="A764" s="908" t="s">
        <v>2094</v>
      </c>
      <c r="B764" s="909" t="s">
        <v>2095</v>
      </c>
      <c r="C764" s="910" t="e">
        <f>VLOOKUP(B759,'LƯƠNG KT'!$D$16:$Z$184,19,0)</f>
        <v>#N/A</v>
      </c>
      <c r="D764" s="609" t="e">
        <f>+C764*$L$8</f>
        <v>#N/A</v>
      </c>
      <c r="E764" s="912"/>
      <c r="F764" s="912"/>
      <c r="G764" s="908" t="s">
        <v>2094</v>
      </c>
      <c r="H764" s="909" t="s">
        <v>2095</v>
      </c>
      <c r="I764" s="910" t="e">
        <f>VLOOKUP(H759,'LƯƠNG KT'!$D$16:$Z$184,19,0)</f>
        <v>#N/A</v>
      </c>
      <c r="J764" s="609" t="e">
        <f>+I764*$L$8</f>
        <v>#N/A</v>
      </c>
      <c r="K764" s="935"/>
      <c r="L764" s="935"/>
      <c r="M764" s="935"/>
      <c r="N764" s="935"/>
      <c r="O764" s="935"/>
    </row>
    <row r="765" spans="1:15" ht="15" customHeight="1">
      <c r="A765" s="908" t="s">
        <v>2096</v>
      </c>
      <c r="B765" s="913" t="s">
        <v>2097</v>
      </c>
      <c r="C765" s="910" t="e">
        <f>VLOOKUP(B759,'LƯƠNG KT'!$D$16:$Z$184,20,0)</f>
        <v>#N/A</v>
      </c>
      <c r="D765" s="609" t="e">
        <f>+C765*$L$9</f>
        <v>#N/A</v>
      </c>
      <c r="E765" s="912"/>
      <c r="F765" s="912"/>
      <c r="G765" s="908" t="s">
        <v>2096</v>
      </c>
      <c r="H765" s="913" t="s">
        <v>2097</v>
      </c>
      <c r="I765" s="910" t="e">
        <f>VLOOKUP(H759,'LƯƠNG KT'!$D$16:$Z$184,20,0)</f>
        <v>#N/A</v>
      </c>
      <c r="J765" s="609" t="e">
        <f>+I765*$L$9</f>
        <v>#N/A</v>
      </c>
      <c r="K765" s="935"/>
      <c r="L765" s="935"/>
      <c r="M765" s="935"/>
      <c r="N765" s="935"/>
      <c r="O765" s="935"/>
    </row>
    <row r="766" spans="1:15" ht="15" customHeight="1">
      <c r="A766" s="908" t="s">
        <v>2099</v>
      </c>
      <c r="B766" s="909" t="s">
        <v>2100</v>
      </c>
      <c r="C766" s="910" t="e">
        <f>VLOOKUP(B759,'LƯƠNG KT'!$D$16:$Z$184,17,0)</f>
        <v>#N/A</v>
      </c>
      <c r="D766" s="609" t="e">
        <f>+C766*$L$10</f>
        <v>#N/A</v>
      </c>
      <c r="E766" s="912"/>
      <c r="F766" s="912"/>
      <c r="G766" s="908" t="s">
        <v>2099</v>
      </c>
      <c r="H766" s="909" t="s">
        <v>2100</v>
      </c>
      <c r="I766" s="910" t="e">
        <f>VLOOKUP(H759,'LƯƠNG KT'!$D$16:$Z$184,17,0)</f>
        <v>#N/A</v>
      </c>
      <c r="J766" s="609" t="e">
        <f>+I766*$L$10</f>
        <v>#N/A</v>
      </c>
      <c r="K766" s="935"/>
      <c r="L766" s="935"/>
      <c r="M766" s="935"/>
      <c r="N766" s="935"/>
      <c r="O766" s="935"/>
    </row>
    <row r="767" spans="1:15" ht="15" customHeight="1">
      <c r="A767" s="908" t="s">
        <v>374</v>
      </c>
      <c r="B767" s="909" t="s">
        <v>2102</v>
      </c>
      <c r="C767" s="910" t="e">
        <f>VLOOKUP(B759,'LƯƠNG KT'!$D$16:$Z$184,12,0)</f>
        <v>#N/A</v>
      </c>
      <c r="D767" s="609" t="e">
        <f>VLOOKUP(B759,'LƯƠNG KT'!$D$16:$Z$184,14,0)</f>
        <v>#N/A</v>
      </c>
      <c r="E767" s="914"/>
      <c r="F767" s="912"/>
      <c r="G767" s="908" t="s">
        <v>374</v>
      </c>
      <c r="H767" s="909" t="s">
        <v>2102</v>
      </c>
      <c r="I767" s="910" t="e">
        <f>VLOOKUP(H759,'LƯƠNG KT'!$D$16:$Z$184,12,0)</f>
        <v>#N/A</v>
      </c>
      <c r="J767" s="609" t="e">
        <f>VLOOKUP(H759,'LƯƠNG KT'!$D$16:$Z$184,14,0)</f>
        <v>#N/A</v>
      </c>
      <c r="K767" s="935"/>
      <c r="L767" s="935"/>
      <c r="M767" s="935"/>
      <c r="N767" s="935"/>
      <c r="O767" s="935"/>
    </row>
    <row r="768" spans="1:15" ht="15" customHeight="1">
      <c r="A768" s="908" t="s">
        <v>2103</v>
      </c>
      <c r="B768" s="909" t="s">
        <v>2104</v>
      </c>
      <c r="D768" s="915" t="e">
        <f>VLOOKUP(B759,'LƯƠNG KT'!$D$16:$Z$184,13,0)</f>
        <v>#N/A</v>
      </c>
      <c r="E768" s="916"/>
      <c r="F768" s="916"/>
      <c r="G768" s="908" t="s">
        <v>2103</v>
      </c>
      <c r="H768" s="909" t="s">
        <v>2104</v>
      </c>
      <c r="J768" s="915" t="e">
        <f>VLOOKUP(H759,'LƯƠNG KT'!$D$16:$Z$184,13,0)</f>
        <v>#N/A</v>
      </c>
    </row>
    <row r="769" spans="1:15" ht="15" customHeight="1">
      <c r="A769" s="547"/>
      <c r="B769" s="546"/>
      <c r="C769" s="910"/>
      <c r="D769" s="609"/>
      <c r="E769" s="914"/>
      <c r="F769" s="916"/>
      <c r="G769" s="547"/>
      <c r="H769" s="546"/>
      <c r="I769" s="910"/>
      <c r="J769" s="609"/>
    </row>
    <row r="770" spans="1:15" ht="15" customHeight="1">
      <c r="A770" s="905"/>
      <c r="B770" s="546"/>
      <c r="C770" s="910"/>
      <c r="D770" s="609"/>
      <c r="E770" s="917"/>
      <c r="F770" s="904"/>
      <c r="G770" s="905"/>
      <c r="H770" s="546"/>
      <c r="I770" s="910"/>
      <c r="J770" s="609"/>
    </row>
    <row r="771" spans="1:15" ht="15" customHeight="1">
      <c r="A771" s="918" t="s">
        <v>383</v>
      </c>
      <c r="B771" s="919" t="s">
        <v>384</v>
      </c>
      <c r="C771" s="920"/>
      <c r="D771" s="921" t="e">
        <f>SUM(D760:D767)-D770</f>
        <v>#N/A</v>
      </c>
      <c r="E771" s="922"/>
      <c r="F771" s="923"/>
      <c r="G771" s="918" t="s">
        <v>383</v>
      </c>
      <c r="H771" s="919" t="s">
        <v>384</v>
      </c>
      <c r="I771" s="920"/>
      <c r="J771" s="921" t="e">
        <f>SUM(J760:J767)-J770</f>
        <v>#N/A</v>
      </c>
    </row>
    <row r="772" spans="1:15" ht="18.75" customHeight="1">
      <c r="A772" s="924"/>
      <c r="B772" s="925"/>
      <c r="C772" s="926"/>
      <c r="D772" s="927"/>
      <c r="E772" s="927"/>
      <c r="F772" s="928"/>
      <c r="G772" s="924"/>
      <c r="H772" s="925"/>
      <c r="I772" s="926"/>
      <c r="J772" s="927"/>
    </row>
    <row r="773" spans="1:15" ht="154.5" customHeight="1">
      <c r="A773" s="925"/>
      <c r="B773" s="925"/>
      <c r="C773" s="929"/>
      <c r="D773" s="930"/>
      <c r="E773" s="925"/>
      <c r="F773" s="931"/>
      <c r="G773" s="925"/>
      <c r="H773" s="925"/>
      <c r="I773" s="929"/>
      <c r="J773" s="930"/>
    </row>
    <row r="774" spans="1:15" ht="15" customHeight="1">
      <c r="A774" s="2360" t="str">
        <f>$K$2</f>
        <v>THÁNG 04/2025</v>
      </c>
      <c r="B774" s="2360"/>
      <c r="C774" s="2360"/>
      <c r="D774" s="2360"/>
      <c r="E774" s="903"/>
      <c r="F774" s="904"/>
      <c r="G774" s="2360" t="str">
        <f>$K$2</f>
        <v>THÁNG 04/2025</v>
      </c>
      <c r="H774" s="2360"/>
      <c r="I774" s="2360"/>
      <c r="J774" s="2360"/>
      <c r="K774" s="276"/>
    </row>
    <row r="775" spans="1:15" ht="15" customHeight="1">
      <c r="A775" s="905" t="s">
        <v>356</v>
      </c>
      <c r="B775" s="642" t="s">
        <v>1981</v>
      </c>
      <c r="C775" s="546"/>
      <c r="D775" s="902"/>
      <c r="E775" s="906"/>
      <c r="F775" s="907"/>
      <c r="G775" s="905" t="s">
        <v>356</v>
      </c>
      <c r="H775" s="642" t="s">
        <v>1982</v>
      </c>
      <c r="I775" s="546"/>
      <c r="J775" s="902"/>
      <c r="L775" s="938"/>
      <c r="M775" s="938"/>
      <c r="N775" s="938"/>
      <c r="O775" s="938"/>
    </row>
    <row r="776" spans="1:15" ht="15" customHeight="1">
      <c r="A776" s="908" t="s">
        <v>359</v>
      </c>
      <c r="B776" s="909" t="s">
        <v>2090</v>
      </c>
      <c r="C776" s="910" t="e">
        <f>VLOOKUP(B775,'LƯƠNG KT'!$D$16:$Z$184,4,0)</f>
        <v>#N/A</v>
      </c>
      <c r="D776" s="609" t="e">
        <f>+C776*25000</f>
        <v>#N/A</v>
      </c>
      <c r="E776" s="911"/>
      <c r="F776" s="911"/>
      <c r="G776" s="908" t="s">
        <v>359</v>
      </c>
      <c r="H776" s="909" t="s">
        <v>2090</v>
      </c>
      <c r="I776" s="910" t="e">
        <f>VLOOKUP(H775,'LƯƠNG KT'!$D$16:$Z$184,4,0)</f>
        <v>#N/A</v>
      </c>
      <c r="J776" s="609" t="e">
        <f>+I776*25000</f>
        <v>#N/A</v>
      </c>
      <c r="K776" s="935"/>
      <c r="L776" s="935"/>
      <c r="M776" s="935"/>
      <c r="N776" s="935"/>
      <c r="O776" s="935"/>
    </row>
    <row r="777" spans="1:15" ht="15" customHeight="1">
      <c r="A777" s="908" t="s">
        <v>361</v>
      </c>
      <c r="B777" s="909" t="s">
        <v>2091</v>
      </c>
      <c r="C777" s="910" t="e">
        <f>VLOOKUP(B775,'LƯƠNG KT'!$D$16:$Z$184,15,0)</f>
        <v>#N/A</v>
      </c>
      <c r="D777" s="609" t="e">
        <f>C777*$L$4</f>
        <v>#N/A</v>
      </c>
      <c r="E777" s="912"/>
      <c r="F777" s="912"/>
      <c r="G777" s="908" t="s">
        <v>361</v>
      </c>
      <c r="H777" s="909" t="s">
        <v>2091</v>
      </c>
      <c r="I777" s="910" t="e">
        <f>VLOOKUP(H775,'LƯƠNG KT'!$D$16:$Z$184,15,0)</f>
        <v>#N/A</v>
      </c>
      <c r="J777" s="609" t="e">
        <f>I777*$L$4</f>
        <v>#N/A</v>
      </c>
      <c r="K777" s="935"/>
      <c r="L777" s="935"/>
      <c r="M777" s="935"/>
      <c r="N777" s="935"/>
      <c r="O777" s="935"/>
    </row>
    <row r="778" spans="1:15" ht="15" customHeight="1">
      <c r="A778" s="908" t="s">
        <v>364</v>
      </c>
      <c r="B778" s="909" t="s">
        <v>2092</v>
      </c>
      <c r="C778" s="910" t="e">
        <f>VLOOKUP(B775,'LƯƠNG KT'!$D$16:$Z$184,16,0)</f>
        <v>#N/A</v>
      </c>
      <c r="D778" s="609" t="e">
        <f>C778*$L$5</f>
        <v>#N/A</v>
      </c>
      <c r="E778" s="912"/>
      <c r="F778" s="912"/>
      <c r="G778" s="908" t="s">
        <v>364</v>
      </c>
      <c r="H778" s="909" t="s">
        <v>2092</v>
      </c>
      <c r="I778" s="910" t="e">
        <f>VLOOKUP(H775,'LƯƠNG KT'!$D$16:$Z$184,16,0)</f>
        <v>#N/A</v>
      </c>
      <c r="J778" s="609" t="e">
        <f>I778*$L$5</f>
        <v>#N/A</v>
      </c>
      <c r="K778" s="935"/>
      <c r="L778" s="935"/>
      <c r="M778" s="935"/>
      <c r="N778" s="935"/>
      <c r="O778" s="935"/>
    </row>
    <row r="779" spans="1:15" ht="15" customHeight="1">
      <c r="A779" s="908" t="s">
        <v>370</v>
      </c>
      <c r="B779" s="909" t="s">
        <v>2093</v>
      </c>
      <c r="C779" s="910" t="e">
        <f>VLOOKUP(B775,'LƯƠNG KT'!$D$16:$Z$184,24,0)</f>
        <v>#N/A</v>
      </c>
      <c r="D779" s="609" t="e">
        <f>+C779*$L$6</f>
        <v>#N/A</v>
      </c>
      <c r="E779" s="912"/>
      <c r="F779" s="912"/>
      <c r="G779" s="908" t="s">
        <v>370</v>
      </c>
      <c r="H779" s="909" t="s">
        <v>2093</v>
      </c>
      <c r="I779" s="910" t="e">
        <f>VLOOKUP(H775,'LƯƠNG KT'!$D$16:$Z$184,24,0)</f>
        <v>#N/A</v>
      </c>
      <c r="J779" s="609" t="e">
        <f>+I779*$L$6</f>
        <v>#N/A</v>
      </c>
      <c r="K779" s="935"/>
      <c r="L779" s="935"/>
      <c r="M779" s="935"/>
      <c r="N779" s="935"/>
      <c r="O779" s="935"/>
    </row>
    <row r="780" spans="1:15" ht="15" customHeight="1">
      <c r="A780" s="908" t="s">
        <v>2094</v>
      </c>
      <c r="B780" s="909" t="s">
        <v>2095</v>
      </c>
      <c r="C780" s="910" t="e">
        <f>VLOOKUP(B775,'LƯƠNG KT'!$D$16:$Z$184,19,0)</f>
        <v>#N/A</v>
      </c>
      <c r="D780" s="609" t="e">
        <f>+C780*$L$8</f>
        <v>#N/A</v>
      </c>
      <c r="E780" s="912"/>
      <c r="F780" s="912"/>
      <c r="G780" s="908" t="s">
        <v>2094</v>
      </c>
      <c r="H780" s="909" t="s">
        <v>2095</v>
      </c>
      <c r="I780" s="910" t="e">
        <f>VLOOKUP(H775,'LƯƠNG KT'!$D$16:$Z$184,19,0)</f>
        <v>#N/A</v>
      </c>
      <c r="J780" s="609" t="e">
        <f>+I780*$L$8</f>
        <v>#N/A</v>
      </c>
      <c r="K780" s="935"/>
      <c r="L780" s="935"/>
      <c r="M780" s="935"/>
      <c r="N780" s="935"/>
      <c r="O780" s="935"/>
    </row>
    <row r="781" spans="1:15" ht="15" customHeight="1">
      <c r="A781" s="908" t="s">
        <v>2096</v>
      </c>
      <c r="B781" s="913" t="s">
        <v>2097</v>
      </c>
      <c r="C781" s="910" t="e">
        <f>VLOOKUP(B775,'LƯƠNG KT'!$D$16:$Z$184,20,0)</f>
        <v>#N/A</v>
      </c>
      <c r="D781" s="609" t="e">
        <f>+C781*$L$9</f>
        <v>#N/A</v>
      </c>
      <c r="E781" s="912"/>
      <c r="F781" s="912"/>
      <c r="G781" s="908" t="s">
        <v>2096</v>
      </c>
      <c r="H781" s="913" t="s">
        <v>2097</v>
      </c>
      <c r="I781" s="910" t="e">
        <f>VLOOKUP(H775,'LƯƠNG KT'!$D$16:$Z$184,20,0)</f>
        <v>#N/A</v>
      </c>
      <c r="J781" s="609" t="e">
        <f>+I781*$L$9</f>
        <v>#N/A</v>
      </c>
      <c r="K781" s="935"/>
      <c r="L781" s="935"/>
      <c r="M781" s="935"/>
      <c r="N781" s="935"/>
      <c r="O781" s="935"/>
    </row>
    <row r="782" spans="1:15" ht="15" customHeight="1">
      <c r="A782" s="908" t="s">
        <v>2099</v>
      </c>
      <c r="B782" s="909" t="s">
        <v>2100</v>
      </c>
      <c r="C782" s="910" t="e">
        <f>VLOOKUP(B775,'LƯƠNG KT'!$D$16:$Z$184,17,0)</f>
        <v>#N/A</v>
      </c>
      <c r="D782" s="609" t="e">
        <f>+C782*$L$10</f>
        <v>#N/A</v>
      </c>
      <c r="E782" s="912"/>
      <c r="F782" s="912"/>
      <c r="G782" s="908" t="s">
        <v>2099</v>
      </c>
      <c r="H782" s="909" t="s">
        <v>2100</v>
      </c>
      <c r="I782" s="910" t="e">
        <f>VLOOKUP(H775,'LƯƠNG KT'!$D$16:$Z$184,17,0)</f>
        <v>#N/A</v>
      </c>
      <c r="J782" s="609" t="e">
        <f>+I782*$L$10</f>
        <v>#N/A</v>
      </c>
      <c r="K782" s="935"/>
      <c r="L782" s="935"/>
      <c r="M782" s="935"/>
      <c r="N782" s="935"/>
      <c r="O782" s="935"/>
    </row>
    <row r="783" spans="1:15" ht="15" customHeight="1">
      <c r="A783" s="908" t="s">
        <v>374</v>
      </c>
      <c r="B783" s="909" t="s">
        <v>2102</v>
      </c>
      <c r="C783" s="910" t="e">
        <f>VLOOKUP(B775,'LƯƠNG KT'!$D$16:$Z$184,12,0)</f>
        <v>#N/A</v>
      </c>
      <c r="D783" s="609" t="e">
        <f>VLOOKUP(B775,'LƯƠNG KT'!$D$16:$Z$184,14,0)</f>
        <v>#N/A</v>
      </c>
      <c r="E783" s="914"/>
      <c r="F783" s="912"/>
      <c r="G783" s="908" t="s">
        <v>374</v>
      </c>
      <c r="H783" s="909" t="s">
        <v>2102</v>
      </c>
      <c r="I783" s="910" t="e">
        <f>VLOOKUP(H775,'LƯƠNG KT'!$D$16:$Z$184,12,0)</f>
        <v>#N/A</v>
      </c>
      <c r="J783" s="609" t="e">
        <f>VLOOKUP(H775,'LƯƠNG KT'!$D$16:$Z$184,14,0)</f>
        <v>#N/A</v>
      </c>
      <c r="K783" s="935"/>
      <c r="L783" s="935"/>
      <c r="M783" s="935"/>
      <c r="N783" s="935"/>
      <c r="O783" s="935"/>
    </row>
    <row r="784" spans="1:15" ht="15" customHeight="1">
      <c r="A784" s="908" t="s">
        <v>2103</v>
      </c>
      <c r="B784" s="909" t="s">
        <v>2104</v>
      </c>
      <c r="D784" s="915" t="e">
        <f>VLOOKUP(B775,'LƯƠNG KT'!$D$16:$Z$184,13,0)</f>
        <v>#N/A</v>
      </c>
      <c r="E784" s="916"/>
      <c r="F784" s="916"/>
      <c r="G784" s="908" t="s">
        <v>2103</v>
      </c>
      <c r="H784" s="909" t="s">
        <v>2104</v>
      </c>
      <c r="J784" s="915" t="e">
        <f>VLOOKUP(H775,'LƯƠNG KT'!$D$16:$Z$184,13,0)</f>
        <v>#N/A</v>
      </c>
    </row>
    <row r="785" spans="1:15" ht="15" customHeight="1">
      <c r="A785" s="547"/>
      <c r="B785" s="546"/>
      <c r="C785" s="910"/>
      <c r="D785" s="609"/>
      <c r="E785" s="914"/>
      <c r="F785" s="916"/>
      <c r="G785" s="547"/>
      <c r="H785" s="546"/>
      <c r="I785" s="910"/>
      <c r="J785" s="609"/>
    </row>
    <row r="786" spans="1:15" ht="15" customHeight="1">
      <c r="A786" s="905"/>
      <c r="B786" s="546"/>
      <c r="C786" s="910"/>
      <c r="D786" s="609"/>
      <c r="E786" s="917"/>
      <c r="F786" s="904"/>
      <c r="G786" s="905"/>
      <c r="H786" s="546"/>
      <c r="I786" s="910"/>
      <c r="J786" s="609"/>
    </row>
    <row r="787" spans="1:15" ht="15" customHeight="1">
      <c r="A787" s="918" t="s">
        <v>383</v>
      </c>
      <c r="B787" s="919" t="s">
        <v>384</v>
      </c>
      <c r="C787" s="920"/>
      <c r="D787" s="921" t="e">
        <f>SUM(D776:D783)-D786</f>
        <v>#N/A</v>
      </c>
      <c r="E787" s="922"/>
      <c r="F787" s="923"/>
      <c r="G787" s="918" t="s">
        <v>383</v>
      </c>
      <c r="H787" s="919" t="s">
        <v>384</v>
      </c>
      <c r="I787" s="920"/>
      <c r="J787" s="921" t="e">
        <f>SUM(J776:J783)-J786</f>
        <v>#N/A</v>
      </c>
    </row>
    <row r="788" spans="1:15" ht="15.75" customHeight="1">
      <c r="A788" s="924"/>
      <c r="B788" s="925"/>
      <c r="C788" s="926"/>
      <c r="D788" s="927"/>
      <c r="E788" s="927"/>
      <c r="F788" s="928"/>
      <c r="G788" s="924"/>
      <c r="H788" s="925"/>
      <c r="I788" s="926"/>
      <c r="J788" s="927"/>
    </row>
    <row r="790" spans="1:15" ht="12" customHeight="1">
      <c r="A790" s="2361"/>
      <c r="B790" s="2361"/>
      <c r="C790" s="2361"/>
      <c r="D790" s="2361"/>
      <c r="E790" s="2361"/>
      <c r="F790" s="2361"/>
      <c r="G790" s="2361"/>
      <c r="H790" s="2361"/>
      <c r="I790" s="2361"/>
      <c r="J790" s="2361"/>
    </row>
    <row r="791" spans="1:15" ht="15" customHeight="1">
      <c r="A791" s="2360" t="str">
        <f>$K$2</f>
        <v>THÁNG 04/2025</v>
      </c>
      <c r="B791" s="2360"/>
      <c r="C791" s="2360"/>
      <c r="D791" s="2360"/>
      <c r="E791" s="903"/>
      <c r="F791" s="904"/>
      <c r="G791" s="2360" t="str">
        <f>$K$2</f>
        <v>THÁNG 04/2025</v>
      </c>
      <c r="H791" s="2360"/>
      <c r="I791" s="2360"/>
      <c r="J791" s="2360"/>
      <c r="K791" s="276"/>
    </row>
    <row r="792" spans="1:15" ht="15" customHeight="1">
      <c r="A792" s="905" t="s">
        <v>356</v>
      </c>
      <c r="B792" s="642" t="s">
        <v>895</v>
      </c>
      <c r="C792" s="546"/>
      <c r="D792" s="902"/>
      <c r="E792" s="906"/>
      <c r="F792" s="907"/>
      <c r="G792" s="905" t="s">
        <v>356</v>
      </c>
      <c r="H792" s="642" t="s">
        <v>1983</v>
      </c>
      <c r="I792" s="546"/>
      <c r="J792" s="902"/>
      <c r="L792" s="938"/>
      <c r="M792" s="938"/>
      <c r="N792" s="938"/>
      <c r="O792" s="938"/>
    </row>
    <row r="793" spans="1:15" ht="15" customHeight="1">
      <c r="A793" s="908" t="s">
        <v>359</v>
      </c>
      <c r="B793" s="909" t="s">
        <v>2090</v>
      </c>
      <c r="C793" s="910" t="e">
        <f>VLOOKUP(B792,'LƯƠNG KT'!$D$16:$Z$184,4,0)</f>
        <v>#N/A</v>
      </c>
      <c r="D793" s="609" t="e">
        <f>+C793*25000</f>
        <v>#N/A</v>
      </c>
      <c r="E793" s="911"/>
      <c r="F793" s="911"/>
      <c r="G793" s="908" t="s">
        <v>359</v>
      </c>
      <c r="H793" s="909" t="s">
        <v>2090</v>
      </c>
      <c r="I793" s="910" t="e">
        <f>VLOOKUP(H792,'LƯƠNG KT'!$D$16:$Z$184,4,0)</f>
        <v>#N/A</v>
      </c>
      <c r="J793" s="609" t="e">
        <f>+I793*25000</f>
        <v>#N/A</v>
      </c>
      <c r="K793" s="934"/>
      <c r="L793" s="935"/>
      <c r="M793" s="935"/>
      <c r="N793" s="935"/>
      <c r="O793" s="935"/>
    </row>
    <row r="794" spans="1:15" ht="15" customHeight="1">
      <c r="A794" s="908" t="s">
        <v>361</v>
      </c>
      <c r="B794" s="909" t="s">
        <v>2091</v>
      </c>
      <c r="C794" s="910" t="e">
        <f>VLOOKUP(B792,'LƯƠNG KT'!$D$16:$Z$184,15,0)</f>
        <v>#N/A</v>
      </c>
      <c r="D794" s="609" t="e">
        <f>C794*$L$4</f>
        <v>#N/A</v>
      </c>
      <c r="E794" s="912"/>
      <c r="F794" s="912"/>
      <c r="G794" s="908" t="s">
        <v>361</v>
      </c>
      <c r="H794" s="909" t="s">
        <v>2091</v>
      </c>
      <c r="I794" s="910" t="e">
        <f>VLOOKUP(H792,'LƯƠNG KT'!$D$16:$Z$184,15,0)</f>
        <v>#N/A</v>
      </c>
      <c r="J794" s="609" t="e">
        <f>I794*$L$4</f>
        <v>#N/A</v>
      </c>
      <c r="K794" s="934"/>
      <c r="L794" s="935"/>
      <c r="M794" s="935"/>
      <c r="N794" s="935"/>
      <c r="O794" s="935"/>
    </row>
    <row r="795" spans="1:15" ht="15" customHeight="1">
      <c r="A795" s="908" t="s">
        <v>364</v>
      </c>
      <c r="B795" s="909" t="s">
        <v>2092</v>
      </c>
      <c r="C795" s="910" t="e">
        <f>VLOOKUP(B792,'LƯƠNG KT'!$D$16:$Z$184,16,0)</f>
        <v>#N/A</v>
      </c>
      <c r="D795" s="609" t="e">
        <f>C795*$L$5</f>
        <v>#N/A</v>
      </c>
      <c r="E795" s="912"/>
      <c r="F795" s="912"/>
      <c r="G795" s="908" t="s">
        <v>364</v>
      </c>
      <c r="H795" s="909" t="s">
        <v>2092</v>
      </c>
      <c r="I795" s="910" t="e">
        <f>VLOOKUP(H792,'LƯƠNG KT'!$D$16:$Z$184,16,0)</f>
        <v>#N/A</v>
      </c>
      <c r="J795" s="609" t="e">
        <f>I795*$L$5</f>
        <v>#N/A</v>
      </c>
      <c r="K795" s="934"/>
      <c r="L795" s="935"/>
      <c r="M795" s="935"/>
      <c r="N795" s="935"/>
      <c r="O795" s="935"/>
    </row>
    <row r="796" spans="1:15" ht="15" customHeight="1">
      <c r="A796" s="908" t="s">
        <v>370</v>
      </c>
      <c r="B796" s="909" t="s">
        <v>2093</v>
      </c>
      <c r="C796" s="910" t="e">
        <f>VLOOKUP(B792,'LƯƠNG KT'!$D$16:$Z$184,24,0)</f>
        <v>#N/A</v>
      </c>
      <c r="D796" s="609" t="e">
        <f>+C796*$L$6</f>
        <v>#N/A</v>
      </c>
      <c r="E796" s="912"/>
      <c r="F796" s="912"/>
      <c r="G796" s="908" t="s">
        <v>370</v>
      </c>
      <c r="H796" s="909" t="s">
        <v>2093</v>
      </c>
      <c r="I796" s="910" t="e">
        <f>VLOOKUP(H792,'LƯƠNG KT'!$D$16:$Z$184,24,0)</f>
        <v>#N/A</v>
      </c>
      <c r="J796" s="609" t="e">
        <f>+I796*$L$6</f>
        <v>#N/A</v>
      </c>
      <c r="K796" s="935"/>
      <c r="L796" s="935"/>
      <c r="M796" s="935"/>
      <c r="N796" s="935"/>
      <c r="O796" s="935"/>
    </row>
    <row r="797" spans="1:15" ht="15" customHeight="1">
      <c r="A797" s="908" t="s">
        <v>2094</v>
      </c>
      <c r="B797" s="909" t="s">
        <v>2095</v>
      </c>
      <c r="C797" s="910" t="e">
        <f>VLOOKUP(B792,'LƯƠNG KT'!$D$16:$Z$184,19,0)</f>
        <v>#N/A</v>
      </c>
      <c r="D797" s="609" t="e">
        <f>+C797*$L$8</f>
        <v>#N/A</v>
      </c>
      <c r="E797" s="912"/>
      <c r="F797" s="912"/>
      <c r="G797" s="908" t="s">
        <v>2094</v>
      </c>
      <c r="H797" s="909" t="s">
        <v>2095</v>
      </c>
      <c r="I797" s="910" t="e">
        <f>VLOOKUP(H792,'LƯƠNG KT'!$D$16:$Z$184,19,0)</f>
        <v>#N/A</v>
      </c>
      <c r="J797" s="609" t="e">
        <f>+I797*$L$8</f>
        <v>#N/A</v>
      </c>
      <c r="K797" s="935"/>
      <c r="L797" s="935"/>
      <c r="M797" s="935"/>
      <c r="N797" s="935"/>
      <c r="O797" s="935"/>
    </row>
    <row r="798" spans="1:15" ht="15" customHeight="1">
      <c r="A798" s="908" t="s">
        <v>2096</v>
      </c>
      <c r="B798" s="913" t="s">
        <v>2097</v>
      </c>
      <c r="C798" s="910" t="e">
        <f>VLOOKUP(B792,'LƯƠNG KT'!$D$16:$Z$184,20,0)</f>
        <v>#N/A</v>
      </c>
      <c r="D798" s="609" t="e">
        <f>+C798*$L$9</f>
        <v>#N/A</v>
      </c>
      <c r="E798" s="912"/>
      <c r="F798" s="912"/>
      <c r="G798" s="908" t="s">
        <v>2096</v>
      </c>
      <c r="H798" s="913" t="s">
        <v>2097</v>
      </c>
      <c r="I798" s="910" t="e">
        <f>VLOOKUP(H792,'LƯƠNG KT'!$D$16:$Z$184,20,0)</f>
        <v>#N/A</v>
      </c>
      <c r="J798" s="609" t="e">
        <f>+I798*$L$9</f>
        <v>#N/A</v>
      </c>
      <c r="K798" s="935"/>
      <c r="L798" s="935"/>
      <c r="M798" s="935"/>
      <c r="N798" s="935"/>
      <c r="O798" s="935"/>
    </row>
    <row r="799" spans="1:15" ht="15" customHeight="1">
      <c r="A799" s="908" t="s">
        <v>2099</v>
      </c>
      <c r="B799" s="909" t="s">
        <v>2100</v>
      </c>
      <c r="C799" s="910" t="e">
        <f>VLOOKUP(B792,'LƯƠNG KT'!$D$16:$Z$184,17,0)</f>
        <v>#N/A</v>
      </c>
      <c r="D799" s="609" t="e">
        <f>+C799*$L$10</f>
        <v>#N/A</v>
      </c>
      <c r="E799" s="912"/>
      <c r="F799" s="912"/>
      <c r="G799" s="908" t="s">
        <v>2099</v>
      </c>
      <c r="H799" s="909" t="s">
        <v>2100</v>
      </c>
      <c r="I799" s="910" t="e">
        <f>VLOOKUP(H792,'LƯƠNG KT'!$D$16:$Z$184,17,0)</f>
        <v>#N/A</v>
      </c>
      <c r="J799" s="609" t="e">
        <f>+I799*$L$10</f>
        <v>#N/A</v>
      </c>
      <c r="K799" s="935"/>
      <c r="L799" s="935"/>
      <c r="M799" s="935"/>
      <c r="N799" s="935"/>
      <c r="O799" s="935"/>
    </row>
    <row r="800" spans="1:15" ht="15" customHeight="1">
      <c r="A800" s="908" t="s">
        <v>374</v>
      </c>
      <c r="B800" s="909" t="s">
        <v>2102</v>
      </c>
      <c r="C800" s="910" t="e">
        <f>VLOOKUP(B792,'LƯƠNG KT'!$D$16:$Z$184,12,0)</f>
        <v>#N/A</v>
      </c>
      <c r="D800" s="609" t="e">
        <f>VLOOKUP(B792,'LƯƠNG KT'!$D$16:$Z$184,14,0)</f>
        <v>#N/A</v>
      </c>
      <c r="E800" s="914"/>
      <c r="F800" s="912"/>
      <c r="G800" s="908" t="s">
        <v>374</v>
      </c>
      <c r="H800" s="909" t="s">
        <v>2102</v>
      </c>
      <c r="I800" s="910" t="e">
        <f>VLOOKUP(H792,'LƯƠNG KT'!$D$16:$Z$184,12,0)</f>
        <v>#N/A</v>
      </c>
      <c r="J800" s="609" t="e">
        <f>VLOOKUP(H792,'LƯƠNG KT'!$D$16:$Z$184,14,0)</f>
        <v>#N/A</v>
      </c>
      <c r="K800" s="935"/>
      <c r="L800" s="935"/>
      <c r="M800" s="935"/>
      <c r="N800" s="935"/>
      <c r="O800" s="935"/>
    </row>
    <row r="801" spans="1:15" ht="15" customHeight="1">
      <c r="A801" s="908" t="s">
        <v>2103</v>
      </c>
      <c r="B801" s="909" t="s">
        <v>2104</v>
      </c>
      <c r="D801" s="915" t="e">
        <f>VLOOKUP(B792,'LƯƠNG KT'!$D$16:$Z$184,13,0)</f>
        <v>#N/A</v>
      </c>
      <c r="E801" s="916"/>
      <c r="F801" s="916"/>
      <c r="G801" s="908" t="s">
        <v>2103</v>
      </c>
      <c r="H801" s="909" t="s">
        <v>2104</v>
      </c>
      <c r="J801" s="915" t="e">
        <f>VLOOKUP(H792,'LƯƠNG KT'!$D$16:$Z$184,13,0)</f>
        <v>#N/A</v>
      </c>
    </row>
    <row r="802" spans="1:15" ht="15" customHeight="1">
      <c r="A802" s="547"/>
      <c r="B802" s="546"/>
      <c r="C802" s="910"/>
      <c r="D802" s="609"/>
      <c r="E802" s="914"/>
      <c r="F802" s="916"/>
      <c r="G802" s="547"/>
      <c r="H802" s="546"/>
      <c r="I802" s="910"/>
      <c r="J802" s="609"/>
    </row>
    <row r="803" spans="1:15" ht="15" customHeight="1">
      <c r="A803" s="905"/>
      <c r="B803" s="546"/>
      <c r="C803" s="910"/>
      <c r="D803" s="609"/>
      <c r="E803" s="917"/>
      <c r="F803" s="904"/>
      <c r="G803" s="905"/>
      <c r="H803" s="546"/>
      <c r="I803" s="910"/>
      <c r="J803" s="609"/>
    </row>
    <row r="804" spans="1:15" ht="15" customHeight="1">
      <c r="A804" s="918" t="s">
        <v>383</v>
      </c>
      <c r="B804" s="919" t="s">
        <v>384</v>
      </c>
      <c r="C804" s="920"/>
      <c r="D804" s="921" t="e">
        <f>SUM(D793:D800)-D803</f>
        <v>#N/A</v>
      </c>
      <c r="E804" s="922"/>
      <c r="F804" s="923"/>
      <c r="G804" s="918" t="s">
        <v>383</v>
      </c>
      <c r="H804" s="919" t="s">
        <v>384</v>
      </c>
      <c r="I804" s="920"/>
      <c r="J804" s="921" t="e">
        <f>SUM(J793:J800)-J803</f>
        <v>#N/A</v>
      </c>
    </row>
    <row r="805" spans="1:15" ht="18" customHeight="1">
      <c r="A805" s="924"/>
      <c r="B805" s="925"/>
      <c r="C805" s="926"/>
      <c r="D805" s="927"/>
      <c r="E805" s="927"/>
      <c r="F805" s="928"/>
      <c r="G805" s="924"/>
      <c r="H805" s="925"/>
      <c r="I805" s="926"/>
      <c r="J805" s="927"/>
    </row>
    <row r="806" spans="1:15" ht="18" customHeight="1">
      <c r="A806" s="925"/>
      <c r="B806" s="925"/>
      <c r="C806" s="929"/>
      <c r="D806" s="930"/>
      <c r="E806" s="925"/>
      <c r="F806" s="931"/>
      <c r="G806" s="925"/>
      <c r="H806" s="925"/>
      <c r="I806" s="929"/>
      <c r="J806" s="930"/>
    </row>
    <row r="807" spans="1:15" ht="15" customHeight="1">
      <c r="A807" s="2360" t="str">
        <f>$K$2</f>
        <v>THÁNG 04/2025</v>
      </c>
      <c r="B807" s="2360"/>
      <c r="C807" s="2360"/>
      <c r="D807" s="2360"/>
      <c r="E807" s="903"/>
      <c r="F807" s="904"/>
      <c r="G807" s="2360" t="str">
        <f>$K$2</f>
        <v>THÁNG 04/2025</v>
      </c>
      <c r="H807" s="2360"/>
      <c r="I807" s="2360"/>
      <c r="J807" s="2360"/>
      <c r="K807" s="276"/>
    </row>
    <row r="808" spans="1:15" ht="15" customHeight="1">
      <c r="A808" s="905" t="s">
        <v>356</v>
      </c>
      <c r="B808" s="642" t="s">
        <v>1984</v>
      </c>
      <c r="C808" s="546"/>
      <c r="D808" s="902"/>
      <c r="E808" s="906"/>
      <c r="F808" s="907"/>
      <c r="G808" s="905" t="s">
        <v>356</v>
      </c>
      <c r="H808" s="642" t="s">
        <v>472</v>
      </c>
      <c r="I808" s="546"/>
      <c r="J808" s="902"/>
      <c r="L808" s="938"/>
      <c r="M808" s="938"/>
      <c r="N808" s="938"/>
      <c r="O808" s="938"/>
    </row>
    <row r="809" spans="1:15" ht="15" customHeight="1">
      <c r="A809" s="908" t="s">
        <v>359</v>
      </c>
      <c r="B809" s="909" t="s">
        <v>2090</v>
      </c>
      <c r="C809" s="910" t="e">
        <f>VLOOKUP(B808,'LƯƠNG KT'!$D$16:$Z$184,4,0)</f>
        <v>#N/A</v>
      </c>
      <c r="D809" s="609" t="e">
        <f>+C809*25000</f>
        <v>#N/A</v>
      </c>
      <c r="E809" s="911"/>
      <c r="F809" s="911"/>
      <c r="G809" s="908" t="s">
        <v>359</v>
      </c>
      <c r="H809" s="909" t="s">
        <v>2090</v>
      </c>
      <c r="I809" s="910" t="e">
        <f>VLOOKUP(H808,'LƯƠNG KT'!$D$16:$Z$184,4,0)</f>
        <v>#N/A</v>
      </c>
      <c r="J809" s="609" t="e">
        <f>+I809*25000</f>
        <v>#N/A</v>
      </c>
      <c r="K809" s="935"/>
      <c r="L809" s="935"/>
      <c r="M809" s="935"/>
      <c r="N809" s="935"/>
      <c r="O809" s="935"/>
    </row>
    <row r="810" spans="1:15" ht="15" customHeight="1">
      <c r="A810" s="908" t="s">
        <v>361</v>
      </c>
      <c r="B810" s="909" t="s">
        <v>2091</v>
      </c>
      <c r="C810" s="910" t="e">
        <f>VLOOKUP(B808,'LƯƠNG KT'!$D$16:$Z$184,15,0)</f>
        <v>#N/A</v>
      </c>
      <c r="D810" s="609" t="e">
        <f>C810*$L$4</f>
        <v>#N/A</v>
      </c>
      <c r="E810" s="912"/>
      <c r="F810" s="912"/>
      <c r="G810" s="908" t="s">
        <v>361</v>
      </c>
      <c r="H810" s="909" t="s">
        <v>2091</v>
      </c>
      <c r="I810" s="910" t="e">
        <f>VLOOKUP(H808,'LƯƠNG KT'!$D$16:$Z$184,15,0)</f>
        <v>#N/A</v>
      </c>
      <c r="J810" s="609" t="e">
        <f>I810*$L$4</f>
        <v>#N/A</v>
      </c>
      <c r="K810" s="935"/>
      <c r="L810" s="935"/>
      <c r="M810" s="935"/>
      <c r="N810" s="935"/>
      <c r="O810" s="935"/>
    </row>
    <row r="811" spans="1:15" ht="15" customHeight="1">
      <c r="A811" s="908" t="s">
        <v>364</v>
      </c>
      <c r="B811" s="909" t="s">
        <v>2092</v>
      </c>
      <c r="C811" s="910" t="e">
        <f>VLOOKUP(B808,'LƯƠNG KT'!$D$16:$Z$184,16,0)</f>
        <v>#N/A</v>
      </c>
      <c r="D811" s="609" t="e">
        <f>C811*$L$5</f>
        <v>#N/A</v>
      </c>
      <c r="E811" s="912"/>
      <c r="F811" s="912"/>
      <c r="G811" s="908" t="s">
        <v>364</v>
      </c>
      <c r="H811" s="909" t="s">
        <v>2092</v>
      </c>
      <c r="I811" s="910" t="e">
        <f>VLOOKUP(H808,'LƯƠNG KT'!$D$16:$Z$184,16,0)</f>
        <v>#N/A</v>
      </c>
      <c r="J811" s="609" t="e">
        <f>I811*$L$5</f>
        <v>#N/A</v>
      </c>
      <c r="K811" s="935"/>
      <c r="L811" s="935"/>
      <c r="M811" s="935"/>
      <c r="N811" s="935"/>
      <c r="O811" s="935"/>
    </row>
    <row r="812" spans="1:15" ht="15" customHeight="1">
      <c r="A812" s="908" t="s">
        <v>370</v>
      </c>
      <c r="B812" s="909" t="s">
        <v>2093</v>
      </c>
      <c r="C812" s="910" t="e">
        <f>VLOOKUP(B808,'LƯƠNG KT'!$D$16:$Z$184,24,0)</f>
        <v>#N/A</v>
      </c>
      <c r="D812" s="609" t="e">
        <f>+C812*$L$6</f>
        <v>#N/A</v>
      </c>
      <c r="E812" s="912"/>
      <c r="F812" s="912"/>
      <c r="G812" s="908" t="s">
        <v>370</v>
      </c>
      <c r="H812" s="909" t="s">
        <v>2093</v>
      </c>
      <c r="I812" s="910" t="e">
        <f>VLOOKUP(H808,'LƯƠNG KT'!$D$16:$Z$184,24,0)</f>
        <v>#N/A</v>
      </c>
      <c r="J812" s="609" t="e">
        <f>+I812*$L$6</f>
        <v>#N/A</v>
      </c>
      <c r="K812" s="935"/>
      <c r="L812" s="935"/>
      <c r="M812" s="935"/>
      <c r="N812" s="935"/>
      <c r="O812" s="935"/>
    </row>
    <row r="813" spans="1:15" ht="15" customHeight="1">
      <c r="A813" s="908" t="s">
        <v>2094</v>
      </c>
      <c r="B813" s="909" t="s">
        <v>2095</v>
      </c>
      <c r="C813" s="910" t="e">
        <f>VLOOKUP(B808,'LƯƠNG KT'!$D$16:$Z$184,19,0)</f>
        <v>#N/A</v>
      </c>
      <c r="D813" s="609" t="e">
        <f>+C813*$L$8</f>
        <v>#N/A</v>
      </c>
      <c r="E813" s="912"/>
      <c r="F813" s="912"/>
      <c r="G813" s="908" t="s">
        <v>2094</v>
      </c>
      <c r="H813" s="909" t="s">
        <v>2095</v>
      </c>
      <c r="I813" s="910" t="e">
        <f>VLOOKUP(H808,'LƯƠNG KT'!$D$16:$Z$184,19,0)</f>
        <v>#N/A</v>
      </c>
      <c r="J813" s="609" t="e">
        <f>+I813*$L$8</f>
        <v>#N/A</v>
      </c>
      <c r="K813" s="935"/>
      <c r="L813" s="935"/>
      <c r="M813" s="935"/>
      <c r="N813" s="935"/>
      <c r="O813" s="935"/>
    </row>
    <row r="814" spans="1:15" ht="15" customHeight="1">
      <c r="A814" s="908" t="s">
        <v>2096</v>
      </c>
      <c r="B814" s="913" t="s">
        <v>2097</v>
      </c>
      <c r="C814" s="910" t="e">
        <f>VLOOKUP(B808,'LƯƠNG KT'!$D$16:$Z$184,20,0)</f>
        <v>#N/A</v>
      </c>
      <c r="D814" s="609" t="e">
        <f>+C814*$L$9</f>
        <v>#N/A</v>
      </c>
      <c r="E814" s="912"/>
      <c r="F814" s="912"/>
      <c r="G814" s="908" t="s">
        <v>2096</v>
      </c>
      <c r="H814" s="913" t="s">
        <v>2097</v>
      </c>
      <c r="I814" s="910" t="e">
        <f>VLOOKUP(H808,'LƯƠNG KT'!$D$16:$Z$184,20,0)</f>
        <v>#N/A</v>
      </c>
      <c r="J814" s="609" t="e">
        <f>+I814*$L$9</f>
        <v>#N/A</v>
      </c>
      <c r="K814" s="935"/>
      <c r="L814" s="935"/>
      <c r="M814" s="935"/>
      <c r="N814" s="935"/>
      <c r="O814" s="935"/>
    </row>
    <row r="815" spans="1:15" ht="15" customHeight="1">
      <c r="A815" s="908" t="s">
        <v>2099</v>
      </c>
      <c r="B815" s="909" t="s">
        <v>2100</v>
      </c>
      <c r="C815" s="910" t="e">
        <f>VLOOKUP(B808,'LƯƠNG KT'!$D$16:$Z$184,17,0)</f>
        <v>#N/A</v>
      </c>
      <c r="D815" s="609" t="e">
        <f>+C815*$L$10</f>
        <v>#N/A</v>
      </c>
      <c r="E815" s="912"/>
      <c r="F815" s="912"/>
      <c r="G815" s="908" t="s">
        <v>2099</v>
      </c>
      <c r="H815" s="909" t="s">
        <v>2100</v>
      </c>
      <c r="I815" s="910" t="e">
        <f>VLOOKUP(H808,'LƯƠNG KT'!$D$16:$Z$184,17,0)</f>
        <v>#N/A</v>
      </c>
      <c r="J815" s="609" t="e">
        <f>+I815*$L$10</f>
        <v>#N/A</v>
      </c>
      <c r="K815" s="935"/>
      <c r="L815" s="935"/>
      <c r="M815" s="935"/>
      <c r="N815" s="935"/>
      <c r="O815" s="935"/>
    </row>
    <row r="816" spans="1:15" ht="15" customHeight="1">
      <c r="A816" s="908" t="s">
        <v>374</v>
      </c>
      <c r="B816" s="909" t="s">
        <v>2102</v>
      </c>
      <c r="C816" s="910" t="e">
        <f>VLOOKUP(B808,'LƯƠNG KT'!$D$16:$Z$184,12,0)</f>
        <v>#N/A</v>
      </c>
      <c r="D816" s="609" t="e">
        <f>VLOOKUP(B808,'LƯƠNG KT'!$D$16:$Z$184,14,0)</f>
        <v>#N/A</v>
      </c>
      <c r="E816" s="914"/>
      <c r="F816" s="912"/>
      <c r="G816" s="908" t="s">
        <v>374</v>
      </c>
      <c r="H816" s="909" t="s">
        <v>2102</v>
      </c>
      <c r="I816" s="910" t="e">
        <f>VLOOKUP(H808,'LƯƠNG KT'!$D$16:$Z$184,12,0)</f>
        <v>#N/A</v>
      </c>
      <c r="J816" s="609" t="e">
        <f>VLOOKUP(H808,'LƯƠNG KT'!$D$16:$Z$184,14,0)</f>
        <v>#N/A</v>
      </c>
      <c r="K816" s="935"/>
      <c r="L816" s="935"/>
      <c r="M816" s="935"/>
      <c r="N816" s="935"/>
      <c r="O816" s="935"/>
    </row>
    <row r="817" spans="1:15" ht="15" customHeight="1">
      <c r="A817" s="908" t="s">
        <v>2103</v>
      </c>
      <c r="B817" s="909" t="s">
        <v>2104</v>
      </c>
      <c r="D817" s="915" t="e">
        <f>VLOOKUP(B808,'LƯƠNG KT'!$D$16:$Z$184,13,0)</f>
        <v>#N/A</v>
      </c>
      <c r="E817" s="916"/>
      <c r="F817" s="916"/>
      <c r="G817" s="908" t="s">
        <v>2103</v>
      </c>
      <c r="H817" s="909" t="s">
        <v>2104</v>
      </c>
      <c r="J817" s="915" t="e">
        <f>VLOOKUP(H808,'LƯƠNG KT'!$D$16:$Z$184,13,0)</f>
        <v>#N/A</v>
      </c>
    </row>
    <row r="818" spans="1:15" ht="15" customHeight="1">
      <c r="A818" s="547"/>
      <c r="B818" s="546"/>
      <c r="C818" s="910"/>
      <c r="D818" s="609"/>
      <c r="E818" s="914"/>
      <c r="F818" s="916"/>
      <c r="G818" s="547"/>
      <c r="H818" s="546"/>
      <c r="I818" s="910"/>
      <c r="J818" s="609"/>
    </row>
    <row r="819" spans="1:15" ht="15" customHeight="1">
      <c r="A819" s="905"/>
      <c r="B819" s="546"/>
      <c r="C819" s="910"/>
      <c r="D819" s="609"/>
      <c r="E819" s="917"/>
      <c r="F819" s="904"/>
      <c r="G819" s="905"/>
      <c r="H819" s="546"/>
      <c r="I819" s="910"/>
      <c r="J819" s="609"/>
    </row>
    <row r="820" spans="1:15" ht="15" customHeight="1">
      <c r="A820" s="918" t="s">
        <v>383</v>
      </c>
      <c r="B820" s="919" t="s">
        <v>384</v>
      </c>
      <c r="C820" s="920"/>
      <c r="D820" s="921" t="e">
        <f>SUM(D809:D816)-D819</f>
        <v>#N/A</v>
      </c>
      <c r="E820" s="922"/>
      <c r="F820" s="923"/>
      <c r="G820" s="918" t="s">
        <v>383</v>
      </c>
      <c r="H820" s="919" t="s">
        <v>384</v>
      </c>
      <c r="I820" s="920"/>
      <c r="J820" s="921" t="e">
        <f>SUM(J809:J816)-J819</f>
        <v>#N/A</v>
      </c>
    </row>
    <row r="821" spans="1:15" ht="18.75" customHeight="1">
      <c r="A821" s="924"/>
      <c r="B821" s="925"/>
      <c r="C821" s="926"/>
      <c r="D821" s="927"/>
      <c r="E821" s="927"/>
      <c r="F821" s="928"/>
      <c r="G821" s="924"/>
      <c r="H821" s="925"/>
      <c r="I821" s="926"/>
      <c r="J821" s="927"/>
    </row>
    <row r="822" spans="1:15" ht="132.75" customHeight="1">
      <c r="A822" s="925"/>
      <c r="B822" s="925"/>
      <c r="C822" s="929"/>
      <c r="D822" s="930"/>
      <c r="E822" s="925"/>
      <c r="F822" s="931"/>
      <c r="G822" s="925"/>
      <c r="H822" s="925"/>
      <c r="I822" s="929"/>
      <c r="J822" s="930"/>
    </row>
    <row r="823" spans="1:15" ht="15" customHeight="1">
      <c r="A823" s="2360" t="str">
        <f>$K$2</f>
        <v>THÁNG 04/2025</v>
      </c>
      <c r="B823" s="2360"/>
      <c r="C823" s="2360"/>
      <c r="D823" s="2360"/>
      <c r="E823" s="903"/>
      <c r="F823" s="904"/>
      <c r="G823" s="2360" t="str">
        <f>$K$2</f>
        <v>THÁNG 04/2025</v>
      </c>
      <c r="H823" s="2360"/>
      <c r="I823" s="2360"/>
      <c r="J823" s="2360"/>
      <c r="K823" s="935"/>
      <c r="L823" s="935"/>
      <c r="M823" s="935"/>
      <c r="N823" s="935"/>
      <c r="O823" s="935"/>
    </row>
    <row r="824" spans="1:15" ht="15" customHeight="1">
      <c r="A824" s="905" t="s">
        <v>356</v>
      </c>
      <c r="B824" s="642" t="s">
        <v>473</v>
      </c>
      <c r="C824" s="546"/>
      <c r="D824" s="902"/>
      <c r="E824" s="906"/>
      <c r="F824" s="907"/>
      <c r="G824" s="905" t="s">
        <v>356</v>
      </c>
      <c r="H824" s="642" t="s">
        <v>1985</v>
      </c>
      <c r="I824" s="546"/>
      <c r="J824" s="902"/>
      <c r="L824" s="938"/>
      <c r="M824" s="938"/>
      <c r="N824" s="938"/>
      <c r="O824" s="938"/>
    </row>
    <row r="825" spans="1:15" ht="15" customHeight="1">
      <c r="A825" s="908" t="s">
        <v>359</v>
      </c>
      <c r="B825" s="909" t="s">
        <v>2090</v>
      </c>
      <c r="C825" s="910" t="e">
        <f>VLOOKUP(B824,'LƯƠNG KT'!$D$16:$Z$184,4,0)</f>
        <v>#N/A</v>
      </c>
      <c r="D825" s="609" t="e">
        <f>+C825*25000</f>
        <v>#N/A</v>
      </c>
      <c r="E825" s="911"/>
      <c r="F825" s="911"/>
      <c r="G825" s="908" t="s">
        <v>359</v>
      </c>
      <c r="H825" s="909" t="s">
        <v>2090</v>
      </c>
      <c r="I825" s="910" t="e">
        <f>VLOOKUP(H824,'LƯƠNG KT'!$D$16:$Z$184,4,0)</f>
        <v>#N/A</v>
      </c>
      <c r="J825" s="609" t="e">
        <f>+I825*25000</f>
        <v>#N/A</v>
      </c>
      <c r="K825" s="935"/>
      <c r="L825" s="935"/>
      <c r="M825" s="935"/>
      <c r="N825" s="935"/>
      <c r="O825" s="935"/>
    </row>
    <row r="826" spans="1:15" ht="15" customHeight="1">
      <c r="A826" s="908" t="s">
        <v>361</v>
      </c>
      <c r="B826" s="909" t="s">
        <v>2091</v>
      </c>
      <c r="C826" s="910" t="e">
        <f>VLOOKUP(B824,'LƯƠNG KT'!$D$16:$Z$184,15,0)</f>
        <v>#N/A</v>
      </c>
      <c r="D826" s="609" t="e">
        <f>C826*$L$4</f>
        <v>#N/A</v>
      </c>
      <c r="E826" s="912"/>
      <c r="F826" s="912"/>
      <c r="G826" s="908" t="s">
        <v>361</v>
      </c>
      <c r="H826" s="909" t="s">
        <v>2091</v>
      </c>
      <c r="I826" s="910" t="e">
        <f>VLOOKUP(H824,'LƯƠNG KT'!$D$16:$Z$184,15,0)</f>
        <v>#N/A</v>
      </c>
      <c r="J826" s="609" t="e">
        <f>I826*$L$4</f>
        <v>#N/A</v>
      </c>
      <c r="K826" s="935"/>
      <c r="L826" s="935"/>
      <c r="M826" s="935"/>
      <c r="N826" s="935"/>
      <c r="O826" s="935"/>
    </row>
    <row r="827" spans="1:15" ht="15" customHeight="1">
      <c r="A827" s="908" t="s">
        <v>364</v>
      </c>
      <c r="B827" s="909" t="s">
        <v>2092</v>
      </c>
      <c r="C827" s="910" t="e">
        <f>VLOOKUP(B824,'LƯƠNG KT'!$D$16:$Z$184,16,0)</f>
        <v>#N/A</v>
      </c>
      <c r="D827" s="609" t="e">
        <f>C827*$L$5</f>
        <v>#N/A</v>
      </c>
      <c r="E827" s="912"/>
      <c r="F827" s="912"/>
      <c r="G827" s="908" t="s">
        <v>364</v>
      </c>
      <c r="H827" s="909" t="s">
        <v>2092</v>
      </c>
      <c r="I827" s="910" t="e">
        <f>VLOOKUP(H824,'LƯƠNG KT'!$D$16:$Z$184,16,0)</f>
        <v>#N/A</v>
      </c>
      <c r="J827" s="609" t="e">
        <f>I827*$L$5</f>
        <v>#N/A</v>
      </c>
      <c r="K827" s="935"/>
      <c r="L827" s="935"/>
      <c r="M827" s="935"/>
      <c r="N827" s="935"/>
      <c r="O827" s="935"/>
    </row>
    <row r="828" spans="1:15" ht="15" customHeight="1">
      <c r="A828" s="908" t="s">
        <v>370</v>
      </c>
      <c r="B828" s="909" t="s">
        <v>2093</v>
      </c>
      <c r="C828" s="910" t="e">
        <f>VLOOKUP(B824,'LƯƠNG KT'!$D$16:$Z$184,24,0)</f>
        <v>#N/A</v>
      </c>
      <c r="D828" s="609" t="e">
        <f>+C828*$L$6</f>
        <v>#N/A</v>
      </c>
      <c r="E828" s="912"/>
      <c r="F828" s="912"/>
      <c r="G828" s="908" t="s">
        <v>370</v>
      </c>
      <c r="H828" s="909" t="s">
        <v>2093</v>
      </c>
      <c r="I828" s="910" t="e">
        <f>VLOOKUP(H824,'LƯƠNG KT'!$D$16:$Z$184,24,0)</f>
        <v>#N/A</v>
      </c>
      <c r="J828" s="609" t="e">
        <f>+I828*$L$6</f>
        <v>#N/A</v>
      </c>
      <c r="K828" s="935"/>
      <c r="L828" s="935"/>
      <c r="M828" s="935"/>
      <c r="N828" s="935"/>
      <c r="O828" s="935"/>
    </row>
    <row r="829" spans="1:15" ht="15" customHeight="1">
      <c r="A829" s="908" t="s">
        <v>2094</v>
      </c>
      <c r="B829" s="909" t="s">
        <v>2095</v>
      </c>
      <c r="C829" s="910" t="e">
        <f>VLOOKUP(B824,'LƯƠNG KT'!$D$16:$Z$184,19,0)</f>
        <v>#N/A</v>
      </c>
      <c r="D829" s="609" t="e">
        <f>+C829*$L$8</f>
        <v>#N/A</v>
      </c>
      <c r="E829" s="912"/>
      <c r="F829" s="912"/>
      <c r="G829" s="908" t="s">
        <v>2094</v>
      </c>
      <c r="H829" s="909" t="s">
        <v>2095</v>
      </c>
      <c r="I829" s="910" t="e">
        <f>VLOOKUP(H824,'LƯƠNG KT'!$D$16:$Z$184,19,0)</f>
        <v>#N/A</v>
      </c>
      <c r="J829" s="609" t="e">
        <f>+I829*$L$8</f>
        <v>#N/A</v>
      </c>
      <c r="K829" s="935"/>
      <c r="L829" s="935"/>
      <c r="M829" s="935"/>
      <c r="N829" s="935"/>
      <c r="O829" s="935"/>
    </row>
    <row r="830" spans="1:15" ht="15" customHeight="1">
      <c r="A830" s="908" t="s">
        <v>2096</v>
      </c>
      <c r="B830" s="913" t="s">
        <v>2097</v>
      </c>
      <c r="C830" s="910" t="e">
        <f>VLOOKUP(B824,'LƯƠNG KT'!$D$16:$Z$184,20,0)</f>
        <v>#N/A</v>
      </c>
      <c r="D830" s="609" t="e">
        <f>+C830*$L$9</f>
        <v>#N/A</v>
      </c>
      <c r="E830" s="912"/>
      <c r="F830" s="912"/>
      <c r="G830" s="908" t="s">
        <v>2096</v>
      </c>
      <c r="H830" s="913" t="s">
        <v>2097</v>
      </c>
      <c r="I830" s="910" t="e">
        <f>VLOOKUP(H824,'LƯƠNG KT'!$D$16:$Z$184,20,0)</f>
        <v>#N/A</v>
      </c>
      <c r="J830" s="609" t="e">
        <f>+I830*$L$9</f>
        <v>#N/A</v>
      </c>
      <c r="K830" s="935"/>
      <c r="L830" s="935"/>
      <c r="M830" s="935"/>
      <c r="N830" s="935"/>
      <c r="O830" s="935"/>
    </row>
    <row r="831" spans="1:15" ht="15" customHeight="1">
      <c r="A831" s="908" t="s">
        <v>2099</v>
      </c>
      <c r="B831" s="909" t="s">
        <v>2100</v>
      </c>
      <c r="C831" s="910" t="e">
        <f>VLOOKUP(B824,'LƯƠNG KT'!$D$16:$Z$184,17,0)</f>
        <v>#N/A</v>
      </c>
      <c r="D831" s="609" t="e">
        <f>+C831*$L$10</f>
        <v>#N/A</v>
      </c>
      <c r="E831" s="912"/>
      <c r="F831" s="912"/>
      <c r="G831" s="908" t="s">
        <v>2099</v>
      </c>
      <c r="H831" s="909" t="s">
        <v>2100</v>
      </c>
      <c r="I831" s="910" t="e">
        <f>VLOOKUP(H824,'LƯƠNG KT'!$D$16:$Z$184,17,0)</f>
        <v>#N/A</v>
      </c>
      <c r="J831" s="609" t="e">
        <f>+I831*$L$10</f>
        <v>#N/A</v>
      </c>
      <c r="K831" s="935"/>
      <c r="L831" s="935"/>
      <c r="M831" s="935"/>
      <c r="N831" s="935"/>
      <c r="O831" s="935"/>
    </row>
    <row r="832" spans="1:15" ht="15" customHeight="1">
      <c r="A832" s="908" t="s">
        <v>374</v>
      </c>
      <c r="B832" s="909" t="s">
        <v>2102</v>
      </c>
      <c r="C832" s="910" t="e">
        <f>VLOOKUP(B824,'LƯƠNG KT'!$D$16:$Z$184,12,0)</f>
        <v>#N/A</v>
      </c>
      <c r="D832" s="609" t="e">
        <f>VLOOKUP(B824,'LƯƠNG KT'!$D$16:$Z$184,14,0)</f>
        <v>#N/A</v>
      </c>
      <c r="E832" s="914"/>
      <c r="F832" s="912"/>
      <c r="G832" s="908" t="s">
        <v>374</v>
      </c>
      <c r="H832" s="909" t="s">
        <v>2102</v>
      </c>
      <c r="I832" s="910" t="e">
        <f>VLOOKUP(H824,'LƯƠNG KT'!$D$16:$Z$184,12,0)</f>
        <v>#N/A</v>
      </c>
      <c r="J832" s="609" t="e">
        <f>VLOOKUP(H824,'LƯƠNG KT'!$D$16:$Z$184,14,0)</f>
        <v>#N/A</v>
      </c>
      <c r="K832" s="935"/>
      <c r="L832" s="935"/>
      <c r="M832" s="935"/>
      <c r="N832" s="935"/>
      <c r="O832" s="935"/>
    </row>
    <row r="833" spans="1:15" ht="15" customHeight="1">
      <c r="A833" s="908" t="s">
        <v>2103</v>
      </c>
      <c r="B833" s="909" t="s">
        <v>2104</v>
      </c>
      <c r="D833" s="915" t="e">
        <f>VLOOKUP(B824,'LƯƠNG KT'!$D$16:$Z$184,13,0)</f>
        <v>#N/A</v>
      </c>
      <c r="E833" s="916"/>
      <c r="F833" s="916"/>
      <c r="G833" s="908" t="s">
        <v>2103</v>
      </c>
      <c r="H833" s="909" t="s">
        <v>2104</v>
      </c>
      <c r="J833" s="915" t="e">
        <f>VLOOKUP(H824,'LƯƠNG KT'!$D$16:$Z$184,13,0)</f>
        <v>#N/A</v>
      </c>
    </row>
    <row r="834" spans="1:15" ht="15" customHeight="1">
      <c r="A834" s="547"/>
      <c r="B834" s="546"/>
      <c r="C834" s="910"/>
      <c r="D834" s="609"/>
      <c r="E834" s="914"/>
      <c r="F834" s="916"/>
      <c r="G834" s="547"/>
      <c r="H834" s="546"/>
      <c r="I834" s="910"/>
      <c r="J834" s="609"/>
    </row>
    <row r="835" spans="1:15" ht="15" customHeight="1">
      <c r="A835" s="905"/>
      <c r="B835" s="546"/>
      <c r="C835" s="910"/>
      <c r="D835" s="609"/>
      <c r="E835" s="917"/>
      <c r="F835" s="904"/>
      <c r="G835" s="905"/>
      <c r="H835" s="546"/>
      <c r="I835" s="910"/>
      <c r="J835" s="609"/>
    </row>
    <row r="836" spans="1:15" ht="15" customHeight="1">
      <c r="A836" s="918" t="s">
        <v>383</v>
      </c>
      <c r="B836" s="919" t="s">
        <v>384</v>
      </c>
      <c r="C836" s="920"/>
      <c r="D836" s="921" t="e">
        <f>SUM(D825:D832)-D835</f>
        <v>#N/A</v>
      </c>
      <c r="E836" s="922"/>
      <c r="F836" s="923"/>
      <c r="G836" s="918" t="s">
        <v>383</v>
      </c>
      <c r="H836" s="919" t="s">
        <v>384</v>
      </c>
      <c r="I836" s="920"/>
      <c r="J836" s="921" t="e">
        <f>SUM(J825:J832)-J835</f>
        <v>#N/A</v>
      </c>
    </row>
    <row r="837" spans="1:15" ht="18.75" customHeight="1">
      <c r="A837" s="924"/>
      <c r="B837" s="925"/>
      <c r="C837" s="926"/>
      <c r="D837" s="927"/>
      <c r="E837" s="927"/>
      <c r="F837" s="928"/>
      <c r="G837" s="924"/>
      <c r="H837" s="925"/>
      <c r="I837" s="926"/>
      <c r="J837" s="927"/>
    </row>
    <row r="838" spans="1:15" ht="18.75" customHeight="1">
      <c r="A838" s="925"/>
      <c r="B838" s="925"/>
      <c r="C838" s="929"/>
      <c r="D838" s="930"/>
      <c r="E838" s="925"/>
      <c r="F838" s="931"/>
      <c r="G838" s="925"/>
      <c r="H838" s="925"/>
      <c r="I838" s="929"/>
      <c r="J838" s="930"/>
    </row>
    <row r="839" spans="1:15" ht="15" customHeight="1">
      <c r="A839" s="2360" t="str">
        <f>$K$2</f>
        <v>THÁNG 04/2025</v>
      </c>
      <c r="B839" s="2360"/>
      <c r="C839" s="2360"/>
      <c r="D839" s="2360"/>
      <c r="E839" s="903"/>
      <c r="F839" s="904"/>
      <c r="G839" s="2360" t="str">
        <f>$K$2</f>
        <v>THÁNG 04/2025</v>
      </c>
      <c r="H839" s="2360"/>
      <c r="I839" s="2360"/>
      <c r="J839" s="2360"/>
      <c r="K839" s="276"/>
    </row>
    <row r="840" spans="1:15" ht="15" customHeight="1">
      <c r="A840" s="905" t="s">
        <v>356</v>
      </c>
      <c r="B840" s="642" t="s">
        <v>475</v>
      </c>
      <c r="C840" s="546"/>
      <c r="D840" s="902"/>
      <c r="E840" s="906"/>
      <c r="F840" s="907"/>
      <c r="G840" s="905" t="s">
        <v>356</v>
      </c>
      <c r="H840" s="642" t="s">
        <v>476</v>
      </c>
      <c r="I840" s="546"/>
      <c r="J840" s="902"/>
      <c r="L840" s="938"/>
      <c r="M840" s="938"/>
      <c r="N840" s="938"/>
      <c r="O840" s="938"/>
    </row>
    <row r="841" spans="1:15" ht="15" customHeight="1">
      <c r="A841" s="908" t="s">
        <v>359</v>
      </c>
      <c r="B841" s="909" t="s">
        <v>2090</v>
      </c>
      <c r="C841" s="910" t="e">
        <f>VLOOKUP(B840,'LƯƠNG KT'!$D$16:$Z$184,4,0)</f>
        <v>#N/A</v>
      </c>
      <c r="D841" s="609" t="e">
        <f>+C841*25000</f>
        <v>#N/A</v>
      </c>
      <c r="E841" s="911"/>
      <c r="F841" s="911"/>
      <c r="G841" s="908" t="s">
        <v>359</v>
      </c>
      <c r="H841" s="909" t="s">
        <v>2090</v>
      </c>
      <c r="I841" s="910" t="e">
        <f>VLOOKUP(H840,'LƯƠNG KT'!$D$16:$Z$184,4,0)</f>
        <v>#N/A</v>
      </c>
      <c r="J841" s="609" t="e">
        <f>+I841*25000</f>
        <v>#N/A</v>
      </c>
      <c r="K841" s="935"/>
      <c r="L841" s="935"/>
      <c r="M841" s="935"/>
      <c r="N841" s="935"/>
      <c r="O841" s="935"/>
    </row>
    <row r="842" spans="1:15" ht="15" customHeight="1">
      <c r="A842" s="908" t="s">
        <v>361</v>
      </c>
      <c r="B842" s="909" t="s">
        <v>2091</v>
      </c>
      <c r="C842" s="910" t="e">
        <f>VLOOKUP(B840,'LƯƠNG KT'!$D$16:$Z$184,15,0)</f>
        <v>#N/A</v>
      </c>
      <c r="D842" s="609" t="e">
        <f>C842*$L$4</f>
        <v>#N/A</v>
      </c>
      <c r="E842" s="912"/>
      <c r="F842" s="912"/>
      <c r="G842" s="908" t="s">
        <v>361</v>
      </c>
      <c r="H842" s="909" t="s">
        <v>2091</v>
      </c>
      <c r="I842" s="910" t="e">
        <f>VLOOKUP(H840,'LƯƠNG KT'!$D$16:$Z$184,15,0)</f>
        <v>#N/A</v>
      </c>
      <c r="J842" s="609" t="e">
        <f>I842*$L$4</f>
        <v>#N/A</v>
      </c>
      <c r="K842" s="935"/>
      <c r="L842" s="935"/>
      <c r="M842" s="935"/>
      <c r="N842" s="935"/>
      <c r="O842" s="935"/>
    </row>
    <row r="843" spans="1:15" ht="15" customHeight="1">
      <c r="A843" s="908" t="s">
        <v>364</v>
      </c>
      <c r="B843" s="909" t="s">
        <v>2092</v>
      </c>
      <c r="C843" s="910" t="e">
        <f>VLOOKUP(B840,'LƯƠNG KT'!$D$16:$Z$184,16,0)</f>
        <v>#N/A</v>
      </c>
      <c r="D843" s="609" t="e">
        <f>C843*$L$5</f>
        <v>#N/A</v>
      </c>
      <c r="E843" s="912"/>
      <c r="F843" s="912"/>
      <c r="G843" s="908" t="s">
        <v>364</v>
      </c>
      <c r="H843" s="909" t="s">
        <v>2092</v>
      </c>
      <c r="I843" s="910" t="e">
        <f>VLOOKUP(H840,'LƯƠNG KT'!$D$16:$Z$184,16,0)</f>
        <v>#N/A</v>
      </c>
      <c r="J843" s="609" t="e">
        <f>I843*$L$5</f>
        <v>#N/A</v>
      </c>
      <c r="K843" s="935"/>
      <c r="L843" s="935"/>
      <c r="M843" s="935"/>
      <c r="N843" s="935"/>
      <c r="O843" s="935"/>
    </row>
    <row r="844" spans="1:15" ht="15" customHeight="1">
      <c r="A844" s="908" t="s">
        <v>370</v>
      </c>
      <c r="B844" s="909" t="s">
        <v>2093</v>
      </c>
      <c r="C844" s="910" t="e">
        <f>VLOOKUP(B840,'LƯƠNG KT'!$D$16:$Z$184,24,0)</f>
        <v>#N/A</v>
      </c>
      <c r="D844" s="609" t="e">
        <f>+C844*$L$6</f>
        <v>#N/A</v>
      </c>
      <c r="E844" s="912"/>
      <c r="F844" s="912"/>
      <c r="G844" s="908" t="s">
        <v>370</v>
      </c>
      <c r="H844" s="909" t="s">
        <v>2093</v>
      </c>
      <c r="I844" s="910" t="e">
        <f>VLOOKUP(H840,'LƯƠNG KT'!$D$16:$Z$184,24,0)</f>
        <v>#N/A</v>
      </c>
      <c r="J844" s="609" t="e">
        <f>+I844*$L$6</f>
        <v>#N/A</v>
      </c>
      <c r="K844" s="935"/>
      <c r="L844" s="935"/>
      <c r="M844" s="935"/>
      <c r="N844" s="935"/>
      <c r="O844" s="935"/>
    </row>
    <row r="845" spans="1:15" ht="15" customHeight="1">
      <c r="A845" s="908" t="s">
        <v>2094</v>
      </c>
      <c r="B845" s="909" t="s">
        <v>2095</v>
      </c>
      <c r="C845" s="910" t="e">
        <f>VLOOKUP(B840,'LƯƠNG KT'!$D$16:$Z$184,19,0)</f>
        <v>#N/A</v>
      </c>
      <c r="D845" s="609" t="e">
        <f>+C845*$L$8</f>
        <v>#N/A</v>
      </c>
      <c r="E845" s="912"/>
      <c r="F845" s="912"/>
      <c r="G845" s="908" t="s">
        <v>2094</v>
      </c>
      <c r="H845" s="909" t="s">
        <v>2095</v>
      </c>
      <c r="I845" s="910" t="e">
        <f>VLOOKUP(H840,'LƯƠNG KT'!$D$16:$Z$184,19,0)</f>
        <v>#N/A</v>
      </c>
      <c r="J845" s="609" t="e">
        <f>+I845*$L$8</f>
        <v>#N/A</v>
      </c>
      <c r="K845" s="935"/>
      <c r="L845" s="935"/>
      <c r="M845" s="935"/>
      <c r="N845" s="935"/>
      <c r="O845" s="935"/>
    </row>
    <row r="846" spans="1:15" ht="15" customHeight="1">
      <c r="A846" s="908" t="s">
        <v>2096</v>
      </c>
      <c r="B846" s="913" t="s">
        <v>2097</v>
      </c>
      <c r="C846" s="910" t="e">
        <f>VLOOKUP(B840,'LƯƠNG KT'!$D$16:$Z$184,20,0)</f>
        <v>#N/A</v>
      </c>
      <c r="D846" s="609" t="e">
        <f>+C846*$L$9</f>
        <v>#N/A</v>
      </c>
      <c r="E846" s="912"/>
      <c r="F846" s="912"/>
      <c r="G846" s="908" t="s">
        <v>2096</v>
      </c>
      <c r="H846" s="913" t="s">
        <v>2097</v>
      </c>
      <c r="I846" s="910" t="e">
        <f>VLOOKUP(H840,'LƯƠNG KT'!$D$16:$Z$184,20,0)</f>
        <v>#N/A</v>
      </c>
      <c r="J846" s="609" t="e">
        <f>+I846*$L$9</f>
        <v>#N/A</v>
      </c>
      <c r="K846" s="935"/>
      <c r="L846" s="935"/>
      <c r="M846" s="935"/>
      <c r="N846" s="935"/>
      <c r="O846" s="935"/>
    </row>
    <row r="847" spans="1:15" ht="15" customHeight="1">
      <c r="A847" s="908" t="s">
        <v>2099</v>
      </c>
      <c r="B847" s="909" t="s">
        <v>2100</v>
      </c>
      <c r="C847" s="910" t="e">
        <f>VLOOKUP(B840,'LƯƠNG KT'!$D$16:$Z$184,17,0)</f>
        <v>#N/A</v>
      </c>
      <c r="D847" s="609" t="e">
        <f>+C847*$L$10</f>
        <v>#N/A</v>
      </c>
      <c r="E847" s="912"/>
      <c r="F847" s="912"/>
      <c r="G847" s="908" t="s">
        <v>2099</v>
      </c>
      <c r="H847" s="909" t="s">
        <v>2100</v>
      </c>
      <c r="I847" s="910" t="e">
        <f>VLOOKUP(H840,'LƯƠNG KT'!$D$16:$Z$184,17,0)</f>
        <v>#N/A</v>
      </c>
      <c r="J847" s="609" t="e">
        <f>+I847*$L$10</f>
        <v>#N/A</v>
      </c>
      <c r="K847" s="935"/>
      <c r="L847" s="935"/>
      <c r="M847" s="935"/>
      <c r="N847" s="935"/>
      <c r="O847" s="935"/>
    </row>
    <row r="848" spans="1:15" ht="15" customHeight="1">
      <c r="A848" s="908" t="s">
        <v>374</v>
      </c>
      <c r="B848" s="909" t="s">
        <v>2102</v>
      </c>
      <c r="C848" s="910" t="e">
        <f>VLOOKUP(B840,'LƯƠNG KT'!$D$16:$Z$184,12,0)</f>
        <v>#N/A</v>
      </c>
      <c r="D848" s="609" t="e">
        <f>VLOOKUP(B840,'LƯƠNG KT'!$D$16:$Z$184,14,0)</f>
        <v>#N/A</v>
      </c>
      <c r="E848" s="914"/>
      <c r="F848" s="912"/>
      <c r="G848" s="908" t="s">
        <v>374</v>
      </c>
      <c r="H848" s="909" t="s">
        <v>2102</v>
      </c>
      <c r="I848" s="910" t="e">
        <f>VLOOKUP(H840,'LƯƠNG KT'!$D$16:$Z$184,12,0)</f>
        <v>#N/A</v>
      </c>
      <c r="J848" s="609" t="e">
        <f>VLOOKUP(H840,'LƯƠNG KT'!$D$16:$Z$184,14,0)</f>
        <v>#N/A</v>
      </c>
      <c r="K848" s="935"/>
      <c r="L848" s="935"/>
      <c r="M848" s="935"/>
      <c r="N848" s="935"/>
      <c r="O848" s="935"/>
    </row>
    <row r="849" spans="1:15" ht="15" customHeight="1">
      <c r="A849" s="908" t="s">
        <v>2103</v>
      </c>
      <c r="B849" s="909" t="s">
        <v>2104</v>
      </c>
      <c r="D849" s="915" t="e">
        <f>VLOOKUP(B840,'LƯƠNG KT'!$D$16:$Z$184,13,0)</f>
        <v>#N/A</v>
      </c>
      <c r="E849" s="916"/>
      <c r="F849" s="916"/>
      <c r="G849" s="908" t="s">
        <v>2103</v>
      </c>
      <c r="H849" s="909" t="s">
        <v>2104</v>
      </c>
      <c r="J849" s="915" t="e">
        <f>VLOOKUP(H840,'LƯƠNG KT'!$D$16:$Z$184,13,0)</f>
        <v>#N/A</v>
      </c>
    </row>
    <row r="850" spans="1:15" ht="15" customHeight="1">
      <c r="A850" s="547"/>
      <c r="B850" s="546"/>
      <c r="C850" s="910"/>
      <c r="D850" s="609"/>
      <c r="E850" s="914"/>
      <c r="F850" s="916"/>
      <c r="G850" s="547"/>
      <c r="H850" s="546"/>
      <c r="I850" s="910"/>
      <c r="J850" s="609"/>
    </row>
    <row r="851" spans="1:15" ht="15" customHeight="1">
      <c r="A851" s="905"/>
      <c r="B851" s="546"/>
      <c r="C851" s="910"/>
      <c r="D851" s="609"/>
      <c r="E851" s="917"/>
      <c r="F851" s="904"/>
      <c r="G851" s="905"/>
      <c r="H851" s="546"/>
      <c r="I851" s="910"/>
      <c r="J851" s="609"/>
    </row>
    <row r="852" spans="1:15" ht="15" customHeight="1">
      <c r="A852" s="918" t="s">
        <v>383</v>
      </c>
      <c r="B852" s="919" t="s">
        <v>384</v>
      </c>
      <c r="C852" s="920"/>
      <c r="D852" s="921" t="e">
        <f>SUM(D841:D848)-D851</f>
        <v>#N/A</v>
      </c>
      <c r="E852" s="922"/>
      <c r="F852" s="923"/>
      <c r="G852" s="918" t="s">
        <v>383</v>
      </c>
      <c r="H852" s="919" t="s">
        <v>384</v>
      </c>
      <c r="I852" s="920"/>
      <c r="J852" s="921" t="e">
        <f>SUM(J841:J848)-J851</f>
        <v>#N/A</v>
      </c>
    </row>
    <row r="853" spans="1:15" ht="15.75" customHeight="1">
      <c r="A853" s="924"/>
      <c r="B853" s="925"/>
      <c r="C853" s="926"/>
      <c r="D853" s="927"/>
      <c r="E853" s="927"/>
      <c r="F853" s="928"/>
      <c r="G853" s="924"/>
      <c r="H853" s="925"/>
      <c r="I853" s="926"/>
      <c r="J853" s="927"/>
    </row>
    <row r="855" spans="1:15" ht="12" customHeight="1">
      <c r="A855" s="2361"/>
      <c r="B855" s="2361"/>
      <c r="C855" s="2361"/>
      <c r="D855" s="2361"/>
      <c r="E855" s="2361"/>
      <c r="F855" s="2361"/>
      <c r="G855" s="2361"/>
      <c r="H855" s="2361"/>
      <c r="I855" s="2361"/>
      <c r="J855" s="2361"/>
    </row>
    <row r="856" spans="1:15" ht="15" customHeight="1">
      <c r="A856" s="2360" t="str">
        <f>$K$2</f>
        <v>THÁNG 04/2025</v>
      </c>
      <c r="B856" s="2360"/>
      <c r="C856" s="2360"/>
      <c r="D856" s="2360"/>
      <c r="E856" s="903"/>
      <c r="F856" s="904"/>
      <c r="G856" s="2360" t="str">
        <f>$K$2</f>
        <v>THÁNG 04/2025</v>
      </c>
      <c r="H856" s="2360"/>
      <c r="I856" s="2360"/>
      <c r="J856" s="2360"/>
      <c r="K856" s="276"/>
    </row>
    <row r="857" spans="1:15" ht="15" customHeight="1">
      <c r="A857" s="905" t="s">
        <v>356</v>
      </c>
      <c r="B857" s="642" t="s">
        <v>1986</v>
      </c>
      <c r="C857" s="546"/>
      <c r="D857" s="902"/>
      <c r="E857" s="906"/>
      <c r="F857" s="907"/>
      <c r="G857" s="905" t="s">
        <v>356</v>
      </c>
      <c r="H857" s="642" t="s">
        <v>478</v>
      </c>
      <c r="I857" s="546"/>
      <c r="J857" s="902"/>
      <c r="L857" s="938"/>
      <c r="M857" s="938"/>
      <c r="N857" s="938"/>
      <c r="O857" s="938"/>
    </row>
    <row r="858" spans="1:15" ht="15" customHeight="1">
      <c r="A858" s="908" t="s">
        <v>359</v>
      </c>
      <c r="B858" s="909" t="s">
        <v>2090</v>
      </c>
      <c r="C858" s="910" t="e">
        <f>VLOOKUP(B857,'LƯƠNG KT'!$D$16:$Z$184,4,0)</f>
        <v>#N/A</v>
      </c>
      <c r="D858" s="609" t="e">
        <f>+C858*25000</f>
        <v>#N/A</v>
      </c>
      <c r="E858" s="911"/>
      <c r="F858" s="911"/>
      <c r="G858" s="908" t="s">
        <v>359</v>
      </c>
      <c r="H858" s="909" t="s">
        <v>2090</v>
      </c>
      <c r="I858" s="910" t="e">
        <f>VLOOKUP(H857,'LƯƠNG KT'!$D$16:$Z$184,4,0)</f>
        <v>#N/A</v>
      </c>
      <c r="J858" s="609" t="e">
        <f>+I858*25000</f>
        <v>#N/A</v>
      </c>
      <c r="K858" s="934"/>
      <c r="L858" s="935"/>
      <c r="M858" s="935"/>
      <c r="N858" s="935"/>
      <c r="O858" s="935"/>
    </row>
    <row r="859" spans="1:15" ht="15" customHeight="1">
      <c r="A859" s="908" t="s">
        <v>361</v>
      </c>
      <c r="B859" s="909" t="s">
        <v>2091</v>
      </c>
      <c r="C859" s="910" t="e">
        <f>VLOOKUP(B857,'LƯƠNG KT'!$D$16:$Z$184,15,0)</f>
        <v>#N/A</v>
      </c>
      <c r="D859" s="609" t="e">
        <f>C859*$L$4</f>
        <v>#N/A</v>
      </c>
      <c r="E859" s="912"/>
      <c r="F859" s="912"/>
      <c r="G859" s="908" t="s">
        <v>361</v>
      </c>
      <c r="H859" s="909" t="s">
        <v>2091</v>
      </c>
      <c r="I859" s="910" t="e">
        <f>VLOOKUP(H857,'LƯƠNG KT'!$D$16:$Z$184,15,0)</f>
        <v>#N/A</v>
      </c>
      <c r="J859" s="609" t="e">
        <f>I859*$L$4</f>
        <v>#N/A</v>
      </c>
      <c r="K859" s="934"/>
      <c r="L859" s="935"/>
      <c r="M859" s="935"/>
      <c r="N859" s="935"/>
      <c r="O859" s="935"/>
    </row>
    <row r="860" spans="1:15" ht="15" customHeight="1">
      <c r="A860" s="908" t="s">
        <v>364</v>
      </c>
      <c r="B860" s="909" t="s">
        <v>2092</v>
      </c>
      <c r="C860" s="910" t="e">
        <f>VLOOKUP(B857,'LƯƠNG KT'!$D$16:$Z$184,16,0)</f>
        <v>#N/A</v>
      </c>
      <c r="D860" s="609" t="e">
        <f>C860*$L$5</f>
        <v>#N/A</v>
      </c>
      <c r="E860" s="912"/>
      <c r="F860" s="912"/>
      <c r="G860" s="908" t="s">
        <v>364</v>
      </c>
      <c r="H860" s="909" t="s">
        <v>2092</v>
      </c>
      <c r="I860" s="910" t="e">
        <f>VLOOKUP(H857,'LƯƠNG KT'!$D$16:$Z$184,16,0)</f>
        <v>#N/A</v>
      </c>
      <c r="J860" s="609" t="e">
        <f>I860*$L$5</f>
        <v>#N/A</v>
      </c>
      <c r="K860" s="934"/>
      <c r="L860" s="935"/>
      <c r="M860" s="935"/>
      <c r="N860" s="935"/>
      <c r="O860" s="935"/>
    </row>
    <row r="861" spans="1:15" ht="15" customHeight="1">
      <c r="A861" s="908" t="s">
        <v>370</v>
      </c>
      <c r="B861" s="909" t="s">
        <v>2093</v>
      </c>
      <c r="C861" s="910" t="e">
        <f>VLOOKUP(B857,'LƯƠNG KT'!$D$16:$Z$184,24,0)</f>
        <v>#N/A</v>
      </c>
      <c r="D861" s="609" t="e">
        <f>+C861*$L$6</f>
        <v>#N/A</v>
      </c>
      <c r="E861" s="912"/>
      <c r="F861" s="912"/>
      <c r="G861" s="908" t="s">
        <v>370</v>
      </c>
      <c r="H861" s="909" t="s">
        <v>2093</v>
      </c>
      <c r="I861" s="910" t="e">
        <f>VLOOKUP(H857,'LƯƠNG KT'!$D$16:$Z$184,24,0)</f>
        <v>#N/A</v>
      </c>
      <c r="J861" s="609" t="e">
        <f>+I861*$L$6</f>
        <v>#N/A</v>
      </c>
      <c r="K861" s="935"/>
      <c r="L861" s="935"/>
      <c r="M861" s="935"/>
      <c r="N861" s="935"/>
      <c r="O861" s="935"/>
    </row>
    <row r="862" spans="1:15" ht="15" customHeight="1">
      <c r="A862" s="908" t="s">
        <v>2094</v>
      </c>
      <c r="B862" s="909" t="s">
        <v>2095</v>
      </c>
      <c r="C862" s="910" t="e">
        <f>VLOOKUP(B857,'LƯƠNG KT'!$D$16:$Z$184,19,0)</f>
        <v>#N/A</v>
      </c>
      <c r="D862" s="609" t="e">
        <f>+C862*$L$8</f>
        <v>#N/A</v>
      </c>
      <c r="E862" s="912"/>
      <c r="F862" s="912"/>
      <c r="G862" s="908" t="s">
        <v>2094</v>
      </c>
      <c r="H862" s="909" t="s">
        <v>2095</v>
      </c>
      <c r="I862" s="910" t="e">
        <f>VLOOKUP(H857,'LƯƠNG KT'!$D$16:$Z$184,19,0)</f>
        <v>#N/A</v>
      </c>
      <c r="J862" s="609" t="e">
        <f>+I862*$L$8</f>
        <v>#N/A</v>
      </c>
      <c r="K862" s="935"/>
      <c r="L862" s="935"/>
      <c r="M862" s="935"/>
      <c r="N862" s="935"/>
      <c r="O862" s="935"/>
    </row>
    <row r="863" spans="1:15" ht="15" customHeight="1">
      <c r="A863" s="908" t="s">
        <v>2096</v>
      </c>
      <c r="B863" s="913" t="s">
        <v>2097</v>
      </c>
      <c r="C863" s="910" t="e">
        <f>VLOOKUP(B857,'LƯƠNG KT'!$D$16:$Z$184,20,0)</f>
        <v>#N/A</v>
      </c>
      <c r="D863" s="609" t="e">
        <f>+C863*$L$9</f>
        <v>#N/A</v>
      </c>
      <c r="E863" s="912"/>
      <c r="F863" s="912"/>
      <c r="G863" s="908" t="s">
        <v>2096</v>
      </c>
      <c r="H863" s="913" t="s">
        <v>2097</v>
      </c>
      <c r="I863" s="910" t="e">
        <f>VLOOKUP(H857,'LƯƠNG KT'!$D$16:$Z$184,20,0)</f>
        <v>#N/A</v>
      </c>
      <c r="J863" s="609" t="e">
        <f>+I863*$L$9</f>
        <v>#N/A</v>
      </c>
      <c r="K863" s="935"/>
      <c r="L863" s="935"/>
      <c r="M863" s="935"/>
      <c r="N863" s="935"/>
      <c r="O863" s="935"/>
    </row>
    <row r="864" spans="1:15" ht="15" customHeight="1">
      <c r="A864" s="908" t="s">
        <v>2099</v>
      </c>
      <c r="B864" s="909" t="s">
        <v>2100</v>
      </c>
      <c r="C864" s="910" t="e">
        <f>VLOOKUP(B857,'LƯƠNG KT'!$D$16:$Z$184,17,0)</f>
        <v>#N/A</v>
      </c>
      <c r="D864" s="609" t="e">
        <f>+C864*$L$10</f>
        <v>#N/A</v>
      </c>
      <c r="E864" s="912"/>
      <c r="F864" s="912"/>
      <c r="G864" s="908" t="s">
        <v>2099</v>
      </c>
      <c r="H864" s="909" t="s">
        <v>2100</v>
      </c>
      <c r="I864" s="910" t="e">
        <f>VLOOKUP(H857,'LƯƠNG KT'!$D$16:$Z$184,17,0)</f>
        <v>#N/A</v>
      </c>
      <c r="J864" s="609" t="e">
        <f>+I864*$L$10</f>
        <v>#N/A</v>
      </c>
      <c r="K864" s="935"/>
      <c r="L864" s="935"/>
      <c r="M864" s="935"/>
      <c r="N864" s="935"/>
      <c r="O864" s="935"/>
    </row>
    <row r="865" spans="1:15" ht="15" customHeight="1">
      <c r="A865" s="908" t="s">
        <v>374</v>
      </c>
      <c r="B865" s="909" t="s">
        <v>2102</v>
      </c>
      <c r="C865" s="910" t="e">
        <f>VLOOKUP(B857,'LƯƠNG KT'!$D$16:$Z$184,12,0)</f>
        <v>#N/A</v>
      </c>
      <c r="D865" s="609" t="e">
        <f>VLOOKUP(B857,'LƯƠNG KT'!$D$16:$Z$184,14,0)</f>
        <v>#N/A</v>
      </c>
      <c r="E865" s="914"/>
      <c r="F865" s="912"/>
      <c r="G865" s="908" t="s">
        <v>374</v>
      </c>
      <c r="H865" s="909" t="s">
        <v>2102</v>
      </c>
      <c r="I865" s="910" t="e">
        <f>VLOOKUP(H857,'LƯƠNG KT'!$D$16:$Z$184,12,0)</f>
        <v>#N/A</v>
      </c>
      <c r="J865" s="609" t="e">
        <f>VLOOKUP(H857,'LƯƠNG KT'!$D$16:$Z$184,14,0)</f>
        <v>#N/A</v>
      </c>
      <c r="K865" s="935"/>
      <c r="L865" s="935"/>
      <c r="M865" s="935"/>
      <c r="N865" s="935"/>
      <c r="O865" s="935"/>
    </row>
    <row r="866" spans="1:15" ht="15" customHeight="1">
      <c r="A866" s="908" t="s">
        <v>2103</v>
      </c>
      <c r="B866" s="909" t="s">
        <v>2104</v>
      </c>
      <c r="D866" s="915" t="e">
        <f>VLOOKUP(B857,'LƯƠNG KT'!$D$16:$Z$184,13,0)</f>
        <v>#N/A</v>
      </c>
      <c r="E866" s="916"/>
      <c r="F866" s="916"/>
      <c r="G866" s="908" t="s">
        <v>2103</v>
      </c>
      <c r="H866" s="909" t="s">
        <v>2104</v>
      </c>
      <c r="J866" s="915" t="e">
        <f>VLOOKUP(H857,'LƯƠNG KT'!$D$16:$Z$184,13,0)</f>
        <v>#N/A</v>
      </c>
    </row>
    <row r="867" spans="1:15" ht="15" customHeight="1">
      <c r="A867" s="547"/>
      <c r="B867" s="546"/>
      <c r="C867" s="910"/>
      <c r="D867" s="609"/>
      <c r="E867" s="914"/>
      <c r="F867" s="916"/>
      <c r="G867" s="547"/>
      <c r="H867" s="546"/>
      <c r="I867" s="910"/>
      <c r="J867" s="609"/>
    </row>
    <row r="868" spans="1:15" ht="15" customHeight="1">
      <c r="A868" s="905"/>
      <c r="B868" s="546"/>
      <c r="C868" s="910"/>
      <c r="D868" s="609"/>
      <c r="E868" s="917"/>
      <c r="F868" s="904"/>
      <c r="G868" s="905"/>
      <c r="H868" s="546"/>
      <c r="I868" s="910"/>
      <c r="J868" s="609"/>
    </row>
    <row r="869" spans="1:15" ht="15" customHeight="1">
      <c r="A869" s="918" t="s">
        <v>383</v>
      </c>
      <c r="B869" s="919" t="s">
        <v>384</v>
      </c>
      <c r="C869" s="920"/>
      <c r="D869" s="921" t="e">
        <f>SUM(D858:D865)-D868</f>
        <v>#N/A</v>
      </c>
      <c r="E869" s="922"/>
      <c r="F869" s="923"/>
      <c r="G869" s="918" t="s">
        <v>383</v>
      </c>
      <c r="H869" s="919" t="s">
        <v>384</v>
      </c>
      <c r="I869" s="920"/>
      <c r="J869" s="921" t="e">
        <f>SUM(J858:J865)-J868</f>
        <v>#N/A</v>
      </c>
    </row>
    <row r="870" spans="1:15" ht="12.6" customHeight="1">
      <c r="A870" s="924"/>
      <c r="B870" s="925"/>
      <c r="C870" s="926"/>
      <c r="D870" s="927"/>
      <c r="E870" s="927"/>
      <c r="F870" s="928"/>
      <c r="G870" s="924"/>
      <c r="H870" s="925"/>
      <c r="I870" s="926"/>
      <c r="J870" s="927"/>
    </row>
    <row r="871" spans="1:15" ht="150.75" customHeight="1">
      <c r="A871" s="925"/>
      <c r="B871" s="925"/>
      <c r="C871" s="929"/>
      <c r="D871" s="930"/>
      <c r="E871" s="925"/>
      <c r="F871" s="931"/>
      <c r="G871" s="925"/>
      <c r="H871" s="925"/>
      <c r="I871" s="929"/>
      <c r="J871" s="930"/>
    </row>
    <row r="872" spans="1:15" ht="15" customHeight="1">
      <c r="A872" s="2360" t="str">
        <f>$K$2</f>
        <v>THÁNG 04/2025</v>
      </c>
      <c r="B872" s="2360"/>
      <c r="C872" s="2360"/>
      <c r="D872" s="2360"/>
      <c r="E872" s="903"/>
      <c r="F872" s="904"/>
      <c r="G872" s="2360" t="str">
        <f>$K$2</f>
        <v>THÁNG 04/2025</v>
      </c>
      <c r="H872" s="2360"/>
      <c r="I872" s="2360"/>
      <c r="J872" s="2360"/>
      <c r="K872" s="276"/>
    </row>
    <row r="873" spans="1:15" ht="15" customHeight="1">
      <c r="A873" s="905" t="s">
        <v>356</v>
      </c>
      <c r="B873" s="642" t="s">
        <v>479</v>
      </c>
      <c r="C873" s="546"/>
      <c r="D873" s="902"/>
      <c r="E873" s="906"/>
      <c r="F873" s="907"/>
      <c r="G873" s="905" t="s">
        <v>356</v>
      </c>
      <c r="H873" s="642" t="s">
        <v>1987</v>
      </c>
      <c r="I873" s="546"/>
      <c r="J873" s="902"/>
      <c r="L873" s="938"/>
      <c r="M873" s="938"/>
      <c r="N873" s="938"/>
      <c r="O873" s="938"/>
    </row>
    <row r="874" spans="1:15" ht="15" customHeight="1">
      <c r="A874" s="908" t="s">
        <v>359</v>
      </c>
      <c r="B874" s="909" t="s">
        <v>2090</v>
      </c>
      <c r="C874" s="910" t="e">
        <f>VLOOKUP(B873,'LƯƠNG KT'!$D$16:$Z$184,4,0)</f>
        <v>#N/A</v>
      </c>
      <c r="D874" s="609" t="e">
        <f>+C874*25000</f>
        <v>#N/A</v>
      </c>
      <c r="E874" s="911"/>
      <c r="F874" s="911"/>
      <c r="G874" s="908" t="s">
        <v>359</v>
      </c>
      <c r="H874" s="909" t="s">
        <v>2090</v>
      </c>
      <c r="I874" s="910" t="e">
        <f>VLOOKUP(H873,'LƯƠNG KT'!$D$16:$Z$184,4,0)</f>
        <v>#N/A</v>
      </c>
      <c r="J874" s="609" t="e">
        <f>+I874*25000</f>
        <v>#N/A</v>
      </c>
      <c r="K874" s="935"/>
      <c r="L874" s="935"/>
      <c r="M874" s="935"/>
      <c r="N874" s="935"/>
      <c r="O874" s="935"/>
    </row>
    <row r="875" spans="1:15" ht="15" customHeight="1">
      <c r="A875" s="908" t="s">
        <v>361</v>
      </c>
      <c r="B875" s="909" t="s">
        <v>2091</v>
      </c>
      <c r="C875" s="910" t="e">
        <f>VLOOKUP(B873,'LƯƠNG KT'!$D$16:$Z$184,15,0)</f>
        <v>#N/A</v>
      </c>
      <c r="D875" s="609" t="e">
        <f>C875*$L$4</f>
        <v>#N/A</v>
      </c>
      <c r="E875" s="912"/>
      <c r="F875" s="912"/>
      <c r="G875" s="908" t="s">
        <v>361</v>
      </c>
      <c r="H875" s="909" t="s">
        <v>2091</v>
      </c>
      <c r="I875" s="910" t="e">
        <f>VLOOKUP(H873,'LƯƠNG KT'!$D$16:$Z$184,15,0)</f>
        <v>#N/A</v>
      </c>
      <c r="J875" s="609" t="e">
        <f>I875*$L$4</f>
        <v>#N/A</v>
      </c>
      <c r="K875" s="935"/>
      <c r="L875" s="935"/>
      <c r="M875" s="935"/>
      <c r="N875" s="935"/>
      <c r="O875" s="935"/>
    </row>
    <row r="876" spans="1:15" ht="15" customHeight="1">
      <c r="A876" s="908" t="s">
        <v>364</v>
      </c>
      <c r="B876" s="909" t="s">
        <v>2092</v>
      </c>
      <c r="C876" s="910" t="e">
        <f>VLOOKUP(B873,'LƯƠNG KT'!$D$16:$Z$184,16,0)</f>
        <v>#N/A</v>
      </c>
      <c r="D876" s="609" t="e">
        <f>C876*$L$5</f>
        <v>#N/A</v>
      </c>
      <c r="E876" s="912"/>
      <c r="F876" s="912"/>
      <c r="G876" s="908" t="s">
        <v>364</v>
      </c>
      <c r="H876" s="909" t="s">
        <v>2092</v>
      </c>
      <c r="I876" s="910" t="e">
        <f>VLOOKUP(H873,'LƯƠNG KT'!$D$16:$Z$184,16,0)</f>
        <v>#N/A</v>
      </c>
      <c r="J876" s="609" t="e">
        <f>I876*$L$5</f>
        <v>#N/A</v>
      </c>
      <c r="K876" s="935"/>
      <c r="L876" s="935"/>
      <c r="M876" s="935"/>
      <c r="N876" s="935"/>
      <c r="O876" s="935"/>
    </row>
    <row r="877" spans="1:15" ht="15" customHeight="1">
      <c r="A877" s="908" t="s">
        <v>370</v>
      </c>
      <c r="B877" s="909" t="s">
        <v>2093</v>
      </c>
      <c r="C877" s="910" t="e">
        <f>VLOOKUP(B873,'LƯƠNG KT'!$D$16:$Z$184,24,0)</f>
        <v>#N/A</v>
      </c>
      <c r="D877" s="609" t="e">
        <f>+C877*$L$6</f>
        <v>#N/A</v>
      </c>
      <c r="E877" s="912"/>
      <c r="F877" s="912"/>
      <c r="G877" s="908" t="s">
        <v>370</v>
      </c>
      <c r="H877" s="909" t="s">
        <v>2093</v>
      </c>
      <c r="I877" s="910" t="e">
        <f>VLOOKUP(H873,'LƯƠNG KT'!$D$16:$Z$184,24,0)</f>
        <v>#N/A</v>
      </c>
      <c r="J877" s="609" t="e">
        <f>+I877*$L$6</f>
        <v>#N/A</v>
      </c>
      <c r="K877" s="935"/>
      <c r="L877" s="935"/>
      <c r="M877" s="935"/>
      <c r="N877" s="935"/>
      <c r="O877" s="935"/>
    </row>
    <row r="878" spans="1:15" ht="15" customHeight="1">
      <c r="A878" s="908" t="s">
        <v>2094</v>
      </c>
      <c r="B878" s="909" t="s">
        <v>2095</v>
      </c>
      <c r="C878" s="910" t="e">
        <f>VLOOKUP(B873,'LƯƠNG KT'!$D$16:$Z$184,19,0)</f>
        <v>#N/A</v>
      </c>
      <c r="D878" s="609" t="e">
        <f>+C878*$L$8</f>
        <v>#N/A</v>
      </c>
      <c r="E878" s="912"/>
      <c r="F878" s="912"/>
      <c r="G878" s="908" t="s">
        <v>2094</v>
      </c>
      <c r="H878" s="909" t="s">
        <v>2095</v>
      </c>
      <c r="I878" s="910" t="e">
        <f>VLOOKUP(H873,'LƯƠNG KT'!$D$16:$Z$184,19,0)</f>
        <v>#N/A</v>
      </c>
      <c r="J878" s="609" t="e">
        <f>+I878*$L$8</f>
        <v>#N/A</v>
      </c>
      <c r="K878" s="935"/>
      <c r="L878" s="935"/>
      <c r="M878" s="935"/>
      <c r="N878" s="935"/>
      <c r="O878" s="935"/>
    </row>
    <row r="879" spans="1:15" ht="15" customHeight="1">
      <c r="A879" s="908" t="s">
        <v>2096</v>
      </c>
      <c r="B879" s="913" t="s">
        <v>2097</v>
      </c>
      <c r="C879" s="910" t="e">
        <f>VLOOKUP(B873,'LƯƠNG KT'!$D$16:$Z$184,20,0)</f>
        <v>#N/A</v>
      </c>
      <c r="D879" s="609" t="e">
        <f>+C879*$L$9</f>
        <v>#N/A</v>
      </c>
      <c r="E879" s="912"/>
      <c r="F879" s="912"/>
      <c r="G879" s="908" t="s">
        <v>2096</v>
      </c>
      <c r="H879" s="913" t="s">
        <v>2097</v>
      </c>
      <c r="I879" s="910" t="e">
        <f>VLOOKUP(H873,'LƯƠNG KT'!$D$16:$Z$184,20,0)</f>
        <v>#N/A</v>
      </c>
      <c r="J879" s="609" t="e">
        <f>+I879*$L$9</f>
        <v>#N/A</v>
      </c>
      <c r="K879" s="935"/>
      <c r="L879" s="935"/>
      <c r="M879" s="935"/>
      <c r="N879" s="935"/>
      <c r="O879" s="935"/>
    </row>
    <row r="880" spans="1:15" ht="15" customHeight="1">
      <c r="A880" s="908" t="s">
        <v>2099</v>
      </c>
      <c r="B880" s="909" t="s">
        <v>2100</v>
      </c>
      <c r="C880" s="910" t="e">
        <f>VLOOKUP(B873,'LƯƠNG KT'!$D$16:$Z$184,17,0)</f>
        <v>#N/A</v>
      </c>
      <c r="D880" s="609" t="e">
        <f>+C880*$L$10</f>
        <v>#N/A</v>
      </c>
      <c r="E880" s="912"/>
      <c r="F880" s="912"/>
      <c r="G880" s="908" t="s">
        <v>2099</v>
      </c>
      <c r="H880" s="909" t="s">
        <v>2100</v>
      </c>
      <c r="I880" s="910" t="e">
        <f>VLOOKUP(H873,'LƯƠNG KT'!$D$16:$Z$184,17,0)</f>
        <v>#N/A</v>
      </c>
      <c r="J880" s="609" t="e">
        <f>+I880*$L$10</f>
        <v>#N/A</v>
      </c>
      <c r="K880" s="935"/>
      <c r="L880" s="935"/>
      <c r="M880" s="935"/>
      <c r="N880" s="935"/>
      <c r="O880" s="935"/>
    </row>
    <row r="881" spans="1:15" ht="15" customHeight="1">
      <c r="A881" s="908" t="s">
        <v>374</v>
      </c>
      <c r="B881" s="909" t="s">
        <v>2102</v>
      </c>
      <c r="C881" s="910" t="e">
        <f>VLOOKUP(B873,'LƯƠNG KT'!$D$16:$Z$184,12,0)</f>
        <v>#N/A</v>
      </c>
      <c r="D881" s="609" t="e">
        <f>VLOOKUP(B873,'LƯƠNG KT'!$D$16:$Z$184,14,0)</f>
        <v>#N/A</v>
      </c>
      <c r="E881" s="914"/>
      <c r="F881" s="912"/>
      <c r="G881" s="908" t="s">
        <v>374</v>
      </c>
      <c r="H881" s="909" t="s">
        <v>2102</v>
      </c>
      <c r="I881" s="910" t="e">
        <f>VLOOKUP(H873,'LƯƠNG KT'!$D$16:$Z$184,12,0)</f>
        <v>#N/A</v>
      </c>
      <c r="J881" s="609" t="e">
        <f>VLOOKUP(H873,'LƯƠNG KT'!$D$16:$Z$184,14,0)</f>
        <v>#N/A</v>
      </c>
      <c r="K881" s="935"/>
      <c r="L881" s="935"/>
      <c r="M881" s="935"/>
      <c r="N881" s="935"/>
      <c r="O881" s="935"/>
    </row>
    <row r="882" spans="1:15" ht="15" customHeight="1">
      <c r="A882" s="908" t="s">
        <v>2103</v>
      </c>
      <c r="B882" s="909" t="s">
        <v>2104</v>
      </c>
      <c r="D882" s="915" t="e">
        <f>VLOOKUP(B873,'LƯƠNG KT'!$D$16:$Z$184,13,0)</f>
        <v>#N/A</v>
      </c>
      <c r="E882" s="916"/>
      <c r="F882" s="916"/>
      <c r="G882" s="908" t="s">
        <v>2103</v>
      </c>
      <c r="H882" s="909" t="s">
        <v>2104</v>
      </c>
      <c r="J882" s="915" t="e">
        <f>VLOOKUP(H873,'LƯƠNG KT'!$D$16:$Z$184,13,0)</f>
        <v>#N/A</v>
      </c>
    </row>
    <row r="883" spans="1:15" ht="15" customHeight="1">
      <c r="A883" s="547"/>
      <c r="B883" s="546"/>
      <c r="C883" s="910"/>
      <c r="D883" s="609"/>
      <c r="E883" s="914"/>
      <c r="F883" s="916"/>
      <c r="G883" s="547"/>
      <c r="H883" s="546"/>
      <c r="I883" s="910"/>
      <c r="J883" s="609"/>
    </row>
    <row r="884" spans="1:15" ht="15" customHeight="1">
      <c r="A884" s="905"/>
      <c r="B884" s="546"/>
      <c r="C884" s="910"/>
      <c r="D884" s="609"/>
      <c r="E884" s="917"/>
      <c r="F884" s="904"/>
      <c r="G884" s="905"/>
      <c r="H884" s="546"/>
      <c r="I884" s="910"/>
      <c r="J884" s="609"/>
    </row>
    <row r="885" spans="1:15" ht="15" customHeight="1">
      <c r="A885" s="918" t="s">
        <v>383</v>
      </c>
      <c r="B885" s="919" t="s">
        <v>384</v>
      </c>
      <c r="C885" s="920"/>
      <c r="D885" s="921" t="e">
        <f>SUM(D874:D881)-D884</f>
        <v>#N/A</v>
      </c>
      <c r="E885" s="922"/>
      <c r="F885" s="923"/>
      <c r="G885" s="918" t="s">
        <v>383</v>
      </c>
      <c r="H885" s="919" t="s">
        <v>384</v>
      </c>
      <c r="I885" s="920"/>
      <c r="J885" s="921" t="e">
        <f>SUM(J874:J881)-J884</f>
        <v>#N/A</v>
      </c>
    </row>
    <row r="886" spans="1:15" ht="18.75" customHeight="1">
      <c r="A886" s="924"/>
      <c r="B886" s="925"/>
      <c r="C886" s="926"/>
      <c r="D886" s="927"/>
      <c r="E886" s="927"/>
      <c r="F886" s="928"/>
      <c r="G886" s="924"/>
      <c r="H886" s="925"/>
      <c r="I886" s="926"/>
      <c r="J886" s="927"/>
    </row>
    <row r="887" spans="1:15" ht="18.75" customHeight="1">
      <c r="A887" s="925"/>
      <c r="B887" s="925"/>
      <c r="C887" s="929"/>
      <c r="D887" s="930"/>
      <c r="E887" s="925"/>
      <c r="F887" s="931"/>
      <c r="G887" s="925"/>
      <c r="H887" s="925"/>
      <c r="I887" s="929"/>
      <c r="J887" s="930"/>
    </row>
    <row r="888" spans="1:15" ht="15" customHeight="1">
      <c r="A888" s="2360" t="str">
        <f>$K$2</f>
        <v>THÁNG 04/2025</v>
      </c>
      <c r="B888" s="2360"/>
      <c r="C888" s="2360"/>
      <c r="D888" s="2360"/>
      <c r="E888" s="903"/>
      <c r="F888" s="904"/>
      <c r="G888" s="2360" t="str">
        <f>$K$2</f>
        <v>THÁNG 04/2025</v>
      </c>
      <c r="H888" s="2360"/>
      <c r="I888" s="2360"/>
      <c r="J888" s="2360"/>
      <c r="K888" s="935"/>
      <c r="L888" s="935"/>
      <c r="M888" s="935"/>
      <c r="N888" s="935"/>
      <c r="O888" s="935"/>
    </row>
    <row r="889" spans="1:15" ht="15" customHeight="1">
      <c r="A889" s="905" t="s">
        <v>356</v>
      </c>
      <c r="B889" s="642" t="s">
        <v>1988</v>
      </c>
      <c r="C889" s="546"/>
      <c r="D889" s="902"/>
      <c r="E889" s="906"/>
      <c r="F889" s="907"/>
      <c r="G889" s="905" t="s">
        <v>356</v>
      </c>
      <c r="H889" s="642" t="s">
        <v>482</v>
      </c>
      <c r="I889" s="546"/>
      <c r="J889" s="902"/>
      <c r="L889" s="938"/>
      <c r="M889" s="938"/>
      <c r="N889" s="938"/>
      <c r="O889" s="938"/>
    </row>
    <row r="890" spans="1:15" ht="15" customHeight="1">
      <c r="A890" s="908" t="s">
        <v>359</v>
      </c>
      <c r="B890" s="909" t="s">
        <v>2090</v>
      </c>
      <c r="C890" s="910" t="e">
        <f>VLOOKUP(B889,'LƯƠNG KT'!$D$16:$Z$184,4,0)</f>
        <v>#N/A</v>
      </c>
      <c r="D890" s="609" t="e">
        <f>+C890*25000</f>
        <v>#N/A</v>
      </c>
      <c r="E890" s="911"/>
      <c r="F890" s="911"/>
      <c r="G890" s="908" t="s">
        <v>359</v>
      </c>
      <c r="H890" s="909" t="s">
        <v>2090</v>
      </c>
      <c r="I890" s="910" t="e">
        <f>VLOOKUP(H889,'LƯƠNG KT'!$D$16:$Z$184,4,0)</f>
        <v>#N/A</v>
      </c>
      <c r="J890" s="609" t="e">
        <f>+I890*25000</f>
        <v>#N/A</v>
      </c>
      <c r="K890" s="935"/>
      <c r="L890" s="935"/>
      <c r="M890" s="935"/>
      <c r="N890" s="935"/>
      <c r="O890" s="935"/>
    </row>
    <row r="891" spans="1:15" ht="15" customHeight="1">
      <c r="A891" s="908" t="s">
        <v>361</v>
      </c>
      <c r="B891" s="909" t="s">
        <v>2091</v>
      </c>
      <c r="C891" s="910" t="e">
        <f>VLOOKUP(B889,'LƯƠNG KT'!$D$16:$Z$184,15,0)</f>
        <v>#N/A</v>
      </c>
      <c r="D891" s="609" t="e">
        <f>C891*$L$4</f>
        <v>#N/A</v>
      </c>
      <c r="E891" s="912"/>
      <c r="F891" s="912"/>
      <c r="G891" s="908" t="s">
        <v>361</v>
      </c>
      <c r="H891" s="909" t="s">
        <v>2091</v>
      </c>
      <c r="I891" s="910" t="e">
        <f>VLOOKUP(H889,'LƯƠNG KT'!$D$16:$Z$184,15,0)</f>
        <v>#N/A</v>
      </c>
      <c r="J891" s="609" t="e">
        <f>I891*$L$4</f>
        <v>#N/A</v>
      </c>
      <c r="K891" s="935"/>
      <c r="L891" s="935"/>
      <c r="M891" s="935"/>
      <c r="N891" s="935"/>
      <c r="O891" s="935"/>
    </row>
    <row r="892" spans="1:15" ht="15" customHeight="1">
      <c r="A892" s="908" t="s">
        <v>364</v>
      </c>
      <c r="B892" s="909" t="s">
        <v>2092</v>
      </c>
      <c r="C892" s="910" t="e">
        <f>VLOOKUP(B889,'LƯƠNG KT'!$D$16:$Z$184,16,0)</f>
        <v>#N/A</v>
      </c>
      <c r="D892" s="609" t="e">
        <f>C892*$L$5</f>
        <v>#N/A</v>
      </c>
      <c r="E892" s="912"/>
      <c r="F892" s="912"/>
      <c r="G892" s="908" t="s">
        <v>364</v>
      </c>
      <c r="H892" s="909" t="s">
        <v>2092</v>
      </c>
      <c r="I892" s="910" t="e">
        <f>VLOOKUP(H889,'LƯƠNG KT'!$D$16:$Z$184,16,0)</f>
        <v>#N/A</v>
      </c>
      <c r="J892" s="609" t="e">
        <f>I892*$L$5</f>
        <v>#N/A</v>
      </c>
      <c r="K892" s="935"/>
      <c r="L892" s="935"/>
      <c r="M892" s="935"/>
      <c r="N892" s="935"/>
      <c r="O892" s="935"/>
    </row>
    <row r="893" spans="1:15" ht="15" customHeight="1">
      <c r="A893" s="908" t="s">
        <v>370</v>
      </c>
      <c r="B893" s="909" t="s">
        <v>2093</v>
      </c>
      <c r="C893" s="910" t="e">
        <f>VLOOKUP(B889,'LƯƠNG KT'!$D$16:$Z$184,24,0)</f>
        <v>#N/A</v>
      </c>
      <c r="D893" s="609" t="e">
        <f>+C893*$L$6</f>
        <v>#N/A</v>
      </c>
      <c r="E893" s="912"/>
      <c r="F893" s="912"/>
      <c r="G893" s="908" t="s">
        <v>370</v>
      </c>
      <c r="H893" s="909" t="s">
        <v>2093</v>
      </c>
      <c r="I893" s="910" t="e">
        <f>VLOOKUP(H889,'LƯƠNG KT'!$D$16:$Z$184,24,0)</f>
        <v>#N/A</v>
      </c>
      <c r="J893" s="609" t="e">
        <f>+I893*$L$6</f>
        <v>#N/A</v>
      </c>
      <c r="K893" s="935"/>
      <c r="L893" s="935"/>
      <c r="M893" s="935"/>
      <c r="N893" s="935"/>
      <c r="O893" s="935"/>
    </row>
    <row r="894" spans="1:15" ht="15" customHeight="1">
      <c r="A894" s="908" t="s">
        <v>2094</v>
      </c>
      <c r="B894" s="909" t="s">
        <v>2095</v>
      </c>
      <c r="C894" s="910" t="e">
        <f>VLOOKUP(B889,'LƯƠNG KT'!$D$16:$Z$184,19,0)</f>
        <v>#N/A</v>
      </c>
      <c r="D894" s="609" t="e">
        <f>+C894*$L$8</f>
        <v>#N/A</v>
      </c>
      <c r="E894" s="912"/>
      <c r="F894" s="912"/>
      <c r="G894" s="908" t="s">
        <v>2094</v>
      </c>
      <c r="H894" s="909" t="s">
        <v>2095</v>
      </c>
      <c r="I894" s="910" t="e">
        <f>VLOOKUP(H889,'LƯƠNG KT'!$D$16:$Z$184,19,0)</f>
        <v>#N/A</v>
      </c>
      <c r="J894" s="609" t="e">
        <f>+I894*$L$8</f>
        <v>#N/A</v>
      </c>
      <c r="K894" s="935"/>
      <c r="L894" s="935"/>
      <c r="M894" s="935"/>
      <c r="N894" s="935"/>
      <c r="O894" s="935"/>
    </row>
    <row r="895" spans="1:15" ht="15" customHeight="1">
      <c r="A895" s="908" t="s">
        <v>2096</v>
      </c>
      <c r="B895" s="913" t="s">
        <v>2097</v>
      </c>
      <c r="C895" s="910" t="e">
        <f>VLOOKUP(B889,'LƯƠNG KT'!$D$16:$Z$184,20,0)</f>
        <v>#N/A</v>
      </c>
      <c r="D895" s="609" t="e">
        <f>+C895*$L$9</f>
        <v>#N/A</v>
      </c>
      <c r="E895" s="912"/>
      <c r="F895" s="912"/>
      <c r="G895" s="908" t="s">
        <v>2096</v>
      </c>
      <c r="H895" s="913" t="s">
        <v>2097</v>
      </c>
      <c r="I895" s="910" t="e">
        <f>VLOOKUP(H889,'LƯƠNG KT'!$D$16:$Z$184,20,0)</f>
        <v>#N/A</v>
      </c>
      <c r="J895" s="609" t="e">
        <f>+I895*$L$9</f>
        <v>#N/A</v>
      </c>
      <c r="K895" s="935"/>
      <c r="L895" s="935"/>
      <c r="M895" s="935"/>
      <c r="N895" s="935"/>
      <c r="O895" s="935"/>
    </row>
    <row r="896" spans="1:15" ht="15" customHeight="1">
      <c r="A896" s="908" t="s">
        <v>2099</v>
      </c>
      <c r="B896" s="909" t="s">
        <v>2100</v>
      </c>
      <c r="C896" s="910" t="e">
        <f>VLOOKUP(B889,'LƯƠNG KT'!$D$16:$Z$184,17,0)</f>
        <v>#N/A</v>
      </c>
      <c r="D896" s="609" t="e">
        <f>+C896*$L$10</f>
        <v>#N/A</v>
      </c>
      <c r="E896" s="912"/>
      <c r="F896" s="912"/>
      <c r="G896" s="908" t="s">
        <v>2099</v>
      </c>
      <c r="H896" s="909" t="s">
        <v>2100</v>
      </c>
      <c r="I896" s="910" t="e">
        <f>VLOOKUP(H889,'LƯƠNG KT'!$D$16:$Z$184,17,0)</f>
        <v>#N/A</v>
      </c>
      <c r="J896" s="609" t="e">
        <f>+I896*$L$10</f>
        <v>#N/A</v>
      </c>
      <c r="K896" s="935"/>
      <c r="L896" s="935"/>
      <c r="M896" s="935"/>
      <c r="N896" s="935"/>
      <c r="O896" s="935"/>
    </row>
    <row r="897" spans="1:15" ht="15" customHeight="1">
      <c r="A897" s="908" t="s">
        <v>374</v>
      </c>
      <c r="B897" s="909" t="s">
        <v>2102</v>
      </c>
      <c r="C897" s="910" t="e">
        <f>VLOOKUP(B889,'LƯƠNG KT'!$D$16:$Z$184,12,0)</f>
        <v>#N/A</v>
      </c>
      <c r="D897" s="609" t="e">
        <f>VLOOKUP(B889,'LƯƠNG KT'!$D$16:$Z$184,14,0)</f>
        <v>#N/A</v>
      </c>
      <c r="E897" s="914"/>
      <c r="F897" s="912"/>
      <c r="G897" s="908" t="s">
        <v>374</v>
      </c>
      <c r="H897" s="909" t="s">
        <v>2102</v>
      </c>
      <c r="I897" s="910" t="e">
        <f>VLOOKUP(H889,'LƯƠNG KT'!$D$16:$Z$184,12,0)</f>
        <v>#N/A</v>
      </c>
      <c r="J897" s="609" t="e">
        <f>VLOOKUP(H889,'LƯƠNG KT'!$D$16:$Z$184,14,0)</f>
        <v>#N/A</v>
      </c>
      <c r="K897" s="935"/>
      <c r="L897" s="935"/>
      <c r="M897" s="935"/>
      <c r="N897" s="935"/>
      <c r="O897" s="935"/>
    </row>
    <row r="898" spans="1:15" ht="15" customHeight="1">
      <c r="A898" s="908" t="s">
        <v>2103</v>
      </c>
      <c r="B898" s="909" t="s">
        <v>2104</v>
      </c>
      <c r="D898" s="915" t="e">
        <f>VLOOKUP(B889,'LƯƠNG KT'!$D$16:$Z$184,13,0)</f>
        <v>#N/A</v>
      </c>
      <c r="E898" s="916"/>
      <c r="F898" s="916"/>
      <c r="G898" s="908" t="s">
        <v>2103</v>
      </c>
      <c r="H898" s="909" t="s">
        <v>2104</v>
      </c>
      <c r="J898" s="915" t="e">
        <f>VLOOKUP(H889,'LƯƠNG KT'!$D$16:$Z$184,13,0)</f>
        <v>#N/A</v>
      </c>
    </row>
    <row r="899" spans="1:15" ht="15" customHeight="1">
      <c r="A899" s="547"/>
      <c r="B899" s="546"/>
      <c r="C899" s="910"/>
      <c r="D899" s="609"/>
      <c r="E899" s="914"/>
      <c r="F899" s="916"/>
      <c r="G899" s="547"/>
      <c r="H899" s="546"/>
      <c r="I899" s="910"/>
      <c r="J899" s="609"/>
    </row>
    <row r="900" spans="1:15" ht="15" customHeight="1">
      <c r="A900" s="905"/>
      <c r="B900" s="546"/>
      <c r="C900" s="910"/>
      <c r="D900" s="609"/>
      <c r="E900" s="917"/>
      <c r="F900" s="904"/>
      <c r="G900" s="905"/>
      <c r="H900" s="546"/>
      <c r="I900" s="910"/>
      <c r="J900" s="609"/>
    </row>
    <row r="901" spans="1:15" ht="15" customHeight="1">
      <c r="A901" s="918" t="s">
        <v>383</v>
      </c>
      <c r="B901" s="919" t="s">
        <v>384</v>
      </c>
      <c r="C901" s="920"/>
      <c r="D901" s="921" t="e">
        <f>SUM(D890:D897)-D900</f>
        <v>#N/A</v>
      </c>
      <c r="E901" s="922"/>
      <c r="F901" s="923"/>
      <c r="G901" s="918" t="s">
        <v>383</v>
      </c>
      <c r="H901" s="919" t="s">
        <v>384</v>
      </c>
      <c r="I901" s="920"/>
      <c r="J901" s="921" t="e">
        <f>SUM(J890:J897)-J900</f>
        <v>#N/A</v>
      </c>
    </row>
    <row r="902" spans="1:15" ht="18.75" customHeight="1">
      <c r="A902" s="924"/>
      <c r="B902" s="925"/>
      <c r="C902" s="926"/>
      <c r="D902" s="927"/>
      <c r="E902" s="927"/>
      <c r="F902" s="928"/>
      <c r="G902" s="924"/>
      <c r="H902" s="925"/>
      <c r="I902" s="926"/>
      <c r="J902" s="927"/>
      <c r="K902" s="940" t="s">
        <v>429</v>
      </c>
      <c r="L902" s="940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0"/>
      <c r="N902" s="940"/>
      <c r="O902" s="940"/>
    </row>
    <row r="903" spans="1:15" ht="18.75" customHeight="1">
      <c r="A903" s="925"/>
      <c r="B903" s="925"/>
      <c r="C903" s="929"/>
      <c r="D903" s="930"/>
      <c r="E903" s="925"/>
      <c r="F903" s="931"/>
      <c r="G903" s="925"/>
      <c r="H903" s="925"/>
      <c r="I903" s="929"/>
      <c r="J903" s="930"/>
      <c r="L903" s="898" t="e">
        <f>+#REF!-#REF!</f>
        <v>#REF!</v>
      </c>
    </row>
    <row r="904" spans="1:15" ht="15" customHeight="1">
      <c r="A904" s="2360" t="str">
        <f>$K$2</f>
        <v>THÁNG 04/2025</v>
      </c>
      <c r="B904" s="2360"/>
      <c r="C904" s="2360"/>
      <c r="D904" s="2360"/>
      <c r="E904" s="903"/>
      <c r="F904" s="904"/>
      <c r="G904" s="2360" t="str">
        <f>$K$2</f>
        <v>THÁNG 04/2025</v>
      </c>
      <c r="H904" s="2360"/>
      <c r="I904" s="2360"/>
      <c r="J904" s="2360"/>
      <c r="K904" s="276"/>
      <c r="L904" s="898" t="e">
        <f>+L902-L903</f>
        <v>#N/A</v>
      </c>
    </row>
    <row r="905" spans="1:15" ht="15" customHeight="1">
      <c r="A905" s="905" t="s">
        <v>356</v>
      </c>
      <c r="B905" s="642" t="s">
        <v>449</v>
      </c>
      <c r="C905" s="546"/>
      <c r="D905" s="902"/>
      <c r="E905" s="906"/>
      <c r="F905" s="907"/>
      <c r="G905" s="905" t="s">
        <v>356</v>
      </c>
      <c r="H905" s="642" t="s">
        <v>1990</v>
      </c>
      <c r="I905" s="546"/>
      <c r="J905" s="902"/>
      <c r="L905" s="938"/>
      <c r="M905" s="938"/>
      <c r="N905" s="938"/>
      <c r="O905" s="938"/>
    </row>
    <row r="906" spans="1:15" ht="15" customHeight="1">
      <c r="A906" s="908" t="s">
        <v>359</v>
      </c>
      <c r="B906" s="909" t="s">
        <v>2090</v>
      </c>
      <c r="C906" s="910" t="e">
        <f>VLOOKUP(B905,'LƯƠNG KT'!$D$16:$Z$184,4,0)</f>
        <v>#N/A</v>
      </c>
      <c r="D906" s="609" t="e">
        <f>+C906*25000</f>
        <v>#N/A</v>
      </c>
      <c r="E906" s="911"/>
      <c r="F906" s="911"/>
      <c r="G906" s="908" t="s">
        <v>359</v>
      </c>
      <c r="H906" s="909" t="s">
        <v>2090</v>
      </c>
      <c r="I906" s="910" t="e">
        <f>VLOOKUP(H905,'LƯƠNG KT'!$D$16:$Z$184,4,0)</f>
        <v>#N/A</v>
      </c>
      <c r="J906" s="609" t="e">
        <f>+I906*25000</f>
        <v>#N/A</v>
      </c>
      <c r="K906" s="935"/>
      <c r="L906" s="935"/>
      <c r="M906" s="935"/>
      <c r="N906" s="935"/>
      <c r="O906" s="935"/>
    </row>
    <row r="907" spans="1:15" ht="15" customHeight="1">
      <c r="A907" s="908" t="s">
        <v>361</v>
      </c>
      <c r="B907" s="909" t="s">
        <v>2091</v>
      </c>
      <c r="C907" s="910" t="e">
        <f>VLOOKUP(B905,'LƯƠNG KT'!$D$16:$Z$184,15,0)</f>
        <v>#N/A</v>
      </c>
      <c r="D907" s="609" t="e">
        <f>C907*$L$4</f>
        <v>#N/A</v>
      </c>
      <c r="E907" s="912"/>
      <c r="F907" s="912"/>
      <c r="G907" s="908" t="s">
        <v>361</v>
      </c>
      <c r="H907" s="909" t="s">
        <v>2091</v>
      </c>
      <c r="I907" s="910" t="e">
        <f>VLOOKUP(H905,'LƯƠNG KT'!$D$16:$Z$184,15,0)</f>
        <v>#N/A</v>
      </c>
      <c r="J907" s="609" t="e">
        <f>I907*$L$4</f>
        <v>#N/A</v>
      </c>
      <c r="K907" s="935"/>
      <c r="L907" s="935"/>
      <c r="M907" s="935"/>
      <c r="N907" s="935"/>
      <c r="O907" s="935"/>
    </row>
    <row r="908" spans="1:15" ht="15" customHeight="1">
      <c r="A908" s="908" t="s">
        <v>364</v>
      </c>
      <c r="B908" s="909" t="s">
        <v>2092</v>
      </c>
      <c r="C908" s="910" t="e">
        <f>VLOOKUP(B905,'LƯƠNG KT'!$D$16:$Z$184,16,0)</f>
        <v>#N/A</v>
      </c>
      <c r="D908" s="609" t="e">
        <f>C908*$L$5</f>
        <v>#N/A</v>
      </c>
      <c r="E908" s="912"/>
      <c r="F908" s="912"/>
      <c r="G908" s="908" t="s">
        <v>364</v>
      </c>
      <c r="H908" s="909" t="s">
        <v>2092</v>
      </c>
      <c r="I908" s="910" t="e">
        <f>VLOOKUP(H905,'LƯƠNG KT'!$D$16:$Z$184,16,0)</f>
        <v>#N/A</v>
      </c>
      <c r="J908" s="609" t="e">
        <f>I908*$L$5</f>
        <v>#N/A</v>
      </c>
      <c r="K908" s="935"/>
      <c r="L908" s="935"/>
      <c r="M908" s="935"/>
      <c r="N908" s="935"/>
      <c r="O908" s="935"/>
    </row>
    <row r="909" spans="1:15" ht="15" customHeight="1">
      <c r="A909" s="908" t="s">
        <v>370</v>
      </c>
      <c r="B909" s="909" t="s">
        <v>2093</v>
      </c>
      <c r="C909" s="910" t="e">
        <f>VLOOKUP(B905,'LƯƠNG KT'!$D$16:$Z$184,24,0)</f>
        <v>#N/A</v>
      </c>
      <c r="D909" s="609" t="e">
        <f>+C909*$L$6</f>
        <v>#N/A</v>
      </c>
      <c r="E909" s="912"/>
      <c r="F909" s="912"/>
      <c r="G909" s="908" t="s">
        <v>370</v>
      </c>
      <c r="H909" s="909" t="s">
        <v>2093</v>
      </c>
      <c r="I909" s="910" t="e">
        <f>VLOOKUP(H905,'LƯƠNG KT'!$D$16:$Z$184,24,0)</f>
        <v>#N/A</v>
      </c>
      <c r="J909" s="609" t="e">
        <f>+I909*$L$6</f>
        <v>#N/A</v>
      </c>
      <c r="K909" s="935"/>
      <c r="L909" s="935"/>
      <c r="M909" s="935"/>
      <c r="N909" s="935"/>
      <c r="O909" s="935"/>
    </row>
    <row r="910" spans="1:15" ht="15" customHeight="1">
      <c r="A910" s="908" t="s">
        <v>2094</v>
      </c>
      <c r="B910" s="909" t="s">
        <v>2095</v>
      </c>
      <c r="C910" s="910" t="e">
        <f>VLOOKUP(B905,'LƯƠNG KT'!$D$16:$Z$184,19,0)</f>
        <v>#N/A</v>
      </c>
      <c r="D910" s="609" t="e">
        <f>+C910*$L$8</f>
        <v>#N/A</v>
      </c>
      <c r="E910" s="912"/>
      <c r="F910" s="912"/>
      <c r="G910" s="908" t="s">
        <v>2094</v>
      </c>
      <c r="H910" s="909" t="s">
        <v>2095</v>
      </c>
      <c r="I910" s="910" t="e">
        <f>VLOOKUP(H905,'LƯƠNG KT'!$D$16:$Z$184,19,0)</f>
        <v>#N/A</v>
      </c>
      <c r="J910" s="609" t="e">
        <f>+I910*$L$8</f>
        <v>#N/A</v>
      </c>
      <c r="K910" s="935"/>
      <c r="L910" s="935"/>
      <c r="M910" s="935"/>
      <c r="N910" s="935"/>
      <c r="O910" s="935"/>
    </row>
    <row r="911" spans="1:15" ht="15" customHeight="1">
      <c r="A911" s="908" t="s">
        <v>2096</v>
      </c>
      <c r="B911" s="913" t="s">
        <v>2097</v>
      </c>
      <c r="C911" s="910" t="e">
        <f>VLOOKUP(B905,'LƯƠNG KT'!$D$16:$Z$184,20,0)</f>
        <v>#N/A</v>
      </c>
      <c r="D911" s="609" t="e">
        <f>+C911*$L$9</f>
        <v>#N/A</v>
      </c>
      <c r="E911" s="912"/>
      <c r="F911" s="912"/>
      <c r="G911" s="908" t="s">
        <v>2096</v>
      </c>
      <c r="H911" s="913" t="s">
        <v>2097</v>
      </c>
      <c r="I911" s="910" t="e">
        <f>VLOOKUP(H905,'LƯƠNG KT'!$D$16:$Z$184,20,0)</f>
        <v>#N/A</v>
      </c>
      <c r="J911" s="609" t="e">
        <f>+I911*$L$9</f>
        <v>#N/A</v>
      </c>
      <c r="K911" s="935"/>
      <c r="L911" s="935"/>
      <c r="M911" s="935"/>
      <c r="N911" s="935"/>
      <c r="O911" s="935"/>
    </row>
    <row r="912" spans="1:15" ht="15" customHeight="1">
      <c r="A912" s="908" t="s">
        <v>2099</v>
      </c>
      <c r="B912" s="909" t="s">
        <v>2100</v>
      </c>
      <c r="C912" s="910" t="e">
        <f>VLOOKUP(B905,'LƯƠNG KT'!$D$16:$Z$184,17,0)</f>
        <v>#N/A</v>
      </c>
      <c r="D912" s="609" t="e">
        <f>+C912*$L$10</f>
        <v>#N/A</v>
      </c>
      <c r="E912" s="912"/>
      <c r="F912" s="912"/>
      <c r="G912" s="908" t="s">
        <v>2099</v>
      </c>
      <c r="H912" s="909" t="s">
        <v>2100</v>
      </c>
      <c r="I912" s="910" t="e">
        <f>VLOOKUP(H905,'LƯƠNG KT'!$D$16:$Z$184,17,0)</f>
        <v>#N/A</v>
      </c>
      <c r="J912" s="609" t="e">
        <f>+I912*$L$10</f>
        <v>#N/A</v>
      </c>
      <c r="K912" s="935"/>
      <c r="L912" s="935"/>
      <c r="M912" s="935"/>
      <c r="N912" s="935"/>
      <c r="O912" s="935"/>
    </row>
    <row r="913" spans="1:15" ht="15" customHeight="1">
      <c r="A913" s="908" t="s">
        <v>374</v>
      </c>
      <c r="B913" s="909" t="s">
        <v>2102</v>
      </c>
      <c r="C913" s="910" t="e">
        <f>VLOOKUP(B905,'LƯƠNG KT'!$D$16:$Z$184,12,0)</f>
        <v>#N/A</v>
      </c>
      <c r="D913" s="609" t="e">
        <f>VLOOKUP(B905,'LƯƠNG KT'!$D$16:$Z$184,14,0)</f>
        <v>#N/A</v>
      </c>
      <c r="E913" s="914"/>
      <c r="F913" s="912"/>
      <c r="G913" s="908" t="s">
        <v>374</v>
      </c>
      <c r="H913" s="909" t="s">
        <v>2102</v>
      </c>
      <c r="I913" s="910" t="e">
        <f>VLOOKUP(H905,'LƯƠNG KT'!$D$16:$Z$184,12,0)</f>
        <v>#N/A</v>
      </c>
      <c r="J913" s="609" t="e">
        <f>VLOOKUP(H905,'LƯƠNG KT'!$D$16:$Z$184,14,0)</f>
        <v>#N/A</v>
      </c>
      <c r="K913" s="935"/>
      <c r="L913" s="935"/>
      <c r="M913" s="935"/>
      <c r="N913" s="935"/>
      <c r="O913" s="935"/>
    </row>
    <row r="914" spans="1:15" ht="15" customHeight="1">
      <c r="A914" s="908" t="s">
        <v>2103</v>
      </c>
      <c r="B914" s="909" t="s">
        <v>2104</v>
      </c>
      <c r="D914" s="915" t="e">
        <f>VLOOKUP(B905,'LƯƠNG KT'!$D$16:$Z$184,13,0)</f>
        <v>#N/A</v>
      </c>
      <c r="E914" s="916"/>
      <c r="F914" s="916"/>
      <c r="G914" s="908" t="s">
        <v>2103</v>
      </c>
      <c r="H914" s="909" t="s">
        <v>2104</v>
      </c>
      <c r="J914" s="915" t="e">
        <f>VLOOKUP(H905,'LƯƠNG KT'!$D$16:$Z$184,13,0)</f>
        <v>#N/A</v>
      </c>
    </row>
    <row r="915" spans="1:15" ht="15" customHeight="1">
      <c r="A915" s="547"/>
      <c r="B915" s="546"/>
      <c r="C915" s="910"/>
      <c r="D915" s="609"/>
      <c r="E915" s="914"/>
      <c r="F915" s="916"/>
      <c r="G915" s="547"/>
      <c r="H915" s="546"/>
      <c r="I915" s="910"/>
      <c r="J915" s="609"/>
    </row>
    <row r="916" spans="1:15" ht="15" customHeight="1">
      <c r="A916" s="905"/>
      <c r="B916" s="546"/>
      <c r="C916" s="910"/>
      <c r="D916" s="609"/>
      <c r="E916" s="917"/>
      <c r="F916" s="904"/>
      <c r="G916" s="905"/>
      <c r="H916" s="546"/>
      <c r="I916" s="910"/>
      <c r="J916" s="609"/>
    </row>
    <row r="917" spans="1:15" ht="15" customHeight="1">
      <c r="A917" s="918" t="s">
        <v>383</v>
      </c>
      <c r="B917" s="919" t="s">
        <v>384</v>
      </c>
      <c r="C917" s="920"/>
      <c r="D917" s="921" t="e">
        <f>SUM(D906:D913)-D916</f>
        <v>#N/A</v>
      </c>
      <c r="E917" s="922"/>
      <c r="F917" s="923"/>
      <c r="G917" s="918" t="s">
        <v>383</v>
      </c>
      <c r="H917" s="919" t="s">
        <v>384</v>
      </c>
      <c r="I917" s="920"/>
      <c r="J917" s="921" t="e">
        <f>SUM(J906:J913)-J916</f>
        <v>#N/A</v>
      </c>
    </row>
    <row r="918" spans="1:15" ht="15.75" customHeight="1">
      <c r="A918" s="924"/>
      <c r="B918" s="925"/>
      <c r="C918" s="926"/>
      <c r="D918" s="927"/>
      <c r="E918" s="927"/>
      <c r="F918" s="928"/>
      <c r="G918" s="924"/>
      <c r="H918" s="925"/>
      <c r="I918" s="926"/>
      <c r="J918" s="927"/>
    </row>
    <row r="919" spans="1:15" ht="145.5" customHeight="1"/>
    <row r="920" spans="1:15" ht="12" customHeight="1">
      <c r="A920" s="2362" t="s">
        <v>485</v>
      </c>
      <c r="B920" s="2362"/>
      <c r="C920" s="2362"/>
      <c r="D920" s="2362"/>
      <c r="E920" s="2362"/>
      <c r="F920" s="2362"/>
      <c r="G920" s="2362"/>
      <c r="H920" s="2362"/>
      <c r="I920" s="2362"/>
      <c r="J920" s="2362"/>
    </row>
    <row r="921" spans="1:15" ht="15" customHeight="1">
      <c r="A921" s="2360" t="str">
        <f>$K$2</f>
        <v>THÁNG 04/2025</v>
      </c>
      <c r="B921" s="2360"/>
      <c r="C921" s="2360"/>
      <c r="D921" s="2360"/>
      <c r="E921" s="903"/>
      <c r="F921" s="904"/>
      <c r="G921" s="2360" t="str">
        <f>$K$2</f>
        <v>THÁNG 04/2025</v>
      </c>
      <c r="H921" s="2360"/>
      <c r="I921" s="2360"/>
      <c r="J921" s="2360"/>
      <c r="K921" s="276"/>
    </row>
    <row r="922" spans="1:15" ht="15" customHeight="1">
      <c r="A922" s="905" t="s">
        <v>356</v>
      </c>
      <c r="B922" s="642" t="s">
        <v>1992</v>
      </c>
      <c r="C922" s="546"/>
      <c r="D922" s="902"/>
      <c r="E922" s="906"/>
      <c r="F922" s="907"/>
      <c r="G922" s="905" t="s">
        <v>356</v>
      </c>
      <c r="H922" s="642" t="s">
        <v>43</v>
      </c>
      <c r="I922" s="546"/>
      <c r="J922" s="902"/>
      <c r="L922" s="938"/>
      <c r="M922" s="938"/>
      <c r="N922" s="938"/>
      <c r="O922" s="938"/>
    </row>
    <row r="923" spans="1:15" ht="15" customHeight="1">
      <c r="A923" s="908" t="s">
        <v>359</v>
      </c>
      <c r="B923" s="909" t="s">
        <v>2090</v>
      </c>
      <c r="C923" s="910" t="e">
        <f>VLOOKUP(B922,'LƯƠNG KT'!$D$16:$Z$184,4,0)</f>
        <v>#N/A</v>
      </c>
      <c r="D923" s="609" t="e">
        <f>+C923*25000</f>
        <v>#N/A</v>
      </c>
      <c r="E923" s="911"/>
      <c r="F923" s="911"/>
      <c r="G923" s="908" t="s">
        <v>359</v>
      </c>
      <c r="H923" s="909" t="s">
        <v>2090</v>
      </c>
      <c r="I923" s="910" t="e">
        <f>VLOOKUP(H922,'LƯƠNG KT'!$D$16:$Z$184,4,0)</f>
        <v>#N/A</v>
      </c>
      <c r="J923" s="609" t="e">
        <f>+I923*25000</f>
        <v>#N/A</v>
      </c>
      <c r="K923" s="934"/>
      <c r="L923" s="935"/>
      <c r="M923" s="935"/>
      <c r="N923" s="935"/>
      <c r="O923" s="935"/>
    </row>
    <row r="924" spans="1:15" ht="15" customHeight="1">
      <c r="A924" s="908" t="s">
        <v>361</v>
      </c>
      <c r="B924" s="909" t="s">
        <v>2091</v>
      </c>
      <c r="C924" s="910" t="e">
        <f>VLOOKUP(B922,'LƯƠNG KT'!$D$16:$Z$184,15,0)</f>
        <v>#N/A</v>
      </c>
      <c r="D924" s="609" t="e">
        <f>C924*$L$4</f>
        <v>#N/A</v>
      </c>
      <c r="E924" s="912"/>
      <c r="F924" s="912"/>
      <c r="G924" s="908" t="s">
        <v>361</v>
      </c>
      <c r="H924" s="909" t="s">
        <v>2091</v>
      </c>
      <c r="I924" s="910" t="e">
        <f>VLOOKUP(H922,'LƯƠNG KT'!$D$16:$Z$184,15,0)</f>
        <v>#N/A</v>
      </c>
      <c r="J924" s="609" t="e">
        <f>I924*$L$4</f>
        <v>#N/A</v>
      </c>
      <c r="K924" s="934"/>
      <c r="L924" s="935"/>
      <c r="M924" s="935"/>
      <c r="N924" s="935"/>
      <c r="O924" s="935"/>
    </row>
    <row r="925" spans="1:15" ht="15" customHeight="1">
      <c r="A925" s="908" t="s">
        <v>364</v>
      </c>
      <c r="B925" s="909" t="s">
        <v>2092</v>
      </c>
      <c r="C925" s="910" t="e">
        <f>VLOOKUP(B922,'LƯƠNG KT'!$D$16:$Z$184,16,0)</f>
        <v>#N/A</v>
      </c>
      <c r="D925" s="609" t="e">
        <f>C925*$L$5</f>
        <v>#N/A</v>
      </c>
      <c r="E925" s="912"/>
      <c r="F925" s="912"/>
      <c r="G925" s="908" t="s">
        <v>364</v>
      </c>
      <c r="H925" s="909" t="s">
        <v>2092</v>
      </c>
      <c r="I925" s="910" t="e">
        <f>VLOOKUP(H922,'LƯƠNG KT'!$D$16:$Z$184,16,0)</f>
        <v>#N/A</v>
      </c>
      <c r="J925" s="609" t="e">
        <f>I925*$L$5</f>
        <v>#N/A</v>
      </c>
      <c r="K925" s="934"/>
      <c r="L925" s="935"/>
      <c r="M925" s="935"/>
      <c r="N925" s="935"/>
      <c r="O925" s="935"/>
    </row>
    <row r="926" spans="1:15" ht="15" customHeight="1">
      <c r="A926" s="908" t="s">
        <v>370</v>
      </c>
      <c r="B926" s="909" t="s">
        <v>2093</v>
      </c>
      <c r="C926" s="910" t="e">
        <f>VLOOKUP(B922,'LƯƠNG KT'!$D$16:$Z$184,24,0)</f>
        <v>#N/A</v>
      </c>
      <c r="D926" s="609" t="e">
        <f>+C926*$L$6</f>
        <v>#N/A</v>
      </c>
      <c r="E926" s="912"/>
      <c r="F926" s="912"/>
      <c r="G926" s="908" t="s">
        <v>370</v>
      </c>
      <c r="H926" s="909" t="s">
        <v>2093</v>
      </c>
      <c r="I926" s="910" t="e">
        <f>VLOOKUP(H922,'LƯƠNG KT'!$D$16:$Z$184,24,0)</f>
        <v>#N/A</v>
      </c>
      <c r="J926" s="609" t="e">
        <f>+I926*$L$6</f>
        <v>#N/A</v>
      </c>
      <c r="K926" s="935"/>
      <c r="L926" s="935"/>
      <c r="M926" s="935"/>
      <c r="N926" s="935"/>
      <c r="O926" s="935"/>
    </row>
    <row r="927" spans="1:15" ht="15" customHeight="1">
      <c r="A927" s="908" t="s">
        <v>2094</v>
      </c>
      <c r="B927" s="909" t="s">
        <v>2095</v>
      </c>
      <c r="C927" s="910" t="e">
        <f>VLOOKUP(B922,'LƯƠNG KT'!$D$16:$Z$184,19,0)</f>
        <v>#N/A</v>
      </c>
      <c r="D927" s="609" t="e">
        <f>+C927*$L$8</f>
        <v>#N/A</v>
      </c>
      <c r="E927" s="912"/>
      <c r="F927" s="912"/>
      <c r="G927" s="908" t="s">
        <v>2094</v>
      </c>
      <c r="H927" s="909" t="s">
        <v>2095</v>
      </c>
      <c r="I927" s="910" t="e">
        <f>VLOOKUP(H922,'LƯƠNG KT'!$D$16:$Z$184,19,0)</f>
        <v>#N/A</v>
      </c>
      <c r="J927" s="609" t="e">
        <f>+I927*$L$8</f>
        <v>#N/A</v>
      </c>
      <c r="K927" s="935"/>
      <c r="L927" s="935"/>
      <c r="M927" s="935"/>
      <c r="N927" s="935"/>
      <c r="O927" s="935"/>
    </row>
    <row r="928" spans="1:15" ht="15" customHeight="1">
      <c r="A928" s="908" t="s">
        <v>2096</v>
      </c>
      <c r="B928" s="913" t="s">
        <v>2097</v>
      </c>
      <c r="C928" s="910" t="e">
        <f>VLOOKUP(B922,'LƯƠNG KT'!$D$16:$Z$184,20,0)</f>
        <v>#N/A</v>
      </c>
      <c r="D928" s="609" t="e">
        <f>+C928*$L$9</f>
        <v>#N/A</v>
      </c>
      <c r="E928" s="912"/>
      <c r="F928" s="912"/>
      <c r="G928" s="908" t="s">
        <v>2096</v>
      </c>
      <c r="H928" s="913" t="s">
        <v>2097</v>
      </c>
      <c r="I928" s="910" t="e">
        <f>VLOOKUP(H922,'LƯƠNG KT'!$D$16:$Z$184,20,0)</f>
        <v>#N/A</v>
      </c>
      <c r="J928" s="609" t="e">
        <f>+I928*$L$9</f>
        <v>#N/A</v>
      </c>
      <c r="K928" s="935"/>
      <c r="L928" s="935"/>
      <c r="M928" s="935"/>
      <c r="N928" s="935"/>
      <c r="O928" s="935"/>
    </row>
    <row r="929" spans="1:15" ht="15" customHeight="1">
      <c r="A929" s="908" t="s">
        <v>2099</v>
      </c>
      <c r="B929" s="909" t="s">
        <v>2100</v>
      </c>
      <c r="C929" s="910" t="e">
        <f>VLOOKUP(B922,'LƯƠNG KT'!$D$16:$Z$184,17,0)</f>
        <v>#N/A</v>
      </c>
      <c r="D929" s="609" t="e">
        <f>+C929*$L$10</f>
        <v>#N/A</v>
      </c>
      <c r="E929" s="912"/>
      <c r="F929" s="912"/>
      <c r="G929" s="908" t="s">
        <v>2099</v>
      </c>
      <c r="H929" s="909" t="s">
        <v>2100</v>
      </c>
      <c r="I929" s="910" t="e">
        <f>VLOOKUP(H922,'LƯƠNG KT'!$D$16:$Z$184,17,0)</f>
        <v>#N/A</v>
      </c>
      <c r="J929" s="609" t="e">
        <f>+I929*$L$10</f>
        <v>#N/A</v>
      </c>
      <c r="K929" s="935"/>
      <c r="L929" s="935"/>
      <c r="M929" s="935"/>
      <c r="N929" s="935"/>
      <c r="O929" s="935"/>
    </row>
    <row r="930" spans="1:15" ht="15" customHeight="1">
      <c r="A930" s="908" t="s">
        <v>374</v>
      </c>
      <c r="B930" s="909" t="s">
        <v>2102</v>
      </c>
      <c r="C930" s="910" t="e">
        <f>VLOOKUP(B922,'LƯƠNG KT'!$D$16:$Z$184,12,0)</f>
        <v>#N/A</v>
      </c>
      <c r="D930" s="609" t="e">
        <f>VLOOKUP(B922,'LƯƠNG KT'!$D$16:$Z$184,14,0)</f>
        <v>#N/A</v>
      </c>
      <c r="E930" s="914"/>
      <c r="F930" s="912"/>
      <c r="G930" s="908" t="s">
        <v>374</v>
      </c>
      <c r="H930" s="909" t="s">
        <v>2102</v>
      </c>
      <c r="I930" s="910" t="e">
        <f>VLOOKUP(H922,'LƯƠNG KT'!$D$16:$Z$184,12,0)</f>
        <v>#N/A</v>
      </c>
      <c r="J930" s="609" t="e">
        <f>VLOOKUP(H922,'LƯƠNG KT'!$D$16:$Z$184,14,0)</f>
        <v>#N/A</v>
      </c>
      <c r="K930" s="935"/>
      <c r="L930" s="935"/>
      <c r="M930" s="935"/>
      <c r="N930" s="935"/>
      <c r="O930" s="935"/>
    </row>
    <row r="931" spans="1:15" ht="15" customHeight="1">
      <c r="A931" s="908" t="s">
        <v>2103</v>
      </c>
      <c r="B931" s="909" t="s">
        <v>2104</v>
      </c>
      <c r="D931" s="915" t="e">
        <f>VLOOKUP(B922,'LƯƠNG KT'!$D$16:$Z$184,13,0)</f>
        <v>#N/A</v>
      </c>
      <c r="E931" s="916"/>
      <c r="F931" s="916"/>
      <c r="G931" s="908" t="s">
        <v>2103</v>
      </c>
      <c r="H931" s="909" t="s">
        <v>2104</v>
      </c>
      <c r="J931" s="915" t="e">
        <f>VLOOKUP(H922,'LƯƠNG KT'!$D$16:$Z$184,13,0)</f>
        <v>#N/A</v>
      </c>
    </row>
    <row r="932" spans="1:15" ht="15" customHeight="1">
      <c r="A932" s="547"/>
      <c r="B932" s="546"/>
      <c r="C932" s="910"/>
      <c r="D932" s="609"/>
      <c r="E932" s="914"/>
      <c r="F932" s="916"/>
      <c r="G932" s="547"/>
      <c r="H932" s="546"/>
      <c r="I932" s="910"/>
      <c r="J932" s="609"/>
    </row>
    <row r="933" spans="1:15" ht="15" customHeight="1">
      <c r="A933" s="905"/>
      <c r="B933" s="546"/>
      <c r="C933" s="910"/>
      <c r="D933" s="609"/>
      <c r="E933" s="917"/>
      <c r="F933" s="904"/>
      <c r="G933" s="905"/>
      <c r="H933" s="546"/>
      <c r="I933" s="910"/>
      <c r="J933" s="609"/>
    </row>
    <row r="934" spans="1:15" ht="15" customHeight="1">
      <c r="A934" s="918" t="s">
        <v>383</v>
      </c>
      <c r="B934" s="919" t="s">
        <v>384</v>
      </c>
      <c r="C934" s="920"/>
      <c r="D934" s="921" t="e">
        <f>SUM(D923:D930)-D933</f>
        <v>#N/A</v>
      </c>
      <c r="E934" s="922"/>
      <c r="F934" s="923"/>
      <c r="G934" s="918" t="s">
        <v>383</v>
      </c>
      <c r="H934" s="919" t="s">
        <v>384</v>
      </c>
      <c r="I934" s="920"/>
      <c r="J934" s="921" t="e">
        <f>SUM(J923:J930)-J933</f>
        <v>#N/A</v>
      </c>
    </row>
    <row r="935" spans="1:15" ht="12.6" customHeight="1">
      <c r="A935" s="924"/>
      <c r="B935" s="925"/>
      <c r="C935" s="926"/>
      <c r="D935" s="927"/>
      <c r="E935" s="927"/>
      <c r="F935" s="928"/>
      <c r="G935" s="924"/>
      <c r="H935" s="925"/>
      <c r="I935" s="926"/>
      <c r="J935" s="927"/>
    </row>
    <row r="936" spans="1:15" ht="12.6" customHeight="1">
      <c r="A936" s="925"/>
      <c r="B936" s="925"/>
      <c r="C936" s="929"/>
      <c r="D936" s="930"/>
      <c r="E936" s="925"/>
      <c r="F936" s="931"/>
      <c r="G936" s="925"/>
      <c r="H936" s="925"/>
      <c r="I936" s="929"/>
      <c r="J936" s="930"/>
    </row>
    <row r="937" spans="1:15" ht="15" customHeight="1">
      <c r="A937" s="2360" t="str">
        <f>$K$2</f>
        <v>THÁNG 04/2025</v>
      </c>
      <c r="B937" s="2360"/>
      <c r="C937" s="2360"/>
      <c r="D937" s="2360"/>
      <c r="E937" s="903"/>
      <c r="F937" s="904"/>
      <c r="G937" s="2360" t="str">
        <f>$K$2</f>
        <v>THÁNG 04/2025</v>
      </c>
      <c r="H937" s="2360"/>
      <c r="I937" s="2360"/>
      <c r="J937" s="2360"/>
      <c r="K937" s="276"/>
    </row>
    <row r="938" spans="1:15" ht="15" customHeight="1">
      <c r="A938" s="905" t="s">
        <v>356</v>
      </c>
      <c r="B938" s="642" t="s">
        <v>70</v>
      </c>
      <c r="C938" s="546"/>
      <c r="D938" s="902"/>
      <c r="E938" s="906"/>
      <c r="F938" s="907"/>
      <c r="G938" s="905" t="s">
        <v>356</v>
      </c>
      <c r="H938" s="642" t="s">
        <v>71</v>
      </c>
      <c r="I938" s="546"/>
      <c r="J938" s="902"/>
      <c r="L938" s="938"/>
      <c r="M938" s="938"/>
      <c r="N938" s="938"/>
      <c r="O938" s="938"/>
    </row>
    <row r="939" spans="1:15" ht="15" customHeight="1">
      <c r="A939" s="908" t="s">
        <v>359</v>
      </c>
      <c r="B939" s="909" t="s">
        <v>2090</v>
      </c>
      <c r="C939" s="910" t="e">
        <f>VLOOKUP(B938,'LƯƠNG KT'!$D$16:$Z$184,4,0)</f>
        <v>#N/A</v>
      </c>
      <c r="D939" s="609" t="e">
        <f>+C939*25000</f>
        <v>#N/A</v>
      </c>
      <c r="E939" s="911"/>
      <c r="F939" s="911"/>
      <c r="G939" s="908" t="s">
        <v>359</v>
      </c>
      <c r="H939" s="909" t="s">
        <v>2090</v>
      </c>
      <c r="I939" s="910" t="e">
        <f>VLOOKUP(H938,'LƯƠNG KT'!$D$16:$Z$184,4,0)</f>
        <v>#N/A</v>
      </c>
      <c r="J939" s="609" t="e">
        <f>+I939*25000</f>
        <v>#N/A</v>
      </c>
      <c r="K939" s="935"/>
      <c r="L939" s="935"/>
      <c r="M939" s="935"/>
      <c r="N939" s="935"/>
      <c r="O939" s="935"/>
    </row>
    <row r="940" spans="1:15" ht="15" customHeight="1">
      <c r="A940" s="908" t="s">
        <v>361</v>
      </c>
      <c r="B940" s="909" t="s">
        <v>2091</v>
      </c>
      <c r="C940" s="910" t="e">
        <f>VLOOKUP(B938,'LƯƠNG KT'!$D$16:$Z$184,15,0)</f>
        <v>#N/A</v>
      </c>
      <c r="D940" s="609" t="e">
        <f>C940*$L$4</f>
        <v>#N/A</v>
      </c>
      <c r="E940" s="912"/>
      <c r="F940" s="912"/>
      <c r="G940" s="908" t="s">
        <v>361</v>
      </c>
      <c r="H940" s="909" t="s">
        <v>2091</v>
      </c>
      <c r="I940" s="910" t="e">
        <f>VLOOKUP(H938,'LƯƠNG KT'!$D$16:$Z$184,15,0)</f>
        <v>#N/A</v>
      </c>
      <c r="J940" s="609" t="e">
        <f>I940*$L$4</f>
        <v>#N/A</v>
      </c>
      <c r="K940" s="935"/>
      <c r="L940" s="935"/>
      <c r="M940" s="935"/>
      <c r="N940" s="935"/>
      <c r="O940" s="935"/>
    </row>
    <row r="941" spans="1:15" ht="15" customHeight="1">
      <c r="A941" s="908" t="s">
        <v>364</v>
      </c>
      <c r="B941" s="909" t="s">
        <v>2092</v>
      </c>
      <c r="C941" s="910" t="e">
        <f>VLOOKUP(B938,'LƯƠNG KT'!$D$16:$Z$184,16,0)</f>
        <v>#N/A</v>
      </c>
      <c r="D941" s="609" t="e">
        <f>C941*$L$5</f>
        <v>#N/A</v>
      </c>
      <c r="E941" s="912"/>
      <c r="F941" s="912"/>
      <c r="G941" s="908" t="s">
        <v>364</v>
      </c>
      <c r="H941" s="909" t="s">
        <v>2092</v>
      </c>
      <c r="I941" s="910" t="e">
        <f>VLOOKUP(H938,'LƯƠNG KT'!$D$16:$Z$184,16,0)</f>
        <v>#N/A</v>
      </c>
      <c r="J941" s="609" t="e">
        <f>I941*$L$5</f>
        <v>#N/A</v>
      </c>
      <c r="K941" s="935"/>
      <c r="L941" s="935"/>
      <c r="M941" s="935"/>
      <c r="N941" s="935"/>
      <c r="O941" s="935"/>
    </row>
    <row r="942" spans="1:15" ht="15" customHeight="1">
      <c r="A942" s="908" t="s">
        <v>370</v>
      </c>
      <c r="B942" s="909" t="s">
        <v>2093</v>
      </c>
      <c r="C942" s="910" t="e">
        <f>VLOOKUP(B938,'LƯƠNG KT'!$D$16:$Z$184,24,0)</f>
        <v>#N/A</v>
      </c>
      <c r="D942" s="609" t="e">
        <f>+C942*$L$6</f>
        <v>#N/A</v>
      </c>
      <c r="E942" s="912"/>
      <c r="F942" s="912"/>
      <c r="G942" s="908" t="s">
        <v>370</v>
      </c>
      <c r="H942" s="909" t="s">
        <v>2093</v>
      </c>
      <c r="I942" s="910" t="e">
        <f>VLOOKUP(H938,'LƯƠNG KT'!$D$16:$Z$184,24,0)</f>
        <v>#N/A</v>
      </c>
      <c r="J942" s="609" t="e">
        <f>+I942*$L$6</f>
        <v>#N/A</v>
      </c>
      <c r="K942" s="935"/>
      <c r="L942" s="935"/>
      <c r="M942" s="935"/>
      <c r="N942" s="935"/>
      <c r="O942" s="935"/>
    </row>
    <row r="943" spans="1:15" ht="15" customHeight="1">
      <c r="A943" s="908" t="s">
        <v>2094</v>
      </c>
      <c r="B943" s="909" t="s">
        <v>2095</v>
      </c>
      <c r="C943" s="910" t="e">
        <f>VLOOKUP(B938,'LƯƠNG KT'!$D$16:$Z$184,19,0)</f>
        <v>#N/A</v>
      </c>
      <c r="D943" s="609" t="e">
        <f>+C943*$L$8</f>
        <v>#N/A</v>
      </c>
      <c r="E943" s="912"/>
      <c r="F943" s="912"/>
      <c r="G943" s="908" t="s">
        <v>2094</v>
      </c>
      <c r="H943" s="909" t="s">
        <v>2095</v>
      </c>
      <c r="I943" s="910" t="e">
        <f>VLOOKUP(H938,'LƯƠNG KT'!$D$16:$Z$184,19,0)</f>
        <v>#N/A</v>
      </c>
      <c r="J943" s="609" t="e">
        <f>+I943*$L$8</f>
        <v>#N/A</v>
      </c>
      <c r="K943" s="935"/>
      <c r="L943" s="935"/>
      <c r="M943" s="935"/>
      <c r="N943" s="935"/>
      <c r="O943" s="935"/>
    </row>
    <row r="944" spans="1:15" ht="15" customHeight="1">
      <c r="A944" s="908" t="s">
        <v>2096</v>
      </c>
      <c r="B944" s="913" t="s">
        <v>2097</v>
      </c>
      <c r="C944" s="910" t="e">
        <f>VLOOKUP(B938,'LƯƠNG KT'!$D$16:$Z$184,20,0)</f>
        <v>#N/A</v>
      </c>
      <c r="D944" s="609" t="e">
        <f>+C944*$L$9</f>
        <v>#N/A</v>
      </c>
      <c r="E944" s="912"/>
      <c r="F944" s="912"/>
      <c r="G944" s="908" t="s">
        <v>2096</v>
      </c>
      <c r="H944" s="913" t="s">
        <v>2097</v>
      </c>
      <c r="I944" s="910" t="e">
        <f>VLOOKUP(H938,'LƯƠNG KT'!$D$16:$Z$184,20,0)</f>
        <v>#N/A</v>
      </c>
      <c r="J944" s="609" t="e">
        <f>+I944*$L$9</f>
        <v>#N/A</v>
      </c>
      <c r="K944" s="935"/>
      <c r="L944" s="935"/>
      <c r="M944" s="935"/>
      <c r="N944" s="935"/>
      <c r="O944" s="935"/>
    </row>
    <row r="945" spans="1:15" ht="15" customHeight="1">
      <c r="A945" s="908" t="s">
        <v>2099</v>
      </c>
      <c r="B945" s="909" t="s">
        <v>2100</v>
      </c>
      <c r="C945" s="910" t="e">
        <f>VLOOKUP(B938,'LƯƠNG KT'!$D$16:$Z$184,17,0)</f>
        <v>#N/A</v>
      </c>
      <c r="D945" s="609" t="e">
        <f>+C945*$L$10</f>
        <v>#N/A</v>
      </c>
      <c r="E945" s="912"/>
      <c r="F945" s="912"/>
      <c r="G945" s="908" t="s">
        <v>2099</v>
      </c>
      <c r="H945" s="909" t="s">
        <v>2100</v>
      </c>
      <c r="I945" s="910" t="e">
        <f>VLOOKUP(H938,'LƯƠNG KT'!$D$16:$Z$184,17,0)</f>
        <v>#N/A</v>
      </c>
      <c r="J945" s="609" t="e">
        <f>+I945*$L$10</f>
        <v>#N/A</v>
      </c>
      <c r="K945" s="935"/>
      <c r="L945" s="935"/>
      <c r="M945" s="935"/>
      <c r="N945" s="935"/>
      <c r="O945" s="935"/>
    </row>
    <row r="946" spans="1:15" ht="15" customHeight="1">
      <c r="A946" s="908" t="s">
        <v>374</v>
      </c>
      <c r="B946" s="909" t="s">
        <v>2102</v>
      </c>
      <c r="C946" s="910" t="e">
        <f>VLOOKUP(B938,'LƯƠNG KT'!$D$16:$Z$184,12,0)</f>
        <v>#N/A</v>
      </c>
      <c r="D946" s="609" t="e">
        <f>VLOOKUP(B938,'LƯƠNG KT'!$D$16:$Z$184,14,0)</f>
        <v>#N/A</v>
      </c>
      <c r="E946" s="914"/>
      <c r="F946" s="912"/>
      <c r="G946" s="908" t="s">
        <v>374</v>
      </c>
      <c r="H946" s="909" t="s">
        <v>2102</v>
      </c>
      <c r="I946" s="910" t="e">
        <f>VLOOKUP(H938,'LƯƠNG KT'!$D$16:$Z$184,12,0)</f>
        <v>#N/A</v>
      </c>
      <c r="J946" s="609" t="e">
        <f>VLOOKUP(H938,'LƯƠNG KT'!$D$16:$Z$184,14,0)</f>
        <v>#N/A</v>
      </c>
      <c r="K946" s="935"/>
      <c r="L946" s="935"/>
      <c r="M946" s="935"/>
      <c r="N946" s="935"/>
      <c r="O946" s="935"/>
    </row>
    <row r="947" spans="1:15" ht="15" customHeight="1">
      <c r="A947" s="908" t="s">
        <v>2103</v>
      </c>
      <c r="B947" s="909" t="s">
        <v>2104</v>
      </c>
      <c r="D947" s="915" t="e">
        <f>VLOOKUP(B938,'LƯƠNG KT'!$D$16:$Z$184,13,0)</f>
        <v>#N/A</v>
      </c>
      <c r="E947" s="916"/>
      <c r="F947" s="916"/>
      <c r="G947" s="908" t="s">
        <v>2103</v>
      </c>
      <c r="H947" s="909" t="s">
        <v>2104</v>
      </c>
      <c r="J947" s="915" t="e">
        <f>VLOOKUP(H938,'LƯƠNG KT'!$D$16:$Z$184,13,0)</f>
        <v>#N/A</v>
      </c>
    </row>
    <row r="948" spans="1:15" ht="15" customHeight="1">
      <c r="A948" s="547"/>
      <c r="B948" s="546"/>
      <c r="C948" s="910"/>
      <c r="D948" s="609"/>
      <c r="E948" s="914"/>
      <c r="F948" s="916"/>
      <c r="G948" s="547"/>
      <c r="H948" s="546"/>
      <c r="I948" s="910"/>
      <c r="J948" s="609"/>
    </row>
    <row r="949" spans="1:15" ht="15" customHeight="1">
      <c r="A949" s="905"/>
      <c r="B949" s="546"/>
      <c r="C949" s="910"/>
      <c r="D949" s="609"/>
      <c r="E949" s="917"/>
      <c r="F949" s="904"/>
      <c r="G949" s="905"/>
      <c r="H949" s="546"/>
      <c r="I949" s="910"/>
      <c r="J949" s="609"/>
    </row>
    <row r="950" spans="1:15" ht="15" customHeight="1">
      <c r="A950" s="918" t="s">
        <v>383</v>
      </c>
      <c r="B950" s="919" t="s">
        <v>384</v>
      </c>
      <c r="C950" s="920"/>
      <c r="D950" s="921" t="e">
        <f>SUM(D939:D946)-D949</f>
        <v>#N/A</v>
      </c>
      <c r="E950" s="922"/>
      <c r="F950" s="923"/>
      <c r="G950" s="918" t="s">
        <v>383</v>
      </c>
      <c r="H950" s="919" t="s">
        <v>384</v>
      </c>
      <c r="I950" s="920"/>
      <c r="J950" s="921" t="e">
        <f>SUM(J939:J946)-J949</f>
        <v>#N/A</v>
      </c>
    </row>
    <row r="951" spans="1:15" ht="18.75" customHeight="1">
      <c r="A951" s="924"/>
      <c r="B951" s="925"/>
      <c r="C951" s="926"/>
      <c r="D951" s="927"/>
      <c r="E951" s="927"/>
      <c r="F951" s="928"/>
      <c r="G951" s="924"/>
      <c r="H951" s="925"/>
      <c r="I951" s="926"/>
      <c r="J951" s="927"/>
    </row>
    <row r="952" spans="1:15" ht="18.75" customHeight="1">
      <c r="A952" s="925"/>
      <c r="B952" s="925"/>
      <c r="C952" s="929"/>
      <c r="D952" s="930"/>
      <c r="E952" s="925"/>
      <c r="F952" s="931"/>
      <c r="G952" s="925"/>
      <c r="H952" s="925"/>
      <c r="I952" s="929"/>
      <c r="J952" s="930"/>
    </row>
    <row r="953" spans="1:15" ht="15" customHeight="1">
      <c r="A953" s="2360" t="str">
        <f>$K$2</f>
        <v>THÁNG 04/2025</v>
      </c>
      <c r="B953" s="2360"/>
      <c r="C953" s="2360"/>
      <c r="D953" s="2360"/>
      <c r="E953" s="903"/>
      <c r="F953" s="904"/>
      <c r="G953" s="2360" t="str">
        <f>$K$2</f>
        <v>THÁNG 04/2025</v>
      </c>
      <c r="H953" s="2360"/>
      <c r="I953" s="2360"/>
      <c r="J953" s="2360"/>
      <c r="K953" s="276"/>
    </row>
    <row r="954" spans="1:15" ht="15" customHeight="1">
      <c r="A954" s="905" t="s">
        <v>356</v>
      </c>
      <c r="B954" s="642" t="s">
        <v>486</v>
      </c>
      <c r="C954" s="546"/>
      <c r="D954" s="902"/>
      <c r="E954" s="906"/>
      <c r="F954" s="907"/>
      <c r="G954" s="905" t="s">
        <v>356</v>
      </c>
      <c r="H954" s="642" t="s">
        <v>57</v>
      </c>
      <c r="I954" s="546"/>
      <c r="J954" s="902"/>
      <c r="L954" s="938"/>
      <c r="M954" s="938"/>
      <c r="N954" s="938"/>
      <c r="O954" s="938"/>
    </row>
    <row r="955" spans="1:15" ht="15" customHeight="1">
      <c r="A955" s="908" t="s">
        <v>359</v>
      </c>
      <c r="B955" s="909" t="s">
        <v>2090</v>
      </c>
      <c r="C955" s="910" t="e">
        <f>VLOOKUP(B954,'LƯƠNG KT'!$D$16:$Z$184,4,0)</f>
        <v>#N/A</v>
      </c>
      <c r="D955" s="609" t="e">
        <f>+C955*25000</f>
        <v>#N/A</v>
      </c>
      <c r="E955" s="911"/>
      <c r="F955" s="911"/>
      <c r="G955" s="908" t="s">
        <v>359</v>
      </c>
      <c r="H955" s="909" t="s">
        <v>2090</v>
      </c>
      <c r="I955" s="910" t="e">
        <f>VLOOKUP(H954,'LƯƠNG KT'!$D$16:$Z$184,4,0)</f>
        <v>#N/A</v>
      </c>
      <c r="J955" s="609" t="e">
        <f>+I955*25000</f>
        <v>#N/A</v>
      </c>
      <c r="K955" s="935"/>
      <c r="L955" s="935"/>
      <c r="M955" s="935"/>
      <c r="N955" s="935"/>
      <c r="O955" s="935"/>
    </row>
    <row r="956" spans="1:15" ht="15" customHeight="1">
      <c r="A956" s="908" t="s">
        <v>361</v>
      </c>
      <c r="B956" s="909" t="s">
        <v>2091</v>
      </c>
      <c r="C956" s="910" t="e">
        <f>VLOOKUP(B954,'LƯƠNG KT'!$D$16:$Z$184,15,0)</f>
        <v>#N/A</v>
      </c>
      <c r="D956" s="609" t="e">
        <f>C956*$L$4</f>
        <v>#N/A</v>
      </c>
      <c r="E956" s="912"/>
      <c r="F956" s="912"/>
      <c r="G956" s="908" t="s">
        <v>361</v>
      </c>
      <c r="H956" s="909" t="s">
        <v>2091</v>
      </c>
      <c r="I956" s="910" t="e">
        <f>VLOOKUP(H954,'LƯƠNG KT'!$D$16:$Z$184,15,0)</f>
        <v>#N/A</v>
      </c>
      <c r="J956" s="609" t="e">
        <f>I956*$L$4</f>
        <v>#N/A</v>
      </c>
      <c r="K956" s="935"/>
      <c r="L956" s="935"/>
      <c r="M956" s="935"/>
      <c r="N956" s="935"/>
      <c r="O956" s="935"/>
    </row>
    <row r="957" spans="1:15" ht="15" customHeight="1">
      <c r="A957" s="908" t="s">
        <v>364</v>
      </c>
      <c r="B957" s="909" t="s">
        <v>2092</v>
      </c>
      <c r="C957" s="910" t="e">
        <f>VLOOKUP(B954,'LƯƠNG KT'!$D$16:$Z$184,16,0)</f>
        <v>#N/A</v>
      </c>
      <c r="D957" s="609" t="e">
        <f>C957*$L$5</f>
        <v>#N/A</v>
      </c>
      <c r="E957" s="912"/>
      <c r="F957" s="912"/>
      <c r="G957" s="908" t="s">
        <v>364</v>
      </c>
      <c r="H957" s="909" t="s">
        <v>2092</v>
      </c>
      <c r="I957" s="910" t="e">
        <f>VLOOKUP(H954,'LƯƠNG KT'!$D$16:$Z$184,16,0)</f>
        <v>#N/A</v>
      </c>
      <c r="J957" s="609" t="e">
        <f>I957*$L$5</f>
        <v>#N/A</v>
      </c>
      <c r="K957" s="935"/>
      <c r="L957" s="935"/>
      <c r="M957" s="935"/>
      <c r="N957" s="935"/>
      <c r="O957" s="935"/>
    </row>
    <row r="958" spans="1:15" ht="15" customHeight="1">
      <c r="A958" s="908" t="s">
        <v>370</v>
      </c>
      <c r="B958" s="909" t="s">
        <v>2093</v>
      </c>
      <c r="C958" s="910" t="e">
        <f>VLOOKUP(B954,'LƯƠNG KT'!$D$16:$Z$184,24,0)</f>
        <v>#N/A</v>
      </c>
      <c r="D958" s="609" t="e">
        <f>+C958*$L$6</f>
        <v>#N/A</v>
      </c>
      <c r="E958" s="912"/>
      <c r="F958" s="912"/>
      <c r="G958" s="908" t="s">
        <v>370</v>
      </c>
      <c r="H958" s="909" t="s">
        <v>2093</v>
      </c>
      <c r="I958" s="910" t="e">
        <f>VLOOKUP(H954,'LƯƠNG KT'!$D$16:$Z$184,24,0)</f>
        <v>#N/A</v>
      </c>
      <c r="J958" s="609" t="e">
        <f>+I958*$L$6</f>
        <v>#N/A</v>
      </c>
      <c r="K958" s="935"/>
      <c r="L958" s="935"/>
      <c r="M958" s="935"/>
      <c r="N958" s="935"/>
      <c r="O958" s="935"/>
    </row>
    <row r="959" spans="1:15" ht="15" customHeight="1">
      <c r="A959" s="908" t="s">
        <v>2094</v>
      </c>
      <c r="B959" s="909" t="s">
        <v>2095</v>
      </c>
      <c r="C959" s="910" t="e">
        <f>VLOOKUP(B954,'LƯƠNG KT'!$D$16:$Z$184,19,0)</f>
        <v>#N/A</v>
      </c>
      <c r="D959" s="609" t="e">
        <f>+C959*$L$8</f>
        <v>#N/A</v>
      </c>
      <c r="E959" s="912"/>
      <c r="F959" s="912"/>
      <c r="G959" s="908" t="s">
        <v>2094</v>
      </c>
      <c r="H959" s="909" t="s">
        <v>2095</v>
      </c>
      <c r="I959" s="910" t="e">
        <f>VLOOKUP(H954,'LƯƠNG KT'!$D$16:$Z$184,19,0)</f>
        <v>#N/A</v>
      </c>
      <c r="J959" s="609" t="e">
        <f>+I959*$L$8</f>
        <v>#N/A</v>
      </c>
      <c r="K959" s="935"/>
      <c r="L959" s="935"/>
      <c r="M959" s="935"/>
      <c r="N959" s="935"/>
      <c r="O959" s="935"/>
    </row>
    <row r="960" spans="1:15" ht="15" customHeight="1">
      <c r="A960" s="908" t="s">
        <v>2096</v>
      </c>
      <c r="B960" s="913" t="s">
        <v>2097</v>
      </c>
      <c r="C960" s="910" t="e">
        <f>VLOOKUP(B954,'LƯƠNG KT'!$D$16:$Z$184,20,0)</f>
        <v>#N/A</v>
      </c>
      <c r="D960" s="609" t="e">
        <f>+C960*$L$9</f>
        <v>#N/A</v>
      </c>
      <c r="E960" s="912"/>
      <c r="F960" s="912"/>
      <c r="G960" s="908" t="s">
        <v>2096</v>
      </c>
      <c r="H960" s="913" t="s">
        <v>2097</v>
      </c>
      <c r="I960" s="910" t="e">
        <f>VLOOKUP(H954,'LƯƠNG KT'!$D$16:$Z$184,20,0)</f>
        <v>#N/A</v>
      </c>
      <c r="J960" s="609" t="e">
        <f>+I960*$L$9</f>
        <v>#N/A</v>
      </c>
      <c r="K960" s="935"/>
      <c r="L960" s="935"/>
      <c r="M960" s="935"/>
      <c r="N960" s="935"/>
      <c r="O960" s="935"/>
    </row>
    <row r="961" spans="1:15" ht="15" customHeight="1">
      <c r="A961" s="908" t="s">
        <v>2099</v>
      </c>
      <c r="B961" s="909" t="s">
        <v>2100</v>
      </c>
      <c r="C961" s="910" t="e">
        <f>VLOOKUP(B954,'LƯƠNG KT'!$D$16:$Z$184,17,0)</f>
        <v>#N/A</v>
      </c>
      <c r="D961" s="609" t="e">
        <f>+C961*$L$10</f>
        <v>#N/A</v>
      </c>
      <c r="E961" s="912"/>
      <c r="F961" s="912"/>
      <c r="G961" s="908" t="s">
        <v>2099</v>
      </c>
      <c r="H961" s="909" t="s">
        <v>2100</v>
      </c>
      <c r="I961" s="910" t="e">
        <f>VLOOKUP(H954,'LƯƠNG KT'!$D$16:$Z$184,17,0)</f>
        <v>#N/A</v>
      </c>
      <c r="J961" s="609" t="e">
        <f>+I961*$L$10</f>
        <v>#N/A</v>
      </c>
      <c r="K961" s="935"/>
      <c r="L961" s="935"/>
      <c r="M961" s="935"/>
      <c r="N961" s="935"/>
      <c r="O961" s="935"/>
    </row>
    <row r="962" spans="1:15" ht="15" customHeight="1">
      <c r="A962" s="908" t="s">
        <v>374</v>
      </c>
      <c r="B962" s="909" t="s">
        <v>2102</v>
      </c>
      <c r="C962" s="910" t="e">
        <f>VLOOKUP(B954,'LƯƠNG KT'!$D$16:$Z$184,12,0)</f>
        <v>#N/A</v>
      </c>
      <c r="D962" s="609" t="e">
        <f>VLOOKUP(B954,'LƯƠNG KT'!$D$16:$Z$184,14,0)</f>
        <v>#N/A</v>
      </c>
      <c r="E962" s="914"/>
      <c r="F962" s="912"/>
      <c r="G962" s="908" t="s">
        <v>374</v>
      </c>
      <c r="H962" s="909" t="s">
        <v>2102</v>
      </c>
      <c r="I962" s="910" t="e">
        <f>VLOOKUP(H954,'LƯƠNG KT'!$D$16:$Z$184,12,0)</f>
        <v>#N/A</v>
      </c>
      <c r="J962" s="609" t="e">
        <f>VLOOKUP(H954,'LƯƠNG KT'!$D$16:$Z$184,14,0)</f>
        <v>#N/A</v>
      </c>
      <c r="K962" s="935"/>
      <c r="L962" s="935"/>
      <c r="M962" s="935"/>
      <c r="N962" s="935"/>
      <c r="O962" s="935"/>
    </row>
    <row r="963" spans="1:15" ht="15" customHeight="1">
      <c r="A963" s="908" t="s">
        <v>2103</v>
      </c>
      <c r="B963" s="909" t="s">
        <v>2104</v>
      </c>
      <c r="D963" s="915" t="e">
        <f>VLOOKUP(B954,'LƯƠNG KT'!$D$16:$Z$184,13,0)</f>
        <v>#N/A</v>
      </c>
      <c r="E963" s="916"/>
      <c r="F963" s="916"/>
      <c r="G963" s="908" t="s">
        <v>2103</v>
      </c>
      <c r="H963" s="909" t="s">
        <v>2104</v>
      </c>
      <c r="J963" s="915" t="e">
        <f>VLOOKUP(H954,'LƯƠNG KT'!$D$16:$Z$184,13,0)</f>
        <v>#N/A</v>
      </c>
    </row>
    <row r="964" spans="1:15" ht="15" customHeight="1">
      <c r="A964" s="547"/>
      <c r="B964" s="546"/>
      <c r="C964" s="910"/>
      <c r="D964" s="609"/>
      <c r="E964" s="914"/>
      <c r="F964" s="916"/>
      <c r="G964" s="547"/>
      <c r="H964" s="546"/>
      <c r="I964" s="910"/>
      <c r="J964" s="609"/>
    </row>
    <row r="965" spans="1:15" ht="15" customHeight="1">
      <c r="A965" s="905"/>
      <c r="B965" s="546"/>
      <c r="C965" s="910"/>
      <c r="D965" s="609"/>
      <c r="E965" s="917"/>
      <c r="F965" s="904"/>
      <c r="G965" s="905"/>
      <c r="H965" s="546"/>
      <c r="I965" s="910"/>
      <c r="J965" s="609"/>
    </row>
    <row r="966" spans="1:15" ht="15" customHeight="1">
      <c r="A966" s="918" t="s">
        <v>383</v>
      </c>
      <c r="B966" s="919" t="s">
        <v>384</v>
      </c>
      <c r="C966" s="920"/>
      <c r="D966" s="921" t="e">
        <f>SUM(D955:D962)-D965</f>
        <v>#N/A</v>
      </c>
      <c r="E966" s="922"/>
      <c r="F966" s="923"/>
      <c r="G966" s="918" t="s">
        <v>383</v>
      </c>
      <c r="H966" s="919" t="s">
        <v>384</v>
      </c>
      <c r="I966" s="920"/>
      <c r="J966" s="921" t="e">
        <f>SUM(J955:J962)-J965</f>
        <v>#N/A</v>
      </c>
    </row>
    <row r="967" spans="1:15" ht="18.75" customHeight="1">
      <c r="A967" s="924"/>
      <c r="B967" s="925"/>
      <c r="C967" s="926"/>
      <c r="D967" s="927"/>
      <c r="E967" s="927"/>
      <c r="F967" s="928"/>
      <c r="G967" s="924"/>
      <c r="H967" s="925"/>
      <c r="I967" s="926"/>
      <c r="J967" s="927"/>
    </row>
    <row r="968" spans="1:15" ht="138.75" customHeight="1">
      <c r="A968" s="925"/>
      <c r="B968" s="925"/>
      <c r="C968" s="929"/>
      <c r="D968" s="930"/>
      <c r="E968" s="925"/>
      <c r="F968" s="931"/>
      <c r="G968" s="925"/>
      <c r="H968" s="925"/>
      <c r="I968" s="929"/>
      <c r="J968" s="930"/>
    </row>
    <row r="969" spans="1:15" ht="15" customHeight="1">
      <c r="A969" s="2360" t="str">
        <f>$K$2</f>
        <v>THÁNG 04/2025</v>
      </c>
      <c r="B969" s="2360"/>
      <c r="C969" s="2360"/>
      <c r="D969" s="2360"/>
      <c r="E969" s="903"/>
      <c r="F969" s="904"/>
      <c r="G969" s="2360" t="str">
        <f>$K$2</f>
        <v>THÁNG 04/2025</v>
      </c>
      <c r="H969" s="2360"/>
      <c r="I969" s="2360"/>
      <c r="J969" s="2360"/>
      <c r="K969" s="276"/>
    </row>
    <row r="970" spans="1:15" ht="15" customHeight="1">
      <c r="A970" s="905" t="s">
        <v>356</v>
      </c>
      <c r="B970" s="642" t="s">
        <v>1993</v>
      </c>
      <c r="C970" s="546"/>
      <c r="D970" s="902"/>
      <c r="E970" s="906"/>
      <c r="F970" s="907"/>
      <c r="G970" s="905" t="s">
        <v>356</v>
      </c>
      <c r="H970" s="642" t="s">
        <v>18</v>
      </c>
      <c r="I970" s="546"/>
      <c r="J970" s="902"/>
      <c r="L970" s="938"/>
      <c r="M970" s="938"/>
      <c r="N970" s="938"/>
      <c r="O970" s="938"/>
    </row>
    <row r="971" spans="1:15" ht="15" customHeight="1">
      <c r="A971" s="908" t="s">
        <v>359</v>
      </c>
      <c r="B971" s="909" t="s">
        <v>2090</v>
      </c>
      <c r="C971" s="910" t="e">
        <f>VLOOKUP(B970,'LƯƠNG KT'!$D$16:$Z$184,4,0)</f>
        <v>#N/A</v>
      </c>
      <c r="D971" s="609" t="e">
        <f>+C971*25000</f>
        <v>#N/A</v>
      </c>
      <c r="E971" s="911"/>
      <c r="F971" s="911"/>
      <c r="G971" s="908" t="s">
        <v>359</v>
      </c>
      <c r="H971" s="909" t="s">
        <v>2090</v>
      </c>
      <c r="I971" s="910" t="e">
        <f>VLOOKUP(H970,'LƯƠNG KT'!$D$16:$Z$184,4,0)</f>
        <v>#N/A</v>
      </c>
      <c r="J971" s="609" t="e">
        <f>+I971*25000</f>
        <v>#N/A</v>
      </c>
      <c r="K971" s="935"/>
      <c r="L971" s="935"/>
      <c r="M971" s="935"/>
      <c r="N971" s="935"/>
      <c r="O971" s="935"/>
    </row>
    <row r="972" spans="1:15" ht="15" customHeight="1">
      <c r="A972" s="908" t="s">
        <v>361</v>
      </c>
      <c r="B972" s="909" t="s">
        <v>2091</v>
      </c>
      <c r="C972" s="910" t="e">
        <f>VLOOKUP(B970,'LƯƠNG KT'!$D$16:$Z$184,15,0)</f>
        <v>#N/A</v>
      </c>
      <c r="D972" s="609" t="e">
        <f>C972*$L$4</f>
        <v>#N/A</v>
      </c>
      <c r="E972" s="912"/>
      <c r="F972" s="912"/>
      <c r="G972" s="908" t="s">
        <v>361</v>
      </c>
      <c r="H972" s="909" t="s">
        <v>2091</v>
      </c>
      <c r="I972" s="910" t="e">
        <f>VLOOKUP(H970,'LƯƠNG KT'!$D$16:$Z$184,15,0)</f>
        <v>#N/A</v>
      </c>
      <c r="J972" s="609" t="e">
        <f>I972*$L$4</f>
        <v>#N/A</v>
      </c>
      <c r="K972" s="935"/>
      <c r="L972" s="935"/>
      <c r="M972" s="935"/>
      <c r="N972" s="935"/>
      <c r="O972" s="935"/>
    </row>
    <row r="973" spans="1:15" ht="15" customHeight="1">
      <c r="A973" s="908" t="s">
        <v>364</v>
      </c>
      <c r="B973" s="909" t="s">
        <v>2092</v>
      </c>
      <c r="C973" s="910" t="e">
        <f>VLOOKUP(B970,'LƯƠNG KT'!$D$16:$Z$184,16,0)</f>
        <v>#N/A</v>
      </c>
      <c r="D973" s="609" t="e">
        <f>C973*$L$5</f>
        <v>#N/A</v>
      </c>
      <c r="E973" s="912"/>
      <c r="F973" s="912"/>
      <c r="G973" s="908" t="s">
        <v>364</v>
      </c>
      <c r="H973" s="909" t="s">
        <v>2092</v>
      </c>
      <c r="I973" s="910" t="e">
        <f>VLOOKUP(H970,'LƯƠNG KT'!$D$16:$Z$184,16,0)</f>
        <v>#N/A</v>
      </c>
      <c r="J973" s="609" t="e">
        <f>I973*$L$5</f>
        <v>#N/A</v>
      </c>
      <c r="K973" s="935"/>
      <c r="L973" s="935"/>
      <c r="M973" s="935"/>
      <c r="N973" s="935"/>
      <c r="O973" s="935"/>
    </row>
    <row r="974" spans="1:15" ht="15" customHeight="1">
      <c r="A974" s="908" t="s">
        <v>370</v>
      </c>
      <c r="B974" s="909" t="s">
        <v>2093</v>
      </c>
      <c r="C974" s="910" t="e">
        <f>VLOOKUP(B970,'LƯƠNG KT'!$D$16:$Z$184,24,0)</f>
        <v>#N/A</v>
      </c>
      <c r="D974" s="609" t="e">
        <f>+C974*$L$6</f>
        <v>#N/A</v>
      </c>
      <c r="E974" s="912"/>
      <c r="F974" s="912"/>
      <c r="G974" s="908" t="s">
        <v>370</v>
      </c>
      <c r="H974" s="909" t="s">
        <v>2093</v>
      </c>
      <c r="I974" s="910" t="e">
        <f>VLOOKUP(H970,'LƯƠNG KT'!$D$16:$Z$184,24,0)</f>
        <v>#N/A</v>
      </c>
      <c r="J974" s="609" t="e">
        <f>+I974*$L$6</f>
        <v>#N/A</v>
      </c>
      <c r="K974" s="935"/>
      <c r="L974" s="935"/>
      <c r="M974" s="935"/>
      <c r="N974" s="935"/>
      <c r="O974" s="935"/>
    </row>
    <row r="975" spans="1:15" ht="15" customHeight="1">
      <c r="A975" s="908" t="s">
        <v>2094</v>
      </c>
      <c r="B975" s="909" t="s">
        <v>2095</v>
      </c>
      <c r="C975" s="910" t="e">
        <f>VLOOKUP(B970,'LƯƠNG KT'!$D$16:$Z$184,19,0)</f>
        <v>#N/A</v>
      </c>
      <c r="D975" s="609" t="e">
        <f>+C975*$L$8</f>
        <v>#N/A</v>
      </c>
      <c r="E975" s="912"/>
      <c r="F975" s="912"/>
      <c r="G975" s="908" t="s">
        <v>2094</v>
      </c>
      <c r="H975" s="909" t="s">
        <v>2095</v>
      </c>
      <c r="I975" s="910" t="e">
        <f>VLOOKUP(H970,'LƯƠNG KT'!$D$16:$Z$184,19,0)</f>
        <v>#N/A</v>
      </c>
      <c r="J975" s="609" t="e">
        <f>+I975*$L$8</f>
        <v>#N/A</v>
      </c>
      <c r="K975" s="935"/>
      <c r="L975" s="935"/>
      <c r="M975" s="935"/>
      <c r="N975" s="935"/>
      <c r="O975" s="935"/>
    </row>
    <row r="976" spans="1:15" ht="15" customHeight="1">
      <c r="A976" s="908" t="s">
        <v>2096</v>
      </c>
      <c r="B976" s="913" t="s">
        <v>2097</v>
      </c>
      <c r="C976" s="910" t="e">
        <f>VLOOKUP(B970,'LƯƠNG KT'!$D$16:$Z$184,20,0)</f>
        <v>#N/A</v>
      </c>
      <c r="D976" s="609" t="e">
        <f>+C976*$L$9</f>
        <v>#N/A</v>
      </c>
      <c r="E976" s="912"/>
      <c r="F976" s="912"/>
      <c r="G976" s="908" t="s">
        <v>2096</v>
      </c>
      <c r="H976" s="913" t="s">
        <v>2097</v>
      </c>
      <c r="I976" s="910" t="e">
        <f>VLOOKUP(H970,'LƯƠNG KT'!$D$16:$Z$184,20,0)</f>
        <v>#N/A</v>
      </c>
      <c r="J976" s="609" t="e">
        <f>+I976*$L$9</f>
        <v>#N/A</v>
      </c>
      <c r="K976" s="935"/>
      <c r="L976" s="935"/>
      <c r="M976" s="935"/>
      <c r="N976" s="935"/>
      <c r="O976" s="935"/>
    </row>
    <row r="977" spans="1:15" ht="15" customHeight="1">
      <c r="A977" s="908" t="s">
        <v>2099</v>
      </c>
      <c r="B977" s="909" t="s">
        <v>2100</v>
      </c>
      <c r="C977" s="910" t="e">
        <f>VLOOKUP(B970,'LƯƠNG KT'!$D$16:$Z$184,17,0)</f>
        <v>#N/A</v>
      </c>
      <c r="D977" s="609" t="e">
        <f>+C977*$L$10</f>
        <v>#N/A</v>
      </c>
      <c r="E977" s="912"/>
      <c r="F977" s="912"/>
      <c r="G977" s="908" t="s">
        <v>2099</v>
      </c>
      <c r="H977" s="909" t="s">
        <v>2100</v>
      </c>
      <c r="I977" s="910" t="e">
        <f>VLOOKUP(H970,'LƯƠNG KT'!$D$16:$Z$184,17,0)</f>
        <v>#N/A</v>
      </c>
      <c r="J977" s="609" t="e">
        <f>+I977*$L$10</f>
        <v>#N/A</v>
      </c>
      <c r="K977" s="935"/>
      <c r="L977" s="935"/>
      <c r="M977" s="935"/>
      <c r="N977" s="935"/>
      <c r="O977" s="935"/>
    </row>
    <row r="978" spans="1:15" ht="15" customHeight="1">
      <c r="A978" s="908" t="s">
        <v>374</v>
      </c>
      <c r="B978" s="909" t="s">
        <v>2102</v>
      </c>
      <c r="C978" s="910" t="e">
        <f>VLOOKUP(B970,'LƯƠNG KT'!$D$16:$Z$184,12,0)</f>
        <v>#N/A</v>
      </c>
      <c r="D978" s="609" t="e">
        <f>VLOOKUP(B970,'LƯƠNG KT'!$D$16:$Z$184,14,0)</f>
        <v>#N/A</v>
      </c>
      <c r="E978" s="914"/>
      <c r="F978" s="912"/>
      <c r="G978" s="908" t="s">
        <v>374</v>
      </c>
      <c r="H978" s="909" t="s">
        <v>2102</v>
      </c>
      <c r="I978" s="910" t="e">
        <f>VLOOKUP(H970,'LƯƠNG KT'!$D$16:$Z$184,12,0)</f>
        <v>#N/A</v>
      </c>
      <c r="J978" s="609" t="e">
        <f>VLOOKUP(H970,'LƯƠNG KT'!$D$16:$Z$184,14,0)</f>
        <v>#N/A</v>
      </c>
      <c r="K978" s="935"/>
      <c r="L978" s="935"/>
      <c r="M978" s="935"/>
      <c r="N978" s="935"/>
      <c r="O978" s="935"/>
    </row>
    <row r="979" spans="1:15" ht="15" customHeight="1">
      <c r="A979" s="908" t="s">
        <v>2103</v>
      </c>
      <c r="B979" s="909" t="s">
        <v>2104</v>
      </c>
      <c r="D979" s="915" t="e">
        <f>VLOOKUP(B970,'LƯƠNG KT'!$D$16:$Z$184,13,0)</f>
        <v>#N/A</v>
      </c>
      <c r="E979" s="916"/>
      <c r="F979" s="916"/>
      <c r="G979" s="908" t="s">
        <v>2103</v>
      </c>
      <c r="H979" s="909" t="s">
        <v>2104</v>
      </c>
      <c r="J979" s="915" t="e">
        <f>VLOOKUP(H970,'LƯƠNG KT'!$D$16:$Z$184,13,0)</f>
        <v>#N/A</v>
      </c>
    </row>
    <row r="980" spans="1:15" ht="15" customHeight="1">
      <c r="A980" s="547"/>
      <c r="B980" s="546"/>
      <c r="C980" s="910"/>
      <c r="D980" s="609"/>
      <c r="E980" s="914"/>
      <c r="F980" s="916"/>
      <c r="G980" s="547"/>
      <c r="H980" s="546"/>
      <c r="I980" s="910"/>
      <c r="J980" s="609"/>
    </row>
    <row r="981" spans="1:15" ht="15" customHeight="1">
      <c r="A981" s="905"/>
      <c r="B981" s="546"/>
      <c r="C981" s="910"/>
      <c r="D981" s="609"/>
      <c r="E981" s="917"/>
      <c r="F981" s="904"/>
      <c r="G981" s="905"/>
      <c r="H981" s="546"/>
      <c r="I981" s="910"/>
      <c r="J981" s="609"/>
    </row>
    <row r="982" spans="1:15" ht="15" customHeight="1">
      <c r="A982" s="918" t="s">
        <v>383</v>
      </c>
      <c r="B982" s="919" t="s">
        <v>384</v>
      </c>
      <c r="C982" s="920"/>
      <c r="D982" s="921" t="e">
        <f>SUM(D971:D978)-D981</f>
        <v>#N/A</v>
      </c>
      <c r="E982" s="922"/>
      <c r="F982" s="923"/>
      <c r="G982" s="918" t="s">
        <v>383</v>
      </c>
      <c r="H982" s="919" t="s">
        <v>384</v>
      </c>
      <c r="I982" s="920"/>
      <c r="J982" s="921" t="e">
        <f>SUM(J971:J978)-J981</f>
        <v>#N/A</v>
      </c>
    </row>
    <row r="983" spans="1:15" ht="15.75" customHeight="1">
      <c r="A983" s="924"/>
      <c r="B983" s="925"/>
      <c r="C983" s="926"/>
      <c r="D983" s="927"/>
      <c r="E983" s="927"/>
      <c r="F983" s="928"/>
      <c r="G983" s="924"/>
      <c r="H983" s="925"/>
      <c r="I983" s="926"/>
      <c r="J983" s="927"/>
    </row>
    <row r="985" spans="1:15" ht="12" customHeight="1">
      <c r="A985" s="2361"/>
      <c r="B985" s="2361"/>
      <c r="C985" s="2361"/>
      <c r="D985" s="2361"/>
      <c r="E985" s="2361"/>
      <c r="F985" s="2361"/>
      <c r="G985" s="2361"/>
      <c r="H985" s="2361"/>
      <c r="I985" s="2361"/>
      <c r="J985" s="2361"/>
    </row>
    <row r="986" spans="1:15" ht="15" customHeight="1">
      <c r="A986" s="2360" t="str">
        <f>$K$2</f>
        <v>THÁNG 04/2025</v>
      </c>
      <c r="B986" s="2360"/>
      <c r="C986" s="2360"/>
      <c r="D986" s="2360"/>
      <c r="E986" s="903"/>
      <c r="F986" s="904"/>
      <c r="G986" s="2360" t="str">
        <f>$K$2</f>
        <v>THÁNG 04/2025</v>
      </c>
      <c r="H986" s="2360"/>
      <c r="I986" s="2360"/>
      <c r="J986" s="2360"/>
      <c r="K986" s="276"/>
    </row>
    <row r="987" spans="1:15" ht="15" customHeight="1">
      <c r="A987" s="905" t="s">
        <v>356</v>
      </c>
      <c r="B987" s="642" t="s">
        <v>35</v>
      </c>
      <c r="C987" s="546"/>
      <c r="D987" s="902"/>
      <c r="E987" s="906"/>
      <c r="F987" s="907"/>
      <c r="G987" s="905" t="s">
        <v>356</v>
      </c>
      <c r="H987" s="642" t="s">
        <v>1336</v>
      </c>
      <c r="I987" s="546"/>
      <c r="J987" s="902"/>
      <c r="L987" s="938"/>
      <c r="M987" s="938"/>
      <c r="N987" s="938"/>
      <c r="O987" s="938"/>
    </row>
    <row r="988" spans="1:15" ht="15" customHeight="1">
      <c r="A988" s="908" t="s">
        <v>359</v>
      </c>
      <c r="B988" s="909" t="s">
        <v>2090</v>
      </c>
      <c r="C988" s="910" t="e">
        <f>VLOOKUP(B987,'LƯƠNG KT'!$D$16:$Z$184,4,0)</f>
        <v>#N/A</v>
      </c>
      <c r="D988" s="609" t="e">
        <f>+C988*25000</f>
        <v>#N/A</v>
      </c>
      <c r="E988" s="911"/>
      <c r="F988" s="911"/>
      <c r="G988" s="908" t="s">
        <v>359</v>
      </c>
      <c r="H988" s="909" t="s">
        <v>2090</v>
      </c>
      <c r="I988" s="910" t="e">
        <f>VLOOKUP(H987,'LƯƠNG KT'!$D$16:$Z$184,4,0)</f>
        <v>#N/A</v>
      </c>
      <c r="J988" s="609" t="e">
        <f>+I988*25000</f>
        <v>#N/A</v>
      </c>
      <c r="K988" s="934"/>
      <c r="L988" s="935"/>
      <c r="M988" s="935"/>
      <c r="N988" s="935"/>
      <c r="O988" s="935"/>
    </row>
    <row r="989" spans="1:15" ht="15" customHeight="1">
      <c r="A989" s="908" t="s">
        <v>361</v>
      </c>
      <c r="B989" s="909" t="s">
        <v>2091</v>
      </c>
      <c r="C989" s="910" t="e">
        <f>VLOOKUP(B987,'LƯƠNG KT'!$D$16:$Z$184,15,0)</f>
        <v>#N/A</v>
      </c>
      <c r="D989" s="609" t="e">
        <f>C989*$L$4</f>
        <v>#N/A</v>
      </c>
      <c r="E989" s="912"/>
      <c r="F989" s="912"/>
      <c r="G989" s="908" t="s">
        <v>361</v>
      </c>
      <c r="H989" s="909" t="s">
        <v>2091</v>
      </c>
      <c r="I989" s="910" t="e">
        <f>VLOOKUP(H987,'LƯƠNG KT'!$D$16:$Z$184,15,0)</f>
        <v>#N/A</v>
      </c>
      <c r="J989" s="609" t="e">
        <f>I989*$L$4</f>
        <v>#N/A</v>
      </c>
      <c r="K989" s="934"/>
      <c r="L989" s="935"/>
      <c r="M989" s="935"/>
      <c r="N989" s="935"/>
      <c r="O989" s="935"/>
    </row>
    <row r="990" spans="1:15" ht="15" customHeight="1">
      <c r="A990" s="908" t="s">
        <v>364</v>
      </c>
      <c r="B990" s="909" t="s">
        <v>2092</v>
      </c>
      <c r="C990" s="910" t="e">
        <f>VLOOKUP(B987,'LƯƠNG KT'!$D$16:$Z$184,16,0)</f>
        <v>#N/A</v>
      </c>
      <c r="D990" s="609" t="e">
        <f>C990*$L$5</f>
        <v>#N/A</v>
      </c>
      <c r="E990" s="912"/>
      <c r="F990" s="912"/>
      <c r="G990" s="908" t="s">
        <v>364</v>
      </c>
      <c r="H990" s="909" t="s">
        <v>2092</v>
      </c>
      <c r="I990" s="910" t="e">
        <f>VLOOKUP(H987,'LƯƠNG KT'!$D$16:$Z$184,16,0)</f>
        <v>#N/A</v>
      </c>
      <c r="J990" s="609" t="e">
        <f>I990*$L$5</f>
        <v>#N/A</v>
      </c>
      <c r="K990" s="934"/>
      <c r="L990" s="935"/>
      <c r="M990" s="935"/>
      <c r="N990" s="935"/>
      <c r="O990" s="935"/>
    </row>
    <row r="991" spans="1:15" ht="15" customHeight="1">
      <c r="A991" s="908" t="s">
        <v>370</v>
      </c>
      <c r="B991" s="909" t="s">
        <v>2093</v>
      </c>
      <c r="C991" s="910" t="e">
        <f>VLOOKUP(B987,'LƯƠNG KT'!$D$16:$Z$184,24,0)</f>
        <v>#N/A</v>
      </c>
      <c r="D991" s="609" t="e">
        <f>+C991*$L$6</f>
        <v>#N/A</v>
      </c>
      <c r="E991" s="912"/>
      <c r="F991" s="912"/>
      <c r="G991" s="908" t="s">
        <v>370</v>
      </c>
      <c r="H991" s="909" t="s">
        <v>2093</v>
      </c>
      <c r="I991" s="910" t="e">
        <f>VLOOKUP(H987,'LƯƠNG KT'!$D$16:$Z$184,24,0)</f>
        <v>#N/A</v>
      </c>
      <c r="J991" s="609" t="e">
        <f>+I991*$L$6</f>
        <v>#N/A</v>
      </c>
      <c r="K991" s="935"/>
      <c r="L991" s="935"/>
      <c r="M991" s="935"/>
      <c r="N991" s="935"/>
      <c r="O991" s="935"/>
    </row>
    <row r="992" spans="1:15" ht="15" customHeight="1">
      <c r="A992" s="908" t="s">
        <v>2094</v>
      </c>
      <c r="B992" s="909" t="s">
        <v>2095</v>
      </c>
      <c r="C992" s="910" t="e">
        <f>VLOOKUP(B987,'LƯƠNG KT'!$D$16:$Z$184,19,0)</f>
        <v>#N/A</v>
      </c>
      <c r="D992" s="609" t="e">
        <f>+C992*$L$8</f>
        <v>#N/A</v>
      </c>
      <c r="E992" s="912"/>
      <c r="F992" s="912"/>
      <c r="G992" s="908" t="s">
        <v>2094</v>
      </c>
      <c r="H992" s="909" t="s">
        <v>2095</v>
      </c>
      <c r="I992" s="910" t="e">
        <f>VLOOKUP(H987,'LƯƠNG KT'!$D$16:$Z$184,19,0)</f>
        <v>#N/A</v>
      </c>
      <c r="J992" s="609" t="e">
        <f>+I992*$L$8</f>
        <v>#N/A</v>
      </c>
      <c r="K992" s="935"/>
      <c r="L992" s="935"/>
      <c r="M992" s="935"/>
      <c r="N992" s="935"/>
      <c r="O992" s="935"/>
    </row>
    <row r="993" spans="1:15" ht="15" customHeight="1">
      <c r="A993" s="908" t="s">
        <v>2096</v>
      </c>
      <c r="B993" s="913" t="s">
        <v>2097</v>
      </c>
      <c r="C993" s="910" t="e">
        <f>VLOOKUP(B987,'LƯƠNG KT'!$D$16:$Z$184,20,0)</f>
        <v>#N/A</v>
      </c>
      <c r="D993" s="609" t="e">
        <f>+C993*$L$9</f>
        <v>#N/A</v>
      </c>
      <c r="E993" s="912"/>
      <c r="F993" s="912"/>
      <c r="G993" s="908" t="s">
        <v>2096</v>
      </c>
      <c r="H993" s="913" t="s">
        <v>2097</v>
      </c>
      <c r="I993" s="910" t="e">
        <f>VLOOKUP(H987,'LƯƠNG KT'!$D$16:$Z$184,20,0)</f>
        <v>#N/A</v>
      </c>
      <c r="J993" s="609" t="e">
        <f>+I993*$L$9</f>
        <v>#N/A</v>
      </c>
      <c r="K993" s="935"/>
      <c r="L993" s="935"/>
      <c r="M993" s="935"/>
      <c r="N993" s="935"/>
      <c r="O993" s="935"/>
    </row>
    <row r="994" spans="1:15" ht="15" customHeight="1">
      <c r="A994" s="908" t="s">
        <v>2099</v>
      </c>
      <c r="B994" s="909" t="s">
        <v>2100</v>
      </c>
      <c r="C994" s="910" t="e">
        <f>VLOOKUP(B987,'LƯƠNG KT'!$D$16:$Z$184,17,0)</f>
        <v>#N/A</v>
      </c>
      <c r="D994" s="609" t="e">
        <f>+C994*$L$10</f>
        <v>#N/A</v>
      </c>
      <c r="E994" s="912"/>
      <c r="F994" s="912"/>
      <c r="G994" s="908" t="s">
        <v>2099</v>
      </c>
      <c r="H994" s="909" t="s">
        <v>2100</v>
      </c>
      <c r="I994" s="910" t="e">
        <f>VLOOKUP(H987,'LƯƠNG KT'!$D$16:$Z$184,17,0)</f>
        <v>#N/A</v>
      </c>
      <c r="J994" s="609" t="e">
        <f>+I994*$L$10</f>
        <v>#N/A</v>
      </c>
      <c r="K994" s="935"/>
      <c r="L994" s="935"/>
      <c r="M994" s="935"/>
      <c r="N994" s="935"/>
      <c r="O994" s="935"/>
    </row>
    <row r="995" spans="1:15" ht="15" customHeight="1">
      <c r="A995" s="908" t="s">
        <v>374</v>
      </c>
      <c r="B995" s="909" t="s">
        <v>2102</v>
      </c>
      <c r="C995" s="910" t="e">
        <f>VLOOKUP(B987,'LƯƠNG KT'!$D$16:$Z$184,12,0)</f>
        <v>#N/A</v>
      </c>
      <c r="D995" s="609" t="e">
        <f>VLOOKUP(B987,'LƯƠNG KT'!$D$16:$Z$184,14,0)</f>
        <v>#N/A</v>
      </c>
      <c r="E995" s="914"/>
      <c r="F995" s="912"/>
      <c r="G995" s="908" t="s">
        <v>374</v>
      </c>
      <c r="H995" s="909" t="s">
        <v>2102</v>
      </c>
      <c r="I995" s="910" t="e">
        <f>VLOOKUP(H987,'LƯƠNG KT'!$D$16:$Z$184,12,0)</f>
        <v>#N/A</v>
      </c>
      <c r="J995" s="609" t="e">
        <f>VLOOKUP(H987,'LƯƠNG KT'!$D$16:$Z$184,14,0)</f>
        <v>#N/A</v>
      </c>
      <c r="K995" s="935"/>
      <c r="L995" s="935"/>
      <c r="M995" s="935"/>
      <c r="N995" s="935"/>
      <c r="O995" s="935"/>
    </row>
    <row r="996" spans="1:15" ht="15" customHeight="1">
      <c r="A996" s="908" t="s">
        <v>2103</v>
      </c>
      <c r="B996" s="909" t="s">
        <v>2104</v>
      </c>
      <c r="D996" s="915" t="e">
        <f>VLOOKUP(B987,'LƯƠNG KT'!$D$16:$Z$184,13,0)</f>
        <v>#N/A</v>
      </c>
      <c r="E996" s="916"/>
      <c r="F996" s="916"/>
      <c r="G996" s="908" t="s">
        <v>2103</v>
      </c>
      <c r="H996" s="909" t="s">
        <v>2104</v>
      </c>
      <c r="J996" s="915" t="e">
        <f>VLOOKUP(H987,'LƯƠNG KT'!$D$16:$Z$184,13,0)</f>
        <v>#N/A</v>
      </c>
    </row>
    <row r="997" spans="1:15" ht="15" customHeight="1">
      <c r="A997" s="547"/>
      <c r="B997" s="546"/>
      <c r="C997" s="910"/>
      <c r="D997" s="609"/>
      <c r="E997" s="914"/>
      <c r="F997" s="916"/>
      <c r="G997" s="547"/>
      <c r="H997" s="546"/>
      <c r="I997" s="910"/>
      <c r="J997" s="609"/>
    </row>
    <row r="998" spans="1:15" ht="15" customHeight="1">
      <c r="A998" s="905"/>
      <c r="B998" s="546"/>
      <c r="C998" s="910"/>
      <c r="D998" s="609"/>
      <c r="E998" s="917"/>
      <c r="F998" s="904"/>
      <c r="G998" s="905"/>
      <c r="H998" s="546"/>
      <c r="I998" s="910"/>
      <c r="J998" s="609"/>
    </row>
    <row r="999" spans="1:15" ht="15" customHeight="1">
      <c r="A999" s="918" t="s">
        <v>383</v>
      </c>
      <c r="B999" s="919" t="s">
        <v>384</v>
      </c>
      <c r="C999" s="920"/>
      <c r="D999" s="921" t="e">
        <f>SUM(D988:D995)-D998</f>
        <v>#N/A</v>
      </c>
      <c r="E999" s="922"/>
      <c r="F999" s="923"/>
      <c r="G999" s="918" t="s">
        <v>383</v>
      </c>
      <c r="H999" s="919" t="s">
        <v>384</v>
      </c>
      <c r="I999" s="920"/>
      <c r="J999" s="921" t="e">
        <f>SUM(J988:J995)-J998</f>
        <v>#N/A</v>
      </c>
    </row>
    <row r="1000" spans="1:15" ht="19.5" customHeight="1">
      <c r="A1000" s="924"/>
      <c r="B1000" s="925"/>
      <c r="C1000" s="926"/>
      <c r="D1000" s="927"/>
      <c r="E1000" s="927"/>
      <c r="F1000" s="928"/>
      <c r="G1000" s="924"/>
      <c r="H1000" s="925"/>
      <c r="I1000" s="926"/>
      <c r="J1000" s="927"/>
    </row>
    <row r="1001" spans="1:15" ht="19.5" customHeight="1">
      <c r="A1001" s="925"/>
      <c r="B1001" s="925"/>
      <c r="C1001" s="929"/>
      <c r="D1001" s="930"/>
      <c r="E1001" s="925"/>
      <c r="F1001" s="931"/>
      <c r="G1001" s="925"/>
      <c r="H1001" s="925"/>
      <c r="I1001" s="929"/>
      <c r="J1001" s="930"/>
    </row>
    <row r="1002" spans="1:15" ht="15" customHeight="1">
      <c r="A1002" s="2360" t="str">
        <f>$K$2</f>
        <v>THÁNG 04/2025</v>
      </c>
      <c r="B1002" s="2360"/>
      <c r="C1002" s="2360"/>
      <c r="D1002" s="2360"/>
      <c r="E1002" s="903"/>
      <c r="F1002" s="904"/>
      <c r="G1002" s="2360" t="str">
        <f>$K$2</f>
        <v>THÁNG 04/2025</v>
      </c>
      <c r="H1002" s="2360"/>
      <c r="I1002" s="2360"/>
      <c r="J1002" s="2360"/>
      <c r="K1002" s="276"/>
    </row>
    <row r="1003" spans="1:15" ht="15" customHeight="1">
      <c r="A1003" s="905" t="s">
        <v>356</v>
      </c>
      <c r="B1003" s="642" t="s">
        <v>85</v>
      </c>
      <c r="C1003" s="546"/>
      <c r="D1003" s="902"/>
      <c r="E1003" s="906"/>
      <c r="F1003" s="907"/>
      <c r="G1003" s="905" t="s">
        <v>356</v>
      </c>
      <c r="H1003" s="642" t="s">
        <v>556</v>
      </c>
      <c r="I1003" s="546"/>
      <c r="J1003" s="902"/>
      <c r="L1003" s="938"/>
      <c r="M1003" s="938"/>
      <c r="N1003" s="938"/>
      <c r="O1003" s="938"/>
    </row>
    <row r="1004" spans="1:15" ht="15" customHeight="1">
      <c r="A1004" s="908" t="s">
        <v>359</v>
      </c>
      <c r="B1004" s="909" t="s">
        <v>2090</v>
      </c>
      <c r="C1004" s="910" t="e">
        <f>VLOOKUP(B1003,'LƯƠNG KT'!$D$16:$Z$184,4,0)</f>
        <v>#N/A</v>
      </c>
      <c r="D1004" s="609" t="e">
        <f>+C1004*25000</f>
        <v>#N/A</v>
      </c>
      <c r="E1004" s="911"/>
      <c r="F1004" s="911"/>
      <c r="G1004" s="908" t="s">
        <v>359</v>
      </c>
      <c r="H1004" s="909" t="s">
        <v>2090</v>
      </c>
      <c r="I1004" s="910" t="e">
        <f>VLOOKUP(H1003,'LƯƠNG KT'!$D$16:$Z$184,4,0)</f>
        <v>#N/A</v>
      </c>
      <c r="J1004" s="609" t="e">
        <f>+I1004*25000</f>
        <v>#N/A</v>
      </c>
      <c r="K1004" s="935"/>
      <c r="L1004" s="935"/>
      <c r="M1004" s="935"/>
      <c r="N1004" s="935"/>
      <c r="O1004" s="935"/>
    </row>
    <row r="1005" spans="1:15" ht="15" customHeight="1">
      <c r="A1005" s="908" t="s">
        <v>361</v>
      </c>
      <c r="B1005" s="909" t="s">
        <v>2091</v>
      </c>
      <c r="C1005" s="910" t="e">
        <f>VLOOKUP(B1003,'LƯƠNG KT'!$D$16:$Z$184,15,0)</f>
        <v>#N/A</v>
      </c>
      <c r="D1005" s="609" t="e">
        <f>C1005*$L$4</f>
        <v>#N/A</v>
      </c>
      <c r="E1005" s="912"/>
      <c r="F1005" s="912"/>
      <c r="G1005" s="908" t="s">
        <v>361</v>
      </c>
      <c r="H1005" s="909" t="s">
        <v>2091</v>
      </c>
      <c r="I1005" s="910" t="e">
        <f>VLOOKUP(H1003,'LƯƠNG KT'!$D$16:$Z$184,15,0)</f>
        <v>#N/A</v>
      </c>
      <c r="J1005" s="609" t="e">
        <f>I1005*$L$4</f>
        <v>#N/A</v>
      </c>
      <c r="K1005" s="935"/>
      <c r="L1005" s="935"/>
      <c r="M1005" s="935"/>
      <c r="N1005" s="935"/>
      <c r="O1005" s="935"/>
    </row>
    <row r="1006" spans="1:15" ht="15" customHeight="1">
      <c r="A1006" s="908" t="s">
        <v>364</v>
      </c>
      <c r="B1006" s="909" t="s">
        <v>2092</v>
      </c>
      <c r="C1006" s="910" t="e">
        <f>VLOOKUP(B1003,'LƯƠNG KT'!$D$16:$Z$184,16,0)</f>
        <v>#N/A</v>
      </c>
      <c r="D1006" s="609" t="e">
        <f>C1006*$L$5</f>
        <v>#N/A</v>
      </c>
      <c r="E1006" s="912"/>
      <c r="F1006" s="912"/>
      <c r="G1006" s="908" t="s">
        <v>364</v>
      </c>
      <c r="H1006" s="909" t="s">
        <v>2092</v>
      </c>
      <c r="I1006" s="910" t="e">
        <f>VLOOKUP(H1003,'LƯƠNG KT'!$D$16:$Z$184,16,0)</f>
        <v>#N/A</v>
      </c>
      <c r="J1006" s="609" t="e">
        <f>I1006*$L$5</f>
        <v>#N/A</v>
      </c>
      <c r="K1006" s="935"/>
      <c r="L1006" s="935"/>
      <c r="M1006" s="935"/>
      <c r="N1006" s="935"/>
      <c r="O1006" s="935"/>
    </row>
    <row r="1007" spans="1:15" ht="15" customHeight="1">
      <c r="A1007" s="908" t="s">
        <v>370</v>
      </c>
      <c r="B1007" s="909" t="s">
        <v>2093</v>
      </c>
      <c r="C1007" s="910" t="e">
        <f>VLOOKUP(B1003,'LƯƠNG KT'!$D$16:$Z$184,24,0)</f>
        <v>#N/A</v>
      </c>
      <c r="D1007" s="609" t="e">
        <f>+C1007*$L$6</f>
        <v>#N/A</v>
      </c>
      <c r="E1007" s="912"/>
      <c r="F1007" s="912"/>
      <c r="G1007" s="908" t="s">
        <v>370</v>
      </c>
      <c r="H1007" s="909" t="s">
        <v>2093</v>
      </c>
      <c r="I1007" s="910" t="e">
        <f>VLOOKUP(H1003,'LƯƠNG KT'!$D$16:$Z$184,24,0)</f>
        <v>#N/A</v>
      </c>
      <c r="J1007" s="609" t="e">
        <f>+I1007*$L$6</f>
        <v>#N/A</v>
      </c>
      <c r="K1007" s="935"/>
      <c r="L1007" s="935"/>
      <c r="M1007" s="935"/>
      <c r="N1007" s="935"/>
      <c r="O1007" s="935"/>
    </row>
    <row r="1008" spans="1:15" ht="15" customHeight="1">
      <c r="A1008" s="908" t="s">
        <v>2094</v>
      </c>
      <c r="B1008" s="909" t="s">
        <v>2095</v>
      </c>
      <c r="C1008" s="910" t="e">
        <f>VLOOKUP(B1003,'LƯƠNG KT'!$D$16:$Z$184,19,0)</f>
        <v>#N/A</v>
      </c>
      <c r="D1008" s="609" t="e">
        <f>+C1008*$L$8</f>
        <v>#N/A</v>
      </c>
      <c r="E1008" s="912"/>
      <c r="F1008" s="912"/>
      <c r="G1008" s="908" t="s">
        <v>2094</v>
      </c>
      <c r="H1008" s="909" t="s">
        <v>2095</v>
      </c>
      <c r="I1008" s="910" t="e">
        <f>VLOOKUP(H1003,'LƯƠNG KT'!$D$16:$Z$184,19,0)</f>
        <v>#N/A</v>
      </c>
      <c r="J1008" s="609" t="e">
        <f>+I1008*$L$8</f>
        <v>#N/A</v>
      </c>
      <c r="K1008" s="935"/>
      <c r="L1008" s="935"/>
      <c r="M1008" s="935"/>
      <c r="N1008" s="935"/>
      <c r="O1008" s="935"/>
    </row>
    <row r="1009" spans="1:15" ht="15" customHeight="1">
      <c r="A1009" s="908" t="s">
        <v>2096</v>
      </c>
      <c r="B1009" s="913" t="s">
        <v>2097</v>
      </c>
      <c r="C1009" s="910" t="e">
        <f>VLOOKUP(B1003,'LƯƠNG KT'!$D$16:$Z$184,20,0)</f>
        <v>#N/A</v>
      </c>
      <c r="D1009" s="609" t="e">
        <f>+C1009*$L$9</f>
        <v>#N/A</v>
      </c>
      <c r="E1009" s="912"/>
      <c r="F1009" s="912"/>
      <c r="G1009" s="908" t="s">
        <v>2096</v>
      </c>
      <c r="H1009" s="913" t="s">
        <v>2097</v>
      </c>
      <c r="I1009" s="910" t="e">
        <f>VLOOKUP(H1003,'LƯƠNG KT'!$D$16:$Z$184,20,0)</f>
        <v>#N/A</v>
      </c>
      <c r="J1009" s="609" t="e">
        <f>+I1009*$L$9</f>
        <v>#N/A</v>
      </c>
      <c r="K1009" s="935"/>
      <c r="L1009" s="935"/>
      <c r="M1009" s="935"/>
      <c r="N1009" s="935"/>
      <c r="O1009" s="935"/>
    </row>
    <row r="1010" spans="1:15" ht="15" customHeight="1">
      <c r="A1010" s="908" t="s">
        <v>2099</v>
      </c>
      <c r="B1010" s="909" t="s">
        <v>2100</v>
      </c>
      <c r="C1010" s="910" t="e">
        <f>VLOOKUP(B1003,'LƯƠNG KT'!$D$16:$Z$184,17,0)</f>
        <v>#N/A</v>
      </c>
      <c r="D1010" s="609" t="e">
        <f>+C1010*$L$10</f>
        <v>#N/A</v>
      </c>
      <c r="E1010" s="912"/>
      <c r="F1010" s="912"/>
      <c r="G1010" s="908" t="s">
        <v>2099</v>
      </c>
      <c r="H1010" s="909" t="s">
        <v>2100</v>
      </c>
      <c r="I1010" s="910" t="e">
        <f>VLOOKUP(H1003,'LƯƠNG KT'!$D$16:$Z$184,17,0)</f>
        <v>#N/A</v>
      </c>
      <c r="J1010" s="609" t="e">
        <f>+I1010*$L$10</f>
        <v>#N/A</v>
      </c>
      <c r="K1010" s="935"/>
      <c r="L1010" s="935"/>
      <c r="M1010" s="935"/>
      <c r="N1010" s="935"/>
      <c r="O1010" s="935"/>
    </row>
    <row r="1011" spans="1:15" ht="15" customHeight="1">
      <c r="A1011" s="908" t="s">
        <v>374</v>
      </c>
      <c r="B1011" s="909" t="s">
        <v>2102</v>
      </c>
      <c r="C1011" s="910" t="e">
        <f>VLOOKUP(B1003,'LƯƠNG KT'!$D$16:$Z$184,12,0)</f>
        <v>#N/A</v>
      </c>
      <c r="D1011" s="609" t="e">
        <f>VLOOKUP(B1003,'LƯƠNG KT'!$D$16:$Z$184,14,0)</f>
        <v>#N/A</v>
      </c>
      <c r="E1011" s="914"/>
      <c r="F1011" s="912"/>
      <c r="G1011" s="908" t="s">
        <v>374</v>
      </c>
      <c r="H1011" s="909" t="s">
        <v>2102</v>
      </c>
      <c r="I1011" s="910" t="e">
        <f>VLOOKUP(H1003,'LƯƠNG KT'!$D$16:$Z$184,12,0)</f>
        <v>#N/A</v>
      </c>
      <c r="J1011" s="609" t="e">
        <f>VLOOKUP(H1003,'LƯƠNG KT'!$D$16:$Z$184,14,0)</f>
        <v>#N/A</v>
      </c>
      <c r="K1011" s="935"/>
      <c r="L1011" s="935"/>
      <c r="M1011" s="935"/>
      <c r="N1011" s="935"/>
      <c r="O1011" s="935"/>
    </row>
    <row r="1012" spans="1:15" ht="15" customHeight="1">
      <c r="A1012" s="908" t="s">
        <v>2103</v>
      </c>
      <c r="B1012" s="909" t="s">
        <v>2104</v>
      </c>
      <c r="D1012" s="915" t="e">
        <f>VLOOKUP(B1003,'LƯƠNG KT'!$D$16:$Z$184,13,0)</f>
        <v>#N/A</v>
      </c>
      <c r="E1012" s="916"/>
      <c r="F1012" s="916"/>
      <c r="G1012" s="908" t="s">
        <v>2103</v>
      </c>
      <c r="H1012" s="909" t="s">
        <v>2104</v>
      </c>
      <c r="J1012" s="915" t="e">
        <f>VLOOKUP(H1003,'LƯƠNG KT'!$D$16:$Z$184,13,0)</f>
        <v>#N/A</v>
      </c>
    </row>
    <row r="1013" spans="1:15" ht="15" customHeight="1">
      <c r="A1013" s="547"/>
      <c r="B1013" s="546"/>
      <c r="C1013" s="910"/>
      <c r="D1013" s="609"/>
      <c r="E1013" s="914"/>
      <c r="F1013" s="916"/>
      <c r="G1013" s="547"/>
      <c r="H1013" s="546"/>
      <c r="I1013" s="910"/>
      <c r="J1013" s="609"/>
    </row>
    <row r="1014" spans="1:15" ht="15" customHeight="1">
      <c r="A1014" s="905"/>
      <c r="B1014" s="546"/>
      <c r="C1014" s="910"/>
      <c r="D1014" s="609"/>
      <c r="E1014" s="917"/>
      <c r="F1014" s="904"/>
      <c r="G1014" s="905"/>
      <c r="H1014" s="546"/>
      <c r="I1014" s="910"/>
      <c r="J1014" s="609"/>
    </row>
    <row r="1015" spans="1:15" ht="15" customHeight="1">
      <c r="A1015" s="918" t="s">
        <v>383</v>
      </c>
      <c r="B1015" s="919" t="s">
        <v>384</v>
      </c>
      <c r="C1015" s="920"/>
      <c r="D1015" s="921" t="e">
        <f>SUM(D1004:D1011)-D1014</f>
        <v>#N/A</v>
      </c>
      <c r="E1015" s="922"/>
      <c r="F1015" s="923"/>
      <c r="G1015" s="918" t="s">
        <v>383</v>
      </c>
      <c r="H1015" s="919" t="s">
        <v>384</v>
      </c>
      <c r="I1015" s="920"/>
      <c r="J1015" s="921" t="e">
        <f>SUM(J1004:J1011)-J1014</f>
        <v>#N/A</v>
      </c>
    </row>
    <row r="1016" spans="1:15" ht="18.75" customHeight="1">
      <c r="A1016" s="924"/>
      <c r="B1016" s="925"/>
      <c r="C1016" s="926"/>
      <c r="D1016" s="927"/>
      <c r="E1016" s="927"/>
      <c r="F1016" s="928"/>
      <c r="G1016" s="924"/>
      <c r="H1016" s="925"/>
      <c r="I1016" s="926"/>
      <c r="J1016" s="927"/>
    </row>
    <row r="1017" spans="1:15" ht="139.5" customHeight="1">
      <c r="A1017" s="925"/>
      <c r="B1017" s="925"/>
      <c r="C1017" s="929"/>
      <c r="D1017" s="930"/>
      <c r="E1017" s="925"/>
      <c r="F1017" s="931"/>
      <c r="G1017" s="925"/>
      <c r="H1017" s="925"/>
      <c r="I1017" s="929"/>
      <c r="J1017" s="930"/>
    </row>
    <row r="1018" spans="1:15" ht="15" customHeight="1">
      <c r="A1018" s="2360" t="str">
        <f>$K$2</f>
        <v>THÁNG 04/2025</v>
      </c>
      <c r="B1018" s="2360"/>
      <c r="C1018" s="2360"/>
      <c r="D1018" s="2360"/>
      <c r="E1018" s="903"/>
      <c r="F1018" s="904"/>
      <c r="G1018" s="2360" t="str">
        <f>$K$2</f>
        <v>THÁNG 04/2025</v>
      </c>
      <c r="H1018" s="2360"/>
      <c r="I1018" s="2360"/>
      <c r="J1018" s="2360"/>
      <c r="K1018" s="276"/>
    </row>
    <row r="1019" spans="1:15" ht="15" customHeight="1">
      <c r="A1019" s="905" t="s">
        <v>356</v>
      </c>
      <c r="B1019" s="642" t="s">
        <v>1994</v>
      </c>
      <c r="C1019" s="546"/>
      <c r="D1019" s="902"/>
      <c r="E1019" s="906"/>
      <c r="F1019" s="907"/>
      <c r="G1019" s="905" t="s">
        <v>356</v>
      </c>
      <c r="H1019" s="642" t="s">
        <v>59</v>
      </c>
      <c r="I1019" s="546"/>
      <c r="J1019" s="902"/>
      <c r="L1019" s="938"/>
      <c r="M1019" s="938"/>
      <c r="N1019" s="938"/>
      <c r="O1019" s="938"/>
    </row>
    <row r="1020" spans="1:15" ht="15" customHeight="1">
      <c r="A1020" s="908" t="s">
        <v>359</v>
      </c>
      <c r="B1020" s="909" t="s">
        <v>2090</v>
      </c>
      <c r="C1020" s="910" t="e">
        <f>VLOOKUP(B1019,'LƯƠNG KT'!$D$16:$Z$184,4,0)</f>
        <v>#N/A</v>
      </c>
      <c r="D1020" s="609" t="e">
        <f>+C1020*25000</f>
        <v>#N/A</v>
      </c>
      <c r="E1020" s="911"/>
      <c r="F1020" s="911"/>
      <c r="G1020" s="908" t="s">
        <v>359</v>
      </c>
      <c r="H1020" s="909" t="s">
        <v>2090</v>
      </c>
      <c r="I1020" s="910" t="e">
        <f>VLOOKUP(H1019,'LƯƠNG KT'!$D$16:$Z$184,4,0)</f>
        <v>#N/A</v>
      </c>
      <c r="J1020" s="609" t="e">
        <f>+I1020*25000</f>
        <v>#N/A</v>
      </c>
      <c r="K1020" s="935"/>
      <c r="L1020" s="935"/>
      <c r="M1020" s="935"/>
      <c r="N1020" s="935"/>
      <c r="O1020" s="935"/>
    </row>
    <row r="1021" spans="1:15" ht="15" customHeight="1">
      <c r="A1021" s="908" t="s">
        <v>361</v>
      </c>
      <c r="B1021" s="909" t="s">
        <v>2091</v>
      </c>
      <c r="C1021" s="910" t="e">
        <f>VLOOKUP(B1019,'LƯƠNG KT'!$D$16:$Z$184,15,0)</f>
        <v>#N/A</v>
      </c>
      <c r="D1021" s="609" t="e">
        <f>C1021*$L$4</f>
        <v>#N/A</v>
      </c>
      <c r="E1021" s="912"/>
      <c r="F1021" s="912"/>
      <c r="G1021" s="908" t="s">
        <v>361</v>
      </c>
      <c r="H1021" s="909" t="s">
        <v>2091</v>
      </c>
      <c r="I1021" s="910" t="e">
        <f>VLOOKUP(H1019,'LƯƠNG KT'!$D$16:$Z$184,15,0)</f>
        <v>#N/A</v>
      </c>
      <c r="J1021" s="609" t="e">
        <f>I1021*$L$4</f>
        <v>#N/A</v>
      </c>
      <c r="K1021" s="935"/>
      <c r="L1021" s="935"/>
      <c r="M1021" s="935"/>
      <c r="N1021" s="935"/>
      <c r="O1021" s="935"/>
    </row>
    <row r="1022" spans="1:15" ht="15" customHeight="1">
      <c r="A1022" s="908" t="s">
        <v>364</v>
      </c>
      <c r="B1022" s="909" t="s">
        <v>2092</v>
      </c>
      <c r="C1022" s="910" t="e">
        <f>VLOOKUP(B1019,'LƯƠNG KT'!$D$16:$Z$184,16,0)</f>
        <v>#N/A</v>
      </c>
      <c r="D1022" s="609" t="e">
        <f>C1022*$L$5</f>
        <v>#N/A</v>
      </c>
      <c r="E1022" s="912"/>
      <c r="F1022" s="912"/>
      <c r="G1022" s="908" t="s">
        <v>364</v>
      </c>
      <c r="H1022" s="909" t="s">
        <v>2092</v>
      </c>
      <c r="I1022" s="910" t="e">
        <f>VLOOKUP(H1019,'LƯƠNG KT'!$D$16:$Z$184,16,0)</f>
        <v>#N/A</v>
      </c>
      <c r="J1022" s="609" t="e">
        <f>I1022*$L$5</f>
        <v>#N/A</v>
      </c>
      <c r="K1022" s="935"/>
      <c r="L1022" s="935"/>
      <c r="M1022" s="935"/>
      <c r="N1022" s="935"/>
      <c r="O1022" s="935"/>
    </row>
    <row r="1023" spans="1:15" ht="15" customHeight="1">
      <c r="A1023" s="908" t="s">
        <v>370</v>
      </c>
      <c r="B1023" s="909" t="s">
        <v>2093</v>
      </c>
      <c r="C1023" s="910" t="e">
        <f>VLOOKUP(B1019,'LƯƠNG KT'!$D$16:$Z$184,24,0)</f>
        <v>#N/A</v>
      </c>
      <c r="D1023" s="609" t="e">
        <f>+C1023*$L$6</f>
        <v>#N/A</v>
      </c>
      <c r="E1023" s="912"/>
      <c r="F1023" s="912"/>
      <c r="G1023" s="908" t="s">
        <v>370</v>
      </c>
      <c r="H1023" s="909" t="s">
        <v>2093</v>
      </c>
      <c r="I1023" s="910" t="e">
        <f>VLOOKUP(H1019,'LƯƠNG KT'!$D$16:$Z$184,24,0)</f>
        <v>#N/A</v>
      </c>
      <c r="J1023" s="609" t="e">
        <f>+I1023*$L$6</f>
        <v>#N/A</v>
      </c>
      <c r="K1023" s="935"/>
      <c r="L1023" s="935"/>
      <c r="M1023" s="935"/>
      <c r="N1023" s="935"/>
      <c r="O1023" s="935"/>
    </row>
    <row r="1024" spans="1:15" ht="15" customHeight="1">
      <c r="A1024" s="908" t="s">
        <v>2094</v>
      </c>
      <c r="B1024" s="909" t="s">
        <v>2095</v>
      </c>
      <c r="C1024" s="910" t="e">
        <f>VLOOKUP(B1019,'LƯƠNG KT'!$D$16:$Z$184,19,0)</f>
        <v>#N/A</v>
      </c>
      <c r="D1024" s="609" t="e">
        <f>+C1024*$L$8</f>
        <v>#N/A</v>
      </c>
      <c r="E1024" s="912"/>
      <c r="F1024" s="912"/>
      <c r="G1024" s="908" t="s">
        <v>2094</v>
      </c>
      <c r="H1024" s="909" t="s">
        <v>2095</v>
      </c>
      <c r="I1024" s="910" t="e">
        <f>VLOOKUP(H1019,'LƯƠNG KT'!$D$16:$Z$184,19,0)</f>
        <v>#N/A</v>
      </c>
      <c r="J1024" s="609" t="e">
        <f>+I1024*$L$8</f>
        <v>#N/A</v>
      </c>
      <c r="K1024" s="935"/>
      <c r="L1024" s="935"/>
      <c r="M1024" s="935"/>
      <c r="N1024" s="935"/>
      <c r="O1024" s="935"/>
    </row>
    <row r="1025" spans="1:15" ht="15" customHeight="1">
      <c r="A1025" s="908" t="s">
        <v>2096</v>
      </c>
      <c r="B1025" s="913" t="s">
        <v>2097</v>
      </c>
      <c r="C1025" s="910" t="e">
        <f>VLOOKUP(B1019,'LƯƠNG KT'!$D$16:$Z$184,20,0)</f>
        <v>#N/A</v>
      </c>
      <c r="D1025" s="609" t="e">
        <f>+C1025*$L$9</f>
        <v>#N/A</v>
      </c>
      <c r="E1025" s="912"/>
      <c r="F1025" s="912"/>
      <c r="G1025" s="908" t="s">
        <v>2096</v>
      </c>
      <c r="H1025" s="913" t="s">
        <v>2097</v>
      </c>
      <c r="I1025" s="910" t="e">
        <f>VLOOKUP(H1019,'LƯƠNG KT'!$D$16:$Z$184,20,0)</f>
        <v>#N/A</v>
      </c>
      <c r="J1025" s="609" t="e">
        <f>+I1025*$L$9</f>
        <v>#N/A</v>
      </c>
      <c r="K1025" s="935"/>
      <c r="L1025" s="935"/>
      <c r="M1025" s="935"/>
      <c r="N1025" s="935"/>
      <c r="O1025" s="935"/>
    </row>
    <row r="1026" spans="1:15" ht="15" customHeight="1">
      <c r="A1026" s="908" t="s">
        <v>2099</v>
      </c>
      <c r="B1026" s="909" t="s">
        <v>2100</v>
      </c>
      <c r="C1026" s="910" t="e">
        <f>VLOOKUP(B1019,'LƯƠNG KT'!$D$16:$Z$184,17,0)</f>
        <v>#N/A</v>
      </c>
      <c r="D1026" s="609" t="e">
        <f>+C1026*$L$10</f>
        <v>#N/A</v>
      </c>
      <c r="E1026" s="912"/>
      <c r="F1026" s="912"/>
      <c r="G1026" s="908" t="s">
        <v>2099</v>
      </c>
      <c r="H1026" s="909" t="s">
        <v>2100</v>
      </c>
      <c r="I1026" s="910" t="e">
        <f>VLOOKUP(H1019,'LƯƠNG KT'!$D$16:$Z$184,17,0)</f>
        <v>#N/A</v>
      </c>
      <c r="J1026" s="609" t="e">
        <f>+I1026*$L$10</f>
        <v>#N/A</v>
      </c>
      <c r="K1026" s="935"/>
      <c r="L1026" s="935"/>
      <c r="M1026" s="935"/>
      <c r="N1026" s="935"/>
      <c r="O1026" s="935"/>
    </row>
    <row r="1027" spans="1:15" ht="15" customHeight="1">
      <c r="A1027" s="908" t="s">
        <v>374</v>
      </c>
      <c r="B1027" s="909" t="s">
        <v>2102</v>
      </c>
      <c r="C1027" s="910" t="e">
        <f>VLOOKUP(B1019,'LƯƠNG KT'!$D$16:$Z$184,12,0)</f>
        <v>#N/A</v>
      </c>
      <c r="D1027" s="609" t="e">
        <f>VLOOKUP(B1019,'LƯƠNG KT'!$D$16:$Z$184,14,0)</f>
        <v>#N/A</v>
      </c>
      <c r="E1027" s="914"/>
      <c r="F1027" s="912"/>
      <c r="G1027" s="908" t="s">
        <v>374</v>
      </c>
      <c r="H1027" s="909" t="s">
        <v>2102</v>
      </c>
      <c r="I1027" s="910" t="e">
        <f>VLOOKUP(H1019,'LƯƠNG KT'!$D$16:$Z$184,12,0)</f>
        <v>#N/A</v>
      </c>
      <c r="J1027" s="609" t="e">
        <f>VLOOKUP(H1019,'LƯƠNG KT'!$D$16:$Z$184,14,0)</f>
        <v>#N/A</v>
      </c>
      <c r="K1027" s="935"/>
      <c r="L1027" s="935"/>
      <c r="M1027" s="935"/>
      <c r="N1027" s="935"/>
      <c r="O1027" s="935"/>
    </row>
    <row r="1028" spans="1:15" ht="15" customHeight="1">
      <c r="A1028" s="908" t="s">
        <v>2103</v>
      </c>
      <c r="B1028" s="909" t="s">
        <v>2104</v>
      </c>
      <c r="D1028" s="915" t="e">
        <f>VLOOKUP(B1019,'LƯƠNG KT'!$D$16:$Z$184,13,0)</f>
        <v>#N/A</v>
      </c>
      <c r="E1028" s="916"/>
      <c r="F1028" s="916"/>
      <c r="G1028" s="908" t="s">
        <v>2103</v>
      </c>
      <c r="H1028" s="909" t="s">
        <v>2104</v>
      </c>
      <c r="J1028" s="915" t="e">
        <f>VLOOKUP(H1019,'LƯƠNG KT'!$D$16:$Z$184,13,0)</f>
        <v>#N/A</v>
      </c>
    </row>
    <row r="1029" spans="1:15" ht="15" customHeight="1">
      <c r="A1029" s="547"/>
      <c r="B1029" s="546"/>
      <c r="C1029" s="910"/>
      <c r="D1029" s="609"/>
      <c r="E1029" s="914"/>
      <c r="F1029" s="916"/>
      <c r="G1029" s="547"/>
      <c r="H1029" s="546"/>
      <c r="I1029" s="910"/>
      <c r="J1029" s="609"/>
    </row>
    <row r="1030" spans="1:15" ht="15" customHeight="1">
      <c r="A1030" s="905"/>
      <c r="B1030" s="546"/>
      <c r="C1030" s="910"/>
      <c r="D1030" s="609"/>
      <c r="E1030" s="917"/>
      <c r="F1030" s="904"/>
      <c r="G1030" s="905"/>
      <c r="H1030" s="546"/>
      <c r="I1030" s="910"/>
      <c r="J1030" s="609"/>
    </row>
    <row r="1031" spans="1:15" ht="15" customHeight="1">
      <c r="A1031" s="918" t="s">
        <v>383</v>
      </c>
      <c r="B1031" s="919" t="s">
        <v>384</v>
      </c>
      <c r="C1031" s="920"/>
      <c r="D1031" s="921" t="e">
        <f>SUM(D1020:D1027)-D1030</f>
        <v>#N/A</v>
      </c>
      <c r="E1031" s="922"/>
      <c r="F1031" s="923"/>
      <c r="G1031" s="918" t="s">
        <v>383</v>
      </c>
      <c r="H1031" s="919" t="s">
        <v>384</v>
      </c>
      <c r="I1031" s="920"/>
      <c r="J1031" s="921" t="e">
        <f>SUM(J1020:J1027)-J1030</f>
        <v>#N/A</v>
      </c>
    </row>
    <row r="1032" spans="1:15" ht="18.75" customHeight="1">
      <c r="A1032" s="924"/>
      <c r="B1032" s="925"/>
      <c r="C1032" s="926"/>
      <c r="D1032" s="927"/>
      <c r="E1032" s="927"/>
      <c r="F1032" s="928"/>
      <c r="G1032" s="924"/>
      <c r="H1032" s="925"/>
      <c r="I1032" s="926"/>
      <c r="J1032" s="927"/>
    </row>
    <row r="1033" spans="1:15" ht="18.75" customHeight="1">
      <c r="A1033" s="925"/>
      <c r="B1033" s="925"/>
      <c r="C1033" s="929"/>
      <c r="D1033" s="930"/>
      <c r="E1033" s="925"/>
      <c r="F1033" s="931"/>
      <c r="G1033" s="925"/>
      <c r="H1033" s="925"/>
      <c r="I1033" s="929"/>
      <c r="J1033" s="930"/>
    </row>
    <row r="1034" spans="1:15" ht="15" customHeight="1">
      <c r="A1034" s="2360" t="str">
        <f>$K$2</f>
        <v>THÁNG 04/2025</v>
      </c>
      <c r="B1034" s="2360"/>
      <c r="C1034" s="2360"/>
      <c r="D1034" s="2360"/>
      <c r="E1034" s="903"/>
      <c r="F1034" s="904"/>
      <c r="G1034" s="2360" t="str">
        <f>$K$2</f>
        <v>THÁNG 04/2025</v>
      </c>
      <c r="H1034" s="2360"/>
      <c r="I1034" s="2360"/>
      <c r="J1034" s="2360"/>
      <c r="K1034" s="276"/>
    </row>
    <row r="1035" spans="1:15" ht="15" customHeight="1">
      <c r="A1035" s="905" t="s">
        <v>356</v>
      </c>
      <c r="B1035" s="642" t="s">
        <v>436</v>
      </c>
      <c r="C1035" s="546"/>
      <c r="D1035" s="902"/>
      <c r="E1035" s="906"/>
      <c r="F1035" s="907"/>
      <c r="G1035" s="905" t="s">
        <v>356</v>
      </c>
      <c r="H1035" s="642" t="s">
        <v>60</v>
      </c>
      <c r="I1035" s="546"/>
      <c r="J1035" s="902"/>
      <c r="L1035" s="938"/>
      <c r="M1035" s="938"/>
      <c r="N1035" s="938"/>
      <c r="O1035" s="938"/>
    </row>
    <row r="1036" spans="1:15" ht="15" customHeight="1">
      <c r="A1036" s="908" t="s">
        <v>359</v>
      </c>
      <c r="B1036" s="909" t="s">
        <v>2090</v>
      </c>
      <c r="C1036" s="910" t="e">
        <f>VLOOKUP(B1035,'LƯƠNG KT'!$D$16:$Z$184,4,0)</f>
        <v>#N/A</v>
      </c>
      <c r="D1036" s="609" t="e">
        <f>+C1036*25000</f>
        <v>#N/A</v>
      </c>
      <c r="E1036" s="911"/>
      <c r="F1036" s="911"/>
      <c r="G1036" s="908" t="s">
        <v>359</v>
      </c>
      <c r="H1036" s="909" t="s">
        <v>2090</v>
      </c>
      <c r="I1036" s="910" t="e">
        <f>VLOOKUP(H1035,'LƯƠNG KT'!$D$16:$Z$184,4,0)</f>
        <v>#N/A</v>
      </c>
      <c r="J1036" s="609" t="e">
        <f>+I1036*25000</f>
        <v>#N/A</v>
      </c>
      <c r="K1036" s="935"/>
      <c r="L1036" s="935"/>
      <c r="M1036" s="935"/>
      <c r="N1036" s="935"/>
      <c r="O1036" s="935"/>
    </row>
    <row r="1037" spans="1:15" ht="15" customHeight="1">
      <c r="A1037" s="908" t="s">
        <v>361</v>
      </c>
      <c r="B1037" s="909" t="s">
        <v>2091</v>
      </c>
      <c r="C1037" s="910" t="e">
        <f>VLOOKUP(B1035,'LƯƠNG KT'!$D$16:$Z$184,15,0)</f>
        <v>#N/A</v>
      </c>
      <c r="D1037" s="609" t="e">
        <f>C1037*$L$4</f>
        <v>#N/A</v>
      </c>
      <c r="E1037" s="912"/>
      <c r="F1037" s="912"/>
      <c r="G1037" s="908" t="s">
        <v>361</v>
      </c>
      <c r="H1037" s="909" t="s">
        <v>2091</v>
      </c>
      <c r="I1037" s="910" t="e">
        <f>VLOOKUP(H1035,'LƯƠNG KT'!$D$16:$Z$184,15,0)</f>
        <v>#N/A</v>
      </c>
      <c r="J1037" s="609" t="e">
        <f>I1037*$L$4</f>
        <v>#N/A</v>
      </c>
      <c r="K1037" s="935"/>
      <c r="L1037" s="935"/>
      <c r="M1037" s="935"/>
      <c r="N1037" s="935"/>
      <c r="O1037" s="935"/>
    </row>
    <row r="1038" spans="1:15" ht="15" customHeight="1">
      <c r="A1038" s="908" t="s">
        <v>364</v>
      </c>
      <c r="B1038" s="909" t="s">
        <v>2092</v>
      </c>
      <c r="C1038" s="910" t="e">
        <f>VLOOKUP(B1035,'LƯƠNG KT'!$D$16:$Z$184,16,0)</f>
        <v>#N/A</v>
      </c>
      <c r="D1038" s="609" t="e">
        <f>C1038*$L$5</f>
        <v>#N/A</v>
      </c>
      <c r="E1038" s="912"/>
      <c r="F1038" s="912"/>
      <c r="G1038" s="908" t="s">
        <v>364</v>
      </c>
      <c r="H1038" s="909" t="s">
        <v>2092</v>
      </c>
      <c r="I1038" s="910" t="e">
        <f>VLOOKUP(H1035,'LƯƠNG KT'!$D$16:$Z$184,16,0)</f>
        <v>#N/A</v>
      </c>
      <c r="J1038" s="609" t="e">
        <f>I1038*$L$5</f>
        <v>#N/A</v>
      </c>
      <c r="K1038" s="935"/>
      <c r="L1038" s="935"/>
      <c r="M1038" s="935"/>
      <c r="N1038" s="935"/>
      <c r="O1038" s="935"/>
    </row>
    <row r="1039" spans="1:15" ht="15" customHeight="1">
      <c r="A1039" s="908" t="s">
        <v>370</v>
      </c>
      <c r="B1039" s="909" t="s">
        <v>2093</v>
      </c>
      <c r="C1039" s="910" t="e">
        <f>VLOOKUP(B1035,'LƯƠNG KT'!$D$16:$Z$184,24,0)</f>
        <v>#N/A</v>
      </c>
      <c r="D1039" s="609" t="e">
        <f>+C1039*$L$6</f>
        <v>#N/A</v>
      </c>
      <c r="E1039" s="912"/>
      <c r="F1039" s="912"/>
      <c r="G1039" s="908" t="s">
        <v>370</v>
      </c>
      <c r="H1039" s="909" t="s">
        <v>2093</v>
      </c>
      <c r="I1039" s="910" t="e">
        <f>VLOOKUP(H1035,'LƯƠNG KT'!$D$16:$Z$184,24,0)</f>
        <v>#N/A</v>
      </c>
      <c r="J1039" s="609" t="e">
        <f>+I1039*$L$6</f>
        <v>#N/A</v>
      </c>
      <c r="K1039" s="935"/>
      <c r="L1039" s="935"/>
      <c r="M1039" s="935"/>
      <c r="N1039" s="935"/>
      <c r="O1039" s="935"/>
    </row>
    <row r="1040" spans="1:15" ht="15" customHeight="1">
      <c r="A1040" s="908" t="s">
        <v>2094</v>
      </c>
      <c r="B1040" s="909" t="s">
        <v>2095</v>
      </c>
      <c r="C1040" s="910" t="e">
        <f>VLOOKUP(B1035,'LƯƠNG KT'!$D$16:$Z$184,19,0)</f>
        <v>#N/A</v>
      </c>
      <c r="D1040" s="609" t="e">
        <f>+C1040*$L$8</f>
        <v>#N/A</v>
      </c>
      <c r="E1040" s="912"/>
      <c r="F1040" s="912"/>
      <c r="G1040" s="908" t="s">
        <v>2094</v>
      </c>
      <c r="H1040" s="909" t="s">
        <v>2095</v>
      </c>
      <c r="I1040" s="910" t="e">
        <f>VLOOKUP(H1035,'LƯƠNG KT'!$D$16:$Z$184,19,0)</f>
        <v>#N/A</v>
      </c>
      <c r="J1040" s="609" t="e">
        <f>+I1040*$L$8</f>
        <v>#N/A</v>
      </c>
      <c r="K1040" s="935"/>
      <c r="L1040" s="935"/>
      <c r="M1040" s="935"/>
      <c r="N1040" s="935"/>
      <c r="O1040" s="935"/>
    </row>
    <row r="1041" spans="1:15" ht="15" customHeight="1">
      <c r="A1041" s="908" t="s">
        <v>2096</v>
      </c>
      <c r="B1041" s="913" t="s">
        <v>2097</v>
      </c>
      <c r="C1041" s="910" t="e">
        <f>VLOOKUP(B1035,'LƯƠNG KT'!$D$16:$Z$184,20,0)</f>
        <v>#N/A</v>
      </c>
      <c r="D1041" s="609" t="e">
        <f>+C1041*$L$9</f>
        <v>#N/A</v>
      </c>
      <c r="E1041" s="912"/>
      <c r="F1041" s="912"/>
      <c r="G1041" s="908" t="s">
        <v>2096</v>
      </c>
      <c r="H1041" s="913" t="s">
        <v>2097</v>
      </c>
      <c r="I1041" s="910" t="e">
        <f>VLOOKUP(H1035,'LƯƠNG KT'!$D$16:$Z$184,20,0)</f>
        <v>#N/A</v>
      </c>
      <c r="J1041" s="609" t="e">
        <f>+I1041*$L$9</f>
        <v>#N/A</v>
      </c>
      <c r="K1041" s="935"/>
      <c r="L1041" s="935"/>
      <c r="M1041" s="935"/>
      <c r="N1041" s="935"/>
      <c r="O1041" s="935"/>
    </row>
    <row r="1042" spans="1:15" ht="15" customHeight="1">
      <c r="A1042" s="908" t="s">
        <v>2099</v>
      </c>
      <c r="B1042" s="909" t="s">
        <v>2100</v>
      </c>
      <c r="C1042" s="910" t="e">
        <f>VLOOKUP(B1035,'LƯƠNG KT'!$D$16:$Z$184,17,0)</f>
        <v>#N/A</v>
      </c>
      <c r="D1042" s="609" t="e">
        <f>+C1042*$L$10</f>
        <v>#N/A</v>
      </c>
      <c r="E1042" s="912"/>
      <c r="F1042" s="912"/>
      <c r="G1042" s="908" t="s">
        <v>2099</v>
      </c>
      <c r="H1042" s="909" t="s">
        <v>2100</v>
      </c>
      <c r="I1042" s="910" t="e">
        <f>VLOOKUP(H1035,'LƯƠNG KT'!$D$16:$Z$184,17,0)</f>
        <v>#N/A</v>
      </c>
      <c r="J1042" s="609" t="e">
        <f>+I1042*$L$10</f>
        <v>#N/A</v>
      </c>
      <c r="K1042" s="935"/>
      <c r="L1042" s="935"/>
      <c r="M1042" s="935"/>
      <c r="N1042" s="935"/>
      <c r="O1042" s="935"/>
    </row>
    <row r="1043" spans="1:15" ht="15" customHeight="1">
      <c r="A1043" s="908" t="s">
        <v>374</v>
      </c>
      <c r="B1043" s="909" t="s">
        <v>2102</v>
      </c>
      <c r="C1043" s="910" t="e">
        <f>VLOOKUP(B1035,'LƯƠNG KT'!$D$16:$Z$184,12,0)</f>
        <v>#N/A</v>
      </c>
      <c r="D1043" s="609" t="e">
        <f>VLOOKUP(B1035,'LƯƠNG KT'!$D$16:$Z$184,14,0)</f>
        <v>#N/A</v>
      </c>
      <c r="E1043" s="914"/>
      <c r="F1043" s="912"/>
      <c r="G1043" s="908" t="s">
        <v>374</v>
      </c>
      <c r="H1043" s="909" t="s">
        <v>2102</v>
      </c>
      <c r="I1043" s="910" t="e">
        <f>VLOOKUP(H1035,'LƯƠNG KT'!$D$16:$Z$184,12,0)</f>
        <v>#N/A</v>
      </c>
      <c r="J1043" s="609" t="e">
        <f>VLOOKUP(H1035,'LƯƠNG KT'!$D$16:$Z$184,14,0)</f>
        <v>#N/A</v>
      </c>
      <c r="K1043" s="935"/>
      <c r="L1043" s="935"/>
      <c r="M1043" s="935"/>
      <c r="N1043" s="935"/>
      <c r="O1043" s="935"/>
    </row>
    <row r="1044" spans="1:15" ht="15" customHeight="1">
      <c r="A1044" s="908" t="s">
        <v>2103</v>
      </c>
      <c r="B1044" s="909" t="s">
        <v>2104</v>
      </c>
      <c r="D1044" s="915" t="e">
        <f>VLOOKUP(B1035,'LƯƠNG KT'!$D$16:$Z$184,13,0)</f>
        <v>#N/A</v>
      </c>
      <c r="E1044" s="916"/>
      <c r="F1044" s="916"/>
      <c r="G1044" s="908" t="s">
        <v>2103</v>
      </c>
      <c r="H1044" s="909" t="s">
        <v>2104</v>
      </c>
      <c r="J1044" s="915" t="e">
        <f>VLOOKUP(H1035,'LƯƠNG KT'!$D$16:$Z$184,13,0)</f>
        <v>#N/A</v>
      </c>
    </row>
    <row r="1045" spans="1:15" ht="15" customHeight="1">
      <c r="A1045" s="547"/>
      <c r="B1045" s="546"/>
      <c r="C1045" s="910"/>
      <c r="D1045" s="609"/>
      <c r="E1045" s="914"/>
      <c r="F1045" s="916"/>
      <c r="G1045" s="547"/>
      <c r="H1045" s="546"/>
      <c r="I1045" s="910"/>
      <c r="J1045" s="609"/>
    </row>
    <row r="1046" spans="1:15" ht="15" customHeight="1">
      <c r="A1046" s="905"/>
      <c r="B1046" s="546"/>
      <c r="C1046" s="910"/>
      <c r="D1046" s="609"/>
      <c r="E1046" s="917"/>
      <c r="F1046" s="904"/>
      <c r="G1046" s="905"/>
      <c r="H1046" s="546"/>
      <c r="I1046" s="910"/>
      <c r="J1046" s="609"/>
    </row>
    <row r="1047" spans="1:15" ht="15" customHeight="1">
      <c r="A1047" s="918" t="s">
        <v>383</v>
      </c>
      <c r="B1047" s="919" t="s">
        <v>384</v>
      </c>
      <c r="C1047" s="920"/>
      <c r="D1047" s="921" t="e">
        <f>SUM(D1036:D1043)-D1046</f>
        <v>#N/A</v>
      </c>
      <c r="E1047" s="922"/>
      <c r="F1047" s="923"/>
      <c r="G1047" s="918" t="s">
        <v>383</v>
      </c>
      <c r="H1047" s="919" t="s">
        <v>384</v>
      </c>
      <c r="I1047" s="920"/>
      <c r="J1047" s="921" t="e">
        <f>SUM(J1036:J1043)-J1046</f>
        <v>#N/A</v>
      </c>
    </row>
    <row r="1048" spans="1:15" ht="15.75" customHeight="1">
      <c r="A1048" s="924"/>
      <c r="B1048" s="925"/>
      <c r="C1048" s="926"/>
      <c r="D1048" s="927"/>
      <c r="E1048" s="927"/>
      <c r="F1048" s="928"/>
      <c r="G1048" s="924"/>
      <c r="H1048" s="925"/>
      <c r="I1048" s="926"/>
      <c r="J1048" s="927"/>
    </row>
    <row r="1050" spans="1:15" ht="12" customHeight="1">
      <c r="A1050" s="2361"/>
      <c r="B1050" s="2361"/>
      <c r="C1050" s="2361"/>
      <c r="D1050" s="2361"/>
      <c r="E1050" s="2361"/>
      <c r="F1050" s="2361"/>
      <c r="G1050" s="2361"/>
      <c r="H1050" s="2361"/>
      <c r="I1050" s="2361"/>
      <c r="J1050" s="2361"/>
    </row>
    <row r="1051" spans="1:15" ht="15" customHeight="1">
      <c r="A1051" s="2360" t="str">
        <f>$K$2</f>
        <v>THÁNG 04/2025</v>
      </c>
      <c r="B1051" s="2360"/>
      <c r="C1051" s="2360"/>
      <c r="D1051" s="2360"/>
      <c r="E1051" s="903"/>
      <c r="F1051" s="904"/>
      <c r="G1051" s="2360" t="str">
        <f>$K$2</f>
        <v>THÁNG 04/2025</v>
      </c>
      <c r="H1051" s="2360"/>
      <c r="I1051" s="2360"/>
      <c r="J1051" s="2360"/>
      <c r="K1051" s="276"/>
    </row>
    <row r="1052" spans="1:15" ht="15" customHeight="1">
      <c r="A1052" s="905" t="s">
        <v>356</v>
      </c>
      <c r="B1052" s="642" t="s">
        <v>1995</v>
      </c>
      <c r="C1052" s="546"/>
      <c r="D1052" s="902"/>
      <c r="E1052" s="906"/>
      <c r="F1052" s="907"/>
      <c r="G1052" s="905" t="s">
        <v>356</v>
      </c>
      <c r="H1052" s="642" t="s">
        <v>52</v>
      </c>
      <c r="I1052" s="546"/>
      <c r="J1052" s="902"/>
      <c r="L1052" s="938"/>
      <c r="M1052" s="938"/>
      <c r="N1052" s="938"/>
      <c r="O1052" s="938"/>
    </row>
    <row r="1053" spans="1:15" ht="15" customHeight="1">
      <c r="A1053" s="908" t="s">
        <v>359</v>
      </c>
      <c r="B1053" s="909" t="s">
        <v>2090</v>
      </c>
      <c r="C1053" s="910" t="e">
        <f>VLOOKUP(B1052,'LƯƠNG KT'!$D$16:$Z$184,4,0)</f>
        <v>#N/A</v>
      </c>
      <c r="D1053" s="609" t="e">
        <f>+C1053*25000</f>
        <v>#N/A</v>
      </c>
      <c r="E1053" s="911"/>
      <c r="F1053" s="911"/>
      <c r="G1053" s="908" t="s">
        <v>359</v>
      </c>
      <c r="H1053" s="909" t="s">
        <v>2090</v>
      </c>
      <c r="I1053" s="910" t="e">
        <f>VLOOKUP(H1052,'LƯƠNG KT'!$D$16:$Z$184,4,0)</f>
        <v>#N/A</v>
      </c>
      <c r="J1053" s="609" t="e">
        <f>+I1053*25000</f>
        <v>#N/A</v>
      </c>
      <c r="K1053" s="934"/>
      <c r="L1053" s="935"/>
      <c r="M1053" s="935"/>
      <c r="N1053" s="935"/>
      <c r="O1053" s="935"/>
    </row>
    <row r="1054" spans="1:15" ht="15" customHeight="1">
      <c r="A1054" s="908" t="s">
        <v>361</v>
      </c>
      <c r="B1054" s="909" t="s">
        <v>2091</v>
      </c>
      <c r="C1054" s="910" t="e">
        <f>VLOOKUP(B1052,'LƯƠNG KT'!$D$16:$Z$184,15,0)</f>
        <v>#N/A</v>
      </c>
      <c r="D1054" s="609" t="e">
        <f>C1054*$L$4</f>
        <v>#N/A</v>
      </c>
      <c r="E1054" s="912"/>
      <c r="F1054" s="912"/>
      <c r="G1054" s="908" t="s">
        <v>361</v>
      </c>
      <c r="H1054" s="909" t="s">
        <v>2091</v>
      </c>
      <c r="I1054" s="910" t="e">
        <f>VLOOKUP(H1052,'LƯƠNG KT'!$D$16:$Z$184,15,0)</f>
        <v>#N/A</v>
      </c>
      <c r="J1054" s="609" t="e">
        <f>I1054*$L$4</f>
        <v>#N/A</v>
      </c>
      <c r="K1054" s="934"/>
      <c r="L1054" s="935"/>
      <c r="M1054" s="935"/>
      <c r="N1054" s="935"/>
      <c r="O1054" s="935"/>
    </row>
    <row r="1055" spans="1:15" ht="15" customHeight="1">
      <c r="A1055" s="908" t="s">
        <v>364</v>
      </c>
      <c r="B1055" s="909" t="s">
        <v>2092</v>
      </c>
      <c r="C1055" s="910" t="e">
        <f>VLOOKUP(B1052,'LƯƠNG KT'!$D$16:$Z$184,16,0)</f>
        <v>#N/A</v>
      </c>
      <c r="D1055" s="609" t="e">
        <f>C1055*$L$5</f>
        <v>#N/A</v>
      </c>
      <c r="E1055" s="912"/>
      <c r="F1055" s="912"/>
      <c r="G1055" s="908" t="s">
        <v>364</v>
      </c>
      <c r="H1055" s="909" t="s">
        <v>2092</v>
      </c>
      <c r="I1055" s="910" t="e">
        <f>VLOOKUP(H1052,'LƯƠNG KT'!$D$16:$Z$184,16,0)</f>
        <v>#N/A</v>
      </c>
      <c r="J1055" s="609" t="e">
        <f>I1055*$L$5</f>
        <v>#N/A</v>
      </c>
      <c r="K1055" s="934"/>
      <c r="L1055" s="935"/>
      <c r="M1055" s="935"/>
      <c r="N1055" s="935"/>
      <c r="O1055" s="935"/>
    </row>
    <row r="1056" spans="1:15" ht="15" customHeight="1">
      <c r="A1056" s="908" t="s">
        <v>370</v>
      </c>
      <c r="B1056" s="909" t="s">
        <v>2093</v>
      </c>
      <c r="C1056" s="910" t="e">
        <f>VLOOKUP(B1052,'LƯƠNG KT'!$D$16:$Z$184,24,0)</f>
        <v>#N/A</v>
      </c>
      <c r="D1056" s="609" t="e">
        <f>+C1056*$L$6</f>
        <v>#N/A</v>
      </c>
      <c r="E1056" s="912"/>
      <c r="F1056" s="912"/>
      <c r="G1056" s="908" t="s">
        <v>370</v>
      </c>
      <c r="H1056" s="909" t="s">
        <v>2093</v>
      </c>
      <c r="I1056" s="910" t="e">
        <f>VLOOKUP(H1052,'LƯƠNG KT'!$D$16:$Z$184,24,0)</f>
        <v>#N/A</v>
      </c>
      <c r="J1056" s="609" t="e">
        <f>+I1056*$L$6</f>
        <v>#N/A</v>
      </c>
      <c r="K1056" s="935"/>
      <c r="L1056" s="935"/>
      <c r="M1056" s="935"/>
      <c r="N1056" s="935"/>
      <c r="O1056" s="935"/>
    </row>
    <row r="1057" spans="1:15" ht="15" customHeight="1">
      <c r="A1057" s="908" t="s">
        <v>2094</v>
      </c>
      <c r="B1057" s="909" t="s">
        <v>2095</v>
      </c>
      <c r="C1057" s="910" t="e">
        <f>VLOOKUP(B1052,'LƯƠNG KT'!$D$16:$Z$184,19,0)</f>
        <v>#N/A</v>
      </c>
      <c r="D1057" s="609" t="e">
        <f>+C1057*$L$8</f>
        <v>#N/A</v>
      </c>
      <c r="E1057" s="912"/>
      <c r="F1057" s="912"/>
      <c r="G1057" s="908" t="s">
        <v>2094</v>
      </c>
      <c r="H1057" s="909" t="s">
        <v>2095</v>
      </c>
      <c r="I1057" s="910" t="e">
        <f>VLOOKUP(H1052,'LƯƠNG KT'!$D$16:$Z$184,19,0)</f>
        <v>#N/A</v>
      </c>
      <c r="J1057" s="609" t="e">
        <f>+I1057*$L$8</f>
        <v>#N/A</v>
      </c>
      <c r="K1057" s="935"/>
      <c r="L1057" s="935"/>
      <c r="M1057" s="935"/>
      <c r="N1057" s="935"/>
      <c r="O1057" s="935"/>
    </row>
    <row r="1058" spans="1:15" ht="15" customHeight="1">
      <c r="A1058" s="908" t="s">
        <v>2096</v>
      </c>
      <c r="B1058" s="913" t="s">
        <v>2097</v>
      </c>
      <c r="C1058" s="910" t="e">
        <f>VLOOKUP(B1052,'LƯƠNG KT'!$D$16:$Z$184,20,0)</f>
        <v>#N/A</v>
      </c>
      <c r="D1058" s="609" t="e">
        <f>+C1058*$L$9</f>
        <v>#N/A</v>
      </c>
      <c r="E1058" s="912"/>
      <c r="F1058" s="912"/>
      <c r="G1058" s="908" t="s">
        <v>2096</v>
      </c>
      <c r="H1058" s="913" t="s">
        <v>2097</v>
      </c>
      <c r="I1058" s="910" t="e">
        <f>VLOOKUP(H1052,'LƯƠNG KT'!$D$16:$Z$184,20,0)</f>
        <v>#N/A</v>
      </c>
      <c r="J1058" s="609" t="e">
        <f>+I1058*$L$9</f>
        <v>#N/A</v>
      </c>
      <c r="K1058" s="935"/>
      <c r="L1058" s="935"/>
      <c r="M1058" s="935"/>
      <c r="N1058" s="935"/>
      <c r="O1058" s="935"/>
    </row>
    <row r="1059" spans="1:15" ht="15" customHeight="1">
      <c r="A1059" s="908" t="s">
        <v>2099</v>
      </c>
      <c r="B1059" s="909" t="s">
        <v>2100</v>
      </c>
      <c r="C1059" s="910" t="e">
        <f>VLOOKUP(B1052,'LƯƠNG KT'!$D$16:$Z$184,17,0)</f>
        <v>#N/A</v>
      </c>
      <c r="D1059" s="609" t="e">
        <f>+C1059*$L$10</f>
        <v>#N/A</v>
      </c>
      <c r="E1059" s="912"/>
      <c r="F1059" s="912"/>
      <c r="G1059" s="908" t="s">
        <v>2099</v>
      </c>
      <c r="H1059" s="909" t="s">
        <v>2100</v>
      </c>
      <c r="I1059" s="910" t="e">
        <f>VLOOKUP(H1052,'LƯƠNG KT'!$D$16:$Z$184,17,0)</f>
        <v>#N/A</v>
      </c>
      <c r="J1059" s="609" t="e">
        <f>+I1059*$L$10</f>
        <v>#N/A</v>
      </c>
      <c r="K1059" s="935"/>
      <c r="L1059" s="935"/>
      <c r="M1059" s="935"/>
      <c r="N1059" s="935"/>
      <c r="O1059" s="935"/>
    </row>
    <row r="1060" spans="1:15" ht="15" customHeight="1">
      <c r="A1060" s="908" t="s">
        <v>374</v>
      </c>
      <c r="B1060" s="909" t="s">
        <v>2102</v>
      </c>
      <c r="C1060" s="910" t="e">
        <f>VLOOKUP(B1052,'LƯƠNG KT'!$D$16:$Z$184,12,0)</f>
        <v>#N/A</v>
      </c>
      <c r="D1060" s="609" t="e">
        <f>VLOOKUP(B1052,'LƯƠNG KT'!$D$16:$Z$184,14,0)</f>
        <v>#N/A</v>
      </c>
      <c r="E1060" s="914"/>
      <c r="F1060" s="912"/>
      <c r="G1060" s="908" t="s">
        <v>374</v>
      </c>
      <c r="H1060" s="909" t="s">
        <v>2102</v>
      </c>
      <c r="I1060" s="910" t="e">
        <f>VLOOKUP(H1052,'LƯƠNG KT'!$D$16:$Z$184,12,0)</f>
        <v>#N/A</v>
      </c>
      <c r="J1060" s="609" t="e">
        <f>VLOOKUP(H1052,'LƯƠNG KT'!$D$16:$Z$184,14,0)</f>
        <v>#N/A</v>
      </c>
      <c r="K1060" s="935"/>
      <c r="L1060" s="935"/>
      <c r="M1060" s="935"/>
      <c r="N1060" s="935"/>
      <c r="O1060" s="935"/>
    </row>
    <row r="1061" spans="1:15" ht="15" customHeight="1">
      <c r="A1061" s="908" t="s">
        <v>2103</v>
      </c>
      <c r="B1061" s="909" t="s">
        <v>2104</v>
      </c>
      <c r="D1061" s="915" t="e">
        <f>VLOOKUP(B1052,'LƯƠNG KT'!$D$16:$Z$184,13,0)</f>
        <v>#N/A</v>
      </c>
      <c r="E1061" s="916"/>
      <c r="F1061" s="916"/>
      <c r="G1061" s="908" t="s">
        <v>2103</v>
      </c>
      <c r="H1061" s="909" t="s">
        <v>2104</v>
      </c>
      <c r="J1061" s="915" t="e">
        <f>VLOOKUP(H1052,'LƯƠNG KT'!$D$16:$Z$184,13,0)</f>
        <v>#N/A</v>
      </c>
    </row>
    <row r="1062" spans="1:15" ht="15" customHeight="1">
      <c r="A1062" s="547"/>
      <c r="B1062" s="546"/>
      <c r="C1062" s="910"/>
      <c r="D1062" s="609"/>
      <c r="E1062" s="914"/>
      <c r="F1062" s="916"/>
      <c r="G1062" s="547"/>
      <c r="H1062" s="546"/>
      <c r="I1062" s="910"/>
      <c r="J1062" s="609"/>
    </row>
    <row r="1063" spans="1:15" ht="15" customHeight="1">
      <c r="A1063" s="905"/>
      <c r="B1063" s="546"/>
      <c r="C1063" s="910"/>
      <c r="D1063" s="609"/>
      <c r="E1063" s="917"/>
      <c r="F1063" s="904"/>
      <c r="G1063" s="905"/>
      <c r="H1063" s="546"/>
      <c r="I1063" s="910"/>
      <c r="J1063" s="609"/>
    </row>
    <row r="1064" spans="1:15" ht="15" customHeight="1">
      <c r="A1064" s="918" t="s">
        <v>383</v>
      </c>
      <c r="B1064" s="919" t="s">
        <v>384</v>
      </c>
      <c r="C1064" s="920"/>
      <c r="D1064" s="921" t="e">
        <f>SUM(D1053:D1060)-D1063</f>
        <v>#N/A</v>
      </c>
      <c r="E1064" s="922"/>
      <c r="F1064" s="923"/>
      <c r="G1064" s="918" t="s">
        <v>383</v>
      </c>
      <c r="H1064" s="919" t="s">
        <v>384</v>
      </c>
      <c r="I1064" s="920"/>
      <c r="J1064" s="921" t="e">
        <f>SUM(J1053:J1060)-J1063</f>
        <v>#N/A</v>
      </c>
    </row>
    <row r="1065" spans="1:15" ht="12.6" customHeight="1">
      <c r="A1065" s="924"/>
      <c r="B1065" s="925"/>
      <c r="C1065" s="926"/>
      <c r="D1065" s="927"/>
      <c r="E1065" s="927"/>
      <c r="F1065" s="928"/>
      <c r="G1065" s="924"/>
      <c r="H1065" s="925"/>
      <c r="I1065" s="926"/>
      <c r="J1065" s="927"/>
    </row>
    <row r="1066" spans="1:15" ht="133.5" customHeight="1">
      <c r="A1066" s="925"/>
      <c r="B1066" s="925"/>
      <c r="C1066" s="929"/>
      <c r="D1066" s="930"/>
      <c r="E1066" s="925"/>
      <c r="F1066" s="931"/>
      <c r="G1066" s="925"/>
      <c r="H1066" s="925"/>
      <c r="I1066" s="929"/>
      <c r="J1066" s="930"/>
    </row>
    <row r="1067" spans="1:15" ht="15" customHeight="1">
      <c r="A1067" s="2360" t="str">
        <f>$K$2</f>
        <v>THÁNG 04/2025</v>
      </c>
      <c r="B1067" s="2360"/>
      <c r="C1067" s="2360"/>
      <c r="D1067" s="2360"/>
      <c r="E1067" s="903"/>
      <c r="F1067" s="904"/>
      <c r="G1067" s="2360" t="str">
        <f>$K$2</f>
        <v>THÁNG 04/2025</v>
      </c>
      <c r="H1067" s="2360"/>
      <c r="I1067" s="2360"/>
      <c r="J1067" s="2360"/>
      <c r="K1067" s="276"/>
    </row>
    <row r="1068" spans="1:15" ht="15" customHeight="1">
      <c r="A1068" s="905" t="s">
        <v>356</v>
      </c>
      <c r="B1068" s="642" t="s">
        <v>96</v>
      </c>
      <c r="C1068" s="546"/>
      <c r="D1068" s="902"/>
      <c r="E1068" s="906"/>
      <c r="F1068" s="907"/>
      <c r="G1068" s="905" t="s">
        <v>356</v>
      </c>
      <c r="H1068" s="642" t="s">
        <v>97</v>
      </c>
      <c r="I1068" s="546"/>
      <c r="J1068" s="902"/>
      <c r="L1068" s="938"/>
      <c r="M1068" s="938"/>
      <c r="N1068" s="938"/>
      <c r="O1068" s="938"/>
    </row>
    <row r="1069" spans="1:15" ht="15" customHeight="1">
      <c r="A1069" s="908" t="s">
        <v>359</v>
      </c>
      <c r="B1069" s="909" t="s">
        <v>2090</v>
      </c>
      <c r="C1069" s="910" t="e">
        <f>VLOOKUP(B1068,'LƯƠNG KT'!$D$16:$Z$184,4,0)</f>
        <v>#N/A</v>
      </c>
      <c r="D1069" s="609" t="e">
        <f>+C1069*25000</f>
        <v>#N/A</v>
      </c>
      <c r="E1069" s="911"/>
      <c r="F1069" s="911"/>
      <c r="G1069" s="908" t="s">
        <v>359</v>
      </c>
      <c r="H1069" s="909" t="s">
        <v>2090</v>
      </c>
      <c r="I1069" s="910" t="e">
        <f>VLOOKUP(H1068,'LƯƠNG KT'!$D$16:$Z$184,4,0)</f>
        <v>#N/A</v>
      </c>
      <c r="J1069" s="609" t="e">
        <f>+I1069*25000</f>
        <v>#N/A</v>
      </c>
      <c r="K1069" s="935"/>
      <c r="L1069" s="935"/>
      <c r="M1069" s="935"/>
      <c r="N1069" s="935"/>
      <c r="O1069" s="935"/>
    </row>
    <row r="1070" spans="1:15" ht="15" customHeight="1">
      <c r="A1070" s="908" t="s">
        <v>361</v>
      </c>
      <c r="B1070" s="909" t="s">
        <v>2091</v>
      </c>
      <c r="C1070" s="910" t="e">
        <f>VLOOKUP(B1068,'LƯƠNG KT'!$D$16:$Z$184,15,0)</f>
        <v>#N/A</v>
      </c>
      <c r="D1070" s="609" t="e">
        <f>C1070*$L$4</f>
        <v>#N/A</v>
      </c>
      <c r="E1070" s="912"/>
      <c r="F1070" s="912"/>
      <c r="G1070" s="908" t="s">
        <v>361</v>
      </c>
      <c r="H1070" s="909" t="s">
        <v>2091</v>
      </c>
      <c r="I1070" s="910" t="e">
        <f>VLOOKUP(H1068,'LƯƠNG KT'!$D$16:$Z$184,15,0)</f>
        <v>#N/A</v>
      </c>
      <c r="J1070" s="609" t="e">
        <f>I1070*$L$4</f>
        <v>#N/A</v>
      </c>
      <c r="K1070" s="935"/>
      <c r="L1070" s="935"/>
      <c r="M1070" s="935"/>
      <c r="N1070" s="935"/>
      <c r="O1070" s="935"/>
    </row>
    <row r="1071" spans="1:15" ht="15" customHeight="1">
      <c r="A1071" s="908" t="s">
        <v>364</v>
      </c>
      <c r="B1071" s="909" t="s">
        <v>2092</v>
      </c>
      <c r="C1071" s="910" t="e">
        <f>VLOOKUP(B1068,'LƯƠNG KT'!$D$16:$Z$184,16,0)</f>
        <v>#N/A</v>
      </c>
      <c r="D1071" s="609" t="e">
        <f>C1071*$L$5</f>
        <v>#N/A</v>
      </c>
      <c r="E1071" s="912"/>
      <c r="F1071" s="912"/>
      <c r="G1071" s="908" t="s">
        <v>364</v>
      </c>
      <c r="H1071" s="909" t="s">
        <v>2092</v>
      </c>
      <c r="I1071" s="910" t="e">
        <f>VLOOKUP(H1068,'LƯƠNG KT'!$D$16:$Z$184,16,0)</f>
        <v>#N/A</v>
      </c>
      <c r="J1071" s="609" t="e">
        <f>I1071*$L$5</f>
        <v>#N/A</v>
      </c>
      <c r="K1071" s="935"/>
      <c r="L1071" s="935"/>
      <c r="M1071" s="935"/>
      <c r="N1071" s="935"/>
      <c r="O1071" s="935"/>
    </row>
    <row r="1072" spans="1:15" ht="15" customHeight="1">
      <c r="A1072" s="908" t="s">
        <v>370</v>
      </c>
      <c r="B1072" s="909" t="s">
        <v>2093</v>
      </c>
      <c r="C1072" s="910" t="e">
        <f>VLOOKUP(B1068,'LƯƠNG KT'!$D$16:$Z$184,24,0)</f>
        <v>#N/A</v>
      </c>
      <c r="D1072" s="609" t="e">
        <f>+C1072*$L$6</f>
        <v>#N/A</v>
      </c>
      <c r="E1072" s="912"/>
      <c r="F1072" s="912"/>
      <c r="G1072" s="908" t="s">
        <v>370</v>
      </c>
      <c r="H1072" s="909" t="s">
        <v>2093</v>
      </c>
      <c r="I1072" s="910" t="e">
        <f>VLOOKUP(H1068,'LƯƠNG KT'!$D$16:$Z$184,24,0)</f>
        <v>#N/A</v>
      </c>
      <c r="J1072" s="609" t="e">
        <f>+I1072*$L$6</f>
        <v>#N/A</v>
      </c>
      <c r="K1072" s="935"/>
      <c r="L1072" s="935"/>
      <c r="M1072" s="935"/>
      <c r="N1072" s="935"/>
      <c r="O1072" s="935"/>
    </row>
    <row r="1073" spans="1:15" ht="15" customHeight="1">
      <c r="A1073" s="908" t="s">
        <v>2094</v>
      </c>
      <c r="B1073" s="909" t="s">
        <v>2095</v>
      </c>
      <c r="C1073" s="910" t="e">
        <f>VLOOKUP(B1068,'LƯƠNG KT'!$D$16:$Z$184,19,0)</f>
        <v>#N/A</v>
      </c>
      <c r="D1073" s="609" t="e">
        <f>+C1073*$L$8</f>
        <v>#N/A</v>
      </c>
      <c r="E1073" s="912"/>
      <c r="F1073" s="912"/>
      <c r="G1073" s="908" t="s">
        <v>2094</v>
      </c>
      <c r="H1073" s="909" t="s">
        <v>2095</v>
      </c>
      <c r="I1073" s="910" t="e">
        <f>VLOOKUP(H1068,'LƯƠNG KT'!$D$16:$Z$184,19,0)</f>
        <v>#N/A</v>
      </c>
      <c r="J1073" s="609" t="e">
        <f>+I1073*$L$8</f>
        <v>#N/A</v>
      </c>
      <c r="K1073" s="935"/>
      <c r="L1073" s="935"/>
      <c r="M1073" s="935"/>
      <c r="N1073" s="935"/>
      <c r="O1073" s="935"/>
    </row>
    <row r="1074" spans="1:15" ht="15" customHeight="1">
      <c r="A1074" s="908" t="s">
        <v>2096</v>
      </c>
      <c r="B1074" s="913" t="s">
        <v>2097</v>
      </c>
      <c r="C1074" s="910" t="e">
        <f>VLOOKUP(B1068,'LƯƠNG KT'!$D$16:$Z$184,20,0)</f>
        <v>#N/A</v>
      </c>
      <c r="D1074" s="609" t="e">
        <f>+C1074*$L$9</f>
        <v>#N/A</v>
      </c>
      <c r="E1074" s="912"/>
      <c r="F1074" s="912"/>
      <c r="G1074" s="908" t="s">
        <v>2096</v>
      </c>
      <c r="H1074" s="913" t="s">
        <v>2097</v>
      </c>
      <c r="I1074" s="910" t="e">
        <f>VLOOKUP(H1068,'LƯƠNG KT'!$D$16:$Z$184,20,0)</f>
        <v>#N/A</v>
      </c>
      <c r="J1074" s="609" t="e">
        <f>+I1074*$L$9</f>
        <v>#N/A</v>
      </c>
      <c r="K1074" s="935"/>
      <c r="L1074" s="935"/>
      <c r="M1074" s="935"/>
      <c r="N1074" s="935"/>
      <c r="O1074" s="935"/>
    </row>
    <row r="1075" spans="1:15" ht="15" customHeight="1">
      <c r="A1075" s="908" t="s">
        <v>2099</v>
      </c>
      <c r="B1075" s="909" t="s">
        <v>2100</v>
      </c>
      <c r="C1075" s="910" t="e">
        <f>VLOOKUP(B1068,'LƯƠNG KT'!$D$16:$Z$184,17,0)</f>
        <v>#N/A</v>
      </c>
      <c r="D1075" s="609" t="e">
        <f>+C1075*$L$10</f>
        <v>#N/A</v>
      </c>
      <c r="E1075" s="912"/>
      <c r="F1075" s="912"/>
      <c r="G1075" s="908" t="s">
        <v>2099</v>
      </c>
      <c r="H1075" s="909" t="s">
        <v>2100</v>
      </c>
      <c r="I1075" s="910" t="e">
        <f>VLOOKUP(H1068,'LƯƠNG KT'!$D$16:$Z$184,17,0)</f>
        <v>#N/A</v>
      </c>
      <c r="J1075" s="609" t="e">
        <f>+I1075*$L$10</f>
        <v>#N/A</v>
      </c>
      <c r="K1075" s="935"/>
      <c r="L1075" s="935"/>
      <c r="M1075" s="935"/>
      <c r="N1075" s="935"/>
      <c r="O1075" s="935"/>
    </row>
    <row r="1076" spans="1:15" ht="15" customHeight="1">
      <c r="A1076" s="908" t="s">
        <v>374</v>
      </c>
      <c r="B1076" s="909" t="s">
        <v>2102</v>
      </c>
      <c r="C1076" s="910" t="e">
        <f>VLOOKUP(B1068,'LƯƠNG KT'!$D$16:$Z$184,12,0)</f>
        <v>#N/A</v>
      </c>
      <c r="D1076" s="609" t="e">
        <f>VLOOKUP(B1068,'LƯƠNG KT'!$D$16:$Z$184,14,0)</f>
        <v>#N/A</v>
      </c>
      <c r="E1076" s="914"/>
      <c r="F1076" s="912"/>
      <c r="G1076" s="908" t="s">
        <v>374</v>
      </c>
      <c r="H1076" s="909" t="s">
        <v>2102</v>
      </c>
      <c r="I1076" s="910" t="e">
        <f>VLOOKUP(H1068,'LƯƠNG KT'!$D$16:$Z$184,12,0)</f>
        <v>#N/A</v>
      </c>
      <c r="J1076" s="609" t="e">
        <f>VLOOKUP(H1068,'LƯƠNG KT'!$D$16:$Z$184,14,0)</f>
        <v>#N/A</v>
      </c>
      <c r="K1076" s="935"/>
      <c r="L1076" s="935"/>
      <c r="M1076" s="935"/>
      <c r="N1076" s="935"/>
      <c r="O1076" s="935"/>
    </row>
    <row r="1077" spans="1:15" ht="15" customHeight="1">
      <c r="A1077" s="908" t="s">
        <v>2103</v>
      </c>
      <c r="B1077" s="909" t="s">
        <v>2104</v>
      </c>
      <c r="D1077" s="915" t="e">
        <f>VLOOKUP(B1068,'LƯƠNG KT'!$D$16:$Z$184,13,0)</f>
        <v>#N/A</v>
      </c>
      <c r="E1077" s="916"/>
      <c r="F1077" s="916"/>
      <c r="G1077" s="908" t="s">
        <v>2103</v>
      </c>
      <c r="H1077" s="909" t="s">
        <v>2104</v>
      </c>
      <c r="J1077" s="915" t="e">
        <f>VLOOKUP(H1068,'LƯƠNG KT'!$D$16:$Z$184,13,0)</f>
        <v>#N/A</v>
      </c>
    </row>
    <row r="1078" spans="1:15" ht="15" customHeight="1">
      <c r="A1078" s="547"/>
      <c r="B1078" s="546"/>
      <c r="C1078" s="910"/>
      <c r="D1078" s="609"/>
      <c r="E1078" s="914"/>
      <c r="F1078" s="916"/>
      <c r="G1078" s="547"/>
      <c r="H1078" s="546"/>
      <c r="I1078" s="910"/>
      <c r="J1078" s="609"/>
    </row>
    <row r="1079" spans="1:15" ht="15" customHeight="1">
      <c r="A1079" s="905"/>
      <c r="B1079" s="546"/>
      <c r="C1079" s="910"/>
      <c r="D1079" s="609"/>
      <c r="E1079" s="917"/>
      <c r="F1079" s="904"/>
      <c r="G1079" s="905"/>
      <c r="H1079" s="546"/>
      <c r="I1079" s="910"/>
      <c r="J1079" s="609"/>
    </row>
    <row r="1080" spans="1:15" ht="15" customHeight="1">
      <c r="A1080" s="918" t="s">
        <v>383</v>
      </c>
      <c r="B1080" s="919" t="s">
        <v>384</v>
      </c>
      <c r="C1080" s="920"/>
      <c r="D1080" s="921" t="e">
        <f>SUM(D1069:D1076)-D1079</f>
        <v>#N/A</v>
      </c>
      <c r="E1080" s="922"/>
      <c r="F1080" s="923"/>
      <c r="G1080" s="918" t="s">
        <v>383</v>
      </c>
      <c r="H1080" s="919" t="s">
        <v>384</v>
      </c>
      <c r="I1080" s="920"/>
      <c r="J1080" s="921" t="e">
        <f>SUM(J1069:J1076)-J1079</f>
        <v>#N/A</v>
      </c>
    </row>
    <row r="1081" spans="1:15" ht="18.75" customHeight="1">
      <c r="A1081" s="924"/>
      <c r="B1081" s="925"/>
      <c r="C1081" s="926"/>
      <c r="D1081" s="927"/>
      <c r="E1081" s="927"/>
      <c r="F1081" s="928"/>
      <c r="G1081" s="924"/>
      <c r="H1081" s="925"/>
      <c r="I1081" s="926"/>
      <c r="J1081" s="927"/>
    </row>
    <row r="1082" spans="1:15" ht="18.75" customHeight="1">
      <c r="A1082" s="925"/>
      <c r="B1082" s="925"/>
      <c r="C1082" s="929"/>
      <c r="D1082" s="930"/>
      <c r="E1082" s="925"/>
      <c r="F1082" s="931"/>
      <c r="G1082" s="925"/>
      <c r="H1082" s="925"/>
      <c r="I1082" s="929"/>
      <c r="J1082" s="930"/>
    </row>
    <row r="1083" spans="1:15" ht="15" customHeight="1">
      <c r="A1083" s="2360" t="str">
        <f>$K$2</f>
        <v>THÁNG 04/2025</v>
      </c>
      <c r="B1083" s="2360"/>
      <c r="C1083" s="2360"/>
      <c r="D1083" s="2360"/>
      <c r="E1083" s="903"/>
      <c r="F1083" s="904"/>
      <c r="G1083" s="2360" t="str">
        <f>$K$2</f>
        <v>THÁNG 04/2025</v>
      </c>
      <c r="H1083" s="2360"/>
      <c r="I1083" s="2360"/>
      <c r="J1083" s="2360"/>
      <c r="K1083" s="276"/>
    </row>
    <row r="1084" spans="1:15" ht="15" customHeight="1">
      <c r="A1084" s="905" t="s">
        <v>356</v>
      </c>
      <c r="B1084" s="642" t="s">
        <v>42</v>
      </c>
      <c r="C1084" s="546"/>
      <c r="D1084" s="902"/>
      <c r="E1084" s="906"/>
      <c r="F1084" s="907"/>
      <c r="G1084" s="905" t="s">
        <v>356</v>
      </c>
      <c r="H1084" s="642" t="s">
        <v>54</v>
      </c>
      <c r="I1084" s="546"/>
      <c r="J1084" s="902"/>
      <c r="L1084" s="938"/>
      <c r="M1084" s="938"/>
      <c r="N1084" s="938"/>
      <c r="O1084" s="938"/>
    </row>
    <row r="1085" spans="1:15" ht="15" customHeight="1">
      <c r="A1085" s="908" t="s">
        <v>359</v>
      </c>
      <c r="B1085" s="909" t="s">
        <v>2090</v>
      </c>
      <c r="C1085" s="910" t="e">
        <f>VLOOKUP(B1084,'LƯƠNG KT'!$D$16:$Z$184,4,0)</f>
        <v>#N/A</v>
      </c>
      <c r="D1085" s="609" t="e">
        <f>+C1085*25000</f>
        <v>#N/A</v>
      </c>
      <c r="E1085" s="911"/>
      <c r="F1085" s="911"/>
      <c r="G1085" s="908" t="s">
        <v>359</v>
      </c>
      <c r="H1085" s="909" t="s">
        <v>2090</v>
      </c>
      <c r="I1085" s="910" t="e">
        <f>VLOOKUP(H1084,'LƯƠNG KT'!$D$16:$Z$184,4,0)</f>
        <v>#N/A</v>
      </c>
      <c r="J1085" s="609" t="e">
        <f>+I1085*25000</f>
        <v>#N/A</v>
      </c>
      <c r="K1085" s="935"/>
      <c r="L1085" s="935"/>
      <c r="M1085" s="935"/>
      <c r="N1085" s="935"/>
      <c r="O1085" s="935"/>
    </row>
    <row r="1086" spans="1:15" ht="15" customHeight="1">
      <c r="A1086" s="908" t="s">
        <v>361</v>
      </c>
      <c r="B1086" s="909" t="s">
        <v>2091</v>
      </c>
      <c r="C1086" s="910" t="e">
        <f>VLOOKUP(B1084,'LƯƠNG KT'!$D$16:$Z$184,15,0)</f>
        <v>#N/A</v>
      </c>
      <c r="D1086" s="609" t="e">
        <f>C1086*$L$4</f>
        <v>#N/A</v>
      </c>
      <c r="E1086" s="912"/>
      <c r="F1086" s="912"/>
      <c r="G1086" s="908" t="s">
        <v>361</v>
      </c>
      <c r="H1086" s="909" t="s">
        <v>2091</v>
      </c>
      <c r="I1086" s="910" t="e">
        <f>VLOOKUP(H1084,'LƯƠNG KT'!$D$16:$Z$184,15,0)</f>
        <v>#N/A</v>
      </c>
      <c r="J1086" s="609" t="e">
        <f>I1086*$L$4</f>
        <v>#N/A</v>
      </c>
      <c r="K1086" s="935"/>
      <c r="L1086" s="935"/>
      <c r="M1086" s="935"/>
      <c r="N1086" s="935"/>
      <c r="O1086" s="935"/>
    </row>
    <row r="1087" spans="1:15" ht="15" customHeight="1">
      <c r="A1087" s="908" t="s">
        <v>364</v>
      </c>
      <c r="B1087" s="909" t="s">
        <v>2092</v>
      </c>
      <c r="C1087" s="910" t="e">
        <f>VLOOKUP(B1084,'LƯƠNG KT'!$D$16:$Z$184,16,0)</f>
        <v>#N/A</v>
      </c>
      <c r="D1087" s="609" t="e">
        <f>C1087*$L$5</f>
        <v>#N/A</v>
      </c>
      <c r="E1087" s="912"/>
      <c r="F1087" s="912"/>
      <c r="G1087" s="908" t="s">
        <v>364</v>
      </c>
      <c r="H1087" s="909" t="s">
        <v>2092</v>
      </c>
      <c r="I1087" s="910" t="e">
        <f>VLOOKUP(H1084,'LƯƠNG KT'!$D$16:$Z$184,16,0)</f>
        <v>#N/A</v>
      </c>
      <c r="J1087" s="609" t="e">
        <f>I1087*$L$5</f>
        <v>#N/A</v>
      </c>
      <c r="K1087" s="935"/>
      <c r="L1087" s="935"/>
      <c r="M1087" s="935"/>
      <c r="N1087" s="935"/>
      <c r="O1087" s="935"/>
    </row>
    <row r="1088" spans="1:15" ht="15" customHeight="1">
      <c r="A1088" s="908" t="s">
        <v>370</v>
      </c>
      <c r="B1088" s="909" t="s">
        <v>2093</v>
      </c>
      <c r="C1088" s="910" t="e">
        <f>VLOOKUP(B1084,'LƯƠNG KT'!$D$16:$Z$184,24,0)</f>
        <v>#N/A</v>
      </c>
      <c r="D1088" s="609" t="e">
        <f>+C1088*$L$6</f>
        <v>#N/A</v>
      </c>
      <c r="E1088" s="912"/>
      <c r="F1088" s="912"/>
      <c r="G1088" s="908" t="s">
        <v>370</v>
      </c>
      <c r="H1088" s="909" t="s">
        <v>2093</v>
      </c>
      <c r="I1088" s="910" t="e">
        <f>VLOOKUP(H1084,'LƯƠNG KT'!$D$16:$Z$184,24,0)</f>
        <v>#N/A</v>
      </c>
      <c r="J1088" s="609" t="e">
        <f>+I1088*$L$6</f>
        <v>#N/A</v>
      </c>
      <c r="K1088" s="935"/>
      <c r="L1088" s="935"/>
      <c r="M1088" s="935"/>
      <c r="N1088" s="935"/>
      <c r="O1088" s="935"/>
    </row>
    <row r="1089" spans="1:15" ht="15" customHeight="1">
      <c r="A1089" s="908" t="s">
        <v>2094</v>
      </c>
      <c r="B1089" s="909" t="s">
        <v>2095</v>
      </c>
      <c r="C1089" s="910" t="e">
        <f>VLOOKUP(B1084,'LƯƠNG KT'!$D$16:$Z$184,19,0)</f>
        <v>#N/A</v>
      </c>
      <c r="D1089" s="609" t="e">
        <f>+C1089*$L$8</f>
        <v>#N/A</v>
      </c>
      <c r="E1089" s="912"/>
      <c r="F1089" s="912"/>
      <c r="G1089" s="908" t="s">
        <v>2094</v>
      </c>
      <c r="H1089" s="909" t="s">
        <v>2095</v>
      </c>
      <c r="I1089" s="910" t="e">
        <f>VLOOKUP(H1084,'LƯƠNG KT'!$D$16:$Z$184,19,0)</f>
        <v>#N/A</v>
      </c>
      <c r="J1089" s="609" t="e">
        <f>+I1089*$L$8</f>
        <v>#N/A</v>
      </c>
      <c r="K1089" s="935"/>
      <c r="L1089" s="935"/>
      <c r="M1089" s="935"/>
      <c r="N1089" s="935"/>
      <c r="O1089" s="935"/>
    </row>
    <row r="1090" spans="1:15" ht="15" customHeight="1">
      <c r="A1090" s="908" t="s">
        <v>2096</v>
      </c>
      <c r="B1090" s="913" t="s">
        <v>2097</v>
      </c>
      <c r="C1090" s="910" t="e">
        <f>VLOOKUP(B1084,'LƯƠNG KT'!$D$16:$Z$184,20,0)</f>
        <v>#N/A</v>
      </c>
      <c r="D1090" s="609" t="e">
        <f>+C1090*$L$9</f>
        <v>#N/A</v>
      </c>
      <c r="E1090" s="912"/>
      <c r="F1090" s="912"/>
      <c r="G1090" s="908" t="s">
        <v>2096</v>
      </c>
      <c r="H1090" s="913" t="s">
        <v>2097</v>
      </c>
      <c r="I1090" s="910" t="e">
        <f>VLOOKUP(H1084,'LƯƠNG KT'!$D$16:$Z$184,20,0)</f>
        <v>#N/A</v>
      </c>
      <c r="J1090" s="609" t="e">
        <f>+I1090*$L$9</f>
        <v>#N/A</v>
      </c>
      <c r="K1090" s="935"/>
      <c r="L1090" s="935"/>
      <c r="M1090" s="935"/>
      <c r="N1090" s="935"/>
      <c r="O1090" s="935"/>
    </row>
    <row r="1091" spans="1:15" ht="15" customHeight="1">
      <c r="A1091" s="908" t="s">
        <v>2099</v>
      </c>
      <c r="B1091" s="909" t="s">
        <v>2100</v>
      </c>
      <c r="C1091" s="910" t="e">
        <f>VLOOKUP(B1084,'LƯƠNG KT'!$D$16:$Z$184,17,0)</f>
        <v>#N/A</v>
      </c>
      <c r="D1091" s="609" t="e">
        <f>+C1091*$L$10</f>
        <v>#N/A</v>
      </c>
      <c r="E1091" s="912"/>
      <c r="F1091" s="912"/>
      <c r="G1091" s="908" t="s">
        <v>2099</v>
      </c>
      <c r="H1091" s="909" t="s">
        <v>2100</v>
      </c>
      <c r="I1091" s="910" t="e">
        <f>VLOOKUP(H1084,'LƯƠNG KT'!$D$16:$Z$184,17,0)</f>
        <v>#N/A</v>
      </c>
      <c r="J1091" s="609" t="e">
        <f>+I1091*$L$10</f>
        <v>#N/A</v>
      </c>
      <c r="K1091" s="935"/>
      <c r="L1091" s="935"/>
      <c r="M1091" s="935"/>
      <c r="N1091" s="935"/>
      <c r="O1091" s="935"/>
    </row>
    <row r="1092" spans="1:15" ht="15" customHeight="1">
      <c r="A1092" s="908" t="s">
        <v>374</v>
      </c>
      <c r="B1092" s="909" t="s">
        <v>2102</v>
      </c>
      <c r="C1092" s="910" t="e">
        <f>VLOOKUP(B1084,'LƯƠNG KT'!$D$16:$Z$184,12,0)</f>
        <v>#N/A</v>
      </c>
      <c r="D1092" s="609" t="e">
        <f>VLOOKUP(B1084,'LƯƠNG KT'!$D$16:$Z$184,14,0)</f>
        <v>#N/A</v>
      </c>
      <c r="E1092" s="914"/>
      <c r="F1092" s="912"/>
      <c r="G1092" s="908" t="s">
        <v>374</v>
      </c>
      <c r="H1092" s="909" t="s">
        <v>2102</v>
      </c>
      <c r="I1092" s="910" t="e">
        <f>VLOOKUP(H1084,'LƯƠNG KT'!$D$16:$Z$184,12,0)</f>
        <v>#N/A</v>
      </c>
      <c r="J1092" s="609" t="e">
        <f>VLOOKUP(H1084,'LƯƠNG KT'!$D$16:$Z$184,14,0)</f>
        <v>#N/A</v>
      </c>
      <c r="K1092" s="935"/>
      <c r="L1092" s="935"/>
      <c r="M1092" s="935"/>
      <c r="N1092" s="935"/>
      <c r="O1092" s="935"/>
    </row>
    <row r="1093" spans="1:15" ht="15" customHeight="1">
      <c r="A1093" s="908" t="s">
        <v>2103</v>
      </c>
      <c r="B1093" s="909" t="s">
        <v>2104</v>
      </c>
      <c r="D1093" s="915" t="e">
        <f>VLOOKUP(B1084,'LƯƠNG KT'!$D$16:$Z$184,13,0)</f>
        <v>#N/A</v>
      </c>
      <c r="E1093" s="916"/>
      <c r="F1093" s="916"/>
      <c r="G1093" s="908" t="s">
        <v>2103</v>
      </c>
      <c r="H1093" s="909" t="s">
        <v>2104</v>
      </c>
      <c r="J1093" s="915" t="e">
        <f>VLOOKUP(H1084,'LƯƠNG KT'!$D$16:$Z$184,13,0)</f>
        <v>#N/A</v>
      </c>
    </row>
    <row r="1094" spans="1:15" ht="15" customHeight="1">
      <c r="A1094" s="547"/>
      <c r="B1094" s="546"/>
      <c r="C1094" s="910"/>
      <c r="D1094" s="609"/>
      <c r="E1094" s="914"/>
      <c r="F1094" s="916"/>
      <c r="G1094" s="547"/>
      <c r="H1094" s="546"/>
      <c r="I1094" s="910"/>
      <c r="J1094" s="609"/>
    </row>
    <row r="1095" spans="1:15" ht="15" customHeight="1">
      <c r="A1095" s="905"/>
      <c r="B1095" s="546"/>
      <c r="C1095" s="910"/>
      <c r="D1095" s="609"/>
      <c r="E1095" s="917"/>
      <c r="F1095" s="904"/>
      <c r="G1095" s="905"/>
      <c r="H1095" s="546"/>
      <c r="I1095" s="910"/>
      <c r="J1095" s="609"/>
    </row>
    <row r="1096" spans="1:15" ht="15" customHeight="1">
      <c r="A1096" s="918" t="s">
        <v>383</v>
      </c>
      <c r="B1096" s="919" t="s">
        <v>384</v>
      </c>
      <c r="C1096" s="920"/>
      <c r="D1096" s="921" t="e">
        <f>SUM(D1085:D1092)-D1095</f>
        <v>#N/A</v>
      </c>
      <c r="E1096" s="922"/>
      <c r="F1096" s="923"/>
      <c r="G1096" s="918" t="s">
        <v>383</v>
      </c>
      <c r="H1096" s="919" t="s">
        <v>384</v>
      </c>
      <c r="I1096" s="920"/>
      <c r="J1096" s="921" t="e">
        <f>SUM(J1085:J1092)-J1095</f>
        <v>#N/A</v>
      </c>
    </row>
    <row r="1097" spans="1:15" ht="18.75" customHeight="1">
      <c r="A1097" s="924"/>
      <c r="B1097" s="925"/>
      <c r="C1097" s="926"/>
      <c r="D1097" s="927"/>
      <c r="E1097" s="927"/>
      <c r="F1097" s="928"/>
      <c r="G1097" s="924"/>
      <c r="H1097" s="925"/>
      <c r="I1097" s="926"/>
      <c r="J1097" s="927"/>
    </row>
    <row r="1098" spans="1:15" ht="18.75" customHeight="1">
      <c r="A1098" s="925"/>
      <c r="B1098" s="925"/>
      <c r="C1098" s="929"/>
      <c r="D1098" s="930"/>
      <c r="E1098" s="925"/>
      <c r="F1098" s="931"/>
      <c r="G1098" s="925"/>
      <c r="H1098" s="925"/>
      <c r="I1098" s="929"/>
      <c r="J1098" s="930"/>
    </row>
    <row r="1099" spans="1:15" ht="15" customHeight="1">
      <c r="A1099" s="2360" t="str">
        <f>$K$2</f>
        <v>THÁNG 04/2025</v>
      </c>
      <c r="B1099" s="2360"/>
      <c r="C1099" s="2360"/>
      <c r="D1099" s="2360"/>
      <c r="E1099" s="903"/>
      <c r="F1099" s="904"/>
      <c r="G1099" s="2360" t="str">
        <f>$K$2</f>
        <v>THÁNG 04/2025</v>
      </c>
      <c r="H1099" s="2360"/>
      <c r="I1099" s="2360"/>
      <c r="J1099" s="2360"/>
      <c r="K1099" s="276"/>
    </row>
    <row r="1100" spans="1:15" ht="15" customHeight="1">
      <c r="A1100" s="905" t="s">
        <v>356</v>
      </c>
      <c r="B1100" s="642" t="s">
        <v>55</v>
      </c>
      <c r="C1100" s="546"/>
      <c r="D1100" s="902"/>
      <c r="E1100" s="906"/>
      <c r="F1100" s="907"/>
      <c r="G1100" s="905" t="s">
        <v>356</v>
      </c>
      <c r="H1100" s="642" t="s">
        <v>491</v>
      </c>
      <c r="I1100" s="546"/>
      <c r="J1100" s="902"/>
      <c r="L1100" s="938"/>
      <c r="M1100" s="938"/>
      <c r="N1100" s="938"/>
      <c r="O1100" s="938"/>
    </row>
    <row r="1101" spans="1:15" ht="15" customHeight="1">
      <c r="A1101" s="908" t="s">
        <v>359</v>
      </c>
      <c r="B1101" s="909" t="s">
        <v>2090</v>
      </c>
      <c r="C1101" s="910" t="e">
        <f>VLOOKUP(B1100,'LƯƠNG KT'!$D$16:$Z$184,4,0)</f>
        <v>#N/A</v>
      </c>
      <c r="D1101" s="609" t="e">
        <f>+C1101*25000</f>
        <v>#N/A</v>
      </c>
      <c r="E1101" s="911"/>
      <c r="F1101" s="911"/>
      <c r="G1101" s="908" t="s">
        <v>359</v>
      </c>
      <c r="H1101" s="909" t="s">
        <v>2090</v>
      </c>
      <c r="I1101" s="910" t="e">
        <f>VLOOKUP(H1100,'LƯƠNG KT'!$D$16:$Z$184,4,0)</f>
        <v>#N/A</v>
      </c>
      <c r="J1101" s="609" t="e">
        <f>+I1101*25000</f>
        <v>#N/A</v>
      </c>
      <c r="K1101" s="935"/>
      <c r="L1101" s="935"/>
      <c r="M1101" s="935"/>
      <c r="N1101" s="935"/>
      <c r="O1101" s="935"/>
    </row>
    <row r="1102" spans="1:15" ht="15" customHeight="1">
      <c r="A1102" s="908" t="s">
        <v>361</v>
      </c>
      <c r="B1102" s="909" t="s">
        <v>2091</v>
      </c>
      <c r="C1102" s="910" t="e">
        <f>VLOOKUP(B1100,'LƯƠNG KT'!$D$16:$Z$184,15,0)</f>
        <v>#N/A</v>
      </c>
      <c r="D1102" s="609" t="e">
        <f>C1102*$L$4</f>
        <v>#N/A</v>
      </c>
      <c r="E1102" s="912"/>
      <c r="F1102" s="912"/>
      <c r="G1102" s="908" t="s">
        <v>361</v>
      </c>
      <c r="H1102" s="909" t="s">
        <v>2091</v>
      </c>
      <c r="I1102" s="910" t="e">
        <f>VLOOKUP(H1100,'LƯƠNG KT'!$D$16:$Z$184,15,0)</f>
        <v>#N/A</v>
      </c>
      <c r="J1102" s="609" t="e">
        <f>I1102*$L$4</f>
        <v>#N/A</v>
      </c>
      <c r="K1102" s="935"/>
      <c r="L1102" s="935"/>
      <c r="M1102" s="935"/>
      <c r="N1102" s="935"/>
      <c r="O1102" s="935"/>
    </row>
    <row r="1103" spans="1:15" ht="15" customHeight="1">
      <c r="A1103" s="908" t="s">
        <v>364</v>
      </c>
      <c r="B1103" s="909" t="s">
        <v>2092</v>
      </c>
      <c r="C1103" s="910" t="e">
        <f>VLOOKUP(B1100,'LƯƠNG KT'!$D$16:$Z$184,16,0)</f>
        <v>#N/A</v>
      </c>
      <c r="D1103" s="609" t="e">
        <f>C1103*$L$5</f>
        <v>#N/A</v>
      </c>
      <c r="E1103" s="912"/>
      <c r="F1103" s="912"/>
      <c r="G1103" s="908" t="s">
        <v>364</v>
      </c>
      <c r="H1103" s="909" t="s">
        <v>2092</v>
      </c>
      <c r="I1103" s="910" t="e">
        <f>VLOOKUP(H1100,'LƯƠNG KT'!$D$16:$Z$184,16,0)</f>
        <v>#N/A</v>
      </c>
      <c r="J1103" s="609" t="e">
        <f>I1103*$L$5</f>
        <v>#N/A</v>
      </c>
      <c r="K1103" s="935"/>
      <c r="L1103" s="935"/>
      <c r="M1103" s="935"/>
      <c r="N1103" s="935"/>
      <c r="O1103" s="935"/>
    </row>
    <row r="1104" spans="1:15" ht="15" customHeight="1">
      <c r="A1104" s="908" t="s">
        <v>370</v>
      </c>
      <c r="B1104" s="909" t="s">
        <v>2093</v>
      </c>
      <c r="C1104" s="910" t="e">
        <f>VLOOKUP(B1100,'LƯƠNG KT'!$D$16:$Z$184,24,0)</f>
        <v>#N/A</v>
      </c>
      <c r="D1104" s="609" t="e">
        <f>+C1104*$L$6</f>
        <v>#N/A</v>
      </c>
      <c r="E1104" s="912"/>
      <c r="F1104" s="912"/>
      <c r="G1104" s="908" t="s">
        <v>370</v>
      </c>
      <c r="H1104" s="909" t="s">
        <v>2093</v>
      </c>
      <c r="I1104" s="910" t="e">
        <f>VLOOKUP(H1100,'LƯƠNG KT'!$D$16:$Z$184,24,0)</f>
        <v>#N/A</v>
      </c>
      <c r="J1104" s="609" t="e">
        <f>+I1104*$L$6</f>
        <v>#N/A</v>
      </c>
      <c r="K1104" s="935"/>
      <c r="L1104" s="935"/>
      <c r="M1104" s="935"/>
      <c r="N1104" s="935"/>
      <c r="O1104" s="935"/>
    </row>
    <row r="1105" spans="1:15" ht="15" customHeight="1">
      <c r="A1105" s="908" t="s">
        <v>2094</v>
      </c>
      <c r="B1105" s="909" t="s">
        <v>2095</v>
      </c>
      <c r="C1105" s="910" t="e">
        <f>VLOOKUP(B1100,'LƯƠNG KT'!$D$16:$Z$184,19,0)</f>
        <v>#N/A</v>
      </c>
      <c r="D1105" s="609" t="e">
        <f>+C1105*$L$8</f>
        <v>#N/A</v>
      </c>
      <c r="E1105" s="912"/>
      <c r="F1105" s="912"/>
      <c r="G1105" s="908" t="s">
        <v>2094</v>
      </c>
      <c r="H1105" s="909" t="s">
        <v>2095</v>
      </c>
      <c r="I1105" s="910" t="e">
        <f>VLOOKUP(H1100,'LƯƠNG KT'!$D$16:$Z$184,19,0)</f>
        <v>#N/A</v>
      </c>
      <c r="J1105" s="609" t="e">
        <f>+I1105*$L$8</f>
        <v>#N/A</v>
      </c>
      <c r="K1105" s="935"/>
      <c r="L1105" s="935"/>
      <c r="M1105" s="935"/>
      <c r="N1105" s="935"/>
      <c r="O1105" s="935"/>
    </row>
    <row r="1106" spans="1:15" ht="15" customHeight="1">
      <c r="A1106" s="908" t="s">
        <v>2096</v>
      </c>
      <c r="B1106" s="913" t="s">
        <v>2097</v>
      </c>
      <c r="C1106" s="910" t="e">
        <f>VLOOKUP(B1100,'LƯƠNG KT'!$D$16:$Z$184,20,0)</f>
        <v>#N/A</v>
      </c>
      <c r="D1106" s="609" t="e">
        <f>+C1106*$L$9</f>
        <v>#N/A</v>
      </c>
      <c r="E1106" s="912"/>
      <c r="F1106" s="912"/>
      <c r="G1106" s="908" t="s">
        <v>2096</v>
      </c>
      <c r="H1106" s="913" t="s">
        <v>2097</v>
      </c>
      <c r="I1106" s="910" t="e">
        <f>VLOOKUP(H1100,'LƯƠNG KT'!$D$16:$Z$184,20,0)</f>
        <v>#N/A</v>
      </c>
      <c r="J1106" s="609" t="e">
        <f>+I1106*$L$9</f>
        <v>#N/A</v>
      </c>
      <c r="K1106" s="935"/>
      <c r="L1106" s="935"/>
      <c r="M1106" s="935"/>
      <c r="N1106" s="935"/>
      <c r="O1106" s="935"/>
    </row>
    <row r="1107" spans="1:15" ht="15" customHeight="1">
      <c r="A1107" s="908" t="s">
        <v>2099</v>
      </c>
      <c r="B1107" s="909" t="s">
        <v>2100</v>
      </c>
      <c r="C1107" s="910" t="e">
        <f>VLOOKUP(B1100,'LƯƠNG KT'!$D$16:$Z$184,17,0)</f>
        <v>#N/A</v>
      </c>
      <c r="D1107" s="609" t="e">
        <f>+C1107*$L$10</f>
        <v>#N/A</v>
      </c>
      <c r="E1107" s="912"/>
      <c r="F1107" s="912"/>
      <c r="G1107" s="908" t="s">
        <v>2099</v>
      </c>
      <c r="H1107" s="909" t="s">
        <v>2100</v>
      </c>
      <c r="I1107" s="910" t="e">
        <f>VLOOKUP(H1100,'LƯƠNG KT'!$D$16:$Z$184,17,0)</f>
        <v>#N/A</v>
      </c>
      <c r="J1107" s="609" t="e">
        <f>+I1107*$L$10</f>
        <v>#N/A</v>
      </c>
      <c r="K1107" s="935"/>
      <c r="L1107" s="935"/>
      <c r="M1107" s="935"/>
      <c r="N1107" s="935"/>
      <c r="O1107" s="935"/>
    </row>
    <row r="1108" spans="1:15" ht="15" customHeight="1">
      <c r="A1108" s="908" t="s">
        <v>374</v>
      </c>
      <c r="B1108" s="909" t="s">
        <v>2102</v>
      </c>
      <c r="C1108" s="910" t="e">
        <f>VLOOKUP(B1100,'LƯƠNG KT'!$D$16:$Z$184,12,0)</f>
        <v>#N/A</v>
      </c>
      <c r="D1108" s="609" t="e">
        <f>VLOOKUP(B1100,'LƯƠNG KT'!$D$16:$Z$184,14,0)</f>
        <v>#N/A</v>
      </c>
      <c r="E1108" s="914"/>
      <c r="F1108" s="912"/>
      <c r="G1108" s="908" t="s">
        <v>374</v>
      </c>
      <c r="H1108" s="909" t="s">
        <v>2102</v>
      </c>
      <c r="I1108" s="910" t="e">
        <f>VLOOKUP(H1100,'LƯƠNG KT'!$D$16:$Z$184,12,0)</f>
        <v>#N/A</v>
      </c>
      <c r="J1108" s="609" t="e">
        <f>VLOOKUP(H1100,'LƯƠNG KT'!$D$16:$Z$184,14,0)</f>
        <v>#N/A</v>
      </c>
      <c r="K1108" s="935"/>
      <c r="L1108" s="935"/>
      <c r="M1108" s="935"/>
      <c r="N1108" s="935"/>
      <c r="O1108" s="935"/>
    </row>
    <row r="1109" spans="1:15" ht="15" customHeight="1">
      <c r="A1109" s="908" t="s">
        <v>2103</v>
      </c>
      <c r="B1109" s="909" t="s">
        <v>2104</v>
      </c>
      <c r="D1109" s="915" t="e">
        <f>VLOOKUP(B1100,'LƯƠNG KT'!$D$16:$Z$184,13,0)</f>
        <v>#N/A</v>
      </c>
      <c r="E1109" s="916"/>
      <c r="F1109" s="916"/>
      <c r="G1109" s="908" t="s">
        <v>2103</v>
      </c>
      <c r="H1109" s="909" t="s">
        <v>2104</v>
      </c>
      <c r="J1109" s="915" t="e">
        <f>VLOOKUP(H1100,'LƯƠNG KT'!$D$16:$Z$184,13,0)</f>
        <v>#N/A</v>
      </c>
    </row>
    <row r="1110" spans="1:15" ht="15" customHeight="1">
      <c r="A1110" s="547"/>
      <c r="B1110" s="546"/>
      <c r="C1110" s="910"/>
      <c r="D1110" s="609"/>
      <c r="E1110" s="914"/>
      <c r="F1110" s="916"/>
      <c r="G1110" s="547"/>
      <c r="H1110" s="546"/>
      <c r="I1110" s="910"/>
      <c r="J1110" s="609"/>
    </row>
    <row r="1111" spans="1:15" ht="15" customHeight="1">
      <c r="A1111" s="905"/>
      <c r="B1111" s="546"/>
      <c r="C1111" s="910"/>
      <c r="D1111" s="609"/>
      <c r="E1111" s="917"/>
      <c r="F1111" s="904"/>
      <c r="G1111" s="905"/>
      <c r="H1111" s="546"/>
      <c r="I1111" s="910"/>
      <c r="J1111" s="609"/>
    </row>
    <row r="1112" spans="1:15" ht="15" customHeight="1">
      <c r="A1112" s="918" t="s">
        <v>383</v>
      </c>
      <c r="B1112" s="919" t="s">
        <v>384</v>
      </c>
      <c r="C1112" s="920"/>
      <c r="D1112" s="921" t="e">
        <f>SUM(D1101:D1108)-D1111</f>
        <v>#N/A</v>
      </c>
      <c r="E1112" s="922"/>
      <c r="F1112" s="923"/>
      <c r="G1112" s="918" t="s">
        <v>383</v>
      </c>
      <c r="H1112" s="919" t="s">
        <v>384</v>
      </c>
      <c r="I1112" s="920"/>
      <c r="J1112" s="921" t="e">
        <f>SUM(J1101:J1108)-J1111</f>
        <v>#N/A</v>
      </c>
    </row>
    <row r="1113" spans="1:15" ht="15.75" customHeight="1">
      <c r="A1113" s="924"/>
      <c r="B1113" s="925"/>
      <c r="C1113" s="926"/>
      <c r="D1113" s="927"/>
      <c r="E1113" s="927"/>
      <c r="F1113" s="928"/>
      <c r="G1113" s="924"/>
      <c r="H1113" s="925"/>
      <c r="I1113" s="926"/>
      <c r="J1113" s="927"/>
    </row>
    <row r="1115" spans="1:15" ht="134.25" customHeight="1">
      <c r="A1115" s="2361"/>
      <c r="B1115" s="2361"/>
      <c r="C1115" s="2361"/>
      <c r="D1115" s="2361"/>
      <c r="E1115" s="2361"/>
      <c r="F1115" s="2361"/>
      <c r="G1115" s="2361"/>
      <c r="H1115" s="2361"/>
      <c r="I1115" s="2361"/>
      <c r="J1115" s="2361"/>
    </row>
    <row r="1116" spans="1:15" ht="15" customHeight="1">
      <c r="A1116" s="2360" t="str">
        <f>$K$2</f>
        <v>THÁNG 04/2025</v>
      </c>
      <c r="B1116" s="2360"/>
      <c r="C1116" s="2360"/>
      <c r="D1116" s="2360"/>
      <c r="E1116" s="903"/>
      <c r="F1116" s="904"/>
      <c r="G1116" s="2360" t="str">
        <f>$K$2</f>
        <v>THÁNG 04/2025</v>
      </c>
      <c r="H1116" s="2360"/>
      <c r="I1116" s="2360"/>
      <c r="J1116" s="2360"/>
      <c r="K1116" s="276"/>
    </row>
    <row r="1117" spans="1:15" ht="15" customHeight="1">
      <c r="A1117" s="905" t="s">
        <v>356</v>
      </c>
      <c r="B1117" s="642" t="s">
        <v>24</v>
      </c>
      <c r="C1117" s="546"/>
      <c r="D1117" s="902"/>
      <c r="E1117" s="906"/>
      <c r="F1117" s="907"/>
      <c r="G1117" s="905" t="s">
        <v>356</v>
      </c>
      <c r="H1117" s="642" t="s">
        <v>84</v>
      </c>
      <c r="I1117" s="546"/>
      <c r="J1117" s="902"/>
      <c r="L1117" s="938"/>
      <c r="M1117" s="938"/>
      <c r="N1117" s="938"/>
      <c r="O1117" s="938"/>
    </row>
    <row r="1118" spans="1:15" ht="15" customHeight="1">
      <c r="A1118" s="908" t="s">
        <v>359</v>
      </c>
      <c r="B1118" s="909" t="s">
        <v>2090</v>
      </c>
      <c r="C1118" s="910" t="e">
        <f>VLOOKUP(B1117,'LƯƠNG KT'!$D$16:$Z$184,4,0)</f>
        <v>#N/A</v>
      </c>
      <c r="D1118" s="609" t="e">
        <f>+C1118*25000</f>
        <v>#N/A</v>
      </c>
      <c r="E1118" s="911"/>
      <c r="F1118" s="911"/>
      <c r="G1118" s="908" t="s">
        <v>359</v>
      </c>
      <c r="H1118" s="909" t="s">
        <v>2090</v>
      </c>
      <c r="I1118" s="910" t="e">
        <f>VLOOKUP(H1117,'LƯƠNG KT'!$D$16:$Z$184,4,0)</f>
        <v>#N/A</v>
      </c>
      <c r="J1118" s="609" t="e">
        <f>+I1118*25000</f>
        <v>#N/A</v>
      </c>
      <c r="K1118" s="934"/>
      <c r="L1118" s="935"/>
      <c r="M1118" s="935"/>
      <c r="N1118" s="935"/>
      <c r="O1118" s="935"/>
    </row>
    <row r="1119" spans="1:15" ht="15" customHeight="1">
      <c r="A1119" s="908" t="s">
        <v>361</v>
      </c>
      <c r="B1119" s="909" t="s">
        <v>2091</v>
      </c>
      <c r="C1119" s="910" t="e">
        <f>VLOOKUP(B1117,'LƯƠNG KT'!$D$16:$Z$184,15,0)</f>
        <v>#N/A</v>
      </c>
      <c r="D1119" s="609" t="e">
        <f>C1119*$L$4</f>
        <v>#N/A</v>
      </c>
      <c r="E1119" s="912"/>
      <c r="F1119" s="912"/>
      <c r="G1119" s="908" t="s">
        <v>361</v>
      </c>
      <c r="H1119" s="909" t="s">
        <v>2091</v>
      </c>
      <c r="I1119" s="910" t="e">
        <f>VLOOKUP(H1117,'LƯƠNG KT'!$D$16:$Z$184,15,0)</f>
        <v>#N/A</v>
      </c>
      <c r="J1119" s="609" t="e">
        <f>I1119*$L$4</f>
        <v>#N/A</v>
      </c>
      <c r="K1119" s="934"/>
      <c r="L1119" s="935"/>
      <c r="M1119" s="935"/>
      <c r="N1119" s="935"/>
      <c r="O1119" s="935"/>
    </row>
    <row r="1120" spans="1:15" ht="15" customHeight="1">
      <c r="A1120" s="908" t="s">
        <v>364</v>
      </c>
      <c r="B1120" s="909" t="s">
        <v>2092</v>
      </c>
      <c r="C1120" s="910" t="e">
        <f>VLOOKUP(B1117,'LƯƠNG KT'!$D$16:$Z$184,16,0)</f>
        <v>#N/A</v>
      </c>
      <c r="D1120" s="609" t="e">
        <f>C1120*$L$5</f>
        <v>#N/A</v>
      </c>
      <c r="E1120" s="912"/>
      <c r="F1120" s="912"/>
      <c r="G1120" s="908" t="s">
        <v>364</v>
      </c>
      <c r="H1120" s="909" t="s">
        <v>2092</v>
      </c>
      <c r="I1120" s="910" t="e">
        <f>VLOOKUP(H1117,'LƯƠNG KT'!$D$16:$Z$184,16,0)</f>
        <v>#N/A</v>
      </c>
      <c r="J1120" s="609" t="e">
        <f>I1120*$L$5</f>
        <v>#N/A</v>
      </c>
      <c r="K1120" s="934"/>
      <c r="L1120" s="935"/>
      <c r="M1120" s="935"/>
      <c r="N1120" s="935"/>
      <c r="O1120" s="935"/>
    </row>
    <row r="1121" spans="1:15" ht="15" customHeight="1">
      <c r="A1121" s="908" t="s">
        <v>370</v>
      </c>
      <c r="B1121" s="909" t="s">
        <v>2093</v>
      </c>
      <c r="C1121" s="910" t="e">
        <f>VLOOKUP(B1117,'LƯƠNG KT'!$D$16:$Z$184,24,0)</f>
        <v>#N/A</v>
      </c>
      <c r="D1121" s="609" t="e">
        <f>+C1121*$L$6</f>
        <v>#N/A</v>
      </c>
      <c r="E1121" s="912"/>
      <c r="F1121" s="912"/>
      <c r="G1121" s="908" t="s">
        <v>370</v>
      </c>
      <c r="H1121" s="909" t="s">
        <v>2093</v>
      </c>
      <c r="I1121" s="910" t="e">
        <f>VLOOKUP(H1117,'LƯƠNG KT'!$D$16:$Z$184,24,0)</f>
        <v>#N/A</v>
      </c>
      <c r="J1121" s="609" t="e">
        <f>+I1121*$L$6</f>
        <v>#N/A</v>
      </c>
      <c r="K1121" s="935"/>
      <c r="L1121" s="935"/>
      <c r="M1121" s="935"/>
      <c r="N1121" s="935"/>
      <c r="O1121" s="935"/>
    </row>
    <row r="1122" spans="1:15" ht="15" customHeight="1">
      <c r="A1122" s="908" t="s">
        <v>2094</v>
      </c>
      <c r="B1122" s="909" t="s">
        <v>2095</v>
      </c>
      <c r="C1122" s="910" t="e">
        <f>VLOOKUP(B1117,'LƯƠNG KT'!$D$16:$Z$184,19,0)</f>
        <v>#N/A</v>
      </c>
      <c r="D1122" s="609" t="e">
        <f>+C1122*$L$8</f>
        <v>#N/A</v>
      </c>
      <c r="E1122" s="912"/>
      <c r="F1122" s="912"/>
      <c r="G1122" s="908" t="s">
        <v>2094</v>
      </c>
      <c r="H1122" s="909" t="s">
        <v>2095</v>
      </c>
      <c r="I1122" s="910" t="e">
        <f>VLOOKUP(H1117,'LƯƠNG KT'!$D$16:$Z$184,19,0)</f>
        <v>#N/A</v>
      </c>
      <c r="J1122" s="609" t="e">
        <f>+I1122*$L$8</f>
        <v>#N/A</v>
      </c>
      <c r="K1122" s="935"/>
      <c r="L1122" s="935"/>
      <c r="M1122" s="935"/>
      <c r="N1122" s="935"/>
      <c r="O1122" s="935"/>
    </row>
    <row r="1123" spans="1:15" ht="15" customHeight="1">
      <c r="A1123" s="908" t="s">
        <v>2096</v>
      </c>
      <c r="B1123" s="913" t="s">
        <v>2097</v>
      </c>
      <c r="C1123" s="910" t="e">
        <f>VLOOKUP(B1117,'LƯƠNG KT'!$D$16:$Z$184,20,0)</f>
        <v>#N/A</v>
      </c>
      <c r="D1123" s="609" t="e">
        <f>+C1123*$L$9</f>
        <v>#N/A</v>
      </c>
      <c r="E1123" s="912"/>
      <c r="F1123" s="912"/>
      <c r="G1123" s="908" t="s">
        <v>2096</v>
      </c>
      <c r="H1123" s="913" t="s">
        <v>2097</v>
      </c>
      <c r="I1123" s="910" t="e">
        <f>VLOOKUP(H1117,'LƯƠNG KT'!$D$16:$Z$184,20,0)</f>
        <v>#N/A</v>
      </c>
      <c r="J1123" s="609" t="e">
        <f>+I1123*$L$9</f>
        <v>#N/A</v>
      </c>
      <c r="K1123" s="935"/>
      <c r="L1123" s="935"/>
      <c r="M1123" s="935"/>
      <c r="N1123" s="935"/>
      <c r="O1123" s="935"/>
    </row>
    <row r="1124" spans="1:15" ht="15" customHeight="1">
      <c r="A1124" s="908" t="s">
        <v>2099</v>
      </c>
      <c r="B1124" s="909" t="s">
        <v>2100</v>
      </c>
      <c r="C1124" s="910" t="e">
        <f>VLOOKUP(B1117,'LƯƠNG KT'!$D$16:$Z$184,17,0)</f>
        <v>#N/A</v>
      </c>
      <c r="D1124" s="609" t="e">
        <f>+C1124*$L$10</f>
        <v>#N/A</v>
      </c>
      <c r="E1124" s="912"/>
      <c r="F1124" s="912"/>
      <c r="G1124" s="908" t="s">
        <v>2099</v>
      </c>
      <c r="H1124" s="909" t="s">
        <v>2100</v>
      </c>
      <c r="I1124" s="910" t="e">
        <f>VLOOKUP(H1117,'LƯƠNG KT'!$D$16:$Z$184,17,0)</f>
        <v>#N/A</v>
      </c>
      <c r="J1124" s="609" t="e">
        <f>+I1124*$L$10</f>
        <v>#N/A</v>
      </c>
      <c r="K1124" s="935"/>
      <c r="L1124" s="935"/>
      <c r="M1124" s="935"/>
      <c r="N1124" s="935"/>
      <c r="O1124" s="935"/>
    </row>
    <row r="1125" spans="1:15" ht="15" customHeight="1">
      <c r="A1125" s="908" t="s">
        <v>374</v>
      </c>
      <c r="B1125" s="909" t="s">
        <v>2102</v>
      </c>
      <c r="C1125" s="910" t="e">
        <f>VLOOKUP(B1117,'LƯƠNG KT'!$D$16:$Z$184,12,0)</f>
        <v>#N/A</v>
      </c>
      <c r="D1125" s="609" t="e">
        <f>VLOOKUP(B1117,'LƯƠNG KT'!$D$16:$Z$184,14,0)</f>
        <v>#N/A</v>
      </c>
      <c r="E1125" s="914"/>
      <c r="F1125" s="912"/>
      <c r="G1125" s="908" t="s">
        <v>374</v>
      </c>
      <c r="H1125" s="909" t="s">
        <v>2102</v>
      </c>
      <c r="I1125" s="910" t="e">
        <f>VLOOKUP(H1117,'LƯƠNG KT'!$D$16:$Z$184,12,0)</f>
        <v>#N/A</v>
      </c>
      <c r="J1125" s="609" t="e">
        <f>VLOOKUP(H1117,'LƯƠNG KT'!$D$16:$Z$184,14,0)</f>
        <v>#N/A</v>
      </c>
      <c r="K1125" s="935"/>
      <c r="L1125" s="935"/>
      <c r="M1125" s="935"/>
      <c r="N1125" s="935"/>
      <c r="O1125" s="935"/>
    </row>
    <row r="1126" spans="1:15" ht="15" customHeight="1">
      <c r="A1126" s="908" t="s">
        <v>2103</v>
      </c>
      <c r="B1126" s="909" t="s">
        <v>2104</v>
      </c>
      <c r="D1126" s="915" t="e">
        <f>VLOOKUP(B1117,'LƯƠNG KT'!$D$16:$Z$184,13,0)</f>
        <v>#N/A</v>
      </c>
      <c r="E1126" s="916"/>
      <c r="F1126" s="916"/>
      <c r="G1126" s="908" t="s">
        <v>2103</v>
      </c>
      <c r="H1126" s="909" t="s">
        <v>2104</v>
      </c>
      <c r="J1126" s="915" t="e">
        <f>VLOOKUP(H1117,'LƯƠNG KT'!$D$16:$Z$184,13,0)</f>
        <v>#N/A</v>
      </c>
    </row>
    <row r="1127" spans="1:15" ht="15" customHeight="1">
      <c r="A1127" s="547"/>
      <c r="B1127" s="546"/>
      <c r="C1127" s="910"/>
      <c r="D1127" s="609"/>
      <c r="E1127" s="914"/>
      <c r="F1127" s="916"/>
      <c r="G1127" s="547"/>
      <c r="H1127" s="546"/>
      <c r="I1127" s="910"/>
      <c r="J1127" s="609"/>
    </row>
    <row r="1128" spans="1:15" ht="15" customHeight="1">
      <c r="A1128" s="905"/>
      <c r="B1128" s="546"/>
      <c r="C1128" s="910"/>
      <c r="D1128" s="609"/>
      <c r="E1128" s="917"/>
      <c r="F1128" s="904"/>
      <c r="G1128" s="905"/>
      <c r="H1128" s="546"/>
      <c r="I1128" s="910"/>
      <c r="J1128" s="609"/>
    </row>
    <row r="1129" spans="1:15" ht="15" customHeight="1">
      <c r="A1129" s="918" t="s">
        <v>383</v>
      </c>
      <c r="B1129" s="919" t="s">
        <v>384</v>
      </c>
      <c r="C1129" s="920"/>
      <c r="D1129" s="921" t="e">
        <f>SUM(D1118:D1125)-D1128</f>
        <v>#N/A</v>
      </c>
      <c r="E1129" s="922"/>
      <c r="F1129" s="923"/>
      <c r="G1129" s="918" t="s">
        <v>383</v>
      </c>
      <c r="H1129" s="919" t="s">
        <v>384</v>
      </c>
      <c r="I1129" s="920"/>
      <c r="J1129" s="921" t="e">
        <f>SUM(J1118:J1125)-J1128</f>
        <v>#N/A</v>
      </c>
    </row>
    <row r="1130" spans="1:15" ht="12.6" customHeight="1">
      <c r="A1130" s="924"/>
      <c r="B1130" s="925"/>
      <c r="C1130" s="926"/>
      <c r="D1130" s="927"/>
      <c r="E1130" s="927"/>
      <c r="F1130" s="928"/>
      <c r="G1130" s="924"/>
      <c r="H1130" s="925"/>
      <c r="I1130" s="926"/>
      <c r="J1130" s="927"/>
    </row>
    <row r="1131" spans="1:15" ht="12.6" customHeight="1">
      <c r="A1131" s="925"/>
      <c r="B1131" s="925"/>
      <c r="C1131" s="929"/>
      <c r="D1131" s="930"/>
      <c r="E1131" s="925"/>
      <c r="F1131" s="931"/>
      <c r="G1131" s="925"/>
      <c r="H1131" s="925"/>
      <c r="I1131" s="929"/>
      <c r="J1131" s="930"/>
    </row>
    <row r="1132" spans="1:15" ht="15" customHeight="1">
      <c r="A1132" s="2360" t="str">
        <f>$K$2</f>
        <v>THÁNG 04/2025</v>
      </c>
      <c r="B1132" s="2360"/>
      <c r="C1132" s="2360"/>
      <c r="D1132" s="2360"/>
      <c r="E1132" s="903"/>
      <c r="F1132" s="904"/>
      <c r="G1132" s="2360" t="str">
        <f>$K$2</f>
        <v>THÁNG 04/2025</v>
      </c>
      <c r="H1132" s="2360"/>
      <c r="I1132" s="2360"/>
      <c r="J1132" s="2360"/>
      <c r="K1132" s="276"/>
    </row>
    <row r="1133" spans="1:15" ht="15" customHeight="1">
      <c r="A1133" s="905" t="s">
        <v>356</v>
      </c>
      <c r="B1133" s="642" t="s">
        <v>83</v>
      </c>
      <c r="C1133" s="546"/>
      <c r="D1133" s="902"/>
      <c r="E1133" s="906"/>
      <c r="F1133" s="907"/>
      <c r="G1133" s="905" t="s">
        <v>356</v>
      </c>
      <c r="H1133" s="642" t="s">
        <v>21</v>
      </c>
      <c r="I1133" s="546"/>
      <c r="J1133" s="902"/>
      <c r="L1133" s="938"/>
      <c r="M1133" s="938"/>
      <c r="N1133" s="938"/>
      <c r="O1133" s="938"/>
    </row>
    <row r="1134" spans="1:15" ht="15" customHeight="1">
      <c r="A1134" s="908" t="s">
        <v>359</v>
      </c>
      <c r="B1134" s="909" t="s">
        <v>2090</v>
      </c>
      <c r="C1134" s="910" t="e">
        <f>VLOOKUP(B1133,'LƯƠNG KT'!$D$16:$Z$184,4,0)</f>
        <v>#N/A</v>
      </c>
      <c r="D1134" s="609" t="e">
        <f>+C1134*25000</f>
        <v>#N/A</v>
      </c>
      <c r="E1134" s="911"/>
      <c r="F1134" s="911"/>
      <c r="G1134" s="908" t="s">
        <v>359</v>
      </c>
      <c r="H1134" s="909" t="s">
        <v>2090</v>
      </c>
      <c r="I1134" s="910" t="e">
        <f>VLOOKUP(H1133,'LƯƠNG KT'!$D$16:$Z$184,4,0)</f>
        <v>#N/A</v>
      </c>
      <c r="J1134" s="609" t="e">
        <f>+I1134*25000</f>
        <v>#N/A</v>
      </c>
      <c r="K1134" s="935"/>
      <c r="L1134" s="935"/>
      <c r="M1134" s="935"/>
      <c r="N1134" s="935"/>
      <c r="O1134" s="935"/>
    </row>
    <row r="1135" spans="1:15" ht="15" customHeight="1">
      <c r="A1135" s="908" t="s">
        <v>361</v>
      </c>
      <c r="B1135" s="909" t="s">
        <v>2091</v>
      </c>
      <c r="C1135" s="910" t="e">
        <f>VLOOKUP(B1133,'LƯƠNG KT'!$D$16:$Z$184,15,0)</f>
        <v>#N/A</v>
      </c>
      <c r="D1135" s="609" t="e">
        <f>C1135*$L$4</f>
        <v>#N/A</v>
      </c>
      <c r="E1135" s="912"/>
      <c r="F1135" s="912"/>
      <c r="G1135" s="908" t="s">
        <v>361</v>
      </c>
      <c r="H1135" s="909" t="s">
        <v>2091</v>
      </c>
      <c r="I1135" s="910" t="e">
        <f>VLOOKUP(H1133,'LƯƠNG KT'!$D$16:$Z$184,15,0)</f>
        <v>#N/A</v>
      </c>
      <c r="J1135" s="609" t="e">
        <f>I1135*$L$4</f>
        <v>#N/A</v>
      </c>
      <c r="K1135" s="935"/>
      <c r="L1135" s="935"/>
      <c r="M1135" s="935"/>
      <c r="N1135" s="935"/>
      <c r="O1135" s="935"/>
    </row>
    <row r="1136" spans="1:15" ht="15" customHeight="1">
      <c r="A1136" s="908" t="s">
        <v>364</v>
      </c>
      <c r="B1136" s="909" t="s">
        <v>2092</v>
      </c>
      <c r="C1136" s="910" t="e">
        <f>VLOOKUP(B1133,'LƯƠNG KT'!$D$16:$Z$184,16,0)</f>
        <v>#N/A</v>
      </c>
      <c r="D1136" s="609" t="e">
        <f>C1136*$L$5</f>
        <v>#N/A</v>
      </c>
      <c r="E1136" s="912"/>
      <c r="F1136" s="912"/>
      <c r="G1136" s="908" t="s">
        <v>364</v>
      </c>
      <c r="H1136" s="909" t="s">
        <v>2092</v>
      </c>
      <c r="I1136" s="910" t="e">
        <f>VLOOKUP(H1133,'LƯƠNG KT'!$D$16:$Z$184,16,0)</f>
        <v>#N/A</v>
      </c>
      <c r="J1136" s="609" t="e">
        <f>I1136*$L$5</f>
        <v>#N/A</v>
      </c>
      <c r="K1136" s="935"/>
      <c r="L1136" s="935"/>
      <c r="M1136" s="935"/>
      <c r="N1136" s="935"/>
      <c r="O1136" s="935"/>
    </row>
    <row r="1137" spans="1:15" ht="15" customHeight="1">
      <c r="A1137" s="908" t="s">
        <v>370</v>
      </c>
      <c r="B1137" s="909" t="s">
        <v>2093</v>
      </c>
      <c r="C1137" s="910" t="e">
        <f>VLOOKUP(B1133,'LƯƠNG KT'!$D$16:$Z$184,24,0)</f>
        <v>#N/A</v>
      </c>
      <c r="D1137" s="609" t="e">
        <f>+C1137*$L$6</f>
        <v>#N/A</v>
      </c>
      <c r="E1137" s="912"/>
      <c r="F1137" s="912"/>
      <c r="G1137" s="908" t="s">
        <v>370</v>
      </c>
      <c r="H1137" s="909" t="s">
        <v>2093</v>
      </c>
      <c r="I1137" s="910" t="e">
        <f>VLOOKUP(H1133,'LƯƠNG KT'!$D$16:$Z$184,24,0)</f>
        <v>#N/A</v>
      </c>
      <c r="J1137" s="609" t="e">
        <f>+I1137*$L$6</f>
        <v>#N/A</v>
      </c>
      <c r="K1137" s="935"/>
      <c r="L1137" s="935"/>
      <c r="M1137" s="935"/>
      <c r="N1137" s="935"/>
      <c r="O1137" s="935"/>
    </row>
    <row r="1138" spans="1:15" ht="15" customHeight="1">
      <c r="A1138" s="908" t="s">
        <v>2094</v>
      </c>
      <c r="B1138" s="909" t="s">
        <v>2095</v>
      </c>
      <c r="C1138" s="910" t="e">
        <f>VLOOKUP(B1133,'LƯƠNG KT'!$D$16:$Z$184,19,0)</f>
        <v>#N/A</v>
      </c>
      <c r="D1138" s="609" t="e">
        <f>+C1138*$L$8</f>
        <v>#N/A</v>
      </c>
      <c r="E1138" s="912"/>
      <c r="F1138" s="912"/>
      <c r="G1138" s="908" t="s">
        <v>2094</v>
      </c>
      <c r="H1138" s="909" t="s">
        <v>2095</v>
      </c>
      <c r="I1138" s="910" t="e">
        <f>VLOOKUP(H1133,'LƯƠNG KT'!$D$16:$Z$184,19,0)</f>
        <v>#N/A</v>
      </c>
      <c r="J1138" s="609" t="e">
        <f>+I1138*$L$8</f>
        <v>#N/A</v>
      </c>
      <c r="K1138" s="935"/>
      <c r="L1138" s="935"/>
      <c r="M1138" s="935"/>
      <c r="N1138" s="935"/>
      <c r="O1138" s="935"/>
    </row>
    <row r="1139" spans="1:15" ht="15" customHeight="1">
      <c r="A1139" s="908" t="s">
        <v>2096</v>
      </c>
      <c r="B1139" s="913" t="s">
        <v>2097</v>
      </c>
      <c r="C1139" s="910" t="e">
        <f>VLOOKUP(B1133,'LƯƠNG KT'!$D$16:$Z$184,20,0)</f>
        <v>#N/A</v>
      </c>
      <c r="D1139" s="609" t="e">
        <f>+C1139*$L$9</f>
        <v>#N/A</v>
      </c>
      <c r="E1139" s="912"/>
      <c r="F1139" s="912"/>
      <c r="G1139" s="908" t="s">
        <v>2096</v>
      </c>
      <c r="H1139" s="913" t="s">
        <v>2097</v>
      </c>
      <c r="I1139" s="910" t="e">
        <f>VLOOKUP(H1133,'LƯƠNG KT'!$D$16:$Z$184,20,0)</f>
        <v>#N/A</v>
      </c>
      <c r="J1139" s="609" t="e">
        <f>+I1139*$L$9</f>
        <v>#N/A</v>
      </c>
      <c r="K1139" s="935"/>
      <c r="L1139" s="935"/>
      <c r="M1139" s="935"/>
      <c r="N1139" s="935"/>
      <c r="O1139" s="935"/>
    </row>
    <row r="1140" spans="1:15" ht="15" customHeight="1">
      <c r="A1140" s="908" t="s">
        <v>2099</v>
      </c>
      <c r="B1140" s="909" t="s">
        <v>2100</v>
      </c>
      <c r="C1140" s="910" t="e">
        <f>VLOOKUP(B1133,'LƯƠNG KT'!$D$16:$Z$184,17,0)</f>
        <v>#N/A</v>
      </c>
      <c r="D1140" s="609" t="e">
        <f>+C1140*$L$10</f>
        <v>#N/A</v>
      </c>
      <c r="E1140" s="912"/>
      <c r="F1140" s="912"/>
      <c r="G1140" s="908" t="s">
        <v>2099</v>
      </c>
      <c r="H1140" s="909" t="s">
        <v>2100</v>
      </c>
      <c r="I1140" s="910" t="e">
        <f>VLOOKUP(H1133,'LƯƠNG KT'!$D$16:$Z$184,17,0)</f>
        <v>#N/A</v>
      </c>
      <c r="J1140" s="609" t="e">
        <f>+I1140*$L$10</f>
        <v>#N/A</v>
      </c>
      <c r="K1140" s="935"/>
      <c r="L1140" s="935"/>
      <c r="M1140" s="935"/>
      <c r="N1140" s="935"/>
      <c r="O1140" s="935"/>
    </row>
    <row r="1141" spans="1:15" ht="15" customHeight="1">
      <c r="A1141" s="908" t="s">
        <v>374</v>
      </c>
      <c r="B1141" s="909" t="s">
        <v>2102</v>
      </c>
      <c r="C1141" s="910" t="e">
        <f>VLOOKUP(B1133,'LƯƠNG KT'!$D$16:$Z$184,12,0)</f>
        <v>#N/A</v>
      </c>
      <c r="D1141" s="609" t="e">
        <f>VLOOKUP(B1133,'LƯƠNG KT'!$D$16:$Z$184,14,0)</f>
        <v>#N/A</v>
      </c>
      <c r="E1141" s="914"/>
      <c r="F1141" s="912"/>
      <c r="G1141" s="908" t="s">
        <v>374</v>
      </c>
      <c r="H1141" s="909" t="s">
        <v>2102</v>
      </c>
      <c r="I1141" s="910" t="e">
        <f>VLOOKUP(H1133,'LƯƠNG KT'!$D$16:$Z$184,12,0)</f>
        <v>#N/A</v>
      </c>
      <c r="J1141" s="609" t="e">
        <f>VLOOKUP(H1133,'LƯƠNG KT'!$D$16:$Z$184,14,0)</f>
        <v>#N/A</v>
      </c>
      <c r="K1141" s="935"/>
      <c r="L1141" s="935"/>
      <c r="M1141" s="935"/>
      <c r="N1141" s="935"/>
      <c r="O1141" s="935"/>
    </row>
    <row r="1142" spans="1:15" ht="15" customHeight="1">
      <c r="A1142" s="908" t="s">
        <v>2103</v>
      </c>
      <c r="B1142" s="909" t="s">
        <v>2104</v>
      </c>
      <c r="D1142" s="915" t="e">
        <f>VLOOKUP(B1133,'LƯƠNG KT'!$D$16:$Z$184,13,0)</f>
        <v>#N/A</v>
      </c>
      <c r="E1142" s="916"/>
      <c r="F1142" s="916"/>
      <c r="G1142" s="908" t="s">
        <v>2103</v>
      </c>
      <c r="H1142" s="909" t="s">
        <v>2104</v>
      </c>
      <c r="J1142" s="915" t="e">
        <f>VLOOKUP(H1133,'LƯƠNG KT'!$D$16:$Z$184,13,0)</f>
        <v>#N/A</v>
      </c>
    </row>
    <row r="1143" spans="1:15" ht="15" customHeight="1">
      <c r="A1143" s="547"/>
      <c r="B1143" s="546"/>
      <c r="C1143" s="910"/>
      <c r="D1143" s="609"/>
      <c r="E1143" s="914"/>
      <c r="F1143" s="916"/>
      <c r="G1143" s="547"/>
      <c r="H1143" s="546"/>
      <c r="I1143" s="910"/>
      <c r="J1143" s="609"/>
    </row>
    <row r="1144" spans="1:15" ht="15" customHeight="1">
      <c r="A1144" s="905"/>
      <c r="B1144" s="546"/>
      <c r="C1144" s="910"/>
      <c r="D1144" s="609"/>
      <c r="E1144" s="917"/>
      <c r="F1144" s="904"/>
      <c r="G1144" s="905"/>
      <c r="H1144" s="546"/>
      <c r="I1144" s="910"/>
      <c r="J1144" s="609"/>
    </row>
    <row r="1145" spans="1:15" ht="15" customHeight="1">
      <c r="A1145" s="918" t="s">
        <v>383</v>
      </c>
      <c r="B1145" s="919" t="s">
        <v>384</v>
      </c>
      <c r="C1145" s="920"/>
      <c r="D1145" s="921" t="e">
        <f>SUM(D1134:D1141)-D1144</f>
        <v>#N/A</v>
      </c>
      <c r="E1145" s="922"/>
      <c r="F1145" s="923"/>
      <c r="G1145" s="918" t="s">
        <v>383</v>
      </c>
      <c r="H1145" s="919" t="s">
        <v>384</v>
      </c>
      <c r="I1145" s="920"/>
      <c r="J1145" s="921" t="e">
        <f>SUM(J1134:J1141)-J1144</f>
        <v>#N/A</v>
      </c>
    </row>
    <row r="1146" spans="1:15" ht="18.75" customHeight="1">
      <c r="A1146" s="924"/>
      <c r="B1146" s="925"/>
      <c r="C1146" s="926"/>
      <c r="D1146" s="927"/>
      <c r="E1146" s="927"/>
      <c r="F1146" s="928"/>
      <c r="G1146" s="924"/>
      <c r="H1146" s="925"/>
      <c r="I1146" s="926"/>
      <c r="J1146" s="927"/>
    </row>
    <row r="1147" spans="1:15" ht="18.75" customHeight="1">
      <c r="A1147" s="925"/>
      <c r="B1147" s="925"/>
      <c r="C1147" s="929"/>
      <c r="D1147" s="930"/>
      <c r="E1147" s="925"/>
      <c r="F1147" s="931"/>
      <c r="G1147" s="925"/>
      <c r="H1147" s="925"/>
      <c r="I1147" s="929"/>
      <c r="J1147" s="930"/>
    </row>
    <row r="1148" spans="1:15" ht="15" customHeight="1">
      <c r="A1148" s="2360" t="str">
        <f>$K$2</f>
        <v>THÁNG 04/2025</v>
      </c>
      <c r="B1148" s="2360"/>
      <c r="C1148" s="2360"/>
      <c r="D1148" s="2360"/>
      <c r="E1148" s="903"/>
      <c r="F1148" s="904"/>
      <c r="G1148" s="2360" t="str">
        <f>$K$2</f>
        <v>THÁNG 04/2025</v>
      </c>
      <c r="H1148" s="2360"/>
      <c r="I1148" s="2360"/>
      <c r="J1148" s="2360"/>
      <c r="K1148" s="276"/>
    </row>
    <row r="1149" spans="1:15" ht="15" customHeight="1">
      <c r="A1149" s="905" t="s">
        <v>356</v>
      </c>
      <c r="B1149" s="642" t="s">
        <v>53</v>
      </c>
      <c r="C1149" s="546"/>
      <c r="D1149" s="902"/>
      <c r="E1149" s="906"/>
      <c r="F1149" s="907"/>
      <c r="G1149" s="905" t="s">
        <v>356</v>
      </c>
      <c r="H1149" s="642" t="s">
        <v>490</v>
      </c>
      <c r="I1149" s="546"/>
      <c r="J1149" s="902"/>
      <c r="L1149" s="938"/>
      <c r="M1149" s="938"/>
      <c r="N1149" s="938"/>
      <c r="O1149" s="938"/>
    </row>
    <row r="1150" spans="1:15" ht="15" customHeight="1">
      <c r="A1150" s="908" t="s">
        <v>359</v>
      </c>
      <c r="B1150" s="909" t="s">
        <v>2090</v>
      </c>
      <c r="C1150" s="910" t="e">
        <f>VLOOKUP(B1149,'LƯƠNG KT'!$D$16:$Z$184,4,0)</f>
        <v>#N/A</v>
      </c>
      <c r="D1150" s="609" t="e">
        <f>+C1150*25000</f>
        <v>#N/A</v>
      </c>
      <c r="E1150" s="911"/>
      <c r="F1150" s="911"/>
      <c r="G1150" s="908" t="s">
        <v>359</v>
      </c>
      <c r="H1150" s="909" t="s">
        <v>2090</v>
      </c>
      <c r="I1150" s="910" t="e">
        <f>VLOOKUP(H1149,'LƯƠNG KT'!$D$16:$Z$184,4,0)</f>
        <v>#N/A</v>
      </c>
      <c r="J1150" s="609" t="e">
        <f>+I1150*25000</f>
        <v>#N/A</v>
      </c>
      <c r="K1150" s="935"/>
      <c r="L1150" s="935"/>
      <c r="M1150" s="935"/>
      <c r="N1150" s="935"/>
      <c r="O1150" s="935"/>
    </row>
    <row r="1151" spans="1:15" ht="15" customHeight="1">
      <c r="A1151" s="908" t="s">
        <v>361</v>
      </c>
      <c r="B1151" s="909" t="s">
        <v>2091</v>
      </c>
      <c r="C1151" s="910" t="e">
        <f>VLOOKUP(B1149,'LƯƠNG KT'!$D$16:$Z$184,15,0)</f>
        <v>#N/A</v>
      </c>
      <c r="D1151" s="609" t="e">
        <f>C1151*$L$4</f>
        <v>#N/A</v>
      </c>
      <c r="E1151" s="912"/>
      <c r="F1151" s="912"/>
      <c r="G1151" s="908" t="s">
        <v>361</v>
      </c>
      <c r="H1151" s="909" t="s">
        <v>2091</v>
      </c>
      <c r="I1151" s="910" t="e">
        <f>VLOOKUP(H1149,'LƯƠNG KT'!$D$16:$Z$184,15,0)</f>
        <v>#N/A</v>
      </c>
      <c r="J1151" s="609" t="e">
        <f>I1151*$L$4</f>
        <v>#N/A</v>
      </c>
      <c r="K1151" s="935"/>
      <c r="L1151" s="935"/>
      <c r="M1151" s="935"/>
      <c r="N1151" s="935"/>
      <c r="O1151" s="935"/>
    </row>
    <row r="1152" spans="1:15" ht="15" customHeight="1">
      <c r="A1152" s="908" t="s">
        <v>364</v>
      </c>
      <c r="B1152" s="909" t="s">
        <v>2092</v>
      </c>
      <c r="C1152" s="910" t="e">
        <f>VLOOKUP(B1149,'LƯƠNG KT'!$D$16:$Z$184,16,0)</f>
        <v>#N/A</v>
      </c>
      <c r="D1152" s="609" t="e">
        <f>C1152*$L$5</f>
        <v>#N/A</v>
      </c>
      <c r="E1152" s="912"/>
      <c r="F1152" s="912"/>
      <c r="G1152" s="908" t="s">
        <v>364</v>
      </c>
      <c r="H1152" s="909" t="s">
        <v>2092</v>
      </c>
      <c r="I1152" s="910" t="e">
        <f>VLOOKUP(H1149,'LƯƠNG KT'!$D$16:$Z$184,16,0)</f>
        <v>#N/A</v>
      </c>
      <c r="J1152" s="609" t="e">
        <f>I1152*$L$5</f>
        <v>#N/A</v>
      </c>
      <c r="K1152" s="935"/>
      <c r="L1152" s="935"/>
      <c r="M1152" s="935"/>
      <c r="N1152" s="935"/>
      <c r="O1152" s="935"/>
    </row>
    <row r="1153" spans="1:15" ht="15" customHeight="1">
      <c r="A1153" s="908" t="s">
        <v>370</v>
      </c>
      <c r="B1153" s="909" t="s">
        <v>2093</v>
      </c>
      <c r="C1153" s="910" t="e">
        <f>VLOOKUP(B1149,'LƯƠNG KT'!$D$16:$Z$184,24,0)</f>
        <v>#N/A</v>
      </c>
      <c r="D1153" s="609" t="e">
        <f>+C1153*$L$6</f>
        <v>#N/A</v>
      </c>
      <c r="E1153" s="912"/>
      <c r="F1153" s="912"/>
      <c r="G1153" s="908" t="s">
        <v>370</v>
      </c>
      <c r="H1153" s="909" t="s">
        <v>2093</v>
      </c>
      <c r="I1153" s="910" t="e">
        <f>VLOOKUP(H1149,'LƯƠNG KT'!$D$16:$Z$184,24,0)</f>
        <v>#N/A</v>
      </c>
      <c r="J1153" s="609" t="e">
        <f>+I1153*$L$6</f>
        <v>#N/A</v>
      </c>
      <c r="K1153" s="935"/>
      <c r="L1153" s="935"/>
      <c r="M1153" s="935"/>
      <c r="N1153" s="935"/>
      <c r="O1153" s="935"/>
    </row>
    <row r="1154" spans="1:15" ht="15" customHeight="1">
      <c r="A1154" s="908" t="s">
        <v>2094</v>
      </c>
      <c r="B1154" s="909" t="s">
        <v>2095</v>
      </c>
      <c r="C1154" s="910" t="e">
        <f>VLOOKUP(B1149,'LƯƠNG KT'!$D$16:$Z$184,19,0)</f>
        <v>#N/A</v>
      </c>
      <c r="D1154" s="609" t="e">
        <f>+C1154*$L$8</f>
        <v>#N/A</v>
      </c>
      <c r="E1154" s="912"/>
      <c r="F1154" s="912"/>
      <c r="G1154" s="908" t="s">
        <v>2094</v>
      </c>
      <c r="H1154" s="909" t="s">
        <v>2095</v>
      </c>
      <c r="I1154" s="910" t="e">
        <f>VLOOKUP(H1149,'LƯƠNG KT'!$D$16:$Z$184,19,0)</f>
        <v>#N/A</v>
      </c>
      <c r="J1154" s="609" t="e">
        <f>+I1154*$L$8</f>
        <v>#N/A</v>
      </c>
      <c r="K1154" s="935"/>
      <c r="L1154" s="935"/>
      <c r="M1154" s="935"/>
      <c r="N1154" s="935"/>
      <c r="O1154" s="935"/>
    </row>
    <row r="1155" spans="1:15" ht="15" customHeight="1">
      <c r="A1155" s="908" t="s">
        <v>2096</v>
      </c>
      <c r="B1155" s="913" t="s">
        <v>2097</v>
      </c>
      <c r="C1155" s="910" t="e">
        <f>VLOOKUP(B1149,'LƯƠNG KT'!$D$16:$Z$184,20,0)</f>
        <v>#N/A</v>
      </c>
      <c r="D1155" s="609" t="e">
        <f>+C1155*$L$9</f>
        <v>#N/A</v>
      </c>
      <c r="E1155" s="912"/>
      <c r="F1155" s="912"/>
      <c r="G1155" s="908" t="s">
        <v>2096</v>
      </c>
      <c r="H1155" s="913" t="s">
        <v>2097</v>
      </c>
      <c r="I1155" s="910" t="e">
        <f>VLOOKUP(H1149,'LƯƠNG KT'!$D$16:$Z$184,20,0)</f>
        <v>#N/A</v>
      </c>
      <c r="J1155" s="609" t="e">
        <f>+I1155*$L$9</f>
        <v>#N/A</v>
      </c>
      <c r="K1155" s="935"/>
      <c r="L1155" s="935"/>
      <c r="M1155" s="935"/>
      <c r="N1155" s="935"/>
      <c r="O1155" s="935"/>
    </row>
    <row r="1156" spans="1:15" ht="15" customHeight="1">
      <c r="A1156" s="908" t="s">
        <v>2099</v>
      </c>
      <c r="B1156" s="909" t="s">
        <v>2100</v>
      </c>
      <c r="C1156" s="910" t="e">
        <f>VLOOKUP(B1149,'LƯƠNG KT'!$D$16:$Z$184,17,0)</f>
        <v>#N/A</v>
      </c>
      <c r="D1156" s="609" t="e">
        <f>+C1156*$L$10</f>
        <v>#N/A</v>
      </c>
      <c r="E1156" s="912"/>
      <c r="F1156" s="912"/>
      <c r="G1156" s="908" t="s">
        <v>2099</v>
      </c>
      <c r="H1156" s="909" t="s">
        <v>2100</v>
      </c>
      <c r="I1156" s="910" t="e">
        <f>VLOOKUP(H1149,'LƯƠNG KT'!$D$16:$Z$184,17,0)</f>
        <v>#N/A</v>
      </c>
      <c r="J1156" s="609" t="e">
        <f>+I1156*$L$10</f>
        <v>#N/A</v>
      </c>
      <c r="K1156" s="935"/>
      <c r="L1156" s="935"/>
      <c r="M1156" s="935"/>
      <c r="N1156" s="935"/>
      <c r="O1156" s="935"/>
    </row>
    <row r="1157" spans="1:15" ht="15" customHeight="1">
      <c r="A1157" s="908" t="s">
        <v>374</v>
      </c>
      <c r="B1157" s="909" t="s">
        <v>2102</v>
      </c>
      <c r="C1157" s="910" t="e">
        <f>VLOOKUP(B1149,'LƯƠNG KT'!$D$16:$Z$184,12,0)</f>
        <v>#N/A</v>
      </c>
      <c r="D1157" s="609" t="e">
        <f>VLOOKUP(B1149,'LƯƠNG KT'!$D$16:$Z$184,14,0)</f>
        <v>#N/A</v>
      </c>
      <c r="E1157" s="914"/>
      <c r="F1157" s="912"/>
      <c r="G1157" s="908" t="s">
        <v>374</v>
      </c>
      <c r="H1157" s="909" t="s">
        <v>2102</v>
      </c>
      <c r="I1157" s="910" t="e">
        <f>VLOOKUP(H1149,'LƯƠNG KT'!$D$16:$Z$184,12,0)</f>
        <v>#N/A</v>
      </c>
      <c r="J1157" s="609" t="e">
        <f>VLOOKUP(H1149,'LƯƠNG KT'!$D$16:$Z$184,14,0)</f>
        <v>#N/A</v>
      </c>
      <c r="K1157" s="935"/>
      <c r="L1157" s="935"/>
      <c r="M1157" s="935"/>
      <c r="N1157" s="935"/>
      <c r="O1157" s="935"/>
    </row>
    <row r="1158" spans="1:15" ht="15" customHeight="1">
      <c r="A1158" s="908" t="s">
        <v>2103</v>
      </c>
      <c r="B1158" s="909" t="s">
        <v>2104</v>
      </c>
      <c r="D1158" s="915" t="e">
        <f>VLOOKUP(B1149,'LƯƠNG KT'!$D$16:$Z$184,13,0)</f>
        <v>#N/A</v>
      </c>
      <c r="E1158" s="916"/>
      <c r="F1158" s="916"/>
      <c r="G1158" s="908" t="s">
        <v>2103</v>
      </c>
      <c r="H1158" s="909" t="s">
        <v>2104</v>
      </c>
      <c r="J1158" s="915" t="e">
        <f>VLOOKUP(H1149,'LƯƠNG KT'!$D$16:$Z$184,13,0)</f>
        <v>#N/A</v>
      </c>
    </row>
    <row r="1159" spans="1:15" ht="15" customHeight="1">
      <c r="A1159" s="547"/>
      <c r="B1159" s="546"/>
      <c r="C1159" s="910"/>
      <c r="D1159" s="609"/>
      <c r="E1159" s="914"/>
      <c r="F1159" s="916"/>
      <c r="G1159" s="547"/>
      <c r="H1159" s="546"/>
      <c r="I1159" s="910"/>
      <c r="J1159" s="609"/>
    </row>
    <row r="1160" spans="1:15" ht="15" customHeight="1">
      <c r="A1160" s="905"/>
      <c r="B1160" s="546"/>
      <c r="C1160" s="910"/>
      <c r="D1160" s="609"/>
      <c r="E1160" s="917"/>
      <c r="F1160" s="904"/>
      <c r="G1160" s="905"/>
      <c r="H1160" s="546"/>
      <c r="I1160" s="910"/>
      <c r="J1160" s="609"/>
    </row>
    <row r="1161" spans="1:15" ht="15" customHeight="1">
      <c r="A1161" s="918" t="s">
        <v>383</v>
      </c>
      <c r="B1161" s="919" t="s">
        <v>384</v>
      </c>
      <c r="C1161" s="920"/>
      <c r="D1161" s="921" t="e">
        <f>SUM(D1150:D1157)-D1160</f>
        <v>#N/A</v>
      </c>
      <c r="E1161" s="922"/>
      <c r="F1161" s="923"/>
      <c r="G1161" s="918" t="s">
        <v>383</v>
      </c>
      <c r="H1161" s="919" t="s">
        <v>384</v>
      </c>
      <c r="I1161" s="920"/>
      <c r="J1161" s="921" t="e">
        <f>SUM(J1150:J1157)-J1160</f>
        <v>#N/A</v>
      </c>
    </row>
    <row r="1162" spans="1:15" ht="18.75" customHeight="1">
      <c r="A1162" s="924"/>
      <c r="B1162" s="925"/>
      <c r="C1162" s="926"/>
      <c r="D1162" s="927"/>
      <c r="E1162" s="927"/>
      <c r="F1162" s="928"/>
      <c r="G1162" s="924"/>
      <c r="H1162" s="925"/>
      <c r="I1162" s="926"/>
      <c r="J1162" s="927"/>
    </row>
    <row r="1163" spans="1:15" ht="149.25" customHeight="1">
      <c r="A1163" s="925"/>
      <c r="B1163" s="925"/>
      <c r="C1163" s="929"/>
      <c r="D1163" s="930"/>
      <c r="E1163" s="925"/>
      <c r="F1163" s="931"/>
      <c r="G1163" s="925"/>
      <c r="H1163" s="925"/>
      <c r="I1163" s="929"/>
      <c r="J1163" s="930"/>
    </row>
    <row r="1164" spans="1:15" ht="15" customHeight="1">
      <c r="A1164" s="2360" t="str">
        <f>$K$2</f>
        <v>THÁNG 04/2025</v>
      </c>
      <c r="B1164" s="2360"/>
      <c r="C1164" s="2360"/>
      <c r="D1164" s="2360"/>
      <c r="E1164" s="903"/>
      <c r="F1164" s="904"/>
      <c r="G1164" s="2360" t="str">
        <f>$K$2</f>
        <v>THÁNG 04/2025</v>
      </c>
      <c r="H1164" s="2360"/>
      <c r="I1164" s="2360"/>
      <c r="J1164" s="2360"/>
      <c r="K1164" s="276"/>
    </row>
    <row r="1165" spans="1:15" ht="15" customHeight="1">
      <c r="A1165" s="905" t="s">
        <v>356</v>
      </c>
      <c r="B1165" s="642" t="s">
        <v>487</v>
      </c>
      <c r="C1165" s="546"/>
      <c r="D1165" s="902"/>
      <c r="E1165" s="906"/>
      <c r="F1165" s="907"/>
      <c r="G1165" s="905" t="s">
        <v>356</v>
      </c>
      <c r="H1165" s="642" t="s">
        <v>31</v>
      </c>
      <c r="I1165" s="546"/>
      <c r="J1165" s="902"/>
      <c r="L1165" s="938"/>
      <c r="M1165" s="938"/>
      <c r="N1165" s="938"/>
      <c r="O1165" s="938"/>
    </row>
    <row r="1166" spans="1:15" ht="15" customHeight="1">
      <c r="A1166" s="908" t="s">
        <v>359</v>
      </c>
      <c r="B1166" s="909" t="s">
        <v>2090</v>
      </c>
      <c r="C1166" s="910" t="e">
        <f>VLOOKUP(B1165,'LƯƠNG KT'!$D$16:$Z$184,4,0)</f>
        <v>#N/A</v>
      </c>
      <c r="D1166" s="609" t="e">
        <f>+C1166*25000</f>
        <v>#N/A</v>
      </c>
      <c r="E1166" s="911"/>
      <c r="F1166" s="911"/>
      <c r="G1166" s="908" t="s">
        <v>359</v>
      </c>
      <c r="H1166" s="909" t="s">
        <v>2090</v>
      </c>
      <c r="I1166" s="910" t="e">
        <f>VLOOKUP(H1165,'LƯƠNG KT'!$D$16:$Z$184,4,0)</f>
        <v>#N/A</v>
      </c>
      <c r="J1166" s="609" t="e">
        <f>+I1166*25000</f>
        <v>#N/A</v>
      </c>
      <c r="K1166" s="935"/>
      <c r="L1166" s="935"/>
      <c r="M1166" s="935"/>
      <c r="N1166" s="935"/>
      <c r="O1166" s="935"/>
    </row>
    <row r="1167" spans="1:15" ht="15" customHeight="1">
      <c r="A1167" s="908" t="s">
        <v>361</v>
      </c>
      <c r="B1167" s="909" t="s">
        <v>2091</v>
      </c>
      <c r="C1167" s="910" t="e">
        <f>VLOOKUP(B1165,'LƯƠNG KT'!$D$16:$Z$184,15,0)</f>
        <v>#N/A</v>
      </c>
      <c r="D1167" s="609" t="e">
        <f>C1167*$L$4</f>
        <v>#N/A</v>
      </c>
      <c r="E1167" s="912"/>
      <c r="F1167" s="912"/>
      <c r="G1167" s="908" t="s">
        <v>361</v>
      </c>
      <c r="H1167" s="909" t="s">
        <v>2091</v>
      </c>
      <c r="I1167" s="910" t="e">
        <f>VLOOKUP(H1165,'LƯƠNG KT'!$D$16:$Z$184,15,0)</f>
        <v>#N/A</v>
      </c>
      <c r="J1167" s="609" t="e">
        <f>I1167*$L$4</f>
        <v>#N/A</v>
      </c>
      <c r="K1167" s="935"/>
      <c r="L1167" s="935"/>
      <c r="M1167" s="935"/>
      <c r="N1167" s="935"/>
      <c r="O1167" s="935"/>
    </row>
    <row r="1168" spans="1:15" ht="15" customHeight="1">
      <c r="A1168" s="908" t="s">
        <v>364</v>
      </c>
      <c r="B1168" s="909" t="s">
        <v>2092</v>
      </c>
      <c r="C1168" s="910" t="e">
        <f>VLOOKUP(B1165,'LƯƠNG KT'!$D$16:$Z$184,16,0)</f>
        <v>#N/A</v>
      </c>
      <c r="D1168" s="609" t="e">
        <f>C1168*$L$5</f>
        <v>#N/A</v>
      </c>
      <c r="E1168" s="912"/>
      <c r="F1168" s="912"/>
      <c r="G1168" s="908" t="s">
        <v>364</v>
      </c>
      <c r="H1168" s="909" t="s">
        <v>2092</v>
      </c>
      <c r="I1168" s="910" t="e">
        <f>VLOOKUP(H1165,'LƯƠNG KT'!$D$16:$Z$184,16,0)</f>
        <v>#N/A</v>
      </c>
      <c r="J1168" s="609" t="e">
        <f>I1168*$L$5</f>
        <v>#N/A</v>
      </c>
      <c r="K1168" s="935"/>
      <c r="L1168" s="935"/>
      <c r="M1168" s="935"/>
      <c r="N1168" s="935"/>
      <c r="O1168" s="935"/>
    </row>
    <row r="1169" spans="1:15" ht="15" customHeight="1">
      <c r="A1169" s="908" t="s">
        <v>370</v>
      </c>
      <c r="B1169" s="909" t="s">
        <v>2093</v>
      </c>
      <c r="C1169" s="910" t="e">
        <f>VLOOKUP(B1165,'LƯƠNG KT'!$D$16:$Z$184,24,0)</f>
        <v>#N/A</v>
      </c>
      <c r="D1169" s="609" t="e">
        <f>+C1169*$L$6</f>
        <v>#N/A</v>
      </c>
      <c r="E1169" s="912"/>
      <c r="F1169" s="912"/>
      <c r="G1169" s="908" t="s">
        <v>370</v>
      </c>
      <c r="H1169" s="909" t="s">
        <v>2093</v>
      </c>
      <c r="I1169" s="910" t="e">
        <f>VLOOKUP(H1165,'LƯƠNG KT'!$D$16:$Z$184,24,0)</f>
        <v>#N/A</v>
      </c>
      <c r="J1169" s="609" t="e">
        <f>+I1169*$L$6</f>
        <v>#N/A</v>
      </c>
      <c r="K1169" s="935"/>
      <c r="L1169" s="935"/>
      <c r="M1169" s="935"/>
      <c r="N1169" s="935"/>
      <c r="O1169" s="935"/>
    </row>
    <row r="1170" spans="1:15" ht="15" customHeight="1">
      <c r="A1170" s="908" t="s">
        <v>2094</v>
      </c>
      <c r="B1170" s="909" t="s">
        <v>2095</v>
      </c>
      <c r="C1170" s="910" t="e">
        <f>VLOOKUP(B1165,'LƯƠNG KT'!$D$16:$Z$184,19,0)</f>
        <v>#N/A</v>
      </c>
      <c r="D1170" s="609" t="e">
        <f>+C1170*$L$8</f>
        <v>#N/A</v>
      </c>
      <c r="E1170" s="912"/>
      <c r="F1170" s="912"/>
      <c r="G1170" s="908" t="s">
        <v>2094</v>
      </c>
      <c r="H1170" s="909" t="s">
        <v>2095</v>
      </c>
      <c r="I1170" s="910" t="e">
        <f>VLOOKUP(H1165,'LƯƠNG KT'!$D$16:$Z$184,19,0)</f>
        <v>#N/A</v>
      </c>
      <c r="J1170" s="609" t="e">
        <f>+I1170*$L$8</f>
        <v>#N/A</v>
      </c>
      <c r="K1170" s="935"/>
      <c r="L1170" s="935"/>
      <c r="M1170" s="935"/>
      <c r="N1170" s="935"/>
      <c r="O1170" s="935"/>
    </row>
    <row r="1171" spans="1:15" ht="15" customHeight="1">
      <c r="A1171" s="908" t="s">
        <v>2096</v>
      </c>
      <c r="B1171" s="913" t="s">
        <v>2097</v>
      </c>
      <c r="C1171" s="910" t="e">
        <f>VLOOKUP(B1165,'LƯƠNG KT'!$D$16:$Z$184,20,0)</f>
        <v>#N/A</v>
      </c>
      <c r="D1171" s="609" t="e">
        <f>+C1171*$L$9</f>
        <v>#N/A</v>
      </c>
      <c r="E1171" s="912"/>
      <c r="F1171" s="912"/>
      <c r="G1171" s="908" t="s">
        <v>2096</v>
      </c>
      <c r="H1171" s="913" t="s">
        <v>2097</v>
      </c>
      <c r="I1171" s="910" t="e">
        <f>VLOOKUP(H1165,'LƯƠNG KT'!$D$16:$Z$184,20,0)</f>
        <v>#N/A</v>
      </c>
      <c r="J1171" s="609" t="e">
        <f>+I1171*$L$9</f>
        <v>#N/A</v>
      </c>
      <c r="K1171" s="935"/>
      <c r="L1171" s="935"/>
      <c r="M1171" s="935"/>
      <c r="N1171" s="935"/>
      <c r="O1171" s="935"/>
    </row>
    <row r="1172" spans="1:15" ht="15" customHeight="1">
      <c r="A1172" s="908" t="s">
        <v>2099</v>
      </c>
      <c r="B1172" s="909" t="s">
        <v>2100</v>
      </c>
      <c r="C1172" s="910" t="e">
        <f>VLOOKUP(B1165,'LƯƠNG KT'!$D$16:$Z$184,17,0)</f>
        <v>#N/A</v>
      </c>
      <c r="D1172" s="609" t="e">
        <f>+C1172*$L$10</f>
        <v>#N/A</v>
      </c>
      <c r="E1172" s="912"/>
      <c r="F1172" s="912"/>
      <c r="G1172" s="908" t="s">
        <v>2099</v>
      </c>
      <c r="H1172" s="909" t="s">
        <v>2100</v>
      </c>
      <c r="I1172" s="910" t="e">
        <f>VLOOKUP(H1165,'LƯƠNG KT'!$D$16:$Z$184,17,0)</f>
        <v>#N/A</v>
      </c>
      <c r="J1172" s="609" t="e">
        <f>+I1172*$L$10</f>
        <v>#N/A</v>
      </c>
      <c r="K1172" s="935"/>
      <c r="L1172" s="935"/>
      <c r="M1172" s="935"/>
      <c r="N1172" s="935"/>
      <c r="O1172" s="935"/>
    </row>
    <row r="1173" spans="1:15" ht="15" customHeight="1">
      <c r="A1173" s="908" t="s">
        <v>374</v>
      </c>
      <c r="B1173" s="909" t="s">
        <v>2102</v>
      </c>
      <c r="C1173" s="910" t="e">
        <f>VLOOKUP(B1165,'LƯƠNG KT'!$D$16:$Z$184,12,0)</f>
        <v>#N/A</v>
      </c>
      <c r="D1173" s="609" t="e">
        <f>VLOOKUP(B1165,'LƯƠNG KT'!$D$16:$Z$184,14,0)</f>
        <v>#N/A</v>
      </c>
      <c r="E1173" s="914"/>
      <c r="F1173" s="912"/>
      <c r="G1173" s="908" t="s">
        <v>374</v>
      </c>
      <c r="H1173" s="909" t="s">
        <v>2102</v>
      </c>
      <c r="I1173" s="910" t="e">
        <f>VLOOKUP(H1165,'LƯƠNG KT'!$D$16:$Z$184,12,0)</f>
        <v>#N/A</v>
      </c>
      <c r="J1173" s="609" t="e">
        <f>VLOOKUP(H1165,'LƯƠNG KT'!$D$16:$Z$184,14,0)</f>
        <v>#N/A</v>
      </c>
      <c r="K1173" s="935"/>
      <c r="L1173" s="935"/>
      <c r="M1173" s="935"/>
      <c r="N1173" s="935"/>
      <c r="O1173" s="935"/>
    </row>
    <row r="1174" spans="1:15" ht="15" customHeight="1">
      <c r="A1174" s="908" t="s">
        <v>2103</v>
      </c>
      <c r="B1174" s="909" t="s">
        <v>2104</v>
      </c>
      <c r="D1174" s="915" t="e">
        <f>VLOOKUP(B1165,'LƯƠNG KT'!$D$16:$Z$184,13,0)</f>
        <v>#N/A</v>
      </c>
      <c r="E1174" s="916"/>
      <c r="F1174" s="916"/>
      <c r="G1174" s="908" t="s">
        <v>2103</v>
      </c>
      <c r="H1174" s="909" t="s">
        <v>2104</v>
      </c>
      <c r="J1174" s="915" t="e">
        <f>VLOOKUP(H1165,'LƯƠNG KT'!$D$16:$Z$184,13,0)</f>
        <v>#N/A</v>
      </c>
    </row>
    <row r="1175" spans="1:15" ht="15" customHeight="1">
      <c r="A1175" s="547"/>
      <c r="B1175" s="546"/>
      <c r="C1175" s="910"/>
      <c r="D1175" s="609"/>
      <c r="E1175" s="914"/>
      <c r="F1175" s="916"/>
      <c r="G1175" s="547"/>
      <c r="H1175" s="546"/>
      <c r="I1175" s="910"/>
      <c r="J1175" s="609"/>
    </row>
    <row r="1176" spans="1:15" ht="15" customHeight="1">
      <c r="A1176" s="905"/>
      <c r="B1176" s="546"/>
      <c r="C1176" s="910"/>
      <c r="D1176" s="609"/>
      <c r="E1176" s="917"/>
      <c r="F1176" s="904"/>
      <c r="G1176" s="905"/>
      <c r="H1176" s="546"/>
      <c r="I1176" s="910"/>
      <c r="J1176" s="609"/>
    </row>
    <row r="1177" spans="1:15" ht="15" customHeight="1">
      <c r="A1177" s="918" t="s">
        <v>383</v>
      </c>
      <c r="B1177" s="919" t="s">
        <v>384</v>
      </c>
      <c r="C1177" s="920"/>
      <c r="D1177" s="921" t="e">
        <f>SUM(D1166:D1173)-D1176</f>
        <v>#N/A</v>
      </c>
      <c r="E1177" s="922"/>
      <c r="F1177" s="923"/>
      <c r="G1177" s="918" t="s">
        <v>383</v>
      </c>
      <c r="H1177" s="919" t="s">
        <v>384</v>
      </c>
      <c r="I1177" s="920"/>
      <c r="J1177" s="921" t="e">
        <f>SUM(J1166:J1173)-J1176</f>
        <v>#N/A</v>
      </c>
    </row>
    <row r="1178" spans="1:15" ht="15.75" customHeight="1">
      <c r="A1178" s="924"/>
      <c r="B1178" s="925"/>
      <c r="C1178" s="926"/>
      <c r="D1178" s="927"/>
      <c r="E1178" s="927"/>
      <c r="F1178" s="928"/>
      <c r="G1178" s="924"/>
      <c r="H1178" s="925"/>
      <c r="I1178" s="926"/>
      <c r="J1178" s="927"/>
    </row>
    <row r="1180" spans="1:15" ht="12" customHeight="1">
      <c r="A1180" s="2361"/>
      <c r="B1180" s="2361"/>
      <c r="C1180" s="2361"/>
      <c r="D1180" s="2361"/>
      <c r="E1180" s="2361"/>
      <c r="F1180" s="2361"/>
      <c r="G1180" s="2361"/>
      <c r="H1180" s="2361"/>
      <c r="I1180" s="2361"/>
      <c r="J1180" s="2361"/>
    </row>
    <row r="1181" spans="1:15" ht="15" customHeight="1">
      <c r="A1181" s="2360" t="str">
        <f>$K$2</f>
        <v>THÁNG 04/2025</v>
      </c>
      <c r="B1181" s="2360"/>
      <c r="C1181" s="2360"/>
      <c r="D1181" s="2360"/>
      <c r="E1181" s="903"/>
      <c r="F1181" s="904"/>
      <c r="G1181" s="2360" t="str">
        <f>$K$2</f>
        <v>THÁNG 04/2025</v>
      </c>
      <c r="H1181" s="2360"/>
      <c r="I1181" s="2360"/>
      <c r="J1181" s="2360"/>
      <c r="K1181" s="276"/>
    </row>
    <row r="1182" spans="1:15" ht="15" customHeight="1">
      <c r="A1182" s="905" t="s">
        <v>356</v>
      </c>
      <c r="B1182" s="642" t="s">
        <v>32</v>
      </c>
      <c r="C1182" s="546"/>
      <c r="D1182" s="902"/>
      <c r="E1182" s="906"/>
      <c r="F1182" s="907"/>
      <c r="G1182" s="905" t="s">
        <v>356</v>
      </c>
      <c r="H1182" s="642" t="s">
        <v>14</v>
      </c>
      <c r="I1182" s="546"/>
      <c r="J1182" s="902"/>
      <c r="L1182" s="938"/>
      <c r="M1182" s="938"/>
      <c r="N1182" s="938"/>
      <c r="O1182" s="938"/>
    </row>
    <row r="1183" spans="1:15" ht="15" customHeight="1">
      <c r="A1183" s="908" t="s">
        <v>359</v>
      </c>
      <c r="B1183" s="909" t="s">
        <v>2090</v>
      </c>
      <c r="C1183" s="910" t="e">
        <f>VLOOKUP(B1182,'LƯƠNG KT'!$D$16:$Z$184,4,0)</f>
        <v>#N/A</v>
      </c>
      <c r="D1183" s="609" t="e">
        <f>+C1183*25000</f>
        <v>#N/A</v>
      </c>
      <c r="E1183" s="911"/>
      <c r="F1183" s="911"/>
      <c r="G1183" s="908" t="s">
        <v>359</v>
      </c>
      <c r="H1183" s="909" t="s">
        <v>2090</v>
      </c>
      <c r="I1183" s="910" t="e">
        <f>VLOOKUP(H1182,'LƯƠNG KT'!$D$16:$Z$184,4,0)</f>
        <v>#N/A</v>
      </c>
      <c r="J1183" s="609" t="e">
        <f>+I1183*25000</f>
        <v>#N/A</v>
      </c>
      <c r="K1183" s="934"/>
      <c r="L1183" s="935"/>
      <c r="M1183" s="935"/>
      <c r="N1183" s="935"/>
      <c r="O1183" s="935"/>
    </row>
    <row r="1184" spans="1:15" ht="15" customHeight="1">
      <c r="A1184" s="908" t="s">
        <v>361</v>
      </c>
      <c r="B1184" s="909" t="s">
        <v>2091</v>
      </c>
      <c r="C1184" s="910" t="e">
        <f>VLOOKUP(B1182,'LƯƠNG KT'!$D$16:$Z$184,15,0)</f>
        <v>#N/A</v>
      </c>
      <c r="D1184" s="609" t="e">
        <f>C1184*$L$4</f>
        <v>#N/A</v>
      </c>
      <c r="E1184" s="912"/>
      <c r="F1184" s="912"/>
      <c r="G1184" s="908" t="s">
        <v>361</v>
      </c>
      <c r="H1184" s="909" t="s">
        <v>2091</v>
      </c>
      <c r="I1184" s="910" t="e">
        <f>VLOOKUP(H1182,'LƯƠNG KT'!$D$16:$Z$184,15,0)</f>
        <v>#N/A</v>
      </c>
      <c r="J1184" s="609" t="e">
        <f>I1184*$L$4</f>
        <v>#N/A</v>
      </c>
      <c r="K1184" s="934"/>
      <c r="L1184" s="935"/>
      <c r="M1184" s="935"/>
      <c r="N1184" s="935"/>
      <c r="O1184" s="935"/>
    </row>
    <row r="1185" spans="1:15" ht="15" customHeight="1">
      <c r="A1185" s="908" t="s">
        <v>364</v>
      </c>
      <c r="B1185" s="909" t="s">
        <v>2092</v>
      </c>
      <c r="C1185" s="910" t="e">
        <f>VLOOKUP(B1182,'LƯƠNG KT'!$D$16:$Z$184,16,0)</f>
        <v>#N/A</v>
      </c>
      <c r="D1185" s="609" t="e">
        <f>C1185*$L$5</f>
        <v>#N/A</v>
      </c>
      <c r="E1185" s="912"/>
      <c r="F1185" s="912"/>
      <c r="G1185" s="908" t="s">
        <v>364</v>
      </c>
      <c r="H1185" s="909" t="s">
        <v>2092</v>
      </c>
      <c r="I1185" s="910" t="e">
        <f>VLOOKUP(H1182,'LƯƠNG KT'!$D$16:$Z$184,16,0)</f>
        <v>#N/A</v>
      </c>
      <c r="J1185" s="609" t="e">
        <f>I1185*$L$5</f>
        <v>#N/A</v>
      </c>
      <c r="K1185" s="934"/>
      <c r="L1185" s="935"/>
      <c r="M1185" s="935"/>
      <c r="N1185" s="935"/>
      <c r="O1185" s="935"/>
    </row>
    <row r="1186" spans="1:15" ht="15" customHeight="1">
      <c r="A1186" s="908" t="s">
        <v>370</v>
      </c>
      <c r="B1186" s="909" t="s">
        <v>2093</v>
      </c>
      <c r="C1186" s="910" t="e">
        <f>VLOOKUP(B1182,'LƯƠNG KT'!$D$16:$Z$184,24,0)</f>
        <v>#N/A</v>
      </c>
      <c r="D1186" s="609" t="e">
        <f>+C1186*$L$6</f>
        <v>#N/A</v>
      </c>
      <c r="E1186" s="912"/>
      <c r="F1186" s="912"/>
      <c r="G1186" s="908" t="s">
        <v>370</v>
      </c>
      <c r="H1186" s="909" t="s">
        <v>2093</v>
      </c>
      <c r="I1186" s="910" t="e">
        <f>VLOOKUP(H1182,'LƯƠNG KT'!$D$16:$Z$184,24,0)</f>
        <v>#N/A</v>
      </c>
      <c r="J1186" s="609" t="e">
        <f>+I1186*$L$6</f>
        <v>#N/A</v>
      </c>
      <c r="K1186" s="935"/>
      <c r="L1186" s="935"/>
      <c r="M1186" s="935"/>
      <c r="N1186" s="935"/>
      <c r="O1186" s="935"/>
    </row>
    <row r="1187" spans="1:15" ht="15" customHeight="1">
      <c r="A1187" s="908" t="s">
        <v>2094</v>
      </c>
      <c r="B1187" s="909" t="s">
        <v>2095</v>
      </c>
      <c r="C1187" s="910" t="e">
        <f>VLOOKUP(B1182,'LƯƠNG KT'!$D$16:$Z$184,19,0)</f>
        <v>#N/A</v>
      </c>
      <c r="D1187" s="609" t="e">
        <f>+C1187*$L$8</f>
        <v>#N/A</v>
      </c>
      <c r="E1187" s="912"/>
      <c r="F1187" s="912"/>
      <c r="G1187" s="908" t="s">
        <v>2094</v>
      </c>
      <c r="H1187" s="909" t="s">
        <v>2095</v>
      </c>
      <c r="I1187" s="910" t="e">
        <f>VLOOKUP(H1182,'LƯƠNG KT'!$D$16:$Z$184,19,0)</f>
        <v>#N/A</v>
      </c>
      <c r="J1187" s="609" t="e">
        <f>+I1187*$L$8</f>
        <v>#N/A</v>
      </c>
      <c r="K1187" s="935"/>
      <c r="L1187" s="935"/>
      <c r="M1187" s="935"/>
      <c r="N1187" s="935"/>
      <c r="O1187" s="935"/>
    </row>
    <row r="1188" spans="1:15" ht="15" customHeight="1">
      <c r="A1188" s="908" t="s">
        <v>2096</v>
      </c>
      <c r="B1188" s="913" t="s">
        <v>2097</v>
      </c>
      <c r="C1188" s="910" t="e">
        <f>VLOOKUP(B1182,'LƯƠNG KT'!$D$16:$Z$184,20,0)</f>
        <v>#N/A</v>
      </c>
      <c r="D1188" s="609" t="e">
        <f>+C1188*$L$9</f>
        <v>#N/A</v>
      </c>
      <c r="E1188" s="912"/>
      <c r="F1188" s="912"/>
      <c r="G1188" s="908" t="s">
        <v>2096</v>
      </c>
      <c r="H1188" s="913" t="s">
        <v>2097</v>
      </c>
      <c r="I1188" s="910" t="e">
        <f>VLOOKUP(H1182,'LƯƠNG KT'!$D$16:$Z$184,20,0)</f>
        <v>#N/A</v>
      </c>
      <c r="J1188" s="609" t="e">
        <f>+I1188*$L$9</f>
        <v>#N/A</v>
      </c>
      <c r="K1188" s="935"/>
      <c r="L1188" s="935"/>
      <c r="M1188" s="935"/>
      <c r="N1188" s="935"/>
      <c r="O1188" s="935"/>
    </row>
    <row r="1189" spans="1:15" ht="15" customHeight="1">
      <c r="A1189" s="908" t="s">
        <v>2099</v>
      </c>
      <c r="B1189" s="909" t="s">
        <v>2100</v>
      </c>
      <c r="C1189" s="910" t="e">
        <f>VLOOKUP(B1182,'LƯƠNG KT'!$D$16:$Z$184,17,0)</f>
        <v>#N/A</v>
      </c>
      <c r="D1189" s="609" t="e">
        <f>+C1189*$L$10</f>
        <v>#N/A</v>
      </c>
      <c r="E1189" s="912"/>
      <c r="F1189" s="912"/>
      <c r="G1189" s="908" t="s">
        <v>2099</v>
      </c>
      <c r="H1189" s="909" t="s">
        <v>2100</v>
      </c>
      <c r="I1189" s="910" t="e">
        <f>VLOOKUP(H1182,'LƯƠNG KT'!$D$16:$Z$184,17,0)</f>
        <v>#N/A</v>
      </c>
      <c r="J1189" s="609" t="e">
        <f>+I1189*$L$10</f>
        <v>#N/A</v>
      </c>
      <c r="K1189" s="935"/>
      <c r="L1189" s="935"/>
      <c r="M1189" s="935"/>
      <c r="N1189" s="935"/>
      <c r="O1189" s="935"/>
    </row>
    <row r="1190" spans="1:15" ht="15" customHeight="1">
      <c r="A1190" s="908" t="s">
        <v>374</v>
      </c>
      <c r="B1190" s="909" t="s">
        <v>2102</v>
      </c>
      <c r="C1190" s="910" t="e">
        <f>VLOOKUP(B1182,'LƯƠNG KT'!$D$16:$Z$184,12,0)</f>
        <v>#N/A</v>
      </c>
      <c r="D1190" s="609" t="e">
        <f>VLOOKUP(B1182,'LƯƠNG KT'!$D$16:$Z$184,14,0)</f>
        <v>#N/A</v>
      </c>
      <c r="E1190" s="914"/>
      <c r="F1190" s="912"/>
      <c r="G1190" s="908" t="s">
        <v>374</v>
      </c>
      <c r="H1190" s="909" t="s">
        <v>2102</v>
      </c>
      <c r="I1190" s="910" t="e">
        <f>VLOOKUP(H1182,'LƯƠNG KT'!$D$16:$Z$184,12,0)</f>
        <v>#N/A</v>
      </c>
      <c r="J1190" s="609" t="e">
        <f>VLOOKUP(H1182,'LƯƠNG KT'!$D$16:$Z$184,14,0)</f>
        <v>#N/A</v>
      </c>
      <c r="K1190" s="935"/>
      <c r="L1190" s="935"/>
      <c r="M1190" s="935"/>
      <c r="N1190" s="935"/>
      <c r="O1190" s="935"/>
    </row>
    <row r="1191" spans="1:15" ht="15" customHeight="1">
      <c r="A1191" s="908" t="s">
        <v>2103</v>
      </c>
      <c r="B1191" s="909" t="s">
        <v>2104</v>
      </c>
      <c r="D1191" s="915" t="e">
        <f>VLOOKUP(B1182,'LƯƠNG KT'!$D$16:$Z$184,13,0)</f>
        <v>#N/A</v>
      </c>
      <c r="E1191" s="916"/>
      <c r="F1191" s="916"/>
      <c r="G1191" s="908" t="s">
        <v>2103</v>
      </c>
      <c r="H1191" s="909" t="s">
        <v>2104</v>
      </c>
      <c r="J1191" s="915" t="e">
        <f>VLOOKUP(H1182,'LƯƠNG KT'!$D$16:$Z$184,13,0)</f>
        <v>#N/A</v>
      </c>
    </row>
    <row r="1192" spans="1:15" ht="15" customHeight="1">
      <c r="A1192" s="547"/>
      <c r="B1192" s="546"/>
      <c r="C1192" s="910"/>
      <c r="D1192" s="609"/>
      <c r="E1192" s="914"/>
      <c r="F1192" s="916"/>
      <c r="G1192" s="547"/>
      <c r="H1192" s="546"/>
      <c r="I1192" s="910"/>
      <c r="J1192" s="609"/>
    </row>
    <row r="1193" spans="1:15" ht="15" customHeight="1">
      <c r="A1193" s="905"/>
      <c r="B1193" s="546"/>
      <c r="C1193" s="910"/>
      <c r="D1193" s="609"/>
      <c r="E1193" s="917"/>
      <c r="F1193" s="904"/>
      <c r="G1193" s="905"/>
      <c r="H1193" s="546"/>
      <c r="I1193" s="910"/>
      <c r="J1193" s="609"/>
    </row>
    <row r="1194" spans="1:15" ht="15" customHeight="1">
      <c r="A1194" s="918" t="s">
        <v>383</v>
      </c>
      <c r="B1194" s="919" t="s">
        <v>384</v>
      </c>
      <c r="C1194" s="920"/>
      <c r="D1194" s="921" t="e">
        <f>SUM(D1183:D1190)-D1193</f>
        <v>#N/A</v>
      </c>
      <c r="E1194" s="922"/>
      <c r="F1194" s="923"/>
      <c r="G1194" s="918" t="s">
        <v>383</v>
      </c>
      <c r="H1194" s="919" t="s">
        <v>384</v>
      </c>
      <c r="I1194" s="920"/>
      <c r="J1194" s="921" t="e">
        <f>SUM(J1183:J1190)-J1193</f>
        <v>#N/A</v>
      </c>
    </row>
    <row r="1195" spans="1:15" ht="12.6" customHeight="1">
      <c r="A1195" s="924"/>
      <c r="B1195" s="925"/>
      <c r="C1195" s="926"/>
      <c r="D1195" s="927"/>
      <c r="E1195" s="927"/>
      <c r="F1195" s="928"/>
      <c r="G1195" s="924"/>
      <c r="H1195" s="925"/>
      <c r="I1195" s="926"/>
      <c r="J1195" s="927"/>
    </row>
    <row r="1196" spans="1:15" ht="12.6" customHeight="1">
      <c r="A1196" s="925"/>
      <c r="B1196" s="925"/>
      <c r="C1196" s="929"/>
      <c r="D1196" s="930"/>
      <c r="E1196" s="925"/>
      <c r="F1196" s="931"/>
      <c r="G1196" s="925"/>
      <c r="H1196" s="925"/>
      <c r="I1196" s="929"/>
      <c r="J1196" s="930"/>
    </row>
    <row r="1197" spans="1:15" ht="15" customHeight="1">
      <c r="A1197" s="2360" t="str">
        <f>$K$2</f>
        <v>THÁNG 04/2025</v>
      </c>
      <c r="B1197" s="2360"/>
      <c r="C1197" s="2360"/>
      <c r="D1197" s="2360"/>
      <c r="E1197" s="903"/>
      <c r="F1197" s="904"/>
      <c r="G1197" s="2360" t="str">
        <f>$K$2</f>
        <v>THÁNG 04/2025</v>
      </c>
      <c r="H1197" s="2360"/>
      <c r="I1197" s="2360"/>
      <c r="J1197" s="2360"/>
      <c r="K1197" s="276"/>
    </row>
    <row r="1198" spans="1:15" ht="15" customHeight="1">
      <c r="A1198" s="905" t="s">
        <v>356</v>
      </c>
      <c r="B1198" s="642" t="s">
        <v>22</v>
      </c>
      <c r="C1198" s="546"/>
      <c r="D1198" s="902"/>
      <c r="E1198" s="906"/>
      <c r="F1198" s="907"/>
      <c r="G1198" s="905" t="s">
        <v>356</v>
      </c>
      <c r="H1198" s="642" t="s">
        <v>23</v>
      </c>
      <c r="I1198" s="546"/>
      <c r="J1198" s="902"/>
      <c r="L1198" s="938"/>
      <c r="M1198" s="938"/>
      <c r="N1198" s="938"/>
      <c r="O1198" s="938"/>
    </row>
    <row r="1199" spans="1:15" ht="15" customHeight="1">
      <c r="A1199" s="908" t="s">
        <v>359</v>
      </c>
      <c r="B1199" s="909" t="s">
        <v>2090</v>
      </c>
      <c r="C1199" s="910" t="e">
        <f>VLOOKUP(B1198,'LƯƠNG KT'!$D$16:$Z$184,4,0)</f>
        <v>#N/A</v>
      </c>
      <c r="D1199" s="609" t="e">
        <f>+C1199*25000</f>
        <v>#N/A</v>
      </c>
      <c r="E1199" s="911"/>
      <c r="F1199" s="911"/>
      <c r="G1199" s="908" t="s">
        <v>359</v>
      </c>
      <c r="H1199" s="909" t="s">
        <v>2090</v>
      </c>
      <c r="I1199" s="910" t="e">
        <f>VLOOKUP(H1198,'LƯƠNG KT'!$D$16:$Z$184,4,0)</f>
        <v>#N/A</v>
      </c>
      <c r="J1199" s="609" t="e">
        <f>+I1199*25000</f>
        <v>#N/A</v>
      </c>
      <c r="K1199" s="935"/>
      <c r="L1199" s="935"/>
      <c r="M1199" s="935"/>
      <c r="N1199" s="935"/>
      <c r="O1199" s="935"/>
    </row>
    <row r="1200" spans="1:15" ht="15" customHeight="1">
      <c r="A1200" s="908" t="s">
        <v>361</v>
      </c>
      <c r="B1200" s="909" t="s">
        <v>2091</v>
      </c>
      <c r="C1200" s="910" t="e">
        <f>VLOOKUP(B1198,'LƯƠNG KT'!$D$16:$Z$184,15,0)</f>
        <v>#N/A</v>
      </c>
      <c r="D1200" s="609" t="e">
        <f>C1200*$L$4</f>
        <v>#N/A</v>
      </c>
      <c r="E1200" s="912"/>
      <c r="F1200" s="912"/>
      <c r="G1200" s="908" t="s">
        <v>361</v>
      </c>
      <c r="H1200" s="909" t="s">
        <v>2091</v>
      </c>
      <c r="I1200" s="910" t="e">
        <f>VLOOKUP(H1198,'LƯƠNG KT'!$D$16:$Z$184,15,0)</f>
        <v>#N/A</v>
      </c>
      <c r="J1200" s="609" t="e">
        <f>I1200*$L$4</f>
        <v>#N/A</v>
      </c>
      <c r="K1200" s="935"/>
      <c r="L1200" s="935"/>
      <c r="M1200" s="935"/>
      <c r="N1200" s="935"/>
      <c r="O1200" s="935"/>
    </row>
    <row r="1201" spans="1:15" ht="15" customHeight="1">
      <c r="A1201" s="908" t="s">
        <v>364</v>
      </c>
      <c r="B1201" s="909" t="s">
        <v>2092</v>
      </c>
      <c r="C1201" s="910" t="e">
        <f>VLOOKUP(B1198,'LƯƠNG KT'!$D$16:$Z$184,16,0)</f>
        <v>#N/A</v>
      </c>
      <c r="D1201" s="609" t="e">
        <f>C1201*$L$5</f>
        <v>#N/A</v>
      </c>
      <c r="E1201" s="912"/>
      <c r="F1201" s="912"/>
      <c r="G1201" s="908" t="s">
        <v>364</v>
      </c>
      <c r="H1201" s="909" t="s">
        <v>2092</v>
      </c>
      <c r="I1201" s="910" t="e">
        <f>VLOOKUP(H1198,'LƯƠNG KT'!$D$16:$Z$184,16,0)</f>
        <v>#N/A</v>
      </c>
      <c r="J1201" s="609" t="e">
        <f>I1201*$L$5</f>
        <v>#N/A</v>
      </c>
      <c r="K1201" s="935"/>
      <c r="L1201" s="935"/>
      <c r="M1201" s="935"/>
      <c r="N1201" s="935"/>
      <c r="O1201" s="935"/>
    </row>
    <row r="1202" spans="1:15" ht="15" customHeight="1">
      <c r="A1202" s="908" t="s">
        <v>370</v>
      </c>
      <c r="B1202" s="909" t="s">
        <v>2093</v>
      </c>
      <c r="C1202" s="910" t="e">
        <f>VLOOKUP(B1198,'LƯƠNG KT'!$D$16:$Z$184,24,0)</f>
        <v>#N/A</v>
      </c>
      <c r="D1202" s="609" t="e">
        <f>+C1202*$L$6</f>
        <v>#N/A</v>
      </c>
      <c r="E1202" s="912"/>
      <c r="F1202" s="912"/>
      <c r="G1202" s="908" t="s">
        <v>370</v>
      </c>
      <c r="H1202" s="909" t="s">
        <v>2093</v>
      </c>
      <c r="I1202" s="910" t="e">
        <f>VLOOKUP(H1198,'LƯƠNG KT'!$D$16:$Z$184,24,0)</f>
        <v>#N/A</v>
      </c>
      <c r="J1202" s="609" t="e">
        <f>+I1202*$L$6</f>
        <v>#N/A</v>
      </c>
      <c r="K1202" s="935"/>
      <c r="L1202" s="935"/>
      <c r="M1202" s="935"/>
      <c r="N1202" s="935"/>
      <c r="O1202" s="935"/>
    </row>
    <row r="1203" spans="1:15" ht="15" customHeight="1">
      <c r="A1203" s="908" t="s">
        <v>2094</v>
      </c>
      <c r="B1203" s="909" t="s">
        <v>2095</v>
      </c>
      <c r="C1203" s="910" t="e">
        <f>VLOOKUP(B1198,'LƯƠNG KT'!$D$16:$Z$184,19,0)</f>
        <v>#N/A</v>
      </c>
      <c r="D1203" s="609" t="e">
        <f>+C1203*$L$8</f>
        <v>#N/A</v>
      </c>
      <c r="E1203" s="912"/>
      <c r="F1203" s="912"/>
      <c r="G1203" s="908" t="s">
        <v>2094</v>
      </c>
      <c r="H1203" s="909" t="s">
        <v>2095</v>
      </c>
      <c r="I1203" s="910" t="e">
        <f>VLOOKUP(H1198,'LƯƠNG KT'!$D$16:$Z$184,19,0)</f>
        <v>#N/A</v>
      </c>
      <c r="J1203" s="609" t="e">
        <f>+I1203*$L$8</f>
        <v>#N/A</v>
      </c>
      <c r="K1203" s="935"/>
      <c r="L1203" s="935"/>
      <c r="M1203" s="935"/>
      <c r="N1203" s="935"/>
      <c r="O1203" s="935"/>
    </row>
    <row r="1204" spans="1:15" ht="15" customHeight="1">
      <c r="A1204" s="908" t="s">
        <v>2096</v>
      </c>
      <c r="B1204" s="913" t="s">
        <v>2097</v>
      </c>
      <c r="C1204" s="910" t="e">
        <f>VLOOKUP(B1198,'LƯƠNG KT'!$D$16:$Z$184,20,0)</f>
        <v>#N/A</v>
      </c>
      <c r="D1204" s="609" t="e">
        <f>+C1204*$L$9</f>
        <v>#N/A</v>
      </c>
      <c r="E1204" s="912"/>
      <c r="F1204" s="912"/>
      <c r="G1204" s="908" t="s">
        <v>2096</v>
      </c>
      <c r="H1204" s="913" t="s">
        <v>2097</v>
      </c>
      <c r="I1204" s="910" t="e">
        <f>VLOOKUP(H1198,'LƯƠNG KT'!$D$16:$Z$184,20,0)</f>
        <v>#N/A</v>
      </c>
      <c r="J1204" s="609" t="e">
        <f>+I1204*$L$9</f>
        <v>#N/A</v>
      </c>
      <c r="K1204" s="935"/>
      <c r="L1204" s="935"/>
      <c r="M1204" s="935"/>
      <c r="N1204" s="935"/>
      <c r="O1204" s="935"/>
    </row>
    <row r="1205" spans="1:15" ht="15" customHeight="1">
      <c r="A1205" s="908" t="s">
        <v>2099</v>
      </c>
      <c r="B1205" s="909" t="s">
        <v>2100</v>
      </c>
      <c r="C1205" s="910" t="e">
        <f>VLOOKUP(B1198,'LƯƠNG KT'!$D$16:$Z$184,17,0)</f>
        <v>#N/A</v>
      </c>
      <c r="D1205" s="609" t="e">
        <f>+C1205*$L$10</f>
        <v>#N/A</v>
      </c>
      <c r="E1205" s="912"/>
      <c r="F1205" s="912"/>
      <c r="G1205" s="908" t="s">
        <v>2099</v>
      </c>
      <c r="H1205" s="909" t="s">
        <v>2100</v>
      </c>
      <c r="I1205" s="910" t="e">
        <f>VLOOKUP(H1198,'LƯƠNG KT'!$D$16:$Z$184,17,0)</f>
        <v>#N/A</v>
      </c>
      <c r="J1205" s="609" t="e">
        <f>+I1205*$L$10</f>
        <v>#N/A</v>
      </c>
      <c r="K1205" s="935"/>
      <c r="L1205" s="935"/>
      <c r="M1205" s="935"/>
      <c r="N1205" s="935"/>
      <c r="O1205" s="935"/>
    </row>
    <row r="1206" spans="1:15" ht="15" customHeight="1">
      <c r="A1206" s="908" t="s">
        <v>374</v>
      </c>
      <c r="B1206" s="909" t="s">
        <v>2102</v>
      </c>
      <c r="C1206" s="910" t="e">
        <f>VLOOKUP(B1198,'LƯƠNG KT'!$D$16:$Z$184,12,0)</f>
        <v>#N/A</v>
      </c>
      <c r="D1206" s="609" t="e">
        <f>VLOOKUP(B1198,'LƯƠNG KT'!$D$16:$Z$184,14,0)</f>
        <v>#N/A</v>
      </c>
      <c r="E1206" s="914"/>
      <c r="F1206" s="912"/>
      <c r="G1206" s="908" t="s">
        <v>374</v>
      </c>
      <c r="H1206" s="909" t="s">
        <v>2102</v>
      </c>
      <c r="I1206" s="910" t="e">
        <f>VLOOKUP(H1198,'LƯƠNG KT'!$D$16:$Z$184,12,0)</f>
        <v>#N/A</v>
      </c>
      <c r="J1206" s="609" t="e">
        <f>VLOOKUP(H1198,'LƯƠNG KT'!$D$16:$Z$184,14,0)</f>
        <v>#N/A</v>
      </c>
      <c r="K1206" s="935"/>
      <c r="L1206" s="935"/>
      <c r="M1206" s="935"/>
      <c r="N1206" s="935"/>
      <c r="O1206" s="935"/>
    </row>
    <row r="1207" spans="1:15" ht="15" customHeight="1">
      <c r="A1207" s="908" t="s">
        <v>2103</v>
      </c>
      <c r="B1207" s="909" t="s">
        <v>2104</v>
      </c>
      <c r="D1207" s="915" t="e">
        <f>VLOOKUP(B1198,'LƯƠNG KT'!$D$16:$Z$184,13,0)</f>
        <v>#N/A</v>
      </c>
      <c r="E1207" s="916"/>
      <c r="F1207" s="916"/>
      <c r="G1207" s="908" t="s">
        <v>2103</v>
      </c>
      <c r="H1207" s="909" t="s">
        <v>2104</v>
      </c>
      <c r="J1207" s="915" t="e">
        <f>VLOOKUP(H1198,'LƯƠNG KT'!$D$16:$Z$184,13,0)</f>
        <v>#N/A</v>
      </c>
    </row>
    <row r="1208" spans="1:15" ht="15" customHeight="1">
      <c r="A1208" s="547"/>
      <c r="B1208" s="546"/>
      <c r="C1208" s="910"/>
      <c r="D1208" s="609"/>
      <c r="E1208" s="914"/>
      <c r="F1208" s="916"/>
      <c r="G1208" s="547"/>
      <c r="H1208" s="546"/>
      <c r="I1208" s="910"/>
      <c r="J1208" s="609"/>
    </row>
    <row r="1209" spans="1:15" ht="15" customHeight="1">
      <c r="A1209" s="905"/>
      <c r="B1209" s="546"/>
      <c r="C1209" s="910"/>
      <c r="D1209" s="609"/>
      <c r="E1209" s="917"/>
      <c r="F1209" s="904"/>
      <c r="G1209" s="905"/>
      <c r="H1209" s="546"/>
      <c r="I1209" s="910"/>
      <c r="J1209" s="609"/>
    </row>
    <row r="1210" spans="1:15" ht="15" customHeight="1">
      <c r="A1210" s="918" t="s">
        <v>383</v>
      </c>
      <c r="B1210" s="919" t="s">
        <v>384</v>
      </c>
      <c r="C1210" s="920"/>
      <c r="D1210" s="921" t="e">
        <f>SUM(D1199:D1206)-D1209</f>
        <v>#N/A</v>
      </c>
      <c r="E1210" s="922"/>
      <c r="F1210" s="923"/>
      <c r="G1210" s="918" t="s">
        <v>383</v>
      </c>
      <c r="H1210" s="919" t="s">
        <v>384</v>
      </c>
      <c r="I1210" s="920"/>
      <c r="J1210" s="921" t="e">
        <f>SUM(J1199:J1206)-J1209</f>
        <v>#N/A</v>
      </c>
    </row>
    <row r="1211" spans="1:15" ht="18.75" customHeight="1">
      <c r="A1211" s="924"/>
      <c r="B1211" s="925"/>
      <c r="C1211" s="926"/>
      <c r="D1211" s="927"/>
      <c r="E1211" s="927"/>
      <c r="F1211" s="928"/>
      <c r="G1211" s="924"/>
      <c r="H1211" s="925"/>
      <c r="I1211" s="926"/>
      <c r="J1211" s="927"/>
    </row>
    <row r="1212" spans="1:15" ht="150.75" customHeight="1">
      <c r="A1212" s="925"/>
      <c r="B1212" s="925"/>
      <c r="C1212" s="929"/>
      <c r="D1212" s="930"/>
      <c r="E1212" s="925"/>
      <c r="F1212" s="931"/>
      <c r="G1212" s="925"/>
      <c r="H1212" s="925"/>
      <c r="I1212" s="929"/>
      <c r="J1212" s="930"/>
    </row>
    <row r="1213" spans="1:15" ht="15" customHeight="1">
      <c r="A1213" s="2360" t="str">
        <f>$K$2</f>
        <v>THÁNG 04/2025</v>
      </c>
      <c r="B1213" s="2360"/>
      <c r="C1213" s="2360"/>
      <c r="D1213" s="2360"/>
      <c r="E1213" s="903"/>
      <c r="F1213" s="904"/>
      <c r="G1213" s="2360" t="str">
        <f>$K$2</f>
        <v>THÁNG 04/2025</v>
      </c>
      <c r="H1213" s="2360"/>
      <c r="I1213" s="2360"/>
      <c r="J1213" s="2360"/>
      <c r="K1213" s="276"/>
    </row>
    <row r="1214" spans="1:15" ht="15" customHeight="1">
      <c r="A1214" s="905" t="s">
        <v>356</v>
      </c>
      <c r="B1214" s="642" t="s">
        <v>36</v>
      </c>
      <c r="C1214" s="546"/>
      <c r="D1214" s="902"/>
      <c r="E1214" s="906"/>
      <c r="F1214" s="907"/>
      <c r="G1214" s="905" t="s">
        <v>356</v>
      </c>
      <c r="H1214" s="642" t="s">
        <v>63</v>
      </c>
      <c r="I1214" s="546"/>
      <c r="J1214" s="902"/>
      <c r="L1214" s="938"/>
      <c r="M1214" s="938"/>
      <c r="N1214" s="938"/>
      <c r="O1214" s="938"/>
    </row>
    <row r="1215" spans="1:15" ht="15" customHeight="1">
      <c r="A1215" s="908" t="s">
        <v>359</v>
      </c>
      <c r="B1215" s="909" t="s">
        <v>2090</v>
      </c>
      <c r="C1215" s="910" t="e">
        <f>VLOOKUP(B1214,'LƯƠNG KT'!$D$16:$Z$184,4,0)</f>
        <v>#N/A</v>
      </c>
      <c r="D1215" s="609" t="e">
        <f>+C1215*25000</f>
        <v>#N/A</v>
      </c>
      <c r="E1215" s="911"/>
      <c r="F1215" s="911"/>
      <c r="G1215" s="908" t="s">
        <v>359</v>
      </c>
      <c r="H1215" s="909" t="s">
        <v>2090</v>
      </c>
      <c r="I1215" s="910" t="e">
        <f>VLOOKUP(H1214,'LƯƠNG KT'!$D$16:$Z$184,4,0)</f>
        <v>#N/A</v>
      </c>
      <c r="J1215" s="609" t="e">
        <f>+I1215*25000</f>
        <v>#N/A</v>
      </c>
      <c r="K1215" s="935"/>
      <c r="L1215" s="935"/>
      <c r="M1215" s="935"/>
      <c r="N1215" s="935"/>
      <c r="O1215" s="935"/>
    </row>
    <row r="1216" spans="1:15" ht="15" customHeight="1">
      <c r="A1216" s="908" t="s">
        <v>361</v>
      </c>
      <c r="B1216" s="909" t="s">
        <v>2091</v>
      </c>
      <c r="C1216" s="910" t="e">
        <f>VLOOKUP(B1214,'LƯƠNG KT'!$D$16:$Z$184,15,0)</f>
        <v>#N/A</v>
      </c>
      <c r="D1216" s="609" t="e">
        <f>C1216*$L$4</f>
        <v>#N/A</v>
      </c>
      <c r="E1216" s="912"/>
      <c r="F1216" s="912"/>
      <c r="G1216" s="908" t="s">
        <v>361</v>
      </c>
      <c r="H1216" s="909" t="s">
        <v>2091</v>
      </c>
      <c r="I1216" s="910" t="e">
        <f>VLOOKUP(H1214,'LƯƠNG KT'!$D$16:$Z$184,15,0)</f>
        <v>#N/A</v>
      </c>
      <c r="J1216" s="609" t="e">
        <f>I1216*$L$4</f>
        <v>#N/A</v>
      </c>
      <c r="K1216" s="935"/>
      <c r="L1216" s="935"/>
      <c r="M1216" s="935"/>
      <c r="N1216" s="935"/>
      <c r="O1216" s="935"/>
    </row>
    <row r="1217" spans="1:15" ht="15" customHeight="1">
      <c r="A1217" s="908" t="s">
        <v>364</v>
      </c>
      <c r="B1217" s="909" t="s">
        <v>2092</v>
      </c>
      <c r="C1217" s="910" t="e">
        <f>VLOOKUP(B1214,'LƯƠNG KT'!$D$16:$Z$184,16,0)</f>
        <v>#N/A</v>
      </c>
      <c r="D1217" s="609" t="e">
        <f>C1217*$L$5</f>
        <v>#N/A</v>
      </c>
      <c r="E1217" s="912"/>
      <c r="F1217" s="912"/>
      <c r="G1217" s="908" t="s">
        <v>364</v>
      </c>
      <c r="H1217" s="909" t="s">
        <v>2092</v>
      </c>
      <c r="I1217" s="910" t="e">
        <f>VLOOKUP(H1214,'LƯƠNG KT'!$D$16:$Z$184,16,0)</f>
        <v>#N/A</v>
      </c>
      <c r="J1217" s="609" t="e">
        <f>I1217*$L$5</f>
        <v>#N/A</v>
      </c>
      <c r="K1217" s="935"/>
      <c r="L1217" s="935"/>
      <c r="M1217" s="935"/>
      <c r="N1217" s="935"/>
      <c r="O1217" s="935"/>
    </row>
    <row r="1218" spans="1:15" ht="15" customHeight="1">
      <c r="A1218" s="908" t="s">
        <v>370</v>
      </c>
      <c r="B1218" s="909" t="s">
        <v>2093</v>
      </c>
      <c r="C1218" s="910" t="e">
        <f>VLOOKUP(B1214,'LƯƠNG KT'!$D$16:$Z$184,24,0)</f>
        <v>#N/A</v>
      </c>
      <c r="D1218" s="609" t="e">
        <f>+C1218*$L$6</f>
        <v>#N/A</v>
      </c>
      <c r="E1218" s="912"/>
      <c r="F1218" s="912"/>
      <c r="G1218" s="908" t="s">
        <v>370</v>
      </c>
      <c r="H1218" s="909" t="s">
        <v>2093</v>
      </c>
      <c r="I1218" s="910" t="e">
        <f>VLOOKUP(H1214,'LƯƠNG KT'!$D$16:$Z$184,24,0)</f>
        <v>#N/A</v>
      </c>
      <c r="J1218" s="609" t="e">
        <f>+I1218*$L$6</f>
        <v>#N/A</v>
      </c>
      <c r="K1218" s="935"/>
      <c r="L1218" s="935"/>
      <c r="M1218" s="935"/>
      <c r="N1218" s="935"/>
      <c r="O1218" s="935"/>
    </row>
    <row r="1219" spans="1:15" ht="15" customHeight="1">
      <c r="A1219" s="908" t="s">
        <v>2094</v>
      </c>
      <c r="B1219" s="909" t="s">
        <v>2095</v>
      </c>
      <c r="C1219" s="910" t="e">
        <f>VLOOKUP(B1214,'LƯƠNG KT'!$D$16:$Z$184,19,0)</f>
        <v>#N/A</v>
      </c>
      <c r="D1219" s="609" t="e">
        <f>+C1219*$L$8</f>
        <v>#N/A</v>
      </c>
      <c r="E1219" s="912"/>
      <c r="F1219" s="912"/>
      <c r="G1219" s="908" t="s">
        <v>2094</v>
      </c>
      <c r="H1219" s="909" t="s">
        <v>2095</v>
      </c>
      <c r="I1219" s="910" t="e">
        <f>VLOOKUP(H1214,'LƯƠNG KT'!$D$16:$Z$184,19,0)</f>
        <v>#N/A</v>
      </c>
      <c r="J1219" s="609" t="e">
        <f>+I1219*$L$8</f>
        <v>#N/A</v>
      </c>
      <c r="K1219" s="935"/>
      <c r="L1219" s="935"/>
      <c r="M1219" s="935"/>
      <c r="N1219" s="935"/>
      <c r="O1219" s="935"/>
    </row>
    <row r="1220" spans="1:15" ht="15" customHeight="1">
      <c r="A1220" s="908" t="s">
        <v>2096</v>
      </c>
      <c r="B1220" s="913" t="s">
        <v>2097</v>
      </c>
      <c r="C1220" s="910" t="e">
        <f>VLOOKUP(B1214,'LƯƠNG KT'!$D$16:$Z$184,20,0)</f>
        <v>#N/A</v>
      </c>
      <c r="D1220" s="609" t="e">
        <f>+C1220*$L$9</f>
        <v>#N/A</v>
      </c>
      <c r="E1220" s="912"/>
      <c r="F1220" s="912"/>
      <c r="G1220" s="908" t="s">
        <v>2096</v>
      </c>
      <c r="H1220" s="913" t="s">
        <v>2097</v>
      </c>
      <c r="I1220" s="910" t="e">
        <f>VLOOKUP(H1214,'LƯƠNG KT'!$D$16:$Z$184,20,0)</f>
        <v>#N/A</v>
      </c>
      <c r="J1220" s="609" t="e">
        <f>+I1220*$L$9</f>
        <v>#N/A</v>
      </c>
      <c r="K1220" s="935"/>
      <c r="L1220" s="935"/>
      <c r="M1220" s="935"/>
      <c r="N1220" s="935"/>
      <c r="O1220" s="935"/>
    </row>
    <row r="1221" spans="1:15" ht="15" customHeight="1">
      <c r="A1221" s="908" t="s">
        <v>2099</v>
      </c>
      <c r="B1221" s="909" t="s">
        <v>2100</v>
      </c>
      <c r="C1221" s="910" t="e">
        <f>VLOOKUP(B1214,'LƯƠNG KT'!$D$16:$Z$184,17,0)</f>
        <v>#N/A</v>
      </c>
      <c r="D1221" s="609" t="e">
        <f>+C1221*$L$10</f>
        <v>#N/A</v>
      </c>
      <c r="E1221" s="912"/>
      <c r="F1221" s="912"/>
      <c r="G1221" s="908" t="s">
        <v>2099</v>
      </c>
      <c r="H1221" s="909" t="s">
        <v>2100</v>
      </c>
      <c r="I1221" s="910" t="e">
        <f>VLOOKUP(H1214,'LƯƠNG KT'!$D$16:$Z$184,17,0)</f>
        <v>#N/A</v>
      </c>
      <c r="J1221" s="609" t="e">
        <f>+I1221*$L$10</f>
        <v>#N/A</v>
      </c>
      <c r="K1221" s="935"/>
      <c r="L1221" s="935"/>
      <c r="M1221" s="935"/>
      <c r="N1221" s="935"/>
      <c r="O1221" s="935"/>
    </row>
    <row r="1222" spans="1:15" ht="15" customHeight="1">
      <c r="A1222" s="908" t="s">
        <v>374</v>
      </c>
      <c r="B1222" s="909" t="s">
        <v>2102</v>
      </c>
      <c r="C1222" s="910" t="e">
        <f>VLOOKUP(B1214,'LƯƠNG KT'!$D$16:$Z$184,12,0)</f>
        <v>#N/A</v>
      </c>
      <c r="D1222" s="609" t="e">
        <f>VLOOKUP(B1214,'LƯƠNG KT'!$D$16:$Z$184,14,0)</f>
        <v>#N/A</v>
      </c>
      <c r="E1222" s="914"/>
      <c r="F1222" s="912"/>
      <c r="G1222" s="908" t="s">
        <v>374</v>
      </c>
      <c r="H1222" s="909" t="s">
        <v>2102</v>
      </c>
      <c r="I1222" s="910" t="e">
        <f>VLOOKUP(H1214,'LƯƠNG KT'!$D$16:$Z$184,12,0)</f>
        <v>#N/A</v>
      </c>
      <c r="J1222" s="609" t="e">
        <f>VLOOKUP(H1214,'LƯƠNG KT'!$D$16:$Z$184,14,0)</f>
        <v>#N/A</v>
      </c>
      <c r="K1222" s="935"/>
      <c r="L1222" s="935"/>
      <c r="M1222" s="935"/>
      <c r="N1222" s="935"/>
      <c r="O1222" s="935"/>
    </row>
    <row r="1223" spans="1:15" ht="15" customHeight="1">
      <c r="A1223" s="908" t="s">
        <v>2103</v>
      </c>
      <c r="B1223" s="909" t="s">
        <v>2104</v>
      </c>
      <c r="D1223" s="915" t="e">
        <f>VLOOKUP(B1214,'LƯƠNG KT'!$D$16:$Z$184,13,0)</f>
        <v>#N/A</v>
      </c>
      <c r="E1223" s="916"/>
      <c r="F1223" s="916"/>
      <c r="G1223" s="908" t="s">
        <v>2103</v>
      </c>
      <c r="H1223" s="909" t="s">
        <v>2104</v>
      </c>
      <c r="J1223" s="915" t="e">
        <f>VLOOKUP(H1214,'LƯƠNG KT'!$D$16:$Z$184,13,0)</f>
        <v>#N/A</v>
      </c>
    </row>
    <row r="1224" spans="1:15" ht="15" customHeight="1">
      <c r="A1224" s="547"/>
      <c r="B1224" s="546"/>
      <c r="C1224" s="910"/>
      <c r="D1224" s="609"/>
      <c r="E1224" s="914"/>
      <c r="F1224" s="916"/>
      <c r="G1224" s="547"/>
      <c r="H1224" s="546"/>
      <c r="I1224" s="910"/>
      <c r="J1224" s="609"/>
    </row>
    <row r="1225" spans="1:15" ht="15" customHeight="1">
      <c r="A1225" s="905"/>
      <c r="B1225" s="546"/>
      <c r="C1225" s="910"/>
      <c r="D1225" s="609"/>
      <c r="E1225" s="917"/>
      <c r="F1225" s="904"/>
      <c r="G1225" s="905"/>
      <c r="H1225" s="546"/>
      <c r="I1225" s="910"/>
      <c r="J1225" s="609"/>
    </row>
    <row r="1226" spans="1:15" ht="15" customHeight="1">
      <c r="A1226" s="918" t="s">
        <v>383</v>
      </c>
      <c r="B1226" s="919" t="s">
        <v>384</v>
      </c>
      <c r="C1226" s="920"/>
      <c r="D1226" s="921" t="e">
        <f>SUM(D1215:D1222)-D1225</f>
        <v>#N/A</v>
      </c>
      <c r="E1226" s="922"/>
      <c r="F1226" s="923"/>
      <c r="G1226" s="918" t="s">
        <v>383</v>
      </c>
      <c r="H1226" s="919" t="s">
        <v>384</v>
      </c>
      <c r="I1226" s="920"/>
      <c r="J1226" s="921" t="e">
        <f>SUM(J1215:J1222)-J1225</f>
        <v>#N/A</v>
      </c>
    </row>
    <row r="1227" spans="1:15" ht="18.75" customHeight="1">
      <c r="A1227" s="924"/>
      <c r="B1227" s="925"/>
      <c r="C1227" s="926"/>
      <c r="D1227" s="927"/>
      <c r="E1227" s="927"/>
      <c r="F1227" s="928"/>
      <c r="G1227" s="924"/>
      <c r="H1227" s="925"/>
      <c r="I1227" s="926"/>
      <c r="J1227" s="927"/>
    </row>
    <row r="1228" spans="1:15" ht="18.75" customHeight="1">
      <c r="A1228" s="925"/>
      <c r="B1228" s="925"/>
      <c r="C1228" s="929"/>
      <c r="D1228" s="930"/>
      <c r="E1228" s="925"/>
      <c r="F1228" s="931"/>
      <c r="G1228" s="925"/>
      <c r="H1228" s="925"/>
      <c r="I1228" s="929"/>
      <c r="J1228" s="930"/>
    </row>
    <row r="1229" spans="1:15" ht="15" customHeight="1">
      <c r="A1229" s="2360" t="str">
        <f>$K$2</f>
        <v>THÁNG 04/2025</v>
      </c>
      <c r="B1229" s="2360"/>
      <c r="C1229" s="2360"/>
      <c r="D1229" s="2360"/>
      <c r="E1229" s="903"/>
      <c r="F1229" s="904"/>
      <c r="G1229" s="2360" t="str">
        <f>$K$2</f>
        <v>THÁNG 04/2025</v>
      </c>
      <c r="H1229" s="2360"/>
      <c r="I1229" s="2360"/>
      <c r="J1229" s="2360"/>
      <c r="K1229" s="276"/>
    </row>
    <row r="1230" spans="1:15" ht="15" customHeight="1">
      <c r="A1230" s="905" t="s">
        <v>356</v>
      </c>
      <c r="B1230" s="642" t="s">
        <v>1998</v>
      </c>
      <c r="C1230" s="546"/>
      <c r="D1230" s="902"/>
      <c r="E1230" s="906"/>
      <c r="F1230" s="907"/>
      <c r="G1230" s="905" t="s">
        <v>356</v>
      </c>
      <c r="H1230" s="642" t="s">
        <v>81</v>
      </c>
      <c r="I1230" s="546"/>
      <c r="J1230" s="902"/>
      <c r="L1230" s="938"/>
      <c r="M1230" s="938"/>
      <c r="N1230" s="938"/>
      <c r="O1230" s="938"/>
    </row>
    <row r="1231" spans="1:15" ht="15" customHeight="1">
      <c r="A1231" s="908" t="s">
        <v>359</v>
      </c>
      <c r="B1231" s="909" t="s">
        <v>2090</v>
      </c>
      <c r="C1231" s="910" t="e">
        <f>VLOOKUP(B1230,'LƯƠNG KT'!$D$16:$Z$184,4,0)</f>
        <v>#N/A</v>
      </c>
      <c r="D1231" s="609" t="e">
        <f>+C1231*25000</f>
        <v>#N/A</v>
      </c>
      <c r="E1231" s="911"/>
      <c r="F1231" s="911"/>
      <c r="G1231" s="908" t="s">
        <v>359</v>
      </c>
      <c r="H1231" s="909" t="s">
        <v>2090</v>
      </c>
      <c r="I1231" s="910" t="e">
        <f>VLOOKUP(H1230,'LƯƠNG KT'!$D$16:$Z$184,4,0)</f>
        <v>#N/A</v>
      </c>
      <c r="J1231" s="609" t="e">
        <f>+I1231*25000</f>
        <v>#N/A</v>
      </c>
      <c r="K1231" s="935"/>
      <c r="L1231" s="935"/>
      <c r="M1231" s="935"/>
      <c r="N1231" s="935"/>
      <c r="O1231" s="935"/>
    </row>
    <row r="1232" spans="1:15" ht="15" customHeight="1">
      <c r="A1232" s="908" t="s">
        <v>361</v>
      </c>
      <c r="B1232" s="909" t="s">
        <v>2091</v>
      </c>
      <c r="C1232" s="910" t="e">
        <f>VLOOKUP(B1230,'LƯƠNG KT'!$D$16:$Z$184,15,0)</f>
        <v>#N/A</v>
      </c>
      <c r="D1232" s="609" t="e">
        <f>C1232*$L$4</f>
        <v>#N/A</v>
      </c>
      <c r="E1232" s="912"/>
      <c r="F1232" s="912"/>
      <c r="G1232" s="908" t="s">
        <v>361</v>
      </c>
      <c r="H1232" s="909" t="s">
        <v>2091</v>
      </c>
      <c r="I1232" s="910" t="e">
        <f>VLOOKUP(H1230,'LƯƠNG KT'!$D$16:$Z$184,15,0)</f>
        <v>#N/A</v>
      </c>
      <c r="J1232" s="609" t="e">
        <f>I1232*$L$4</f>
        <v>#N/A</v>
      </c>
      <c r="K1232" s="935"/>
      <c r="L1232" s="935"/>
      <c r="M1232" s="935"/>
      <c r="N1232" s="935"/>
      <c r="O1232" s="935"/>
    </row>
    <row r="1233" spans="1:15" ht="15" customHeight="1">
      <c r="A1233" s="908" t="s">
        <v>364</v>
      </c>
      <c r="B1233" s="909" t="s">
        <v>2092</v>
      </c>
      <c r="C1233" s="910" t="e">
        <f>VLOOKUP(B1230,'LƯƠNG KT'!$D$16:$Z$184,16,0)</f>
        <v>#N/A</v>
      </c>
      <c r="D1233" s="609" t="e">
        <f>C1233*$L$5</f>
        <v>#N/A</v>
      </c>
      <c r="E1233" s="912"/>
      <c r="F1233" s="912"/>
      <c r="G1233" s="908" t="s">
        <v>364</v>
      </c>
      <c r="H1233" s="909" t="s">
        <v>2092</v>
      </c>
      <c r="I1233" s="910" t="e">
        <f>VLOOKUP(H1230,'LƯƠNG KT'!$D$16:$Z$184,16,0)</f>
        <v>#N/A</v>
      </c>
      <c r="J1233" s="609" t="e">
        <f>I1233*$L$5</f>
        <v>#N/A</v>
      </c>
      <c r="K1233" s="935"/>
      <c r="L1233" s="935"/>
      <c r="M1233" s="935"/>
      <c r="N1233" s="935"/>
      <c r="O1233" s="935"/>
    </row>
    <row r="1234" spans="1:15" ht="15" customHeight="1">
      <c r="A1234" s="908" t="s">
        <v>370</v>
      </c>
      <c r="B1234" s="909" t="s">
        <v>2093</v>
      </c>
      <c r="C1234" s="910" t="e">
        <f>VLOOKUP(B1230,'LƯƠNG KT'!$D$16:$Z$184,24,0)</f>
        <v>#N/A</v>
      </c>
      <c r="D1234" s="609" t="e">
        <f>+C1234*$L$6</f>
        <v>#N/A</v>
      </c>
      <c r="E1234" s="912"/>
      <c r="F1234" s="912"/>
      <c r="G1234" s="908" t="s">
        <v>370</v>
      </c>
      <c r="H1234" s="909" t="s">
        <v>2093</v>
      </c>
      <c r="I1234" s="910" t="e">
        <f>VLOOKUP(H1230,'LƯƠNG KT'!$D$16:$Z$184,24,0)</f>
        <v>#N/A</v>
      </c>
      <c r="J1234" s="609" t="e">
        <f>+I1234*$L$6</f>
        <v>#N/A</v>
      </c>
      <c r="K1234" s="935"/>
      <c r="L1234" s="935"/>
      <c r="M1234" s="935"/>
      <c r="N1234" s="935"/>
      <c r="O1234" s="935"/>
    </row>
    <row r="1235" spans="1:15" ht="15" customHeight="1">
      <c r="A1235" s="908" t="s">
        <v>2094</v>
      </c>
      <c r="B1235" s="909" t="s">
        <v>2095</v>
      </c>
      <c r="C1235" s="910" t="e">
        <f>VLOOKUP(B1230,'LƯƠNG KT'!$D$16:$Z$184,19,0)</f>
        <v>#N/A</v>
      </c>
      <c r="D1235" s="609" t="e">
        <f>+C1235*$L$8</f>
        <v>#N/A</v>
      </c>
      <c r="E1235" s="912"/>
      <c r="F1235" s="912"/>
      <c r="G1235" s="908" t="s">
        <v>2094</v>
      </c>
      <c r="H1235" s="909" t="s">
        <v>2095</v>
      </c>
      <c r="I1235" s="910" t="e">
        <f>VLOOKUP(H1230,'LƯƠNG KT'!$D$16:$Z$184,19,0)</f>
        <v>#N/A</v>
      </c>
      <c r="J1235" s="609" t="e">
        <f>+I1235*$L$8</f>
        <v>#N/A</v>
      </c>
      <c r="K1235" s="935"/>
      <c r="L1235" s="935"/>
      <c r="M1235" s="935"/>
      <c r="N1235" s="935"/>
      <c r="O1235" s="935"/>
    </row>
    <row r="1236" spans="1:15" ht="15" customHeight="1">
      <c r="A1236" s="908" t="s">
        <v>2096</v>
      </c>
      <c r="B1236" s="913" t="s">
        <v>2097</v>
      </c>
      <c r="C1236" s="910" t="e">
        <f>VLOOKUP(B1230,'LƯƠNG KT'!$D$16:$Z$184,20,0)</f>
        <v>#N/A</v>
      </c>
      <c r="D1236" s="609" t="e">
        <f>+C1236*$L$9</f>
        <v>#N/A</v>
      </c>
      <c r="E1236" s="912"/>
      <c r="F1236" s="912"/>
      <c r="G1236" s="908" t="s">
        <v>2096</v>
      </c>
      <c r="H1236" s="913" t="s">
        <v>2097</v>
      </c>
      <c r="I1236" s="910" t="e">
        <f>VLOOKUP(H1230,'LƯƠNG KT'!$D$16:$Z$184,20,0)</f>
        <v>#N/A</v>
      </c>
      <c r="J1236" s="609" t="e">
        <f>+I1236*$L$9</f>
        <v>#N/A</v>
      </c>
      <c r="K1236" s="935"/>
      <c r="L1236" s="935"/>
      <c r="M1236" s="935"/>
      <c r="N1236" s="935"/>
      <c r="O1236" s="935"/>
    </row>
    <row r="1237" spans="1:15" ht="15" customHeight="1">
      <c r="A1237" s="908" t="s">
        <v>2099</v>
      </c>
      <c r="B1237" s="909" t="s">
        <v>2100</v>
      </c>
      <c r="C1237" s="910" t="e">
        <f>VLOOKUP(B1230,'LƯƠNG KT'!$D$16:$Z$184,17,0)</f>
        <v>#N/A</v>
      </c>
      <c r="D1237" s="609" t="e">
        <f>+C1237*$L$10</f>
        <v>#N/A</v>
      </c>
      <c r="E1237" s="912"/>
      <c r="F1237" s="912"/>
      <c r="G1237" s="908" t="s">
        <v>2099</v>
      </c>
      <c r="H1237" s="909" t="s">
        <v>2100</v>
      </c>
      <c r="I1237" s="910" t="e">
        <f>VLOOKUP(H1230,'LƯƠNG KT'!$D$16:$Z$184,17,0)</f>
        <v>#N/A</v>
      </c>
      <c r="J1237" s="609" t="e">
        <f>+I1237*$L$10</f>
        <v>#N/A</v>
      </c>
      <c r="K1237" s="935"/>
      <c r="L1237" s="935"/>
      <c r="M1237" s="935"/>
      <c r="N1237" s="935"/>
      <c r="O1237" s="935"/>
    </row>
    <row r="1238" spans="1:15" ht="15" customHeight="1">
      <c r="A1238" s="908" t="s">
        <v>374</v>
      </c>
      <c r="B1238" s="909" t="s">
        <v>2102</v>
      </c>
      <c r="C1238" s="910" t="e">
        <f>VLOOKUP(B1230,'LƯƠNG KT'!$D$16:$Z$184,12,0)</f>
        <v>#N/A</v>
      </c>
      <c r="D1238" s="609" t="e">
        <f>VLOOKUP(B1230,'LƯƠNG KT'!$D$16:$Z$184,14,0)</f>
        <v>#N/A</v>
      </c>
      <c r="E1238" s="914"/>
      <c r="F1238" s="912"/>
      <c r="G1238" s="908" t="s">
        <v>374</v>
      </c>
      <c r="H1238" s="909" t="s">
        <v>2102</v>
      </c>
      <c r="I1238" s="910" t="e">
        <f>VLOOKUP(H1230,'LƯƠNG KT'!$D$16:$Z$184,12,0)</f>
        <v>#N/A</v>
      </c>
      <c r="J1238" s="609" t="e">
        <f>VLOOKUP(H1230,'LƯƠNG KT'!$D$16:$Z$184,14,0)</f>
        <v>#N/A</v>
      </c>
      <c r="K1238" s="935"/>
      <c r="L1238" s="935"/>
      <c r="M1238" s="935"/>
      <c r="N1238" s="935"/>
      <c r="O1238" s="935"/>
    </row>
    <row r="1239" spans="1:15" ht="15" customHeight="1">
      <c r="A1239" s="908" t="s">
        <v>2103</v>
      </c>
      <c r="B1239" s="909" t="s">
        <v>2104</v>
      </c>
      <c r="D1239" s="915" t="e">
        <f>VLOOKUP(B1230,'LƯƠNG KT'!$D$16:$Z$184,13,0)</f>
        <v>#N/A</v>
      </c>
      <c r="E1239" s="916"/>
      <c r="F1239" s="916"/>
      <c r="G1239" s="908" t="s">
        <v>2103</v>
      </c>
      <c r="H1239" s="909" t="s">
        <v>2104</v>
      </c>
      <c r="J1239" s="915" t="e">
        <f>VLOOKUP(H1230,'LƯƠNG KT'!$D$16:$Z$184,13,0)</f>
        <v>#N/A</v>
      </c>
    </row>
    <row r="1240" spans="1:15" ht="15" customHeight="1">
      <c r="A1240" s="547"/>
      <c r="B1240" s="546"/>
      <c r="C1240" s="910"/>
      <c r="D1240" s="609"/>
      <c r="E1240" s="914"/>
      <c r="F1240" s="916"/>
      <c r="G1240" s="547"/>
      <c r="H1240" s="546"/>
      <c r="I1240" s="910"/>
      <c r="J1240" s="609"/>
    </row>
    <row r="1241" spans="1:15" ht="15" customHeight="1">
      <c r="A1241" s="905"/>
      <c r="B1241" s="546"/>
      <c r="C1241" s="910"/>
      <c r="D1241" s="609"/>
      <c r="E1241" s="917"/>
      <c r="F1241" s="904"/>
      <c r="G1241" s="905"/>
      <c r="H1241" s="546"/>
      <c r="I1241" s="910"/>
      <c r="J1241" s="609"/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SUM(D1231:D1238)-D1241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SUM(J1231:J1238)-J1241</f>
        <v>#N/A</v>
      </c>
    </row>
    <row r="1243" spans="1:15" ht="15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5" spans="1:15" ht="12" customHeight="1">
      <c r="A1245" s="2361"/>
      <c r="B1245" s="2361"/>
      <c r="C1245" s="2361"/>
      <c r="D1245" s="2361"/>
      <c r="E1245" s="2361"/>
      <c r="F1245" s="2361"/>
      <c r="G1245" s="2361"/>
      <c r="H1245" s="2361"/>
      <c r="I1245" s="2361"/>
      <c r="J1245" s="2361"/>
    </row>
    <row r="1246" spans="1:15" ht="15" customHeight="1">
      <c r="A1246" s="2360" t="str">
        <f>$K$2</f>
        <v>THÁNG 04/2025</v>
      </c>
      <c r="B1246" s="2360"/>
      <c r="C1246" s="2360"/>
      <c r="D1246" s="2360"/>
      <c r="E1246" s="903"/>
      <c r="F1246" s="904"/>
      <c r="G1246" s="2360" t="str">
        <f>$K$2</f>
        <v>THÁNG 04/2025</v>
      </c>
      <c r="H1246" s="2360"/>
      <c r="I1246" s="2360"/>
      <c r="J1246" s="2360"/>
      <c r="K1246" s="276"/>
    </row>
    <row r="1247" spans="1:15" ht="15" customHeight="1">
      <c r="A1247" s="905" t="s">
        <v>356</v>
      </c>
      <c r="B1247" s="642" t="s">
        <v>82</v>
      </c>
      <c r="C1247" s="546"/>
      <c r="D1247" s="902"/>
      <c r="E1247" s="906"/>
      <c r="F1247" s="907"/>
      <c r="G1247" s="905" t="s">
        <v>356</v>
      </c>
      <c r="H1247" s="642" t="s">
        <v>49</v>
      </c>
      <c r="I1247" s="546"/>
      <c r="J1247" s="902"/>
      <c r="L1247" s="938"/>
      <c r="M1247" s="938"/>
      <c r="N1247" s="938"/>
      <c r="O1247" s="938"/>
    </row>
    <row r="1248" spans="1:15" ht="15" customHeight="1">
      <c r="A1248" s="908" t="s">
        <v>359</v>
      </c>
      <c r="B1248" s="909" t="s">
        <v>2090</v>
      </c>
      <c r="C1248" s="910" t="e">
        <f>VLOOKUP(B1247,'LƯƠNG KT'!$D$16:$Z$184,4,0)</f>
        <v>#N/A</v>
      </c>
      <c r="D1248" s="609" t="e">
        <f>+C1248*25000</f>
        <v>#N/A</v>
      </c>
      <c r="E1248" s="911"/>
      <c r="F1248" s="911"/>
      <c r="G1248" s="908" t="s">
        <v>359</v>
      </c>
      <c r="H1248" s="909" t="s">
        <v>2090</v>
      </c>
      <c r="I1248" s="910" t="e">
        <f>VLOOKUP(H1247,'LƯƠNG KT'!$D$16:$Z$184,4,0)</f>
        <v>#N/A</v>
      </c>
      <c r="J1248" s="609" t="e">
        <f>+I1248*25000</f>
        <v>#N/A</v>
      </c>
      <c r="K1248" s="934"/>
      <c r="L1248" s="935"/>
      <c r="M1248" s="935"/>
      <c r="N1248" s="935"/>
      <c r="O1248" s="935"/>
    </row>
    <row r="1249" spans="1:15" ht="15" customHeight="1">
      <c r="A1249" s="908" t="s">
        <v>361</v>
      </c>
      <c r="B1249" s="909" t="s">
        <v>2091</v>
      </c>
      <c r="C1249" s="910" t="e">
        <f>VLOOKUP(B1247,'LƯƠNG KT'!$D$16:$Z$184,15,0)</f>
        <v>#N/A</v>
      </c>
      <c r="D1249" s="609" t="e">
        <f>C1249*$L$4</f>
        <v>#N/A</v>
      </c>
      <c r="E1249" s="912"/>
      <c r="F1249" s="912"/>
      <c r="G1249" s="908" t="s">
        <v>361</v>
      </c>
      <c r="H1249" s="909" t="s">
        <v>2091</v>
      </c>
      <c r="I1249" s="910" t="e">
        <f>VLOOKUP(H1247,'LƯƠNG KT'!$D$16:$Z$184,15,0)</f>
        <v>#N/A</v>
      </c>
      <c r="J1249" s="609" t="e">
        <f>I1249*$L$4</f>
        <v>#N/A</v>
      </c>
      <c r="K1249" s="934"/>
      <c r="L1249" s="935"/>
      <c r="M1249" s="935"/>
      <c r="N1249" s="935"/>
      <c r="O1249" s="935"/>
    </row>
    <row r="1250" spans="1:15" ht="15" customHeight="1">
      <c r="A1250" s="908" t="s">
        <v>364</v>
      </c>
      <c r="B1250" s="909" t="s">
        <v>2092</v>
      </c>
      <c r="C1250" s="910" t="e">
        <f>VLOOKUP(B1247,'LƯƠNG KT'!$D$16:$Z$184,16,0)</f>
        <v>#N/A</v>
      </c>
      <c r="D1250" s="609" t="e">
        <f>C1250*$L$5</f>
        <v>#N/A</v>
      </c>
      <c r="E1250" s="912"/>
      <c r="F1250" s="912"/>
      <c r="G1250" s="908" t="s">
        <v>364</v>
      </c>
      <c r="H1250" s="909" t="s">
        <v>2092</v>
      </c>
      <c r="I1250" s="910" t="e">
        <f>VLOOKUP(H1247,'LƯƠNG KT'!$D$16:$Z$184,16,0)</f>
        <v>#N/A</v>
      </c>
      <c r="J1250" s="609" t="e">
        <f>I1250*$L$5</f>
        <v>#N/A</v>
      </c>
      <c r="K1250" s="934"/>
      <c r="L1250" s="935"/>
      <c r="M1250" s="935"/>
      <c r="N1250" s="935"/>
      <c r="O1250" s="935"/>
    </row>
    <row r="1251" spans="1:15" ht="15" customHeight="1">
      <c r="A1251" s="908" t="s">
        <v>370</v>
      </c>
      <c r="B1251" s="909" t="s">
        <v>2093</v>
      </c>
      <c r="C1251" s="910" t="e">
        <f>VLOOKUP(B1247,'LƯƠNG KT'!$D$16:$Z$184,24,0)</f>
        <v>#N/A</v>
      </c>
      <c r="D1251" s="609" t="e">
        <f>+C1251*$L$6</f>
        <v>#N/A</v>
      </c>
      <c r="E1251" s="912"/>
      <c r="F1251" s="912"/>
      <c r="G1251" s="908" t="s">
        <v>370</v>
      </c>
      <c r="H1251" s="909" t="s">
        <v>2093</v>
      </c>
      <c r="I1251" s="910" t="e">
        <f>VLOOKUP(H1247,'LƯƠNG KT'!$D$16:$Z$184,24,0)</f>
        <v>#N/A</v>
      </c>
      <c r="J1251" s="609" t="e">
        <f>+I1251*$L$6</f>
        <v>#N/A</v>
      </c>
      <c r="K1251" s="935"/>
      <c r="L1251" s="935"/>
      <c r="M1251" s="935"/>
      <c r="N1251" s="935"/>
      <c r="O1251" s="935"/>
    </row>
    <row r="1252" spans="1:15" ht="15" customHeight="1">
      <c r="A1252" s="908" t="s">
        <v>2094</v>
      </c>
      <c r="B1252" s="909" t="s">
        <v>2095</v>
      </c>
      <c r="C1252" s="910" t="e">
        <f>VLOOKUP(B1247,'LƯƠNG KT'!$D$16:$Z$184,19,0)</f>
        <v>#N/A</v>
      </c>
      <c r="D1252" s="609" t="e">
        <f>+C1252*$L$8</f>
        <v>#N/A</v>
      </c>
      <c r="E1252" s="912"/>
      <c r="F1252" s="912"/>
      <c r="G1252" s="908" t="s">
        <v>2094</v>
      </c>
      <c r="H1252" s="909" t="s">
        <v>2095</v>
      </c>
      <c r="I1252" s="910" t="e">
        <f>VLOOKUP(H1247,'LƯƠNG KT'!$D$16:$Z$184,19,0)</f>
        <v>#N/A</v>
      </c>
      <c r="J1252" s="609" t="e">
        <f>+I1252*$L$8</f>
        <v>#N/A</v>
      </c>
      <c r="K1252" s="935"/>
      <c r="L1252" s="935"/>
      <c r="M1252" s="935"/>
      <c r="N1252" s="935"/>
      <c r="O1252" s="935"/>
    </row>
    <row r="1253" spans="1:15" ht="15" customHeight="1">
      <c r="A1253" s="908" t="s">
        <v>2096</v>
      </c>
      <c r="B1253" s="913" t="s">
        <v>2097</v>
      </c>
      <c r="C1253" s="910" t="e">
        <f>VLOOKUP(B1247,'LƯƠNG KT'!$D$16:$Z$184,20,0)</f>
        <v>#N/A</v>
      </c>
      <c r="D1253" s="609" t="e">
        <f>+C1253*$L$9</f>
        <v>#N/A</v>
      </c>
      <c r="E1253" s="912"/>
      <c r="F1253" s="912"/>
      <c r="G1253" s="908" t="s">
        <v>2096</v>
      </c>
      <c r="H1253" s="913" t="s">
        <v>2097</v>
      </c>
      <c r="I1253" s="910" t="e">
        <f>VLOOKUP(H1247,'LƯƠNG KT'!$D$16:$Z$184,20,0)</f>
        <v>#N/A</v>
      </c>
      <c r="J1253" s="609" t="e">
        <f>+I1253*$L$9</f>
        <v>#N/A</v>
      </c>
      <c r="K1253" s="935"/>
      <c r="L1253" s="935"/>
      <c r="M1253" s="935"/>
      <c r="N1253" s="935"/>
      <c r="O1253" s="935"/>
    </row>
    <row r="1254" spans="1:15" ht="15" customHeight="1">
      <c r="A1254" s="908" t="s">
        <v>2099</v>
      </c>
      <c r="B1254" s="909" t="s">
        <v>2100</v>
      </c>
      <c r="C1254" s="910" t="e">
        <f>VLOOKUP(B1247,'LƯƠNG KT'!$D$16:$Z$184,17,0)</f>
        <v>#N/A</v>
      </c>
      <c r="D1254" s="609" t="e">
        <f>+C1254*$L$10</f>
        <v>#N/A</v>
      </c>
      <c r="E1254" s="912"/>
      <c r="F1254" s="912"/>
      <c r="G1254" s="908" t="s">
        <v>2099</v>
      </c>
      <c r="H1254" s="909" t="s">
        <v>2100</v>
      </c>
      <c r="I1254" s="910" t="e">
        <f>VLOOKUP(H1247,'LƯƠNG KT'!$D$16:$Z$184,17,0)</f>
        <v>#N/A</v>
      </c>
      <c r="J1254" s="609" t="e">
        <f>+I1254*$L$10</f>
        <v>#N/A</v>
      </c>
      <c r="K1254" s="935"/>
      <c r="L1254" s="935"/>
      <c r="M1254" s="935"/>
      <c r="N1254" s="935"/>
      <c r="O1254" s="935"/>
    </row>
    <row r="1255" spans="1:15" ht="15" customHeight="1">
      <c r="A1255" s="908" t="s">
        <v>374</v>
      </c>
      <c r="B1255" s="909" t="s">
        <v>2102</v>
      </c>
      <c r="C1255" s="910" t="e">
        <f>VLOOKUP(B1247,'LƯƠNG KT'!$D$16:$Z$184,12,0)</f>
        <v>#N/A</v>
      </c>
      <c r="D1255" s="609" t="e">
        <f>VLOOKUP(B1247,'LƯƠNG KT'!$D$16:$Z$184,14,0)</f>
        <v>#N/A</v>
      </c>
      <c r="E1255" s="914"/>
      <c r="F1255" s="912"/>
      <c r="G1255" s="908" t="s">
        <v>374</v>
      </c>
      <c r="H1255" s="909" t="s">
        <v>2102</v>
      </c>
      <c r="I1255" s="910" t="e">
        <f>VLOOKUP(H1247,'LƯƠNG KT'!$D$16:$Z$184,12,0)</f>
        <v>#N/A</v>
      </c>
      <c r="J1255" s="609" t="e">
        <f>VLOOKUP(H1247,'LƯƠNG KT'!$D$16:$Z$184,14,0)</f>
        <v>#N/A</v>
      </c>
      <c r="K1255" s="935"/>
      <c r="L1255" s="935"/>
      <c r="M1255" s="935"/>
      <c r="N1255" s="935"/>
      <c r="O1255" s="935"/>
    </row>
    <row r="1256" spans="1:15" ht="15" customHeight="1">
      <c r="A1256" s="908" t="s">
        <v>2103</v>
      </c>
      <c r="B1256" s="909" t="s">
        <v>2104</v>
      </c>
      <c r="D1256" s="915" t="e">
        <f>VLOOKUP(B1247,'LƯƠNG KT'!$D$16:$Z$184,13,0)</f>
        <v>#N/A</v>
      </c>
      <c r="E1256" s="916"/>
      <c r="F1256" s="916"/>
      <c r="G1256" s="908" t="s">
        <v>2103</v>
      </c>
      <c r="H1256" s="909" t="s">
        <v>2104</v>
      </c>
      <c r="J1256" s="915" t="e">
        <f>VLOOKUP(H1247,'LƯƠNG KT'!$D$16:$Z$184,13,0)</f>
        <v>#N/A</v>
      </c>
    </row>
    <row r="1257" spans="1:15" ht="15" customHeight="1">
      <c r="A1257" s="547"/>
      <c r="B1257" s="546"/>
      <c r="C1257" s="910"/>
      <c r="D1257" s="609"/>
      <c r="E1257" s="914"/>
      <c r="F1257" s="916"/>
      <c r="G1257" s="547"/>
      <c r="H1257" s="546"/>
      <c r="I1257" s="910"/>
      <c r="J1257" s="609"/>
    </row>
    <row r="1258" spans="1:15" ht="15" customHeight="1">
      <c r="A1258" s="905"/>
      <c r="B1258" s="546"/>
      <c r="C1258" s="910"/>
      <c r="D1258" s="609"/>
      <c r="E1258" s="917"/>
      <c r="F1258" s="904"/>
      <c r="G1258" s="905"/>
      <c r="H1258" s="546"/>
      <c r="I1258" s="910"/>
      <c r="J1258" s="609"/>
    </row>
    <row r="1259" spans="1:15" ht="15" customHeight="1">
      <c r="A1259" s="918" t="s">
        <v>383</v>
      </c>
      <c r="B1259" s="919" t="s">
        <v>384</v>
      </c>
      <c r="C1259" s="920"/>
      <c r="D1259" s="921" t="e">
        <f>SUM(D1248:D1255)-D1258</f>
        <v>#N/A</v>
      </c>
      <c r="E1259" s="922"/>
      <c r="F1259" s="923"/>
      <c r="G1259" s="918" t="s">
        <v>383</v>
      </c>
      <c r="H1259" s="919" t="s">
        <v>384</v>
      </c>
      <c r="I1259" s="920"/>
      <c r="J1259" s="921" t="e">
        <f>SUM(J1248:J1255)-J1258</f>
        <v>#N/A</v>
      </c>
    </row>
    <row r="1260" spans="1:15" ht="12.6" customHeight="1">
      <c r="A1260" s="924"/>
      <c r="B1260" s="925"/>
      <c r="C1260" s="926"/>
      <c r="D1260" s="927"/>
      <c r="E1260" s="927"/>
      <c r="F1260" s="928"/>
      <c r="G1260" s="924"/>
      <c r="H1260" s="925"/>
      <c r="I1260" s="926"/>
      <c r="J1260" s="927"/>
    </row>
    <row r="1261" spans="1:15" ht="138.75" customHeight="1">
      <c r="A1261" s="925"/>
      <c r="B1261" s="925"/>
      <c r="C1261" s="929"/>
      <c r="D1261" s="930"/>
      <c r="E1261" s="925"/>
      <c r="F1261" s="931"/>
      <c r="G1261" s="925"/>
      <c r="H1261" s="925"/>
      <c r="I1261" s="929"/>
      <c r="J1261" s="930"/>
    </row>
    <row r="1262" spans="1:15" ht="15" customHeight="1">
      <c r="A1262" s="2360" t="str">
        <f>$K$2</f>
        <v>THÁNG 04/2025</v>
      </c>
      <c r="B1262" s="2360"/>
      <c r="C1262" s="2360"/>
      <c r="D1262" s="2360"/>
      <c r="E1262" s="903"/>
      <c r="F1262" s="904"/>
      <c r="G1262" s="2360" t="str">
        <f>$K$2</f>
        <v>THÁNG 04/2025</v>
      </c>
      <c r="H1262" s="2360"/>
      <c r="I1262" s="2360"/>
      <c r="J1262" s="2360"/>
      <c r="K1262" s="276"/>
    </row>
    <row r="1263" spans="1:15" ht="15" customHeight="1">
      <c r="A1263" s="905" t="s">
        <v>356</v>
      </c>
      <c r="B1263" s="642" t="s">
        <v>50</v>
      </c>
      <c r="C1263" s="546"/>
      <c r="D1263" s="902"/>
      <c r="E1263" s="906"/>
      <c r="F1263" s="907"/>
      <c r="G1263" s="905" t="s">
        <v>356</v>
      </c>
      <c r="H1263" s="642" t="s">
        <v>68</v>
      </c>
      <c r="I1263" s="546"/>
      <c r="J1263" s="902"/>
      <c r="L1263" s="938"/>
      <c r="M1263" s="938"/>
      <c r="N1263" s="938"/>
      <c r="O1263" s="938"/>
    </row>
    <row r="1264" spans="1:15" ht="15" customHeight="1">
      <c r="A1264" s="908" t="s">
        <v>359</v>
      </c>
      <c r="B1264" s="909" t="s">
        <v>2090</v>
      </c>
      <c r="C1264" s="910" t="e">
        <f>VLOOKUP(B1263,'LƯƠNG KT'!$D$16:$Z$184,4,0)</f>
        <v>#N/A</v>
      </c>
      <c r="D1264" s="609" t="e">
        <f>+C1264*25000</f>
        <v>#N/A</v>
      </c>
      <c r="E1264" s="911"/>
      <c r="F1264" s="911"/>
      <c r="G1264" s="908" t="s">
        <v>359</v>
      </c>
      <c r="H1264" s="909" t="s">
        <v>2090</v>
      </c>
      <c r="I1264" s="910" t="e">
        <f>VLOOKUP(H1263,'LƯƠNG KT'!$D$16:$Z$184,4,0)</f>
        <v>#N/A</v>
      </c>
      <c r="J1264" s="609" t="e">
        <f>+I1264*25000</f>
        <v>#N/A</v>
      </c>
      <c r="K1264" s="935"/>
      <c r="L1264" s="935"/>
      <c r="M1264" s="935"/>
      <c r="N1264" s="935"/>
      <c r="O1264" s="935"/>
    </row>
    <row r="1265" spans="1:15" ht="15" customHeight="1">
      <c r="A1265" s="908" t="s">
        <v>361</v>
      </c>
      <c r="B1265" s="909" t="s">
        <v>2091</v>
      </c>
      <c r="C1265" s="910" t="e">
        <f>VLOOKUP(B1263,'LƯƠNG KT'!$D$16:$Z$184,15,0)</f>
        <v>#N/A</v>
      </c>
      <c r="D1265" s="609" t="e">
        <f>C1265*$L$4</f>
        <v>#N/A</v>
      </c>
      <c r="E1265" s="912"/>
      <c r="F1265" s="912"/>
      <c r="G1265" s="908" t="s">
        <v>361</v>
      </c>
      <c r="H1265" s="909" t="s">
        <v>2091</v>
      </c>
      <c r="I1265" s="910" t="e">
        <f>VLOOKUP(H1263,'LƯƠNG KT'!$D$16:$Z$184,15,0)</f>
        <v>#N/A</v>
      </c>
      <c r="J1265" s="609" t="e">
        <f>I1265*$L$4</f>
        <v>#N/A</v>
      </c>
      <c r="K1265" s="935"/>
      <c r="L1265" s="935"/>
      <c r="M1265" s="935"/>
      <c r="N1265" s="935"/>
      <c r="O1265" s="935"/>
    </row>
    <row r="1266" spans="1:15" ht="15" customHeight="1">
      <c r="A1266" s="908" t="s">
        <v>364</v>
      </c>
      <c r="B1266" s="909" t="s">
        <v>2092</v>
      </c>
      <c r="C1266" s="910" t="e">
        <f>VLOOKUP(B1263,'LƯƠNG KT'!$D$16:$Z$184,16,0)</f>
        <v>#N/A</v>
      </c>
      <c r="D1266" s="609" t="e">
        <f>C1266*$L$5</f>
        <v>#N/A</v>
      </c>
      <c r="E1266" s="912"/>
      <c r="F1266" s="912"/>
      <c r="G1266" s="908" t="s">
        <v>364</v>
      </c>
      <c r="H1266" s="909" t="s">
        <v>2092</v>
      </c>
      <c r="I1266" s="910" t="e">
        <f>VLOOKUP(H1263,'LƯƠNG KT'!$D$16:$Z$184,16,0)</f>
        <v>#N/A</v>
      </c>
      <c r="J1266" s="609" t="e">
        <f>I1266*$L$5</f>
        <v>#N/A</v>
      </c>
      <c r="K1266" s="935"/>
      <c r="L1266" s="935"/>
      <c r="M1266" s="935"/>
      <c r="N1266" s="935"/>
      <c r="O1266" s="935"/>
    </row>
    <row r="1267" spans="1:15" ht="15" customHeight="1">
      <c r="A1267" s="908" t="s">
        <v>370</v>
      </c>
      <c r="B1267" s="909" t="s">
        <v>2093</v>
      </c>
      <c r="C1267" s="910" t="e">
        <f>VLOOKUP(B1263,'LƯƠNG KT'!$D$16:$Z$184,24,0)</f>
        <v>#N/A</v>
      </c>
      <c r="D1267" s="609" t="e">
        <f>+C1267*$L$6</f>
        <v>#N/A</v>
      </c>
      <c r="E1267" s="912"/>
      <c r="F1267" s="912"/>
      <c r="G1267" s="908" t="s">
        <v>370</v>
      </c>
      <c r="H1267" s="909" t="s">
        <v>2093</v>
      </c>
      <c r="I1267" s="910" t="e">
        <f>VLOOKUP(H1263,'LƯƠNG KT'!$D$16:$Z$184,24,0)</f>
        <v>#N/A</v>
      </c>
      <c r="J1267" s="609" t="e">
        <f>+I1267*$L$6</f>
        <v>#N/A</v>
      </c>
      <c r="K1267" s="935"/>
      <c r="L1267" s="935"/>
      <c r="M1267" s="935"/>
      <c r="N1267" s="935"/>
      <c r="O1267" s="935"/>
    </row>
    <row r="1268" spans="1:15" ht="15" customHeight="1">
      <c r="A1268" s="908" t="s">
        <v>2094</v>
      </c>
      <c r="B1268" s="909" t="s">
        <v>2095</v>
      </c>
      <c r="C1268" s="910" t="e">
        <f>VLOOKUP(B1263,'LƯƠNG KT'!$D$16:$Z$184,19,0)</f>
        <v>#N/A</v>
      </c>
      <c r="D1268" s="609" t="e">
        <f>+C1268*$L$8</f>
        <v>#N/A</v>
      </c>
      <c r="E1268" s="912"/>
      <c r="F1268" s="912"/>
      <c r="G1268" s="908" t="s">
        <v>2094</v>
      </c>
      <c r="H1268" s="909" t="s">
        <v>2095</v>
      </c>
      <c r="I1268" s="910" t="e">
        <f>VLOOKUP(H1263,'LƯƠNG KT'!$D$16:$Z$184,19,0)</f>
        <v>#N/A</v>
      </c>
      <c r="J1268" s="609" t="e">
        <f>+I1268*$L$8</f>
        <v>#N/A</v>
      </c>
      <c r="K1268" s="935"/>
      <c r="L1268" s="935"/>
      <c r="M1268" s="935"/>
      <c r="N1268" s="935"/>
      <c r="O1268" s="935"/>
    </row>
    <row r="1269" spans="1:15" ht="15" customHeight="1">
      <c r="A1269" s="908" t="s">
        <v>2096</v>
      </c>
      <c r="B1269" s="913" t="s">
        <v>2097</v>
      </c>
      <c r="C1269" s="910" t="e">
        <f>VLOOKUP(B1263,'LƯƠNG KT'!$D$16:$Z$184,20,0)</f>
        <v>#N/A</v>
      </c>
      <c r="D1269" s="609" t="e">
        <f>+C1269*$L$9</f>
        <v>#N/A</v>
      </c>
      <c r="E1269" s="912"/>
      <c r="F1269" s="912"/>
      <c r="G1269" s="908" t="s">
        <v>2096</v>
      </c>
      <c r="H1269" s="913" t="s">
        <v>2097</v>
      </c>
      <c r="I1269" s="910" t="e">
        <f>VLOOKUP(H1263,'LƯƠNG KT'!$D$16:$Z$184,20,0)</f>
        <v>#N/A</v>
      </c>
      <c r="J1269" s="609" t="e">
        <f>+I1269*$L$9</f>
        <v>#N/A</v>
      </c>
      <c r="K1269" s="935"/>
      <c r="L1269" s="935"/>
      <c r="M1269" s="935"/>
      <c r="N1269" s="935"/>
      <c r="O1269" s="935"/>
    </row>
    <row r="1270" spans="1:15" ht="15" customHeight="1">
      <c r="A1270" s="908" t="s">
        <v>2099</v>
      </c>
      <c r="B1270" s="909" t="s">
        <v>2100</v>
      </c>
      <c r="C1270" s="910" t="e">
        <f>VLOOKUP(B1263,'LƯƠNG KT'!$D$16:$Z$184,17,0)</f>
        <v>#N/A</v>
      </c>
      <c r="D1270" s="609" t="e">
        <f>+C1270*$L$10</f>
        <v>#N/A</v>
      </c>
      <c r="E1270" s="912"/>
      <c r="F1270" s="912"/>
      <c r="G1270" s="908" t="s">
        <v>2099</v>
      </c>
      <c r="H1270" s="909" t="s">
        <v>2100</v>
      </c>
      <c r="I1270" s="910" t="e">
        <f>VLOOKUP(H1263,'LƯƠNG KT'!$D$16:$Z$184,17,0)</f>
        <v>#N/A</v>
      </c>
      <c r="J1270" s="609" t="e">
        <f>+I1270*$L$10</f>
        <v>#N/A</v>
      </c>
      <c r="K1270" s="935"/>
      <c r="L1270" s="935"/>
      <c r="M1270" s="935"/>
      <c r="N1270" s="935"/>
      <c r="O1270" s="935"/>
    </row>
    <row r="1271" spans="1:15" ht="15" customHeight="1">
      <c r="A1271" s="908" t="s">
        <v>374</v>
      </c>
      <c r="B1271" s="909" t="s">
        <v>2102</v>
      </c>
      <c r="C1271" s="910" t="e">
        <f>VLOOKUP(B1263,'LƯƠNG KT'!$D$16:$Z$184,12,0)</f>
        <v>#N/A</v>
      </c>
      <c r="D1271" s="609" t="e">
        <f>VLOOKUP(B1263,'LƯƠNG KT'!$D$16:$Z$184,14,0)</f>
        <v>#N/A</v>
      </c>
      <c r="E1271" s="914"/>
      <c r="F1271" s="912"/>
      <c r="G1271" s="908" t="s">
        <v>374</v>
      </c>
      <c r="H1271" s="909" t="s">
        <v>2102</v>
      </c>
      <c r="I1271" s="910" t="e">
        <f>VLOOKUP(H1263,'LƯƠNG KT'!$D$16:$Z$184,12,0)</f>
        <v>#N/A</v>
      </c>
      <c r="J1271" s="609" t="e">
        <f>VLOOKUP(H1263,'LƯƠNG KT'!$D$16:$Z$184,14,0)</f>
        <v>#N/A</v>
      </c>
      <c r="K1271" s="935"/>
      <c r="L1271" s="935"/>
      <c r="M1271" s="935"/>
      <c r="N1271" s="935"/>
      <c r="O1271" s="935"/>
    </row>
    <row r="1272" spans="1:15" ht="15" customHeight="1">
      <c r="A1272" s="908" t="s">
        <v>2103</v>
      </c>
      <c r="B1272" s="909" t="s">
        <v>2104</v>
      </c>
      <c r="D1272" s="915" t="e">
        <f>VLOOKUP(B1263,'LƯƠNG KT'!$D$16:$Z$184,13,0)</f>
        <v>#N/A</v>
      </c>
      <c r="E1272" s="916"/>
      <c r="F1272" s="916"/>
      <c r="G1272" s="908" t="s">
        <v>2103</v>
      </c>
      <c r="H1272" s="909" t="s">
        <v>2104</v>
      </c>
      <c r="J1272" s="915" t="e">
        <f>VLOOKUP(H1263,'LƯƠNG KT'!$D$16:$Z$184,13,0)</f>
        <v>#N/A</v>
      </c>
    </row>
    <row r="1273" spans="1:15" ht="15" customHeight="1">
      <c r="A1273" s="547"/>
      <c r="B1273" s="546"/>
      <c r="C1273" s="910"/>
      <c r="D1273" s="609"/>
      <c r="E1273" s="914"/>
      <c r="F1273" s="916"/>
      <c r="G1273" s="547"/>
      <c r="H1273" s="546"/>
      <c r="I1273" s="910"/>
      <c r="J1273" s="609"/>
    </row>
    <row r="1274" spans="1:15" ht="15" customHeight="1">
      <c r="A1274" s="905"/>
      <c r="B1274" s="546"/>
      <c r="C1274" s="910"/>
      <c r="D1274" s="609"/>
      <c r="E1274" s="917"/>
      <c r="F1274" s="904"/>
      <c r="G1274" s="905"/>
      <c r="H1274" s="546"/>
      <c r="I1274" s="910"/>
      <c r="J1274" s="609"/>
    </row>
    <row r="1275" spans="1:15" ht="15" customHeight="1">
      <c r="A1275" s="918" t="s">
        <v>383</v>
      </c>
      <c r="B1275" s="919" t="s">
        <v>384</v>
      </c>
      <c r="C1275" s="920"/>
      <c r="D1275" s="921" t="e">
        <f>SUM(D1264:D1271)-D1274</f>
        <v>#N/A</v>
      </c>
      <c r="E1275" s="922"/>
      <c r="F1275" s="923"/>
      <c r="G1275" s="918" t="s">
        <v>383</v>
      </c>
      <c r="H1275" s="919" t="s">
        <v>384</v>
      </c>
      <c r="I1275" s="920"/>
      <c r="J1275" s="921" t="e">
        <f>SUM(J1264:J1271)-J1274</f>
        <v>#N/A</v>
      </c>
    </row>
    <row r="1276" spans="1:15" ht="18.75" customHeight="1">
      <c r="A1276" s="924"/>
      <c r="B1276" s="925"/>
      <c r="C1276" s="926"/>
      <c r="D1276" s="927"/>
      <c r="E1276" s="927"/>
      <c r="F1276" s="928"/>
      <c r="G1276" s="924"/>
      <c r="H1276" s="925"/>
      <c r="I1276" s="926"/>
      <c r="J1276" s="927"/>
    </row>
    <row r="1277" spans="1:15" ht="18.75" customHeight="1">
      <c r="A1277" s="925"/>
      <c r="B1277" s="925"/>
      <c r="C1277" s="929"/>
      <c r="D1277" s="930"/>
      <c r="E1277" s="925"/>
      <c r="F1277" s="931"/>
      <c r="G1277" s="925"/>
      <c r="H1277" s="925"/>
      <c r="I1277" s="929"/>
      <c r="J1277" s="930"/>
    </row>
    <row r="1278" spans="1:15" ht="15" customHeight="1">
      <c r="A1278" s="2360" t="str">
        <f>$K$2</f>
        <v>THÁNG 04/2025</v>
      </c>
      <c r="B1278" s="2360"/>
      <c r="C1278" s="2360"/>
      <c r="D1278" s="2360"/>
      <c r="E1278" s="903"/>
      <c r="F1278" s="904"/>
      <c r="G1278" s="2360" t="str">
        <f>$K$2</f>
        <v>THÁNG 04/2025</v>
      </c>
      <c r="H1278" s="2360"/>
      <c r="I1278" s="2360"/>
      <c r="J1278" s="2360"/>
      <c r="K1278" s="276"/>
    </row>
    <row r="1279" spans="1:15" ht="15" customHeight="1">
      <c r="A1279" s="905" t="s">
        <v>356</v>
      </c>
      <c r="B1279" s="642" t="s">
        <v>69</v>
      </c>
      <c r="C1279" s="546"/>
      <c r="D1279" s="902"/>
      <c r="E1279" s="906"/>
      <c r="F1279" s="907"/>
      <c r="G1279" s="905" t="s">
        <v>356</v>
      </c>
      <c r="H1279" s="642" t="s">
        <v>94</v>
      </c>
      <c r="I1279" s="546"/>
      <c r="J1279" s="902"/>
      <c r="L1279" s="938"/>
      <c r="M1279" s="938"/>
      <c r="N1279" s="938"/>
      <c r="O1279" s="938"/>
    </row>
    <row r="1280" spans="1:15" ht="15" customHeight="1">
      <c r="A1280" s="908" t="s">
        <v>359</v>
      </c>
      <c r="B1280" s="909" t="s">
        <v>2090</v>
      </c>
      <c r="C1280" s="910" t="e">
        <f>VLOOKUP(B1279,'LƯƠNG KT'!$D$16:$Z$184,4,0)</f>
        <v>#N/A</v>
      </c>
      <c r="D1280" s="609" t="e">
        <f>+C1280*25000</f>
        <v>#N/A</v>
      </c>
      <c r="E1280" s="911"/>
      <c r="F1280" s="911"/>
      <c r="G1280" s="908" t="s">
        <v>359</v>
      </c>
      <c r="H1280" s="909" t="s">
        <v>2090</v>
      </c>
      <c r="I1280" s="910" t="e">
        <f>VLOOKUP(H1279,'LƯƠNG KT'!$D$16:$Z$184,4,0)</f>
        <v>#N/A</v>
      </c>
      <c r="J1280" s="609" t="e">
        <f>+I1280*25000</f>
        <v>#N/A</v>
      </c>
      <c r="K1280" s="935"/>
      <c r="L1280" s="935"/>
      <c r="M1280" s="935"/>
      <c r="N1280" s="935"/>
      <c r="O1280" s="935"/>
    </row>
    <row r="1281" spans="1:15" ht="15" customHeight="1">
      <c r="A1281" s="908" t="s">
        <v>361</v>
      </c>
      <c r="B1281" s="909" t="s">
        <v>2091</v>
      </c>
      <c r="C1281" s="910" t="e">
        <f>VLOOKUP(B1279,'LƯƠNG KT'!$D$16:$Z$184,15,0)</f>
        <v>#N/A</v>
      </c>
      <c r="D1281" s="609" t="e">
        <f>C1281*$L$4</f>
        <v>#N/A</v>
      </c>
      <c r="E1281" s="912"/>
      <c r="F1281" s="912"/>
      <c r="G1281" s="908" t="s">
        <v>361</v>
      </c>
      <c r="H1281" s="909" t="s">
        <v>2091</v>
      </c>
      <c r="I1281" s="910" t="e">
        <f>VLOOKUP(H1279,'LƯƠNG KT'!$D$16:$Z$184,15,0)</f>
        <v>#N/A</v>
      </c>
      <c r="J1281" s="609" t="e">
        <f>I1281*$L$4</f>
        <v>#N/A</v>
      </c>
      <c r="K1281" s="935"/>
      <c r="L1281" s="935"/>
      <c r="M1281" s="935"/>
      <c r="N1281" s="935"/>
      <c r="O1281" s="935"/>
    </row>
    <row r="1282" spans="1:15" ht="15" customHeight="1">
      <c r="A1282" s="908" t="s">
        <v>364</v>
      </c>
      <c r="B1282" s="909" t="s">
        <v>2092</v>
      </c>
      <c r="C1282" s="910" t="e">
        <f>VLOOKUP(B1279,'LƯƠNG KT'!$D$16:$Z$184,16,0)</f>
        <v>#N/A</v>
      </c>
      <c r="D1282" s="609" t="e">
        <f>C1282*$L$5</f>
        <v>#N/A</v>
      </c>
      <c r="E1282" s="912"/>
      <c r="F1282" s="912"/>
      <c r="G1282" s="908" t="s">
        <v>364</v>
      </c>
      <c r="H1282" s="909" t="s">
        <v>2092</v>
      </c>
      <c r="I1282" s="910" t="e">
        <f>VLOOKUP(H1279,'LƯƠNG KT'!$D$16:$Z$184,16,0)</f>
        <v>#N/A</v>
      </c>
      <c r="J1282" s="609" t="e">
        <f>I1282*$L$5</f>
        <v>#N/A</v>
      </c>
      <c r="K1282" s="935"/>
      <c r="L1282" s="935"/>
      <c r="M1282" s="935"/>
      <c r="N1282" s="935"/>
      <c r="O1282" s="935"/>
    </row>
    <row r="1283" spans="1:15" ht="15" customHeight="1">
      <c r="A1283" s="908" t="s">
        <v>370</v>
      </c>
      <c r="B1283" s="909" t="s">
        <v>2093</v>
      </c>
      <c r="C1283" s="910" t="e">
        <f>VLOOKUP(B1279,'LƯƠNG KT'!$D$16:$Z$184,24,0)</f>
        <v>#N/A</v>
      </c>
      <c r="D1283" s="609" t="e">
        <f>+C1283*$L$6</f>
        <v>#N/A</v>
      </c>
      <c r="E1283" s="912"/>
      <c r="F1283" s="912"/>
      <c r="G1283" s="908" t="s">
        <v>370</v>
      </c>
      <c r="H1283" s="909" t="s">
        <v>2093</v>
      </c>
      <c r="I1283" s="910" t="e">
        <f>VLOOKUP(H1279,'LƯƠNG KT'!$D$16:$Z$184,24,0)</f>
        <v>#N/A</v>
      </c>
      <c r="J1283" s="609" t="e">
        <f>+I1283*$L$6</f>
        <v>#N/A</v>
      </c>
      <c r="K1283" s="935"/>
      <c r="L1283" s="935"/>
      <c r="M1283" s="935"/>
      <c r="N1283" s="935"/>
      <c r="O1283" s="935"/>
    </row>
    <row r="1284" spans="1:15" ht="15" customHeight="1">
      <c r="A1284" s="908" t="s">
        <v>2094</v>
      </c>
      <c r="B1284" s="909" t="s">
        <v>2095</v>
      </c>
      <c r="C1284" s="910" t="e">
        <f>VLOOKUP(B1279,'LƯƠNG KT'!$D$16:$Z$184,19,0)</f>
        <v>#N/A</v>
      </c>
      <c r="D1284" s="609" t="e">
        <f>+C1284*$L$8</f>
        <v>#N/A</v>
      </c>
      <c r="E1284" s="912"/>
      <c r="F1284" s="912"/>
      <c r="G1284" s="908" t="s">
        <v>2094</v>
      </c>
      <c r="H1284" s="909" t="s">
        <v>2095</v>
      </c>
      <c r="I1284" s="910" t="e">
        <f>VLOOKUP(H1279,'LƯƠNG KT'!$D$16:$Z$184,19,0)</f>
        <v>#N/A</v>
      </c>
      <c r="J1284" s="609" t="e">
        <f>+I1284*$L$8</f>
        <v>#N/A</v>
      </c>
      <c r="K1284" s="935"/>
      <c r="L1284" s="935"/>
      <c r="M1284" s="935"/>
      <c r="N1284" s="935"/>
      <c r="O1284" s="935"/>
    </row>
    <row r="1285" spans="1:15" ht="15" customHeight="1">
      <c r="A1285" s="908" t="s">
        <v>2096</v>
      </c>
      <c r="B1285" s="913" t="s">
        <v>2097</v>
      </c>
      <c r="C1285" s="910" t="e">
        <f>VLOOKUP(B1279,'LƯƠNG KT'!$D$16:$Z$184,20,0)</f>
        <v>#N/A</v>
      </c>
      <c r="D1285" s="609" t="e">
        <f>+C1285*$L$9</f>
        <v>#N/A</v>
      </c>
      <c r="E1285" s="912"/>
      <c r="F1285" s="912"/>
      <c r="G1285" s="908" t="s">
        <v>2096</v>
      </c>
      <c r="H1285" s="913" t="s">
        <v>2097</v>
      </c>
      <c r="I1285" s="910" t="e">
        <f>VLOOKUP(H1279,'LƯƠNG KT'!$D$16:$Z$184,20,0)</f>
        <v>#N/A</v>
      </c>
      <c r="J1285" s="609" t="e">
        <f>+I1285*$L$9</f>
        <v>#N/A</v>
      </c>
      <c r="K1285" s="935"/>
      <c r="L1285" s="935"/>
      <c r="M1285" s="935"/>
      <c r="N1285" s="935"/>
      <c r="O1285" s="935"/>
    </row>
    <row r="1286" spans="1:15" ht="15" customHeight="1">
      <c r="A1286" s="908" t="s">
        <v>2099</v>
      </c>
      <c r="B1286" s="909" t="s">
        <v>2100</v>
      </c>
      <c r="C1286" s="910" t="e">
        <f>VLOOKUP(B1279,'LƯƠNG KT'!$D$16:$Z$184,17,0)</f>
        <v>#N/A</v>
      </c>
      <c r="D1286" s="609" t="e">
        <f>+C1286*$L$10</f>
        <v>#N/A</v>
      </c>
      <c r="E1286" s="912"/>
      <c r="F1286" s="912"/>
      <c r="G1286" s="908" t="s">
        <v>2099</v>
      </c>
      <c r="H1286" s="909" t="s">
        <v>2100</v>
      </c>
      <c r="I1286" s="910" t="e">
        <f>VLOOKUP(H1279,'LƯƠNG KT'!$D$16:$Z$184,17,0)</f>
        <v>#N/A</v>
      </c>
      <c r="J1286" s="609" t="e">
        <f>+I1286*$L$10</f>
        <v>#N/A</v>
      </c>
      <c r="K1286" s="935"/>
      <c r="L1286" s="935"/>
      <c r="M1286" s="935"/>
      <c r="N1286" s="935"/>
      <c r="O1286" s="935"/>
    </row>
    <row r="1287" spans="1:15" ht="15" customHeight="1">
      <c r="A1287" s="908" t="s">
        <v>374</v>
      </c>
      <c r="B1287" s="909" t="s">
        <v>2102</v>
      </c>
      <c r="C1287" s="910" t="e">
        <f>VLOOKUP(B1279,'LƯƠNG KT'!$D$16:$Z$184,12,0)</f>
        <v>#N/A</v>
      </c>
      <c r="D1287" s="609" t="e">
        <f>VLOOKUP(B1279,'LƯƠNG KT'!$D$16:$Z$184,14,0)</f>
        <v>#N/A</v>
      </c>
      <c r="E1287" s="914"/>
      <c r="F1287" s="912"/>
      <c r="G1287" s="908" t="s">
        <v>374</v>
      </c>
      <c r="H1287" s="909" t="s">
        <v>2102</v>
      </c>
      <c r="I1287" s="910" t="e">
        <f>VLOOKUP(H1279,'LƯƠNG KT'!$D$16:$Z$184,12,0)</f>
        <v>#N/A</v>
      </c>
      <c r="J1287" s="609" t="e">
        <f>VLOOKUP(H1279,'LƯƠNG KT'!$D$16:$Z$184,14,0)</f>
        <v>#N/A</v>
      </c>
      <c r="K1287" s="935"/>
      <c r="L1287" s="935"/>
      <c r="M1287" s="935"/>
      <c r="N1287" s="935"/>
      <c r="O1287" s="935"/>
    </row>
    <row r="1288" spans="1:15" ht="15" customHeight="1">
      <c r="A1288" s="908" t="s">
        <v>2103</v>
      </c>
      <c r="B1288" s="909" t="s">
        <v>2104</v>
      </c>
      <c r="D1288" s="915" t="e">
        <f>VLOOKUP(B1279,'LƯƠNG KT'!$D$16:$Z$184,13,0)</f>
        <v>#N/A</v>
      </c>
      <c r="E1288" s="916"/>
      <c r="F1288" s="916"/>
      <c r="G1288" s="908" t="s">
        <v>2103</v>
      </c>
      <c r="H1288" s="909" t="s">
        <v>2104</v>
      </c>
      <c r="J1288" s="915" t="e">
        <f>VLOOKUP(H1279,'LƯƠNG KT'!$D$16:$Z$184,13,0)</f>
        <v>#N/A</v>
      </c>
    </row>
    <row r="1289" spans="1:15" ht="15" customHeight="1">
      <c r="A1289" s="547"/>
      <c r="B1289" s="546"/>
      <c r="C1289" s="910"/>
      <c r="D1289" s="609"/>
      <c r="E1289" s="914"/>
      <c r="F1289" s="916"/>
      <c r="G1289" s="547"/>
      <c r="H1289" s="546"/>
      <c r="I1289" s="910"/>
      <c r="J1289" s="609"/>
    </row>
    <row r="1290" spans="1:15" ht="15" customHeight="1">
      <c r="A1290" s="905"/>
      <c r="B1290" s="546"/>
      <c r="C1290" s="910"/>
      <c r="D1290" s="609"/>
      <c r="E1290" s="917"/>
      <c r="F1290" s="904"/>
      <c r="G1290" s="905"/>
      <c r="H1290" s="546"/>
      <c r="I1290" s="910"/>
      <c r="J1290" s="609"/>
    </row>
    <row r="1291" spans="1:15" ht="15" customHeight="1">
      <c r="A1291" s="918" t="s">
        <v>383</v>
      </c>
      <c r="B1291" s="919" t="s">
        <v>384</v>
      </c>
      <c r="C1291" s="920"/>
      <c r="D1291" s="921" t="e">
        <f>SUM(D1280:D1287)-D1290</f>
        <v>#N/A</v>
      </c>
      <c r="E1291" s="922"/>
      <c r="F1291" s="923"/>
      <c r="G1291" s="918" t="s">
        <v>383</v>
      </c>
      <c r="H1291" s="919" t="s">
        <v>384</v>
      </c>
      <c r="I1291" s="920"/>
      <c r="J1291" s="921" t="e">
        <f>SUM(J1280:J1287)-J1290</f>
        <v>#N/A</v>
      </c>
    </row>
    <row r="1292" spans="1:15" ht="18.75" customHeight="1">
      <c r="A1292" s="924"/>
      <c r="B1292" s="925"/>
      <c r="C1292" s="926"/>
      <c r="D1292" s="927"/>
      <c r="E1292" s="927"/>
      <c r="F1292" s="928"/>
      <c r="G1292" s="924"/>
      <c r="H1292" s="925"/>
      <c r="I1292" s="926"/>
      <c r="J1292" s="927"/>
    </row>
    <row r="1293" spans="1:15" ht="18.75" customHeight="1">
      <c r="A1293" s="925"/>
      <c r="B1293" s="925"/>
      <c r="C1293" s="929"/>
      <c r="D1293" s="930"/>
      <c r="E1293" s="925"/>
      <c r="F1293" s="931"/>
      <c r="G1293" s="925"/>
      <c r="H1293" s="925"/>
      <c r="I1293" s="929"/>
      <c r="J1293" s="930"/>
    </row>
    <row r="1294" spans="1:15" ht="15" customHeight="1">
      <c r="A1294" s="2360" t="str">
        <f>$K$2</f>
        <v>THÁNG 04/2025</v>
      </c>
      <c r="B1294" s="2360"/>
      <c r="C1294" s="2360"/>
      <c r="D1294" s="2360"/>
      <c r="E1294" s="903"/>
      <c r="F1294" s="904"/>
      <c r="G1294" s="2360" t="str">
        <f>$K$2</f>
        <v>THÁNG 04/2025</v>
      </c>
      <c r="H1294" s="2360"/>
      <c r="I1294" s="2360"/>
      <c r="J1294" s="2360"/>
      <c r="K1294" s="276"/>
    </row>
    <row r="1295" spans="1:15" ht="15" customHeight="1">
      <c r="A1295" s="905" t="s">
        <v>356</v>
      </c>
      <c r="B1295" s="642" t="s">
        <v>95</v>
      </c>
      <c r="C1295" s="546"/>
      <c r="D1295" s="902"/>
      <c r="E1295" s="906"/>
      <c r="F1295" s="907"/>
      <c r="G1295" s="905" t="s">
        <v>356</v>
      </c>
      <c r="H1295" s="642" t="s">
        <v>16</v>
      </c>
      <c r="I1295" s="546"/>
      <c r="J1295" s="902"/>
      <c r="L1295" s="938"/>
      <c r="M1295" s="938"/>
      <c r="N1295" s="938"/>
      <c r="O1295" s="938"/>
    </row>
    <row r="1296" spans="1:15" ht="15" customHeight="1">
      <c r="A1296" s="908" t="s">
        <v>359</v>
      </c>
      <c r="B1296" s="909" t="s">
        <v>2090</v>
      </c>
      <c r="C1296" s="910" t="e">
        <f>VLOOKUP(B1295,'LƯƠNG KT'!$D$16:$Z$184,4,0)</f>
        <v>#N/A</v>
      </c>
      <c r="D1296" s="609" t="e">
        <f>+C1296*25000</f>
        <v>#N/A</v>
      </c>
      <c r="E1296" s="911"/>
      <c r="F1296" s="911"/>
      <c r="G1296" s="908" t="s">
        <v>359</v>
      </c>
      <c r="H1296" s="909" t="s">
        <v>2090</v>
      </c>
      <c r="I1296" s="910" t="e">
        <f>VLOOKUP(H1295,'LƯƠNG KT'!$D$16:$Z$184,4,0)</f>
        <v>#N/A</v>
      </c>
      <c r="J1296" s="609" t="e">
        <f>+I1296*25000</f>
        <v>#N/A</v>
      </c>
      <c r="K1296" s="935"/>
      <c r="L1296" s="935"/>
      <c r="M1296" s="935"/>
      <c r="N1296" s="935"/>
      <c r="O1296" s="935"/>
    </row>
    <row r="1297" spans="1:15" ht="15" customHeight="1">
      <c r="A1297" s="908" t="s">
        <v>361</v>
      </c>
      <c r="B1297" s="909" t="s">
        <v>2091</v>
      </c>
      <c r="C1297" s="910" t="e">
        <f>VLOOKUP(B1295,'LƯƠNG KT'!$D$16:$Z$184,15,0)</f>
        <v>#N/A</v>
      </c>
      <c r="D1297" s="609" t="e">
        <f>C1297*$L$4</f>
        <v>#N/A</v>
      </c>
      <c r="E1297" s="912"/>
      <c r="F1297" s="912"/>
      <c r="G1297" s="908" t="s">
        <v>361</v>
      </c>
      <c r="H1297" s="909" t="s">
        <v>2091</v>
      </c>
      <c r="I1297" s="910" t="e">
        <f>VLOOKUP(H1295,'LƯƠNG KT'!$D$16:$Z$184,15,0)</f>
        <v>#N/A</v>
      </c>
      <c r="J1297" s="609" t="e">
        <f>I1297*$L$4</f>
        <v>#N/A</v>
      </c>
      <c r="K1297" s="935"/>
      <c r="L1297" s="935"/>
      <c r="M1297" s="935"/>
      <c r="N1297" s="935"/>
      <c r="O1297" s="935"/>
    </row>
    <row r="1298" spans="1:15" ht="15" customHeight="1">
      <c r="A1298" s="908" t="s">
        <v>364</v>
      </c>
      <c r="B1298" s="909" t="s">
        <v>2092</v>
      </c>
      <c r="C1298" s="910" t="e">
        <f>VLOOKUP(B1295,'LƯƠNG KT'!$D$16:$Z$184,16,0)</f>
        <v>#N/A</v>
      </c>
      <c r="D1298" s="609" t="e">
        <f>C1298*$L$5</f>
        <v>#N/A</v>
      </c>
      <c r="E1298" s="912"/>
      <c r="F1298" s="912"/>
      <c r="G1298" s="908" t="s">
        <v>364</v>
      </c>
      <c r="H1298" s="909" t="s">
        <v>2092</v>
      </c>
      <c r="I1298" s="910" t="e">
        <f>VLOOKUP(H1295,'LƯƠNG KT'!$D$16:$Z$184,16,0)</f>
        <v>#N/A</v>
      </c>
      <c r="J1298" s="609" t="e">
        <f>I1298*$L$5</f>
        <v>#N/A</v>
      </c>
      <c r="K1298" s="935"/>
      <c r="L1298" s="935"/>
      <c r="M1298" s="935"/>
      <c r="N1298" s="935"/>
      <c r="O1298" s="935"/>
    </row>
    <row r="1299" spans="1:15" ht="15" customHeight="1">
      <c r="A1299" s="908" t="s">
        <v>370</v>
      </c>
      <c r="B1299" s="909" t="s">
        <v>2093</v>
      </c>
      <c r="C1299" s="910" t="e">
        <f>VLOOKUP(B1295,'LƯƠNG KT'!$D$16:$Z$184,24,0)</f>
        <v>#N/A</v>
      </c>
      <c r="D1299" s="609" t="e">
        <f>+C1299*$L$6</f>
        <v>#N/A</v>
      </c>
      <c r="E1299" s="912"/>
      <c r="F1299" s="912"/>
      <c r="G1299" s="908" t="s">
        <v>370</v>
      </c>
      <c r="H1299" s="909" t="s">
        <v>2093</v>
      </c>
      <c r="I1299" s="910" t="e">
        <f>VLOOKUP(H1295,'LƯƠNG KT'!$D$16:$Z$184,24,0)</f>
        <v>#N/A</v>
      </c>
      <c r="J1299" s="609" t="e">
        <f>+I1299*$L$6</f>
        <v>#N/A</v>
      </c>
      <c r="K1299" s="935"/>
      <c r="L1299" s="935"/>
      <c r="M1299" s="935"/>
      <c r="N1299" s="935"/>
      <c r="O1299" s="935"/>
    </row>
    <row r="1300" spans="1:15" ht="15" customHeight="1">
      <c r="A1300" s="908" t="s">
        <v>2094</v>
      </c>
      <c r="B1300" s="909" t="s">
        <v>2095</v>
      </c>
      <c r="C1300" s="910" t="e">
        <f>VLOOKUP(B1295,'LƯƠNG KT'!$D$16:$Z$184,19,0)</f>
        <v>#N/A</v>
      </c>
      <c r="D1300" s="609" t="e">
        <f>+C1300*$L$8</f>
        <v>#N/A</v>
      </c>
      <c r="E1300" s="912"/>
      <c r="F1300" s="912"/>
      <c r="G1300" s="908" t="s">
        <v>2094</v>
      </c>
      <c r="H1300" s="909" t="s">
        <v>2095</v>
      </c>
      <c r="I1300" s="910" t="e">
        <f>VLOOKUP(H1295,'LƯƠNG KT'!$D$16:$Z$184,19,0)</f>
        <v>#N/A</v>
      </c>
      <c r="J1300" s="609" t="e">
        <f>+I1300*$L$8</f>
        <v>#N/A</v>
      </c>
      <c r="K1300" s="935"/>
      <c r="L1300" s="935"/>
      <c r="M1300" s="935"/>
      <c r="N1300" s="935"/>
      <c r="O1300" s="935"/>
    </row>
    <row r="1301" spans="1:15" ht="15" customHeight="1">
      <c r="A1301" s="908" t="s">
        <v>2096</v>
      </c>
      <c r="B1301" s="913" t="s">
        <v>2097</v>
      </c>
      <c r="C1301" s="910" t="e">
        <f>VLOOKUP(B1295,'LƯƠNG KT'!$D$16:$Z$184,20,0)</f>
        <v>#N/A</v>
      </c>
      <c r="D1301" s="609" t="e">
        <f>+C1301*$L$9</f>
        <v>#N/A</v>
      </c>
      <c r="E1301" s="912"/>
      <c r="F1301" s="912"/>
      <c r="G1301" s="908" t="s">
        <v>2096</v>
      </c>
      <c r="H1301" s="913" t="s">
        <v>2097</v>
      </c>
      <c r="I1301" s="910" t="e">
        <f>VLOOKUP(H1295,'LƯƠNG KT'!$D$16:$Z$184,20,0)</f>
        <v>#N/A</v>
      </c>
      <c r="J1301" s="609" t="e">
        <f>+I1301*$L$9</f>
        <v>#N/A</v>
      </c>
      <c r="K1301" s="935"/>
      <c r="L1301" s="935"/>
      <c r="M1301" s="935"/>
      <c r="N1301" s="935"/>
      <c r="O1301" s="935"/>
    </row>
    <row r="1302" spans="1:15" ht="15" customHeight="1">
      <c r="A1302" s="908" t="s">
        <v>2099</v>
      </c>
      <c r="B1302" s="909" t="s">
        <v>2100</v>
      </c>
      <c r="C1302" s="910" t="e">
        <f>VLOOKUP(B1295,'LƯƠNG KT'!$D$16:$Z$184,17,0)</f>
        <v>#N/A</v>
      </c>
      <c r="D1302" s="609" t="e">
        <f>+C1302*$L$10</f>
        <v>#N/A</v>
      </c>
      <c r="E1302" s="912"/>
      <c r="F1302" s="912"/>
      <c r="G1302" s="908" t="s">
        <v>2099</v>
      </c>
      <c r="H1302" s="909" t="s">
        <v>2100</v>
      </c>
      <c r="I1302" s="910" t="e">
        <f>VLOOKUP(H1295,'LƯƠNG KT'!$D$16:$Z$184,17,0)</f>
        <v>#N/A</v>
      </c>
      <c r="J1302" s="609" t="e">
        <f>+I1302*$L$10</f>
        <v>#N/A</v>
      </c>
      <c r="K1302" s="935"/>
      <c r="L1302" s="935"/>
      <c r="M1302" s="935"/>
      <c r="N1302" s="935"/>
      <c r="O1302" s="935"/>
    </row>
    <row r="1303" spans="1:15" ht="15" customHeight="1">
      <c r="A1303" s="908" t="s">
        <v>374</v>
      </c>
      <c r="B1303" s="909" t="s">
        <v>2102</v>
      </c>
      <c r="C1303" s="910" t="e">
        <f>VLOOKUP(B1295,'LƯƠNG KT'!$D$16:$Z$184,12,0)</f>
        <v>#N/A</v>
      </c>
      <c r="D1303" s="609" t="e">
        <f>VLOOKUP(B1295,'LƯƠNG KT'!$D$16:$Z$184,14,0)</f>
        <v>#N/A</v>
      </c>
      <c r="E1303" s="914"/>
      <c r="F1303" s="912"/>
      <c r="G1303" s="908" t="s">
        <v>374</v>
      </c>
      <c r="H1303" s="909" t="s">
        <v>2102</v>
      </c>
      <c r="I1303" s="910" t="e">
        <f>VLOOKUP(H1295,'LƯƠNG KT'!$D$16:$Z$184,12,0)</f>
        <v>#N/A</v>
      </c>
      <c r="J1303" s="609" t="e">
        <f>VLOOKUP(H1295,'LƯƠNG KT'!$D$16:$Z$184,14,0)</f>
        <v>#N/A</v>
      </c>
      <c r="K1303" s="935"/>
      <c r="L1303" s="935"/>
      <c r="M1303" s="935"/>
      <c r="N1303" s="935"/>
      <c r="O1303" s="935"/>
    </row>
    <row r="1304" spans="1:15" ht="15" customHeight="1">
      <c r="A1304" s="908" t="s">
        <v>2103</v>
      </c>
      <c r="B1304" s="909" t="s">
        <v>2104</v>
      </c>
      <c r="D1304" s="915" t="e">
        <f>VLOOKUP(B1295,'LƯƠNG KT'!$D$16:$Z$184,13,0)</f>
        <v>#N/A</v>
      </c>
      <c r="E1304" s="916"/>
      <c r="F1304" s="916"/>
      <c r="G1304" s="908" t="s">
        <v>2103</v>
      </c>
      <c r="H1304" s="909" t="s">
        <v>2104</v>
      </c>
      <c r="J1304" s="915" t="e">
        <f>VLOOKUP(H1295,'LƯƠNG KT'!$D$16:$Z$184,13,0)</f>
        <v>#N/A</v>
      </c>
    </row>
    <row r="1305" spans="1:15" ht="15" customHeight="1">
      <c r="A1305" s="547"/>
      <c r="B1305" s="546"/>
      <c r="C1305" s="910"/>
      <c r="D1305" s="609"/>
      <c r="E1305" s="914"/>
      <c r="F1305" s="916"/>
      <c r="G1305" s="547"/>
      <c r="H1305" s="546"/>
      <c r="I1305" s="910"/>
      <c r="J1305" s="609"/>
    </row>
    <row r="1306" spans="1:15" ht="15" customHeight="1">
      <c r="A1306" s="905"/>
      <c r="B1306" s="546"/>
      <c r="C1306" s="910"/>
      <c r="D1306" s="609"/>
      <c r="E1306" s="917"/>
      <c r="F1306" s="904"/>
      <c r="G1306" s="905"/>
      <c r="H1306" s="546"/>
      <c r="I1306" s="910"/>
      <c r="J1306" s="609"/>
    </row>
    <row r="1307" spans="1:15" ht="15" customHeight="1">
      <c r="A1307" s="918" t="s">
        <v>383</v>
      </c>
      <c r="B1307" s="919" t="s">
        <v>384</v>
      </c>
      <c r="C1307" s="920"/>
      <c r="D1307" s="921" t="e">
        <f>SUM(D1296:D1303)-D1306</f>
        <v>#N/A</v>
      </c>
      <c r="E1307" s="922"/>
      <c r="F1307" s="923"/>
      <c r="G1307" s="918" t="s">
        <v>383</v>
      </c>
      <c r="H1307" s="919" t="s">
        <v>384</v>
      </c>
      <c r="I1307" s="920"/>
      <c r="J1307" s="921" t="e">
        <f>SUM(J1296:J1303)-J1306</f>
        <v>#N/A</v>
      </c>
    </row>
    <row r="1308" spans="1:15" ht="15.75" customHeight="1">
      <c r="A1308" s="924"/>
      <c r="B1308" s="925"/>
      <c r="C1308" s="926"/>
      <c r="D1308" s="927"/>
      <c r="E1308" s="927"/>
      <c r="F1308" s="928"/>
      <c r="G1308" s="924"/>
      <c r="H1308" s="925"/>
      <c r="I1308" s="926"/>
      <c r="J1308" s="927"/>
    </row>
    <row r="1310" spans="1:15" ht="129" customHeight="1">
      <c r="A1310" s="2361"/>
      <c r="B1310" s="2361"/>
      <c r="C1310" s="2361"/>
      <c r="D1310" s="2361"/>
      <c r="E1310" s="2361"/>
      <c r="F1310" s="2361"/>
      <c r="G1310" s="2361"/>
      <c r="H1310" s="2361"/>
      <c r="I1310" s="2361"/>
      <c r="J1310" s="2361"/>
    </row>
    <row r="1311" spans="1:15" ht="15" customHeight="1">
      <c r="A1311" s="2360" t="str">
        <f>$K$2</f>
        <v>THÁNG 04/2025</v>
      </c>
      <c r="B1311" s="2360"/>
      <c r="C1311" s="2360"/>
      <c r="D1311" s="2360"/>
      <c r="E1311" s="903"/>
      <c r="F1311" s="904"/>
      <c r="G1311" s="2360" t="str">
        <f>$K$2</f>
        <v>THÁNG 04/2025</v>
      </c>
      <c r="H1311" s="2360"/>
      <c r="I1311" s="2360"/>
      <c r="J1311" s="2360"/>
      <c r="K1311" s="276"/>
    </row>
    <row r="1312" spans="1:15" ht="15" customHeight="1">
      <c r="A1312" s="905" t="s">
        <v>356</v>
      </c>
      <c r="B1312" s="642" t="s">
        <v>47</v>
      </c>
      <c r="C1312" s="546"/>
      <c r="D1312" s="902"/>
      <c r="E1312" s="906"/>
      <c r="F1312" s="907"/>
      <c r="G1312" s="905" t="s">
        <v>356</v>
      </c>
      <c r="H1312" s="642" t="s">
        <v>87</v>
      </c>
      <c r="I1312" s="546"/>
      <c r="J1312" s="902"/>
      <c r="L1312" s="938"/>
      <c r="M1312" s="938"/>
      <c r="N1312" s="938"/>
      <c r="O1312" s="938"/>
    </row>
    <row r="1313" spans="1:15" ht="15" customHeight="1">
      <c r="A1313" s="908" t="s">
        <v>359</v>
      </c>
      <c r="B1313" s="909" t="s">
        <v>2090</v>
      </c>
      <c r="C1313" s="910" t="e">
        <f>VLOOKUP(B1312,'LƯƠNG KT'!$D$16:$Z$184,4,0)</f>
        <v>#N/A</v>
      </c>
      <c r="D1313" s="609" t="e">
        <f>+C1313*25000</f>
        <v>#N/A</v>
      </c>
      <c r="E1313" s="911"/>
      <c r="F1313" s="911"/>
      <c r="G1313" s="908" t="s">
        <v>359</v>
      </c>
      <c r="H1313" s="909" t="s">
        <v>2090</v>
      </c>
      <c r="I1313" s="910" t="e">
        <f>VLOOKUP(H1312,'LƯƠNG KT'!$D$16:$Z$184,4,0)</f>
        <v>#N/A</v>
      </c>
      <c r="J1313" s="609" t="e">
        <f>+I1313*25000</f>
        <v>#N/A</v>
      </c>
      <c r="K1313" s="934"/>
      <c r="L1313" s="935"/>
      <c r="M1313" s="935"/>
      <c r="N1313" s="935"/>
      <c r="O1313" s="935"/>
    </row>
    <row r="1314" spans="1:15" ht="15" customHeight="1">
      <c r="A1314" s="908" t="s">
        <v>361</v>
      </c>
      <c r="B1314" s="909" t="s">
        <v>2091</v>
      </c>
      <c r="C1314" s="910" t="e">
        <f>VLOOKUP(B1312,'LƯƠNG KT'!$D$16:$Z$184,15,0)</f>
        <v>#N/A</v>
      </c>
      <c r="D1314" s="609" t="e">
        <f>C1314*$L$4</f>
        <v>#N/A</v>
      </c>
      <c r="E1314" s="912"/>
      <c r="F1314" s="912"/>
      <c r="G1314" s="908" t="s">
        <v>361</v>
      </c>
      <c r="H1314" s="909" t="s">
        <v>2091</v>
      </c>
      <c r="I1314" s="910" t="e">
        <f>VLOOKUP(H1312,'LƯƠNG KT'!$D$16:$Z$184,15,0)</f>
        <v>#N/A</v>
      </c>
      <c r="J1314" s="609" t="e">
        <f>I1314*$L$4</f>
        <v>#N/A</v>
      </c>
      <c r="K1314" s="934"/>
      <c r="L1314" s="935"/>
      <c r="M1314" s="935"/>
      <c r="N1314" s="935"/>
      <c r="O1314" s="935"/>
    </row>
    <row r="1315" spans="1:15" ht="15" customHeight="1">
      <c r="A1315" s="908" t="s">
        <v>364</v>
      </c>
      <c r="B1315" s="909" t="s">
        <v>2092</v>
      </c>
      <c r="C1315" s="910" t="e">
        <f>VLOOKUP(B1312,'LƯƠNG KT'!$D$16:$Z$184,16,0)</f>
        <v>#N/A</v>
      </c>
      <c r="D1315" s="609" t="e">
        <f>C1315*$L$5</f>
        <v>#N/A</v>
      </c>
      <c r="E1315" s="912"/>
      <c r="F1315" s="912"/>
      <c r="G1315" s="908" t="s">
        <v>364</v>
      </c>
      <c r="H1315" s="909" t="s">
        <v>2092</v>
      </c>
      <c r="I1315" s="910" t="e">
        <f>VLOOKUP(H1312,'LƯƠNG KT'!$D$16:$Z$184,16,0)</f>
        <v>#N/A</v>
      </c>
      <c r="J1315" s="609" t="e">
        <f>I1315*$L$5</f>
        <v>#N/A</v>
      </c>
      <c r="K1315" s="934"/>
      <c r="L1315" s="935"/>
      <c r="M1315" s="935"/>
      <c r="N1315" s="935"/>
      <c r="O1315" s="935"/>
    </row>
    <row r="1316" spans="1:15" ht="15" customHeight="1">
      <c r="A1316" s="908" t="s">
        <v>370</v>
      </c>
      <c r="B1316" s="909" t="s">
        <v>2093</v>
      </c>
      <c r="C1316" s="910" t="e">
        <f>VLOOKUP(B1312,'LƯƠNG KT'!$D$16:$Z$184,24,0)</f>
        <v>#N/A</v>
      </c>
      <c r="D1316" s="609" t="e">
        <f>+C1316*$L$6</f>
        <v>#N/A</v>
      </c>
      <c r="E1316" s="912"/>
      <c r="F1316" s="912"/>
      <c r="G1316" s="908" t="s">
        <v>370</v>
      </c>
      <c r="H1316" s="909" t="s">
        <v>2093</v>
      </c>
      <c r="I1316" s="910" t="e">
        <f>VLOOKUP(H1312,'LƯƠNG KT'!$D$16:$Z$184,24,0)</f>
        <v>#N/A</v>
      </c>
      <c r="J1316" s="609" t="e">
        <f>+I1316*$L$6</f>
        <v>#N/A</v>
      </c>
      <c r="K1316" s="935"/>
      <c r="L1316" s="935"/>
      <c r="M1316" s="935"/>
      <c r="N1316" s="935"/>
      <c r="O1316" s="935"/>
    </row>
    <row r="1317" spans="1:15" ht="15" customHeight="1">
      <c r="A1317" s="908" t="s">
        <v>2094</v>
      </c>
      <c r="B1317" s="909" t="s">
        <v>2095</v>
      </c>
      <c r="C1317" s="910" t="e">
        <f>VLOOKUP(B1312,'LƯƠNG KT'!$D$16:$Z$184,19,0)</f>
        <v>#N/A</v>
      </c>
      <c r="D1317" s="609" t="e">
        <f>+C1317*$L$8</f>
        <v>#N/A</v>
      </c>
      <c r="E1317" s="912"/>
      <c r="F1317" s="912"/>
      <c r="G1317" s="908" t="s">
        <v>2094</v>
      </c>
      <c r="H1317" s="909" t="s">
        <v>2095</v>
      </c>
      <c r="I1317" s="910" t="e">
        <f>VLOOKUP(H1312,'LƯƠNG KT'!$D$16:$Z$184,19,0)</f>
        <v>#N/A</v>
      </c>
      <c r="J1317" s="609" t="e">
        <f>+I1317*$L$8</f>
        <v>#N/A</v>
      </c>
      <c r="K1317" s="935"/>
      <c r="L1317" s="935"/>
      <c r="M1317" s="935"/>
      <c r="N1317" s="935"/>
      <c r="O1317" s="935"/>
    </row>
    <row r="1318" spans="1:15" ht="15" customHeight="1">
      <c r="A1318" s="908" t="s">
        <v>2096</v>
      </c>
      <c r="B1318" s="913" t="s">
        <v>2097</v>
      </c>
      <c r="C1318" s="910" t="e">
        <f>VLOOKUP(B1312,'LƯƠNG KT'!$D$16:$Z$184,20,0)</f>
        <v>#N/A</v>
      </c>
      <c r="D1318" s="609" t="e">
        <f>+C1318*$L$9</f>
        <v>#N/A</v>
      </c>
      <c r="E1318" s="912"/>
      <c r="F1318" s="912"/>
      <c r="G1318" s="908" t="s">
        <v>2096</v>
      </c>
      <c r="H1318" s="913" t="s">
        <v>2097</v>
      </c>
      <c r="I1318" s="910" t="e">
        <f>VLOOKUP(H1312,'LƯƠNG KT'!$D$16:$Z$184,20,0)</f>
        <v>#N/A</v>
      </c>
      <c r="J1318" s="609" t="e">
        <f>+I1318*$L$9</f>
        <v>#N/A</v>
      </c>
      <c r="K1318" s="935"/>
      <c r="L1318" s="935"/>
      <c r="M1318" s="935"/>
      <c r="N1318" s="935"/>
      <c r="O1318" s="935"/>
    </row>
    <row r="1319" spans="1:15" ht="15" customHeight="1">
      <c r="A1319" s="908" t="s">
        <v>2099</v>
      </c>
      <c r="B1319" s="909" t="s">
        <v>2100</v>
      </c>
      <c r="C1319" s="910" t="e">
        <f>VLOOKUP(B1312,'LƯƠNG KT'!$D$16:$Z$184,17,0)</f>
        <v>#N/A</v>
      </c>
      <c r="D1319" s="609" t="e">
        <f>+C1319*$L$10</f>
        <v>#N/A</v>
      </c>
      <c r="E1319" s="912"/>
      <c r="F1319" s="912"/>
      <c r="G1319" s="908" t="s">
        <v>2099</v>
      </c>
      <c r="H1319" s="909" t="s">
        <v>2100</v>
      </c>
      <c r="I1319" s="910" t="e">
        <f>VLOOKUP(H1312,'LƯƠNG KT'!$D$16:$Z$184,17,0)</f>
        <v>#N/A</v>
      </c>
      <c r="J1319" s="609" t="e">
        <f>+I1319*$L$10</f>
        <v>#N/A</v>
      </c>
      <c r="K1319" s="935"/>
      <c r="L1319" s="935"/>
      <c r="M1319" s="935"/>
      <c r="N1319" s="935"/>
      <c r="O1319" s="935"/>
    </row>
    <row r="1320" spans="1:15" ht="15" customHeight="1">
      <c r="A1320" s="908" t="s">
        <v>374</v>
      </c>
      <c r="B1320" s="909" t="s">
        <v>2102</v>
      </c>
      <c r="C1320" s="910" t="e">
        <f>VLOOKUP(B1312,'LƯƠNG KT'!$D$16:$Z$184,12,0)</f>
        <v>#N/A</v>
      </c>
      <c r="D1320" s="609" t="e">
        <f>VLOOKUP(B1312,'LƯƠNG KT'!$D$16:$Z$184,14,0)</f>
        <v>#N/A</v>
      </c>
      <c r="E1320" s="914"/>
      <c r="F1320" s="912"/>
      <c r="G1320" s="908" t="s">
        <v>374</v>
      </c>
      <c r="H1320" s="909" t="s">
        <v>2102</v>
      </c>
      <c r="I1320" s="910" t="e">
        <f>VLOOKUP(H1312,'LƯƠNG KT'!$D$16:$Z$184,12,0)</f>
        <v>#N/A</v>
      </c>
      <c r="J1320" s="609" t="e">
        <f>VLOOKUP(H1312,'LƯƠNG KT'!$D$16:$Z$184,14,0)</f>
        <v>#N/A</v>
      </c>
      <c r="K1320" s="935"/>
      <c r="L1320" s="935"/>
      <c r="M1320" s="935"/>
      <c r="N1320" s="935"/>
      <c r="O1320" s="935"/>
    </row>
    <row r="1321" spans="1:15" ht="15" customHeight="1">
      <c r="A1321" s="908" t="s">
        <v>2103</v>
      </c>
      <c r="B1321" s="909" t="s">
        <v>2104</v>
      </c>
      <c r="D1321" s="915" t="e">
        <f>VLOOKUP(B1312,'LƯƠNG KT'!$D$16:$Z$184,13,0)</f>
        <v>#N/A</v>
      </c>
      <c r="E1321" s="916"/>
      <c r="F1321" s="916"/>
      <c r="G1321" s="908" t="s">
        <v>2103</v>
      </c>
      <c r="H1321" s="909" t="s">
        <v>2104</v>
      </c>
      <c r="J1321" s="915" t="e">
        <f>VLOOKUP(H1312,'LƯƠNG KT'!$D$16:$Z$184,13,0)</f>
        <v>#N/A</v>
      </c>
    </row>
    <row r="1322" spans="1:15" ht="15" customHeight="1">
      <c r="A1322" s="547"/>
      <c r="B1322" s="546"/>
      <c r="C1322" s="910"/>
      <c r="D1322" s="609"/>
      <c r="E1322" s="914"/>
      <c r="F1322" s="916"/>
      <c r="G1322" s="547"/>
      <c r="H1322" s="546"/>
      <c r="I1322" s="910"/>
      <c r="J1322" s="609"/>
    </row>
    <row r="1323" spans="1:15" ht="15" customHeight="1">
      <c r="A1323" s="905"/>
      <c r="B1323" s="546"/>
      <c r="C1323" s="910"/>
      <c r="D1323" s="609"/>
      <c r="E1323" s="917"/>
      <c r="F1323" s="904"/>
      <c r="G1323" s="905"/>
      <c r="H1323" s="546"/>
      <c r="I1323" s="910"/>
      <c r="J1323" s="609"/>
    </row>
    <row r="1324" spans="1:15" ht="15" customHeight="1">
      <c r="A1324" s="918" t="s">
        <v>383</v>
      </c>
      <c r="B1324" s="919" t="s">
        <v>384</v>
      </c>
      <c r="C1324" s="920"/>
      <c r="D1324" s="921" t="e">
        <f>SUM(D1313:D1320)-D1323</f>
        <v>#N/A</v>
      </c>
      <c r="E1324" s="922"/>
      <c r="F1324" s="923"/>
      <c r="G1324" s="918" t="s">
        <v>383</v>
      </c>
      <c r="H1324" s="919" t="s">
        <v>384</v>
      </c>
      <c r="I1324" s="920"/>
      <c r="J1324" s="921" t="e">
        <f>SUM(J1313:J1320)-J1323</f>
        <v>#N/A</v>
      </c>
    </row>
    <row r="1325" spans="1:15" ht="12.6" customHeight="1">
      <c r="A1325" s="924"/>
      <c r="B1325" s="925"/>
      <c r="C1325" s="926"/>
      <c r="D1325" s="927"/>
      <c r="E1325" s="927"/>
      <c r="F1325" s="928"/>
      <c r="G1325" s="924"/>
      <c r="H1325" s="925"/>
      <c r="I1325" s="926"/>
      <c r="J1325" s="927"/>
    </row>
    <row r="1326" spans="1:15" ht="12.6" customHeight="1">
      <c r="A1326" s="925"/>
      <c r="B1326" s="925"/>
      <c r="C1326" s="929"/>
      <c r="D1326" s="930"/>
      <c r="E1326" s="925"/>
      <c r="F1326" s="931"/>
      <c r="G1326" s="925"/>
      <c r="H1326" s="925"/>
      <c r="I1326" s="929"/>
      <c r="J1326" s="930"/>
    </row>
    <row r="1327" spans="1:15" ht="15" customHeight="1">
      <c r="A1327" s="2360" t="str">
        <f>$K$2</f>
        <v>THÁNG 04/2025</v>
      </c>
      <c r="B1327" s="2360"/>
      <c r="C1327" s="2360"/>
      <c r="D1327" s="2360"/>
      <c r="E1327" s="903"/>
      <c r="F1327" s="904"/>
      <c r="G1327" s="2360" t="str">
        <f>$K$2</f>
        <v>THÁNG 04/2025</v>
      </c>
      <c r="H1327" s="2360"/>
      <c r="I1327" s="2360"/>
      <c r="J1327" s="2360"/>
      <c r="K1327" s="276"/>
    </row>
    <row r="1328" spans="1:15" ht="15" customHeight="1">
      <c r="A1328" s="905" t="s">
        <v>356</v>
      </c>
      <c r="B1328" s="642" t="s">
        <v>62</v>
      </c>
      <c r="C1328" s="546"/>
      <c r="D1328" s="902"/>
      <c r="E1328" s="906"/>
      <c r="F1328" s="907"/>
      <c r="G1328" s="905" t="s">
        <v>356</v>
      </c>
      <c r="H1328" s="642" t="s">
        <v>79</v>
      </c>
      <c r="I1328" s="546"/>
      <c r="J1328" s="902"/>
      <c r="L1328" s="938"/>
      <c r="M1328" s="938"/>
      <c r="N1328" s="938"/>
      <c r="O1328" s="938"/>
    </row>
    <row r="1329" spans="1:15" ht="15" customHeight="1">
      <c r="A1329" s="908" t="s">
        <v>359</v>
      </c>
      <c r="B1329" s="909" t="s">
        <v>2090</v>
      </c>
      <c r="C1329" s="910" t="e">
        <f>VLOOKUP(B1328,'LƯƠNG KT'!$D$16:$Z$184,4,0)</f>
        <v>#N/A</v>
      </c>
      <c r="D1329" s="609" t="e">
        <f>+C1329*25000</f>
        <v>#N/A</v>
      </c>
      <c r="E1329" s="911"/>
      <c r="F1329" s="911"/>
      <c r="G1329" s="908" t="s">
        <v>359</v>
      </c>
      <c r="H1329" s="909" t="s">
        <v>2090</v>
      </c>
      <c r="I1329" s="910" t="e">
        <f>VLOOKUP(H1328,'LƯƠNG KT'!$D$16:$Z$184,4,0)</f>
        <v>#N/A</v>
      </c>
      <c r="J1329" s="609" t="e">
        <f>+I1329*25000</f>
        <v>#N/A</v>
      </c>
      <c r="K1329" s="935"/>
      <c r="L1329" s="935"/>
      <c r="M1329" s="935"/>
      <c r="N1329" s="935"/>
      <c r="O1329" s="935"/>
    </row>
    <row r="1330" spans="1:15" ht="15" customHeight="1">
      <c r="A1330" s="908" t="s">
        <v>361</v>
      </c>
      <c r="B1330" s="909" t="s">
        <v>2091</v>
      </c>
      <c r="C1330" s="910" t="e">
        <f>VLOOKUP(B1328,'LƯƠNG KT'!$D$16:$Z$184,15,0)</f>
        <v>#N/A</v>
      </c>
      <c r="D1330" s="609" t="e">
        <f>C1330*$L$4</f>
        <v>#N/A</v>
      </c>
      <c r="E1330" s="912"/>
      <c r="F1330" s="912"/>
      <c r="G1330" s="908" t="s">
        <v>361</v>
      </c>
      <c r="H1330" s="909" t="s">
        <v>2091</v>
      </c>
      <c r="I1330" s="910" t="e">
        <f>VLOOKUP(H1328,'LƯƠNG KT'!$D$16:$Z$184,15,0)</f>
        <v>#N/A</v>
      </c>
      <c r="J1330" s="609" t="e">
        <f>I1330*$L$4</f>
        <v>#N/A</v>
      </c>
      <c r="K1330" s="935"/>
      <c r="L1330" s="935"/>
      <c r="M1330" s="935"/>
      <c r="N1330" s="935"/>
      <c r="O1330" s="935"/>
    </row>
    <row r="1331" spans="1:15" ht="15" customHeight="1">
      <c r="A1331" s="908" t="s">
        <v>364</v>
      </c>
      <c r="B1331" s="909" t="s">
        <v>2092</v>
      </c>
      <c r="C1331" s="910" t="e">
        <f>VLOOKUP(B1328,'LƯƠNG KT'!$D$16:$Z$184,16,0)</f>
        <v>#N/A</v>
      </c>
      <c r="D1331" s="609" t="e">
        <f>C1331*$L$5</f>
        <v>#N/A</v>
      </c>
      <c r="E1331" s="912"/>
      <c r="F1331" s="912"/>
      <c r="G1331" s="908" t="s">
        <v>364</v>
      </c>
      <c r="H1331" s="909" t="s">
        <v>2092</v>
      </c>
      <c r="I1331" s="910" t="e">
        <f>VLOOKUP(H1328,'LƯƠNG KT'!$D$16:$Z$184,16,0)</f>
        <v>#N/A</v>
      </c>
      <c r="J1331" s="609" t="e">
        <f>I1331*$L$5</f>
        <v>#N/A</v>
      </c>
      <c r="K1331" s="935"/>
      <c r="L1331" s="935"/>
      <c r="M1331" s="935"/>
      <c r="N1331" s="935"/>
      <c r="O1331" s="935"/>
    </row>
    <row r="1332" spans="1:15" ht="15" customHeight="1">
      <c r="A1332" s="908" t="s">
        <v>370</v>
      </c>
      <c r="B1332" s="909" t="s">
        <v>2093</v>
      </c>
      <c r="C1332" s="910" t="e">
        <f>VLOOKUP(B1328,'LƯƠNG KT'!$D$16:$Z$184,24,0)</f>
        <v>#N/A</v>
      </c>
      <c r="D1332" s="609" t="e">
        <f>+C1332*$L$6</f>
        <v>#N/A</v>
      </c>
      <c r="E1332" s="912"/>
      <c r="F1332" s="912"/>
      <c r="G1332" s="908" t="s">
        <v>370</v>
      </c>
      <c r="H1332" s="909" t="s">
        <v>2093</v>
      </c>
      <c r="I1332" s="910" t="e">
        <f>VLOOKUP(H1328,'LƯƠNG KT'!$D$16:$Z$184,24,0)</f>
        <v>#N/A</v>
      </c>
      <c r="J1332" s="609" t="e">
        <f>+I1332*$L$6</f>
        <v>#N/A</v>
      </c>
      <c r="K1332" s="935"/>
      <c r="L1332" s="935"/>
      <c r="M1332" s="935"/>
      <c r="N1332" s="935"/>
      <c r="O1332" s="935"/>
    </row>
    <row r="1333" spans="1:15" ht="15" customHeight="1">
      <c r="A1333" s="908" t="s">
        <v>2094</v>
      </c>
      <c r="B1333" s="909" t="s">
        <v>2095</v>
      </c>
      <c r="C1333" s="910" t="e">
        <f>VLOOKUP(B1328,'LƯƠNG KT'!$D$16:$Z$184,19,0)</f>
        <v>#N/A</v>
      </c>
      <c r="D1333" s="609" t="e">
        <f>+C1333*$L$8</f>
        <v>#N/A</v>
      </c>
      <c r="E1333" s="912"/>
      <c r="F1333" s="912"/>
      <c r="G1333" s="908" t="s">
        <v>2094</v>
      </c>
      <c r="H1333" s="909" t="s">
        <v>2095</v>
      </c>
      <c r="I1333" s="910" t="e">
        <f>VLOOKUP(H1328,'LƯƠNG KT'!$D$16:$Z$184,19,0)</f>
        <v>#N/A</v>
      </c>
      <c r="J1333" s="609" t="e">
        <f>+I1333*$L$8</f>
        <v>#N/A</v>
      </c>
      <c r="K1333" s="935"/>
      <c r="L1333" s="935"/>
      <c r="M1333" s="935"/>
      <c r="N1333" s="935"/>
      <c r="O1333" s="935"/>
    </row>
    <row r="1334" spans="1:15" ht="15" customHeight="1">
      <c r="A1334" s="908" t="s">
        <v>2096</v>
      </c>
      <c r="B1334" s="913" t="s">
        <v>2097</v>
      </c>
      <c r="C1334" s="910" t="e">
        <f>VLOOKUP(B1328,'LƯƠNG KT'!$D$16:$Z$184,20,0)</f>
        <v>#N/A</v>
      </c>
      <c r="D1334" s="609" t="e">
        <f>+C1334*$L$9</f>
        <v>#N/A</v>
      </c>
      <c r="E1334" s="912"/>
      <c r="F1334" s="912"/>
      <c r="G1334" s="908" t="s">
        <v>2096</v>
      </c>
      <c r="H1334" s="913" t="s">
        <v>2097</v>
      </c>
      <c r="I1334" s="910" t="e">
        <f>VLOOKUP(H1328,'LƯƠNG KT'!$D$16:$Z$184,20,0)</f>
        <v>#N/A</v>
      </c>
      <c r="J1334" s="609" t="e">
        <f>+I1334*$L$9</f>
        <v>#N/A</v>
      </c>
      <c r="K1334" s="935"/>
      <c r="L1334" s="935"/>
      <c r="M1334" s="935"/>
      <c r="N1334" s="935"/>
      <c r="O1334" s="935"/>
    </row>
    <row r="1335" spans="1:15" ht="15" customHeight="1">
      <c r="A1335" s="908" t="s">
        <v>2099</v>
      </c>
      <c r="B1335" s="909" t="s">
        <v>2100</v>
      </c>
      <c r="C1335" s="910" t="e">
        <f>VLOOKUP(B1328,'LƯƠNG KT'!$D$16:$Z$184,17,0)</f>
        <v>#N/A</v>
      </c>
      <c r="D1335" s="609" t="e">
        <f>+C1335*$L$10</f>
        <v>#N/A</v>
      </c>
      <c r="E1335" s="912"/>
      <c r="F1335" s="912"/>
      <c r="G1335" s="908" t="s">
        <v>2099</v>
      </c>
      <c r="H1335" s="909" t="s">
        <v>2100</v>
      </c>
      <c r="I1335" s="910" t="e">
        <f>VLOOKUP(H1328,'LƯƠNG KT'!$D$16:$Z$184,17,0)</f>
        <v>#N/A</v>
      </c>
      <c r="J1335" s="609" t="e">
        <f>+I1335*$L$10</f>
        <v>#N/A</v>
      </c>
      <c r="K1335" s="935"/>
      <c r="L1335" s="935"/>
      <c r="M1335" s="935"/>
      <c r="N1335" s="935"/>
      <c r="O1335" s="935"/>
    </row>
    <row r="1336" spans="1:15" ht="15" customHeight="1">
      <c r="A1336" s="908" t="s">
        <v>374</v>
      </c>
      <c r="B1336" s="909" t="s">
        <v>2102</v>
      </c>
      <c r="C1336" s="910" t="e">
        <f>VLOOKUP(B1328,'LƯƠNG KT'!$D$16:$Z$184,12,0)</f>
        <v>#N/A</v>
      </c>
      <c r="D1336" s="609" t="e">
        <f>VLOOKUP(B1328,'LƯƠNG KT'!$D$16:$Z$184,14,0)</f>
        <v>#N/A</v>
      </c>
      <c r="E1336" s="914"/>
      <c r="F1336" s="912"/>
      <c r="G1336" s="908" t="s">
        <v>374</v>
      </c>
      <c r="H1336" s="909" t="s">
        <v>2102</v>
      </c>
      <c r="I1336" s="910" t="e">
        <f>VLOOKUP(H1328,'LƯƠNG KT'!$D$16:$Z$184,12,0)</f>
        <v>#N/A</v>
      </c>
      <c r="J1336" s="609" t="e">
        <f>VLOOKUP(H1328,'LƯƠNG KT'!$D$16:$Z$184,14,0)</f>
        <v>#N/A</v>
      </c>
      <c r="K1336" s="935"/>
      <c r="L1336" s="935"/>
      <c r="M1336" s="935"/>
      <c r="N1336" s="935"/>
      <c r="O1336" s="935"/>
    </row>
    <row r="1337" spans="1:15" ht="15" customHeight="1">
      <c r="A1337" s="908" t="s">
        <v>2103</v>
      </c>
      <c r="B1337" s="909" t="s">
        <v>2104</v>
      </c>
      <c r="D1337" s="915" t="e">
        <f>VLOOKUP(B1328,'LƯƠNG KT'!$D$16:$Z$184,13,0)</f>
        <v>#N/A</v>
      </c>
      <c r="E1337" s="916"/>
      <c r="F1337" s="916"/>
      <c r="G1337" s="908" t="s">
        <v>2103</v>
      </c>
      <c r="H1337" s="909" t="s">
        <v>2104</v>
      </c>
      <c r="J1337" s="915" t="e">
        <f>VLOOKUP(H1328,'LƯƠNG KT'!$D$16:$Z$184,13,0)</f>
        <v>#N/A</v>
      </c>
    </row>
    <row r="1338" spans="1:15" ht="15" customHeight="1">
      <c r="A1338" s="547"/>
      <c r="B1338" s="546"/>
      <c r="C1338" s="910"/>
      <c r="D1338" s="609"/>
      <c r="E1338" s="914"/>
      <c r="F1338" s="916"/>
      <c r="G1338" s="547"/>
      <c r="H1338" s="546"/>
      <c r="I1338" s="910"/>
      <c r="J1338" s="609"/>
    </row>
    <row r="1339" spans="1:15" ht="15" customHeight="1">
      <c r="A1339" s="905"/>
      <c r="B1339" s="546"/>
      <c r="C1339" s="910"/>
      <c r="D1339" s="609"/>
      <c r="E1339" s="917"/>
      <c r="F1339" s="904"/>
      <c r="G1339" s="905"/>
      <c r="H1339" s="546"/>
      <c r="I1339" s="910"/>
      <c r="J1339" s="609"/>
    </row>
    <row r="1340" spans="1:15" ht="15" customHeight="1">
      <c r="A1340" s="918" t="s">
        <v>383</v>
      </c>
      <c r="B1340" s="919" t="s">
        <v>384</v>
      </c>
      <c r="C1340" s="920"/>
      <c r="D1340" s="921" t="e">
        <f>SUM(D1329:D1336)-D1339</f>
        <v>#N/A</v>
      </c>
      <c r="E1340" s="922"/>
      <c r="F1340" s="923"/>
      <c r="G1340" s="918" t="s">
        <v>383</v>
      </c>
      <c r="H1340" s="919" t="s">
        <v>384</v>
      </c>
      <c r="I1340" s="920"/>
      <c r="J1340" s="921" t="e">
        <f>SUM(J1329:J1336)-J1339</f>
        <v>#N/A</v>
      </c>
    </row>
    <row r="1341" spans="1:15" ht="18.75" customHeight="1">
      <c r="A1341" s="924"/>
      <c r="B1341" s="925"/>
      <c r="C1341" s="926"/>
      <c r="D1341" s="927"/>
      <c r="E1341" s="927"/>
      <c r="F1341" s="928"/>
      <c r="G1341" s="924"/>
      <c r="H1341" s="925"/>
      <c r="I1341" s="926"/>
      <c r="J1341" s="927"/>
    </row>
    <row r="1342" spans="1:15" ht="18.75" customHeight="1">
      <c r="A1342" s="925"/>
      <c r="B1342" s="925"/>
      <c r="C1342" s="929"/>
      <c r="D1342" s="930"/>
      <c r="E1342" s="925"/>
      <c r="F1342" s="931"/>
      <c r="G1342" s="925"/>
      <c r="H1342" s="925"/>
      <c r="I1342" s="929"/>
      <c r="J1342" s="930"/>
    </row>
    <row r="1343" spans="1:15" ht="15" customHeight="1">
      <c r="A1343" s="2360" t="str">
        <f>$K$2</f>
        <v>THÁNG 04/2025</v>
      </c>
      <c r="B1343" s="2360"/>
      <c r="C1343" s="2360"/>
      <c r="D1343" s="2360"/>
      <c r="E1343" s="903"/>
      <c r="F1343" s="904"/>
      <c r="G1343" s="2360" t="str">
        <f>$K$2</f>
        <v>THÁNG 04/2025</v>
      </c>
      <c r="H1343" s="2360"/>
      <c r="I1343" s="2360"/>
      <c r="J1343" s="2360"/>
      <c r="K1343" s="276"/>
    </row>
    <row r="1344" spans="1:15" ht="15" customHeight="1">
      <c r="A1344" s="905" t="s">
        <v>356</v>
      </c>
      <c r="B1344" s="642" t="s">
        <v>27</v>
      </c>
      <c r="C1344" s="546"/>
      <c r="D1344" s="902"/>
      <c r="E1344" s="906"/>
      <c r="F1344" s="907"/>
      <c r="G1344" s="905" t="s">
        <v>356</v>
      </c>
      <c r="H1344" s="642" t="s">
        <v>28</v>
      </c>
      <c r="I1344" s="546"/>
      <c r="J1344" s="902"/>
      <c r="L1344" s="938"/>
      <c r="M1344" s="938"/>
      <c r="N1344" s="938"/>
      <c r="O1344" s="938"/>
    </row>
    <row r="1345" spans="1:15" ht="15" customHeight="1">
      <c r="A1345" s="908" t="s">
        <v>359</v>
      </c>
      <c r="B1345" s="909" t="s">
        <v>2090</v>
      </c>
      <c r="C1345" s="910" t="e">
        <f>VLOOKUP(B1344,'LƯƠNG KT'!$D$16:$Z$184,4,0)</f>
        <v>#N/A</v>
      </c>
      <c r="D1345" s="609" t="e">
        <f>+C1345*25000</f>
        <v>#N/A</v>
      </c>
      <c r="E1345" s="911"/>
      <c r="F1345" s="911"/>
      <c r="G1345" s="908" t="s">
        <v>359</v>
      </c>
      <c r="H1345" s="909" t="s">
        <v>2090</v>
      </c>
      <c r="I1345" s="910" t="e">
        <f>VLOOKUP(H1344,'LƯƠNG KT'!$D$16:$Z$184,4,0)</f>
        <v>#N/A</v>
      </c>
      <c r="J1345" s="609" t="e">
        <f>+I1345*25000</f>
        <v>#N/A</v>
      </c>
      <c r="K1345" s="935"/>
      <c r="L1345" s="935"/>
      <c r="M1345" s="935"/>
      <c r="N1345" s="935"/>
      <c r="O1345" s="935"/>
    </row>
    <row r="1346" spans="1:15" ht="15" customHeight="1">
      <c r="A1346" s="908" t="s">
        <v>361</v>
      </c>
      <c r="B1346" s="909" t="s">
        <v>2091</v>
      </c>
      <c r="C1346" s="910" t="e">
        <f>VLOOKUP(B1344,'LƯƠNG KT'!$D$16:$Z$184,15,0)</f>
        <v>#N/A</v>
      </c>
      <c r="D1346" s="609" t="e">
        <f>C1346*$L$4</f>
        <v>#N/A</v>
      </c>
      <c r="E1346" s="912"/>
      <c r="F1346" s="912"/>
      <c r="G1346" s="908" t="s">
        <v>361</v>
      </c>
      <c r="H1346" s="909" t="s">
        <v>2091</v>
      </c>
      <c r="I1346" s="910" t="e">
        <f>VLOOKUP(H1344,'LƯƠNG KT'!$D$16:$Z$184,15,0)</f>
        <v>#N/A</v>
      </c>
      <c r="J1346" s="609" t="e">
        <f>I1346*$L$4</f>
        <v>#N/A</v>
      </c>
      <c r="K1346" s="935"/>
      <c r="L1346" s="935"/>
      <c r="M1346" s="935"/>
      <c r="N1346" s="935"/>
      <c r="O1346" s="935"/>
    </row>
    <row r="1347" spans="1:15" ht="15" customHeight="1">
      <c r="A1347" s="908" t="s">
        <v>364</v>
      </c>
      <c r="B1347" s="909" t="s">
        <v>2092</v>
      </c>
      <c r="C1347" s="910" t="e">
        <f>VLOOKUP(B1344,'LƯƠNG KT'!$D$16:$Z$184,16,0)</f>
        <v>#N/A</v>
      </c>
      <c r="D1347" s="609" t="e">
        <f>C1347*$L$5</f>
        <v>#N/A</v>
      </c>
      <c r="E1347" s="912"/>
      <c r="F1347" s="912"/>
      <c r="G1347" s="908" t="s">
        <v>364</v>
      </c>
      <c r="H1347" s="909" t="s">
        <v>2092</v>
      </c>
      <c r="I1347" s="910" t="e">
        <f>VLOOKUP(H1344,'LƯƠNG KT'!$D$16:$Z$184,16,0)</f>
        <v>#N/A</v>
      </c>
      <c r="J1347" s="609" t="e">
        <f>I1347*$L$5</f>
        <v>#N/A</v>
      </c>
      <c r="K1347" s="935"/>
      <c r="L1347" s="935"/>
      <c r="M1347" s="935"/>
      <c r="N1347" s="935"/>
      <c r="O1347" s="935"/>
    </row>
    <row r="1348" spans="1:15" ht="15" customHeight="1">
      <c r="A1348" s="908" t="s">
        <v>370</v>
      </c>
      <c r="B1348" s="909" t="s">
        <v>2093</v>
      </c>
      <c r="C1348" s="910" t="e">
        <f>VLOOKUP(B1344,'LƯƠNG KT'!$D$16:$Z$184,24,0)</f>
        <v>#N/A</v>
      </c>
      <c r="D1348" s="609" t="e">
        <f>+C1348*$L$6</f>
        <v>#N/A</v>
      </c>
      <c r="E1348" s="912"/>
      <c r="F1348" s="912"/>
      <c r="G1348" s="908" t="s">
        <v>370</v>
      </c>
      <c r="H1348" s="909" t="s">
        <v>2093</v>
      </c>
      <c r="I1348" s="910" t="e">
        <f>VLOOKUP(H1344,'LƯƠNG KT'!$D$16:$Z$184,24,0)</f>
        <v>#N/A</v>
      </c>
      <c r="J1348" s="609" t="e">
        <f>+I1348*$L$6</f>
        <v>#N/A</v>
      </c>
      <c r="K1348" s="935"/>
      <c r="L1348" s="935"/>
      <c r="M1348" s="935"/>
      <c r="N1348" s="935"/>
      <c r="O1348" s="935"/>
    </row>
    <row r="1349" spans="1:15" ht="15" customHeight="1">
      <c r="A1349" s="908" t="s">
        <v>2094</v>
      </c>
      <c r="B1349" s="909" t="s">
        <v>2095</v>
      </c>
      <c r="C1349" s="910" t="e">
        <f>VLOOKUP(B1344,'LƯƠNG KT'!$D$16:$Z$184,19,0)</f>
        <v>#N/A</v>
      </c>
      <c r="D1349" s="609" t="e">
        <f>+C1349*$L$8</f>
        <v>#N/A</v>
      </c>
      <c r="E1349" s="912"/>
      <c r="F1349" s="912"/>
      <c r="G1349" s="908" t="s">
        <v>2094</v>
      </c>
      <c r="H1349" s="909" t="s">
        <v>2095</v>
      </c>
      <c r="I1349" s="910" t="e">
        <f>VLOOKUP(H1344,'LƯƠNG KT'!$D$16:$Z$184,19,0)</f>
        <v>#N/A</v>
      </c>
      <c r="J1349" s="609" t="e">
        <f>+I1349*$L$8</f>
        <v>#N/A</v>
      </c>
      <c r="K1349" s="935"/>
      <c r="L1349" s="935"/>
      <c r="M1349" s="935"/>
      <c r="N1349" s="935"/>
      <c r="O1349" s="935"/>
    </row>
    <row r="1350" spans="1:15" ht="15" customHeight="1">
      <c r="A1350" s="908" t="s">
        <v>2096</v>
      </c>
      <c r="B1350" s="913" t="s">
        <v>2097</v>
      </c>
      <c r="C1350" s="910" t="e">
        <f>VLOOKUP(B1344,'LƯƠNG KT'!$D$16:$Z$184,20,0)</f>
        <v>#N/A</v>
      </c>
      <c r="D1350" s="609" t="e">
        <f>+C1350*$L$9</f>
        <v>#N/A</v>
      </c>
      <c r="E1350" s="912"/>
      <c r="F1350" s="912"/>
      <c r="G1350" s="908" t="s">
        <v>2096</v>
      </c>
      <c r="H1350" s="913" t="s">
        <v>2097</v>
      </c>
      <c r="I1350" s="910" t="e">
        <f>VLOOKUP(H1344,'LƯƠNG KT'!$D$16:$Z$184,20,0)</f>
        <v>#N/A</v>
      </c>
      <c r="J1350" s="609" t="e">
        <f>+I1350*$L$9</f>
        <v>#N/A</v>
      </c>
      <c r="K1350" s="935"/>
      <c r="L1350" s="935"/>
      <c r="M1350" s="935"/>
      <c r="N1350" s="935"/>
      <c r="O1350" s="935"/>
    </row>
    <row r="1351" spans="1:15" ht="15" customHeight="1">
      <c r="A1351" s="908" t="s">
        <v>2099</v>
      </c>
      <c r="B1351" s="909" t="s">
        <v>2100</v>
      </c>
      <c r="C1351" s="910" t="e">
        <f>VLOOKUP(B1344,'LƯƠNG KT'!$D$16:$Z$184,17,0)</f>
        <v>#N/A</v>
      </c>
      <c r="D1351" s="609" t="e">
        <f>+C1351*$L$10</f>
        <v>#N/A</v>
      </c>
      <c r="E1351" s="912"/>
      <c r="F1351" s="912"/>
      <c r="G1351" s="908" t="s">
        <v>2099</v>
      </c>
      <c r="H1351" s="909" t="s">
        <v>2100</v>
      </c>
      <c r="I1351" s="910" t="e">
        <f>VLOOKUP(H1344,'LƯƠNG KT'!$D$16:$Z$184,17,0)</f>
        <v>#N/A</v>
      </c>
      <c r="J1351" s="609" t="e">
        <f>+I1351*$L$10</f>
        <v>#N/A</v>
      </c>
      <c r="K1351" s="935"/>
      <c r="L1351" s="935"/>
      <c r="M1351" s="935"/>
      <c r="N1351" s="935"/>
      <c r="O1351" s="935"/>
    </row>
    <row r="1352" spans="1:15" ht="15" customHeight="1">
      <c r="A1352" s="908" t="s">
        <v>374</v>
      </c>
      <c r="B1352" s="909" t="s">
        <v>2102</v>
      </c>
      <c r="C1352" s="910" t="e">
        <f>VLOOKUP(B1344,'LƯƠNG KT'!$D$16:$Z$184,12,0)</f>
        <v>#N/A</v>
      </c>
      <c r="D1352" s="609" t="e">
        <f>VLOOKUP(B1344,'LƯƠNG KT'!$D$16:$Z$184,14,0)</f>
        <v>#N/A</v>
      </c>
      <c r="E1352" s="914"/>
      <c r="F1352" s="912"/>
      <c r="G1352" s="908" t="s">
        <v>374</v>
      </c>
      <c r="H1352" s="909" t="s">
        <v>2102</v>
      </c>
      <c r="I1352" s="910" t="e">
        <f>VLOOKUP(H1344,'LƯƠNG KT'!$D$16:$Z$184,12,0)</f>
        <v>#N/A</v>
      </c>
      <c r="J1352" s="609" t="e">
        <f>VLOOKUP(H1344,'LƯƠNG KT'!$D$16:$Z$184,14,0)</f>
        <v>#N/A</v>
      </c>
      <c r="K1352" s="935"/>
      <c r="L1352" s="935"/>
      <c r="M1352" s="935"/>
      <c r="N1352" s="935"/>
      <c r="O1352" s="935"/>
    </row>
    <row r="1353" spans="1:15" ht="15" customHeight="1">
      <c r="A1353" s="908" t="s">
        <v>2103</v>
      </c>
      <c r="B1353" s="909" t="s">
        <v>2104</v>
      </c>
      <c r="D1353" s="915" t="e">
        <f>VLOOKUP(B1344,'LƯƠNG KT'!$D$16:$Z$184,13,0)</f>
        <v>#N/A</v>
      </c>
      <c r="E1353" s="916"/>
      <c r="F1353" s="916"/>
      <c r="G1353" s="908" t="s">
        <v>2103</v>
      </c>
      <c r="H1353" s="909" t="s">
        <v>2104</v>
      </c>
      <c r="J1353" s="915" t="e">
        <f>VLOOKUP(H1344,'LƯƠNG KT'!$D$16:$Z$184,13,0)</f>
        <v>#N/A</v>
      </c>
    </row>
    <row r="1354" spans="1:15" ht="15" customHeight="1">
      <c r="A1354" s="547"/>
      <c r="B1354" s="546"/>
      <c r="C1354" s="910"/>
      <c r="D1354" s="609"/>
      <c r="E1354" s="914"/>
      <c r="F1354" s="916"/>
      <c r="G1354" s="547"/>
      <c r="H1354" s="546"/>
      <c r="I1354" s="910"/>
      <c r="J1354" s="609"/>
    </row>
    <row r="1355" spans="1:15" ht="15" customHeight="1">
      <c r="A1355" s="905"/>
      <c r="B1355" s="546"/>
      <c r="C1355" s="910"/>
      <c r="D1355" s="609"/>
      <c r="E1355" s="917"/>
      <c r="F1355" s="904"/>
      <c r="G1355" s="905"/>
      <c r="H1355" s="546"/>
      <c r="I1355" s="910"/>
      <c r="J1355" s="609"/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SUM(D1345:D1352)-D1355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SUM(J1345:J1352)-J1355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47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60" t="str">
        <f>$K$2</f>
        <v>THÁNG 04/2025</v>
      </c>
      <c r="B1359" s="2360"/>
      <c r="C1359" s="2360"/>
      <c r="D1359" s="2360"/>
      <c r="E1359" s="903"/>
      <c r="F1359" s="904"/>
      <c r="G1359" s="2360" t="str">
        <f>$K$2</f>
        <v>THÁNG 04/2025</v>
      </c>
      <c r="H1359" s="2360"/>
      <c r="I1359" s="2360"/>
      <c r="J1359" s="2360"/>
      <c r="K1359" s="276"/>
    </row>
    <row r="1360" spans="1:15" ht="15" customHeight="1">
      <c r="A1360" s="905" t="s">
        <v>356</v>
      </c>
      <c r="B1360" s="642" t="s">
        <v>41</v>
      </c>
      <c r="C1360" s="546"/>
      <c r="D1360" s="902"/>
      <c r="E1360" s="906"/>
      <c r="F1360" s="907"/>
      <c r="G1360" s="905" t="s">
        <v>356</v>
      </c>
      <c r="H1360" s="642" t="s">
        <v>38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8" t="s">
        <v>359</v>
      </c>
      <c r="B1361" s="909" t="s">
        <v>2090</v>
      </c>
      <c r="C1361" s="910" t="e">
        <f>VLOOKUP(B1360,'LƯƠNG KT'!$D$16:$Z$184,4,0)</f>
        <v>#N/A</v>
      </c>
      <c r="D1361" s="609" t="e">
        <f>+C1361*25000</f>
        <v>#N/A</v>
      </c>
      <c r="E1361" s="911"/>
      <c r="F1361" s="911"/>
      <c r="G1361" s="908" t="s">
        <v>359</v>
      </c>
      <c r="H1361" s="909" t="s">
        <v>2090</v>
      </c>
      <c r="I1361" s="910" t="e">
        <f>VLOOKUP(H1360,'LƯƠNG KT'!$D$16:$Z$184,4,0)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8" t="s">
        <v>361</v>
      </c>
      <c r="B1362" s="909" t="s">
        <v>2091</v>
      </c>
      <c r="C1362" s="910" t="e">
        <f>VLOOKUP(B1360,'LƯƠNG KT'!$D$16:$Z$184,15,0)</f>
        <v>#N/A</v>
      </c>
      <c r="D1362" s="609" t="e">
        <f>C1362*$L$4</f>
        <v>#N/A</v>
      </c>
      <c r="E1362" s="912"/>
      <c r="F1362" s="912"/>
      <c r="G1362" s="908" t="s">
        <v>361</v>
      </c>
      <c r="H1362" s="909" t="s">
        <v>2091</v>
      </c>
      <c r="I1362" s="910" t="e">
        <f>VLOOKUP(H1360,'LƯƠNG KT'!$D$16:$Z$184,15,0)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8" t="s">
        <v>364</v>
      </c>
      <c r="B1363" s="909" t="s">
        <v>2092</v>
      </c>
      <c r="C1363" s="910" t="e">
        <f>VLOOKUP(B1360,'LƯƠNG KT'!$D$16:$Z$184,16,0)</f>
        <v>#N/A</v>
      </c>
      <c r="D1363" s="609" t="e">
        <f>C1363*$L$5</f>
        <v>#N/A</v>
      </c>
      <c r="E1363" s="912"/>
      <c r="F1363" s="912"/>
      <c r="G1363" s="908" t="s">
        <v>364</v>
      </c>
      <c r="H1363" s="909" t="s">
        <v>2092</v>
      </c>
      <c r="I1363" s="910" t="e">
        <f>VLOOKUP(H1360,'LƯƠNG KT'!$D$16:$Z$184,16,0)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8" t="s">
        <v>370</v>
      </c>
      <c r="B1364" s="909" t="s">
        <v>2093</v>
      </c>
      <c r="C1364" s="910" t="e">
        <f>VLOOKUP(B1360,'LƯƠNG KT'!$D$16:$Z$184,24,0)</f>
        <v>#N/A</v>
      </c>
      <c r="D1364" s="609" t="e">
        <f>+C1364*$L$6</f>
        <v>#N/A</v>
      </c>
      <c r="E1364" s="912"/>
      <c r="F1364" s="912"/>
      <c r="G1364" s="908" t="s">
        <v>370</v>
      </c>
      <c r="H1364" s="909" t="s">
        <v>2093</v>
      </c>
      <c r="I1364" s="910" t="e">
        <f>VLOOKUP(H1360,'LƯƠNG KT'!$D$16:$Z$184,24,0)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8" t="s">
        <v>2094</v>
      </c>
      <c r="B1365" s="909" t="s">
        <v>2095</v>
      </c>
      <c r="C1365" s="910" t="e">
        <f>VLOOKUP(B1360,'LƯƠNG KT'!$D$16:$Z$184,19,0)</f>
        <v>#N/A</v>
      </c>
      <c r="D1365" s="609" t="e">
        <f>+C1365*$L$8</f>
        <v>#N/A</v>
      </c>
      <c r="E1365" s="912"/>
      <c r="F1365" s="912"/>
      <c r="G1365" s="908" t="s">
        <v>2094</v>
      </c>
      <c r="H1365" s="909" t="s">
        <v>2095</v>
      </c>
      <c r="I1365" s="910" t="e">
        <f>VLOOKUP(H1360,'LƯƠNG KT'!$D$16:$Z$184,19,0)</f>
        <v>#N/A</v>
      </c>
      <c r="J1365" s="609" t="e">
        <f>+I1365*$L$8</f>
        <v>#N/A</v>
      </c>
      <c r="K1365" s="935"/>
      <c r="L1365" s="935"/>
      <c r="M1365" s="935"/>
      <c r="N1365" s="935"/>
      <c r="O1365" s="935"/>
    </row>
    <row r="1366" spans="1:15" ht="15" customHeight="1">
      <c r="A1366" s="908" t="s">
        <v>2096</v>
      </c>
      <c r="B1366" s="913" t="s">
        <v>2097</v>
      </c>
      <c r="C1366" s="910" t="e">
        <f>VLOOKUP(B1360,'LƯƠNG KT'!$D$16:$Z$184,20,0)</f>
        <v>#N/A</v>
      </c>
      <c r="D1366" s="609" t="e">
        <f>+C1366*$L$9</f>
        <v>#N/A</v>
      </c>
      <c r="E1366" s="912"/>
      <c r="F1366" s="912"/>
      <c r="G1366" s="908" t="s">
        <v>2096</v>
      </c>
      <c r="H1366" s="913" t="s">
        <v>2097</v>
      </c>
      <c r="I1366" s="910" t="e">
        <f>VLOOKUP(H1360,'LƯƠNG KT'!$D$16:$Z$184,20,0)</f>
        <v>#N/A</v>
      </c>
      <c r="J1366" s="609" t="e">
        <f>+I1366*$L$9</f>
        <v>#N/A</v>
      </c>
      <c r="K1366" s="935"/>
      <c r="L1366" s="935"/>
      <c r="M1366" s="935"/>
      <c r="N1366" s="935"/>
      <c r="O1366" s="935"/>
    </row>
    <row r="1367" spans="1:15" ht="15" customHeight="1">
      <c r="A1367" s="908" t="s">
        <v>2099</v>
      </c>
      <c r="B1367" s="909" t="s">
        <v>2100</v>
      </c>
      <c r="C1367" s="910" t="e">
        <f>VLOOKUP(B1360,'LƯƠNG KT'!$D$16:$Z$184,17,0)</f>
        <v>#N/A</v>
      </c>
      <c r="D1367" s="609" t="e">
        <f>+C1367*$L$10</f>
        <v>#N/A</v>
      </c>
      <c r="E1367" s="912"/>
      <c r="F1367" s="912"/>
      <c r="G1367" s="908" t="s">
        <v>2099</v>
      </c>
      <c r="H1367" s="909" t="s">
        <v>2100</v>
      </c>
      <c r="I1367" s="910" t="e">
        <f>VLOOKUP(H1360,'LƯƠNG KT'!$D$16:$Z$184,17,0)</f>
        <v>#N/A</v>
      </c>
      <c r="J1367" s="609" t="e">
        <f>+I1367*$L$10</f>
        <v>#N/A</v>
      </c>
      <c r="K1367" s="935"/>
      <c r="L1367" s="935"/>
      <c r="M1367" s="935"/>
      <c r="N1367" s="935"/>
      <c r="O1367" s="935"/>
    </row>
    <row r="1368" spans="1:15" ht="15" customHeight="1">
      <c r="A1368" s="908" t="s">
        <v>374</v>
      </c>
      <c r="B1368" s="909" t="s">
        <v>2102</v>
      </c>
      <c r="C1368" s="910" t="e">
        <f>VLOOKUP(B1360,'LƯƠNG KT'!$D$16:$Z$184,12,0)</f>
        <v>#N/A</v>
      </c>
      <c r="D1368" s="609" t="e">
        <f>VLOOKUP(B1360,'LƯƠNG KT'!$D$16:$Z$184,14,0)</f>
        <v>#N/A</v>
      </c>
      <c r="E1368" s="914"/>
      <c r="F1368" s="912"/>
      <c r="G1368" s="908" t="s">
        <v>374</v>
      </c>
      <c r="H1368" s="909" t="s">
        <v>2102</v>
      </c>
      <c r="I1368" s="910" t="e">
        <f>VLOOKUP(H1360,'LƯƠNG KT'!$D$16:$Z$184,12,0)</f>
        <v>#N/A</v>
      </c>
      <c r="J1368" s="609" t="e">
        <f>VLOOKUP(H1360,'LƯƠNG KT'!$D$16:$Z$184,14,0)</f>
        <v>#N/A</v>
      </c>
      <c r="K1368" s="935"/>
      <c r="L1368" s="935"/>
      <c r="M1368" s="935"/>
      <c r="N1368" s="935"/>
      <c r="O1368" s="935"/>
    </row>
    <row r="1369" spans="1:15" ht="15" customHeight="1">
      <c r="A1369" s="908" t="s">
        <v>2103</v>
      </c>
      <c r="B1369" s="909" t="s">
        <v>2104</v>
      </c>
      <c r="D1369" s="915" t="e">
        <f>VLOOKUP(B1360,'LƯƠNG KT'!$D$16:$Z$184,13,0)</f>
        <v>#N/A</v>
      </c>
      <c r="E1369" s="916"/>
      <c r="F1369" s="916"/>
      <c r="G1369" s="908" t="s">
        <v>2103</v>
      </c>
      <c r="H1369" s="909" t="s">
        <v>2104</v>
      </c>
      <c r="J1369" s="915" t="e">
        <f>VLOOKUP(H1360,'LƯƠNG KT'!$D$16:$Z$184,13,0)</f>
        <v>#N/A</v>
      </c>
    </row>
    <row r="1370" spans="1:15" ht="15" customHeight="1">
      <c r="A1370" s="547"/>
      <c r="B1370" s="546"/>
      <c r="C1370" s="910"/>
      <c r="D1370" s="609"/>
      <c r="E1370" s="914"/>
      <c r="F1370" s="916"/>
      <c r="G1370" s="547"/>
      <c r="H1370" s="546"/>
      <c r="I1370" s="910"/>
      <c r="J1370" s="609"/>
    </row>
    <row r="1371" spans="1:15" ht="15" customHeight="1">
      <c r="A1371" s="905"/>
      <c r="B1371" s="546"/>
      <c r="C1371" s="910"/>
      <c r="D1371" s="609"/>
      <c r="E1371" s="917"/>
      <c r="F1371" s="904"/>
      <c r="G1371" s="905"/>
      <c r="H1371" s="546"/>
      <c r="I1371" s="910"/>
      <c r="J1371" s="609"/>
    </row>
    <row r="1372" spans="1:15" ht="15" customHeight="1">
      <c r="A1372" s="918" t="s">
        <v>383</v>
      </c>
      <c r="B1372" s="919" t="s">
        <v>384</v>
      </c>
      <c r="C1372" s="920"/>
      <c r="D1372" s="921" t="e">
        <f>SUM(D1361:D1368)-D1371</f>
        <v>#N/A</v>
      </c>
      <c r="E1372" s="922"/>
      <c r="F1372" s="923"/>
      <c r="G1372" s="918" t="s">
        <v>383</v>
      </c>
      <c r="H1372" s="919" t="s">
        <v>384</v>
      </c>
      <c r="I1372" s="920"/>
      <c r="J1372" s="921" t="e">
        <f>SUM(J1361:J1368)-J1371</f>
        <v>#N/A</v>
      </c>
    </row>
    <row r="1373" spans="1:15" ht="15.75" customHeight="1">
      <c r="A1373" s="924"/>
      <c r="B1373" s="925"/>
      <c r="C1373" s="926"/>
      <c r="D1373" s="927"/>
      <c r="E1373" s="927"/>
      <c r="F1373" s="928"/>
      <c r="G1373" s="924"/>
      <c r="H1373" s="925"/>
      <c r="I1373" s="926"/>
      <c r="J1373" s="927"/>
    </row>
    <row r="1375" spans="1:15" ht="12" customHeight="1">
      <c r="A1375" s="2361"/>
      <c r="B1375" s="2361"/>
      <c r="C1375" s="2361"/>
      <c r="D1375" s="2361"/>
      <c r="E1375" s="2361"/>
      <c r="F1375" s="2361"/>
      <c r="G1375" s="2361"/>
      <c r="H1375" s="2361"/>
      <c r="I1375" s="2361"/>
      <c r="J1375" s="2361"/>
    </row>
    <row r="1376" spans="1:15" ht="15" customHeight="1">
      <c r="A1376" s="2360" t="str">
        <f>$K$2</f>
        <v>THÁNG 04/2025</v>
      </c>
      <c r="B1376" s="2360"/>
      <c r="C1376" s="2360"/>
      <c r="D1376" s="2360"/>
      <c r="E1376" s="903"/>
      <c r="F1376" s="904"/>
      <c r="G1376" s="2360" t="str">
        <f>$K$2</f>
        <v>THÁNG 04/2025</v>
      </c>
      <c r="H1376" s="2360"/>
      <c r="I1376" s="2360"/>
      <c r="J1376" s="2360"/>
      <c r="K1376" s="276"/>
    </row>
    <row r="1377" spans="1:15" ht="15" customHeight="1">
      <c r="A1377" s="905" t="s">
        <v>356</v>
      </c>
      <c r="B1377" s="642" t="s">
        <v>39</v>
      </c>
      <c r="C1377" s="546"/>
      <c r="D1377" s="902"/>
      <c r="E1377" s="906"/>
      <c r="F1377" s="907"/>
      <c r="G1377" s="905" t="s">
        <v>356</v>
      </c>
      <c r="H1377" s="642" t="s">
        <v>98</v>
      </c>
      <c r="I1377" s="546"/>
      <c r="J1377" s="902"/>
      <c r="L1377" s="938"/>
      <c r="M1377" s="938"/>
      <c r="N1377" s="938"/>
      <c r="O1377" s="938"/>
    </row>
    <row r="1378" spans="1:15" ht="15" customHeight="1">
      <c r="A1378" s="908" t="s">
        <v>359</v>
      </c>
      <c r="B1378" s="909" t="s">
        <v>2090</v>
      </c>
      <c r="C1378" s="910" t="e">
        <f>VLOOKUP(B1377,'LƯƠNG KT'!$D$16:$Z$184,4,0)</f>
        <v>#N/A</v>
      </c>
      <c r="D1378" s="609" t="e">
        <f>+C1378*25000</f>
        <v>#N/A</v>
      </c>
      <c r="E1378" s="911"/>
      <c r="F1378" s="911"/>
      <c r="G1378" s="908" t="s">
        <v>359</v>
      </c>
      <c r="H1378" s="909" t="s">
        <v>2090</v>
      </c>
      <c r="I1378" s="910" t="e">
        <f>VLOOKUP(H1377,'LƯƠNG KT'!$D$16:$Z$184,4,0)</f>
        <v>#N/A</v>
      </c>
      <c r="J1378" s="609" t="e">
        <f>+I1378*25000</f>
        <v>#N/A</v>
      </c>
      <c r="K1378" s="934"/>
      <c r="L1378" s="935"/>
      <c r="M1378" s="935"/>
      <c r="N1378" s="935"/>
      <c r="O1378" s="935"/>
    </row>
    <row r="1379" spans="1:15" ht="15" customHeight="1">
      <c r="A1379" s="908" t="s">
        <v>361</v>
      </c>
      <c r="B1379" s="909" t="s">
        <v>2091</v>
      </c>
      <c r="C1379" s="910" t="e">
        <f>VLOOKUP(B1377,'LƯƠNG KT'!$D$16:$Z$184,15,0)</f>
        <v>#N/A</v>
      </c>
      <c r="D1379" s="609" t="e">
        <f>C1379*$L$4</f>
        <v>#N/A</v>
      </c>
      <c r="E1379" s="912"/>
      <c r="F1379" s="912"/>
      <c r="G1379" s="908" t="s">
        <v>361</v>
      </c>
      <c r="H1379" s="909" t="s">
        <v>2091</v>
      </c>
      <c r="I1379" s="910" t="e">
        <f>VLOOKUP(H1377,'LƯƠNG KT'!$D$16:$Z$184,15,0)</f>
        <v>#N/A</v>
      </c>
      <c r="J1379" s="609" t="e">
        <f>I1379*$L$4</f>
        <v>#N/A</v>
      </c>
      <c r="K1379" s="934"/>
      <c r="L1379" s="935"/>
      <c r="M1379" s="935"/>
      <c r="N1379" s="935"/>
      <c r="O1379" s="935"/>
    </row>
    <row r="1380" spans="1:15" ht="15" customHeight="1">
      <c r="A1380" s="908" t="s">
        <v>364</v>
      </c>
      <c r="B1380" s="909" t="s">
        <v>2092</v>
      </c>
      <c r="C1380" s="910" t="e">
        <f>VLOOKUP(B1377,'LƯƠNG KT'!$D$16:$Z$184,16,0)</f>
        <v>#N/A</v>
      </c>
      <c r="D1380" s="609" t="e">
        <f>C1380*$L$5</f>
        <v>#N/A</v>
      </c>
      <c r="E1380" s="912"/>
      <c r="F1380" s="912"/>
      <c r="G1380" s="908" t="s">
        <v>364</v>
      </c>
      <c r="H1380" s="909" t="s">
        <v>2092</v>
      </c>
      <c r="I1380" s="910" t="e">
        <f>VLOOKUP(H1377,'LƯƠNG KT'!$D$16:$Z$184,16,0)</f>
        <v>#N/A</v>
      </c>
      <c r="J1380" s="609" t="e">
        <f>I1380*$L$5</f>
        <v>#N/A</v>
      </c>
      <c r="K1380" s="934"/>
      <c r="L1380" s="935"/>
      <c r="M1380" s="935"/>
      <c r="N1380" s="935"/>
      <c r="O1380" s="935"/>
    </row>
    <row r="1381" spans="1:15" ht="15" customHeight="1">
      <c r="A1381" s="908" t="s">
        <v>370</v>
      </c>
      <c r="B1381" s="909" t="s">
        <v>2093</v>
      </c>
      <c r="C1381" s="910" t="e">
        <f>VLOOKUP(B1377,'LƯƠNG KT'!$D$16:$Z$184,24,0)</f>
        <v>#N/A</v>
      </c>
      <c r="D1381" s="609" t="e">
        <f>+C1381*$L$6</f>
        <v>#N/A</v>
      </c>
      <c r="E1381" s="912"/>
      <c r="F1381" s="912"/>
      <c r="G1381" s="908" t="s">
        <v>370</v>
      </c>
      <c r="H1381" s="909" t="s">
        <v>2093</v>
      </c>
      <c r="I1381" s="910" t="e">
        <f>VLOOKUP(H1377,'LƯƠNG KT'!$D$16:$Z$184,24,0)</f>
        <v>#N/A</v>
      </c>
      <c r="J1381" s="609" t="e">
        <f>+I1381*$L$6</f>
        <v>#N/A</v>
      </c>
      <c r="K1381" s="935"/>
      <c r="L1381" s="935"/>
      <c r="M1381" s="935"/>
      <c r="N1381" s="935"/>
      <c r="O1381" s="935"/>
    </row>
    <row r="1382" spans="1:15" ht="15" customHeight="1">
      <c r="A1382" s="908" t="s">
        <v>2094</v>
      </c>
      <c r="B1382" s="909" t="s">
        <v>2095</v>
      </c>
      <c r="C1382" s="910" t="e">
        <f>VLOOKUP(B1377,'LƯƠNG KT'!$D$16:$Z$184,19,0)</f>
        <v>#N/A</v>
      </c>
      <c r="D1382" s="609" t="e">
        <f>+C1382*$L$8</f>
        <v>#N/A</v>
      </c>
      <c r="E1382" s="912"/>
      <c r="F1382" s="912"/>
      <c r="G1382" s="908" t="s">
        <v>2094</v>
      </c>
      <c r="H1382" s="909" t="s">
        <v>2095</v>
      </c>
      <c r="I1382" s="910" t="e">
        <f>VLOOKUP(H1377,'LƯƠNG KT'!$D$16:$Z$184,19,0)</f>
        <v>#N/A</v>
      </c>
      <c r="J1382" s="609" t="e">
        <f>+I1382*$L$8</f>
        <v>#N/A</v>
      </c>
      <c r="K1382" s="935"/>
      <c r="L1382" s="935"/>
      <c r="M1382" s="935"/>
      <c r="N1382" s="935"/>
      <c r="O1382" s="935"/>
    </row>
    <row r="1383" spans="1:15" ht="15" customHeight="1">
      <c r="A1383" s="908" t="s">
        <v>2096</v>
      </c>
      <c r="B1383" s="913" t="s">
        <v>2097</v>
      </c>
      <c r="C1383" s="910" t="e">
        <f>VLOOKUP(B1377,'LƯƠNG KT'!$D$16:$Z$184,20,0)</f>
        <v>#N/A</v>
      </c>
      <c r="D1383" s="609" t="e">
        <f>+C1383*$L$9</f>
        <v>#N/A</v>
      </c>
      <c r="E1383" s="912"/>
      <c r="F1383" s="912"/>
      <c r="G1383" s="908" t="s">
        <v>2096</v>
      </c>
      <c r="H1383" s="913" t="s">
        <v>2097</v>
      </c>
      <c r="I1383" s="910" t="e">
        <f>VLOOKUP(H1377,'LƯƠNG KT'!$D$16:$Z$184,20,0)</f>
        <v>#N/A</v>
      </c>
      <c r="J1383" s="609" t="e">
        <f>+I1383*$L$9</f>
        <v>#N/A</v>
      </c>
      <c r="K1383" s="935"/>
      <c r="L1383" s="935"/>
      <c r="M1383" s="935"/>
      <c r="N1383" s="935"/>
      <c r="O1383" s="935"/>
    </row>
    <row r="1384" spans="1:15" ht="15" customHeight="1">
      <c r="A1384" s="908" t="s">
        <v>2099</v>
      </c>
      <c r="B1384" s="909" t="s">
        <v>2100</v>
      </c>
      <c r="C1384" s="910" t="e">
        <f>VLOOKUP(B1377,'LƯƠNG KT'!$D$16:$Z$184,17,0)</f>
        <v>#N/A</v>
      </c>
      <c r="D1384" s="609" t="e">
        <f>+C1384*$L$10</f>
        <v>#N/A</v>
      </c>
      <c r="E1384" s="912"/>
      <c r="F1384" s="912"/>
      <c r="G1384" s="908" t="s">
        <v>2099</v>
      </c>
      <c r="H1384" s="909" t="s">
        <v>2100</v>
      </c>
      <c r="I1384" s="910" t="e">
        <f>VLOOKUP(H1377,'LƯƠNG KT'!$D$16:$Z$184,17,0)</f>
        <v>#N/A</v>
      </c>
      <c r="J1384" s="609" t="e">
        <f>+I1384*$L$10</f>
        <v>#N/A</v>
      </c>
      <c r="K1384" s="935"/>
      <c r="L1384" s="935"/>
      <c r="M1384" s="935"/>
      <c r="N1384" s="935"/>
      <c r="O1384" s="935"/>
    </row>
    <row r="1385" spans="1:15" ht="15" customHeight="1">
      <c r="A1385" s="908" t="s">
        <v>374</v>
      </c>
      <c r="B1385" s="909" t="s">
        <v>2102</v>
      </c>
      <c r="C1385" s="910" t="e">
        <f>VLOOKUP(B1377,'LƯƠNG KT'!$D$16:$Z$184,12,0)</f>
        <v>#N/A</v>
      </c>
      <c r="D1385" s="609" t="e">
        <f>VLOOKUP(B1377,'LƯƠNG KT'!$D$16:$Z$184,14,0)</f>
        <v>#N/A</v>
      </c>
      <c r="E1385" s="914"/>
      <c r="F1385" s="912"/>
      <c r="G1385" s="908" t="s">
        <v>374</v>
      </c>
      <c r="H1385" s="909" t="s">
        <v>2102</v>
      </c>
      <c r="I1385" s="910" t="e">
        <f>VLOOKUP(H1377,'LƯƠNG KT'!$D$16:$Z$184,12,0)</f>
        <v>#N/A</v>
      </c>
      <c r="J1385" s="609" t="e">
        <f>VLOOKUP(H1377,'LƯƠNG KT'!$D$16:$Z$184,14,0)</f>
        <v>#N/A</v>
      </c>
      <c r="K1385" s="935"/>
      <c r="L1385" s="935"/>
      <c r="M1385" s="935"/>
      <c r="N1385" s="935"/>
      <c r="O1385" s="935"/>
    </row>
    <row r="1386" spans="1:15" ht="15" customHeight="1">
      <c r="A1386" s="908" t="s">
        <v>2103</v>
      </c>
      <c r="B1386" s="909" t="s">
        <v>2104</v>
      </c>
      <c r="D1386" s="915" t="e">
        <f>VLOOKUP(B1377,'LƯƠNG KT'!$D$16:$Z$184,13,0)</f>
        <v>#N/A</v>
      </c>
      <c r="E1386" s="916"/>
      <c r="F1386" s="916"/>
      <c r="G1386" s="908" t="s">
        <v>2103</v>
      </c>
      <c r="H1386" s="909" t="s">
        <v>2104</v>
      </c>
      <c r="J1386" s="915" t="e">
        <f>VLOOKUP(H1377,'LƯƠNG KT'!$D$16:$Z$184,13,0)</f>
        <v>#N/A</v>
      </c>
    </row>
    <row r="1387" spans="1:15" ht="15" customHeight="1">
      <c r="A1387" s="547"/>
      <c r="B1387" s="546"/>
      <c r="C1387" s="910"/>
      <c r="D1387" s="609"/>
      <c r="E1387" s="914"/>
      <c r="F1387" s="916"/>
      <c r="G1387" s="547"/>
      <c r="H1387" s="546"/>
      <c r="I1387" s="910"/>
      <c r="J1387" s="609"/>
    </row>
    <row r="1388" spans="1:15" ht="15" customHeight="1">
      <c r="A1388" s="905"/>
      <c r="B1388" s="546"/>
      <c r="C1388" s="910"/>
      <c r="D1388" s="609"/>
      <c r="E1388" s="917"/>
      <c r="F1388" s="904"/>
      <c r="G1388" s="905"/>
      <c r="H1388" s="546"/>
      <c r="I1388" s="910"/>
      <c r="J1388" s="609"/>
    </row>
    <row r="1389" spans="1:15" ht="15" customHeight="1">
      <c r="A1389" s="918" t="s">
        <v>383</v>
      </c>
      <c r="B1389" s="919" t="s">
        <v>384</v>
      </c>
      <c r="C1389" s="920"/>
      <c r="D1389" s="921" t="e">
        <f>SUM(D1378:D1385)-D1388</f>
        <v>#N/A</v>
      </c>
      <c r="E1389" s="922"/>
      <c r="F1389" s="923"/>
      <c r="G1389" s="918" t="s">
        <v>383</v>
      </c>
      <c r="H1389" s="919" t="s">
        <v>384</v>
      </c>
      <c r="I1389" s="920"/>
      <c r="J1389" s="921" t="e">
        <f>SUM(J1378:J1385)-J1388</f>
        <v>#N/A</v>
      </c>
    </row>
    <row r="1390" spans="1:15" ht="12.6" customHeight="1">
      <c r="A1390" s="924"/>
      <c r="B1390" s="925"/>
      <c r="C1390" s="926"/>
      <c r="D1390" s="927"/>
      <c r="E1390" s="927"/>
      <c r="F1390" s="928"/>
      <c r="G1390" s="924"/>
      <c r="H1390" s="925"/>
      <c r="I1390" s="926"/>
      <c r="J1390" s="927"/>
    </row>
    <row r="1391" spans="1:15" ht="12.6" customHeight="1">
      <c r="A1391" s="925"/>
      <c r="B1391" s="925"/>
      <c r="C1391" s="929"/>
      <c r="D1391" s="930"/>
      <c r="E1391" s="925"/>
      <c r="F1391" s="931"/>
      <c r="G1391" s="925"/>
      <c r="H1391" s="925"/>
      <c r="I1391" s="929"/>
      <c r="J1391" s="930"/>
    </row>
    <row r="1392" spans="1:15" ht="15" customHeight="1">
      <c r="A1392" s="2360" t="str">
        <f>$K$2</f>
        <v>THÁNG 04/2025</v>
      </c>
      <c r="B1392" s="2360"/>
      <c r="C1392" s="2360"/>
      <c r="D1392" s="2360"/>
      <c r="E1392" s="903"/>
      <c r="F1392" s="904"/>
      <c r="G1392" s="2360" t="str">
        <f>$K$2</f>
        <v>THÁNG 04/2025</v>
      </c>
      <c r="H1392" s="2360"/>
      <c r="I1392" s="2360"/>
      <c r="J1392" s="2360"/>
      <c r="K1392" s="276"/>
    </row>
    <row r="1393" spans="1:15" ht="15" customHeight="1">
      <c r="A1393" s="905" t="s">
        <v>356</v>
      </c>
      <c r="B1393" s="642" t="s">
        <v>1999</v>
      </c>
      <c r="C1393" s="546"/>
      <c r="D1393" s="902"/>
      <c r="E1393" s="906"/>
      <c r="F1393" s="907"/>
      <c r="G1393" s="905" t="s">
        <v>356</v>
      </c>
      <c r="H1393" s="642" t="s">
        <v>29</v>
      </c>
      <c r="I1393" s="546"/>
      <c r="J1393" s="902"/>
      <c r="L1393" s="938"/>
      <c r="M1393" s="938"/>
      <c r="N1393" s="938"/>
      <c r="O1393" s="938"/>
    </row>
    <row r="1394" spans="1:15" ht="15" customHeight="1">
      <c r="A1394" s="908" t="s">
        <v>359</v>
      </c>
      <c r="B1394" s="909" t="s">
        <v>2090</v>
      </c>
      <c r="C1394" s="910" t="e">
        <f>VLOOKUP(B1393,'LƯƠNG KT'!$D$16:$Z$184,4,0)</f>
        <v>#N/A</v>
      </c>
      <c r="D1394" s="609" t="e">
        <f>+C1394*25000</f>
        <v>#N/A</v>
      </c>
      <c r="E1394" s="911"/>
      <c r="F1394" s="911"/>
      <c r="G1394" s="908" t="s">
        <v>359</v>
      </c>
      <c r="H1394" s="909" t="s">
        <v>2090</v>
      </c>
      <c r="I1394" s="910" t="e">
        <f>VLOOKUP(H1393,'LƯƠNG KT'!$D$16:$Z$184,4,0)</f>
        <v>#N/A</v>
      </c>
      <c r="J1394" s="609" t="e">
        <f>+I1394*25000</f>
        <v>#N/A</v>
      </c>
      <c r="K1394" s="935"/>
      <c r="L1394" s="935"/>
      <c r="M1394" s="935"/>
      <c r="N1394" s="935"/>
      <c r="O1394" s="935"/>
    </row>
    <row r="1395" spans="1:15" ht="15" customHeight="1">
      <c r="A1395" s="908" t="s">
        <v>361</v>
      </c>
      <c r="B1395" s="909" t="s">
        <v>2091</v>
      </c>
      <c r="C1395" s="910" t="e">
        <f>VLOOKUP(B1393,'LƯƠNG KT'!$D$16:$Z$184,15,0)</f>
        <v>#N/A</v>
      </c>
      <c r="D1395" s="609" t="e">
        <f>C1395*$L$4</f>
        <v>#N/A</v>
      </c>
      <c r="E1395" s="912"/>
      <c r="F1395" s="912"/>
      <c r="G1395" s="908" t="s">
        <v>361</v>
      </c>
      <c r="H1395" s="909" t="s">
        <v>2091</v>
      </c>
      <c r="I1395" s="910" t="e">
        <f>VLOOKUP(H1393,'LƯƠNG KT'!$D$16:$Z$184,15,0)</f>
        <v>#N/A</v>
      </c>
      <c r="J1395" s="609" t="e">
        <f>I1395*$L$4</f>
        <v>#N/A</v>
      </c>
      <c r="K1395" s="935"/>
      <c r="L1395" s="935"/>
      <c r="M1395" s="935"/>
      <c r="N1395" s="935"/>
      <c r="O1395" s="935"/>
    </row>
    <row r="1396" spans="1:15" ht="15" customHeight="1">
      <c r="A1396" s="908" t="s">
        <v>364</v>
      </c>
      <c r="B1396" s="909" t="s">
        <v>2092</v>
      </c>
      <c r="C1396" s="910" t="e">
        <f>VLOOKUP(B1393,'LƯƠNG KT'!$D$16:$Z$184,16,0)</f>
        <v>#N/A</v>
      </c>
      <c r="D1396" s="609" t="e">
        <f>C1396*$L$5</f>
        <v>#N/A</v>
      </c>
      <c r="E1396" s="912"/>
      <c r="F1396" s="912"/>
      <c r="G1396" s="908" t="s">
        <v>364</v>
      </c>
      <c r="H1396" s="909" t="s">
        <v>2092</v>
      </c>
      <c r="I1396" s="910" t="e">
        <f>VLOOKUP(H1393,'LƯƠNG KT'!$D$16:$Z$184,16,0)</f>
        <v>#N/A</v>
      </c>
      <c r="J1396" s="609" t="e">
        <f>I1396*$L$5</f>
        <v>#N/A</v>
      </c>
      <c r="K1396" s="935"/>
      <c r="L1396" s="935"/>
      <c r="M1396" s="935"/>
      <c r="N1396" s="935"/>
      <c r="O1396" s="935"/>
    </row>
    <row r="1397" spans="1:15" ht="15" customHeight="1">
      <c r="A1397" s="908" t="s">
        <v>370</v>
      </c>
      <c r="B1397" s="909" t="s">
        <v>2093</v>
      </c>
      <c r="C1397" s="910" t="e">
        <f>VLOOKUP(B1393,'LƯƠNG KT'!$D$16:$Z$184,24,0)</f>
        <v>#N/A</v>
      </c>
      <c r="D1397" s="609" t="e">
        <f>+C1397*$L$6</f>
        <v>#N/A</v>
      </c>
      <c r="E1397" s="912"/>
      <c r="F1397" s="912"/>
      <c r="G1397" s="908" t="s">
        <v>370</v>
      </c>
      <c r="H1397" s="909" t="s">
        <v>2093</v>
      </c>
      <c r="I1397" s="910" t="e">
        <f>VLOOKUP(H1393,'LƯƠNG KT'!$D$16:$Z$184,24,0)</f>
        <v>#N/A</v>
      </c>
      <c r="J1397" s="609" t="e">
        <f>+I1397*$L$6</f>
        <v>#N/A</v>
      </c>
      <c r="K1397" s="935"/>
      <c r="L1397" s="935"/>
      <c r="M1397" s="935"/>
      <c r="N1397" s="935"/>
      <c r="O1397" s="935"/>
    </row>
    <row r="1398" spans="1:15" ht="15" customHeight="1">
      <c r="A1398" s="908" t="s">
        <v>2094</v>
      </c>
      <c r="B1398" s="909" t="s">
        <v>2095</v>
      </c>
      <c r="C1398" s="910" t="e">
        <f>VLOOKUP(B1393,'LƯƠNG KT'!$D$16:$Z$184,19,0)</f>
        <v>#N/A</v>
      </c>
      <c r="D1398" s="609" t="e">
        <f>+C1398*$L$8</f>
        <v>#N/A</v>
      </c>
      <c r="E1398" s="912"/>
      <c r="F1398" s="912"/>
      <c r="G1398" s="908" t="s">
        <v>2094</v>
      </c>
      <c r="H1398" s="909" t="s">
        <v>2095</v>
      </c>
      <c r="I1398" s="910" t="e">
        <f>VLOOKUP(H1393,'LƯƠNG KT'!$D$16:$Z$184,19,0)</f>
        <v>#N/A</v>
      </c>
      <c r="J1398" s="609" t="e">
        <f>+I1398*$L$8</f>
        <v>#N/A</v>
      </c>
      <c r="K1398" s="935"/>
      <c r="L1398" s="935"/>
      <c r="M1398" s="935"/>
      <c r="N1398" s="935"/>
      <c r="O1398" s="935"/>
    </row>
    <row r="1399" spans="1:15" ht="15" customHeight="1">
      <c r="A1399" s="908" t="s">
        <v>2096</v>
      </c>
      <c r="B1399" s="913" t="s">
        <v>2097</v>
      </c>
      <c r="C1399" s="910" t="e">
        <f>VLOOKUP(B1393,'LƯƠNG KT'!$D$16:$Z$184,20,0)</f>
        <v>#N/A</v>
      </c>
      <c r="D1399" s="609" t="e">
        <f>+C1399*$L$9</f>
        <v>#N/A</v>
      </c>
      <c r="E1399" s="912"/>
      <c r="F1399" s="912"/>
      <c r="G1399" s="908" t="s">
        <v>2096</v>
      </c>
      <c r="H1399" s="913" t="s">
        <v>2097</v>
      </c>
      <c r="I1399" s="910" t="e">
        <f>VLOOKUP(H1393,'LƯƠNG KT'!$D$16:$Z$184,20,0)</f>
        <v>#N/A</v>
      </c>
      <c r="J1399" s="609" t="e">
        <f>+I1399*$L$9</f>
        <v>#N/A</v>
      </c>
      <c r="K1399" s="935"/>
      <c r="L1399" s="935"/>
      <c r="M1399" s="935"/>
      <c r="N1399" s="935"/>
      <c r="O1399" s="935"/>
    </row>
    <row r="1400" spans="1:15" ht="15" customHeight="1">
      <c r="A1400" s="908" t="s">
        <v>2099</v>
      </c>
      <c r="B1400" s="909" t="s">
        <v>2100</v>
      </c>
      <c r="C1400" s="910" t="e">
        <f>VLOOKUP(B1393,'LƯƠNG KT'!$D$16:$Z$184,17,0)</f>
        <v>#N/A</v>
      </c>
      <c r="D1400" s="609" t="e">
        <f>+C1400*$L$10</f>
        <v>#N/A</v>
      </c>
      <c r="E1400" s="912"/>
      <c r="F1400" s="912"/>
      <c r="G1400" s="908" t="s">
        <v>2099</v>
      </c>
      <c r="H1400" s="909" t="s">
        <v>2100</v>
      </c>
      <c r="I1400" s="910" t="e">
        <f>VLOOKUP(H1393,'LƯƠNG KT'!$D$16:$Z$184,17,0)</f>
        <v>#N/A</v>
      </c>
      <c r="J1400" s="609" t="e">
        <f>+I1400*$L$10</f>
        <v>#N/A</v>
      </c>
      <c r="K1400" s="935"/>
      <c r="L1400" s="935"/>
      <c r="M1400" s="935"/>
      <c r="N1400" s="935"/>
      <c r="O1400" s="935"/>
    </row>
    <row r="1401" spans="1:15" ht="15" customHeight="1">
      <c r="A1401" s="908" t="s">
        <v>374</v>
      </c>
      <c r="B1401" s="909" t="s">
        <v>2102</v>
      </c>
      <c r="C1401" s="910" t="e">
        <f>VLOOKUP(B1393,'LƯƠNG KT'!$D$16:$Z$184,12,0)</f>
        <v>#N/A</v>
      </c>
      <c r="D1401" s="609" t="e">
        <f>VLOOKUP(B1393,'LƯƠNG KT'!$D$16:$Z$184,14,0)</f>
        <v>#N/A</v>
      </c>
      <c r="E1401" s="914"/>
      <c r="F1401" s="912"/>
      <c r="G1401" s="908" t="s">
        <v>374</v>
      </c>
      <c r="H1401" s="909" t="s">
        <v>2102</v>
      </c>
      <c r="I1401" s="910" t="e">
        <f>VLOOKUP(H1393,'LƯƠNG KT'!$D$16:$Z$184,12,0)</f>
        <v>#N/A</v>
      </c>
      <c r="J1401" s="609" t="e">
        <f>VLOOKUP(H1393,'LƯƠNG KT'!$D$16:$Z$184,14,0)</f>
        <v>#N/A</v>
      </c>
      <c r="K1401" s="935"/>
      <c r="L1401" s="935"/>
      <c r="M1401" s="935"/>
      <c r="N1401" s="935"/>
      <c r="O1401" s="935"/>
    </row>
    <row r="1402" spans="1:15" ht="15" customHeight="1">
      <c r="A1402" s="908" t="s">
        <v>2103</v>
      </c>
      <c r="B1402" s="909" t="s">
        <v>2104</v>
      </c>
      <c r="D1402" s="915" t="e">
        <f>VLOOKUP(B1393,'LƯƠNG KT'!$D$16:$Z$184,13,0)</f>
        <v>#N/A</v>
      </c>
      <c r="E1402" s="916"/>
      <c r="F1402" s="916"/>
      <c r="G1402" s="908" t="s">
        <v>2103</v>
      </c>
      <c r="H1402" s="909" t="s">
        <v>2104</v>
      </c>
      <c r="J1402" s="915" t="e">
        <f>VLOOKUP(H1393,'LƯƠNG KT'!$D$16:$Z$184,13,0)</f>
        <v>#N/A</v>
      </c>
    </row>
    <row r="1403" spans="1:15" ht="15" customHeight="1">
      <c r="A1403" s="547"/>
      <c r="B1403" s="546"/>
      <c r="C1403" s="910"/>
      <c r="D1403" s="609"/>
      <c r="E1403" s="914"/>
      <c r="F1403" s="916"/>
      <c r="G1403" s="547"/>
      <c r="H1403" s="546"/>
      <c r="I1403" s="910"/>
      <c r="J1403" s="609"/>
    </row>
    <row r="1404" spans="1:15" ht="15" customHeight="1">
      <c r="A1404" s="905"/>
      <c r="B1404" s="546"/>
      <c r="C1404" s="910"/>
      <c r="D1404" s="609"/>
      <c r="E1404" s="917"/>
      <c r="F1404" s="904"/>
      <c r="G1404" s="905"/>
      <c r="H1404" s="546"/>
      <c r="I1404" s="910"/>
      <c r="J1404" s="609"/>
    </row>
    <row r="1405" spans="1:15" ht="15" customHeight="1">
      <c r="A1405" s="918" t="s">
        <v>383</v>
      </c>
      <c r="B1405" s="919" t="s">
        <v>384</v>
      </c>
      <c r="C1405" s="920"/>
      <c r="D1405" s="921" t="e">
        <f>SUM(D1394:D1401)-D1404</f>
        <v>#N/A</v>
      </c>
      <c r="E1405" s="922"/>
      <c r="F1405" s="923"/>
      <c r="G1405" s="918" t="s">
        <v>383</v>
      </c>
      <c r="H1405" s="919" t="s">
        <v>384</v>
      </c>
      <c r="I1405" s="920"/>
      <c r="J1405" s="921" t="e">
        <f>SUM(J1394:J1401)-J1404</f>
        <v>#N/A</v>
      </c>
    </row>
    <row r="1406" spans="1:15" ht="18.75" customHeight="1">
      <c r="A1406" s="924"/>
      <c r="B1406" s="925"/>
      <c r="C1406" s="926"/>
      <c r="D1406" s="927"/>
      <c r="E1406" s="927"/>
      <c r="F1406" s="928"/>
      <c r="G1406" s="924"/>
      <c r="H1406" s="925"/>
      <c r="I1406" s="926"/>
      <c r="J1406" s="927"/>
    </row>
    <row r="1407" spans="1:15" ht="120" customHeight="1">
      <c r="A1407" s="925"/>
      <c r="B1407" s="925"/>
      <c r="C1407" s="929"/>
      <c r="D1407" s="930"/>
      <c r="E1407" s="925"/>
      <c r="F1407" s="931"/>
      <c r="G1407" s="925"/>
      <c r="H1407" s="925"/>
      <c r="I1407" s="929"/>
      <c r="J1407" s="930"/>
    </row>
    <row r="1408" spans="1:15" ht="15" customHeight="1">
      <c r="A1408" s="2360" t="str">
        <f>$K$2</f>
        <v>THÁNG 04/2025</v>
      </c>
      <c r="B1408" s="2360"/>
      <c r="C1408" s="2360"/>
      <c r="D1408" s="2360"/>
      <c r="E1408" s="903"/>
      <c r="F1408" s="904"/>
      <c r="G1408" s="2360" t="str">
        <f>$K$2</f>
        <v>THÁNG 04/2025</v>
      </c>
      <c r="H1408" s="2360"/>
      <c r="I1408" s="2360"/>
      <c r="J1408" s="2360"/>
      <c r="K1408" s="276"/>
    </row>
    <row r="1409" spans="1:15" ht="15" customHeight="1">
      <c r="A1409" s="905" t="s">
        <v>356</v>
      </c>
      <c r="B1409" s="642" t="s">
        <v>2000</v>
      </c>
      <c r="C1409" s="546"/>
      <c r="D1409" s="902"/>
      <c r="E1409" s="906"/>
      <c r="F1409" s="907"/>
      <c r="G1409" s="905" t="s">
        <v>356</v>
      </c>
      <c r="H1409" s="642" t="s">
        <v>100</v>
      </c>
      <c r="I1409" s="546"/>
      <c r="J1409" s="902"/>
      <c r="L1409" s="938"/>
      <c r="M1409" s="938"/>
      <c r="N1409" s="938"/>
      <c r="O1409" s="938"/>
    </row>
    <row r="1410" spans="1:15" ht="15" customHeight="1">
      <c r="A1410" s="908" t="s">
        <v>359</v>
      </c>
      <c r="B1410" s="909" t="s">
        <v>2090</v>
      </c>
      <c r="C1410" s="910">
        <f>VLOOKUP(B1409,'LƯƠNG KT'!$D$16:$Z$184,4,0)</f>
        <v>0</v>
      </c>
      <c r="D1410" s="609">
        <f>+C1410*25000</f>
        <v>0</v>
      </c>
      <c r="E1410" s="911"/>
      <c r="F1410" s="911"/>
      <c r="G1410" s="908" t="s">
        <v>359</v>
      </c>
      <c r="H1410" s="909" t="s">
        <v>2090</v>
      </c>
      <c r="I1410" s="910" t="e">
        <f>VLOOKUP(H1409,'LƯƠNG KT'!$D$16:$Z$184,4,0)</f>
        <v>#N/A</v>
      </c>
      <c r="J1410" s="609" t="e">
        <f>+I1410*25000</f>
        <v>#N/A</v>
      </c>
      <c r="K1410" s="935"/>
      <c r="L1410" s="935"/>
      <c r="M1410" s="935"/>
      <c r="N1410" s="935"/>
      <c r="O1410" s="935"/>
    </row>
    <row r="1411" spans="1:15" ht="15" customHeight="1">
      <c r="A1411" s="908" t="s">
        <v>361</v>
      </c>
      <c r="B1411" s="909" t="s">
        <v>2091</v>
      </c>
      <c r="C1411" s="910">
        <f>VLOOKUP(B1409,'LƯƠNG KT'!$D$16:$Z$184,15,0)</f>
        <v>0</v>
      </c>
      <c r="D1411" s="609">
        <f>C1411*$L$4</f>
        <v>0</v>
      </c>
      <c r="E1411" s="912"/>
      <c r="F1411" s="912"/>
      <c r="G1411" s="908" t="s">
        <v>361</v>
      </c>
      <c r="H1411" s="909" t="s">
        <v>2091</v>
      </c>
      <c r="I1411" s="910" t="e">
        <f>VLOOKUP(H1409,'LƯƠNG KT'!$D$16:$Z$184,15,0)</f>
        <v>#N/A</v>
      </c>
      <c r="J1411" s="609" t="e">
        <f>I1411*$L$4</f>
        <v>#N/A</v>
      </c>
      <c r="K1411" s="935"/>
      <c r="L1411" s="935"/>
      <c r="M1411" s="935"/>
      <c r="N1411" s="935"/>
      <c r="O1411" s="935"/>
    </row>
    <row r="1412" spans="1:15" ht="15" customHeight="1">
      <c r="A1412" s="908" t="s">
        <v>364</v>
      </c>
      <c r="B1412" s="909" t="s">
        <v>2092</v>
      </c>
      <c r="C1412" s="910">
        <f>VLOOKUP(B1409,'LƯƠNG KT'!$D$16:$Z$184,16,0)</f>
        <v>0</v>
      </c>
      <c r="D1412" s="609">
        <f>C1412*$L$5</f>
        <v>0</v>
      </c>
      <c r="E1412" s="912"/>
      <c r="F1412" s="912"/>
      <c r="G1412" s="908" t="s">
        <v>364</v>
      </c>
      <c r="H1412" s="909" t="s">
        <v>2092</v>
      </c>
      <c r="I1412" s="910" t="e">
        <f>VLOOKUP(H1409,'LƯƠNG KT'!$D$16:$Z$184,16,0)</f>
        <v>#N/A</v>
      </c>
      <c r="J1412" s="609" t="e">
        <f>I1412*$L$5</f>
        <v>#N/A</v>
      </c>
      <c r="K1412" s="935"/>
      <c r="L1412" s="935"/>
      <c r="M1412" s="935"/>
      <c r="N1412" s="935"/>
      <c r="O1412" s="935"/>
    </row>
    <row r="1413" spans="1:15" ht="15" customHeight="1">
      <c r="A1413" s="908" t="s">
        <v>370</v>
      </c>
      <c r="B1413" s="909" t="s">
        <v>2093</v>
      </c>
      <c r="C1413" s="910" t="e">
        <f>VLOOKUP(B1409,'LƯƠNG KT'!$D$16:$Z$184,24,0)</f>
        <v>#REF!</v>
      </c>
      <c r="D1413" s="609" t="e">
        <f>+C1413*$L$6</f>
        <v>#REF!</v>
      </c>
      <c r="E1413" s="912"/>
      <c r="F1413" s="912"/>
      <c r="G1413" s="908" t="s">
        <v>370</v>
      </c>
      <c r="H1413" s="909" t="s">
        <v>2093</v>
      </c>
      <c r="I1413" s="910" t="e">
        <f>VLOOKUP(H1409,'LƯƠNG KT'!$D$16:$Z$184,24,0)</f>
        <v>#N/A</v>
      </c>
      <c r="J1413" s="609" t="e">
        <f>+I1413*$L$6</f>
        <v>#N/A</v>
      </c>
      <c r="K1413" s="935"/>
      <c r="L1413" s="935"/>
      <c r="M1413" s="935"/>
      <c r="N1413" s="935"/>
      <c r="O1413" s="935"/>
    </row>
    <row r="1414" spans="1:15" ht="15" customHeight="1">
      <c r="A1414" s="908" t="s">
        <v>2094</v>
      </c>
      <c r="B1414" s="909" t="s">
        <v>2095</v>
      </c>
      <c r="C1414" s="910">
        <f>VLOOKUP(B1409,'LƯƠNG KT'!$D$16:$Z$184,19,0)</f>
        <v>0</v>
      </c>
      <c r="D1414" s="609">
        <f>+C1414*$L$8</f>
        <v>0</v>
      </c>
      <c r="E1414" s="912"/>
      <c r="F1414" s="912"/>
      <c r="G1414" s="908" t="s">
        <v>2094</v>
      </c>
      <c r="H1414" s="909" t="s">
        <v>2095</v>
      </c>
      <c r="I1414" s="910" t="e">
        <f>VLOOKUP(H1409,'LƯƠNG KT'!$D$16:$Z$184,19,0)</f>
        <v>#N/A</v>
      </c>
      <c r="J1414" s="609" t="e">
        <f>+I1414*$L$8</f>
        <v>#N/A</v>
      </c>
      <c r="K1414" s="935"/>
      <c r="L1414" s="935"/>
      <c r="M1414" s="935"/>
      <c r="N1414" s="935"/>
      <c r="O1414" s="935"/>
    </row>
    <row r="1415" spans="1:15" ht="15" customHeight="1">
      <c r="A1415" s="908" t="s">
        <v>2096</v>
      </c>
      <c r="B1415" s="913" t="s">
        <v>2097</v>
      </c>
      <c r="C1415" s="910">
        <f>VLOOKUP(B1409,'LƯƠNG KT'!$D$16:$Z$184,20,0)</f>
        <v>0</v>
      </c>
      <c r="D1415" s="609">
        <f>+C1415*$L$9</f>
        <v>0</v>
      </c>
      <c r="E1415" s="912"/>
      <c r="F1415" s="912"/>
      <c r="G1415" s="908" t="s">
        <v>2096</v>
      </c>
      <c r="H1415" s="913" t="s">
        <v>2097</v>
      </c>
      <c r="I1415" s="910" t="e">
        <f>VLOOKUP(H1409,'LƯƠNG KT'!$D$16:$Z$184,20,0)</f>
        <v>#N/A</v>
      </c>
      <c r="J1415" s="609" t="e">
        <f>+I1415*$L$9</f>
        <v>#N/A</v>
      </c>
      <c r="K1415" s="935"/>
      <c r="L1415" s="935"/>
      <c r="M1415" s="935"/>
      <c r="N1415" s="935"/>
      <c r="O1415" s="935"/>
    </row>
    <row r="1416" spans="1:15" ht="15" customHeight="1">
      <c r="A1416" s="908" t="s">
        <v>2099</v>
      </c>
      <c r="B1416" s="909" t="s">
        <v>2100</v>
      </c>
      <c r="C1416" s="910">
        <f>VLOOKUP(B1409,'LƯƠNG KT'!$D$16:$Z$184,17,0)</f>
        <v>0</v>
      </c>
      <c r="D1416" s="609">
        <f>+C1416*$L$10</f>
        <v>0</v>
      </c>
      <c r="E1416" s="912"/>
      <c r="F1416" s="912"/>
      <c r="G1416" s="908" t="s">
        <v>2099</v>
      </c>
      <c r="H1416" s="909" t="s">
        <v>2100</v>
      </c>
      <c r="I1416" s="910" t="e">
        <f>VLOOKUP(H1409,'LƯƠNG KT'!$D$16:$Z$184,17,0)</f>
        <v>#N/A</v>
      </c>
      <c r="J1416" s="609" t="e">
        <f>+I1416*$L$10</f>
        <v>#N/A</v>
      </c>
      <c r="K1416" s="935"/>
      <c r="L1416" s="935"/>
      <c r="M1416" s="935"/>
      <c r="N1416" s="935"/>
      <c r="O1416" s="935"/>
    </row>
    <row r="1417" spans="1:15" ht="15" customHeight="1">
      <c r="A1417" s="908" t="s">
        <v>374</v>
      </c>
      <c r="B1417" s="909" t="s">
        <v>2102</v>
      </c>
      <c r="C1417" s="910">
        <f>VLOOKUP(B1409,'LƯƠNG KT'!$D$16:$Z$184,12,0)</f>
        <v>0</v>
      </c>
      <c r="D1417" s="609">
        <f>VLOOKUP(B1409,'LƯƠNG KT'!$D$16:$Z$184,14,0)</f>
        <v>0</v>
      </c>
      <c r="E1417" s="914"/>
      <c r="F1417" s="912"/>
      <c r="G1417" s="908" t="s">
        <v>374</v>
      </c>
      <c r="H1417" s="909" t="s">
        <v>2102</v>
      </c>
      <c r="I1417" s="910" t="e">
        <f>VLOOKUP(H1409,'LƯƠNG KT'!$D$16:$Z$184,12,0)</f>
        <v>#N/A</v>
      </c>
      <c r="J1417" s="609" t="e">
        <f>VLOOKUP(H1409,'LƯƠNG KT'!$D$16:$Z$184,14,0)</f>
        <v>#N/A</v>
      </c>
      <c r="K1417" s="935"/>
      <c r="L1417" s="935"/>
      <c r="M1417" s="935"/>
      <c r="N1417" s="935"/>
      <c r="O1417" s="935"/>
    </row>
    <row r="1418" spans="1:15" ht="15" customHeight="1">
      <c r="A1418" s="908" t="s">
        <v>2103</v>
      </c>
      <c r="B1418" s="909" t="s">
        <v>2104</v>
      </c>
      <c r="D1418" s="915">
        <f>VLOOKUP(B1409,'LƯƠNG KT'!$D$16:$Z$184,13,0)</f>
        <v>0</v>
      </c>
      <c r="E1418" s="916"/>
      <c r="F1418" s="916"/>
      <c r="G1418" s="908" t="s">
        <v>2103</v>
      </c>
      <c r="H1418" s="909" t="s">
        <v>2104</v>
      </c>
      <c r="J1418" s="915" t="e">
        <f>VLOOKUP(H1409,'LƯƠNG KT'!$D$16:$Z$184,13,0)</f>
        <v>#N/A</v>
      </c>
    </row>
    <row r="1419" spans="1:15" ht="15" customHeight="1">
      <c r="A1419" s="547"/>
      <c r="B1419" s="546"/>
      <c r="C1419" s="910"/>
      <c r="D1419" s="609"/>
      <c r="E1419" s="914"/>
      <c r="F1419" s="916"/>
      <c r="G1419" s="547"/>
      <c r="H1419" s="546"/>
      <c r="I1419" s="910"/>
      <c r="J1419" s="609"/>
    </row>
    <row r="1420" spans="1:15" ht="15" customHeight="1">
      <c r="A1420" s="905"/>
      <c r="B1420" s="546"/>
      <c r="C1420" s="910"/>
      <c r="D1420" s="609"/>
      <c r="E1420" s="917"/>
      <c r="F1420" s="904"/>
      <c r="G1420" s="905"/>
      <c r="H1420" s="546"/>
      <c r="I1420" s="910"/>
      <c r="J1420" s="609"/>
    </row>
    <row r="1421" spans="1:15" ht="15" customHeight="1">
      <c r="A1421" s="918" t="s">
        <v>383</v>
      </c>
      <c r="B1421" s="919" t="s">
        <v>384</v>
      </c>
      <c r="C1421" s="920"/>
      <c r="D1421" s="921" t="e">
        <f>SUM(D1410:D1417)-D1420</f>
        <v>#REF!</v>
      </c>
      <c r="E1421" s="922"/>
      <c r="F1421" s="923"/>
      <c r="G1421" s="918" t="s">
        <v>383</v>
      </c>
      <c r="H1421" s="919" t="s">
        <v>384</v>
      </c>
      <c r="I1421" s="920"/>
      <c r="J1421" s="921" t="e">
        <f>SUM(J1410:J1417)-J1420</f>
        <v>#N/A</v>
      </c>
    </row>
    <row r="1422" spans="1:15" ht="18.75" customHeight="1">
      <c r="A1422" s="924"/>
      <c r="B1422" s="925"/>
      <c r="C1422" s="926"/>
      <c r="D1422" s="927"/>
      <c r="E1422" s="927"/>
      <c r="F1422" s="928"/>
      <c r="G1422" s="924"/>
      <c r="H1422" s="925"/>
      <c r="I1422" s="926"/>
      <c r="J1422" s="927"/>
    </row>
    <row r="1423" spans="1:15" ht="18.75" customHeight="1">
      <c r="A1423" s="925"/>
      <c r="B1423" s="925"/>
      <c r="C1423" s="929"/>
      <c r="D1423" s="930"/>
      <c r="E1423" s="925"/>
      <c r="F1423" s="931"/>
      <c r="G1423" s="925"/>
      <c r="H1423" s="925"/>
      <c r="I1423" s="929"/>
      <c r="J1423" s="930"/>
    </row>
    <row r="1424" spans="1:15" ht="15" customHeight="1">
      <c r="A1424" s="2360" t="str">
        <f>$K$2</f>
        <v>THÁNG 04/2025</v>
      </c>
      <c r="B1424" s="2360"/>
      <c r="C1424" s="2360"/>
      <c r="D1424" s="2360"/>
      <c r="E1424" s="903"/>
      <c r="F1424" s="904"/>
      <c r="G1424" s="2360" t="str">
        <f>$K$2</f>
        <v>THÁNG 04/2025</v>
      </c>
      <c r="H1424" s="2360"/>
      <c r="I1424" s="2360"/>
      <c r="J1424" s="2360"/>
      <c r="K1424" s="276"/>
    </row>
    <row r="1425" spans="1:15" ht="15" customHeight="1">
      <c r="A1425" s="905" t="s">
        <v>356</v>
      </c>
      <c r="B1425" s="642" t="s">
        <v>92</v>
      </c>
      <c r="C1425" s="546"/>
      <c r="D1425" s="902"/>
      <c r="E1425" s="906"/>
      <c r="F1425" s="907"/>
      <c r="G1425" s="905" t="s">
        <v>356</v>
      </c>
      <c r="H1425" s="642" t="s">
        <v>165</v>
      </c>
      <c r="I1425" s="546"/>
      <c r="J1425" s="902"/>
      <c r="L1425" s="938"/>
      <c r="M1425" s="938"/>
      <c r="N1425" s="938"/>
      <c r="O1425" s="938"/>
    </row>
    <row r="1426" spans="1:15" ht="15" customHeight="1">
      <c r="A1426" s="908" t="s">
        <v>359</v>
      </c>
      <c r="B1426" s="909" t="s">
        <v>2090</v>
      </c>
      <c r="C1426" s="910" t="e">
        <f>VLOOKUP(B1425,'LƯƠNG KT'!$D$16:$Z$184,4,0)</f>
        <v>#N/A</v>
      </c>
      <c r="D1426" s="609" t="e">
        <f>+C1426*25000</f>
        <v>#N/A</v>
      </c>
      <c r="E1426" s="911"/>
      <c r="F1426" s="911"/>
      <c r="G1426" s="908" t="s">
        <v>359</v>
      </c>
      <c r="H1426" s="909" t="s">
        <v>2090</v>
      </c>
      <c r="I1426" s="910" t="e">
        <f>VLOOKUP(H1425,'LƯƠNG KT'!$D$16:$Z$184,4,0)</f>
        <v>#N/A</v>
      </c>
      <c r="J1426" s="609" t="e">
        <f>+I1426*25000</f>
        <v>#N/A</v>
      </c>
      <c r="K1426" s="935"/>
      <c r="L1426" s="935"/>
      <c r="M1426" s="935"/>
      <c r="N1426" s="935"/>
      <c r="O1426" s="935"/>
    </row>
    <row r="1427" spans="1:15" ht="15" customHeight="1">
      <c r="A1427" s="908" t="s">
        <v>361</v>
      </c>
      <c r="B1427" s="909" t="s">
        <v>2091</v>
      </c>
      <c r="C1427" s="910" t="e">
        <f>VLOOKUP(B1425,'LƯƠNG KT'!$D$16:$Z$184,15,0)</f>
        <v>#N/A</v>
      </c>
      <c r="D1427" s="609" t="e">
        <f>C1427*$L$4</f>
        <v>#N/A</v>
      </c>
      <c r="E1427" s="912"/>
      <c r="F1427" s="912"/>
      <c r="G1427" s="908" t="s">
        <v>361</v>
      </c>
      <c r="H1427" s="909" t="s">
        <v>2091</v>
      </c>
      <c r="I1427" s="910" t="e">
        <f>VLOOKUP(H1425,'LƯƠNG KT'!$D$16:$Z$184,15,0)</f>
        <v>#N/A</v>
      </c>
      <c r="J1427" s="609" t="e">
        <f>I1427*$L$4</f>
        <v>#N/A</v>
      </c>
      <c r="K1427" s="935"/>
      <c r="L1427" s="935"/>
      <c r="M1427" s="935"/>
      <c r="N1427" s="935"/>
      <c r="O1427" s="935"/>
    </row>
    <row r="1428" spans="1:15" ht="15" customHeight="1">
      <c r="A1428" s="908" t="s">
        <v>364</v>
      </c>
      <c r="B1428" s="909" t="s">
        <v>2092</v>
      </c>
      <c r="C1428" s="910" t="e">
        <f>VLOOKUP(B1425,'LƯƠNG KT'!$D$16:$Z$184,16,0)</f>
        <v>#N/A</v>
      </c>
      <c r="D1428" s="609" t="e">
        <f>C1428*$L$5</f>
        <v>#N/A</v>
      </c>
      <c r="E1428" s="912"/>
      <c r="F1428" s="912"/>
      <c r="G1428" s="908" t="s">
        <v>364</v>
      </c>
      <c r="H1428" s="909" t="s">
        <v>2092</v>
      </c>
      <c r="I1428" s="910" t="e">
        <f>VLOOKUP(H1425,'LƯƠNG KT'!$D$16:$Z$184,16,0)</f>
        <v>#N/A</v>
      </c>
      <c r="J1428" s="609" t="e">
        <f>I1428*$L$5</f>
        <v>#N/A</v>
      </c>
      <c r="K1428" s="935"/>
      <c r="L1428" s="935"/>
      <c r="M1428" s="935"/>
      <c r="N1428" s="935"/>
      <c r="O1428" s="935"/>
    </row>
    <row r="1429" spans="1:15" ht="15" customHeight="1">
      <c r="A1429" s="908" t="s">
        <v>370</v>
      </c>
      <c r="B1429" s="909" t="s">
        <v>2093</v>
      </c>
      <c r="C1429" s="910" t="e">
        <f>VLOOKUP(B1425,'LƯƠNG KT'!$D$16:$Z$184,24,0)</f>
        <v>#N/A</v>
      </c>
      <c r="D1429" s="609" t="e">
        <f>+C1429*$L$6</f>
        <v>#N/A</v>
      </c>
      <c r="E1429" s="912"/>
      <c r="F1429" s="912"/>
      <c r="G1429" s="908" t="s">
        <v>370</v>
      </c>
      <c r="H1429" s="909" t="s">
        <v>2093</v>
      </c>
      <c r="I1429" s="910" t="e">
        <f>VLOOKUP(H1425,'LƯƠNG KT'!$D$16:$Z$184,24,0)</f>
        <v>#N/A</v>
      </c>
      <c r="J1429" s="609" t="e">
        <f>+I1429*$L$6</f>
        <v>#N/A</v>
      </c>
      <c r="K1429" s="935"/>
      <c r="L1429" s="935"/>
      <c r="M1429" s="935"/>
      <c r="N1429" s="935"/>
      <c r="O1429" s="935"/>
    </row>
    <row r="1430" spans="1:15" ht="15" customHeight="1">
      <c r="A1430" s="908" t="s">
        <v>2094</v>
      </c>
      <c r="B1430" s="909" t="s">
        <v>2095</v>
      </c>
      <c r="C1430" s="910" t="e">
        <f>VLOOKUP(B1425,'LƯƠNG KT'!$D$16:$Z$184,19,0)</f>
        <v>#N/A</v>
      </c>
      <c r="D1430" s="609" t="e">
        <f>+C1430*$L$8</f>
        <v>#N/A</v>
      </c>
      <c r="E1430" s="912"/>
      <c r="F1430" s="912"/>
      <c r="G1430" s="908" t="s">
        <v>2094</v>
      </c>
      <c r="H1430" s="909" t="s">
        <v>2095</v>
      </c>
      <c r="I1430" s="910" t="e">
        <f>VLOOKUP(H1425,'LƯƠNG KT'!$D$16:$Z$184,19,0)</f>
        <v>#N/A</v>
      </c>
      <c r="J1430" s="609" t="e">
        <f>+I1430*$L$8</f>
        <v>#N/A</v>
      </c>
      <c r="K1430" s="935"/>
      <c r="L1430" s="935"/>
      <c r="M1430" s="935"/>
      <c r="N1430" s="935"/>
      <c r="O1430" s="935"/>
    </row>
    <row r="1431" spans="1:15" ht="15" customHeight="1">
      <c r="A1431" s="908" t="s">
        <v>2096</v>
      </c>
      <c r="B1431" s="913" t="s">
        <v>2097</v>
      </c>
      <c r="C1431" s="910" t="e">
        <f>VLOOKUP(B1425,'LƯƠNG KT'!$D$16:$Z$184,20,0)</f>
        <v>#N/A</v>
      </c>
      <c r="D1431" s="609" t="e">
        <f>+C1431*$L$9</f>
        <v>#N/A</v>
      </c>
      <c r="E1431" s="912"/>
      <c r="F1431" s="912"/>
      <c r="G1431" s="908" t="s">
        <v>2096</v>
      </c>
      <c r="H1431" s="913" t="s">
        <v>2097</v>
      </c>
      <c r="I1431" s="910" t="e">
        <f>VLOOKUP(H1425,'LƯƠNG KT'!$D$16:$Z$184,20,0)</f>
        <v>#N/A</v>
      </c>
      <c r="J1431" s="609" t="e">
        <f>+I1431*$L$9</f>
        <v>#N/A</v>
      </c>
      <c r="K1431" s="935"/>
      <c r="L1431" s="935"/>
      <c r="M1431" s="935"/>
      <c r="N1431" s="935"/>
      <c r="O1431" s="935"/>
    </row>
    <row r="1432" spans="1:15" ht="15" customHeight="1">
      <c r="A1432" s="908" t="s">
        <v>2099</v>
      </c>
      <c r="B1432" s="909" t="s">
        <v>2100</v>
      </c>
      <c r="C1432" s="910" t="e">
        <f>VLOOKUP(B1425,'LƯƠNG KT'!$D$16:$Z$184,17,0)</f>
        <v>#N/A</v>
      </c>
      <c r="D1432" s="609" t="e">
        <f>+C1432*$L$10</f>
        <v>#N/A</v>
      </c>
      <c r="E1432" s="912"/>
      <c r="F1432" s="912"/>
      <c r="G1432" s="908" t="s">
        <v>2099</v>
      </c>
      <c r="H1432" s="909" t="s">
        <v>2100</v>
      </c>
      <c r="I1432" s="910" t="e">
        <f>VLOOKUP(H1425,'LƯƠNG KT'!$D$16:$Z$184,17,0)</f>
        <v>#N/A</v>
      </c>
      <c r="J1432" s="609" t="e">
        <f>+I1432*$L$10</f>
        <v>#N/A</v>
      </c>
      <c r="K1432" s="935"/>
      <c r="L1432" s="935"/>
      <c r="M1432" s="935"/>
      <c r="N1432" s="935"/>
      <c r="O1432" s="935"/>
    </row>
    <row r="1433" spans="1:15" ht="15" customHeight="1">
      <c r="A1433" s="908" t="s">
        <v>374</v>
      </c>
      <c r="B1433" s="909" t="s">
        <v>2102</v>
      </c>
      <c r="C1433" s="910" t="e">
        <f>VLOOKUP(B1425,'LƯƠNG KT'!$D$16:$Z$184,12,0)</f>
        <v>#N/A</v>
      </c>
      <c r="D1433" s="609" t="e">
        <f>VLOOKUP(B1425,'LƯƠNG KT'!$D$16:$Z$184,14,0)</f>
        <v>#N/A</v>
      </c>
      <c r="E1433" s="914"/>
      <c r="F1433" s="912"/>
      <c r="G1433" s="908" t="s">
        <v>374</v>
      </c>
      <c r="H1433" s="909" t="s">
        <v>2102</v>
      </c>
      <c r="I1433" s="910" t="e">
        <f>VLOOKUP(H1425,'LƯƠNG KT'!$D$16:$Z$184,12,0)</f>
        <v>#N/A</v>
      </c>
      <c r="J1433" s="609" t="e">
        <f>VLOOKUP(H1425,'LƯƠNG KT'!$D$16:$Z$184,14,0)</f>
        <v>#N/A</v>
      </c>
      <c r="K1433" s="935"/>
      <c r="L1433" s="935"/>
      <c r="M1433" s="935"/>
      <c r="N1433" s="935"/>
      <c r="O1433" s="935"/>
    </row>
    <row r="1434" spans="1:15" ht="15" customHeight="1">
      <c r="A1434" s="908" t="s">
        <v>2103</v>
      </c>
      <c r="B1434" s="909" t="s">
        <v>2104</v>
      </c>
      <c r="D1434" s="915" t="e">
        <f>VLOOKUP(B1425,'LƯƠNG KT'!$D$16:$Z$184,13,0)</f>
        <v>#N/A</v>
      </c>
      <c r="E1434" s="916"/>
      <c r="F1434" s="916"/>
      <c r="G1434" s="908" t="s">
        <v>2103</v>
      </c>
      <c r="H1434" s="909" t="s">
        <v>2104</v>
      </c>
      <c r="J1434" s="915" t="e">
        <f>VLOOKUP(H1425,'LƯƠNG KT'!$D$16:$Z$184,13,0)</f>
        <v>#N/A</v>
      </c>
    </row>
    <row r="1435" spans="1:15" ht="15" customHeight="1">
      <c r="A1435" s="547"/>
      <c r="B1435" s="546"/>
      <c r="C1435" s="910"/>
      <c r="D1435" s="609"/>
      <c r="E1435" s="914"/>
      <c r="F1435" s="916"/>
      <c r="G1435" s="547"/>
      <c r="H1435" s="546"/>
      <c r="I1435" s="910"/>
      <c r="J1435" s="609"/>
    </row>
    <row r="1436" spans="1:15" ht="15" customHeight="1">
      <c r="A1436" s="905"/>
      <c r="B1436" s="546"/>
      <c r="C1436" s="910"/>
      <c r="D1436" s="609"/>
      <c r="E1436" s="917"/>
      <c r="F1436" s="904"/>
      <c r="G1436" s="905"/>
      <c r="H1436" s="546"/>
      <c r="I1436" s="910"/>
      <c r="J1436" s="609"/>
    </row>
    <row r="1437" spans="1:15" ht="15" customHeight="1">
      <c r="A1437" s="918" t="s">
        <v>383</v>
      </c>
      <c r="B1437" s="919" t="s">
        <v>384</v>
      </c>
      <c r="C1437" s="920"/>
      <c r="D1437" s="921" t="e">
        <f>SUM(D1426:D1433)-D1436</f>
        <v>#N/A</v>
      </c>
      <c r="E1437" s="922"/>
      <c r="F1437" s="923"/>
      <c r="G1437" s="918" t="s">
        <v>383</v>
      </c>
      <c r="H1437" s="919" t="s">
        <v>384</v>
      </c>
      <c r="I1437" s="920"/>
      <c r="J1437" s="921" t="e">
        <f>SUM(J1426:J1433)-J1436</f>
        <v>#N/A</v>
      </c>
    </row>
    <row r="1438" spans="1:15" ht="15.75" customHeight="1">
      <c r="A1438" s="924"/>
      <c r="B1438" s="925"/>
      <c r="C1438" s="926"/>
      <c r="D1438" s="927"/>
      <c r="E1438" s="927"/>
      <c r="F1438" s="928"/>
      <c r="G1438" s="924"/>
      <c r="H1438" s="925"/>
      <c r="I1438" s="926"/>
      <c r="J1438" s="927"/>
    </row>
    <row r="1440" spans="1:15" ht="12" customHeight="1">
      <c r="A1440" s="2361"/>
      <c r="B1440" s="2361"/>
      <c r="C1440" s="2361"/>
      <c r="D1440" s="2361"/>
      <c r="E1440" s="2361"/>
      <c r="F1440" s="2361"/>
      <c r="G1440" s="2361"/>
      <c r="H1440" s="2361"/>
      <c r="I1440" s="2361"/>
      <c r="J1440" s="2361"/>
    </row>
    <row r="1441" spans="1:15" ht="15" customHeight="1">
      <c r="A1441" s="2360" t="str">
        <f>$K$2</f>
        <v>THÁNG 04/2025</v>
      </c>
      <c r="B1441" s="2360"/>
      <c r="C1441" s="2360"/>
      <c r="D1441" s="2360"/>
      <c r="E1441" s="903"/>
      <c r="F1441" s="904"/>
      <c r="G1441" s="2360" t="str">
        <f>$K$2</f>
        <v>THÁNG 04/2025</v>
      </c>
      <c r="H1441" s="2360"/>
      <c r="I1441" s="2360"/>
      <c r="J1441" s="2360"/>
      <c r="K1441" s="276"/>
    </row>
    <row r="1442" spans="1:15" ht="15" customHeight="1">
      <c r="A1442" s="905" t="s">
        <v>356</v>
      </c>
      <c r="B1442" s="642" t="s">
        <v>75</v>
      </c>
      <c r="C1442" s="546"/>
      <c r="D1442" s="902"/>
      <c r="E1442" s="906"/>
      <c r="F1442" s="907"/>
      <c r="G1442" s="905" t="s">
        <v>356</v>
      </c>
      <c r="H1442" s="642" t="s">
        <v>1276</v>
      </c>
      <c r="I1442" s="546"/>
      <c r="J1442" s="902"/>
      <c r="L1442" s="938"/>
      <c r="M1442" s="938"/>
      <c r="N1442" s="938"/>
      <c r="O1442" s="938"/>
    </row>
    <row r="1443" spans="1:15" ht="15" customHeight="1">
      <c r="A1443" s="908" t="s">
        <v>359</v>
      </c>
      <c r="B1443" s="909" t="s">
        <v>2090</v>
      </c>
      <c r="C1443" s="910" t="e">
        <f>VLOOKUP(B1442,'LƯƠNG KT'!$D$16:$Z$184,4,0)</f>
        <v>#N/A</v>
      </c>
      <c r="D1443" s="609" t="e">
        <f>+C1443*25000</f>
        <v>#N/A</v>
      </c>
      <c r="E1443" s="911"/>
      <c r="F1443" s="911"/>
      <c r="G1443" s="908" t="s">
        <v>359</v>
      </c>
      <c r="H1443" s="909" t="s">
        <v>2090</v>
      </c>
      <c r="I1443" s="910" t="e">
        <f>VLOOKUP(H1442,'LƯƠNG KT'!$D$16:$Z$184,4,0)</f>
        <v>#N/A</v>
      </c>
      <c r="J1443" s="609" t="e">
        <f>+I1443*25000</f>
        <v>#N/A</v>
      </c>
      <c r="K1443" s="934"/>
      <c r="L1443" s="935"/>
      <c r="M1443" s="935"/>
      <c r="N1443" s="935"/>
      <c r="O1443" s="935"/>
    </row>
    <row r="1444" spans="1:15" ht="15" customHeight="1">
      <c r="A1444" s="908" t="s">
        <v>361</v>
      </c>
      <c r="B1444" s="909" t="s">
        <v>2091</v>
      </c>
      <c r="C1444" s="910" t="e">
        <f>VLOOKUP(B1442,'LƯƠNG KT'!$D$16:$Z$184,15,0)</f>
        <v>#N/A</v>
      </c>
      <c r="D1444" s="609" t="e">
        <f>C1444*$L$4</f>
        <v>#N/A</v>
      </c>
      <c r="E1444" s="912"/>
      <c r="F1444" s="912"/>
      <c r="G1444" s="908" t="s">
        <v>361</v>
      </c>
      <c r="H1444" s="909" t="s">
        <v>2091</v>
      </c>
      <c r="I1444" s="910" t="e">
        <f>VLOOKUP(H1442,'LƯƠNG KT'!$D$16:$Z$184,15,0)</f>
        <v>#N/A</v>
      </c>
      <c r="J1444" s="609" t="e">
        <f>I1444*$L$4</f>
        <v>#N/A</v>
      </c>
      <c r="K1444" s="934"/>
      <c r="L1444" s="935"/>
      <c r="M1444" s="935"/>
      <c r="N1444" s="935"/>
      <c r="O1444" s="935"/>
    </row>
    <row r="1445" spans="1:15" ht="15" customHeight="1">
      <c r="A1445" s="908" t="s">
        <v>364</v>
      </c>
      <c r="B1445" s="909" t="s">
        <v>2092</v>
      </c>
      <c r="C1445" s="910" t="e">
        <f>VLOOKUP(B1442,'LƯƠNG KT'!$D$16:$Z$184,16,0)</f>
        <v>#N/A</v>
      </c>
      <c r="D1445" s="609" t="e">
        <f>C1445*$L$5</f>
        <v>#N/A</v>
      </c>
      <c r="E1445" s="912"/>
      <c r="F1445" s="912"/>
      <c r="G1445" s="908" t="s">
        <v>364</v>
      </c>
      <c r="H1445" s="909" t="s">
        <v>2092</v>
      </c>
      <c r="I1445" s="910" t="e">
        <f>VLOOKUP(H1442,'LƯƠNG KT'!$D$16:$Z$184,16,0)</f>
        <v>#N/A</v>
      </c>
      <c r="J1445" s="609" t="e">
        <f>I1445*$L$5</f>
        <v>#N/A</v>
      </c>
      <c r="K1445" s="934"/>
      <c r="L1445" s="935"/>
      <c r="M1445" s="935"/>
      <c r="N1445" s="935"/>
      <c r="O1445" s="935"/>
    </row>
    <row r="1446" spans="1:15" ht="15" customHeight="1">
      <c r="A1446" s="908" t="s">
        <v>370</v>
      </c>
      <c r="B1446" s="909" t="s">
        <v>2093</v>
      </c>
      <c r="C1446" s="910" t="e">
        <f>VLOOKUP(B1442,'LƯƠNG KT'!$D$16:$Z$184,24,0)</f>
        <v>#N/A</v>
      </c>
      <c r="D1446" s="609" t="e">
        <f>+C1446*$L$6</f>
        <v>#N/A</v>
      </c>
      <c r="E1446" s="912"/>
      <c r="F1446" s="912"/>
      <c r="G1446" s="908" t="s">
        <v>370</v>
      </c>
      <c r="H1446" s="909" t="s">
        <v>2093</v>
      </c>
      <c r="I1446" s="910" t="e">
        <f>VLOOKUP(H1442,'LƯƠNG KT'!$D$16:$Z$184,24,0)</f>
        <v>#N/A</v>
      </c>
      <c r="J1446" s="609" t="e">
        <f>+I1446*$L$6</f>
        <v>#N/A</v>
      </c>
      <c r="K1446" s="935"/>
      <c r="L1446" s="935"/>
      <c r="M1446" s="935"/>
      <c r="N1446" s="935"/>
      <c r="O1446" s="935"/>
    </row>
    <row r="1447" spans="1:15" ht="15" customHeight="1">
      <c r="A1447" s="908" t="s">
        <v>2094</v>
      </c>
      <c r="B1447" s="909" t="s">
        <v>2095</v>
      </c>
      <c r="C1447" s="910" t="e">
        <f>VLOOKUP(B1442,'LƯƠNG KT'!$D$16:$Z$184,19,0)</f>
        <v>#N/A</v>
      </c>
      <c r="D1447" s="609" t="e">
        <f>+C1447*$L$8</f>
        <v>#N/A</v>
      </c>
      <c r="E1447" s="912"/>
      <c r="F1447" s="912"/>
      <c r="G1447" s="908" t="s">
        <v>2094</v>
      </c>
      <c r="H1447" s="909" t="s">
        <v>2095</v>
      </c>
      <c r="I1447" s="910" t="e">
        <f>VLOOKUP(H1442,'LƯƠNG KT'!$D$16:$Z$184,19,0)</f>
        <v>#N/A</v>
      </c>
      <c r="J1447" s="609" t="e">
        <f>+I1447*$L$8</f>
        <v>#N/A</v>
      </c>
      <c r="K1447" s="935"/>
      <c r="L1447" s="935"/>
      <c r="M1447" s="935"/>
      <c r="N1447" s="935"/>
      <c r="O1447" s="935"/>
    </row>
    <row r="1448" spans="1:15" ht="15" customHeight="1">
      <c r="A1448" s="908" t="s">
        <v>2096</v>
      </c>
      <c r="B1448" s="913" t="s">
        <v>2097</v>
      </c>
      <c r="C1448" s="910" t="e">
        <f>VLOOKUP(B1442,'LƯƠNG KT'!$D$16:$Z$184,20,0)</f>
        <v>#N/A</v>
      </c>
      <c r="D1448" s="609" t="e">
        <f>+C1448*$L$9</f>
        <v>#N/A</v>
      </c>
      <c r="E1448" s="912"/>
      <c r="F1448" s="912"/>
      <c r="G1448" s="908" t="s">
        <v>2096</v>
      </c>
      <c r="H1448" s="913" t="s">
        <v>2097</v>
      </c>
      <c r="I1448" s="910" t="e">
        <f>VLOOKUP(H1442,'LƯƠNG KT'!$D$16:$Z$184,20,0)</f>
        <v>#N/A</v>
      </c>
      <c r="J1448" s="609" t="e">
        <f>+I1448*$L$9</f>
        <v>#N/A</v>
      </c>
      <c r="K1448" s="935"/>
      <c r="L1448" s="935"/>
      <c r="M1448" s="935"/>
      <c r="N1448" s="935"/>
      <c r="O1448" s="935"/>
    </row>
    <row r="1449" spans="1:15" ht="15" customHeight="1">
      <c r="A1449" s="908" t="s">
        <v>2099</v>
      </c>
      <c r="B1449" s="909" t="s">
        <v>2100</v>
      </c>
      <c r="C1449" s="910" t="e">
        <f>VLOOKUP(B1442,'LƯƠNG KT'!$D$16:$Z$184,17,0)</f>
        <v>#N/A</v>
      </c>
      <c r="D1449" s="609" t="e">
        <f>+C1449*$L$10</f>
        <v>#N/A</v>
      </c>
      <c r="E1449" s="912"/>
      <c r="F1449" s="912"/>
      <c r="G1449" s="908" t="s">
        <v>2099</v>
      </c>
      <c r="H1449" s="909" t="s">
        <v>2100</v>
      </c>
      <c r="I1449" s="910" t="e">
        <f>VLOOKUP(H1442,'LƯƠNG KT'!$D$16:$Z$184,17,0)</f>
        <v>#N/A</v>
      </c>
      <c r="J1449" s="609" t="e">
        <f>+I1449*$L$10</f>
        <v>#N/A</v>
      </c>
      <c r="K1449" s="935"/>
      <c r="L1449" s="935"/>
      <c r="M1449" s="935"/>
      <c r="N1449" s="935"/>
      <c r="O1449" s="935"/>
    </row>
    <row r="1450" spans="1:15" ht="15" customHeight="1">
      <c r="A1450" s="908" t="s">
        <v>374</v>
      </c>
      <c r="B1450" s="909" t="s">
        <v>2102</v>
      </c>
      <c r="C1450" s="910" t="e">
        <f>VLOOKUP(B1442,'LƯƠNG KT'!$D$16:$Z$184,12,0)</f>
        <v>#N/A</v>
      </c>
      <c r="D1450" s="609" t="e">
        <f>VLOOKUP(B1442,'LƯƠNG KT'!$D$16:$Z$184,14,0)</f>
        <v>#N/A</v>
      </c>
      <c r="E1450" s="914"/>
      <c r="F1450" s="912"/>
      <c r="G1450" s="908" t="s">
        <v>374</v>
      </c>
      <c r="H1450" s="909" t="s">
        <v>2102</v>
      </c>
      <c r="I1450" s="910" t="e">
        <f>VLOOKUP(H1442,'LƯƠNG KT'!$D$16:$Z$184,12,0)</f>
        <v>#N/A</v>
      </c>
      <c r="J1450" s="609" t="e">
        <f>VLOOKUP(H1442,'LƯƠNG KT'!$D$16:$Z$184,14,0)</f>
        <v>#N/A</v>
      </c>
      <c r="K1450" s="935"/>
      <c r="L1450" s="935"/>
      <c r="M1450" s="935"/>
      <c r="N1450" s="935"/>
      <c r="O1450" s="935"/>
    </row>
    <row r="1451" spans="1:15" ht="15" customHeight="1">
      <c r="A1451" s="908" t="s">
        <v>2103</v>
      </c>
      <c r="B1451" s="909" t="s">
        <v>2104</v>
      </c>
      <c r="D1451" s="915" t="e">
        <f>VLOOKUP(B1442,'LƯƠNG KT'!$D$16:$Z$184,13,0)</f>
        <v>#N/A</v>
      </c>
      <c r="E1451" s="916"/>
      <c r="F1451" s="916"/>
      <c r="G1451" s="908" t="s">
        <v>2103</v>
      </c>
      <c r="H1451" s="909" t="s">
        <v>2104</v>
      </c>
      <c r="J1451" s="915" t="e">
        <f>VLOOKUP(H1442,'LƯƠNG KT'!$D$16:$Z$184,13,0)</f>
        <v>#N/A</v>
      </c>
    </row>
    <row r="1452" spans="1:15" ht="15" customHeight="1">
      <c r="A1452" s="547"/>
      <c r="B1452" s="546"/>
      <c r="C1452" s="910"/>
      <c r="D1452" s="609"/>
      <c r="E1452" s="914"/>
      <c r="F1452" s="916"/>
      <c r="G1452" s="547"/>
      <c r="H1452" s="546"/>
      <c r="I1452" s="910"/>
      <c r="J1452" s="609"/>
    </row>
    <row r="1453" spans="1:15" ht="15" customHeight="1">
      <c r="A1453" s="905"/>
      <c r="B1453" s="546"/>
      <c r="C1453" s="910"/>
      <c r="D1453" s="609"/>
      <c r="E1453" s="917"/>
      <c r="F1453" s="904"/>
      <c r="G1453" s="905"/>
      <c r="H1453" s="546"/>
      <c r="I1453" s="910"/>
      <c r="J1453" s="609"/>
    </row>
    <row r="1454" spans="1:15" ht="15" customHeight="1">
      <c r="A1454" s="918" t="s">
        <v>383</v>
      </c>
      <c r="B1454" s="919" t="s">
        <v>384</v>
      </c>
      <c r="C1454" s="920"/>
      <c r="D1454" s="921" t="e">
        <f>SUM(D1443:D1450)-D1453</f>
        <v>#N/A</v>
      </c>
      <c r="E1454" s="922"/>
      <c r="F1454" s="923"/>
      <c r="G1454" s="918" t="s">
        <v>383</v>
      </c>
      <c r="H1454" s="919" t="s">
        <v>384</v>
      </c>
      <c r="I1454" s="920"/>
      <c r="J1454" s="921" t="e">
        <f>SUM(J1443:J1450)-J1453</f>
        <v>#N/A</v>
      </c>
    </row>
    <row r="1455" spans="1:15" ht="12.6" customHeight="1">
      <c r="A1455" s="924"/>
      <c r="B1455" s="925"/>
      <c r="C1455" s="926"/>
      <c r="D1455" s="927"/>
      <c r="E1455" s="927"/>
      <c r="F1455" s="928"/>
      <c r="G1455" s="924"/>
      <c r="H1455" s="925"/>
      <c r="I1455" s="926"/>
      <c r="J1455" s="927"/>
    </row>
    <row r="1456" spans="1:15" ht="133.5" customHeight="1">
      <c r="A1456" s="925"/>
      <c r="B1456" s="925"/>
      <c r="C1456" s="929"/>
      <c r="D1456" s="930"/>
      <c r="E1456" s="925"/>
      <c r="F1456" s="931"/>
      <c r="G1456" s="925"/>
      <c r="H1456" s="925"/>
      <c r="I1456" s="929"/>
      <c r="J1456" s="930"/>
    </row>
    <row r="1457" spans="1:15" ht="15" customHeight="1">
      <c r="A1457" s="2360" t="str">
        <f>$K$2</f>
        <v>THÁNG 04/2025</v>
      </c>
      <c r="B1457" s="2360"/>
      <c r="C1457" s="2360"/>
      <c r="D1457" s="2360"/>
      <c r="E1457" s="903"/>
      <c r="F1457" s="904"/>
      <c r="G1457" s="2360" t="str">
        <f>$K$2</f>
        <v>THÁNG 04/2025</v>
      </c>
      <c r="H1457" s="2360"/>
      <c r="I1457" s="2360"/>
      <c r="J1457" s="2360"/>
      <c r="K1457" s="276"/>
    </row>
    <row r="1458" spans="1:15" ht="15" customHeight="1">
      <c r="A1458" s="905" t="s">
        <v>356</v>
      </c>
      <c r="B1458" s="642" t="s">
        <v>56</v>
      </c>
      <c r="C1458" s="546"/>
      <c r="D1458" s="902"/>
      <c r="E1458" s="906"/>
      <c r="F1458" s="907"/>
      <c r="G1458" s="905" t="s">
        <v>356</v>
      </c>
      <c r="H1458" s="642" t="s">
        <v>78</v>
      </c>
      <c r="I1458" s="546"/>
      <c r="J1458" s="902"/>
      <c r="L1458" s="938"/>
      <c r="M1458" s="938"/>
      <c r="N1458" s="938"/>
      <c r="O1458" s="938"/>
    </row>
    <row r="1459" spans="1:15" ht="15" customHeight="1">
      <c r="A1459" s="908" t="s">
        <v>359</v>
      </c>
      <c r="B1459" s="909" t="s">
        <v>2090</v>
      </c>
      <c r="C1459" s="910" t="e">
        <f>VLOOKUP(B1458,'LƯƠNG KT'!$D$16:$Z$184,4,0)</f>
        <v>#N/A</v>
      </c>
      <c r="D1459" s="609" t="e">
        <f>+C1459*25000</f>
        <v>#N/A</v>
      </c>
      <c r="E1459" s="911"/>
      <c r="F1459" s="911"/>
      <c r="G1459" s="908" t="s">
        <v>359</v>
      </c>
      <c r="H1459" s="909" t="s">
        <v>2090</v>
      </c>
      <c r="I1459" s="910" t="e">
        <f>VLOOKUP(H1458,'LƯƠNG KT'!$D$16:$Z$184,4,0)</f>
        <v>#N/A</v>
      </c>
      <c r="J1459" s="609" t="e">
        <f>+I1459*25000</f>
        <v>#N/A</v>
      </c>
      <c r="K1459" s="935"/>
      <c r="L1459" s="935"/>
      <c r="M1459" s="935"/>
      <c r="N1459" s="935"/>
      <c r="O1459" s="935"/>
    </row>
    <row r="1460" spans="1:15" ht="15" customHeight="1">
      <c r="A1460" s="908" t="s">
        <v>361</v>
      </c>
      <c r="B1460" s="909" t="s">
        <v>2091</v>
      </c>
      <c r="C1460" s="910" t="e">
        <f>VLOOKUP(B1458,'LƯƠNG KT'!$D$16:$Z$184,15,0)</f>
        <v>#N/A</v>
      </c>
      <c r="D1460" s="609" t="e">
        <f>C1460*$L$4</f>
        <v>#N/A</v>
      </c>
      <c r="E1460" s="912"/>
      <c r="F1460" s="912"/>
      <c r="G1460" s="908" t="s">
        <v>361</v>
      </c>
      <c r="H1460" s="909" t="s">
        <v>2091</v>
      </c>
      <c r="I1460" s="910" t="e">
        <f>VLOOKUP(H1458,'LƯƠNG KT'!$D$16:$Z$184,15,0)</f>
        <v>#N/A</v>
      </c>
      <c r="J1460" s="609" t="e">
        <f>I1460*$L$4</f>
        <v>#N/A</v>
      </c>
      <c r="K1460" s="935"/>
      <c r="L1460" s="935"/>
      <c r="M1460" s="935"/>
      <c r="N1460" s="935"/>
      <c r="O1460" s="935"/>
    </row>
    <row r="1461" spans="1:15" ht="15" customHeight="1">
      <c r="A1461" s="908" t="s">
        <v>364</v>
      </c>
      <c r="B1461" s="909" t="s">
        <v>2092</v>
      </c>
      <c r="C1461" s="910" t="e">
        <f>VLOOKUP(B1458,'LƯƠNG KT'!$D$16:$Z$184,16,0)</f>
        <v>#N/A</v>
      </c>
      <c r="D1461" s="609" t="e">
        <f>C1461*$L$5</f>
        <v>#N/A</v>
      </c>
      <c r="E1461" s="912"/>
      <c r="F1461" s="912"/>
      <c r="G1461" s="908" t="s">
        <v>364</v>
      </c>
      <c r="H1461" s="909" t="s">
        <v>2092</v>
      </c>
      <c r="I1461" s="910" t="e">
        <f>VLOOKUP(H1458,'LƯƠNG KT'!$D$16:$Z$184,16,0)</f>
        <v>#N/A</v>
      </c>
      <c r="J1461" s="609" t="e">
        <f>I1461*$L$5</f>
        <v>#N/A</v>
      </c>
      <c r="K1461" s="935"/>
      <c r="L1461" s="935"/>
      <c r="M1461" s="935"/>
      <c r="N1461" s="935"/>
      <c r="O1461" s="935"/>
    </row>
    <row r="1462" spans="1:15" ht="15" customHeight="1">
      <c r="A1462" s="908" t="s">
        <v>370</v>
      </c>
      <c r="B1462" s="909" t="s">
        <v>2093</v>
      </c>
      <c r="C1462" s="910" t="e">
        <f>VLOOKUP(B1458,'LƯƠNG KT'!$D$16:$Z$184,24,0)</f>
        <v>#N/A</v>
      </c>
      <c r="D1462" s="609" t="e">
        <f>+C1462*$L$6</f>
        <v>#N/A</v>
      </c>
      <c r="E1462" s="912"/>
      <c r="F1462" s="912"/>
      <c r="G1462" s="908" t="s">
        <v>370</v>
      </c>
      <c r="H1462" s="909" t="s">
        <v>2093</v>
      </c>
      <c r="I1462" s="910" t="e">
        <f>VLOOKUP(H1458,'LƯƠNG KT'!$D$16:$Z$184,24,0)</f>
        <v>#N/A</v>
      </c>
      <c r="J1462" s="609" t="e">
        <f>+I1462*$L$6</f>
        <v>#N/A</v>
      </c>
      <c r="K1462" s="935"/>
      <c r="L1462" s="935"/>
      <c r="M1462" s="935"/>
      <c r="N1462" s="935"/>
      <c r="O1462" s="935"/>
    </row>
    <row r="1463" spans="1:15" ht="15" customHeight="1">
      <c r="A1463" s="908" t="s">
        <v>2094</v>
      </c>
      <c r="B1463" s="909" t="s">
        <v>2095</v>
      </c>
      <c r="C1463" s="910" t="e">
        <f>VLOOKUP(B1458,'LƯƠNG KT'!$D$16:$Z$184,19,0)</f>
        <v>#N/A</v>
      </c>
      <c r="D1463" s="609" t="e">
        <f>+C1463*$L$8</f>
        <v>#N/A</v>
      </c>
      <c r="E1463" s="912"/>
      <c r="F1463" s="912"/>
      <c r="G1463" s="908" t="s">
        <v>2094</v>
      </c>
      <c r="H1463" s="909" t="s">
        <v>2095</v>
      </c>
      <c r="I1463" s="910" t="e">
        <f>VLOOKUP(H1458,'LƯƠNG KT'!$D$16:$Z$184,19,0)</f>
        <v>#N/A</v>
      </c>
      <c r="J1463" s="609" t="e">
        <f>+I1463*$L$8</f>
        <v>#N/A</v>
      </c>
      <c r="K1463" s="935"/>
      <c r="L1463" s="935"/>
      <c r="M1463" s="935"/>
      <c r="N1463" s="935"/>
      <c r="O1463" s="935"/>
    </row>
    <row r="1464" spans="1:15" ht="15" customHeight="1">
      <c r="A1464" s="908" t="s">
        <v>2096</v>
      </c>
      <c r="B1464" s="913" t="s">
        <v>2097</v>
      </c>
      <c r="C1464" s="910" t="e">
        <f>VLOOKUP(B1458,'LƯƠNG KT'!$D$16:$Z$184,20,0)</f>
        <v>#N/A</v>
      </c>
      <c r="D1464" s="609" t="e">
        <f>+C1464*$L$9</f>
        <v>#N/A</v>
      </c>
      <c r="E1464" s="912"/>
      <c r="F1464" s="912"/>
      <c r="G1464" s="908" t="s">
        <v>2096</v>
      </c>
      <c r="H1464" s="913" t="s">
        <v>2097</v>
      </c>
      <c r="I1464" s="910" t="e">
        <f>VLOOKUP(H1458,'LƯƠNG KT'!$D$16:$Z$184,20,0)</f>
        <v>#N/A</v>
      </c>
      <c r="J1464" s="609" t="e">
        <f>+I1464*$L$9</f>
        <v>#N/A</v>
      </c>
      <c r="K1464" s="935"/>
      <c r="L1464" s="935"/>
      <c r="M1464" s="935"/>
      <c r="N1464" s="935"/>
      <c r="O1464" s="935"/>
    </row>
    <row r="1465" spans="1:15" ht="15" customHeight="1">
      <c r="A1465" s="908" t="s">
        <v>2099</v>
      </c>
      <c r="B1465" s="909" t="s">
        <v>2100</v>
      </c>
      <c r="C1465" s="910" t="e">
        <f>VLOOKUP(B1458,'LƯƠNG KT'!$D$16:$Z$184,17,0)</f>
        <v>#N/A</v>
      </c>
      <c r="D1465" s="609" t="e">
        <f>+C1465*$L$10</f>
        <v>#N/A</v>
      </c>
      <c r="E1465" s="912"/>
      <c r="F1465" s="912"/>
      <c r="G1465" s="908" t="s">
        <v>2099</v>
      </c>
      <c r="H1465" s="909" t="s">
        <v>2100</v>
      </c>
      <c r="I1465" s="910" t="e">
        <f>VLOOKUP(H1458,'LƯƠNG KT'!$D$16:$Z$184,17,0)</f>
        <v>#N/A</v>
      </c>
      <c r="J1465" s="609" t="e">
        <f>+I1465*$L$10</f>
        <v>#N/A</v>
      </c>
      <c r="K1465" s="935"/>
      <c r="L1465" s="935"/>
      <c r="M1465" s="935"/>
      <c r="N1465" s="935"/>
      <c r="O1465" s="935"/>
    </row>
    <row r="1466" spans="1:15" ht="15" customHeight="1">
      <c r="A1466" s="908" t="s">
        <v>374</v>
      </c>
      <c r="B1466" s="909" t="s">
        <v>2102</v>
      </c>
      <c r="C1466" s="910" t="e">
        <f>VLOOKUP(B1458,'LƯƠNG KT'!$D$16:$Z$184,12,0)</f>
        <v>#N/A</v>
      </c>
      <c r="D1466" s="609" t="e">
        <f>VLOOKUP(B1458,'LƯƠNG KT'!$D$16:$Z$184,14,0)</f>
        <v>#N/A</v>
      </c>
      <c r="E1466" s="914"/>
      <c r="F1466" s="912"/>
      <c r="G1466" s="908" t="s">
        <v>374</v>
      </c>
      <c r="H1466" s="909" t="s">
        <v>2102</v>
      </c>
      <c r="I1466" s="910" t="e">
        <f>VLOOKUP(H1458,'LƯƠNG KT'!$D$16:$Z$184,12,0)</f>
        <v>#N/A</v>
      </c>
      <c r="J1466" s="609" t="e">
        <f>VLOOKUP(H1458,'LƯƠNG KT'!$D$16:$Z$184,14,0)</f>
        <v>#N/A</v>
      </c>
      <c r="K1466" s="935"/>
      <c r="L1466" s="935"/>
      <c r="M1466" s="935"/>
      <c r="N1466" s="935"/>
      <c r="O1466" s="935"/>
    </row>
    <row r="1467" spans="1:15" ht="15" customHeight="1">
      <c r="A1467" s="908" t="s">
        <v>2103</v>
      </c>
      <c r="B1467" s="909" t="s">
        <v>2104</v>
      </c>
      <c r="D1467" s="915" t="e">
        <f>VLOOKUP(B1458,'LƯƠNG KT'!$D$16:$Z$184,13,0)</f>
        <v>#N/A</v>
      </c>
      <c r="E1467" s="916"/>
      <c r="F1467" s="916"/>
      <c r="G1467" s="908" t="s">
        <v>2103</v>
      </c>
      <c r="H1467" s="909" t="s">
        <v>2104</v>
      </c>
      <c r="J1467" s="915" t="e">
        <f>VLOOKUP(H1458,'LƯƠNG KT'!$D$16:$Z$184,13,0)</f>
        <v>#N/A</v>
      </c>
    </row>
    <row r="1468" spans="1:15" ht="15" customHeight="1">
      <c r="A1468" s="547"/>
      <c r="B1468" s="546"/>
      <c r="C1468" s="910"/>
      <c r="D1468" s="609"/>
      <c r="E1468" s="914"/>
      <c r="F1468" s="916"/>
      <c r="G1468" s="547"/>
      <c r="H1468" s="546"/>
      <c r="I1468" s="910"/>
      <c r="J1468" s="609"/>
    </row>
    <row r="1469" spans="1:15" ht="15" customHeight="1">
      <c r="A1469" s="905"/>
      <c r="B1469" s="546"/>
      <c r="C1469" s="910"/>
      <c r="D1469" s="609"/>
      <c r="E1469" s="917"/>
      <c r="F1469" s="904"/>
      <c r="G1469" s="905"/>
      <c r="H1469" s="546"/>
      <c r="I1469" s="910"/>
      <c r="J1469" s="609"/>
    </row>
    <row r="1470" spans="1:15" ht="15" customHeight="1">
      <c r="A1470" s="918" t="s">
        <v>383</v>
      </c>
      <c r="B1470" s="919" t="s">
        <v>384</v>
      </c>
      <c r="C1470" s="920"/>
      <c r="D1470" s="921" t="e">
        <f>SUM(D1459:D1466)-D1469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SUM(J1459:J1466)-J1469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60" t="str">
        <f>$K$2</f>
        <v>THÁNG 04/2025</v>
      </c>
      <c r="B1473" s="2360"/>
      <c r="C1473" s="2360"/>
      <c r="D1473" s="2360"/>
      <c r="E1473" s="903"/>
      <c r="F1473" s="904"/>
      <c r="G1473" s="2360" t="str">
        <f>$K$2</f>
        <v>THÁNG 04/2025</v>
      </c>
      <c r="H1473" s="2360"/>
      <c r="I1473" s="2360"/>
      <c r="J1473" s="2360"/>
      <c r="K1473" s="276"/>
    </row>
    <row r="1474" spans="1:15" ht="15" customHeight="1">
      <c r="A1474" s="905" t="s">
        <v>356</v>
      </c>
      <c r="B1474" s="642" t="s">
        <v>2002</v>
      </c>
      <c r="C1474" s="546"/>
      <c r="D1474" s="902"/>
      <c r="E1474" s="906"/>
      <c r="F1474" s="907"/>
      <c r="G1474" s="905" t="s">
        <v>356</v>
      </c>
      <c r="H1474" s="642" t="s">
        <v>492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8" t="s">
        <v>359</v>
      </c>
      <c r="B1475" s="909" t="s">
        <v>2090</v>
      </c>
      <c r="C1475" s="910" t="e">
        <f>VLOOKUP(B1474,'LƯƠNG KT'!$D$16:$Z$184,4,0)</f>
        <v>#N/A</v>
      </c>
      <c r="D1475" s="609" t="e">
        <f>+C1475*25000</f>
        <v>#N/A</v>
      </c>
      <c r="E1475" s="911"/>
      <c r="F1475" s="911"/>
      <c r="G1475" s="908" t="s">
        <v>359</v>
      </c>
      <c r="H1475" s="909" t="s">
        <v>2090</v>
      </c>
      <c r="I1475" s="910" t="e">
        <f>VLOOKUP(H1474,'LƯƠNG KT'!$D$16:$Z$184,4,0)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8" t="s">
        <v>361</v>
      </c>
      <c r="B1476" s="909" t="s">
        <v>2091</v>
      </c>
      <c r="C1476" s="910" t="e">
        <f>VLOOKUP(B1474,'LƯƠNG KT'!$D$16:$Z$184,15,0)</f>
        <v>#N/A</v>
      </c>
      <c r="D1476" s="609" t="e">
        <f>C1476*$L$4</f>
        <v>#N/A</v>
      </c>
      <c r="E1476" s="912"/>
      <c r="F1476" s="912"/>
      <c r="G1476" s="908" t="s">
        <v>361</v>
      </c>
      <c r="H1476" s="909" t="s">
        <v>2091</v>
      </c>
      <c r="I1476" s="910" t="e">
        <f>VLOOKUP(H1474,'LƯƠNG KT'!$D$16:$Z$184,15,0)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8" t="s">
        <v>364</v>
      </c>
      <c r="B1477" s="909" t="s">
        <v>2092</v>
      </c>
      <c r="C1477" s="910" t="e">
        <f>VLOOKUP(B1474,'LƯƠNG KT'!$D$16:$Z$184,16,0)</f>
        <v>#N/A</v>
      </c>
      <c r="D1477" s="609" t="e">
        <f>C1477*$L$5</f>
        <v>#N/A</v>
      </c>
      <c r="E1477" s="912"/>
      <c r="F1477" s="912"/>
      <c r="G1477" s="908" t="s">
        <v>364</v>
      </c>
      <c r="H1477" s="909" t="s">
        <v>2092</v>
      </c>
      <c r="I1477" s="910" t="e">
        <f>VLOOKUP(H1474,'LƯƠNG KT'!$D$16:$Z$184,16,0)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8" t="s">
        <v>370</v>
      </c>
      <c r="B1478" s="909" t="s">
        <v>2093</v>
      </c>
      <c r="C1478" s="910" t="e">
        <f>VLOOKUP(B1474,'LƯƠNG KT'!$D$16:$Z$184,24,0)</f>
        <v>#N/A</v>
      </c>
      <c r="D1478" s="609" t="e">
        <f>+C1478*$L$6</f>
        <v>#N/A</v>
      </c>
      <c r="E1478" s="912"/>
      <c r="F1478" s="912"/>
      <c r="G1478" s="908" t="s">
        <v>370</v>
      </c>
      <c r="H1478" s="909" t="s">
        <v>2093</v>
      </c>
      <c r="I1478" s="910" t="e">
        <f>VLOOKUP(H1474,'LƯƠNG KT'!$D$16:$Z$184,24,0)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8" t="s">
        <v>2094</v>
      </c>
      <c r="B1479" s="909" t="s">
        <v>2095</v>
      </c>
      <c r="C1479" s="910" t="e">
        <f>VLOOKUP(B1474,'LƯƠNG KT'!$D$16:$Z$184,19,0)</f>
        <v>#N/A</v>
      </c>
      <c r="D1479" s="609" t="e">
        <f>+C1479*$L$8</f>
        <v>#N/A</v>
      </c>
      <c r="E1479" s="912"/>
      <c r="F1479" s="912"/>
      <c r="G1479" s="908" t="s">
        <v>2094</v>
      </c>
      <c r="H1479" s="909" t="s">
        <v>2095</v>
      </c>
      <c r="I1479" s="910" t="e">
        <f>VLOOKUP(H1474,'LƯƠNG KT'!$D$16:$Z$184,19,0)</f>
        <v>#N/A</v>
      </c>
      <c r="J1479" s="609" t="e">
        <f>+I1479*$L$8</f>
        <v>#N/A</v>
      </c>
      <c r="K1479" s="935"/>
      <c r="L1479" s="935"/>
      <c r="M1479" s="935"/>
      <c r="N1479" s="935"/>
      <c r="O1479" s="935"/>
    </row>
    <row r="1480" spans="1:15" ht="15" customHeight="1">
      <c r="A1480" s="908" t="s">
        <v>2096</v>
      </c>
      <c r="B1480" s="913" t="s">
        <v>2097</v>
      </c>
      <c r="C1480" s="910" t="e">
        <f>VLOOKUP(B1474,'LƯƠNG KT'!$D$16:$Z$184,20,0)</f>
        <v>#N/A</v>
      </c>
      <c r="D1480" s="609" t="e">
        <f>+C1480*$L$9</f>
        <v>#N/A</v>
      </c>
      <c r="E1480" s="912"/>
      <c r="F1480" s="912"/>
      <c r="G1480" s="908" t="s">
        <v>2096</v>
      </c>
      <c r="H1480" s="913" t="s">
        <v>2097</v>
      </c>
      <c r="I1480" s="910" t="e">
        <f>VLOOKUP(H1474,'LƯƠNG KT'!$D$16:$Z$184,20,0)</f>
        <v>#N/A</v>
      </c>
      <c r="J1480" s="609" t="e">
        <f>+I1480*$L$9</f>
        <v>#N/A</v>
      </c>
      <c r="K1480" s="935"/>
      <c r="L1480" s="935"/>
      <c r="M1480" s="935"/>
      <c r="N1480" s="935"/>
      <c r="O1480" s="935"/>
    </row>
    <row r="1481" spans="1:15" ht="15" customHeight="1">
      <c r="A1481" s="908" t="s">
        <v>2099</v>
      </c>
      <c r="B1481" s="909" t="s">
        <v>2100</v>
      </c>
      <c r="C1481" s="910" t="e">
        <f>VLOOKUP(B1474,'LƯƠNG KT'!$D$16:$Z$184,17,0)</f>
        <v>#N/A</v>
      </c>
      <c r="D1481" s="609" t="e">
        <f>+C1481*$L$10</f>
        <v>#N/A</v>
      </c>
      <c r="E1481" s="912"/>
      <c r="F1481" s="912"/>
      <c r="G1481" s="908" t="s">
        <v>2099</v>
      </c>
      <c r="H1481" s="909" t="s">
        <v>2100</v>
      </c>
      <c r="I1481" s="910" t="e">
        <f>VLOOKUP(H1474,'LƯƠNG KT'!$D$16:$Z$184,17,0)</f>
        <v>#N/A</v>
      </c>
      <c r="J1481" s="609" t="e">
        <f>+I1481*$L$10</f>
        <v>#N/A</v>
      </c>
      <c r="K1481" s="935"/>
      <c r="L1481" s="935"/>
      <c r="M1481" s="935"/>
      <c r="N1481" s="935"/>
      <c r="O1481" s="935"/>
    </row>
    <row r="1482" spans="1:15" ht="15" customHeight="1">
      <c r="A1482" s="908" t="s">
        <v>374</v>
      </c>
      <c r="B1482" s="909" t="s">
        <v>2102</v>
      </c>
      <c r="C1482" s="910" t="e">
        <f>VLOOKUP(B1474,'LƯƠNG KT'!$D$16:$Z$184,12,0)</f>
        <v>#N/A</v>
      </c>
      <c r="D1482" s="609" t="e">
        <f>VLOOKUP(B1474,'LƯƠNG KT'!$D$16:$Z$184,14,0)</f>
        <v>#N/A</v>
      </c>
      <c r="E1482" s="914"/>
      <c r="F1482" s="912"/>
      <c r="G1482" s="908" t="s">
        <v>374</v>
      </c>
      <c r="H1482" s="909" t="s">
        <v>2102</v>
      </c>
      <c r="I1482" s="910" t="e">
        <f>VLOOKUP(H1474,'LƯƠNG KT'!$D$16:$Z$184,12,0)</f>
        <v>#N/A</v>
      </c>
      <c r="J1482" s="609" t="e">
        <f>VLOOKUP(H1474,'LƯƠNG KT'!$D$16:$Z$184,14,0)</f>
        <v>#N/A</v>
      </c>
      <c r="K1482" s="935"/>
      <c r="L1482" s="935"/>
      <c r="M1482" s="935"/>
      <c r="N1482" s="935"/>
      <c r="O1482" s="935"/>
    </row>
    <row r="1483" spans="1:15" ht="15" customHeight="1">
      <c r="A1483" s="908" t="s">
        <v>2103</v>
      </c>
      <c r="B1483" s="909" t="s">
        <v>2104</v>
      </c>
      <c r="D1483" s="915" t="e">
        <f>VLOOKUP(B1474,'LƯƠNG KT'!$D$16:$Z$184,13,0)</f>
        <v>#N/A</v>
      </c>
      <c r="E1483" s="916"/>
      <c r="F1483" s="916"/>
      <c r="G1483" s="908" t="s">
        <v>2103</v>
      </c>
      <c r="H1483" s="909" t="s">
        <v>2104</v>
      </c>
      <c r="J1483" s="915" t="e">
        <f>VLOOKUP(H1474,'LƯƠNG KT'!$D$16:$Z$184,13,0)</f>
        <v>#N/A</v>
      </c>
    </row>
    <row r="1484" spans="1:15" ht="15" customHeight="1">
      <c r="A1484" s="547"/>
      <c r="B1484" s="546"/>
      <c r="C1484" s="910"/>
      <c r="D1484" s="609"/>
      <c r="E1484" s="914"/>
      <c r="F1484" s="916"/>
      <c r="G1484" s="547"/>
      <c r="H1484" s="546"/>
      <c r="I1484" s="910"/>
      <c r="J1484" s="609"/>
    </row>
    <row r="1485" spans="1:15" ht="15" customHeight="1">
      <c r="A1485" s="905"/>
      <c r="B1485" s="546"/>
      <c r="C1485" s="910"/>
      <c r="D1485" s="609"/>
      <c r="E1485" s="917"/>
      <c r="F1485" s="904"/>
      <c r="G1485" s="905"/>
      <c r="H1485" s="546"/>
      <c r="I1485" s="910"/>
      <c r="J1485" s="609"/>
    </row>
    <row r="1486" spans="1:15" ht="15" customHeight="1">
      <c r="A1486" s="918" t="s">
        <v>383</v>
      </c>
      <c r="B1486" s="919" t="s">
        <v>384</v>
      </c>
      <c r="C1486" s="920"/>
      <c r="D1486" s="921" t="e">
        <f>SUM(D1475:D1482)-D1485</f>
        <v>#N/A</v>
      </c>
      <c r="E1486" s="922"/>
      <c r="F1486" s="923"/>
      <c r="G1486" s="918" t="s">
        <v>383</v>
      </c>
      <c r="H1486" s="919" t="s">
        <v>384</v>
      </c>
      <c r="I1486" s="920"/>
      <c r="J1486" s="921" t="e">
        <f>SUM(J1475:J1482)-J1485</f>
        <v>#N/A</v>
      </c>
    </row>
    <row r="1487" spans="1:15" ht="18.75" customHeight="1">
      <c r="A1487" s="924"/>
      <c r="B1487" s="925"/>
      <c r="C1487" s="926"/>
      <c r="D1487" s="927"/>
      <c r="E1487" s="927"/>
      <c r="F1487" s="928"/>
      <c r="G1487" s="924"/>
      <c r="H1487" s="925"/>
      <c r="I1487" s="926"/>
      <c r="J1487" s="927"/>
    </row>
    <row r="1488" spans="1:15" ht="18.75" customHeight="1">
      <c r="A1488" s="925"/>
      <c r="B1488" s="925"/>
      <c r="C1488" s="929"/>
      <c r="D1488" s="930"/>
      <c r="E1488" s="925"/>
      <c r="F1488" s="931"/>
      <c r="G1488" s="925"/>
      <c r="H1488" s="925"/>
      <c r="I1488" s="929"/>
      <c r="J1488" s="930"/>
    </row>
    <row r="1489" spans="1:15" ht="15" customHeight="1">
      <c r="A1489" s="2360" t="str">
        <f>$K$2</f>
        <v>THÁNG 04/2025</v>
      </c>
      <c r="B1489" s="2360"/>
      <c r="C1489" s="2360"/>
      <c r="D1489" s="2360"/>
      <c r="E1489" s="903"/>
      <c r="F1489" s="904"/>
      <c r="G1489" s="2360" t="str">
        <f>$K$2</f>
        <v>THÁNG 04/2025</v>
      </c>
      <c r="H1489" s="2360"/>
      <c r="I1489" s="2360"/>
      <c r="J1489" s="2360"/>
      <c r="K1489" s="276"/>
    </row>
    <row r="1490" spans="1:15" ht="15" customHeight="1">
      <c r="A1490" s="905" t="s">
        <v>356</v>
      </c>
      <c r="B1490" s="642" t="s">
        <v>493</v>
      </c>
      <c r="C1490" s="546"/>
      <c r="D1490" s="902"/>
      <c r="E1490" s="906"/>
      <c r="F1490" s="907"/>
      <c r="G1490" s="905" t="s">
        <v>356</v>
      </c>
      <c r="H1490" s="642" t="s">
        <v>89</v>
      </c>
      <c r="I1490" s="546"/>
      <c r="J1490" s="902"/>
      <c r="L1490" s="938"/>
      <c r="M1490" s="938"/>
      <c r="N1490" s="938"/>
      <c r="O1490" s="938"/>
    </row>
    <row r="1491" spans="1:15" ht="15" customHeight="1">
      <c r="A1491" s="908" t="s">
        <v>359</v>
      </c>
      <c r="B1491" s="909" t="s">
        <v>2090</v>
      </c>
      <c r="C1491" s="910" t="e">
        <f>VLOOKUP(B1490,'LƯƠNG KT'!$D$16:$Z$184,4,0)</f>
        <v>#N/A</v>
      </c>
      <c r="D1491" s="609" t="e">
        <f>+C1491*25000</f>
        <v>#N/A</v>
      </c>
      <c r="E1491" s="911"/>
      <c r="F1491" s="911"/>
      <c r="G1491" s="908" t="s">
        <v>359</v>
      </c>
      <c r="H1491" s="909" t="s">
        <v>2090</v>
      </c>
      <c r="I1491" s="910" t="e">
        <f>VLOOKUP(H1490,'LƯƠNG KT'!$D$16:$Z$184,4,0)</f>
        <v>#N/A</v>
      </c>
      <c r="J1491" s="609" t="e">
        <f>+I1491*25000</f>
        <v>#N/A</v>
      </c>
      <c r="K1491" s="935"/>
      <c r="L1491" s="935"/>
      <c r="M1491" s="935"/>
      <c r="N1491" s="935"/>
      <c r="O1491" s="935"/>
    </row>
    <row r="1492" spans="1:15" ht="15" customHeight="1">
      <c r="A1492" s="908" t="s">
        <v>361</v>
      </c>
      <c r="B1492" s="909" t="s">
        <v>2091</v>
      </c>
      <c r="C1492" s="910" t="e">
        <f>VLOOKUP(B1490,'LƯƠNG KT'!$D$16:$Z$184,15,0)</f>
        <v>#N/A</v>
      </c>
      <c r="D1492" s="609" t="e">
        <f>C1492*$L$4</f>
        <v>#N/A</v>
      </c>
      <c r="E1492" s="912"/>
      <c r="F1492" s="912"/>
      <c r="G1492" s="908" t="s">
        <v>361</v>
      </c>
      <c r="H1492" s="909" t="s">
        <v>2091</v>
      </c>
      <c r="I1492" s="910" t="e">
        <f>VLOOKUP(H1490,'LƯƠNG KT'!$D$16:$Z$184,15,0)</f>
        <v>#N/A</v>
      </c>
      <c r="J1492" s="609" t="e">
        <f>I1492*$L$4</f>
        <v>#N/A</v>
      </c>
      <c r="K1492" s="935"/>
      <c r="L1492" s="935"/>
      <c r="M1492" s="935"/>
      <c r="N1492" s="935"/>
      <c r="O1492" s="935"/>
    </row>
    <row r="1493" spans="1:15" ht="15" customHeight="1">
      <c r="A1493" s="908" t="s">
        <v>364</v>
      </c>
      <c r="B1493" s="909" t="s">
        <v>2092</v>
      </c>
      <c r="C1493" s="910" t="e">
        <f>VLOOKUP(B1490,'LƯƠNG KT'!$D$16:$Z$184,16,0)</f>
        <v>#N/A</v>
      </c>
      <c r="D1493" s="609" t="e">
        <f>C1493*$L$5</f>
        <v>#N/A</v>
      </c>
      <c r="E1493" s="912"/>
      <c r="F1493" s="912"/>
      <c r="G1493" s="908" t="s">
        <v>364</v>
      </c>
      <c r="H1493" s="909" t="s">
        <v>2092</v>
      </c>
      <c r="I1493" s="910" t="e">
        <f>VLOOKUP(H1490,'LƯƠNG KT'!$D$16:$Z$184,16,0)</f>
        <v>#N/A</v>
      </c>
      <c r="J1493" s="609" t="e">
        <f>I1493*$L$5</f>
        <v>#N/A</v>
      </c>
      <c r="K1493" s="935"/>
      <c r="L1493" s="935"/>
      <c r="M1493" s="935"/>
      <c r="N1493" s="935"/>
      <c r="O1493" s="935"/>
    </row>
    <row r="1494" spans="1:15" ht="15" customHeight="1">
      <c r="A1494" s="908" t="s">
        <v>370</v>
      </c>
      <c r="B1494" s="909" t="s">
        <v>2093</v>
      </c>
      <c r="C1494" s="910" t="e">
        <f>VLOOKUP(B1490,'LƯƠNG KT'!$D$16:$Z$184,24,0)</f>
        <v>#N/A</v>
      </c>
      <c r="D1494" s="609" t="e">
        <f>+C1494*$L$6</f>
        <v>#N/A</v>
      </c>
      <c r="E1494" s="912"/>
      <c r="F1494" s="912"/>
      <c r="G1494" s="908" t="s">
        <v>370</v>
      </c>
      <c r="H1494" s="909" t="s">
        <v>2093</v>
      </c>
      <c r="I1494" s="910" t="e">
        <f>VLOOKUP(H1490,'LƯƠNG KT'!$D$16:$Z$184,24,0)</f>
        <v>#N/A</v>
      </c>
      <c r="J1494" s="609" t="e">
        <f>+I1494*$L$6</f>
        <v>#N/A</v>
      </c>
      <c r="K1494" s="935"/>
      <c r="L1494" s="935"/>
      <c r="M1494" s="935"/>
      <c r="N1494" s="935"/>
      <c r="O1494" s="935"/>
    </row>
    <row r="1495" spans="1:15" ht="15" customHeight="1">
      <c r="A1495" s="908" t="s">
        <v>2094</v>
      </c>
      <c r="B1495" s="909" t="s">
        <v>2095</v>
      </c>
      <c r="C1495" s="910" t="e">
        <f>VLOOKUP(B1490,'LƯƠNG KT'!$D$16:$Z$184,19,0)</f>
        <v>#N/A</v>
      </c>
      <c r="D1495" s="609" t="e">
        <f>+C1495*$L$8</f>
        <v>#N/A</v>
      </c>
      <c r="E1495" s="912"/>
      <c r="F1495" s="912"/>
      <c r="G1495" s="908" t="s">
        <v>2094</v>
      </c>
      <c r="H1495" s="909" t="s">
        <v>2095</v>
      </c>
      <c r="I1495" s="910" t="e">
        <f>VLOOKUP(H1490,'LƯƠNG KT'!$D$16:$Z$184,19,0)</f>
        <v>#N/A</v>
      </c>
      <c r="J1495" s="609" t="e">
        <f>+I1495*$L$8</f>
        <v>#N/A</v>
      </c>
      <c r="K1495" s="935"/>
      <c r="L1495" s="935"/>
      <c r="M1495" s="935"/>
      <c r="N1495" s="935"/>
      <c r="O1495" s="935"/>
    </row>
    <row r="1496" spans="1:15" ht="15" customHeight="1">
      <c r="A1496" s="908" t="s">
        <v>2096</v>
      </c>
      <c r="B1496" s="913" t="s">
        <v>2097</v>
      </c>
      <c r="C1496" s="910" t="e">
        <f>VLOOKUP(B1490,'LƯƠNG KT'!$D$16:$Z$184,20,0)</f>
        <v>#N/A</v>
      </c>
      <c r="D1496" s="609" t="e">
        <f>+C1496*$L$9</f>
        <v>#N/A</v>
      </c>
      <c r="E1496" s="912"/>
      <c r="F1496" s="912"/>
      <c r="G1496" s="908" t="s">
        <v>2096</v>
      </c>
      <c r="H1496" s="913" t="s">
        <v>2097</v>
      </c>
      <c r="I1496" s="910" t="e">
        <f>VLOOKUP(H1490,'LƯƠNG KT'!$D$16:$Z$184,20,0)</f>
        <v>#N/A</v>
      </c>
      <c r="J1496" s="609" t="e">
        <f>+I1496*$L$9</f>
        <v>#N/A</v>
      </c>
      <c r="K1496" s="935"/>
      <c r="L1496" s="935"/>
      <c r="M1496" s="935"/>
      <c r="N1496" s="935"/>
      <c r="O1496" s="935"/>
    </row>
    <row r="1497" spans="1:15" ht="15" customHeight="1">
      <c r="A1497" s="908" t="s">
        <v>2099</v>
      </c>
      <c r="B1497" s="909" t="s">
        <v>2100</v>
      </c>
      <c r="C1497" s="910" t="e">
        <f>VLOOKUP(B1490,'LƯƠNG KT'!$D$16:$Z$184,17,0)</f>
        <v>#N/A</v>
      </c>
      <c r="D1497" s="609" t="e">
        <f>+C1497*$L$10</f>
        <v>#N/A</v>
      </c>
      <c r="E1497" s="912"/>
      <c r="F1497" s="912"/>
      <c r="G1497" s="908" t="s">
        <v>2099</v>
      </c>
      <c r="H1497" s="909" t="s">
        <v>2100</v>
      </c>
      <c r="I1497" s="910" t="e">
        <f>VLOOKUP(H1490,'LƯƠNG KT'!$D$16:$Z$184,17,0)</f>
        <v>#N/A</v>
      </c>
      <c r="J1497" s="609" t="e">
        <f>+I1497*$L$10</f>
        <v>#N/A</v>
      </c>
      <c r="K1497" s="935"/>
      <c r="L1497" s="935"/>
      <c r="M1497" s="935"/>
      <c r="N1497" s="935"/>
      <c r="O1497" s="935"/>
    </row>
    <row r="1498" spans="1:15" ht="15" customHeight="1">
      <c r="A1498" s="908" t="s">
        <v>374</v>
      </c>
      <c r="B1498" s="909" t="s">
        <v>2102</v>
      </c>
      <c r="C1498" s="910" t="e">
        <f>VLOOKUP(B1490,'LƯƠNG KT'!$D$16:$Z$184,12,0)</f>
        <v>#N/A</v>
      </c>
      <c r="D1498" s="609" t="e">
        <f>VLOOKUP(B1490,'LƯƠNG KT'!$D$16:$Z$184,14,0)</f>
        <v>#N/A</v>
      </c>
      <c r="E1498" s="914"/>
      <c r="F1498" s="912"/>
      <c r="G1498" s="908" t="s">
        <v>374</v>
      </c>
      <c r="H1498" s="909" t="s">
        <v>2102</v>
      </c>
      <c r="I1498" s="910" t="e">
        <f>VLOOKUP(H1490,'LƯƠNG KT'!$D$16:$Z$184,12,0)</f>
        <v>#N/A</v>
      </c>
      <c r="J1498" s="609" t="e">
        <f>VLOOKUP(H1490,'LƯƠNG KT'!$D$16:$Z$184,14,0)</f>
        <v>#N/A</v>
      </c>
      <c r="K1498" s="935"/>
      <c r="L1498" s="935"/>
      <c r="M1498" s="935"/>
      <c r="N1498" s="935"/>
      <c r="O1498" s="935"/>
    </row>
    <row r="1499" spans="1:15" ht="15" customHeight="1">
      <c r="A1499" s="908" t="s">
        <v>2103</v>
      </c>
      <c r="B1499" s="909" t="s">
        <v>2104</v>
      </c>
      <c r="D1499" s="915" t="e">
        <f>VLOOKUP(B1490,'LƯƠNG KT'!$D$16:$Z$184,13,0)</f>
        <v>#N/A</v>
      </c>
      <c r="E1499" s="916"/>
      <c r="F1499" s="916"/>
      <c r="G1499" s="908" t="s">
        <v>2103</v>
      </c>
      <c r="H1499" s="909" t="s">
        <v>2104</v>
      </c>
      <c r="J1499" s="915" t="e">
        <f>VLOOKUP(H1490,'LƯƠNG KT'!$D$16:$Z$184,13,0)</f>
        <v>#N/A</v>
      </c>
    </row>
    <row r="1500" spans="1:15" ht="15" customHeight="1">
      <c r="A1500" s="547"/>
      <c r="B1500" s="546"/>
      <c r="C1500" s="910"/>
      <c r="D1500" s="609"/>
      <c r="E1500" s="914"/>
      <c r="F1500" s="916"/>
      <c r="G1500" s="547"/>
      <c r="H1500" s="546"/>
      <c r="I1500" s="910"/>
      <c r="J1500" s="609"/>
    </row>
    <row r="1501" spans="1:15" ht="15" customHeight="1">
      <c r="A1501" s="905"/>
      <c r="B1501" s="546"/>
      <c r="C1501" s="910"/>
      <c r="D1501" s="609"/>
      <c r="E1501" s="917"/>
      <c r="F1501" s="904"/>
      <c r="G1501" s="905"/>
      <c r="H1501" s="546"/>
      <c r="I1501" s="910"/>
      <c r="J1501" s="609"/>
    </row>
    <row r="1502" spans="1:15" ht="15" customHeight="1">
      <c r="A1502" s="918" t="s">
        <v>383</v>
      </c>
      <c r="B1502" s="919" t="s">
        <v>384</v>
      </c>
      <c r="C1502" s="920"/>
      <c r="D1502" s="921" t="e">
        <f>SUM(D1491:D1498)-D1501</f>
        <v>#N/A</v>
      </c>
      <c r="E1502" s="922"/>
      <c r="F1502" s="923"/>
      <c r="G1502" s="918" t="s">
        <v>383</v>
      </c>
      <c r="H1502" s="919" t="s">
        <v>384</v>
      </c>
      <c r="I1502" s="920"/>
      <c r="J1502" s="921" t="e">
        <f>SUM(J1491:J1498)-J1501</f>
        <v>#N/A</v>
      </c>
    </row>
    <row r="1503" spans="1:15" ht="15.75" customHeight="1">
      <c r="A1503" s="924"/>
      <c r="B1503" s="925"/>
      <c r="C1503" s="926"/>
      <c r="D1503" s="927"/>
      <c r="E1503" s="927"/>
      <c r="F1503" s="928"/>
      <c r="G1503" s="924"/>
      <c r="H1503" s="925"/>
      <c r="I1503" s="926"/>
      <c r="J1503" s="927"/>
    </row>
    <row r="1505" spans="1:15" ht="124.5" customHeight="1">
      <c r="A1505" s="2361"/>
      <c r="B1505" s="2361"/>
      <c r="C1505" s="2361"/>
      <c r="D1505" s="2361"/>
      <c r="E1505" s="2361"/>
      <c r="F1505" s="2361"/>
      <c r="G1505" s="2361"/>
      <c r="H1505" s="2361"/>
      <c r="I1505" s="2361"/>
      <c r="J1505" s="2361"/>
    </row>
    <row r="1506" spans="1:15" ht="15" customHeight="1">
      <c r="A1506" s="2360" t="str">
        <f>$K$2</f>
        <v>THÁNG 04/2025</v>
      </c>
      <c r="B1506" s="2360"/>
      <c r="C1506" s="2360"/>
      <c r="D1506" s="2360"/>
      <c r="E1506" s="903"/>
      <c r="F1506" s="904"/>
      <c r="G1506" s="2360" t="str">
        <f>$K$2</f>
        <v>THÁNG 04/2025</v>
      </c>
      <c r="H1506" s="2360"/>
      <c r="I1506" s="2360"/>
      <c r="J1506" s="2360"/>
      <c r="K1506" s="276"/>
    </row>
    <row r="1507" spans="1:15" ht="15" customHeight="1">
      <c r="A1507" s="905" t="s">
        <v>356</v>
      </c>
      <c r="B1507" s="642" t="s">
        <v>90</v>
      </c>
      <c r="C1507" s="546"/>
      <c r="D1507" s="902"/>
      <c r="E1507" s="906"/>
      <c r="F1507" s="907"/>
      <c r="G1507" s="905" t="s">
        <v>356</v>
      </c>
      <c r="H1507" s="642" t="s">
        <v>1671</v>
      </c>
      <c r="I1507" s="546"/>
      <c r="J1507" s="902"/>
      <c r="L1507" s="938"/>
      <c r="M1507" s="938"/>
      <c r="N1507" s="938"/>
      <c r="O1507" s="938"/>
    </row>
    <row r="1508" spans="1:15" ht="15" customHeight="1">
      <c r="A1508" s="908" t="s">
        <v>359</v>
      </c>
      <c r="B1508" s="909" t="s">
        <v>2090</v>
      </c>
      <c r="C1508" s="910" t="e">
        <f>VLOOKUP(B1507,'LƯƠNG KT'!$D$16:$Z$184,4,0)</f>
        <v>#N/A</v>
      </c>
      <c r="D1508" s="609" t="e">
        <f>+C1508*25000</f>
        <v>#N/A</v>
      </c>
      <c r="E1508" s="911"/>
      <c r="F1508" s="911"/>
      <c r="G1508" s="908" t="s">
        <v>359</v>
      </c>
      <c r="H1508" s="909" t="s">
        <v>2090</v>
      </c>
      <c r="I1508" s="910" t="e">
        <f>VLOOKUP(H1507,'LƯƠNG KT'!$D$16:$Z$184,4,0)</f>
        <v>#N/A</v>
      </c>
      <c r="J1508" s="609" t="e">
        <f>+I1508*25000</f>
        <v>#N/A</v>
      </c>
      <c r="K1508" s="934"/>
      <c r="L1508" s="935"/>
      <c r="M1508" s="935"/>
      <c r="N1508" s="935"/>
      <c r="O1508" s="935"/>
    </row>
    <row r="1509" spans="1:15" ht="15" customHeight="1">
      <c r="A1509" s="908" t="s">
        <v>361</v>
      </c>
      <c r="B1509" s="909" t="s">
        <v>2091</v>
      </c>
      <c r="C1509" s="910" t="e">
        <f>VLOOKUP(B1507,'LƯƠNG KT'!$D$16:$Z$184,15,0)</f>
        <v>#N/A</v>
      </c>
      <c r="D1509" s="609" t="e">
        <f>C1509*$L$4</f>
        <v>#N/A</v>
      </c>
      <c r="E1509" s="912"/>
      <c r="F1509" s="912"/>
      <c r="G1509" s="908" t="s">
        <v>361</v>
      </c>
      <c r="H1509" s="909" t="s">
        <v>2091</v>
      </c>
      <c r="I1509" s="910" t="e">
        <f>VLOOKUP(H1507,'LƯƠNG KT'!$D$16:$Z$184,15,0)</f>
        <v>#N/A</v>
      </c>
      <c r="J1509" s="609" t="e">
        <f>I1509*$L$4</f>
        <v>#N/A</v>
      </c>
      <c r="K1509" s="934"/>
      <c r="L1509" s="935"/>
      <c r="M1509" s="935"/>
      <c r="N1509" s="935"/>
      <c r="O1509" s="935"/>
    </row>
    <row r="1510" spans="1:15" ht="15" customHeight="1">
      <c r="A1510" s="908" t="s">
        <v>364</v>
      </c>
      <c r="B1510" s="909" t="s">
        <v>2092</v>
      </c>
      <c r="C1510" s="910" t="e">
        <f>VLOOKUP(B1507,'LƯƠNG KT'!$D$16:$Z$184,16,0)</f>
        <v>#N/A</v>
      </c>
      <c r="D1510" s="609" t="e">
        <f>C1510*$L$5</f>
        <v>#N/A</v>
      </c>
      <c r="E1510" s="912"/>
      <c r="F1510" s="912"/>
      <c r="G1510" s="908" t="s">
        <v>364</v>
      </c>
      <c r="H1510" s="909" t="s">
        <v>2092</v>
      </c>
      <c r="I1510" s="910" t="e">
        <f>VLOOKUP(H1507,'LƯƠNG KT'!$D$16:$Z$184,16,0)</f>
        <v>#N/A</v>
      </c>
      <c r="J1510" s="609" t="e">
        <f>I1510*$L$5</f>
        <v>#N/A</v>
      </c>
      <c r="K1510" s="934"/>
      <c r="L1510" s="935"/>
      <c r="M1510" s="935"/>
      <c r="N1510" s="935"/>
      <c r="O1510" s="935"/>
    </row>
    <row r="1511" spans="1:15" ht="15" customHeight="1">
      <c r="A1511" s="908" t="s">
        <v>370</v>
      </c>
      <c r="B1511" s="909" t="s">
        <v>2093</v>
      </c>
      <c r="C1511" s="910" t="e">
        <f>VLOOKUP(B1507,'LƯƠNG KT'!$D$16:$Z$184,24,0)</f>
        <v>#N/A</v>
      </c>
      <c r="D1511" s="609" t="e">
        <f>+C1511*$L$6</f>
        <v>#N/A</v>
      </c>
      <c r="E1511" s="912"/>
      <c r="F1511" s="912"/>
      <c r="G1511" s="908" t="s">
        <v>370</v>
      </c>
      <c r="H1511" s="909" t="s">
        <v>2093</v>
      </c>
      <c r="I1511" s="910" t="e">
        <f>VLOOKUP(H1507,'LƯƠNG KT'!$D$16:$Z$184,24,0)</f>
        <v>#N/A</v>
      </c>
      <c r="J1511" s="609" t="e">
        <f>+I1511*$L$6</f>
        <v>#N/A</v>
      </c>
      <c r="K1511" s="935"/>
      <c r="L1511" s="935"/>
      <c r="M1511" s="935"/>
      <c r="N1511" s="935"/>
      <c r="O1511" s="935"/>
    </row>
    <row r="1512" spans="1:15" ht="15" customHeight="1">
      <c r="A1512" s="908" t="s">
        <v>2094</v>
      </c>
      <c r="B1512" s="909" t="s">
        <v>2095</v>
      </c>
      <c r="C1512" s="910" t="e">
        <f>VLOOKUP(B1507,'LƯƠNG KT'!$D$16:$Z$184,19,0)</f>
        <v>#N/A</v>
      </c>
      <c r="D1512" s="609" t="e">
        <f>+C1512*$L$8</f>
        <v>#N/A</v>
      </c>
      <c r="E1512" s="912"/>
      <c r="F1512" s="912"/>
      <c r="G1512" s="908" t="s">
        <v>2094</v>
      </c>
      <c r="H1512" s="909" t="s">
        <v>2095</v>
      </c>
      <c r="I1512" s="910" t="e">
        <f>VLOOKUP(H1507,'LƯƠNG KT'!$D$16:$Z$184,19,0)</f>
        <v>#N/A</v>
      </c>
      <c r="J1512" s="609" t="e">
        <f>+I1512*$L$8</f>
        <v>#N/A</v>
      </c>
      <c r="K1512" s="935"/>
      <c r="L1512" s="935"/>
      <c r="M1512" s="935"/>
      <c r="N1512" s="935"/>
      <c r="O1512" s="935"/>
    </row>
    <row r="1513" spans="1:15" ht="15" customHeight="1">
      <c r="A1513" s="908" t="s">
        <v>2096</v>
      </c>
      <c r="B1513" s="913" t="s">
        <v>2097</v>
      </c>
      <c r="C1513" s="910" t="e">
        <f>VLOOKUP(B1507,'LƯƠNG KT'!$D$16:$Z$184,20,0)</f>
        <v>#N/A</v>
      </c>
      <c r="D1513" s="609" t="e">
        <f>+C1513*$L$9</f>
        <v>#N/A</v>
      </c>
      <c r="E1513" s="912"/>
      <c r="F1513" s="912"/>
      <c r="G1513" s="908" t="s">
        <v>2096</v>
      </c>
      <c r="H1513" s="913" t="s">
        <v>2097</v>
      </c>
      <c r="I1513" s="910" t="e">
        <f>VLOOKUP(H1507,'LƯƠNG KT'!$D$16:$Z$184,20,0)</f>
        <v>#N/A</v>
      </c>
      <c r="J1513" s="609" t="e">
        <f>+I1513*$L$9</f>
        <v>#N/A</v>
      </c>
      <c r="K1513" s="935"/>
      <c r="L1513" s="935"/>
      <c r="M1513" s="935"/>
      <c r="N1513" s="935"/>
      <c r="O1513" s="935"/>
    </row>
    <row r="1514" spans="1:15" ht="15" customHeight="1">
      <c r="A1514" s="908" t="s">
        <v>2099</v>
      </c>
      <c r="B1514" s="909" t="s">
        <v>2100</v>
      </c>
      <c r="C1514" s="910" t="e">
        <f>VLOOKUP(B1507,'LƯƠNG KT'!$D$16:$Z$184,17,0)</f>
        <v>#N/A</v>
      </c>
      <c r="D1514" s="609" t="e">
        <f>+C1514*$L$10</f>
        <v>#N/A</v>
      </c>
      <c r="E1514" s="912"/>
      <c r="F1514" s="912"/>
      <c r="G1514" s="908" t="s">
        <v>2099</v>
      </c>
      <c r="H1514" s="909" t="s">
        <v>2100</v>
      </c>
      <c r="I1514" s="910" t="e">
        <f>VLOOKUP(H1507,'LƯƠNG KT'!$D$16:$Z$184,17,0)</f>
        <v>#N/A</v>
      </c>
      <c r="J1514" s="609" t="e">
        <f>+I1514*$L$10</f>
        <v>#N/A</v>
      </c>
      <c r="K1514" s="935"/>
      <c r="L1514" s="935"/>
      <c r="M1514" s="935"/>
      <c r="N1514" s="935"/>
      <c r="O1514" s="935"/>
    </row>
    <row r="1515" spans="1:15" ht="15" customHeight="1">
      <c r="A1515" s="908" t="s">
        <v>374</v>
      </c>
      <c r="B1515" s="909" t="s">
        <v>2102</v>
      </c>
      <c r="C1515" s="910" t="e">
        <f>VLOOKUP(B1507,'LƯƠNG KT'!$D$16:$Z$184,12,0)</f>
        <v>#N/A</v>
      </c>
      <c r="D1515" s="609" t="e">
        <f>VLOOKUP(B1507,'LƯƠNG KT'!$D$16:$Z$184,14,0)</f>
        <v>#N/A</v>
      </c>
      <c r="E1515" s="914"/>
      <c r="F1515" s="912"/>
      <c r="G1515" s="908" t="s">
        <v>374</v>
      </c>
      <c r="H1515" s="909" t="s">
        <v>2102</v>
      </c>
      <c r="I1515" s="910" t="e">
        <f>VLOOKUP(H1507,'LƯƠNG KT'!$D$16:$Z$184,12,0)</f>
        <v>#N/A</v>
      </c>
      <c r="J1515" s="609" t="e">
        <f>VLOOKUP(H1507,'LƯƠNG KT'!$D$16:$Z$184,14,0)</f>
        <v>#N/A</v>
      </c>
      <c r="K1515" s="935"/>
      <c r="L1515" s="935"/>
      <c r="M1515" s="935"/>
      <c r="N1515" s="935"/>
      <c r="O1515" s="935"/>
    </row>
    <row r="1516" spans="1:15" ht="15" customHeight="1">
      <c r="A1516" s="908" t="s">
        <v>2103</v>
      </c>
      <c r="B1516" s="909" t="s">
        <v>2104</v>
      </c>
      <c r="D1516" s="915" t="e">
        <f>VLOOKUP(B1507,'LƯƠNG KT'!$D$16:$Z$184,13,0)</f>
        <v>#N/A</v>
      </c>
      <c r="E1516" s="916"/>
      <c r="F1516" s="916"/>
      <c r="G1516" s="908" t="s">
        <v>2103</v>
      </c>
      <c r="H1516" s="909" t="s">
        <v>2104</v>
      </c>
      <c r="J1516" s="915" t="e">
        <f>VLOOKUP(H1507,'LƯƠNG KT'!$D$16:$Z$184,13,0)</f>
        <v>#N/A</v>
      </c>
    </row>
    <row r="1517" spans="1:15" ht="15" customHeight="1">
      <c r="A1517" s="547"/>
      <c r="B1517" s="546"/>
      <c r="C1517" s="910"/>
      <c r="D1517" s="609"/>
      <c r="E1517" s="914"/>
      <c r="F1517" s="916"/>
      <c r="G1517" s="547"/>
      <c r="H1517" s="546"/>
      <c r="I1517" s="910"/>
      <c r="J1517" s="609"/>
    </row>
    <row r="1518" spans="1:15" ht="15" customHeight="1">
      <c r="A1518" s="905"/>
      <c r="B1518" s="546"/>
      <c r="C1518" s="910"/>
      <c r="D1518" s="609"/>
      <c r="E1518" s="917"/>
      <c r="F1518" s="904"/>
      <c r="G1518" s="905"/>
      <c r="H1518" s="546"/>
      <c r="I1518" s="910"/>
      <c r="J1518" s="609"/>
    </row>
    <row r="1519" spans="1:15" ht="15" customHeight="1">
      <c r="A1519" s="918" t="s">
        <v>383</v>
      </c>
      <c r="B1519" s="919" t="s">
        <v>384</v>
      </c>
      <c r="C1519" s="920"/>
      <c r="D1519" s="921" t="e">
        <f>SUM(D1508:D1515)-D1518</f>
        <v>#N/A</v>
      </c>
      <c r="E1519" s="922"/>
      <c r="F1519" s="923"/>
      <c r="G1519" s="918" t="s">
        <v>383</v>
      </c>
      <c r="H1519" s="919" t="s">
        <v>384</v>
      </c>
      <c r="I1519" s="920"/>
      <c r="J1519" s="921" t="e">
        <f>SUM(J1508:J1515)-J1518</f>
        <v>#N/A</v>
      </c>
    </row>
    <row r="1520" spans="1:15" ht="12.6" customHeight="1">
      <c r="A1520" s="924"/>
      <c r="B1520" s="925"/>
      <c r="C1520" s="926"/>
      <c r="D1520" s="927"/>
      <c r="E1520" s="927"/>
      <c r="F1520" s="928"/>
      <c r="G1520" s="924"/>
      <c r="H1520" s="925"/>
      <c r="I1520" s="926"/>
      <c r="J1520" s="927"/>
    </row>
    <row r="1521" spans="1:15" ht="12.6" customHeight="1">
      <c r="A1521" s="925"/>
      <c r="B1521" s="925"/>
      <c r="C1521" s="929"/>
      <c r="D1521" s="930"/>
      <c r="E1521" s="925"/>
      <c r="F1521" s="931"/>
      <c r="G1521" s="925"/>
      <c r="H1521" s="925"/>
      <c r="I1521" s="929"/>
      <c r="J1521" s="930"/>
    </row>
    <row r="1522" spans="1:15" ht="15" customHeight="1">
      <c r="A1522" s="2360" t="str">
        <f>$K$2</f>
        <v>THÁNG 04/2025</v>
      </c>
      <c r="B1522" s="2360"/>
      <c r="C1522" s="2360"/>
      <c r="D1522" s="2360"/>
      <c r="E1522" s="903"/>
      <c r="F1522" s="904"/>
      <c r="G1522" s="2360" t="str">
        <f>$K$2</f>
        <v>THÁNG 04/2025</v>
      </c>
      <c r="H1522" s="2360"/>
      <c r="I1522" s="2360"/>
      <c r="J1522" s="2360"/>
      <c r="K1522" s="276"/>
    </row>
    <row r="1523" spans="1:15" ht="15" customHeight="1">
      <c r="A1523" s="905" t="s">
        <v>356</v>
      </c>
      <c r="B1523" s="642" t="s">
        <v>64</v>
      </c>
      <c r="C1523" s="546"/>
      <c r="D1523" s="902"/>
      <c r="E1523" s="906"/>
      <c r="F1523" s="907"/>
      <c r="G1523" s="905" t="s">
        <v>356</v>
      </c>
      <c r="H1523" s="642" t="s">
        <v>65</v>
      </c>
      <c r="I1523" s="546"/>
      <c r="J1523" s="902"/>
      <c r="L1523" s="938"/>
      <c r="M1523" s="938"/>
      <c r="N1523" s="938"/>
      <c r="O1523" s="938"/>
    </row>
    <row r="1524" spans="1:15" ht="15" customHeight="1">
      <c r="A1524" s="908" t="s">
        <v>359</v>
      </c>
      <c r="B1524" s="909" t="s">
        <v>2090</v>
      </c>
      <c r="C1524" s="910" t="e">
        <f>VLOOKUP(B1523,'LƯƠNG KT'!$D$16:$Z$184,4,0)</f>
        <v>#N/A</v>
      </c>
      <c r="D1524" s="609" t="e">
        <f>+C1524*25000</f>
        <v>#N/A</v>
      </c>
      <c r="E1524" s="911"/>
      <c r="F1524" s="911"/>
      <c r="G1524" s="908" t="s">
        <v>359</v>
      </c>
      <c r="H1524" s="909" t="s">
        <v>2090</v>
      </c>
      <c r="I1524" s="910" t="e">
        <f>VLOOKUP(H1523,'LƯƠNG KT'!$D$16:$Z$184,4,0)</f>
        <v>#N/A</v>
      </c>
      <c r="J1524" s="609" t="e">
        <f>+I1524*25000</f>
        <v>#N/A</v>
      </c>
      <c r="K1524" s="935"/>
      <c r="L1524" s="935"/>
      <c r="M1524" s="935"/>
      <c r="N1524" s="935"/>
      <c r="O1524" s="935"/>
    </row>
    <row r="1525" spans="1:15" ht="15" customHeight="1">
      <c r="A1525" s="908" t="s">
        <v>361</v>
      </c>
      <c r="B1525" s="909" t="s">
        <v>2091</v>
      </c>
      <c r="C1525" s="910" t="e">
        <f>VLOOKUP(B1523,'LƯƠNG KT'!$D$16:$Z$184,15,0)</f>
        <v>#N/A</v>
      </c>
      <c r="D1525" s="609" t="e">
        <f>C1525*$L$4</f>
        <v>#N/A</v>
      </c>
      <c r="E1525" s="912"/>
      <c r="F1525" s="912"/>
      <c r="G1525" s="908" t="s">
        <v>361</v>
      </c>
      <c r="H1525" s="909" t="s">
        <v>2091</v>
      </c>
      <c r="I1525" s="910" t="e">
        <f>VLOOKUP(H1523,'LƯƠNG KT'!$D$16:$Z$184,15,0)</f>
        <v>#N/A</v>
      </c>
      <c r="J1525" s="609" t="e">
        <f>I1525*$L$4</f>
        <v>#N/A</v>
      </c>
      <c r="K1525" s="935"/>
      <c r="L1525" s="935"/>
      <c r="M1525" s="935"/>
      <c r="N1525" s="935"/>
      <c r="O1525" s="935"/>
    </row>
    <row r="1526" spans="1:15" ht="15" customHeight="1">
      <c r="A1526" s="908" t="s">
        <v>364</v>
      </c>
      <c r="B1526" s="909" t="s">
        <v>2092</v>
      </c>
      <c r="C1526" s="910" t="e">
        <f>VLOOKUP(B1523,'LƯƠNG KT'!$D$16:$Z$184,16,0)</f>
        <v>#N/A</v>
      </c>
      <c r="D1526" s="609" t="e">
        <f>C1526*$L$5</f>
        <v>#N/A</v>
      </c>
      <c r="E1526" s="912"/>
      <c r="F1526" s="912"/>
      <c r="G1526" s="908" t="s">
        <v>364</v>
      </c>
      <c r="H1526" s="909" t="s">
        <v>2092</v>
      </c>
      <c r="I1526" s="910" t="e">
        <f>VLOOKUP(H1523,'LƯƠNG KT'!$D$16:$Z$184,16,0)</f>
        <v>#N/A</v>
      </c>
      <c r="J1526" s="609" t="e">
        <f>I1526*$L$5</f>
        <v>#N/A</v>
      </c>
      <c r="K1526" s="935"/>
      <c r="L1526" s="935"/>
      <c r="M1526" s="935"/>
      <c r="N1526" s="935"/>
      <c r="O1526" s="935"/>
    </row>
    <row r="1527" spans="1:15" ht="15" customHeight="1">
      <c r="A1527" s="908" t="s">
        <v>370</v>
      </c>
      <c r="B1527" s="909" t="s">
        <v>2093</v>
      </c>
      <c r="C1527" s="910" t="e">
        <f>VLOOKUP(B1523,'LƯƠNG KT'!$D$16:$Z$184,24,0)</f>
        <v>#N/A</v>
      </c>
      <c r="D1527" s="609" t="e">
        <f>+C1527*$L$6</f>
        <v>#N/A</v>
      </c>
      <c r="E1527" s="912"/>
      <c r="F1527" s="912"/>
      <c r="G1527" s="908" t="s">
        <v>370</v>
      </c>
      <c r="H1527" s="909" t="s">
        <v>2093</v>
      </c>
      <c r="I1527" s="910" t="e">
        <f>VLOOKUP(H1523,'LƯƠNG KT'!$D$16:$Z$184,24,0)</f>
        <v>#N/A</v>
      </c>
      <c r="J1527" s="609" t="e">
        <f>+I1527*$L$6</f>
        <v>#N/A</v>
      </c>
      <c r="K1527" s="935"/>
      <c r="L1527" s="935"/>
      <c r="M1527" s="935"/>
      <c r="N1527" s="935"/>
      <c r="O1527" s="935"/>
    </row>
    <row r="1528" spans="1:15" ht="15" customHeight="1">
      <c r="A1528" s="908" t="s">
        <v>2094</v>
      </c>
      <c r="B1528" s="909" t="s">
        <v>2095</v>
      </c>
      <c r="C1528" s="910" t="e">
        <f>VLOOKUP(B1523,'LƯƠNG KT'!$D$16:$Z$184,19,0)</f>
        <v>#N/A</v>
      </c>
      <c r="D1528" s="609" t="e">
        <f>+C1528*$L$8</f>
        <v>#N/A</v>
      </c>
      <c r="E1528" s="912"/>
      <c r="F1528" s="912"/>
      <c r="G1528" s="908" t="s">
        <v>2094</v>
      </c>
      <c r="H1528" s="909" t="s">
        <v>2095</v>
      </c>
      <c r="I1528" s="910" t="e">
        <f>VLOOKUP(H1523,'LƯƠNG KT'!$D$16:$Z$184,19,0)</f>
        <v>#N/A</v>
      </c>
      <c r="J1528" s="609" t="e">
        <f>+I1528*$L$8</f>
        <v>#N/A</v>
      </c>
      <c r="K1528" s="935"/>
      <c r="L1528" s="935"/>
      <c r="M1528" s="935"/>
      <c r="N1528" s="935"/>
      <c r="O1528" s="935"/>
    </row>
    <row r="1529" spans="1:15" ht="15" customHeight="1">
      <c r="A1529" s="908" t="s">
        <v>2096</v>
      </c>
      <c r="B1529" s="913" t="s">
        <v>2097</v>
      </c>
      <c r="C1529" s="910" t="e">
        <f>VLOOKUP(B1523,'LƯƠNG KT'!$D$16:$Z$184,20,0)</f>
        <v>#N/A</v>
      </c>
      <c r="D1529" s="609" t="e">
        <f>+C1529*$L$9</f>
        <v>#N/A</v>
      </c>
      <c r="E1529" s="912"/>
      <c r="F1529" s="912"/>
      <c r="G1529" s="908" t="s">
        <v>2096</v>
      </c>
      <c r="H1529" s="913" t="s">
        <v>2097</v>
      </c>
      <c r="I1529" s="910" t="e">
        <f>VLOOKUP(H1523,'LƯƠNG KT'!$D$16:$Z$184,20,0)</f>
        <v>#N/A</v>
      </c>
      <c r="J1529" s="609" t="e">
        <f>+I1529*$L$9</f>
        <v>#N/A</v>
      </c>
      <c r="K1529" s="935"/>
      <c r="L1529" s="935"/>
      <c r="M1529" s="935"/>
      <c r="N1529" s="935"/>
      <c r="O1529" s="935"/>
    </row>
    <row r="1530" spans="1:15" ht="15" customHeight="1">
      <c r="A1530" s="908" t="s">
        <v>2099</v>
      </c>
      <c r="B1530" s="909" t="s">
        <v>2100</v>
      </c>
      <c r="C1530" s="910" t="e">
        <f>VLOOKUP(B1523,'LƯƠNG KT'!$D$16:$Z$184,17,0)</f>
        <v>#N/A</v>
      </c>
      <c r="D1530" s="609" t="e">
        <f>+C1530*$L$10</f>
        <v>#N/A</v>
      </c>
      <c r="E1530" s="912"/>
      <c r="F1530" s="912"/>
      <c r="G1530" s="908" t="s">
        <v>2099</v>
      </c>
      <c r="H1530" s="909" t="s">
        <v>2100</v>
      </c>
      <c r="I1530" s="910" t="e">
        <f>VLOOKUP(H1523,'LƯƠNG KT'!$D$16:$Z$184,17,0)</f>
        <v>#N/A</v>
      </c>
      <c r="J1530" s="609" t="e">
        <f>+I1530*$L$10</f>
        <v>#N/A</v>
      </c>
      <c r="K1530" s="935"/>
      <c r="L1530" s="935"/>
      <c r="M1530" s="935"/>
      <c r="N1530" s="935"/>
      <c r="O1530" s="935"/>
    </row>
    <row r="1531" spans="1:15" ht="15" customHeight="1">
      <c r="A1531" s="908" t="s">
        <v>374</v>
      </c>
      <c r="B1531" s="909" t="s">
        <v>2102</v>
      </c>
      <c r="C1531" s="910" t="e">
        <f>VLOOKUP(B1523,'LƯƠNG KT'!$D$16:$Z$184,12,0)</f>
        <v>#N/A</v>
      </c>
      <c r="D1531" s="609" t="e">
        <f>VLOOKUP(B1523,'LƯƠNG KT'!$D$16:$Z$184,14,0)</f>
        <v>#N/A</v>
      </c>
      <c r="E1531" s="914"/>
      <c r="F1531" s="912"/>
      <c r="G1531" s="908" t="s">
        <v>374</v>
      </c>
      <c r="H1531" s="909" t="s">
        <v>2102</v>
      </c>
      <c r="I1531" s="910" t="e">
        <f>VLOOKUP(H1523,'LƯƠNG KT'!$D$16:$Z$184,12,0)</f>
        <v>#N/A</v>
      </c>
      <c r="J1531" s="609" t="e">
        <f>VLOOKUP(H1523,'LƯƠNG KT'!$D$16:$Z$184,14,0)</f>
        <v>#N/A</v>
      </c>
      <c r="K1531" s="935"/>
      <c r="L1531" s="935"/>
      <c r="M1531" s="935"/>
      <c r="N1531" s="935"/>
      <c r="O1531" s="935"/>
    </row>
    <row r="1532" spans="1:15" ht="15" customHeight="1">
      <c r="A1532" s="908" t="s">
        <v>2103</v>
      </c>
      <c r="B1532" s="909" t="s">
        <v>2104</v>
      </c>
      <c r="D1532" s="915" t="e">
        <f>VLOOKUP(B1523,'LƯƠNG KT'!$D$16:$Z$184,13,0)</f>
        <v>#N/A</v>
      </c>
      <c r="E1532" s="916"/>
      <c r="F1532" s="916"/>
      <c r="G1532" s="908" t="s">
        <v>2103</v>
      </c>
      <c r="H1532" s="909" t="s">
        <v>2104</v>
      </c>
      <c r="J1532" s="915" t="e">
        <f>VLOOKUP(H1523,'LƯƠNG KT'!$D$16:$Z$184,13,0)</f>
        <v>#N/A</v>
      </c>
    </row>
    <row r="1533" spans="1:15" ht="15" customHeight="1">
      <c r="A1533" s="547"/>
      <c r="B1533" s="546"/>
      <c r="C1533" s="910"/>
      <c r="D1533" s="609"/>
      <c r="E1533" s="914"/>
      <c r="F1533" s="916"/>
      <c r="G1533" s="547"/>
      <c r="H1533" s="546"/>
      <c r="I1533" s="910"/>
      <c r="J1533" s="609"/>
    </row>
    <row r="1534" spans="1:15" ht="15" customHeight="1">
      <c r="A1534" s="905"/>
      <c r="B1534" s="546"/>
      <c r="C1534" s="910"/>
      <c r="D1534" s="609"/>
      <c r="E1534" s="917"/>
      <c r="F1534" s="904"/>
      <c r="G1534" s="905"/>
      <c r="H1534" s="546"/>
      <c r="I1534" s="910"/>
      <c r="J1534" s="609"/>
    </row>
    <row r="1535" spans="1:15" ht="15" customHeight="1">
      <c r="A1535" s="918" t="s">
        <v>383</v>
      </c>
      <c r="B1535" s="919" t="s">
        <v>384</v>
      </c>
      <c r="C1535" s="920"/>
      <c r="D1535" s="921" t="e">
        <f>SUM(D1524:D1531)-D1534</f>
        <v>#N/A</v>
      </c>
      <c r="E1535" s="922"/>
      <c r="F1535" s="923"/>
      <c r="G1535" s="918" t="s">
        <v>383</v>
      </c>
      <c r="H1535" s="919" t="s">
        <v>384</v>
      </c>
      <c r="I1535" s="920"/>
      <c r="J1535" s="921" t="e">
        <f>SUM(J1524:J1531)-J1534</f>
        <v>#N/A</v>
      </c>
    </row>
    <row r="1536" spans="1:15" ht="18.75" customHeight="1">
      <c r="A1536" s="924"/>
      <c r="B1536" s="925"/>
      <c r="C1536" s="926"/>
      <c r="D1536" s="927"/>
      <c r="E1536" s="927"/>
      <c r="F1536" s="928"/>
      <c r="G1536" s="924"/>
      <c r="H1536" s="925"/>
      <c r="I1536" s="926"/>
      <c r="J1536" s="927"/>
    </row>
    <row r="1537" spans="1:15" ht="18.75" customHeight="1">
      <c r="A1537" s="925"/>
      <c r="B1537" s="925"/>
      <c r="C1537" s="929"/>
      <c r="D1537" s="930"/>
      <c r="E1537" s="925"/>
      <c r="F1537" s="931"/>
      <c r="G1537" s="925"/>
      <c r="H1537" s="925"/>
      <c r="I1537" s="929"/>
      <c r="J1537" s="930"/>
    </row>
    <row r="1538" spans="1:15" ht="15" customHeight="1">
      <c r="A1538" s="2360" t="str">
        <f>$K$2</f>
        <v>THÁNG 04/2025</v>
      </c>
      <c r="B1538" s="2360"/>
      <c r="C1538" s="2360"/>
      <c r="D1538" s="2360"/>
      <c r="E1538" s="903"/>
      <c r="F1538" s="904"/>
      <c r="G1538" s="2360" t="str">
        <f>$K$2</f>
        <v>THÁNG 04/2025</v>
      </c>
      <c r="H1538" s="2360"/>
      <c r="I1538" s="2360"/>
      <c r="J1538" s="2360"/>
      <c r="K1538" s="276"/>
    </row>
    <row r="1539" spans="1:15" ht="15" customHeight="1">
      <c r="A1539" s="905" t="s">
        <v>356</v>
      </c>
      <c r="B1539" s="642" t="s">
        <v>91</v>
      </c>
      <c r="C1539" s="546"/>
      <c r="D1539" s="902"/>
      <c r="E1539" s="906"/>
      <c r="F1539" s="907"/>
      <c r="G1539" s="905" t="s">
        <v>356</v>
      </c>
      <c r="H1539" s="642" t="s">
        <v>102</v>
      </c>
      <c r="I1539" s="546"/>
      <c r="J1539" s="902"/>
      <c r="L1539" s="938"/>
      <c r="M1539" s="938"/>
      <c r="N1539" s="938"/>
      <c r="O1539" s="938"/>
    </row>
    <row r="1540" spans="1:15" ht="15" customHeight="1">
      <c r="A1540" s="908" t="s">
        <v>359</v>
      </c>
      <c r="B1540" s="909" t="s">
        <v>2090</v>
      </c>
      <c r="C1540" s="910" t="e">
        <f>VLOOKUP(B1539,'LƯƠNG KT'!$D$16:$Z$184,4,0)</f>
        <v>#N/A</v>
      </c>
      <c r="D1540" s="609" t="e">
        <f>+C1540*25000</f>
        <v>#N/A</v>
      </c>
      <c r="E1540" s="911"/>
      <c r="F1540" s="911"/>
      <c r="G1540" s="908" t="s">
        <v>359</v>
      </c>
      <c r="H1540" s="909" t="s">
        <v>2090</v>
      </c>
      <c r="I1540" s="910" t="e">
        <f>VLOOKUP(H1539,'LƯƠNG KT'!$D$16:$Z$184,4,0)</f>
        <v>#N/A</v>
      </c>
      <c r="J1540" s="609" t="e">
        <f>+I1540*25000</f>
        <v>#N/A</v>
      </c>
      <c r="K1540" s="935"/>
      <c r="L1540" s="935"/>
      <c r="M1540" s="935"/>
      <c r="N1540" s="935"/>
      <c r="O1540" s="935"/>
    </row>
    <row r="1541" spans="1:15" ht="15" customHeight="1">
      <c r="A1541" s="908" t="s">
        <v>361</v>
      </c>
      <c r="B1541" s="909" t="s">
        <v>2091</v>
      </c>
      <c r="C1541" s="910" t="e">
        <f>VLOOKUP(B1539,'LƯƠNG KT'!$D$16:$Z$184,15,0)</f>
        <v>#N/A</v>
      </c>
      <c r="D1541" s="609" t="e">
        <f>C1541*$L$4</f>
        <v>#N/A</v>
      </c>
      <c r="E1541" s="912"/>
      <c r="F1541" s="912"/>
      <c r="G1541" s="908" t="s">
        <v>361</v>
      </c>
      <c r="H1541" s="909" t="s">
        <v>2091</v>
      </c>
      <c r="I1541" s="910" t="e">
        <f>VLOOKUP(H1539,'LƯƠNG KT'!$D$16:$Z$184,15,0)</f>
        <v>#N/A</v>
      </c>
      <c r="J1541" s="609" t="e">
        <f>I1541*$L$4</f>
        <v>#N/A</v>
      </c>
      <c r="K1541" s="935"/>
      <c r="L1541" s="935"/>
      <c r="M1541" s="935"/>
      <c r="N1541" s="935"/>
      <c r="O1541" s="935"/>
    </row>
    <row r="1542" spans="1:15" ht="15" customHeight="1">
      <c r="A1542" s="908" t="s">
        <v>364</v>
      </c>
      <c r="B1542" s="909" t="s">
        <v>2092</v>
      </c>
      <c r="C1542" s="910" t="e">
        <f>VLOOKUP(B1539,'LƯƠNG KT'!$D$16:$Z$184,16,0)</f>
        <v>#N/A</v>
      </c>
      <c r="D1542" s="609" t="e">
        <f>C1542*$L$5</f>
        <v>#N/A</v>
      </c>
      <c r="E1542" s="912"/>
      <c r="F1542" s="912"/>
      <c r="G1542" s="908" t="s">
        <v>364</v>
      </c>
      <c r="H1542" s="909" t="s">
        <v>2092</v>
      </c>
      <c r="I1542" s="910" t="e">
        <f>VLOOKUP(H1539,'LƯƠNG KT'!$D$16:$Z$184,16,0)</f>
        <v>#N/A</v>
      </c>
      <c r="J1542" s="609" t="e">
        <f>I1542*$L$5</f>
        <v>#N/A</v>
      </c>
      <c r="K1542" s="935"/>
      <c r="L1542" s="935"/>
      <c r="M1542" s="935"/>
      <c r="N1542" s="935"/>
      <c r="O1542" s="935"/>
    </row>
    <row r="1543" spans="1:15" ht="15" customHeight="1">
      <c r="A1543" s="908" t="s">
        <v>370</v>
      </c>
      <c r="B1543" s="909" t="s">
        <v>2093</v>
      </c>
      <c r="C1543" s="910" t="e">
        <f>VLOOKUP(B1539,'LƯƠNG KT'!$D$16:$Z$184,24,0)</f>
        <v>#N/A</v>
      </c>
      <c r="D1543" s="609" t="e">
        <f>+C1543*$L$6</f>
        <v>#N/A</v>
      </c>
      <c r="E1543" s="912"/>
      <c r="F1543" s="912"/>
      <c r="G1543" s="908" t="s">
        <v>370</v>
      </c>
      <c r="H1543" s="909" t="s">
        <v>2093</v>
      </c>
      <c r="I1543" s="910" t="e">
        <f>VLOOKUP(H1539,'LƯƠNG KT'!$D$16:$Z$184,24,0)</f>
        <v>#N/A</v>
      </c>
      <c r="J1543" s="609" t="e">
        <f>+I1543*$L$6</f>
        <v>#N/A</v>
      </c>
      <c r="K1543" s="935"/>
      <c r="L1543" s="935"/>
      <c r="M1543" s="935"/>
      <c r="N1543" s="935"/>
      <c r="O1543" s="935"/>
    </row>
    <row r="1544" spans="1:15" ht="15" customHeight="1">
      <c r="A1544" s="908" t="s">
        <v>2094</v>
      </c>
      <c r="B1544" s="909" t="s">
        <v>2095</v>
      </c>
      <c r="C1544" s="910" t="e">
        <f>VLOOKUP(B1539,'LƯƠNG KT'!$D$16:$Z$184,19,0)</f>
        <v>#N/A</v>
      </c>
      <c r="D1544" s="609" t="e">
        <f>+C1544*$L$8</f>
        <v>#N/A</v>
      </c>
      <c r="E1544" s="912"/>
      <c r="F1544" s="912"/>
      <c r="G1544" s="908" t="s">
        <v>2094</v>
      </c>
      <c r="H1544" s="909" t="s">
        <v>2095</v>
      </c>
      <c r="I1544" s="910" t="e">
        <f>VLOOKUP(H1539,'LƯƠNG KT'!$D$16:$Z$184,19,0)</f>
        <v>#N/A</v>
      </c>
      <c r="J1544" s="609" t="e">
        <f>+I1544*$L$8</f>
        <v>#N/A</v>
      </c>
      <c r="K1544" s="935"/>
      <c r="L1544" s="935"/>
      <c r="M1544" s="935"/>
      <c r="N1544" s="935"/>
      <c r="O1544" s="935"/>
    </row>
    <row r="1545" spans="1:15" ht="15" customHeight="1">
      <c r="A1545" s="908" t="s">
        <v>2096</v>
      </c>
      <c r="B1545" s="913" t="s">
        <v>2097</v>
      </c>
      <c r="C1545" s="910" t="e">
        <f>VLOOKUP(B1539,'LƯƠNG KT'!$D$16:$Z$184,20,0)</f>
        <v>#N/A</v>
      </c>
      <c r="D1545" s="609" t="e">
        <f>+C1545*$L$9</f>
        <v>#N/A</v>
      </c>
      <c r="E1545" s="912"/>
      <c r="F1545" s="912"/>
      <c r="G1545" s="908" t="s">
        <v>2096</v>
      </c>
      <c r="H1545" s="913" t="s">
        <v>2097</v>
      </c>
      <c r="I1545" s="910" t="e">
        <f>VLOOKUP(H1539,'LƯƠNG KT'!$D$16:$Z$184,20,0)</f>
        <v>#N/A</v>
      </c>
      <c r="J1545" s="609" t="e">
        <f>+I1545*$L$9</f>
        <v>#N/A</v>
      </c>
      <c r="K1545" s="935"/>
      <c r="L1545" s="935"/>
      <c r="M1545" s="935"/>
      <c r="N1545" s="935"/>
      <c r="O1545" s="935"/>
    </row>
    <row r="1546" spans="1:15" ht="15" customHeight="1">
      <c r="A1546" s="908" t="s">
        <v>2099</v>
      </c>
      <c r="B1546" s="909" t="s">
        <v>2100</v>
      </c>
      <c r="C1546" s="910" t="e">
        <f>VLOOKUP(B1539,'LƯƠNG KT'!$D$16:$Z$184,17,0)</f>
        <v>#N/A</v>
      </c>
      <c r="D1546" s="609" t="e">
        <f>+C1546*$L$10</f>
        <v>#N/A</v>
      </c>
      <c r="E1546" s="912"/>
      <c r="F1546" s="912"/>
      <c r="G1546" s="908" t="s">
        <v>2099</v>
      </c>
      <c r="H1546" s="909" t="s">
        <v>2100</v>
      </c>
      <c r="I1546" s="910" t="e">
        <f>VLOOKUP(H1539,'LƯƠNG KT'!$D$16:$Z$184,17,0)</f>
        <v>#N/A</v>
      </c>
      <c r="J1546" s="609" t="e">
        <f>+I1546*$L$10</f>
        <v>#N/A</v>
      </c>
      <c r="K1546" s="935"/>
      <c r="L1546" s="935"/>
      <c r="M1546" s="935"/>
      <c r="N1546" s="935"/>
      <c r="O1546" s="935"/>
    </row>
    <row r="1547" spans="1:15" ht="15" customHeight="1">
      <c r="A1547" s="908" t="s">
        <v>374</v>
      </c>
      <c r="B1547" s="909" t="s">
        <v>2102</v>
      </c>
      <c r="C1547" s="910" t="e">
        <f>VLOOKUP(B1539,'LƯƠNG KT'!$D$16:$Z$184,12,0)</f>
        <v>#N/A</v>
      </c>
      <c r="D1547" s="609" t="e">
        <f>VLOOKUP(B1539,'LƯƠNG KT'!$D$16:$Z$184,14,0)</f>
        <v>#N/A</v>
      </c>
      <c r="E1547" s="914"/>
      <c r="F1547" s="912"/>
      <c r="G1547" s="908" t="s">
        <v>374</v>
      </c>
      <c r="H1547" s="909" t="s">
        <v>2102</v>
      </c>
      <c r="I1547" s="910" t="e">
        <f>VLOOKUP(H1539,'LƯƠNG KT'!$D$16:$Z$184,12,0)</f>
        <v>#N/A</v>
      </c>
      <c r="J1547" s="609" t="e">
        <f>VLOOKUP(H1539,'LƯƠNG KT'!$D$16:$Z$184,14,0)</f>
        <v>#N/A</v>
      </c>
      <c r="K1547" s="935"/>
      <c r="L1547" s="935"/>
      <c r="M1547" s="935"/>
      <c r="N1547" s="935"/>
      <c r="O1547" s="935"/>
    </row>
    <row r="1548" spans="1:15" ht="15" customHeight="1">
      <c r="A1548" s="908" t="s">
        <v>2103</v>
      </c>
      <c r="B1548" s="909" t="s">
        <v>2104</v>
      </c>
      <c r="D1548" s="915" t="e">
        <f>VLOOKUP(B1539,'LƯƠNG KT'!$D$16:$Z$184,13,0)</f>
        <v>#N/A</v>
      </c>
      <c r="E1548" s="916"/>
      <c r="F1548" s="916"/>
      <c r="G1548" s="908" t="s">
        <v>2103</v>
      </c>
      <c r="H1548" s="909" t="s">
        <v>2104</v>
      </c>
      <c r="J1548" s="915" t="e">
        <f>VLOOKUP(H1539,'LƯƠNG KT'!$D$16:$Z$184,13,0)</f>
        <v>#N/A</v>
      </c>
    </row>
    <row r="1549" spans="1:15" ht="15" customHeight="1">
      <c r="A1549" s="547"/>
      <c r="B1549" s="546"/>
      <c r="C1549" s="910"/>
      <c r="D1549" s="609"/>
      <c r="E1549" s="914"/>
      <c r="F1549" s="916"/>
      <c r="G1549" s="547"/>
      <c r="H1549" s="546"/>
      <c r="I1549" s="910"/>
      <c r="J1549" s="609"/>
    </row>
    <row r="1550" spans="1:15" ht="15" customHeight="1">
      <c r="A1550" s="905"/>
      <c r="B1550" s="546"/>
      <c r="C1550" s="910"/>
      <c r="D1550" s="609"/>
      <c r="E1550" s="917"/>
      <c r="F1550" s="904"/>
      <c r="G1550" s="905"/>
      <c r="H1550" s="546"/>
      <c r="I1550" s="910"/>
      <c r="J1550" s="609"/>
    </row>
    <row r="1551" spans="1:15" ht="15" customHeight="1">
      <c r="A1551" s="918" t="s">
        <v>383</v>
      </c>
      <c r="B1551" s="919" t="s">
        <v>384</v>
      </c>
      <c r="C1551" s="920"/>
      <c r="D1551" s="921" t="e">
        <f>SUM(D1540:D1547)-D1550</f>
        <v>#N/A</v>
      </c>
      <c r="E1551" s="922"/>
      <c r="F1551" s="923"/>
      <c r="G1551" s="918" t="s">
        <v>383</v>
      </c>
      <c r="H1551" s="919" t="s">
        <v>384</v>
      </c>
      <c r="I1551" s="920"/>
      <c r="J1551" s="921" t="e">
        <f>SUM(J1540:J1547)-J1550</f>
        <v>#N/A</v>
      </c>
    </row>
    <row r="1552" spans="1:15" ht="18.75" customHeight="1">
      <c r="A1552" s="924"/>
      <c r="B1552" s="925"/>
      <c r="C1552" s="926"/>
      <c r="D1552" s="927"/>
      <c r="E1552" s="927"/>
      <c r="F1552" s="928"/>
      <c r="G1552" s="924"/>
      <c r="H1552" s="925"/>
      <c r="I1552" s="926"/>
      <c r="J1552" s="927"/>
    </row>
    <row r="1553" spans="1:15" ht="144" customHeight="1">
      <c r="A1553" s="925"/>
      <c r="B1553" s="925"/>
      <c r="C1553" s="929"/>
      <c r="D1553" s="930"/>
      <c r="E1553" s="925"/>
      <c r="F1553" s="931"/>
      <c r="G1553" s="925"/>
      <c r="H1553" s="925"/>
      <c r="I1553" s="929"/>
      <c r="J1553" s="930"/>
    </row>
    <row r="1554" spans="1:15" ht="15" customHeight="1">
      <c r="A1554" s="2360" t="str">
        <f>$K$2</f>
        <v>THÁNG 04/2025</v>
      </c>
      <c r="B1554" s="2360"/>
      <c r="C1554" s="2360"/>
      <c r="D1554" s="2360"/>
      <c r="E1554" s="903"/>
      <c r="F1554" s="904"/>
      <c r="G1554" s="2360" t="str">
        <f>$K$2</f>
        <v>THÁNG 04/2025</v>
      </c>
      <c r="H1554" s="2360"/>
      <c r="I1554" s="2360"/>
      <c r="J1554" s="2360"/>
      <c r="K1554" s="276"/>
    </row>
    <row r="1555" spans="1:15" ht="15" customHeight="1">
      <c r="A1555" s="905" t="s">
        <v>356</v>
      </c>
      <c r="B1555" s="642" t="s">
        <v>88</v>
      </c>
      <c r="C1555" s="546"/>
      <c r="D1555" s="902"/>
      <c r="E1555" s="906"/>
      <c r="F1555" s="907"/>
      <c r="G1555" s="905" t="s">
        <v>356</v>
      </c>
      <c r="H1555" s="642" t="s">
        <v>1292</v>
      </c>
      <c r="I1555" s="546"/>
      <c r="J1555" s="902"/>
      <c r="L1555" s="938"/>
      <c r="M1555" s="938"/>
      <c r="N1555" s="938"/>
      <c r="O1555" s="938"/>
    </row>
    <row r="1556" spans="1:15" ht="15" customHeight="1">
      <c r="A1556" s="908" t="s">
        <v>359</v>
      </c>
      <c r="B1556" s="909" t="s">
        <v>2090</v>
      </c>
      <c r="C1556" s="910" t="e">
        <f>VLOOKUP(B1555,'LƯƠNG KT'!$D$16:$Z$184,4,0)</f>
        <v>#N/A</v>
      </c>
      <c r="D1556" s="609" t="e">
        <f>+C1556*25000</f>
        <v>#N/A</v>
      </c>
      <c r="E1556" s="911"/>
      <c r="F1556" s="911"/>
      <c r="G1556" s="908" t="s">
        <v>359</v>
      </c>
      <c r="H1556" s="909" t="s">
        <v>2090</v>
      </c>
      <c r="I1556" s="910" t="e">
        <f>VLOOKUP(H1555,'LƯƠNG KT'!$D$16:$Z$184,4,0)</f>
        <v>#N/A</v>
      </c>
      <c r="J1556" s="609" t="e">
        <f>+I1556*25000</f>
        <v>#N/A</v>
      </c>
      <c r="K1556" s="935"/>
      <c r="L1556" s="935"/>
      <c r="M1556" s="935"/>
      <c r="N1556" s="935"/>
      <c r="O1556" s="935"/>
    </row>
    <row r="1557" spans="1:15" ht="15" customHeight="1">
      <c r="A1557" s="908" t="s">
        <v>361</v>
      </c>
      <c r="B1557" s="909" t="s">
        <v>2091</v>
      </c>
      <c r="C1557" s="910" t="e">
        <f>VLOOKUP(B1555,'LƯƠNG KT'!$D$16:$Z$184,15,0)</f>
        <v>#N/A</v>
      </c>
      <c r="D1557" s="609" t="e">
        <f>C1557*$L$4</f>
        <v>#N/A</v>
      </c>
      <c r="E1557" s="912"/>
      <c r="F1557" s="912"/>
      <c r="G1557" s="908" t="s">
        <v>361</v>
      </c>
      <c r="H1557" s="909" t="s">
        <v>2091</v>
      </c>
      <c r="I1557" s="910" t="e">
        <f>VLOOKUP(H1555,'LƯƠNG KT'!$D$16:$Z$184,15,0)</f>
        <v>#N/A</v>
      </c>
      <c r="J1557" s="609" t="e">
        <f>I1557*$L$4</f>
        <v>#N/A</v>
      </c>
      <c r="K1557" s="935"/>
      <c r="L1557" s="935"/>
      <c r="M1557" s="935"/>
      <c r="N1557" s="935"/>
      <c r="O1557" s="935"/>
    </row>
    <row r="1558" spans="1:15" ht="15" customHeight="1">
      <c r="A1558" s="908" t="s">
        <v>364</v>
      </c>
      <c r="B1558" s="909" t="s">
        <v>2092</v>
      </c>
      <c r="C1558" s="910" t="e">
        <f>VLOOKUP(B1555,'LƯƠNG KT'!$D$16:$Z$184,16,0)</f>
        <v>#N/A</v>
      </c>
      <c r="D1558" s="609" t="e">
        <f>C1558*$L$5</f>
        <v>#N/A</v>
      </c>
      <c r="E1558" s="912"/>
      <c r="F1558" s="912"/>
      <c r="G1558" s="908" t="s">
        <v>364</v>
      </c>
      <c r="H1558" s="909" t="s">
        <v>2092</v>
      </c>
      <c r="I1558" s="910" t="e">
        <f>VLOOKUP(H1555,'LƯƠNG KT'!$D$16:$Z$184,16,0)</f>
        <v>#N/A</v>
      </c>
      <c r="J1558" s="609" t="e">
        <f>I1558*$L$5</f>
        <v>#N/A</v>
      </c>
      <c r="K1558" s="935"/>
      <c r="L1558" s="935"/>
      <c r="M1558" s="935"/>
      <c r="N1558" s="935"/>
      <c r="O1558" s="935"/>
    </row>
    <row r="1559" spans="1:15" ht="15" customHeight="1">
      <c r="A1559" s="908" t="s">
        <v>370</v>
      </c>
      <c r="B1559" s="909" t="s">
        <v>2093</v>
      </c>
      <c r="C1559" s="910" t="e">
        <f>VLOOKUP(B1555,'LƯƠNG KT'!$D$16:$Z$184,24,0)</f>
        <v>#N/A</v>
      </c>
      <c r="D1559" s="609" t="e">
        <f>+C1559*$L$6</f>
        <v>#N/A</v>
      </c>
      <c r="E1559" s="912"/>
      <c r="F1559" s="912"/>
      <c r="G1559" s="908" t="s">
        <v>370</v>
      </c>
      <c r="H1559" s="909" t="s">
        <v>2093</v>
      </c>
      <c r="I1559" s="910" t="e">
        <f>VLOOKUP(H1555,'LƯƠNG KT'!$D$16:$Z$184,24,0)</f>
        <v>#N/A</v>
      </c>
      <c r="J1559" s="609" t="e">
        <f>+I1559*$L$6</f>
        <v>#N/A</v>
      </c>
      <c r="K1559" s="935"/>
      <c r="L1559" s="935"/>
      <c r="M1559" s="935"/>
      <c r="N1559" s="935"/>
      <c r="O1559" s="935"/>
    </row>
    <row r="1560" spans="1:15" ht="15" customHeight="1">
      <c r="A1560" s="908" t="s">
        <v>2094</v>
      </c>
      <c r="B1560" s="909" t="s">
        <v>2095</v>
      </c>
      <c r="C1560" s="910" t="e">
        <f>VLOOKUP(B1555,'LƯƠNG KT'!$D$16:$Z$184,19,0)</f>
        <v>#N/A</v>
      </c>
      <c r="D1560" s="609" t="e">
        <f>+C1560*$L$8</f>
        <v>#N/A</v>
      </c>
      <c r="E1560" s="912"/>
      <c r="F1560" s="912"/>
      <c r="G1560" s="908" t="s">
        <v>2094</v>
      </c>
      <c r="H1560" s="909" t="s">
        <v>2095</v>
      </c>
      <c r="I1560" s="910" t="e">
        <f>VLOOKUP(H1555,'LƯƠNG KT'!$D$16:$Z$184,19,0)</f>
        <v>#N/A</v>
      </c>
      <c r="J1560" s="609" t="e">
        <f>+I1560*$L$8</f>
        <v>#N/A</v>
      </c>
      <c r="K1560" s="935"/>
      <c r="L1560" s="935"/>
      <c r="M1560" s="935"/>
      <c r="N1560" s="935"/>
      <c r="O1560" s="935"/>
    </row>
    <row r="1561" spans="1:15" ht="15" customHeight="1">
      <c r="A1561" s="908" t="s">
        <v>2096</v>
      </c>
      <c r="B1561" s="913" t="s">
        <v>2097</v>
      </c>
      <c r="C1561" s="910" t="e">
        <f>VLOOKUP(B1555,'LƯƠNG KT'!$D$16:$Z$184,20,0)</f>
        <v>#N/A</v>
      </c>
      <c r="D1561" s="609" t="e">
        <f>+C1561*$L$9</f>
        <v>#N/A</v>
      </c>
      <c r="E1561" s="912"/>
      <c r="F1561" s="912"/>
      <c r="G1561" s="908" t="s">
        <v>2096</v>
      </c>
      <c r="H1561" s="913" t="s">
        <v>2097</v>
      </c>
      <c r="I1561" s="910" t="e">
        <f>VLOOKUP(H1555,'LƯƠNG KT'!$D$16:$Z$184,20,0)</f>
        <v>#N/A</v>
      </c>
      <c r="J1561" s="609" t="e">
        <f>+I1561*$L$9</f>
        <v>#N/A</v>
      </c>
      <c r="K1561" s="935"/>
      <c r="L1561" s="935"/>
      <c r="M1561" s="935"/>
      <c r="N1561" s="935"/>
      <c r="O1561" s="935"/>
    </row>
    <row r="1562" spans="1:15" ht="15" customHeight="1">
      <c r="A1562" s="908" t="s">
        <v>2099</v>
      </c>
      <c r="B1562" s="909" t="s">
        <v>2100</v>
      </c>
      <c r="C1562" s="910" t="e">
        <f>VLOOKUP(B1555,'LƯƠNG KT'!$D$16:$Z$184,17,0)</f>
        <v>#N/A</v>
      </c>
      <c r="D1562" s="609" t="e">
        <f>+C1562*$L$10</f>
        <v>#N/A</v>
      </c>
      <c r="E1562" s="912"/>
      <c r="F1562" s="912"/>
      <c r="G1562" s="908" t="s">
        <v>2099</v>
      </c>
      <c r="H1562" s="909" t="s">
        <v>2100</v>
      </c>
      <c r="I1562" s="910" t="e">
        <f>VLOOKUP(H1555,'LƯƠNG KT'!$D$16:$Z$184,17,0)</f>
        <v>#N/A</v>
      </c>
      <c r="J1562" s="609" t="e">
        <f>+I1562*$L$10</f>
        <v>#N/A</v>
      </c>
      <c r="K1562" s="935"/>
      <c r="L1562" s="935"/>
      <c r="M1562" s="935"/>
      <c r="N1562" s="935"/>
      <c r="O1562" s="935"/>
    </row>
    <row r="1563" spans="1:15" ht="15" customHeight="1">
      <c r="A1563" s="908" t="s">
        <v>374</v>
      </c>
      <c r="B1563" s="909" t="s">
        <v>2102</v>
      </c>
      <c r="C1563" s="910" t="e">
        <f>VLOOKUP(B1555,'LƯƠNG KT'!$D$16:$Z$184,12,0)</f>
        <v>#N/A</v>
      </c>
      <c r="D1563" s="609" t="e">
        <f>VLOOKUP(B1555,'LƯƠNG KT'!$D$16:$Z$184,14,0)</f>
        <v>#N/A</v>
      </c>
      <c r="E1563" s="914"/>
      <c r="F1563" s="912"/>
      <c r="G1563" s="908" t="s">
        <v>374</v>
      </c>
      <c r="H1563" s="909" t="s">
        <v>2102</v>
      </c>
      <c r="I1563" s="910" t="e">
        <f>VLOOKUP(H1555,'LƯƠNG KT'!$D$16:$Z$184,12,0)</f>
        <v>#N/A</v>
      </c>
      <c r="J1563" s="609" t="e">
        <f>VLOOKUP(H1555,'LƯƠNG KT'!$D$16:$Z$184,14,0)</f>
        <v>#N/A</v>
      </c>
      <c r="K1563" s="935"/>
      <c r="L1563" s="935"/>
      <c r="M1563" s="935"/>
      <c r="N1563" s="935"/>
      <c r="O1563" s="935"/>
    </row>
    <row r="1564" spans="1:15" ht="15" customHeight="1">
      <c r="A1564" s="908" t="s">
        <v>2103</v>
      </c>
      <c r="B1564" s="909" t="s">
        <v>2104</v>
      </c>
      <c r="D1564" s="915" t="e">
        <f>VLOOKUP(B1555,'LƯƠNG KT'!$D$16:$Z$184,13,0)</f>
        <v>#N/A</v>
      </c>
      <c r="E1564" s="916"/>
      <c r="F1564" s="916"/>
      <c r="G1564" s="908" t="s">
        <v>2103</v>
      </c>
      <c r="H1564" s="909" t="s">
        <v>2104</v>
      </c>
      <c r="J1564" s="915" t="e">
        <f>VLOOKUP(H1555,'LƯƠNG KT'!$D$16:$Z$184,13,0)</f>
        <v>#N/A</v>
      </c>
    </row>
    <row r="1565" spans="1:15" ht="15" customHeight="1">
      <c r="A1565" s="547"/>
      <c r="B1565" s="546"/>
      <c r="C1565" s="910"/>
      <c r="D1565" s="609"/>
      <c r="E1565" s="914"/>
      <c r="F1565" s="916"/>
      <c r="G1565" s="547"/>
      <c r="H1565" s="546"/>
      <c r="I1565" s="910"/>
      <c r="J1565" s="609"/>
    </row>
    <row r="1566" spans="1:15" ht="15" customHeight="1">
      <c r="A1566" s="905"/>
      <c r="B1566" s="546"/>
      <c r="C1566" s="910"/>
      <c r="D1566" s="609"/>
      <c r="E1566" s="917"/>
      <c r="F1566" s="904"/>
      <c r="G1566" s="905"/>
      <c r="H1566" s="546"/>
      <c r="I1566" s="910"/>
      <c r="J1566" s="609"/>
    </row>
    <row r="1567" spans="1:15" ht="15" customHeight="1">
      <c r="A1567" s="918" t="s">
        <v>383</v>
      </c>
      <c r="B1567" s="919" t="s">
        <v>384</v>
      </c>
      <c r="C1567" s="920"/>
      <c r="D1567" s="921" t="e">
        <f>SUM(D1556:D1563)-D1566</f>
        <v>#N/A</v>
      </c>
      <c r="E1567" s="922"/>
      <c r="F1567" s="923"/>
      <c r="G1567" s="918" t="s">
        <v>383</v>
      </c>
      <c r="H1567" s="919" t="s">
        <v>384</v>
      </c>
      <c r="I1567" s="920"/>
      <c r="J1567" s="921" t="e">
        <f>SUM(J1556:J1563)-J1566</f>
        <v>#N/A</v>
      </c>
    </row>
    <row r="1568" spans="1:15" ht="15.75" customHeight="1">
      <c r="A1568" s="924"/>
      <c r="B1568" s="925"/>
      <c r="C1568" s="926"/>
      <c r="D1568" s="927"/>
      <c r="E1568" s="927"/>
      <c r="F1568" s="928"/>
      <c r="G1568" s="924"/>
      <c r="H1568" s="925"/>
      <c r="I1568" s="926"/>
      <c r="J1568" s="927"/>
    </row>
    <row r="1570" spans="1:15" ht="12" customHeight="1">
      <c r="A1570" s="2361"/>
      <c r="B1570" s="2361"/>
      <c r="C1570" s="2361"/>
      <c r="D1570" s="2361"/>
      <c r="E1570" s="2361"/>
      <c r="F1570" s="2361"/>
      <c r="G1570" s="2361"/>
      <c r="H1570" s="2361"/>
      <c r="I1570" s="2361"/>
      <c r="J1570" s="2361"/>
    </row>
    <row r="1571" spans="1:15" ht="15" customHeight="1">
      <c r="A1571" s="2360" t="str">
        <f>$K$2</f>
        <v>THÁNG 04/2025</v>
      </c>
      <c r="B1571" s="2360"/>
      <c r="C1571" s="2360"/>
      <c r="D1571" s="2360"/>
      <c r="E1571" s="903"/>
      <c r="F1571" s="904"/>
      <c r="G1571" s="2360" t="str">
        <f>$K$2</f>
        <v>THÁNG 04/2025</v>
      </c>
      <c r="H1571" s="2360"/>
      <c r="I1571" s="2360"/>
      <c r="J1571" s="2360"/>
      <c r="K1571" s="276"/>
    </row>
    <row r="1572" spans="1:15" ht="15" customHeight="1">
      <c r="A1572" s="905" t="s">
        <v>356</v>
      </c>
      <c r="B1572" s="642" t="s">
        <v>74</v>
      </c>
      <c r="C1572" s="546"/>
      <c r="D1572" s="902"/>
      <c r="E1572" s="906"/>
      <c r="F1572" s="907"/>
      <c r="G1572" s="905" t="s">
        <v>356</v>
      </c>
      <c r="H1572" s="642" t="s">
        <v>77</v>
      </c>
      <c r="I1572" s="546"/>
      <c r="J1572" s="902"/>
      <c r="L1572" s="938"/>
      <c r="M1572" s="938"/>
      <c r="N1572" s="938"/>
      <c r="O1572" s="938"/>
    </row>
    <row r="1573" spans="1:15" ht="15" customHeight="1">
      <c r="A1573" s="908" t="s">
        <v>359</v>
      </c>
      <c r="B1573" s="909" t="s">
        <v>2090</v>
      </c>
      <c r="C1573" s="910" t="e">
        <f>VLOOKUP(B1572,'LƯƠNG KT'!$D$16:$Z$184,4,0)</f>
        <v>#N/A</v>
      </c>
      <c r="D1573" s="609" t="e">
        <f>+C1573*25000</f>
        <v>#N/A</v>
      </c>
      <c r="E1573" s="911"/>
      <c r="F1573" s="911"/>
      <c r="G1573" s="908" t="s">
        <v>359</v>
      </c>
      <c r="H1573" s="909" t="s">
        <v>2090</v>
      </c>
      <c r="I1573" s="910">
        <f>VLOOKUP(H1572,'LƯƠNG KT'!$D$16:$Z$184,4,0)</f>
        <v>0</v>
      </c>
      <c r="J1573" s="609">
        <f>+I1573*25000</f>
        <v>0</v>
      </c>
      <c r="K1573" s="934"/>
      <c r="L1573" s="935"/>
      <c r="M1573" s="935"/>
      <c r="N1573" s="935"/>
      <c r="O1573" s="935"/>
    </row>
    <row r="1574" spans="1:15" ht="15" customHeight="1">
      <c r="A1574" s="908" t="s">
        <v>361</v>
      </c>
      <c r="B1574" s="909" t="s">
        <v>2091</v>
      </c>
      <c r="C1574" s="910" t="e">
        <f>VLOOKUP(B1572,'LƯƠNG KT'!$D$16:$Z$184,15,0)</f>
        <v>#N/A</v>
      </c>
      <c r="D1574" s="609" t="e">
        <f>C1574*$L$4</f>
        <v>#N/A</v>
      </c>
      <c r="E1574" s="912"/>
      <c r="F1574" s="912"/>
      <c r="G1574" s="908" t="s">
        <v>361</v>
      </c>
      <c r="H1574" s="909" t="s">
        <v>2091</v>
      </c>
      <c r="I1574" s="910">
        <f>VLOOKUP(H1572,'LƯƠNG KT'!$D$16:$Z$184,15,0)</f>
        <v>0</v>
      </c>
      <c r="J1574" s="609">
        <f>I1574*$L$4</f>
        <v>0</v>
      </c>
      <c r="K1574" s="934"/>
      <c r="L1574" s="935"/>
      <c r="M1574" s="935"/>
      <c r="N1574" s="935"/>
      <c r="O1574" s="935"/>
    </row>
    <row r="1575" spans="1:15" ht="15" customHeight="1">
      <c r="A1575" s="908" t="s">
        <v>364</v>
      </c>
      <c r="B1575" s="909" t="s">
        <v>2092</v>
      </c>
      <c r="C1575" s="910" t="e">
        <f>VLOOKUP(B1572,'LƯƠNG KT'!$D$16:$Z$184,16,0)</f>
        <v>#N/A</v>
      </c>
      <c r="D1575" s="609" t="e">
        <f>C1575*$L$5</f>
        <v>#N/A</v>
      </c>
      <c r="E1575" s="912"/>
      <c r="F1575" s="912"/>
      <c r="G1575" s="908" t="s">
        <v>364</v>
      </c>
      <c r="H1575" s="909" t="s">
        <v>2092</v>
      </c>
      <c r="I1575" s="910">
        <f>VLOOKUP(H1572,'LƯƠNG KT'!$D$16:$Z$184,16,0)</f>
        <v>0</v>
      </c>
      <c r="J1575" s="609">
        <f>I1575*$L$5</f>
        <v>0</v>
      </c>
      <c r="K1575" s="934"/>
      <c r="L1575" s="935"/>
      <c r="M1575" s="935"/>
      <c r="N1575" s="935"/>
      <c r="O1575" s="935"/>
    </row>
    <row r="1576" spans="1:15" ht="15" customHeight="1">
      <c r="A1576" s="908" t="s">
        <v>370</v>
      </c>
      <c r="B1576" s="909" t="s">
        <v>2093</v>
      </c>
      <c r="C1576" s="910" t="e">
        <f>VLOOKUP(B1572,'LƯƠNG KT'!$D$16:$Z$184,24,0)</f>
        <v>#N/A</v>
      </c>
      <c r="D1576" s="609" t="e">
        <f>+C1576*$L$6</f>
        <v>#N/A</v>
      </c>
      <c r="E1576" s="912"/>
      <c r="F1576" s="912"/>
      <c r="G1576" s="908" t="s">
        <v>370</v>
      </c>
      <c r="H1576" s="909" t="s">
        <v>2093</v>
      </c>
      <c r="I1576" s="910" t="e">
        <f>VLOOKUP(H1572,'LƯƠNG KT'!$D$16:$Z$184,24,0)</f>
        <v>#REF!</v>
      </c>
      <c r="J1576" s="609" t="e">
        <f>+I1576*$L$6</f>
        <v>#REF!</v>
      </c>
      <c r="K1576" s="935"/>
      <c r="L1576" s="935"/>
      <c r="M1576" s="935"/>
      <c r="N1576" s="935"/>
      <c r="O1576" s="935"/>
    </row>
    <row r="1577" spans="1:15" ht="15" customHeight="1">
      <c r="A1577" s="908" t="s">
        <v>2094</v>
      </c>
      <c r="B1577" s="909" t="s">
        <v>2095</v>
      </c>
      <c r="C1577" s="910" t="e">
        <f>VLOOKUP(B1572,'LƯƠNG KT'!$D$16:$Z$184,19,0)</f>
        <v>#N/A</v>
      </c>
      <c r="D1577" s="609" t="e">
        <f>+C1577*$L$8</f>
        <v>#N/A</v>
      </c>
      <c r="E1577" s="912"/>
      <c r="F1577" s="912"/>
      <c r="G1577" s="908" t="s">
        <v>2094</v>
      </c>
      <c r="H1577" s="909" t="s">
        <v>2095</v>
      </c>
      <c r="I1577" s="910">
        <f>VLOOKUP(H1572,'LƯƠNG KT'!$D$16:$Z$184,19,0)</f>
        <v>9</v>
      </c>
      <c r="J1577" s="609">
        <f>+I1577*$L$8</f>
        <v>497880</v>
      </c>
      <c r="K1577" s="935"/>
      <c r="L1577" s="935"/>
      <c r="M1577" s="935"/>
      <c r="N1577" s="935"/>
      <c r="O1577" s="935"/>
    </row>
    <row r="1578" spans="1:15" ht="15" customHeight="1">
      <c r="A1578" s="908" t="s">
        <v>2096</v>
      </c>
      <c r="B1578" s="913" t="s">
        <v>2097</v>
      </c>
      <c r="C1578" s="910" t="e">
        <f>VLOOKUP(B1572,'LƯƠNG KT'!$D$16:$Z$184,20,0)</f>
        <v>#N/A</v>
      </c>
      <c r="D1578" s="609" t="e">
        <f>+C1578*$L$9</f>
        <v>#N/A</v>
      </c>
      <c r="E1578" s="912"/>
      <c r="F1578" s="912"/>
      <c r="G1578" s="908" t="s">
        <v>2096</v>
      </c>
      <c r="H1578" s="913" t="s">
        <v>2097</v>
      </c>
      <c r="I1578" s="910">
        <f>VLOOKUP(H1572,'LƯƠNG KT'!$D$16:$Z$184,20,0)</f>
        <v>0</v>
      </c>
      <c r="J1578" s="609">
        <f>+I1578*$L$9</f>
        <v>0</v>
      </c>
      <c r="K1578" s="935"/>
      <c r="L1578" s="935"/>
      <c r="M1578" s="935"/>
      <c r="N1578" s="935"/>
      <c r="O1578" s="935"/>
    </row>
    <row r="1579" spans="1:15" ht="15" customHeight="1">
      <c r="A1579" s="908" t="s">
        <v>2099</v>
      </c>
      <c r="B1579" s="909" t="s">
        <v>2100</v>
      </c>
      <c r="C1579" s="910" t="e">
        <f>VLOOKUP(B1572,'LƯƠNG KT'!$D$16:$Z$184,17,0)</f>
        <v>#N/A</v>
      </c>
      <c r="D1579" s="609" t="e">
        <f>+C1579*$L$10</f>
        <v>#N/A</v>
      </c>
      <c r="E1579" s="912"/>
      <c r="F1579" s="912"/>
      <c r="G1579" s="908" t="s">
        <v>2099</v>
      </c>
      <c r="H1579" s="909" t="s">
        <v>2100</v>
      </c>
      <c r="I1579" s="910" t="e">
        <f>VLOOKUP(H1572,'LƯƠNG KT'!$D$16:$Z$184,17,0)</f>
        <v>#N/A</v>
      </c>
      <c r="J1579" s="609" t="e">
        <f>+I1579*$L$10</f>
        <v>#N/A</v>
      </c>
      <c r="K1579" s="935"/>
      <c r="L1579" s="935"/>
      <c r="M1579" s="935"/>
      <c r="N1579" s="935"/>
      <c r="O1579" s="935"/>
    </row>
    <row r="1580" spans="1:15" ht="15" customHeight="1">
      <c r="A1580" s="908" t="s">
        <v>374</v>
      </c>
      <c r="B1580" s="909" t="s">
        <v>2102</v>
      </c>
      <c r="C1580" s="910" t="e">
        <f>VLOOKUP(B1572,'LƯƠNG KT'!$D$16:$Z$184,12,0)</f>
        <v>#N/A</v>
      </c>
      <c r="D1580" s="609" t="e">
        <f>VLOOKUP(B1572,'LƯƠNG KT'!$D$16:$Z$184,14,0)</f>
        <v>#N/A</v>
      </c>
      <c r="E1580" s="914"/>
      <c r="F1580" s="912"/>
      <c r="G1580" s="908" t="s">
        <v>374</v>
      </c>
      <c r="H1580" s="909" t="s">
        <v>2102</v>
      </c>
      <c r="I1580" s="910">
        <f>VLOOKUP(H1572,'LƯƠNG KT'!$D$16:$Z$184,12,0)</f>
        <v>7</v>
      </c>
      <c r="J1580" s="609">
        <f>VLOOKUP(H1572,'LƯƠNG KT'!$D$16:$Z$184,14,0)</f>
        <v>0</v>
      </c>
      <c r="K1580" s="935"/>
      <c r="L1580" s="935"/>
      <c r="M1580" s="935"/>
      <c r="N1580" s="935"/>
      <c r="O1580" s="935"/>
    </row>
    <row r="1581" spans="1:15" ht="15" customHeight="1">
      <c r="A1581" s="908" t="s">
        <v>2103</v>
      </c>
      <c r="B1581" s="909" t="s">
        <v>2104</v>
      </c>
      <c r="D1581" s="915" t="e">
        <f>VLOOKUP(B1572,'LƯƠNG KT'!$D$16:$Z$184,13,0)</f>
        <v>#N/A</v>
      </c>
      <c r="E1581" s="916"/>
      <c r="F1581" s="916"/>
      <c r="G1581" s="908" t="s">
        <v>2103</v>
      </c>
      <c r="H1581" s="909" t="s">
        <v>2104</v>
      </c>
      <c r="J1581" s="915">
        <f>VLOOKUP(H1572,'LƯƠNG KT'!$D$16:$Z$184,13,0)</f>
        <v>2</v>
      </c>
    </row>
    <row r="1582" spans="1:15" ht="15" customHeight="1">
      <c r="A1582" s="547"/>
      <c r="B1582" s="546"/>
      <c r="C1582" s="910"/>
      <c r="D1582" s="609"/>
      <c r="E1582" s="914"/>
      <c r="F1582" s="916"/>
      <c r="G1582" s="547"/>
      <c r="H1582" s="546"/>
      <c r="I1582" s="910"/>
      <c r="J1582" s="609"/>
    </row>
    <row r="1583" spans="1:15" ht="15" customHeight="1">
      <c r="A1583" s="905"/>
      <c r="B1583" s="546"/>
      <c r="C1583" s="910"/>
      <c r="D1583" s="609"/>
      <c r="E1583" s="917"/>
      <c r="F1583" s="904"/>
      <c r="G1583" s="905"/>
      <c r="H1583" s="546"/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SUM(D1573:D1580)-D1583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 t="e">
        <f>SUM(J1573:J1580)-J1583</f>
        <v>#REF!</v>
      </c>
    </row>
    <row r="1585" spans="1:15" ht="12.6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2.6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60" t="str">
        <f>$K$2</f>
        <v>THÁNG 04/2025</v>
      </c>
      <c r="B1587" s="2360"/>
      <c r="C1587" s="2360"/>
      <c r="D1587" s="2360"/>
      <c r="E1587" s="903"/>
      <c r="F1587" s="904"/>
      <c r="G1587" s="2360" t="str">
        <f>$K$2</f>
        <v>THÁNG 04/2025</v>
      </c>
      <c r="H1587" s="2360"/>
      <c r="I1587" s="2360"/>
      <c r="J1587" s="2360"/>
      <c r="K1587" s="276"/>
    </row>
    <row r="1588" spans="1:15" ht="15" customHeight="1">
      <c r="A1588" s="905" t="s">
        <v>356</v>
      </c>
      <c r="B1588" s="642" t="s">
        <v>86</v>
      </c>
      <c r="C1588" s="546"/>
      <c r="D1588" s="902"/>
      <c r="E1588" s="906"/>
      <c r="F1588" s="907"/>
      <c r="G1588" s="905" t="s">
        <v>356</v>
      </c>
      <c r="H1588" s="642" t="s">
        <v>30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8" t="s">
        <v>359</v>
      </c>
      <c r="B1589" s="909" t="s">
        <v>2090</v>
      </c>
      <c r="C1589" s="910" t="e">
        <f>VLOOKUP(B1588,'LƯƠNG KT'!$D$16:$Z$184,4,0)</f>
        <v>#N/A</v>
      </c>
      <c r="D1589" s="609" t="e">
        <f>+C1589*25000</f>
        <v>#N/A</v>
      </c>
      <c r="E1589" s="911"/>
      <c r="F1589" s="911"/>
      <c r="G1589" s="908" t="s">
        <v>359</v>
      </c>
      <c r="H1589" s="909" t="s">
        <v>2090</v>
      </c>
      <c r="I1589" s="910" t="e">
        <f>VLOOKUP(H1588,'LƯƠNG KT'!$D$16:$Z$184,4,0)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8" t="s">
        <v>361</v>
      </c>
      <c r="B1590" s="909" t="s">
        <v>2091</v>
      </c>
      <c r="C1590" s="910" t="e">
        <f>VLOOKUP(B1588,'LƯƠNG KT'!$D$16:$Z$184,15,0)</f>
        <v>#N/A</v>
      </c>
      <c r="D1590" s="609" t="e">
        <f>C1590*$L$4</f>
        <v>#N/A</v>
      </c>
      <c r="E1590" s="912"/>
      <c r="F1590" s="912"/>
      <c r="G1590" s="908" t="s">
        <v>361</v>
      </c>
      <c r="H1590" s="909" t="s">
        <v>2091</v>
      </c>
      <c r="I1590" s="910" t="e">
        <f>VLOOKUP(H1588,'LƯƠNG KT'!$D$16:$Z$184,15,0)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8" t="s">
        <v>364</v>
      </c>
      <c r="B1591" s="909" t="s">
        <v>2092</v>
      </c>
      <c r="C1591" s="910" t="e">
        <f>VLOOKUP(B1588,'LƯƠNG KT'!$D$16:$Z$184,16,0)</f>
        <v>#N/A</v>
      </c>
      <c r="D1591" s="609" t="e">
        <f>C1591*$L$5</f>
        <v>#N/A</v>
      </c>
      <c r="E1591" s="912"/>
      <c r="F1591" s="912"/>
      <c r="G1591" s="908" t="s">
        <v>364</v>
      </c>
      <c r="H1591" s="909" t="s">
        <v>2092</v>
      </c>
      <c r="I1591" s="910" t="e">
        <f>VLOOKUP(H1588,'LƯƠNG KT'!$D$16:$Z$184,16,0)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8" t="s">
        <v>370</v>
      </c>
      <c r="B1592" s="909" t="s">
        <v>2093</v>
      </c>
      <c r="C1592" s="910" t="e">
        <f>VLOOKUP(B1588,'LƯƠNG KT'!$D$16:$Z$184,24,0)</f>
        <v>#N/A</v>
      </c>
      <c r="D1592" s="609" t="e">
        <f>+C1592*$L$6</f>
        <v>#N/A</v>
      </c>
      <c r="E1592" s="912"/>
      <c r="F1592" s="912"/>
      <c r="G1592" s="908" t="s">
        <v>370</v>
      </c>
      <c r="H1592" s="909" t="s">
        <v>2093</v>
      </c>
      <c r="I1592" s="910" t="e">
        <f>VLOOKUP(H1588,'LƯƠNG KT'!$D$16:$Z$184,24,0)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8" t="s">
        <v>2094</v>
      </c>
      <c r="B1593" s="909" t="s">
        <v>2095</v>
      </c>
      <c r="C1593" s="910" t="e">
        <f>VLOOKUP(B1588,'LƯƠNG KT'!$D$16:$Z$184,19,0)</f>
        <v>#N/A</v>
      </c>
      <c r="D1593" s="609" t="e">
        <f>+C1593*$L$8</f>
        <v>#N/A</v>
      </c>
      <c r="E1593" s="912"/>
      <c r="F1593" s="912"/>
      <c r="G1593" s="908" t="s">
        <v>2094</v>
      </c>
      <c r="H1593" s="909" t="s">
        <v>2095</v>
      </c>
      <c r="I1593" s="910" t="e">
        <f>VLOOKUP(H1588,'LƯƠNG KT'!$D$16:$Z$184,19,0)</f>
        <v>#N/A</v>
      </c>
      <c r="J1593" s="609" t="e">
        <f>+I1593*$L$8</f>
        <v>#N/A</v>
      </c>
      <c r="K1593" s="935"/>
      <c r="L1593" s="935"/>
      <c r="M1593" s="935"/>
      <c r="N1593" s="935"/>
      <c r="O1593" s="935"/>
    </row>
    <row r="1594" spans="1:15" ht="15" customHeight="1">
      <c r="A1594" s="908" t="s">
        <v>2096</v>
      </c>
      <c r="B1594" s="913" t="s">
        <v>2097</v>
      </c>
      <c r="C1594" s="910" t="e">
        <f>VLOOKUP(B1588,'LƯƠNG KT'!$D$16:$Z$184,20,0)</f>
        <v>#N/A</v>
      </c>
      <c r="D1594" s="609" t="e">
        <f>+C1594*$L$9</f>
        <v>#N/A</v>
      </c>
      <c r="E1594" s="912"/>
      <c r="F1594" s="912"/>
      <c r="G1594" s="908" t="s">
        <v>2096</v>
      </c>
      <c r="H1594" s="913" t="s">
        <v>2097</v>
      </c>
      <c r="I1594" s="910" t="e">
        <f>VLOOKUP(H1588,'LƯƠNG KT'!$D$16:$Z$184,20,0)</f>
        <v>#N/A</v>
      </c>
      <c r="J1594" s="609" t="e">
        <f>+I1594*$L$9</f>
        <v>#N/A</v>
      </c>
      <c r="K1594" s="935"/>
      <c r="L1594" s="935"/>
      <c r="M1594" s="935"/>
      <c r="N1594" s="935"/>
      <c r="O1594" s="935"/>
    </row>
    <row r="1595" spans="1:15" ht="15" customHeight="1">
      <c r="A1595" s="908" t="s">
        <v>2099</v>
      </c>
      <c r="B1595" s="909" t="s">
        <v>2100</v>
      </c>
      <c r="C1595" s="910" t="e">
        <f>VLOOKUP(B1588,'LƯƠNG KT'!$D$16:$Z$184,17,0)</f>
        <v>#N/A</v>
      </c>
      <c r="D1595" s="609" t="e">
        <f>+C1595*$L$10</f>
        <v>#N/A</v>
      </c>
      <c r="E1595" s="912"/>
      <c r="F1595" s="912"/>
      <c r="G1595" s="908" t="s">
        <v>2099</v>
      </c>
      <c r="H1595" s="909" t="s">
        <v>2100</v>
      </c>
      <c r="I1595" s="910" t="e">
        <f>VLOOKUP(H1588,'LƯƠNG KT'!$D$16:$Z$184,17,0)</f>
        <v>#N/A</v>
      </c>
      <c r="J1595" s="609" t="e">
        <f>+I1595*$L$10</f>
        <v>#N/A</v>
      </c>
      <c r="K1595" s="935"/>
      <c r="L1595" s="935"/>
      <c r="M1595" s="935"/>
      <c r="N1595" s="935"/>
      <c r="O1595" s="935"/>
    </row>
    <row r="1596" spans="1:15" ht="15" customHeight="1">
      <c r="A1596" s="908" t="s">
        <v>374</v>
      </c>
      <c r="B1596" s="909" t="s">
        <v>2102</v>
      </c>
      <c r="C1596" s="910" t="e">
        <f>VLOOKUP(B1588,'LƯƠNG KT'!$D$16:$Z$184,12,0)</f>
        <v>#N/A</v>
      </c>
      <c r="D1596" s="609" t="e">
        <f>VLOOKUP(B1588,'LƯƠNG KT'!$D$16:$Z$184,14,0)</f>
        <v>#N/A</v>
      </c>
      <c r="E1596" s="914"/>
      <c r="F1596" s="912"/>
      <c r="G1596" s="908" t="s">
        <v>374</v>
      </c>
      <c r="H1596" s="909" t="s">
        <v>2102</v>
      </c>
      <c r="I1596" s="910" t="e">
        <f>VLOOKUP(H1588,'LƯƠNG KT'!$D$16:$Z$184,12,0)</f>
        <v>#N/A</v>
      </c>
      <c r="J1596" s="609" t="e">
        <f>VLOOKUP(H1588,'LƯƠNG KT'!$D$16:$Z$184,14,0)</f>
        <v>#N/A</v>
      </c>
      <c r="K1596" s="935"/>
      <c r="L1596" s="935"/>
      <c r="M1596" s="935"/>
      <c r="N1596" s="935"/>
      <c r="O1596" s="935"/>
    </row>
    <row r="1597" spans="1:15" ht="15" customHeight="1">
      <c r="A1597" s="908" t="s">
        <v>2103</v>
      </c>
      <c r="B1597" s="909" t="s">
        <v>2104</v>
      </c>
      <c r="D1597" s="915" t="e">
        <f>VLOOKUP(B1588,'LƯƠNG KT'!$D$16:$Z$184,13,0)</f>
        <v>#N/A</v>
      </c>
      <c r="E1597" s="916"/>
      <c r="F1597" s="916"/>
      <c r="G1597" s="908" t="s">
        <v>2103</v>
      </c>
      <c r="H1597" s="909" t="s">
        <v>2104</v>
      </c>
      <c r="J1597" s="915" t="e">
        <f>VLOOKUP(H1588,'LƯƠNG KT'!$D$16:$Z$184,13,0)</f>
        <v>#N/A</v>
      </c>
    </row>
    <row r="1598" spans="1:15" ht="15" customHeight="1">
      <c r="A1598" s="547"/>
      <c r="B1598" s="546"/>
      <c r="C1598" s="910"/>
      <c r="D1598" s="609"/>
      <c r="E1598" s="914"/>
      <c r="F1598" s="916"/>
      <c r="G1598" s="547"/>
      <c r="H1598" s="546"/>
      <c r="I1598" s="910"/>
      <c r="J1598" s="609"/>
    </row>
    <row r="1599" spans="1:15" ht="15" customHeight="1">
      <c r="A1599" s="905"/>
      <c r="B1599" s="546"/>
      <c r="C1599" s="910"/>
      <c r="D1599" s="609"/>
      <c r="E1599" s="917"/>
      <c r="F1599" s="904"/>
      <c r="G1599" s="905"/>
      <c r="H1599" s="546"/>
      <c r="I1599" s="910"/>
      <c r="J1599" s="609"/>
    </row>
    <row r="1600" spans="1:15" ht="15" customHeight="1">
      <c r="A1600" s="918" t="s">
        <v>383</v>
      </c>
      <c r="B1600" s="919" t="s">
        <v>384</v>
      </c>
      <c r="C1600" s="920"/>
      <c r="D1600" s="921" t="e">
        <f>SUM(D1589:D1596)-D1599</f>
        <v>#N/A</v>
      </c>
      <c r="E1600" s="922"/>
      <c r="F1600" s="923"/>
      <c r="G1600" s="918" t="s">
        <v>383</v>
      </c>
      <c r="H1600" s="919" t="s">
        <v>384</v>
      </c>
      <c r="I1600" s="920"/>
      <c r="J1600" s="921" t="e">
        <f>SUM(J1589:J1596)-J1599</f>
        <v>#N/A</v>
      </c>
    </row>
    <row r="1601" spans="1:15" ht="18.75" customHeight="1">
      <c r="A1601" s="924"/>
      <c r="B1601" s="925"/>
      <c r="C1601" s="926"/>
      <c r="D1601" s="927"/>
      <c r="E1601" s="927"/>
      <c r="F1601" s="928"/>
      <c r="G1601" s="924"/>
      <c r="H1601" s="925"/>
      <c r="I1601" s="926"/>
      <c r="J1601" s="927"/>
    </row>
    <row r="1602" spans="1:15" ht="143.25" customHeight="1">
      <c r="A1602" s="925"/>
      <c r="B1602" s="925"/>
      <c r="C1602" s="929"/>
      <c r="D1602" s="930"/>
      <c r="E1602" s="925"/>
      <c r="F1602" s="931"/>
      <c r="G1602" s="925"/>
      <c r="H1602" s="925"/>
      <c r="I1602" s="929"/>
      <c r="J1602" s="930"/>
    </row>
    <row r="1603" spans="1:15" ht="15" customHeight="1">
      <c r="A1603" s="2360" t="str">
        <f>$K$2</f>
        <v>THÁNG 04/2025</v>
      </c>
      <c r="B1603" s="2360"/>
      <c r="C1603" s="2360"/>
      <c r="D1603" s="2360"/>
      <c r="E1603" s="903"/>
      <c r="F1603" s="904"/>
      <c r="G1603" s="2360" t="str">
        <f>$K$2</f>
        <v>THÁNG 04/2025</v>
      </c>
      <c r="H1603" s="2360"/>
      <c r="I1603" s="2360"/>
      <c r="J1603" s="2360"/>
      <c r="K1603" s="276"/>
    </row>
    <row r="1604" spans="1:15" ht="15" customHeight="1">
      <c r="A1604" s="905" t="s">
        <v>356</v>
      </c>
      <c r="B1604" s="642" t="s">
        <v>44</v>
      </c>
      <c r="C1604" s="546"/>
      <c r="D1604" s="902"/>
      <c r="E1604" s="906"/>
      <c r="F1604" s="907"/>
      <c r="G1604" s="905" t="s">
        <v>356</v>
      </c>
      <c r="H1604" s="642" t="s">
        <v>46</v>
      </c>
      <c r="I1604" s="546"/>
      <c r="J1604" s="902"/>
      <c r="L1604" s="938"/>
      <c r="M1604" s="938"/>
      <c r="N1604" s="938"/>
      <c r="O1604" s="938"/>
    </row>
    <row r="1605" spans="1:15" ht="15" customHeight="1">
      <c r="A1605" s="908" t="s">
        <v>359</v>
      </c>
      <c r="B1605" s="909" t="s">
        <v>2090</v>
      </c>
      <c r="C1605" s="910" t="e">
        <f>VLOOKUP(B1604,'LƯƠNG KT'!$D$16:$Z$184,4,0)</f>
        <v>#N/A</v>
      </c>
      <c r="D1605" s="609" t="e">
        <f>+C1605*25000</f>
        <v>#N/A</v>
      </c>
      <c r="E1605" s="911"/>
      <c r="F1605" s="911"/>
      <c r="G1605" s="908" t="s">
        <v>359</v>
      </c>
      <c r="H1605" s="909" t="s">
        <v>2090</v>
      </c>
      <c r="I1605" s="910" t="e">
        <f>VLOOKUP(H1604,'LƯƠNG KT'!$D$16:$Z$184,4,0)</f>
        <v>#N/A</v>
      </c>
      <c r="J1605" s="609" t="e">
        <f>+I1605*25000</f>
        <v>#N/A</v>
      </c>
      <c r="K1605" s="935"/>
      <c r="L1605" s="935"/>
      <c r="M1605" s="935"/>
      <c r="N1605" s="935"/>
      <c r="O1605" s="935"/>
    </row>
    <row r="1606" spans="1:15" ht="15" customHeight="1">
      <c r="A1606" s="908" t="s">
        <v>361</v>
      </c>
      <c r="B1606" s="909" t="s">
        <v>2091</v>
      </c>
      <c r="C1606" s="910" t="e">
        <f>VLOOKUP(B1604,'LƯƠNG KT'!$D$16:$Z$184,15,0)</f>
        <v>#N/A</v>
      </c>
      <c r="D1606" s="609" t="e">
        <f>C1606*$L$4</f>
        <v>#N/A</v>
      </c>
      <c r="E1606" s="912"/>
      <c r="F1606" s="912"/>
      <c r="G1606" s="908" t="s">
        <v>361</v>
      </c>
      <c r="H1606" s="909" t="s">
        <v>2091</v>
      </c>
      <c r="I1606" s="910" t="e">
        <f>VLOOKUP(H1604,'LƯƠNG KT'!$D$16:$Z$184,15,0)</f>
        <v>#N/A</v>
      </c>
      <c r="J1606" s="609" t="e">
        <f>I1606*$L$4</f>
        <v>#N/A</v>
      </c>
      <c r="K1606" s="935"/>
      <c r="L1606" s="935"/>
      <c r="M1606" s="935"/>
      <c r="N1606" s="935"/>
      <c r="O1606" s="935"/>
    </row>
    <row r="1607" spans="1:15" ht="15" customHeight="1">
      <c r="A1607" s="908" t="s">
        <v>364</v>
      </c>
      <c r="B1607" s="909" t="s">
        <v>2092</v>
      </c>
      <c r="C1607" s="910" t="e">
        <f>VLOOKUP(B1604,'LƯƠNG KT'!$D$16:$Z$184,16,0)</f>
        <v>#N/A</v>
      </c>
      <c r="D1607" s="609" t="e">
        <f>C1607*$L$5</f>
        <v>#N/A</v>
      </c>
      <c r="E1607" s="912"/>
      <c r="F1607" s="912"/>
      <c r="G1607" s="908" t="s">
        <v>364</v>
      </c>
      <c r="H1607" s="909" t="s">
        <v>2092</v>
      </c>
      <c r="I1607" s="910" t="e">
        <f>VLOOKUP(H1604,'LƯƠNG KT'!$D$16:$Z$184,16,0)</f>
        <v>#N/A</v>
      </c>
      <c r="J1607" s="609" t="e">
        <f>I1607*$L$5</f>
        <v>#N/A</v>
      </c>
      <c r="K1607" s="935"/>
      <c r="L1607" s="935"/>
      <c r="M1607" s="935"/>
      <c r="N1607" s="935"/>
      <c r="O1607" s="935"/>
    </row>
    <row r="1608" spans="1:15" ht="15" customHeight="1">
      <c r="A1608" s="908" t="s">
        <v>370</v>
      </c>
      <c r="B1608" s="909" t="s">
        <v>2093</v>
      </c>
      <c r="C1608" s="910" t="e">
        <f>VLOOKUP(B1604,'LƯƠNG KT'!$D$16:$Z$184,24,0)</f>
        <v>#N/A</v>
      </c>
      <c r="D1608" s="609" t="e">
        <f>+C1608*$L$6</f>
        <v>#N/A</v>
      </c>
      <c r="E1608" s="912"/>
      <c r="F1608" s="912"/>
      <c r="G1608" s="908" t="s">
        <v>370</v>
      </c>
      <c r="H1608" s="909" t="s">
        <v>2093</v>
      </c>
      <c r="I1608" s="910" t="e">
        <f>VLOOKUP(H1604,'LƯƠNG KT'!$D$16:$Z$184,24,0)</f>
        <v>#N/A</v>
      </c>
      <c r="J1608" s="609" t="e">
        <f>+I1608*$L$6</f>
        <v>#N/A</v>
      </c>
      <c r="K1608" s="935"/>
      <c r="L1608" s="935"/>
      <c r="M1608" s="935"/>
      <c r="N1608" s="935"/>
      <c r="O1608" s="935"/>
    </row>
    <row r="1609" spans="1:15" ht="15" customHeight="1">
      <c r="A1609" s="908" t="s">
        <v>2094</v>
      </c>
      <c r="B1609" s="909" t="s">
        <v>2095</v>
      </c>
      <c r="C1609" s="910" t="e">
        <f>VLOOKUP(B1604,'LƯƠNG KT'!$D$16:$Z$184,19,0)</f>
        <v>#N/A</v>
      </c>
      <c r="D1609" s="609" t="e">
        <f>+C1609*$L$8</f>
        <v>#N/A</v>
      </c>
      <c r="E1609" s="912"/>
      <c r="F1609" s="912"/>
      <c r="G1609" s="908" t="s">
        <v>2094</v>
      </c>
      <c r="H1609" s="909" t="s">
        <v>2095</v>
      </c>
      <c r="I1609" s="910" t="e">
        <f>VLOOKUP(H1604,'LƯƠNG KT'!$D$16:$Z$184,19,0)</f>
        <v>#N/A</v>
      </c>
      <c r="J1609" s="609" t="e">
        <f>+I1609*$L$8</f>
        <v>#N/A</v>
      </c>
      <c r="K1609" s="935"/>
      <c r="L1609" s="935"/>
      <c r="M1609" s="935"/>
      <c r="N1609" s="935"/>
      <c r="O1609" s="935"/>
    </row>
    <row r="1610" spans="1:15" ht="15" customHeight="1">
      <c r="A1610" s="908" t="s">
        <v>2096</v>
      </c>
      <c r="B1610" s="913" t="s">
        <v>2097</v>
      </c>
      <c r="C1610" s="910" t="e">
        <f>VLOOKUP(B1604,'LƯƠNG KT'!$D$16:$Z$184,20,0)</f>
        <v>#N/A</v>
      </c>
      <c r="D1610" s="609" t="e">
        <f>+C1610*$L$9</f>
        <v>#N/A</v>
      </c>
      <c r="E1610" s="912"/>
      <c r="F1610" s="912"/>
      <c r="G1610" s="908" t="s">
        <v>2096</v>
      </c>
      <c r="H1610" s="913" t="s">
        <v>2097</v>
      </c>
      <c r="I1610" s="910" t="e">
        <f>VLOOKUP(H1604,'LƯƠNG KT'!$D$16:$Z$184,20,0)</f>
        <v>#N/A</v>
      </c>
      <c r="J1610" s="609" t="e">
        <f>+I1610*$L$9</f>
        <v>#N/A</v>
      </c>
      <c r="K1610" s="935"/>
      <c r="L1610" s="935"/>
      <c r="M1610" s="935"/>
      <c r="N1610" s="935"/>
      <c r="O1610" s="935"/>
    </row>
    <row r="1611" spans="1:15" ht="15" customHeight="1">
      <c r="A1611" s="908" t="s">
        <v>2099</v>
      </c>
      <c r="B1611" s="909" t="s">
        <v>2100</v>
      </c>
      <c r="C1611" s="910" t="e">
        <f>VLOOKUP(B1604,'LƯƠNG KT'!$D$16:$Z$184,17,0)</f>
        <v>#N/A</v>
      </c>
      <c r="D1611" s="609" t="e">
        <f>+C1611*$L$10</f>
        <v>#N/A</v>
      </c>
      <c r="E1611" s="912"/>
      <c r="F1611" s="912"/>
      <c r="G1611" s="908" t="s">
        <v>2099</v>
      </c>
      <c r="H1611" s="909" t="s">
        <v>2100</v>
      </c>
      <c r="I1611" s="910" t="e">
        <f>VLOOKUP(H1604,'LƯƠNG KT'!$D$16:$Z$184,17,0)</f>
        <v>#N/A</v>
      </c>
      <c r="J1611" s="609" t="e">
        <f>+I1611*$L$10</f>
        <v>#N/A</v>
      </c>
      <c r="K1611" s="935"/>
      <c r="L1611" s="935"/>
      <c r="M1611" s="935"/>
      <c r="N1611" s="935"/>
      <c r="O1611" s="935"/>
    </row>
    <row r="1612" spans="1:15" ht="15" customHeight="1">
      <c r="A1612" s="908" t="s">
        <v>374</v>
      </c>
      <c r="B1612" s="909" t="s">
        <v>2102</v>
      </c>
      <c r="C1612" s="910" t="e">
        <f>VLOOKUP(B1604,'LƯƠNG KT'!$D$16:$Z$184,12,0)</f>
        <v>#N/A</v>
      </c>
      <c r="D1612" s="609" t="e">
        <f>VLOOKUP(B1604,'LƯƠNG KT'!$D$16:$Z$184,14,0)</f>
        <v>#N/A</v>
      </c>
      <c r="E1612" s="914"/>
      <c r="F1612" s="912"/>
      <c r="G1612" s="908" t="s">
        <v>374</v>
      </c>
      <c r="H1612" s="909" t="s">
        <v>2102</v>
      </c>
      <c r="I1612" s="910" t="e">
        <f>VLOOKUP(H1604,'LƯƠNG KT'!$D$16:$Z$184,12,0)</f>
        <v>#N/A</v>
      </c>
      <c r="J1612" s="609" t="e">
        <f>VLOOKUP(H1604,'LƯƠNG KT'!$D$16:$Z$184,14,0)</f>
        <v>#N/A</v>
      </c>
      <c r="K1612" s="935"/>
      <c r="L1612" s="935"/>
      <c r="M1612" s="935"/>
      <c r="N1612" s="935"/>
      <c r="O1612" s="935"/>
    </row>
    <row r="1613" spans="1:15" ht="15" customHeight="1">
      <c r="A1613" s="908" t="s">
        <v>2103</v>
      </c>
      <c r="B1613" s="909" t="s">
        <v>2104</v>
      </c>
      <c r="D1613" s="915" t="e">
        <f>VLOOKUP(B1604,'LƯƠNG KT'!$D$16:$Z$184,13,0)</f>
        <v>#N/A</v>
      </c>
      <c r="E1613" s="916"/>
      <c r="F1613" s="916"/>
      <c r="G1613" s="908" t="s">
        <v>2103</v>
      </c>
      <c r="H1613" s="909" t="s">
        <v>2104</v>
      </c>
      <c r="J1613" s="915" t="e">
        <f>VLOOKUP(H1604,'LƯƠNG KT'!$D$16:$Z$184,13,0)</f>
        <v>#N/A</v>
      </c>
    </row>
    <row r="1614" spans="1:15" ht="15" customHeight="1">
      <c r="A1614" s="547"/>
      <c r="B1614" s="546"/>
      <c r="C1614" s="910"/>
      <c r="D1614" s="609"/>
      <c r="E1614" s="914"/>
      <c r="F1614" s="916"/>
      <c r="G1614" s="547"/>
      <c r="H1614" s="546"/>
      <c r="I1614" s="910"/>
      <c r="J1614" s="609"/>
    </row>
    <row r="1615" spans="1:15" ht="15" customHeight="1">
      <c r="A1615" s="905"/>
      <c r="B1615" s="546"/>
      <c r="C1615" s="910"/>
      <c r="D1615" s="609"/>
      <c r="E1615" s="917"/>
      <c r="F1615" s="904"/>
      <c r="G1615" s="905"/>
      <c r="H1615" s="546"/>
      <c r="I1615" s="910"/>
      <c r="J1615" s="609"/>
    </row>
    <row r="1616" spans="1:15" ht="15" customHeight="1">
      <c r="A1616" s="918" t="s">
        <v>383</v>
      </c>
      <c r="B1616" s="919" t="s">
        <v>384</v>
      </c>
      <c r="C1616" s="920"/>
      <c r="D1616" s="921" t="e">
        <f>SUM(D1605:D1612)-D1615</f>
        <v>#N/A</v>
      </c>
      <c r="E1616" s="922"/>
      <c r="F1616" s="923"/>
      <c r="G1616" s="918" t="s">
        <v>383</v>
      </c>
      <c r="H1616" s="919" t="s">
        <v>384</v>
      </c>
      <c r="I1616" s="920"/>
      <c r="J1616" s="921" t="e">
        <f>SUM(J1605:J1612)-J1615</f>
        <v>#N/A</v>
      </c>
    </row>
    <row r="1617" spans="1:15" ht="18.75" customHeight="1">
      <c r="A1617" s="924"/>
      <c r="B1617" s="925"/>
      <c r="C1617" s="926"/>
      <c r="D1617" s="927"/>
      <c r="E1617" s="927"/>
      <c r="F1617" s="928"/>
      <c r="G1617" s="924"/>
      <c r="H1617" s="925"/>
      <c r="I1617" s="926"/>
      <c r="J1617" s="927"/>
    </row>
    <row r="1618" spans="1:15" ht="18.75" customHeight="1">
      <c r="A1618" s="925"/>
      <c r="B1618" s="925"/>
      <c r="C1618" s="929"/>
      <c r="D1618" s="930"/>
      <c r="E1618" s="925"/>
      <c r="F1618" s="931"/>
      <c r="G1618" s="925"/>
      <c r="H1618" s="925"/>
      <c r="I1618" s="929"/>
      <c r="J1618" s="930"/>
    </row>
    <row r="1619" spans="1:15" ht="15" customHeight="1">
      <c r="A1619" s="2360" t="str">
        <f>$K$2</f>
        <v>THÁNG 04/2025</v>
      </c>
      <c r="B1619" s="2360"/>
      <c r="C1619" s="2360"/>
      <c r="D1619" s="2360"/>
      <c r="E1619" s="903"/>
      <c r="F1619" s="904"/>
      <c r="G1619" s="2360" t="str">
        <f>$K$2</f>
        <v>THÁNG 04/2025</v>
      </c>
      <c r="H1619" s="2360"/>
      <c r="I1619" s="2360"/>
      <c r="J1619" s="2360"/>
      <c r="K1619" s="276"/>
    </row>
    <row r="1620" spans="1:15" ht="15" customHeight="1">
      <c r="A1620" s="905" t="s">
        <v>356</v>
      </c>
      <c r="B1620" s="642"/>
      <c r="C1620" s="546"/>
      <c r="D1620" s="902"/>
      <c r="E1620" s="906"/>
      <c r="F1620" s="907"/>
      <c r="G1620" s="905" t="s">
        <v>356</v>
      </c>
      <c r="H1620" s="642"/>
      <c r="I1620" s="546"/>
      <c r="J1620" s="902"/>
      <c r="L1620" s="938"/>
      <c r="M1620" s="938"/>
      <c r="N1620" s="938"/>
      <c r="O1620" s="938"/>
    </row>
    <row r="1621" spans="1:15" ht="15" customHeight="1">
      <c r="A1621" s="908" t="s">
        <v>359</v>
      </c>
      <c r="B1621" s="909" t="s">
        <v>2090</v>
      </c>
      <c r="C1621" s="910"/>
      <c r="D1621" s="609"/>
      <c r="E1621" s="911"/>
      <c r="F1621" s="911"/>
      <c r="G1621" s="908" t="s">
        <v>359</v>
      </c>
      <c r="H1621" s="909" t="s">
        <v>2090</v>
      </c>
      <c r="I1621" s="910"/>
      <c r="J1621" s="609"/>
      <c r="K1621" s="935"/>
      <c r="L1621" s="935"/>
      <c r="M1621" s="935"/>
      <c r="N1621" s="935"/>
      <c r="O1621" s="935"/>
    </row>
    <row r="1622" spans="1:15" ht="15" customHeight="1">
      <c r="A1622" s="908" t="s">
        <v>361</v>
      </c>
      <c r="B1622" s="909" t="s">
        <v>2091</v>
      </c>
      <c r="C1622" s="910"/>
      <c r="D1622" s="609"/>
      <c r="E1622" s="912"/>
      <c r="F1622" s="912"/>
      <c r="G1622" s="908" t="s">
        <v>361</v>
      </c>
      <c r="H1622" s="909" t="s">
        <v>2091</v>
      </c>
      <c r="I1622" s="910"/>
      <c r="J1622" s="609"/>
      <c r="K1622" s="935"/>
      <c r="L1622" s="935"/>
      <c r="M1622" s="935"/>
      <c r="N1622" s="935"/>
      <c r="O1622" s="935"/>
    </row>
    <row r="1623" spans="1:15" ht="15" customHeight="1">
      <c r="A1623" s="908" t="s">
        <v>364</v>
      </c>
      <c r="B1623" s="909" t="s">
        <v>2092</v>
      </c>
      <c r="C1623" s="910"/>
      <c r="D1623" s="609"/>
      <c r="E1623" s="912"/>
      <c r="F1623" s="912"/>
      <c r="G1623" s="908" t="s">
        <v>364</v>
      </c>
      <c r="H1623" s="909" t="s">
        <v>2092</v>
      </c>
      <c r="I1623" s="910"/>
      <c r="J1623" s="609"/>
      <c r="K1623" s="935"/>
      <c r="L1623" s="935"/>
      <c r="M1623" s="935"/>
      <c r="N1623" s="935"/>
      <c r="O1623" s="935"/>
    </row>
    <row r="1624" spans="1:15" ht="15" customHeight="1">
      <c r="A1624" s="908" t="s">
        <v>370</v>
      </c>
      <c r="B1624" s="909" t="s">
        <v>2093</v>
      </c>
      <c r="C1624" s="910"/>
      <c r="D1624" s="609"/>
      <c r="E1624" s="912"/>
      <c r="F1624" s="912"/>
      <c r="G1624" s="908" t="s">
        <v>370</v>
      </c>
      <c r="H1624" s="909" t="s">
        <v>2093</v>
      </c>
      <c r="I1624" s="910"/>
      <c r="J1624" s="609"/>
      <c r="K1624" s="935"/>
      <c r="L1624" s="935"/>
      <c r="M1624" s="935"/>
      <c r="N1624" s="935"/>
      <c r="O1624" s="935"/>
    </row>
    <row r="1625" spans="1:15" ht="15" customHeight="1">
      <c r="A1625" s="908" t="s">
        <v>2094</v>
      </c>
      <c r="B1625" s="909" t="s">
        <v>2095</v>
      </c>
      <c r="C1625" s="910"/>
      <c r="D1625" s="609"/>
      <c r="E1625" s="912"/>
      <c r="F1625" s="912"/>
      <c r="G1625" s="908" t="s">
        <v>2094</v>
      </c>
      <c r="H1625" s="909" t="s">
        <v>2095</v>
      </c>
      <c r="I1625" s="910"/>
      <c r="J1625" s="609"/>
      <c r="K1625" s="935"/>
      <c r="L1625" s="935"/>
      <c r="M1625" s="935"/>
      <c r="N1625" s="935"/>
      <c r="O1625" s="935"/>
    </row>
    <row r="1626" spans="1:15" ht="15" customHeight="1">
      <c r="A1626" s="908" t="s">
        <v>2096</v>
      </c>
      <c r="B1626" s="913" t="s">
        <v>2097</v>
      </c>
      <c r="C1626" s="910"/>
      <c r="D1626" s="609"/>
      <c r="E1626" s="912"/>
      <c r="F1626" s="912"/>
      <c r="G1626" s="908" t="s">
        <v>2096</v>
      </c>
      <c r="H1626" s="913" t="s">
        <v>2097</v>
      </c>
      <c r="I1626" s="910"/>
      <c r="J1626" s="609"/>
      <c r="K1626" s="935"/>
      <c r="L1626" s="935"/>
      <c r="M1626" s="935"/>
      <c r="N1626" s="935"/>
      <c r="O1626" s="935"/>
    </row>
    <row r="1627" spans="1:15" ht="15" customHeight="1">
      <c r="A1627" s="908" t="s">
        <v>2099</v>
      </c>
      <c r="B1627" s="909" t="s">
        <v>2100</v>
      </c>
      <c r="C1627" s="910"/>
      <c r="D1627" s="609"/>
      <c r="E1627" s="912"/>
      <c r="F1627" s="912"/>
      <c r="G1627" s="908" t="s">
        <v>2099</v>
      </c>
      <c r="H1627" s="909" t="s">
        <v>2100</v>
      </c>
      <c r="I1627" s="910"/>
      <c r="J1627" s="609"/>
      <c r="K1627" s="935"/>
      <c r="L1627" s="935"/>
      <c r="M1627" s="935"/>
      <c r="N1627" s="935"/>
      <c r="O1627" s="935"/>
    </row>
    <row r="1628" spans="1:15" ht="15" customHeight="1">
      <c r="A1628" s="908" t="s">
        <v>374</v>
      </c>
      <c r="B1628" s="909" t="s">
        <v>2102</v>
      </c>
      <c r="C1628" s="910"/>
      <c r="D1628" s="609"/>
      <c r="E1628" s="914"/>
      <c r="F1628" s="912"/>
      <c r="G1628" s="908" t="s">
        <v>374</v>
      </c>
      <c r="H1628" s="909" t="s">
        <v>2102</v>
      </c>
      <c r="I1628" s="910"/>
      <c r="J1628" s="609"/>
      <c r="K1628" s="935"/>
      <c r="L1628" s="935"/>
      <c r="M1628" s="935"/>
      <c r="N1628" s="935"/>
      <c r="O1628" s="935"/>
    </row>
    <row r="1629" spans="1:15" ht="15" customHeight="1">
      <c r="A1629" s="908" t="s">
        <v>2103</v>
      </c>
      <c r="B1629" s="909" t="s">
        <v>2104</v>
      </c>
      <c r="D1629" s="915"/>
      <c r="E1629" s="916"/>
      <c r="F1629" s="916"/>
      <c r="G1629" s="908" t="s">
        <v>2103</v>
      </c>
      <c r="H1629" s="909" t="s">
        <v>2104</v>
      </c>
      <c r="J1629" s="915"/>
    </row>
    <row r="1630" spans="1:15" ht="15" customHeight="1">
      <c r="A1630" s="547"/>
      <c r="B1630" s="546"/>
      <c r="C1630" s="910"/>
      <c r="D1630" s="609"/>
      <c r="E1630" s="914"/>
      <c r="F1630" s="916"/>
      <c r="G1630" s="547"/>
      <c r="H1630" s="546"/>
      <c r="I1630" s="910"/>
      <c r="J1630" s="609"/>
    </row>
    <row r="1631" spans="1:15" ht="15" customHeight="1">
      <c r="A1631" s="905"/>
      <c r="B1631" s="546"/>
      <c r="C1631" s="910"/>
      <c r="D1631" s="609"/>
      <c r="E1631" s="917"/>
      <c r="F1631" s="904"/>
      <c r="G1631" s="905"/>
      <c r="H1631" s="546"/>
      <c r="I1631" s="910"/>
      <c r="J1631" s="609"/>
    </row>
    <row r="1632" spans="1:15" ht="15" customHeight="1">
      <c r="A1632" s="918" t="s">
        <v>383</v>
      </c>
      <c r="B1632" s="919" t="s">
        <v>384</v>
      </c>
      <c r="C1632" s="920"/>
      <c r="D1632" s="921">
        <f>SUM(D1621:D1628)-D1631</f>
        <v>0</v>
      </c>
      <c r="E1632" s="922"/>
      <c r="F1632" s="923"/>
      <c r="G1632" s="918" t="s">
        <v>383</v>
      </c>
      <c r="H1632" s="919" t="s">
        <v>384</v>
      </c>
      <c r="I1632" s="920"/>
      <c r="J1632" s="921">
        <f>SUM(J1621:J1628)-J1631</f>
        <v>0</v>
      </c>
    </row>
    <row r="1633" spans="1:15" ht="15.75" customHeight="1">
      <c r="A1633" s="924"/>
      <c r="B1633" s="925"/>
      <c r="C1633" s="926"/>
      <c r="D1633" s="927"/>
      <c r="E1633" s="927"/>
      <c r="F1633" s="928"/>
      <c r="G1633" s="924"/>
      <c r="H1633" s="925"/>
      <c r="I1633" s="926"/>
      <c r="J1633" s="927"/>
    </row>
    <row r="1635" spans="1:15" ht="12" customHeight="1">
      <c r="A1635" s="2361"/>
      <c r="B1635" s="2361"/>
      <c r="C1635" s="2361"/>
      <c r="D1635" s="2361"/>
      <c r="E1635" s="2361"/>
      <c r="F1635" s="2361"/>
      <c r="G1635" s="2361"/>
      <c r="H1635" s="2361"/>
      <c r="I1635" s="2361"/>
      <c r="J1635" s="2361"/>
    </row>
    <row r="1636" spans="1:15" ht="15" customHeight="1">
      <c r="A1636" s="2360" t="str">
        <f>$K$2</f>
        <v>THÁNG 04/2025</v>
      </c>
      <c r="B1636" s="2360"/>
      <c r="C1636" s="2360"/>
      <c r="D1636" s="2360"/>
      <c r="E1636" s="903"/>
      <c r="F1636" s="904"/>
      <c r="G1636" s="2360" t="str">
        <f>$K$2</f>
        <v>THÁNG 04/2025</v>
      </c>
      <c r="H1636" s="2360"/>
      <c r="I1636" s="2360"/>
      <c r="J1636" s="2360"/>
      <c r="K1636" s="276"/>
    </row>
    <row r="1637" spans="1:15" ht="15" customHeight="1">
      <c r="A1637" s="905" t="s">
        <v>356</v>
      </c>
      <c r="B1637" s="642"/>
      <c r="C1637" s="546"/>
      <c r="D1637" s="902"/>
      <c r="E1637" s="906"/>
      <c r="F1637" s="907"/>
      <c r="G1637" s="905" t="s">
        <v>356</v>
      </c>
      <c r="H1637" s="642"/>
      <c r="I1637" s="546"/>
      <c r="J1637" s="902"/>
      <c r="L1637" s="938"/>
      <c r="M1637" s="938"/>
      <c r="N1637" s="938"/>
      <c r="O1637" s="938"/>
    </row>
    <row r="1638" spans="1:15" ht="15" customHeight="1">
      <c r="A1638" s="908" t="s">
        <v>359</v>
      </c>
      <c r="B1638" s="909" t="s">
        <v>2090</v>
      </c>
      <c r="C1638" s="910"/>
      <c r="D1638" s="609"/>
      <c r="E1638" s="911"/>
      <c r="F1638" s="911"/>
      <c r="G1638" s="908" t="s">
        <v>359</v>
      </c>
      <c r="H1638" s="909" t="s">
        <v>2090</v>
      </c>
      <c r="I1638" s="910"/>
      <c r="J1638" s="609"/>
      <c r="K1638" s="934"/>
      <c r="L1638" s="935"/>
      <c r="M1638" s="935"/>
      <c r="N1638" s="935"/>
      <c r="O1638" s="935"/>
    </row>
    <row r="1639" spans="1:15" ht="15" customHeight="1">
      <c r="A1639" s="908" t="s">
        <v>361</v>
      </c>
      <c r="B1639" s="909" t="s">
        <v>2091</v>
      </c>
      <c r="C1639" s="910"/>
      <c r="D1639" s="609"/>
      <c r="E1639" s="912"/>
      <c r="F1639" s="912"/>
      <c r="G1639" s="908" t="s">
        <v>361</v>
      </c>
      <c r="H1639" s="909" t="s">
        <v>2091</v>
      </c>
      <c r="I1639" s="910"/>
      <c r="J1639" s="609"/>
      <c r="K1639" s="934"/>
      <c r="L1639" s="935"/>
      <c r="M1639" s="935"/>
      <c r="N1639" s="935"/>
      <c r="O1639" s="935"/>
    </row>
    <row r="1640" spans="1:15" ht="15" customHeight="1">
      <c r="A1640" s="908" t="s">
        <v>364</v>
      </c>
      <c r="B1640" s="909" t="s">
        <v>2092</v>
      </c>
      <c r="C1640" s="910"/>
      <c r="D1640" s="609"/>
      <c r="E1640" s="912"/>
      <c r="F1640" s="912"/>
      <c r="G1640" s="908" t="s">
        <v>364</v>
      </c>
      <c r="H1640" s="909" t="s">
        <v>2092</v>
      </c>
      <c r="I1640" s="910"/>
      <c r="J1640" s="609"/>
      <c r="K1640" s="934"/>
      <c r="L1640" s="935"/>
      <c r="M1640" s="935"/>
      <c r="N1640" s="935"/>
      <c r="O1640" s="935"/>
    </row>
    <row r="1641" spans="1:15" ht="15" customHeight="1">
      <c r="A1641" s="908" t="s">
        <v>370</v>
      </c>
      <c r="B1641" s="909" t="s">
        <v>2093</v>
      </c>
      <c r="C1641" s="910"/>
      <c r="D1641" s="609"/>
      <c r="E1641" s="912"/>
      <c r="F1641" s="912"/>
      <c r="G1641" s="908" t="s">
        <v>370</v>
      </c>
      <c r="H1641" s="909" t="s">
        <v>2093</v>
      </c>
      <c r="I1641" s="910"/>
      <c r="J1641" s="609"/>
      <c r="K1641" s="935"/>
      <c r="L1641" s="935"/>
      <c r="M1641" s="935"/>
      <c r="N1641" s="935"/>
      <c r="O1641" s="935"/>
    </row>
    <row r="1642" spans="1:15" ht="15" customHeight="1">
      <c r="A1642" s="908" t="s">
        <v>2094</v>
      </c>
      <c r="B1642" s="909" t="s">
        <v>2095</v>
      </c>
      <c r="C1642" s="910"/>
      <c r="D1642" s="609"/>
      <c r="E1642" s="912"/>
      <c r="F1642" s="912"/>
      <c r="G1642" s="908" t="s">
        <v>2094</v>
      </c>
      <c r="H1642" s="909" t="s">
        <v>2095</v>
      </c>
      <c r="I1642" s="910"/>
      <c r="J1642" s="609"/>
      <c r="K1642" s="935"/>
      <c r="L1642" s="935"/>
      <c r="M1642" s="935"/>
      <c r="N1642" s="935"/>
      <c r="O1642" s="935"/>
    </row>
    <row r="1643" spans="1:15" ht="15" customHeight="1">
      <c r="A1643" s="908" t="s">
        <v>2096</v>
      </c>
      <c r="B1643" s="913" t="s">
        <v>2097</v>
      </c>
      <c r="C1643" s="910"/>
      <c r="D1643" s="609"/>
      <c r="E1643" s="912"/>
      <c r="F1643" s="912"/>
      <c r="G1643" s="908" t="s">
        <v>2096</v>
      </c>
      <c r="H1643" s="913" t="s">
        <v>2097</v>
      </c>
      <c r="I1643" s="910"/>
      <c r="J1643" s="609"/>
      <c r="K1643" s="935"/>
      <c r="L1643" s="935"/>
      <c r="M1643" s="935"/>
      <c r="N1643" s="935"/>
      <c r="O1643" s="935"/>
    </row>
    <row r="1644" spans="1:15" ht="15" customHeight="1">
      <c r="A1644" s="908" t="s">
        <v>2099</v>
      </c>
      <c r="B1644" s="909" t="s">
        <v>2100</v>
      </c>
      <c r="C1644" s="910"/>
      <c r="D1644" s="609"/>
      <c r="E1644" s="912"/>
      <c r="F1644" s="912"/>
      <c r="G1644" s="908" t="s">
        <v>2099</v>
      </c>
      <c r="H1644" s="909" t="s">
        <v>2100</v>
      </c>
      <c r="I1644" s="910"/>
      <c r="J1644" s="609"/>
      <c r="K1644" s="935"/>
      <c r="L1644" s="935"/>
      <c r="M1644" s="935"/>
      <c r="N1644" s="935"/>
      <c r="O1644" s="935"/>
    </row>
    <row r="1645" spans="1:15" ht="15" customHeight="1">
      <c r="A1645" s="908" t="s">
        <v>374</v>
      </c>
      <c r="B1645" s="909" t="s">
        <v>2102</v>
      </c>
      <c r="C1645" s="910"/>
      <c r="D1645" s="609"/>
      <c r="E1645" s="914"/>
      <c r="F1645" s="912"/>
      <c r="G1645" s="908" t="s">
        <v>374</v>
      </c>
      <c r="H1645" s="909" t="s">
        <v>2102</v>
      </c>
      <c r="I1645" s="910"/>
      <c r="J1645" s="609"/>
      <c r="K1645" s="935"/>
      <c r="L1645" s="935"/>
      <c r="M1645" s="935"/>
      <c r="N1645" s="935"/>
      <c r="O1645" s="935"/>
    </row>
    <row r="1646" spans="1:15" ht="15" customHeight="1">
      <c r="A1646" s="908" t="s">
        <v>2103</v>
      </c>
      <c r="B1646" s="909" t="s">
        <v>2104</v>
      </c>
      <c r="D1646" s="915"/>
      <c r="E1646" s="916"/>
      <c r="F1646" s="916"/>
      <c r="G1646" s="908" t="s">
        <v>2103</v>
      </c>
      <c r="H1646" s="909" t="s">
        <v>2104</v>
      </c>
      <c r="J1646" s="915"/>
    </row>
    <row r="1647" spans="1:15" ht="15" customHeight="1">
      <c r="A1647" s="547"/>
      <c r="B1647" s="546"/>
      <c r="C1647" s="910"/>
      <c r="D1647" s="609"/>
      <c r="E1647" s="914"/>
      <c r="F1647" s="916"/>
      <c r="G1647" s="547"/>
      <c r="H1647" s="546"/>
      <c r="I1647" s="910"/>
      <c r="J1647" s="609"/>
    </row>
    <row r="1648" spans="1:15" ht="15" customHeight="1">
      <c r="A1648" s="905"/>
      <c r="B1648" s="546"/>
      <c r="C1648" s="910"/>
      <c r="D1648" s="609"/>
      <c r="E1648" s="917"/>
      <c r="F1648" s="904"/>
      <c r="G1648" s="905"/>
      <c r="H1648" s="546"/>
      <c r="I1648" s="910"/>
      <c r="J1648" s="609"/>
    </row>
    <row r="1649" spans="1:15" ht="15" customHeight="1">
      <c r="A1649" s="918" t="s">
        <v>383</v>
      </c>
      <c r="B1649" s="919" t="s">
        <v>384</v>
      </c>
      <c r="C1649" s="920"/>
      <c r="D1649" s="921">
        <f>SUM(D1638:D1645)-D1648</f>
        <v>0</v>
      </c>
      <c r="E1649" s="922"/>
      <c r="F1649" s="923"/>
      <c r="G1649" s="918" t="s">
        <v>383</v>
      </c>
      <c r="H1649" s="919" t="s">
        <v>384</v>
      </c>
      <c r="I1649" s="920"/>
      <c r="J1649" s="921">
        <f>SUM(J1638:J1645)-J1648</f>
        <v>0</v>
      </c>
    </row>
    <row r="1650" spans="1:15" ht="12.6" customHeight="1">
      <c r="A1650" s="924"/>
      <c r="B1650" s="925"/>
      <c r="C1650" s="926"/>
      <c r="D1650" s="927"/>
      <c r="E1650" s="927"/>
      <c r="F1650" s="928"/>
      <c r="G1650" s="924"/>
      <c r="H1650" s="925"/>
      <c r="I1650" s="926"/>
      <c r="J1650" s="927"/>
    </row>
    <row r="1651" spans="1:15" ht="138" customHeight="1">
      <c r="A1651" s="925"/>
      <c r="B1651" s="925"/>
      <c r="C1651" s="929"/>
      <c r="D1651" s="930"/>
      <c r="E1651" s="925"/>
      <c r="F1651" s="931"/>
      <c r="G1651" s="925"/>
      <c r="H1651" s="925"/>
      <c r="I1651" s="929"/>
      <c r="J1651" s="930"/>
    </row>
    <row r="1652" spans="1:15" ht="15" customHeight="1">
      <c r="A1652" s="2360" t="str">
        <f>$K$2</f>
        <v>THÁNG 04/2025</v>
      </c>
      <c r="B1652" s="2360"/>
      <c r="C1652" s="2360"/>
      <c r="D1652" s="2360"/>
      <c r="E1652" s="903"/>
      <c r="F1652" s="904"/>
      <c r="G1652" s="2360" t="str">
        <f>$K$2</f>
        <v>THÁNG 04/2025</v>
      </c>
      <c r="H1652" s="2360"/>
      <c r="I1652" s="2360"/>
      <c r="J1652" s="2360"/>
      <c r="K1652" s="276"/>
    </row>
    <row r="1653" spans="1:15" ht="15" customHeight="1">
      <c r="A1653" s="905" t="s">
        <v>356</v>
      </c>
      <c r="B1653" s="642"/>
      <c r="C1653" s="546"/>
      <c r="D1653" s="902"/>
      <c r="E1653" s="906"/>
      <c r="F1653" s="907"/>
      <c r="G1653" s="905" t="s">
        <v>356</v>
      </c>
      <c r="H1653" s="642"/>
      <c r="I1653" s="546"/>
      <c r="J1653" s="902"/>
      <c r="L1653" s="938"/>
      <c r="M1653" s="938"/>
      <c r="N1653" s="938"/>
      <c r="O1653" s="938"/>
    </row>
    <row r="1654" spans="1:15" ht="15" customHeight="1">
      <c r="A1654" s="908" t="s">
        <v>359</v>
      </c>
      <c r="B1654" s="909" t="s">
        <v>2090</v>
      </c>
      <c r="C1654" s="910"/>
      <c r="D1654" s="609"/>
      <c r="E1654" s="911"/>
      <c r="F1654" s="911"/>
      <c r="G1654" s="908" t="s">
        <v>359</v>
      </c>
      <c r="H1654" s="909" t="s">
        <v>2090</v>
      </c>
      <c r="I1654" s="910"/>
      <c r="J1654" s="609"/>
      <c r="K1654" s="935"/>
      <c r="L1654" s="935"/>
      <c r="M1654" s="935"/>
      <c r="N1654" s="935"/>
      <c r="O1654" s="935"/>
    </row>
    <row r="1655" spans="1:15" ht="15" customHeight="1">
      <c r="A1655" s="908" t="s">
        <v>361</v>
      </c>
      <c r="B1655" s="909" t="s">
        <v>2091</v>
      </c>
      <c r="C1655" s="910"/>
      <c r="D1655" s="609"/>
      <c r="E1655" s="912"/>
      <c r="F1655" s="912"/>
      <c r="G1655" s="908" t="s">
        <v>361</v>
      </c>
      <c r="H1655" s="909" t="s">
        <v>2091</v>
      </c>
      <c r="I1655" s="910"/>
      <c r="J1655" s="609"/>
      <c r="K1655" s="935"/>
      <c r="L1655" s="935"/>
      <c r="M1655" s="935"/>
      <c r="N1655" s="935"/>
      <c r="O1655" s="935"/>
    </row>
    <row r="1656" spans="1:15" ht="15" customHeight="1">
      <c r="A1656" s="908" t="s">
        <v>364</v>
      </c>
      <c r="B1656" s="909" t="s">
        <v>2092</v>
      </c>
      <c r="C1656" s="910"/>
      <c r="D1656" s="609"/>
      <c r="E1656" s="912"/>
      <c r="F1656" s="912"/>
      <c r="G1656" s="908" t="s">
        <v>364</v>
      </c>
      <c r="H1656" s="909" t="s">
        <v>2092</v>
      </c>
      <c r="I1656" s="910"/>
      <c r="J1656" s="609"/>
      <c r="K1656" s="935"/>
      <c r="L1656" s="935"/>
      <c r="M1656" s="935"/>
      <c r="N1656" s="935"/>
      <c r="O1656" s="935"/>
    </row>
    <row r="1657" spans="1:15" ht="15" customHeight="1">
      <c r="A1657" s="908" t="s">
        <v>370</v>
      </c>
      <c r="B1657" s="909" t="s">
        <v>2093</v>
      </c>
      <c r="C1657" s="910"/>
      <c r="D1657" s="609"/>
      <c r="E1657" s="912"/>
      <c r="F1657" s="912"/>
      <c r="G1657" s="908" t="s">
        <v>370</v>
      </c>
      <c r="H1657" s="909" t="s">
        <v>2093</v>
      </c>
      <c r="I1657" s="910"/>
      <c r="J1657" s="609"/>
      <c r="K1657" s="935"/>
      <c r="L1657" s="935"/>
      <c r="M1657" s="935"/>
      <c r="N1657" s="935"/>
      <c r="O1657" s="935"/>
    </row>
    <row r="1658" spans="1:15" ht="15" customHeight="1">
      <c r="A1658" s="908" t="s">
        <v>2094</v>
      </c>
      <c r="B1658" s="909" t="s">
        <v>2095</v>
      </c>
      <c r="C1658" s="910"/>
      <c r="D1658" s="609"/>
      <c r="E1658" s="912"/>
      <c r="F1658" s="912"/>
      <c r="G1658" s="908" t="s">
        <v>2094</v>
      </c>
      <c r="H1658" s="909" t="s">
        <v>2095</v>
      </c>
      <c r="I1658" s="910"/>
      <c r="J1658" s="609"/>
      <c r="K1658" s="935"/>
      <c r="L1658" s="935"/>
      <c r="M1658" s="935"/>
      <c r="N1658" s="935"/>
      <c r="O1658" s="935"/>
    </row>
    <row r="1659" spans="1:15" ht="15" customHeight="1">
      <c r="A1659" s="908" t="s">
        <v>2096</v>
      </c>
      <c r="B1659" s="913" t="s">
        <v>2097</v>
      </c>
      <c r="C1659" s="910"/>
      <c r="D1659" s="609"/>
      <c r="E1659" s="912"/>
      <c r="F1659" s="912"/>
      <c r="G1659" s="908" t="s">
        <v>2096</v>
      </c>
      <c r="H1659" s="913" t="s">
        <v>2097</v>
      </c>
      <c r="I1659" s="910"/>
      <c r="J1659" s="609"/>
      <c r="K1659" s="935"/>
      <c r="L1659" s="935"/>
      <c r="M1659" s="935"/>
      <c r="N1659" s="935"/>
      <c r="O1659" s="935"/>
    </row>
    <row r="1660" spans="1:15" ht="15" customHeight="1">
      <c r="A1660" s="908" t="s">
        <v>2099</v>
      </c>
      <c r="B1660" s="909" t="s">
        <v>2100</v>
      </c>
      <c r="C1660" s="910"/>
      <c r="D1660" s="609"/>
      <c r="E1660" s="912"/>
      <c r="F1660" s="912"/>
      <c r="G1660" s="908" t="s">
        <v>2099</v>
      </c>
      <c r="H1660" s="909" t="s">
        <v>2100</v>
      </c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8" t="s">
        <v>374</v>
      </c>
      <c r="B1661" s="909" t="s">
        <v>2102</v>
      </c>
      <c r="C1661" s="910"/>
      <c r="D1661" s="609"/>
      <c r="E1661" s="914"/>
      <c r="F1661" s="912"/>
      <c r="G1661" s="908" t="s">
        <v>374</v>
      </c>
      <c r="H1661" s="909" t="s">
        <v>2102</v>
      </c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8" t="s">
        <v>2103</v>
      </c>
      <c r="B1662" s="909" t="s">
        <v>2104</v>
      </c>
      <c r="D1662" s="915"/>
      <c r="E1662" s="916"/>
      <c r="F1662" s="916"/>
      <c r="G1662" s="908" t="s">
        <v>2103</v>
      </c>
      <c r="H1662" s="909" t="s">
        <v>2104</v>
      </c>
      <c r="J1662" s="915"/>
    </row>
    <row r="1663" spans="1:15" ht="15" customHeight="1">
      <c r="A1663" s="547"/>
      <c r="B1663" s="546"/>
      <c r="C1663" s="910"/>
      <c r="D1663" s="609"/>
      <c r="E1663" s="914"/>
      <c r="F1663" s="916"/>
      <c r="G1663" s="547"/>
      <c r="H1663" s="546"/>
      <c r="I1663" s="910"/>
      <c r="J1663" s="609"/>
    </row>
    <row r="1664" spans="1:15" ht="15" customHeight="1">
      <c r="A1664" s="905"/>
      <c r="B1664" s="546"/>
      <c r="C1664" s="910"/>
      <c r="D1664" s="609"/>
      <c r="E1664" s="917"/>
      <c r="F1664" s="904"/>
      <c r="G1664" s="905"/>
      <c r="H1664" s="546"/>
      <c r="I1664" s="910"/>
      <c r="J1664" s="609"/>
    </row>
    <row r="1665" spans="1:15" ht="15" customHeight="1">
      <c r="A1665" s="918" t="s">
        <v>383</v>
      </c>
      <c r="B1665" s="919" t="s">
        <v>384</v>
      </c>
      <c r="C1665" s="920"/>
      <c r="D1665" s="921">
        <f>SUM(D1654:D1661)-D1664</f>
        <v>0</v>
      </c>
      <c r="E1665" s="922"/>
      <c r="F1665" s="923"/>
      <c r="G1665" s="918" t="s">
        <v>383</v>
      </c>
      <c r="H1665" s="919" t="s">
        <v>384</v>
      </c>
      <c r="I1665" s="920"/>
      <c r="J1665" s="921">
        <f>SUM(J1654:J1661)-J1664</f>
        <v>0</v>
      </c>
    </row>
    <row r="1666" spans="1:15" ht="18.75" customHeight="1">
      <c r="A1666" s="924"/>
      <c r="B1666" s="925"/>
      <c r="C1666" s="926"/>
      <c r="D1666" s="927"/>
      <c r="E1666" s="927"/>
      <c r="F1666" s="928"/>
      <c r="G1666" s="924"/>
      <c r="H1666" s="925"/>
      <c r="I1666" s="926"/>
      <c r="J1666" s="927"/>
    </row>
    <row r="1667" spans="1:15" ht="18.75" customHeight="1">
      <c r="A1667" s="925"/>
      <c r="B1667" s="925"/>
      <c r="C1667" s="929"/>
      <c r="D1667" s="930"/>
      <c r="E1667" s="925"/>
      <c r="F1667" s="931"/>
      <c r="G1667" s="925"/>
      <c r="H1667" s="925"/>
      <c r="I1667" s="929"/>
      <c r="J1667" s="930"/>
    </row>
    <row r="1668" spans="1:15" ht="15" customHeight="1">
      <c r="A1668" s="2360" t="str">
        <f>$K$2</f>
        <v>THÁNG 04/2025</v>
      </c>
      <c r="B1668" s="2360"/>
      <c r="C1668" s="2360"/>
      <c r="D1668" s="2360"/>
      <c r="E1668" s="903"/>
      <c r="F1668" s="904"/>
      <c r="G1668" s="2360" t="str">
        <f>$K$2</f>
        <v>THÁNG 04/2025</v>
      </c>
      <c r="H1668" s="2360"/>
      <c r="I1668" s="2360"/>
      <c r="J1668" s="2360"/>
      <c r="K1668" s="276"/>
    </row>
    <row r="1669" spans="1:15" ht="15" customHeight="1">
      <c r="A1669" s="905" t="s">
        <v>356</v>
      </c>
      <c r="B1669" s="642"/>
      <c r="C1669" s="546"/>
      <c r="D1669" s="902"/>
      <c r="E1669" s="906"/>
      <c r="F1669" s="907"/>
      <c r="G1669" s="905" t="s">
        <v>356</v>
      </c>
      <c r="H1669" s="642" t="s">
        <v>494</v>
      </c>
      <c r="I1669" s="546"/>
      <c r="J1669" s="902"/>
      <c r="L1669" s="938"/>
      <c r="M1669" s="938"/>
      <c r="N1669" s="938"/>
      <c r="O1669" s="938"/>
    </row>
    <row r="1670" spans="1:15" ht="15" customHeight="1">
      <c r="A1670" s="908" t="s">
        <v>359</v>
      </c>
      <c r="B1670" s="909" t="s">
        <v>2090</v>
      </c>
      <c r="C1670" s="910"/>
      <c r="D1670" s="609"/>
      <c r="E1670" s="911"/>
      <c r="F1670" s="911"/>
      <c r="G1670" s="908" t="s">
        <v>359</v>
      </c>
      <c r="H1670" s="909" t="s">
        <v>2090</v>
      </c>
      <c r="I1670" s="910"/>
      <c r="J1670" s="609"/>
      <c r="K1670" s="935"/>
      <c r="L1670" s="935"/>
      <c r="M1670" s="935"/>
      <c r="N1670" s="935"/>
      <c r="O1670" s="935"/>
    </row>
    <row r="1671" spans="1:15" ht="15" customHeight="1">
      <c r="A1671" s="908" t="s">
        <v>361</v>
      </c>
      <c r="B1671" s="909" t="s">
        <v>2091</v>
      </c>
      <c r="C1671" s="910"/>
      <c r="D1671" s="609"/>
      <c r="E1671" s="912"/>
      <c r="F1671" s="912"/>
      <c r="G1671" s="908" t="s">
        <v>361</v>
      </c>
      <c r="H1671" s="909" t="s">
        <v>2091</v>
      </c>
      <c r="I1671" s="910"/>
      <c r="J1671" s="609"/>
      <c r="K1671" s="935"/>
      <c r="L1671" s="935"/>
      <c r="M1671" s="935"/>
      <c r="N1671" s="935"/>
      <c r="O1671" s="935"/>
    </row>
    <row r="1672" spans="1:15" ht="15" customHeight="1">
      <c r="A1672" s="908" t="s">
        <v>364</v>
      </c>
      <c r="B1672" s="909" t="s">
        <v>2092</v>
      </c>
      <c r="C1672" s="910"/>
      <c r="D1672" s="609"/>
      <c r="E1672" s="912"/>
      <c r="F1672" s="912"/>
      <c r="G1672" s="908" t="s">
        <v>364</v>
      </c>
      <c r="H1672" s="909" t="s">
        <v>2092</v>
      </c>
      <c r="I1672" s="910"/>
      <c r="J1672" s="609"/>
      <c r="K1672" s="935"/>
      <c r="L1672" s="935"/>
      <c r="M1672" s="935"/>
      <c r="N1672" s="935"/>
      <c r="O1672" s="935"/>
    </row>
    <row r="1673" spans="1:15" ht="15" customHeight="1">
      <c r="A1673" s="908" t="s">
        <v>370</v>
      </c>
      <c r="B1673" s="909" t="s">
        <v>2093</v>
      </c>
      <c r="C1673" s="910"/>
      <c r="D1673" s="609"/>
      <c r="E1673" s="912"/>
      <c r="F1673" s="912"/>
      <c r="G1673" s="908" t="s">
        <v>370</v>
      </c>
      <c r="H1673" s="909" t="s">
        <v>2093</v>
      </c>
      <c r="I1673" s="910"/>
      <c r="J1673" s="609"/>
      <c r="K1673" s="935"/>
      <c r="L1673" s="935"/>
      <c r="M1673" s="935"/>
      <c r="N1673" s="935"/>
      <c r="O1673" s="935"/>
    </row>
    <row r="1674" spans="1:15" ht="15" customHeight="1">
      <c r="A1674" s="908" t="s">
        <v>2094</v>
      </c>
      <c r="B1674" s="909" t="s">
        <v>2095</v>
      </c>
      <c r="C1674" s="910"/>
      <c r="D1674" s="609"/>
      <c r="E1674" s="912"/>
      <c r="F1674" s="912"/>
      <c r="G1674" s="908" t="s">
        <v>2094</v>
      </c>
      <c r="H1674" s="909" t="s">
        <v>2095</v>
      </c>
      <c r="I1674" s="910"/>
      <c r="J1674" s="609"/>
      <c r="K1674" s="935"/>
      <c r="L1674" s="935"/>
      <c r="M1674" s="935"/>
      <c r="N1674" s="935"/>
      <c r="O1674" s="935"/>
    </row>
    <row r="1675" spans="1:15" ht="15" customHeight="1">
      <c r="A1675" s="908" t="s">
        <v>2096</v>
      </c>
      <c r="B1675" s="913" t="s">
        <v>2097</v>
      </c>
      <c r="C1675" s="910"/>
      <c r="D1675" s="609"/>
      <c r="E1675" s="912"/>
      <c r="F1675" s="912"/>
      <c r="G1675" s="908" t="s">
        <v>2096</v>
      </c>
      <c r="H1675" s="913" t="s">
        <v>2097</v>
      </c>
      <c r="I1675" s="910"/>
      <c r="J1675" s="609"/>
      <c r="K1675" s="935"/>
      <c r="L1675" s="935"/>
      <c r="M1675" s="935"/>
      <c r="N1675" s="935"/>
      <c r="O1675" s="935"/>
    </row>
    <row r="1676" spans="1:15" ht="15" customHeight="1">
      <c r="A1676" s="908" t="s">
        <v>2099</v>
      </c>
      <c r="B1676" s="909" t="s">
        <v>2100</v>
      </c>
      <c r="C1676" s="910"/>
      <c r="D1676" s="609"/>
      <c r="E1676" s="912"/>
      <c r="F1676" s="912"/>
      <c r="G1676" s="908" t="s">
        <v>2099</v>
      </c>
      <c r="H1676" s="909" t="s">
        <v>2100</v>
      </c>
      <c r="I1676" s="910"/>
      <c r="J1676" s="609"/>
      <c r="K1676" s="935"/>
      <c r="L1676" s="935"/>
      <c r="M1676" s="935"/>
      <c r="N1676" s="935"/>
      <c r="O1676" s="935"/>
    </row>
    <row r="1677" spans="1:15" ht="15" customHeight="1">
      <c r="A1677" s="908" t="s">
        <v>374</v>
      </c>
      <c r="B1677" s="909" t="s">
        <v>2102</v>
      </c>
      <c r="C1677" s="910"/>
      <c r="D1677" s="609"/>
      <c r="E1677" s="914"/>
      <c r="F1677" s="912"/>
      <c r="G1677" s="908" t="s">
        <v>374</v>
      </c>
      <c r="H1677" s="909" t="s">
        <v>2102</v>
      </c>
      <c r="I1677" s="910"/>
      <c r="J1677" s="609"/>
      <c r="K1677" s="935"/>
      <c r="L1677" s="935"/>
      <c r="M1677" s="935"/>
      <c r="N1677" s="935"/>
      <c r="O1677" s="935"/>
    </row>
    <row r="1678" spans="1:15" ht="15" customHeight="1">
      <c r="A1678" s="908" t="s">
        <v>2103</v>
      </c>
      <c r="B1678" s="909" t="s">
        <v>2104</v>
      </c>
      <c r="D1678" s="915"/>
      <c r="E1678" s="916"/>
      <c r="F1678" s="916"/>
      <c r="G1678" s="908" t="s">
        <v>2103</v>
      </c>
      <c r="H1678" s="909" t="s">
        <v>2104</v>
      </c>
      <c r="J1678" s="915"/>
    </row>
    <row r="1679" spans="1:15" ht="15" customHeight="1">
      <c r="A1679" s="547"/>
      <c r="B1679" s="546"/>
      <c r="C1679" s="910"/>
      <c r="D1679" s="609"/>
      <c r="E1679" s="914"/>
      <c r="F1679" s="916"/>
      <c r="G1679" s="547"/>
      <c r="H1679" s="546"/>
      <c r="I1679" s="910"/>
      <c r="J1679" s="609"/>
    </row>
    <row r="1680" spans="1:15" ht="15" customHeight="1">
      <c r="A1680" s="905"/>
      <c r="B1680" s="546"/>
      <c r="C1680" s="910"/>
      <c r="D1680" s="609"/>
      <c r="E1680" s="917"/>
      <c r="F1680" s="904"/>
      <c r="G1680" s="905"/>
      <c r="H1680" s="546"/>
      <c r="I1680" s="910"/>
      <c r="J1680" s="609"/>
    </row>
    <row r="1681" spans="1:15" ht="15" customHeight="1">
      <c r="A1681" s="918" t="s">
        <v>383</v>
      </c>
      <c r="B1681" s="919" t="s">
        <v>384</v>
      </c>
      <c r="C1681" s="920"/>
      <c r="D1681" s="921">
        <f>SUM(D1670:D1677)-D1680</f>
        <v>0</v>
      </c>
      <c r="E1681" s="922"/>
      <c r="F1681" s="923"/>
      <c r="G1681" s="918" t="s">
        <v>383</v>
      </c>
      <c r="H1681" s="919" t="s">
        <v>384</v>
      </c>
      <c r="I1681" s="920"/>
      <c r="J1681" s="921">
        <f>SUM(J1670:J1677)-J1680</f>
        <v>0</v>
      </c>
    </row>
    <row r="1682" spans="1:15" ht="18.75" customHeight="1">
      <c r="A1682" s="924"/>
      <c r="B1682" s="925"/>
      <c r="C1682" s="926"/>
      <c r="D1682" s="927"/>
      <c r="E1682" s="927"/>
      <c r="F1682" s="928"/>
      <c r="G1682" s="924"/>
      <c r="H1682" s="925"/>
      <c r="I1682" s="926"/>
      <c r="J1682" s="927"/>
    </row>
    <row r="1683" spans="1:15" ht="18.75" customHeight="1">
      <c r="A1683" s="925"/>
      <c r="B1683" s="925"/>
      <c r="C1683" s="929"/>
      <c r="D1683" s="930"/>
      <c r="E1683" s="925"/>
      <c r="F1683" s="931"/>
      <c r="G1683" s="925"/>
      <c r="H1683" s="925"/>
      <c r="I1683" s="929"/>
      <c r="J1683" s="930"/>
    </row>
    <row r="1684" spans="1:15" ht="15" customHeight="1">
      <c r="A1684" s="2360" t="str">
        <f>$K$2</f>
        <v>THÁNG 04/2025</v>
      </c>
      <c r="B1684" s="2360"/>
      <c r="C1684" s="2360"/>
      <c r="D1684" s="2360"/>
      <c r="E1684" s="903"/>
      <c r="F1684" s="904"/>
      <c r="G1684" s="2360" t="str">
        <f>$K$2</f>
        <v>THÁNG 04/2025</v>
      </c>
      <c r="H1684" s="2360"/>
      <c r="I1684" s="2360"/>
      <c r="J1684" s="2360"/>
      <c r="K1684" s="276"/>
    </row>
    <row r="1685" spans="1:15" ht="15" customHeight="1">
      <c r="A1685" s="905" t="s">
        <v>356</v>
      </c>
      <c r="B1685" s="642" t="s">
        <v>495</v>
      </c>
      <c r="C1685" s="546"/>
      <c r="D1685" s="902"/>
      <c r="E1685" s="906"/>
      <c r="F1685" s="907"/>
      <c r="G1685" s="905" t="s">
        <v>356</v>
      </c>
      <c r="H1685" s="642"/>
      <c r="I1685" s="546"/>
      <c r="J1685" s="902"/>
      <c r="L1685" s="938"/>
      <c r="M1685" s="938"/>
      <c r="N1685" s="938"/>
      <c r="O1685" s="938"/>
    </row>
    <row r="1686" spans="1:15" ht="15" customHeight="1">
      <c r="A1686" s="908" t="s">
        <v>359</v>
      </c>
      <c r="B1686" s="909" t="s">
        <v>2090</v>
      </c>
      <c r="C1686" s="910"/>
      <c r="D1686" s="609"/>
      <c r="E1686" s="911"/>
      <c r="F1686" s="911"/>
      <c r="G1686" s="908" t="s">
        <v>359</v>
      </c>
      <c r="H1686" s="909" t="s">
        <v>2090</v>
      </c>
      <c r="I1686" s="910"/>
      <c r="J1686" s="609"/>
      <c r="K1686" s="935"/>
      <c r="L1686" s="935"/>
      <c r="M1686" s="935"/>
      <c r="N1686" s="935"/>
      <c r="O1686" s="935"/>
    </row>
    <row r="1687" spans="1:15" ht="15" customHeight="1">
      <c r="A1687" s="908" t="s">
        <v>361</v>
      </c>
      <c r="B1687" s="909" t="s">
        <v>2091</v>
      </c>
      <c r="C1687" s="910"/>
      <c r="D1687" s="609"/>
      <c r="E1687" s="912"/>
      <c r="F1687" s="912"/>
      <c r="G1687" s="908" t="s">
        <v>361</v>
      </c>
      <c r="H1687" s="909" t="s">
        <v>2091</v>
      </c>
      <c r="I1687" s="910"/>
      <c r="J1687" s="609"/>
      <c r="K1687" s="935"/>
      <c r="L1687" s="935"/>
      <c r="M1687" s="935"/>
      <c r="N1687" s="935"/>
      <c r="O1687" s="935"/>
    </row>
    <row r="1688" spans="1:15" ht="15" customHeight="1">
      <c r="A1688" s="908" t="s">
        <v>364</v>
      </c>
      <c r="B1688" s="909" t="s">
        <v>2092</v>
      </c>
      <c r="C1688" s="910"/>
      <c r="D1688" s="609"/>
      <c r="E1688" s="912"/>
      <c r="F1688" s="912"/>
      <c r="G1688" s="908" t="s">
        <v>364</v>
      </c>
      <c r="H1688" s="909" t="s">
        <v>2092</v>
      </c>
      <c r="I1688" s="910"/>
      <c r="J1688" s="609"/>
      <c r="K1688" s="935"/>
      <c r="L1688" s="935"/>
      <c r="M1688" s="935"/>
      <c r="N1688" s="935"/>
      <c r="O1688" s="935"/>
    </row>
    <row r="1689" spans="1:15" ht="15" customHeight="1">
      <c r="A1689" s="908" t="s">
        <v>370</v>
      </c>
      <c r="B1689" s="909" t="s">
        <v>2093</v>
      </c>
      <c r="C1689" s="910"/>
      <c r="D1689" s="609"/>
      <c r="E1689" s="912"/>
      <c r="F1689" s="912"/>
      <c r="G1689" s="908" t="s">
        <v>370</v>
      </c>
      <c r="H1689" s="909" t="s">
        <v>2093</v>
      </c>
      <c r="I1689" s="910"/>
      <c r="J1689" s="609"/>
      <c r="K1689" s="935"/>
      <c r="L1689" s="935"/>
      <c r="M1689" s="935"/>
      <c r="N1689" s="935"/>
      <c r="O1689" s="935"/>
    </row>
    <row r="1690" spans="1:15" ht="15" customHeight="1">
      <c r="A1690" s="908" t="s">
        <v>2094</v>
      </c>
      <c r="B1690" s="909" t="s">
        <v>2095</v>
      </c>
      <c r="C1690" s="910"/>
      <c r="D1690" s="609"/>
      <c r="E1690" s="912"/>
      <c r="F1690" s="912"/>
      <c r="G1690" s="908" t="s">
        <v>2094</v>
      </c>
      <c r="H1690" s="909" t="s">
        <v>2095</v>
      </c>
      <c r="I1690" s="910"/>
      <c r="J1690" s="609"/>
      <c r="K1690" s="935"/>
      <c r="L1690" s="935"/>
      <c r="M1690" s="935"/>
      <c r="N1690" s="935"/>
      <c r="O1690" s="935"/>
    </row>
    <row r="1691" spans="1:15" ht="15" customHeight="1">
      <c r="A1691" s="908" t="s">
        <v>2096</v>
      </c>
      <c r="B1691" s="913" t="s">
        <v>2097</v>
      </c>
      <c r="C1691" s="910"/>
      <c r="D1691" s="609"/>
      <c r="E1691" s="912"/>
      <c r="F1691" s="912"/>
      <c r="G1691" s="908" t="s">
        <v>2096</v>
      </c>
      <c r="H1691" s="913" t="s">
        <v>2097</v>
      </c>
      <c r="I1691" s="910"/>
      <c r="J1691" s="609"/>
      <c r="K1691" s="935"/>
      <c r="L1691" s="935"/>
      <c r="M1691" s="935"/>
      <c r="N1691" s="935"/>
      <c r="O1691" s="935"/>
    </row>
    <row r="1692" spans="1:15" ht="15" customHeight="1">
      <c r="A1692" s="908" t="s">
        <v>2099</v>
      </c>
      <c r="B1692" s="909" t="s">
        <v>2100</v>
      </c>
      <c r="C1692" s="910"/>
      <c r="D1692" s="609"/>
      <c r="E1692" s="912"/>
      <c r="F1692" s="912"/>
      <c r="G1692" s="908" t="s">
        <v>2099</v>
      </c>
      <c r="H1692" s="909" t="s">
        <v>2100</v>
      </c>
      <c r="I1692" s="910"/>
      <c r="J1692" s="609"/>
      <c r="K1692" s="940" t="s">
        <v>485</v>
      </c>
      <c r="M1692" s="940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0"/>
      <c r="O1692" s="940"/>
    </row>
    <row r="1693" spans="1:15" ht="15" customHeight="1">
      <c r="A1693" s="908" t="s">
        <v>374</v>
      </c>
      <c r="B1693" s="909" t="s">
        <v>2102</v>
      </c>
      <c r="C1693" s="910"/>
      <c r="D1693" s="609"/>
      <c r="E1693" s="914"/>
      <c r="F1693" s="912"/>
      <c r="G1693" s="908" t="s">
        <v>374</v>
      </c>
      <c r="H1693" s="909" t="s">
        <v>2102</v>
      </c>
      <c r="I1693" s="910"/>
      <c r="J1693" s="609"/>
      <c r="K1693" s="935"/>
      <c r="L1693" s="935" t="e">
        <f>+M1692+D1697</f>
        <v>#N/A</v>
      </c>
      <c r="M1693" s="935" t="e">
        <f>+'Đội 3'!AE101-'Đội 3'!#REF!</f>
        <v>#N/A</v>
      </c>
      <c r="N1693" s="935"/>
      <c r="O1693" s="935"/>
    </row>
    <row r="1694" spans="1:15" ht="15" customHeight="1">
      <c r="A1694" s="908" t="s">
        <v>2103</v>
      </c>
      <c r="B1694" s="909" t="s">
        <v>2104</v>
      </c>
      <c r="D1694" s="915"/>
      <c r="E1694" s="916"/>
      <c r="F1694" s="916"/>
      <c r="G1694" s="908" t="s">
        <v>2103</v>
      </c>
      <c r="H1694" s="909" t="s">
        <v>2104</v>
      </c>
      <c r="J1694" s="915"/>
      <c r="L1694" s="898">
        <f>D1697</f>
        <v>0</v>
      </c>
      <c r="M1694" s="898" t="e">
        <f>+M1692-M1693</f>
        <v>#N/A</v>
      </c>
    </row>
    <row r="1695" spans="1:15" ht="15" customHeight="1">
      <c r="A1695" s="547"/>
      <c r="B1695" s="546"/>
      <c r="C1695" s="910"/>
      <c r="D1695" s="609"/>
      <c r="E1695" s="914"/>
      <c r="F1695" s="916"/>
      <c r="G1695" s="547"/>
      <c r="H1695" s="546"/>
      <c r="I1695" s="910"/>
      <c r="J1695" s="609"/>
    </row>
    <row r="1696" spans="1:15" ht="15" customHeight="1">
      <c r="A1696" s="905"/>
      <c r="B1696" s="546"/>
      <c r="C1696" s="910"/>
      <c r="D1696" s="609"/>
      <c r="E1696" s="917"/>
      <c r="F1696" s="904"/>
      <c r="G1696" s="905"/>
      <c r="H1696" s="546"/>
      <c r="I1696" s="910"/>
      <c r="J1696" s="609"/>
    </row>
    <row r="1697" spans="1:15" ht="15" customHeight="1">
      <c r="A1697" s="918" t="s">
        <v>383</v>
      </c>
      <c r="B1697" s="919" t="s">
        <v>384</v>
      </c>
      <c r="C1697" s="920"/>
      <c r="D1697" s="921">
        <f>SUM(D1686:D1693)</f>
        <v>0</v>
      </c>
      <c r="E1697" s="922"/>
      <c r="F1697" s="923"/>
      <c r="G1697" s="918" t="s">
        <v>383</v>
      </c>
      <c r="H1697" s="919" t="s">
        <v>384</v>
      </c>
      <c r="I1697" s="920"/>
      <c r="J1697" s="921"/>
    </row>
    <row r="1698" spans="1:15" ht="15.75" customHeight="1">
      <c r="A1698" s="924"/>
      <c r="B1698" s="925"/>
      <c r="C1698" s="926"/>
      <c r="D1698" s="927"/>
      <c r="E1698" s="927"/>
      <c r="F1698" s="928"/>
      <c r="G1698" s="924"/>
      <c r="H1698" s="925"/>
      <c r="I1698" s="926"/>
      <c r="J1698" s="927"/>
    </row>
    <row r="1700" spans="1:15" ht="123" customHeight="1">
      <c r="A1700" s="2361"/>
      <c r="B1700" s="2361"/>
      <c r="C1700" s="2361"/>
      <c r="D1700" s="2361"/>
      <c r="E1700" s="2361"/>
      <c r="F1700" s="2361"/>
      <c r="G1700" s="2361"/>
      <c r="H1700" s="2361"/>
      <c r="I1700" s="2361"/>
      <c r="J1700" s="2361"/>
    </row>
    <row r="1701" spans="1:15" ht="15" customHeight="1">
      <c r="A1701" s="2360" t="str">
        <f>$K$2</f>
        <v>THÁNG 04/2025</v>
      </c>
      <c r="B1701" s="2360"/>
      <c r="C1701" s="2360"/>
      <c r="D1701" s="2360"/>
      <c r="E1701" s="903"/>
      <c r="F1701" s="904"/>
      <c r="G1701" s="2360" t="str">
        <f>$K$2</f>
        <v>THÁNG 04/2025</v>
      </c>
      <c r="H1701" s="2360"/>
      <c r="I1701" s="2360"/>
      <c r="J1701" s="2360"/>
      <c r="K1701" s="276"/>
    </row>
    <row r="1702" spans="1:15" ht="15" customHeight="1">
      <c r="A1702" s="905" t="s">
        <v>356</v>
      </c>
      <c r="B1702" s="642" t="s">
        <v>104</v>
      </c>
      <c r="C1702" s="546"/>
      <c r="D1702" s="902"/>
      <c r="E1702" s="906"/>
      <c r="F1702" s="907"/>
      <c r="G1702" s="905" t="s">
        <v>356</v>
      </c>
      <c r="H1702" s="642" t="s">
        <v>105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8" t="s">
        <v>359</v>
      </c>
      <c r="B1703" s="909" t="s">
        <v>2090</v>
      </c>
      <c r="C1703" s="910" t="e">
        <f>VLOOKUP(B1702,'LƯƠNG KT'!$D$16:$Z$184,4,0)</f>
        <v>#N/A</v>
      </c>
      <c r="D1703" s="609" t="e">
        <f>+C1703*25000</f>
        <v>#N/A</v>
      </c>
      <c r="E1703" s="911"/>
      <c r="F1703" s="911"/>
      <c r="G1703" s="908" t="s">
        <v>359</v>
      </c>
      <c r="H1703" s="909" t="s">
        <v>2090</v>
      </c>
      <c r="I1703" s="910" t="e">
        <f>VLOOKUP(H1702,'LƯƠNG KT'!$D$16:$Z$184,4,0)</f>
        <v>#N/A</v>
      </c>
      <c r="J1703" s="609" t="e">
        <f>+I1703*25000</f>
        <v>#N/A</v>
      </c>
      <c r="K1703" s="934"/>
      <c r="L1703" s="935"/>
      <c r="M1703" s="935"/>
      <c r="N1703" s="935"/>
      <c r="O1703" s="935"/>
    </row>
    <row r="1704" spans="1:15" ht="15" customHeight="1">
      <c r="A1704" s="908" t="s">
        <v>361</v>
      </c>
      <c r="B1704" s="909" t="s">
        <v>2091</v>
      </c>
      <c r="C1704" s="910" t="e">
        <f>VLOOKUP(B1702,'LƯƠNG KT'!$D$16:$Z$184,15,0)</f>
        <v>#N/A</v>
      </c>
      <c r="D1704" s="609" t="e">
        <f>C1704*$L$4</f>
        <v>#N/A</v>
      </c>
      <c r="E1704" s="912"/>
      <c r="F1704" s="912"/>
      <c r="G1704" s="908" t="s">
        <v>361</v>
      </c>
      <c r="H1704" s="909" t="s">
        <v>2091</v>
      </c>
      <c r="I1704" s="910" t="e">
        <f>VLOOKUP(H1702,'LƯƠNG KT'!$D$16:$Z$184,15,0)</f>
        <v>#N/A</v>
      </c>
      <c r="J1704" s="609" t="e">
        <f>I1704*$L$4</f>
        <v>#N/A</v>
      </c>
      <c r="K1704" s="934"/>
      <c r="L1704" s="935"/>
      <c r="M1704" s="935"/>
      <c r="N1704" s="935"/>
      <c r="O1704" s="935"/>
    </row>
    <row r="1705" spans="1:15" ht="15" customHeight="1">
      <c r="A1705" s="908" t="s">
        <v>364</v>
      </c>
      <c r="B1705" s="909" t="s">
        <v>2092</v>
      </c>
      <c r="C1705" s="910" t="e">
        <f>VLOOKUP(B1702,'LƯƠNG KT'!$D$16:$Z$184,16,0)</f>
        <v>#N/A</v>
      </c>
      <c r="D1705" s="609" t="e">
        <f>C1705*$L$5</f>
        <v>#N/A</v>
      </c>
      <c r="E1705" s="912"/>
      <c r="F1705" s="912"/>
      <c r="G1705" s="908" t="s">
        <v>364</v>
      </c>
      <c r="H1705" s="909" t="s">
        <v>2092</v>
      </c>
      <c r="I1705" s="910" t="e">
        <f>VLOOKUP(H1702,'LƯƠNG KT'!$D$16:$Z$184,16,0)</f>
        <v>#N/A</v>
      </c>
      <c r="J1705" s="609" t="e">
        <f>I1705*$L$5</f>
        <v>#N/A</v>
      </c>
      <c r="K1705" s="934"/>
      <c r="L1705" s="935"/>
      <c r="M1705" s="935"/>
      <c r="N1705" s="935"/>
      <c r="O1705" s="935"/>
    </row>
    <row r="1706" spans="1:15" ht="15" customHeight="1">
      <c r="A1706" s="908" t="s">
        <v>370</v>
      </c>
      <c r="B1706" s="909" t="s">
        <v>2093</v>
      </c>
      <c r="C1706" s="910" t="e">
        <f>VLOOKUP(B1702,'LƯƠNG KT'!$D$16:$Z$184,24,0)</f>
        <v>#N/A</v>
      </c>
      <c r="D1706" s="609" t="e">
        <f>+C1706*$L$6</f>
        <v>#N/A</v>
      </c>
      <c r="E1706" s="912"/>
      <c r="F1706" s="912"/>
      <c r="G1706" s="908" t="s">
        <v>370</v>
      </c>
      <c r="H1706" s="909" t="s">
        <v>2093</v>
      </c>
      <c r="I1706" s="910" t="e">
        <f>VLOOKUP(H1702,'LƯƠNG KT'!$D$16:$Z$184,24,0)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8" t="s">
        <v>2094</v>
      </c>
      <c r="B1707" s="909" t="s">
        <v>2095</v>
      </c>
      <c r="C1707" s="910" t="e">
        <f>VLOOKUP(B1702,'LƯƠNG KT'!$D$16:$Z$184,19,0)</f>
        <v>#N/A</v>
      </c>
      <c r="D1707" s="609" t="e">
        <f>+C1707*$L$8</f>
        <v>#N/A</v>
      </c>
      <c r="E1707" s="912"/>
      <c r="F1707" s="912"/>
      <c r="G1707" s="908" t="s">
        <v>2094</v>
      </c>
      <c r="H1707" s="909" t="s">
        <v>2095</v>
      </c>
      <c r="I1707" s="910" t="e">
        <f>VLOOKUP(H1702,'LƯƠNG KT'!$D$16:$Z$184,19,0)</f>
        <v>#N/A</v>
      </c>
      <c r="J1707" s="609" t="e">
        <f>+I1707*$L$8</f>
        <v>#N/A</v>
      </c>
      <c r="K1707" s="935"/>
      <c r="L1707" s="935"/>
      <c r="M1707" s="935"/>
      <c r="N1707" s="935"/>
      <c r="O1707" s="935"/>
    </row>
    <row r="1708" spans="1:15" ht="15" customHeight="1">
      <c r="A1708" s="908" t="s">
        <v>2096</v>
      </c>
      <c r="B1708" s="913" t="s">
        <v>2097</v>
      </c>
      <c r="C1708" s="910" t="e">
        <f>VLOOKUP(B1702,'LƯƠNG KT'!$D$16:$Z$184,20,0)</f>
        <v>#N/A</v>
      </c>
      <c r="D1708" s="609" t="e">
        <f>+C1708*$L$9</f>
        <v>#N/A</v>
      </c>
      <c r="E1708" s="912"/>
      <c r="F1708" s="912"/>
      <c r="G1708" s="908" t="s">
        <v>2096</v>
      </c>
      <c r="H1708" s="913" t="s">
        <v>2097</v>
      </c>
      <c r="I1708" s="910" t="e">
        <f>VLOOKUP(H1702,'LƯƠNG KT'!$D$16:$Z$184,20,0)</f>
        <v>#N/A</v>
      </c>
      <c r="J1708" s="609" t="e">
        <f>+I1708*$L$9</f>
        <v>#N/A</v>
      </c>
      <c r="K1708" s="935"/>
      <c r="L1708" s="935"/>
      <c r="M1708" s="935"/>
      <c r="N1708" s="935"/>
      <c r="O1708" s="935"/>
    </row>
    <row r="1709" spans="1:15" ht="15" customHeight="1">
      <c r="A1709" s="908" t="s">
        <v>2099</v>
      </c>
      <c r="B1709" s="909" t="s">
        <v>2100</v>
      </c>
      <c r="C1709" s="910" t="e">
        <f>VLOOKUP(B1702,'LƯƠNG KT'!$D$16:$Z$184,17,0)</f>
        <v>#N/A</v>
      </c>
      <c r="D1709" s="609" t="e">
        <f>+C1709*$L$10</f>
        <v>#N/A</v>
      </c>
      <c r="E1709" s="912"/>
      <c r="F1709" s="912"/>
      <c r="G1709" s="908" t="s">
        <v>2099</v>
      </c>
      <c r="H1709" s="909" t="s">
        <v>2100</v>
      </c>
      <c r="I1709" s="910" t="e">
        <f>VLOOKUP(H1702,'LƯƠNG KT'!$D$16:$Z$184,17,0)</f>
        <v>#N/A</v>
      </c>
      <c r="J1709" s="609" t="e">
        <f>+I1709*$L$10</f>
        <v>#N/A</v>
      </c>
      <c r="K1709" s="935"/>
      <c r="L1709" s="935"/>
      <c r="M1709" s="935"/>
      <c r="N1709" s="935"/>
      <c r="O1709" s="935"/>
    </row>
    <row r="1710" spans="1:15" ht="15" customHeight="1">
      <c r="A1710" s="908" t="s">
        <v>374</v>
      </c>
      <c r="B1710" s="909" t="s">
        <v>2102</v>
      </c>
      <c r="C1710" s="910" t="e">
        <f>VLOOKUP(B1702,'LƯƠNG KT'!$D$16:$Z$184,12,0)</f>
        <v>#N/A</v>
      </c>
      <c r="D1710" s="609" t="e">
        <f>VLOOKUP(B1702,'LƯƠNG KT'!$D$16:$Z$184,14,0)</f>
        <v>#N/A</v>
      </c>
      <c r="E1710" s="914"/>
      <c r="F1710" s="912"/>
      <c r="G1710" s="908" t="s">
        <v>374</v>
      </c>
      <c r="H1710" s="909" t="s">
        <v>2102</v>
      </c>
      <c r="I1710" s="910" t="e">
        <f>VLOOKUP(H1702,'LƯƠNG KT'!$D$16:$Z$184,12,0)</f>
        <v>#N/A</v>
      </c>
      <c r="J1710" s="609" t="e">
        <f>VLOOKUP(H1702,'LƯƠNG KT'!$D$16:$Z$184,14,0)</f>
        <v>#N/A</v>
      </c>
      <c r="K1710" s="935"/>
      <c r="L1710" s="935"/>
      <c r="M1710" s="935"/>
      <c r="N1710" s="935"/>
      <c r="O1710" s="935"/>
    </row>
    <row r="1711" spans="1:15" ht="15" customHeight="1">
      <c r="A1711" s="908" t="s">
        <v>2103</v>
      </c>
      <c r="B1711" s="909" t="s">
        <v>2104</v>
      </c>
      <c r="D1711" s="915" t="e">
        <f>VLOOKUP(B1702,'LƯƠNG KT'!$D$16:$Z$184,13,0)</f>
        <v>#N/A</v>
      </c>
      <c r="E1711" s="916"/>
      <c r="F1711" s="916"/>
      <c r="G1711" s="908" t="s">
        <v>2103</v>
      </c>
      <c r="H1711" s="909" t="s">
        <v>2104</v>
      </c>
      <c r="J1711" s="915" t="e">
        <f>VLOOKUP(H1702,'LƯƠNG KT'!$D$16:$Z$184,13,0)</f>
        <v>#N/A</v>
      </c>
    </row>
    <row r="1712" spans="1:15" ht="15" customHeight="1">
      <c r="A1712" s="547"/>
      <c r="B1712" s="546"/>
      <c r="C1712" s="910"/>
      <c r="D1712" s="609"/>
      <c r="E1712" s="914"/>
      <c r="F1712" s="916"/>
      <c r="G1712" s="547"/>
      <c r="H1712" s="546"/>
      <c r="I1712" s="910"/>
      <c r="J1712" s="609"/>
    </row>
    <row r="1713" spans="1:15" ht="15" customHeight="1">
      <c r="A1713" s="905"/>
      <c r="B1713" s="546"/>
      <c r="C1713" s="910"/>
      <c r="D1713" s="609"/>
      <c r="E1713" s="917"/>
      <c r="F1713" s="904"/>
      <c r="G1713" s="905"/>
      <c r="H1713" s="546"/>
      <c r="I1713" s="910"/>
      <c r="J1713" s="609"/>
    </row>
    <row r="1714" spans="1:15" ht="15" customHeight="1">
      <c r="A1714" s="918" t="s">
        <v>383</v>
      </c>
      <c r="B1714" s="919" t="s">
        <v>384</v>
      </c>
      <c r="C1714" s="920"/>
      <c r="D1714" s="921" t="e">
        <f>SUM(D1703:D1710)-D1713</f>
        <v>#N/A</v>
      </c>
      <c r="E1714" s="922"/>
      <c r="F1714" s="923"/>
      <c r="G1714" s="918" t="s">
        <v>383</v>
      </c>
      <c r="H1714" s="919" t="s">
        <v>384</v>
      </c>
      <c r="I1714" s="920"/>
      <c r="J1714" s="921" t="e">
        <f>SUM(J1703:J1710)-J1713</f>
        <v>#N/A</v>
      </c>
    </row>
    <row r="1715" spans="1:15" ht="12.6" customHeight="1">
      <c r="A1715" s="924"/>
      <c r="B1715" s="925"/>
      <c r="C1715" s="926"/>
      <c r="D1715" s="927"/>
      <c r="E1715" s="927"/>
      <c r="F1715" s="928"/>
      <c r="G1715" s="924"/>
      <c r="H1715" s="925"/>
      <c r="I1715" s="926"/>
      <c r="J1715" s="927"/>
    </row>
    <row r="1716" spans="1:15" ht="12.6" customHeight="1">
      <c r="A1716" s="925"/>
      <c r="B1716" s="925"/>
      <c r="C1716" s="929"/>
      <c r="D1716" s="930"/>
      <c r="E1716" s="925"/>
      <c r="F1716" s="931"/>
      <c r="G1716" s="925"/>
      <c r="H1716" s="925"/>
      <c r="I1716" s="929"/>
      <c r="J1716" s="930"/>
    </row>
    <row r="1717" spans="1:15" ht="15" customHeight="1">
      <c r="A1717" s="2360" t="str">
        <f>$K$2</f>
        <v>THÁNG 04/2025</v>
      </c>
      <c r="B1717" s="2360"/>
      <c r="C1717" s="2360"/>
      <c r="D1717" s="2360"/>
      <c r="E1717" s="903"/>
      <c r="F1717" s="904"/>
      <c r="G1717" s="2360" t="str">
        <f>$K$2</f>
        <v>THÁNG 04/2025</v>
      </c>
      <c r="H1717" s="2360"/>
      <c r="I1717" s="2360"/>
      <c r="J1717" s="2360"/>
      <c r="K1717" s="276"/>
    </row>
    <row r="1718" spans="1:15" ht="15" customHeight="1">
      <c r="A1718" s="905" t="s">
        <v>356</v>
      </c>
      <c r="B1718" s="642" t="s">
        <v>106</v>
      </c>
      <c r="C1718" s="546"/>
      <c r="D1718" s="902"/>
      <c r="E1718" s="906"/>
      <c r="F1718" s="907"/>
      <c r="G1718" s="905" t="s">
        <v>356</v>
      </c>
      <c r="H1718" s="642" t="s">
        <v>107</v>
      </c>
      <c r="I1718" s="546"/>
      <c r="J1718" s="902"/>
      <c r="L1718" s="938"/>
      <c r="M1718" s="938"/>
      <c r="N1718" s="938"/>
      <c r="O1718" s="938"/>
    </row>
    <row r="1719" spans="1:15" ht="15" customHeight="1">
      <c r="A1719" s="908" t="s">
        <v>359</v>
      </c>
      <c r="B1719" s="909" t="s">
        <v>2090</v>
      </c>
      <c r="C1719" s="910" t="e">
        <f>VLOOKUP(B1718,'LƯƠNG KT'!$D$16:$Z$184,4,0)</f>
        <v>#N/A</v>
      </c>
      <c r="D1719" s="609" t="e">
        <f>+C1719*25000</f>
        <v>#N/A</v>
      </c>
      <c r="E1719" s="911"/>
      <c r="F1719" s="911"/>
      <c r="G1719" s="908" t="s">
        <v>359</v>
      </c>
      <c r="H1719" s="909" t="s">
        <v>2090</v>
      </c>
      <c r="I1719" s="910" t="e">
        <f>VLOOKUP(H1718,'LƯƠNG KT'!$D$16:$Z$184,4,0)</f>
        <v>#N/A</v>
      </c>
      <c r="J1719" s="609" t="e">
        <f>+I1719*25000</f>
        <v>#N/A</v>
      </c>
      <c r="K1719" s="935"/>
      <c r="L1719" s="935"/>
      <c r="M1719" s="935"/>
      <c r="N1719" s="935"/>
      <c r="O1719" s="935"/>
    </row>
    <row r="1720" spans="1:15" ht="15" customHeight="1">
      <c r="A1720" s="908" t="s">
        <v>361</v>
      </c>
      <c r="B1720" s="909" t="s">
        <v>2091</v>
      </c>
      <c r="C1720" s="910" t="e">
        <f>VLOOKUP(B1718,'LƯƠNG KT'!$D$16:$Z$184,15,0)</f>
        <v>#N/A</v>
      </c>
      <c r="D1720" s="609" t="e">
        <f>C1720*$L$4</f>
        <v>#N/A</v>
      </c>
      <c r="E1720" s="912"/>
      <c r="F1720" s="912"/>
      <c r="G1720" s="908" t="s">
        <v>361</v>
      </c>
      <c r="H1720" s="909" t="s">
        <v>2091</v>
      </c>
      <c r="I1720" s="910" t="e">
        <f>VLOOKUP(H1718,'LƯƠNG KT'!$D$16:$Z$184,15,0)</f>
        <v>#N/A</v>
      </c>
      <c r="J1720" s="609" t="e">
        <f>I1720*$L$4</f>
        <v>#N/A</v>
      </c>
      <c r="K1720" s="935"/>
      <c r="L1720" s="935"/>
      <c r="M1720" s="935"/>
      <c r="N1720" s="935"/>
      <c r="O1720" s="935"/>
    </row>
    <row r="1721" spans="1:15" ht="15" customHeight="1">
      <c r="A1721" s="908" t="s">
        <v>364</v>
      </c>
      <c r="B1721" s="909" t="s">
        <v>2092</v>
      </c>
      <c r="C1721" s="910" t="e">
        <f>VLOOKUP(B1718,'LƯƠNG KT'!$D$16:$Z$184,16,0)</f>
        <v>#N/A</v>
      </c>
      <c r="D1721" s="609" t="e">
        <f>C1721*$L$5</f>
        <v>#N/A</v>
      </c>
      <c r="E1721" s="912"/>
      <c r="F1721" s="912"/>
      <c r="G1721" s="908" t="s">
        <v>364</v>
      </c>
      <c r="H1721" s="909" t="s">
        <v>2092</v>
      </c>
      <c r="I1721" s="910" t="e">
        <f>VLOOKUP(H1718,'LƯƠNG KT'!$D$16:$Z$184,16,0)</f>
        <v>#N/A</v>
      </c>
      <c r="J1721" s="609" t="e">
        <f>I1721*$L$5</f>
        <v>#N/A</v>
      </c>
      <c r="K1721" s="935"/>
      <c r="L1721" s="935"/>
      <c r="M1721" s="935"/>
      <c r="N1721" s="935"/>
      <c r="O1721" s="935"/>
    </row>
    <row r="1722" spans="1:15" ht="15" customHeight="1">
      <c r="A1722" s="908" t="s">
        <v>370</v>
      </c>
      <c r="B1722" s="909" t="s">
        <v>2093</v>
      </c>
      <c r="C1722" s="910" t="e">
        <f>VLOOKUP(B1718,'LƯƠNG KT'!$D$16:$Z$184,24,0)</f>
        <v>#N/A</v>
      </c>
      <c r="D1722" s="609" t="e">
        <f>+C1722*$L$6</f>
        <v>#N/A</v>
      </c>
      <c r="E1722" s="912"/>
      <c r="F1722" s="912"/>
      <c r="G1722" s="908" t="s">
        <v>370</v>
      </c>
      <c r="H1722" s="909" t="s">
        <v>2093</v>
      </c>
      <c r="I1722" s="910" t="e">
        <f>VLOOKUP(H1718,'LƯƠNG KT'!$D$16:$Z$184,24,0)</f>
        <v>#N/A</v>
      </c>
      <c r="J1722" s="609" t="e">
        <f>+I1722*$L$6</f>
        <v>#N/A</v>
      </c>
      <c r="K1722" s="935"/>
      <c r="L1722" s="935"/>
      <c r="M1722" s="935"/>
      <c r="N1722" s="935"/>
      <c r="O1722" s="935"/>
    </row>
    <row r="1723" spans="1:15" ht="15" customHeight="1">
      <c r="A1723" s="908" t="s">
        <v>2094</v>
      </c>
      <c r="B1723" s="909" t="s">
        <v>2095</v>
      </c>
      <c r="C1723" s="910" t="e">
        <f>VLOOKUP(B1718,'LƯƠNG KT'!$D$16:$Z$184,19,0)</f>
        <v>#N/A</v>
      </c>
      <c r="D1723" s="609" t="e">
        <f>+C1723*$L$8</f>
        <v>#N/A</v>
      </c>
      <c r="E1723" s="912"/>
      <c r="F1723" s="912"/>
      <c r="G1723" s="908" t="s">
        <v>2094</v>
      </c>
      <c r="H1723" s="909" t="s">
        <v>2095</v>
      </c>
      <c r="I1723" s="910" t="e">
        <f>VLOOKUP(H1718,'LƯƠNG KT'!$D$16:$Z$184,19,0)</f>
        <v>#N/A</v>
      </c>
      <c r="J1723" s="609" t="e">
        <f>+I1723*$L$8</f>
        <v>#N/A</v>
      </c>
      <c r="K1723" s="935"/>
      <c r="L1723" s="935"/>
      <c r="M1723" s="935"/>
      <c r="N1723" s="935"/>
      <c r="O1723" s="935"/>
    </row>
    <row r="1724" spans="1:15" ht="15" customHeight="1">
      <c r="A1724" s="908" t="s">
        <v>2096</v>
      </c>
      <c r="B1724" s="913" t="s">
        <v>2097</v>
      </c>
      <c r="C1724" s="910" t="e">
        <f>VLOOKUP(B1718,'LƯƠNG KT'!$D$16:$Z$184,20,0)</f>
        <v>#N/A</v>
      </c>
      <c r="D1724" s="609" t="e">
        <f>+C1724*$L$9</f>
        <v>#N/A</v>
      </c>
      <c r="E1724" s="912"/>
      <c r="F1724" s="912"/>
      <c r="G1724" s="908" t="s">
        <v>2096</v>
      </c>
      <c r="H1724" s="913" t="s">
        <v>2097</v>
      </c>
      <c r="I1724" s="910" t="e">
        <f>VLOOKUP(H1718,'LƯƠNG KT'!$D$16:$Z$184,20,0)</f>
        <v>#N/A</v>
      </c>
      <c r="J1724" s="609" t="e">
        <f>+I1724*$L$9</f>
        <v>#N/A</v>
      </c>
      <c r="K1724" s="935"/>
      <c r="L1724" s="935"/>
      <c r="M1724" s="935"/>
      <c r="N1724" s="935"/>
      <c r="O1724" s="935"/>
    </row>
    <row r="1725" spans="1:15" ht="15" customHeight="1">
      <c r="A1725" s="908" t="s">
        <v>2099</v>
      </c>
      <c r="B1725" s="909" t="s">
        <v>2100</v>
      </c>
      <c r="C1725" s="910" t="e">
        <f>VLOOKUP(B1718,'LƯƠNG KT'!$D$16:$Z$184,17,0)</f>
        <v>#N/A</v>
      </c>
      <c r="D1725" s="609" t="e">
        <f>+C1725*$L$10</f>
        <v>#N/A</v>
      </c>
      <c r="E1725" s="912"/>
      <c r="F1725" s="912"/>
      <c r="G1725" s="908" t="s">
        <v>2099</v>
      </c>
      <c r="H1725" s="909" t="s">
        <v>2100</v>
      </c>
      <c r="I1725" s="910" t="e">
        <f>VLOOKUP(H1718,'LƯƠNG KT'!$D$16:$Z$184,17,0)</f>
        <v>#N/A</v>
      </c>
      <c r="J1725" s="609" t="e">
        <f>+I1725*$L$10</f>
        <v>#N/A</v>
      </c>
      <c r="K1725" s="935"/>
      <c r="L1725" s="935"/>
      <c r="M1725" s="935"/>
      <c r="N1725" s="935"/>
      <c r="O1725" s="935"/>
    </row>
    <row r="1726" spans="1:15" ht="15" customHeight="1">
      <c r="A1726" s="908" t="s">
        <v>374</v>
      </c>
      <c r="B1726" s="909" t="s">
        <v>2102</v>
      </c>
      <c r="C1726" s="910" t="e">
        <f>VLOOKUP(B1718,'LƯƠNG KT'!$D$16:$Z$184,12,0)</f>
        <v>#N/A</v>
      </c>
      <c r="D1726" s="609" t="e">
        <f>VLOOKUP(B1718,'LƯƠNG KT'!$D$16:$Z$184,14,0)</f>
        <v>#N/A</v>
      </c>
      <c r="E1726" s="914"/>
      <c r="F1726" s="912"/>
      <c r="G1726" s="908" t="s">
        <v>374</v>
      </c>
      <c r="H1726" s="909" t="s">
        <v>2102</v>
      </c>
      <c r="I1726" s="910" t="e">
        <f>VLOOKUP(H1718,'LƯƠNG KT'!$D$16:$Z$184,12,0)</f>
        <v>#N/A</v>
      </c>
      <c r="J1726" s="609" t="e">
        <f>VLOOKUP(H1718,'LƯƠNG KT'!$D$16:$Z$184,14,0)</f>
        <v>#N/A</v>
      </c>
      <c r="K1726" s="935"/>
      <c r="L1726" s="935"/>
      <c r="M1726" s="935"/>
      <c r="N1726" s="935"/>
      <c r="O1726" s="935"/>
    </row>
    <row r="1727" spans="1:15" ht="15" customHeight="1">
      <c r="A1727" s="908" t="s">
        <v>2103</v>
      </c>
      <c r="B1727" s="909" t="s">
        <v>2104</v>
      </c>
      <c r="D1727" s="915" t="e">
        <f>VLOOKUP(B1718,'LƯƠNG KT'!$D$16:$Z$184,13,0)</f>
        <v>#N/A</v>
      </c>
      <c r="E1727" s="916"/>
      <c r="F1727" s="916"/>
      <c r="G1727" s="908" t="s">
        <v>2103</v>
      </c>
      <c r="H1727" s="909" t="s">
        <v>2104</v>
      </c>
      <c r="J1727" s="915" t="e">
        <f>VLOOKUP(H1718,'LƯƠNG KT'!$D$16:$Z$184,13,0)</f>
        <v>#N/A</v>
      </c>
    </row>
    <row r="1728" spans="1:15" ht="15" customHeight="1">
      <c r="A1728" s="547"/>
      <c r="B1728" s="546"/>
      <c r="C1728" s="910"/>
      <c r="D1728" s="609"/>
      <c r="E1728" s="914"/>
      <c r="F1728" s="916"/>
      <c r="G1728" s="547"/>
      <c r="H1728" s="546"/>
      <c r="I1728" s="910"/>
      <c r="J1728" s="609"/>
    </row>
    <row r="1729" spans="1:15" ht="15" customHeight="1">
      <c r="A1729" s="905"/>
      <c r="B1729" s="546"/>
      <c r="C1729" s="910"/>
      <c r="D1729" s="609"/>
      <c r="E1729" s="917"/>
      <c r="F1729" s="904"/>
      <c r="G1729" s="905"/>
      <c r="H1729" s="546"/>
      <c r="I1729" s="910"/>
      <c r="J1729" s="609"/>
    </row>
    <row r="1730" spans="1:15" ht="15" customHeight="1">
      <c r="A1730" s="918" t="s">
        <v>383</v>
      </c>
      <c r="B1730" s="919" t="s">
        <v>384</v>
      </c>
      <c r="C1730" s="920"/>
      <c r="D1730" s="921" t="e">
        <f>SUM(D1719:D1726)-D1729</f>
        <v>#N/A</v>
      </c>
      <c r="E1730" s="922"/>
      <c r="F1730" s="923"/>
      <c r="G1730" s="918" t="s">
        <v>383</v>
      </c>
      <c r="H1730" s="919" t="s">
        <v>384</v>
      </c>
      <c r="I1730" s="920"/>
      <c r="J1730" s="921" t="e">
        <f>SUM(J1719:J1726)-J1729</f>
        <v>#N/A</v>
      </c>
    </row>
    <row r="1731" spans="1:15" ht="18.75" customHeight="1">
      <c r="A1731" s="924"/>
      <c r="B1731" s="925"/>
      <c r="C1731" s="926"/>
      <c r="D1731" s="927"/>
      <c r="E1731" s="927"/>
      <c r="F1731" s="928"/>
      <c r="G1731" s="924"/>
      <c r="H1731" s="925"/>
      <c r="I1731" s="926"/>
      <c r="J1731" s="927"/>
    </row>
    <row r="1732" spans="1:15" ht="18.75" customHeight="1">
      <c r="A1732" s="925"/>
      <c r="B1732" s="925"/>
      <c r="C1732" s="929"/>
      <c r="D1732" s="930"/>
      <c r="E1732" s="925"/>
      <c r="F1732" s="931"/>
      <c r="G1732" s="925"/>
      <c r="H1732" s="925"/>
      <c r="I1732" s="929"/>
      <c r="J1732" s="930"/>
    </row>
    <row r="1733" spans="1:15" ht="15" customHeight="1">
      <c r="A1733" s="2360" t="str">
        <f>$K$2</f>
        <v>THÁNG 04/2025</v>
      </c>
      <c r="B1733" s="2360"/>
      <c r="C1733" s="2360"/>
      <c r="D1733" s="2360"/>
      <c r="E1733" s="903"/>
      <c r="F1733" s="904"/>
      <c r="G1733" s="2360" t="str">
        <f>$K$2</f>
        <v>THÁNG 04/2025</v>
      </c>
      <c r="H1733" s="2360"/>
      <c r="I1733" s="2360"/>
      <c r="J1733" s="2360"/>
      <c r="K1733" s="276"/>
    </row>
    <row r="1734" spans="1:15" ht="15" customHeight="1">
      <c r="A1734" s="905" t="s">
        <v>356</v>
      </c>
      <c r="B1734" s="642" t="s">
        <v>108</v>
      </c>
      <c r="C1734" s="546"/>
      <c r="D1734" s="902"/>
      <c r="E1734" s="906"/>
      <c r="F1734" s="907"/>
      <c r="G1734" s="905" t="s">
        <v>356</v>
      </c>
      <c r="H1734" s="642" t="s">
        <v>109</v>
      </c>
      <c r="I1734" s="546"/>
      <c r="J1734" s="902"/>
      <c r="L1734" s="938"/>
      <c r="M1734" s="938"/>
      <c r="N1734" s="938"/>
      <c r="O1734" s="938"/>
    </row>
    <row r="1735" spans="1:15" ht="15" customHeight="1">
      <c r="A1735" s="908" t="s">
        <v>359</v>
      </c>
      <c r="B1735" s="909" t="s">
        <v>2090</v>
      </c>
      <c r="C1735" s="910" t="e">
        <f>VLOOKUP(B1734,'LƯƠNG KT'!$D$16:$Z$184,4,0)</f>
        <v>#N/A</v>
      </c>
      <c r="D1735" s="609" t="e">
        <f>+C1735*25000</f>
        <v>#N/A</v>
      </c>
      <c r="E1735" s="911"/>
      <c r="F1735" s="911"/>
      <c r="G1735" s="908" t="s">
        <v>359</v>
      </c>
      <c r="H1735" s="909" t="s">
        <v>2090</v>
      </c>
      <c r="I1735" s="910" t="e">
        <f>VLOOKUP(H1734,'LƯƠNG KT'!$D$16:$Z$184,4,0)</f>
        <v>#N/A</v>
      </c>
      <c r="J1735" s="609" t="e">
        <f>+I1735*25000</f>
        <v>#N/A</v>
      </c>
      <c r="K1735" s="935"/>
      <c r="L1735" s="935"/>
      <c r="M1735" s="935"/>
      <c r="N1735" s="935"/>
      <c r="O1735" s="935"/>
    </row>
    <row r="1736" spans="1:15" ht="15" customHeight="1">
      <c r="A1736" s="908" t="s">
        <v>361</v>
      </c>
      <c r="B1736" s="909" t="s">
        <v>2091</v>
      </c>
      <c r="C1736" s="910" t="e">
        <f>VLOOKUP(B1734,'LƯƠNG KT'!$D$16:$Z$184,15,0)</f>
        <v>#N/A</v>
      </c>
      <c r="D1736" s="609" t="e">
        <f>C1736*$L$4</f>
        <v>#N/A</v>
      </c>
      <c r="E1736" s="912"/>
      <c r="F1736" s="912"/>
      <c r="G1736" s="908" t="s">
        <v>361</v>
      </c>
      <c r="H1736" s="909" t="s">
        <v>2091</v>
      </c>
      <c r="I1736" s="910" t="e">
        <f>VLOOKUP(H1734,'LƯƠNG KT'!$D$16:$Z$184,15,0)</f>
        <v>#N/A</v>
      </c>
      <c r="J1736" s="609" t="e">
        <f>I1736*$L$4</f>
        <v>#N/A</v>
      </c>
      <c r="K1736" s="935"/>
      <c r="L1736" s="935"/>
      <c r="M1736" s="935"/>
      <c r="N1736" s="935"/>
      <c r="O1736" s="935"/>
    </row>
    <row r="1737" spans="1:15" ht="15" customHeight="1">
      <c r="A1737" s="908" t="s">
        <v>364</v>
      </c>
      <c r="B1737" s="909" t="s">
        <v>2092</v>
      </c>
      <c r="C1737" s="910" t="e">
        <f>VLOOKUP(B1734,'LƯƠNG KT'!$D$16:$Z$184,16,0)</f>
        <v>#N/A</v>
      </c>
      <c r="D1737" s="609" t="e">
        <f>C1737*$L$5</f>
        <v>#N/A</v>
      </c>
      <c r="E1737" s="912"/>
      <c r="F1737" s="912"/>
      <c r="G1737" s="908" t="s">
        <v>364</v>
      </c>
      <c r="H1737" s="909" t="s">
        <v>2092</v>
      </c>
      <c r="I1737" s="910" t="e">
        <f>VLOOKUP(H1734,'LƯƠNG KT'!$D$16:$Z$184,16,0)</f>
        <v>#N/A</v>
      </c>
      <c r="J1737" s="609" t="e">
        <f>I1737*$L$5</f>
        <v>#N/A</v>
      </c>
      <c r="K1737" s="935"/>
      <c r="L1737" s="935"/>
      <c r="M1737" s="935"/>
      <c r="N1737" s="935"/>
      <c r="O1737" s="935"/>
    </row>
    <row r="1738" spans="1:15" ht="15" customHeight="1">
      <c r="A1738" s="908" t="s">
        <v>370</v>
      </c>
      <c r="B1738" s="909" t="s">
        <v>2093</v>
      </c>
      <c r="C1738" s="910" t="e">
        <f>VLOOKUP(B1734,'LƯƠNG KT'!$D$16:$Z$184,24,0)</f>
        <v>#N/A</v>
      </c>
      <c r="D1738" s="609" t="e">
        <f>+C1738*$L$6</f>
        <v>#N/A</v>
      </c>
      <c r="E1738" s="912"/>
      <c r="F1738" s="912"/>
      <c r="G1738" s="908" t="s">
        <v>370</v>
      </c>
      <c r="H1738" s="909" t="s">
        <v>2093</v>
      </c>
      <c r="I1738" s="910" t="e">
        <f>VLOOKUP(H1734,'LƯƠNG KT'!$D$16:$Z$184,24,0)</f>
        <v>#N/A</v>
      </c>
      <c r="J1738" s="609" t="e">
        <f>+I1738*$L$6</f>
        <v>#N/A</v>
      </c>
      <c r="K1738" s="935"/>
      <c r="L1738" s="935"/>
      <c r="M1738" s="935"/>
      <c r="N1738" s="935"/>
      <c r="O1738" s="935"/>
    </row>
    <row r="1739" spans="1:15" ht="15" customHeight="1">
      <c r="A1739" s="908" t="s">
        <v>2094</v>
      </c>
      <c r="B1739" s="909" t="s">
        <v>2095</v>
      </c>
      <c r="C1739" s="910" t="e">
        <f>VLOOKUP(B1734,'LƯƠNG KT'!$D$16:$Z$184,19,0)</f>
        <v>#N/A</v>
      </c>
      <c r="D1739" s="609" t="e">
        <f>+C1739*$L$8</f>
        <v>#N/A</v>
      </c>
      <c r="E1739" s="912"/>
      <c r="F1739" s="912"/>
      <c r="G1739" s="908" t="s">
        <v>2094</v>
      </c>
      <c r="H1739" s="909" t="s">
        <v>2095</v>
      </c>
      <c r="I1739" s="910" t="e">
        <f>VLOOKUP(H1734,'LƯƠNG KT'!$D$16:$Z$184,19,0)</f>
        <v>#N/A</v>
      </c>
      <c r="J1739" s="609" t="e">
        <f>+I1739*$L$8</f>
        <v>#N/A</v>
      </c>
      <c r="K1739" s="935"/>
      <c r="L1739" s="935"/>
      <c r="M1739" s="935"/>
      <c r="N1739" s="935"/>
      <c r="O1739" s="935"/>
    </row>
    <row r="1740" spans="1:15" ht="15" customHeight="1">
      <c r="A1740" s="908" t="s">
        <v>2096</v>
      </c>
      <c r="B1740" s="913" t="s">
        <v>2097</v>
      </c>
      <c r="C1740" s="910" t="e">
        <f>VLOOKUP(B1734,'LƯƠNG KT'!$D$16:$Z$184,20,0)</f>
        <v>#N/A</v>
      </c>
      <c r="D1740" s="609" t="e">
        <f>+C1740*$L$9</f>
        <v>#N/A</v>
      </c>
      <c r="E1740" s="912"/>
      <c r="F1740" s="912"/>
      <c r="G1740" s="908" t="s">
        <v>2096</v>
      </c>
      <c r="H1740" s="913" t="s">
        <v>2097</v>
      </c>
      <c r="I1740" s="910" t="e">
        <f>VLOOKUP(H1734,'LƯƠNG KT'!$D$16:$Z$184,20,0)</f>
        <v>#N/A</v>
      </c>
      <c r="J1740" s="609" t="e">
        <f>+I1740*$L$9</f>
        <v>#N/A</v>
      </c>
      <c r="K1740" s="935"/>
      <c r="L1740" s="935"/>
      <c r="M1740" s="935"/>
      <c r="N1740" s="935"/>
      <c r="O1740" s="935"/>
    </row>
    <row r="1741" spans="1:15" ht="15" customHeight="1">
      <c r="A1741" s="908" t="s">
        <v>2099</v>
      </c>
      <c r="B1741" s="909" t="s">
        <v>2100</v>
      </c>
      <c r="C1741" s="910" t="e">
        <f>VLOOKUP(B1734,'LƯƠNG KT'!$D$16:$Z$184,17,0)</f>
        <v>#N/A</v>
      </c>
      <c r="D1741" s="609" t="e">
        <f>+C1741*$L$10</f>
        <v>#N/A</v>
      </c>
      <c r="E1741" s="912"/>
      <c r="F1741" s="912"/>
      <c r="G1741" s="908" t="s">
        <v>2099</v>
      </c>
      <c r="H1741" s="909" t="s">
        <v>2100</v>
      </c>
      <c r="I1741" s="910" t="e">
        <f>VLOOKUP(H1734,'LƯƠNG KT'!$D$16:$Z$184,17,0)</f>
        <v>#N/A</v>
      </c>
      <c r="J1741" s="609" t="e">
        <f>+I1741*$L$10</f>
        <v>#N/A</v>
      </c>
      <c r="K1741" s="935"/>
      <c r="L1741" s="935"/>
      <c r="M1741" s="935"/>
      <c r="N1741" s="935"/>
      <c r="O1741" s="935"/>
    </row>
    <row r="1742" spans="1:15" ht="15" customHeight="1">
      <c r="A1742" s="908" t="s">
        <v>374</v>
      </c>
      <c r="B1742" s="909" t="s">
        <v>2102</v>
      </c>
      <c r="C1742" s="910" t="e">
        <f>VLOOKUP(B1734,'LƯƠNG KT'!$D$16:$Z$184,12,0)</f>
        <v>#N/A</v>
      </c>
      <c r="D1742" s="609" t="e">
        <f>VLOOKUP(B1734,'LƯƠNG KT'!$D$16:$Z$184,14,0)</f>
        <v>#N/A</v>
      </c>
      <c r="E1742" s="914"/>
      <c r="F1742" s="912"/>
      <c r="G1742" s="908" t="s">
        <v>374</v>
      </c>
      <c r="H1742" s="909" t="s">
        <v>2102</v>
      </c>
      <c r="I1742" s="910" t="e">
        <f>VLOOKUP(H1734,'LƯƠNG KT'!$D$16:$Z$184,12,0)</f>
        <v>#N/A</v>
      </c>
      <c r="J1742" s="609" t="e">
        <f>VLOOKUP(H1734,'LƯƠNG KT'!$D$16:$Z$184,14,0)</f>
        <v>#N/A</v>
      </c>
      <c r="K1742" s="935"/>
      <c r="L1742" s="935"/>
      <c r="M1742" s="935"/>
      <c r="N1742" s="935"/>
      <c r="O1742" s="935"/>
    </row>
    <row r="1743" spans="1:15" ht="15" customHeight="1">
      <c r="A1743" s="908" t="s">
        <v>2103</v>
      </c>
      <c r="B1743" s="909" t="s">
        <v>2104</v>
      </c>
      <c r="D1743" s="915" t="e">
        <f>VLOOKUP(B1734,'LƯƠNG KT'!$D$16:$Z$184,13,0)</f>
        <v>#N/A</v>
      </c>
      <c r="E1743" s="916"/>
      <c r="F1743" s="916"/>
      <c r="G1743" s="908" t="s">
        <v>2103</v>
      </c>
      <c r="H1743" s="909" t="s">
        <v>2104</v>
      </c>
      <c r="J1743" s="915" t="e">
        <f>VLOOKUP(H1734,'LƯƠNG KT'!$D$16:$Z$184,13,0)</f>
        <v>#N/A</v>
      </c>
    </row>
    <row r="1744" spans="1:15" ht="15" customHeight="1">
      <c r="A1744" s="547"/>
      <c r="B1744" s="546"/>
      <c r="C1744" s="910"/>
      <c r="D1744" s="609"/>
      <c r="E1744" s="914"/>
      <c r="F1744" s="916"/>
      <c r="G1744" s="547"/>
      <c r="H1744" s="546"/>
      <c r="I1744" s="910"/>
      <c r="J1744" s="609"/>
    </row>
    <row r="1745" spans="1:15" ht="15" customHeight="1">
      <c r="A1745" s="905"/>
      <c r="B1745" s="546"/>
      <c r="C1745" s="910"/>
      <c r="D1745" s="609"/>
      <c r="E1745" s="917"/>
      <c r="F1745" s="904"/>
      <c r="G1745" s="905"/>
      <c r="H1745" s="546"/>
      <c r="I1745" s="910"/>
      <c r="J1745" s="609"/>
    </row>
    <row r="1746" spans="1:15" ht="15" customHeight="1">
      <c r="A1746" s="918" t="s">
        <v>383</v>
      </c>
      <c r="B1746" s="919" t="s">
        <v>384</v>
      </c>
      <c r="C1746" s="920"/>
      <c r="D1746" s="921" t="e">
        <f>SUM(D1735:D1742)-D1745</f>
        <v>#N/A</v>
      </c>
      <c r="E1746" s="922"/>
      <c r="F1746" s="923"/>
      <c r="G1746" s="918" t="s">
        <v>383</v>
      </c>
      <c r="H1746" s="919" t="s">
        <v>384</v>
      </c>
      <c r="I1746" s="920"/>
      <c r="J1746" s="921" t="e">
        <f>SUM(J1735:J1742)-J1745</f>
        <v>#N/A</v>
      </c>
    </row>
    <row r="1747" spans="1:15" ht="18.75" customHeight="1">
      <c r="A1747" s="924"/>
      <c r="B1747" s="925"/>
      <c r="C1747" s="926"/>
      <c r="D1747" s="927"/>
      <c r="E1747" s="927"/>
      <c r="F1747" s="928"/>
      <c r="G1747" s="924"/>
      <c r="H1747" s="925"/>
      <c r="I1747" s="926"/>
      <c r="J1747" s="927"/>
    </row>
    <row r="1748" spans="1:15" ht="147.75" customHeight="1">
      <c r="A1748" s="925"/>
      <c r="B1748" s="925"/>
      <c r="C1748" s="929"/>
      <c r="D1748" s="930"/>
      <c r="E1748" s="925"/>
      <c r="F1748" s="931"/>
      <c r="G1748" s="925"/>
      <c r="H1748" s="925"/>
      <c r="I1748" s="929"/>
      <c r="J1748" s="930"/>
    </row>
    <row r="1749" spans="1:15" ht="15" customHeight="1">
      <c r="A1749" s="2360" t="str">
        <f>$K$2</f>
        <v>THÁNG 04/2025</v>
      </c>
      <c r="B1749" s="2360"/>
      <c r="C1749" s="2360"/>
      <c r="D1749" s="2360"/>
      <c r="E1749" s="903"/>
      <c r="F1749" s="904"/>
      <c r="G1749" s="2360" t="str">
        <f>$K$2</f>
        <v>THÁNG 04/2025</v>
      </c>
      <c r="H1749" s="2360"/>
      <c r="I1749" s="2360"/>
      <c r="J1749" s="2360"/>
      <c r="K1749" s="276"/>
    </row>
    <row r="1750" spans="1:15" ht="15" customHeight="1">
      <c r="A1750" s="905" t="s">
        <v>356</v>
      </c>
      <c r="B1750" s="642" t="s">
        <v>110</v>
      </c>
      <c r="C1750" s="546"/>
      <c r="D1750" s="902"/>
      <c r="E1750" s="906"/>
      <c r="F1750" s="907"/>
      <c r="G1750" s="905" t="s">
        <v>356</v>
      </c>
      <c r="H1750" s="642" t="s">
        <v>111</v>
      </c>
      <c r="I1750" s="546"/>
      <c r="J1750" s="902"/>
      <c r="L1750" s="938"/>
      <c r="M1750" s="938"/>
      <c r="N1750" s="938"/>
      <c r="O1750" s="938"/>
    </row>
    <row r="1751" spans="1:15" ht="15" customHeight="1">
      <c r="A1751" s="908" t="s">
        <v>359</v>
      </c>
      <c r="B1751" s="909" t="s">
        <v>2090</v>
      </c>
      <c r="C1751" s="910" t="e">
        <f>VLOOKUP(B1750,'LƯƠNG KT'!$D$16:$Z$184,4,0)</f>
        <v>#N/A</v>
      </c>
      <c r="D1751" s="609" t="e">
        <f>+C1751*25000</f>
        <v>#N/A</v>
      </c>
      <c r="E1751" s="911"/>
      <c r="F1751" s="911"/>
      <c r="G1751" s="908" t="s">
        <v>359</v>
      </c>
      <c r="H1751" s="909" t="s">
        <v>2090</v>
      </c>
      <c r="I1751" s="910" t="e">
        <f>VLOOKUP(H1750,'LƯƠNG KT'!$D$16:$Z$184,4,0)</f>
        <v>#N/A</v>
      </c>
      <c r="J1751" s="609" t="e">
        <f>+I1751*25000</f>
        <v>#N/A</v>
      </c>
      <c r="K1751" s="935"/>
      <c r="L1751" s="935"/>
      <c r="M1751" s="935"/>
      <c r="N1751" s="935"/>
      <c r="O1751" s="935"/>
    </row>
    <row r="1752" spans="1:15" ht="15" customHeight="1">
      <c r="A1752" s="908" t="s">
        <v>361</v>
      </c>
      <c r="B1752" s="909" t="s">
        <v>2091</v>
      </c>
      <c r="C1752" s="910" t="e">
        <f>VLOOKUP(B1750,'LƯƠNG KT'!$D$16:$Z$184,15,0)</f>
        <v>#N/A</v>
      </c>
      <c r="D1752" s="609" t="e">
        <f>C1752*$L$4</f>
        <v>#N/A</v>
      </c>
      <c r="E1752" s="912"/>
      <c r="F1752" s="912"/>
      <c r="G1752" s="908" t="s">
        <v>361</v>
      </c>
      <c r="H1752" s="909" t="s">
        <v>2091</v>
      </c>
      <c r="I1752" s="910" t="e">
        <f>VLOOKUP(H1750,'LƯƠNG KT'!$D$16:$Z$184,15,0)</f>
        <v>#N/A</v>
      </c>
      <c r="J1752" s="609" t="e">
        <f>I1752*$L$4</f>
        <v>#N/A</v>
      </c>
      <c r="K1752" s="935"/>
      <c r="L1752" s="935"/>
      <c r="M1752" s="935"/>
      <c r="N1752" s="935"/>
      <c r="O1752" s="935"/>
    </row>
    <row r="1753" spans="1:15" ht="15" customHeight="1">
      <c r="A1753" s="908" t="s">
        <v>364</v>
      </c>
      <c r="B1753" s="909" t="s">
        <v>2092</v>
      </c>
      <c r="C1753" s="910" t="e">
        <f>VLOOKUP(B1750,'LƯƠNG KT'!$D$16:$Z$184,16,0)</f>
        <v>#N/A</v>
      </c>
      <c r="D1753" s="609" t="e">
        <f>C1753*$L$5</f>
        <v>#N/A</v>
      </c>
      <c r="E1753" s="912"/>
      <c r="F1753" s="912"/>
      <c r="G1753" s="908" t="s">
        <v>364</v>
      </c>
      <c r="H1753" s="909" t="s">
        <v>2092</v>
      </c>
      <c r="I1753" s="910" t="e">
        <f>VLOOKUP(H1750,'LƯƠNG KT'!$D$16:$Z$184,16,0)</f>
        <v>#N/A</v>
      </c>
      <c r="J1753" s="609" t="e">
        <f>I1753*$L$5</f>
        <v>#N/A</v>
      </c>
      <c r="K1753" s="935"/>
      <c r="L1753" s="935"/>
      <c r="M1753" s="935"/>
      <c r="N1753" s="935"/>
      <c r="O1753" s="935"/>
    </row>
    <row r="1754" spans="1:15" ht="15" customHeight="1">
      <c r="A1754" s="908" t="s">
        <v>370</v>
      </c>
      <c r="B1754" s="909" t="s">
        <v>2093</v>
      </c>
      <c r="C1754" s="910" t="e">
        <f>VLOOKUP(B1750,'LƯƠNG KT'!$D$16:$Z$184,24,0)</f>
        <v>#N/A</v>
      </c>
      <c r="D1754" s="609" t="e">
        <f>+C1754*$L$6</f>
        <v>#N/A</v>
      </c>
      <c r="E1754" s="912"/>
      <c r="F1754" s="912"/>
      <c r="G1754" s="908" t="s">
        <v>370</v>
      </c>
      <c r="H1754" s="909" t="s">
        <v>2093</v>
      </c>
      <c r="I1754" s="910" t="e">
        <f>VLOOKUP(H1750,'LƯƠNG KT'!$D$16:$Z$184,24,0)</f>
        <v>#N/A</v>
      </c>
      <c r="J1754" s="609" t="e">
        <f>+I1754*$L$6</f>
        <v>#N/A</v>
      </c>
      <c r="K1754" s="935"/>
      <c r="L1754" s="935"/>
      <c r="M1754" s="935"/>
      <c r="N1754" s="935"/>
      <c r="O1754" s="935"/>
    </row>
    <row r="1755" spans="1:15" ht="15" customHeight="1">
      <c r="A1755" s="908" t="s">
        <v>2094</v>
      </c>
      <c r="B1755" s="909" t="s">
        <v>2095</v>
      </c>
      <c r="C1755" s="910" t="e">
        <f>VLOOKUP(B1750,'LƯƠNG KT'!$D$16:$Z$184,19,0)</f>
        <v>#N/A</v>
      </c>
      <c r="D1755" s="609" t="e">
        <f>+C1755*$L$8</f>
        <v>#N/A</v>
      </c>
      <c r="E1755" s="912"/>
      <c r="F1755" s="912"/>
      <c r="G1755" s="908" t="s">
        <v>2094</v>
      </c>
      <c r="H1755" s="909" t="s">
        <v>2095</v>
      </c>
      <c r="I1755" s="910" t="e">
        <f>VLOOKUP(H1750,'LƯƠNG KT'!$D$16:$Z$184,19,0)</f>
        <v>#N/A</v>
      </c>
      <c r="J1755" s="609" t="e">
        <f>+I1755*$L$8</f>
        <v>#N/A</v>
      </c>
      <c r="K1755" s="935"/>
      <c r="L1755" s="935"/>
      <c r="M1755" s="935"/>
      <c r="N1755" s="935"/>
      <c r="O1755" s="935"/>
    </row>
    <row r="1756" spans="1:15" ht="15" customHeight="1">
      <c r="A1756" s="908" t="s">
        <v>2096</v>
      </c>
      <c r="B1756" s="913" t="s">
        <v>2097</v>
      </c>
      <c r="C1756" s="910" t="e">
        <f>VLOOKUP(B1750,'LƯƠNG KT'!$D$16:$Z$184,20,0)</f>
        <v>#N/A</v>
      </c>
      <c r="D1756" s="609" t="e">
        <f>+C1756*$L$9</f>
        <v>#N/A</v>
      </c>
      <c r="E1756" s="912"/>
      <c r="F1756" s="912"/>
      <c r="G1756" s="908" t="s">
        <v>2096</v>
      </c>
      <c r="H1756" s="913" t="s">
        <v>2097</v>
      </c>
      <c r="I1756" s="910" t="e">
        <f>VLOOKUP(H1750,'LƯƠNG KT'!$D$16:$Z$184,20,0)</f>
        <v>#N/A</v>
      </c>
      <c r="J1756" s="609" t="e">
        <f>+I1756*$L$9</f>
        <v>#N/A</v>
      </c>
      <c r="K1756" s="935"/>
      <c r="L1756" s="935"/>
      <c r="M1756" s="935"/>
      <c r="N1756" s="935"/>
      <c r="O1756" s="935"/>
    </row>
    <row r="1757" spans="1:15" ht="15" customHeight="1">
      <c r="A1757" s="908" t="s">
        <v>2099</v>
      </c>
      <c r="B1757" s="909" t="s">
        <v>2100</v>
      </c>
      <c r="C1757" s="910" t="e">
        <f>VLOOKUP(B1750,'LƯƠNG KT'!$D$16:$Z$184,17,0)</f>
        <v>#N/A</v>
      </c>
      <c r="D1757" s="609" t="e">
        <f>+C1757*$L$10</f>
        <v>#N/A</v>
      </c>
      <c r="E1757" s="912"/>
      <c r="F1757" s="912"/>
      <c r="G1757" s="908" t="s">
        <v>2099</v>
      </c>
      <c r="H1757" s="909" t="s">
        <v>2100</v>
      </c>
      <c r="I1757" s="910" t="e">
        <f>VLOOKUP(H1750,'LƯƠNG KT'!$D$16:$Z$184,17,0)</f>
        <v>#N/A</v>
      </c>
      <c r="J1757" s="609" t="e">
        <f>+I1757*$L$10</f>
        <v>#N/A</v>
      </c>
      <c r="K1757" s="935"/>
      <c r="L1757" s="935"/>
      <c r="M1757" s="935"/>
      <c r="N1757" s="935"/>
      <c r="O1757" s="935"/>
    </row>
    <row r="1758" spans="1:15" ht="15" customHeight="1">
      <c r="A1758" s="908" t="s">
        <v>374</v>
      </c>
      <c r="B1758" s="909" t="s">
        <v>2102</v>
      </c>
      <c r="C1758" s="910" t="e">
        <f>VLOOKUP(B1750,'LƯƠNG KT'!$D$16:$Z$184,12,0)</f>
        <v>#N/A</v>
      </c>
      <c r="D1758" s="609" t="e">
        <f>VLOOKUP(B1750,'LƯƠNG KT'!$D$16:$Z$184,14,0)</f>
        <v>#N/A</v>
      </c>
      <c r="E1758" s="914"/>
      <c r="F1758" s="912"/>
      <c r="G1758" s="908" t="s">
        <v>374</v>
      </c>
      <c r="H1758" s="909" t="s">
        <v>2102</v>
      </c>
      <c r="I1758" s="910" t="e">
        <f>VLOOKUP(H1750,'LƯƠNG KT'!$D$16:$Z$184,12,0)</f>
        <v>#N/A</v>
      </c>
      <c r="J1758" s="609" t="e">
        <f>VLOOKUP(H1750,'LƯƠNG KT'!$D$16:$Z$184,14,0)</f>
        <v>#N/A</v>
      </c>
      <c r="K1758" s="935"/>
      <c r="L1758" s="935"/>
      <c r="M1758" s="935"/>
      <c r="N1758" s="935"/>
      <c r="O1758" s="935"/>
    </row>
    <row r="1759" spans="1:15" ht="15" customHeight="1">
      <c r="A1759" s="908" t="s">
        <v>2103</v>
      </c>
      <c r="B1759" s="909" t="s">
        <v>2104</v>
      </c>
      <c r="D1759" s="915" t="e">
        <f>VLOOKUP(B1750,'LƯƠNG KT'!$D$16:$Z$184,13,0)</f>
        <v>#N/A</v>
      </c>
      <c r="E1759" s="916"/>
      <c r="F1759" s="916"/>
      <c r="G1759" s="908" t="s">
        <v>2103</v>
      </c>
      <c r="H1759" s="909" t="s">
        <v>2104</v>
      </c>
      <c r="J1759" s="915" t="e">
        <f>VLOOKUP(H1750,'LƯƠNG KT'!$D$16:$Z$184,13,0)</f>
        <v>#N/A</v>
      </c>
    </row>
    <row r="1760" spans="1:15" ht="15" customHeight="1">
      <c r="A1760" s="547"/>
      <c r="B1760" s="546"/>
      <c r="C1760" s="910"/>
      <c r="D1760" s="609"/>
      <c r="E1760" s="914"/>
      <c r="F1760" s="916"/>
      <c r="G1760" s="547"/>
      <c r="H1760" s="546"/>
      <c r="I1760" s="910"/>
      <c r="J1760" s="609"/>
    </row>
    <row r="1761" spans="1:15" ht="15" customHeight="1">
      <c r="A1761" s="905"/>
      <c r="B1761" s="546"/>
      <c r="C1761" s="910"/>
      <c r="D1761" s="609"/>
      <c r="E1761" s="917"/>
      <c r="F1761" s="904"/>
      <c r="G1761" s="905"/>
      <c r="H1761" s="546"/>
      <c r="I1761" s="910"/>
      <c r="J1761" s="609"/>
    </row>
    <row r="1762" spans="1:15" ht="15" customHeight="1">
      <c r="A1762" s="918" t="s">
        <v>383</v>
      </c>
      <c r="B1762" s="919" t="s">
        <v>384</v>
      </c>
      <c r="C1762" s="920"/>
      <c r="D1762" s="921" t="e">
        <f>SUM(D1751:D1758)-D1761</f>
        <v>#N/A</v>
      </c>
      <c r="E1762" s="922"/>
      <c r="F1762" s="923"/>
      <c r="G1762" s="918" t="s">
        <v>383</v>
      </c>
      <c r="H1762" s="919" t="s">
        <v>384</v>
      </c>
      <c r="I1762" s="920"/>
      <c r="J1762" s="921" t="e">
        <f>SUM(J1751:J1758)-J1761</f>
        <v>#N/A</v>
      </c>
    </row>
    <row r="1763" spans="1:15" ht="15.75" customHeight="1">
      <c r="A1763" s="924"/>
      <c r="B1763" s="925"/>
      <c r="C1763" s="926"/>
      <c r="D1763" s="927"/>
      <c r="E1763" s="927"/>
      <c r="F1763" s="928"/>
      <c r="G1763" s="924"/>
      <c r="H1763" s="925"/>
      <c r="I1763" s="926"/>
      <c r="J1763" s="927"/>
    </row>
    <row r="1765" spans="1:15" ht="12" customHeight="1">
      <c r="A1765" s="2361"/>
      <c r="B1765" s="2361"/>
      <c r="C1765" s="2361"/>
      <c r="D1765" s="2361"/>
      <c r="E1765" s="2361"/>
      <c r="F1765" s="2361"/>
      <c r="G1765" s="2361"/>
      <c r="H1765" s="2361"/>
      <c r="I1765" s="2361"/>
      <c r="J1765" s="2361"/>
    </row>
    <row r="1766" spans="1:15" ht="15" customHeight="1">
      <c r="A1766" s="2360" t="str">
        <f>$K$2</f>
        <v>THÁNG 04/2025</v>
      </c>
      <c r="B1766" s="2360"/>
      <c r="C1766" s="2360"/>
      <c r="D1766" s="2360"/>
      <c r="E1766" s="903"/>
      <c r="F1766" s="904"/>
      <c r="G1766" s="2360" t="str">
        <f>$K$2</f>
        <v>THÁNG 04/2025</v>
      </c>
      <c r="H1766" s="2360"/>
      <c r="I1766" s="2360"/>
      <c r="J1766" s="2360"/>
      <c r="K1766" s="276"/>
    </row>
    <row r="1767" spans="1:15" ht="15" customHeight="1">
      <c r="A1767" s="905" t="s">
        <v>356</v>
      </c>
      <c r="B1767" s="642" t="s">
        <v>112</v>
      </c>
      <c r="C1767" s="546"/>
      <c r="D1767" s="902"/>
      <c r="E1767" s="906"/>
      <c r="F1767" s="907"/>
      <c r="G1767" s="905" t="s">
        <v>356</v>
      </c>
      <c r="H1767" s="642" t="s">
        <v>113</v>
      </c>
      <c r="I1767" s="546"/>
      <c r="J1767" s="902"/>
      <c r="L1767" s="938"/>
      <c r="M1767" s="938"/>
      <c r="N1767" s="938"/>
      <c r="O1767" s="938"/>
    </row>
    <row r="1768" spans="1:15" ht="15" customHeight="1">
      <c r="A1768" s="908" t="s">
        <v>359</v>
      </c>
      <c r="B1768" s="909" t="s">
        <v>2090</v>
      </c>
      <c r="C1768" s="910" t="e">
        <f>VLOOKUP(B1767,'LƯƠNG KT'!$D$16:$Z$184,4,0)</f>
        <v>#N/A</v>
      </c>
      <c r="D1768" s="609" t="e">
        <f>+C1768*25000</f>
        <v>#N/A</v>
      </c>
      <c r="E1768" s="911"/>
      <c r="F1768" s="911"/>
      <c r="G1768" s="908" t="s">
        <v>359</v>
      </c>
      <c r="H1768" s="909" t="s">
        <v>2090</v>
      </c>
      <c r="I1768" s="910" t="e">
        <f>VLOOKUP(H1767,'LƯƠNG KT'!$D$16:$Z$184,4,0)</f>
        <v>#N/A</v>
      </c>
      <c r="J1768" s="609" t="e">
        <f>+I1768*25000</f>
        <v>#N/A</v>
      </c>
      <c r="K1768" s="934"/>
      <c r="L1768" s="935"/>
      <c r="M1768" s="935"/>
      <c r="N1768" s="935"/>
      <c r="O1768" s="935"/>
    </row>
    <row r="1769" spans="1:15" ht="15" customHeight="1">
      <c r="A1769" s="908" t="s">
        <v>361</v>
      </c>
      <c r="B1769" s="909" t="s">
        <v>2091</v>
      </c>
      <c r="C1769" s="910" t="e">
        <f>VLOOKUP(B1767,'LƯƠNG KT'!$D$16:$Z$184,15,0)</f>
        <v>#N/A</v>
      </c>
      <c r="D1769" s="609" t="e">
        <f>C1769*$L$4</f>
        <v>#N/A</v>
      </c>
      <c r="E1769" s="912"/>
      <c r="F1769" s="912"/>
      <c r="G1769" s="908" t="s">
        <v>361</v>
      </c>
      <c r="H1769" s="909" t="s">
        <v>2091</v>
      </c>
      <c r="I1769" s="910" t="e">
        <f>VLOOKUP(H1767,'LƯƠNG KT'!$D$16:$Z$184,15,0)</f>
        <v>#N/A</v>
      </c>
      <c r="J1769" s="609" t="e">
        <f>I1769*$L$4</f>
        <v>#N/A</v>
      </c>
      <c r="K1769" s="934"/>
      <c r="L1769" s="935"/>
      <c r="M1769" s="935"/>
      <c r="N1769" s="935"/>
      <c r="O1769" s="935"/>
    </row>
    <row r="1770" spans="1:15" ht="15" customHeight="1">
      <c r="A1770" s="908" t="s">
        <v>364</v>
      </c>
      <c r="B1770" s="909" t="s">
        <v>2092</v>
      </c>
      <c r="C1770" s="910" t="e">
        <f>VLOOKUP(B1767,'LƯƠNG KT'!$D$16:$Z$184,16,0)</f>
        <v>#N/A</v>
      </c>
      <c r="D1770" s="609" t="e">
        <f>C1770*$L$5</f>
        <v>#N/A</v>
      </c>
      <c r="E1770" s="912"/>
      <c r="F1770" s="912"/>
      <c r="G1770" s="908" t="s">
        <v>364</v>
      </c>
      <c r="H1770" s="909" t="s">
        <v>2092</v>
      </c>
      <c r="I1770" s="910" t="e">
        <f>VLOOKUP(H1767,'LƯƠNG KT'!$D$16:$Z$184,16,0)</f>
        <v>#N/A</v>
      </c>
      <c r="J1770" s="609" t="e">
        <f>I1770*$L$5</f>
        <v>#N/A</v>
      </c>
      <c r="K1770" s="934"/>
      <c r="L1770" s="935"/>
      <c r="M1770" s="935"/>
      <c r="N1770" s="935"/>
      <c r="O1770" s="935"/>
    </row>
    <row r="1771" spans="1:15" ht="15" customHeight="1">
      <c r="A1771" s="908" t="s">
        <v>370</v>
      </c>
      <c r="B1771" s="909" t="s">
        <v>2093</v>
      </c>
      <c r="C1771" s="910" t="e">
        <f>VLOOKUP(B1767,'LƯƠNG KT'!$D$16:$Z$184,24,0)</f>
        <v>#N/A</v>
      </c>
      <c r="D1771" s="609" t="e">
        <f>+C1771*$L$6</f>
        <v>#N/A</v>
      </c>
      <c r="E1771" s="912"/>
      <c r="F1771" s="912"/>
      <c r="G1771" s="908" t="s">
        <v>370</v>
      </c>
      <c r="H1771" s="909" t="s">
        <v>2093</v>
      </c>
      <c r="I1771" s="910" t="e">
        <f>VLOOKUP(H1767,'LƯƠNG KT'!$D$16:$Z$184,24,0)</f>
        <v>#N/A</v>
      </c>
      <c r="J1771" s="609" t="e">
        <f>+I1771*$L$6</f>
        <v>#N/A</v>
      </c>
      <c r="K1771" s="935"/>
      <c r="L1771" s="935"/>
      <c r="M1771" s="935"/>
      <c r="N1771" s="935"/>
      <c r="O1771" s="935"/>
    </row>
    <row r="1772" spans="1:15" ht="15" customHeight="1">
      <c r="A1772" s="908" t="s">
        <v>2094</v>
      </c>
      <c r="B1772" s="909" t="s">
        <v>2095</v>
      </c>
      <c r="C1772" s="910" t="e">
        <f>VLOOKUP(B1767,'LƯƠNG KT'!$D$16:$Z$184,19,0)</f>
        <v>#N/A</v>
      </c>
      <c r="D1772" s="609" t="e">
        <f>+C1772*$L$8</f>
        <v>#N/A</v>
      </c>
      <c r="E1772" s="912"/>
      <c r="F1772" s="912"/>
      <c r="G1772" s="908" t="s">
        <v>2094</v>
      </c>
      <c r="H1772" s="909" t="s">
        <v>2095</v>
      </c>
      <c r="I1772" s="910" t="e">
        <f>VLOOKUP(H1767,'LƯƠNG KT'!$D$16:$Z$184,19,0)</f>
        <v>#N/A</v>
      </c>
      <c r="J1772" s="609" t="e">
        <f>+I1772*$L$8</f>
        <v>#N/A</v>
      </c>
      <c r="K1772" s="935"/>
      <c r="L1772" s="935"/>
      <c r="M1772" s="935"/>
      <c r="N1772" s="935"/>
      <c r="O1772" s="935"/>
    </row>
    <row r="1773" spans="1:15" ht="15" customHeight="1">
      <c r="A1773" s="908" t="s">
        <v>2096</v>
      </c>
      <c r="B1773" s="913" t="s">
        <v>2097</v>
      </c>
      <c r="C1773" s="910" t="e">
        <f>VLOOKUP(B1767,'LƯƠNG KT'!$D$16:$Z$184,20,0)</f>
        <v>#N/A</v>
      </c>
      <c r="D1773" s="609" t="e">
        <f>+C1773*$L$9</f>
        <v>#N/A</v>
      </c>
      <c r="E1773" s="912"/>
      <c r="F1773" s="912"/>
      <c r="G1773" s="908" t="s">
        <v>2096</v>
      </c>
      <c r="H1773" s="913" t="s">
        <v>2097</v>
      </c>
      <c r="I1773" s="910" t="e">
        <f>VLOOKUP(H1767,'LƯƠNG KT'!$D$16:$Z$184,20,0)</f>
        <v>#N/A</v>
      </c>
      <c r="J1773" s="609" t="e">
        <f>+I1773*$L$9</f>
        <v>#N/A</v>
      </c>
      <c r="K1773" s="935"/>
      <c r="L1773" s="935"/>
      <c r="M1773" s="935"/>
      <c r="N1773" s="935"/>
      <c r="O1773" s="935"/>
    </row>
    <row r="1774" spans="1:15" ht="15" customHeight="1">
      <c r="A1774" s="908" t="s">
        <v>2099</v>
      </c>
      <c r="B1774" s="909" t="s">
        <v>2100</v>
      </c>
      <c r="C1774" s="910" t="e">
        <f>VLOOKUP(B1767,'LƯƠNG KT'!$D$16:$Z$184,17,0)</f>
        <v>#N/A</v>
      </c>
      <c r="D1774" s="609" t="e">
        <f>+C1774*$L$10</f>
        <v>#N/A</v>
      </c>
      <c r="E1774" s="912"/>
      <c r="F1774" s="912"/>
      <c r="G1774" s="908" t="s">
        <v>2099</v>
      </c>
      <c r="H1774" s="909" t="s">
        <v>2100</v>
      </c>
      <c r="I1774" s="910" t="e">
        <f>VLOOKUP(H1767,'LƯƠNG KT'!$D$16:$Z$184,17,0)</f>
        <v>#N/A</v>
      </c>
      <c r="J1774" s="609" t="e">
        <f>+I1774*$L$10</f>
        <v>#N/A</v>
      </c>
      <c r="K1774" s="935"/>
      <c r="L1774" s="935"/>
      <c r="M1774" s="935"/>
      <c r="N1774" s="935"/>
      <c r="O1774" s="935"/>
    </row>
    <row r="1775" spans="1:15" ht="15" customHeight="1">
      <c r="A1775" s="908" t="s">
        <v>374</v>
      </c>
      <c r="B1775" s="909" t="s">
        <v>2102</v>
      </c>
      <c r="C1775" s="910" t="e">
        <f>VLOOKUP(B1767,'LƯƠNG KT'!$D$16:$Z$184,12,0)</f>
        <v>#N/A</v>
      </c>
      <c r="D1775" s="609" t="e">
        <f>VLOOKUP(B1767,'LƯƠNG KT'!$D$16:$Z$184,14,0)</f>
        <v>#N/A</v>
      </c>
      <c r="E1775" s="914"/>
      <c r="F1775" s="912"/>
      <c r="G1775" s="908" t="s">
        <v>374</v>
      </c>
      <c r="H1775" s="909" t="s">
        <v>2102</v>
      </c>
      <c r="I1775" s="910" t="e">
        <f>VLOOKUP(H1767,'LƯƠNG KT'!$D$16:$Z$184,12,0)</f>
        <v>#N/A</v>
      </c>
      <c r="J1775" s="609" t="e">
        <f>VLOOKUP(H1767,'LƯƠNG KT'!$D$16:$Z$184,14,0)</f>
        <v>#N/A</v>
      </c>
      <c r="K1775" s="935"/>
      <c r="L1775" s="935"/>
      <c r="M1775" s="935"/>
      <c r="N1775" s="935"/>
      <c r="O1775" s="935"/>
    </row>
    <row r="1776" spans="1:15" ht="15" customHeight="1">
      <c r="A1776" s="908" t="s">
        <v>2103</v>
      </c>
      <c r="B1776" s="909" t="s">
        <v>2104</v>
      </c>
      <c r="D1776" s="915" t="e">
        <f>VLOOKUP(B1767,'LƯƠNG KT'!$D$16:$Z$184,13,0)</f>
        <v>#N/A</v>
      </c>
      <c r="E1776" s="916"/>
      <c r="F1776" s="916"/>
      <c r="G1776" s="908" t="s">
        <v>2103</v>
      </c>
      <c r="H1776" s="909" t="s">
        <v>2104</v>
      </c>
      <c r="J1776" s="915" t="e">
        <f>VLOOKUP(H1767,'LƯƠNG KT'!$D$16:$Z$184,13,0)</f>
        <v>#N/A</v>
      </c>
    </row>
    <row r="1777" spans="1:15" ht="15" customHeight="1">
      <c r="A1777" s="547"/>
      <c r="B1777" s="546"/>
      <c r="C1777" s="910"/>
      <c r="D1777" s="609"/>
      <c r="E1777" s="914"/>
      <c r="F1777" s="916"/>
      <c r="G1777" s="547"/>
      <c r="H1777" s="546"/>
      <c r="I1777" s="910"/>
      <c r="J1777" s="609"/>
    </row>
    <row r="1778" spans="1:15" ht="15" customHeight="1">
      <c r="A1778" s="905"/>
      <c r="B1778" s="546"/>
      <c r="C1778" s="910"/>
      <c r="D1778" s="609"/>
      <c r="E1778" s="917"/>
      <c r="F1778" s="904"/>
      <c r="G1778" s="905"/>
      <c r="H1778" s="546"/>
      <c r="I1778" s="910"/>
      <c r="J1778" s="609"/>
    </row>
    <row r="1779" spans="1:15" ht="15" customHeight="1">
      <c r="A1779" s="918" t="s">
        <v>383</v>
      </c>
      <c r="B1779" s="919" t="s">
        <v>384</v>
      </c>
      <c r="C1779" s="920"/>
      <c r="D1779" s="921" t="e">
        <f>SUM(D1768:D1775)-D1778</f>
        <v>#N/A</v>
      </c>
      <c r="E1779" s="922"/>
      <c r="F1779" s="923"/>
      <c r="G1779" s="918" t="s">
        <v>383</v>
      </c>
      <c r="H1779" s="919" t="s">
        <v>384</v>
      </c>
      <c r="I1779" s="920"/>
      <c r="J1779" s="921" t="e">
        <f>SUM(J1768:J1775)-J1778</f>
        <v>#N/A</v>
      </c>
    </row>
    <row r="1780" spans="1:15" ht="12.6" customHeight="1">
      <c r="A1780" s="924"/>
      <c r="B1780" s="925"/>
      <c r="C1780" s="926"/>
      <c r="D1780" s="927"/>
      <c r="E1780" s="927"/>
      <c r="F1780" s="928"/>
      <c r="G1780" s="924"/>
      <c r="H1780" s="925"/>
      <c r="I1780" s="926"/>
      <c r="J1780" s="927"/>
    </row>
    <row r="1781" spans="1:15" ht="12.6" customHeight="1">
      <c r="A1781" s="925"/>
      <c r="B1781" s="925"/>
      <c r="C1781" s="929"/>
      <c r="D1781" s="930"/>
      <c r="E1781" s="925"/>
      <c r="F1781" s="931"/>
      <c r="G1781" s="925"/>
      <c r="H1781" s="925"/>
      <c r="I1781" s="929"/>
      <c r="J1781" s="930"/>
    </row>
    <row r="1782" spans="1:15" ht="15" customHeight="1">
      <c r="A1782" s="2360" t="str">
        <f>$K$2</f>
        <v>THÁNG 04/2025</v>
      </c>
      <c r="B1782" s="2360"/>
      <c r="C1782" s="2360"/>
      <c r="D1782" s="2360"/>
      <c r="E1782" s="903"/>
      <c r="F1782" s="904"/>
      <c r="G1782" s="2360" t="str">
        <f>$K$2</f>
        <v>THÁNG 04/2025</v>
      </c>
      <c r="H1782" s="2360"/>
      <c r="I1782" s="2360"/>
      <c r="J1782" s="2360"/>
      <c r="K1782" s="276"/>
    </row>
    <row r="1783" spans="1:15" ht="15" customHeight="1">
      <c r="A1783" s="905" t="s">
        <v>356</v>
      </c>
      <c r="B1783" s="642" t="s">
        <v>114</v>
      </c>
      <c r="C1783" s="546"/>
      <c r="D1783" s="902"/>
      <c r="E1783" s="906"/>
      <c r="F1783" s="907"/>
      <c r="G1783" s="905" t="s">
        <v>356</v>
      </c>
      <c r="H1783" s="642"/>
      <c r="I1783" s="546"/>
      <c r="J1783" s="902"/>
      <c r="L1783" s="938"/>
      <c r="M1783" s="938"/>
      <c r="N1783" s="938"/>
      <c r="O1783" s="938"/>
    </row>
    <row r="1784" spans="1:15" ht="15" customHeight="1">
      <c r="A1784" s="908" t="s">
        <v>359</v>
      </c>
      <c r="B1784" s="909" t="s">
        <v>2090</v>
      </c>
      <c r="C1784" s="910" t="e">
        <f>VLOOKUP(B1783,'LƯƠNG KT'!$D$16:$Z$184,4,0)</f>
        <v>#N/A</v>
      </c>
      <c r="D1784" s="609" t="e">
        <f>+C1784*25000</f>
        <v>#N/A</v>
      </c>
      <c r="E1784" s="911"/>
      <c r="F1784" s="911"/>
      <c r="G1784" s="908" t="s">
        <v>359</v>
      </c>
      <c r="H1784" s="909" t="s">
        <v>2090</v>
      </c>
      <c r="I1784" s="910" t="e">
        <f>VLOOKUP(H1783,'LƯƠNG KT'!$D$16:$Z$184,4,0)</f>
        <v>#N/A</v>
      </c>
      <c r="J1784" s="609" t="e">
        <f>+I1784*25000</f>
        <v>#N/A</v>
      </c>
      <c r="K1784" s="935"/>
      <c r="L1784" s="935"/>
      <c r="M1784" s="935"/>
      <c r="N1784" s="935"/>
      <c r="O1784" s="935"/>
    </row>
    <row r="1785" spans="1:15" ht="15" customHeight="1">
      <c r="A1785" s="908" t="s">
        <v>361</v>
      </c>
      <c r="B1785" s="909" t="s">
        <v>2091</v>
      </c>
      <c r="C1785" s="910" t="e">
        <f>VLOOKUP(B1783,'LƯƠNG KT'!$D$16:$Z$184,15,0)</f>
        <v>#N/A</v>
      </c>
      <c r="D1785" s="609" t="e">
        <f>C1785*$L$4</f>
        <v>#N/A</v>
      </c>
      <c r="E1785" s="912"/>
      <c r="F1785" s="912"/>
      <c r="G1785" s="908" t="s">
        <v>361</v>
      </c>
      <c r="H1785" s="909" t="s">
        <v>2091</v>
      </c>
      <c r="I1785" s="910" t="e">
        <f>VLOOKUP(H1783,'LƯƠNG KT'!$D$16:$Z$184,15,0)</f>
        <v>#N/A</v>
      </c>
      <c r="J1785" s="609" t="e">
        <f>I1785*$L$4</f>
        <v>#N/A</v>
      </c>
      <c r="K1785" s="935"/>
      <c r="L1785" s="935"/>
      <c r="M1785" s="935"/>
      <c r="N1785" s="935"/>
      <c r="O1785" s="935"/>
    </row>
    <row r="1786" spans="1:15" ht="15" customHeight="1">
      <c r="A1786" s="908" t="s">
        <v>364</v>
      </c>
      <c r="B1786" s="909" t="s">
        <v>2092</v>
      </c>
      <c r="C1786" s="910" t="e">
        <f>VLOOKUP(B1783,'LƯƠNG KT'!$D$16:$Z$184,16,0)</f>
        <v>#N/A</v>
      </c>
      <c r="D1786" s="609" t="e">
        <f>C1786*$L$5</f>
        <v>#N/A</v>
      </c>
      <c r="E1786" s="912"/>
      <c r="F1786" s="912"/>
      <c r="G1786" s="908" t="s">
        <v>364</v>
      </c>
      <c r="H1786" s="909" t="s">
        <v>2092</v>
      </c>
      <c r="I1786" s="910" t="e">
        <f>VLOOKUP(H1783,'LƯƠNG KT'!$D$16:$Z$184,16,0)</f>
        <v>#N/A</v>
      </c>
      <c r="J1786" s="609" t="e">
        <f>I1786*$L$5</f>
        <v>#N/A</v>
      </c>
      <c r="K1786" s="935"/>
      <c r="L1786" s="935"/>
      <c r="M1786" s="935"/>
      <c r="N1786" s="935"/>
      <c r="O1786" s="935"/>
    </row>
    <row r="1787" spans="1:15" ht="15" customHeight="1">
      <c r="A1787" s="908" t="s">
        <v>370</v>
      </c>
      <c r="B1787" s="909" t="s">
        <v>2093</v>
      </c>
      <c r="C1787" s="910" t="e">
        <f>VLOOKUP(B1783,'LƯƠNG KT'!$D$16:$Z$184,24,0)</f>
        <v>#N/A</v>
      </c>
      <c r="D1787" s="609" t="e">
        <f>+C1787*$L$6</f>
        <v>#N/A</v>
      </c>
      <c r="E1787" s="912"/>
      <c r="F1787" s="912"/>
      <c r="G1787" s="908" t="s">
        <v>370</v>
      </c>
      <c r="H1787" s="909" t="s">
        <v>2093</v>
      </c>
      <c r="I1787" s="910" t="e">
        <f>VLOOKUP(H1783,'LƯƠNG KT'!$D$16:$Z$184,24,0)</f>
        <v>#N/A</v>
      </c>
      <c r="J1787" s="609" t="e">
        <f>+I1787*$L$6</f>
        <v>#N/A</v>
      </c>
      <c r="K1787" s="935"/>
      <c r="L1787" s="935"/>
      <c r="M1787" s="935"/>
      <c r="N1787" s="935"/>
      <c r="O1787" s="935"/>
    </row>
    <row r="1788" spans="1:15" ht="15" customHeight="1">
      <c r="A1788" s="908" t="s">
        <v>2094</v>
      </c>
      <c r="B1788" s="909" t="s">
        <v>2095</v>
      </c>
      <c r="C1788" s="910" t="e">
        <f>VLOOKUP(B1783,'LƯƠNG KT'!$D$16:$Z$184,19,0)</f>
        <v>#N/A</v>
      </c>
      <c r="D1788" s="609" t="e">
        <f>+C1788*$L$8</f>
        <v>#N/A</v>
      </c>
      <c r="E1788" s="912"/>
      <c r="F1788" s="912"/>
      <c r="G1788" s="908" t="s">
        <v>2094</v>
      </c>
      <c r="H1788" s="909" t="s">
        <v>2095</v>
      </c>
      <c r="I1788" s="910" t="e">
        <f>VLOOKUP(H1783,'LƯƠNG KT'!$D$16:$Z$184,19,0)</f>
        <v>#N/A</v>
      </c>
      <c r="J1788" s="609" t="e">
        <f>+I1788*$L$8</f>
        <v>#N/A</v>
      </c>
      <c r="K1788" s="935"/>
      <c r="L1788" s="935"/>
      <c r="M1788" s="935"/>
      <c r="N1788" s="935"/>
      <c r="O1788" s="935"/>
    </row>
    <row r="1789" spans="1:15" ht="15" customHeight="1">
      <c r="A1789" s="908" t="s">
        <v>2096</v>
      </c>
      <c r="B1789" s="913" t="s">
        <v>2097</v>
      </c>
      <c r="C1789" s="910" t="e">
        <f>VLOOKUP(B1783,'LƯƠNG KT'!$D$16:$Z$184,20,0)</f>
        <v>#N/A</v>
      </c>
      <c r="D1789" s="609" t="e">
        <f>+C1789*$L$9</f>
        <v>#N/A</v>
      </c>
      <c r="E1789" s="912"/>
      <c r="F1789" s="912"/>
      <c r="G1789" s="908" t="s">
        <v>2096</v>
      </c>
      <c r="H1789" s="913" t="s">
        <v>2097</v>
      </c>
      <c r="I1789" s="910" t="e">
        <f>VLOOKUP(H1783,'LƯƠNG KT'!$D$16:$Z$184,20,0)</f>
        <v>#N/A</v>
      </c>
      <c r="J1789" s="609" t="e">
        <f>+I1789*$L$9</f>
        <v>#N/A</v>
      </c>
      <c r="K1789" s="935"/>
      <c r="L1789" s="935"/>
      <c r="M1789" s="935"/>
      <c r="N1789" s="935"/>
      <c r="O1789" s="935"/>
    </row>
    <row r="1790" spans="1:15" ht="15" customHeight="1">
      <c r="A1790" s="908" t="s">
        <v>2099</v>
      </c>
      <c r="B1790" s="909" t="s">
        <v>2100</v>
      </c>
      <c r="C1790" s="910" t="e">
        <f>VLOOKUP(B1783,'LƯƠNG KT'!$D$16:$Z$184,17,0)</f>
        <v>#N/A</v>
      </c>
      <c r="D1790" s="609" t="e">
        <f>+C1790*$L$10</f>
        <v>#N/A</v>
      </c>
      <c r="E1790" s="912"/>
      <c r="F1790" s="912"/>
      <c r="G1790" s="908" t="s">
        <v>2099</v>
      </c>
      <c r="H1790" s="909" t="s">
        <v>2100</v>
      </c>
      <c r="I1790" s="910" t="e">
        <f>VLOOKUP(H1783,'LƯƠNG KT'!$D$16:$Z$184,17,0)</f>
        <v>#N/A</v>
      </c>
      <c r="J1790" s="609" t="e">
        <f>+I1790*$L$10</f>
        <v>#N/A</v>
      </c>
      <c r="K1790" s="935"/>
      <c r="L1790" s="935"/>
      <c r="M1790" s="935"/>
      <c r="N1790" s="935"/>
      <c r="O1790" s="935"/>
    </row>
    <row r="1791" spans="1:15" ht="15" customHeight="1">
      <c r="A1791" s="908" t="s">
        <v>374</v>
      </c>
      <c r="B1791" s="909" t="s">
        <v>2102</v>
      </c>
      <c r="C1791" s="910" t="e">
        <f>VLOOKUP(B1783,'LƯƠNG KT'!$D$16:$Z$184,12,0)</f>
        <v>#N/A</v>
      </c>
      <c r="D1791" s="609" t="e">
        <f>VLOOKUP(B1783,'LƯƠNG KT'!$D$16:$Z$184,14,0)</f>
        <v>#N/A</v>
      </c>
      <c r="E1791" s="914"/>
      <c r="F1791" s="912"/>
      <c r="G1791" s="908" t="s">
        <v>374</v>
      </c>
      <c r="H1791" s="909" t="s">
        <v>2102</v>
      </c>
      <c r="I1791" s="910" t="e">
        <f>VLOOKUP(H1783,'LƯƠNG KT'!$D$16:$Z$184,12,0)</f>
        <v>#N/A</v>
      </c>
      <c r="J1791" s="609" t="e">
        <f>VLOOKUP(H1783,'LƯƠNG KT'!$D$16:$Z$184,14,0)</f>
        <v>#N/A</v>
      </c>
      <c r="K1791" s="935"/>
      <c r="L1791" s="935"/>
      <c r="M1791" s="935"/>
      <c r="N1791" s="935"/>
      <c r="O1791" s="935"/>
    </row>
    <row r="1792" spans="1:15" ht="15" customHeight="1">
      <c r="A1792" s="908" t="s">
        <v>2103</v>
      </c>
      <c r="B1792" s="909" t="s">
        <v>2104</v>
      </c>
      <c r="D1792" s="915" t="e">
        <f>VLOOKUP(B1783,'LƯƠNG KT'!$D$16:$Z$184,13,0)</f>
        <v>#N/A</v>
      </c>
      <c r="E1792" s="916"/>
      <c r="F1792" s="916"/>
      <c r="G1792" s="908" t="s">
        <v>2103</v>
      </c>
      <c r="H1792" s="909" t="s">
        <v>2104</v>
      </c>
      <c r="J1792" s="915" t="e">
        <f>VLOOKUP(H1783,'LƯƠNG KT'!$D$16:$Z$184,13,0)</f>
        <v>#N/A</v>
      </c>
    </row>
    <row r="1793" spans="1:15" ht="15" customHeight="1">
      <c r="A1793" s="547"/>
      <c r="B1793" s="546"/>
      <c r="C1793" s="910"/>
      <c r="D1793" s="609"/>
      <c r="E1793" s="914"/>
      <c r="F1793" s="916"/>
      <c r="G1793" s="547"/>
      <c r="H1793" s="546"/>
      <c r="I1793" s="910"/>
      <c r="J1793" s="609"/>
      <c r="K1793" s="940" t="s">
        <v>103</v>
      </c>
      <c r="L1793" s="940" t="e">
        <f>D1795+D1779+J1779+J1762+D1762+D1746+J1746+J1730+D1730+J1714+D1714</f>
        <v>#N/A</v>
      </c>
      <c r="M1793" s="940"/>
      <c r="N1793" s="940"/>
      <c r="O1793" s="940"/>
    </row>
    <row r="1794" spans="1:15" ht="15" customHeight="1">
      <c r="A1794" s="905"/>
      <c r="B1794" s="546"/>
      <c r="C1794" s="910"/>
      <c r="D1794" s="609"/>
      <c r="E1794" s="917"/>
      <c r="F1794" s="904"/>
      <c r="G1794" s="905"/>
      <c r="H1794" s="546"/>
      <c r="I1794" s="910"/>
      <c r="J1794" s="609"/>
    </row>
    <row r="1795" spans="1:15" ht="15" customHeight="1">
      <c r="A1795" s="918" t="s">
        <v>383</v>
      </c>
      <c r="B1795" s="919" t="s">
        <v>384</v>
      </c>
      <c r="C1795" s="920"/>
      <c r="D1795" s="921" t="e">
        <f>SUM(D1784:D1791)-D1794</f>
        <v>#N/A</v>
      </c>
      <c r="E1795" s="922"/>
      <c r="F1795" s="923"/>
      <c r="G1795" s="918" t="s">
        <v>383</v>
      </c>
      <c r="H1795" s="919" t="s">
        <v>384</v>
      </c>
      <c r="I1795" s="920"/>
      <c r="J1795" s="921"/>
    </row>
    <row r="1796" spans="1:15" ht="18.75" customHeight="1">
      <c r="A1796" s="924"/>
      <c r="B1796" s="925"/>
      <c r="C1796" s="926"/>
      <c r="D1796" s="927"/>
      <c r="E1796" s="927"/>
      <c r="F1796" s="928"/>
      <c r="G1796" s="924"/>
      <c r="H1796" s="925"/>
      <c r="I1796" s="926"/>
      <c r="J1796" s="927"/>
    </row>
    <row r="1797" spans="1:15" ht="144" customHeight="1">
      <c r="A1797" s="925"/>
      <c r="B1797" s="925"/>
      <c r="C1797" s="929"/>
      <c r="D1797" s="930"/>
      <c r="E1797" s="925"/>
      <c r="F1797" s="931"/>
      <c r="G1797" s="925"/>
      <c r="H1797" s="925"/>
      <c r="I1797" s="929"/>
      <c r="J1797" s="930"/>
    </row>
    <row r="1798" spans="1:15" ht="15" customHeight="1">
      <c r="A1798" s="2360" t="str">
        <f>$K$2</f>
        <v>THÁNG 04/2025</v>
      </c>
      <c r="B1798" s="2360"/>
      <c r="C1798" s="2360"/>
      <c r="D1798" s="2360"/>
      <c r="E1798" s="903"/>
      <c r="F1798" s="904"/>
      <c r="G1798" s="2360" t="str">
        <f>$K$2</f>
        <v>THÁNG 04/2025</v>
      </c>
      <c r="H1798" s="2360"/>
      <c r="I1798" s="2360"/>
      <c r="J1798" s="2360"/>
      <c r="K1798" s="276"/>
    </row>
    <row r="1799" spans="1:15" ht="15" customHeight="1">
      <c r="A1799" s="905" t="s">
        <v>356</v>
      </c>
      <c r="B1799" s="642" t="s">
        <v>116</v>
      </c>
      <c r="C1799" s="546"/>
      <c r="D1799" s="902"/>
      <c r="E1799" s="906"/>
      <c r="F1799" s="907"/>
      <c r="G1799" s="905" t="s">
        <v>356</v>
      </c>
      <c r="H1799" s="642" t="s">
        <v>117</v>
      </c>
      <c r="I1799" s="546"/>
      <c r="J1799" s="902"/>
      <c r="L1799" s="938"/>
      <c r="M1799" s="938"/>
      <c r="N1799" s="938"/>
      <c r="O1799" s="938"/>
    </row>
    <row r="1800" spans="1:15" ht="15" customHeight="1">
      <c r="A1800" s="908" t="s">
        <v>359</v>
      </c>
      <c r="B1800" s="909" t="s">
        <v>2090</v>
      </c>
      <c r="C1800" s="910" t="e">
        <f>VLOOKUP(B1799,'LƯƠNG KT'!$D$16:$Z$184,4,0)</f>
        <v>#N/A</v>
      </c>
      <c r="D1800" s="609" t="e">
        <f>+C1800*25000</f>
        <v>#N/A</v>
      </c>
      <c r="E1800" s="911"/>
      <c r="F1800" s="911"/>
      <c r="G1800" s="908" t="s">
        <v>359</v>
      </c>
      <c r="H1800" s="909" t="s">
        <v>2090</v>
      </c>
      <c r="I1800" s="910" t="e">
        <f>VLOOKUP(H1799,'LƯƠNG KT'!$D$16:$Z$184,4,0)</f>
        <v>#N/A</v>
      </c>
      <c r="J1800" s="609" t="e">
        <f>+I1800*25000</f>
        <v>#N/A</v>
      </c>
      <c r="K1800" s="935"/>
      <c r="L1800" s="935"/>
      <c r="M1800" s="935"/>
      <c r="N1800" s="935"/>
      <c r="O1800" s="935"/>
    </row>
    <row r="1801" spans="1:15" ht="15" customHeight="1">
      <c r="A1801" s="908" t="s">
        <v>361</v>
      </c>
      <c r="B1801" s="909" t="s">
        <v>2091</v>
      </c>
      <c r="C1801" s="910" t="e">
        <f>VLOOKUP(B1799,'LƯƠNG KT'!$D$16:$Z$184,15,0)</f>
        <v>#N/A</v>
      </c>
      <c r="D1801" s="609" t="e">
        <f>C1801*$L$4</f>
        <v>#N/A</v>
      </c>
      <c r="E1801" s="912"/>
      <c r="F1801" s="912"/>
      <c r="G1801" s="908" t="s">
        <v>361</v>
      </c>
      <c r="H1801" s="909" t="s">
        <v>2091</v>
      </c>
      <c r="I1801" s="910" t="e">
        <f>VLOOKUP(H1799,'LƯƠNG KT'!$D$16:$Z$184,15,0)</f>
        <v>#N/A</v>
      </c>
      <c r="J1801" s="609" t="e">
        <f>I1801*$L$4</f>
        <v>#N/A</v>
      </c>
      <c r="K1801" s="935"/>
      <c r="L1801" s="935"/>
      <c r="M1801" s="935"/>
      <c r="N1801" s="935"/>
      <c r="O1801" s="935"/>
    </row>
    <row r="1802" spans="1:15" ht="15" customHeight="1">
      <c r="A1802" s="908" t="s">
        <v>364</v>
      </c>
      <c r="B1802" s="909" t="s">
        <v>2092</v>
      </c>
      <c r="C1802" s="910" t="e">
        <f>VLOOKUP(B1799,'LƯƠNG KT'!$D$16:$Z$184,16,0)</f>
        <v>#N/A</v>
      </c>
      <c r="D1802" s="609" t="e">
        <f>C1802*$L$5</f>
        <v>#N/A</v>
      </c>
      <c r="E1802" s="912"/>
      <c r="F1802" s="912"/>
      <c r="G1802" s="908" t="s">
        <v>364</v>
      </c>
      <c r="H1802" s="909" t="s">
        <v>2092</v>
      </c>
      <c r="I1802" s="910" t="e">
        <f>VLOOKUP(H1799,'LƯƠNG KT'!$D$16:$Z$184,16,0)</f>
        <v>#N/A</v>
      </c>
      <c r="J1802" s="609" t="e">
        <f>I1802*$L$5</f>
        <v>#N/A</v>
      </c>
      <c r="K1802" s="935"/>
      <c r="L1802" s="935"/>
      <c r="M1802" s="935"/>
      <c r="N1802" s="935"/>
      <c r="O1802" s="935"/>
    </row>
    <row r="1803" spans="1:15" ht="15" customHeight="1">
      <c r="A1803" s="908" t="s">
        <v>370</v>
      </c>
      <c r="B1803" s="909" t="s">
        <v>2093</v>
      </c>
      <c r="C1803" s="910" t="e">
        <f>VLOOKUP(B1799,'LƯƠNG KT'!$D$16:$Z$184,24,0)</f>
        <v>#N/A</v>
      </c>
      <c r="D1803" s="609" t="e">
        <f>+C1803*$L$6</f>
        <v>#N/A</v>
      </c>
      <c r="E1803" s="912"/>
      <c r="F1803" s="912"/>
      <c r="G1803" s="908" t="s">
        <v>370</v>
      </c>
      <c r="H1803" s="909" t="s">
        <v>2093</v>
      </c>
      <c r="I1803" s="910" t="e">
        <f>VLOOKUP(H1799,'LƯƠNG KT'!$D$16:$Z$184,24,0)</f>
        <v>#N/A</v>
      </c>
      <c r="J1803" s="609" t="e">
        <f>+I1803*$L$6</f>
        <v>#N/A</v>
      </c>
      <c r="K1803" s="935"/>
      <c r="L1803" s="935"/>
      <c r="M1803" s="935"/>
      <c r="N1803" s="935"/>
      <c r="O1803" s="935"/>
    </row>
    <row r="1804" spans="1:15" ht="15" customHeight="1">
      <c r="A1804" s="908" t="s">
        <v>2094</v>
      </c>
      <c r="B1804" s="909" t="s">
        <v>2095</v>
      </c>
      <c r="C1804" s="910" t="e">
        <f>VLOOKUP(B1799,'LƯƠNG KT'!$D$16:$Z$184,19,0)</f>
        <v>#N/A</v>
      </c>
      <c r="D1804" s="609" t="e">
        <f>+C1804*$L$8</f>
        <v>#N/A</v>
      </c>
      <c r="E1804" s="912"/>
      <c r="F1804" s="912"/>
      <c r="G1804" s="908" t="s">
        <v>2094</v>
      </c>
      <c r="H1804" s="909" t="s">
        <v>2095</v>
      </c>
      <c r="I1804" s="910" t="e">
        <f>VLOOKUP(H1799,'LƯƠNG KT'!$D$16:$Z$184,19,0)</f>
        <v>#N/A</v>
      </c>
      <c r="J1804" s="609" t="e">
        <f>+I1804*$L$8</f>
        <v>#N/A</v>
      </c>
      <c r="K1804" s="935"/>
      <c r="L1804" s="935"/>
      <c r="M1804" s="935"/>
      <c r="N1804" s="935"/>
      <c r="O1804" s="935"/>
    </row>
    <row r="1805" spans="1:15" ht="15" customHeight="1">
      <c r="A1805" s="908" t="s">
        <v>2096</v>
      </c>
      <c r="B1805" s="913" t="s">
        <v>2097</v>
      </c>
      <c r="C1805" s="910" t="e">
        <f>VLOOKUP(B1799,'LƯƠNG KT'!$D$16:$Z$184,20,0)</f>
        <v>#N/A</v>
      </c>
      <c r="D1805" s="609" t="e">
        <f>+C1805*$L$9</f>
        <v>#N/A</v>
      </c>
      <c r="E1805" s="912"/>
      <c r="F1805" s="912"/>
      <c r="G1805" s="908" t="s">
        <v>2096</v>
      </c>
      <c r="H1805" s="913" t="s">
        <v>2097</v>
      </c>
      <c r="I1805" s="910" t="e">
        <f>VLOOKUP(H1799,'LƯƠNG KT'!$D$16:$Z$184,20,0)</f>
        <v>#N/A</v>
      </c>
      <c r="J1805" s="609" t="e">
        <f>+I1805*$L$9</f>
        <v>#N/A</v>
      </c>
      <c r="K1805" s="935"/>
      <c r="L1805" s="935"/>
      <c r="M1805" s="935"/>
      <c r="N1805" s="935"/>
      <c r="O1805" s="935"/>
    </row>
    <row r="1806" spans="1:15" ht="15" customHeight="1">
      <c r="A1806" s="908" t="s">
        <v>2099</v>
      </c>
      <c r="B1806" s="909" t="s">
        <v>2100</v>
      </c>
      <c r="C1806" s="910" t="e">
        <f>VLOOKUP(B1799,'LƯƠNG KT'!$D$16:$Z$184,17,0)</f>
        <v>#N/A</v>
      </c>
      <c r="D1806" s="609" t="e">
        <f>+C1806*$L$10</f>
        <v>#N/A</v>
      </c>
      <c r="E1806" s="912"/>
      <c r="F1806" s="912"/>
      <c r="G1806" s="908" t="s">
        <v>2099</v>
      </c>
      <c r="H1806" s="909" t="s">
        <v>2100</v>
      </c>
      <c r="I1806" s="910" t="e">
        <f>VLOOKUP(H1799,'LƯƠNG KT'!$D$16:$Z$184,17,0)</f>
        <v>#N/A</v>
      </c>
      <c r="J1806" s="609" t="e">
        <f>+I1806*$L$10</f>
        <v>#N/A</v>
      </c>
      <c r="K1806" s="935"/>
      <c r="L1806" s="935"/>
      <c r="M1806" s="935"/>
      <c r="N1806" s="935"/>
      <c r="O1806" s="935"/>
    </row>
    <row r="1807" spans="1:15" ht="15" customHeight="1">
      <c r="A1807" s="908" t="s">
        <v>374</v>
      </c>
      <c r="B1807" s="909" t="s">
        <v>2102</v>
      </c>
      <c r="C1807" s="910" t="e">
        <f>VLOOKUP(B1799,'LƯƠNG KT'!$D$16:$Z$184,12,0)</f>
        <v>#N/A</v>
      </c>
      <c r="D1807" s="609" t="e">
        <f>VLOOKUP(B1799,'LƯƠNG KT'!$D$16:$Z$184,14,0)</f>
        <v>#N/A</v>
      </c>
      <c r="E1807" s="914"/>
      <c r="F1807" s="912"/>
      <c r="G1807" s="908" t="s">
        <v>374</v>
      </c>
      <c r="H1807" s="909" t="s">
        <v>2102</v>
      </c>
      <c r="I1807" s="910" t="e">
        <f>VLOOKUP(H1799,'LƯƠNG KT'!$D$16:$Z$184,12,0)</f>
        <v>#N/A</v>
      </c>
      <c r="J1807" s="609" t="e">
        <f>VLOOKUP(H1799,'LƯƠNG KT'!$D$16:$Z$184,14,0)</f>
        <v>#N/A</v>
      </c>
      <c r="K1807" s="935"/>
      <c r="L1807" s="935"/>
      <c r="M1807" s="935"/>
      <c r="N1807" s="935"/>
      <c r="O1807" s="935"/>
    </row>
    <row r="1808" spans="1:15" ht="15" customHeight="1">
      <c r="A1808" s="908" t="s">
        <v>2103</v>
      </c>
      <c r="B1808" s="909" t="s">
        <v>2104</v>
      </c>
      <c r="D1808" s="915" t="e">
        <f>VLOOKUP(B1799,'LƯƠNG KT'!$D$16:$Z$184,13,0)</f>
        <v>#N/A</v>
      </c>
      <c r="E1808" s="916"/>
      <c r="F1808" s="916"/>
      <c r="G1808" s="908" t="s">
        <v>2103</v>
      </c>
      <c r="H1808" s="909" t="s">
        <v>2104</v>
      </c>
      <c r="J1808" s="915" t="e">
        <f>VLOOKUP(H1799,'LƯƠNG KT'!$D$16:$Z$184,13,0)</f>
        <v>#N/A</v>
      </c>
    </row>
    <row r="1809" spans="1:15" ht="15" customHeight="1">
      <c r="A1809" s="547"/>
      <c r="B1809" s="546"/>
      <c r="C1809" s="910"/>
      <c r="D1809" s="609"/>
      <c r="E1809" s="914"/>
      <c r="F1809" s="916"/>
      <c r="G1809" s="547"/>
      <c r="H1809" s="546"/>
      <c r="I1809" s="910"/>
      <c r="J1809" s="609"/>
    </row>
    <row r="1810" spans="1:15" ht="15" customHeight="1">
      <c r="A1810" s="905"/>
      <c r="B1810" s="546"/>
      <c r="C1810" s="910"/>
      <c r="D1810" s="609"/>
      <c r="E1810" s="917"/>
      <c r="F1810" s="904"/>
      <c r="G1810" s="905"/>
      <c r="H1810" s="546"/>
      <c r="I1810" s="910"/>
      <c r="J1810" s="609"/>
    </row>
    <row r="1811" spans="1:15" ht="15" customHeight="1">
      <c r="A1811" s="918" t="s">
        <v>383</v>
      </c>
      <c r="B1811" s="919" t="s">
        <v>384</v>
      </c>
      <c r="C1811" s="920"/>
      <c r="D1811" s="921" t="e">
        <f>SUM(D1800:D1807)-D1810</f>
        <v>#N/A</v>
      </c>
      <c r="E1811" s="922"/>
      <c r="F1811" s="923"/>
      <c r="G1811" s="918" t="s">
        <v>383</v>
      </c>
      <c r="H1811" s="919" t="s">
        <v>384</v>
      </c>
      <c r="I1811" s="920"/>
      <c r="J1811" s="921" t="e">
        <f>SUM(J1800:J1807)-J1810</f>
        <v>#N/A</v>
      </c>
    </row>
    <row r="1812" spans="1:15" ht="18.75" customHeight="1">
      <c r="A1812" s="924"/>
      <c r="B1812" s="925"/>
      <c r="C1812" s="926"/>
      <c r="D1812" s="927"/>
      <c r="E1812" s="927"/>
      <c r="F1812" s="928"/>
      <c r="G1812" s="924"/>
      <c r="H1812" s="925"/>
      <c r="I1812" s="926"/>
      <c r="J1812" s="927"/>
    </row>
    <row r="1813" spans="1:15" ht="18.75" customHeight="1">
      <c r="A1813" s="925"/>
      <c r="B1813" s="925"/>
      <c r="C1813" s="929"/>
      <c r="D1813" s="930"/>
      <c r="E1813" s="925"/>
      <c r="F1813" s="931"/>
      <c r="G1813" s="925"/>
      <c r="H1813" s="925"/>
      <c r="I1813" s="929"/>
      <c r="J1813" s="930"/>
    </row>
    <row r="1814" spans="1:15" ht="15" customHeight="1">
      <c r="A1814" s="2360" t="str">
        <f>$K$2</f>
        <v>THÁNG 04/2025</v>
      </c>
      <c r="B1814" s="2360"/>
      <c r="C1814" s="2360"/>
      <c r="D1814" s="2360"/>
      <c r="E1814" s="903"/>
      <c r="F1814" s="904"/>
      <c r="G1814" s="2360" t="str">
        <f>$K$2</f>
        <v>THÁNG 04/2025</v>
      </c>
      <c r="H1814" s="2360"/>
      <c r="I1814" s="2360"/>
      <c r="J1814" s="2360"/>
      <c r="K1814" s="276"/>
    </row>
    <row r="1815" spans="1:15" ht="15" customHeight="1">
      <c r="A1815" s="905" t="s">
        <v>356</v>
      </c>
      <c r="B1815" s="642" t="s">
        <v>118</v>
      </c>
      <c r="C1815" s="546"/>
      <c r="D1815" s="902"/>
      <c r="E1815" s="906"/>
      <c r="F1815" s="907"/>
      <c r="G1815" s="905" t="s">
        <v>356</v>
      </c>
      <c r="H1815" s="642" t="s">
        <v>119</v>
      </c>
      <c r="I1815" s="546"/>
      <c r="J1815" s="902"/>
      <c r="L1815" s="938"/>
      <c r="M1815" s="938"/>
      <c r="N1815" s="938"/>
      <c r="O1815" s="938"/>
    </row>
    <row r="1816" spans="1:15" ht="15" customHeight="1">
      <c r="A1816" s="908" t="s">
        <v>359</v>
      </c>
      <c r="B1816" s="909" t="s">
        <v>2090</v>
      </c>
      <c r="C1816" s="910" t="e">
        <f>VLOOKUP(B1815,'LƯƠNG KT'!$D$16:$Z$184,4,0)</f>
        <v>#N/A</v>
      </c>
      <c r="D1816" s="609" t="e">
        <f>+C1816*25000</f>
        <v>#N/A</v>
      </c>
      <c r="E1816" s="911"/>
      <c r="F1816" s="911"/>
      <c r="G1816" s="908" t="s">
        <v>359</v>
      </c>
      <c r="H1816" s="909" t="s">
        <v>2090</v>
      </c>
      <c r="I1816" s="910" t="e">
        <f>VLOOKUP(H1815,'LƯƠNG KT'!$D$16:$Z$184,4,0)</f>
        <v>#N/A</v>
      </c>
      <c r="J1816" s="609" t="e">
        <f>+I1816*25000</f>
        <v>#N/A</v>
      </c>
      <c r="K1816" s="935"/>
      <c r="L1816" s="935"/>
      <c r="M1816" s="935"/>
      <c r="N1816" s="935"/>
      <c r="O1816" s="935"/>
    </row>
    <row r="1817" spans="1:15" ht="15" customHeight="1">
      <c r="A1817" s="908" t="s">
        <v>361</v>
      </c>
      <c r="B1817" s="909" t="s">
        <v>2091</v>
      </c>
      <c r="C1817" s="910" t="e">
        <f>VLOOKUP(B1815,'LƯƠNG KT'!$D$16:$Z$184,15,0)</f>
        <v>#N/A</v>
      </c>
      <c r="D1817" s="609" t="e">
        <f>C1817*$L$4</f>
        <v>#N/A</v>
      </c>
      <c r="E1817" s="912"/>
      <c r="F1817" s="912"/>
      <c r="G1817" s="908" t="s">
        <v>361</v>
      </c>
      <c r="H1817" s="909" t="s">
        <v>2091</v>
      </c>
      <c r="I1817" s="910" t="e">
        <f>VLOOKUP(H1815,'LƯƠNG KT'!$D$16:$Z$184,15,0)</f>
        <v>#N/A</v>
      </c>
      <c r="J1817" s="609" t="e">
        <f>I1817*$L$4</f>
        <v>#N/A</v>
      </c>
      <c r="K1817" s="935"/>
      <c r="L1817" s="935"/>
      <c r="M1817" s="935"/>
      <c r="N1817" s="935"/>
      <c r="O1817" s="935"/>
    </row>
    <row r="1818" spans="1:15" ht="15" customHeight="1">
      <c r="A1818" s="908" t="s">
        <v>364</v>
      </c>
      <c r="B1818" s="909" t="s">
        <v>2092</v>
      </c>
      <c r="C1818" s="910" t="e">
        <f>VLOOKUP(B1815,'LƯƠNG KT'!$D$16:$Z$184,16,0)</f>
        <v>#N/A</v>
      </c>
      <c r="D1818" s="609" t="e">
        <f>C1818*$L$5</f>
        <v>#N/A</v>
      </c>
      <c r="E1818" s="912"/>
      <c r="F1818" s="912"/>
      <c r="G1818" s="908" t="s">
        <v>364</v>
      </c>
      <c r="H1818" s="909" t="s">
        <v>2092</v>
      </c>
      <c r="I1818" s="910" t="e">
        <f>VLOOKUP(H1815,'LƯƠNG KT'!$D$16:$Z$184,16,0)</f>
        <v>#N/A</v>
      </c>
      <c r="J1818" s="609" t="e">
        <f>I1818*$L$5</f>
        <v>#N/A</v>
      </c>
      <c r="K1818" s="935"/>
      <c r="L1818" s="935"/>
      <c r="M1818" s="935"/>
      <c r="N1818" s="935"/>
      <c r="O1818" s="935"/>
    </row>
    <row r="1819" spans="1:15" ht="15" customHeight="1">
      <c r="A1819" s="908" t="s">
        <v>370</v>
      </c>
      <c r="B1819" s="909" t="s">
        <v>2093</v>
      </c>
      <c r="C1819" s="910" t="e">
        <f>VLOOKUP(B1815,'LƯƠNG KT'!$D$16:$Z$184,24,0)</f>
        <v>#N/A</v>
      </c>
      <c r="D1819" s="609" t="e">
        <f>+C1819*$L$6</f>
        <v>#N/A</v>
      </c>
      <c r="E1819" s="912"/>
      <c r="F1819" s="912"/>
      <c r="G1819" s="908" t="s">
        <v>370</v>
      </c>
      <c r="H1819" s="909" t="s">
        <v>2093</v>
      </c>
      <c r="I1819" s="910" t="e">
        <f>VLOOKUP(H1815,'LƯƠNG KT'!$D$16:$Z$184,24,0)</f>
        <v>#N/A</v>
      </c>
      <c r="J1819" s="609" t="e">
        <f>+I1819*$L$6</f>
        <v>#N/A</v>
      </c>
      <c r="K1819" s="935"/>
      <c r="L1819" s="935"/>
      <c r="M1819" s="935"/>
      <c r="N1819" s="935"/>
      <c r="O1819" s="935"/>
    </row>
    <row r="1820" spans="1:15" ht="15" customHeight="1">
      <c r="A1820" s="908" t="s">
        <v>2094</v>
      </c>
      <c r="B1820" s="909" t="s">
        <v>2095</v>
      </c>
      <c r="C1820" s="910" t="e">
        <f>VLOOKUP(B1815,'LƯƠNG KT'!$D$16:$Z$184,19,0)</f>
        <v>#N/A</v>
      </c>
      <c r="D1820" s="609" t="e">
        <f>+C1820*$L$8</f>
        <v>#N/A</v>
      </c>
      <c r="E1820" s="912"/>
      <c r="F1820" s="912"/>
      <c r="G1820" s="908" t="s">
        <v>2094</v>
      </c>
      <c r="H1820" s="909" t="s">
        <v>2095</v>
      </c>
      <c r="I1820" s="910" t="e">
        <f>VLOOKUP(H1815,'LƯƠNG KT'!$D$16:$Z$184,19,0)</f>
        <v>#N/A</v>
      </c>
      <c r="J1820" s="609" t="e">
        <f>+I1820*$L$8</f>
        <v>#N/A</v>
      </c>
      <c r="K1820" s="935"/>
      <c r="L1820" s="935"/>
      <c r="M1820" s="935"/>
      <c r="N1820" s="935"/>
      <c r="O1820" s="935"/>
    </row>
    <row r="1821" spans="1:15" ht="15" customHeight="1">
      <c r="A1821" s="908" t="s">
        <v>2096</v>
      </c>
      <c r="B1821" s="913" t="s">
        <v>2097</v>
      </c>
      <c r="C1821" s="910" t="e">
        <f>VLOOKUP(B1815,'LƯƠNG KT'!$D$16:$Z$184,20,0)</f>
        <v>#N/A</v>
      </c>
      <c r="D1821" s="609" t="e">
        <f>+C1821*$L$9</f>
        <v>#N/A</v>
      </c>
      <c r="E1821" s="912"/>
      <c r="F1821" s="912"/>
      <c r="G1821" s="908" t="s">
        <v>2096</v>
      </c>
      <c r="H1821" s="913" t="s">
        <v>2097</v>
      </c>
      <c r="I1821" s="910" t="e">
        <f>VLOOKUP(H1815,'LƯƠNG KT'!$D$16:$Z$184,20,0)</f>
        <v>#N/A</v>
      </c>
      <c r="J1821" s="609" t="e">
        <f>+I1821*$L$9</f>
        <v>#N/A</v>
      </c>
      <c r="K1821" s="935"/>
      <c r="L1821" s="935"/>
      <c r="M1821" s="935"/>
      <c r="N1821" s="935"/>
      <c r="O1821" s="935"/>
    </row>
    <row r="1822" spans="1:15" ht="15" customHeight="1">
      <c r="A1822" s="908" t="s">
        <v>2099</v>
      </c>
      <c r="B1822" s="909" t="s">
        <v>2100</v>
      </c>
      <c r="C1822" s="910" t="e">
        <f>VLOOKUP(B1815,'LƯƠNG KT'!$D$16:$Z$184,17,0)</f>
        <v>#N/A</v>
      </c>
      <c r="D1822" s="609" t="e">
        <f>+C1822*$L$10</f>
        <v>#N/A</v>
      </c>
      <c r="E1822" s="912"/>
      <c r="F1822" s="912"/>
      <c r="G1822" s="908" t="s">
        <v>2099</v>
      </c>
      <c r="H1822" s="909" t="s">
        <v>2100</v>
      </c>
      <c r="I1822" s="910" t="e">
        <f>VLOOKUP(H1815,'LƯƠNG KT'!$D$16:$Z$184,17,0)</f>
        <v>#N/A</v>
      </c>
      <c r="J1822" s="609" t="e">
        <f>+I1822*$L$10</f>
        <v>#N/A</v>
      </c>
      <c r="K1822" s="935"/>
      <c r="L1822" s="935"/>
      <c r="M1822" s="935"/>
      <c r="N1822" s="935"/>
      <c r="O1822" s="935"/>
    </row>
    <row r="1823" spans="1:15" ht="15" customHeight="1">
      <c r="A1823" s="908" t="s">
        <v>374</v>
      </c>
      <c r="B1823" s="909" t="s">
        <v>2102</v>
      </c>
      <c r="C1823" s="910" t="e">
        <f>VLOOKUP(B1815,'LƯƠNG KT'!$D$16:$Z$184,12,0)</f>
        <v>#N/A</v>
      </c>
      <c r="D1823" s="609" t="e">
        <f>VLOOKUP(B1815,'LƯƠNG KT'!$D$16:$Z$184,14,0)</f>
        <v>#N/A</v>
      </c>
      <c r="E1823" s="914"/>
      <c r="F1823" s="912"/>
      <c r="G1823" s="908" t="s">
        <v>374</v>
      </c>
      <c r="H1823" s="909" t="s">
        <v>2102</v>
      </c>
      <c r="I1823" s="910" t="e">
        <f>VLOOKUP(H1815,'LƯƠNG KT'!$D$16:$Z$184,12,0)</f>
        <v>#N/A</v>
      </c>
      <c r="J1823" s="609" t="e">
        <f>VLOOKUP(H1815,'LƯƠNG KT'!$D$16:$Z$184,14,0)</f>
        <v>#N/A</v>
      </c>
      <c r="K1823" s="935"/>
      <c r="L1823" s="935"/>
      <c r="M1823" s="935"/>
      <c r="N1823" s="935"/>
      <c r="O1823" s="935"/>
    </row>
    <row r="1824" spans="1:15" ht="15" customHeight="1">
      <c r="A1824" s="908" t="s">
        <v>2103</v>
      </c>
      <c r="B1824" s="909" t="s">
        <v>2104</v>
      </c>
      <c r="D1824" s="915" t="e">
        <f>VLOOKUP(B1815,'LƯƠNG KT'!$D$16:$Z$184,13,0)</f>
        <v>#N/A</v>
      </c>
      <c r="E1824" s="916"/>
      <c r="F1824" s="916"/>
      <c r="G1824" s="908" t="s">
        <v>2103</v>
      </c>
      <c r="H1824" s="909" t="s">
        <v>2104</v>
      </c>
      <c r="J1824" s="915" t="e">
        <f>VLOOKUP(H1815,'LƯƠNG KT'!$D$16:$Z$184,13,0)</f>
        <v>#N/A</v>
      </c>
    </row>
    <row r="1825" spans="1:15" ht="15" customHeight="1">
      <c r="A1825" s="547"/>
      <c r="B1825" s="546"/>
      <c r="C1825" s="910"/>
      <c r="D1825" s="609"/>
      <c r="E1825" s="914"/>
      <c r="F1825" s="916"/>
      <c r="G1825" s="547"/>
      <c r="H1825" s="546"/>
      <c r="I1825" s="910"/>
      <c r="J1825" s="609"/>
    </row>
    <row r="1826" spans="1:15" ht="15" customHeight="1">
      <c r="A1826" s="905"/>
      <c r="B1826" s="546"/>
      <c r="C1826" s="910"/>
      <c r="D1826" s="609"/>
      <c r="E1826" s="917"/>
      <c r="F1826" s="904"/>
      <c r="G1826" s="905"/>
      <c r="H1826" s="546"/>
      <c r="I1826" s="910"/>
      <c r="J1826" s="609"/>
    </row>
    <row r="1827" spans="1:15" ht="15" customHeight="1">
      <c r="A1827" s="918" t="s">
        <v>383</v>
      </c>
      <c r="B1827" s="919" t="s">
        <v>384</v>
      </c>
      <c r="C1827" s="920"/>
      <c r="D1827" s="921" t="e">
        <f>SUM(D1816:D1823)-D1826</f>
        <v>#N/A</v>
      </c>
      <c r="E1827" s="922"/>
      <c r="F1827" s="923"/>
      <c r="G1827" s="918" t="s">
        <v>383</v>
      </c>
      <c r="H1827" s="919" t="s">
        <v>384</v>
      </c>
      <c r="I1827" s="920"/>
      <c r="J1827" s="921" t="e">
        <f>SUM(J1816:J1823)-J1826</f>
        <v>#N/A</v>
      </c>
    </row>
    <row r="1828" spans="1:15" ht="15.75" customHeight="1">
      <c r="A1828" s="924"/>
      <c r="B1828" s="925"/>
      <c r="C1828" s="926"/>
      <c r="D1828" s="927"/>
      <c r="E1828" s="927"/>
      <c r="F1828" s="928"/>
      <c r="G1828" s="924"/>
      <c r="H1828" s="925"/>
      <c r="I1828" s="926"/>
      <c r="J1828" s="927"/>
    </row>
    <row r="1830" spans="1:15" ht="12" customHeight="1">
      <c r="A1830" s="2361"/>
      <c r="B1830" s="2361"/>
      <c r="C1830" s="2361"/>
      <c r="D1830" s="2361"/>
      <c r="E1830" s="2361"/>
      <c r="F1830" s="2361"/>
      <c r="G1830" s="2361"/>
      <c r="H1830" s="2361"/>
      <c r="I1830" s="2361"/>
      <c r="J1830" s="2361"/>
    </row>
    <row r="1831" spans="1:15" ht="15" customHeight="1">
      <c r="A1831" s="2360" t="str">
        <f>$K$2</f>
        <v>THÁNG 04/2025</v>
      </c>
      <c r="B1831" s="2360"/>
      <c r="C1831" s="2360"/>
      <c r="D1831" s="2360"/>
      <c r="E1831" s="903"/>
      <c r="F1831" s="904"/>
      <c r="G1831" s="2360" t="str">
        <f>$K$2</f>
        <v>THÁNG 04/2025</v>
      </c>
      <c r="H1831" s="2360"/>
      <c r="I1831" s="2360"/>
      <c r="J1831" s="2360"/>
      <c r="K1831" s="276"/>
    </row>
    <row r="1832" spans="1:15" ht="15" customHeight="1">
      <c r="A1832" s="905" t="s">
        <v>356</v>
      </c>
      <c r="B1832" s="642" t="s">
        <v>120</v>
      </c>
      <c r="C1832" s="546"/>
      <c r="D1832" s="902"/>
      <c r="E1832" s="906"/>
      <c r="F1832" s="907"/>
      <c r="G1832" s="905" t="s">
        <v>356</v>
      </c>
      <c r="H1832" s="642" t="s">
        <v>121</v>
      </c>
      <c r="I1832" s="546"/>
      <c r="J1832" s="902"/>
      <c r="L1832" s="938"/>
      <c r="M1832" s="938"/>
      <c r="N1832" s="938"/>
      <c r="O1832" s="938"/>
    </row>
    <row r="1833" spans="1:15" ht="15" customHeight="1">
      <c r="A1833" s="908" t="s">
        <v>359</v>
      </c>
      <c r="B1833" s="909" t="s">
        <v>2090</v>
      </c>
      <c r="C1833" s="910" t="e">
        <f>VLOOKUP(B1832,'LƯƠNG KT'!$D$16:$Z$184,4,0)</f>
        <v>#N/A</v>
      </c>
      <c r="D1833" s="609" t="e">
        <f>+C1833*25000</f>
        <v>#N/A</v>
      </c>
      <c r="E1833" s="911"/>
      <c r="F1833" s="911"/>
      <c r="G1833" s="908" t="s">
        <v>359</v>
      </c>
      <c r="H1833" s="909" t="s">
        <v>2090</v>
      </c>
      <c r="I1833" s="910" t="e">
        <f>VLOOKUP(H1832,'LƯƠNG KT'!$D$16:$Z$184,4,0)</f>
        <v>#N/A</v>
      </c>
      <c r="J1833" s="609" t="e">
        <f>+I1833*25000</f>
        <v>#N/A</v>
      </c>
      <c r="K1833" s="934"/>
      <c r="L1833" s="935"/>
      <c r="M1833" s="935"/>
      <c r="N1833" s="935"/>
      <c r="O1833" s="935"/>
    </row>
    <row r="1834" spans="1:15" ht="15" customHeight="1">
      <c r="A1834" s="908" t="s">
        <v>361</v>
      </c>
      <c r="B1834" s="909" t="s">
        <v>2091</v>
      </c>
      <c r="C1834" s="910" t="e">
        <f>VLOOKUP(B1832,'LƯƠNG KT'!$D$16:$Z$184,15,0)</f>
        <v>#N/A</v>
      </c>
      <c r="D1834" s="609" t="e">
        <f>C1834*$L$4</f>
        <v>#N/A</v>
      </c>
      <c r="E1834" s="912"/>
      <c r="F1834" s="912"/>
      <c r="G1834" s="908" t="s">
        <v>361</v>
      </c>
      <c r="H1834" s="909" t="s">
        <v>2091</v>
      </c>
      <c r="I1834" s="910" t="e">
        <f>VLOOKUP(H1832,'LƯƠNG KT'!$D$16:$Z$184,15,0)</f>
        <v>#N/A</v>
      </c>
      <c r="J1834" s="609" t="e">
        <f>I1834*$L$4</f>
        <v>#N/A</v>
      </c>
      <c r="K1834" s="934"/>
      <c r="L1834" s="935"/>
      <c r="M1834" s="935"/>
      <c r="N1834" s="935"/>
      <c r="O1834" s="935"/>
    </row>
    <row r="1835" spans="1:15" ht="15" customHeight="1">
      <c r="A1835" s="908" t="s">
        <v>364</v>
      </c>
      <c r="B1835" s="909" t="s">
        <v>2092</v>
      </c>
      <c r="C1835" s="910" t="e">
        <f>VLOOKUP(B1832,'LƯƠNG KT'!$D$16:$Z$184,16,0)</f>
        <v>#N/A</v>
      </c>
      <c r="D1835" s="609" t="e">
        <f>C1835*$L$5</f>
        <v>#N/A</v>
      </c>
      <c r="E1835" s="912"/>
      <c r="F1835" s="912"/>
      <c r="G1835" s="908" t="s">
        <v>364</v>
      </c>
      <c r="H1835" s="909" t="s">
        <v>2092</v>
      </c>
      <c r="I1835" s="910" t="e">
        <f>VLOOKUP(H1832,'LƯƠNG KT'!$D$16:$Z$184,16,0)</f>
        <v>#N/A</v>
      </c>
      <c r="J1835" s="609" t="e">
        <f>I1835*$L$5</f>
        <v>#N/A</v>
      </c>
      <c r="K1835" s="934"/>
      <c r="L1835" s="935"/>
      <c r="M1835" s="935"/>
      <c r="N1835" s="935"/>
      <c r="O1835" s="935"/>
    </row>
    <row r="1836" spans="1:15" ht="15" customHeight="1">
      <c r="A1836" s="908" t="s">
        <v>370</v>
      </c>
      <c r="B1836" s="909" t="s">
        <v>2093</v>
      </c>
      <c r="C1836" s="910" t="e">
        <f>VLOOKUP(B1832,'LƯƠNG KT'!$D$16:$Z$184,24,0)</f>
        <v>#N/A</v>
      </c>
      <c r="D1836" s="609" t="e">
        <f>+C1836*$L$6</f>
        <v>#N/A</v>
      </c>
      <c r="E1836" s="912"/>
      <c r="F1836" s="912"/>
      <c r="G1836" s="908" t="s">
        <v>370</v>
      </c>
      <c r="H1836" s="909" t="s">
        <v>2093</v>
      </c>
      <c r="I1836" s="910" t="e">
        <f>VLOOKUP(H1832,'LƯƠNG KT'!$D$16:$Z$184,24,0)</f>
        <v>#N/A</v>
      </c>
      <c r="J1836" s="609" t="e">
        <f>+I1836*$L$6</f>
        <v>#N/A</v>
      </c>
      <c r="K1836" s="935"/>
      <c r="L1836" s="935"/>
      <c r="M1836" s="935"/>
      <c r="N1836" s="935"/>
      <c r="O1836" s="935"/>
    </row>
    <row r="1837" spans="1:15" ht="15" customHeight="1">
      <c r="A1837" s="908" t="s">
        <v>2094</v>
      </c>
      <c r="B1837" s="909" t="s">
        <v>2095</v>
      </c>
      <c r="C1837" s="910" t="e">
        <f>VLOOKUP(B1832,'LƯƠNG KT'!$D$16:$Z$184,19,0)</f>
        <v>#N/A</v>
      </c>
      <c r="D1837" s="609" t="e">
        <f>+C1837*$L$8</f>
        <v>#N/A</v>
      </c>
      <c r="E1837" s="912"/>
      <c r="F1837" s="912"/>
      <c r="G1837" s="908" t="s">
        <v>2094</v>
      </c>
      <c r="H1837" s="909" t="s">
        <v>2095</v>
      </c>
      <c r="I1837" s="910" t="e">
        <f>VLOOKUP(H1832,'LƯƠNG KT'!$D$16:$Z$184,19,0)</f>
        <v>#N/A</v>
      </c>
      <c r="J1837" s="609" t="e">
        <f>+I1837*$L$8</f>
        <v>#N/A</v>
      </c>
      <c r="K1837" s="935"/>
      <c r="L1837" s="935"/>
      <c r="M1837" s="935"/>
      <c r="N1837" s="935"/>
      <c r="O1837" s="935"/>
    </row>
    <row r="1838" spans="1:15" ht="15" customHeight="1">
      <c r="A1838" s="908" t="s">
        <v>2096</v>
      </c>
      <c r="B1838" s="913" t="s">
        <v>2097</v>
      </c>
      <c r="C1838" s="910" t="e">
        <f>VLOOKUP(B1832,'LƯƠNG KT'!$D$16:$Z$184,20,0)</f>
        <v>#N/A</v>
      </c>
      <c r="D1838" s="609" t="e">
        <f>+C1838*$L$9</f>
        <v>#N/A</v>
      </c>
      <c r="E1838" s="912"/>
      <c r="F1838" s="912"/>
      <c r="G1838" s="908" t="s">
        <v>2096</v>
      </c>
      <c r="H1838" s="913" t="s">
        <v>2097</v>
      </c>
      <c r="I1838" s="910" t="e">
        <f>VLOOKUP(H1832,'LƯƠNG KT'!$D$16:$Z$184,20,0)</f>
        <v>#N/A</v>
      </c>
      <c r="J1838" s="609" t="e">
        <f>+I1838*$L$9</f>
        <v>#N/A</v>
      </c>
      <c r="K1838" s="935"/>
      <c r="L1838" s="935"/>
      <c r="M1838" s="935"/>
      <c r="N1838" s="935"/>
      <c r="O1838" s="935"/>
    </row>
    <row r="1839" spans="1:15" ht="15" customHeight="1">
      <c r="A1839" s="908" t="s">
        <v>2099</v>
      </c>
      <c r="B1839" s="909" t="s">
        <v>2100</v>
      </c>
      <c r="C1839" s="910" t="e">
        <f>VLOOKUP(B1832,'LƯƠNG KT'!$D$16:$Z$184,17,0)</f>
        <v>#N/A</v>
      </c>
      <c r="D1839" s="609" t="e">
        <f>+C1839*$L$10</f>
        <v>#N/A</v>
      </c>
      <c r="E1839" s="912"/>
      <c r="F1839" s="912"/>
      <c r="G1839" s="908" t="s">
        <v>2099</v>
      </c>
      <c r="H1839" s="909" t="s">
        <v>2100</v>
      </c>
      <c r="I1839" s="910" t="e">
        <f>VLOOKUP(H1832,'LƯƠNG KT'!$D$16:$Z$184,17,0)</f>
        <v>#N/A</v>
      </c>
      <c r="J1839" s="609" t="e">
        <f>+I1839*$L$10</f>
        <v>#N/A</v>
      </c>
      <c r="K1839" s="935"/>
      <c r="L1839" s="935"/>
      <c r="M1839" s="935"/>
      <c r="N1839" s="935"/>
      <c r="O1839" s="935"/>
    </row>
    <row r="1840" spans="1:15" ht="15" customHeight="1">
      <c r="A1840" s="908" t="s">
        <v>374</v>
      </c>
      <c r="B1840" s="909" t="s">
        <v>2102</v>
      </c>
      <c r="C1840" s="910" t="e">
        <f>VLOOKUP(B1832,'LƯƠNG KT'!$D$16:$Z$184,12,0)</f>
        <v>#N/A</v>
      </c>
      <c r="D1840" s="609" t="e">
        <f>VLOOKUP(B1832,'LƯƠNG KT'!$D$16:$Z$184,14,0)</f>
        <v>#N/A</v>
      </c>
      <c r="E1840" s="914"/>
      <c r="F1840" s="912"/>
      <c r="G1840" s="908" t="s">
        <v>374</v>
      </c>
      <c r="H1840" s="909" t="s">
        <v>2102</v>
      </c>
      <c r="I1840" s="910" t="e">
        <f>VLOOKUP(H1832,'LƯƠNG KT'!$D$16:$Z$184,12,0)</f>
        <v>#N/A</v>
      </c>
      <c r="J1840" s="609" t="e">
        <f>VLOOKUP(H1832,'LƯƠNG KT'!$D$16:$Z$184,14,0)</f>
        <v>#N/A</v>
      </c>
      <c r="K1840" s="935"/>
      <c r="L1840" s="935"/>
      <c r="M1840" s="935"/>
      <c r="N1840" s="935"/>
      <c r="O1840" s="935"/>
    </row>
    <row r="1841" spans="1:15" ht="15" customHeight="1">
      <c r="A1841" s="908" t="s">
        <v>2103</v>
      </c>
      <c r="B1841" s="909" t="s">
        <v>2104</v>
      </c>
      <c r="D1841" s="915" t="e">
        <f>VLOOKUP(B1832,'LƯƠNG KT'!$D$16:$Z$184,13,0)</f>
        <v>#N/A</v>
      </c>
      <c r="E1841" s="916"/>
      <c r="F1841" s="916"/>
      <c r="G1841" s="908" t="s">
        <v>2103</v>
      </c>
      <c r="H1841" s="909" t="s">
        <v>2104</v>
      </c>
      <c r="J1841" s="915" t="e">
        <f>VLOOKUP(H1832,'LƯƠNG KT'!$D$16:$Z$184,13,0)</f>
        <v>#N/A</v>
      </c>
    </row>
    <row r="1842" spans="1:15" ht="15" customHeight="1">
      <c r="A1842" s="547"/>
      <c r="B1842" s="546"/>
      <c r="C1842" s="910"/>
      <c r="D1842" s="609"/>
      <c r="E1842" s="914"/>
      <c r="F1842" s="916"/>
      <c r="G1842" s="547"/>
      <c r="H1842" s="546"/>
      <c r="I1842" s="910"/>
      <c r="J1842" s="609"/>
    </row>
    <row r="1843" spans="1:15" ht="15" customHeight="1">
      <c r="A1843" s="905"/>
      <c r="B1843" s="546"/>
      <c r="C1843" s="910"/>
      <c r="D1843" s="609"/>
      <c r="E1843" s="917"/>
      <c r="F1843" s="904"/>
      <c r="G1843" s="905"/>
      <c r="H1843" s="546"/>
      <c r="I1843" s="910"/>
      <c r="J1843" s="609"/>
    </row>
    <row r="1844" spans="1:15" ht="15" customHeight="1">
      <c r="A1844" s="918" t="s">
        <v>383</v>
      </c>
      <c r="B1844" s="919" t="s">
        <v>384</v>
      </c>
      <c r="C1844" s="920"/>
      <c r="D1844" s="921" t="e">
        <f>SUM(D1833:D1840)-D1843</f>
        <v>#N/A</v>
      </c>
      <c r="E1844" s="922"/>
      <c r="F1844" s="923"/>
      <c r="G1844" s="918" t="s">
        <v>383</v>
      </c>
      <c r="H1844" s="919" t="s">
        <v>384</v>
      </c>
      <c r="I1844" s="920"/>
      <c r="J1844" s="921" t="e">
        <f>SUM(J1833:J1840)-J1843</f>
        <v>#N/A</v>
      </c>
    </row>
    <row r="1845" spans="1:15" ht="12.6" customHeight="1">
      <c r="A1845" s="924"/>
      <c r="B1845" s="925"/>
      <c r="C1845" s="926"/>
      <c r="D1845" s="927"/>
      <c r="E1845" s="927"/>
      <c r="F1845" s="928"/>
      <c r="G1845" s="924"/>
      <c r="H1845" s="925"/>
      <c r="I1845" s="926"/>
      <c r="J1845" s="927"/>
    </row>
    <row r="1846" spans="1:15" ht="134.25" customHeight="1">
      <c r="A1846" s="925"/>
      <c r="B1846" s="925"/>
      <c r="C1846" s="929"/>
      <c r="D1846" s="930"/>
      <c r="E1846" s="925"/>
      <c r="F1846" s="931"/>
      <c r="G1846" s="925"/>
      <c r="H1846" s="925"/>
      <c r="I1846" s="929"/>
      <c r="J1846" s="930"/>
    </row>
    <row r="1847" spans="1:15" ht="15" customHeight="1">
      <c r="A1847" s="2360" t="str">
        <f>$K$2</f>
        <v>THÁNG 04/2025</v>
      </c>
      <c r="B1847" s="2360"/>
      <c r="C1847" s="2360"/>
      <c r="D1847" s="2360"/>
      <c r="E1847" s="903"/>
      <c r="F1847" s="904"/>
      <c r="G1847" s="2360" t="str">
        <f>$K$2</f>
        <v>THÁNG 04/2025</v>
      </c>
      <c r="H1847" s="2360"/>
      <c r="I1847" s="2360"/>
      <c r="J1847" s="2360"/>
      <c r="K1847" s="276"/>
    </row>
    <row r="1848" spans="1:15" ht="15" customHeight="1">
      <c r="A1848" s="905" t="s">
        <v>356</v>
      </c>
      <c r="B1848" s="642" t="s">
        <v>122</v>
      </c>
      <c r="C1848" s="546"/>
      <c r="D1848" s="902"/>
      <c r="E1848" s="906"/>
      <c r="F1848" s="907"/>
      <c r="G1848" s="905" t="s">
        <v>356</v>
      </c>
      <c r="H1848" s="642"/>
      <c r="I1848" s="546"/>
      <c r="J1848" s="902"/>
      <c r="K1848" s="940" t="s">
        <v>502</v>
      </c>
      <c r="L1848" s="940" t="e">
        <f>D1860+D1844+J1844+J1827+D1827+D1811+J1811</f>
        <v>#N/A</v>
      </c>
      <c r="M1848" s="940"/>
      <c r="N1848" s="940"/>
      <c r="O1848" s="940"/>
    </row>
    <row r="1849" spans="1:15" ht="15" customHeight="1">
      <c r="A1849" s="908" t="s">
        <v>359</v>
      </c>
      <c r="B1849" s="909" t="s">
        <v>2090</v>
      </c>
      <c r="C1849" s="910" t="e">
        <f>VLOOKUP(B1848,'LƯƠNG KT'!$D$16:$Z$184,4,0)</f>
        <v>#N/A</v>
      </c>
      <c r="D1849" s="609" t="e">
        <f>+C1849*25000</f>
        <v>#N/A</v>
      </c>
      <c r="E1849" s="911"/>
      <c r="F1849" s="911"/>
      <c r="G1849" s="908" t="s">
        <v>359</v>
      </c>
      <c r="H1849" s="909" t="s">
        <v>2090</v>
      </c>
      <c r="I1849" s="910" t="e">
        <f>VLOOKUP(H1848,'LƯƠNG KT'!$D$16:$Z$184,4,0)</f>
        <v>#N/A</v>
      </c>
      <c r="J1849" s="609" t="e">
        <f>+I1849*25000</f>
        <v>#N/A</v>
      </c>
      <c r="K1849" s="935"/>
      <c r="L1849" s="935"/>
      <c r="M1849" s="935"/>
      <c r="N1849" s="935"/>
      <c r="O1849" s="935"/>
    </row>
    <row r="1850" spans="1:15" ht="15" customHeight="1">
      <c r="A1850" s="908" t="s">
        <v>361</v>
      </c>
      <c r="B1850" s="909" t="s">
        <v>2091</v>
      </c>
      <c r="C1850" s="910" t="e">
        <f>VLOOKUP(B1848,'LƯƠNG KT'!$D$16:$Z$184,15,0)</f>
        <v>#N/A</v>
      </c>
      <c r="D1850" s="609" t="e">
        <f>C1850*$L$4</f>
        <v>#N/A</v>
      </c>
      <c r="E1850" s="912"/>
      <c r="F1850" s="912"/>
      <c r="G1850" s="908" t="s">
        <v>361</v>
      </c>
      <c r="H1850" s="909" t="s">
        <v>2091</v>
      </c>
      <c r="I1850" s="910" t="e">
        <f>VLOOKUP(H1848,'LƯƠNG KT'!$D$16:$Z$184,15,0)</f>
        <v>#N/A</v>
      </c>
      <c r="J1850" s="609" t="e">
        <f>I1850*$L$4</f>
        <v>#N/A</v>
      </c>
      <c r="K1850" s="935"/>
      <c r="L1850" s="935" t="e">
        <f>+L1848+L1793+M1692</f>
        <v>#N/A</v>
      </c>
      <c r="M1850" s="935"/>
      <c r="N1850" s="935"/>
      <c r="O1850" s="935"/>
    </row>
    <row r="1851" spans="1:15" ht="15" customHeight="1">
      <c r="A1851" s="908" t="s">
        <v>364</v>
      </c>
      <c r="B1851" s="909" t="s">
        <v>2092</v>
      </c>
      <c r="C1851" s="910" t="e">
        <f>VLOOKUP(B1848,'LƯƠNG KT'!$D$16:$Z$184,16,0)</f>
        <v>#N/A</v>
      </c>
      <c r="D1851" s="609" t="e">
        <f>C1851*$L$5</f>
        <v>#N/A</v>
      </c>
      <c r="E1851" s="912"/>
      <c r="F1851" s="912"/>
      <c r="G1851" s="908" t="s">
        <v>364</v>
      </c>
      <c r="H1851" s="909" t="s">
        <v>2092</v>
      </c>
      <c r="I1851" s="910" t="e">
        <f>VLOOKUP(H1848,'LƯƠNG KT'!$D$16:$Z$184,16,0)</f>
        <v>#N/A</v>
      </c>
      <c r="J1851" s="609" t="e">
        <f>I1851*$L$5</f>
        <v>#N/A</v>
      </c>
      <c r="K1851" s="935"/>
      <c r="L1851" s="935"/>
      <c r="M1851" s="935"/>
      <c r="N1851" s="935"/>
      <c r="O1851" s="935"/>
    </row>
    <row r="1852" spans="1:15" ht="15" customHeight="1">
      <c r="A1852" s="908" t="s">
        <v>370</v>
      </c>
      <c r="B1852" s="909" t="s">
        <v>2093</v>
      </c>
      <c r="C1852" s="910" t="e">
        <f>VLOOKUP(B1848,'LƯƠNG KT'!$D$16:$Z$184,24,0)</f>
        <v>#N/A</v>
      </c>
      <c r="D1852" s="609" t="e">
        <f>+C1852*$L$6</f>
        <v>#N/A</v>
      </c>
      <c r="E1852" s="912"/>
      <c r="F1852" s="912"/>
      <c r="G1852" s="908" t="s">
        <v>370</v>
      </c>
      <c r="H1852" s="909" t="s">
        <v>2093</v>
      </c>
      <c r="I1852" s="910" t="e">
        <f>VLOOKUP(H1848,'LƯƠNG KT'!$D$16:$Z$184,24,0)</f>
        <v>#N/A</v>
      </c>
      <c r="J1852" s="609" t="e">
        <f>+I1852*$L$6</f>
        <v>#N/A</v>
      </c>
      <c r="K1852" s="935"/>
      <c r="L1852" s="935"/>
      <c r="M1852" s="935"/>
      <c r="N1852" s="935"/>
      <c r="O1852" s="935"/>
    </row>
    <row r="1853" spans="1:15" ht="15" customHeight="1">
      <c r="A1853" s="908" t="s">
        <v>2094</v>
      </c>
      <c r="B1853" s="909" t="s">
        <v>2095</v>
      </c>
      <c r="C1853" s="910" t="e">
        <f>VLOOKUP(B1848,'LƯƠNG KT'!$D$16:$Z$184,19,0)</f>
        <v>#N/A</v>
      </c>
      <c r="D1853" s="609" t="e">
        <f>+C1853*$L$8</f>
        <v>#N/A</v>
      </c>
      <c r="E1853" s="912"/>
      <c r="F1853" s="912"/>
      <c r="G1853" s="908" t="s">
        <v>2094</v>
      </c>
      <c r="H1853" s="909" t="s">
        <v>2095</v>
      </c>
      <c r="I1853" s="910" t="e">
        <f>VLOOKUP(H1848,'LƯƠNG KT'!$D$16:$Z$184,19,0)</f>
        <v>#N/A</v>
      </c>
      <c r="J1853" s="609" t="e">
        <f>+I1853*$L$8</f>
        <v>#N/A</v>
      </c>
      <c r="K1853" s="935"/>
      <c r="L1853" s="935"/>
      <c r="M1853" s="935"/>
      <c r="N1853" s="935"/>
      <c r="O1853" s="935"/>
    </row>
    <row r="1854" spans="1:15" ht="15" customHeight="1">
      <c r="A1854" s="908" t="s">
        <v>2096</v>
      </c>
      <c r="B1854" s="913" t="s">
        <v>2097</v>
      </c>
      <c r="C1854" s="910" t="e">
        <f>VLOOKUP(B1848,'LƯƠNG KT'!$D$16:$Z$184,20,0)</f>
        <v>#N/A</v>
      </c>
      <c r="D1854" s="609" t="e">
        <f>+C1854*$L$9</f>
        <v>#N/A</v>
      </c>
      <c r="E1854" s="912"/>
      <c r="F1854" s="912"/>
      <c r="G1854" s="908" t="s">
        <v>2096</v>
      </c>
      <c r="H1854" s="913" t="s">
        <v>2097</v>
      </c>
      <c r="I1854" s="910" t="e">
        <f>VLOOKUP(H1848,'LƯƠNG KT'!$D$16:$Z$184,20,0)</f>
        <v>#N/A</v>
      </c>
      <c r="J1854" s="609" t="e">
        <f>+I1854*$L$9</f>
        <v>#N/A</v>
      </c>
      <c r="K1854" s="935"/>
      <c r="L1854" s="935"/>
      <c r="M1854" s="935"/>
      <c r="N1854" s="935"/>
      <c r="O1854" s="935"/>
    </row>
    <row r="1855" spans="1:15" ht="15" customHeight="1">
      <c r="A1855" s="908" t="s">
        <v>2099</v>
      </c>
      <c r="B1855" s="909" t="s">
        <v>2100</v>
      </c>
      <c r="C1855" s="910" t="e">
        <f>VLOOKUP(B1848,'LƯƠNG KT'!$D$16:$Z$184,17,0)</f>
        <v>#N/A</v>
      </c>
      <c r="D1855" s="609" t="e">
        <f>+C1855*$L$10</f>
        <v>#N/A</v>
      </c>
      <c r="E1855" s="912"/>
      <c r="F1855" s="912"/>
      <c r="G1855" s="908" t="s">
        <v>2099</v>
      </c>
      <c r="H1855" s="909" t="s">
        <v>2100</v>
      </c>
      <c r="I1855" s="910" t="e">
        <f>VLOOKUP(H1848,'LƯƠNG KT'!$D$16:$Z$184,17,0)</f>
        <v>#N/A</v>
      </c>
      <c r="J1855" s="609" t="e">
        <f>+I1855*$L$10</f>
        <v>#N/A</v>
      </c>
      <c r="K1855" s="935"/>
      <c r="L1855" s="935"/>
      <c r="M1855" s="935"/>
      <c r="N1855" s="935"/>
      <c r="O1855" s="935"/>
    </row>
    <row r="1856" spans="1:15" ht="15" customHeight="1">
      <c r="A1856" s="908" t="s">
        <v>374</v>
      </c>
      <c r="B1856" s="909" t="s">
        <v>2102</v>
      </c>
      <c r="C1856" s="910" t="e">
        <f>VLOOKUP(B1848,'LƯƠNG KT'!$D$16:$Z$184,12,0)</f>
        <v>#N/A</v>
      </c>
      <c r="D1856" s="609" t="e">
        <f>VLOOKUP(B1848,'LƯƠNG KT'!$D$16:$Z$184,14,0)</f>
        <v>#N/A</v>
      </c>
      <c r="E1856" s="914"/>
      <c r="F1856" s="912"/>
      <c r="G1856" s="908" t="s">
        <v>374</v>
      </c>
      <c r="H1856" s="909" t="s">
        <v>2102</v>
      </c>
      <c r="I1856" s="910" t="e">
        <f>VLOOKUP(H1848,'LƯƠNG KT'!$D$16:$Z$184,12,0)</f>
        <v>#N/A</v>
      </c>
      <c r="J1856" s="609" t="e">
        <f>VLOOKUP(H1848,'LƯƠNG KT'!$D$16:$Z$184,14,0)</f>
        <v>#N/A</v>
      </c>
      <c r="K1856" s="935"/>
      <c r="L1856" s="935"/>
      <c r="M1856" s="935"/>
      <c r="N1856" s="935"/>
      <c r="O1856" s="935"/>
    </row>
    <row r="1857" spans="1:15" ht="15" customHeight="1">
      <c r="A1857" s="908" t="s">
        <v>2103</v>
      </c>
      <c r="B1857" s="909" t="s">
        <v>2104</v>
      </c>
      <c r="D1857" s="915" t="e">
        <f>VLOOKUP(B1848,'LƯƠNG KT'!$D$16:$Z$184,13,0)</f>
        <v>#N/A</v>
      </c>
      <c r="E1857" s="916"/>
      <c r="F1857" s="916"/>
      <c r="G1857" s="908" t="s">
        <v>2103</v>
      </c>
      <c r="H1857" s="909" t="s">
        <v>2104</v>
      </c>
      <c r="J1857" s="915" t="e">
        <f>VLOOKUP(H1848,'LƯƠNG KT'!$D$16:$Z$184,13,0)</f>
        <v>#N/A</v>
      </c>
    </row>
    <row r="1858" spans="1:15" ht="15" customHeight="1">
      <c r="A1858" s="547"/>
      <c r="B1858" s="546"/>
      <c r="C1858" s="910"/>
      <c r="D1858" s="609"/>
      <c r="E1858" s="914"/>
      <c r="F1858" s="916"/>
      <c r="G1858" s="547"/>
      <c r="H1858" s="546"/>
      <c r="I1858" s="910"/>
      <c r="J1858" s="609"/>
    </row>
    <row r="1859" spans="1:15" ht="15" customHeight="1">
      <c r="A1859" s="905"/>
      <c r="B1859" s="546"/>
      <c r="C1859" s="910"/>
      <c r="D1859" s="609"/>
      <c r="E1859" s="917"/>
      <c r="F1859" s="904"/>
      <c r="G1859" s="905"/>
      <c r="H1859" s="546"/>
      <c r="I1859" s="910"/>
      <c r="J1859" s="609"/>
    </row>
    <row r="1860" spans="1:15" ht="15" customHeight="1">
      <c r="A1860" s="918" t="s">
        <v>383</v>
      </c>
      <c r="B1860" s="919" t="s">
        <v>384</v>
      </c>
      <c r="C1860" s="920"/>
      <c r="D1860" s="921" t="e">
        <f>SUM(D1849:D1856)-D1859</f>
        <v>#N/A</v>
      </c>
      <c r="E1860" s="922"/>
      <c r="F1860" s="923"/>
      <c r="G1860" s="918" t="s">
        <v>383</v>
      </c>
      <c r="H1860" s="919" t="s">
        <v>384</v>
      </c>
      <c r="I1860" s="920"/>
      <c r="J1860" s="921"/>
    </row>
    <row r="1861" spans="1:15" ht="18.75" customHeight="1">
      <c r="A1861" s="924"/>
      <c r="B1861" s="925"/>
      <c r="C1861" s="926"/>
      <c r="D1861" s="927"/>
      <c r="E1861" s="927"/>
      <c r="F1861" s="928"/>
      <c r="G1861" s="924"/>
      <c r="H1861" s="925"/>
      <c r="I1861" s="926"/>
      <c r="J1861" s="927"/>
    </row>
    <row r="1862" spans="1:15" ht="18.75" customHeight="1">
      <c r="A1862" s="925"/>
      <c r="B1862" s="925"/>
      <c r="C1862" s="929"/>
      <c r="D1862" s="930"/>
      <c r="E1862" s="925"/>
      <c r="F1862" s="931"/>
      <c r="G1862" s="925"/>
      <c r="H1862" s="925"/>
      <c r="I1862" s="929"/>
      <c r="J1862" s="930"/>
    </row>
    <row r="1863" spans="1:15" ht="15" customHeight="1">
      <c r="A1863" s="2360"/>
      <c r="B1863" s="2360"/>
      <c r="C1863" s="2360"/>
      <c r="D1863" s="2360"/>
      <c r="E1863" s="903"/>
      <c r="F1863" s="904"/>
      <c r="G1863" s="2360"/>
      <c r="H1863" s="2360"/>
      <c r="I1863" s="2360"/>
      <c r="J1863" s="2360"/>
      <c r="K1863" s="276"/>
    </row>
    <row r="1864" spans="1:15" ht="15" customHeight="1">
      <c r="A1864" s="905"/>
      <c r="B1864" s="642"/>
      <c r="C1864" s="546"/>
      <c r="D1864" s="902"/>
      <c r="E1864" s="906"/>
      <c r="F1864" s="907"/>
      <c r="G1864" s="905"/>
      <c r="H1864" s="642"/>
      <c r="I1864" s="546"/>
      <c r="J1864" s="902"/>
      <c r="L1864" s="938"/>
      <c r="M1864" s="938"/>
      <c r="N1864" s="938"/>
      <c r="O1864" s="938"/>
    </row>
    <row r="1865" spans="1:15" ht="15" customHeight="1">
      <c r="A1865" s="905"/>
      <c r="B1865" s="939"/>
      <c r="C1865" s="910"/>
      <c r="D1865" s="609"/>
      <c r="E1865" s="911"/>
      <c r="F1865" s="911"/>
      <c r="G1865" s="905"/>
      <c r="H1865" s="939"/>
      <c r="I1865" s="910"/>
      <c r="J1865" s="609"/>
      <c r="K1865" s="935"/>
      <c r="L1865" s="935"/>
      <c r="M1865" s="935"/>
      <c r="N1865" s="935"/>
      <c r="O1865" s="935"/>
    </row>
    <row r="1866" spans="1:15" ht="15" customHeight="1">
      <c r="A1866" s="905"/>
      <c r="B1866" s="546"/>
      <c r="C1866" s="910"/>
      <c r="D1866" s="609"/>
      <c r="E1866" s="912"/>
      <c r="F1866" s="912"/>
      <c r="G1866" s="905"/>
      <c r="H1866" s="546"/>
      <c r="I1866" s="910"/>
      <c r="J1866" s="609"/>
      <c r="K1866" s="935"/>
      <c r="L1866" s="935"/>
      <c r="M1866" s="935"/>
      <c r="N1866" s="935"/>
      <c r="O1866" s="935"/>
    </row>
    <row r="1867" spans="1:15" ht="15" customHeight="1">
      <c r="A1867" s="905"/>
      <c r="B1867" s="546"/>
      <c r="C1867" s="910"/>
      <c r="D1867" s="609"/>
      <c r="E1867" s="912"/>
      <c r="F1867" s="912"/>
      <c r="G1867" s="905"/>
      <c r="H1867" s="546"/>
      <c r="I1867" s="910"/>
      <c r="J1867" s="609"/>
      <c r="K1867" s="935"/>
      <c r="L1867" s="935"/>
      <c r="M1867" s="935"/>
      <c r="N1867" s="935"/>
      <c r="O1867" s="935"/>
    </row>
    <row r="1868" spans="1:15" ht="15" customHeight="1">
      <c r="A1868" s="905"/>
      <c r="B1868" s="546"/>
      <c r="C1868" s="910"/>
      <c r="D1868" s="609"/>
      <c r="E1868" s="912"/>
      <c r="F1868" s="912"/>
      <c r="G1868" s="905"/>
      <c r="H1868" s="546"/>
      <c r="I1868" s="910"/>
      <c r="J1868" s="609"/>
      <c r="K1868" s="935"/>
      <c r="L1868" s="935"/>
      <c r="M1868" s="935"/>
      <c r="N1868" s="935"/>
      <c r="O1868" s="935"/>
    </row>
    <row r="1869" spans="1:15" ht="15" customHeight="1">
      <c r="A1869" s="905"/>
      <c r="B1869" s="546"/>
      <c r="C1869" s="910"/>
      <c r="D1869" s="609"/>
      <c r="E1869" s="912"/>
      <c r="F1869" s="912"/>
      <c r="G1869" s="905"/>
      <c r="H1869" s="546"/>
      <c r="I1869" s="910"/>
      <c r="J1869" s="609"/>
      <c r="K1869" s="935"/>
      <c r="L1869" s="935"/>
      <c r="M1869" s="935"/>
      <c r="N1869" s="935"/>
      <c r="O1869" s="935"/>
    </row>
    <row r="1870" spans="1:15" ht="15" customHeight="1">
      <c r="A1870" s="905"/>
      <c r="B1870" s="546"/>
      <c r="C1870" s="910"/>
      <c r="D1870" s="609"/>
      <c r="E1870" s="914"/>
      <c r="F1870" s="912"/>
      <c r="G1870" s="905"/>
      <c r="H1870" s="546"/>
      <c r="I1870" s="910"/>
      <c r="J1870" s="609"/>
      <c r="K1870" s="935"/>
      <c r="L1870" s="935"/>
      <c r="M1870" s="935"/>
      <c r="N1870" s="935"/>
      <c r="O1870" s="935"/>
    </row>
    <row r="1871" spans="1:15" ht="15" customHeight="1">
      <c r="A1871" s="609"/>
      <c r="B1871" s="546"/>
      <c r="C1871" s="910"/>
      <c r="D1871" s="609"/>
      <c r="E1871" s="916"/>
      <c r="F1871" s="916"/>
      <c r="G1871" s="609"/>
      <c r="H1871" s="546"/>
      <c r="I1871" s="910"/>
      <c r="J1871" s="609"/>
    </row>
    <row r="1872" spans="1:15" ht="15" customHeight="1">
      <c r="A1872" s="547"/>
      <c r="B1872" s="546"/>
      <c r="C1872" s="910"/>
      <c r="D1872" s="609"/>
      <c r="E1872" s="914"/>
      <c r="F1872" s="916"/>
      <c r="G1872" s="547"/>
      <c r="H1872" s="546"/>
      <c r="I1872" s="910"/>
      <c r="J1872" s="609"/>
    </row>
    <row r="1873" spans="1:15" ht="15" customHeight="1">
      <c r="A1873" s="905"/>
      <c r="B1873" s="546"/>
      <c r="C1873" s="910"/>
      <c r="D1873" s="609"/>
      <c r="E1873" s="917"/>
      <c r="F1873" s="904"/>
      <c r="G1873" s="905"/>
      <c r="H1873" s="546"/>
      <c r="I1873" s="910"/>
      <c r="J1873" s="609"/>
    </row>
    <row r="1874" spans="1:15" ht="15" customHeight="1">
      <c r="A1874" s="918"/>
      <c r="B1874" s="919"/>
      <c r="C1874" s="920"/>
      <c r="D1874" s="921"/>
      <c r="E1874" s="922"/>
      <c r="F1874" s="923"/>
      <c r="G1874" s="918"/>
      <c r="H1874" s="919"/>
      <c r="I1874" s="920"/>
      <c r="J1874" s="921"/>
    </row>
    <row r="1875" spans="1:15" ht="18.75" customHeight="1">
      <c r="A1875" s="924"/>
      <c r="B1875" s="925"/>
      <c r="C1875" s="926"/>
      <c r="D1875" s="927"/>
      <c r="E1875" s="927"/>
      <c r="F1875" s="928"/>
      <c r="G1875" s="924"/>
      <c r="H1875" s="925"/>
      <c r="I1875" s="926"/>
      <c r="J1875" s="927"/>
    </row>
    <row r="1876" spans="1:15" ht="18.75" customHeight="1">
      <c r="A1876" s="925"/>
      <c r="B1876" s="925"/>
      <c r="C1876" s="929"/>
      <c r="D1876" s="930"/>
      <c r="E1876" s="925"/>
      <c r="F1876" s="931"/>
      <c r="G1876" s="925"/>
      <c r="H1876" s="925"/>
      <c r="I1876" s="929"/>
      <c r="J1876" s="930"/>
    </row>
    <row r="1877" spans="1:15" ht="15" customHeight="1">
      <c r="A1877" s="2360"/>
      <c r="B1877" s="2360"/>
      <c r="C1877" s="2360"/>
      <c r="D1877" s="2360"/>
      <c r="E1877" s="903"/>
      <c r="F1877" s="904"/>
      <c r="G1877" s="2360"/>
      <c r="H1877" s="2360"/>
      <c r="I1877" s="2360"/>
      <c r="J1877" s="2360"/>
      <c r="K1877" s="276"/>
    </row>
    <row r="1878" spans="1:15" ht="15" customHeight="1">
      <c r="A1878" s="905"/>
      <c r="B1878" s="642"/>
      <c r="C1878" s="546"/>
      <c r="D1878" s="902"/>
      <c r="E1878" s="906"/>
      <c r="F1878" s="907"/>
      <c r="G1878" s="905"/>
      <c r="H1878" s="642"/>
      <c r="I1878" s="546"/>
      <c r="J1878" s="902"/>
      <c r="L1878" s="938"/>
      <c r="M1878" s="938"/>
      <c r="N1878" s="938"/>
      <c r="O1878" s="938"/>
    </row>
    <row r="1879" spans="1:15" ht="15" customHeight="1">
      <c r="A1879" s="905"/>
      <c r="B1879" s="939"/>
      <c r="C1879" s="910"/>
      <c r="D1879" s="609"/>
      <c r="E1879" s="911"/>
      <c r="F1879" s="911"/>
      <c r="G1879" s="905"/>
      <c r="H1879" s="939"/>
      <c r="I1879" s="910"/>
      <c r="J1879" s="609"/>
      <c r="K1879" s="935"/>
      <c r="L1879" s="935"/>
      <c r="M1879" s="935"/>
      <c r="N1879" s="935"/>
      <c r="O1879" s="935"/>
    </row>
    <row r="1880" spans="1:15" ht="15" customHeight="1">
      <c r="A1880" s="905"/>
      <c r="B1880" s="546"/>
      <c r="C1880" s="910"/>
      <c r="D1880" s="609"/>
      <c r="E1880" s="912"/>
      <c r="F1880" s="912"/>
      <c r="G1880" s="905"/>
      <c r="H1880" s="546"/>
      <c r="I1880" s="910"/>
      <c r="J1880" s="609"/>
      <c r="K1880" s="935"/>
      <c r="L1880" s="935"/>
      <c r="M1880" s="935"/>
      <c r="N1880" s="935"/>
      <c r="O1880" s="935"/>
    </row>
    <row r="1881" spans="1:15" ht="15" customHeight="1">
      <c r="A1881" s="905"/>
      <c r="B1881" s="546"/>
      <c r="C1881" s="910"/>
      <c r="D1881" s="609"/>
      <c r="E1881" s="912"/>
      <c r="F1881" s="912"/>
      <c r="G1881" s="905"/>
      <c r="H1881" s="546"/>
      <c r="I1881" s="910"/>
      <c r="J1881" s="609"/>
      <c r="K1881" s="935"/>
      <c r="L1881" s="935"/>
      <c r="M1881" s="935"/>
      <c r="N1881" s="935"/>
      <c r="O1881" s="935"/>
    </row>
    <row r="1882" spans="1:15" ht="15" customHeight="1">
      <c r="A1882" s="905"/>
      <c r="B1882" s="546"/>
      <c r="C1882" s="910"/>
      <c r="D1882" s="609"/>
      <c r="E1882" s="912"/>
      <c r="F1882" s="912"/>
      <c r="G1882" s="905"/>
      <c r="H1882" s="546"/>
      <c r="I1882" s="910"/>
      <c r="J1882" s="609"/>
      <c r="K1882" s="935"/>
      <c r="L1882" s="935"/>
      <c r="M1882" s="935"/>
      <c r="N1882" s="935"/>
      <c r="O1882" s="935"/>
    </row>
    <row r="1883" spans="1:15" ht="15" customHeight="1">
      <c r="A1883" s="905"/>
      <c r="B1883" s="546"/>
      <c r="C1883" s="910"/>
      <c r="D1883" s="609"/>
      <c r="E1883" s="912"/>
      <c r="F1883" s="912"/>
      <c r="G1883" s="905"/>
      <c r="H1883" s="546"/>
      <c r="I1883" s="910"/>
      <c r="J1883" s="609"/>
      <c r="K1883" s="935"/>
      <c r="L1883" s="935"/>
      <c r="M1883" s="935"/>
      <c r="N1883" s="935"/>
      <c r="O1883" s="935"/>
    </row>
    <row r="1884" spans="1:15" ht="15" customHeight="1">
      <c r="A1884" s="905"/>
      <c r="B1884" s="546"/>
      <c r="C1884" s="910"/>
      <c r="D1884" s="609"/>
      <c r="E1884" s="914"/>
      <c r="F1884" s="912"/>
      <c r="G1884" s="905"/>
      <c r="H1884" s="546"/>
      <c r="I1884" s="910"/>
      <c r="J1884" s="609"/>
      <c r="K1884" s="935"/>
      <c r="L1884" s="935"/>
      <c r="M1884" s="935"/>
      <c r="N1884" s="935"/>
      <c r="O1884" s="935"/>
    </row>
    <row r="1885" spans="1:15" ht="15" customHeight="1">
      <c r="A1885" s="609"/>
      <c r="B1885" s="546"/>
      <c r="C1885" s="910"/>
      <c r="D1885" s="609"/>
      <c r="E1885" s="916"/>
      <c r="F1885" s="916"/>
      <c r="G1885" s="609"/>
      <c r="H1885" s="546"/>
      <c r="I1885" s="910"/>
      <c r="J1885" s="609"/>
    </row>
    <row r="1886" spans="1:15" ht="15" customHeight="1">
      <c r="A1886" s="547"/>
      <c r="B1886" s="546"/>
      <c r="C1886" s="910"/>
      <c r="D1886" s="609"/>
      <c r="E1886" s="914"/>
      <c r="F1886" s="916"/>
      <c r="G1886" s="547"/>
      <c r="H1886" s="546"/>
      <c r="I1886" s="910"/>
      <c r="J1886" s="609"/>
    </row>
    <row r="1887" spans="1:15" ht="15" customHeight="1">
      <c r="A1887" s="905"/>
      <c r="B1887" s="546"/>
      <c r="C1887" s="910"/>
      <c r="D1887" s="609"/>
      <c r="E1887" s="917"/>
      <c r="F1887" s="904"/>
      <c r="G1887" s="905"/>
      <c r="H1887" s="546"/>
      <c r="I1887" s="910"/>
      <c r="J1887" s="609"/>
    </row>
    <row r="1888" spans="1:15" ht="15" customHeight="1">
      <c r="A1888" s="918"/>
      <c r="B1888" s="919"/>
      <c r="C1888" s="920"/>
      <c r="D1888" s="921"/>
      <c r="E1888" s="922"/>
      <c r="F1888" s="923"/>
      <c r="G1888" s="918"/>
      <c r="H1888" s="919"/>
      <c r="I1888" s="920"/>
      <c r="J1888" s="921"/>
    </row>
    <row r="1889" spans="1:15" ht="15.75" customHeight="1">
      <c r="A1889" s="924"/>
      <c r="B1889" s="925"/>
      <c r="C1889" s="926"/>
      <c r="D1889" s="927"/>
      <c r="E1889" s="927"/>
      <c r="F1889" s="928"/>
      <c r="G1889" s="924"/>
      <c r="H1889" s="925"/>
      <c r="I1889" s="926"/>
      <c r="J1889" s="927"/>
    </row>
    <row r="1890" spans="1:15" ht="137.25" customHeight="1"/>
    <row r="1891" spans="1:15" ht="12" customHeight="1">
      <c r="A1891" s="2362" t="s">
        <v>503</v>
      </c>
      <c r="B1891" s="2362"/>
      <c r="C1891" s="2362"/>
      <c r="D1891" s="2362"/>
      <c r="E1891" s="2362"/>
      <c r="F1891" s="2362"/>
      <c r="G1891" s="2362"/>
      <c r="H1891" s="2362"/>
      <c r="I1891" s="2362"/>
      <c r="J1891" s="2362"/>
    </row>
    <row r="1892" spans="1:15" ht="15" customHeight="1">
      <c r="A1892" s="2360" t="str">
        <f>$K$2</f>
        <v>THÁNG 04/2025</v>
      </c>
      <c r="B1892" s="2360"/>
      <c r="C1892" s="2360"/>
      <c r="D1892" s="2360"/>
      <c r="E1892" s="903"/>
      <c r="F1892" s="904"/>
      <c r="G1892" s="2360" t="str">
        <f>$K$2</f>
        <v>THÁNG 04/2025</v>
      </c>
      <c r="H1892" s="2360"/>
      <c r="I1892" s="2360"/>
      <c r="J1892" s="2360"/>
      <c r="K1892" s="276"/>
    </row>
    <row r="1893" spans="1:15" ht="15" customHeight="1">
      <c r="A1893" s="905" t="s">
        <v>356</v>
      </c>
      <c r="B1893" s="642" t="s">
        <v>124</v>
      </c>
      <c r="C1893" s="546"/>
      <c r="D1893" s="902"/>
      <c r="E1893" s="906"/>
      <c r="F1893" s="907"/>
      <c r="G1893" s="905" t="s">
        <v>356</v>
      </c>
      <c r="H1893" s="642" t="s">
        <v>125</v>
      </c>
      <c r="I1893" s="546"/>
      <c r="J1893" s="902"/>
      <c r="L1893" s="938"/>
      <c r="M1893" s="938"/>
      <c r="N1893" s="938"/>
      <c r="O1893" s="938"/>
    </row>
    <row r="1894" spans="1:15" ht="15" customHeight="1">
      <c r="A1894" s="908" t="s">
        <v>359</v>
      </c>
      <c r="B1894" s="909" t="s">
        <v>2090</v>
      </c>
      <c r="C1894" s="910" t="e">
        <f>VLOOKUP(B1893,'LƯƠNG KT'!$D$16:$Z$184,4,0)</f>
        <v>#N/A</v>
      </c>
      <c r="D1894" s="609" t="e">
        <f>+C1894*25000</f>
        <v>#N/A</v>
      </c>
      <c r="E1894" s="911"/>
      <c r="F1894" s="911"/>
      <c r="G1894" s="908" t="s">
        <v>359</v>
      </c>
      <c r="H1894" s="909" t="s">
        <v>2090</v>
      </c>
      <c r="I1894" s="910" t="e">
        <f>VLOOKUP(H1893,'LƯƠNG KT'!$D$16:$Z$184,4,0)</f>
        <v>#N/A</v>
      </c>
      <c r="J1894" s="609" t="e">
        <f>+I1894*25000</f>
        <v>#N/A</v>
      </c>
      <c r="K1894" s="934"/>
      <c r="L1894" s="935"/>
      <c r="M1894" s="935"/>
      <c r="N1894" s="935"/>
      <c r="O1894" s="935"/>
    </row>
    <row r="1895" spans="1:15" ht="15" customHeight="1">
      <c r="A1895" s="908" t="s">
        <v>361</v>
      </c>
      <c r="B1895" s="909" t="s">
        <v>2091</v>
      </c>
      <c r="C1895" s="910" t="e">
        <f>VLOOKUP(B1893,'LƯƠNG KT'!$D$16:$Z$184,15,0)</f>
        <v>#N/A</v>
      </c>
      <c r="D1895" s="609" t="e">
        <f>C1895*$L$4</f>
        <v>#N/A</v>
      </c>
      <c r="E1895" s="912"/>
      <c r="F1895" s="912"/>
      <c r="G1895" s="908" t="s">
        <v>361</v>
      </c>
      <c r="H1895" s="909" t="s">
        <v>2091</v>
      </c>
      <c r="I1895" s="910" t="e">
        <f>VLOOKUP(H1893,'LƯƠNG KT'!$D$16:$Z$184,15,0)</f>
        <v>#N/A</v>
      </c>
      <c r="J1895" s="609" t="e">
        <f>I1895*$L$4</f>
        <v>#N/A</v>
      </c>
      <c r="K1895" s="934"/>
      <c r="L1895" s="935"/>
      <c r="M1895" s="935"/>
      <c r="N1895" s="935"/>
      <c r="O1895" s="935"/>
    </row>
    <row r="1896" spans="1:15" ht="15" customHeight="1">
      <c r="A1896" s="908" t="s">
        <v>364</v>
      </c>
      <c r="B1896" s="909" t="s">
        <v>2092</v>
      </c>
      <c r="C1896" s="910" t="e">
        <f>VLOOKUP(B1893,'LƯƠNG KT'!$D$16:$Z$184,16,0)</f>
        <v>#N/A</v>
      </c>
      <c r="D1896" s="609" t="e">
        <f>C1896*$L$5</f>
        <v>#N/A</v>
      </c>
      <c r="E1896" s="912"/>
      <c r="F1896" s="912"/>
      <c r="G1896" s="908" t="s">
        <v>364</v>
      </c>
      <c r="H1896" s="909" t="s">
        <v>2092</v>
      </c>
      <c r="I1896" s="910" t="e">
        <f>VLOOKUP(H1893,'LƯƠNG KT'!$D$16:$Z$184,16,0)</f>
        <v>#N/A</v>
      </c>
      <c r="J1896" s="609" t="e">
        <f>I1896*$L$5</f>
        <v>#N/A</v>
      </c>
      <c r="K1896" s="934"/>
      <c r="L1896" s="935"/>
      <c r="M1896" s="935"/>
      <c r="N1896" s="935"/>
      <c r="O1896" s="935"/>
    </row>
    <row r="1897" spans="1:15" ht="15" customHeight="1">
      <c r="A1897" s="908" t="s">
        <v>370</v>
      </c>
      <c r="B1897" s="909" t="s">
        <v>2093</v>
      </c>
      <c r="C1897" s="910" t="e">
        <f>VLOOKUP(B1893,'LƯƠNG KT'!$D$16:$Z$184,24,0)</f>
        <v>#N/A</v>
      </c>
      <c r="D1897" s="609" t="e">
        <f>+C1897*$L$6</f>
        <v>#N/A</v>
      </c>
      <c r="E1897" s="912"/>
      <c r="F1897" s="912"/>
      <c r="G1897" s="908" t="s">
        <v>370</v>
      </c>
      <c r="H1897" s="909" t="s">
        <v>2093</v>
      </c>
      <c r="I1897" s="910" t="e">
        <f>VLOOKUP(H1893,'LƯƠNG KT'!$D$16:$Z$184,24,0)</f>
        <v>#N/A</v>
      </c>
      <c r="J1897" s="609" t="e">
        <f>+I1897*$L$6</f>
        <v>#N/A</v>
      </c>
      <c r="K1897" s="935"/>
      <c r="L1897" s="935"/>
      <c r="M1897" s="935"/>
      <c r="N1897" s="935"/>
      <c r="O1897" s="935"/>
    </row>
    <row r="1898" spans="1:15" ht="15" customHeight="1">
      <c r="A1898" s="908" t="s">
        <v>2094</v>
      </c>
      <c r="B1898" s="909" t="s">
        <v>2095</v>
      </c>
      <c r="C1898" s="910" t="e">
        <f>VLOOKUP(B1893,'LƯƠNG KT'!$D$16:$Z$184,19,0)</f>
        <v>#N/A</v>
      </c>
      <c r="D1898" s="609" t="e">
        <f>+C1898*$L$8</f>
        <v>#N/A</v>
      </c>
      <c r="E1898" s="912"/>
      <c r="F1898" s="912"/>
      <c r="G1898" s="908" t="s">
        <v>2094</v>
      </c>
      <c r="H1898" s="909" t="s">
        <v>2095</v>
      </c>
      <c r="I1898" s="910" t="e">
        <f>VLOOKUP(H1893,'LƯƠNG KT'!$D$16:$Z$184,19,0)</f>
        <v>#N/A</v>
      </c>
      <c r="J1898" s="609" t="e">
        <f>+I1898*$L$8</f>
        <v>#N/A</v>
      </c>
      <c r="K1898" s="935"/>
      <c r="L1898" s="935"/>
      <c r="M1898" s="935"/>
      <c r="N1898" s="935"/>
      <c r="O1898" s="935"/>
    </row>
    <row r="1899" spans="1:15" ht="15" customHeight="1">
      <c r="A1899" s="908" t="s">
        <v>2096</v>
      </c>
      <c r="B1899" s="913" t="s">
        <v>2097</v>
      </c>
      <c r="C1899" s="910" t="e">
        <f>VLOOKUP(B1893,'LƯƠNG KT'!$D$16:$Z$184,20,0)</f>
        <v>#N/A</v>
      </c>
      <c r="D1899" s="609" t="e">
        <f>+C1899*$L$9</f>
        <v>#N/A</v>
      </c>
      <c r="E1899" s="912"/>
      <c r="F1899" s="912"/>
      <c r="G1899" s="908" t="s">
        <v>2096</v>
      </c>
      <c r="H1899" s="913" t="s">
        <v>2097</v>
      </c>
      <c r="I1899" s="910" t="e">
        <f>VLOOKUP(H1893,'LƯƠNG KT'!$D$16:$Z$184,20,0)</f>
        <v>#N/A</v>
      </c>
      <c r="J1899" s="609" t="e">
        <f>+I1899*$L$9</f>
        <v>#N/A</v>
      </c>
      <c r="K1899" s="935"/>
      <c r="L1899" s="935"/>
      <c r="M1899" s="935"/>
      <c r="N1899" s="935"/>
      <c r="O1899" s="935"/>
    </row>
    <row r="1900" spans="1:15" ht="15" customHeight="1">
      <c r="A1900" s="908" t="s">
        <v>2099</v>
      </c>
      <c r="B1900" s="909" t="s">
        <v>2100</v>
      </c>
      <c r="C1900" s="910" t="e">
        <f>VLOOKUP(B1893,'LƯƠNG KT'!$D$16:$Z$184,17,0)</f>
        <v>#N/A</v>
      </c>
      <c r="D1900" s="609" t="e">
        <f>+C1900*$L$10</f>
        <v>#N/A</v>
      </c>
      <c r="E1900" s="912"/>
      <c r="F1900" s="912"/>
      <c r="G1900" s="908" t="s">
        <v>2099</v>
      </c>
      <c r="H1900" s="909" t="s">
        <v>2100</v>
      </c>
      <c r="I1900" s="910" t="e">
        <f>VLOOKUP(H1893,'LƯƠNG KT'!$D$16:$Z$184,17,0)</f>
        <v>#N/A</v>
      </c>
      <c r="J1900" s="609" t="e">
        <f>+I1900*$L$10</f>
        <v>#N/A</v>
      </c>
      <c r="K1900" s="935"/>
      <c r="L1900" s="935"/>
      <c r="M1900" s="935"/>
      <c r="N1900" s="935"/>
      <c r="O1900" s="935"/>
    </row>
    <row r="1901" spans="1:15" ht="15" customHeight="1">
      <c r="A1901" s="908" t="s">
        <v>374</v>
      </c>
      <c r="B1901" s="909" t="s">
        <v>2102</v>
      </c>
      <c r="C1901" s="910" t="e">
        <f>VLOOKUP(B1893,'LƯƠNG KT'!$D$16:$Z$184,12,0)</f>
        <v>#N/A</v>
      </c>
      <c r="D1901" s="609" t="e">
        <f>VLOOKUP(B1893,'LƯƠNG KT'!$D$16:$Z$184,14,0)</f>
        <v>#N/A</v>
      </c>
      <c r="E1901" s="914"/>
      <c r="F1901" s="912"/>
      <c r="G1901" s="908" t="s">
        <v>374</v>
      </c>
      <c r="H1901" s="909" t="s">
        <v>2102</v>
      </c>
      <c r="I1901" s="910" t="e">
        <f>VLOOKUP(H1893,'LƯƠNG KT'!$D$16:$Z$184,12,0)</f>
        <v>#N/A</v>
      </c>
      <c r="J1901" s="609" t="e">
        <f>VLOOKUP(H1893,'LƯƠNG KT'!$D$16:$Z$184,14,0)</f>
        <v>#N/A</v>
      </c>
      <c r="K1901" s="935"/>
      <c r="L1901" s="935"/>
      <c r="M1901" s="935"/>
      <c r="N1901" s="935"/>
      <c r="O1901" s="935"/>
    </row>
    <row r="1902" spans="1:15" ht="15" customHeight="1">
      <c r="A1902" s="908" t="s">
        <v>2103</v>
      </c>
      <c r="B1902" s="909" t="s">
        <v>2104</v>
      </c>
      <c r="D1902" s="915" t="e">
        <f>VLOOKUP(B1893,'LƯƠNG KT'!$D$16:$Z$184,13,0)</f>
        <v>#N/A</v>
      </c>
      <c r="E1902" s="916"/>
      <c r="F1902" s="916"/>
      <c r="G1902" s="908" t="s">
        <v>2103</v>
      </c>
      <c r="H1902" s="909" t="s">
        <v>2104</v>
      </c>
      <c r="J1902" s="915" t="e">
        <f>VLOOKUP(H1893,'LƯƠNG KT'!$D$16:$Z$184,13,0)</f>
        <v>#N/A</v>
      </c>
    </row>
    <row r="1903" spans="1:15" ht="15" customHeight="1">
      <c r="A1903" s="547"/>
      <c r="B1903" s="546"/>
      <c r="C1903" s="910"/>
      <c r="D1903" s="609"/>
      <c r="E1903" s="914"/>
      <c r="F1903" s="916"/>
      <c r="G1903" s="547"/>
      <c r="H1903" s="546"/>
      <c r="I1903" s="910"/>
      <c r="J1903" s="609"/>
    </row>
    <row r="1904" spans="1:15" ht="15" customHeight="1">
      <c r="A1904" s="905"/>
      <c r="B1904" s="546"/>
      <c r="C1904" s="910"/>
      <c r="D1904" s="609"/>
      <c r="E1904" s="917"/>
      <c r="F1904" s="904"/>
      <c r="G1904" s="905"/>
      <c r="H1904" s="546"/>
      <c r="I1904" s="910"/>
      <c r="J1904" s="609"/>
    </row>
    <row r="1905" spans="1:15" ht="15" customHeight="1">
      <c r="A1905" s="918" t="s">
        <v>383</v>
      </c>
      <c r="B1905" s="919" t="s">
        <v>384</v>
      </c>
      <c r="C1905" s="920"/>
      <c r="D1905" s="921" t="e">
        <f>SUM(D1894:D1901)-D1904</f>
        <v>#N/A</v>
      </c>
      <c r="E1905" s="922"/>
      <c r="F1905" s="923"/>
      <c r="G1905" s="918" t="s">
        <v>383</v>
      </c>
      <c r="H1905" s="919" t="s">
        <v>384</v>
      </c>
      <c r="I1905" s="920"/>
      <c r="J1905" s="921" t="e">
        <f>SUM(J1894:J1901)-J1904</f>
        <v>#N/A</v>
      </c>
    </row>
    <row r="1906" spans="1:15" ht="12.6" customHeight="1">
      <c r="A1906" s="924"/>
      <c r="B1906" s="925"/>
      <c r="C1906" s="926"/>
      <c r="D1906" s="927"/>
      <c r="E1906" s="927"/>
      <c r="F1906" s="928"/>
      <c r="G1906" s="924"/>
      <c r="H1906" s="925"/>
      <c r="I1906" s="926"/>
      <c r="J1906" s="927"/>
    </row>
    <row r="1907" spans="1:15" ht="12.6" customHeight="1">
      <c r="A1907" s="925"/>
      <c r="B1907" s="925"/>
      <c r="C1907" s="929"/>
      <c r="D1907" s="930"/>
      <c r="E1907" s="925"/>
      <c r="F1907" s="931"/>
      <c r="G1907" s="925"/>
      <c r="H1907" s="925"/>
      <c r="I1907" s="929"/>
      <c r="J1907" s="930"/>
    </row>
    <row r="1908" spans="1:15" ht="15" customHeight="1">
      <c r="A1908" s="2360" t="str">
        <f>$K$2</f>
        <v>THÁNG 04/2025</v>
      </c>
      <c r="B1908" s="2360"/>
      <c r="C1908" s="2360"/>
      <c r="D1908" s="2360"/>
      <c r="E1908" s="903"/>
      <c r="F1908" s="904"/>
      <c r="G1908" s="2360" t="str">
        <f>$K$2</f>
        <v>THÁNG 04/2025</v>
      </c>
      <c r="H1908" s="2360"/>
      <c r="I1908" s="2360"/>
      <c r="J1908" s="2360"/>
      <c r="K1908" s="276"/>
    </row>
    <row r="1909" spans="1:15" ht="15" customHeight="1">
      <c r="A1909" s="905" t="s">
        <v>356</v>
      </c>
      <c r="B1909" s="642" t="s">
        <v>126</v>
      </c>
      <c r="C1909" s="546"/>
      <c r="D1909" s="902"/>
      <c r="E1909" s="906"/>
      <c r="F1909" s="907"/>
      <c r="G1909" s="905" t="s">
        <v>356</v>
      </c>
      <c r="H1909" s="642" t="s">
        <v>127</v>
      </c>
      <c r="I1909" s="546"/>
      <c r="J1909" s="902"/>
      <c r="L1909" s="938"/>
      <c r="M1909" s="938"/>
      <c r="N1909" s="938"/>
      <c r="O1909" s="938"/>
    </row>
    <row r="1910" spans="1:15" ht="15" customHeight="1">
      <c r="A1910" s="908" t="s">
        <v>359</v>
      </c>
      <c r="B1910" s="909" t="s">
        <v>2090</v>
      </c>
      <c r="C1910" s="910" t="e">
        <f>VLOOKUP(B1909,'LƯƠNG KT'!$D$16:$Z$184,4,0)</f>
        <v>#N/A</v>
      </c>
      <c r="D1910" s="609" t="e">
        <f>+C1910*25000</f>
        <v>#N/A</v>
      </c>
      <c r="E1910" s="911"/>
      <c r="F1910" s="911"/>
      <c r="G1910" s="908" t="s">
        <v>359</v>
      </c>
      <c r="H1910" s="909" t="s">
        <v>2090</v>
      </c>
      <c r="I1910" s="910" t="e">
        <f>VLOOKUP(H1909,'LƯƠNG KT'!$D$16:$Z$184,4,0)</f>
        <v>#N/A</v>
      </c>
      <c r="J1910" s="609" t="e">
        <f>+I1910*25000</f>
        <v>#N/A</v>
      </c>
      <c r="K1910" s="935"/>
      <c r="L1910" s="935"/>
      <c r="M1910" s="935"/>
      <c r="N1910" s="935"/>
      <c r="O1910" s="935"/>
    </row>
    <row r="1911" spans="1:15" ht="15" customHeight="1">
      <c r="A1911" s="908" t="s">
        <v>361</v>
      </c>
      <c r="B1911" s="909" t="s">
        <v>2091</v>
      </c>
      <c r="C1911" s="910" t="e">
        <f>VLOOKUP(B1909,'LƯƠNG KT'!$D$16:$Z$184,15,0)</f>
        <v>#N/A</v>
      </c>
      <c r="D1911" s="609" t="e">
        <f>C1911*$L$4</f>
        <v>#N/A</v>
      </c>
      <c r="E1911" s="912"/>
      <c r="F1911" s="912"/>
      <c r="G1911" s="908" t="s">
        <v>361</v>
      </c>
      <c r="H1911" s="909" t="s">
        <v>2091</v>
      </c>
      <c r="I1911" s="910" t="e">
        <f>VLOOKUP(H1909,'LƯƠNG KT'!$D$16:$Z$184,15,0)</f>
        <v>#N/A</v>
      </c>
      <c r="J1911" s="609" t="e">
        <f>I1911*$L$4</f>
        <v>#N/A</v>
      </c>
      <c r="K1911" s="935"/>
      <c r="L1911" s="935"/>
      <c r="M1911" s="935"/>
      <c r="N1911" s="935"/>
      <c r="O1911" s="935"/>
    </row>
    <row r="1912" spans="1:15" ht="15" customHeight="1">
      <c r="A1912" s="908" t="s">
        <v>364</v>
      </c>
      <c r="B1912" s="909" t="s">
        <v>2092</v>
      </c>
      <c r="C1912" s="910" t="e">
        <f>VLOOKUP(B1909,'LƯƠNG KT'!$D$16:$Z$184,16,0)</f>
        <v>#N/A</v>
      </c>
      <c r="D1912" s="609" t="e">
        <f>C1912*$L$5</f>
        <v>#N/A</v>
      </c>
      <c r="E1912" s="912"/>
      <c r="F1912" s="912"/>
      <c r="G1912" s="908" t="s">
        <v>364</v>
      </c>
      <c r="H1912" s="909" t="s">
        <v>2092</v>
      </c>
      <c r="I1912" s="910" t="e">
        <f>VLOOKUP(H1909,'LƯƠNG KT'!$D$16:$Z$184,16,0)</f>
        <v>#N/A</v>
      </c>
      <c r="J1912" s="609" t="e">
        <f>I1912*$L$5</f>
        <v>#N/A</v>
      </c>
      <c r="K1912" s="935"/>
      <c r="L1912" s="935"/>
      <c r="M1912" s="935"/>
      <c r="N1912" s="935"/>
      <c r="O1912" s="935"/>
    </row>
    <row r="1913" spans="1:15" ht="15" customHeight="1">
      <c r="A1913" s="908" t="s">
        <v>370</v>
      </c>
      <c r="B1913" s="909" t="s">
        <v>2093</v>
      </c>
      <c r="C1913" s="910" t="e">
        <f>VLOOKUP(B1909,'LƯƠNG KT'!$D$16:$Z$184,24,0)</f>
        <v>#N/A</v>
      </c>
      <c r="D1913" s="609" t="e">
        <f>+C1913*$L$6</f>
        <v>#N/A</v>
      </c>
      <c r="E1913" s="912"/>
      <c r="F1913" s="912"/>
      <c r="G1913" s="908" t="s">
        <v>370</v>
      </c>
      <c r="H1913" s="909" t="s">
        <v>2093</v>
      </c>
      <c r="I1913" s="910" t="e">
        <f>VLOOKUP(H1909,'LƯƠNG KT'!$D$16:$Z$184,24,0)</f>
        <v>#N/A</v>
      </c>
      <c r="J1913" s="609" t="e">
        <f>+I1913*$L$6</f>
        <v>#N/A</v>
      </c>
      <c r="K1913" s="935"/>
      <c r="L1913" s="935"/>
      <c r="M1913" s="935"/>
      <c r="N1913" s="935"/>
      <c r="O1913" s="935"/>
    </row>
    <row r="1914" spans="1:15" ht="15" customHeight="1">
      <c r="A1914" s="908" t="s">
        <v>2094</v>
      </c>
      <c r="B1914" s="909" t="s">
        <v>2095</v>
      </c>
      <c r="C1914" s="910" t="e">
        <f>VLOOKUP(B1909,'LƯƠNG KT'!$D$16:$Z$184,19,0)</f>
        <v>#N/A</v>
      </c>
      <c r="D1914" s="609" t="e">
        <f>+C1914*$L$8</f>
        <v>#N/A</v>
      </c>
      <c r="E1914" s="912"/>
      <c r="F1914" s="912"/>
      <c r="G1914" s="908" t="s">
        <v>2094</v>
      </c>
      <c r="H1914" s="909" t="s">
        <v>2095</v>
      </c>
      <c r="I1914" s="910" t="e">
        <f>VLOOKUP(H1909,'LƯƠNG KT'!$D$16:$Z$184,19,0)</f>
        <v>#N/A</v>
      </c>
      <c r="J1914" s="609" t="e">
        <f>+I1914*$L$8</f>
        <v>#N/A</v>
      </c>
      <c r="K1914" s="935"/>
      <c r="L1914" s="935"/>
      <c r="M1914" s="935"/>
      <c r="N1914" s="935"/>
      <c r="O1914" s="935"/>
    </row>
    <row r="1915" spans="1:15" ht="15" customHeight="1">
      <c r="A1915" s="908" t="s">
        <v>2096</v>
      </c>
      <c r="B1915" s="913" t="s">
        <v>2097</v>
      </c>
      <c r="C1915" s="910" t="e">
        <f>VLOOKUP(B1909,'LƯƠNG KT'!$D$16:$Z$184,20,0)</f>
        <v>#N/A</v>
      </c>
      <c r="D1915" s="609" t="e">
        <f>+C1915*$L$9</f>
        <v>#N/A</v>
      </c>
      <c r="E1915" s="912"/>
      <c r="F1915" s="912"/>
      <c r="G1915" s="908" t="s">
        <v>2096</v>
      </c>
      <c r="H1915" s="913" t="s">
        <v>2097</v>
      </c>
      <c r="I1915" s="910" t="e">
        <f>VLOOKUP(H1909,'LƯƠNG KT'!$D$16:$Z$184,20,0)</f>
        <v>#N/A</v>
      </c>
      <c r="J1915" s="609" t="e">
        <f>+I1915*$L$9</f>
        <v>#N/A</v>
      </c>
      <c r="K1915" s="935"/>
      <c r="L1915" s="935"/>
      <c r="M1915" s="935"/>
      <c r="N1915" s="935"/>
      <c r="O1915" s="935"/>
    </row>
    <row r="1916" spans="1:15" ht="15" customHeight="1">
      <c r="A1916" s="908" t="s">
        <v>2099</v>
      </c>
      <c r="B1916" s="909" t="s">
        <v>2100</v>
      </c>
      <c r="C1916" s="910" t="e">
        <f>VLOOKUP(B1909,'LƯƠNG KT'!$D$16:$Z$184,17,0)</f>
        <v>#N/A</v>
      </c>
      <c r="D1916" s="609" t="e">
        <f>+C1916*$L$10</f>
        <v>#N/A</v>
      </c>
      <c r="E1916" s="912"/>
      <c r="F1916" s="912"/>
      <c r="G1916" s="908" t="s">
        <v>2099</v>
      </c>
      <c r="H1916" s="909" t="s">
        <v>2100</v>
      </c>
      <c r="I1916" s="910" t="e">
        <f>VLOOKUP(H1909,'LƯƠNG KT'!$D$16:$Z$184,17,0)</f>
        <v>#N/A</v>
      </c>
      <c r="J1916" s="609" t="e">
        <f>+I1916*$L$10</f>
        <v>#N/A</v>
      </c>
      <c r="K1916" s="935"/>
      <c r="L1916" s="935"/>
      <c r="M1916" s="935"/>
      <c r="N1916" s="935"/>
      <c r="O1916" s="935"/>
    </row>
    <row r="1917" spans="1:15" ht="15" customHeight="1">
      <c r="A1917" s="908" t="s">
        <v>374</v>
      </c>
      <c r="B1917" s="909" t="s">
        <v>2102</v>
      </c>
      <c r="C1917" s="910" t="e">
        <f>VLOOKUP(B1909,'LƯƠNG KT'!$D$16:$Z$184,12,0)</f>
        <v>#N/A</v>
      </c>
      <c r="D1917" s="609" t="e">
        <f>VLOOKUP(B1909,'LƯƠNG KT'!$D$16:$Z$184,14,0)</f>
        <v>#N/A</v>
      </c>
      <c r="E1917" s="914"/>
      <c r="F1917" s="912"/>
      <c r="G1917" s="908" t="s">
        <v>374</v>
      </c>
      <c r="H1917" s="909" t="s">
        <v>2102</v>
      </c>
      <c r="I1917" s="910" t="e">
        <f>VLOOKUP(H1909,'LƯƠNG KT'!$D$16:$Z$184,12,0)</f>
        <v>#N/A</v>
      </c>
      <c r="J1917" s="609" t="e">
        <f>VLOOKUP(H1909,'LƯƠNG KT'!$D$16:$Z$184,14,0)</f>
        <v>#N/A</v>
      </c>
      <c r="K1917" s="935"/>
      <c r="L1917" s="935"/>
      <c r="M1917" s="935"/>
      <c r="N1917" s="935"/>
      <c r="O1917" s="935"/>
    </row>
    <row r="1918" spans="1:15" ht="15" customHeight="1">
      <c r="A1918" s="908" t="s">
        <v>2103</v>
      </c>
      <c r="B1918" s="909" t="s">
        <v>2104</v>
      </c>
      <c r="D1918" s="915" t="e">
        <f>VLOOKUP(B1909,'LƯƠNG KT'!$D$16:$Z$184,13,0)</f>
        <v>#N/A</v>
      </c>
      <c r="E1918" s="916"/>
      <c r="F1918" s="916"/>
      <c r="G1918" s="908" t="s">
        <v>2103</v>
      </c>
      <c r="H1918" s="909" t="s">
        <v>2104</v>
      </c>
      <c r="J1918" s="915" t="e">
        <f>VLOOKUP(H1909,'LƯƠNG KT'!$D$16:$Z$184,13,0)</f>
        <v>#N/A</v>
      </c>
    </row>
    <row r="1919" spans="1:15" ht="15" customHeight="1">
      <c r="A1919" s="547"/>
      <c r="B1919" s="546"/>
      <c r="C1919" s="910"/>
      <c r="D1919" s="609"/>
      <c r="E1919" s="914"/>
      <c r="F1919" s="916"/>
      <c r="G1919" s="547"/>
      <c r="H1919" s="546"/>
      <c r="I1919" s="910"/>
      <c r="J1919" s="609"/>
    </row>
    <row r="1920" spans="1:15" ht="15" customHeight="1">
      <c r="A1920" s="905"/>
      <c r="B1920" s="546"/>
      <c r="C1920" s="910"/>
      <c r="D1920" s="609"/>
      <c r="E1920" s="917"/>
      <c r="F1920" s="904"/>
      <c r="G1920" s="905"/>
      <c r="H1920" s="546"/>
      <c r="I1920" s="910"/>
      <c r="J1920" s="609"/>
    </row>
    <row r="1921" spans="1:15" ht="15" customHeight="1">
      <c r="A1921" s="918" t="s">
        <v>383</v>
      </c>
      <c r="B1921" s="919" t="s">
        <v>384</v>
      </c>
      <c r="C1921" s="920"/>
      <c r="D1921" s="921" t="e">
        <f>SUM(D1910:D1917)-D1920</f>
        <v>#N/A</v>
      </c>
      <c r="E1921" s="922"/>
      <c r="F1921" s="923"/>
      <c r="G1921" s="918" t="s">
        <v>383</v>
      </c>
      <c r="H1921" s="919" t="s">
        <v>384</v>
      </c>
      <c r="I1921" s="920"/>
      <c r="J1921" s="921" t="e">
        <f>SUM(J1910:J1917)-J1920</f>
        <v>#N/A</v>
      </c>
    </row>
    <row r="1922" spans="1:15" ht="18.75" customHeight="1">
      <c r="A1922" s="924"/>
      <c r="B1922" s="925"/>
      <c r="C1922" s="926"/>
      <c r="D1922" s="927"/>
      <c r="E1922" s="927"/>
      <c r="F1922" s="928"/>
      <c r="G1922" s="924"/>
      <c r="H1922" s="925"/>
      <c r="I1922" s="926"/>
      <c r="J1922" s="927"/>
    </row>
    <row r="1923" spans="1:15" ht="18.75" customHeight="1">
      <c r="A1923" s="925"/>
      <c r="B1923" s="925"/>
      <c r="C1923" s="929"/>
      <c r="D1923" s="930"/>
      <c r="E1923" s="925"/>
      <c r="F1923" s="931"/>
      <c r="G1923" s="925"/>
      <c r="H1923" s="925"/>
      <c r="I1923" s="929"/>
      <c r="J1923" s="930"/>
    </row>
    <row r="1924" spans="1:15" ht="15" customHeight="1">
      <c r="A1924" s="2360" t="str">
        <f>$K$2</f>
        <v>THÁNG 04/2025</v>
      </c>
      <c r="B1924" s="2360"/>
      <c r="C1924" s="2360"/>
      <c r="D1924" s="2360"/>
      <c r="E1924" s="903"/>
      <c r="F1924" s="904"/>
      <c r="G1924" s="2360" t="str">
        <f>$K$2</f>
        <v>THÁNG 04/2025</v>
      </c>
      <c r="H1924" s="2360"/>
      <c r="I1924" s="2360"/>
      <c r="J1924" s="2360"/>
      <c r="K1924" s="276"/>
    </row>
    <row r="1925" spans="1:15" ht="15" customHeight="1">
      <c r="A1925" s="905" t="s">
        <v>356</v>
      </c>
      <c r="B1925" s="642" t="s">
        <v>128</v>
      </c>
      <c r="C1925" s="546"/>
      <c r="D1925" s="902"/>
      <c r="E1925" s="906"/>
      <c r="F1925" s="907"/>
      <c r="G1925" s="905" t="s">
        <v>356</v>
      </c>
      <c r="H1925" s="642" t="s">
        <v>129</v>
      </c>
      <c r="I1925" s="546"/>
      <c r="J1925" s="902"/>
      <c r="L1925" s="938"/>
      <c r="M1925" s="938"/>
      <c r="N1925" s="938"/>
      <c r="O1925" s="938"/>
    </row>
    <row r="1926" spans="1:15" ht="15" customHeight="1">
      <c r="A1926" s="908" t="s">
        <v>359</v>
      </c>
      <c r="B1926" s="909" t="s">
        <v>2090</v>
      </c>
      <c r="C1926" s="910" t="e">
        <f>VLOOKUP(B1925,'LƯƠNG KT'!$D$16:$Z$184,4,0)</f>
        <v>#N/A</v>
      </c>
      <c r="D1926" s="609" t="e">
        <f>+C1926*25000</f>
        <v>#N/A</v>
      </c>
      <c r="E1926" s="911"/>
      <c r="F1926" s="911"/>
      <c r="G1926" s="908" t="s">
        <v>359</v>
      </c>
      <c r="H1926" s="909" t="s">
        <v>2090</v>
      </c>
      <c r="I1926" s="910" t="e">
        <f>VLOOKUP(H1925,'LƯƠNG KT'!$D$16:$Z$184,4,0)</f>
        <v>#N/A</v>
      </c>
      <c r="J1926" s="609" t="e">
        <f>+I1926*25000</f>
        <v>#N/A</v>
      </c>
      <c r="K1926" s="935"/>
      <c r="L1926" s="935"/>
      <c r="M1926" s="935"/>
      <c r="N1926" s="935"/>
      <c r="O1926" s="935"/>
    </row>
    <row r="1927" spans="1:15" ht="15" customHeight="1">
      <c r="A1927" s="908" t="s">
        <v>361</v>
      </c>
      <c r="B1927" s="909" t="s">
        <v>2091</v>
      </c>
      <c r="C1927" s="910" t="e">
        <f>VLOOKUP(B1925,'LƯƠNG KT'!$D$16:$Z$184,15,0)</f>
        <v>#N/A</v>
      </c>
      <c r="D1927" s="609" t="e">
        <f>C1927*$L$4</f>
        <v>#N/A</v>
      </c>
      <c r="E1927" s="912"/>
      <c r="F1927" s="912"/>
      <c r="G1927" s="908" t="s">
        <v>361</v>
      </c>
      <c r="H1927" s="909" t="s">
        <v>2091</v>
      </c>
      <c r="I1927" s="910" t="e">
        <f>VLOOKUP(H1925,'LƯƠNG KT'!$D$16:$Z$184,15,0)</f>
        <v>#N/A</v>
      </c>
      <c r="J1927" s="609" t="e">
        <f>I1927*$L$4</f>
        <v>#N/A</v>
      </c>
      <c r="K1927" s="935"/>
      <c r="L1927" s="935"/>
      <c r="M1927" s="935"/>
      <c r="N1927" s="935"/>
      <c r="O1927" s="935"/>
    </row>
    <row r="1928" spans="1:15" ht="15" customHeight="1">
      <c r="A1928" s="908" t="s">
        <v>364</v>
      </c>
      <c r="B1928" s="909" t="s">
        <v>2092</v>
      </c>
      <c r="C1928" s="910" t="e">
        <f>VLOOKUP(B1925,'LƯƠNG KT'!$D$16:$Z$184,16,0)</f>
        <v>#N/A</v>
      </c>
      <c r="D1928" s="609" t="e">
        <f>C1928*$L$5</f>
        <v>#N/A</v>
      </c>
      <c r="E1928" s="912"/>
      <c r="F1928" s="912"/>
      <c r="G1928" s="908" t="s">
        <v>364</v>
      </c>
      <c r="H1928" s="909" t="s">
        <v>2092</v>
      </c>
      <c r="I1928" s="910" t="e">
        <f>VLOOKUP(H1925,'LƯƠNG KT'!$D$16:$Z$184,16,0)</f>
        <v>#N/A</v>
      </c>
      <c r="J1928" s="609" t="e">
        <f>I1928*$L$5</f>
        <v>#N/A</v>
      </c>
      <c r="K1928" s="935"/>
      <c r="L1928" s="935"/>
      <c r="M1928" s="935"/>
      <c r="N1928" s="935"/>
      <c r="O1928" s="935"/>
    </row>
    <row r="1929" spans="1:15" ht="15" customHeight="1">
      <c r="A1929" s="908" t="s">
        <v>370</v>
      </c>
      <c r="B1929" s="909" t="s">
        <v>2093</v>
      </c>
      <c r="C1929" s="910" t="e">
        <f>VLOOKUP(B1925,'LƯƠNG KT'!$D$16:$Z$184,24,0)</f>
        <v>#N/A</v>
      </c>
      <c r="D1929" s="609" t="e">
        <f>+C1929*$L$6</f>
        <v>#N/A</v>
      </c>
      <c r="E1929" s="912"/>
      <c r="F1929" s="912"/>
      <c r="G1929" s="908" t="s">
        <v>370</v>
      </c>
      <c r="H1929" s="909" t="s">
        <v>2093</v>
      </c>
      <c r="I1929" s="910" t="e">
        <f>VLOOKUP(H1925,'LƯƠNG KT'!$D$16:$Z$184,24,0)</f>
        <v>#N/A</v>
      </c>
      <c r="J1929" s="609" t="e">
        <f>+I1929*$L$6</f>
        <v>#N/A</v>
      </c>
      <c r="K1929" s="935"/>
      <c r="L1929" s="935"/>
      <c r="M1929" s="935"/>
      <c r="N1929" s="935"/>
      <c r="O1929" s="935"/>
    </row>
    <row r="1930" spans="1:15" ht="15" customHeight="1">
      <c r="A1930" s="908" t="s">
        <v>2094</v>
      </c>
      <c r="B1930" s="909" t="s">
        <v>2095</v>
      </c>
      <c r="C1930" s="910" t="e">
        <f>VLOOKUP(B1925,'LƯƠNG KT'!$D$16:$Z$184,19,0)</f>
        <v>#N/A</v>
      </c>
      <c r="D1930" s="609" t="e">
        <f>+C1930*$L$8</f>
        <v>#N/A</v>
      </c>
      <c r="E1930" s="912"/>
      <c r="F1930" s="912"/>
      <c r="G1930" s="908" t="s">
        <v>2094</v>
      </c>
      <c r="H1930" s="909" t="s">
        <v>2095</v>
      </c>
      <c r="I1930" s="910" t="e">
        <f>VLOOKUP(H1925,'LƯƠNG KT'!$D$16:$Z$184,19,0)</f>
        <v>#N/A</v>
      </c>
      <c r="J1930" s="609" t="e">
        <f>+I1930*$L$8</f>
        <v>#N/A</v>
      </c>
      <c r="K1930" s="935"/>
      <c r="L1930" s="935"/>
      <c r="M1930" s="935"/>
      <c r="N1930" s="935"/>
      <c r="O1930" s="935"/>
    </row>
    <row r="1931" spans="1:15" ht="15" customHeight="1">
      <c r="A1931" s="908" t="s">
        <v>2096</v>
      </c>
      <c r="B1931" s="913" t="s">
        <v>2097</v>
      </c>
      <c r="C1931" s="910" t="e">
        <f>VLOOKUP(B1925,'LƯƠNG KT'!$D$16:$Z$184,20,0)</f>
        <v>#N/A</v>
      </c>
      <c r="D1931" s="609" t="e">
        <f>+C1931*$L$9</f>
        <v>#N/A</v>
      </c>
      <c r="E1931" s="912"/>
      <c r="F1931" s="912"/>
      <c r="G1931" s="908" t="s">
        <v>2096</v>
      </c>
      <c r="H1931" s="913" t="s">
        <v>2097</v>
      </c>
      <c r="I1931" s="910" t="e">
        <f>VLOOKUP(H1925,'LƯƠNG KT'!$D$16:$Z$184,20,0)</f>
        <v>#N/A</v>
      </c>
      <c r="J1931" s="609" t="e">
        <f>+I1931*$L$9</f>
        <v>#N/A</v>
      </c>
      <c r="K1931" s="935"/>
      <c r="L1931" s="935"/>
      <c r="M1931" s="935"/>
      <c r="N1931" s="935"/>
      <c r="O1931" s="935"/>
    </row>
    <row r="1932" spans="1:15" ht="15" customHeight="1">
      <c r="A1932" s="908" t="s">
        <v>2099</v>
      </c>
      <c r="B1932" s="909" t="s">
        <v>2100</v>
      </c>
      <c r="C1932" s="910" t="e">
        <f>VLOOKUP(B1925,'LƯƠNG KT'!$D$16:$Z$184,17,0)</f>
        <v>#N/A</v>
      </c>
      <c r="D1932" s="609" t="e">
        <f>+C1932*$L$10</f>
        <v>#N/A</v>
      </c>
      <c r="E1932" s="912"/>
      <c r="F1932" s="912"/>
      <c r="G1932" s="908" t="s">
        <v>2099</v>
      </c>
      <c r="H1932" s="909" t="s">
        <v>2100</v>
      </c>
      <c r="I1932" s="910" t="e">
        <f>VLOOKUP(H1925,'LƯƠNG KT'!$D$16:$Z$184,17,0)</f>
        <v>#N/A</v>
      </c>
      <c r="J1932" s="609" t="e">
        <f>+I1932*$L$10</f>
        <v>#N/A</v>
      </c>
      <c r="K1932" s="935"/>
      <c r="L1932" s="935"/>
      <c r="M1932" s="935"/>
      <c r="N1932" s="935"/>
      <c r="O1932" s="935"/>
    </row>
    <row r="1933" spans="1:15" ht="15" customHeight="1">
      <c r="A1933" s="908" t="s">
        <v>374</v>
      </c>
      <c r="B1933" s="909" t="s">
        <v>2102</v>
      </c>
      <c r="C1933" s="910" t="e">
        <f>VLOOKUP(B1925,'LƯƠNG KT'!$D$16:$Z$184,12,0)</f>
        <v>#N/A</v>
      </c>
      <c r="D1933" s="609" t="e">
        <f>VLOOKUP(B1925,'LƯƠNG KT'!$D$16:$Z$184,14,0)</f>
        <v>#N/A</v>
      </c>
      <c r="E1933" s="914"/>
      <c r="F1933" s="912"/>
      <c r="G1933" s="908" t="s">
        <v>374</v>
      </c>
      <c r="H1933" s="909" t="s">
        <v>2102</v>
      </c>
      <c r="I1933" s="910" t="e">
        <f>VLOOKUP(H1925,'LƯƠNG KT'!$D$16:$Z$184,12,0)</f>
        <v>#N/A</v>
      </c>
      <c r="J1933" s="609" t="e">
        <f>VLOOKUP(H1925,'LƯƠNG KT'!$D$16:$Z$184,14,0)</f>
        <v>#N/A</v>
      </c>
      <c r="K1933" s="935"/>
      <c r="L1933" s="935"/>
      <c r="M1933" s="935"/>
      <c r="N1933" s="935"/>
      <c r="O1933" s="935"/>
    </row>
    <row r="1934" spans="1:15" ht="15" customHeight="1">
      <c r="A1934" s="908" t="s">
        <v>2103</v>
      </c>
      <c r="B1934" s="909" t="s">
        <v>2104</v>
      </c>
      <c r="D1934" s="915" t="e">
        <f>VLOOKUP(B1925,'LƯƠNG KT'!$D$16:$Z$184,13,0)</f>
        <v>#N/A</v>
      </c>
      <c r="E1934" s="916"/>
      <c r="F1934" s="916"/>
      <c r="G1934" s="908" t="s">
        <v>2103</v>
      </c>
      <c r="H1934" s="909" t="s">
        <v>2104</v>
      </c>
      <c r="J1934" s="915" t="e">
        <f>VLOOKUP(H1925,'LƯƠNG KT'!$D$16:$Z$184,13,0)</f>
        <v>#N/A</v>
      </c>
    </row>
    <row r="1935" spans="1:15" ht="15" customHeight="1">
      <c r="A1935" s="547"/>
      <c r="B1935" s="546"/>
      <c r="C1935" s="910"/>
      <c r="D1935" s="609"/>
      <c r="E1935" s="914"/>
      <c r="F1935" s="916"/>
      <c r="G1935" s="547"/>
      <c r="H1935" s="546"/>
      <c r="I1935" s="910"/>
      <c r="J1935" s="609"/>
    </row>
    <row r="1936" spans="1:15" ht="15" customHeight="1">
      <c r="A1936" s="905"/>
      <c r="B1936" s="546"/>
      <c r="C1936" s="910"/>
      <c r="D1936" s="609"/>
      <c r="E1936" s="917"/>
      <c r="F1936" s="904"/>
      <c r="G1936" s="905"/>
      <c r="H1936" s="546"/>
      <c r="I1936" s="910"/>
      <c r="J1936" s="609"/>
    </row>
    <row r="1937" spans="1:15" ht="15" customHeight="1">
      <c r="A1937" s="918" t="s">
        <v>383</v>
      </c>
      <c r="B1937" s="919" t="s">
        <v>384</v>
      </c>
      <c r="C1937" s="920"/>
      <c r="D1937" s="921" t="e">
        <f>SUM(D1926:D1933)-D1936</f>
        <v>#N/A</v>
      </c>
      <c r="E1937" s="922"/>
      <c r="F1937" s="923"/>
      <c r="G1937" s="918" t="s">
        <v>383</v>
      </c>
      <c r="H1937" s="919" t="s">
        <v>384</v>
      </c>
      <c r="I1937" s="920"/>
      <c r="J1937" s="921" t="e">
        <f>SUM(J1926:J1933)-J1936</f>
        <v>#N/A</v>
      </c>
    </row>
    <row r="1938" spans="1:15" ht="18.75" customHeight="1">
      <c r="A1938" s="924"/>
      <c r="B1938" s="925"/>
      <c r="C1938" s="926"/>
      <c r="D1938" s="927"/>
      <c r="E1938" s="927"/>
      <c r="F1938" s="928"/>
      <c r="G1938" s="924"/>
      <c r="H1938" s="925"/>
      <c r="I1938" s="926"/>
      <c r="J1938" s="927"/>
    </row>
    <row r="1939" spans="1:15" ht="135" customHeight="1">
      <c r="A1939" s="925"/>
      <c r="B1939" s="925"/>
      <c r="C1939" s="929"/>
      <c r="D1939" s="930"/>
      <c r="E1939" s="925"/>
      <c r="F1939" s="931"/>
      <c r="G1939" s="925"/>
      <c r="H1939" s="925"/>
      <c r="I1939" s="929"/>
      <c r="J1939" s="930"/>
    </row>
    <row r="1940" spans="1:15" ht="15" customHeight="1">
      <c r="A1940" s="2360" t="str">
        <f>$K$2</f>
        <v>THÁNG 04/2025</v>
      </c>
      <c r="B1940" s="2360"/>
      <c r="C1940" s="2360"/>
      <c r="D1940" s="2360"/>
      <c r="E1940" s="903"/>
      <c r="F1940" s="904"/>
      <c r="G1940" s="2360" t="str">
        <f>$K$2</f>
        <v>THÁNG 04/2025</v>
      </c>
      <c r="H1940" s="2360"/>
      <c r="I1940" s="2360"/>
      <c r="J1940" s="2360"/>
      <c r="K1940" s="276"/>
    </row>
    <row r="1941" spans="1:15" ht="15" customHeight="1">
      <c r="A1941" s="905" t="s">
        <v>356</v>
      </c>
      <c r="B1941" s="642" t="s">
        <v>130</v>
      </c>
      <c r="C1941" s="546"/>
      <c r="D1941" s="902"/>
      <c r="E1941" s="906"/>
      <c r="F1941" s="907"/>
      <c r="G1941" s="905" t="s">
        <v>356</v>
      </c>
      <c r="H1941" s="642" t="s">
        <v>131</v>
      </c>
      <c r="I1941" s="546"/>
      <c r="J1941" s="902"/>
      <c r="L1941" s="938"/>
      <c r="M1941" s="938"/>
      <c r="N1941" s="938"/>
      <c r="O1941" s="938"/>
    </row>
    <row r="1942" spans="1:15" ht="15" customHeight="1">
      <c r="A1942" s="908" t="s">
        <v>359</v>
      </c>
      <c r="B1942" s="909" t="s">
        <v>2090</v>
      </c>
      <c r="C1942" s="910" t="e">
        <f>VLOOKUP(B1941,'LƯƠNG KT'!$D$16:$Z$184,4,0)</f>
        <v>#N/A</v>
      </c>
      <c r="D1942" s="609" t="e">
        <f>+C1942*25000</f>
        <v>#N/A</v>
      </c>
      <c r="E1942" s="911"/>
      <c r="F1942" s="911"/>
      <c r="G1942" s="908" t="s">
        <v>359</v>
      </c>
      <c r="H1942" s="909" t="s">
        <v>2090</v>
      </c>
      <c r="I1942" s="910" t="e">
        <f>VLOOKUP(H1941,'LƯƠNG KT'!$D$16:$Z$184,4,0)</f>
        <v>#N/A</v>
      </c>
      <c r="J1942" s="609" t="e">
        <f>+I1942*25000</f>
        <v>#N/A</v>
      </c>
      <c r="K1942" s="935"/>
      <c r="L1942" s="935"/>
      <c r="M1942" s="935"/>
      <c r="N1942" s="935"/>
      <c r="O1942" s="935"/>
    </row>
    <row r="1943" spans="1:15" ht="15" customHeight="1">
      <c r="A1943" s="908" t="s">
        <v>361</v>
      </c>
      <c r="B1943" s="909" t="s">
        <v>2091</v>
      </c>
      <c r="C1943" s="910" t="e">
        <f>VLOOKUP(B1941,'LƯƠNG KT'!$D$16:$Z$184,15,0)</f>
        <v>#N/A</v>
      </c>
      <c r="D1943" s="609" t="e">
        <f>C1943*$L$4</f>
        <v>#N/A</v>
      </c>
      <c r="E1943" s="912"/>
      <c r="F1943" s="912"/>
      <c r="G1943" s="908" t="s">
        <v>361</v>
      </c>
      <c r="H1943" s="909" t="s">
        <v>2091</v>
      </c>
      <c r="I1943" s="910" t="e">
        <f>VLOOKUP(H1941,'LƯƠNG KT'!$D$16:$Z$184,15,0)</f>
        <v>#N/A</v>
      </c>
      <c r="J1943" s="609" t="e">
        <f>I1943*$L$4</f>
        <v>#N/A</v>
      </c>
      <c r="K1943" s="935"/>
      <c r="L1943" s="935"/>
      <c r="M1943" s="935"/>
      <c r="N1943" s="935"/>
      <c r="O1943" s="935"/>
    </row>
    <row r="1944" spans="1:15" ht="15" customHeight="1">
      <c r="A1944" s="908" t="s">
        <v>364</v>
      </c>
      <c r="B1944" s="909" t="s">
        <v>2092</v>
      </c>
      <c r="C1944" s="910" t="e">
        <f>VLOOKUP(B1941,'LƯƠNG KT'!$D$16:$Z$184,16,0)</f>
        <v>#N/A</v>
      </c>
      <c r="D1944" s="609" t="e">
        <f>C1944*$L$5</f>
        <v>#N/A</v>
      </c>
      <c r="E1944" s="912"/>
      <c r="F1944" s="912"/>
      <c r="G1944" s="908" t="s">
        <v>364</v>
      </c>
      <c r="H1944" s="909" t="s">
        <v>2092</v>
      </c>
      <c r="I1944" s="910" t="e">
        <f>VLOOKUP(H1941,'LƯƠNG KT'!$D$16:$Z$184,16,0)</f>
        <v>#N/A</v>
      </c>
      <c r="J1944" s="609" t="e">
        <f>I1944*$L$5</f>
        <v>#N/A</v>
      </c>
      <c r="K1944" s="935"/>
      <c r="L1944" s="935"/>
      <c r="M1944" s="935"/>
      <c r="N1944" s="935"/>
      <c r="O1944" s="935"/>
    </row>
    <row r="1945" spans="1:15" ht="15" customHeight="1">
      <c r="A1945" s="908" t="s">
        <v>370</v>
      </c>
      <c r="B1945" s="909" t="s">
        <v>2093</v>
      </c>
      <c r="C1945" s="910" t="e">
        <f>VLOOKUP(B1941,'LƯƠNG KT'!$D$16:$Z$184,24,0)</f>
        <v>#N/A</v>
      </c>
      <c r="D1945" s="609" t="e">
        <f>+C1945*$L$6</f>
        <v>#N/A</v>
      </c>
      <c r="E1945" s="912"/>
      <c r="F1945" s="912"/>
      <c r="G1945" s="908" t="s">
        <v>370</v>
      </c>
      <c r="H1945" s="909" t="s">
        <v>2093</v>
      </c>
      <c r="I1945" s="910" t="e">
        <f>VLOOKUP(H1941,'LƯƠNG KT'!$D$16:$Z$184,24,0)</f>
        <v>#N/A</v>
      </c>
      <c r="J1945" s="609" t="e">
        <f>+I1945*$L$6</f>
        <v>#N/A</v>
      </c>
      <c r="K1945" s="935"/>
      <c r="L1945" s="935"/>
      <c r="M1945" s="935"/>
      <c r="N1945" s="935"/>
      <c r="O1945" s="935"/>
    </row>
    <row r="1946" spans="1:15" ht="15" customHeight="1">
      <c r="A1946" s="908" t="s">
        <v>2094</v>
      </c>
      <c r="B1946" s="909" t="s">
        <v>2095</v>
      </c>
      <c r="C1946" s="910" t="e">
        <f>VLOOKUP(B1941,'LƯƠNG KT'!$D$16:$Z$184,19,0)</f>
        <v>#N/A</v>
      </c>
      <c r="D1946" s="609" t="e">
        <f>+C1946*$L$8</f>
        <v>#N/A</v>
      </c>
      <c r="E1946" s="912"/>
      <c r="F1946" s="912"/>
      <c r="G1946" s="908" t="s">
        <v>2094</v>
      </c>
      <c r="H1946" s="909" t="s">
        <v>2095</v>
      </c>
      <c r="I1946" s="910" t="e">
        <f>VLOOKUP(H1941,'LƯƠNG KT'!$D$16:$Z$184,19,0)</f>
        <v>#N/A</v>
      </c>
      <c r="J1946" s="609" t="e">
        <f>+I1946*$L$8</f>
        <v>#N/A</v>
      </c>
      <c r="K1946" s="935"/>
      <c r="L1946" s="935"/>
      <c r="M1946" s="935"/>
      <c r="N1946" s="935"/>
      <c r="O1946" s="935"/>
    </row>
    <row r="1947" spans="1:15" ht="15" customHeight="1">
      <c r="A1947" s="908" t="s">
        <v>2096</v>
      </c>
      <c r="B1947" s="913" t="s">
        <v>2097</v>
      </c>
      <c r="C1947" s="910" t="e">
        <f>VLOOKUP(B1941,'LƯƠNG KT'!$D$16:$Z$184,20,0)</f>
        <v>#N/A</v>
      </c>
      <c r="D1947" s="609" t="e">
        <f>+C1947*$L$9</f>
        <v>#N/A</v>
      </c>
      <c r="E1947" s="912"/>
      <c r="F1947" s="912"/>
      <c r="G1947" s="908" t="s">
        <v>2096</v>
      </c>
      <c r="H1947" s="913" t="s">
        <v>2097</v>
      </c>
      <c r="I1947" s="910" t="e">
        <f>VLOOKUP(H1941,'LƯƠNG KT'!$D$16:$Z$184,20,0)</f>
        <v>#N/A</v>
      </c>
      <c r="J1947" s="609" t="e">
        <f>+I1947*$L$9</f>
        <v>#N/A</v>
      </c>
      <c r="K1947" s="935"/>
      <c r="L1947" s="935"/>
      <c r="M1947" s="935"/>
      <c r="N1947" s="935"/>
      <c r="O1947" s="935"/>
    </row>
    <row r="1948" spans="1:15" ht="15" customHeight="1">
      <c r="A1948" s="908" t="s">
        <v>2099</v>
      </c>
      <c r="B1948" s="909" t="s">
        <v>2100</v>
      </c>
      <c r="C1948" s="910" t="e">
        <f>VLOOKUP(B1941,'LƯƠNG KT'!$D$16:$Z$184,17,0)</f>
        <v>#N/A</v>
      </c>
      <c r="D1948" s="609" t="e">
        <f>+C1948*$L$10</f>
        <v>#N/A</v>
      </c>
      <c r="E1948" s="912"/>
      <c r="F1948" s="912"/>
      <c r="G1948" s="908" t="s">
        <v>2099</v>
      </c>
      <c r="H1948" s="909" t="s">
        <v>2100</v>
      </c>
      <c r="I1948" s="910" t="e">
        <f>VLOOKUP(H1941,'LƯƠNG KT'!$D$16:$Z$184,17,0)</f>
        <v>#N/A</v>
      </c>
      <c r="J1948" s="609" t="e">
        <f>+I1948*$L$10</f>
        <v>#N/A</v>
      </c>
      <c r="K1948" s="935"/>
      <c r="L1948" s="935"/>
      <c r="M1948" s="935"/>
      <c r="N1948" s="935"/>
      <c r="O1948" s="935"/>
    </row>
    <row r="1949" spans="1:15" ht="15" customHeight="1">
      <c r="A1949" s="908" t="s">
        <v>374</v>
      </c>
      <c r="B1949" s="909" t="s">
        <v>2102</v>
      </c>
      <c r="C1949" s="910" t="e">
        <f>VLOOKUP(B1941,'LƯƠNG KT'!$D$16:$Z$184,12,0)</f>
        <v>#N/A</v>
      </c>
      <c r="D1949" s="609" t="e">
        <f>VLOOKUP(B1941,'LƯƠNG KT'!$D$16:$Z$184,14,0)</f>
        <v>#N/A</v>
      </c>
      <c r="E1949" s="914"/>
      <c r="F1949" s="912"/>
      <c r="G1949" s="908" t="s">
        <v>374</v>
      </c>
      <c r="H1949" s="909" t="s">
        <v>2102</v>
      </c>
      <c r="I1949" s="910" t="e">
        <f>VLOOKUP(H1941,'LƯƠNG KT'!$D$16:$Z$184,12,0)</f>
        <v>#N/A</v>
      </c>
      <c r="J1949" s="609" t="e">
        <f>VLOOKUP(H1941,'LƯƠNG KT'!$D$16:$Z$184,14,0)</f>
        <v>#N/A</v>
      </c>
      <c r="K1949" s="935"/>
      <c r="L1949" s="935"/>
      <c r="M1949" s="935"/>
      <c r="N1949" s="935"/>
      <c r="O1949" s="935"/>
    </row>
    <row r="1950" spans="1:15" ht="15" customHeight="1">
      <c r="A1950" s="908" t="s">
        <v>2103</v>
      </c>
      <c r="B1950" s="909" t="s">
        <v>2104</v>
      </c>
      <c r="D1950" s="915" t="e">
        <f>VLOOKUP(B1941,'LƯƠNG KT'!$D$16:$Z$184,13,0)</f>
        <v>#N/A</v>
      </c>
      <c r="E1950" s="916"/>
      <c r="F1950" s="916"/>
      <c r="G1950" s="908" t="s">
        <v>2103</v>
      </c>
      <c r="H1950" s="909" t="s">
        <v>2104</v>
      </c>
      <c r="J1950" s="915" t="e">
        <f>VLOOKUP(H1941,'LƯƠNG KT'!$D$16:$Z$184,13,0)</f>
        <v>#N/A</v>
      </c>
    </row>
    <row r="1951" spans="1:15" ht="15" customHeight="1">
      <c r="A1951" s="547"/>
      <c r="B1951" s="546"/>
      <c r="C1951" s="910"/>
      <c r="D1951" s="609"/>
      <c r="E1951" s="914"/>
      <c r="F1951" s="916"/>
      <c r="G1951" s="547"/>
      <c r="H1951" s="546"/>
      <c r="I1951" s="910"/>
      <c r="J1951" s="609"/>
    </row>
    <row r="1952" spans="1:15" ht="15" customHeight="1">
      <c r="A1952" s="905"/>
      <c r="B1952" s="546"/>
      <c r="C1952" s="910"/>
      <c r="D1952" s="609"/>
      <c r="E1952" s="917"/>
      <c r="F1952" s="904"/>
      <c r="G1952" s="905"/>
      <c r="H1952" s="546"/>
      <c r="I1952" s="910"/>
      <c r="J1952" s="609"/>
    </row>
    <row r="1953" spans="1:15" ht="15" customHeight="1">
      <c r="A1953" s="918" t="s">
        <v>383</v>
      </c>
      <c r="B1953" s="919" t="s">
        <v>384</v>
      </c>
      <c r="C1953" s="920"/>
      <c r="D1953" s="921" t="e">
        <f>SUM(D1942:D1949)-D1952</f>
        <v>#N/A</v>
      </c>
      <c r="E1953" s="922"/>
      <c r="F1953" s="923"/>
      <c r="G1953" s="918" t="s">
        <v>383</v>
      </c>
      <c r="H1953" s="919" t="s">
        <v>384</v>
      </c>
      <c r="I1953" s="920"/>
      <c r="J1953" s="921" t="e">
        <f>SUM(J1942:J1949)-J1952</f>
        <v>#N/A</v>
      </c>
    </row>
    <row r="1954" spans="1:15" ht="15.75" customHeight="1">
      <c r="A1954" s="924"/>
      <c r="B1954" s="925"/>
      <c r="C1954" s="926"/>
      <c r="D1954" s="927"/>
      <c r="E1954" s="927"/>
      <c r="F1954" s="928"/>
      <c r="G1954" s="924"/>
      <c r="H1954" s="925"/>
      <c r="I1954" s="926"/>
      <c r="J1954" s="927"/>
    </row>
    <row r="1956" spans="1:15" ht="12" customHeight="1">
      <c r="A1956" s="2361"/>
      <c r="B1956" s="2361"/>
      <c r="C1956" s="2361"/>
      <c r="D1956" s="2361"/>
      <c r="E1956" s="2361"/>
      <c r="F1956" s="2361"/>
      <c r="G1956" s="2361"/>
      <c r="H1956" s="2361"/>
      <c r="I1956" s="2361"/>
      <c r="J1956" s="2361"/>
    </row>
    <row r="1957" spans="1:15" ht="15" customHeight="1">
      <c r="A1957" s="2360" t="str">
        <f>$K$2</f>
        <v>THÁNG 04/2025</v>
      </c>
      <c r="B1957" s="2360"/>
      <c r="C1957" s="2360"/>
      <c r="D1957" s="2360"/>
      <c r="E1957" s="903"/>
      <c r="F1957" s="904"/>
      <c r="G1957" s="2360" t="str">
        <f>$K$2</f>
        <v>THÁNG 04/2025</v>
      </c>
      <c r="H1957" s="2360"/>
      <c r="I1957" s="2360"/>
      <c r="J1957" s="2360"/>
      <c r="K1957" s="276"/>
    </row>
    <row r="1958" spans="1:15" ht="15" customHeight="1">
      <c r="A1958" s="905" t="s">
        <v>356</v>
      </c>
      <c r="B1958" s="642" t="s">
        <v>132</v>
      </c>
      <c r="C1958" s="546"/>
      <c r="D1958" s="902"/>
      <c r="E1958" s="906"/>
      <c r="F1958" s="907"/>
      <c r="G1958" s="905" t="s">
        <v>356</v>
      </c>
      <c r="H1958" s="642" t="s">
        <v>133</v>
      </c>
      <c r="I1958" s="546"/>
      <c r="J1958" s="902"/>
      <c r="L1958" s="938"/>
      <c r="M1958" s="938"/>
      <c r="N1958" s="938"/>
      <c r="O1958" s="938"/>
    </row>
    <row r="1959" spans="1:15" ht="15" customHeight="1">
      <c r="A1959" s="908" t="s">
        <v>359</v>
      </c>
      <c r="B1959" s="909" t="s">
        <v>2090</v>
      </c>
      <c r="C1959" s="910" t="e">
        <f>VLOOKUP(B1958,'LƯƠNG KT'!$D$16:$Z$184,4,0)</f>
        <v>#N/A</v>
      </c>
      <c r="D1959" s="609" t="e">
        <f>+C1959*25000</f>
        <v>#N/A</v>
      </c>
      <c r="E1959" s="911"/>
      <c r="F1959" s="911"/>
      <c r="G1959" s="908" t="s">
        <v>359</v>
      </c>
      <c r="H1959" s="909" t="s">
        <v>2090</v>
      </c>
      <c r="I1959" s="910" t="e">
        <f>VLOOKUP(H1958,'LƯƠNG KT'!$D$16:$Z$184,4,0)</f>
        <v>#N/A</v>
      </c>
      <c r="J1959" s="609" t="e">
        <f>+I1959*25000</f>
        <v>#N/A</v>
      </c>
      <c r="K1959" s="934"/>
      <c r="L1959" s="935"/>
      <c r="M1959" s="935"/>
      <c r="N1959" s="935"/>
      <c r="O1959" s="935"/>
    </row>
    <row r="1960" spans="1:15" ht="15" customHeight="1">
      <c r="A1960" s="908" t="s">
        <v>361</v>
      </c>
      <c r="B1960" s="909" t="s">
        <v>2091</v>
      </c>
      <c r="C1960" s="910" t="e">
        <f>VLOOKUP(B1958,'LƯƠNG KT'!$D$16:$Z$184,15,0)</f>
        <v>#N/A</v>
      </c>
      <c r="D1960" s="609" t="e">
        <f>C1960*$L$4</f>
        <v>#N/A</v>
      </c>
      <c r="E1960" s="912"/>
      <c r="F1960" s="912"/>
      <c r="G1960" s="908" t="s">
        <v>361</v>
      </c>
      <c r="H1960" s="909" t="s">
        <v>2091</v>
      </c>
      <c r="I1960" s="910" t="e">
        <f>VLOOKUP(H1958,'LƯƠNG KT'!$D$16:$Z$184,15,0)</f>
        <v>#N/A</v>
      </c>
      <c r="J1960" s="609" t="e">
        <f>I1960*$L$4</f>
        <v>#N/A</v>
      </c>
      <c r="K1960" s="934"/>
      <c r="L1960" s="935"/>
      <c r="M1960" s="935"/>
      <c r="N1960" s="935"/>
      <c r="O1960" s="935"/>
    </row>
    <row r="1961" spans="1:15" ht="15" customHeight="1">
      <c r="A1961" s="908" t="s">
        <v>364</v>
      </c>
      <c r="B1961" s="909" t="s">
        <v>2092</v>
      </c>
      <c r="C1961" s="910" t="e">
        <f>VLOOKUP(B1958,'LƯƠNG KT'!$D$16:$Z$184,16,0)</f>
        <v>#N/A</v>
      </c>
      <c r="D1961" s="609" t="e">
        <f>C1961*$L$5</f>
        <v>#N/A</v>
      </c>
      <c r="E1961" s="912"/>
      <c r="F1961" s="912"/>
      <c r="G1961" s="908" t="s">
        <v>364</v>
      </c>
      <c r="H1961" s="909" t="s">
        <v>2092</v>
      </c>
      <c r="I1961" s="910" t="e">
        <f>VLOOKUP(H1958,'LƯƠNG KT'!$D$16:$Z$184,16,0)</f>
        <v>#N/A</v>
      </c>
      <c r="J1961" s="609" t="e">
        <f>I1961*$L$5</f>
        <v>#N/A</v>
      </c>
      <c r="K1961" s="934"/>
      <c r="L1961" s="935"/>
      <c r="M1961" s="935"/>
      <c r="N1961" s="935"/>
      <c r="O1961" s="935"/>
    </row>
    <row r="1962" spans="1:15" ht="15" customHeight="1">
      <c r="A1962" s="908" t="s">
        <v>370</v>
      </c>
      <c r="B1962" s="909" t="s">
        <v>2093</v>
      </c>
      <c r="C1962" s="910" t="e">
        <f>VLOOKUP(B1958,'LƯƠNG KT'!$D$16:$Z$184,24,0)</f>
        <v>#N/A</v>
      </c>
      <c r="D1962" s="609" t="e">
        <f>+C1962*$L$6</f>
        <v>#N/A</v>
      </c>
      <c r="E1962" s="912"/>
      <c r="F1962" s="912"/>
      <c r="G1962" s="908" t="s">
        <v>370</v>
      </c>
      <c r="H1962" s="909" t="s">
        <v>2093</v>
      </c>
      <c r="I1962" s="910" t="e">
        <f>VLOOKUP(H1958,'LƯƠNG KT'!$D$16:$Z$184,24,0)</f>
        <v>#N/A</v>
      </c>
      <c r="J1962" s="609" t="e">
        <f>+I1962*$L$6</f>
        <v>#N/A</v>
      </c>
      <c r="K1962" s="935"/>
      <c r="L1962" s="935"/>
      <c r="M1962" s="935"/>
      <c r="N1962" s="935"/>
      <c r="O1962" s="935"/>
    </row>
    <row r="1963" spans="1:15" ht="15" customHeight="1">
      <c r="A1963" s="908" t="s">
        <v>2094</v>
      </c>
      <c r="B1963" s="909" t="s">
        <v>2095</v>
      </c>
      <c r="C1963" s="910" t="e">
        <f>VLOOKUP(B1958,'LƯƠNG KT'!$D$16:$Z$184,19,0)</f>
        <v>#N/A</v>
      </c>
      <c r="D1963" s="609" t="e">
        <f>+C1963*$L$8</f>
        <v>#N/A</v>
      </c>
      <c r="E1963" s="912"/>
      <c r="F1963" s="912"/>
      <c r="G1963" s="908" t="s">
        <v>2094</v>
      </c>
      <c r="H1963" s="909" t="s">
        <v>2095</v>
      </c>
      <c r="I1963" s="910" t="e">
        <f>VLOOKUP(H1958,'LƯƠNG KT'!$D$16:$Z$184,19,0)</f>
        <v>#N/A</v>
      </c>
      <c r="J1963" s="609" t="e">
        <f>+I1963*$L$8</f>
        <v>#N/A</v>
      </c>
      <c r="K1963" s="935"/>
      <c r="L1963" s="935"/>
      <c r="M1963" s="935"/>
      <c r="N1963" s="935"/>
      <c r="O1963" s="935"/>
    </row>
    <row r="1964" spans="1:15" ht="15" customHeight="1">
      <c r="A1964" s="908" t="s">
        <v>2096</v>
      </c>
      <c r="B1964" s="913" t="s">
        <v>2097</v>
      </c>
      <c r="C1964" s="910" t="e">
        <f>VLOOKUP(B1958,'LƯƠNG KT'!$D$16:$Z$184,20,0)</f>
        <v>#N/A</v>
      </c>
      <c r="D1964" s="609" t="e">
        <f>+C1964*$L$9</f>
        <v>#N/A</v>
      </c>
      <c r="E1964" s="912"/>
      <c r="F1964" s="912"/>
      <c r="G1964" s="908" t="s">
        <v>2096</v>
      </c>
      <c r="H1964" s="913" t="s">
        <v>2097</v>
      </c>
      <c r="I1964" s="910" t="e">
        <f>VLOOKUP(H1958,'LƯƠNG KT'!$D$16:$Z$184,20,0)</f>
        <v>#N/A</v>
      </c>
      <c r="J1964" s="609" t="e">
        <f>+I1964*$L$9</f>
        <v>#N/A</v>
      </c>
      <c r="K1964" s="935"/>
      <c r="L1964" s="935"/>
      <c r="M1964" s="935"/>
      <c r="N1964" s="935"/>
      <c r="O1964" s="935"/>
    </row>
    <row r="1965" spans="1:15" ht="15" customHeight="1">
      <c r="A1965" s="908" t="s">
        <v>2099</v>
      </c>
      <c r="B1965" s="909" t="s">
        <v>2100</v>
      </c>
      <c r="C1965" s="910" t="e">
        <f>VLOOKUP(B1958,'LƯƠNG KT'!$D$16:$Z$184,17,0)</f>
        <v>#N/A</v>
      </c>
      <c r="D1965" s="609" t="e">
        <f>+C1965*$L$10</f>
        <v>#N/A</v>
      </c>
      <c r="E1965" s="912"/>
      <c r="F1965" s="912"/>
      <c r="G1965" s="908" t="s">
        <v>2099</v>
      </c>
      <c r="H1965" s="909" t="s">
        <v>2100</v>
      </c>
      <c r="I1965" s="910" t="e">
        <f>VLOOKUP(H1958,'LƯƠNG KT'!$D$16:$Z$184,17,0)</f>
        <v>#N/A</v>
      </c>
      <c r="J1965" s="609" t="e">
        <f>+I1965*$L$10</f>
        <v>#N/A</v>
      </c>
      <c r="K1965" s="935"/>
      <c r="L1965" s="935"/>
      <c r="M1965" s="935"/>
      <c r="N1965" s="935"/>
      <c r="O1965" s="935"/>
    </row>
    <row r="1966" spans="1:15" ht="15" customHeight="1">
      <c r="A1966" s="908" t="s">
        <v>374</v>
      </c>
      <c r="B1966" s="909" t="s">
        <v>2102</v>
      </c>
      <c r="C1966" s="910" t="e">
        <f>VLOOKUP(B1958,'LƯƠNG KT'!$D$16:$Z$184,12,0)</f>
        <v>#N/A</v>
      </c>
      <c r="D1966" s="609" t="e">
        <f>VLOOKUP(B1958,'LƯƠNG KT'!$D$16:$Z$184,14,0)</f>
        <v>#N/A</v>
      </c>
      <c r="E1966" s="914"/>
      <c r="F1966" s="912"/>
      <c r="G1966" s="908" t="s">
        <v>374</v>
      </c>
      <c r="H1966" s="909" t="s">
        <v>2102</v>
      </c>
      <c r="I1966" s="910" t="e">
        <f>VLOOKUP(H1958,'LƯƠNG KT'!$D$16:$Z$184,12,0)</f>
        <v>#N/A</v>
      </c>
      <c r="J1966" s="609" t="e">
        <f>VLOOKUP(H1958,'LƯƠNG KT'!$D$16:$Z$184,14,0)</f>
        <v>#N/A</v>
      </c>
      <c r="K1966" s="935"/>
      <c r="L1966" s="935"/>
      <c r="M1966" s="935"/>
      <c r="N1966" s="935"/>
      <c r="O1966" s="935"/>
    </row>
    <row r="1967" spans="1:15" ht="15" customHeight="1">
      <c r="A1967" s="908" t="s">
        <v>2103</v>
      </c>
      <c r="B1967" s="909" t="s">
        <v>2104</v>
      </c>
      <c r="D1967" s="915" t="e">
        <f>VLOOKUP(B1958,'LƯƠNG KT'!$D$16:$Z$184,13,0)</f>
        <v>#N/A</v>
      </c>
      <c r="E1967" s="916"/>
      <c r="F1967" s="916"/>
      <c r="G1967" s="908" t="s">
        <v>2103</v>
      </c>
      <c r="H1967" s="909" t="s">
        <v>2104</v>
      </c>
      <c r="J1967" s="915" t="e">
        <f>VLOOKUP(H1958,'LƯƠNG KT'!$D$16:$Z$184,13,0)</f>
        <v>#N/A</v>
      </c>
    </row>
    <row r="1968" spans="1:15" ht="15" customHeight="1">
      <c r="A1968" s="547"/>
      <c r="B1968" s="546"/>
      <c r="C1968" s="910"/>
      <c r="D1968" s="609"/>
      <c r="E1968" s="914"/>
      <c r="F1968" s="916"/>
      <c r="G1968" s="547"/>
      <c r="H1968" s="546"/>
      <c r="I1968" s="910"/>
      <c r="J1968" s="609"/>
    </row>
    <row r="1969" spans="1:15" ht="15" customHeight="1">
      <c r="A1969" s="905"/>
      <c r="B1969" s="546"/>
      <c r="C1969" s="910"/>
      <c r="D1969" s="609"/>
      <c r="E1969" s="917"/>
      <c r="F1969" s="904"/>
      <c r="G1969" s="905"/>
      <c r="H1969" s="546"/>
      <c r="I1969" s="910"/>
      <c r="J1969" s="609"/>
    </row>
    <row r="1970" spans="1:15" ht="15" customHeight="1">
      <c r="A1970" s="918" t="s">
        <v>383</v>
      </c>
      <c r="B1970" s="919" t="s">
        <v>384</v>
      </c>
      <c r="C1970" s="920"/>
      <c r="D1970" s="921" t="e">
        <f>SUM(D1959:D1966)-D1969</f>
        <v>#N/A</v>
      </c>
      <c r="E1970" s="922"/>
      <c r="F1970" s="923"/>
      <c r="G1970" s="918" t="s">
        <v>383</v>
      </c>
      <c r="H1970" s="919" t="s">
        <v>384</v>
      </c>
      <c r="I1970" s="920"/>
      <c r="J1970" s="921" t="e">
        <f>SUM(J1959:J1966)-J1969</f>
        <v>#N/A</v>
      </c>
    </row>
    <row r="1971" spans="1:15" ht="12.6" customHeight="1">
      <c r="A1971" s="924"/>
      <c r="B1971" s="925"/>
      <c r="C1971" s="926"/>
      <c r="D1971" s="927"/>
      <c r="E1971" s="927"/>
      <c r="F1971" s="928"/>
      <c r="G1971" s="924"/>
      <c r="H1971" s="925"/>
      <c r="I1971" s="926"/>
      <c r="J1971" s="927"/>
    </row>
    <row r="1972" spans="1:15" ht="12.6" customHeight="1">
      <c r="A1972" s="925"/>
      <c r="B1972" s="925"/>
      <c r="C1972" s="929"/>
      <c r="D1972" s="930"/>
      <c r="E1972" s="925"/>
      <c r="F1972" s="931"/>
      <c r="G1972" s="925"/>
      <c r="H1972" s="925"/>
      <c r="I1972" s="929"/>
      <c r="J1972" s="930"/>
    </row>
    <row r="1973" spans="1:15" ht="15" customHeight="1">
      <c r="A1973" s="2360" t="str">
        <f>$K$2</f>
        <v>THÁNG 04/2025</v>
      </c>
      <c r="B1973" s="2360"/>
      <c r="C1973" s="2360"/>
      <c r="D1973" s="2360"/>
      <c r="E1973" s="903"/>
      <c r="F1973" s="904"/>
      <c r="G1973" s="2360" t="str">
        <f>$K$2</f>
        <v>THÁNG 04/2025</v>
      </c>
      <c r="H1973" s="2360"/>
      <c r="I1973" s="2360"/>
      <c r="J1973" s="2360"/>
      <c r="K1973" s="276"/>
    </row>
    <row r="1974" spans="1:15" ht="15" customHeight="1">
      <c r="A1974" s="905" t="s">
        <v>356</v>
      </c>
      <c r="B1974" s="642" t="s">
        <v>134</v>
      </c>
      <c r="C1974" s="546"/>
      <c r="D1974" s="902"/>
      <c r="E1974" s="906"/>
      <c r="F1974" s="907"/>
      <c r="G1974" s="905" t="s">
        <v>356</v>
      </c>
      <c r="H1974" s="642" t="s">
        <v>135</v>
      </c>
      <c r="I1974" s="546"/>
      <c r="J1974" s="902"/>
      <c r="L1974" s="938"/>
      <c r="M1974" s="938"/>
      <c r="N1974" s="938"/>
      <c r="O1974" s="938"/>
    </row>
    <row r="1975" spans="1:15" ht="15" customHeight="1">
      <c r="A1975" s="908" t="s">
        <v>359</v>
      </c>
      <c r="B1975" s="909" t="s">
        <v>2090</v>
      </c>
      <c r="C1975" s="910" t="e">
        <f>VLOOKUP(B1974,'LƯƠNG KT'!$D$16:$Z$184,4,0)</f>
        <v>#N/A</v>
      </c>
      <c r="D1975" s="609" t="e">
        <f>+C1975*25000</f>
        <v>#N/A</v>
      </c>
      <c r="E1975" s="911"/>
      <c r="F1975" s="911"/>
      <c r="G1975" s="908" t="s">
        <v>359</v>
      </c>
      <c r="H1975" s="909" t="s">
        <v>2090</v>
      </c>
      <c r="I1975" s="910" t="e">
        <f>VLOOKUP(H1974,'LƯƠNG KT'!$D$16:$Z$184,4,0)</f>
        <v>#N/A</v>
      </c>
      <c r="J1975" s="609" t="e">
        <f>+I1975*25000</f>
        <v>#N/A</v>
      </c>
      <c r="K1975" s="935"/>
      <c r="L1975" s="935"/>
      <c r="M1975" s="935"/>
      <c r="N1975" s="935"/>
      <c r="O1975" s="935"/>
    </row>
    <row r="1976" spans="1:15" ht="15" customHeight="1">
      <c r="A1976" s="908" t="s">
        <v>361</v>
      </c>
      <c r="B1976" s="909" t="s">
        <v>2091</v>
      </c>
      <c r="C1976" s="910" t="e">
        <f>VLOOKUP(B1974,'LƯƠNG KT'!$D$16:$Z$184,15,0)</f>
        <v>#N/A</v>
      </c>
      <c r="D1976" s="609" t="e">
        <f>C1976*$L$4</f>
        <v>#N/A</v>
      </c>
      <c r="E1976" s="912"/>
      <c r="F1976" s="912"/>
      <c r="G1976" s="908" t="s">
        <v>361</v>
      </c>
      <c r="H1976" s="909" t="s">
        <v>2091</v>
      </c>
      <c r="I1976" s="910" t="e">
        <f>VLOOKUP(H1974,'LƯƠNG KT'!$D$16:$Z$184,15,0)</f>
        <v>#N/A</v>
      </c>
      <c r="J1976" s="609" t="e">
        <f>I1976*$L$4</f>
        <v>#N/A</v>
      </c>
      <c r="K1976" s="935"/>
      <c r="L1976" s="935"/>
      <c r="M1976" s="935"/>
      <c r="N1976" s="935"/>
      <c r="O1976" s="935"/>
    </row>
    <row r="1977" spans="1:15" ht="15" customHeight="1">
      <c r="A1977" s="908" t="s">
        <v>364</v>
      </c>
      <c r="B1977" s="909" t="s">
        <v>2092</v>
      </c>
      <c r="C1977" s="910" t="e">
        <f>VLOOKUP(B1974,'LƯƠNG KT'!$D$16:$Z$184,16,0)</f>
        <v>#N/A</v>
      </c>
      <c r="D1977" s="609" t="e">
        <f>C1977*$L$5</f>
        <v>#N/A</v>
      </c>
      <c r="E1977" s="912"/>
      <c r="F1977" s="912"/>
      <c r="G1977" s="908" t="s">
        <v>364</v>
      </c>
      <c r="H1977" s="909" t="s">
        <v>2092</v>
      </c>
      <c r="I1977" s="910" t="e">
        <f>VLOOKUP(H1974,'LƯƠNG KT'!$D$16:$Z$184,16,0)</f>
        <v>#N/A</v>
      </c>
      <c r="J1977" s="609" t="e">
        <f>I1977*$L$5</f>
        <v>#N/A</v>
      </c>
      <c r="K1977" s="935"/>
      <c r="L1977" s="935"/>
      <c r="M1977" s="935"/>
      <c r="N1977" s="935"/>
      <c r="O1977" s="935"/>
    </row>
    <row r="1978" spans="1:15" ht="15" customHeight="1">
      <c r="A1978" s="908" t="s">
        <v>370</v>
      </c>
      <c r="B1978" s="909" t="s">
        <v>2093</v>
      </c>
      <c r="C1978" s="910" t="e">
        <f>VLOOKUP(B1974,'LƯƠNG KT'!$D$16:$Z$184,24,0)</f>
        <v>#N/A</v>
      </c>
      <c r="D1978" s="609" t="e">
        <f>+C1978*$L$6</f>
        <v>#N/A</v>
      </c>
      <c r="E1978" s="912"/>
      <c r="F1978" s="912"/>
      <c r="G1978" s="908" t="s">
        <v>370</v>
      </c>
      <c r="H1978" s="909" t="s">
        <v>2093</v>
      </c>
      <c r="I1978" s="910" t="e">
        <f>VLOOKUP(H1974,'LƯƠNG KT'!$D$16:$Z$184,24,0)</f>
        <v>#N/A</v>
      </c>
      <c r="J1978" s="609" t="e">
        <f>+I1978*$L$6</f>
        <v>#N/A</v>
      </c>
      <c r="K1978" s="935"/>
      <c r="L1978" s="935"/>
      <c r="M1978" s="935"/>
      <c r="N1978" s="935"/>
      <c r="O1978" s="935"/>
    </row>
    <row r="1979" spans="1:15" ht="15" customHeight="1">
      <c r="A1979" s="908" t="s">
        <v>2094</v>
      </c>
      <c r="B1979" s="909" t="s">
        <v>2095</v>
      </c>
      <c r="C1979" s="910" t="e">
        <f>VLOOKUP(B1974,'LƯƠNG KT'!$D$16:$Z$184,19,0)</f>
        <v>#N/A</v>
      </c>
      <c r="D1979" s="609" t="e">
        <f>+C1979*$L$8</f>
        <v>#N/A</v>
      </c>
      <c r="E1979" s="912"/>
      <c r="F1979" s="912"/>
      <c r="G1979" s="908" t="s">
        <v>2094</v>
      </c>
      <c r="H1979" s="909" t="s">
        <v>2095</v>
      </c>
      <c r="I1979" s="910" t="e">
        <f>VLOOKUP(H1974,'LƯƠNG KT'!$D$16:$Z$184,19,0)</f>
        <v>#N/A</v>
      </c>
      <c r="J1979" s="609" t="e">
        <f>+I1979*$L$8</f>
        <v>#N/A</v>
      </c>
      <c r="K1979" s="935"/>
      <c r="L1979" s="935"/>
      <c r="M1979" s="935"/>
      <c r="N1979" s="935"/>
      <c r="O1979" s="935"/>
    </row>
    <row r="1980" spans="1:15" ht="15" customHeight="1">
      <c r="A1980" s="908" t="s">
        <v>2096</v>
      </c>
      <c r="B1980" s="913" t="s">
        <v>2097</v>
      </c>
      <c r="C1980" s="910" t="e">
        <f>VLOOKUP(B1974,'LƯƠNG KT'!$D$16:$Z$184,20,0)</f>
        <v>#N/A</v>
      </c>
      <c r="D1980" s="609" t="e">
        <f>+C1980*$L$9</f>
        <v>#N/A</v>
      </c>
      <c r="E1980" s="912"/>
      <c r="F1980" s="912"/>
      <c r="G1980" s="908" t="s">
        <v>2096</v>
      </c>
      <c r="H1980" s="913" t="s">
        <v>2097</v>
      </c>
      <c r="I1980" s="910" t="e">
        <f>VLOOKUP(H1974,'LƯƠNG KT'!$D$16:$Z$184,20,0)</f>
        <v>#N/A</v>
      </c>
      <c r="J1980" s="609" t="e">
        <f>+I1980*$L$9</f>
        <v>#N/A</v>
      </c>
      <c r="K1980" s="935"/>
      <c r="L1980" s="935"/>
      <c r="M1980" s="935"/>
      <c r="N1980" s="935"/>
      <c r="O1980" s="935"/>
    </row>
    <row r="1981" spans="1:15" ht="15" customHeight="1">
      <c r="A1981" s="908" t="s">
        <v>2099</v>
      </c>
      <c r="B1981" s="909" t="s">
        <v>2100</v>
      </c>
      <c r="C1981" s="910" t="e">
        <f>VLOOKUP(B1974,'LƯƠNG KT'!$D$16:$Z$184,17,0)</f>
        <v>#N/A</v>
      </c>
      <c r="D1981" s="609" t="e">
        <f>+C1981*$L$10</f>
        <v>#N/A</v>
      </c>
      <c r="E1981" s="912"/>
      <c r="F1981" s="912"/>
      <c r="G1981" s="908" t="s">
        <v>2099</v>
      </c>
      <c r="H1981" s="909" t="s">
        <v>2100</v>
      </c>
      <c r="I1981" s="910" t="e">
        <f>VLOOKUP(H1974,'LƯƠNG KT'!$D$16:$Z$184,17,0)</f>
        <v>#N/A</v>
      </c>
      <c r="J1981" s="609" t="e">
        <f>+I1981*$L$10</f>
        <v>#N/A</v>
      </c>
      <c r="K1981" s="935"/>
      <c r="L1981" s="935"/>
      <c r="M1981" s="935"/>
      <c r="N1981" s="935"/>
      <c r="O1981" s="935"/>
    </row>
    <row r="1982" spans="1:15" ht="15" customHeight="1">
      <c r="A1982" s="908" t="s">
        <v>374</v>
      </c>
      <c r="B1982" s="909" t="s">
        <v>2102</v>
      </c>
      <c r="C1982" s="910" t="e">
        <f>VLOOKUP(B1974,'LƯƠNG KT'!$D$16:$Z$184,12,0)</f>
        <v>#N/A</v>
      </c>
      <c r="D1982" s="609" t="e">
        <f>VLOOKUP(B1974,'LƯƠNG KT'!$D$16:$Z$184,14,0)</f>
        <v>#N/A</v>
      </c>
      <c r="E1982" s="914"/>
      <c r="F1982" s="912"/>
      <c r="G1982" s="908" t="s">
        <v>374</v>
      </c>
      <c r="H1982" s="909" t="s">
        <v>2102</v>
      </c>
      <c r="I1982" s="910" t="e">
        <f>VLOOKUP(H1974,'LƯƠNG KT'!$D$16:$Z$184,12,0)</f>
        <v>#N/A</v>
      </c>
      <c r="J1982" s="609" t="e">
        <f>VLOOKUP(H1974,'LƯƠNG KT'!$D$16:$Z$184,14,0)</f>
        <v>#N/A</v>
      </c>
      <c r="K1982" s="935"/>
      <c r="L1982" s="935"/>
      <c r="M1982" s="935"/>
      <c r="N1982" s="935"/>
      <c r="O1982" s="935"/>
    </row>
    <row r="1983" spans="1:15" ht="15" customHeight="1">
      <c r="A1983" s="908" t="s">
        <v>2103</v>
      </c>
      <c r="B1983" s="909" t="s">
        <v>2104</v>
      </c>
      <c r="D1983" s="915" t="e">
        <f>VLOOKUP(B1974,'LƯƠNG KT'!$D$16:$Z$184,13,0)</f>
        <v>#N/A</v>
      </c>
      <c r="E1983" s="916"/>
      <c r="F1983" s="916"/>
      <c r="G1983" s="908" t="s">
        <v>2103</v>
      </c>
      <c r="H1983" s="909" t="s">
        <v>2104</v>
      </c>
      <c r="J1983" s="915" t="e">
        <f>VLOOKUP(H1974,'LƯƠNG KT'!$D$16:$Z$184,13,0)</f>
        <v>#N/A</v>
      </c>
    </row>
    <row r="1984" spans="1:15" ht="15" customHeight="1">
      <c r="A1984" s="547"/>
      <c r="B1984" s="546"/>
      <c r="C1984" s="910"/>
      <c r="D1984" s="609"/>
      <c r="E1984" s="914"/>
      <c r="F1984" s="916"/>
      <c r="G1984" s="547"/>
      <c r="H1984" s="546"/>
      <c r="I1984" s="910"/>
      <c r="J1984" s="609"/>
    </row>
    <row r="1985" spans="1:15" ht="15" customHeight="1">
      <c r="A1985" s="905"/>
      <c r="B1985" s="546"/>
      <c r="C1985" s="910"/>
      <c r="D1985" s="609"/>
      <c r="E1985" s="917"/>
      <c r="F1985" s="904"/>
      <c r="G1985" s="905"/>
      <c r="H1985" s="546"/>
      <c r="I1985" s="910"/>
      <c r="J1985" s="609"/>
    </row>
    <row r="1986" spans="1:15" ht="15" customHeight="1">
      <c r="A1986" s="918" t="s">
        <v>383</v>
      </c>
      <c r="B1986" s="919" t="s">
        <v>384</v>
      </c>
      <c r="C1986" s="920"/>
      <c r="D1986" s="921" t="e">
        <f>SUM(D1975:D1982)-D1985</f>
        <v>#N/A</v>
      </c>
      <c r="E1986" s="922"/>
      <c r="F1986" s="923"/>
      <c r="G1986" s="918" t="s">
        <v>383</v>
      </c>
      <c r="H1986" s="919" t="s">
        <v>384</v>
      </c>
      <c r="I1986" s="920"/>
      <c r="J1986" s="921" t="e">
        <f>SUM(J1975:J1982)-J1985</f>
        <v>#N/A</v>
      </c>
    </row>
    <row r="1987" spans="1:15" ht="18.75" customHeight="1">
      <c r="A1987" s="924"/>
      <c r="B1987" s="925"/>
      <c r="C1987" s="926"/>
      <c r="D1987" s="927"/>
      <c r="E1987" s="927"/>
      <c r="F1987" s="928"/>
      <c r="G1987" s="924"/>
      <c r="H1987" s="925"/>
      <c r="I1987" s="926"/>
      <c r="J1987" s="927"/>
    </row>
    <row r="1988" spans="1:15" ht="141.75" customHeight="1">
      <c r="A1988" s="925"/>
      <c r="B1988" s="925"/>
      <c r="C1988" s="929"/>
      <c r="D1988" s="930"/>
      <c r="E1988" s="925"/>
      <c r="F1988" s="931"/>
      <c r="G1988" s="925"/>
      <c r="H1988" s="925"/>
      <c r="I1988" s="929"/>
      <c r="J1988" s="930"/>
    </row>
    <row r="1989" spans="1:15" ht="15" customHeight="1">
      <c r="A1989" s="2360" t="str">
        <f>$K$2</f>
        <v>THÁNG 04/2025</v>
      </c>
      <c r="B1989" s="2360"/>
      <c r="C1989" s="2360"/>
      <c r="D1989" s="2360"/>
      <c r="E1989" s="903"/>
      <c r="F1989" s="904"/>
      <c r="G1989" s="2360" t="str">
        <f>$K$2</f>
        <v>THÁNG 04/2025</v>
      </c>
      <c r="H1989" s="2360"/>
      <c r="I1989" s="2360"/>
      <c r="J1989" s="2360"/>
      <c r="K1989" s="276"/>
    </row>
    <row r="1990" spans="1:15" ht="15" customHeight="1">
      <c r="A1990" s="905" t="s">
        <v>356</v>
      </c>
      <c r="B1990" s="642"/>
      <c r="C1990" s="546"/>
      <c r="D1990" s="902"/>
      <c r="E1990" s="906"/>
      <c r="F1990" s="907"/>
      <c r="G1990" s="905" t="s">
        <v>356</v>
      </c>
      <c r="H1990" s="642" t="s">
        <v>136</v>
      </c>
      <c r="I1990" s="546"/>
      <c r="J1990" s="902"/>
      <c r="L1990" s="938"/>
      <c r="M1990" s="938"/>
      <c r="N1990" s="938"/>
      <c r="O1990" s="938"/>
    </row>
    <row r="1991" spans="1:15" ht="15" customHeight="1">
      <c r="A1991" s="908" t="s">
        <v>359</v>
      </c>
      <c r="B1991" s="909" t="s">
        <v>2090</v>
      </c>
      <c r="C1991" s="910" t="e">
        <f>VLOOKUP(B1990,'LƯƠNG KT'!$D$16:$Z$184,4,0)</f>
        <v>#N/A</v>
      </c>
      <c r="D1991" s="609" t="e">
        <f>+C1991*25000</f>
        <v>#N/A</v>
      </c>
      <c r="E1991" s="911"/>
      <c r="F1991" s="911"/>
      <c r="G1991" s="908" t="s">
        <v>359</v>
      </c>
      <c r="H1991" s="909" t="s">
        <v>2090</v>
      </c>
      <c r="I1991" s="910" t="e">
        <f>VLOOKUP(H1990,'LƯƠNG KT'!$D$16:$Z$184,4,0)</f>
        <v>#N/A</v>
      </c>
      <c r="J1991" s="609" t="e">
        <f>+I1991*25000</f>
        <v>#N/A</v>
      </c>
      <c r="K1991" s="935"/>
      <c r="L1991" s="935"/>
      <c r="M1991" s="935"/>
      <c r="N1991" s="935"/>
      <c r="O1991" s="935"/>
    </row>
    <row r="1992" spans="1:15" ht="15" customHeight="1">
      <c r="A1992" s="908" t="s">
        <v>361</v>
      </c>
      <c r="B1992" s="909" t="s">
        <v>2091</v>
      </c>
      <c r="C1992" s="910" t="e">
        <f>VLOOKUP(B1990,'LƯƠNG KT'!$D$16:$Z$184,15,0)</f>
        <v>#N/A</v>
      </c>
      <c r="D1992" s="609" t="e">
        <f>C1992*$L$4</f>
        <v>#N/A</v>
      </c>
      <c r="E1992" s="912"/>
      <c r="F1992" s="912"/>
      <c r="G1992" s="908" t="s">
        <v>361</v>
      </c>
      <c r="H1992" s="909" t="s">
        <v>2091</v>
      </c>
      <c r="I1992" s="910" t="e">
        <f>VLOOKUP(H1990,'LƯƠNG KT'!$D$16:$Z$184,15,0)</f>
        <v>#N/A</v>
      </c>
      <c r="J1992" s="609" t="e">
        <f>I1992*$L$4</f>
        <v>#N/A</v>
      </c>
      <c r="K1992" s="935"/>
      <c r="L1992" s="935"/>
      <c r="M1992" s="935"/>
      <c r="N1992" s="935"/>
      <c r="O1992" s="935"/>
    </row>
    <row r="1993" spans="1:15" ht="15" customHeight="1">
      <c r="A1993" s="908" t="s">
        <v>364</v>
      </c>
      <c r="B1993" s="909" t="s">
        <v>2092</v>
      </c>
      <c r="C1993" s="910" t="e">
        <f>VLOOKUP(B1990,'LƯƠNG KT'!$D$16:$Z$184,16,0)</f>
        <v>#N/A</v>
      </c>
      <c r="D1993" s="609" t="e">
        <f>C1993*$L$5</f>
        <v>#N/A</v>
      </c>
      <c r="E1993" s="912"/>
      <c r="F1993" s="912"/>
      <c r="G1993" s="908" t="s">
        <v>364</v>
      </c>
      <c r="H1993" s="909" t="s">
        <v>2092</v>
      </c>
      <c r="I1993" s="910" t="e">
        <f>VLOOKUP(H1990,'LƯƠNG KT'!$D$16:$Z$184,16,0)</f>
        <v>#N/A</v>
      </c>
      <c r="J1993" s="609" t="e">
        <f>I1993*$L$5</f>
        <v>#N/A</v>
      </c>
      <c r="K1993" s="935"/>
      <c r="L1993" s="935"/>
      <c r="M1993" s="935"/>
      <c r="N1993" s="935"/>
      <c r="O1993" s="935"/>
    </row>
    <row r="1994" spans="1:15" ht="15" customHeight="1">
      <c r="A1994" s="908" t="s">
        <v>370</v>
      </c>
      <c r="B1994" s="909" t="s">
        <v>2093</v>
      </c>
      <c r="C1994" s="910" t="e">
        <f>VLOOKUP(B1990,'LƯƠNG KT'!$D$16:$Z$184,24,0)</f>
        <v>#N/A</v>
      </c>
      <c r="D1994" s="609" t="e">
        <f>+C1994*$L$6</f>
        <v>#N/A</v>
      </c>
      <c r="E1994" s="912"/>
      <c r="F1994" s="912"/>
      <c r="G1994" s="908" t="s">
        <v>370</v>
      </c>
      <c r="H1994" s="909" t="s">
        <v>2093</v>
      </c>
      <c r="I1994" s="910" t="e">
        <f>VLOOKUP(H1990,'LƯƠNG KT'!$D$16:$Z$184,24,0)</f>
        <v>#N/A</v>
      </c>
      <c r="J1994" s="609" t="e">
        <f>+I1994*$L$6</f>
        <v>#N/A</v>
      </c>
      <c r="K1994" s="935"/>
      <c r="L1994" s="935"/>
      <c r="M1994" s="935"/>
      <c r="N1994" s="935"/>
      <c r="O1994" s="935"/>
    </row>
    <row r="1995" spans="1:15" ht="15" customHeight="1">
      <c r="A1995" s="908" t="s">
        <v>2094</v>
      </c>
      <c r="B1995" s="909" t="s">
        <v>2095</v>
      </c>
      <c r="C1995" s="910" t="e">
        <f>VLOOKUP(B1990,'LƯƠNG KT'!$D$16:$Z$184,19,0)</f>
        <v>#N/A</v>
      </c>
      <c r="D1995" s="609" t="e">
        <f>+C1995*$L$8</f>
        <v>#N/A</v>
      </c>
      <c r="E1995" s="912"/>
      <c r="F1995" s="912"/>
      <c r="G1995" s="908" t="s">
        <v>2094</v>
      </c>
      <c r="H1995" s="909" t="s">
        <v>2095</v>
      </c>
      <c r="I1995" s="910" t="e">
        <f>VLOOKUP(H1990,'LƯƠNG KT'!$D$16:$Z$184,19,0)</f>
        <v>#N/A</v>
      </c>
      <c r="J1995" s="609" t="e">
        <f>+I1995*$L$8</f>
        <v>#N/A</v>
      </c>
      <c r="K1995" s="935"/>
      <c r="L1995" s="935"/>
      <c r="M1995" s="935"/>
      <c r="N1995" s="935"/>
      <c r="O1995" s="935"/>
    </row>
    <row r="1996" spans="1:15" ht="15" customHeight="1">
      <c r="A1996" s="908" t="s">
        <v>2096</v>
      </c>
      <c r="B1996" s="913" t="s">
        <v>2097</v>
      </c>
      <c r="C1996" s="910" t="e">
        <f>VLOOKUP(B1990,'LƯƠNG KT'!$D$16:$Z$184,20,0)</f>
        <v>#N/A</v>
      </c>
      <c r="D1996" s="609" t="e">
        <f>+C1996*$L$9</f>
        <v>#N/A</v>
      </c>
      <c r="E1996" s="912"/>
      <c r="F1996" s="912"/>
      <c r="G1996" s="908" t="s">
        <v>2096</v>
      </c>
      <c r="H1996" s="913" t="s">
        <v>2097</v>
      </c>
      <c r="I1996" s="910" t="e">
        <f>VLOOKUP(H1990,'LƯƠNG KT'!$D$16:$Z$184,20,0)</f>
        <v>#N/A</v>
      </c>
      <c r="J1996" s="609" t="e">
        <f>+I1996*$L$9</f>
        <v>#N/A</v>
      </c>
      <c r="K1996" s="935"/>
      <c r="L1996" s="935"/>
      <c r="M1996" s="935"/>
      <c r="N1996" s="935"/>
      <c r="O1996" s="935"/>
    </row>
    <row r="1997" spans="1:15" ht="15" customHeight="1">
      <c r="A1997" s="908" t="s">
        <v>2099</v>
      </c>
      <c r="B1997" s="909" t="s">
        <v>2100</v>
      </c>
      <c r="C1997" s="910" t="e">
        <f>VLOOKUP(B1990,'LƯƠNG KT'!$D$16:$Z$184,17,0)</f>
        <v>#N/A</v>
      </c>
      <c r="D1997" s="609" t="e">
        <f>+C1997*$L$10</f>
        <v>#N/A</v>
      </c>
      <c r="E1997" s="912"/>
      <c r="F1997" s="912"/>
      <c r="G1997" s="908" t="s">
        <v>2099</v>
      </c>
      <c r="H1997" s="909" t="s">
        <v>2100</v>
      </c>
      <c r="I1997" s="910" t="e">
        <f>VLOOKUP(H1990,'LƯƠNG KT'!$D$16:$Z$184,17,0)</f>
        <v>#N/A</v>
      </c>
      <c r="J1997" s="609" t="e">
        <f>+I1997*$L$10</f>
        <v>#N/A</v>
      </c>
      <c r="K1997" s="935"/>
      <c r="L1997" s="935"/>
      <c r="M1997" s="935"/>
      <c r="N1997" s="935"/>
      <c r="O1997" s="935"/>
    </row>
    <row r="1998" spans="1:15" ht="15" customHeight="1">
      <c r="A1998" s="908" t="s">
        <v>374</v>
      </c>
      <c r="B1998" s="909" t="s">
        <v>2102</v>
      </c>
      <c r="C1998" s="910" t="e">
        <f>VLOOKUP(B1990,'LƯƠNG KT'!$D$16:$Z$184,12,0)</f>
        <v>#N/A</v>
      </c>
      <c r="D1998" s="609" t="e">
        <f>VLOOKUP(B1990,'LƯƠNG KT'!$D$16:$Z$184,14,0)</f>
        <v>#N/A</v>
      </c>
      <c r="E1998" s="914"/>
      <c r="F1998" s="912"/>
      <c r="G1998" s="908" t="s">
        <v>374</v>
      </c>
      <c r="H1998" s="909" t="s">
        <v>2102</v>
      </c>
      <c r="I1998" s="910" t="e">
        <f>VLOOKUP(H1990,'LƯƠNG KT'!$D$16:$Z$184,12,0)</f>
        <v>#N/A</v>
      </c>
      <c r="J1998" s="609" t="e">
        <f>VLOOKUP(H1990,'LƯƠNG KT'!$D$16:$Z$184,14,0)</f>
        <v>#N/A</v>
      </c>
      <c r="K1998" s="935"/>
      <c r="L1998" s="935"/>
      <c r="M1998" s="935"/>
      <c r="N1998" s="935"/>
      <c r="O1998" s="935"/>
    </row>
    <row r="1999" spans="1:15" ht="15" customHeight="1">
      <c r="A1999" s="908" t="s">
        <v>2103</v>
      </c>
      <c r="B1999" s="909" t="s">
        <v>2104</v>
      </c>
      <c r="D1999" s="915" t="e">
        <f>VLOOKUP(B1990,'LƯƠNG KT'!$D$16:$Z$184,13,0)</f>
        <v>#N/A</v>
      </c>
      <c r="E1999" s="916"/>
      <c r="F1999" s="916"/>
      <c r="G1999" s="908" t="s">
        <v>2103</v>
      </c>
      <c r="H1999" s="909" t="s">
        <v>2104</v>
      </c>
      <c r="J1999" s="915" t="e">
        <f>VLOOKUP(H1990,'LƯƠNG KT'!$D$16:$Z$184,13,0)</f>
        <v>#N/A</v>
      </c>
    </row>
    <row r="2000" spans="1:15" ht="15" customHeight="1">
      <c r="A2000" s="547"/>
      <c r="B2000" s="546"/>
      <c r="C2000" s="910"/>
      <c r="D2000" s="609"/>
      <c r="E2000" s="914"/>
      <c r="F2000" s="916"/>
      <c r="G2000" s="547"/>
      <c r="H2000" s="546"/>
      <c r="I2000" s="910"/>
      <c r="J2000" s="609"/>
    </row>
    <row r="2001" spans="1:15" ht="15" customHeight="1">
      <c r="A2001" s="905"/>
      <c r="B2001" s="546"/>
      <c r="C2001" s="910"/>
      <c r="D2001" s="609"/>
      <c r="E2001" s="917"/>
      <c r="F2001" s="904"/>
      <c r="G2001" s="905"/>
      <c r="H2001" s="546"/>
      <c r="I2001" s="910"/>
      <c r="J2001" s="609"/>
    </row>
    <row r="2002" spans="1:15" ht="15" customHeight="1">
      <c r="A2002" s="918" t="s">
        <v>383</v>
      </c>
      <c r="B2002" s="919" t="s">
        <v>384</v>
      </c>
      <c r="C2002" s="920"/>
      <c r="D2002" s="921"/>
      <c r="E2002" s="922"/>
      <c r="F2002" s="923"/>
      <c r="G2002" s="918" t="s">
        <v>383</v>
      </c>
      <c r="H2002" s="919" t="s">
        <v>384</v>
      </c>
      <c r="I2002" s="920"/>
      <c r="J2002" s="921" t="e">
        <f>SUM(J1991:J1998)-J2001</f>
        <v>#N/A</v>
      </c>
    </row>
    <row r="2003" spans="1:15" ht="18.75" customHeight="1">
      <c r="A2003" s="924"/>
      <c r="B2003" s="925"/>
      <c r="C2003" s="926"/>
      <c r="D2003" s="927"/>
      <c r="E2003" s="927"/>
      <c r="F2003" s="928"/>
      <c r="G2003" s="924"/>
      <c r="H2003" s="925"/>
      <c r="I2003" s="926"/>
      <c r="J2003" s="927"/>
    </row>
    <row r="2004" spans="1:15" ht="18.75" customHeight="1">
      <c r="A2004" s="925"/>
      <c r="B2004" s="925"/>
      <c r="C2004" s="929"/>
      <c r="D2004" s="930"/>
      <c r="E2004" s="925"/>
      <c r="F2004" s="931"/>
      <c r="G2004" s="925"/>
      <c r="H2004" s="925"/>
      <c r="I2004" s="929"/>
      <c r="J2004" s="930"/>
    </row>
    <row r="2005" spans="1:15" ht="15" customHeight="1">
      <c r="A2005" s="2360" t="str">
        <f>$K$2</f>
        <v>THÁNG 04/2025</v>
      </c>
      <c r="B2005" s="2360"/>
      <c r="C2005" s="2360"/>
      <c r="D2005" s="2360"/>
      <c r="E2005" s="903"/>
      <c r="F2005" s="904"/>
      <c r="G2005" s="2360" t="str">
        <f>$K$2</f>
        <v>THÁNG 04/2025</v>
      </c>
      <c r="H2005" s="2360"/>
      <c r="I2005" s="2360"/>
      <c r="J2005" s="2360"/>
      <c r="K2005" s="276"/>
    </row>
    <row r="2006" spans="1:15" ht="15" customHeight="1">
      <c r="A2006" s="905" t="s">
        <v>356</v>
      </c>
      <c r="B2006" s="642" t="s">
        <v>137</v>
      </c>
      <c r="C2006" s="546"/>
      <c r="D2006" s="902"/>
      <c r="E2006" s="906"/>
      <c r="F2006" s="907"/>
      <c r="G2006" s="905" t="s">
        <v>356</v>
      </c>
      <c r="H2006" s="642" t="s">
        <v>138</v>
      </c>
      <c r="I2006" s="546"/>
      <c r="J2006" s="902"/>
      <c r="L2006" s="938"/>
      <c r="M2006" s="938"/>
      <c r="N2006" s="938"/>
      <c r="O2006" s="938"/>
    </row>
    <row r="2007" spans="1:15" ht="15" customHeight="1">
      <c r="A2007" s="908" t="s">
        <v>359</v>
      </c>
      <c r="B2007" s="909" t="s">
        <v>2090</v>
      </c>
      <c r="C2007" s="910" t="e">
        <f>VLOOKUP(B2006,'LƯƠNG KT'!$D$16:$Z$184,4,0)</f>
        <v>#N/A</v>
      </c>
      <c r="D2007" s="609" t="e">
        <f>+C2007*25000</f>
        <v>#N/A</v>
      </c>
      <c r="E2007" s="911"/>
      <c r="F2007" s="911"/>
      <c r="G2007" s="908" t="s">
        <v>359</v>
      </c>
      <c r="H2007" s="909" t="s">
        <v>2090</v>
      </c>
      <c r="I2007" s="910" t="e">
        <f>VLOOKUP(H2006,'LƯƠNG KT'!$D$16:$Z$184,4,0)</f>
        <v>#N/A</v>
      </c>
      <c r="J2007" s="609" t="e">
        <f>+I2007*25000</f>
        <v>#N/A</v>
      </c>
      <c r="K2007" s="935"/>
      <c r="L2007" s="935"/>
      <c r="M2007" s="935"/>
      <c r="N2007" s="935"/>
      <c r="O2007" s="935"/>
    </row>
    <row r="2008" spans="1:15" ht="15" customHeight="1">
      <c r="A2008" s="908" t="s">
        <v>361</v>
      </c>
      <c r="B2008" s="909" t="s">
        <v>2091</v>
      </c>
      <c r="C2008" s="910" t="e">
        <f>VLOOKUP(B2006,'LƯƠNG KT'!$D$16:$Z$184,15,0)</f>
        <v>#N/A</v>
      </c>
      <c r="D2008" s="609" t="e">
        <f>C2008*$L$4</f>
        <v>#N/A</v>
      </c>
      <c r="E2008" s="912"/>
      <c r="F2008" s="912"/>
      <c r="G2008" s="908" t="s">
        <v>361</v>
      </c>
      <c r="H2008" s="909" t="s">
        <v>2091</v>
      </c>
      <c r="I2008" s="910" t="e">
        <f>VLOOKUP(H2006,'LƯƠNG KT'!$D$16:$Z$184,15,0)</f>
        <v>#N/A</v>
      </c>
      <c r="J2008" s="609" t="e">
        <f>I2008*$L$4</f>
        <v>#N/A</v>
      </c>
      <c r="K2008" s="935"/>
      <c r="L2008" s="935"/>
      <c r="M2008" s="935"/>
      <c r="N2008" s="935"/>
      <c r="O2008" s="935"/>
    </row>
    <row r="2009" spans="1:15" ht="15" customHeight="1">
      <c r="A2009" s="908" t="s">
        <v>364</v>
      </c>
      <c r="B2009" s="909" t="s">
        <v>2092</v>
      </c>
      <c r="C2009" s="910" t="e">
        <f>VLOOKUP(B2006,'LƯƠNG KT'!$D$16:$Z$184,16,0)</f>
        <v>#N/A</v>
      </c>
      <c r="D2009" s="609" t="e">
        <f>C2009*$L$5</f>
        <v>#N/A</v>
      </c>
      <c r="E2009" s="912"/>
      <c r="F2009" s="912"/>
      <c r="G2009" s="908" t="s">
        <v>364</v>
      </c>
      <c r="H2009" s="909" t="s">
        <v>2092</v>
      </c>
      <c r="I2009" s="910" t="e">
        <f>VLOOKUP(H2006,'LƯƠNG KT'!$D$16:$Z$184,16,0)</f>
        <v>#N/A</v>
      </c>
      <c r="J2009" s="609" t="e">
        <f>I2009*$L$5</f>
        <v>#N/A</v>
      </c>
      <c r="K2009" s="935"/>
      <c r="L2009" s="935"/>
      <c r="M2009" s="935"/>
      <c r="N2009" s="935"/>
      <c r="O2009" s="935"/>
    </row>
    <row r="2010" spans="1:15" ht="15" customHeight="1">
      <c r="A2010" s="908" t="s">
        <v>370</v>
      </c>
      <c r="B2010" s="909" t="s">
        <v>2093</v>
      </c>
      <c r="C2010" s="910" t="e">
        <f>VLOOKUP(B2006,'LƯƠNG KT'!$D$16:$Z$184,24,0)</f>
        <v>#N/A</v>
      </c>
      <c r="D2010" s="609" t="e">
        <f>+C2010*$L$6</f>
        <v>#N/A</v>
      </c>
      <c r="E2010" s="912"/>
      <c r="F2010" s="912"/>
      <c r="G2010" s="908" t="s">
        <v>370</v>
      </c>
      <c r="H2010" s="909" t="s">
        <v>2093</v>
      </c>
      <c r="I2010" s="910" t="e">
        <f>VLOOKUP(H2006,'LƯƠNG KT'!$D$16:$Z$184,24,0)</f>
        <v>#N/A</v>
      </c>
      <c r="J2010" s="609" t="e">
        <f>+I2010*$L$6</f>
        <v>#N/A</v>
      </c>
      <c r="K2010" s="935"/>
      <c r="L2010" s="935"/>
      <c r="M2010" s="935"/>
      <c r="N2010" s="935"/>
      <c r="O2010" s="935"/>
    </row>
    <row r="2011" spans="1:15" ht="15" customHeight="1">
      <c r="A2011" s="908" t="s">
        <v>2094</v>
      </c>
      <c r="B2011" s="909" t="s">
        <v>2095</v>
      </c>
      <c r="C2011" s="910" t="e">
        <f>VLOOKUP(B2006,'LƯƠNG KT'!$D$16:$Z$184,19,0)</f>
        <v>#N/A</v>
      </c>
      <c r="D2011" s="609" t="e">
        <f>+C2011*$L$8</f>
        <v>#N/A</v>
      </c>
      <c r="E2011" s="912"/>
      <c r="F2011" s="912"/>
      <c r="G2011" s="908" t="s">
        <v>2094</v>
      </c>
      <c r="H2011" s="909" t="s">
        <v>2095</v>
      </c>
      <c r="I2011" s="910" t="e">
        <f>VLOOKUP(H2006,'LƯƠNG KT'!$D$16:$Z$184,19,0)</f>
        <v>#N/A</v>
      </c>
      <c r="J2011" s="609" t="e">
        <f>+I2011*$L$8</f>
        <v>#N/A</v>
      </c>
      <c r="K2011" s="935"/>
      <c r="L2011" s="935"/>
      <c r="M2011" s="935"/>
      <c r="N2011" s="935"/>
      <c r="O2011" s="935"/>
    </row>
    <row r="2012" spans="1:15" ht="15" customHeight="1">
      <c r="A2012" s="908" t="s">
        <v>2096</v>
      </c>
      <c r="B2012" s="913" t="s">
        <v>2097</v>
      </c>
      <c r="C2012" s="910" t="e">
        <f>VLOOKUP(B2006,'LƯƠNG KT'!$D$16:$Z$184,20,0)</f>
        <v>#N/A</v>
      </c>
      <c r="D2012" s="609" t="e">
        <f>+C2012*$L$9</f>
        <v>#N/A</v>
      </c>
      <c r="E2012" s="912"/>
      <c r="F2012" s="912"/>
      <c r="G2012" s="908" t="s">
        <v>2096</v>
      </c>
      <c r="H2012" s="913" t="s">
        <v>2097</v>
      </c>
      <c r="I2012" s="910" t="e">
        <f>VLOOKUP(H2006,'LƯƠNG KT'!$D$16:$Z$184,20,0)</f>
        <v>#N/A</v>
      </c>
      <c r="J2012" s="609" t="e">
        <f>+I2012*$L$9</f>
        <v>#N/A</v>
      </c>
      <c r="K2012" s="935"/>
      <c r="L2012" s="935"/>
      <c r="M2012" s="935"/>
      <c r="N2012" s="935"/>
      <c r="O2012" s="935"/>
    </row>
    <row r="2013" spans="1:15" ht="15" customHeight="1">
      <c r="A2013" s="908" t="s">
        <v>2099</v>
      </c>
      <c r="B2013" s="909" t="s">
        <v>2100</v>
      </c>
      <c r="C2013" s="910" t="e">
        <f>VLOOKUP(B2006,'LƯƠNG KT'!$D$16:$Z$184,17,0)</f>
        <v>#N/A</v>
      </c>
      <c r="D2013" s="609" t="e">
        <f>+C2013*$L$10</f>
        <v>#N/A</v>
      </c>
      <c r="E2013" s="912"/>
      <c r="F2013" s="912"/>
      <c r="G2013" s="908" t="s">
        <v>2099</v>
      </c>
      <c r="H2013" s="909" t="s">
        <v>2100</v>
      </c>
      <c r="I2013" s="910" t="e">
        <f>VLOOKUP(H2006,'LƯƠNG KT'!$D$16:$Z$184,17,0)</f>
        <v>#N/A</v>
      </c>
      <c r="J2013" s="609" t="e">
        <f>+I2013*$L$10</f>
        <v>#N/A</v>
      </c>
      <c r="K2013" s="935"/>
      <c r="L2013" s="935"/>
      <c r="M2013" s="935"/>
      <c r="N2013" s="935"/>
      <c r="O2013" s="935"/>
    </row>
    <row r="2014" spans="1:15" ht="15" customHeight="1">
      <c r="A2014" s="908" t="s">
        <v>374</v>
      </c>
      <c r="B2014" s="909" t="s">
        <v>2102</v>
      </c>
      <c r="C2014" s="910" t="e">
        <f>VLOOKUP(B2006,'LƯƠNG KT'!$D$16:$Z$184,12,0)</f>
        <v>#N/A</v>
      </c>
      <c r="D2014" s="609" t="e">
        <f>VLOOKUP(B2006,'LƯƠNG KT'!$D$16:$Z$184,14,0)</f>
        <v>#N/A</v>
      </c>
      <c r="E2014" s="914"/>
      <c r="F2014" s="912"/>
      <c r="G2014" s="908" t="s">
        <v>374</v>
      </c>
      <c r="H2014" s="909" t="s">
        <v>2102</v>
      </c>
      <c r="I2014" s="910" t="e">
        <f>VLOOKUP(H2006,'LƯƠNG KT'!$D$16:$Z$184,12,0)</f>
        <v>#N/A</v>
      </c>
      <c r="J2014" s="609" t="e">
        <f>VLOOKUP(H2006,'LƯƠNG KT'!$D$16:$Z$184,14,0)</f>
        <v>#N/A</v>
      </c>
      <c r="K2014" s="935"/>
      <c r="L2014" s="935"/>
      <c r="M2014" s="935"/>
      <c r="N2014" s="935"/>
      <c r="O2014" s="935"/>
    </row>
    <row r="2015" spans="1:15" ht="15" customHeight="1">
      <c r="A2015" s="908" t="s">
        <v>2103</v>
      </c>
      <c r="B2015" s="909" t="s">
        <v>2104</v>
      </c>
      <c r="D2015" s="915" t="e">
        <f>VLOOKUP(B2006,'LƯƠNG KT'!$D$16:$Z$184,13,0)</f>
        <v>#N/A</v>
      </c>
      <c r="E2015" s="916"/>
      <c r="F2015" s="916"/>
      <c r="G2015" s="908" t="s">
        <v>2103</v>
      </c>
      <c r="H2015" s="909" t="s">
        <v>2104</v>
      </c>
      <c r="J2015" s="915" t="e">
        <f>VLOOKUP(H2006,'LƯƠNG KT'!$D$16:$Z$184,13,0)</f>
        <v>#N/A</v>
      </c>
    </row>
    <row r="2016" spans="1:15" ht="15" customHeight="1">
      <c r="A2016" s="547"/>
      <c r="B2016" s="546"/>
      <c r="C2016" s="910"/>
      <c r="D2016" s="609"/>
      <c r="E2016" s="914"/>
      <c r="F2016" s="916"/>
      <c r="G2016" s="547"/>
      <c r="H2016" s="546"/>
      <c r="I2016" s="910"/>
      <c r="J2016" s="609"/>
    </row>
    <row r="2017" spans="1:15" ht="15" customHeight="1">
      <c r="A2017" s="905"/>
      <c r="B2017" s="546"/>
      <c r="C2017" s="910"/>
      <c r="D2017" s="609"/>
      <c r="E2017" s="917"/>
      <c r="F2017" s="904"/>
      <c r="G2017" s="905"/>
      <c r="H2017" s="546"/>
      <c r="I2017" s="910"/>
      <c r="J2017" s="609"/>
    </row>
    <row r="2018" spans="1:15" ht="15" customHeight="1">
      <c r="A2018" s="918" t="s">
        <v>383</v>
      </c>
      <c r="B2018" s="919" t="s">
        <v>384</v>
      </c>
      <c r="C2018" s="920"/>
      <c r="D2018" s="921" t="e">
        <f>SUM(D2007:D2014)-D2017</f>
        <v>#N/A</v>
      </c>
      <c r="E2018" s="922"/>
      <c r="F2018" s="923"/>
      <c r="G2018" s="918" t="s">
        <v>383</v>
      </c>
      <c r="H2018" s="919" t="s">
        <v>384</v>
      </c>
      <c r="I2018" s="920"/>
      <c r="J2018" s="921" t="e">
        <f>SUM(J2007:J2014)-J2017</f>
        <v>#N/A</v>
      </c>
    </row>
    <row r="2019" spans="1:15" ht="15.75" customHeight="1">
      <c r="A2019" s="924"/>
      <c r="B2019" s="925"/>
      <c r="C2019" s="926"/>
      <c r="D2019" s="927"/>
      <c r="E2019" s="927"/>
      <c r="F2019" s="928"/>
      <c r="G2019" s="924"/>
      <c r="H2019" s="925"/>
      <c r="I2019" s="926"/>
      <c r="J2019" s="927"/>
    </row>
    <row r="2021" spans="1:15" ht="12" customHeight="1">
      <c r="A2021" s="2361"/>
      <c r="B2021" s="2361"/>
      <c r="C2021" s="2361"/>
      <c r="D2021" s="2361"/>
      <c r="E2021" s="2361"/>
      <c r="F2021" s="2361"/>
      <c r="G2021" s="2361"/>
      <c r="H2021" s="2361"/>
      <c r="I2021" s="2361"/>
      <c r="J2021" s="2361"/>
    </row>
    <row r="2022" spans="1:15" ht="15" customHeight="1">
      <c r="A2022" s="2360" t="str">
        <f>$K$2</f>
        <v>THÁNG 04/2025</v>
      </c>
      <c r="B2022" s="2360"/>
      <c r="C2022" s="2360"/>
      <c r="D2022" s="2360"/>
      <c r="E2022" s="903"/>
      <c r="F2022" s="904"/>
      <c r="G2022" s="2360" t="str">
        <f>$K$2</f>
        <v>THÁNG 04/2025</v>
      </c>
      <c r="H2022" s="2360"/>
      <c r="I2022" s="2360"/>
      <c r="J2022" s="2360"/>
      <c r="K2022" s="276"/>
    </row>
    <row r="2023" spans="1:15" ht="15" customHeight="1">
      <c r="A2023" s="905" t="s">
        <v>356</v>
      </c>
      <c r="B2023" s="642" t="s">
        <v>139</v>
      </c>
      <c r="C2023" s="546"/>
      <c r="D2023" s="902"/>
      <c r="E2023" s="906"/>
      <c r="F2023" s="907"/>
      <c r="G2023" s="905" t="s">
        <v>356</v>
      </c>
      <c r="H2023" s="642" t="s">
        <v>140</v>
      </c>
      <c r="I2023" s="546"/>
      <c r="J2023" s="902"/>
      <c r="L2023" s="938"/>
      <c r="M2023" s="938"/>
      <c r="N2023" s="938"/>
      <c r="O2023" s="938"/>
    </row>
    <row r="2024" spans="1:15" ht="15" customHeight="1">
      <c r="A2024" s="908" t="s">
        <v>359</v>
      </c>
      <c r="B2024" s="909" t="s">
        <v>2090</v>
      </c>
      <c r="C2024" s="910" t="e">
        <f>VLOOKUP(B2023,'LƯƠNG KT'!$D$16:$Z$184,4,0)</f>
        <v>#N/A</v>
      </c>
      <c r="D2024" s="609" t="e">
        <f>+C2024*25000</f>
        <v>#N/A</v>
      </c>
      <c r="E2024" s="911"/>
      <c r="F2024" s="911"/>
      <c r="G2024" s="908" t="s">
        <v>359</v>
      </c>
      <c r="H2024" s="909" t="s">
        <v>2090</v>
      </c>
      <c r="I2024" s="910" t="e">
        <f>VLOOKUP(H2023,'LƯƠNG KT'!$D$16:$Z$184,4,0)</f>
        <v>#N/A</v>
      </c>
      <c r="J2024" s="609" t="e">
        <f>+I2024*25000</f>
        <v>#N/A</v>
      </c>
      <c r="K2024" s="934"/>
      <c r="L2024" s="935"/>
      <c r="M2024" s="935"/>
      <c r="N2024" s="935"/>
      <c r="O2024" s="935"/>
    </row>
    <row r="2025" spans="1:15" ht="15" customHeight="1">
      <c r="A2025" s="908" t="s">
        <v>361</v>
      </c>
      <c r="B2025" s="909" t="s">
        <v>2091</v>
      </c>
      <c r="C2025" s="910" t="e">
        <f>VLOOKUP(B2023,'LƯƠNG KT'!$D$16:$Z$184,15,0)</f>
        <v>#N/A</v>
      </c>
      <c r="D2025" s="609" t="e">
        <f>C2025*$L$4</f>
        <v>#N/A</v>
      </c>
      <c r="E2025" s="912"/>
      <c r="F2025" s="912"/>
      <c r="G2025" s="908" t="s">
        <v>361</v>
      </c>
      <c r="H2025" s="909" t="s">
        <v>2091</v>
      </c>
      <c r="I2025" s="910" t="e">
        <f>VLOOKUP(H2023,'LƯƠNG KT'!$D$16:$Z$184,15,0)</f>
        <v>#N/A</v>
      </c>
      <c r="J2025" s="609" t="e">
        <f>I2025*$L$4</f>
        <v>#N/A</v>
      </c>
      <c r="K2025" s="934"/>
      <c r="L2025" s="935"/>
      <c r="M2025" s="935"/>
      <c r="N2025" s="935"/>
      <c r="O2025" s="935"/>
    </row>
    <row r="2026" spans="1:15" ht="15" customHeight="1">
      <c r="A2026" s="908" t="s">
        <v>364</v>
      </c>
      <c r="B2026" s="909" t="s">
        <v>2092</v>
      </c>
      <c r="C2026" s="910" t="e">
        <f>VLOOKUP(B2023,'LƯƠNG KT'!$D$16:$Z$184,16,0)</f>
        <v>#N/A</v>
      </c>
      <c r="D2026" s="609" t="e">
        <f>C2026*$L$5</f>
        <v>#N/A</v>
      </c>
      <c r="E2026" s="912"/>
      <c r="F2026" s="912"/>
      <c r="G2026" s="908" t="s">
        <v>364</v>
      </c>
      <c r="H2026" s="909" t="s">
        <v>2092</v>
      </c>
      <c r="I2026" s="910" t="e">
        <f>VLOOKUP(H2023,'LƯƠNG KT'!$D$16:$Z$184,16,0)</f>
        <v>#N/A</v>
      </c>
      <c r="J2026" s="609" t="e">
        <f>I2026*$L$5</f>
        <v>#N/A</v>
      </c>
      <c r="K2026" s="934"/>
      <c r="L2026" s="935"/>
      <c r="M2026" s="935"/>
      <c r="N2026" s="935"/>
      <c r="O2026" s="935"/>
    </row>
    <row r="2027" spans="1:15" ht="15" customHeight="1">
      <c r="A2027" s="908" t="s">
        <v>370</v>
      </c>
      <c r="B2027" s="909" t="s">
        <v>2093</v>
      </c>
      <c r="C2027" s="910" t="e">
        <f>VLOOKUP(B2023,'LƯƠNG KT'!$D$16:$Z$184,24,0)</f>
        <v>#N/A</v>
      </c>
      <c r="D2027" s="609" t="e">
        <f>+C2027*$L$6</f>
        <v>#N/A</v>
      </c>
      <c r="E2027" s="912"/>
      <c r="F2027" s="912"/>
      <c r="G2027" s="908" t="s">
        <v>370</v>
      </c>
      <c r="H2027" s="909" t="s">
        <v>2093</v>
      </c>
      <c r="I2027" s="910" t="e">
        <f>VLOOKUP(H2023,'LƯƠNG KT'!$D$16:$Z$184,24,0)</f>
        <v>#N/A</v>
      </c>
      <c r="J2027" s="609" t="e">
        <f>+I2027*$L$6</f>
        <v>#N/A</v>
      </c>
      <c r="K2027" s="935"/>
      <c r="L2027" s="935"/>
      <c r="M2027" s="935"/>
      <c r="N2027" s="935"/>
      <c r="O2027" s="935"/>
    </row>
    <row r="2028" spans="1:15" ht="15" customHeight="1">
      <c r="A2028" s="908" t="s">
        <v>2094</v>
      </c>
      <c r="B2028" s="909" t="s">
        <v>2095</v>
      </c>
      <c r="C2028" s="910" t="e">
        <f>VLOOKUP(B2023,'LƯƠNG KT'!$D$16:$Z$184,19,0)</f>
        <v>#N/A</v>
      </c>
      <c r="D2028" s="609" t="e">
        <f>+C2028*$L$8</f>
        <v>#N/A</v>
      </c>
      <c r="E2028" s="912"/>
      <c r="F2028" s="912"/>
      <c r="G2028" s="908" t="s">
        <v>2094</v>
      </c>
      <c r="H2028" s="909" t="s">
        <v>2095</v>
      </c>
      <c r="I2028" s="910" t="e">
        <f>VLOOKUP(H2023,'LƯƠNG KT'!$D$16:$Z$184,19,0)</f>
        <v>#N/A</v>
      </c>
      <c r="J2028" s="609" t="e">
        <f>+I2028*$L$8</f>
        <v>#N/A</v>
      </c>
      <c r="K2028" s="935"/>
      <c r="L2028" s="935"/>
      <c r="M2028" s="935"/>
      <c r="N2028" s="935"/>
      <c r="O2028" s="935"/>
    </row>
    <row r="2029" spans="1:15" ht="15" customHeight="1">
      <c r="A2029" s="908" t="s">
        <v>2096</v>
      </c>
      <c r="B2029" s="913" t="s">
        <v>2097</v>
      </c>
      <c r="C2029" s="910" t="e">
        <f>VLOOKUP(B2023,'LƯƠNG KT'!$D$16:$Z$184,20,0)</f>
        <v>#N/A</v>
      </c>
      <c r="D2029" s="609" t="e">
        <f>+C2029*$L$9</f>
        <v>#N/A</v>
      </c>
      <c r="E2029" s="912"/>
      <c r="F2029" s="912"/>
      <c r="G2029" s="908" t="s">
        <v>2096</v>
      </c>
      <c r="H2029" s="913" t="s">
        <v>2097</v>
      </c>
      <c r="I2029" s="910" t="e">
        <f>VLOOKUP(H2023,'LƯƠNG KT'!$D$16:$Z$184,20,0)</f>
        <v>#N/A</v>
      </c>
      <c r="J2029" s="609" t="e">
        <f>+I2029*$L$9</f>
        <v>#N/A</v>
      </c>
      <c r="K2029" s="935"/>
      <c r="L2029" s="935"/>
      <c r="M2029" s="935"/>
      <c r="N2029" s="935"/>
      <c r="O2029" s="935"/>
    </row>
    <row r="2030" spans="1:15" ht="15" customHeight="1">
      <c r="A2030" s="908" t="s">
        <v>2099</v>
      </c>
      <c r="B2030" s="909" t="s">
        <v>2100</v>
      </c>
      <c r="C2030" s="910" t="e">
        <f>VLOOKUP(B2023,'LƯƠNG KT'!$D$16:$Z$184,17,0)</f>
        <v>#N/A</v>
      </c>
      <c r="D2030" s="609" t="e">
        <f>+C2030*$L$10</f>
        <v>#N/A</v>
      </c>
      <c r="E2030" s="912"/>
      <c r="F2030" s="912"/>
      <c r="G2030" s="908" t="s">
        <v>2099</v>
      </c>
      <c r="H2030" s="909" t="s">
        <v>2100</v>
      </c>
      <c r="I2030" s="910" t="e">
        <f>VLOOKUP(H2023,'LƯƠNG KT'!$D$16:$Z$184,17,0)</f>
        <v>#N/A</v>
      </c>
      <c r="J2030" s="609" t="e">
        <f>+I2030*$L$10</f>
        <v>#N/A</v>
      </c>
      <c r="K2030" s="935"/>
      <c r="L2030" s="935"/>
      <c r="M2030" s="935"/>
      <c r="N2030" s="935"/>
      <c r="O2030" s="935"/>
    </row>
    <row r="2031" spans="1:15" ht="15" customHeight="1">
      <c r="A2031" s="908" t="s">
        <v>374</v>
      </c>
      <c r="B2031" s="909" t="s">
        <v>2102</v>
      </c>
      <c r="C2031" s="910" t="e">
        <f>VLOOKUP(B2023,'LƯƠNG KT'!$D$16:$Z$184,12,0)</f>
        <v>#N/A</v>
      </c>
      <c r="D2031" s="609" t="e">
        <f>VLOOKUP(B2023,'LƯƠNG KT'!$D$16:$Z$184,14,0)</f>
        <v>#N/A</v>
      </c>
      <c r="E2031" s="914"/>
      <c r="F2031" s="912"/>
      <c r="G2031" s="908" t="s">
        <v>374</v>
      </c>
      <c r="H2031" s="909" t="s">
        <v>2102</v>
      </c>
      <c r="I2031" s="910" t="e">
        <f>VLOOKUP(H2023,'LƯƠNG KT'!$D$16:$Z$184,12,0)</f>
        <v>#N/A</v>
      </c>
      <c r="J2031" s="609" t="e">
        <f>VLOOKUP(H2023,'LƯƠNG KT'!$D$16:$Z$184,14,0)</f>
        <v>#N/A</v>
      </c>
      <c r="K2031" s="935"/>
      <c r="L2031" s="935"/>
      <c r="M2031" s="935"/>
      <c r="N2031" s="935"/>
      <c r="O2031" s="935"/>
    </row>
    <row r="2032" spans="1:15" ht="15" customHeight="1">
      <c r="A2032" s="908" t="s">
        <v>2103</v>
      </c>
      <c r="B2032" s="909" t="s">
        <v>2104</v>
      </c>
      <c r="D2032" s="915" t="e">
        <f>VLOOKUP(B2023,'LƯƠNG KT'!$D$16:$Z$184,13,0)</f>
        <v>#N/A</v>
      </c>
      <c r="E2032" s="916"/>
      <c r="F2032" s="916"/>
      <c r="G2032" s="908" t="s">
        <v>2103</v>
      </c>
      <c r="H2032" s="909" t="s">
        <v>2104</v>
      </c>
      <c r="J2032" s="915" t="e">
        <f>VLOOKUP(H2023,'LƯƠNG KT'!$D$16:$Z$184,13,0)</f>
        <v>#N/A</v>
      </c>
    </row>
    <row r="2033" spans="1:15" ht="15" customHeight="1">
      <c r="A2033" s="547"/>
      <c r="B2033" s="546"/>
      <c r="C2033" s="910"/>
      <c r="D2033" s="609"/>
      <c r="E2033" s="914"/>
      <c r="F2033" s="916"/>
      <c r="G2033" s="547"/>
      <c r="H2033" s="546"/>
      <c r="I2033" s="910"/>
      <c r="J2033" s="609"/>
    </row>
    <row r="2034" spans="1:15" ht="15" customHeight="1">
      <c r="A2034" s="905"/>
      <c r="B2034" s="546"/>
      <c r="C2034" s="910"/>
      <c r="D2034" s="609"/>
      <c r="E2034" s="917"/>
      <c r="F2034" s="904"/>
      <c r="G2034" s="905"/>
      <c r="H2034" s="546"/>
      <c r="I2034" s="910"/>
      <c r="J2034" s="609"/>
    </row>
    <row r="2035" spans="1:15" ht="15" customHeight="1">
      <c r="A2035" s="918" t="s">
        <v>383</v>
      </c>
      <c r="B2035" s="919" t="s">
        <v>384</v>
      </c>
      <c r="C2035" s="920"/>
      <c r="D2035" s="921" t="e">
        <f>SUM(D2024:D2031)-D2034</f>
        <v>#N/A</v>
      </c>
      <c r="E2035" s="922"/>
      <c r="F2035" s="923"/>
      <c r="G2035" s="918" t="s">
        <v>383</v>
      </c>
      <c r="H2035" s="919" t="s">
        <v>384</v>
      </c>
      <c r="I2035" s="920"/>
      <c r="J2035" s="921" t="e">
        <f>SUM(J2024:J2031)-J2034</f>
        <v>#N/A</v>
      </c>
    </row>
    <row r="2036" spans="1:15" ht="12.6" customHeight="1">
      <c r="A2036" s="924"/>
      <c r="B2036" s="925"/>
      <c r="C2036" s="926"/>
      <c r="D2036" s="927"/>
      <c r="E2036" s="927"/>
      <c r="F2036" s="928"/>
      <c r="G2036" s="924"/>
      <c r="H2036" s="925"/>
      <c r="I2036" s="926"/>
      <c r="J2036" s="927"/>
    </row>
    <row r="2037" spans="1:15" ht="137.25" customHeight="1">
      <c r="A2037" s="925"/>
      <c r="B2037" s="925"/>
      <c r="C2037" s="929"/>
      <c r="D2037" s="930"/>
      <c r="E2037" s="925"/>
      <c r="F2037" s="931"/>
      <c r="G2037" s="925"/>
      <c r="H2037" s="925"/>
      <c r="I2037" s="929"/>
      <c r="J2037" s="930"/>
    </row>
    <row r="2038" spans="1:15" ht="15" customHeight="1">
      <c r="A2038" s="2360" t="str">
        <f>$K$2</f>
        <v>THÁNG 04/2025</v>
      </c>
      <c r="B2038" s="2360"/>
      <c r="C2038" s="2360"/>
      <c r="D2038" s="2360"/>
      <c r="E2038" s="903"/>
      <c r="F2038" s="904"/>
      <c r="G2038" s="2360" t="str">
        <f>$K$2</f>
        <v>THÁNG 04/2025</v>
      </c>
      <c r="H2038" s="2360"/>
      <c r="I2038" s="2360"/>
      <c r="J2038" s="2360"/>
      <c r="K2038" s="276"/>
    </row>
    <row r="2039" spans="1:15" ht="15" customHeight="1">
      <c r="A2039" s="905" t="s">
        <v>356</v>
      </c>
      <c r="B2039" s="642" t="s">
        <v>141</v>
      </c>
      <c r="C2039" s="546"/>
      <c r="D2039" s="902"/>
      <c r="E2039" s="906"/>
      <c r="F2039" s="907"/>
      <c r="G2039" s="905" t="s">
        <v>356</v>
      </c>
      <c r="H2039" s="642" t="s">
        <v>142</v>
      </c>
      <c r="I2039" s="546"/>
      <c r="J2039" s="902"/>
      <c r="L2039" s="938"/>
      <c r="M2039" s="938"/>
      <c r="N2039" s="938"/>
      <c r="O2039" s="938"/>
    </row>
    <row r="2040" spans="1:15" ht="15" customHeight="1">
      <c r="A2040" s="908" t="s">
        <v>359</v>
      </c>
      <c r="B2040" s="909" t="s">
        <v>2090</v>
      </c>
      <c r="C2040" s="910" t="e">
        <f>VLOOKUP(B2039,'LƯƠNG KT'!$D$16:$Z$184,4,0)</f>
        <v>#N/A</v>
      </c>
      <c r="D2040" s="609" t="e">
        <f>+C2040*25000</f>
        <v>#N/A</v>
      </c>
      <c r="E2040" s="911"/>
      <c r="F2040" s="911"/>
      <c r="G2040" s="908" t="s">
        <v>359</v>
      </c>
      <c r="H2040" s="909" t="s">
        <v>2090</v>
      </c>
      <c r="I2040" s="910" t="e">
        <f>VLOOKUP(H2039,'LƯƠNG KT'!$D$16:$Z$184,4,0)</f>
        <v>#N/A</v>
      </c>
      <c r="J2040" s="609" t="e">
        <f>+I2040*25000</f>
        <v>#N/A</v>
      </c>
      <c r="K2040" s="935"/>
      <c r="L2040" s="935"/>
      <c r="M2040" s="935"/>
      <c r="N2040" s="935"/>
      <c r="O2040" s="935"/>
    </row>
    <row r="2041" spans="1:15" ht="15" customHeight="1">
      <c r="A2041" s="908" t="s">
        <v>361</v>
      </c>
      <c r="B2041" s="909" t="s">
        <v>2091</v>
      </c>
      <c r="C2041" s="910" t="e">
        <f>VLOOKUP(B2039,'LƯƠNG KT'!$D$16:$Z$184,15,0)</f>
        <v>#N/A</v>
      </c>
      <c r="D2041" s="609" t="e">
        <f>C2041*$L$4</f>
        <v>#N/A</v>
      </c>
      <c r="E2041" s="912"/>
      <c r="F2041" s="912"/>
      <c r="G2041" s="908" t="s">
        <v>361</v>
      </c>
      <c r="H2041" s="909" t="s">
        <v>2091</v>
      </c>
      <c r="I2041" s="910" t="e">
        <f>VLOOKUP(H2039,'LƯƠNG KT'!$D$16:$Z$184,15,0)</f>
        <v>#N/A</v>
      </c>
      <c r="J2041" s="609" t="e">
        <f>I2041*$L$4</f>
        <v>#N/A</v>
      </c>
      <c r="K2041" s="935"/>
      <c r="L2041" s="935"/>
      <c r="M2041" s="935"/>
      <c r="N2041" s="935"/>
      <c r="O2041" s="935"/>
    </row>
    <row r="2042" spans="1:15" ht="15" customHeight="1">
      <c r="A2042" s="908" t="s">
        <v>364</v>
      </c>
      <c r="B2042" s="909" t="s">
        <v>2092</v>
      </c>
      <c r="C2042" s="910" t="e">
        <f>VLOOKUP(B2039,'LƯƠNG KT'!$D$16:$Z$184,16,0)</f>
        <v>#N/A</v>
      </c>
      <c r="D2042" s="609" t="e">
        <f>C2042*$L$5</f>
        <v>#N/A</v>
      </c>
      <c r="E2042" s="912"/>
      <c r="F2042" s="912"/>
      <c r="G2042" s="908" t="s">
        <v>364</v>
      </c>
      <c r="H2042" s="909" t="s">
        <v>2092</v>
      </c>
      <c r="I2042" s="910" t="e">
        <f>VLOOKUP(H2039,'LƯƠNG KT'!$D$16:$Z$184,16,0)</f>
        <v>#N/A</v>
      </c>
      <c r="J2042" s="609" t="e">
        <f>I2042*$L$5</f>
        <v>#N/A</v>
      </c>
      <c r="K2042" s="935"/>
      <c r="L2042" s="935"/>
      <c r="M2042" s="935"/>
      <c r="N2042" s="935"/>
      <c r="O2042" s="935"/>
    </row>
    <row r="2043" spans="1:15" ht="15" customHeight="1">
      <c r="A2043" s="908" t="s">
        <v>370</v>
      </c>
      <c r="B2043" s="909" t="s">
        <v>2093</v>
      </c>
      <c r="C2043" s="910" t="e">
        <f>VLOOKUP(B2039,'LƯƠNG KT'!$D$16:$Z$184,24,0)</f>
        <v>#N/A</v>
      </c>
      <c r="D2043" s="609" t="e">
        <f>+C2043*$L$6</f>
        <v>#N/A</v>
      </c>
      <c r="E2043" s="912"/>
      <c r="F2043" s="912"/>
      <c r="G2043" s="908" t="s">
        <v>370</v>
      </c>
      <c r="H2043" s="909" t="s">
        <v>2093</v>
      </c>
      <c r="I2043" s="910" t="e">
        <f>VLOOKUP(H2039,'LƯƠNG KT'!$D$16:$Z$184,24,0)</f>
        <v>#N/A</v>
      </c>
      <c r="J2043" s="609" t="e">
        <f>+I2043*$L$6</f>
        <v>#N/A</v>
      </c>
      <c r="K2043" s="935"/>
      <c r="L2043" s="935"/>
      <c r="M2043" s="935"/>
      <c r="N2043" s="935"/>
      <c r="O2043" s="935"/>
    </row>
    <row r="2044" spans="1:15" ht="15" customHeight="1">
      <c r="A2044" s="908" t="s">
        <v>2094</v>
      </c>
      <c r="B2044" s="909" t="s">
        <v>2095</v>
      </c>
      <c r="C2044" s="910" t="e">
        <f>VLOOKUP(B2039,'LƯƠNG KT'!$D$16:$Z$184,19,0)</f>
        <v>#N/A</v>
      </c>
      <c r="D2044" s="609" t="e">
        <f>+C2044*$L$8</f>
        <v>#N/A</v>
      </c>
      <c r="E2044" s="912"/>
      <c r="F2044" s="912"/>
      <c r="G2044" s="908" t="s">
        <v>2094</v>
      </c>
      <c r="H2044" s="909" t="s">
        <v>2095</v>
      </c>
      <c r="I2044" s="910" t="e">
        <f>VLOOKUP(H2039,'LƯƠNG KT'!$D$16:$Z$184,19,0)</f>
        <v>#N/A</v>
      </c>
      <c r="J2044" s="609" t="e">
        <f>+I2044*$L$8</f>
        <v>#N/A</v>
      </c>
      <c r="K2044" s="935"/>
      <c r="L2044" s="935"/>
      <c r="M2044" s="935"/>
      <c r="N2044" s="935"/>
      <c r="O2044" s="935"/>
    </row>
    <row r="2045" spans="1:15" ht="15" customHeight="1">
      <c r="A2045" s="908" t="s">
        <v>2096</v>
      </c>
      <c r="B2045" s="913" t="s">
        <v>2097</v>
      </c>
      <c r="C2045" s="910" t="e">
        <f>VLOOKUP(B2039,'LƯƠNG KT'!$D$16:$Z$184,20,0)</f>
        <v>#N/A</v>
      </c>
      <c r="D2045" s="609" t="e">
        <f>+C2045*$L$9</f>
        <v>#N/A</v>
      </c>
      <c r="E2045" s="912"/>
      <c r="F2045" s="912"/>
      <c r="G2045" s="908" t="s">
        <v>2096</v>
      </c>
      <c r="H2045" s="913" t="s">
        <v>2097</v>
      </c>
      <c r="I2045" s="910" t="e">
        <f>VLOOKUP(H2039,'LƯƠNG KT'!$D$16:$Z$184,20,0)</f>
        <v>#N/A</v>
      </c>
      <c r="J2045" s="609" t="e">
        <f>+I2045*$L$9</f>
        <v>#N/A</v>
      </c>
      <c r="K2045" s="935"/>
      <c r="L2045" s="935"/>
      <c r="M2045" s="935"/>
      <c r="N2045" s="935"/>
      <c r="O2045" s="935"/>
    </row>
    <row r="2046" spans="1:15" ht="15" customHeight="1">
      <c r="A2046" s="908" t="s">
        <v>2099</v>
      </c>
      <c r="B2046" s="909" t="s">
        <v>2100</v>
      </c>
      <c r="C2046" s="910" t="e">
        <f>VLOOKUP(B2039,'LƯƠNG KT'!$D$16:$Z$184,17,0)</f>
        <v>#N/A</v>
      </c>
      <c r="D2046" s="609" t="e">
        <f>+C2046*$L$10</f>
        <v>#N/A</v>
      </c>
      <c r="E2046" s="912"/>
      <c r="F2046" s="912"/>
      <c r="G2046" s="908" t="s">
        <v>2099</v>
      </c>
      <c r="H2046" s="909" t="s">
        <v>2100</v>
      </c>
      <c r="I2046" s="910" t="e">
        <f>VLOOKUP(H2039,'LƯƠNG KT'!$D$16:$Z$184,17,0)</f>
        <v>#N/A</v>
      </c>
      <c r="J2046" s="609" t="e">
        <f>+I2046*$L$10</f>
        <v>#N/A</v>
      </c>
      <c r="K2046" s="935"/>
      <c r="L2046" s="935"/>
      <c r="M2046" s="935"/>
      <c r="N2046" s="935"/>
      <c r="O2046" s="935"/>
    </row>
    <row r="2047" spans="1:15" ht="15" customHeight="1">
      <c r="A2047" s="908" t="s">
        <v>374</v>
      </c>
      <c r="B2047" s="909" t="s">
        <v>2102</v>
      </c>
      <c r="C2047" s="910" t="e">
        <f>VLOOKUP(B2039,'LƯƠNG KT'!$D$16:$Z$184,12,0)</f>
        <v>#N/A</v>
      </c>
      <c r="D2047" s="609" t="e">
        <f>VLOOKUP(B2039,'LƯƠNG KT'!$D$16:$Z$184,14,0)</f>
        <v>#N/A</v>
      </c>
      <c r="E2047" s="914"/>
      <c r="F2047" s="912"/>
      <c r="G2047" s="908" t="s">
        <v>374</v>
      </c>
      <c r="H2047" s="909" t="s">
        <v>2102</v>
      </c>
      <c r="I2047" s="910" t="e">
        <f>VLOOKUP(H2039,'LƯƠNG KT'!$D$16:$Z$184,12,0)</f>
        <v>#N/A</v>
      </c>
      <c r="J2047" s="609" t="e">
        <f>VLOOKUP(H2039,'LƯƠNG KT'!$D$16:$Z$184,14,0)</f>
        <v>#N/A</v>
      </c>
      <c r="K2047" s="935"/>
      <c r="L2047" s="935"/>
      <c r="M2047" s="935"/>
      <c r="N2047" s="935"/>
      <c r="O2047" s="935"/>
    </row>
    <row r="2048" spans="1:15" ht="15" customHeight="1">
      <c r="A2048" s="908" t="s">
        <v>2103</v>
      </c>
      <c r="B2048" s="909" t="s">
        <v>2104</v>
      </c>
      <c r="D2048" s="915" t="e">
        <f>VLOOKUP(B2039,'LƯƠNG KT'!$D$16:$Z$184,13,0)</f>
        <v>#N/A</v>
      </c>
      <c r="E2048" s="916"/>
      <c r="F2048" s="916"/>
      <c r="G2048" s="908" t="s">
        <v>2103</v>
      </c>
      <c r="H2048" s="909" t="s">
        <v>2104</v>
      </c>
      <c r="J2048" s="915" t="e">
        <f>VLOOKUP(H2039,'LƯƠNG KT'!$D$16:$Z$184,13,0)</f>
        <v>#N/A</v>
      </c>
    </row>
    <row r="2049" spans="1:15" ht="15" customHeight="1">
      <c r="A2049" s="547"/>
      <c r="B2049" s="546"/>
      <c r="C2049" s="910"/>
      <c r="D2049" s="609"/>
      <c r="E2049" s="914"/>
      <c r="F2049" s="916"/>
      <c r="G2049" s="547"/>
      <c r="H2049" s="546"/>
      <c r="I2049" s="910"/>
      <c r="J2049" s="609"/>
    </row>
    <row r="2050" spans="1:15" ht="15" customHeight="1">
      <c r="A2050" s="905"/>
      <c r="B2050" s="546"/>
      <c r="C2050" s="910"/>
      <c r="D2050" s="609"/>
      <c r="E2050" s="917"/>
      <c r="F2050" s="904"/>
      <c r="G2050" s="905"/>
      <c r="H2050" s="546"/>
      <c r="I2050" s="910"/>
      <c r="J2050" s="609"/>
    </row>
    <row r="2051" spans="1:15" ht="15" customHeight="1">
      <c r="A2051" s="918" t="s">
        <v>383</v>
      </c>
      <c r="B2051" s="919" t="s">
        <v>384</v>
      </c>
      <c r="C2051" s="920"/>
      <c r="D2051" s="921" t="e">
        <f>SUM(D2040:D2047)-D2050</f>
        <v>#N/A</v>
      </c>
      <c r="E2051" s="922"/>
      <c r="F2051" s="923"/>
      <c r="G2051" s="918" t="s">
        <v>383</v>
      </c>
      <c r="H2051" s="919" t="s">
        <v>384</v>
      </c>
      <c r="I2051" s="920"/>
      <c r="J2051" s="921" t="e">
        <f>SUM(J2040:J2047)-J2050</f>
        <v>#N/A</v>
      </c>
    </row>
    <row r="2052" spans="1:15" ht="18.75" customHeight="1">
      <c r="A2052" s="924"/>
      <c r="B2052" s="925"/>
      <c r="C2052" s="926"/>
      <c r="D2052" s="927"/>
      <c r="E2052" s="927"/>
      <c r="F2052" s="928"/>
      <c r="G2052" s="924"/>
      <c r="H2052" s="925"/>
      <c r="I2052" s="926"/>
      <c r="J2052" s="927"/>
    </row>
    <row r="2053" spans="1:15" ht="18.75" customHeight="1">
      <c r="A2053" s="925"/>
      <c r="B2053" s="925"/>
      <c r="C2053" s="929"/>
      <c r="D2053" s="930"/>
      <c r="E2053" s="925"/>
      <c r="F2053" s="931"/>
      <c r="G2053" s="925"/>
      <c r="H2053" s="925"/>
      <c r="I2053" s="929"/>
      <c r="J2053" s="930"/>
    </row>
    <row r="2054" spans="1:15" ht="15" customHeight="1">
      <c r="A2054" s="2360" t="str">
        <f>$K$2</f>
        <v>THÁNG 04/2025</v>
      </c>
      <c r="B2054" s="2360"/>
      <c r="C2054" s="2360"/>
      <c r="D2054" s="2360"/>
      <c r="E2054" s="903"/>
      <c r="F2054" s="904"/>
      <c r="G2054" s="2360" t="str">
        <f>$K$2</f>
        <v>THÁNG 04/2025</v>
      </c>
      <c r="H2054" s="2360"/>
      <c r="I2054" s="2360"/>
      <c r="J2054" s="2360"/>
      <c r="K2054" s="276"/>
    </row>
    <row r="2055" spans="1:15" ht="15" customHeight="1">
      <c r="A2055" s="905" t="s">
        <v>356</v>
      </c>
      <c r="B2055" s="642" t="s">
        <v>143</v>
      </c>
      <c r="C2055" s="546"/>
      <c r="D2055" s="902"/>
      <c r="E2055" s="906"/>
      <c r="F2055" s="907"/>
      <c r="G2055" s="905" t="s">
        <v>356</v>
      </c>
      <c r="H2055" s="642" t="s">
        <v>144</v>
      </c>
      <c r="I2055" s="546"/>
      <c r="J2055" s="902"/>
      <c r="L2055" s="938"/>
      <c r="M2055" s="938"/>
      <c r="N2055" s="938"/>
      <c r="O2055" s="938"/>
    </row>
    <row r="2056" spans="1:15" ht="15" customHeight="1">
      <c r="A2056" s="908" t="s">
        <v>359</v>
      </c>
      <c r="B2056" s="909" t="s">
        <v>2090</v>
      </c>
      <c r="C2056" s="910" t="e">
        <f>VLOOKUP(B2055,'LƯƠNG KT'!$D$16:$Z$184,4,0)</f>
        <v>#N/A</v>
      </c>
      <c r="D2056" s="609" t="e">
        <f>+C2056*25000</f>
        <v>#N/A</v>
      </c>
      <c r="E2056" s="911"/>
      <c r="F2056" s="911"/>
      <c r="G2056" s="908" t="s">
        <v>359</v>
      </c>
      <c r="H2056" s="909" t="s">
        <v>2090</v>
      </c>
      <c r="I2056" s="910" t="e">
        <f>VLOOKUP(H2055,'LƯƠNG KT'!$D$16:$Z$184,4,0)</f>
        <v>#N/A</v>
      </c>
      <c r="J2056" s="609" t="e">
        <f>+I2056*25000</f>
        <v>#N/A</v>
      </c>
      <c r="K2056" s="935"/>
      <c r="L2056" s="935"/>
      <c r="M2056" s="935"/>
      <c r="N2056" s="935"/>
      <c r="O2056" s="935"/>
    </row>
    <row r="2057" spans="1:15" ht="15" customHeight="1">
      <c r="A2057" s="908" t="s">
        <v>361</v>
      </c>
      <c r="B2057" s="909" t="s">
        <v>2091</v>
      </c>
      <c r="C2057" s="910" t="e">
        <f>VLOOKUP(B2055,'LƯƠNG KT'!$D$16:$Z$184,15,0)</f>
        <v>#N/A</v>
      </c>
      <c r="D2057" s="609" t="e">
        <f>C2057*$L$4</f>
        <v>#N/A</v>
      </c>
      <c r="E2057" s="912"/>
      <c r="F2057" s="912"/>
      <c r="G2057" s="908" t="s">
        <v>361</v>
      </c>
      <c r="H2057" s="909" t="s">
        <v>2091</v>
      </c>
      <c r="I2057" s="910" t="e">
        <f>VLOOKUP(H2055,'LƯƠNG KT'!$D$16:$Z$184,15,0)</f>
        <v>#N/A</v>
      </c>
      <c r="J2057" s="609" t="e">
        <f>I2057*$L$4</f>
        <v>#N/A</v>
      </c>
      <c r="K2057" s="935"/>
      <c r="L2057" s="935"/>
      <c r="M2057" s="935"/>
      <c r="N2057" s="935"/>
      <c r="O2057" s="935"/>
    </row>
    <row r="2058" spans="1:15" ht="15" customHeight="1">
      <c r="A2058" s="908" t="s">
        <v>364</v>
      </c>
      <c r="B2058" s="909" t="s">
        <v>2092</v>
      </c>
      <c r="C2058" s="910" t="e">
        <f>VLOOKUP(B2055,'LƯƠNG KT'!$D$16:$Z$184,16,0)</f>
        <v>#N/A</v>
      </c>
      <c r="D2058" s="609" t="e">
        <f>C2058*$L$5</f>
        <v>#N/A</v>
      </c>
      <c r="E2058" s="912"/>
      <c r="F2058" s="912"/>
      <c r="G2058" s="908" t="s">
        <v>364</v>
      </c>
      <c r="H2058" s="909" t="s">
        <v>2092</v>
      </c>
      <c r="I2058" s="910" t="e">
        <f>VLOOKUP(H2055,'LƯƠNG KT'!$D$16:$Z$184,16,0)</f>
        <v>#N/A</v>
      </c>
      <c r="J2058" s="609" t="e">
        <f>I2058*$L$5</f>
        <v>#N/A</v>
      </c>
      <c r="K2058" s="935"/>
      <c r="L2058" s="935"/>
      <c r="M2058" s="935"/>
      <c r="N2058" s="935"/>
      <c r="O2058" s="935"/>
    </row>
    <row r="2059" spans="1:15" ht="15" customHeight="1">
      <c r="A2059" s="908" t="s">
        <v>370</v>
      </c>
      <c r="B2059" s="909" t="s">
        <v>2093</v>
      </c>
      <c r="C2059" s="910" t="e">
        <f>VLOOKUP(B2055,'LƯƠNG KT'!$D$16:$Z$184,24,0)</f>
        <v>#N/A</v>
      </c>
      <c r="D2059" s="609" t="e">
        <f>+C2059*$L$6</f>
        <v>#N/A</v>
      </c>
      <c r="E2059" s="912"/>
      <c r="F2059" s="912"/>
      <c r="G2059" s="908" t="s">
        <v>370</v>
      </c>
      <c r="H2059" s="909" t="s">
        <v>2093</v>
      </c>
      <c r="I2059" s="910" t="e">
        <f>VLOOKUP(H2055,'LƯƠNG KT'!$D$16:$Z$184,24,0)</f>
        <v>#N/A</v>
      </c>
      <c r="J2059" s="609" t="e">
        <f>+I2059*$L$6</f>
        <v>#N/A</v>
      </c>
      <c r="K2059" s="935"/>
      <c r="L2059" s="935"/>
      <c r="M2059" s="935"/>
      <c r="N2059" s="935"/>
      <c r="O2059" s="935"/>
    </row>
    <row r="2060" spans="1:15" ht="15" customHeight="1">
      <c r="A2060" s="908" t="s">
        <v>2094</v>
      </c>
      <c r="B2060" s="909" t="s">
        <v>2095</v>
      </c>
      <c r="C2060" s="910" t="e">
        <f>VLOOKUP(B2055,'LƯƠNG KT'!$D$16:$Z$184,19,0)</f>
        <v>#N/A</v>
      </c>
      <c r="D2060" s="609" t="e">
        <f>+C2060*$L$8</f>
        <v>#N/A</v>
      </c>
      <c r="E2060" s="912"/>
      <c r="F2060" s="912"/>
      <c r="G2060" s="908" t="s">
        <v>2094</v>
      </c>
      <c r="H2060" s="909" t="s">
        <v>2095</v>
      </c>
      <c r="I2060" s="910" t="e">
        <f>VLOOKUP(H2055,'LƯƠNG KT'!$D$16:$Z$184,19,0)</f>
        <v>#N/A</v>
      </c>
      <c r="J2060" s="609" t="e">
        <f>+I2060*$L$8</f>
        <v>#N/A</v>
      </c>
      <c r="K2060" s="935"/>
      <c r="L2060" s="935"/>
      <c r="M2060" s="935"/>
      <c r="N2060" s="935"/>
      <c r="O2060" s="935"/>
    </row>
    <row r="2061" spans="1:15" ht="15" customHeight="1">
      <c r="A2061" s="908" t="s">
        <v>2096</v>
      </c>
      <c r="B2061" s="913" t="s">
        <v>2097</v>
      </c>
      <c r="C2061" s="910" t="e">
        <f>VLOOKUP(B2055,'LƯƠNG KT'!$D$16:$Z$184,20,0)</f>
        <v>#N/A</v>
      </c>
      <c r="D2061" s="609" t="e">
        <f>+C2061*$L$9</f>
        <v>#N/A</v>
      </c>
      <c r="E2061" s="912"/>
      <c r="F2061" s="912"/>
      <c r="G2061" s="908" t="s">
        <v>2096</v>
      </c>
      <c r="H2061" s="913" t="s">
        <v>2097</v>
      </c>
      <c r="I2061" s="910" t="e">
        <f>VLOOKUP(H2055,'LƯƠNG KT'!$D$16:$Z$184,20,0)</f>
        <v>#N/A</v>
      </c>
      <c r="J2061" s="609" t="e">
        <f>+I2061*$L$9</f>
        <v>#N/A</v>
      </c>
      <c r="K2061" s="935"/>
      <c r="L2061" s="935"/>
      <c r="M2061" s="935"/>
      <c r="N2061" s="935"/>
      <c r="O2061" s="935"/>
    </row>
    <row r="2062" spans="1:15" ht="15" customHeight="1">
      <c r="A2062" s="908" t="s">
        <v>2099</v>
      </c>
      <c r="B2062" s="909" t="s">
        <v>2100</v>
      </c>
      <c r="C2062" s="910" t="e">
        <f>VLOOKUP(B2055,'LƯƠNG KT'!$D$16:$Z$184,17,0)</f>
        <v>#N/A</v>
      </c>
      <c r="D2062" s="609" t="e">
        <f>+C2062*$L$10</f>
        <v>#N/A</v>
      </c>
      <c r="E2062" s="912"/>
      <c r="F2062" s="912"/>
      <c r="G2062" s="908" t="s">
        <v>2099</v>
      </c>
      <c r="H2062" s="909" t="s">
        <v>2100</v>
      </c>
      <c r="I2062" s="910" t="e">
        <f>VLOOKUP(H2055,'LƯƠNG KT'!$D$16:$Z$184,17,0)</f>
        <v>#N/A</v>
      </c>
      <c r="J2062" s="609" t="e">
        <f>+I2062*$L$10</f>
        <v>#N/A</v>
      </c>
      <c r="K2062" s="935"/>
      <c r="L2062" s="935"/>
      <c r="M2062" s="935"/>
      <c r="N2062" s="935"/>
      <c r="O2062" s="935"/>
    </row>
    <row r="2063" spans="1:15" ht="15" customHeight="1">
      <c r="A2063" s="908" t="s">
        <v>374</v>
      </c>
      <c r="B2063" s="909" t="s">
        <v>2102</v>
      </c>
      <c r="C2063" s="910" t="e">
        <f>VLOOKUP(B2055,'LƯƠNG KT'!$D$16:$Z$184,12,0)</f>
        <v>#N/A</v>
      </c>
      <c r="D2063" s="609" t="e">
        <f>VLOOKUP(B2055,'LƯƠNG KT'!$D$16:$Z$184,14,0)</f>
        <v>#N/A</v>
      </c>
      <c r="E2063" s="914"/>
      <c r="F2063" s="912"/>
      <c r="G2063" s="908" t="s">
        <v>374</v>
      </c>
      <c r="H2063" s="909" t="s">
        <v>2102</v>
      </c>
      <c r="I2063" s="910" t="e">
        <f>VLOOKUP(H2055,'LƯƠNG KT'!$D$16:$Z$184,12,0)</f>
        <v>#N/A</v>
      </c>
      <c r="J2063" s="609" t="e">
        <f>VLOOKUP(H2055,'LƯƠNG KT'!$D$16:$Z$184,14,0)</f>
        <v>#N/A</v>
      </c>
      <c r="K2063" s="935"/>
      <c r="L2063" s="935"/>
      <c r="M2063" s="935"/>
      <c r="N2063" s="935"/>
      <c r="O2063" s="935"/>
    </row>
    <row r="2064" spans="1:15" ht="15" customHeight="1">
      <c r="A2064" s="908" t="s">
        <v>2103</v>
      </c>
      <c r="B2064" s="909" t="s">
        <v>2104</v>
      </c>
      <c r="D2064" s="915" t="e">
        <f>VLOOKUP(B2055,'LƯƠNG KT'!$D$16:$Z$184,13,0)</f>
        <v>#N/A</v>
      </c>
      <c r="E2064" s="916"/>
      <c r="F2064" s="916"/>
      <c r="G2064" s="908" t="s">
        <v>2103</v>
      </c>
      <c r="H2064" s="909" t="s">
        <v>2104</v>
      </c>
      <c r="J2064" s="915" t="e">
        <f>VLOOKUP(H2055,'LƯƠNG KT'!$D$16:$Z$184,13,0)</f>
        <v>#N/A</v>
      </c>
    </row>
    <row r="2065" spans="1:15" ht="15" customHeight="1">
      <c r="A2065" s="547"/>
      <c r="B2065" s="546"/>
      <c r="C2065" s="910"/>
      <c r="D2065" s="609"/>
      <c r="E2065" s="914"/>
      <c r="F2065" s="916"/>
      <c r="G2065" s="547"/>
      <c r="H2065" s="546"/>
      <c r="I2065" s="910"/>
      <c r="J2065" s="609"/>
    </row>
    <row r="2066" spans="1:15" ht="15" customHeight="1">
      <c r="A2066" s="905"/>
      <c r="B2066" s="546"/>
      <c r="C2066" s="910"/>
      <c r="D2066" s="609"/>
      <c r="E2066" s="917"/>
      <c r="F2066" s="904"/>
      <c r="G2066" s="905"/>
      <c r="H2066" s="546"/>
      <c r="I2066" s="910"/>
      <c r="J2066" s="609"/>
    </row>
    <row r="2067" spans="1:15" ht="15" customHeight="1">
      <c r="A2067" s="918" t="s">
        <v>383</v>
      </c>
      <c r="B2067" s="919" t="s">
        <v>384</v>
      </c>
      <c r="C2067" s="920"/>
      <c r="D2067" s="921" t="e">
        <f>SUM(D2056:D2063)-D2066</f>
        <v>#N/A</v>
      </c>
      <c r="E2067" s="922"/>
      <c r="F2067" s="923"/>
      <c r="G2067" s="918" t="s">
        <v>383</v>
      </c>
      <c r="H2067" s="919" t="s">
        <v>384</v>
      </c>
      <c r="I2067" s="920"/>
      <c r="J2067" s="921" t="e">
        <f>SUM(J2056:J2063)-J2066</f>
        <v>#N/A</v>
      </c>
    </row>
    <row r="2068" spans="1:15" ht="18.75" customHeight="1">
      <c r="A2068" s="924"/>
      <c r="B2068" s="925"/>
      <c r="C2068" s="926"/>
      <c r="D2068" s="927"/>
      <c r="E2068" s="927"/>
      <c r="F2068" s="928"/>
      <c r="G2068" s="924"/>
      <c r="H2068" s="925"/>
      <c r="I2068" s="926"/>
      <c r="J2068" s="927"/>
    </row>
    <row r="2069" spans="1:15" ht="18.75" customHeight="1">
      <c r="A2069" s="925"/>
      <c r="B2069" s="925"/>
      <c r="C2069" s="929"/>
      <c r="D2069" s="930"/>
      <c r="E2069" s="925"/>
      <c r="F2069" s="931"/>
      <c r="G2069" s="925"/>
      <c r="H2069" s="925"/>
      <c r="I2069" s="929"/>
      <c r="J2069" s="930"/>
    </row>
    <row r="2070" spans="1:15" ht="15" customHeight="1">
      <c r="A2070" s="2360" t="str">
        <f>$K$2</f>
        <v>THÁNG 04/2025</v>
      </c>
      <c r="B2070" s="2360"/>
      <c r="C2070" s="2360"/>
      <c r="D2070" s="2360"/>
      <c r="E2070" s="903"/>
      <c r="F2070" s="904"/>
      <c r="G2070" s="2360" t="str">
        <f>$K$2</f>
        <v>THÁNG 04/2025</v>
      </c>
      <c r="H2070" s="2360"/>
      <c r="I2070" s="2360"/>
      <c r="J2070" s="2360"/>
      <c r="K2070" s="276"/>
    </row>
    <row r="2071" spans="1:15" ht="15" customHeight="1">
      <c r="A2071" s="905" t="s">
        <v>356</v>
      </c>
      <c r="B2071" s="642" t="s">
        <v>145</v>
      </c>
      <c r="C2071" s="546"/>
      <c r="D2071" s="902"/>
      <c r="E2071" s="906"/>
      <c r="F2071" s="907"/>
      <c r="G2071" s="905" t="s">
        <v>356</v>
      </c>
      <c r="H2071" s="642" t="s">
        <v>146</v>
      </c>
      <c r="I2071" s="546"/>
      <c r="J2071" s="902"/>
      <c r="L2071" s="938"/>
      <c r="M2071" s="938"/>
      <c r="N2071" s="938"/>
      <c r="O2071" s="938"/>
    </row>
    <row r="2072" spans="1:15" ht="15" customHeight="1">
      <c r="A2072" s="908" t="s">
        <v>359</v>
      </c>
      <c r="B2072" s="909" t="s">
        <v>2090</v>
      </c>
      <c r="C2072" s="910" t="e">
        <f>VLOOKUP(B2071,'LƯƠNG KT'!$D$16:$Z$184,4,0)</f>
        <v>#N/A</v>
      </c>
      <c r="D2072" s="609" t="e">
        <f>+C2072*25000</f>
        <v>#N/A</v>
      </c>
      <c r="E2072" s="911"/>
      <c r="F2072" s="911"/>
      <c r="G2072" s="908" t="s">
        <v>359</v>
      </c>
      <c r="H2072" s="909" t="s">
        <v>2090</v>
      </c>
      <c r="I2072" s="910" t="e">
        <f>VLOOKUP(H2071,'LƯƠNG KT'!$D$16:$Z$184,4,0)</f>
        <v>#N/A</v>
      </c>
      <c r="J2072" s="609" t="e">
        <f>+I2072*25000</f>
        <v>#N/A</v>
      </c>
      <c r="K2072" s="935"/>
      <c r="L2072" s="935"/>
      <c r="M2072" s="935"/>
      <c r="N2072" s="935"/>
      <c r="O2072" s="935"/>
    </row>
    <row r="2073" spans="1:15" ht="15" customHeight="1">
      <c r="A2073" s="908" t="s">
        <v>361</v>
      </c>
      <c r="B2073" s="909" t="s">
        <v>2091</v>
      </c>
      <c r="C2073" s="910" t="e">
        <f>VLOOKUP(B2071,'LƯƠNG KT'!$D$16:$Z$184,15,0)</f>
        <v>#N/A</v>
      </c>
      <c r="D2073" s="609" t="e">
        <f>C2073*$L$4</f>
        <v>#N/A</v>
      </c>
      <c r="E2073" s="912"/>
      <c r="F2073" s="912"/>
      <c r="G2073" s="908" t="s">
        <v>361</v>
      </c>
      <c r="H2073" s="909" t="s">
        <v>2091</v>
      </c>
      <c r="I2073" s="910" t="e">
        <f>VLOOKUP(H2071,'LƯƠNG KT'!$D$16:$Z$184,15,0)</f>
        <v>#N/A</v>
      </c>
      <c r="J2073" s="609" t="e">
        <f>I2073*$L$4</f>
        <v>#N/A</v>
      </c>
      <c r="K2073" s="935"/>
      <c r="L2073" s="935"/>
      <c r="M2073" s="935"/>
      <c r="N2073" s="935"/>
      <c r="O2073" s="935"/>
    </row>
    <row r="2074" spans="1:15" ht="15" customHeight="1">
      <c r="A2074" s="908" t="s">
        <v>364</v>
      </c>
      <c r="B2074" s="909" t="s">
        <v>2092</v>
      </c>
      <c r="C2074" s="910" t="e">
        <f>VLOOKUP(B2071,'LƯƠNG KT'!$D$16:$Z$184,16,0)</f>
        <v>#N/A</v>
      </c>
      <c r="D2074" s="609" t="e">
        <f>C2074*$L$5</f>
        <v>#N/A</v>
      </c>
      <c r="E2074" s="912"/>
      <c r="F2074" s="912"/>
      <c r="G2074" s="908" t="s">
        <v>364</v>
      </c>
      <c r="H2074" s="909" t="s">
        <v>2092</v>
      </c>
      <c r="I2074" s="910" t="e">
        <f>VLOOKUP(H2071,'LƯƠNG KT'!$D$16:$Z$184,16,0)</f>
        <v>#N/A</v>
      </c>
      <c r="J2074" s="609" t="e">
        <f>I2074*$L$5</f>
        <v>#N/A</v>
      </c>
      <c r="K2074" s="935"/>
      <c r="L2074" s="935"/>
      <c r="M2074" s="935"/>
      <c r="N2074" s="935"/>
      <c r="O2074" s="935"/>
    </row>
    <row r="2075" spans="1:15" ht="15" customHeight="1">
      <c r="A2075" s="908" t="s">
        <v>370</v>
      </c>
      <c r="B2075" s="909" t="s">
        <v>2093</v>
      </c>
      <c r="C2075" s="910" t="e">
        <f>VLOOKUP(B2071,'LƯƠNG KT'!$D$16:$Z$184,24,0)</f>
        <v>#N/A</v>
      </c>
      <c r="D2075" s="609" t="e">
        <f>+C2075*$L$6</f>
        <v>#N/A</v>
      </c>
      <c r="E2075" s="912"/>
      <c r="F2075" s="912"/>
      <c r="G2075" s="908" t="s">
        <v>370</v>
      </c>
      <c r="H2075" s="909" t="s">
        <v>2093</v>
      </c>
      <c r="I2075" s="910" t="e">
        <f>VLOOKUP(H2071,'LƯƠNG KT'!$D$16:$Z$184,24,0)</f>
        <v>#N/A</v>
      </c>
      <c r="J2075" s="609" t="e">
        <f>+I2075*$L$6</f>
        <v>#N/A</v>
      </c>
      <c r="K2075" s="935"/>
      <c r="L2075" s="935"/>
      <c r="M2075" s="935"/>
      <c r="N2075" s="935"/>
      <c r="O2075" s="935"/>
    </row>
    <row r="2076" spans="1:15" ht="15" customHeight="1">
      <c r="A2076" s="908" t="s">
        <v>2094</v>
      </c>
      <c r="B2076" s="909" t="s">
        <v>2095</v>
      </c>
      <c r="C2076" s="910" t="e">
        <f>VLOOKUP(B2071,'LƯƠNG KT'!$D$16:$Z$184,19,0)</f>
        <v>#N/A</v>
      </c>
      <c r="D2076" s="609" t="e">
        <f>+C2076*$L$8</f>
        <v>#N/A</v>
      </c>
      <c r="E2076" s="912"/>
      <c r="F2076" s="912"/>
      <c r="G2076" s="908" t="s">
        <v>2094</v>
      </c>
      <c r="H2076" s="909" t="s">
        <v>2095</v>
      </c>
      <c r="I2076" s="910" t="e">
        <f>VLOOKUP(H2071,'LƯƠNG KT'!$D$16:$Z$184,19,0)</f>
        <v>#N/A</v>
      </c>
      <c r="J2076" s="609" t="e">
        <f>+I2076*$L$8</f>
        <v>#N/A</v>
      </c>
      <c r="K2076" s="935"/>
      <c r="L2076" s="935"/>
      <c r="M2076" s="935"/>
      <c r="N2076" s="935"/>
      <c r="O2076" s="935"/>
    </row>
    <row r="2077" spans="1:15" ht="15" customHeight="1">
      <c r="A2077" s="908" t="s">
        <v>2096</v>
      </c>
      <c r="B2077" s="913" t="s">
        <v>2097</v>
      </c>
      <c r="C2077" s="910" t="e">
        <f>VLOOKUP(B2071,'LƯƠNG KT'!$D$16:$Z$184,20,0)</f>
        <v>#N/A</v>
      </c>
      <c r="D2077" s="609" t="e">
        <f>+C2077*$L$9</f>
        <v>#N/A</v>
      </c>
      <c r="E2077" s="912"/>
      <c r="F2077" s="912"/>
      <c r="G2077" s="908" t="s">
        <v>2096</v>
      </c>
      <c r="H2077" s="913" t="s">
        <v>2097</v>
      </c>
      <c r="I2077" s="910" t="e">
        <f>VLOOKUP(H2071,'LƯƠNG KT'!$D$16:$Z$184,20,0)</f>
        <v>#N/A</v>
      </c>
      <c r="J2077" s="609" t="e">
        <f>+I2077*$L$9</f>
        <v>#N/A</v>
      </c>
      <c r="K2077" s="935"/>
      <c r="L2077" s="935"/>
      <c r="M2077" s="935"/>
      <c r="N2077" s="935"/>
      <c r="O2077" s="935"/>
    </row>
    <row r="2078" spans="1:15" ht="15" customHeight="1">
      <c r="A2078" s="908" t="s">
        <v>2099</v>
      </c>
      <c r="B2078" s="909" t="s">
        <v>2100</v>
      </c>
      <c r="C2078" s="910" t="e">
        <f>VLOOKUP(B2071,'LƯƠNG KT'!$D$16:$Z$184,17,0)</f>
        <v>#N/A</v>
      </c>
      <c r="D2078" s="609" t="e">
        <f>+C2078*$L$10</f>
        <v>#N/A</v>
      </c>
      <c r="E2078" s="912"/>
      <c r="F2078" s="912"/>
      <c r="G2078" s="908" t="s">
        <v>2099</v>
      </c>
      <c r="H2078" s="909" t="s">
        <v>2100</v>
      </c>
      <c r="I2078" s="910" t="e">
        <f>VLOOKUP(H2071,'LƯƠNG KT'!$D$16:$Z$184,17,0)</f>
        <v>#N/A</v>
      </c>
      <c r="J2078" s="609" t="e">
        <f>+I2078*$L$10</f>
        <v>#N/A</v>
      </c>
      <c r="K2078" s="935"/>
      <c r="L2078" s="935"/>
      <c r="M2078" s="935"/>
      <c r="N2078" s="935"/>
      <c r="O2078" s="935"/>
    </row>
    <row r="2079" spans="1:15" ht="15" customHeight="1">
      <c r="A2079" s="908" t="s">
        <v>374</v>
      </c>
      <c r="B2079" s="909" t="s">
        <v>2102</v>
      </c>
      <c r="C2079" s="910" t="e">
        <f>VLOOKUP(B2071,'LƯƠNG KT'!$D$16:$Z$184,12,0)</f>
        <v>#N/A</v>
      </c>
      <c r="D2079" s="609" t="e">
        <f>VLOOKUP(B2071,'LƯƠNG KT'!$D$16:$Z$184,14,0)</f>
        <v>#N/A</v>
      </c>
      <c r="E2079" s="914"/>
      <c r="F2079" s="912"/>
      <c r="G2079" s="908" t="s">
        <v>374</v>
      </c>
      <c r="H2079" s="909" t="s">
        <v>2102</v>
      </c>
      <c r="I2079" s="910" t="e">
        <f>VLOOKUP(H2071,'LƯƠNG KT'!$D$16:$Z$184,12,0)</f>
        <v>#N/A</v>
      </c>
      <c r="J2079" s="609" t="e">
        <f>VLOOKUP(H2071,'LƯƠNG KT'!$D$16:$Z$184,14,0)</f>
        <v>#N/A</v>
      </c>
      <c r="K2079" s="935"/>
      <c r="L2079" s="935"/>
      <c r="M2079" s="935"/>
      <c r="N2079" s="935"/>
      <c r="O2079" s="935"/>
    </row>
    <row r="2080" spans="1:15" ht="15" customHeight="1">
      <c r="A2080" s="908" t="s">
        <v>2103</v>
      </c>
      <c r="B2080" s="909" t="s">
        <v>2104</v>
      </c>
      <c r="D2080" s="915" t="e">
        <f>VLOOKUP(B2071,'LƯƠNG KT'!$D$16:$Z$184,13,0)</f>
        <v>#N/A</v>
      </c>
      <c r="E2080" s="916"/>
      <c r="F2080" s="916"/>
      <c r="G2080" s="908" t="s">
        <v>2103</v>
      </c>
      <c r="H2080" s="909" t="s">
        <v>2104</v>
      </c>
      <c r="J2080" s="915" t="e">
        <f>VLOOKUP(H2071,'LƯƠNG KT'!$D$16:$Z$184,13,0)</f>
        <v>#N/A</v>
      </c>
    </row>
    <row r="2081" spans="1:15" ht="15" customHeight="1">
      <c r="A2081" s="547"/>
      <c r="B2081" s="546"/>
      <c r="C2081" s="910"/>
      <c r="D2081" s="609"/>
      <c r="E2081" s="914"/>
      <c r="F2081" s="916"/>
      <c r="G2081" s="547"/>
      <c r="H2081" s="546"/>
      <c r="I2081" s="910"/>
      <c r="J2081" s="609"/>
    </row>
    <row r="2082" spans="1:15" ht="15" customHeight="1">
      <c r="A2082" s="905"/>
      <c r="B2082" s="546"/>
      <c r="C2082" s="910"/>
      <c r="D2082" s="609"/>
      <c r="E2082" s="917"/>
      <c r="F2082" s="904"/>
      <c r="G2082" s="905"/>
      <c r="H2082" s="546"/>
      <c r="I2082" s="910"/>
      <c r="J2082" s="609"/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SUM(D2072:D2079)-D2082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SUM(J2072:J2079)-J2082</f>
        <v>#N/A</v>
      </c>
    </row>
    <row r="2084" spans="1:15" ht="15.75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6" spans="1:15" ht="123.75" customHeight="1">
      <c r="A2086" s="2361"/>
      <c r="B2086" s="2361"/>
      <c r="C2086" s="2361"/>
      <c r="D2086" s="2361"/>
      <c r="E2086" s="2361"/>
      <c r="F2086" s="2361"/>
      <c r="G2086" s="2361"/>
      <c r="H2086" s="2361"/>
      <c r="I2086" s="2361"/>
      <c r="J2086" s="2361"/>
    </row>
    <row r="2087" spans="1:15" ht="15" customHeight="1">
      <c r="A2087" s="2360" t="str">
        <f>$K$2</f>
        <v>THÁNG 04/2025</v>
      </c>
      <c r="B2087" s="2360"/>
      <c r="C2087" s="2360"/>
      <c r="D2087" s="2360"/>
      <c r="E2087" s="903"/>
      <c r="F2087" s="904"/>
      <c r="G2087" s="2360" t="str">
        <f>$K$2</f>
        <v>THÁNG 04/2025</v>
      </c>
      <c r="H2087" s="2360"/>
      <c r="I2087" s="2360"/>
      <c r="J2087" s="2360"/>
      <c r="K2087" s="276"/>
    </row>
    <row r="2088" spans="1:15" ht="15" customHeight="1">
      <c r="A2088" s="905" t="s">
        <v>356</v>
      </c>
      <c r="B2088" s="642" t="s">
        <v>147</v>
      </c>
      <c r="C2088" s="546"/>
      <c r="D2088" s="902"/>
      <c r="E2088" s="906"/>
      <c r="F2088" s="907"/>
      <c r="G2088" s="905" t="s">
        <v>356</v>
      </c>
      <c r="H2088" s="642" t="s">
        <v>148</v>
      </c>
      <c r="I2088" s="546"/>
      <c r="J2088" s="902"/>
      <c r="L2088" s="938"/>
      <c r="M2088" s="938"/>
      <c r="N2088" s="938"/>
      <c r="O2088" s="938"/>
    </row>
    <row r="2089" spans="1:15" ht="15" customHeight="1">
      <c r="A2089" s="908" t="s">
        <v>359</v>
      </c>
      <c r="B2089" s="909" t="s">
        <v>2090</v>
      </c>
      <c r="C2089" s="910" t="e">
        <f>VLOOKUP(B2088,'LƯƠNG KT'!$D$16:$Z$184,4,0)</f>
        <v>#N/A</v>
      </c>
      <c r="D2089" s="609" t="e">
        <f>+C2089*25000</f>
        <v>#N/A</v>
      </c>
      <c r="E2089" s="911"/>
      <c r="F2089" s="911"/>
      <c r="G2089" s="908" t="s">
        <v>359</v>
      </c>
      <c r="H2089" s="909" t="s">
        <v>2090</v>
      </c>
      <c r="I2089" s="910" t="e">
        <f>VLOOKUP(H2088,'LƯƠNG KT'!$D$16:$Z$184,4,0)</f>
        <v>#N/A</v>
      </c>
      <c r="J2089" s="609" t="e">
        <f>+I2089*25000</f>
        <v>#N/A</v>
      </c>
      <c r="K2089" s="934"/>
      <c r="L2089" s="935"/>
      <c r="M2089" s="935"/>
      <c r="N2089" s="935"/>
      <c r="O2089" s="935"/>
    </row>
    <row r="2090" spans="1:15" ht="15" customHeight="1">
      <c r="A2090" s="908" t="s">
        <v>361</v>
      </c>
      <c r="B2090" s="909" t="s">
        <v>2091</v>
      </c>
      <c r="C2090" s="910" t="e">
        <f>VLOOKUP(B2088,'LƯƠNG KT'!$D$16:$Z$184,15,0)</f>
        <v>#N/A</v>
      </c>
      <c r="D2090" s="609" t="e">
        <f>C2090*$L$4</f>
        <v>#N/A</v>
      </c>
      <c r="E2090" s="912"/>
      <c r="F2090" s="912"/>
      <c r="G2090" s="908" t="s">
        <v>361</v>
      </c>
      <c r="H2090" s="909" t="s">
        <v>2091</v>
      </c>
      <c r="I2090" s="910" t="e">
        <f>VLOOKUP(H2088,'LƯƠNG KT'!$D$16:$Z$184,15,0)</f>
        <v>#N/A</v>
      </c>
      <c r="J2090" s="609" t="e">
        <f>I2090*$L$4</f>
        <v>#N/A</v>
      </c>
      <c r="K2090" s="934"/>
      <c r="L2090" s="935"/>
      <c r="M2090" s="935"/>
      <c r="N2090" s="935"/>
      <c r="O2090" s="935"/>
    </row>
    <row r="2091" spans="1:15" ht="15" customHeight="1">
      <c r="A2091" s="908" t="s">
        <v>364</v>
      </c>
      <c r="B2091" s="909" t="s">
        <v>2092</v>
      </c>
      <c r="C2091" s="910" t="e">
        <f>VLOOKUP(B2088,'LƯƠNG KT'!$D$16:$Z$184,16,0)</f>
        <v>#N/A</v>
      </c>
      <c r="D2091" s="609" t="e">
        <f>C2091*$L$5</f>
        <v>#N/A</v>
      </c>
      <c r="E2091" s="912"/>
      <c r="F2091" s="912"/>
      <c r="G2091" s="908" t="s">
        <v>364</v>
      </c>
      <c r="H2091" s="909" t="s">
        <v>2092</v>
      </c>
      <c r="I2091" s="910" t="e">
        <f>VLOOKUP(H2088,'LƯƠNG KT'!$D$16:$Z$184,16,0)</f>
        <v>#N/A</v>
      </c>
      <c r="J2091" s="609" t="e">
        <f>I2091*$L$5</f>
        <v>#N/A</v>
      </c>
      <c r="K2091" s="934"/>
      <c r="L2091" s="935"/>
      <c r="M2091" s="935"/>
      <c r="N2091" s="935"/>
      <c r="O2091" s="935"/>
    </row>
    <row r="2092" spans="1:15" ht="15" customHeight="1">
      <c r="A2092" s="908" t="s">
        <v>370</v>
      </c>
      <c r="B2092" s="909" t="s">
        <v>2093</v>
      </c>
      <c r="C2092" s="910" t="e">
        <f>VLOOKUP(B2088,'LƯƠNG KT'!$D$16:$Z$184,24,0)</f>
        <v>#N/A</v>
      </c>
      <c r="D2092" s="609" t="e">
        <f>+C2092*$L$6</f>
        <v>#N/A</v>
      </c>
      <c r="E2092" s="912"/>
      <c r="F2092" s="912"/>
      <c r="G2092" s="908" t="s">
        <v>370</v>
      </c>
      <c r="H2092" s="909" t="s">
        <v>2093</v>
      </c>
      <c r="I2092" s="910" t="e">
        <f>VLOOKUP(H2088,'LƯƠNG KT'!$D$16:$Z$184,24,0)</f>
        <v>#N/A</v>
      </c>
      <c r="J2092" s="609" t="e">
        <f>+I2092*$L$6</f>
        <v>#N/A</v>
      </c>
      <c r="K2092" s="935"/>
      <c r="L2092" s="935"/>
      <c r="M2092" s="935"/>
      <c r="N2092" s="935"/>
      <c r="O2092" s="935"/>
    </row>
    <row r="2093" spans="1:15" ht="15" customHeight="1">
      <c r="A2093" s="908" t="s">
        <v>2094</v>
      </c>
      <c r="B2093" s="909" t="s">
        <v>2095</v>
      </c>
      <c r="C2093" s="910" t="e">
        <f>VLOOKUP(B2088,'LƯƠNG KT'!$D$16:$Z$184,19,0)</f>
        <v>#N/A</v>
      </c>
      <c r="D2093" s="609" t="e">
        <f>+C2093*$L$8</f>
        <v>#N/A</v>
      </c>
      <c r="E2093" s="912"/>
      <c r="F2093" s="912"/>
      <c r="G2093" s="908" t="s">
        <v>2094</v>
      </c>
      <c r="H2093" s="909" t="s">
        <v>2095</v>
      </c>
      <c r="I2093" s="910" t="e">
        <f>VLOOKUP(H2088,'LƯƠNG KT'!$D$16:$Z$184,19,0)</f>
        <v>#N/A</v>
      </c>
      <c r="J2093" s="609" t="e">
        <f>+I2093*$L$8</f>
        <v>#N/A</v>
      </c>
      <c r="K2093" s="935"/>
      <c r="L2093" s="935"/>
      <c r="M2093" s="935"/>
      <c r="N2093" s="935"/>
      <c r="O2093" s="935"/>
    </row>
    <row r="2094" spans="1:15" ht="15" customHeight="1">
      <c r="A2094" s="908" t="s">
        <v>2096</v>
      </c>
      <c r="B2094" s="913" t="s">
        <v>2097</v>
      </c>
      <c r="C2094" s="910" t="e">
        <f>VLOOKUP(B2088,'LƯƠNG KT'!$D$16:$Z$184,20,0)</f>
        <v>#N/A</v>
      </c>
      <c r="D2094" s="609" t="e">
        <f>+C2094*$L$9</f>
        <v>#N/A</v>
      </c>
      <c r="E2094" s="912"/>
      <c r="F2094" s="912"/>
      <c r="G2094" s="908" t="s">
        <v>2096</v>
      </c>
      <c r="H2094" s="913" t="s">
        <v>2097</v>
      </c>
      <c r="I2094" s="910" t="e">
        <f>VLOOKUP(H2088,'LƯƠNG KT'!$D$16:$Z$184,20,0)</f>
        <v>#N/A</v>
      </c>
      <c r="J2094" s="609" t="e">
        <f>+I2094*$L$9</f>
        <v>#N/A</v>
      </c>
      <c r="K2094" s="935"/>
      <c r="L2094" s="935"/>
      <c r="M2094" s="935"/>
      <c r="N2094" s="935"/>
      <c r="O2094" s="935"/>
    </row>
    <row r="2095" spans="1:15" ht="15" customHeight="1">
      <c r="A2095" s="908" t="s">
        <v>2099</v>
      </c>
      <c r="B2095" s="909" t="s">
        <v>2100</v>
      </c>
      <c r="C2095" s="910" t="e">
        <f>VLOOKUP(B2088,'LƯƠNG KT'!$D$16:$Z$184,17,0)</f>
        <v>#N/A</v>
      </c>
      <c r="D2095" s="609" t="e">
        <f>+C2095*$L$10</f>
        <v>#N/A</v>
      </c>
      <c r="E2095" s="912"/>
      <c r="F2095" s="912"/>
      <c r="G2095" s="908" t="s">
        <v>2099</v>
      </c>
      <c r="H2095" s="909" t="s">
        <v>2100</v>
      </c>
      <c r="I2095" s="910" t="e">
        <f>VLOOKUP(H2088,'LƯƠNG KT'!$D$16:$Z$184,17,0)</f>
        <v>#N/A</v>
      </c>
      <c r="J2095" s="609" t="e">
        <f>+I2095*$L$10</f>
        <v>#N/A</v>
      </c>
      <c r="K2095" s="935"/>
      <c r="L2095" s="935"/>
      <c r="M2095" s="935"/>
      <c r="N2095" s="935"/>
      <c r="O2095" s="935"/>
    </row>
    <row r="2096" spans="1:15" ht="15" customHeight="1">
      <c r="A2096" s="908" t="s">
        <v>374</v>
      </c>
      <c r="B2096" s="909" t="s">
        <v>2102</v>
      </c>
      <c r="C2096" s="910" t="e">
        <f>VLOOKUP(B2088,'LƯƠNG KT'!$D$16:$Z$184,12,0)</f>
        <v>#N/A</v>
      </c>
      <c r="D2096" s="609" t="e">
        <f>VLOOKUP(B2088,'LƯƠNG KT'!$D$16:$Z$184,14,0)</f>
        <v>#N/A</v>
      </c>
      <c r="E2096" s="914"/>
      <c r="F2096" s="912"/>
      <c r="G2096" s="908" t="s">
        <v>374</v>
      </c>
      <c r="H2096" s="909" t="s">
        <v>2102</v>
      </c>
      <c r="I2096" s="910" t="e">
        <f>VLOOKUP(H2088,'LƯƠNG KT'!$D$16:$Z$184,12,0)</f>
        <v>#N/A</v>
      </c>
      <c r="J2096" s="609" t="e">
        <f>VLOOKUP(H2088,'LƯƠNG KT'!$D$16:$Z$184,14,0)</f>
        <v>#N/A</v>
      </c>
      <c r="K2096" s="935"/>
      <c r="L2096" s="935"/>
      <c r="M2096" s="935"/>
      <c r="N2096" s="935"/>
      <c r="O2096" s="935"/>
    </row>
    <row r="2097" spans="1:15" ht="15" customHeight="1">
      <c r="A2097" s="908" t="s">
        <v>2103</v>
      </c>
      <c r="B2097" s="909" t="s">
        <v>2104</v>
      </c>
      <c r="D2097" s="915" t="e">
        <f>VLOOKUP(B2088,'LƯƠNG KT'!$D$16:$Z$184,13,0)</f>
        <v>#N/A</v>
      </c>
      <c r="E2097" s="916"/>
      <c r="F2097" s="916"/>
      <c r="G2097" s="908" t="s">
        <v>2103</v>
      </c>
      <c r="H2097" s="909" t="s">
        <v>2104</v>
      </c>
      <c r="J2097" s="915" t="e">
        <f>VLOOKUP(H2088,'LƯƠNG KT'!$D$16:$Z$184,13,0)</f>
        <v>#N/A</v>
      </c>
    </row>
    <row r="2098" spans="1:15" ht="15" customHeight="1">
      <c r="A2098" s="547"/>
      <c r="B2098" s="546"/>
      <c r="C2098" s="910"/>
      <c r="D2098" s="609"/>
      <c r="E2098" s="914"/>
      <c r="F2098" s="916"/>
      <c r="G2098" s="547"/>
      <c r="H2098" s="546"/>
      <c r="I2098" s="910"/>
      <c r="J2098" s="609"/>
    </row>
    <row r="2099" spans="1:15" ht="15" customHeight="1">
      <c r="A2099" s="905"/>
      <c r="B2099" s="546"/>
      <c r="C2099" s="910"/>
      <c r="D2099" s="609"/>
      <c r="E2099" s="917"/>
      <c r="F2099" s="904"/>
      <c r="G2099" s="905"/>
      <c r="H2099" s="546"/>
      <c r="I2099" s="910"/>
      <c r="J2099" s="609"/>
    </row>
    <row r="2100" spans="1:15" ht="15" customHeight="1">
      <c r="A2100" s="918" t="s">
        <v>383</v>
      </c>
      <c r="B2100" s="919" t="s">
        <v>384</v>
      </c>
      <c r="C2100" s="920"/>
      <c r="D2100" s="921" t="e">
        <f>SUM(D2089:D2096)-D2099</f>
        <v>#N/A</v>
      </c>
      <c r="E2100" s="922"/>
      <c r="F2100" s="923"/>
      <c r="G2100" s="918" t="s">
        <v>383</v>
      </c>
      <c r="H2100" s="919" t="s">
        <v>384</v>
      </c>
      <c r="I2100" s="920"/>
      <c r="J2100" s="921" t="e">
        <f>SUM(J2089:J2096)-J2099</f>
        <v>#N/A</v>
      </c>
    </row>
    <row r="2101" spans="1:15" ht="17.25" customHeight="1">
      <c r="A2101" s="924"/>
      <c r="B2101" s="925"/>
      <c r="C2101" s="926"/>
      <c r="D2101" s="927"/>
      <c r="E2101" s="927"/>
      <c r="F2101" s="928"/>
      <c r="G2101" s="924"/>
      <c r="H2101" s="925"/>
      <c r="I2101" s="926"/>
      <c r="J2101" s="927"/>
    </row>
    <row r="2102" spans="1:15" ht="17.25" customHeight="1">
      <c r="A2102" s="925"/>
      <c r="B2102" s="925"/>
      <c r="C2102" s="929"/>
      <c r="D2102" s="930"/>
      <c r="E2102" s="925"/>
      <c r="F2102" s="931"/>
      <c r="G2102" s="925"/>
      <c r="H2102" s="925"/>
      <c r="I2102" s="929"/>
      <c r="J2102" s="930"/>
    </row>
    <row r="2103" spans="1:15" ht="15" customHeight="1">
      <c r="A2103" s="2360" t="str">
        <f>$K$2</f>
        <v>THÁNG 04/2025</v>
      </c>
      <c r="B2103" s="2360"/>
      <c r="C2103" s="2360"/>
      <c r="D2103" s="2360"/>
      <c r="E2103" s="903"/>
      <c r="F2103" s="904"/>
      <c r="G2103" s="2360" t="str">
        <f>$K$2</f>
        <v>THÁNG 04/2025</v>
      </c>
      <c r="H2103" s="2360"/>
      <c r="I2103" s="2360"/>
      <c r="J2103" s="2360"/>
      <c r="K2103" s="276"/>
    </row>
    <row r="2104" spans="1:15" ht="15" customHeight="1">
      <c r="A2104" s="905" t="s">
        <v>356</v>
      </c>
      <c r="B2104" s="642" t="s">
        <v>149</v>
      </c>
      <c r="C2104" s="546"/>
      <c r="D2104" s="902"/>
      <c r="E2104" s="906"/>
      <c r="F2104" s="907"/>
      <c r="G2104" s="905" t="s">
        <v>356</v>
      </c>
      <c r="H2104" s="642" t="s">
        <v>150</v>
      </c>
      <c r="I2104" s="546"/>
      <c r="J2104" s="902"/>
      <c r="L2104" s="938"/>
      <c r="M2104" s="938"/>
      <c r="N2104" s="938"/>
      <c r="O2104" s="938"/>
    </row>
    <row r="2105" spans="1:15" ht="15" customHeight="1">
      <c r="A2105" s="908" t="s">
        <v>359</v>
      </c>
      <c r="B2105" s="909" t="s">
        <v>2090</v>
      </c>
      <c r="C2105" s="910" t="e">
        <f>VLOOKUP(B2104,'LƯƠNG KT'!$D$16:$Z$184,4,0)</f>
        <v>#N/A</v>
      </c>
      <c r="D2105" s="609" t="e">
        <f>+C2105*25000</f>
        <v>#N/A</v>
      </c>
      <c r="E2105" s="911"/>
      <c r="F2105" s="911"/>
      <c r="G2105" s="908" t="s">
        <v>359</v>
      </c>
      <c r="H2105" s="909" t="s">
        <v>2090</v>
      </c>
      <c r="I2105" s="910" t="e">
        <f>VLOOKUP(H2104,'LƯƠNG KT'!$D$16:$Z$184,4,0)</f>
        <v>#N/A</v>
      </c>
      <c r="J2105" s="609" t="e">
        <f>+I2105*25000</f>
        <v>#N/A</v>
      </c>
      <c r="K2105" s="935"/>
      <c r="L2105" s="935"/>
      <c r="M2105" s="935"/>
      <c r="N2105" s="935"/>
      <c r="O2105" s="935"/>
    </row>
    <row r="2106" spans="1:15" ht="15" customHeight="1">
      <c r="A2106" s="908" t="s">
        <v>361</v>
      </c>
      <c r="B2106" s="909" t="s">
        <v>2091</v>
      </c>
      <c r="C2106" s="910" t="e">
        <f>VLOOKUP(B2104,'LƯƠNG KT'!$D$16:$Z$184,15,0)</f>
        <v>#N/A</v>
      </c>
      <c r="D2106" s="609" t="e">
        <f>C2106*$L$4</f>
        <v>#N/A</v>
      </c>
      <c r="E2106" s="912"/>
      <c r="F2106" s="912"/>
      <c r="G2106" s="908" t="s">
        <v>361</v>
      </c>
      <c r="H2106" s="909" t="s">
        <v>2091</v>
      </c>
      <c r="I2106" s="910" t="e">
        <f>VLOOKUP(H2104,'LƯƠNG KT'!$D$16:$Z$184,15,0)</f>
        <v>#N/A</v>
      </c>
      <c r="J2106" s="609" t="e">
        <f>I2106*$L$4</f>
        <v>#N/A</v>
      </c>
      <c r="K2106" s="935"/>
      <c r="L2106" s="935"/>
      <c r="M2106" s="935"/>
      <c r="N2106" s="935"/>
      <c r="O2106" s="935"/>
    </row>
    <row r="2107" spans="1:15" ht="15" customHeight="1">
      <c r="A2107" s="908" t="s">
        <v>364</v>
      </c>
      <c r="B2107" s="909" t="s">
        <v>2092</v>
      </c>
      <c r="C2107" s="910" t="e">
        <f>VLOOKUP(B2104,'LƯƠNG KT'!$D$16:$Z$184,16,0)</f>
        <v>#N/A</v>
      </c>
      <c r="D2107" s="609" t="e">
        <f>C2107*$L$5</f>
        <v>#N/A</v>
      </c>
      <c r="E2107" s="912"/>
      <c r="F2107" s="912"/>
      <c r="G2107" s="908" t="s">
        <v>364</v>
      </c>
      <c r="H2107" s="909" t="s">
        <v>2092</v>
      </c>
      <c r="I2107" s="910" t="e">
        <f>VLOOKUP(H2104,'LƯƠNG KT'!$D$16:$Z$184,16,0)</f>
        <v>#N/A</v>
      </c>
      <c r="J2107" s="609" t="e">
        <f>I2107*$L$5</f>
        <v>#N/A</v>
      </c>
      <c r="K2107" s="935"/>
      <c r="L2107" s="935"/>
      <c r="M2107" s="935"/>
      <c r="N2107" s="935"/>
      <c r="O2107" s="935"/>
    </row>
    <row r="2108" spans="1:15" ht="15" customHeight="1">
      <c r="A2108" s="908" t="s">
        <v>370</v>
      </c>
      <c r="B2108" s="909" t="s">
        <v>2093</v>
      </c>
      <c r="C2108" s="910" t="e">
        <f>VLOOKUP(B2104,'LƯƠNG KT'!$D$16:$Z$184,24,0)</f>
        <v>#N/A</v>
      </c>
      <c r="D2108" s="609" t="e">
        <f>+C2108*$L$6</f>
        <v>#N/A</v>
      </c>
      <c r="E2108" s="912"/>
      <c r="F2108" s="912"/>
      <c r="G2108" s="908" t="s">
        <v>370</v>
      </c>
      <c r="H2108" s="909" t="s">
        <v>2093</v>
      </c>
      <c r="I2108" s="910" t="e">
        <f>VLOOKUP(H2104,'LƯƠNG KT'!$D$16:$Z$184,24,0)</f>
        <v>#N/A</v>
      </c>
      <c r="J2108" s="609" t="e">
        <f>+I2108*$L$6</f>
        <v>#N/A</v>
      </c>
      <c r="K2108" s="935"/>
      <c r="L2108" s="935"/>
      <c r="M2108" s="935"/>
      <c r="N2108" s="935"/>
      <c r="O2108" s="935"/>
    </row>
    <row r="2109" spans="1:15" ht="15" customHeight="1">
      <c r="A2109" s="908" t="s">
        <v>2094</v>
      </c>
      <c r="B2109" s="909" t="s">
        <v>2095</v>
      </c>
      <c r="C2109" s="910" t="e">
        <f>VLOOKUP(B2104,'LƯƠNG KT'!$D$16:$Z$184,19,0)</f>
        <v>#N/A</v>
      </c>
      <c r="D2109" s="609" t="e">
        <f>+C2109*$L$8</f>
        <v>#N/A</v>
      </c>
      <c r="E2109" s="912"/>
      <c r="F2109" s="912"/>
      <c r="G2109" s="908" t="s">
        <v>2094</v>
      </c>
      <c r="H2109" s="909" t="s">
        <v>2095</v>
      </c>
      <c r="I2109" s="910" t="e">
        <f>VLOOKUP(H2104,'LƯƠNG KT'!$D$16:$Z$184,19,0)</f>
        <v>#N/A</v>
      </c>
      <c r="J2109" s="609" t="e">
        <f>+I2109*$L$8</f>
        <v>#N/A</v>
      </c>
      <c r="K2109" s="935"/>
      <c r="L2109" s="935"/>
      <c r="M2109" s="935"/>
      <c r="N2109" s="935"/>
      <c r="O2109" s="935"/>
    </row>
    <row r="2110" spans="1:15" ht="15" customHeight="1">
      <c r="A2110" s="908" t="s">
        <v>2096</v>
      </c>
      <c r="B2110" s="913" t="s">
        <v>2097</v>
      </c>
      <c r="C2110" s="910" t="e">
        <f>VLOOKUP(B2104,'LƯƠNG KT'!$D$16:$Z$184,20,0)</f>
        <v>#N/A</v>
      </c>
      <c r="D2110" s="609" t="e">
        <f>+C2110*$L$9</f>
        <v>#N/A</v>
      </c>
      <c r="E2110" s="912"/>
      <c r="F2110" s="912"/>
      <c r="G2110" s="908" t="s">
        <v>2096</v>
      </c>
      <c r="H2110" s="913" t="s">
        <v>2097</v>
      </c>
      <c r="I2110" s="910" t="e">
        <f>VLOOKUP(H2104,'LƯƠNG KT'!$D$16:$Z$184,20,0)</f>
        <v>#N/A</v>
      </c>
      <c r="J2110" s="609" t="e">
        <f>+I2110*$L$9</f>
        <v>#N/A</v>
      </c>
      <c r="K2110" s="935"/>
      <c r="L2110" s="935"/>
      <c r="M2110" s="935"/>
      <c r="N2110" s="935"/>
      <c r="O2110" s="935"/>
    </row>
    <row r="2111" spans="1:15" ht="15" customHeight="1">
      <c r="A2111" s="908" t="s">
        <v>2099</v>
      </c>
      <c r="B2111" s="909" t="s">
        <v>2100</v>
      </c>
      <c r="C2111" s="910" t="e">
        <f>VLOOKUP(B2104,'LƯƠNG KT'!$D$16:$Z$184,17,0)</f>
        <v>#N/A</v>
      </c>
      <c r="D2111" s="609" t="e">
        <f>+C2111*$L$10</f>
        <v>#N/A</v>
      </c>
      <c r="E2111" s="912"/>
      <c r="F2111" s="912"/>
      <c r="G2111" s="908" t="s">
        <v>2099</v>
      </c>
      <c r="H2111" s="909" t="s">
        <v>2100</v>
      </c>
      <c r="I2111" s="910" t="e">
        <f>VLOOKUP(H2104,'LƯƠNG KT'!$D$16:$Z$184,17,0)</f>
        <v>#N/A</v>
      </c>
      <c r="J2111" s="609" t="e">
        <f>+I2111*$L$10</f>
        <v>#N/A</v>
      </c>
      <c r="K2111" s="935"/>
      <c r="L2111" s="935"/>
      <c r="M2111" s="935"/>
      <c r="N2111" s="935"/>
      <c r="O2111" s="935"/>
    </row>
    <row r="2112" spans="1:15" ht="15" customHeight="1">
      <c r="A2112" s="908" t="s">
        <v>374</v>
      </c>
      <c r="B2112" s="909" t="s">
        <v>2102</v>
      </c>
      <c r="C2112" s="910" t="e">
        <f>VLOOKUP(B2104,'LƯƠNG KT'!$D$16:$Z$184,12,0)</f>
        <v>#N/A</v>
      </c>
      <c r="D2112" s="609" t="e">
        <f>VLOOKUP(B2104,'LƯƠNG KT'!$D$16:$Z$184,14,0)</f>
        <v>#N/A</v>
      </c>
      <c r="E2112" s="914"/>
      <c r="F2112" s="912"/>
      <c r="G2112" s="908" t="s">
        <v>374</v>
      </c>
      <c r="H2112" s="909" t="s">
        <v>2102</v>
      </c>
      <c r="I2112" s="910" t="e">
        <f>VLOOKUP(H2104,'LƯƠNG KT'!$D$16:$Z$184,12,0)</f>
        <v>#N/A</v>
      </c>
      <c r="J2112" s="609" t="e">
        <f>VLOOKUP(H2104,'LƯƠNG KT'!$D$16:$Z$184,14,0)</f>
        <v>#N/A</v>
      </c>
      <c r="K2112" s="935"/>
      <c r="L2112" s="935"/>
      <c r="M2112" s="935"/>
      <c r="N2112" s="935"/>
      <c r="O2112" s="935"/>
    </row>
    <row r="2113" spans="1:15" ht="15" customHeight="1">
      <c r="A2113" s="908" t="s">
        <v>2103</v>
      </c>
      <c r="B2113" s="909" t="s">
        <v>2104</v>
      </c>
      <c r="D2113" s="915" t="e">
        <f>VLOOKUP(B2104,'LƯƠNG KT'!$D$16:$Z$184,13,0)</f>
        <v>#N/A</v>
      </c>
      <c r="E2113" s="916"/>
      <c r="F2113" s="916"/>
      <c r="G2113" s="908" t="s">
        <v>2103</v>
      </c>
      <c r="H2113" s="909" t="s">
        <v>2104</v>
      </c>
      <c r="J2113" s="915" t="e">
        <f>VLOOKUP(H2104,'LƯƠNG KT'!$D$16:$Z$184,13,0)</f>
        <v>#N/A</v>
      </c>
    </row>
    <row r="2114" spans="1:15" ht="15" customHeight="1">
      <c r="A2114" s="547"/>
      <c r="B2114" s="546"/>
      <c r="C2114" s="910"/>
      <c r="D2114" s="609"/>
      <c r="E2114" s="914"/>
      <c r="F2114" s="916"/>
      <c r="G2114" s="547"/>
      <c r="H2114" s="546"/>
      <c r="I2114" s="910"/>
      <c r="J2114" s="609"/>
    </row>
    <row r="2115" spans="1:15" ht="15" customHeight="1">
      <c r="A2115" s="905"/>
      <c r="B2115" s="546"/>
      <c r="C2115" s="910"/>
      <c r="D2115" s="609"/>
      <c r="E2115" s="917"/>
      <c r="F2115" s="904"/>
      <c r="G2115" s="905"/>
      <c r="H2115" s="546"/>
      <c r="I2115" s="910"/>
      <c r="J2115" s="609"/>
    </row>
    <row r="2116" spans="1:15" ht="15" customHeight="1">
      <c r="A2116" s="918" t="s">
        <v>383</v>
      </c>
      <c r="B2116" s="919" t="s">
        <v>384</v>
      </c>
      <c r="C2116" s="920"/>
      <c r="D2116" s="921" t="e">
        <f>SUM(D2105:D2112)-D2115</f>
        <v>#N/A</v>
      </c>
      <c r="E2116" s="922"/>
      <c r="F2116" s="923"/>
      <c r="G2116" s="918" t="s">
        <v>383</v>
      </c>
      <c r="H2116" s="919" t="s">
        <v>384</v>
      </c>
      <c r="I2116" s="920"/>
      <c r="J2116" s="921" t="e">
        <f>SUM(J2105:J2112)-J2115</f>
        <v>#N/A</v>
      </c>
    </row>
    <row r="2117" spans="1:15" ht="18.75" customHeight="1">
      <c r="A2117" s="924"/>
      <c r="B2117" s="925"/>
      <c r="C2117" s="926"/>
      <c r="D2117" s="927"/>
      <c r="E2117" s="927"/>
      <c r="F2117" s="928"/>
      <c r="G2117" s="924"/>
      <c r="H2117" s="925"/>
      <c r="I2117" s="926"/>
      <c r="J2117" s="927"/>
    </row>
    <row r="2118" spans="1:15" ht="18.75" customHeight="1">
      <c r="A2118" s="925"/>
      <c r="B2118" s="925"/>
      <c r="C2118" s="929"/>
      <c r="D2118" s="930"/>
      <c r="E2118" s="925"/>
      <c r="F2118" s="931"/>
      <c r="G2118" s="925"/>
      <c r="H2118" s="925"/>
      <c r="I2118" s="929"/>
      <c r="J2118" s="930"/>
    </row>
    <row r="2119" spans="1:15" ht="15" customHeight="1">
      <c r="A2119" s="2360" t="str">
        <f>$K$2</f>
        <v>THÁNG 04/2025</v>
      </c>
      <c r="B2119" s="2360"/>
      <c r="C2119" s="2360"/>
      <c r="D2119" s="2360"/>
      <c r="E2119" s="903"/>
      <c r="F2119" s="904"/>
      <c r="G2119" s="2360" t="str">
        <f>$K$2</f>
        <v>THÁNG 04/2025</v>
      </c>
      <c r="H2119" s="2360"/>
      <c r="I2119" s="2360"/>
      <c r="J2119" s="2360"/>
      <c r="K2119" s="276"/>
    </row>
    <row r="2120" spans="1:15" ht="15" customHeight="1">
      <c r="A2120" s="905" t="s">
        <v>356</v>
      </c>
      <c r="B2120" s="642" t="s">
        <v>151</v>
      </c>
      <c r="C2120" s="546"/>
      <c r="D2120" s="902"/>
      <c r="E2120" s="906"/>
      <c r="F2120" s="907"/>
      <c r="G2120" s="905" t="s">
        <v>356</v>
      </c>
      <c r="H2120" s="642" t="s">
        <v>152</v>
      </c>
      <c r="I2120" s="546"/>
      <c r="J2120" s="902"/>
      <c r="L2120" s="938"/>
      <c r="M2120" s="938"/>
      <c r="N2120" s="938"/>
      <c r="O2120" s="938"/>
    </row>
    <row r="2121" spans="1:15" ht="15" customHeight="1">
      <c r="A2121" s="908" t="s">
        <v>359</v>
      </c>
      <c r="B2121" s="909" t="s">
        <v>2090</v>
      </c>
      <c r="C2121" s="910" t="e">
        <f>VLOOKUP(B2120,'LƯƠNG KT'!$D$16:$Z$184,4,0)</f>
        <v>#N/A</v>
      </c>
      <c r="D2121" s="609" t="e">
        <f>+C2121*25000</f>
        <v>#N/A</v>
      </c>
      <c r="E2121" s="911"/>
      <c r="F2121" s="911"/>
      <c r="G2121" s="908" t="s">
        <v>359</v>
      </c>
      <c r="H2121" s="909" t="s">
        <v>2090</v>
      </c>
      <c r="I2121" s="910" t="e">
        <f>VLOOKUP(H2120,'LƯƠNG KT'!$D$16:$Z$184,4,0)</f>
        <v>#N/A</v>
      </c>
      <c r="J2121" s="609" t="e">
        <f>+I2121*25000</f>
        <v>#N/A</v>
      </c>
      <c r="K2121" s="935"/>
      <c r="L2121" s="935"/>
      <c r="M2121" s="935"/>
      <c r="N2121" s="935"/>
      <c r="O2121" s="935"/>
    </row>
    <row r="2122" spans="1:15" ht="15" customHeight="1">
      <c r="A2122" s="908" t="s">
        <v>361</v>
      </c>
      <c r="B2122" s="909" t="s">
        <v>2091</v>
      </c>
      <c r="C2122" s="910" t="e">
        <f>VLOOKUP(B2120,'LƯƠNG KT'!$D$16:$Z$184,15,0)</f>
        <v>#N/A</v>
      </c>
      <c r="D2122" s="609" t="e">
        <f>C2122*$L$4</f>
        <v>#N/A</v>
      </c>
      <c r="E2122" s="912"/>
      <c r="F2122" s="912"/>
      <c r="G2122" s="908" t="s">
        <v>361</v>
      </c>
      <c r="H2122" s="909" t="s">
        <v>2091</v>
      </c>
      <c r="I2122" s="910" t="e">
        <f>VLOOKUP(H2120,'LƯƠNG KT'!$D$16:$Z$184,15,0)</f>
        <v>#N/A</v>
      </c>
      <c r="J2122" s="609" t="e">
        <f>I2122*$L$4</f>
        <v>#N/A</v>
      </c>
      <c r="K2122" s="935"/>
      <c r="L2122" s="935"/>
      <c r="M2122" s="935"/>
      <c r="N2122" s="935"/>
      <c r="O2122" s="935"/>
    </row>
    <row r="2123" spans="1:15" ht="15" customHeight="1">
      <c r="A2123" s="908" t="s">
        <v>364</v>
      </c>
      <c r="B2123" s="909" t="s">
        <v>2092</v>
      </c>
      <c r="C2123" s="910" t="e">
        <f>VLOOKUP(B2120,'LƯƠNG KT'!$D$16:$Z$184,16,0)</f>
        <v>#N/A</v>
      </c>
      <c r="D2123" s="609" t="e">
        <f>C2123*$L$5</f>
        <v>#N/A</v>
      </c>
      <c r="E2123" s="912"/>
      <c r="F2123" s="912"/>
      <c r="G2123" s="908" t="s">
        <v>364</v>
      </c>
      <c r="H2123" s="909" t="s">
        <v>2092</v>
      </c>
      <c r="I2123" s="910" t="e">
        <f>VLOOKUP(H2120,'LƯƠNG KT'!$D$16:$Z$184,16,0)</f>
        <v>#N/A</v>
      </c>
      <c r="J2123" s="609" t="e">
        <f>I2123*$L$5</f>
        <v>#N/A</v>
      </c>
      <c r="K2123" s="935"/>
      <c r="L2123" s="935"/>
      <c r="M2123" s="935"/>
      <c r="N2123" s="935"/>
      <c r="O2123" s="935"/>
    </row>
    <row r="2124" spans="1:15" ht="15" customHeight="1">
      <c r="A2124" s="908" t="s">
        <v>370</v>
      </c>
      <c r="B2124" s="909" t="s">
        <v>2093</v>
      </c>
      <c r="C2124" s="910" t="e">
        <f>VLOOKUP(B2120,'LƯƠNG KT'!$D$16:$Z$184,24,0)</f>
        <v>#N/A</v>
      </c>
      <c r="D2124" s="609" t="e">
        <f>+C2124*$L$6</f>
        <v>#N/A</v>
      </c>
      <c r="E2124" s="912"/>
      <c r="F2124" s="912"/>
      <c r="G2124" s="908" t="s">
        <v>370</v>
      </c>
      <c r="H2124" s="909" t="s">
        <v>2093</v>
      </c>
      <c r="I2124" s="910" t="e">
        <f>VLOOKUP(H2120,'LƯƠNG KT'!$D$16:$Z$184,24,0)</f>
        <v>#N/A</v>
      </c>
      <c r="J2124" s="609" t="e">
        <f>+I2124*$L$6</f>
        <v>#N/A</v>
      </c>
      <c r="K2124" s="935"/>
      <c r="L2124" s="935"/>
      <c r="M2124" s="935"/>
      <c r="N2124" s="935"/>
      <c r="O2124" s="935"/>
    </row>
    <row r="2125" spans="1:15" ht="15" customHeight="1">
      <c r="A2125" s="908" t="s">
        <v>2094</v>
      </c>
      <c r="B2125" s="909" t="s">
        <v>2095</v>
      </c>
      <c r="C2125" s="910" t="e">
        <f>VLOOKUP(B2120,'LƯƠNG KT'!$D$16:$Z$184,19,0)</f>
        <v>#N/A</v>
      </c>
      <c r="D2125" s="609" t="e">
        <f>+C2125*$L$8</f>
        <v>#N/A</v>
      </c>
      <c r="E2125" s="912"/>
      <c r="F2125" s="912"/>
      <c r="G2125" s="908" t="s">
        <v>2094</v>
      </c>
      <c r="H2125" s="909" t="s">
        <v>2095</v>
      </c>
      <c r="I2125" s="910" t="e">
        <f>VLOOKUP(H2120,'LƯƠNG KT'!$D$16:$Z$184,19,0)</f>
        <v>#N/A</v>
      </c>
      <c r="J2125" s="609" t="e">
        <f>+I2125*$L$8</f>
        <v>#N/A</v>
      </c>
      <c r="K2125" s="935"/>
      <c r="L2125" s="935"/>
      <c r="M2125" s="935"/>
      <c r="N2125" s="935"/>
      <c r="O2125" s="935"/>
    </row>
    <row r="2126" spans="1:15" ht="15" customHeight="1">
      <c r="A2126" s="908" t="s">
        <v>2096</v>
      </c>
      <c r="B2126" s="913" t="s">
        <v>2097</v>
      </c>
      <c r="C2126" s="910" t="e">
        <f>VLOOKUP(B2120,'LƯƠNG KT'!$D$16:$Z$184,20,0)</f>
        <v>#N/A</v>
      </c>
      <c r="D2126" s="609" t="e">
        <f>+C2126*$L$9</f>
        <v>#N/A</v>
      </c>
      <c r="E2126" s="912"/>
      <c r="F2126" s="912"/>
      <c r="G2126" s="908" t="s">
        <v>2096</v>
      </c>
      <c r="H2126" s="913" t="s">
        <v>2097</v>
      </c>
      <c r="I2126" s="910" t="e">
        <f>VLOOKUP(H2120,'LƯƠNG KT'!$D$16:$Z$184,20,0)</f>
        <v>#N/A</v>
      </c>
      <c r="J2126" s="609" t="e">
        <f>+I2126*$L$9</f>
        <v>#N/A</v>
      </c>
      <c r="K2126" s="935"/>
      <c r="L2126" s="935"/>
      <c r="M2126" s="935"/>
      <c r="N2126" s="935"/>
      <c r="O2126" s="935"/>
    </row>
    <row r="2127" spans="1:15" ht="15" customHeight="1">
      <c r="A2127" s="908" t="s">
        <v>2099</v>
      </c>
      <c r="B2127" s="909" t="s">
        <v>2100</v>
      </c>
      <c r="C2127" s="910" t="e">
        <f>VLOOKUP(B2120,'LƯƠNG KT'!$D$16:$Z$184,17,0)</f>
        <v>#N/A</v>
      </c>
      <c r="D2127" s="609" t="e">
        <f>+C2127*$L$10</f>
        <v>#N/A</v>
      </c>
      <c r="E2127" s="912"/>
      <c r="F2127" s="912"/>
      <c r="G2127" s="908" t="s">
        <v>2099</v>
      </c>
      <c r="H2127" s="909" t="s">
        <v>2100</v>
      </c>
      <c r="I2127" s="910" t="e">
        <f>VLOOKUP(H2120,'LƯƠNG KT'!$D$16:$Z$184,17,0)</f>
        <v>#N/A</v>
      </c>
      <c r="J2127" s="609" t="e">
        <f>+I2127*$L$10</f>
        <v>#N/A</v>
      </c>
      <c r="K2127" s="935"/>
      <c r="L2127" s="935"/>
      <c r="M2127" s="935"/>
      <c r="N2127" s="935"/>
      <c r="O2127" s="935"/>
    </row>
    <row r="2128" spans="1:15" ht="15" customHeight="1">
      <c r="A2128" s="908" t="s">
        <v>374</v>
      </c>
      <c r="B2128" s="909" t="s">
        <v>2102</v>
      </c>
      <c r="C2128" s="910" t="e">
        <f>VLOOKUP(B2120,'LƯƠNG KT'!$D$16:$Z$184,12,0)</f>
        <v>#N/A</v>
      </c>
      <c r="D2128" s="609" t="e">
        <f>VLOOKUP(B2120,'LƯƠNG KT'!$D$16:$Z$184,14,0)</f>
        <v>#N/A</v>
      </c>
      <c r="E2128" s="914"/>
      <c r="F2128" s="912"/>
      <c r="G2128" s="908" t="s">
        <v>374</v>
      </c>
      <c r="H2128" s="909" t="s">
        <v>2102</v>
      </c>
      <c r="I2128" s="910" t="e">
        <f>VLOOKUP(H2120,'LƯƠNG KT'!$D$16:$Z$184,12,0)</f>
        <v>#N/A</v>
      </c>
      <c r="J2128" s="609" t="e">
        <f>VLOOKUP(H2120,'LƯƠNG KT'!$D$16:$Z$184,14,0)</f>
        <v>#N/A</v>
      </c>
      <c r="K2128" s="935"/>
      <c r="L2128" s="935"/>
      <c r="M2128" s="935"/>
      <c r="N2128" s="935"/>
      <c r="O2128" s="935"/>
    </row>
    <row r="2129" spans="1:15" ht="15" customHeight="1">
      <c r="A2129" s="908" t="s">
        <v>2103</v>
      </c>
      <c r="B2129" s="909" t="s">
        <v>2104</v>
      </c>
      <c r="D2129" s="915" t="e">
        <f>VLOOKUP(B2120,'LƯƠNG KT'!$D$16:$Z$184,13,0)</f>
        <v>#N/A</v>
      </c>
      <c r="E2129" s="916"/>
      <c r="F2129" s="916"/>
      <c r="G2129" s="908" t="s">
        <v>2103</v>
      </c>
      <c r="H2129" s="909" t="s">
        <v>2104</v>
      </c>
      <c r="J2129" s="915" t="e">
        <f>VLOOKUP(H2120,'LƯƠNG KT'!$D$16:$Z$184,13,0)</f>
        <v>#N/A</v>
      </c>
    </row>
    <row r="2130" spans="1:15" ht="15" customHeight="1">
      <c r="A2130" s="547"/>
      <c r="B2130" s="546"/>
      <c r="C2130" s="910"/>
      <c r="D2130" s="609"/>
      <c r="E2130" s="914"/>
      <c r="F2130" s="916"/>
      <c r="G2130" s="547"/>
      <c r="H2130" s="546"/>
      <c r="I2130" s="910"/>
      <c r="J2130" s="609"/>
    </row>
    <row r="2131" spans="1:15" ht="15" customHeight="1">
      <c r="A2131" s="905"/>
      <c r="B2131" s="546"/>
      <c r="C2131" s="910"/>
      <c r="D2131" s="609"/>
      <c r="E2131" s="917"/>
      <c r="F2131" s="904"/>
      <c r="G2131" s="905"/>
      <c r="H2131" s="546"/>
      <c r="I2131" s="910"/>
      <c r="J2131" s="609"/>
    </row>
    <row r="2132" spans="1:15" ht="15" customHeight="1">
      <c r="A2132" s="918" t="s">
        <v>383</v>
      </c>
      <c r="B2132" s="919" t="s">
        <v>384</v>
      </c>
      <c r="C2132" s="920"/>
      <c r="D2132" s="921" t="e">
        <f>SUM(D2121:D2128)-D2131</f>
        <v>#N/A</v>
      </c>
      <c r="E2132" s="922"/>
      <c r="F2132" s="923"/>
      <c r="G2132" s="918" t="s">
        <v>383</v>
      </c>
      <c r="H2132" s="919" t="s">
        <v>384</v>
      </c>
      <c r="I2132" s="920"/>
      <c r="J2132" s="921" t="e">
        <f>SUM(J2121:J2128)-J2131</f>
        <v>#N/A</v>
      </c>
    </row>
    <row r="2133" spans="1:15" ht="18.75" customHeight="1">
      <c r="A2133" s="924"/>
      <c r="B2133" s="925"/>
      <c r="C2133" s="926"/>
      <c r="D2133" s="927"/>
      <c r="E2133" s="927"/>
      <c r="F2133" s="928"/>
      <c r="G2133" s="924"/>
      <c r="H2133" s="925"/>
      <c r="I2133" s="926"/>
      <c r="J2133" s="927"/>
    </row>
    <row r="2134" spans="1:15" ht="151.5" customHeight="1">
      <c r="A2134" s="925"/>
      <c r="B2134" s="925"/>
      <c r="C2134" s="929"/>
      <c r="D2134" s="930"/>
      <c r="E2134" s="925"/>
      <c r="F2134" s="931"/>
      <c r="G2134" s="925"/>
      <c r="H2134" s="925"/>
      <c r="I2134" s="929"/>
      <c r="J2134" s="930"/>
    </row>
    <row r="2135" spans="1:15" ht="15" customHeight="1">
      <c r="A2135" s="2360" t="str">
        <f>$K$2</f>
        <v>THÁNG 04/2025</v>
      </c>
      <c r="B2135" s="2360"/>
      <c r="C2135" s="2360"/>
      <c r="D2135" s="2360"/>
      <c r="E2135" s="903"/>
      <c r="F2135" s="904"/>
      <c r="G2135" s="2360" t="str">
        <f>$K$2</f>
        <v>THÁNG 04/2025</v>
      </c>
      <c r="H2135" s="2360"/>
      <c r="I2135" s="2360"/>
      <c r="J2135" s="2360"/>
      <c r="K2135" s="276"/>
    </row>
    <row r="2136" spans="1:15" ht="15" customHeight="1">
      <c r="A2136" s="905" t="s">
        <v>356</v>
      </c>
      <c r="B2136" s="642" t="s">
        <v>153</v>
      </c>
      <c r="C2136" s="546"/>
      <c r="D2136" s="902"/>
      <c r="E2136" s="906"/>
      <c r="F2136" s="907"/>
      <c r="G2136" s="905" t="s">
        <v>356</v>
      </c>
      <c r="H2136" s="642" t="s">
        <v>154</v>
      </c>
      <c r="I2136" s="546"/>
      <c r="J2136" s="902"/>
      <c r="L2136" s="938"/>
      <c r="M2136" s="938"/>
      <c r="N2136" s="938"/>
      <c r="O2136" s="938"/>
    </row>
    <row r="2137" spans="1:15" ht="15" customHeight="1">
      <c r="A2137" s="908" t="s">
        <v>359</v>
      </c>
      <c r="B2137" s="909" t="s">
        <v>2090</v>
      </c>
      <c r="C2137" s="910" t="e">
        <f>VLOOKUP(B2136,'LƯƠNG KT'!$D$16:$Z$184,4,0)</f>
        <v>#N/A</v>
      </c>
      <c r="D2137" s="609" t="e">
        <f>+C2137*25000</f>
        <v>#N/A</v>
      </c>
      <c r="E2137" s="911"/>
      <c r="F2137" s="911"/>
      <c r="G2137" s="908" t="s">
        <v>359</v>
      </c>
      <c r="H2137" s="909" t="s">
        <v>2090</v>
      </c>
      <c r="I2137" s="910" t="e">
        <f>VLOOKUP(H2136,'LƯƠNG KT'!$D$16:$Z$184,4,0)</f>
        <v>#N/A</v>
      </c>
      <c r="J2137" s="609" t="e">
        <f>+I2137*25000</f>
        <v>#N/A</v>
      </c>
      <c r="K2137" s="935"/>
      <c r="L2137" s="935"/>
      <c r="M2137" s="935"/>
      <c r="N2137" s="935"/>
      <c r="O2137" s="935"/>
    </row>
    <row r="2138" spans="1:15" ht="15" customHeight="1">
      <c r="A2138" s="908" t="s">
        <v>361</v>
      </c>
      <c r="B2138" s="909" t="s">
        <v>2091</v>
      </c>
      <c r="C2138" s="910" t="e">
        <f>VLOOKUP(B2136,'LƯƠNG KT'!$D$16:$Z$184,15,0)</f>
        <v>#N/A</v>
      </c>
      <c r="D2138" s="609" t="e">
        <f>C2138*$L$4</f>
        <v>#N/A</v>
      </c>
      <c r="E2138" s="912"/>
      <c r="F2138" s="912"/>
      <c r="G2138" s="908" t="s">
        <v>361</v>
      </c>
      <c r="H2138" s="909" t="s">
        <v>2091</v>
      </c>
      <c r="I2138" s="910" t="e">
        <f>VLOOKUP(H2136,'LƯƠNG KT'!$D$16:$Z$184,15,0)</f>
        <v>#N/A</v>
      </c>
      <c r="J2138" s="609" t="e">
        <f>I2138*$L$4</f>
        <v>#N/A</v>
      </c>
      <c r="K2138" s="935"/>
      <c r="L2138" s="935"/>
      <c r="M2138" s="935"/>
      <c r="N2138" s="935"/>
      <c r="O2138" s="935"/>
    </row>
    <row r="2139" spans="1:15" ht="15" customHeight="1">
      <c r="A2139" s="908" t="s">
        <v>364</v>
      </c>
      <c r="B2139" s="909" t="s">
        <v>2092</v>
      </c>
      <c r="C2139" s="910" t="e">
        <f>VLOOKUP(B2136,'LƯƠNG KT'!$D$16:$Z$184,16,0)</f>
        <v>#N/A</v>
      </c>
      <c r="D2139" s="609" t="e">
        <f>C2139*$L$5</f>
        <v>#N/A</v>
      </c>
      <c r="E2139" s="912"/>
      <c r="F2139" s="912"/>
      <c r="G2139" s="908" t="s">
        <v>364</v>
      </c>
      <c r="H2139" s="909" t="s">
        <v>2092</v>
      </c>
      <c r="I2139" s="910" t="e">
        <f>VLOOKUP(H2136,'LƯƠNG KT'!$D$16:$Z$184,16,0)</f>
        <v>#N/A</v>
      </c>
      <c r="J2139" s="609" t="e">
        <f>I2139*$L$5</f>
        <v>#N/A</v>
      </c>
      <c r="K2139" s="935"/>
      <c r="L2139" s="935"/>
      <c r="M2139" s="935"/>
      <c r="N2139" s="935"/>
      <c r="O2139" s="935"/>
    </row>
    <row r="2140" spans="1:15" ht="15" customHeight="1">
      <c r="A2140" s="908" t="s">
        <v>370</v>
      </c>
      <c r="B2140" s="909" t="s">
        <v>2093</v>
      </c>
      <c r="C2140" s="910" t="e">
        <f>VLOOKUP(B2136,'LƯƠNG KT'!$D$16:$Z$184,24,0)</f>
        <v>#N/A</v>
      </c>
      <c r="D2140" s="609" t="e">
        <f>+C2140*$L$6</f>
        <v>#N/A</v>
      </c>
      <c r="E2140" s="912"/>
      <c r="F2140" s="912"/>
      <c r="G2140" s="908" t="s">
        <v>370</v>
      </c>
      <c r="H2140" s="909" t="s">
        <v>2093</v>
      </c>
      <c r="I2140" s="910" t="e">
        <f>VLOOKUP(H2136,'LƯƠNG KT'!$D$16:$Z$184,24,0)</f>
        <v>#N/A</v>
      </c>
      <c r="J2140" s="609" t="e">
        <f>+I2140*$L$6</f>
        <v>#N/A</v>
      </c>
      <c r="K2140" s="935"/>
      <c r="L2140" s="935"/>
      <c r="M2140" s="935"/>
      <c r="N2140" s="935"/>
      <c r="O2140" s="935"/>
    </row>
    <row r="2141" spans="1:15" ht="15" customHeight="1">
      <c r="A2141" s="908" t="s">
        <v>2094</v>
      </c>
      <c r="B2141" s="909" t="s">
        <v>2095</v>
      </c>
      <c r="C2141" s="910" t="e">
        <f>VLOOKUP(B2136,'LƯƠNG KT'!$D$16:$Z$184,19,0)</f>
        <v>#N/A</v>
      </c>
      <c r="D2141" s="609" t="e">
        <f>+C2141*$L$8</f>
        <v>#N/A</v>
      </c>
      <c r="E2141" s="912"/>
      <c r="F2141" s="912"/>
      <c r="G2141" s="908" t="s">
        <v>2094</v>
      </c>
      <c r="H2141" s="909" t="s">
        <v>2095</v>
      </c>
      <c r="I2141" s="910" t="e">
        <f>VLOOKUP(H2136,'LƯƠNG KT'!$D$16:$Z$184,19,0)</f>
        <v>#N/A</v>
      </c>
      <c r="J2141" s="609" t="e">
        <f>+I2141*$L$8</f>
        <v>#N/A</v>
      </c>
      <c r="K2141" s="935"/>
      <c r="L2141" s="935"/>
      <c r="M2141" s="935"/>
      <c r="N2141" s="935"/>
      <c r="O2141" s="935"/>
    </row>
    <row r="2142" spans="1:15" ht="15" customHeight="1">
      <c r="A2142" s="908" t="s">
        <v>2096</v>
      </c>
      <c r="B2142" s="913" t="s">
        <v>2097</v>
      </c>
      <c r="C2142" s="910" t="e">
        <f>VLOOKUP(B2136,'LƯƠNG KT'!$D$16:$Z$184,20,0)</f>
        <v>#N/A</v>
      </c>
      <c r="D2142" s="609" t="e">
        <f>+C2142*$L$9</f>
        <v>#N/A</v>
      </c>
      <c r="E2142" s="912"/>
      <c r="F2142" s="912"/>
      <c r="G2142" s="908" t="s">
        <v>2096</v>
      </c>
      <c r="H2142" s="913" t="s">
        <v>2097</v>
      </c>
      <c r="I2142" s="910" t="e">
        <f>VLOOKUP(H2136,'LƯƠNG KT'!$D$16:$Z$184,20,0)</f>
        <v>#N/A</v>
      </c>
      <c r="J2142" s="609" t="e">
        <f>+I2142*$L$9</f>
        <v>#N/A</v>
      </c>
      <c r="K2142" s="935"/>
      <c r="L2142" s="935"/>
      <c r="M2142" s="935"/>
      <c r="N2142" s="935"/>
      <c r="O2142" s="935"/>
    </row>
    <row r="2143" spans="1:15" ht="15" customHeight="1">
      <c r="A2143" s="908" t="s">
        <v>2099</v>
      </c>
      <c r="B2143" s="909" t="s">
        <v>2100</v>
      </c>
      <c r="C2143" s="910" t="e">
        <f>VLOOKUP(B2136,'LƯƠNG KT'!$D$16:$Z$184,17,0)</f>
        <v>#N/A</v>
      </c>
      <c r="D2143" s="609" t="e">
        <f>+C2143*$L$10</f>
        <v>#N/A</v>
      </c>
      <c r="E2143" s="912"/>
      <c r="F2143" s="912"/>
      <c r="G2143" s="908" t="s">
        <v>2099</v>
      </c>
      <c r="H2143" s="909" t="s">
        <v>2100</v>
      </c>
      <c r="I2143" s="910" t="e">
        <f>VLOOKUP(H2136,'LƯƠNG KT'!$D$16:$Z$184,17,0)</f>
        <v>#N/A</v>
      </c>
      <c r="J2143" s="609" t="e">
        <f>+I2143*$L$10</f>
        <v>#N/A</v>
      </c>
      <c r="K2143" s="935"/>
      <c r="L2143" s="935"/>
      <c r="M2143" s="935"/>
      <c r="N2143" s="935"/>
      <c r="O2143" s="935"/>
    </row>
    <row r="2144" spans="1:15" ht="15" customHeight="1">
      <c r="A2144" s="908" t="s">
        <v>374</v>
      </c>
      <c r="B2144" s="909" t="s">
        <v>2102</v>
      </c>
      <c r="C2144" s="910" t="e">
        <f>VLOOKUP(B2136,'LƯƠNG KT'!$D$16:$Z$184,12,0)</f>
        <v>#N/A</v>
      </c>
      <c r="D2144" s="609" t="e">
        <f>VLOOKUP(B2136,'LƯƠNG KT'!$D$16:$Z$184,14,0)</f>
        <v>#N/A</v>
      </c>
      <c r="E2144" s="914"/>
      <c r="F2144" s="912"/>
      <c r="G2144" s="908" t="s">
        <v>374</v>
      </c>
      <c r="H2144" s="909" t="s">
        <v>2102</v>
      </c>
      <c r="I2144" s="910" t="e">
        <f>VLOOKUP(H2136,'LƯƠNG KT'!$D$16:$Z$184,12,0)</f>
        <v>#N/A</v>
      </c>
      <c r="J2144" s="609" t="e">
        <f>VLOOKUP(H2136,'LƯƠNG KT'!$D$16:$Z$184,14,0)</f>
        <v>#N/A</v>
      </c>
      <c r="K2144" s="935"/>
      <c r="L2144" s="935"/>
      <c r="M2144" s="935"/>
      <c r="N2144" s="935"/>
      <c r="O2144" s="935"/>
    </row>
    <row r="2145" spans="1:15" ht="15" customHeight="1">
      <c r="A2145" s="908" t="s">
        <v>2103</v>
      </c>
      <c r="B2145" s="909" t="s">
        <v>2104</v>
      </c>
      <c r="D2145" s="915" t="e">
        <f>VLOOKUP(B2136,'LƯƠNG KT'!$D$16:$Z$184,13,0)</f>
        <v>#N/A</v>
      </c>
      <c r="E2145" s="916"/>
      <c r="F2145" s="916"/>
      <c r="G2145" s="908" t="s">
        <v>2103</v>
      </c>
      <c r="H2145" s="909" t="s">
        <v>2104</v>
      </c>
      <c r="J2145" s="915" t="e">
        <f>VLOOKUP(H2136,'LƯƠNG KT'!$D$16:$Z$184,13,0)</f>
        <v>#N/A</v>
      </c>
    </row>
    <row r="2146" spans="1:15" ht="15" customHeight="1">
      <c r="A2146" s="547"/>
      <c r="B2146" s="546"/>
      <c r="C2146" s="910"/>
      <c r="D2146" s="609"/>
      <c r="E2146" s="914"/>
      <c r="F2146" s="916"/>
      <c r="G2146" s="547"/>
      <c r="H2146" s="546"/>
      <c r="I2146" s="910"/>
      <c r="J2146" s="609"/>
    </row>
    <row r="2147" spans="1:15" ht="15" customHeight="1">
      <c r="A2147" s="905"/>
      <c r="B2147" s="546"/>
      <c r="C2147" s="910"/>
      <c r="D2147" s="609"/>
      <c r="E2147" s="917"/>
      <c r="F2147" s="904"/>
      <c r="G2147" s="905"/>
      <c r="H2147" s="546"/>
      <c r="I2147" s="910"/>
      <c r="J2147" s="609"/>
    </row>
    <row r="2148" spans="1:15" ht="15" customHeight="1">
      <c r="A2148" s="918" t="s">
        <v>383</v>
      </c>
      <c r="B2148" s="919" t="s">
        <v>384</v>
      </c>
      <c r="C2148" s="920"/>
      <c r="D2148" s="921" t="e">
        <f>SUM(D2137:D2144)-D2147</f>
        <v>#N/A</v>
      </c>
      <c r="E2148" s="922"/>
      <c r="F2148" s="923"/>
      <c r="G2148" s="918" t="s">
        <v>383</v>
      </c>
      <c r="H2148" s="919" t="s">
        <v>384</v>
      </c>
      <c r="I2148" s="920"/>
      <c r="J2148" s="921" t="e">
        <f>SUM(J2137:J2144)-J2147</f>
        <v>#N/A</v>
      </c>
    </row>
    <row r="2149" spans="1:15" ht="15.75" customHeight="1">
      <c r="A2149" s="924"/>
      <c r="B2149" s="925"/>
      <c r="C2149" s="926"/>
      <c r="D2149" s="927"/>
      <c r="E2149" s="927"/>
      <c r="F2149" s="928"/>
      <c r="G2149" s="924"/>
      <c r="H2149" s="925"/>
      <c r="I2149" s="926"/>
      <c r="J2149" s="927"/>
    </row>
    <row r="2151" spans="1:15" ht="12" customHeight="1">
      <c r="A2151" s="2361"/>
      <c r="B2151" s="2361"/>
      <c r="C2151" s="2361"/>
      <c r="D2151" s="2361"/>
      <c r="E2151" s="2361"/>
      <c r="F2151" s="2361"/>
      <c r="G2151" s="2361"/>
      <c r="H2151" s="2361"/>
      <c r="I2151" s="2361"/>
      <c r="J2151" s="2361"/>
    </row>
    <row r="2152" spans="1:15" ht="15" customHeight="1">
      <c r="A2152" s="2360" t="str">
        <f>$K$2</f>
        <v>THÁNG 04/2025</v>
      </c>
      <c r="B2152" s="2360"/>
      <c r="C2152" s="2360"/>
      <c r="D2152" s="2360"/>
      <c r="E2152" s="903"/>
      <c r="F2152" s="904"/>
      <c r="G2152" s="2360" t="str">
        <f>$K$2</f>
        <v>THÁNG 04/2025</v>
      </c>
      <c r="H2152" s="2360"/>
      <c r="I2152" s="2360"/>
      <c r="J2152" s="2360"/>
      <c r="K2152" s="276"/>
    </row>
    <row r="2153" spans="1:15" ht="15" customHeight="1">
      <c r="A2153" s="905" t="s">
        <v>356</v>
      </c>
      <c r="B2153" s="642" t="s">
        <v>155</v>
      </c>
      <c r="C2153" s="546"/>
      <c r="D2153" s="902"/>
      <c r="E2153" s="906"/>
      <c r="F2153" s="907"/>
      <c r="G2153" s="905" t="s">
        <v>356</v>
      </c>
      <c r="H2153" s="642" t="s">
        <v>156</v>
      </c>
      <c r="I2153" s="546"/>
      <c r="J2153" s="902"/>
      <c r="L2153" s="938"/>
      <c r="M2153" s="938"/>
      <c r="N2153" s="938"/>
      <c r="O2153" s="938"/>
    </row>
    <row r="2154" spans="1:15" ht="15" customHeight="1">
      <c r="A2154" s="908" t="s">
        <v>359</v>
      </c>
      <c r="B2154" s="909" t="s">
        <v>2090</v>
      </c>
      <c r="C2154" s="910" t="e">
        <f>VLOOKUP(B2153,'LƯƠNG KT'!$D$16:$Z$184,4,0)</f>
        <v>#N/A</v>
      </c>
      <c r="D2154" s="609" t="e">
        <f>+C2154*25000</f>
        <v>#N/A</v>
      </c>
      <c r="E2154" s="911"/>
      <c r="F2154" s="911"/>
      <c r="G2154" s="908" t="s">
        <v>359</v>
      </c>
      <c r="H2154" s="909" t="s">
        <v>2090</v>
      </c>
      <c r="I2154" s="910" t="e">
        <f>VLOOKUP(H2153,'LƯƠNG KT'!$D$16:$Z$184,4,0)</f>
        <v>#N/A</v>
      </c>
      <c r="J2154" s="609" t="e">
        <f>+I2154*25000</f>
        <v>#N/A</v>
      </c>
      <c r="K2154" s="934"/>
      <c r="L2154" s="935"/>
      <c r="M2154" s="935"/>
      <c r="N2154" s="935"/>
      <c r="O2154" s="935"/>
    </row>
    <row r="2155" spans="1:15" ht="15" customHeight="1">
      <c r="A2155" s="908" t="s">
        <v>361</v>
      </c>
      <c r="B2155" s="909" t="s">
        <v>2091</v>
      </c>
      <c r="C2155" s="910" t="e">
        <f>VLOOKUP(B2153,'LƯƠNG KT'!$D$16:$Z$184,15,0)</f>
        <v>#N/A</v>
      </c>
      <c r="D2155" s="609" t="e">
        <f>C2155*$L$4</f>
        <v>#N/A</v>
      </c>
      <c r="E2155" s="912"/>
      <c r="F2155" s="912"/>
      <c r="G2155" s="908" t="s">
        <v>361</v>
      </c>
      <c r="H2155" s="909" t="s">
        <v>2091</v>
      </c>
      <c r="I2155" s="910" t="e">
        <f>VLOOKUP(H2153,'LƯƠNG KT'!$D$16:$Z$184,15,0)</f>
        <v>#N/A</v>
      </c>
      <c r="J2155" s="609" t="e">
        <f>I2155*$L$4</f>
        <v>#N/A</v>
      </c>
      <c r="K2155" s="934"/>
      <c r="L2155" s="935"/>
      <c r="M2155" s="935"/>
      <c r="N2155" s="935"/>
      <c r="O2155" s="935"/>
    </row>
    <row r="2156" spans="1:15" ht="15" customHeight="1">
      <c r="A2156" s="908" t="s">
        <v>364</v>
      </c>
      <c r="B2156" s="909" t="s">
        <v>2092</v>
      </c>
      <c r="C2156" s="910" t="e">
        <f>VLOOKUP(B2153,'LƯƠNG KT'!$D$16:$Z$184,16,0)</f>
        <v>#N/A</v>
      </c>
      <c r="D2156" s="609" t="e">
        <f>C2156*$L$5</f>
        <v>#N/A</v>
      </c>
      <c r="E2156" s="912"/>
      <c r="F2156" s="912"/>
      <c r="G2156" s="908" t="s">
        <v>364</v>
      </c>
      <c r="H2156" s="909" t="s">
        <v>2092</v>
      </c>
      <c r="I2156" s="910" t="e">
        <f>VLOOKUP(H2153,'LƯƠNG KT'!$D$16:$Z$184,16,0)</f>
        <v>#N/A</v>
      </c>
      <c r="J2156" s="609" t="e">
        <f>I2156*$L$5</f>
        <v>#N/A</v>
      </c>
      <c r="K2156" s="934"/>
      <c r="L2156" s="935"/>
      <c r="M2156" s="935"/>
      <c r="N2156" s="935"/>
      <c r="O2156" s="935"/>
    </row>
    <row r="2157" spans="1:15" ht="15" customHeight="1">
      <c r="A2157" s="908" t="s">
        <v>370</v>
      </c>
      <c r="B2157" s="909" t="s">
        <v>2093</v>
      </c>
      <c r="C2157" s="910" t="e">
        <f>VLOOKUP(B2153,'LƯƠNG KT'!$D$16:$Z$184,24,0)</f>
        <v>#N/A</v>
      </c>
      <c r="D2157" s="609" t="e">
        <f>+C2157*$L$6</f>
        <v>#N/A</v>
      </c>
      <c r="E2157" s="912"/>
      <c r="F2157" s="912"/>
      <c r="G2157" s="908" t="s">
        <v>370</v>
      </c>
      <c r="H2157" s="909" t="s">
        <v>2093</v>
      </c>
      <c r="I2157" s="910" t="e">
        <f>VLOOKUP(H2153,'LƯƠNG KT'!$D$16:$Z$184,24,0)</f>
        <v>#N/A</v>
      </c>
      <c r="J2157" s="609" t="e">
        <f>+I2157*$L$6</f>
        <v>#N/A</v>
      </c>
      <c r="K2157" s="935"/>
      <c r="L2157" s="935"/>
      <c r="M2157" s="935"/>
      <c r="N2157" s="935"/>
      <c r="O2157" s="935"/>
    </row>
    <row r="2158" spans="1:15" ht="15" customHeight="1">
      <c r="A2158" s="908" t="s">
        <v>2094</v>
      </c>
      <c r="B2158" s="909" t="s">
        <v>2095</v>
      </c>
      <c r="C2158" s="910" t="e">
        <f>VLOOKUP(B2153,'LƯƠNG KT'!$D$16:$Z$184,19,0)</f>
        <v>#N/A</v>
      </c>
      <c r="D2158" s="609" t="e">
        <f>+C2158*$L$8</f>
        <v>#N/A</v>
      </c>
      <c r="E2158" s="912"/>
      <c r="F2158" s="912"/>
      <c r="G2158" s="908" t="s">
        <v>2094</v>
      </c>
      <c r="H2158" s="909" t="s">
        <v>2095</v>
      </c>
      <c r="I2158" s="910" t="e">
        <f>VLOOKUP(H2153,'LƯƠNG KT'!$D$16:$Z$184,19,0)</f>
        <v>#N/A</v>
      </c>
      <c r="J2158" s="609" t="e">
        <f>+I2158*$L$8</f>
        <v>#N/A</v>
      </c>
      <c r="K2158" s="935"/>
      <c r="L2158" s="935"/>
      <c r="M2158" s="935"/>
      <c r="N2158" s="935"/>
      <c r="O2158" s="935"/>
    </row>
    <row r="2159" spans="1:15" ht="15" customHeight="1">
      <c r="A2159" s="908" t="s">
        <v>2096</v>
      </c>
      <c r="B2159" s="913" t="s">
        <v>2097</v>
      </c>
      <c r="C2159" s="910" t="e">
        <f>VLOOKUP(B2153,'LƯƠNG KT'!$D$16:$Z$184,20,0)</f>
        <v>#N/A</v>
      </c>
      <c r="D2159" s="609" t="e">
        <f>+C2159*$L$9</f>
        <v>#N/A</v>
      </c>
      <c r="E2159" s="912"/>
      <c r="F2159" s="912"/>
      <c r="G2159" s="908" t="s">
        <v>2096</v>
      </c>
      <c r="H2159" s="913" t="s">
        <v>2097</v>
      </c>
      <c r="I2159" s="910" t="e">
        <f>VLOOKUP(H2153,'LƯƠNG KT'!$D$16:$Z$184,20,0)</f>
        <v>#N/A</v>
      </c>
      <c r="J2159" s="609" t="e">
        <f>+I2159*$L$9</f>
        <v>#N/A</v>
      </c>
      <c r="K2159" s="935"/>
      <c r="L2159" s="935"/>
      <c r="M2159" s="935"/>
      <c r="N2159" s="935"/>
      <c r="O2159" s="935"/>
    </row>
    <row r="2160" spans="1:15" ht="15" customHeight="1">
      <c r="A2160" s="908" t="s">
        <v>2099</v>
      </c>
      <c r="B2160" s="909" t="s">
        <v>2100</v>
      </c>
      <c r="C2160" s="910" t="e">
        <f>VLOOKUP(B2153,'LƯƠNG KT'!$D$16:$Z$184,17,0)</f>
        <v>#N/A</v>
      </c>
      <c r="D2160" s="609" t="e">
        <f>+C2160*$L$10</f>
        <v>#N/A</v>
      </c>
      <c r="E2160" s="912"/>
      <c r="F2160" s="912"/>
      <c r="G2160" s="908" t="s">
        <v>2099</v>
      </c>
      <c r="H2160" s="909" t="s">
        <v>2100</v>
      </c>
      <c r="I2160" s="910" t="e">
        <f>VLOOKUP(H2153,'LƯƠNG KT'!$D$16:$Z$184,17,0)</f>
        <v>#N/A</v>
      </c>
      <c r="J2160" s="609" t="e">
        <f>+I2160*$L$10</f>
        <v>#N/A</v>
      </c>
      <c r="K2160" s="935"/>
      <c r="L2160" s="935"/>
      <c r="M2160" s="935"/>
      <c r="N2160" s="935"/>
      <c r="O2160" s="935"/>
    </row>
    <row r="2161" spans="1:15" ht="15" customHeight="1">
      <c r="A2161" s="908" t="s">
        <v>374</v>
      </c>
      <c r="B2161" s="909" t="s">
        <v>2102</v>
      </c>
      <c r="C2161" s="910" t="e">
        <f>VLOOKUP(B2153,'LƯƠNG KT'!$D$16:$Z$184,12,0)</f>
        <v>#N/A</v>
      </c>
      <c r="D2161" s="609" t="e">
        <f>VLOOKUP(B2153,'LƯƠNG KT'!$D$16:$Z$184,14,0)</f>
        <v>#N/A</v>
      </c>
      <c r="E2161" s="914"/>
      <c r="F2161" s="912"/>
      <c r="G2161" s="908" t="s">
        <v>374</v>
      </c>
      <c r="H2161" s="909" t="s">
        <v>2102</v>
      </c>
      <c r="I2161" s="910" t="e">
        <f>VLOOKUP(H2153,'LƯƠNG KT'!$D$16:$Z$184,12,0)</f>
        <v>#N/A</v>
      </c>
      <c r="J2161" s="609" t="e">
        <f>VLOOKUP(H2153,'LƯƠNG KT'!$D$16:$Z$184,14,0)</f>
        <v>#N/A</v>
      </c>
      <c r="K2161" s="935"/>
      <c r="L2161" s="935"/>
      <c r="M2161" s="935"/>
      <c r="N2161" s="935"/>
      <c r="O2161" s="935"/>
    </row>
    <row r="2162" spans="1:15" ht="15" customHeight="1">
      <c r="A2162" s="908" t="s">
        <v>2103</v>
      </c>
      <c r="B2162" s="909" t="s">
        <v>2104</v>
      </c>
      <c r="D2162" s="915" t="e">
        <f>VLOOKUP(B2153,'LƯƠNG KT'!$D$16:$Z$184,13,0)</f>
        <v>#N/A</v>
      </c>
      <c r="E2162" s="916"/>
      <c r="F2162" s="916"/>
      <c r="G2162" s="908" t="s">
        <v>2103</v>
      </c>
      <c r="H2162" s="909" t="s">
        <v>2104</v>
      </c>
      <c r="J2162" s="915" t="e">
        <f>VLOOKUP(H2153,'LƯƠNG KT'!$D$16:$Z$184,13,0)</f>
        <v>#N/A</v>
      </c>
    </row>
    <row r="2163" spans="1:15" ht="15" customHeight="1">
      <c r="A2163" s="547"/>
      <c r="B2163" s="546"/>
      <c r="C2163" s="910"/>
      <c r="D2163" s="609"/>
      <c r="E2163" s="914"/>
      <c r="F2163" s="916"/>
      <c r="G2163" s="547"/>
      <c r="H2163" s="546"/>
      <c r="I2163" s="910"/>
      <c r="J2163" s="609"/>
    </row>
    <row r="2164" spans="1:15" ht="15" customHeight="1">
      <c r="A2164" s="905"/>
      <c r="B2164" s="546"/>
      <c r="C2164" s="910"/>
      <c r="D2164" s="609"/>
      <c r="E2164" s="917"/>
      <c r="F2164" s="904"/>
      <c r="G2164" s="905"/>
      <c r="H2164" s="546"/>
      <c r="I2164" s="910"/>
      <c r="J2164" s="609"/>
    </row>
    <row r="2165" spans="1:15" ht="15" customHeight="1">
      <c r="A2165" s="918" t="s">
        <v>383</v>
      </c>
      <c r="B2165" s="919" t="s">
        <v>384</v>
      </c>
      <c r="C2165" s="920"/>
      <c r="D2165" s="921" t="e">
        <f>SUM(D2154:D2161)-D2164</f>
        <v>#N/A</v>
      </c>
      <c r="E2165" s="922"/>
      <c r="F2165" s="923"/>
      <c r="G2165" s="918" t="s">
        <v>383</v>
      </c>
      <c r="H2165" s="919" t="s">
        <v>384</v>
      </c>
      <c r="I2165" s="920"/>
      <c r="J2165" s="921" t="e">
        <f>SUM(J2154:J2161)-J2164</f>
        <v>#N/A</v>
      </c>
    </row>
    <row r="2166" spans="1:15" ht="12.6" customHeight="1">
      <c r="A2166" s="924"/>
      <c r="B2166" s="925"/>
      <c r="C2166" s="926"/>
      <c r="D2166" s="927"/>
      <c r="E2166" s="927"/>
      <c r="F2166" s="928"/>
      <c r="G2166" s="924"/>
      <c r="H2166" s="925"/>
      <c r="I2166" s="926"/>
      <c r="J2166" s="927"/>
    </row>
    <row r="2167" spans="1:15" ht="12.6" customHeight="1">
      <c r="A2167" s="925"/>
      <c r="B2167" s="925"/>
      <c r="C2167" s="929"/>
      <c r="D2167" s="930"/>
      <c r="E2167" s="925"/>
      <c r="F2167" s="931"/>
      <c r="G2167" s="925"/>
      <c r="H2167" s="925"/>
      <c r="I2167" s="929"/>
      <c r="J2167" s="930"/>
    </row>
    <row r="2168" spans="1:15" ht="15" customHeight="1">
      <c r="A2168" s="2360" t="str">
        <f>$K$2</f>
        <v>THÁNG 04/2025</v>
      </c>
      <c r="B2168" s="2360"/>
      <c r="C2168" s="2360"/>
      <c r="D2168" s="2360"/>
      <c r="E2168" s="903"/>
      <c r="F2168" s="904"/>
      <c r="G2168" s="2360" t="str">
        <f>$K$2</f>
        <v>THÁNG 04/2025</v>
      </c>
      <c r="H2168" s="2360"/>
      <c r="I2168" s="2360"/>
      <c r="J2168" s="2360"/>
      <c r="K2168" s="276"/>
    </row>
    <row r="2169" spans="1:15" ht="15" customHeight="1">
      <c r="A2169" s="905" t="s">
        <v>356</v>
      </c>
      <c r="B2169" s="642"/>
      <c r="C2169" s="546"/>
      <c r="D2169" s="902"/>
      <c r="E2169" s="906"/>
      <c r="F2169" s="907"/>
      <c r="G2169" s="905" t="s">
        <v>356</v>
      </c>
      <c r="H2169" s="642" t="s">
        <v>157</v>
      </c>
      <c r="I2169" s="546"/>
      <c r="J2169" s="902"/>
      <c r="L2169" s="938"/>
      <c r="M2169" s="938"/>
      <c r="N2169" s="938"/>
      <c r="O2169" s="938"/>
    </row>
    <row r="2170" spans="1:15" ht="15" customHeight="1">
      <c r="A2170" s="908" t="s">
        <v>359</v>
      </c>
      <c r="B2170" s="909" t="s">
        <v>2090</v>
      </c>
      <c r="C2170" s="910" t="e">
        <f>VLOOKUP(B2169,'LƯƠNG KT'!$D$16:$Z$184,4,0)</f>
        <v>#N/A</v>
      </c>
      <c r="D2170" s="609" t="e">
        <f>+C2170*25000</f>
        <v>#N/A</v>
      </c>
      <c r="E2170" s="911"/>
      <c r="F2170" s="911"/>
      <c r="G2170" s="908" t="s">
        <v>359</v>
      </c>
      <c r="H2170" s="909" t="s">
        <v>2090</v>
      </c>
      <c r="I2170" s="910" t="e">
        <f>VLOOKUP(H2169,'LƯƠNG KT'!$D$16:$Z$184,4,0)</f>
        <v>#N/A</v>
      </c>
      <c r="J2170" s="609" t="e">
        <f>+I2170*25000</f>
        <v>#N/A</v>
      </c>
      <c r="K2170" s="935"/>
      <c r="L2170" s="935"/>
      <c r="M2170" s="935"/>
      <c r="N2170" s="935"/>
      <c r="O2170" s="935"/>
    </row>
    <row r="2171" spans="1:15" ht="15" customHeight="1">
      <c r="A2171" s="908" t="s">
        <v>361</v>
      </c>
      <c r="B2171" s="909" t="s">
        <v>2091</v>
      </c>
      <c r="C2171" s="910" t="e">
        <f>VLOOKUP(B2169,'LƯƠNG KT'!$D$16:$Z$184,15,0)</f>
        <v>#N/A</v>
      </c>
      <c r="D2171" s="609" t="e">
        <f>C2171*$L$4</f>
        <v>#N/A</v>
      </c>
      <c r="E2171" s="912"/>
      <c r="F2171" s="912"/>
      <c r="G2171" s="908" t="s">
        <v>361</v>
      </c>
      <c r="H2171" s="909" t="s">
        <v>2091</v>
      </c>
      <c r="I2171" s="910" t="e">
        <f>VLOOKUP(H2169,'LƯƠNG KT'!$D$16:$Z$184,15,0)</f>
        <v>#N/A</v>
      </c>
      <c r="J2171" s="609" t="e">
        <f>I2171*$L$4</f>
        <v>#N/A</v>
      </c>
      <c r="K2171" s="935"/>
      <c r="L2171" s="935"/>
      <c r="M2171" s="935"/>
      <c r="N2171" s="935"/>
      <c r="O2171" s="935"/>
    </row>
    <row r="2172" spans="1:15" ht="15" customHeight="1">
      <c r="A2172" s="908" t="s">
        <v>364</v>
      </c>
      <c r="B2172" s="909" t="s">
        <v>2092</v>
      </c>
      <c r="C2172" s="910" t="e">
        <f>VLOOKUP(B2169,'LƯƠNG KT'!$D$16:$Z$184,16,0)</f>
        <v>#N/A</v>
      </c>
      <c r="D2172" s="609" t="e">
        <f>C2172*$L$5</f>
        <v>#N/A</v>
      </c>
      <c r="E2172" s="912"/>
      <c r="F2172" s="912"/>
      <c r="G2172" s="908" t="s">
        <v>364</v>
      </c>
      <c r="H2172" s="909" t="s">
        <v>2092</v>
      </c>
      <c r="I2172" s="910" t="e">
        <f>VLOOKUP(H2169,'LƯƠNG KT'!$D$16:$Z$184,16,0)</f>
        <v>#N/A</v>
      </c>
      <c r="J2172" s="609" t="e">
        <f>I2172*$L$5</f>
        <v>#N/A</v>
      </c>
      <c r="K2172" s="935"/>
      <c r="L2172" s="935"/>
      <c r="M2172" s="935"/>
      <c r="N2172" s="935"/>
      <c r="O2172" s="935"/>
    </row>
    <row r="2173" spans="1:15" ht="15" customHeight="1">
      <c r="A2173" s="908" t="s">
        <v>370</v>
      </c>
      <c r="B2173" s="909" t="s">
        <v>2093</v>
      </c>
      <c r="C2173" s="910" t="e">
        <f>VLOOKUP(B2169,'LƯƠNG KT'!$D$16:$Z$184,24,0)</f>
        <v>#N/A</v>
      </c>
      <c r="D2173" s="609" t="e">
        <f>+C2173*$L$6</f>
        <v>#N/A</v>
      </c>
      <c r="E2173" s="912"/>
      <c r="F2173" s="912"/>
      <c r="G2173" s="908" t="s">
        <v>370</v>
      </c>
      <c r="H2173" s="909" t="s">
        <v>2093</v>
      </c>
      <c r="I2173" s="910" t="e">
        <f>VLOOKUP(H2169,'LƯƠNG KT'!$D$16:$Z$184,24,0)</f>
        <v>#N/A</v>
      </c>
      <c r="J2173" s="609" t="e">
        <f>+I2173*$L$6</f>
        <v>#N/A</v>
      </c>
      <c r="K2173" s="935"/>
      <c r="L2173" s="935"/>
      <c r="M2173" s="935"/>
      <c r="N2173" s="935"/>
      <c r="O2173" s="935"/>
    </row>
    <row r="2174" spans="1:15" ht="15" customHeight="1">
      <c r="A2174" s="908" t="s">
        <v>2094</v>
      </c>
      <c r="B2174" s="909" t="s">
        <v>2095</v>
      </c>
      <c r="C2174" s="910" t="e">
        <f>VLOOKUP(B2169,'LƯƠNG KT'!$D$16:$Z$184,19,0)</f>
        <v>#N/A</v>
      </c>
      <c r="D2174" s="609" t="e">
        <f>+C2174*$L$8</f>
        <v>#N/A</v>
      </c>
      <c r="E2174" s="912"/>
      <c r="F2174" s="912"/>
      <c r="G2174" s="908" t="s">
        <v>2094</v>
      </c>
      <c r="H2174" s="909" t="s">
        <v>2095</v>
      </c>
      <c r="I2174" s="910" t="e">
        <f>VLOOKUP(H2169,'LƯƠNG KT'!$D$16:$Z$184,19,0)</f>
        <v>#N/A</v>
      </c>
      <c r="J2174" s="609" t="e">
        <f>+I2174*$L$8</f>
        <v>#N/A</v>
      </c>
      <c r="K2174" s="935"/>
      <c r="L2174" s="935"/>
      <c r="M2174" s="935"/>
      <c r="N2174" s="935"/>
      <c r="O2174" s="935"/>
    </row>
    <row r="2175" spans="1:15" ht="15" customHeight="1">
      <c r="A2175" s="908" t="s">
        <v>2096</v>
      </c>
      <c r="B2175" s="913" t="s">
        <v>2097</v>
      </c>
      <c r="C2175" s="910" t="e">
        <f>VLOOKUP(B2169,'LƯƠNG KT'!$D$16:$Z$184,20,0)</f>
        <v>#N/A</v>
      </c>
      <c r="D2175" s="609" t="e">
        <f>+C2175*$L$9</f>
        <v>#N/A</v>
      </c>
      <c r="E2175" s="912"/>
      <c r="F2175" s="912"/>
      <c r="G2175" s="908" t="s">
        <v>2096</v>
      </c>
      <c r="H2175" s="913" t="s">
        <v>2097</v>
      </c>
      <c r="I2175" s="910" t="e">
        <f>VLOOKUP(H2169,'LƯƠNG KT'!$D$16:$Z$184,20,0)</f>
        <v>#N/A</v>
      </c>
      <c r="J2175" s="609" t="e">
        <f>+I2175*$L$9</f>
        <v>#N/A</v>
      </c>
      <c r="K2175" s="935"/>
      <c r="L2175" s="935"/>
      <c r="M2175" s="935"/>
      <c r="N2175" s="935"/>
      <c r="O2175" s="935"/>
    </row>
    <row r="2176" spans="1:15" ht="15" customHeight="1">
      <c r="A2176" s="908" t="s">
        <v>2099</v>
      </c>
      <c r="B2176" s="909" t="s">
        <v>2100</v>
      </c>
      <c r="C2176" s="910" t="e">
        <f>VLOOKUP(B2169,'LƯƠNG KT'!$D$16:$Z$184,17,0)</f>
        <v>#N/A</v>
      </c>
      <c r="D2176" s="609" t="e">
        <f>+C2176*$L$10</f>
        <v>#N/A</v>
      </c>
      <c r="E2176" s="912"/>
      <c r="F2176" s="912"/>
      <c r="G2176" s="908" t="s">
        <v>2099</v>
      </c>
      <c r="H2176" s="909" t="s">
        <v>2100</v>
      </c>
      <c r="I2176" s="910" t="e">
        <f>VLOOKUP(H2169,'LƯƠNG KT'!$D$16:$Z$184,17,0)</f>
        <v>#N/A</v>
      </c>
      <c r="J2176" s="609" t="e">
        <f>+I2176*$L$10</f>
        <v>#N/A</v>
      </c>
      <c r="K2176" s="935"/>
      <c r="L2176" s="935"/>
      <c r="M2176" s="935"/>
      <c r="N2176" s="935"/>
      <c r="O2176" s="935"/>
    </row>
    <row r="2177" spans="1:15" ht="15" customHeight="1">
      <c r="A2177" s="908" t="s">
        <v>374</v>
      </c>
      <c r="B2177" s="909" t="s">
        <v>2102</v>
      </c>
      <c r="C2177" s="910" t="e">
        <f>VLOOKUP(B2169,'LƯƠNG KT'!$D$16:$Z$184,12,0)</f>
        <v>#N/A</v>
      </c>
      <c r="D2177" s="609" t="e">
        <f>VLOOKUP(B2169,'LƯƠNG KT'!$D$16:$Z$184,14,0)</f>
        <v>#N/A</v>
      </c>
      <c r="E2177" s="914"/>
      <c r="F2177" s="912"/>
      <c r="G2177" s="908" t="s">
        <v>374</v>
      </c>
      <c r="H2177" s="909" t="s">
        <v>2102</v>
      </c>
      <c r="I2177" s="910" t="e">
        <f>VLOOKUP(H2169,'LƯƠNG KT'!$D$16:$Z$184,12,0)</f>
        <v>#N/A</v>
      </c>
      <c r="J2177" s="609" t="e">
        <f>VLOOKUP(H2169,'LƯƠNG KT'!$D$16:$Z$184,14,0)</f>
        <v>#N/A</v>
      </c>
      <c r="K2177" s="935"/>
      <c r="L2177" s="935"/>
      <c r="M2177" s="935"/>
      <c r="N2177" s="935"/>
      <c r="O2177" s="935"/>
    </row>
    <row r="2178" spans="1:15" ht="15" customHeight="1">
      <c r="A2178" s="908" t="s">
        <v>2103</v>
      </c>
      <c r="B2178" s="909" t="s">
        <v>2104</v>
      </c>
      <c r="D2178" s="915" t="e">
        <f>VLOOKUP(B2169,'LƯƠNG KT'!$D$16:$Z$184,13,0)</f>
        <v>#N/A</v>
      </c>
      <c r="E2178" s="916"/>
      <c r="F2178" s="916"/>
      <c r="G2178" s="908" t="s">
        <v>2103</v>
      </c>
      <c r="H2178" s="909" t="s">
        <v>2104</v>
      </c>
      <c r="J2178" s="915" t="e">
        <f>VLOOKUP(H2169,'LƯƠNG KT'!$D$16:$Z$184,13,0)</f>
        <v>#N/A</v>
      </c>
    </row>
    <row r="2179" spans="1:15" ht="15" customHeight="1">
      <c r="A2179" s="547"/>
      <c r="B2179" s="546"/>
      <c r="C2179" s="910"/>
      <c r="D2179" s="609"/>
      <c r="E2179" s="914"/>
      <c r="F2179" s="916"/>
      <c r="G2179" s="547"/>
      <c r="H2179" s="546"/>
      <c r="I2179" s="910"/>
      <c r="J2179" s="609"/>
    </row>
    <row r="2180" spans="1:15" ht="15" customHeight="1">
      <c r="A2180" s="905"/>
      <c r="B2180" s="546"/>
      <c r="C2180" s="910"/>
      <c r="D2180" s="609"/>
      <c r="E2180" s="917"/>
      <c r="F2180" s="904"/>
      <c r="G2180" s="905"/>
      <c r="H2180" s="546"/>
      <c r="I2180" s="910"/>
      <c r="J2180" s="609"/>
    </row>
    <row r="2181" spans="1:15" ht="15" customHeight="1">
      <c r="A2181" s="918" t="s">
        <v>383</v>
      </c>
      <c r="B2181" s="919" t="s">
        <v>384</v>
      </c>
      <c r="C2181" s="920"/>
      <c r="D2181" s="921"/>
      <c r="E2181" s="922"/>
      <c r="F2181" s="923"/>
      <c r="G2181" s="918" t="s">
        <v>383</v>
      </c>
      <c r="H2181" s="919" t="s">
        <v>384</v>
      </c>
      <c r="I2181" s="920"/>
      <c r="J2181" s="921" t="e">
        <f>SUM(J2170:J2177)-J2180</f>
        <v>#N/A</v>
      </c>
    </row>
    <row r="2182" spans="1:15" ht="18.75" customHeight="1">
      <c r="A2182" s="924"/>
      <c r="B2182" s="925"/>
      <c r="C2182" s="926"/>
      <c r="D2182" s="927"/>
      <c r="E2182" s="927"/>
      <c r="F2182" s="928"/>
      <c r="G2182" s="924"/>
      <c r="H2182" s="925"/>
      <c r="I2182" s="926"/>
      <c r="J2182" s="927"/>
    </row>
    <row r="2183" spans="1:15" ht="141" customHeight="1">
      <c r="A2183" s="925"/>
      <c r="B2183" s="925"/>
      <c r="C2183" s="929"/>
      <c r="D2183" s="930"/>
      <c r="E2183" s="925"/>
      <c r="F2183" s="931"/>
      <c r="G2183" s="925"/>
      <c r="H2183" s="925"/>
      <c r="I2183" s="929"/>
      <c r="J2183" s="930"/>
    </row>
    <row r="2184" spans="1:15" ht="15" customHeight="1">
      <c r="A2184" s="2360" t="str">
        <f>$K$2</f>
        <v>THÁNG 04/2025</v>
      </c>
      <c r="B2184" s="2360"/>
      <c r="C2184" s="2360"/>
      <c r="D2184" s="2360"/>
      <c r="E2184" s="903"/>
      <c r="F2184" s="904"/>
      <c r="G2184" s="2360" t="str">
        <f>$K$2</f>
        <v>THÁNG 04/2025</v>
      </c>
      <c r="H2184" s="2360"/>
      <c r="I2184" s="2360"/>
      <c r="J2184" s="2360"/>
      <c r="K2184" s="276"/>
    </row>
    <row r="2185" spans="1:15" ht="15" customHeight="1">
      <c r="A2185" s="905" t="s">
        <v>356</v>
      </c>
      <c r="B2185" s="642" t="s">
        <v>158</v>
      </c>
      <c r="C2185" s="546"/>
      <c r="D2185" s="902"/>
      <c r="E2185" s="906"/>
      <c r="F2185" s="907"/>
      <c r="G2185" s="905" t="s">
        <v>356</v>
      </c>
      <c r="H2185" s="642" t="s">
        <v>159</v>
      </c>
      <c r="I2185" s="546"/>
      <c r="J2185" s="902"/>
      <c r="L2185" s="938"/>
      <c r="M2185" s="938"/>
      <c r="N2185" s="938"/>
      <c r="O2185" s="938"/>
    </row>
    <row r="2186" spans="1:15" ht="15" customHeight="1">
      <c r="A2186" s="908" t="s">
        <v>359</v>
      </c>
      <c r="B2186" s="909" t="s">
        <v>2090</v>
      </c>
      <c r="C2186" s="910" t="e">
        <f>VLOOKUP(B2185,'LƯƠNG KT'!$D$16:$Z$184,4,0)</f>
        <v>#N/A</v>
      </c>
      <c r="D2186" s="609" t="e">
        <f>+C2186*25000</f>
        <v>#N/A</v>
      </c>
      <c r="E2186" s="911"/>
      <c r="F2186" s="911"/>
      <c r="G2186" s="908" t="s">
        <v>359</v>
      </c>
      <c r="H2186" s="909" t="s">
        <v>2090</v>
      </c>
      <c r="I2186" s="910" t="e">
        <f>VLOOKUP(H2185,'LƯƠNG KT'!$D$16:$Z$184,4,0)</f>
        <v>#N/A</v>
      </c>
      <c r="J2186" s="609" t="e">
        <f>+I2186*25000</f>
        <v>#N/A</v>
      </c>
      <c r="K2186" s="935"/>
      <c r="L2186" s="935"/>
      <c r="M2186" s="935"/>
      <c r="N2186" s="935"/>
      <c r="O2186" s="935"/>
    </row>
    <row r="2187" spans="1:15" ht="15" customHeight="1">
      <c r="A2187" s="908" t="s">
        <v>361</v>
      </c>
      <c r="B2187" s="909" t="s">
        <v>2091</v>
      </c>
      <c r="C2187" s="910" t="e">
        <f>VLOOKUP(B2185,'LƯƠNG KT'!$D$16:$Z$184,15,0)</f>
        <v>#N/A</v>
      </c>
      <c r="D2187" s="609" t="e">
        <f>C2187*$L$4</f>
        <v>#N/A</v>
      </c>
      <c r="E2187" s="912"/>
      <c r="F2187" s="912"/>
      <c r="G2187" s="908" t="s">
        <v>361</v>
      </c>
      <c r="H2187" s="909" t="s">
        <v>2091</v>
      </c>
      <c r="I2187" s="910" t="e">
        <f>VLOOKUP(H2185,'LƯƠNG KT'!$D$16:$Z$184,15,0)</f>
        <v>#N/A</v>
      </c>
      <c r="J2187" s="609" t="e">
        <f>I2187*$L$4</f>
        <v>#N/A</v>
      </c>
      <c r="K2187" s="935"/>
      <c r="L2187" s="935"/>
      <c r="M2187" s="935"/>
      <c r="N2187" s="935"/>
      <c r="O2187" s="935"/>
    </row>
    <row r="2188" spans="1:15" ht="15" customHeight="1">
      <c r="A2188" s="908" t="s">
        <v>364</v>
      </c>
      <c r="B2188" s="909" t="s">
        <v>2092</v>
      </c>
      <c r="C2188" s="910" t="e">
        <f>VLOOKUP(B2185,'LƯƠNG KT'!$D$16:$Z$184,16,0)</f>
        <v>#N/A</v>
      </c>
      <c r="D2188" s="609" t="e">
        <f>C2188*$L$5</f>
        <v>#N/A</v>
      </c>
      <c r="E2188" s="912"/>
      <c r="F2188" s="912"/>
      <c r="G2188" s="908" t="s">
        <v>364</v>
      </c>
      <c r="H2188" s="909" t="s">
        <v>2092</v>
      </c>
      <c r="I2188" s="910" t="e">
        <f>VLOOKUP(H2185,'LƯƠNG KT'!$D$16:$Z$184,16,0)</f>
        <v>#N/A</v>
      </c>
      <c r="J2188" s="609" t="e">
        <f>I2188*$L$5</f>
        <v>#N/A</v>
      </c>
      <c r="K2188" s="935"/>
      <c r="L2188" s="935"/>
      <c r="M2188" s="935"/>
      <c r="N2188" s="935"/>
      <c r="O2188" s="935"/>
    </row>
    <row r="2189" spans="1:15" ht="15" customHeight="1">
      <c r="A2189" s="908" t="s">
        <v>370</v>
      </c>
      <c r="B2189" s="909" t="s">
        <v>2093</v>
      </c>
      <c r="C2189" s="910" t="e">
        <f>VLOOKUP(B2185,'LƯƠNG KT'!$D$16:$Z$184,24,0)</f>
        <v>#N/A</v>
      </c>
      <c r="D2189" s="609" t="e">
        <f>+C2189*$L$6</f>
        <v>#N/A</v>
      </c>
      <c r="E2189" s="912"/>
      <c r="F2189" s="912"/>
      <c r="G2189" s="908" t="s">
        <v>370</v>
      </c>
      <c r="H2189" s="909" t="s">
        <v>2093</v>
      </c>
      <c r="I2189" s="910" t="e">
        <f>VLOOKUP(H2185,'LƯƠNG KT'!$D$16:$Z$184,24,0)</f>
        <v>#N/A</v>
      </c>
      <c r="J2189" s="609" t="e">
        <f>+I2189*$L$6</f>
        <v>#N/A</v>
      </c>
      <c r="K2189" s="935"/>
      <c r="L2189" s="935"/>
      <c r="M2189" s="935"/>
      <c r="N2189" s="935"/>
      <c r="O2189" s="935"/>
    </row>
    <row r="2190" spans="1:15" ht="15" customHeight="1">
      <c r="A2190" s="908" t="s">
        <v>2094</v>
      </c>
      <c r="B2190" s="909" t="s">
        <v>2095</v>
      </c>
      <c r="C2190" s="910" t="e">
        <f>VLOOKUP(B2185,'LƯƠNG KT'!$D$16:$Z$184,19,0)</f>
        <v>#N/A</v>
      </c>
      <c r="D2190" s="609" t="e">
        <f>+C2190*$L$8</f>
        <v>#N/A</v>
      </c>
      <c r="E2190" s="912"/>
      <c r="F2190" s="912"/>
      <c r="G2190" s="908" t="s">
        <v>2094</v>
      </c>
      <c r="H2190" s="909" t="s">
        <v>2095</v>
      </c>
      <c r="I2190" s="910" t="e">
        <f>VLOOKUP(H2185,'LƯƠNG KT'!$D$16:$Z$184,19,0)</f>
        <v>#N/A</v>
      </c>
      <c r="J2190" s="609" t="e">
        <f>+I2190*$L$8</f>
        <v>#N/A</v>
      </c>
      <c r="K2190" s="935"/>
      <c r="L2190" s="935"/>
      <c r="M2190" s="935"/>
      <c r="N2190" s="935"/>
      <c r="O2190" s="935"/>
    </row>
    <row r="2191" spans="1:15" ht="15" customHeight="1">
      <c r="A2191" s="908" t="s">
        <v>2096</v>
      </c>
      <c r="B2191" s="913" t="s">
        <v>2097</v>
      </c>
      <c r="C2191" s="910" t="e">
        <f>VLOOKUP(B2185,'LƯƠNG KT'!$D$16:$Z$184,20,0)</f>
        <v>#N/A</v>
      </c>
      <c r="D2191" s="609" t="e">
        <f>+C2191*$L$9</f>
        <v>#N/A</v>
      </c>
      <c r="E2191" s="912"/>
      <c r="F2191" s="912"/>
      <c r="G2191" s="908" t="s">
        <v>2096</v>
      </c>
      <c r="H2191" s="913" t="s">
        <v>2097</v>
      </c>
      <c r="I2191" s="910" t="e">
        <f>VLOOKUP(H2185,'LƯƠNG KT'!$D$16:$Z$184,20,0)</f>
        <v>#N/A</v>
      </c>
      <c r="J2191" s="609" t="e">
        <f>+I2191*$L$9</f>
        <v>#N/A</v>
      </c>
      <c r="K2191" s="935"/>
      <c r="L2191" s="935"/>
      <c r="M2191" s="935"/>
      <c r="N2191" s="935"/>
      <c r="O2191" s="935"/>
    </row>
    <row r="2192" spans="1:15" ht="15" customHeight="1">
      <c r="A2192" s="908" t="s">
        <v>2099</v>
      </c>
      <c r="B2192" s="909" t="s">
        <v>2100</v>
      </c>
      <c r="C2192" s="910" t="e">
        <f>VLOOKUP(B2185,'LƯƠNG KT'!$D$16:$Z$184,17,0)</f>
        <v>#N/A</v>
      </c>
      <c r="D2192" s="609" t="e">
        <f>+C2192*$L$10</f>
        <v>#N/A</v>
      </c>
      <c r="E2192" s="912"/>
      <c r="F2192" s="912"/>
      <c r="G2192" s="908" t="s">
        <v>2099</v>
      </c>
      <c r="H2192" s="909" t="s">
        <v>2100</v>
      </c>
      <c r="I2192" s="910" t="e">
        <f>VLOOKUP(H2185,'LƯƠNG KT'!$D$16:$Z$184,17,0)</f>
        <v>#N/A</v>
      </c>
      <c r="J2192" s="609" t="e">
        <f>+I2192*$L$10</f>
        <v>#N/A</v>
      </c>
      <c r="K2192" s="935"/>
      <c r="L2192" s="935"/>
      <c r="M2192" s="935"/>
      <c r="N2192" s="935"/>
      <c r="O2192" s="935"/>
    </row>
    <row r="2193" spans="1:15" ht="15" customHeight="1">
      <c r="A2193" s="908" t="s">
        <v>374</v>
      </c>
      <c r="B2193" s="909" t="s">
        <v>2102</v>
      </c>
      <c r="C2193" s="910" t="e">
        <f>VLOOKUP(B2185,'LƯƠNG KT'!$D$16:$Z$184,12,0)</f>
        <v>#N/A</v>
      </c>
      <c r="D2193" s="609" t="e">
        <f>VLOOKUP(B2185,'LƯƠNG KT'!$D$16:$Z$184,14,0)</f>
        <v>#N/A</v>
      </c>
      <c r="E2193" s="914"/>
      <c r="F2193" s="912"/>
      <c r="G2193" s="908" t="s">
        <v>374</v>
      </c>
      <c r="H2193" s="909" t="s">
        <v>2102</v>
      </c>
      <c r="I2193" s="910" t="e">
        <f>VLOOKUP(H2185,'LƯƠNG KT'!$D$16:$Z$184,12,0)</f>
        <v>#N/A</v>
      </c>
      <c r="J2193" s="609" t="e">
        <f>VLOOKUP(H2185,'LƯƠNG KT'!$D$16:$Z$184,14,0)</f>
        <v>#N/A</v>
      </c>
      <c r="K2193" s="935"/>
      <c r="L2193" s="935"/>
      <c r="M2193" s="935"/>
      <c r="N2193" s="935"/>
      <c r="O2193" s="935"/>
    </row>
    <row r="2194" spans="1:15" ht="15" customHeight="1">
      <c r="A2194" s="908" t="s">
        <v>2103</v>
      </c>
      <c r="B2194" s="909" t="s">
        <v>2104</v>
      </c>
      <c r="D2194" s="915" t="e">
        <f>VLOOKUP(B2185,'LƯƠNG KT'!$D$16:$Z$184,13,0)</f>
        <v>#N/A</v>
      </c>
      <c r="E2194" s="916"/>
      <c r="F2194" s="916"/>
      <c r="G2194" s="908" t="s">
        <v>2103</v>
      </c>
      <c r="H2194" s="909" t="s">
        <v>2104</v>
      </c>
      <c r="J2194" s="915" t="e">
        <f>VLOOKUP(H2185,'LƯƠNG KT'!$D$16:$Z$184,13,0)</f>
        <v>#N/A</v>
      </c>
    </row>
    <row r="2195" spans="1:15" ht="15" customHeight="1">
      <c r="A2195" s="547"/>
      <c r="B2195" s="546"/>
      <c r="C2195" s="910"/>
      <c r="D2195" s="609"/>
      <c r="E2195" s="914"/>
      <c r="F2195" s="916"/>
      <c r="G2195" s="547"/>
      <c r="H2195" s="546"/>
      <c r="I2195" s="910"/>
      <c r="J2195" s="609"/>
    </row>
    <row r="2196" spans="1:15" ht="15" customHeight="1">
      <c r="A2196" s="905"/>
      <c r="B2196" s="546"/>
      <c r="C2196" s="910"/>
      <c r="D2196" s="609"/>
      <c r="E2196" s="917"/>
      <c r="F2196" s="904"/>
      <c r="G2196" s="905"/>
      <c r="H2196" s="546"/>
      <c r="I2196" s="910"/>
      <c r="J2196" s="609"/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SUM(D2186:D2193)-D2196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SUM(J2186:J2193)-J2196</f>
        <v>#N/A</v>
      </c>
    </row>
    <row r="2198" spans="1:15" ht="18.75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8.75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60" t="str">
        <f>$K$2</f>
        <v>THÁNG 04/2025</v>
      </c>
      <c r="B2200" s="2360"/>
      <c r="C2200" s="2360"/>
      <c r="D2200" s="2360"/>
      <c r="E2200" s="903"/>
      <c r="F2200" s="904"/>
      <c r="G2200" s="2360" t="str">
        <f>$K$2</f>
        <v>THÁNG 04/2025</v>
      </c>
      <c r="H2200" s="2360"/>
      <c r="I2200" s="2360"/>
      <c r="J2200" s="2360"/>
      <c r="K2200" s="276"/>
    </row>
    <row r="2201" spans="1:15" ht="15" customHeight="1">
      <c r="A2201" s="905" t="s">
        <v>356</v>
      </c>
      <c r="B2201" s="642" t="s">
        <v>160</v>
      </c>
      <c r="C2201" s="546"/>
      <c r="D2201" s="902"/>
      <c r="E2201" s="906"/>
      <c r="F2201" s="907"/>
      <c r="G2201" s="905" t="s">
        <v>356</v>
      </c>
      <c r="H2201" s="642" t="s">
        <v>161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8" t="s">
        <v>359</v>
      </c>
      <c r="B2202" s="909" t="s">
        <v>2090</v>
      </c>
      <c r="C2202" s="910" t="e">
        <f>VLOOKUP(B2201,'LƯƠNG KT'!$D$16:$Z$184,4,0)</f>
        <v>#N/A</v>
      </c>
      <c r="D2202" s="609" t="e">
        <f>+C2202*25000</f>
        <v>#N/A</v>
      </c>
      <c r="E2202" s="911"/>
      <c r="F2202" s="911"/>
      <c r="G2202" s="908" t="s">
        <v>359</v>
      </c>
      <c r="H2202" s="909" t="s">
        <v>2090</v>
      </c>
      <c r="I2202" s="910" t="e">
        <f>VLOOKUP(H2201,'LƯƠNG KT'!$D$16:$Z$184,4,0)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8" t="s">
        <v>361</v>
      </c>
      <c r="B2203" s="909" t="s">
        <v>2091</v>
      </c>
      <c r="C2203" s="910" t="e">
        <f>VLOOKUP(B2201,'LƯƠNG KT'!$D$16:$Z$184,15,0)</f>
        <v>#N/A</v>
      </c>
      <c r="D2203" s="609" t="e">
        <f>C2203*$L$4</f>
        <v>#N/A</v>
      </c>
      <c r="E2203" s="912"/>
      <c r="F2203" s="912"/>
      <c r="G2203" s="908" t="s">
        <v>361</v>
      </c>
      <c r="H2203" s="909" t="s">
        <v>2091</v>
      </c>
      <c r="I2203" s="910" t="e">
        <f>VLOOKUP(H2201,'LƯƠNG KT'!$D$16:$Z$184,15,0)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8" t="s">
        <v>364</v>
      </c>
      <c r="B2204" s="909" t="s">
        <v>2092</v>
      </c>
      <c r="C2204" s="910" t="e">
        <f>VLOOKUP(B2201,'LƯƠNG KT'!$D$16:$Z$184,16,0)</f>
        <v>#N/A</v>
      </c>
      <c r="D2204" s="609" t="e">
        <f>C2204*$L$5</f>
        <v>#N/A</v>
      </c>
      <c r="E2204" s="912"/>
      <c r="F2204" s="912"/>
      <c r="G2204" s="908" t="s">
        <v>364</v>
      </c>
      <c r="H2204" s="909" t="s">
        <v>2092</v>
      </c>
      <c r="I2204" s="910" t="e">
        <f>VLOOKUP(H2201,'LƯƠNG KT'!$D$16:$Z$184,16,0)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8" t="s">
        <v>370</v>
      </c>
      <c r="B2205" s="909" t="s">
        <v>2093</v>
      </c>
      <c r="C2205" s="910" t="e">
        <f>VLOOKUP(B2201,'LƯƠNG KT'!$D$16:$Z$184,24,0)</f>
        <v>#N/A</v>
      </c>
      <c r="D2205" s="609" t="e">
        <f>+C2205*$L$6</f>
        <v>#N/A</v>
      </c>
      <c r="E2205" s="912"/>
      <c r="F2205" s="912"/>
      <c r="G2205" s="908" t="s">
        <v>370</v>
      </c>
      <c r="H2205" s="909" t="s">
        <v>2093</v>
      </c>
      <c r="I2205" s="910" t="e">
        <f>VLOOKUP(H2201,'LƯƠNG KT'!$D$16:$Z$184,24,0)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8" t="s">
        <v>2094</v>
      </c>
      <c r="B2206" s="909" t="s">
        <v>2095</v>
      </c>
      <c r="C2206" s="910" t="e">
        <f>VLOOKUP(B2201,'LƯƠNG KT'!$D$16:$Z$184,19,0)</f>
        <v>#N/A</v>
      </c>
      <c r="D2206" s="609" t="e">
        <f>+C2206*$L$8</f>
        <v>#N/A</v>
      </c>
      <c r="E2206" s="912"/>
      <c r="F2206" s="912"/>
      <c r="G2206" s="908" t="s">
        <v>2094</v>
      </c>
      <c r="H2206" s="909" t="s">
        <v>2095</v>
      </c>
      <c r="I2206" s="910" t="e">
        <f>VLOOKUP(H2201,'LƯƠNG KT'!$D$16:$Z$184,19,0)</f>
        <v>#N/A</v>
      </c>
      <c r="J2206" s="609" t="e">
        <f>+I2206*$L$8</f>
        <v>#N/A</v>
      </c>
      <c r="K2206" s="935"/>
      <c r="L2206" s="935"/>
      <c r="M2206" s="935"/>
      <c r="N2206" s="935"/>
      <c r="O2206" s="935"/>
    </row>
    <row r="2207" spans="1:15" ht="15" customHeight="1">
      <c r="A2207" s="908" t="s">
        <v>2096</v>
      </c>
      <c r="B2207" s="913" t="s">
        <v>2097</v>
      </c>
      <c r="C2207" s="910" t="e">
        <f>VLOOKUP(B2201,'LƯƠNG KT'!$D$16:$Z$184,20,0)</f>
        <v>#N/A</v>
      </c>
      <c r="D2207" s="609" t="e">
        <f>+C2207*$L$9</f>
        <v>#N/A</v>
      </c>
      <c r="E2207" s="912"/>
      <c r="F2207" s="912"/>
      <c r="G2207" s="908" t="s">
        <v>2096</v>
      </c>
      <c r="H2207" s="913" t="s">
        <v>2097</v>
      </c>
      <c r="I2207" s="910" t="e">
        <f>VLOOKUP(H2201,'LƯƠNG KT'!$D$16:$Z$184,20,0)</f>
        <v>#N/A</v>
      </c>
      <c r="J2207" s="609" t="e">
        <f>+I2207*$L$9</f>
        <v>#N/A</v>
      </c>
      <c r="K2207" s="935"/>
      <c r="L2207" s="935"/>
      <c r="M2207" s="935"/>
      <c r="N2207" s="935"/>
      <c r="O2207" s="935"/>
    </row>
    <row r="2208" spans="1:15" ht="15" customHeight="1">
      <c r="A2208" s="908" t="s">
        <v>2099</v>
      </c>
      <c r="B2208" s="909" t="s">
        <v>2100</v>
      </c>
      <c r="C2208" s="910" t="e">
        <f>VLOOKUP(B2201,'LƯƠNG KT'!$D$16:$Z$184,17,0)</f>
        <v>#N/A</v>
      </c>
      <c r="D2208" s="609" t="e">
        <f>+C2208*$L$10</f>
        <v>#N/A</v>
      </c>
      <c r="E2208" s="912"/>
      <c r="F2208" s="912"/>
      <c r="G2208" s="908" t="s">
        <v>2099</v>
      </c>
      <c r="H2208" s="909" t="s">
        <v>2100</v>
      </c>
      <c r="I2208" s="910" t="e">
        <f>VLOOKUP(H2201,'LƯƠNG KT'!$D$16:$Z$184,17,0)</f>
        <v>#N/A</v>
      </c>
      <c r="J2208" s="609" t="e">
        <f>+I2208*$L$10</f>
        <v>#N/A</v>
      </c>
      <c r="K2208" s="935"/>
      <c r="L2208" s="935"/>
      <c r="M2208" s="935"/>
      <c r="N2208" s="935"/>
      <c r="O2208" s="935"/>
    </row>
    <row r="2209" spans="1:15" ht="15" customHeight="1">
      <c r="A2209" s="908" t="s">
        <v>374</v>
      </c>
      <c r="B2209" s="909" t="s">
        <v>2102</v>
      </c>
      <c r="C2209" s="910" t="e">
        <f>VLOOKUP(B2201,'LƯƠNG KT'!$D$16:$Z$184,12,0)</f>
        <v>#N/A</v>
      </c>
      <c r="D2209" s="609" t="e">
        <f>VLOOKUP(B2201,'LƯƠNG KT'!$D$16:$Z$184,14,0)</f>
        <v>#N/A</v>
      </c>
      <c r="E2209" s="914"/>
      <c r="F2209" s="912"/>
      <c r="G2209" s="908" t="s">
        <v>374</v>
      </c>
      <c r="H2209" s="909" t="s">
        <v>2102</v>
      </c>
      <c r="I2209" s="910" t="e">
        <f>VLOOKUP(H2201,'LƯƠNG KT'!$D$16:$Z$184,12,0)</f>
        <v>#N/A</v>
      </c>
      <c r="J2209" s="609" t="e">
        <f>VLOOKUP(H2201,'LƯƠNG KT'!$D$16:$Z$184,14,0)</f>
        <v>#N/A</v>
      </c>
      <c r="K2209" s="935"/>
      <c r="L2209" s="935"/>
      <c r="M2209" s="935"/>
      <c r="N2209" s="935"/>
      <c r="O2209" s="935"/>
    </row>
    <row r="2210" spans="1:15" ht="15" customHeight="1">
      <c r="A2210" s="908" t="s">
        <v>2103</v>
      </c>
      <c r="B2210" s="909" t="s">
        <v>2104</v>
      </c>
      <c r="D2210" s="915" t="e">
        <f>VLOOKUP(B2201,'LƯƠNG KT'!$D$16:$Z$184,13,0)</f>
        <v>#N/A</v>
      </c>
      <c r="E2210" s="916"/>
      <c r="F2210" s="916"/>
      <c r="G2210" s="908" t="s">
        <v>2103</v>
      </c>
      <c r="H2210" s="909" t="s">
        <v>2104</v>
      </c>
      <c r="J2210" s="915" t="e">
        <f>VLOOKUP(H2201,'LƯƠNG KT'!$D$16:$Z$184,13,0)</f>
        <v>#N/A</v>
      </c>
    </row>
    <row r="2211" spans="1:15" ht="15" customHeight="1">
      <c r="A2211" s="547"/>
      <c r="B2211" s="546"/>
      <c r="C2211" s="910"/>
      <c r="D2211" s="609"/>
      <c r="E2211" s="914"/>
      <c r="F2211" s="916"/>
      <c r="G2211" s="547"/>
      <c r="H2211" s="546"/>
      <c r="I2211" s="910"/>
      <c r="J2211" s="609"/>
    </row>
    <row r="2212" spans="1:15" ht="15" customHeight="1">
      <c r="A2212" s="905"/>
      <c r="B2212" s="546"/>
      <c r="C2212" s="910"/>
      <c r="D2212" s="609"/>
      <c r="E2212" s="917"/>
      <c r="F2212" s="904"/>
      <c r="G2212" s="905"/>
      <c r="H2212" s="546"/>
      <c r="I2212" s="910"/>
      <c r="J2212" s="609"/>
    </row>
    <row r="2213" spans="1:15" ht="15" customHeight="1">
      <c r="A2213" s="918" t="s">
        <v>383</v>
      </c>
      <c r="B2213" s="919" t="s">
        <v>384</v>
      </c>
      <c r="C2213" s="920"/>
      <c r="D2213" s="921" t="e">
        <f>SUM(D2202:D2209)-D2212</f>
        <v>#N/A</v>
      </c>
      <c r="E2213" s="922"/>
      <c r="F2213" s="923"/>
      <c r="G2213" s="918" t="s">
        <v>383</v>
      </c>
      <c r="H2213" s="919" t="s">
        <v>384</v>
      </c>
      <c r="I2213" s="920"/>
      <c r="J2213" s="921" t="e">
        <f>SUM(J2202:J2209)-J2212</f>
        <v>#N/A</v>
      </c>
    </row>
    <row r="2214" spans="1:15" ht="15.75" customHeight="1">
      <c r="A2214" s="924"/>
      <c r="B2214" s="925"/>
      <c r="C2214" s="926"/>
      <c r="D2214" s="927"/>
      <c r="E2214" s="927"/>
      <c r="F2214" s="928"/>
      <c r="G2214" s="924"/>
      <c r="H2214" s="925"/>
      <c r="I2214" s="926"/>
      <c r="J2214" s="927"/>
    </row>
    <row r="2216" spans="1:15" ht="12" customHeight="1">
      <c r="A2216" s="2361"/>
      <c r="B2216" s="2361"/>
      <c r="C2216" s="2361"/>
      <c r="D2216" s="2361"/>
      <c r="E2216" s="2361"/>
      <c r="F2216" s="2361"/>
      <c r="G2216" s="2361"/>
      <c r="H2216" s="2361"/>
      <c r="I2216" s="2361"/>
      <c r="J2216" s="2361"/>
    </row>
    <row r="2217" spans="1:15" ht="15" customHeight="1">
      <c r="A2217" s="2360" t="str">
        <f>$K$2</f>
        <v>THÁNG 04/2025</v>
      </c>
      <c r="B2217" s="2360"/>
      <c r="C2217" s="2360"/>
      <c r="D2217" s="2360"/>
      <c r="E2217" s="903"/>
      <c r="F2217" s="904"/>
      <c r="G2217" s="2360" t="str">
        <f>$K$2</f>
        <v>THÁNG 04/2025</v>
      </c>
      <c r="H2217" s="2360"/>
      <c r="I2217" s="2360"/>
      <c r="J2217" s="2360"/>
      <c r="K2217" s="276"/>
    </row>
    <row r="2218" spans="1:15" ht="15" customHeight="1">
      <c r="A2218" s="905" t="s">
        <v>356</v>
      </c>
      <c r="B2218" s="642" t="s">
        <v>162</v>
      </c>
      <c r="C2218" s="546"/>
      <c r="D2218" s="902"/>
      <c r="E2218" s="906"/>
      <c r="F2218" s="907"/>
      <c r="G2218" s="905" t="s">
        <v>356</v>
      </c>
      <c r="H2218" s="642" t="s">
        <v>163</v>
      </c>
      <c r="I2218" s="546"/>
      <c r="J2218" s="902"/>
      <c r="L2218" s="938"/>
      <c r="M2218" s="938"/>
      <c r="N2218" s="938"/>
      <c r="O2218" s="938"/>
    </row>
    <row r="2219" spans="1:15" ht="15" customHeight="1">
      <c r="A2219" s="908" t="s">
        <v>359</v>
      </c>
      <c r="B2219" s="909" t="s">
        <v>2090</v>
      </c>
      <c r="C2219" s="910" t="e">
        <f>VLOOKUP(B2218,'LƯƠNG KT'!$D$16:$Z$184,4,0)</f>
        <v>#N/A</v>
      </c>
      <c r="D2219" s="609" t="e">
        <f>+C2219*25000</f>
        <v>#N/A</v>
      </c>
      <c r="E2219" s="911"/>
      <c r="F2219" s="911"/>
      <c r="G2219" s="908" t="s">
        <v>359</v>
      </c>
      <c r="H2219" s="909" t="s">
        <v>2090</v>
      </c>
      <c r="I2219" s="910" t="e">
        <f>VLOOKUP(H2218,'LƯƠNG KT'!$D$16:$Z$184,4,0)</f>
        <v>#N/A</v>
      </c>
      <c r="J2219" s="609" t="e">
        <f>+I2219*25000</f>
        <v>#N/A</v>
      </c>
      <c r="K2219" s="934"/>
      <c r="L2219" s="935"/>
      <c r="M2219" s="935"/>
      <c r="N2219" s="935"/>
      <c r="O2219" s="935"/>
    </row>
    <row r="2220" spans="1:15" ht="15" customHeight="1">
      <c r="A2220" s="908" t="s">
        <v>361</v>
      </c>
      <c r="B2220" s="909" t="s">
        <v>2091</v>
      </c>
      <c r="C2220" s="910" t="e">
        <f>VLOOKUP(B2218,'LƯƠNG KT'!$D$16:$Z$184,15,0)</f>
        <v>#N/A</v>
      </c>
      <c r="D2220" s="609" t="e">
        <f>C2220*$L$4</f>
        <v>#N/A</v>
      </c>
      <c r="E2220" s="912"/>
      <c r="F2220" s="912"/>
      <c r="G2220" s="908" t="s">
        <v>361</v>
      </c>
      <c r="H2220" s="909" t="s">
        <v>2091</v>
      </c>
      <c r="I2220" s="910" t="e">
        <f>VLOOKUP(H2218,'LƯƠNG KT'!$D$16:$Z$184,15,0)</f>
        <v>#N/A</v>
      </c>
      <c r="J2220" s="609" t="e">
        <f>I2220*$L$4</f>
        <v>#N/A</v>
      </c>
      <c r="K2220" s="934"/>
      <c r="L2220" s="935"/>
      <c r="M2220" s="935"/>
      <c r="N2220" s="935"/>
      <c r="O2220" s="935"/>
    </row>
    <row r="2221" spans="1:15" ht="15" customHeight="1">
      <c r="A2221" s="908" t="s">
        <v>364</v>
      </c>
      <c r="B2221" s="909" t="s">
        <v>2092</v>
      </c>
      <c r="C2221" s="910" t="e">
        <f>VLOOKUP(B2218,'LƯƠNG KT'!$D$16:$Z$184,16,0)</f>
        <v>#N/A</v>
      </c>
      <c r="D2221" s="609" t="e">
        <f>C2221*$L$5</f>
        <v>#N/A</v>
      </c>
      <c r="E2221" s="912"/>
      <c r="F2221" s="912"/>
      <c r="G2221" s="908" t="s">
        <v>364</v>
      </c>
      <c r="H2221" s="909" t="s">
        <v>2092</v>
      </c>
      <c r="I2221" s="910" t="e">
        <f>VLOOKUP(H2218,'LƯƠNG KT'!$D$16:$Z$184,16,0)</f>
        <v>#N/A</v>
      </c>
      <c r="J2221" s="609" t="e">
        <f>I2221*$L$5</f>
        <v>#N/A</v>
      </c>
      <c r="K2221" s="934"/>
      <c r="L2221" s="935"/>
      <c r="M2221" s="935"/>
      <c r="N2221" s="935"/>
      <c r="O2221" s="935"/>
    </row>
    <row r="2222" spans="1:15" ht="15" customHeight="1">
      <c r="A2222" s="908" t="s">
        <v>370</v>
      </c>
      <c r="B2222" s="909" t="s">
        <v>2093</v>
      </c>
      <c r="C2222" s="910" t="e">
        <f>VLOOKUP(B2218,'LƯƠNG KT'!$D$16:$Z$184,24,0)</f>
        <v>#N/A</v>
      </c>
      <c r="D2222" s="609" t="e">
        <f>+C2222*$L$6</f>
        <v>#N/A</v>
      </c>
      <c r="E2222" s="912"/>
      <c r="F2222" s="912"/>
      <c r="G2222" s="908" t="s">
        <v>370</v>
      </c>
      <c r="H2222" s="909" t="s">
        <v>2093</v>
      </c>
      <c r="I2222" s="910" t="e">
        <f>VLOOKUP(H2218,'LƯƠNG KT'!$D$16:$Z$184,24,0)</f>
        <v>#N/A</v>
      </c>
      <c r="J2222" s="609" t="e">
        <f>+I2222*$L$6</f>
        <v>#N/A</v>
      </c>
      <c r="K2222" s="935"/>
      <c r="L2222" s="935"/>
      <c r="M2222" s="935"/>
      <c r="N2222" s="935"/>
      <c r="O2222" s="935"/>
    </row>
    <row r="2223" spans="1:15" ht="15" customHeight="1">
      <c r="A2223" s="908" t="s">
        <v>2094</v>
      </c>
      <c r="B2223" s="909" t="s">
        <v>2095</v>
      </c>
      <c r="C2223" s="910" t="e">
        <f>VLOOKUP(B2218,'LƯƠNG KT'!$D$16:$Z$184,19,0)</f>
        <v>#N/A</v>
      </c>
      <c r="D2223" s="609" t="e">
        <f>+C2223*$L$8</f>
        <v>#N/A</v>
      </c>
      <c r="E2223" s="912"/>
      <c r="F2223" s="912"/>
      <c r="G2223" s="908" t="s">
        <v>2094</v>
      </c>
      <c r="H2223" s="909" t="s">
        <v>2095</v>
      </c>
      <c r="I2223" s="910" t="e">
        <f>VLOOKUP(H2218,'LƯƠNG KT'!$D$16:$Z$184,19,0)</f>
        <v>#N/A</v>
      </c>
      <c r="J2223" s="609" t="e">
        <f>+I2223*$L$8</f>
        <v>#N/A</v>
      </c>
      <c r="K2223" s="935"/>
      <c r="L2223" s="935"/>
      <c r="M2223" s="935"/>
      <c r="N2223" s="935"/>
      <c r="O2223" s="935"/>
    </row>
    <row r="2224" spans="1:15" ht="15" customHeight="1">
      <c r="A2224" s="908" t="s">
        <v>2096</v>
      </c>
      <c r="B2224" s="913" t="s">
        <v>2097</v>
      </c>
      <c r="C2224" s="910" t="e">
        <f>VLOOKUP(B2218,'LƯƠNG KT'!$D$16:$Z$184,20,0)</f>
        <v>#N/A</v>
      </c>
      <c r="D2224" s="609" t="e">
        <f>+C2224*$L$9</f>
        <v>#N/A</v>
      </c>
      <c r="E2224" s="912"/>
      <c r="F2224" s="912"/>
      <c r="G2224" s="908" t="s">
        <v>2096</v>
      </c>
      <c r="H2224" s="913" t="s">
        <v>2097</v>
      </c>
      <c r="I2224" s="910" t="e">
        <f>VLOOKUP(H2218,'LƯƠNG KT'!$D$16:$Z$184,20,0)</f>
        <v>#N/A</v>
      </c>
      <c r="J2224" s="609" t="e">
        <f>+I2224*$L$9</f>
        <v>#N/A</v>
      </c>
      <c r="K2224" s="935"/>
      <c r="L2224" s="935"/>
      <c r="M2224" s="935"/>
      <c r="N2224" s="935"/>
      <c r="O2224" s="935"/>
    </row>
    <row r="2225" spans="1:15" ht="15" customHeight="1">
      <c r="A2225" s="908" t="s">
        <v>2099</v>
      </c>
      <c r="B2225" s="909" t="s">
        <v>2100</v>
      </c>
      <c r="C2225" s="910" t="e">
        <f>VLOOKUP(B2218,'LƯƠNG KT'!$D$16:$Z$184,17,0)</f>
        <v>#N/A</v>
      </c>
      <c r="D2225" s="609" t="e">
        <f>+C2225*$L$10</f>
        <v>#N/A</v>
      </c>
      <c r="E2225" s="912"/>
      <c r="F2225" s="912"/>
      <c r="G2225" s="908" t="s">
        <v>2099</v>
      </c>
      <c r="H2225" s="909" t="s">
        <v>2100</v>
      </c>
      <c r="I2225" s="910" t="e">
        <f>VLOOKUP(H2218,'LƯƠNG KT'!$D$16:$Z$184,17,0)</f>
        <v>#N/A</v>
      </c>
      <c r="J2225" s="609" t="e">
        <f>+I2225*$L$10</f>
        <v>#N/A</v>
      </c>
      <c r="K2225" s="935"/>
      <c r="L2225" s="935"/>
      <c r="M2225" s="935"/>
      <c r="N2225" s="935"/>
      <c r="O2225" s="935"/>
    </row>
    <row r="2226" spans="1:15" ht="15" customHeight="1">
      <c r="A2226" s="908" t="s">
        <v>374</v>
      </c>
      <c r="B2226" s="909" t="s">
        <v>2102</v>
      </c>
      <c r="C2226" s="910" t="e">
        <f>VLOOKUP(B2218,'LƯƠNG KT'!$D$16:$Z$184,12,0)</f>
        <v>#N/A</v>
      </c>
      <c r="D2226" s="609" t="e">
        <f>VLOOKUP(B2218,'LƯƠNG KT'!$D$16:$Z$184,14,0)</f>
        <v>#N/A</v>
      </c>
      <c r="E2226" s="914"/>
      <c r="F2226" s="912"/>
      <c r="G2226" s="908" t="s">
        <v>374</v>
      </c>
      <c r="H2226" s="909" t="s">
        <v>2102</v>
      </c>
      <c r="I2226" s="910" t="e">
        <f>VLOOKUP(H2218,'LƯƠNG KT'!$D$16:$Z$184,12,0)</f>
        <v>#N/A</v>
      </c>
      <c r="J2226" s="609" t="e">
        <f>VLOOKUP(H2218,'LƯƠNG KT'!$D$16:$Z$184,14,0)</f>
        <v>#N/A</v>
      </c>
      <c r="K2226" s="935"/>
      <c r="L2226" s="935"/>
      <c r="M2226" s="935"/>
      <c r="N2226" s="935"/>
      <c r="O2226" s="935"/>
    </row>
    <row r="2227" spans="1:15" ht="15" customHeight="1">
      <c r="A2227" s="908" t="s">
        <v>2103</v>
      </c>
      <c r="B2227" s="909" t="s">
        <v>2104</v>
      </c>
      <c r="D2227" s="915" t="e">
        <f>VLOOKUP(B2218,'LƯƠNG KT'!$D$16:$Z$184,13,0)</f>
        <v>#N/A</v>
      </c>
      <c r="E2227" s="916"/>
      <c r="F2227" s="916"/>
      <c r="G2227" s="908" t="s">
        <v>2103</v>
      </c>
      <c r="H2227" s="909" t="s">
        <v>2104</v>
      </c>
      <c r="J2227" s="915" t="e">
        <f>VLOOKUP(H2218,'LƯƠNG KT'!$D$16:$Z$184,13,0)</f>
        <v>#N/A</v>
      </c>
    </row>
    <row r="2228" spans="1:15" ht="15" customHeight="1">
      <c r="A2228" s="547"/>
      <c r="B2228" s="546"/>
      <c r="C2228" s="910"/>
      <c r="D2228" s="609"/>
      <c r="E2228" s="914"/>
      <c r="F2228" s="916"/>
      <c r="G2228" s="547"/>
      <c r="H2228" s="546"/>
      <c r="I2228" s="910"/>
      <c r="J2228" s="609"/>
    </row>
    <row r="2229" spans="1:15" ht="15" customHeight="1">
      <c r="A2229" s="905"/>
      <c r="B2229" s="546"/>
      <c r="C2229" s="910"/>
      <c r="D2229" s="609"/>
      <c r="E2229" s="917"/>
      <c r="F2229" s="904"/>
      <c r="G2229" s="905"/>
      <c r="H2229" s="546"/>
      <c r="I2229" s="910"/>
      <c r="J2229" s="609"/>
    </row>
    <row r="2230" spans="1:15" ht="15" customHeight="1">
      <c r="A2230" s="918" t="s">
        <v>383</v>
      </c>
      <c r="B2230" s="919" t="s">
        <v>384</v>
      </c>
      <c r="C2230" s="920"/>
      <c r="D2230" s="921" t="e">
        <f>SUM(D2219:D2226)-D2229</f>
        <v>#N/A</v>
      </c>
      <c r="E2230" s="922"/>
      <c r="F2230" s="923"/>
      <c r="G2230" s="918" t="s">
        <v>383</v>
      </c>
      <c r="H2230" s="919" t="s">
        <v>384</v>
      </c>
      <c r="I2230" s="920"/>
      <c r="J2230" s="921" t="e">
        <f>SUM(J2219:J2226)-J2229</f>
        <v>#N/A</v>
      </c>
    </row>
    <row r="2231" spans="1:15" ht="12.6" customHeight="1">
      <c r="A2231" s="924"/>
      <c r="B2231" s="925"/>
      <c r="C2231" s="926"/>
      <c r="D2231" s="927"/>
      <c r="E2231" s="927"/>
      <c r="F2231" s="928"/>
      <c r="G2231" s="924"/>
      <c r="H2231" s="925"/>
      <c r="I2231" s="926"/>
      <c r="J2231" s="927"/>
    </row>
    <row r="2232" spans="1:15" ht="145.5" customHeight="1">
      <c r="A2232" s="925"/>
      <c r="B2232" s="925"/>
      <c r="C2232" s="929"/>
      <c r="D2232" s="930"/>
      <c r="E2232" s="925"/>
      <c r="F2232" s="931"/>
      <c r="G2232" s="925"/>
      <c r="H2232" s="925"/>
      <c r="I2232" s="929"/>
      <c r="J2232" s="930"/>
    </row>
    <row r="2233" spans="1:15" ht="15" customHeight="1">
      <c r="A2233" s="2360" t="str">
        <f>$K$2</f>
        <v>THÁNG 04/2025</v>
      </c>
      <c r="B2233" s="2360"/>
      <c r="C2233" s="2360"/>
      <c r="D2233" s="2360"/>
      <c r="E2233" s="903"/>
      <c r="F2233" s="904"/>
      <c r="G2233" s="2360" t="str">
        <f>$K$2</f>
        <v>THÁNG 04/2025</v>
      </c>
      <c r="H2233" s="2360"/>
      <c r="I2233" s="2360"/>
      <c r="J2233" s="2360"/>
      <c r="K2233" s="276"/>
    </row>
    <row r="2234" spans="1:15" ht="15" customHeight="1">
      <c r="A2234" s="905" t="s">
        <v>356</v>
      </c>
      <c r="B2234" s="642" t="s">
        <v>164</v>
      </c>
      <c r="C2234" s="546"/>
      <c r="D2234" s="902"/>
      <c r="E2234" s="906"/>
      <c r="F2234" s="907"/>
      <c r="G2234" s="905" t="s">
        <v>356</v>
      </c>
      <c r="H2234" s="642" t="s">
        <v>165</v>
      </c>
      <c r="I2234" s="546"/>
      <c r="J2234" s="902"/>
      <c r="L2234" s="938"/>
      <c r="M2234" s="938"/>
      <c r="N2234" s="938"/>
      <c r="O2234" s="938"/>
    </row>
    <row r="2235" spans="1:15" ht="15" customHeight="1">
      <c r="A2235" s="908" t="s">
        <v>359</v>
      </c>
      <c r="B2235" s="909" t="s">
        <v>2090</v>
      </c>
      <c r="C2235" s="910" t="e">
        <f>VLOOKUP(B2234,'LƯƠNG KT'!$D$16:$Z$184,4,0)</f>
        <v>#N/A</v>
      </c>
      <c r="D2235" s="609" t="e">
        <f>+C2235*25000</f>
        <v>#N/A</v>
      </c>
      <c r="E2235" s="911"/>
      <c r="F2235" s="911"/>
      <c r="G2235" s="908" t="s">
        <v>359</v>
      </c>
      <c r="H2235" s="909" t="s">
        <v>2090</v>
      </c>
      <c r="I2235" s="910" t="e">
        <f>VLOOKUP(H2234,'LƯƠNG KT'!$D$16:$Z$184,4,0)</f>
        <v>#N/A</v>
      </c>
      <c r="J2235" s="609" t="e">
        <f>+I2235*25000</f>
        <v>#N/A</v>
      </c>
      <c r="K2235" s="935"/>
      <c r="L2235" s="935"/>
      <c r="M2235" s="935"/>
      <c r="N2235" s="935"/>
      <c r="O2235" s="935"/>
    </row>
    <row r="2236" spans="1:15" ht="15" customHeight="1">
      <c r="A2236" s="908" t="s">
        <v>361</v>
      </c>
      <c r="B2236" s="909" t="s">
        <v>2091</v>
      </c>
      <c r="C2236" s="910" t="e">
        <f>VLOOKUP(B2234,'LƯƠNG KT'!$D$16:$Z$184,15,0)</f>
        <v>#N/A</v>
      </c>
      <c r="D2236" s="609" t="e">
        <f>C2236*$L$4</f>
        <v>#N/A</v>
      </c>
      <c r="E2236" s="912"/>
      <c r="F2236" s="912"/>
      <c r="G2236" s="908" t="s">
        <v>361</v>
      </c>
      <c r="H2236" s="909" t="s">
        <v>2091</v>
      </c>
      <c r="I2236" s="910" t="e">
        <f>VLOOKUP(H2234,'LƯƠNG KT'!$D$16:$Z$184,15,0)</f>
        <v>#N/A</v>
      </c>
      <c r="J2236" s="609" t="e">
        <f>I2236*$L$4</f>
        <v>#N/A</v>
      </c>
      <c r="K2236" s="935"/>
      <c r="L2236" s="935"/>
      <c r="M2236" s="935"/>
      <c r="N2236" s="935"/>
      <c r="O2236" s="935"/>
    </row>
    <row r="2237" spans="1:15" ht="15" customHeight="1">
      <c r="A2237" s="908" t="s">
        <v>364</v>
      </c>
      <c r="B2237" s="909" t="s">
        <v>2092</v>
      </c>
      <c r="C2237" s="910" t="e">
        <f>VLOOKUP(B2234,'LƯƠNG KT'!$D$16:$Z$184,16,0)</f>
        <v>#N/A</v>
      </c>
      <c r="D2237" s="609" t="e">
        <f>C2237*$L$5</f>
        <v>#N/A</v>
      </c>
      <c r="E2237" s="912"/>
      <c r="F2237" s="912"/>
      <c r="G2237" s="908" t="s">
        <v>364</v>
      </c>
      <c r="H2237" s="909" t="s">
        <v>2092</v>
      </c>
      <c r="I2237" s="910" t="e">
        <f>VLOOKUP(H2234,'LƯƠNG KT'!$D$16:$Z$184,16,0)</f>
        <v>#N/A</v>
      </c>
      <c r="J2237" s="609" t="e">
        <f>I2237*$L$5</f>
        <v>#N/A</v>
      </c>
      <c r="K2237" s="935"/>
      <c r="L2237" s="935"/>
      <c r="M2237" s="935"/>
      <c r="N2237" s="935"/>
      <c r="O2237" s="935"/>
    </row>
    <row r="2238" spans="1:15" ht="15" customHeight="1">
      <c r="A2238" s="908" t="s">
        <v>370</v>
      </c>
      <c r="B2238" s="909" t="s">
        <v>2093</v>
      </c>
      <c r="C2238" s="910" t="e">
        <f>VLOOKUP(B2234,'LƯƠNG KT'!$D$16:$Z$184,24,0)</f>
        <v>#N/A</v>
      </c>
      <c r="D2238" s="609" t="e">
        <f>+C2238*$L$6</f>
        <v>#N/A</v>
      </c>
      <c r="E2238" s="912"/>
      <c r="F2238" s="912"/>
      <c r="G2238" s="908" t="s">
        <v>370</v>
      </c>
      <c r="H2238" s="909" t="s">
        <v>2093</v>
      </c>
      <c r="I2238" s="910" t="e">
        <f>VLOOKUP(H2234,'LƯƠNG KT'!$D$16:$Z$184,24,0)</f>
        <v>#N/A</v>
      </c>
      <c r="J2238" s="609" t="e">
        <f>+I2238*$L$6</f>
        <v>#N/A</v>
      </c>
      <c r="K2238" s="935"/>
      <c r="L2238" s="935"/>
      <c r="M2238" s="935"/>
      <c r="N2238" s="935"/>
      <c r="O2238" s="935"/>
    </row>
    <row r="2239" spans="1:15" ht="15" customHeight="1">
      <c r="A2239" s="908" t="s">
        <v>2094</v>
      </c>
      <c r="B2239" s="909" t="s">
        <v>2095</v>
      </c>
      <c r="C2239" s="910" t="e">
        <f>VLOOKUP(B2234,'LƯƠNG KT'!$D$16:$Z$184,19,0)</f>
        <v>#N/A</v>
      </c>
      <c r="D2239" s="609" t="e">
        <f>+C2239*$L$8</f>
        <v>#N/A</v>
      </c>
      <c r="E2239" s="912"/>
      <c r="F2239" s="912"/>
      <c r="G2239" s="908" t="s">
        <v>2094</v>
      </c>
      <c r="H2239" s="909" t="s">
        <v>2095</v>
      </c>
      <c r="I2239" s="910" t="e">
        <f>VLOOKUP(H2234,'LƯƠNG KT'!$D$16:$Z$184,19,0)</f>
        <v>#N/A</v>
      </c>
      <c r="J2239" s="609" t="e">
        <f>+I2239*$L$8</f>
        <v>#N/A</v>
      </c>
      <c r="K2239" s="935"/>
      <c r="L2239" s="935"/>
      <c r="M2239" s="935"/>
      <c r="N2239" s="935"/>
      <c r="O2239" s="935"/>
    </row>
    <row r="2240" spans="1:15" ht="15" customHeight="1">
      <c r="A2240" s="908" t="s">
        <v>2096</v>
      </c>
      <c r="B2240" s="913" t="s">
        <v>2097</v>
      </c>
      <c r="C2240" s="910" t="e">
        <f>VLOOKUP(B2234,'LƯƠNG KT'!$D$16:$Z$184,20,0)</f>
        <v>#N/A</v>
      </c>
      <c r="D2240" s="609" t="e">
        <f>+C2240*$L$9</f>
        <v>#N/A</v>
      </c>
      <c r="E2240" s="912"/>
      <c r="F2240" s="912"/>
      <c r="G2240" s="908" t="s">
        <v>2096</v>
      </c>
      <c r="H2240" s="913" t="s">
        <v>2097</v>
      </c>
      <c r="I2240" s="910" t="e">
        <f>VLOOKUP(H2234,'LƯƠNG KT'!$D$16:$Z$184,20,0)</f>
        <v>#N/A</v>
      </c>
      <c r="J2240" s="609" t="e">
        <f>+I2240*$L$9</f>
        <v>#N/A</v>
      </c>
      <c r="K2240" s="935"/>
      <c r="L2240" s="935"/>
      <c r="M2240" s="935"/>
      <c r="N2240" s="935"/>
      <c r="O2240" s="935"/>
    </row>
    <row r="2241" spans="1:15" ht="15" customHeight="1">
      <c r="A2241" s="908" t="s">
        <v>2099</v>
      </c>
      <c r="B2241" s="909" t="s">
        <v>2100</v>
      </c>
      <c r="C2241" s="910" t="e">
        <f>VLOOKUP(B2234,'LƯƠNG KT'!$D$16:$Z$184,17,0)</f>
        <v>#N/A</v>
      </c>
      <c r="D2241" s="609" t="e">
        <f>+C2241*$L$10</f>
        <v>#N/A</v>
      </c>
      <c r="E2241" s="912"/>
      <c r="F2241" s="912"/>
      <c r="G2241" s="908" t="s">
        <v>2099</v>
      </c>
      <c r="H2241" s="909" t="s">
        <v>2100</v>
      </c>
      <c r="I2241" s="910" t="e">
        <f>VLOOKUP(H2234,'LƯƠNG KT'!$D$16:$Z$184,17,0)</f>
        <v>#N/A</v>
      </c>
      <c r="J2241" s="609" t="e">
        <f>+I2241*$L$10</f>
        <v>#N/A</v>
      </c>
      <c r="K2241" s="935"/>
      <c r="L2241" s="935"/>
      <c r="M2241" s="935"/>
      <c r="N2241" s="935"/>
      <c r="O2241" s="935"/>
    </row>
    <row r="2242" spans="1:15" ht="15" customHeight="1">
      <c r="A2242" s="908" t="s">
        <v>374</v>
      </c>
      <c r="B2242" s="909" t="s">
        <v>2102</v>
      </c>
      <c r="C2242" s="910" t="e">
        <f>VLOOKUP(B2234,'LƯƠNG KT'!$D$16:$Z$184,12,0)</f>
        <v>#N/A</v>
      </c>
      <c r="D2242" s="609" t="e">
        <f>VLOOKUP(B2234,'LƯƠNG KT'!$D$16:$Z$184,14,0)</f>
        <v>#N/A</v>
      </c>
      <c r="E2242" s="914"/>
      <c r="F2242" s="912"/>
      <c r="G2242" s="908" t="s">
        <v>374</v>
      </c>
      <c r="H2242" s="909" t="s">
        <v>2102</v>
      </c>
      <c r="I2242" s="910" t="e">
        <f>VLOOKUP(H2234,'LƯƠNG KT'!$D$16:$Z$184,12,0)</f>
        <v>#N/A</v>
      </c>
      <c r="J2242" s="609" t="e">
        <f>VLOOKUP(H2234,'LƯƠNG KT'!$D$16:$Z$184,14,0)</f>
        <v>#N/A</v>
      </c>
      <c r="K2242" s="935"/>
      <c r="L2242" s="935"/>
      <c r="M2242" s="935"/>
      <c r="N2242" s="935"/>
      <c r="O2242" s="935"/>
    </row>
    <row r="2243" spans="1:15" ht="15" customHeight="1">
      <c r="A2243" s="908" t="s">
        <v>2103</v>
      </c>
      <c r="B2243" s="909" t="s">
        <v>2104</v>
      </c>
      <c r="D2243" s="915" t="e">
        <f>VLOOKUP(B2234,'LƯƠNG KT'!$D$16:$Z$184,13,0)</f>
        <v>#N/A</v>
      </c>
      <c r="E2243" s="916"/>
      <c r="F2243" s="916"/>
      <c r="G2243" s="908" t="s">
        <v>2103</v>
      </c>
      <c r="H2243" s="909" t="s">
        <v>2104</v>
      </c>
      <c r="J2243" s="915" t="e">
        <f>VLOOKUP(H2234,'LƯƠNG KT'!$D$16:$Z$184,13,0)</f>
        <v>#N/A</v>
      </c>
    </row>
    <row r="2244" spans="1:15" ht="15" customHeight="1">
      <c r="A2244" s="547"/>
      <c r="B2244" s="546"/>
      <c r="C2244" s="910"/>
      <c r="D2244" s="609"/>
      <c r="E2244" s="914"/>
      <c r="F2244" s="916"/>
      <c r="G2244" s="547"/>
      <c r="H2244" s="546"/>
      <c r="I2244" s="910"/>
      <c r="J2244" s="609"/>
    </row>
    <row r="2245" spans="1:15" ht="15" customHeight="1">
      <c r="A2245" s="905"/>
      <c r="B2245" s="546"/>
      <c r="C2245" s="910"/>
      <c r="D2245" s="609"/>
      <c r="E2245" s="917"/>
      <c r="F2245" s="904"/>
      <c r="G2245" s="905"/>
      <c r="H2245" s="546"/>
      <c r="I2245" s="910"/>
      <c r="J2245" s="609"/>
    </row>
    <row r="2246" spans="1:15" ht="15" customHeight="1">
      <c r="A2246" s="918" t="s">
        <v>383</v>
      </c>
      <c r="B2246" s="919" t="s">
        <v>384</v>
      </c>
      <c r="C2246" s="920"/>
      <c r="D2246" s="921" t="e">
        <f>SUM(D2235:D2242)-D2245</f>
        <v>#N/A</v>
      </c>
      <c r="E2246" s="922"/>
      <c r="F2246" s="923"/>
      <c r="G2246" s="918" t="s">
        <v>383</v>
      </c>
      <c r="H2246" s="919" t="s">
        <v>384</v>
      </c>
      <c r="I2246" s="920"/>
      <c r="J2246" s="921" t="e">
        <f>SUM(J2235:J2242)-J2245</f>
        <v>#N/A</v>
      </c>
    </row>
    <row r="2247" spans="1:15" ht="18.75" customHeight="1">
      <c r="A2247" s="924"/>
      <c r="B2247" s="925"/>
      <c r="C2247" s="926"/>
      <c r="D2247" s="927"/>
      <c r="E2247" s="927"/>
      <c r="F2247" s="928"/>
      <c r="G2247" s="924"/>
      <c r="H2247" s="925"/>
      <c r="I2247" s="926"/>
      <c r="J2247" s="927"/>
    </row>
    <row r="2248" spans="1:15" ht="18.75" customHeight="1">
      <c r="A2248" s="925"/>
      <c r="B2248" s="925"/>
      <c r="C2248" s="929"/>
      <c r="D2248" s="930"/>
      <c r="E2248" s="925"/>
      <c r="F2248" s="931"/>
      <c r="G2248" s="925"/>
      <c r="H2248" s="925"/>
      <c r="I2248" s="929"/>
      <c r="J2248" s="930"/>
    </row>
    <row r="2249" spans="1:15" ht="15" customHeight="1">
      <c r="A2249" s="2360" t="str">
        <f>$K$2</f>
        <v>THÁNG 04/2025</v>
      </c>
      <c r="B2249" s="2360"/>
      <c r="C2249" s="2360"/>
      <c r="D2249" s="2360"/>
      <c r="E2249" s="903"/>
      <c r="F2249" s="904"/>
      <c r="G2249" s="2360" t="str">
        <f>$K$2</f>
        <v>THÁNG 04/2025</v>
      </c>
      <c r="H2249" s="2360"/>
      <c r="I2249" s="2360"/>
      <c r="J2249" s="2360"/>
      <c r="K2249" s="276"/>
    </row>
    <row r="2250" spans="1:15" ht="15" customHeight="1">
      <c r="A2250" s="905" t="s">
        <v>356</v>
      </c>
      <c r="B2250" s="642" t="s">
        <v>166</v>
      </c>
      <c r="C2250" s="546"/>
      <c r="D2250" s="902"/>
      <c r="E2250" s="906"/>
      <c r="F2250" s="907"/>
      <c r="G2250" s="905" t="s">
        <v>356</v>
      </c>
      <c r="H2250" s="642" t="s">
        <v>167</v>
      </c>
      <c r="I2250" s="546"/>
      <c r="J2250" s="902"/>
      <c r="L2250" s="938"/>
      <c r="M2250" s="938"/>
      <c r="N2250" s="938"/>
      <c r="O2250" s="938"/>
    </row>
    <row r="2251" spans="1:15" ht="15" customHeight="1">
      <c r="A2251" s="908" t="s">
        <v>359</v>
      </c>
      <c r="B2251" s="909" t="s">
        <v>2090</v>
      </c>
      <c r="C2251" s="910" t="e">
        <f>VLOOKUP(B2250,'LƯƠNG KT'!$D$16:$Z$184,4,0)</f>
        <v>#N/A</v>
      </c>
      <c r="D2251" s="609" t="e">
        <f>+C2251*25000</f>
        <v>#N/A</v>
      </c>
      <c r="E2251" s="911"/>
      <c r="F2251" s="911"/>
      <c r="G2251" s="908" t="s">
        <v>359</v>
      </c>
      <c r="H2251" s="909" t="s">
        <v>2090</v>
      </c>
      <c r="I2251" s="910" t="e">
        <f>VLOOKUP(H2250,'LƯƠNG KT'!$D$16:$Z$184,4,0)</f>
        <v>#N/A</v>
      </c>
      <c r="J2251" s="609" t="e">
        <f>+I2251*25000</f>
        <v>#N/A</v>
      </c>
      <c r="K2251" s="935"/>
      <c r="L2251" s="935"/>
      <c r="M2251" s="935"/>
      <c r="N2251" s="935"/>
      <c r="O2251" s="935"/>
    </row>
    <row r="2252" spans="1:15" ht="15" customHeight="1">
      <c r="A2252" s="908" t="s">
        <v>361</v>
      </c>
      <c r="B2252" s="909" t="s">
        <v>2091</v>
      </c>
      <c r="C2252" s="910" t="e">
        <f>VLOOKUP(B2250,'LƯƠNG KT'!$D$16:$Z$184,15,0)</f>
        <v>#N/A</v>
      </c>
      <c r="D2252" s="609" t="e">
        <f>C2252*$L$4</f>
        <v>#N/A</v>
      </c>
      <c r="E2252" s="912"/>
      <c r="F2252" s="912"/>
      <c r="G2252" s="908" t="s">
        <v>361</v>
      </c>
      <c r="H2252" s="909" t="s">
        <v>2091</v>
      </c>
      <c r="I2252" s="910" t="e">
        <f>VLOOKUP(H2250,'LƯƠNG KT'!$D$16:$Z$184,15,0)</f>
        <v>#N/A</v>
      </c>
      <c r="J2252" s="609" t="e">
        <f>I2252*$L$4</f>
        <v>#N/A</v>
      </c>
      <c r="K2252" s="935"/>
      <c r="L2252" s="935"/>
      <c r="M2252" s="935"/>
      <c r="N2252" s="935"/>
      <c r="O2252" s="935"/>
    </row>
    <row r="2253" spans="1:15" ht="15" customHeight="1">
      <c r="A2253" s="908" t="s">
        <v>364</v>
      </c>
      <c r="B2253" s="909" t="s">
        <v>2092</v>
      </c>
      <c r="C2253" s="910" t="e">
        <f>VLOOKUP(B2250,'LƯƠNG KT'!$D$16:$Z$184,16,0)</f>
        <v>#N/A</v>
      </c>
      <c r="D2253" s="609" t="e">
        <f>C2253*$L$5</f>
        <v>#N/A</v>
      </c>
      <c r="E2253" s="912"/>
      <c r="F2253" s="912"/>
      <c r="G2253" s="908" t="s">
        <v>364</v>
      </c>
      <c r="H2253" s="909" t="s">
        <v>2092</v>
      </c>
      <c r="I2253" s="910" t="e">
        <f>VLOOKUP(H2250,'LƯƠNG KT'!$D$16:$Z$184,16,0)</f>
        <v>#N/A</v>
      </c>
      <c r="J2253" s="609" t="e">
        <f>I2253*$L$5</f>
        <v>#N/A</v>
      </c>
      <c r="K2253" s="935"/>
      <c r="L2253" s="935"/>
      <c r="M2253" s="935"/>
      <c r="N2253" s="935"/>
      <c r="O2253" s="935"/>
    </row>
    <row r="2254" spans="1:15" ht="15" customHeight="1">
      <c r="A2254" s="908" t="s">
        <v>370</v>
      </c>
      <c r="B2254" s="909" t="s">
        <v>2093</v>
      </c>
      <c r="C2254" s="910" t="e">
        <f>VLOOKUP(B2250,'LƯƠNG KT'!$D$16:$Z$184,24,0)</f>
        <v>#N/A</v>
      </c>
      <c r="D2254" s="609" t="e">
        <f>+C2254*$L$6</f>
        <v>#N/A</v>
      </c>
      <c r="E2254" s="912"/>
      <c r="F2254" s="912"/>
      <c r="G2254" s="908" t="s">
        <v>370</v>
      </c>
      <c r="H2254" s="909" t="s">
        <v>2093</v>
      </c>
      <c r="I2254" s="910" t="e">
        <f>VLOOKUP(H2250,'LƯƠNG KT'!$D$16:$Z$184,24,0)</f>
        <v>#N/A</v>
      </c>
      <c r="J2254" s="609" t="e">
        <f>+I2254*$L$6</f>
        <v>#N/A</v>
      </c>
      <c r="K2254" s="935"/>
      <c r="L2254" s="935"/>
      <c r="M2254" s="935"/>
      <c r="N2254" s="935"/>
      <c r="O2254" s="935"/>
    </row>
    <row r="2255" spans="1:15" ht="15" customHeight="1">
      <c r="A2255" s="908" t="s">
        <v>2094</v>
      </c>
      <c r="B2255" s="909" t="s">
        <v>2095</v>
      </c>
      <c r="C2255" s="910" t="e">
        <f>VLOOKUP(B2250,'LƯƠNG KT'!$D$16:$Z$184,19,0)</f>
        <v>#N/A</v>
      </c>
      <c r="D2255" s="609" t="e">
        <f>+C2255*$L$8</f>
        <v>#N/A</v>
      </c>
      <c r="E2255" s="912"/>
      <c r="F2255" s="912"/>
      <c r="G2255" s="908" t="s">
        <v>2094</v>
      </c>
      <c r="H2255" s="909" t="s">
        <v>2095</v>
      </c>
      <c r="I2255" s="910" t="e">
        <f>VLOOKUP(H2250,'LƯƠNG KT'!$D$16:$Z$184,19,0)</f>
        <v>#N/A</v>
      </c>
      <c r="J2255" s="609" t="e">
        <f>+I2255*$L$8</f>
        <v>#N/A</v>
      </c>
      <c r="K2255" s="935"/>
      <c r="L2255" s="935"/>
      <c r="M2255" s="935"/>
      <c r="N2255" s="935"/>
      <c r="O2255" s="935"/>
    </row>
    <row r="2256" spans="1:15" ht="15" customHeight="1">
      <c r="A2256" s="908" t="s">
        <v>2096</v>
      </c>
      <c r="B2256" s="913" t="s">
        <v>2097</v>
      </c>
      <c r="C2256" s="910" t="e">
        <f>VLOOKUP(B2250,'LƯƠNG KT'!$D$16:$Z$184,20,0)</f>
        <v>#N/A</v>
      </c>
      <c r="D2256" s="609" t="e">
        <f>+C2256*$L$9</f>
        <v>#N/A</v>
      </c>
      <c r="E2256" s="912"/>
      <c r="F2256" s="912"/>
      <c r="G2256" s="908" t="s">
        <v>2096</v>
      </c>
      <c r="H2256" s="913" t="s">
        <v>2097</v>
      </c>
      <c r="I2256" s="910" t="e">
        <f>VLOOKUP(H2250,'LƯƠNG KT'!$D$16:$Z$184,20,0)</f>
        <v>#N/A</v>
      </c>
      <c r="J2256" s="609" t="e">
        <f>+I2256*$L$9</f>
        <v>#N/A</v>
      </c>
      <c r="K2256" s="935"/>
      <c r="L2256" s="935"/>
      <c r="M2256" s="935"/>
      <c r="N2256" s="935"/>
      <c r="O2256" s="935"/>
    </row>
    <row r="2257" spans="1:15" ht="15" customHeight="1">
      <c r="A2257" s="908" t="s">
        <v>2099</v>
      </c>
      <c r="B2257" s="909" t="s">
        <v>2100</v>
      </c>
      <c r="C2257" s="910" t="e">
        <f>VLOOKUP(B2250,'LƯƠNG KT'!$D$16:$Z$184,17,0)</f>
        <v>#N/A</v>
      </c>
      <c r="D2257" s="609" t="e">
        <f>+C2257*$L$10</f>
        <v>#N/A</v>
      </c>
      <c r="E2257" s="912"/>
      <c r="F2257" s="912"/>
      <c r="G2257" s="908" t="s">
        <v>2099</v>
      </c>
      <c r="H2257" s="909" t="s">
        <v>2100</v>
      </c>
      <c r="I2257" s="910" t="e">
        <f>VLOOKUP(H2250,'LƯƠNG KT'!$D$16:$Z$184,17,0)</f>
        <v>#N/A</v>
      </c>
      <c r="J2257" s="609" t="e">
        <f>+I2257*$L$10</f>
        <v>#N/A</v>
      </c>
      <c r="K2257" s="935"/>
      <c r="L2257" s="935"/>
      <c r="M2257" s="935"/>
      <c r="N2257" s="935"/>
      <c r="O2257" s="935"/>
    </row>
    <row r="2258" spans="1:15" ht="15" customHeight="1">
      <c r="A2258" s="908" t="s">
        <v>374</v>
      </c>
      <c r="B2258" s="909" t="s">
        <v>2102</v>
      </c>
      <c r="C2258" s="910" t="e">
        <f>VLOOKUP(B2250,'LƯƠNG KT'!$D$16:$Z$184,12,0)</f>
        <v>#N/A</v>
      </c>
      <c r="D2258" s="609" t="e">
        <f>VLOOKUP(B2250,'LƯƠNG KT'!$D$16:$Z$184,14,0)</f>
        <v>#N/A</v>
      </c>
      <c r="E2258" s="914"/>
      <c r="F2258" s="912"/>
      <c r="G2258" s="908" t="s">
        <v>374</v>
      </c>
      <c r="H2258" s="909" t="s">
        <v>2102</v>
      </c>
      <c r="I2258" s="910" t="e">
        <f>VLOOKUP(H2250,'LƯƠNG KT'!$D$16:$Z$184,12,0)</f>
        <v>#N/A</v>
      </c>
      <c r="J2258" s="609" t="e">
        <f>VLOOKUP(H2250,'LƯƠNG KT'!$D$16:$Z$184,14,0)</f>
        <v>#N/A</v>
      </c>
      <c r="K2258" s="935"/>
      <c r="L2258" s="935"/>
      <c r="M2258" s="935"/>
      <c r="N2258" s="935"/>
      <c r="O2258" s="935"/>
    </row>
    <row r="2259" spans="1:15" ht="15" customHeight="1">
      <c r="A2259" s="908" t="s">
        <v>2103</v>
      </c>
      <c r="B2259" s="909" t="s">
        <v>2104</v>
      </c>
      <c r="D2259" s="915" t="e">
        <f>VLOOKUP(B2250,'LƯƠNG KT'!$D$16:$Z$184,13,0)</f>
        <v>#N/A</v>
      </c>
      <c r="E2259" s="916"/>
      <c r="F2259" s="916"/>
      <c r="G2259" s="908" t="s">
        <v>2103</v>
      </c>
      <c r="H2259" s="909" t="s">
        <v>2104</v>
      </c>
      <c r="J2259" s="915" t="e">
        <f>VLOOKUP(H2250,'LƯƠNG KT'!$D$16:$Z$184,13,0)</f>
        <v>#N/A</v>
      </c>
    </row>
    <row r="2260" spans="1:15" ht="15" customHeight="1">
      <c r="A2260" s="547"/>
      <c r="B2260" s="546"/>
      <c r="C2260" s="910"/>
      <c r="D2260" s="609"/>
      <c r="E2260" s="914"/>
      <c r="F2260" s="916"/>
      <c r="G2260" s="547"/>
      <c r="H2260" s="546"/>
      <c r="I2260" s="910"/>
      <c r="J2260" s="609"/>
    </row>
    <row r="2261" spans="1:15" ht="15" customHeight="1">
      <c r="A2261" s="905"/>
      <c r="B2261" s="546"/>
      <c r="C2261" s="910"/>
      <c r="D2261" s="609"/>
      <c r="E2261" s="917"/>
      <c r="F2261" s="904"/>
      <c r="G2261" s="905"/>
      <c r="H2261" s="546"/>
      <c r="I2261" s="910"/>
      <c r="J2261" s="609"/>
    </row>
    <row r="2262" spans="1:15" ht="15" customHeight="1">
      <c r="A2262" s="918" t="s">
        <v>383</v>
      </c>
      <c r="B2262" s="919" t="s">
        <v>384</v>
      </c>
      <c r="C2262" s="920"/>
      <c r="D2262" s="921" t="e">
        <f>SUM(D2251:D2258)-D2261</f>
        <v>#N/A</v>
      </c>
      <c r="E2262" s="922"/>
      <c r="F2262" s="923"/>
      <c r="G2262" s="918" t="s">
        <v>383</v>
      </c>
      <c r="H2262" s="919" t="s">
        <v>384</v>
      </c>
      <c r="I2262" s="920"/>
      <c r="J2262" s="921" t="e">
        <f>SUM(J2251:J2258)-J2261</f>
        <v>#N/A</v>
      </c>
    </row>
    <row r="2263" spans="1:15" ht="18.75" customHeight="1">
      <c r="A2263" s="924"/>
      <c r="B2263" s="925"/>
      <c r="C2263" s="926"/>
      <c r="D2263" s="927"/>
      <c r="E2263" s="927"/>
      <c r="F2263" s="928"/>
      <c r="G2263" s="924"/>
      <c r="H2263" s="925"/>
      <c r="I2263" s="926"/>
      <c r="J2263" s="927"/>
    </row>
    <row r="2264" spans="1:15" ht="18.75" customHeight="1">
      <c r="A2264" s="925"/>
      <c r="B2264" s="925"/>
      <c r="C2264" s="929"/>
      <c r="D2264" s="930"/>
      <c r="E2264" s="925"/>
      <c r="F2264" s="931"/>
      <c r="G2264" s="925"/>
      <c r="H2264" s="925"/>
      <c r="I2264" s="929"/>
      <c r="J2264" s="930"/>
    </row>
    <row r="2265" spans="1:15" ht="15" customHeight="1">
      <c r="A2265" s="2360" t="str">
        <f>$K$2</f>
        <v>THÁNG 04/2025</v>
      </c>
      <c r="B2265" s="2360"/>
      <c r="C2265" s="2360"/>
      <c r="D2265" s="2360"/>
      <c r="E2265" s="903"/>
      <c r="F2265" s="904"/>
      <c r="G2265" s="2360" t="str">
        <f>$K$2</f>
        <v>THÁNG 04/2025</v>
      </c>
      <c r="H2265" s="2360"/>
      <c r="I2265" s="2360"/>
      <c r="J2265" s="2360"/>
      <c r="K2265" s="276"/>
    </row>
    <row r="2266" spans="1:15" ht="15" customHeight="1">
      <c r="A2266" s="905" t="s">
        <v>356</v>
      </c>
      <c r="B2266" s="642" t="s">
        <v>168</v>
      </c>
      <c r="C2266" s="546"/>
      <c r="D2266" s="902"/>
      <c r="E2266" s="906"/>
      <c r="F2266" s="907"/>
      <c r="G2266" s="905" t="s">
        <v>356</v>
      </c>
      <c r="H2266" s="642" t="s">
        <v>169</v>
      </c>
      <c r="I2266" s="546"/>
      <c r="J2266" s="902"/>
      <c r="L2266" s="938"/>
      <c r="M2266" s="938"/>
      <c r="N2266" s="938"/>
      <c r="O2266" s="938"/>
    </row>
    <row r="2267" spans="1:15" ht="15" customHeight="1">
      <c r="A2267" s="908" t="s">
        <v>359</v>
      </c>
      <c r="B2267" s="909" t="s">
        <v>2090</v>
      </c>
      <c r="C2267" s="910" t="e">
        <f>VLOOKUP(B2266,'LƯƠNG KT'!$D$16:$Z$184,4,0)</f>
        <v>#N/A</v>
      </c>
      <c r="D2267" s="609" t="e">
        <f>+C2267*25000</f>
        <v>#N/A</v>
      </c>
      <c r="E2267" s="911"/>
      <c r="F2267" s="911"/>
      <c r="G2267" s="908" t="s">
        <v>359</v>
      </c>
      <c r="H2267" s="909" t="s">
        <v>2090</v>
      </c>
      <c r="I2267" s="910" t="e">
        <f>VLOOKUP(H2266,'LƯƠNG KT'!$D$16:$Z$184,4,0)</f>
        <v>#N/A</v>
      </c>
      <c r="J2267" s="609" t="e">
        <f>+I2267*25000</f>
        <v>#N/A</v>
      </c>
      <c r="K2267" s="935"/>
      <c r="L2267" s="935"/>
      <c r="M2267" s="935"/>
      <c r="N2267" s="935"/>
      <c r="O2267" s="935"/>
    </row>
    <row r="2268" spans="1:15" ht="15" customHeight="1">
      <c r="A2268" s="908" t="s">
        <v>361</v>
      </c>
      <c r="B2268" s="909" t="s">
        <v>2091</v>
      </c>
      <c r="C2268" s="910" t="e">
        <f>VLOOKUP(B2266,'LƯƠNG KT'!$D$16:$Z$184,15,0)</f>
        <v>#N/A</v>
      </c>
      <c r="D2268" s="609" t="e">
        <f>C2268*$L$4</f>
        <v>#N/A</v>
      </c>
      <c r="E2268" s="912"/>
      <c r="F2268" s="912"/>
      <c r="G2268" s="908" t="s">
        <v>361</v>
      </c>
      <c r="H2268" s="909" t="s">
        <v>2091</v>
      </c>
      <c r="I2268" s="910" t="e">
        <f>VLOOKUP(H2266,'LƯƠNG KT'!$D$16:$Z$184,15,0)</f>
        <v>#N/A</v>
      </c>
      <c r="J2268" s="609" t="e">
        <f>I2268*$L$4</f>
        <v>#N/A</v>
      </c>
      <c r="K2268" s="935"/>
      <c r="L2268" s="935"/>
      <c r="M2268" s="935"/>
      <c r="N2268" s="935"/>
      <c r="O2268" s="935"/>
    </row>
    <row r="2269" spans="1:15" ht="15" customHeight="1">
      <c r="A2269" s="908" t="s">
        <v>364</v>
      </c>
      <c r="B2269" s="909" t="s">
        <v>2092</v>
      </c>
      <c r="C2269" s="910" t="e">
        <f>VLOOKUP(B2266,'LƯƠNG KT'!$D$16:$Z$184,16,0)</f>
        <v>#N/A</v>
      </c>
      <c r="D2269" s="609" t="e">
        <f>C2269*$L$5</f>
        <v>#N/A</v>
      </c>
      <c r="E2269" s="912"/>
      <c r="F2269" s="912"/>
      <c r="G2269" s="908" t="s">
        <v>364</v>
      </c>
      <c r="H2269" s="909" t="s">
        <v>2092</v>
      </c>
      <c r="I2269" s="910" t="e">
        <f>VLOOKUP(H2266,'LƯƠNG KT'!$D$16:$Z$184,16,0)</f>
        <v>#N/A</v>
      </c>
      <c r="J2269" s="609" t="e">
        <f>I2269*$L$5</f>
        <v>#N/A</v>
      </c>
      <c r="K2269" s="935"/>
      <c r="L2269" s="935"/>
      <c r="M2269" s="935"/>
      <c r="N2269" s="935"/>
      <c r="O2269" s="935"/>
    </row>
    <row r="2270" spans="1:15" ht="15" customHeight="1">
      <c r="A2270" s="908" t="s">
        <v>370</v>
      </c>
      <c r="B2270" s="909" t="s">
        <v>2093</v>
      </c>
      <c r="C2270" s="910" t="e">
        <f>VLOOKUP(B2266,'LƯƠNG KT'!$D$16:$Z$184,24,0)</f>
        <v>#N/A</v>
      </c>
      <c r="D2270" s="609" t="e">
        <f>+C2270*$L$6</f>
        <v>#N/A</v>
      </c>
      <c r="E2270" s="912"/>
      <c r="F2270" s="912"/>
      <c r="G2270" s="908" t="s">
        <v>370</v>
      </c>
      <c r="H2270" s="909" t="s">
        <v>2093</v>
      </c>
      <c r="I2270" s="910" t="e">
        <f>VLOOKUP(H2266,'LƯƠNG KT'!$D$16:$Z$184,24,0)</f>
        <v>#N/A</v>
      </c>
      <c r="J2270" s="609" t="e">
        <f>+I2270*$L$6</f>
        <v>#N/A</v>
      </c>
      <c r="K2270" s="935"/>
      <c r="L2270" s="935"/>
      <c r="M2270" s="935"/>
      <c r="N2270" s="935"/>
      <c r="O2270" s="935"/>
    </row>
    <row r="2271" spans="1:15" ht="15" customHeight="1">
      <c r="A2271" s="908" t="s">
        <v>2094</v>
      </c>
      <c r="B2271" s="909" t="s">
        <v>2095</v>
      </c>
      <c r="C2271" s="910" t="e">
        <f>VLOOKUP(B2266,'LƯƠNG KT'!$D$16:$Z$184,19,0)</f>
        <v>#N/A</v>
      </c>
      <c r="D2271" s="609" t="e">
        <f>+C2271*$L$8</f>
        <v>#N/A</v>
      </c>
      <c r="E2271" s="912"/>
      <c r="F2271" s="912"/>
      <c r="G2271" s="908" t="s">
        <v>2094</v>
      </c>
      <c r="H2271" s="909" t="s">
        <v>2095</v>
      </c>
      <c r="I2271" s="910" t="e">
        <f>VLOOKUP(H2266,'LƯƠNG KT'!$D$16:$Z$184,19,0)</f>
        <v>#N/A</v>
      </c>
      <c r="J2271" s="609" t="e">
        <f>+I2271*$L$8</f>
        <v>#N/A</v>
      </c>
      <c r="K2271" s="935"/>
      <c r="L2271" s="935"/>
      <c r="M2271" s="935"/>
      <c r="N2271" s="935"/>
      <c r="O2271" s="935"/>
    </row>
    <row r="2272" spans="1:15" ht="15" customHeight="1">
      <c r="A2272" s="908" t="s">
        <v>2096</v>
      </c>
      <c r="B2272" s="913" t="s">
        <v>2097</v>
      </c>
      <c r="C2272" s="910" t="e">
        <f>VLOOKUP(B2266,'LƯƠNG KT'!$D$16:$Z$184,20,0)</f>
        <v>#N/A</v>
      </c>
      <c r="D2272" s="609" t="e">
        <f>+C2272*$L$9</f>
        <v>#N/A</v>
      </c>
      <c r="E2272" s="912"/>
      <c r="F2272" s="912"/>
      <c r="G2272" s="908" t="s">
        <v>2096</v>
      </c>
      <c r="H2272" s="913" t="s">
        <v>2097</v>
      </c>
      <c r="I2272" s="910" t="e">
        <f>VLOOKUP(H2266,'LƯƠNG KT'!$D$16:$Z$184,20,0)</f>
        <v>#N/A</v>
      </c>
      <c r="J2272" s="609" t="e">
        <f>+I2272*$L$9</f>
        <v>#N/A</v>
      </c>
      <c r="K2272" s="935"/>
      <c r="L2272" s="935"/>
      <c r="M2272" s="935"/>
      <c r="N2272" s="935"/>
      <c r="O2272" s="935"/>
    </row>
    <row r="2273" spans="1:15" ht="15" customHeight="1">
      <c r="A2273" s="908" t="s">
        <v>2099</v>
      </c>
      <c r="B2273" s="909" t="s">
        <v>2100</v>
      </c>
      <c r="C2273" s="910" t="e">
        <f>VLOOKUP(B2266,'LƯƠNG KT'!$D$16:$Z$184,17,0)</f>
        <v>#N/A</v>
      </c>
      <c r="D2273" s="609" t="e">
        <f>+C2273*$L$10</f>
        <v>#N/A</v>
      </c>
      <c r="E2273" s="912"/>
      <c r="F2273" s="912"/>
      <c r="G2273" s="908" t="s">
        <v>2099</v>
      </c>
      <c r="H2273" s="909" t="s">
        <v>2100</v>
      </c>
      <c r="I2273" s="910" t="e">
        <f>VLOOKUP(H2266,'LƯƠNG KT'!$D$16:$Z$184,17,0)</f>
        <v>#N/A</v>
      </c>
      <c r="J2273" s="609" t="e">
        <f>+I2273*$L$10</f>
        <v>#N/A</v>
      </c>
      <c r="K2273" s="935"/>
      <c r="L2273" s="935"/>
      <c r="M2273" s="935"/>
      <c r="N2273" s="935"/>
      <c r="O2273" s="935"/>
    </row>
    <row r="2274" spans="1:15" ht="15" customHeight="1">
      <c r="A2274" s="908" t="s">
        <v>374</v>
      </c>
      <c r="B2274" s="909" t="s">
        <v>2102</v>
      </c>
      <c r="C2274" s="910" t="e">
        <f>VLOOKUP(B2266,'LƯƠNG KT'!$D$16:$Z$184,12,0)</f>
        <v>#N/A</v>
      </c>
      <c r="D2274" s="609" t="e">
        <f>VLOOKUP(B2266,'LƯƠNG KT'!$D$16:$Z$184,14,0)</f>
        <v>#N/A</v>
      </c>
      <c r="E2274" s="914"/>
      <c r="F2274" s="912"/>
      <c r="G2274" s="908" t="s">
        <v>374</v>
      </c>
      <c r="H2274" s="909" t="s">
        <v>2102</v>
      </c>
      <c r="I2274" s="910" t="e">
        <f>VLOOKUP(H2266,'LƯƠNG KT'!$D$16:$Z$184,12,0)</f>
        <v>#N/A</v>
      </c>
      <c r="J2274" s="609" t="e">
        <f>VLOOKUP(H2266,'LƯƠNG KT'!$D$16:$Z$184,14,0)</f>
        <v>#N/A</v>
      </c>
      <c r="K2274" s="935"/>
      <c r="L2274" s="935"/>
      <c r="M2274" s="935"/>
      <c r="N2274" s="935"/>
      <c r="O2274" s="935"/>
    </row>
    <row r="2275" spans="1:15" ht="15" customHeight="1">
      <c r="A2275" s="908" t="s">
        <v>2103</v>
      </c>
      <c r="B2275" s="909" t="s">
        <v>2104</v>
      </c>
      <c r="D2275" s="915" t="e">
        <f>VLOOKUP(B2266,'LƯƠNG KT'!$D$16:$Z$184,13,0)</f>
        <v>#N/A</v>
      </c>
      <c r="E2275" s="916"/>
      <c r="F2275" s="916"/>
      <c r="G2275" s="908" t="s">
        <v>2103</v>
      </c>
      <c r="H2275" s="909" t="s">
        <v>2104</v>
      </c>
      <c r="J2275" s="915" t="e">
        <f>VLOOKUP(H2266,'LƯƠNG KT'!$D$16:$Z$184,13,0)</f>
        <v>#N/A</v>
      </c>
    </row>
    <row r="2276" spans="1:15" ht="15" customHeight="1">
      <c r="A2276" s="547"/>
      <c r="B2276" s="546"/>
      <c r="C2276" s="910"/>
      <c r="D2276" s="609"/>
      <c r="E2276" s="914"/>
      <c r="F2276" s="916"/>
      <c r="G2276" s="547"/>
      <c r="H2276" s="546"/>
      <c r="I2276" s="910"/>
      <c r="J2276" s="609"/>
    </row>
    <row r="2277" spans="1:15" ht="15" customHeight="1">
      <c r="A2277" s="905"/>
      <c r="B2277" s="546"/>
      <c r="C2277" s="910"/>
      <c r="D2277" s="609"/>
      <c r="E2277" s="917"/>
      <c r="F2277" s="904"/>
      <c r="G2277" s="905"/>
      <c r="H2277" s="546"/>
      <c r="I2277" s="910"/>
      <c r="J2277" s="609"/>
    </row>
    <row r="2278" spans="1:15" ht="15" customHeight="1">
      <c r="A2278" s="918" t="s">
        <v>383</v>
      </c>
      <c r="B2278" s="919" t="s">
        <v>384</v>
      </c>
      <c r="C2278" s="920"/>
      <c r="D2278" s="921" t="e">
        <f>SUM(D2267:D2274)-D2277</f>
        <v>#N/A</v>
      </c>
      <c r="E2278" s="922"/>
      <c r="F2278" s="923"/>
      <c r="G2278" s="918" t="s">
        <v>383</v>
      </c>
      <c r="H2278" s="919" t="s">
        <v>384</v>
      </c>
      <c r="I2278" s="920"/>
      <c r="J2278" s="921" t="e">
        <f>SUM(J2267:J2274)-J2277</f>
        <v>#N/A</v>
      </c>
    </row>
    <row r="2279" spans="1:15" ht="15.75" customHeight="1">
      <c r="A2279" s="924"/>
      <c r="B2279" s="925"/>
      <c r="C2279" s="926"/>
      <c r="D2279" s="927"/>
      <c r="E2279" s="927"/>
      <c r="F2279" s="928"/>
      <c r="G2279" s="924"/>
      <c r="H2279" s="925"/>
      <c r="I2279" s="926"/>
      <c r="J2279" s="927"/>
    </row>
    <row r="2281" spans="1:15" ht="127.5" customHeight="1">
      <c r="A2281" s="2361"/>
      <c r="B2281" s="2361"/>
      <c r="C2281" s="2361"/>
      <c r="D2281" s="2361"/>
      <c r="E2281" s="2361"/>
      <c r="F2281" s="2361"/>
      <c r="G2281" s="2361"/>
      <c r="H2281" s="2361"/>
      <c r="I2281" s="2361"/>
      <c r="J2281" s="2361"/>
    </row>
    <row r="2282" spans="1:15" ht="15" customHeight="1">
      <c r="A2282" s="2360" t="str">
        <f>$K$2</f>
        <v>THÁNG 04/2025</v>
      </c>
      <c r="B2282" s="2360"/>
      <c r="C2282" s="2360"/>
      <c r="D2282" s="2360"/>
      <c r="E2282" s="903"/>
      <c r="F2282" s="904"/>
      <c r="G2282" s="2360" t="str">
        <f>$K$2</f>
        <v>THÁNG 04/2025</v>
      </c>
      <c r="H2282" s="2360"/>
      <c r="I2282" s="2360"/>
      <c r="J2282" s="2360"/>
      <c r="K2282" s="276"/>
    </row>
    <row r="2283" spans="1:15" ht="15" customHeight="1">
      <c r="A2283" s="905" t="s">
        <v>356</v>
      </c>
      <c r="B2283" s="642" t="s">
        <v>170</v>
      </c>
      <c r="C2283" s="546"/>
      <c r="D2283" s="902"/>
      <c r="E2283" s="906"/>
      <c r="F2283" s="907"/>
      <c r="G2283" s="905" t="s">
        <v>356</v>
      </c>
      <c r="H2283" s="642" t="s">
        <v>171</v>
      </c>
      <c r="I2283" s="546"/>
      <c r="J2283" s="902"/>
      <c r="L2283" s="938"/>
      <c r="M2283" s="938"/>
      <c r="N2283" s="938"/>
      <c r="O2283" s="938"/>
    </row>
    <row r="2284" spans="1:15" ht="15" customHeight="1">
      <c r="A2284" s="908" t="s">
        <v>359</v>
      </c>
      <c r="B2284" s="909" t="s">
        <v>2090</v>
      </c>
      <c r="C2284" s="910" t="e">
        <f>VLOOKUP(B2283,'LƯƠNG KT'!$D$16:$Z$184,4,0)</f>
        <v>#N/A</v>
      </c>
      <c r="D2284" s="609" t="e">
        <f>+C2284*25000</f>
        <v>#N/A</v>
      </c>
      <c r="E2284" s="911"/>
      <c r="F2284" s="911"/>
      <c r="G2284" s="908" t="s">
        <v>359</v>
      </c>
      <c r="H2284" s="909" t="s">
        <v>2090</v>
      </c>
      <c r="I2284" s="910" t="e">
        <f>VLOOKUP(H2283,'LƯƠNG KT'!$D$16:$Z$184,4,0)</f>
        <v>#N/A</v>
      </c>
      <c r="J2284" s="609" t="e">
        <f>+I2284*25000</f>
        <v>#N/A</v>
      </c>
      <c r="K2284" s="934"/>
      <c r="L2284" s="935"/>
      <c r="M2284" s="935"/>
      <c r="N2284" s="935"/>
      <c r="O2284" s="935"/>
    </row>
    <row r="2285" spans="1:15" ht="15" customHeight="1">
      <c r="A2285" s="908" t="s">
        <v>361</v>
      </c>
      <c r="B2285" s="909" t="s">
        <v>2091</v>
      </c>
      <c r="C2285" s="910" t="e">
        <f>VLOOKUP(B2283,'LƯƠNG KT'!$D$16:$Z$184,15,0)</f>
        <v>#N/A</v>
      </c>
      <c r="D2285" s="609" t="e">
        <f>C2285*$L$4</f>
        <v>#N/A</v>
      </c>
      <c r="E2285" s="912"/>
      <c r="F2285" s="912"/>
      <c r="G2285" s="908" t="s">
        <v>361</v>
      </c>
      <c r="H2285" s="909" t="s">
        <v>2091</v>
      </c>
      <c r="I2285" s="910" t="e">
        <f>VLOOKUP(H2283,'LƯƠNG KT'!$D$16:$Z$184,15,0)</f>
        <v>#N/A</v>
      </c>
      <c r="J2285" s="609" t="e">
        <f>I2285*$L$4</f>
        <v>#N/A</v>
      </c>
      <c r="K2285" s="934"/>
      <c r="L2285" s="935"/>
      <c r="M2285" s="935"/>
      <c r="N2285" s="935"/>
      <c r="O2285" s="935"/>
    </row>
    <row r="2286" spans="1:15" ht="15" customHeight="1">
      <c r="A2286" s="908" t="s">
        <v>364</v>
      </c>
      <c r="B2286" s="909" t="s">
        <v>2092</v>
      </c>
      <c r="C2286" s="910" t="e">
        <f>VLOOKUP(B2283,'LƯƠNG KT'!$D$16:$Z$184,16,0)</f>
        <v>#N/A</v>
      </c>
      <c r="D2286" s="609" t="e">
        <f>C2286*$L$5</f>
        <v>#N/A</v>
      </c>
      <c r="E2286" s="912"/>
      <c r="F2286" s="912"/>
      <c r="G2286" s="908" t="s">
        <v>364</v>
      </c>
      <c r="H2286" s="909" t="s">
        <v>2092</v>
      </c>
      <c r="I2286" s="910" t="e">
        <f>VLOOKUP(H2283,'LƯƠNG KT'!$D$16:$Z$184,16,0)</f>
        <v>#N/A</v>
      </c>
      <c r="J2286" s="609" t="e">
        <f>I2286*$L$5</f>
        <v>#N/A</v>
      </c>
      <c r="K2286" s="934"/>
      <c r="L2286" s="935"/>
      <c r="M2286" s="935"/>
      <c r="N2286" s="935"/>
      <c r="O2286" s="935"/>
    </row>
    <row r="2287" spans="1:15" ht="15" customHeight="1">
      <c r="A2287" s="908" t="s">
        <v>370</v>
      </c>
      <c r="B2287" s="909" t="s">
        <v>2093</v>
      </c>
      <c r="C2287" s="910" t="e">
        <f>VLOOKUP(B2283,'LƯƠNG KT'!$D$16:$Z$184,24,0)</f>
        <v>#N/A</v>
      </c>
      <c r="D2287" s="609" t="e">
        <f>+C2287*$L$6</f>
        <v>#N/A</v>
      </c>
      <c r="E2287" s="912"/>
      <c r="F2287" s="912"/>
      <c r="G2287" s="908" t="s">
        <v>370</v>
      </c>
      <c r="H2287" s="909" t="s">
        <v>2093</v>
      </c>
      <c r="I2287" s="910" t="e">
        <f>VLOOKUP(H2283,'LƯƠNG KT'!$D$16:$Z$184,24,0)</f>
        <v>#N/A</v>
      </c>
      <c r="J2287" s="609" t="e">
        <f>+I2287*$L$6</f>
        <v>#N/A</v>
      </c>
      <c r="K2287" s="935"/>
      <c r="L2287" s="935"/>
      <c r="M2287" s="935"/>
      <c r="N2287" s="935"/>
      <c r="O2287" s="935"/>
    </row>
    <row r="2288" spans="1:15" ht="15" customHeight="1">
      <c r="A2288" s="908" t="s">
        <v>2094</v>
      </c>
      <c r="B2288" s="909" t="s">
        <v>2095</v>
      </c>
      <c r="C2288" s="910" t="e">
        <f>VLOOKUP(B2283,'LƯƠNG KT'!$D$16:$Z$184,19,0)</f>
        <v>#N/A</v>
      </c>
      <c r="D2288" s="609" t="e">
        <f>+C2288*$L$8</f>
        <v>#N/A</v>
      </c>
      <c r="E2288" s="912"/>
      <c r="F2288" s="912"/>
      <c r="G2288" s="908" t="s">
        <v>2094</v>
      </c>
      <c r="H2288" s="909" t="s">
        <v>2095</v>
      </c>
      <c r="I2288" s="910" t="e">
        <f>VLOOKUP(H2283,'LƯƠNG KT'!$D$16:$Z$184,19,0)</f>
        <v>#N/A</v>
      </c>
      <c r="J2288" s="609" t="e">
        <f>+I2288*$L$8</f>
        <v>#N/A</v>
      </c>
      <c r="K2288" s="935"/>
      <c r="L2288" s="935"/>
      <c r="M2288" s="935"/>
      <c r="N2288" s="935"/>
      <c r="O2288" s="935"/>
    </row>
    <row r="2289" spans="1:15" ht="15" customHeight="1">
      <c r="A2289" s="908" t="s">
        <v>2096</v>
      </c>
      <c r="B2289" s="913" t="s">
        <v>2097</v>
      </c>
      <c r="C2289" s="910" t="e">
        <f>VLOOKUP(B2283,'LƯƠNG KT'!$D$16:$Z$184,20,0)</f>
        <v>#N/A</v>
      </c>
      <c r="D2289" s="609" t="e">
        <f>+C2289*$L$9</f>
        <v>#N/A</v>
      </c>
      <c r="E2289" s="912"/>
      <c r="F2289" s="912"/>
      <c r="G2289" s="908" t="s">
        <v>2096</v>
      </c>
      <c r="H2289" s="913" t="s">
        <v>2097</v>
      </c>
      <c r="I2289" s="910" t="e">
        <f>VLOOKUP(H2283,'LƯƠNG KT'!$D$16:$Z$184,20,0)</f>
        <v>#N/A</v>
      </c>
      <c r="J2289" s="609" t="e">
        <f>+I2289*$L$9</f>
        <v>#N/A</v>
      </c>
      <c r="K2289" s="935"/>
      <c r="L2289" s="935"/>
      <c r="M2289" s="935"/>
      <c r="N2289" s="935"/>
      <c r="O2289" s="935"/>
    </row>
    <row r="2290" spans="1:15" ht="15" customHeight="1">
      <c r="A2290" s="908" t="s">
        <v>2099</v>
      </c>
      <c r="B2290" s="909" t="s">
        <v>2100</v>
      </c>
      <c r="C2290" s="910" t="e">
        <f>VLOOKUP(B2283,'LƯƠNG KT'!$D$16:$Z$184,17,0)</f>
        <v>#N/A</v>
      </c>
      <c r="D2290" s="609" t="e">
        <f>+C2290*$L$10</f>
        <v>#N/A</v>
      </c>
      <c r="E2290" s="912"/>
      <c r="F2290" s="912"/>
      <c r="G2290" s="908" t="s">
        <v>2099</v>
      </c>
      <c r="H2290" s="909" t="s">
        <v>2100</v>
      </c>
      <c r="I2290" s="910" t="e">
        <f>VLOOKUP(H2283,'LƯƠNG KT'!$D$16:$Z$184,17,0)</f>
        <v>#N/A</v>
      </c>
      <c r="J2290" s="609" t="e">
        <f>+I2290*$L$10</f>
        <v>#N/A</v>
      </c>
      <c r="K2290" s="935"/>
      <c r="L2290" s="935"/>
      <c r="M2290" s="935"/>
      <c r="N2290" s="935"/>
      <c r="O2290" s="935"/>
    </row>
    <row r="2291" spans="1:15" ht="15" customHeight="1">
      <c r="A2291" s="908" t="s">
        <v>374</v>
      </c>
      <c r="B2291" s="909" t="s">
        <v>2102</v>
      </c>
      <c r="C2291" s="910" t="e">
        <f>VLOOKUP(B2283,'LƯƠNG KT'!$D$16:$Z$184,12,0)</f>
        <v>#N/A</v>
      </c>
      <c r="D2291" s="609" t="e">
        <f>VLOOKUP(B2283,'LƯƠNG KT'!$D$16:$Z$184,14,0)</f>
        <v>#N/A</v>
      </c>
      <c r="E2291" s="914"/>
      <c r="F2291" s="912"/>
      <c r="G2291" s="908" t="s">
        <v>374</v>
      </c>
      <c r="H2291" s="909" t="s">
        <v>2102</v>
      </c>
      <c r="I2291" s="910" t="e">
        <f>VLOOKUP(H2283,'LƯƠNG KT'!$D$16:$Z$184,12,0)</f>
        <v>#N/A</v>
      </c>
      <c r="J2291" s="609" t="e">
        <f>VLOOKUP(H2283,'LƯƠNG KT'!$D$16:$Z$184,14,0)</f>
        <v>#N/A</v>
      </c>
      <c r="K2291" s="935"/>
      <c r="L2291" s="935"/>
      <c r="M2291" s="935"/>
      <c r="N2291" s="935"/>
      <c r="O2291" s="935"/>
    </row>
    <row r="2292" spans="1:15" ht="15" customHeight="1">
      <c r="A2292" s="908" t="s">
        <v>2103</v>
      </c>
      <c r="B2292" s="909" t="s">
        <v>2104</v>
      </c>
      <c r="D2292" s="915" t="e">
        <f>VLOOKUP(B2283,'LƯƠNG KT'!$D$16:$Z$184,13,0)</f>
        <v>#N/A</v>
      </c>
      <c r="E2292" s="916"/>
      <c r="F2292" s="916"/>
      <c r="G2292" s="908" t="s">
        <v>2103</v>
      </c>
      <c r="H2292" s="909" t="s">
        <v>2104</v>
      </c>
      <c r="J2292" s="915" t="e">
        <f>VLOOKUP(H2283,'LƯƠNG KT'!$D$16:$Z$184,13,0)</f>
        <v>#N/A</v>
      </c>
    </row>
    <row r="2293" spans="1:15" ht="15" customHeight="1">
      <c r="A2293" s="547"/>
      <c r="B2293" s="546"/>
      <c r="C2293" s="910"/>
      <c r="D2293" s="609"/>
      <c r="E2293" s="914"/>
      <c r="F2293" s="916"/>
      <c r="G2293" s="547"/>
      <c r="H2293" s="546"/>
      <c r="I2293" s="910"/>
      <c r="J2293" s="609"/>
    </row>
    <row r="2294" spans="1:15" ht="15" customHeight="1">
      <c r="A2294" s="905"/>
      <c r="B2294" s="546"/>
      <c r="C2294" s="910"/>
      <c r="D2294" s="609"/>
      <c r="E2294" s="917"/>
      <c r="F2294" s="904"/>
      <c r="G2294" s="905"/>
      <c r="H2294" s="546"/>
      <c r="I2294" s="910"/>
      <c r="J2294" s="609"/>
    </row>
    <row r="2295" spans="1:15" ht="15" customHeight="1">
      <c r="A2295" s="918" t="s">
        <v>383</v>
      </c>
      <c r="B2295" s="919" t="s">
        <v>384</v>
      </c>
      <c r="C2295" s="920"/>
      <c r="D2295" s="921" t="e">
        <f>SUM(D2284:D2291)-D2294</f>
        <v>#N/A</v>
      </c>
      <c r="E2295" s="922"/>
      <c r="F2295" s="923"/>
      <c r="G2295" s="918" t="s">
        <v>383</v>
      </c>
      <c r="H2295" s="919" t="s">
        <v>384</v>
      </c>
      <c r="I2295" s="920"/>
      <c r="J2295" s="921" t="e">
        <f>SUM(J2284:J2291)-J2294</f>
        <v>#N/A</v>
      </c>
    </row>
    <row r="2296" spans="1:15" ht="12.6" customHeight="1">
      <c r="A2296" s="924"/>
      <c r="B2296" s="925"/>
      <c r="C2296" s="926"/>
      <c r="D2296" s="927"/>
      <c r="E2296" s="927"/>
      <c r="F2296" s="928"/>
      <c r="G2296" s="924"/>
      <c r="H2296" s="925"/>
      <c r="I2296" s="926"/>
      <c r="J2296" s="927"/>
    </row>
    <row r="2297" spans="1:15" ht="12.6" customHeight="1">
      <c r="A2297" s="925"/>
      <c r="B2297" s="925"/>
      <c r="C2297" s="929"/>
      <c r="D2297" s="930"/>
      <c r="E2297" s="925"/>
      <c r="F2297" s="931"/>
      <c r="G2297" s="925"/>
      <c r="H2297" s="925"/>
      <c r="I2297" s="929"/>
      <c r="J2297" s="930"/>
    </row>
    <row r="2298" spans="1:15" ht="15" customHeight="1">
      <c r="A2298" s="2360" t="str">
        <f>$K$2</f>
        <v>THÁNG 04/2025</v>
      </c>
      <c r="B2298" s="2360"/>
      <c r="C2298" s="2360"/>
      <c r="D2298" s="2360"/>
      <c r="E2298" s="903"/>
      <c r="F2298" s="904"/>
      <c r="G2298" s="2360" t="str">
        <f>$K$2</f>
        <v>THÁNG 04/2025</v>
      </c>
      <c r="H2298" s="2360"/>
      <c r="I2298" s="2360"/>
      <c r="J2298" s="2360"/>
      <c r="K2298" s="276"/>
    </row>
    <row r="2299" spans="1:15" ht="15" customHeight="1">
      <c r="A2299" s="905" t="s">
        <v>356</v>
      </c>
      <c r="B2299" s="642" t="s">
        <v>172</v>
      </c>
      <c r="C2299" s="546"/>
      <c r="D2299" s="902"/>
      <c r="E2299" s="906"/>
      <c r="F2299" s="907"/>
      <c r="G2299" s="905" t="s">
        <v>356</v>
      </c>
      <c r="H2299" s="642" t="s">
        <v>173</v>
      </c>
      <c r="I2299" s="546"/>
      <c r="J2299" s="902"/>
      <c r="L2299" s="938"/>
      <c r="M2299" s="938"/>
      <c r="N2299" s="938"/>
      <c r="O2299" s="938"/>
    </row>
    <row r="2300" spans="1:15" ht="15" customHeight="1">
      <c r="A2300" s="908" t="s">
        <v>359</v>
      </c>
      <c r="B2300" s="909" t="s">
        <v>2090</v>
      </c>
      <c r="C2300" s="910" t="e">
        <f>VLOOKUP(B2299,'LƯƠNG KT'!$D$16:$Z$184,4,0)</f>
        <v>#N/A</v>
      </c>
      <c r="D2300" s="609" t="e">
        <f>+C2300*25000</f>
        <v>#N/A</v>
      </c>
      <c r="E2300" s="911"/>
      <c r="F2300" s="911"/>
      <c r="G2300" s="908" t="s">
        <v>359</v>
      </c>
      <c r="H2300" s="909" t="s">
        <v>2090</v>
      </c>
      <c r="I2300" s="910" t="e">
        <f>VLOOKUP(H2299,'LƯƠNG KT'!$D$16:$Z$184,4,0)</f>
        <v>#N/A</v>
      </c>
      <c r="J2300" s="609" t="e">
        <f>+I2300*25000</f>
        <v>#N/A</v>
      </c>
      <c r="K2300" s="935"/>
      <c r="L2300" s="935"/>
      <c r="M2300" s="935"/>
      <c r="N2300" s="935"/>
      <c r="O2300" s="935"/>
    </row>
    <row r="2301" spans="1:15" ht="15" customHeight="1">
      <c r="A2301" s="908" t="s">
        <v>361</v>
      </c>
      <c r="B2301" s="909" t="s">
        <v>2091</v>
      </c>
      <c r="C2301" s="910" t="e">
        <f>VLOOKUP(B2299,'LƯƠNG KT'!$D$16:$Z$184,15,0)</f>
        <v>#N/A</v>
      </c>
      <c r="D2301" s="609" t="e">
        <f>C2301*$L$4</f>
        <v>#N/A</v>
      </c>
      <c r="E2301" s="912"/>
      <c r="F2301" s="912"/>
      <c r="G2301" s="908" t="s">
        <v>361</v>
      </c>
      <c r="H2301" s="909" t="s">
        <v>2091</v>
      </c>
      <c r="I2301" s="910" t="e">
        <f>VLOOKUP(H2299,'LƯƠNG KT'!$D$16:$Z$184,15,0)</f>
        <v>#N/A</v>
      </c>
      <c r="J2301" s="609" t="e">
        <f>I2301*$L$4</f>
        <v>#N/A</v>
      </c>
      <c r="K2301" s="935"/>
      <c r="L2301" s="935"/>
      <c r="M2301" s="935"/>
      <c r="N2301" s="935"/>
      <c r="O2301" s="935"/>
    </row>
    <row r="2302" spans="1:15" ht="15" customHeight="1">
      <c r="A2302" s="908" t="s">
        <v>364</v>
      </c>
      <c r="B2302" s="909" t="s">
        <v>2092</v>
      </c>
      <c r="C2302" s="910" t="e">
        <f>VLOOKUP(B2299,'LƯƠNG KT'!$D$16:$Z$184,16,0)</f>
        <v>#N/A</v>
      </c>
      <c r="D2302" s="609" t="e">
        <f>C2302*$L$5</f>
        <v>#N/A</v>
      </c>
      <c r="E2302" s="912"/>
      <c r="F2302" s="912"/>
      <c r="G2302" s="908" t="s">
        <v>364</v>
      </c>
      <c r="H2302" s="909" t="s">
        <v>2092</v>
      </c>
      <c r="I2302" s="910" t="e">
        <f>VLOOKUP(H2299,'LƯƠNG KT'!$D$16:$Z$184,16,0)</f>
        <v>#N/A</v>
      </c>
      <c r="J2302" s="609" t="e">
        <f>I2302*$L$5</f>
        <v>#N/A</v>
      </c>
      <c r="K2302" s="935"/>
      <c r="L2302" s="935"/>
      <c r="M2302" s="935"/>
      <c r="N2302" s="935"/>
      <c r="O2302" s="935"/>
    </row>
    <row r="2303" spans="1:15" ht="15" customHeight="1">
      <c r="A2303" s="908" t="s">
        <v>370</v>
      </c>
      <c r="B2303" s="909" t="s">
        <v>2093</v>
      </c>
      <c r="C2303" s="910" t="e">
        <f>VLOOKUP(B2299,'LƯƠNG KT'!$D$16:$Z$184,24,0)</f>
        <v>#N/A</v>
      </c>
      <c r="D2303" s="609" t="e">
        <f>+C2303*$L$6</f>
        <v>#N/A</v>
      </c>
      <c r="E2303" s="912"/>
      <c r="F2303" s="912"/>
      <c r="G2303" s="908" t="s">
        <v>370</v>
      </c>
      <c r="H2303" s="909" t="s">
        <v>2093</v>
      </c>
      <c r="I2303" s="910" t="e">
        <f>VLOOKUP(H2299,'LƯƠNG KT'!$D$16:$Z$184,24,0)</f>
        <v>#N/A</v>
      </c>
      <c r="J2303" s="609" t="e">
        <f>+I2303*$L$6</f>
        <v>#N/A</v>
      </c>
      <c r="K2303" s="935"/>
      <c r="L2303" s="935"/>
      <c r="M2303" s="935"/>
      <c r="N2303" s="935"/>
      <c r="O2303" s="935"/>
    </row>
    <row r="2304" spans="1:15" ht="15" customHeight="1">
      <c r="A2304" s="908" t="s">
        <v>2094</v>
      </c>
      <c r="B2304" s="909" t="s">
        <v>2095</v>
      </c>
      <c r="C2304" s="910" t="e">
        <f>VLOOKUP(B2299,'LƯƠNG KT'!$D$16:$Z$184,19,0)</f>
        <v>#N/A</v>
      </c>
      <c r="D2304" s="609" t="e">
        <f>+C2304*$L$8</f>
        <v>#N/A</v>
      </c>
      <c r="E2304" s="912"/>
      <c r="F2304" s="912"/>
      <c r="G2304" s="908" t="s">
        <v>2094</v>
      </c>
      <c r="H2304" s="909" t="s">
        <v>2095</v>
      </c>
      <c r="I2304" s="910" t="e">
        <f>VLOOKUP(H2299,'LƯƠNG KT'!$D$16:$Z$184,19,0)</f>
        <v>#N/A</v>
      </c>
      <c r="J2304" s="609" t="e">
        <f>+I2304*$L$8</f>
        <v>#N/A</v>
      </c>
      <c r="K2304" s="935"/>
      <c r="L2304" s="935"/>
      <c r="M2304" s="935"/>
      <c r="N2304" s="935"/>
      <c r="O2304" s="935"/>
    </row>
    <row r="2305" spans="1:15" ht="15" customHeight="1">
      <c r="A2305" s="908" t="s">
        <v>2096</v>
      </c>
      <c r="B2305" s="913" t="s">
        <v>2097</v>
      </c>
      <c r="C2305" s="910" t="e">
        <f>VLOOKUP(B2299,'LƯƠNG KT'!$D$16:$Z$184,20,0)</f>
        <v>#N/A</v>
      </c>
      <c r="D2305" s="609" t="e">
        <f>+C2305*$L$9</f>
        <v>#N/A</v>
      </c>
      <c r="E2305" s="912"/>
      <c r="F2305" s="912"/>
      <c r="G2305" s="908" t="s">
        <v>2096</v>
      </c>
      <c r="H2305" s="913" t="s">
        <v>2097</v>
      </c>
      <c r="I2305" s="910" t="e">
        <f>VLOOKUP(H2299,'LƯƠNG KT'!$D$16:$Z$184,20,0)</f>
        <v>#N/A</v>
      </c>
      <c r="J2305" s="609" t="e">
        <f>+I2305*$L$9</f>
        <v>#N/A</v>
      </c>
      <c r="K2305" s="935"/>
      <c r="L2305" s="935"/>
      <c r="M2305" s="935"/>
      <c r="N2305" s="935"/>
      <c r="O2305" s="935"/>
    </row>
    <row r="2306" spans="1:15" ht="15" customHeight="1">
      <c r="A2306" s="908" t="s">
        <v>2099</v>
      </c>
      <c r="B2306" s="909" t="s">
        <v>2100</v>
      </c>
      <c r="C2306" s="910" t="e">
        <f>VLOOKUP(B2299,'LƯƠNG KT'!$D$16:$Z$184,17,0)</f>
        <v>#N/A</v>
      </c>
      <c r="D2306" s="609" t="e">
        <f>+C2306*$L$10</f>
        <v>#N/A</v>
      </c>
      <c r="E2306" s="912"/>
      <c r="F2306" s="912"/>
      <c r="G2306" s="908" t="s">
        <v>2099</v>
      </c>
      <c r="H2306" s="909" t="s">
        <v>2100</v>
      </c>
      <c r="I2306" s="910" t="e">
        <f>VLOOKUP(H2299,'LƯƠNG KT'!$D$16:$Z$184,17,0)</f>
        <v>#N/A</v>
      </c>
      <c r="J2306" s="609" t="e">
        <f>+I2306*$L$10</f>
        <v>#N/A</v>
      </c>
      <c r="K2306" s="935"/>
      <c r="L2306" s="935"/>
      <c r="M2306" s="935"/>
      <c r="N2306" s="935"/>
      <c r="O2306" s="935"/>
    </row>
    <row r="2307" spans="1:15" ht="15" customHeight="1">
      <c r="A2307" s="908" t="s">
        <v>374</v>
      </c>
      <c r="B2307" s="909" t="s">
        <v>2102</v>
      </c>
      <c r="C2307" s="910" t="e">
        <f>VLOOKUP(B2299,'LƯƠNG KT'!$D$16:$Z$184,12,0)</f>
        <v>#N/A</v>
      </c>
      <c r="D2307" s="609" t="e">
        <f>VLOOKUP(B2299,'LƯƠNG KT'!$D$16:$Z$184,14,0)</f>
        <v>#N/A</v>
      </c>
      <c r="E2307" s="914"/>
      <c r="F2307" s="912"/>
      <c r="G2307" s="908" t="s">
        <v>374</v>
      </c>
      <c r="H2307" s="909" t="s">
        <v>2102</v>
      </c>
      <c r="I2307" s="910" t="e">
        <f>VLOOKUP(H2299,'LƯƠNG KT'!$D$16:$Z$184,12,0)</f>
        <v>#N/A</v>
      </c>
      <c r="J2307" s="609" t="e">
        <f>VLOOKUP(H2299,'LƯƠNG KT'!$D$16:$Z$184,14,0)</f>
        <v>#N/A</v>
      </c>
      <c r="K2307" s="935"/>
      <c r="L2307" s="935"/>
      <c r="M2307" s="935"/>
      <c r="N2307" s="935"/>
      <c r="O2307" s="935"/>
    </row>
    <row r="2308" spans="1:15" ht="15" customHeight="1">
      <c r="A2308" s="908" t="s">
        <v>2103</v>
      </c>
      <c r="B2308" s="909" t="s">
        <v>2104</v>
      </c>
      <c r="D2308" s="915" t="e">
        <f>VLOOKUP(B2299,'LƯƠNG KT'!$D$16:$Z$184,13,0)</f>
        <v>#N/A</v>
      </c>
      <c r="E2308" s="916"/>
      <c r="F2308" s="916"/>
      <c r="G2308" s="908" t="s">
        <v>2103</v>
      </c>
      <c r="H2308" s="909" t="s">
        <v>2104</v>
      </c>
      <c r="J2308" s="915" t="e">
        <f>VLOOKUP(H2299,'LƯƠNG KT'!$D$16:$Z$184,13,0)</f>
        <v>#N/A</v>
      </c>
    </row>
    <row r="2309" spans="1:15" ht="15" customHeight="1">
      <c r="A2309" s="547"/>
      <c r="B2309" s="546"/>
      <c r="C2309" s="910"/>
      <c r="D2309" s="609"/>
      <c r="E2309" s="914"/>
      <c r="F2309" s="916"/>
      <c r="G2309" s="547"/>
      <c r="H2309" s="546"/>
      <c r="I2309" s="910"/>
      <c r="J2309" s="609"/>
    </row>
    <row r="2310" spans="1:15" ht="15" customHeight="1">
      <c r="A2310" s="905"/>
      <c r="B2310" s="546"/>
      <c r="C2310" s="910"/>
      <c r="D2310" s="609"/>
      <c r="E2310" s="917"/>
      <c r="F2310" s="904"/>
      <c r="G2310" s="905"/>
      <c r="H2310" s="546"/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 t="e">
        <f>SUM(D2300:D2307)-D2310</f>
        <v>#N/A</v>
      </c>
      <c r="E2311" s="922"/>
      <c r="F2311" s="923"/>
      <c r="G2311" s="918" t="s">
        <v>383</v>
      </c>
      <c r="H2311" s="919" t="s">
        <v>384</v>
      </c>
      <c r="I2311" s="920"/>
      <c r="J2311" s="921" t="e">
        <f>SUM(J2300:J2307)-J2310</f>
        <v>#N/A</v>
      </c>
    </row>
    <row r="2312" spans="1:15" ht="18.75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8.75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60" t="str">
        <f>$K$2</f>
        <v>THÁNG 04/2025</v>
      </c>
      <c r="B2314" s="2360"/>
      <c r="C2314" s="2360"/>
      <c r="D2314" s="2360"/>
      <c r="E2314" s="903"/>
      <c r="F2314" s="904"/>
      <c r="G2314" s="2360" t="str">
        <f>$K$2</f>
        <v>THÁNG 04/2025</v>
      </c>
      <c r="H2314" s="2360"/>
      <c r="I2314" s="2360"/>
      <c r="J2314" s="2360"/>
      <c r="K2314" s="276"/>
    </row>
    <row r="2315" spans="1:15" ht="15" customHeight="1">
      <c r="A2315" s="905" t="s">
        <v>356</v>
      </c>
      <c r="B2315" s="642" t="s">
        <v>174</v>
      </c>
      <c r="C2315" s="546"/>
      <c r="D2315" s="902"/>
      <c r="E2315" s="906"/>
      <c r="F2315" s="907"/>
      <c r="G2315" s="905" t="s">
        <v>356</v>
      </c>
      <c r="H2315" s="642" t="s">
        <v>175</v>
      </c>
      <c r="I2315" s="546"/>
      <c r="J2315" s="902"/>
      <c r="L2315" s="938"/>
      <c r="M2315" s="938"/>
      <c r="N2315" s="938"/>
      <c r="O2315" s="938"/>
    </row>
    <row r="2316" spans="1:15" ht="15" customHeight="1">
      <c r="A2316" s="908" t="s">
        <v>359</v>
      </c>
      <c r="B2316" s="909" t="s">
        <v>2090</v>
      </c>
      <c r="C2316" s="910" t="e">
        <f>VLOOKUP(B2315,'LƯƠNG KT'!$D$16:$Z$184,4,0)</f>
        <v>#N/A</v>
      </c>
      <c r="D2316" s="609" t="e">
        <f>+C2316*25000</f>
        <v>#N/A</v>
      </c>
      <c r="E2316" s="911"/>
      <c r="F2316" s="911"/>
      <c r="G2316" s="908" t="s">
        <v>359</v>
      </c>
      <c r="H2316" s="909" t="s">
        <v>2090</v>
      </c>
      <c r="I2316" s="910" t="e">
        <f>VLOOKUP(H2315,'LƯƠNG KT'!$D$16:$Z$184,4,0)</f>
        <v>#N/A</v>
      </c>
      <c r="J2316" s="609" t="e">
        <f>+I2316*25000</f>
        <v>#N/A</v>
      </c>
      <c r="K2316" s="935"/>
      <c r="L2316" s="935"/>
      <c r="M2316" s="935"/>
      <c r="N2316" s="935"/>
      <c r="O2316" s="935"/>
    </row>
    <row r="2317" spans="1:15" ht="15" customHeight="1">
      <c r="A2317" s="908" t="s">
        <v>361</v>
      </c>
      <c r="B2317" s="909" t="s">
        <v>2091</v>
      </c>
      <c r="C2317" s="910" t="e">
        <f>VLOOKUP(B2315,'LƯƠNG KT'!$D$16:$Z$184,15,0)</f>
        <v>#N/A</v>
      </c>
      <c r="D2317" s="609" t="e">
        <f>C2317*$L$4</f>
        <v>#N/A</v>
      </c>
      <c r="E2317" s="912"/>
      <c r="F2317" s="912"/>
      <c r="G2317" s="908" t="s">
        <v>361</v>
      </c>
      <c r="H2317" s="909" t="s">
        <v>2091</v>
      </c>
      <c r="I2317" s="910" t="e">
        <f>VLOOKUP(H2315,'LƯƠNG KT'!$D$16:$Z$184,15,0)</f>
        <v>#N/A</v>
      </c>
      <c r="J2317" s="609" t="e">
        <f>I2317*$L$4</f>
        <v>#N/A</v>
      </c>
      <c r="K2317" s="935"/>
      <c r="L2317" s="935"/>
      <c r="M2317" s="935"/>
      <c r="N2317" s="935"/>
      <c r="O2317" s="935"/>
    </row>
    <row r="2318" spans="1:15" ht="15" customHeight="1">
      <c r="A2318" s="908" t="s">
        <v>364</v>
      </c>
      <c r="B2318" s="909" t="s">
        <v>2092</v>
      </c>
      <c r="C2318" s="910" t="e">
        <f>VLOOKUP(B2315,'LƯƠNG KT'!$D$16:$Z$184,16,0)</f>
        <v>#N/A</v>
      </c>
      <c r="D2318" s="609" t="e">
        <f>C2318*$L$5</f>
        <v>#N/A</v>
      </c>
      <c r="E2318" s="912"/>
      <c r="F2318" s="912"/>
      <c r="G2318" s="908" t="s">
        <v>364</v>
      </c>
      <c r="H2318" s="909" t="s">
        <v>2092</v>
      </c>
      <c r="I2318" s="910" t="e">
        <f>VLOOKUP(H2315,'LƯƠNG KT'!$D$16:$Z$184,16,0)</f>
        <v>#N/A</v>
      </c>
      <c r="J2318" s="609" t="e">
        <f>I2318*$L$5</f>
        <v>#N/A</v>
      </c>
      <c r="K2318" s="935"/>
      <c r="L2318" s="935"/>
      <c r="M2318" s="935"/>
      <c r="N2318" s="935"/>
      <c r="O2318" s="935"/>
    </row>
    <row r="2319" spans="1:15" ht="15" customHeight="1">
      <c r="A2319" s="908" t="s">
        <v>370</v>
      </c>
      <c r="B2319" s="909" t="s">
        <v>2093</v>
      </c>
      <c r="C2319" s="910" t="e">
        <f>VLOOKUP(B2315,'LƯƠNG KT'!$D$16:$Z$184,24,0)</f>
        <v>#N/A</v>
      </c>
      <c r="D2319" s="609" t="e">
        <f>+C2319*$L$6</f>
        <v>#N/A</v>
      </c>
      <c r="E2319" s="912"/>
      <c r="F2319" s="912"/>
      <c r="G2319" s="908" t="s">
        <v>370</v>
      </c>
      <c r="H2319" s="909" t="s">
        <v>2093</v>
      </c>
      <c r="I2319" s="910" t="e">
        <f>VLOOKUP(H2315,'LƯƠNG KT'!$D$16:$Z$184,24,0)</f>
        <v>#N/A</v>
      </c>
      <c r="J2319" s="609" t="e">
        <f>+I2319*$L$6</f>
        <v>#N/A</v>
      </c>
      <c r="K2319" s="935"/>
      <c r="L2319" s="935"/>
      <c r="M2319" s="935"/>
      <c r="N2319" s="935"/>
      <c r="O2319" s="935"/>
    </row>
    <row r="2320" spans="1:15" ht="15" customHeight="1">
      <c r="A2320" s="908" t="s">
        <v>2094</v>
      </c>
      <c r="B2320" s="909" t="s">
        <v>2095</v>
      </c>
      <c r="C2320" s="910" t="e">
        <f>VLOOKUP(B2315,'LƯƠNG KT'!$D$16:$Z$184,19,0)</f>
        <v>#N/A</v>
      </c>
      <c r="D2320" s="609" t="e">
        <f>+C2320*$L$8</f>
        <v>#N/A</v>
      </c>
      <c r="E2320" s="912"/>
      <c r="F2320" s="912"/>
      <c r="G2320" s="908" t="s">
        <v>2094</v>
      </c>
      <c r="H2320" s="909" t="s">
        <v>2095</v>
      </c>
      <c r="I2320" s="910" t="e">
        <f>VLOOKUP(H2315,'LƯƠNG KT'!$D$16:$Z$184,19,0)</f>
        <v>#N/A</v>
      </c>
      <c r="J2320" s="609" t="e">
        <f>+I2320*$L$8</f>
        <v>#N/A</v>
      </c>
      <c r="K2320" s="935"/>
      <c r="L2320" s="935"/>
      <c r="M2320" s="935"/>
      <c r="N2320" s="935"/>
      <c r="O2320" s="935"/>
    </row>
    <row r="2321" spans="1:15" ht="15" customHeight="1">
      <c r="A2321" s="908" t="s">
        <v>2096</v>
      </c>
      <c r="B2321" s="913" t="s">
        <v>2097</v>
      </c>
      <c r="C2321" s="910" t="e">
        <f>VLOOKUP(B2315,'LƯƠNG KT'!$D$16:$Z$184,20,0)</f>
        <v>#N/A</v>
      </c>
      <c r="D2321" s="609" t="e">
        <f>+C2321*$L$9</f>
        <v>#N/A</v>
      </c>
      <c r="E2321" s="912"/>
      <c r="F2321" s="912"/>
      <c r="G2321" s="908" t="s">
        <v>2096</v>
      </c>
      <c r="H2321" s="913" t="s">
        <v>2097</v>
      </c>
      <c r="I2321" s="910" t="e">
        <f>VLOOKUP(H2315,'LƯƠNG KT'!$D$16:$Z$184,20,0)</f>
        <v>#N/A</v>
      </c>
      <c r="J2321" s="609" t="e">
        <f>+I2321*$L$9</f>
        <v>#N/A</v>
      </c>
      <c r="K2321" s="935"/>
      <c r="L2321" s="935"/>
      <c r="M2321" s="935"/>
      <c r="N2321" s="935"/>
      <c r="O2321" s="935"/>
    </row>
    <row r="2322" spans="1:15" ht="15" customHeight="1">
      <c r="A2322" s="908" t="s">
        <v>2099</v>
      </c>
      <c r="B2322" s="909" t="s">
        <v>2100</v>
      </c>
      <c r="C2322" s="910" t="e">
        <f>VLOOKUP(B2315,'LƯƠNG KT'!$D$16:$Z$184,17,0)</f>
        <v>#N/A</v>
      </c>
      <c r="D2322" s="609" t="e">
        <f>+C2322*$L$10</f>
        <v>#N/A</v>
      </c>
      <c r="E2322" s="912"/>
      <c r="F2322" s="912"/>
      <c r="G2322" s="908" t="s">
        <v>2099</v>
      </c>
      <c r="H2322" s="909" t="s">
        <v>2100</v>
      </c>
      <c r="I2322" s="910" t="e">
        <f>VLOOKUP(H2315,'LƯƠNG KT'!$D$16:$Z$184,17,0)</f>
        <v>#N/A</v>
      </c>
      <c r="J2322" s="609" t="e">
        <f>+I2322*$L$10</f>
        <v>#N/A</v>
      </c>
      <c r="K2322" s="935"/>
      <c r="L2322" s="935"/>
      <c r="M2322" s="935"/>
      <c r="N2322" s="935"/>
      <c r="O2322" s="935"/>
    </row>
    <row r="2323" spans="1:15" ht="15" customHeight="1">
      <c r="A2323" s="908" t="s">
        <v>374</v>
      </c>
      <c r="B2323" s="909" t="s">
        <v>2102</v>
      </c>
      <c r="C2323" s="910" t="e">
        <f>VLOOKUP(B2315,'LƯƠNG KT'!$D$16:$Z$184,12,0)</f>
        <v>#N/A</v>
      </c>
      <c r="D2323" s="609" t="e">
        <f>VLOOKUP(B2315,'LƯƠNG KT'!$D$16:$Z$184,14,0)</f>
        <v>#N/A</v>
      </c>
      <c r="E2323" s="914"/>
      <c r="F2323" s="912"/>
      <c r="G2323" s="908" t="s">
        <v>374</v>
      </c>
      <c r="H2323" s="909" t="s">
        <v>2102</v>
      </c>
      <c r="I2323" s="910" t="e">
        <f>VLOOKUP(H2315,'LƯƠNG KT'!$D$16:$Z$184,12,0)</f>
        <v>#N/A</v>
      </c>
      <c r="J2323" s="609" t="e">
        <f>VLOOKUP(H2315,'LƯƠNG KT'!$D$16:$Z$184,14,0)</f>
        <v>#N/A</v>
      </c>
      <c r="K2323" s="935"/>
      <c r="L2323" s="935"/>
      <c r="M2323" s="935"/>
      <c r="N2323" s="935"/>
      <c r="O2323" s="935"/>
    </row>
    <row r="2324" spans="1:15" ht="15" customHeight="1">
      <c r="A2324" s="908" t="s">
        <v>2103</v>
      </c>
      <c r="B2324" s="909" t="s">
        <v>2104</v>
      </c>
      <c r="D2324" s="915" t="e">
        <f>VLOOKUP(B2315,'LƯƠNG KT'!$D$16:$Z$184,13,0)</f>
        <v>#N/A</v>
      </c>
      <c r="E2324" s="916"/>
      <c r="F2324" s="916"/>
      <c r="G2324" s="908" t="s">
        <v>2103</v>
      </c>
      <c r="H2324" s="909" t="s">
        <v>2104</v>
      </c>
      <c r="J2324" s="915" t="e">
        <f>VLOOKUP(H2315,'LƯƠNG KT'!$D$16:$Z$184,13,0)</f>
        <v>#N/A</v>
      </c>
    </row>
    <row r="2325" spans="1:15" ht="15" customHeight="1">
      <c r="A2325" s="547"/>
      <c r="B2325" s="546"/>
      <c r="C2325" s="910"/>
      <c r="D2325" s="609"/>
      <c r="E2325" s="914"/>
      <c r="F2325" s="916"/>
      <c r="G2325" s="547"/>
      <c r="H2325" s="546"/>
      <c r="I2325" s="910"/>
      <c r="J2325" s="609"/>
    </row>
    <row r="2326" spans="1:15" ht="15" customHeight="1">
      <c r="A2326" s="905"/>
      <c r="B2326" s="546"/>
      <c r="C2326" s="910"/>
      <c r="D2326" s="609"/>
      <c r="E2326" s="917"/>
      <c r="F2326" s="904"/>
      <c r="G2326" s="905"/>
      <c r="H2326" s="546"/>
      <c r="I2326" s="910"/>
      <c r="J2326" s="609"/>
    </row>
    <row r="2327" spans="1:15" ht="15" customHeight="1">
      <c r="A2327" s="918" t="s">
        <v>383</v>
      </c>
      <c r="B2327" s="919" t="s">
        <v>384</v>
      </c>
      <c r="C2327" s="920"/>
      <c r="D2327" s="921" t="e">
        <f>SUM(D2316:D2323)-D2326</f>
        <v>#N/A</v>
      </c>
      <c r="E2327" s="922"/>
      <c r="F2327" s="923"/>
      <c r="G2327" s="918" t="s">
        <v>383</v>
      </c>
      <c r="H2327" s="919" t="s">
        <v>384</v>
      </c>
      <c r="I2327" s="920"/>
      <c r="J2327" s="921" t="e">
        <f>SUM(J2316:J2323)-J2326</f>
        <v>#N/A</v>
      </c>
    </row>
    <row r="2328" spans="1:15" ht="18.75" customHeight="1">
      <c r="A2328" s="924"/>
      <c r="B2328" s="925"/>
      <c r="C2328" s="926"/>
      <c r="D2328" s="927"/>
      <c r="E2328" s="927"/>
      <c r="F2328" s="928"/>
      <c r="G2328" s="924"/>
      <c r="H2328" s="925"/>
      <c r="I2328" s="926"/>
      <c r="J2328" s="927"/>
    </row>
    <row r="2329" spans="1:15" ht="127.5" customHeight="1">
      <c r="A2329" s="925"/>
      <c r="B2329" s="925"/>
      <c r="C2329" s="929"/>
      <c r="D2329" s="930"/>
      <c r="E2329" s="925"/>
      <c r="F2329" s="931"/>
      <c r="G2329" s="925"/>
      <c r="H2329" s="925"/>
      <c r="I2329" s="929"/>
      <c r="J2329" s="930"/>
    </row>
    <row r="2330" spans="1:15" ht="15" customHeight="1">
      <c r="A2330" s="2360" t="str">
        <f>$K$2</f>
        <v>THÁNG 04/2025</v>
      </c>
      <c r="B2330" s="2360"/>
      <c r="C2330" s="2360"/>
      <c r="D2330" s="2360"/>
      <c r="E2330" s="903"/>
      <c r="F2330" s="904"/>
      <c r="G2330" s="2360" t="str">
        <f>$K$2</f>
        <v>THÁNG 04/2025</v>
      </c>
      <c r="H2330" s="2360"/>
      <c r="I2330" s="2360"/>
      <c r="J2330" s="2360"/>
      <c r="K2330" s="276"/>
    </row>
    <row r="2331" spans="1:15" ht="15" customHeight="1">
      <c r="A2331" s="905" t="s">
        <v>356</v>
      </c>
      <c r="B2331" s="642" t="s">
        <v>176</v>
      </c>
      <c r="C2331" s="546"/>
      <c r="D2331" s="902"/>
      <c r="E2331" s="906"/>
      <c r="F2331" s="907"/>
      <c r="G2331" s="905" t="s">
        <v>356</v>
      </c>
      <c r="H2331" s="642" t="s">
        <v>177</v>
      </c>
      <c r="I2331" s="546"/>
      <c r="J2331" s="902"/>
      <c r="L2331" s="938"/>
      <c r="M2331" s="938"/>
      <c r="N2331" s="938"/>
      <c r="O2331" s="938"/>
    </row>
    <row r="2332" spans="1:15" ht="15" customHeight="1">
      <c r="A2332" s="908" t="s">
        <v>359</v>
      </c>
      <c r="B2332" s="909" t="s">
        <v>2090</v>
      </c>
      <c r="C2332" s="910" t="e">
        <f>VLOOKUP(B2331,'LƯƠNG KT'!$D$16:$Z$184,4,0)</f>
        <v>#N/A</v>
      </c>
      <c r="D2332" s="609" t="e">
        <f>+C2332*25000</f>
        <v>#N/A</v>
      </c>
      <c r="E2332" s="911"/>
      <c r="F2332" s="911"/>
      <c r="G2332" s="908" t="s">
        <v>359</v>
      </c>
      <c r="H2332" s="909" t="s">
        <v>2090</v>
      </c>
      <c r="I2332" s="910" t="e">
        <f>VLOOKUP(H2331,'LƯƠNG KT'!$D$16:$Z$184,4,0)</f>
        <v>#N/A</v>
      </c>
      <c r="J2332" s="609" t="e">
        <f>+I2332*25000</f>
        <v>#N/A</v>
      </c>
      <c r="K2332" s="935"/>
      <c r="L2332" s="935"/>
      <c r="M2332" s="935"/>
      <c r="N2332" s="935"/>
      <c r="O2332" s="935"/>
    </row>
    <row r="2333" spans="1:15" ht="15" customHeight="1">
      <c r="A2333" s="908" t="s">
        <v>361</v>
      </c>
      <c r="B2333" s="909" t="s">
        <v>2091</v>
      </c>
      <c r="C2333" s="910" t="e">
        <f>VLOOKUP(B2331,'LƯƠNG KT'!$D$16:$Z$184,15,0)</f>
        <v>#N/A</v>
      </c>
      <c r="D2333" s="609" t="e">
        <f>C2333*$L$4</f>
        <v>#N/A</v>
      </c>
      <c r="E2333" s="912"/>
      <c r="F2333" s="912"/>
      <c r="G2333" s="908" t="s">
        <v>361</v>
      </c>
      <c r="H2333" s="909" t="s">
        <v>2091</v>
      </c>
      <c r="I2333" s="910" t="e">
        <f>VLOOKUP(H2331,'LƯƠNG KT'!$D$16:$Z$184,15,0)</f>
        <v>#N/A</v>
      </c>
      <c r="J2333" s="609" t="e">
        <f>I2333*$L$4</f>
        <v>#N/A</v>
      </c>
      <c r="K2333" s="935"/>
      <c r="L2333" s="935"/>
      <c r="M2333" s="935"/>
      <c r="N2333" s="935"/>
      <c r="O2333" s="935"/>
    </row>
    <row r="2334" spans="1:15" ht="15" customHeight="1">
      <c r="A2334" s="908" t="s">
        <v>364</v>
      </c>
      <c r="B2334" s="909" t="s">
        <v>2092</v>
      </c>
      <c r="C2334" s="910" t="e">
        <f>VLOOKUP(B2331,'LƯƠNG KT'!$D$16:$Z$184,16,0)</f>
        <v>#N/A</v>
      </c>
      <c r="D2334" s="609" t="e">
        <f>C2334*$L$5</f>
        <v>#N/A</v>
      </c>
      <c r="E2334" s="912"/>
      <c r="F2334" s="912"/>
      <c r="G2334" s="908" t="s">
        <v>364</v>
      </c>
      <c r="H2334" s="909" t="s">
        <v>2092</v>
      </c>
      <c r="I2334" s="910" t="e">
        <f>VLOOKUP(H2331,'LƯƠNG KT'!$D$16:$Z$184,16,0)</f>
        <v>#N/A</v>
      </c>
      <c r="J2334" s="609" t="e">
        <f>I2334*$L$5</f>
        <v>#N/A</v>
      </c>
      <c r="K2334" s="935"/>
      <c r="L2334" s="935"/>
      <c r="M2334" s="935"/>
      <c r="N2334" s="935"/>
      <c r="O2334" s="935"/>
    </row>
    <row r="2335" spans="1:15" ht="15" customHeight="1">
      <c r="A2335" s="908" t="s">
        <v>370</v>
      </c>
      <c r="B2335" s="909" t="s">
        <v>2093</v>
      </c>
      <c r="C2335" s="910" t="e">
        <f>VLOOKUP(B2331,'LƯƠNG KT'!$D$16:$Z$184,24,0)</f>
        <v>#N/A</v>
      </c>
      <c r="D2335" s="609" t="e">
        <f>+C2335*$L$6</f>
        <v>#N/A</v>
      </c>
      <c r="E2335" s="912"/>
      <c r="F2335" s="912"/>
      <c r="G2335" s="908" t="s">
        <v>370</v>
      </c>
      <c r="H2335" s="909" t="s">
        <v>2093</v>
      </c>
      <c r="I2335" s="910" t="e">
        <f>VLOOKUP(H2331,'LƯƠNG KT'!$D$16:$Z$184,24,0)</f>
        <v>#N/A</v>
      </c>
      <c r="J2335" s="609" t="e">
        <f>+I2335*$L$6</f>
        <v>#N/A</v>
      </c>
      <c r="K2335" s="935"/>
      <c r="L2335" s="935"/>
      <c r="M2335" s="935"/>
      <c r="N2335" s="935"/>
      <c r="O2335" s="935"/>
    </row>
    <row r="2336" spans="1:15" ht="15" customHeight="1">
      <c r="A2336" s="908" t="s">
        <v>2094</v>
      </c>
      <c r="B2336" s="909" t="s">
        <v>2095</v>
      </c>
      <c r="C2336" s="910" t="e">
        <f>VLOOKUP(B2331,'LƯƠNG KT'!$D$16:$Z$184,19,0)</f>
        <v>#N/A</v>
      </c>
      <c r="D2336" s="609" t="e">
        <f>+C2336*$L$8</f>
        <v>#N/A</v>
      </c>
      <c r="E2336" s="912"/>
      <c r="F2336" s="912"/>
      <c r="G2336" s="908" t="s">
        <v>2094</v>
      </c>
      <c r="H2336" s="909" t="s">
        <v>2095</v>
      </c>
      <c r="I2336" s="910" t="e">
        <f>VLOOKUP(H2331,'LƯƠNG KT'!$D$16:$Z$184,19,0)</f>
        <v>#N/A</v>
      </c>
      <c r="J2336" s="609" t="e">
        <f>+I2336*$L$8</f>
        <v>#N/A</v>
      </c>
      <c r="K2336" s="935"/>
      <c r="L2336" s="935"/>
      <c r="M2336" s="935"/>
      <c r="N2336" s="935"/>
      <c r="O2336" s="935"/>
    </row>
    <row r="2337" spans="1:15" ht="15" customHeight="1">
      <c r="A2337" s="908" t="s">
        <v>2096</v>
      </c>
      <c r="B2337" s="913" t="s">
        <v>2097</v>
      </c>
      <c r="C2337" s="910" t="e">
        <f>VLOOKUP(B2331,'LƯƠNG KT'!$D$16:$Z$184,20,0)</f>
        <v>#N/A</v>
      </c>
      <c r="D2337" s="609" t="e">
        <f>+C2337*$L$9</f>
        <v>#N/A</v>
      </c>
      <c r="E2337" s="912"/>
      <c r="F2337" s="912"/>
      <c r="G2337" s="908" t="s">
        <v>2096</v>
      </c>
      <c r="H2337" s="913" t="s">
        <v>2097</v>
      </c>
      <c r="I2337" s="910" t="e">
        <f>VLOOKUP(H2331,'LƯƠNG KT'!$D$16:$Z$184,20,0)</f>
        <v>#N/A</v>
      </c>
      <c r="J2337" s="609" t="e">
        <f>+I2337*$L$9</f>
        <v>#N/A</v>
      </c>
      <c r="K2337" s="935"/>
      <c r="L2337" s="935"/>
      <c r="M2337" s="935"/>
      <c r="N2337" s="935"/>
      <c r="O2337" s="935"/>
    </row>
    <row r="2338" spans="1:15" ht="15" customHeight="1">
      <c r="A2338" s="908" t="s">
        <v>2099</v>
      </c>
      <c r="B2338" s="909" t="s">
        <v>2100</v>
      </c>
      <c r="C2338" s="910" t="e">
        <f>VLOOKUP(B2331,'LƯƠNG KT'!$D$16:$Z$184,17,0)</f>
        <v>#N/A</v>
      </c>
      <c r="D2338" s="609" t="e">
        <f>+C2338*$L$10</f>
        <v>#N/A</v>
      </c>
      <c r="E2338" s="912"/>
      <c r="F2338" s="912"/>
      <c r="G2338" s="908" t="s">
        <v>2099</v>
      </c>
      <c r="H2338" s="909" t="s">
        <v>2100</v>
      </c>
      <c r="I2338" s="910" t="e">
        <f>VLOOKUP(H2331,'LƯƠNG KT'!$D$16:$Z$184,17,0)</f>
        <v>#N/A</v>
      </c>
      <c r="J2338" s="609" t="e">
        <f>+I2338*$L$10</f>
        <v>#N/A</v>
      </c>
      <c r="K2338" s="935"/>
      <c r="L2338" s="935"/>
      <c r="M2338" s="935"/>
      <c r="N2338" s="935"/>
      <c r="O2338" s="935"/>
    </row>
    <row r="2339" spans="1:15" ht="15" customHeight="1">
      <c r="A2339" s="908" t="s">
        <v>374</v>
      </c>
      <c r="B2339" s="909" t="s">
        <v>2102</v>
      </c>
      <c r="C2339" s="910" t="e">
        <f>VLOOKUP(B2331,'LƯƠNG KT'!$D$16:$Z$184,12,0)</f>
        <v>#N/A</v>
      </c>
      <c r="D2339" s="609" t="e">
        <f>VLOOKUP(B2331,'LƯƠNG KT'!$D$16:$Z$184,14,0)</f>
        <v>#N/A</v>
      </c>
      <c r="E2339" s="914"/>
      <c r="F2339" s="912"/>
      <c r="G2339" s="908" t="s">
        <v>374</v>
      </c>
      <c r="H2339" s="909" t="s">
        <v>2102</v>
      </c>
      <c r="I2339" s="910" t="e">
        <f>VLOOKUP(H2331,'LƯƠNG KT'!$D$16:$Z$184,12,0)</f>
        <v>#N/A</v>
      </c>
      <c r="J2339" s="609" t="e">
        <f>VLOOKUP(H2331,'LƯƠNG KT'!$D$16:$Z$184,14,0)</f>
        <v>#N/A</v>
      </c>
      <c r="K2339" s="935"/>
      <c r="L2339" s="935"/>
      <c r="M2339" s="935"/>
      <c r="N2339" s="935"/>
      <c r="O2339" s="935"/>
    </row>
    <row r="2340" spans="1:15" ht="15" customHeight="1">
      <c r="A2340" s="908" t="s">
        <v>2103</v>
      </c>
      <c r="B2340" s="909" t="s">
        <v>2104</v>
      </c>
      <c r="D2340" s="915" t="e">
        <f>VLOOKUP(B2331,'LƯƠNG KT'!$D$16:$Z$184,13,0)</f>
        <v>#N/A</v>
      </c>
      <c r="E2340" s="916"/>
      <c r="F2340" s="916"/>
      <c r="G2340" s="908" t="s">
        <v>2103</v>
      </c>
      <c r="H2340" s="909" t="s">
        <v>2104</v>
      </c>
      <c r="J2340" s="915" t="e">
        <f>VLOOKUP(H2331,'LƯƠNG KT'!$D$16:$Z$184,13,0)</f>
        <v>#N/A</v>
      </c>
    </row>
    <row r="2341" spans="1:15" ht="15" customHeight="1">
      <c r="A2341" s="547"/>
      <c r="B2341" s="546"/>
      <c r="C2341" s="910"/>
      <c r="D2341" s="609"/>
      <c r="E2341" s="914"/>
      <c r="F2341" s="916"/>
      <c r="G2341" s="547"/>
      <c r="H2341" s="546"/>
      <c r="I2341" s="910"/>
      <c r="J2341" s="609"/>
    </row>
    <row r="2342" spans="1:15" ht="15" customHeight="1">
      <c r="A2342" s="905"/>
      <c r="B2342" s="546"/>
      <c r="C2342" s="910"/>
      <c r="D2342" s="609"/>
      <c r="E2342" s="917"/>
      <c r="F2342" s="904"/>
      <c r="G2342" s="905"/>
      <c r="H2342" s="546"/>
      <c r="I2342" s="910"/>
      <c r="J2342" s="609"/>
    </row>
    <row r="2343" spans="1:15" ht="15" customHeight="1">
      <c r="A2343" s="918" t="s">
        <v>383</v>
      </c>
      <c r="B2343" s="919" t="s">
        <v>384</v>
      </c>
      <c r="C2343" s="920"/>
      <c r="D2343" s="921" t="e">
        <f>SUM(D2332:D2339)-D2342</f>
        <v>#N/A</v>
      </c>
      <c r="E2343" s="922"/>
      <c r="F2343" s="923"/>
      <c r="G2343" s="918" t="s">
        <v>383</v>
      </c>
      <c r="H2343" s="919" t="s">
        <v>384</v>
      </c>
      <c r="I2343" s="920"/>
      <c r="J2343" s="921" t="e">
        <f>SUM(J2332:J2339)-J2342</f>
        <v>#N/A</v>
      </c>
    </row>
    <row r="2344" spans="1:15" ht="15.75" customHeight="1">
      <c r="A2344" s="924"/>
      <c r="B2344" s="925"/>
      <c r="C2344" s="926"/>
      <c r="D2344" s="927"/>
      <c r="E2344" s="927"/>
      <c r="F2344" s="928"/>
      <c r="G2344" s="924"/>
      <c r="H2344" s="925"/>
      <c r="I2344" s="926"/>
      <c r="J2344" s="927"/>
    </row>
    <row r="2346" spans="1:15" ht="12" customHeight="1">
      <c r="A2346" s="2361"/>
      <c r="B2346" s="2361"/>
      <c r="C2346" s="2361"/>
      <c r="D2346" s="2361"/>
      <c r="E2346" s="2361"/>
      <c r="F2346" s="2361"/>
      <c r="G2346" s="2361"/>
      <c r="H2346" s="2361"/>
      <c r="I2346" s="2361"/>
      <c r="J2346" s="2361"/>
    </row>
    <row r="2347" spans="1:15" ht="15" customHeight="1">
      <c r="A2347" s="2360" t="str">
        <f>$K$2</f>
        <v>THÁNG 04/2025</v>
      </c>
      <c r="B2347" s="2360"/>
      <c r="C2347" s="2360"/>
      <c r="D2347" s="2360"/>
      <c r="E2347" s="903"/>
      <c r="F2347" s="904"/>
      <c r="G2347" s="2360" t="str">
        <f>$K$2</f>
        <v>THÁNG 04/2025</v>
      </c>
      <c r="H2347" s="2360"/>
      <c r="I2347" s="2360"/>
      <c r="J2347" s="2360"/>
      <c r="K2347" s="276"/>
    </row>
    <row r="2348" spans="1:15" ht="15" customHeight="1">
      <c r="A2348" s="905" t="s">
        <v>356</v>
      </c>
      <c r="B2348" s="642" t="s">
        <v>178</v>
      </c>
      <c r="C2348" s="546"/>
      <c r="D2348" s="902"/>
      <c r="E2348" s="906"/>
      <c r="F2348" s="907"/>
      <c r="G2348" s="905" t="s">
        <v>356</v>
      </c>
      <c r="H2348" s="642" t="s">
        <v>179</v>
      </c>
      <c r="I2348" s="546"/>
      <c r="J2348" s="902"/>
      <c r="L2348" s="938"/>
      <c r="M2348" s="938"/>
      <c r="N2348" s="938"/>
      <c r="O2348" s="938"/>
    </row>
    <row r="2349" spans="1:15" ht="15" customHeight="1">
      <c r="A2349" s="908" t="s">
        <v>359</v>
      </c>
      <c r="B2349" s="909" t="s">
        <v>2090</v>
      </c>
      <c r="C2349" s="910" t="e">
        <f>VLOOKUP(B2348,'LƯƠNG KT'!$D$16:$Z$184,4,0)</f>
        <v>#N/A</v>
      </c>
      <c r="D2349" s="609" t="e">
        <f>+C2349*25000</f>
        <v>#N/A</v>
      </c>
      <c r="E2349" s="911"/>
      <c r="F2349" s="911"/>
      <c r="G2349" s="908" t="s">
        <v>359</v>
      </c>
      <c r="H2349" s="909" t="s">
        <v>2090</v>
      </c>
      <c r="I2349" s="910" t="e">
        <f>VLOOKUP(H2348,'LƯƠNG KT'!$D$16:$Z$184,4,0)</f>
        <v>#N/A</v>
      </c>
      <c r="J2349" s="609" t="e">
        <f>+I2349*25000</f>
        <v>#N/A</v>
      </c>
      <c r="K2349" s="934"/>
      <c r="L2349" s="935"/>
      <c r="M2349" s="935"/>
      <c r="N2349" s="935"/>
      <c r="O2349" s="935"/>
    </row>
    <row r="2350" spans="1:15" ht="15" customHeight="1">
      <c r="A2350" s="908" t="s">
        <v>361</v>
      </c>
      <c r="B2350" s="909" t="s">
        <v>2091</v>
      </c>
      <c r="C2350" s="910" t="e">
        <f>VLOOKUP(B2348,'LƯƠNG KT'!$D$16:$Z$184,15,0)</f>
        <v>#N/A</v>
      </c>
      <c r="D2350" s="609" t="e">
        <f>C2350*$L$4</f>
        <v>#N/A</v>
      </c>
      <c r="E2350" s="912"/>
      <c r="F2350" s="912"/>
      <c r="G2350" s="908" t="s">
        <v>361</v>
      </c>
      <c r="H2350" s="909" t="s">
        <v>2091</v>
      </c>
      <c r="I2350" s="910" t="e">
        <f>VLOOKUP(H2348,'LƯƠNG KT'!$D$16:$Z$184,15,0)</f>
        <v>#N/A</v>
      </c>
      <c r="J2350" s="609" t="e">
        <f>I2350*$L$4</f>
        <v>#N/A</v>
      </c>
      <c r="K2350" s="934"/>
      <c r="L2350" s="935"/>
      <c r="M2350" s="935"/>
      <c r="N2350" s="935"/>
      <c r="O2350" s="935"/>
    </row>
    <row r="2351" spans="1:15" ht="15" customHeight="1">
      <c r="A2351" s="908" t="s">
        <v>364</v>
      </c>
      <c r="B2351" s="909" t="s">
        <v>2092</v>
      </c>
      <c r="C2351" s="910" t="e">
        <f>VLOOKUP(B2348,'LƯƠNG KT'!$D$16:$Z$184,16,0)</f>
        <v>#N/A</v>
      </c>
      <c r="D2351" s="609" t="e">
        <f>C2351*$L$5</f>
        <v>#N/A</v>
      </c>
      <c r="E2351" s="912"/>
      <c r="F2351" s="912"/>
      <c r="G2351" s="908" t="s">
        <v>364</v>
      </c>
      <c r="H2351" s="909" t="s">
        <v>2092</v>
      </c>
      <c r="I2351" s="910" t="e">
        <f>VLOOKUP(H2348,'LƯƠNG KT'!$D$16:$Z$184,16,0)</f>
        <v>#N/A</v>
      </c>
      <c r="J2351" s="609" t="e">
        <f>I2351*$L$5</f>
        <v>#N/A</v>
      </c>
      <c r="K2351" s="934"/>
      <c r="L2351" s="935"/>
      <c r="M2351" s="935"/>
      <c r="N2351" s="935"/>
      <c r="O2351" s="935"/>
    </row>
    <row r="2352" spans="1:15" ht="15" customHeight="1">
      <c r="A2352" s="908" t="s">
        <v>370</v>
      </c>
      <c r="B2352" s="909" t="s">
        <v>2093</v>
      </c>
      <c r="C2352" s="910" t="e">
        <f>VLOOKUP(B2348,'LƯƠNG KT'!$D$16:$Z$184,24,0)</f>
        <v>#N/A</v>
      </c>
      <c r="D2352" s="609" t="e">
        <f>+C2352*$L$6</f>
        <v>#N/A</v>
      </c>
      <c r="E2352" s="912"/>
      <c r="F2352" s="912"/>
      <c r="G2352" s="908" t="s">
        <v>370</v>
      </c>
      <c r="H2352" s="909" t="s">
        <v>2093</v>
      </c>
      <c r="I2352" s="910" t="e">
        <f>VLOOKUP(H2348,'LƯƠNG KT'!$D$16:$Z$184,24,0)</f>
        <v>#N/A</v>
      </c>
      <c r="J2352" s="609" t="e">
        <f>+I2352*$L$6</f>
        <v>#N/A</v>
      </c>
      <c r="K2352" s="935"/>
      <c r="L2352" s="935"/>
      <c r="M2352" s="935"/>
      <c r="N2352" s="935"/>
      <c r="O2352" s="935"/>
    </row>
    <row r="2353" spans="1:15" ht="15" customHeight="1">
      <c r="A2353" s="908" t="s">
        <v>2094</v>
      </c>
      <c r="B2353" s="909" t="s">
        <v>2095</v>
      </c>
      <c r="C2353" s="910" t="e">
        <f>VLOOKUP(B2348,'LƯƠNG KT'!$D$16:$Z$184,19,0)</f>
        <v>#N/A</v>
      </c>
      <c r="D2353" s="609" t="e">
        <f>+C2353*$L$8</f>
        <v>#N/A</v>
      </c>
      <c r="E2353" s="912"/>
      <c r="F2353" s="912"/>
      <c r="G2353" s="908" t="s">
        <v>2094</v>
      </c>
      <c r="H2353" s="909" t="s">
        <v>2095</v>
      </c>
      <c r="I2353" s="910" t="e">
        <f>VLOOKUP(H2348,'LƯƠNG KT'!$D$16:$Z$184,19,0)</f>
        <v>#N/A</v>
      </c>
      <c r="J2353" s="609" t="e">
        <f>+I2353*$L$8</f>
        <v>#N/A</v>
      </c>
      <c r="K2353" s="935"/>
      <c r="L2353" s="935"/>
      <c r="M2353" s="935"/>
      <c r="N2353" s="935"/>
      <c r="O2353" s="935"/>
    </row>
    <row r="2354" spans="1:15" ht="15" customHeight="1">
      <c r="A2354" s="908" t="s">
        <v>2096</v>
      </c>
      <c r="B2354" s="913" t="s">
        <v>2097</v>
      </c>
      <c r="C2354" s="910" t="e">
        <f>VLOOKUP(B2348,'LƯƠNG KT'!$D$16:$Z$184,20,0)</f>
        <v>#N/A</v>
      </c>
      <c r="D2354" s="609" t="e">
        <f>+C2354*$L$9</f>
        <v>#N/A</v>
      </c>
      <c r="E2354" s="912"/>
      <c r="F2354" s="912"/>
      <c r="G2354" s="908" t="s">
        <v>2096</v>
      </c>
      <c r="H2354" s="913" t="s">
        <v>2097</v>
      </c>
      <c r="I2354" s="910" t="e">
        <f>VLOOKUP(H2348,'LƯƠNG KT'!$D$16:$Z$184,20,0)</f>
        <v>#N/A</v>
      </c>
      <c r="J2354" s="609" t="e">
        <f>+I2354*$L$9</f>
        <v>#N/A</v>
      </c>
      <c r="K2354" s="935"/>
      <c r="L2354" s="935"/>
      <c r="M2354" s="935"/>
      <c r="N2354" s="935"/>
      <c r="O2354" s="935"/>
    </row>
    <row r="2355" spans="1:15" ht="15" customHeight="1">
      <c r="A2355" s="908" t="s">
        <v>2099</v>
      </c>
      <c r="B2355" s="909" t="s">
        <v>2100</v>
      </c>
      <c r="C2355" s="910" t="e">
        <f>VLOOKUP(B2348,'LƯƠNG KT'!$D$16:$Z$184,17,0)</f>
        <v>#N/A</v>
      </c>
      <c r="D2355" s="609" t="e">
        <f>+C2355*$L$10</f>
        <v>#N/A</v>
      </c>
      <c r="E2355" s="912"/>
      <c r="F2355" s="912"/>
      <c r="G2355" s="908" t="s">
        <v>2099</v>
      </c>
      <c r="H2355" s="909" t="s">
        <v>2100</v>
      </c>
      <c r="I2355" s="910" t="e">
        <f>VLOOKUP(H2348,'LƯƠNG KT'!$D$16:$Z$184,17,0)</f>
        <v>#N/A</v>
      </c>
      <c r="J2355" s="609" t="e">
        <f>+I2355*$L$10</f>
        <v>#N/A</v>
      </c>
      <c r="K2355" s="935"/>
      <c r="L2355" s="935"/>
      <c r="M2355" s="935"/>
      <c r="N2355" s="935"/>
      <c r="O2355" s="935"/>
    </row>
    <row r="2356" spans="1:15" ht="15" customHeight="1">
      <c r="A2356" s="908" t="s">
        <v>374</v>
      </c>
      <c r="B2356" s="909" t="s">
        <v>2102</v>
      </c>
      <c r="C2356" s="910" t="e">
        <f>VLOOKUP(B2348,'LƯƠNG KT'!$D$16:$Z$184,12,0)</f>
        <v>#N/A</v>
      </c>
      <c r="D2356" s="609" t="e">
        <f>VLOOKUP(B2348,'LƯƠNG KT'!$D$16:$Z$184,14,0)</f>
        <v>#N/A</v>
      </c>
      <c r="E2356" s="914"/>
      <c r="F2356" s="912"/>
      <c r="G2356" s="908" t="s">
        <v>374</v>
      </c>
      <c r="H2356" s="909" t="s">
        <v>2102</v>
      </c>
      <c r="I2356" s="910" t="e">
        <f>VLOOKUP(H2348,'LƯƠNG KT'!$D$16:$Z$184,12,0)</f>
        <v>#N/A</v>
      </c>
      <c r="J2356" s="609" t="e">
        <f>VLOOKUP(H2348,'LƯƠNG KT'!$D$16:$Z$184,14,0)</f>
        <v>#N/A</v>
      </c>
      <c r="K2356" s="935"/>
      <c r="L2356" s="935"/>
      <c r="M2356" s="935"/>
      <c r="N2356" s="935"/>
      <c r="O2356" s="935"/>
    </row>
    <row r="2357" spans="1:15" ht="15" customHeight="1">
      <c r="A2357" s="908" t="s">
        <v>2103</v>
      </c>
      <c r="B2357" s="909" t="s">
        <v>2104</v>
      </c>
      <c r="D2357" s="915" t="e">
        <f>VLOOKUP(B2348,'LƯƠNG KT'!$D$16:$Z$184,13,0)</f>
        <v>#N/A</v>
      </c>
      <c r="E2357" s="916"/>
      <c r="F2357" s="916"/>
      <c r="G2357" s="908" t="s">
        <v>2103</v>
      </c>
      <c r="H2357" s="909" t="s">
        <v>2104</v>
      </c>
      <c r="J2357" s="915" t="e">
        <f>VLOOKUP(H2348,'LƯƠNG KT'!$D$16:$Z$184,13,0)</f>
        <v>#N/A</v>
      </c>
    </row>
    <row r="2358" spans="1:15" ht="15" customHeight="1">
      <c r="A2358" s="547"/>
      <c r="B2358" s="546"/>
      <c r="C2358" s="910"/>
      <c r="D2358" s="609"/>
      <c r="E2358" s="914"/>
      <c r="F2358" s="916"/>
      <c r="G2358" s="547"/>
      <c r="H2358" s="546"/>
      <c r="I2358" s="910"/>
      <c r="J2358" s="609"/>
    </row>
    <row r="2359" spans="1:15" ht="15" customHeight="1">
      <c r="A2359" s="905"/>
      <c r="B2359" s="546"/>
      <c r="C2359" s="910"/>
      <c r="D2359" s="609"/>
      <c r="E2359" s="917"/>
      <c r="F2359" s="904"/>
      <c r="G2359" s="905"/>
      <c r="H2359" s="546"/>
      <c r="I2359" s="910"/>
      <c r="J2359" s="609"/>
    </row>
    <row r="2360" spans="1:15" ht="15" customHeight="1">
      <c r="A2360" s="918" t="s">
        <v>383</v>
      </c>
      <c r="B2360" s="919" t="s">
        <v>384</v>
      </c>
      <c r="C2360" s="920"/>
      <c r="D2360" s="921" t="e">
        <f>SUM(D2349:D2356)-D2359</f>
        <v>#N/A</v>
      </c>
      <c r="E2360" s="922"/>
      <c r="F2360" s="923"/>
      <c r="G2360" s="918" t="s">
        <v>383</v>
      </c>
      <c r="H2360" s="919" t="s">
        <v>384</v>
      </c>
      <c r="I2360" s="920"/>
      <c r="J2360" s="921" t="e">
        <f>SUM(J2349:J2356)-J2359</f>
        <v>#N/A</v>
      </c>
    </row>
    <row r="2361" spans="1:15" ht="18" customHeight="1">
      <c r="A2361" s="924"/>
      <c r="B2361" s="925"/>
      <c r="C2361" s="926"/>
      <c r="D2361" s="927"/>
      <c r="E2361" s="927"/>
      <c r="F2361" s="928"/>
      <c r="G2361" s="924"/>
      <c r="H2361" s="925"/>
      <c r="I2361" s="926"/>
      <c r="J2361" s="927"/>
    </row>
    <row r="2362" spans="1:15" ht="18" customHeight="1">
      <c r="A2362" s="925"/>
      <c r="B2362" s="925"/>
      <c r="C2362" s="929"/>
      <c r="D2362" s="930"/>
      <c r="E2362" s="925"/>
      <c r="F2362" s="931"/>
      <c r="G2362" s="925"/>
      <c r="H2362" s="925"/>
      <c r="I2362" s="929"/>
      <c r="J2362" s="930"/>
    </row>
    <row r="2363" spans="1:15" ht="15" customHeight="1">
      <c r="A2363" s="2360" t="str">
        <f>$K$2</f>
        <v>THÁNG 04/2025</v>
      </c>
      <c r="B2363" s="2360"/>
      <c r="C2363" s="2360"/>
      <c r="D2363" s="2360"/>
      <c r="E2363" s="903"/>
      <c r="F2363" s="904"/>
      <c r="G2363" s="2360" t="str">
        <f>$K$2</f>
        <v>THÁNG 04/2025</v>
      </c>
      <c r="H2363" s="2360"/>
      <c r="I2363" s="2360"/>
      <c r="J2363" s="2360"/>
      <c r="K2363" s="276"/>
    </row>
    <row r="2364" spans="1:15" ht="15" customHeight="1">
      <c r="A2364" s="905" t="s">
        <v>356</v>
      </c>
      <c r="B2364" s="642" t="s">
        <v>180</v>
      </c>
      <c r="C2364" s="546"/>
      <c r="D2364" s="902"/>
      <c r="E2364" s="906"/>
      <c r="F2364" s="907"/>
      <c r="G2364" s="905" t="s">
        <v>356</v>
      </c>
      <c r="H2364" s="642" t="s">
        <v>181</v>
      </c>
      <c r="I2364" s="546"/>
      <c r="J2364" s="902"/>
      <c r="L2364" s="938"/>
      <c r="M2364" s="938"/>
      <c r="N2364" s="938"/>
      <c r="O2364" s="938"/>
    </row>
    <row r="2365" spans="1:15" ht="15" customHeight="1">
      <c r="A2365" s="908" t="s">
        <v>359</v>
      </c>
      <c r="B2365" s="909" t="s">
        <v>2090</v>
      </c>
      <c r="C2365" s="910" t="e">
        <f>VLOOKUP(B2364,'LƯƠNG KT'!$D$16:$Z$184,4,0)</f>
        <v>#N/A</v>
      </c>
      <c r="D2365" s="609" t="e">
        <f>+C2365*25000</f>
        <v>#N/A</v>
      </c>
      <c r="E2365" s="911"/>
      <c r="F2365" s="911"/>
      <c r="G2365" s="908" t="s">
        <v>359</v>
      </c>
      <c r="H2365" s="909" t="s">
        <v>2090</v>
      </c>
      <c r="I2365" s="910" t="e">
        <f>VLOOKUP(H2364,'LƯƠNG KT'!$D$16:$Z$184,4,0)</f>
        <v>#N/A</v>
      </c>
      <c r="J2365" s="609" t="e">
        <f>+I2365*25000</f>
        <v>#N/A</v>
      </c>
      <c r="K2365" s="935"/>
      <c r="L2365" s="935"/>
      <c r="M2365" s="935"/>
      <c r="N2365" s="935"/>
      <c r="O2365" s="935"/>
    </row>
    <row r="2366" spans="1:15" ht="15" customHeight="1">
      <c r="A2366" s="908" t="s">
        <v>361</v>
      </c>
      <c r="B2366" s="909" t="s">
        <v>2091</v>
      </c>
      <c r="C2366" s="910" t="e">
        <f>VLOOKUP(B2364,'LƯƠNG KT'!$D$16:$Z$184,15,0)</f>
        <v>#N/A</v>
      </c>
      <c r="D2366" s="609" t="e">
        <f>C2366*$L$4</f>
        <v>#N/A</v>
      </c>
      <c r="E2366" s="912"/>
      <c r="F2366" s="912"/>
      <c r="G2366" s="908" t="s">
        <v>361</v>
      </c>
      <c r="H2366" s="909" t="s">
        <v>2091</v>
      </c>
      <c r="I2366" s="910" t="e">
        <f>VLOOKUP(H2364,'LƯƠNG KT'!$D$16:$Z$184,15,0)</f>
        <v>#N/A</v>
      </c>
      <c r="J2366" s="609" t="e">
        <f>I2366*$L$4</f>
        <v>#N/A</v>
      </c>
      <c r="K2366" s="935"/>
      <c r="L2366" s="935"/>
      <c r="M2366" s="935"/>
      <c r="N2366" s="935"/>
      <c r="O2366" s="935"/>
    </row>
    <row r="2367" spans="1:15" ht="15" customHeight="1">
      <c r="A2367" s="908" t="s">
        <v>364</v>
      </c>
      <c r="B2367" s="909" t="s">
        <v>2092</v>
      </c>
      <c r="C2367" s="910" t="e">
        <f>VLOOKUP(B2364,'LƯƠNG KT'!$D$16:$Z$184,16,0)</f>
        <v>#N/A</v>
      </c>
      <c r="D2367" s="609" t="e">
        <f>C2367*$L$5</f>
        <v>#N/A</v>
      </c>
      <c r="E2367" s="912"/>
      <c r="F2367" s="912"/>
      <c r="G2367" s="908" t="s">
        <v>364</v>
      </c>
      <c r="H2367" s="909" t="s">
        <v>2092</v>
      </c>
      <c r="I2367" s="910" t="e">
        <f>VLOOKUP(H2364,'LƯƠNG KT'!$D$16:$Z$184,16,0)</f>
        <v>#N/A</v>
      </c>
      <c r="J2367" s="609" t="e">
        <f>I2367*$L$5</f>
        <v>#N/A</v>
      </c>
      <c r="K2367" s="935"/>
      <c r="L2367" s="935"/>
      <c r="M2367" s="935"/>
      <c r="N2367" s="935"/>
      <c r="O2367" s="935"/>
    </row>
    <row r="2368" spans="1:15" ht="15" customHeight="1">
      <c r="A2368" s="908" t="s">
        <v>370</v>
      </c>
      <c r="B2368" s="909" t="s">
        <v>2093</v>
      </c>
      <c r="C2368" s="910" t="e">
        <f>VLOOKUP(B2364,'LƯƠNG KT'!$D$16:$Z$184,24,0)</f>
        <v>#N/A</v>
      </c>
      <c r="D2368" s="609" t="e">
        <f>+C2368*$L$6</f>
        <v>#N/A</v>
      </c>
      <c r="E2368" s="912"/>
      <c r="F2368" s="912"/>
      <c r="G2368" s="908" t="s">
        <v>370</v>
      </c>
      <c r="H2368" s="909" t="s">
        <v>2093</v>
      </c>
      <c r="I2368" s="910" t="e">
        <f>VLOOKUP(H2364,'LƯƠNG KT'!$D$16:$Z$184,24,0)</f>
        <v>#N/A</v>
      </c>
      <c r="J2368" s="609" t="e">
        <f>+I2368*$L$6</f>
        <v>#N/A</v>
      </c>
      <c r="K2368" s="935"/>
      <c r="L2368" s="935"/>
      <c r="M2368" s="935"/>
      <c r="N2368" s="935"/>
      <c r="O2368" s="935"/>
    </row>
    <row r="2369" spans="1:15" ht="15" customHeight="1">
      <c r="A2369" s="908" t="s">
        <v>2094</v>
      </c>
      <c r="B2369" s="909" t="s">
        <v>2095</v>
      </c>
      <c r="C2369" s="910" t="e">
        <f>VLOOKUP(B2364,'LƯƠNG KT'!$D$16:$Z$184,19,0)</f>
        <v>#N/A</v>
      </c>
      <c r="D2369" s="609" t="e">
        <f>+C2369*$L$8</f>
        <v>#N/A</v>
      </c>
      <c r="E2369" s="912"/>
      <c r="F2369" s="912"/>
      <c r="G2369" s="908" t="s">
        <v>2094</v>
      </c>
      <c r="H2369" s="909" t="s">
        <v>2095</v>
      </c>
      <c r="I2369" s="910" t="e">
        <f>VLOOKUP(H2364,'LƯƠNG KT'!$D$16:$Z$184,19,0)</f>
        <v>#N/A</v>
      </c>
      <c r="J2369" s="609" t="e">
        <f>+I2369*$L$8</f>
        <v>#N/A</v>
      </c>
      <c r="K2369" s="935"/>
      <c r="L2369" s="935"/>
      <c r="M2369" s="935"/>
      <c r="N2369" s="935"/>
      <c r="O2369" s="935"/>
    </row>
    <row r="2370" spans="1:15" ht="15" customHeight="1">
      <c r="A2370" s="908" t="s">
        <v>2096</v>
      </c>
      <c r="B2370" s="913" t="s">
        <v>2097</v>
      </c>
      <c r="C2370" s="910" t="e">
        <f>VLOOKUP(B2364,'LƯƠNG KT'!$D$16:$Z$184,20,0)</f>
        <v>#N/A</v>
      </c>
      <c r="D2370" s="609" t="e">
        <f>+C2370*$L$9</f>
        <v>#N/A</v>
      </c>
      <c r="E2370" s="912"/>
      <c r="F2370" s="912"/>
      <c r="G2370" s="908" t="s">
        <v>2096</v>
      </c>
      <c r="H2370" s="913" t="s">
        <v>2097</v>
      </c>
      <c r="I2370" s="910" t="e">
        <f>VLOOKUP(H2364,'LƯƠNG KT'!$D$16:$Z$184,20,0)</f>
        <v>#N/A</v>
      </c>
      <c r="J2370" s="609" t="e">
        <f>+I2370*$L$9</f>
        <v>#N/A</v>
      </c>
      <c r="K2370" s="935"/>
      <c r="L2370" s="935"/>
      <c r="M2370" s="935"/>
      <c r="N2370" s="935"/>
      <c r="O2370" s="935"/>
    </row>
    <row r="2371" spans="1:15" ht="15" customHeight="1">
      <c r="A2371" s="908" t="s">
        <v>2099</v>
      </c>
      <c r="B2371" s="909" t="s">
        <v>2100</v>
      </c>
      <c r="C2371" s="910" t="e">
        <f>VLOOKUP(B2364,'LƯƠNG KT'!$D$16:$Z$184,17,0)</f>
        <v>#N/A</v>
      </c>
      <c r="D2371" s="609" t="e">
        <f>+C2371*$L$10</f>
        <v>#N/A</v>
      </c>
      <c r="E2371" s="912"/>
      <c r="F2371" s="912"/>
      <c r="G2371" s="908" t="s">
        <v>2099</v>
      </c>
      <c r="H2371" s="909" t="s">
        <v>2100</v>
      </c>
      <c r="I2371" s="910" t="e">
        <f>VLOOKUP(H2364,'LƯƠNG KT'!$D$16:$Z$184,17,0)</f>
        <v>#N/A</v>
      </c>
      <c r="J2371" s="609" t="e">
        <f>+I2371*$L$10</f>
        <v>#N/A</v>
      </c>
      <c r="K2371" s="935"/>
      <c r="L2371" s="935"/>
      <c r="M2371" s="935"/>
      <c r="N2371" s="935"/>
      <c r="O2371" s="935"/>
    </row>
    <row r="2372" spans="1:15" ht="15" customHeight="1">
      <c r="A2372" s="908" t="s">
        <v>374</v>
      </c>
      <c r="B2372" s="909" t="s">
        <v>2102</v>
      </c>
      <c r="C2372" s="910" t="e">
        <f>VLOOKUP(B2364,'LƯƠNG KT'!$D$16:$Z$184,12,0)</f>
        <v>#N/A</v>
      </c>
      <c r="D2372" s="609" t="e">
        <f>VLOOKUP(B2364,'LƯƠNG KT'!$D$16:$Z$184,14,0)</f>
        <v>#N/A</v>
      </c>
      <c r="E2372" s="914"/>
      <c r="F2372" s="912"/>
      <c r="G2372" s="908" t="s">
        <v>374</v>
      </c>
      <c r="H2372" s="909" t="s">
        <v>2102</v>
      </c>
      <c r="I2372" s="910" t="e">
        <f>VLOOKUP(H2364,'LƯƠNG KT'!$D$16:$Z$184,12,0)</f>
        <v>#N/A</v>
      </c>
      <c r="J2372" s="609" t="e">
        <f>VLOOKUP(H2364,'LƯƠNG KT'!$D$16:$Z$184,14,0)</f>
        <v>#N/A</v>
      </c>
      <c r="K2372" s="935"/>
      <c r="L2372" s="935"/>
      <c r="M2372" s="935"/>
      <c r="N2372" s="935"/>
      <c r="O2372" s="935"/>
    </row>
    <row r="2373" spans="1:15" ht="15" customHeight="1">
      <c r="A2373" s="908" t="s">
        <v>2103</v>
      </c>
      <c r="B2373" s="909" t="s">
        <v>2104</v>
      </c>
      <c r="D2373" s="915" t="e">
        <f>VLOOKUP(B2364,'LƯƠNG KT'!$D$16:$Z$184,13,0)</f>
        <v>#N/A</v>
      </c>
      <c r="E2373" s="916"/>
      <c r="F2373" s="916"/>
      <c r="G2373" s="908" t="s">
        <v>2103</v>
      </c>
      <c r="H2373" s="909" t="s">
        <v>2104</v>
      </c>
      <c r="J2373" s="915" t="e">
        <f>VLOOKUP(H2364,'LƯƠNG KT'!$D$16:$Z$184,13,0)</f>
        <v>#N/A</v>
      </c>
    </row>
    <row r="2374" spans="1:15" ht="15" customHeight="1">
      <c r="A2374" s="547"/>
      <c r="B2374" s="546"/>
      <c r="C2374" s="910"/>
      <c r="D2374" s="609"/>
      <c r="E2374" s="914"/>
      <c r="F2374" s="916"/>
      <c r="G2374" s="547"/>
      <c r="H2374" s="546"/>
      <c r="I2374" s="910"/>
      <c r="J2374" s="609"/>
    </row>
    <row r="2375" spans="1:15" ht="15" customHeight="1">
      <c r="A2375" s="905"/>
      <c r="B2375" s="546"/>
      <c r="C2375" s="910"/>
      <c r="D2375" s="609"/>
      <c r="E2375" s="917"/>
      <c r="F2375" s="904"/>
      <c r="G2375" s="905"/>
      <c r="H2375" s="546"/>
      <c r="I2375" s="910"/>
      <c r="J2375" s="609"/>
    </row>
    <row r="2376" spans="1:15" ht="15" customHeight="1">
      <c r="A2376" s="918" t="s">
        <v>383</v>
      </c>
      <c r="B2376" s="919" t="s">
        <v>384</v>
      </c>
      <c r="C2376" s="920"/>
      <c r="D2376" s="921" t="e">
        <f>SUM(D2365:D2372)-D2375</f>
        <v>#N/A</v>
      </c>
      <c r="E2376" s="922"/>
      <c r="F2376" s="923"/>
      <c r="G2376" s="918" t="s">
        <v>383</v>
      </c>
      <c r="H2376" s="919" t="s">
        <v>384</v>
      </c>
      <c r="I2376" s="920"/>
      <c r="J2376" s="921" t="e">
        <f>SUM(J2365:J2372)-J2375</f>
        <v>#N/A</v>
      </c>
    </row>
    <row r="2377" spans="1:15" ht="18.75" customHeight="1">
      <c r="A2377" s="924"/>
      <c r="B2377" s="925"/>
      <c r="C2377" s="926"/>
      <c r="D2377" s="927"/>
      <c r="E2377" s="927"/>
      <c r="F2377" s="928"/>
      <c r="G2377" s="924"/>
      <c r="H2377" s="925"/>
      <c r="I2377" s="926"/>
      <c r="J2377" s="927"/>
    </row>
    <row r="2378" spans="1:15" ht="141.75" customHeight="1">
      <c r="A2378" s="925"/>
      <c r="B2378" s="925"/>
      <c r="C2378" s="929"/>
      <c r="D2378" s="930"/>
      <c r="E2378" s="925"/>
      <c r="F2378" s="931"/>
      <c r="G2378" s="925"/>
      <c r="H2378" s="925"/>
      <c r="I2378" s="929"/>
      <c r="J2378" s="930"/>
    </row>
    <row r="2379" spans="1:15" ht="15" customHeight="1">
      <c r="A2379" s="2360" t="str">
        <f>$K$2</f>
        <v>THÁNG 04/2025</v>
      </c>
      <c r="B2379" s="2360"/>
      <c r="C2379" s="2360"/>
      <c r="D2379" s="2360"/>
      <c r="E2379" s="903"/>
      <c r="F2379" s="904"/>
      <c r="G2379" s="2360" t="str">
        <f>$K$2</f>
        <v>THÁNG 04/2025</v>
      </c>
      <c r="H2379" s="2360"/>
      <c r="I2379" s="2360"/>
      <c r="J2379" s="2360"/>
      <c r="K2379" s="276"/>
    </row>
    <row r="2380" spans="1:15" ht="15" customHeight="1">
      <c r="A2380" s="905" t="s">
        <v>356</v>
      </c>
      <c r="B2380" s="642" t="s">
        <v>182</v>
      </c>
      <c r="C2380" s="546"/>
      <c r="D2380" s="902"/>
      <c r="E2380" s="906"/>
      <c r="F2380" s="907"/>
      <c r="G2380" s="905" t="s">
        <v>356</v>
      </c>
      <c r="H2380" s="642" t="s">
        <v>183</v>
      </c>
      <c r="I2380" s="546"/>
      <c r="J2380" s="902"/>
      <c r="L2380" s="938"/>
      <c r="M2380" s="938"/>
      <c r="N2380" s="938"/>
      <c r="O2380" s="938"/>
    </row>
    <row r="2381" spans="1:15" ht="15" customHeight="1">
      <c r="A2381" s="908" t="s">
        <v>359</v>
      </c>
      <c r="B2381" s="909" t="s">
        <v>2090</v>
      </c>
      <c r="C2381" s="910" t="e">
        <f>VLOOKUP(B2380,'LƯƠNG KT'!$D$16:$Z$184,4,0)</f>
        <v>#N/A</v>
      </c>
      <c r="D2381" s="609" t="e">
        <f>+C2381*25000</f>
        <v>#N/A</v>
      </c>
      <c r="E2381" s="911"/>
      <c r="F2381" s="911"/>
      <c r="G2381" s="908" t="s">
        <v>359</v>
      </c>
      <c r="H2381" s="909" t="s">
        <v>2090</v>
      </c>
      <c r="I2381" s="910" t="e">
        <f>VLOOKUP(H2380,'LƯƠNG KT'!$D$16:$Z$184,4,0)</f>
        <v>#N/A</v>
      </c>
      <c r="J2381" s="609" t="e">
        <f>+I2381*25000</f>
        <v>#N/A</v>
      </c>
      <c r="K2381" s="935"/>
      <c r="L2381" s="935"/>
      <c r="M2381" s="935"/>
      <c r="N2381" s="935"/>
      <c r="O2381" s="935"/>
    </row>
    <row r="2382" spans="1:15" ht="15" customHeight="1">
      <c r="A2382" s="908" t="s">
        <v>361</v>
      </c>
      <c r="B2382" s="909" t="s">
        <v>2091</v>
      </c>
      <c r="C2382" s="910" t="e">
        <f>VLOOKUP(B2380,'LƯƠNG KT'!$D$16:$Z$184,15,0)</f>
        <v>#N/A</v>
      </c>
      <c r="D2382" s="609" t="e">
        <f>C2382*$L$4</f>
        <v>#N/A</v>
      </c>
      <c r="E2382" s="912"/>
      <c r="F2382" s="912"/>
      <c r="G2382" s="908" t="s">
        <v>361</v>
      </c>
      <c r="H2382" s="909" t="s">
        <v>2091</v>
      </c>
      <c r="I2382" s="910" t="e">
        <f>VLOOKUP(H2380,'LƯƠNG KT'!$D$16:$Z$184,15,0)</f>
        <v>#N/A</v>
      </c>
      <c r="J2382" s="609" t="e">
        <f>I2382*$L$4</f>
        <v>#N/A</v>
      </c>
      <c r="K2382" s="935"/>
      <c r="L2382" s="935"/>
      <c r="M2382" s="935"/>
      <c r="N2382" s="935"/>
      <c r="O2382" s="935"/>
    </row>
    <row r="2383" spans="1:15" ht="15" customHeight="1">
      <c r="A2383" s="908" t="s">
        <v>364</v>
      </c>
      <c r="B2383" s="909" t="s">
        <v>2092</v>
      </c>
      <c r="C2383" s="910" t="e">
        <f>VLOOKUP(B2380,'LƯƠNG KT'!$D$16:$Z$184,16,0)</f>
        <v>#N/A</v>
      </c>
      <c r="D2383" s="609" t="e">
        <f>C2383*$L$5</f>
        <v>#N/A</v>
      </c>
      <c r="E2383" s="912"/>
      <c r="F2383" s="912"/>
      <c r="G2383" s="908" t="s">
        <v>364</v>
      </c>
      <c r="H2383" s="909" t="s">
        <v>2092</v>
      </c>
      <c r="I2383" s="910" t="e">
        <f>VLOOKUP(H2380,'LƯƠNG KT'!$D$16:$Z$184,16,0)</f>
        <v>#N/A</v>
      </c>
      <c r="J2383" s="609" t="e">
        <f>I2383*$L$5</f>
        <v>#N/A</v>
      </c>
      <c r="K2383" s="935"/>
      <c r="L2383" s="935"/>
      <c r="M2383" s="935"/>
      <c r="N2383" s="935"/>
      <c r="O2383" s="935"/>
    </row>
    <row r="2384" spans="1:15" ht="15" customHeight="1">
      <c r="A2384" s="908" t="s">
        <v>370</v>
      </c>
      <c r="B2384" s="909" t="s">
        <v>2093</v>
      </c>
      <c r="C2384" s="910" t="e">
        <f>VLOOKUP(B2380,'LƯƠNG KT'!$D$16:$Z$184,24,0)</f>
        <v>#N/A</v>
      </c>
      <c r="D2384" s="609" t="e">
        <f>+C2384*$L$6</f>
        <v>#N/A</v>
      </c>
      <c r="E2384" s="912"/>
      <c r="F2384" s="912"/>
      <c r="G2384" s="908" t="s">
        <v>370</v>
      </c>
      <c r="H2384" s="909" t="s">
        <v>2093</v>
      </c>
      <c r="I2384" s="910" t="e">
        <f>VLOOKUP(H2380,'LƯƠNG KT'!$D$16:$Z$184,24,0)</f>
        <v>#N/A</v>
      </c>
      <c r="J2384" s="609" t="e">
        <f>+I2384*$L$6</f>
        <v>#N/A</v>
      </c>
      <c r="K2384" s="935"/>
      <c r="L2384" s="935"/>
      <c r="M2384" s="935"/>
      <c r="N2384" s="935"/>
      <c r="O2384" s="935"/>
    </row>
    <row r="2385" spans="1:15" ht="15" customHeight="1">
      <c r="A2385" s="908" t="s">
        <v>2094</v>
      </c>
      <c r="B2385" s="909" t="s">
        <v>2095</v>
      </c>
      <c r="C2385" s="910" t="e">
        <f>VLOOKUP(B2380,'LƯƠNG KT'!$D$16:$Z$184,19,0)</f>
        <v>#N/A</v>
      </c>
      <c r="D2385" s="609" t="e">
        <f>+C2385*$L$8</f>
        <v>#N/A</v>
      </c>
      <c r="E2385" s="912"/>
      <c r="F2385" s="912"/>
      <c r="G2385" s="908" t="s">
        <v>2094</v>
      </c>
      <c r="H2385" s="909" t="s">
        <v>2095</v>
      </c>
      <c r="I2385" s="910" t="e">
        <f>VLOOKUP(H2380,'LƯƠNG KT'!$D$16:$Z$184,19,0)</f>
        <v>#N/A</v>
      </c>
      <c r="J2385" s="609" t="e">
        <f>+I2385*$L$8</f>
        <v>#N/A</v>
      </c>
      <c r="K2385" s="935"/>
      <c r="L2385" s="935"/>
      <c r="M2385" s="935"/>
      <c r="N2385" s="935"/>
      <c r="O2385" s="935"/>
    </row>
    <row r="2386" spans="1:15" ht="15" customHeight="1">
      <c r="A2386" s="908" t="s">
        <v>2096</v>
      </c>
      <c r="B2386" s="913" t="s">
        <v>2097</v>
      </c>
      <c r="C2386" s="910" t="e">
        <f>VLOOKUP(B2380,'LƯƠNG KT'!$D$16:$Z$184,20,0)</f>
        <v>#N/A</v>
      </c>
      <c r="D2386" s="609" t="e">
        <f>+C2386*$L$9</f>
        <v>#N/A</v>
      </c>
      <c r="E2386" s="912"/>
      <c r="F2386" s="912"/>
      <c r="G2386" s="908" t="s">
        <v>2096</v>
      </c>
      <c r="H2386" s="913" t="s">
        <v>2097</v>
      </c>
      <c r="I2386" s="910" t="e">
        <f>VLOOKUP(H2380,'LƯƠNG KT'!$D$16:$Z$184,20,0)</f>
        <v>#N/A</v>
      </c>
      <c r="J2386" s="609" t="e">
        <f>+I2386*$L$9</f>
        <v>#N/A</v>
      </c>
      <c r="K2386" s="935"/>
      <c r="L2386" s="935"/>
      <c r="M2386" s="935"/>
      <c r="N2386" s="935"/>
      <c r="O2386" s="935"/>
    </row>
    <row r="2387" spans="1:15" ht="15" customHeight="1">
      <c r="A2387" s="908" t="s">
        <v>2099</v>
      </c>
      <c r="B2387" s="909" t="s">
        <v>2100</v>
      </c>
      <c r="C2387" s="910" t="e">
        <f>VLOOKUP(B2380,'LƯƠNG KT'!$D$16:$Z$184,17,0)</f>
        <v>#N/A</v>
      </c>
      <c r="D2387" s="609" t="e">
        <f>+C2387*$L$10</f>
        <v>#N/A</v>
      </c>
      <c r="E2387" s="912"/>
      <c r="F2387" s="912"/>
      <c r="G2387" s="908" t="s">
        <v>2099</v>
      </c>
      <c r="H2387" s="909" t="s">
        <v>2100</v>
      </c>
      <c r="I2387" s="910" t="e">
        <f>VLOOKUP(H2380,'LƯƠNG KT'!$D$16:$Z$184,17,0)</f>
        <v>#N/A</v>
      </c>
      <c r="J2387" s="609" t="e">
        <f>+I2387*$L$10</f>
        <v>#N/A</v>
      </c>
      <c r="K2387" s="935"/>
      <c r="L2387" s="935"/>
      <c r="M2387" s="935"/>
      <c r="N2387" s="935"/>
      <c r="O2387" s="935"/>
    </row>
    <row r="2388" spans="1:15" ht="15" customHeight="1">
      <c r="A2388" s="908" t="s">
        <v>374</v>
      </c>
      <c r="B2388" s="909" t="s">
        <v>2102</v>
      </c>
      <c r="C2388" s="910" t="e">
        <f>VLOOKUP(B2380,'LƯƠNG KT'!$D$16:$Z$184,12,0)</f>
        <v>#N/A</v>
      </c>
      <c r="D2388" s="609" t="e">
        <f>VLOOKUP(B2380,'LƯƠNG KT'!$D$16:$Z$184,14,0)</f>
        <v>#N/A</v>
      </c>
      <c r="E2388" s="914"/>
      <c r="F2388" s="912"/>
      <c r="G2388" s="908" t="s">
        <v>374</v>
      </c>
      <c r="H2388" s="909" t="s">
        <v>2102</v>
      </c>
      <c r="I2388" s="910" t="e">
        <f>VLOOKUP(H2380,'LƯƠNG KT'!$D$16:$Z$184,12,0)</f>
        <v>#N/A</v>
      </c>
      <c r="J2388" s="609" t="e">
        <f>VLOOKUP(H2380,'LƯƠNG KT'!$D$16:$Z$184,14,0)</f>
        <v>#N/A</v>
      </c>
      <c r="K2388" s="935"/>
      <c r="L2388" s="935"/>
      <c r="M2388" s="935"/>
      <c r="N2388" s="935"/>
      <c r="O2388" s="935"/>
    </row>
    <row r="2389" spans="1:15" ht="15" customHeight="1">
      <c r="A2389" s="908" t="s">
        <v>2103</v>
      </c>
      <c r="B2389" s="909" t="s">
        <v>2104</v>
      </c>
      <c r="D2389" s="915" t="e">
        <f>VLOOKUP(B2380,'LƯƠNG KT'!$D$16:$Z$184,13,0)</f>
        <v>#N/A</v>
      </c>
      <c r="E2389" s="916"/>
      <c r="F2389" s="916"/>
      <c r="G2389" s="908" t="s">
        <v>2103</v>
      </c>
      <c r="H2389" s="909" t="s">
        <v>2104</v>
      </c>
      <c r="J2389" s="915" t="e">
        <f>VLOOKUP(H2380,'LƯƠNG KT'!$D$16:$Z$184,13,0)</f>
        <v>#N/A</v>
      </c>
    </row>
    <row r="2390" spans="1:15" ht="15" customHeight="1">
      <c r="A2390" s="547"/>
      <c r="B2390" s="546"/>
      <c r="C2390" s="910"/>
      <c r="D2390" s="609"/>
      <c r="E2390" s="914"/>
      <c r="F2390" s="916"/>
      <c r="G2390" s="547"/>
      <c r="H2390" s="546"/>
      <c r="I2390" s="910"/>
      <c r="J2390" s="609"/>
    </row>
    <row r="2391" spans="1:15" ht="15" customHeight="1">
      <c r="A2391" s="905"/>
      <c r="B2391" s="546"/>
      <c r="C2391" s="910"/>
      <c r="D2391" s="609"/>
      <c r="E2391" s="917"/>
      <c r="F2391" s="904"/>
      <c r="G2391" s="905"/>
      <c r="H2391" s="546"/>
      <c r="I2391" s="910"/>
      <c r="J2391" s="609"/>
    </row>
    <row r="2392" spans="1:15" ht="15" customHeight="1">
      <c r="A2392" s="918" t="s">
        <v>383</v>
      </c>
      <c r="B2392" s="919" t="s">
        <v>384</v>
      </c>
      <c r="C2392" s="920"/>
      <c r="D2392" s="921" t="e">
        <f>SUM(D2381:D2388)-D2391</f>
        <v>#N/A</v>
      </c>
      <c r="E2392" s="922"/>
      <c r="F2392" s="923"/>
      <c r="G2392" s="918" t="s">
        <v>383</v>
      </c>
      <c r="H2392" s="919" t="s">
        <v>384</v>
      </c>
      <c r="I2392" s="920"/>
      <c r="J2392" s="921" t="e">
        <f>SUM(J2381:J2388)-J2391</f>
        <v>#N/A</v>
      </c>
    </row>
    <row r="2393" spans="1:15" ht="18.75" customHeight="1">
      <c r="A2393" s="924"/>
      <c r="B2393" s="925"/>
      <c r="C2393" s="926"/>
      <c r="D2393" s="927"/>
      <c r="E2393" s="927"/>
      <c r="F2393" s="928"/>
      <c r="G2393" s="924"/>
      <c r="H2393" s="925"/>
      <c r="I2393" s="926"/>
      <c r="J2393" s="927"/>
    </row>
    <row r="2394" spans="1:15" ht="18.75" customHeight="1">
      <c r="A2394" s="925"/>
      <c r="B2394" s="925"/>
      <c r="C2394" s="929"/>
      <c r="D2394" s="930"/>
      <c r="E2394" s="925"/>
      <c r="F2394" s="931"/>
      <c r="G2394" s="925"/>
      <c r="H2394" s="925"/>
      <c r="I2394" s="929"/>
      <c r="J2394" s="930"/>
    </row>
    <row r="2395" spans="1:15" ht="15" customHeight="1">
      <c r="A2395" s="2360" t="str">
        <f>$K$2</f>
        <v>THÁNG 04/2025</v>
      </c>
      <c r="B2395" s="2360"/>
      <c r="C2395" s="2360"/>
      <c r="D2395" s="2360"/>
      <c r="E2395" s="903"/>
      <c r="F2395" s="904"/>
      <c r="G2395" s="2360" t="str">
        <f>$K$2</f>
        <v>THÁNG 04/2025</v>
      </c>
      <c r="H2395" s="2360"/>
      <c r="I2395" s="2360"/>
      <c r="J2395" s="2360"/>
      <c r="K2395" s="276"/>
    </row>
    <row r="2396" spans="1:15" ht="15" customHeight="1">
      <c r="A2396" s="905" t="s">
        <v>356</v>
      </c>
      <c r="B2396" s="642" t="s">
        <v>184</v>
      </c>
      <c r="C2396" s="546"/>
      <c r="D2396" s="902"/>
      <c r="E2396" s="906"/>
      <c r="F2396" s="907"/>
      <c r="G2396" s="905" t="s">
        <v>356</v>
      </c>
      <c r="H2396" s="642" t="s">
        <v>185</v>
      </c>
      <c r="I2396" s="546"/>
      <c r="J2396" s="902"/>
      <c r="L2396" s="938"/>
      <c r="M2396" s="938"/>
      <c r="N2396" s="938"/>
      <c r="O2396" s="938"/>
    </row>
    <row r="2397" spans="1:15" ht="15" customHeight="1">
      <c r="A2397" s="908" t="s">
        <v>359</v>
      </c>
      <c r="B2397" s="909" t="s">
        <v>2090</v>
      </c>
      <c r="C2397" s="910" t="e">
        <f>VLOOKUP(B2396,'LƯƠNG KT'!$D$16:$Z$184,4,0)</f>
        <v>#N/A</v>
      </c>
      <c r="D2397" s="609" t="e">
        <f>+C2397*25000</f>
        <v>#N/A</v>
      </c>
      <c r="E2397" s="911"/>
      <c r="F2397" s="911"/>
      <c r="G2397" s="908" t="s">
        <v>359</v>
      </c>
      <c r="H2397" s="909" t="s">
        <v>2090</v>
      </c>
      <c r="I2397" s="910" t="e">
        <f>VLOOKUP(H2396,'LƯƠNG KT'!$D$16:$Z$184,4,0)</f>
        <v>#N/A</v>
      </c>
      <c r="J2397" s="609" t="e">
        <f>+I2397*25000</f>
        <v>#N/A</v>
      </c>
      <c r="K2397" s="935"/>
      <c r="L2397" s="935"/>
      <c r="M2397" s="935"/>
      <c r="N2397" s="935"/>
      <c r="O2397" s="935"/>
    </row>
    <row r="2398" spans="1:15" ht="15" customHeight="1">
      <c r="A2398" s="908" t="s">
        <v>361</v>
      </c>
      <c r="B2398" s="909" t="s">
        <v>2091</v>
      </c>
      <c r="C2398" s="910" t="e">
        <f>VLOOKUP(B2396,'LƯƠNG KT'!$D$16:$Z$184,15,0)</f>
        <v>#N/A</v>
      </c>
      <c r="D2398" s="609" t="e">
        <f>C2398*$L$4</f>
        <v>#N/A</v>
      </c>
      <c r="E2398" s="912"/>
      <c r="F2398" s="912"/>
      <c r="G2398" s="908" t="s">
        <v>361</v>
      </c>
      <c r="H2398" s="909" t="s">
        <v>2091</v>
      </c>
      <c r="I2398" s="910" t="e">
        <f>VLOOKUP(H2396,'LƯƠNG KT'!$D$16:$Z$184,15,0)</f>
        <v>#N/A</v>
      </c>
      <c r="J2398" s="609" t="e">
        <f>I2398*$L$4</f>
        <v>#N/A</v>
      </c>
      <c r="K2398" s="935"/>
      <c r="L2398" s="935"/>
      <c r="M2398" s="935"/>
      <c r="N2398" s="935"/>
      <c r="O2398" s="935"/>
    </row>
    <row r="2399" spans="1:15" ht="15" customHeight="1">
      <c r="A2399" s="908" t="s">
        <v>364</v>
      </c>
      <c r="B2399" s="909" t="s">
        <v>2092</v>
      </c>
      <c r="C2399" s="910" t="e">
        <f>VLOOKUP(B2396,'LƯƠNG KT'!$D$16:$Z$184,16,0)</f>
        <v>#N/A</v>
      </c>
      <c r="D2399" s="609" t="e">
        <f>C2399*$L$5</f>
        <v>#N/A</v>
      </c>
      <c r="E2399" s="912"/>
      <c r="F2399" s="912"/>
      <c r="G2399" s="908" t="s">
        <v>364</v>
      </c>
      <c r="H2399" s="909" t="s">
        <v>2092</v>
      </c>
      <c r="I2399" s="910" t="e">
        <f>VLOOKUP(H2396,'LƯƠNG KT'!$D$16:$Z$184,16,0)</f>
        <v>#N/A</v>
      </c>
      <c r="J2399" s="609" t="e">
        <f>I2399*$L$5</f>
        <v>#N/A</v>
      </c>
      <c r="K2399" s="935"/>
      <c r="L2399" s="935"/>
      <c r="M2399" s="935"/>
      <c r="N2399" s="935"/>
      <c r="O2399" s="935"/>
    </row>
    <row r="2400" spans="1:15" ht="15" customHeight="1">
      <c r="A2400" s="908" t="s">
        <v>370</v>
      </c>
      <c r="B2400" s="909" t="s">
        <v>2093</v>
      </c>
      <c r="C2400" s="910" t="e">
        <f>VLOOKUP(B2396,'LƯƠNG KT'!$D$16:$Z$184,24,0)</f>
        <v>#N/A</v>
      </c>
      <c r="D2400" s="609" t="e">
        <f>+C2400*$L$6</f>
        <v>#N/A</v>
      </c>
      <c r="E2400" s="912"/>
      <c r="F2400" s="912"/>
      <c r="G2400" s="908" t="s">
        <v>370</v>
      </c>
      <c r="H2400" s="909" t="s">
        <v>2093</v>
      </c>
      <c r="I2400" s="910" t="e">
        <f>VLOOKUP(H2396,'LƯƠNG KT'!$D$16:$Z$184,24,0)</f>
        <v>#N/A</v>
      </c>
      <c r="J2400" s="609" t="e">
        <f>+I2400*$L$6</f>
        <v>#N/A</v>
      </c>
      <c r="K2400" s="935"/>
      <c r="L2400" s="935"/>
      <c r="M2400" s="935"/>
      <c r="N2400" s="935"/>
      <c r="O2400" s="935"/>
    </row>
    <row r="2401" spans="1:15" ht="15" customHeight="1">
      <c r="A2401" s="908" t="s">
        <v>2094</v>
      </c>
      <c r="B2401" s="909" t="s">
        <v>2095</v>
      </c>
      <c r="C2401" s="910" t="e">
        <f>VLOOKUP(B2396,'LƯƠNG KT'!$D$16:$Z$184,19,0)</f>
        <v>#N/A</v>
      </c>
      <c r="D2401" s="609" t="e">
        <f>+C2401*$L$8</f>
        <v>#N/A</v>
      </c>
      <c r="E2401" s="912"/>
      <c r="F2401" s="912"/>
      <c r="G2401" s="908" t="s">
        <v>2094</v>
      </c>
      <c r="H2401" s="909" t="s">
        <v>2095</v>
      </c>
      <c r="I2401" s="910" t="e">
        <f>VLOOKUP(H2396,'LƯƠNG KT'!$D$16:$Z$184,19,0)</f>
        <v>#N/A</v>
      </c>
      <c r="J2401" s="609" t="e">
        <f>+I2401*$L$8</f>
        <v>#N/A</v>
      </c>
      <c r="K2401" s="935"/>
      <c r="L2401" s="935"/>
      <c r="M2401" s="935"/>
      <c r="N2401" s="935"/>
      <c r="O2401" s="935"/>
    </row>
    <row r="2402" spans="1:15" ht="15" customHeight="1">
      <c r="A2402" s="908" t="s">
        <v>2096</v>
      </c>
      <c r="B2402" s="913" t="s">
        <v>2097</v>
      </c>
      <c r="C2402" s="910" t="e">
        <f>VLOOKUP(B2396,'LƯƠNG KT'!$D$16:$Z$184,20,0)</f>
        <v>#N/A</v>
      </c>
      <c r="D2402" s="609" t="e">
        <f>+C2402*$L$9</f>
        <v>#N/A</v>
      </c>
      <c r="E2402" s="912"/>
      <c r="F2402" s="912"/>
      <c r="G2402" s="908" t="s">
        <v>2096</v>
      </c>
      <c r="H2402" s="913" t="s">
        <v>2097</v>
      </c>
      <c r="I2402" s="910" t="e">
        <f>VLOOKUP(H2396,'LƯƠNG KT'!$D$16:$Z$184,20,0)</f>
        <v>#N/A</v>
      </c>
      <c r="J2402" s="609" t="e">
        <f>+I2402*$L$9</f>
        <v>#N/A</v>
      </c>
      <c r="K2402" s="935"/>
      <c r="L2402" s="935"/>
      <c r="M2402" s="935"/>
      <c r="N2402" s="935"/>
      <c r="O2402" s="935"/>
    </row>
    <row r="2403" spans="1:15" ht="15" customHeight="1">
      <c r="A2403" s="908" t="s">
        <v>2099</v>
      </c>
      <c r="B2403" s="909" t="s">
        <v>2100</v>
      </c>
      <c r="C2403" s="910" t="e">
        <f>VLOOKUP(B2396,'LƯƠNG KT'!$D$16:$Z$184,17,0)</f>
        <v>#N/A</v>
      </c>
      <c r="D2403" s="609" t="e">
        <f>+C2403*$L$10</f>
        <v>#N/A</v>
      </c>
      <c r="E2403" s="912"/>
      <c r="F2403" s="912"/>
      <c r="G2403" s="908" t="s">
        <v>2099</v>
      </c>
      <c r="H2403" s="909" t="s">
        <v>2100</v>
      </c>
      <c r="I2403" s="910" t="e">
        <f>VLOOKUP(H2396,'LƯƠNG KT'!$D$16:$Z$184,17,0)</f>
        <v>#N/A</v>
      </c>
      <c r="J2403" s="609" t="e">
        <f>+I2403*$L$10</f>
        <v>#N/A</v>
      </c>
      <c r="K2403" s="935"/>
      <c r="L2403" s="935"/>
      <c r="M2403" s="935"/>
      <c r="N2403" s="935"/>
      <c r="O2403" s="935"/>
    </row>
    <row r="2404" spans="1:15" ht="15" customHeight="1">
      <c r="A2404" s="908" t="s">
        <v>374</v>
      </c>
      <c r="B2404" s="909" t="s">
        <v>2102</v>
      </c>
      <c r="C2404" s="910" t="e">
        <f>VLOOKUP(B2396,'LƯƠNG KT'!$D$16:$Z$184,12,0)</f>
        <v>#N/A</v>
      </c>
      <c r="D2404" s="609" t="e">
        <f>VLOOKUP(B2396,'LƯƠNG KT'!$D$16:$Z$184,14,0)</f>
        <v>#N/A</v>
      </c>
      <c r="E2404" s="914"/>
      <c r="F2404" s="912"/>
      <c r="G2404" s="908" t="s">
        <v>374</v>
      </c>
      <c r="H2404" s="909" t="s">
        <v>2102</v>
      </c>
      <c r="I2404" s="910" t="e">
        <f>VLOOKUP(H2396,'LƯƠNG KT'!$D$16:$Z$184,12,0)</f>
        <v>#N/A</v>
      </c>
      <c r="J2404" s="609" t="e">
        <f>VLOOKUP(H2396,'LƯƠNG KT'!$D$16:$Z$184,14,0)</f>
        <v>#N/A</v>
      </c>
      <c r="K2404" s="935"/>
      <c r="L2404" s="935"/>
      <c r="M2404" s="935"/>
      <c r="N2404" s="935"/>
      <c r="O2404" s="935"/>
    </row>
    <row r="2405" spans="1:15" ht="15" customHeight="1">
      <c r="A2405" s="908" t="s">
        <v>2103</v>
      </c>
      <c r="B2405" s="909" t="s">
        <v>2104</v>
      </c>
      <c r="D2405" s="915" t="e">
        <f>VLOOKUP(B2396,'LƯƠNG KT'!$D$16:$Z$184,13,0)</f>
        <v>#N/A</v>
      </c>
      <c r="E2405" s="916"/>
      <c r="F2405" s="916"/>
      <c r="G2405" s="908" t="s">
        <v>2103</v>
      </c>
      <c r="H2405" s="909" t="s">
        <v>2104</v>
      </c>
      <c r="J2405" s="915" t="e">
        <f>VLOOKUP(H2396,'LƯƠNG KT'!$D$16:$Z$184,13,0)</f>
        <v>#N/A</v>
      </c>
    </row>
    <row r="2406" spans="1:15" ht="15" customHeight="1">
      <c r="A2406" s="547"/>
      <c r="B2406" s="546"/>
      <c r="C2406" s="910"/>
      <c r="D2406" s="609"/>
      <c r="E2406" s="914"/>
      <c r="F2406" s="916"/>
      <c r="G2406" s="547"/>
      <c r="H2406" s="546"/>
      <c r="I2406" s="910"/>
      <c r="J2406" s="609"/>
    </row>
    <row r="2407" spans="1:15" ht="15" customHeight="1">
      <c r="A2407" s="905"/>
      <c r="B2407" s="546"/>
      <c r="C2407" s="910"/>
      <c r="D2407" s="609"/>
      <c r="E2407" s="917"/>
      <c r="F2407" s="904"/>
      <c r="G2407" s="905"/>
      <c r="H2407" s="546"/>
      <c r="I2407" s="910"/>
      <c r="J2407" s="609"/>
    </row>
    <row r="2408" spans="1:15" ht="15" customHeight="1">
      <c r="A2408" s="918" t="s">
        <v>383</v>
      </c>
      <c r="B2408" s="919" t="s">
        <v>384</v>
      </c>
      <c r="C2408" s="920"/>
      <c r="D2408" s="921" t="e">
        <f>SUM(D2397:D2404)-D2407</f>
        <v>#N/A</v>
      </c>
      <c r="E2408" s="922"/>
      <c r="F2408" s="923"/>
      <c r="G2408" s="918" t="s">
        <v>383</v>
      </c>
      <c r="H2408" s="919" t="s">
        <v>384</v>
      </c>
      <c r="I2408" s="920"/>
      <c r="J2408" s="921" t="e">
        <f>SUM(J2397:J2404)-J2407</f>
        <v>#N/A</v>
      </c>
    </row>
    <row r="2409" spans="1:15" ht="15.75" customHeight="1">
      <c r="A2409" s="924"/>
      <c r="B2409" s="925"/>
      <c r="C2409" s="926"/>
      <c r="D2409" s="927"/>
      <c r="E2409" s="927"/>
      <c r="F2409" s="928"/>
      <c r="G2409" s="924"/>
      <c r="H2409" s="925"/>
      <c r="I2409" s="926"/>
      <c r="J2409" s="927"/>
    </row>
    <row r="2411" spans="1:15" ht="12" customHeight="1">
      <c r="A2411" s="2361"/>
      <c r="B2411" s="2361"/>
      <c r="C2411" s="2361"/>
      <c r="D2411" s="2361"/>
      <c r="E2411" s="2361"/>
      <c r="F2411" s="2361"/>
      <c r="G2411" s="2361"/>
      <c r="H2411" s="2361"/>
      <c r="I2411" s="2361"/>
      <c r="J2411" s="2361"/>
    </row>
    <row r="2412" spans="1:15" ht="15" customHeight="1">
      <c r="A2412" s="2360" t="str">
        <f>$K$2</f>
        <v>THÁNG 04/2025</v>
      </c>
      <c r="B2412" s="2360"/>
      <c r="C2412" s="2360"/>
      <c r="D2412" s="2360"/>
      <c r="E2412" s="903"/>
      <c r="F2412" s="904"/>
      <c r="G2412" s="2360" t="str">
        <f>$K$2</f>
        <v>THÁNG 04/2025</v>
      </c>
      <c r="H2412" s="2360"/>
      <c r="I2412" s="2360"/>
      <c r="J2412" s="2360"/>
      <c r="K2412" s="276"/>
    </row>
    <row r="2413" spans="1:15" ht="15" customHeight="1">
      <c r="A2413" s="905" t="s">
        <v>356</v>
      </c>
      <c r="B2413" s="642" t="s">
        <v>186</v>
      </c>
      <c r="C2413" s="546"/>
      <c r="D2413" s="902"/>
      <c r="E2413" s="906"/>
      <c r="F2413" s="907"/>
      <c r="G2413" s="905" t="s">
        <v>356</v>
      </c>
      <c r="H2413" s="642" t="s">
        <v>187</v>
      </c>
      <c r="I2413" s="546"/>
      <c r="J2413" s="902"/>
      <c r="L2413" s="938"/>
      <c r="M2413" s="938"/>
      <c r="N2413" s="938"/>
      <c r="O2413" s="938"/>
    </row>
    <row r="2414" spans="1:15" ht="15" customHeight="1">
      <c r="A2414" s="908" t="s">
        <v>359</v>
      </c>
      <c r="B2414" s="909" t="s">
        <v>2090</v>
      </c>
      <c r="C2414" s="910" t="e">
        <f>VLOOKUP(B2413,'LƯƠNG KT'!$D$16:$Z$184,4,0)</f>
        <v>#N/A</v>
      </c>
      <c r="D2414" s="609" t="e">
        <f>+C2414*25000</f>
        <v>#N/A</v>
      </c>
      <c r="E2414" s="911"/>
      <c r="F2414" s="911"/>
      <c r="G2414" s="908" t="s">
        <v>359</v>
      </c>
      <c r="H2414" s="909" t="s">
        <v>2090</v>
      </c>
      <c r="I2414" s="910" t="e">
        <f>VLOOKUP(H2413,'LƯƠNG KT'!$D$16:$Z$184,4,0)</f>
        <v>#N/A</v>
      </c>
      <c r="J2414" s="609" t="e">
        <f>+I2414*25000</f>
        <v>#N/A</v>
      </c>
      <c r="K2414" s="934"/>
      <c r="L2414" s="935"/>
      <c r="M2414" s="935"/>
      <c r="N2414" s="935"/>
      <c r="O2414" s="935"/>
    </row>
    <row r="2415" spans="1:15" ht="15" customHeight="1">
      <c r="A2415" s="908" t="s">
        <v>361</v>
      </c>
      <c r="B2415" s="909" t="s">
        <v>2091</v>
      </c>
      <c r="C2415" s="910" t="e">
        <f>VLOOKUP(B2413,'LƯƠNG KT'!$D$16:$Z$184,15,0)</f>
        <v>#N/A</v>
      </c>
      <c r="D2415" s="609" t="e">
        <f>C2415*$L$4</f>
        <v>#N/A</v>
      </c>
      <c r="E2415" s="912"/>
      <c r="F2415" s="912"/>
      <c r="G2415" s="908" t="s">
        <v>361</v>
      </c>
      <c r="H2415" s="909" t="s">
        <v>2091</v>
      </c>
      <c r="I2415" s="910" t="e">
        <f>VLOOKUP(H2413,'LƯƠNG KT'!$D$16:$Z$184,15,0)</f>
        <v>#N/A</v>
      </c>
      <c r="J2415" s="609" t="e">
        <f>I2415*$L$4</f>
        <v>#N/A</v>
      </c>
      <c r="K2415" s="934"/>
      <c r="L2415" s="935"/>
      <c r="M2415" s="935"/>
      <c r="N2415" s="935"/>
      <c r="O2415" s="935"/>
    </row>
    <row r="2416" spans="1:15" ht="15" customHeight="1">
      <c r="A2416" s="908" t="s">
        <v>364</v>
      </c>
      <c r="B2416" s="909" t="s">
        <v>2092</v>
      </c>
      <c r="C2416" s="910" t="e">
        <f>VLOOKUP(B2413,'LƯƠNG KT'!$D$16:$Z$184,16,0)</f>
        <v>#N/A</v>
      </c>
      <c r="D2416" s="609" t="e">
        <f>C2416*$L$5</f>
        <v>#N/A</v>
      </c>
      <c r="E2416" s="912"/>
      <c r="F2416" s="912"/>
      <c r="G2416" s="908" t="s">
        <v>364</v>
      </c>
      <c r="H2416" s="909" t="s">
        <v>2092</v>
      </c>
      <c r="I2416" s="910" t="e">
        <f>VLOOKUP(H2413,'LƯƠNG KT'!$D$16:$Z$184,16,0)</f>
        <v>#N/A</v>
      </c>
      <c r="J2416" s="609" t="e">
        <f>I2416*$L$5</f>
        <v>#N/A</v>
      </c>
      <c r="K2416" s="934"/>
      <c r="L2416" s="935"/>
      <c r="M2416" s="935"/>
      <c r="N2416" s="935"/>
      <c r="O2416" s="935"/>
    </row>
    <row r="2417" spans="1:15" ht="15" customHeight="1">
      <c r="A2417" s="908" t="s">
        <v>370</v>
      </c>
      <c r="B2417" s="909" t="s">
        <v>2093</v>
      </c>
      <c r="C2417" s="910" t="e">
        <f>VLOOKUP(B2413,'LƯƠNG KT'!$D$16:$Z$184,24,0)</f>
        <v>#N/A</v>
      </c>
      <c r="D2417" s="609" t="e">
        <f>+C2417*$L$6</f>
        <v>#N/A</v>
      </c>
      <c r="E2417" s="912"/>
      <c r="F2417" s="912"/>
      <c r="G2417" s="908" t="s">
        <v>370</v>
      </c>
      <c r="H2417" s="909" t="s">
        <v>2093</v>
      </c>
      <c r="I2417" s="910" t="e">
        <f>VLOOKUP(H2413,'LƯƠNG KT'!$D$16:$Z$184,24,0)</f>
        <v>#N/A</v>
      </c>
      <c r="J2417" s="609" t="e">
        <f>+I2417*$L$6</f>
        <v>#N/A</v>
      </c>
      <c r="K2417" s="935"/>
      <c r="L2417" s="935"/>
      <c r="M2417" s="935"/>
      <c r="N2417" s="935"/>
      <c r="O2417" s="935"/>
    </row>
    <row r="2418" spans="1:15" ht="15" customHeight="1">
      <c r="A2418" s="908" t="s">
        <v>2094</v>
      </c>
      <c r="B2418" s="909" t="s">
        <v>2095</v>
      </c>
      <c r="C2418" s="910" t="e">
        <f>VLOOKUP(B2413,'LƯƠNG KT'!$D$16:$Z$184,19,0)</f>
        <v>#N/A</v>
      </c>
      <c r="D2418" s="609" t="e">
        <f>+C2418*$L$8</f>
        <v>#N/A</v>
      </c>
      <c r="E2418" s="912"/>
      <c r="F2418" s="912"/>
      <c r="G2418" s="908" t="s">
        <v>2094</v>
      </c>
      <c r="H2418" s="909" t="s">
        <v>2095</v>
      </c>
      <c r="I2418" s="910" t="e">
        <f>VLOOKUP(H2413,'LƯƠNG KT'!$D$16:$Z$184,19,0)</f>
        <v>#N/A</v>
      </c>
      <c r="J2418" s="609" t="e">
        <f>+I2418*$L$8</f>
        <v>#N/A</v>
      </c>
      <c r="K2418" s="935"/>
      <c r="L2418" s="935"/>
      <c r="M2418" s="935"/>
      <c r="N2418" s="935"/>
      <c r="O2418" s="935"/>
    </row>
    <row r="2419" spans="1:15" ht="15" customHeight="1">
      <c r="A2419" s="908" t="s">
        <v>2096</v>
      </c>
      <c r="B2419" s="913" t="s">
        <v>2097</v>
      </c>
      <c r="C2419" s="910" t="e">
        <f>VLOOKUP(B2413,'LƯƠNG KT'!$D$16:$Z$184,20,0)</f>
        <v>#N/A</v>
      </c>
      <c r="D2419" s="609" t="e">
        <f>+C2419*$L$9</f>
        <v>#N/A</v>
      </c>
      <c r="E2419" s="912"/>
      <c r="F2419" s="912"/>
      <c r="G2419" s="908" t="s">
        <v>2096</v>
      </c>
      <c r="H2419" s="913" t="s">
        <v>2097</v>
      </c>
      <c r="I2419" s="910" t="e">
        <f>VLOOKUP(H2413,'LƯƠNG KT'!$D$16:$Z$184,20,0)</f>
        <v>#N/A</v>
      </c>
      <c r="J2419" s="609" t="e">
        <f>+I2419*$L$9</f>
        <v>#N/A</v>
      </c>
      <c r="K2419" s="935"/>
      <c r="L2419" s="935"/>
      <c r="M2419" s="935"/>
      <c r="N2419" s="935"/>
      <c r="O2419" s="935"/>
    </row>
    <row r="2420" spans="1:15" ht="15" customHeight="1">
      <c r="A2420" s="908" t="s">
        <v>2099</v>
      </c>
      <c r="B2420" s="909" t="s">
        <v>2100</v>
      </c>
      <c r="C2420" s="910" t="e">
        <f>VLOOKUP(B2413,'LƯƠNG KT'!$D$16:$Z$184,17,0)</f>
        <v>#N/A</v>
      </c>
      <c r="D2420" s="609" t="e">
        <f>+C2420*$L$10</f>
        <v>#N/A</v>
      </c>
      <c r="E2420" s="912"/>
      <c r="F2420" s="912"/>
      <c r="G2420" s="908" t="s">
        <v>2099</v>
      </c>
      <c r="H2420" s="909" t="s">
        <v>2100</v>
      </c>
      <c r="I2420" s="910" t="e">
        <f>VLOOKUP(H2413,'LƯƠNG KT'!$D$16:$Z$184,17,0)</f>
        <v>#N/A</v>
      </c>
      <c r="J2420" s="609" t="e">
        <f>+I2420*$L$10</f>
        <v>#N/A</v>
      </c>
      <c r="K2420" s="935"/>
      <c r="L2420" s="935"/>
      <c r="M2420" s="935"/>
      <c r="N2420" s="935"/>
      <c r="O2420" s="935"/>
    </row>
    <row r="2421" spans="1:15" ht="15" customHeight="1">
      <c r="A2421" s="908" t="s">
        <v>374</v>
      </c>
      <c r="B2421" s="909" t="s">
        <v>2102</v>
      </c>
      <c r="C2421" s="910" t="e">
        <f>VLOOKUP(B2413,'LƯƠNG KT'!$D$16:$Z$184,12,0)</f>
        <v>#N/A</v>
      </c>
      <c r="D2421" s="609" t="e">
        <f>VLOOKUP(B2413,'LƯƠNG KT'!$D$16:$Z$184,14,0)</f>
        <v>#N/A</v>
      </c>
      <c r="E2421" s="914"/>
      <c r="F2421" s="912"/>
      <c r="G2421" s="908" t="s">
        <v>374</v>
      </c>
      <c r="H2421" s="909" t="s">
        <v>2102</v>
      </c>
      <c r="I2421" s="910" t="e">
        <f>VLOOKUP(H2413,'LƯƠNG KT'!$D$16:$Z$184,12,0)</f>
        <v>#N/A</v>
      </c>
      <c r="J2421" s="609" t="e">
        <f>VLOOKUP(H2413,'LƯƠNG KT'!$D$16:$Z$184,14,0)</f>
        <v>#N/A</v>
      </c>
      <c r="K2421" s="935"/>
      <c r="L2421" s="935"/>
      <c r="M2421" s="935"/>
      <c r="N2421" s="935"/>
      <c r="O2421" s="935"/>
    </row>
    <row r="2422" spans="1:15" ht="15" customHeight="1">
      <c r="A2422" s="908" t="s">
        <v>2103</v>
      </c>
      <c r="B2422" s="909" t="s">
        <v>2104</v>
      </c>
      <c r="D2422" s="915" t="e">
        <f>VLOOKUP(B2413,'LƯƠNG KT'!$D$16:$Z$184,13,0)</f>
        <v>#N/A</v>
      </c>
      <c r="E2422" s="916"/>
      <c r="F2422" s="916"/>
      <c r="G2422" s="908" t="s">
        <v>2103</v>
      </c>
      <c r="H2422" s="909" t="s">
        <v>2104</v>
      </c>
      <c r="J2422" s="915" t="e">
        <f>VLOOKUP(H2413,'LƯƠNG KT'!$D$16:$Z$184,13,0)</f>
        <v>#N/A</v>
      </c>
    </row>
    <row r="2423" spans="1:15" ht="15" customHeight="1">
      <c r="A2423" s="547"/>
      <c r="B2423" s="546"/>
      <c r="C2423" s="910"/>
      <c r="D2423" s="609"/>
      <c r="E2423" s="914"/>
      <c r="F2423" s="916"/>
      <c r="G2423" s="547"/>
      <c r="H2423" s="546"/>
      <c r="I2423" s="910"/>
      <c r="J2423" s="609"/>
    </row>
    <row r="2424" spans="1:15" ht="15" customHeight="1">
      <c r="A2424" s="905"/>
      <c r="B2424" s="546"/>
      <c r="C2424" s="910"/>
      <c r="D2424" s="609"/>
      <c r="E2424" s="917"/>
      <c r="F2424" s="904"/>
      <c r="G2424" s="905"/>
      <c r="H2424" s="546"/>
      <c r="I2424" s="910"/>
      <c r="J2424" s="609"/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SUM(D2414:D2421)-D2424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SUM(J2414:J2421)-J2424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37.25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60" t="str">
        <f>$K$2</f>
        <v>THÁNG 04/2025</v>
      </c>
      <c r="B2428" s="2360"/>
      <c r="C2428" s="2360"/>
      <c r="D2428" s="2360"/>
      <c r="E2428" s="903"/>
      <c r="F2428" s="904"/>
      <c r="G2428" s="2360" t="str">
        <f>$K$2</f>
        <v>THÁNG 04/2025</v>
      </c>
      <c r="H2428" s="2360"/>
      <c r="I2428" s="2360"/>
      <c r="J2428" s="2360"/>
      <c r="K2428" s="276"/>
    </row>
    <row r="2429" spans="1:15" ht="15" customHeight="1">
      <c r="A2429" s="905" t="s">
        <v>356</v>
      </c>
      <c r="B2429" s="642" t="s">
        <v>188</v>
      </c>
      <c r="C2429" s="546"/>
      <c r="D2429" s="902"/>
      <c r="E2429" s="906"/>
      <c r="F2429" s="907"/>
      <c r="G2429" s="905" t="s">
        <v>356</v>
      </c>
      <c r="H2429" s="642" t="s">
        <v>189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8" t="s">
        <v>359</v>
      </c>
      <c r="B2430" s="909" t="s">
        <v>2090</v>
      </c>
      <c r="C2430" s="910" t="e">
        <f>VLOOKUP(B2429,'LƯƠNG KT'!$D$16:$Z$184,4,0)</f>
        <v>#N/A</v>
      </c>
      <c r="D2430" s="609" t="e">
        <f>+C2430*25000</f>
        <v>#N/A</v>
      </c>
      <c r="E2430" s="911"/>
      <c r="F2430" s="911"/>
      <c r="G2430" s="908" t="s">
        <v>359</v>
      </c>
      <c r="H2430" s="909" t="s">
        <v>2090</v>
      </c>
      <c r="I2430" s="910" t="e">
        <f>VLOOKUP(H2429,'LƯƠNG KT'!$D$16:$Z$184,4,0)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8" t="s">
        <v>361</v>
      </c>
      <c r="B2431" s="909" t="s">
        <v>2091</v>
      </c>
      <c r="C2431" s="910" t="e">
        <f>VLOOKUP(B2429,'LƯƠNG KT'!$D$16:$Z$184,15,0)</f>
        <v>#N/A</v>
      </c>
      <c r="D2431" s="609" t="e">
        <f>C2431*$L$4</f>
        <v>#N/A</v>
      </c>
      <c r="E2431" s="912"/>
      <c r="F2431" s="912"/>
      <c r="G2431" s="908" t="s">
        <v>361</v>
      </c>
      <c r="H2431" s="909" t="s">
        <v>2091</v>
      </c>
      <c r="I2431" s="910" t="e">
        <f>VLOOKUP(H2429,'LƯƠNG KT'!$D$16:$Z$184,15,0)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8" t="s">
        <v>364</v>
      </c>
      <c r="B2432" s="909" t="s">
        <v>2092</v>
      </c>
      <c r="C2432" s="910" t="e">
        <f>VLOOKUP(B2429,'LƯƠNG KT'!$D$16:$Z$184,16,0)</f>
        <v>#N/A</v>
      </c>
      <c r="D2432" s="609" t="e">
        <f>C2432*$L$5</f>
        <v>#N/A</v>
      </c>
      <c r="E2432" s="912"/>
      <c r="F2432" s="912"/>
      <c r="G2432" s="908" t="s">
        <v>364</v>
      </c>
      <c r="H2432" s="909" t="s">
        <v>2092</v>
      </c>
      <c r="I2432" s="910" t="e">
        <f>VLOOKUP(H2429,'LƯƠNG KT'!$D$16:$Z$184,16,0)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8" t="s">
        <v>370</v>
      </c>
      <c r="B2433" s="909" t="s">
        <v>2093</v>
      </c>
      <c r="C2433" s="910" t="e">
        <f>VLOOKUP(B2429,'LƯƠNG KT'!$D$16:$Z$184,24,0)</f>
        <v>#N/A</v>
      </c>
      <c r="D2433" s="609" t="e">
        <f>+C2433*$L$6</f>
        <v>#N/A</v>
      </c>
      <c r="E2433" s="912"/>
      <c r="F2433" s="912"/>
      <c r="G2433" s="908" t="s">
        <v>370</v>
      </c>
      <c r="H2433" s="909" t="s">
        <v>2093</v>
      </c>
      <c r="I2433" s="910" t="e">
        <f>VLOOKUP(H2429,'LƯƠNG KT'!$D$16:$Z$184,24,0)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8" t="s">
        <v>2094</v>
      </c>
      <c r="B2434" s="909" t="s">
        <v>2095</v>
      </c>
      <c r="C2434" s="910" t="e">
        <f>VLOOKUP(B2429,'LƯƠNG KT'!$D$16:$Z$184,19,0)</f>
        <v>#N/A</v>
      </c>
      <c r="D2434" s="609" t="e">
        <f>+C2434*$L$8</f>
        <v>#N/A</v>
      </c>
      <c r="E2434" s="912"/>
      <c r="F2434" s="912"/>
      <c r="G2434" s="908" t="s">
        <v>2094</v>
      </c>
      <c r="H2434" s="909" t="s">
        <v>2095</v>
      </c>
      <c r="I2434" s="910" t="e">
        <f>VLOOKUP(H2429,'LƯƠNG KT'!$D$16:$Z$184,19,0)</f>
        <v>#N/A</v>
      </c>
      <c r="J2434" s="609" t="e">
        <f>+I2434*$L$8</f>
        <v>#N/A</v>
      </c>
      <c r="K2434" s="935"/>
      <c r="L2434" s="935"/>
      <c r="M2434" s="935"/>
      <c r="N2434" s="935"/>
      <c r="O2434" s="935"/>
    </row>
    <row r="2435" spans="1:15" ht="15" customHeight="1">
      <c r="A2435" s="908" t="s">
        <v>2096</v>
      </c>
      <c r="B2435" s="913" t="s">
        <v>2097</v>
      </c>
      <c r="C2435" s="910" t="e">
        <f>VLOOKUP(B2429,'LƯƠNG KT'!$D$16:$Z$184,20,0)</f>
        <v>#N/A</v>
      </c>
      <c r="D2435" s="609" t="e">
        <f>+C2435*$L$9</f>
        <v>#N/A</v>
      </c>
      <c r="E2435" s="912"/>
      <c r="F2435" s="912"/>
      <c r="G2435" s="908" t="s">
        <v>2096</v>
      </c>
      <c r="H2435" s="913" t="s">
        <v>2097</v>
      </c>
      <c r="I2435" s="910" t="e">
        <f>VLOOKUP(H2429,'LƯƠNG KT'!$D$16:$Z$184,20,0)</f>
        <v>#N/A</v>
      </c>
      <c r="J2435" s="609" t="e">
        <f>+I2435*$L$9</f>
        <v>#N/A</v>
      </c>
      <c r="K2435" s="935"/>
      <c r="L2435" s="935"/>
      <c r="M2435" s="935"/>
      <c r="N2435" s="935"/>
      <c r="O2435" s="935"/>
    </row>
    <row r="2436" spans="1:15" ht="15" customHeight="1">
      <c r="A2436" s="908" t="s">
        <v>2099</v>
      </c>
      <c r="B2436" s="909" t="s">
        <v>2100</v>
      </c>
      <c r="C2436" s="910" t="e">
        <f>VLOOKUP(B2429,'LƯƠNG KT'!$D$16:$Z$184,17,0)</f>
        <v>#N/A</v>
      </c>
      <c r="D2436" s="609" t="e">
        <f>+C2436*$L$10</f>
        <v>#N/A</v>
      </c>
      <c r="E2436" s="912"/>
      <c r="F2436" s="912"/>
      <c r="G2436" s="908" t="s">
        <v>2099</v>
      </c>
      <c r="H2436" s="909" t="s">
        <v>2100</v>
      </c>
      <c r="I2436" s="910" t="e">
        <f>VLOOKUP(H2429,'LƯƠNG KT'!$D$16:$Z$184,17,0)</f>
        <v>#N/A</v>
      </c>
      <c r="J2436" s="609" t="e">
        <f>+I2436*$L$10</f>
        <v>#N/A</v>
      </c>
      <c r="K2436" s="935"/>
      <c r="L2436" s="935"/>
      <c r="M2436" s="935"/>
      <c r="N2436" s="935"/>
      <c r="O2436" s="935"/>
    </row>
    <row r="2437" spans="1:15" ht="15" customHeight="1">
      <c r="A2437" s="908" t="s">
        <v>374</v>
      </c>
      <c r="B2437" s="909" t="s">
        <v>2102</v>
      </c>
      <c r="C2437" s="910" t="e">
        <f>VLOOKUP(B2429,'LƯƠNG KT'!$D$16:$Z$184,12,0)</f>
        <v>#N/A</v>
      </c>
      <c r="D2437" s="609" t="e">
        <f>VLOOKUP(B2429,'LƯƠNG KT'!$D$16:$Z$184,14,0)</f>
        <v>#N/A</v>
      </c>
      <c r="E2437" s="914"/>
      <c r="F2437" s="912"/>
      <c r="G2437" s="908" t="s">
        <v>374</v>
      </c>
      <c r="H2437" s="909" t="s">
        <v>2102</v>
      </c>
      <c r="I2437" s="910" t="e">
        <f>VLOOKUP(H2429,'LƯƠNG KT'!$D$16:$Z$184,12,0)</f>
        <v>#N/A</v>
      </c>
      <c r="J2437" s="609" t="e">
        <f>VLOOKUP(H2429,'LƯƠNG KT'!$D$16:$Z$184,14,0)</f>
        <v>#N/A</v>
      </c>
      <c r="K2437" s="935"/>
      <c r="L2437" s="935"/>
      <c r="M2437" s="935"/>
      <c r="N2437" s="935"/>
      <c r="O2437" s="935"/>
    </row>
    <row r="2438" spans="1:15" ht="15" customHeight="1">
      <c r="A2438" s="908" t="s">
        <v>2103</v>
      </c>
      <c r="B2438" s="909" t="s">
        <v>2104</v>
      </c>
      <c r="D2438" s="915" t="e">
        <f>VLOOKUP(B2429,'LƯƠNG KT'!$D$16:$Z$184,13,0)</f>
        <v>#N/A</v>
      </c>
      <c r="E2438" s="916"/>
      <c r="F2438" s="916"/>
      <c r="G2438" s="908" t="s">
        <v>2103</v>
      </c>
      <c r="H2438" s="909" t="s">
        <v>2104</v>
      </c>
      <c r="J2438" s="915" t="e">
        <f>VLOOKUP(H2429,'LƯƠNG KT'!$D$16:$Z$184,13,0)</f>
        <v>#N/A</v>
      </c>
    </row>
    <row r="2439" spans="1:15" ht="15" customHeight="1">
      <c r="A2439" s="547"/>
      <c r="B2439" s="546"/>
      <c r="C2439" s="910"/>
      <c r="D2439" s="609"/>
      <c r="E2439" s="914"/>
      <c r="F2439" s="916"/>
      <c r="G2439" s="547"/>
      <c r="H2439" s="546"/>
      <c r="I2439" s="910"/>
      <c r="J2439" s="609"/>
    </row>
    <row r="2440" spans="1:15" ht="15" customHeight="1">
      <c r="A2440" s="905"/>
      <c r="B2440" s="546"/>
      <c r="C2440" s="910"/>
      <c r="D2440" s="609"/>
      <c r="E2440" s="917"/>
      <c r="F2440" s="904"/>
      <c r="G2440" s="905"/>
      <c r="H2440" s="546"/>
      <c r="I2440" s="910"/>
      <c r="J2440" s="609"/>
    </row>
    <row r="2441" spans="1:15" ht="15" customHeight="1">
      <c r="A2441" s="918" t="s">
        <v>383</v>
      </c>
      <c r="B2441" s="919" t="s">
        <v>384</v>
      </c>
      <c r="C2441" s="920"/>
      <c r="D2441" s="921" t="e">
        <f>SUM(D2430:D2437)-D2440</f>
        <v>#N/A</v>
      </c>
      <c r="E2441" s="922"/>
      <c r="F2441" s="923"/>
      <c r="G2441" s="918" t="s">
        <v>383</v>
      </c>
      <c r="H2441" s="919" t="s">
        <v>384</v>
      </c>
      <c r="I2441" s="920"/>
      <c r="J2441" s="921" t="e">
        <f>SUM(J2430:J2437)-J2440</f>
        <v>#N/A</v>
      </c>
    </row>
    <row r="2442" spans="1:15" ht="18.75" customHeight="1">
      <c r="A2442" s="924"/>
      <c r="B2442" s="925"/>
      <c r="C2442" s="926"/>
      <c r="D2442" s="927"/>
      <c r="E2442" s="927"/>
      <c r="F2442" s="928"/>
      <c r="G2442" s="924"/>
      <c r="H2442" s="925"/>
      <c r="I2442" s="926"/>
      <c r="J2442" s="927"/>
    </row>
    <row r="2443" spans="1:15" ht="18.75" customHeight="1">
      <c r="A2443" s="925"/>
      <c r="B2443" s="925"/>
      <c r="C2443" s="929"/>
      <c r="D2443" s="930"/>
      <c r="E2443" s="925"/>
      <c r="F2443" s="931"/>
      <c r="G2443" s="925"/>
      <c r="H2443" s="925"/>
      <c r="I2443" s="929"/>
      <c r="J2443" s="930"/>
    </row>
    <row r="2444" spans="1:15" ht="15" customHeight="1">
      <c r="A2444" s="2360" t="str">
        <f>$K$2</f>
        <v>THÁNG 04/2025</v>
      </c>
      <c r="B2444" s="2360"/>
      <c r="C2444" s="2360"/>
      <c r="D2444" s="2360"/>
      <c r="E2444" s="903"/>
      <c r="F2444" s="904"/>
      <c r="G2444" s="2360" t="str">
        <f>$K$2</f>
        <v>THÁNG 04/2025</v>
      </c>
      <c r="H2444" s="2360"/>
      <c r="I2444" s="2360"/>
      <c r="J2444" s="2360"/>
      <c r="K2444" s="276"/>
    </row>
    <row r="2445" spans="1:15" ht="15" customHeight="1">
      <c r="A2445" s="905" t="s">
        <v>356</v>
      </c>
      <c r="B2445" s="642" t="s">
        <v>190</v>
      </c>
      <c r="C2445" s="546"/>
      <c r="D2445" s="902"/>
      <c r="E2445" s="906"/>
      <c r="F2445" s="907"/>
      <c r="G2445" s="905" t="s">
        <v>356</v>
      </c>
      <c r="H2445" s="642" t="s">
        <v>191</v>
      </c>
      <c r="I2445" s="546"/>
      <c r="J2445" s="902"/>
      <c r="L2445" s="938"/>
      <c r="M2445" s="938"/>
      <c r="N2445" s="938"/>
      <c r="O2445" s="938"/>
    </row>
    <row r="2446" spans="1:15" ht="15" customHeight="1">
      <c r="A2446" s="908" t="s">
        <v>359</v>
      </c>
      <c r="B2446" s="909" t="s">
        <v>2090</v>
      </c>
      <c r="C2446" s="910" t="e">
        <f>VLOOKUP(B2445,'LƯƠNG KT'!$D$16:$Z$184,4,0)</f>
        <v>#N/A</v>
      </c>
      <c r="D2446" s="609" t="e">
        <f>+C2446*25000</f>
        <v>#N/A</v>
      </c>
      <c r="E2446" s="911"/>
      <c r="F2446" s="911"/>
      <c r="G2446" s="908" t="s">
        <v>359</v>
      </c>
      <c r="H2446" s="909" t="s">
        <v>2090</v>
      </c>
      <c r="I2446" s="910" t="e">
        <f>VLOOKUP(H2445,'LƯƠNG KT'!$D$16:$Z$184,4,0)</f>
        <v>#N/A</v>
      </c>
      <c r="J2446" s="609" t="e">
        <f>+I2446*25000</f>
        <v>#N/A</v>
      </c>
      <c r="K2446" s="935"/>
      <c r="L2446" s="935"/>
      <c r="M2446" s="935"/>
      <c r="N2446" s="935"/>
      <c r="O2446" s="935"/>
    </row>
    <row r="2447" spans="1:15" ht="15" customHeight="1">
      <c r="A2447" s="908" t="s">
        <v>361</v>
      </c>
      <c r="B2447" s="909" t="s">
        <v>2091</v>
      </c>
      <c r="C2447" s="910" t="e">
        <f>VLOOKUP(B2445,'LƯƠNG KT'!$D$16:$Z$184,15,0)</f>
        <v>#N/A</v>
      </c>
      <c r="D2447" s="609" t="e">
        <f>C2447*$L$4</f>
        <v>#N/A</v>
      </c>
      <c r="E2447" s="912"/>
      <c r="F2447" s="912"/>
      <c r="G2447" s="908" t="s">
        <v>361</v>
      </c>
      <c r="H2447" s="909" t="s">
        <v>2091</v>
      </c>
      <c r="I2447" s="910" t="e">
        <f>VLOOKUP(H2445,'LƯƠNG KT'!$D$16:$Z$184,15,0)</f>
        <v>#N/A</v>
      </c>
      <c r="J2447" s="609" t="e">
        <f>I2447*$L$4</f>
        <v>#N/A</v>
      </c>
      <c r="K2447" s="935"/>
      <c r="L2447" s="935"/>
      <c r="M2447" s="935"/>
      <c r="N2447" s="935"/>
      <c r="O2447" s="935"/>
    </row>
    <row r="2448" spans="1:15" ht="15" customHeight="1">
      <c r="A2448" s="908" t="s">
        <v>364</v>
      </c>
      <c r="B2448" s="909" t="s">
        <v>2092</v>
      </c>
      <c r="C2448" s="910" t="e">
        <f>VLOOKUP(B2445,'LƯƠNG KT'!$D$16:$Z$184,16,0)</f>
        <v>#N/A</v>
      </c>
      <c r="D2448" s="609" t="e">
        <f>C2448*$L$5</f>
        <v>#N/A</v>
      </c>
      <c r="E2448" s="912"/>
      <c r="F2448" s="912"/>
      <c r="G2448" s="908" t="s">
        <v>364</v>
      </c>
      <c r="H2448" s="909" t="s">
        <v>2092</v>
      </c>
      <c r="I2448" s="910" t="e">
        <f>VLOOKUP(H2445,'LƯƠNG KT'!$D$16:$Z$184,16,0)</f>
        <v>#N/A</v>
      </c>
      <c r="J2448" s="609" t="e">
        <f>I2448*$L$5</f>
        <v>#N/A</v>
      </c>
      <c r="K2448" s="935"/>
      <c r="L2448" s="935"/>
      <c r="M2448" s="935"/>
      <c r="N2448" s="935"/>
      <c r="O2448" s="935"/>
    </row>
    <row r="2449" spans="1:15" ht="15" customHeight="1">
      <c r="A2449" s="908" t="s">
        <v>370</v>
      </c>
      <c r="B2449" s="909" t="s">
        <v>2093</v>
      </c>
      <c r="C2449" s="910" t="e">
        <f>VLOOKUP(B2445,'LƯƠNG KT'!$D$16:$Z$184,24,0)</f>
        <v>#N/A</v>
      </c>
      <c r="D2449" s="609" t="e">
        <f>+C2449*$L$6</f>
        <v>#N/A</v>
      </c>
      <c r="E2449" s="912"/>
      <c r="F2449" s="912"/>
      <c r="G2449" s="908" t="s">
        <v>370</v>
      </c>
      <c r="H2449" s="909" t="s">
        <v>2093</v>
      </c>
      <c r="I2449" s="910" t="e">
        <f>VLOOKUP(H2445,'LƯƠNG KT'!$D$16:$Z$184,24,0)</f>
        <v>#N/A</v>
      </c>
      <c r="J2449" s="609" t="e">
        <f>+I2449*$L$6</f>
        <v>#N/A</v>
      </c>
      <c r="K2449" s="935"/>
      <c r="L2449" s="935"/>
      <c r="M2449" s="935"/>
      <c r="N2449" s="935"/>
      <c r="O2449" s="935"/>
    </row>
    <row r="2450" spans="1:15" ht="15" customHeight="1">
      <c r="A2450" s="908" t="s">
        <v>2094</v>
      </c>
      <c r="B2450" s="909" t="s">
        <v>2095</v>
      </c>
      <c r="C2450" s="910" t="e">
        <f>VLOOKUP(B2445,'LƯƠNG KT'!$D$16:$Z$184,19,0)</f>
        <v>#N/A</v>
      </c>
      <c r="D2450" s="609" t="e">
        <f>+C2450*$L$8</f>
        <v>#N/A</v>
      </c>
      <c r="E2450" s="912"/>
      <c r="F2450" s="912"/>
      <c r="G2450" s="908" t="s">
        <v>2094</v>
      </c>
      <c r="H2450" s="909" t="s">
        <v>2095</v>
      </c>
      <c r="I2450" s="910" t="e">
        <f>VLOOKUP(H2445,'LƯƠNG KT'!$D$16:$Z$184,19,0)</f>
        <v>#N/A</v>
      </c>
      <c r="J2450" s="609" t="e">
        <f>+I2450*$L$8</f>
        <v>#N/A</v>
      </c>
      <c r="K2450" s="935"/>
      <c r="L2450" s="935"/>
      <c r="M2450" s="935"/>
      <c r="N2450" s="935"/>
      <c r="O2450" s="935"/>
    </row>
    <row r="2451" spans="1:15" ht="15" customHeight="1">
      <c r="A2451" s="908" t="s">
        <v>2096</v>
      </c>
      <c r="B2451" s="913" t="s">
        <v>2097</v>
      </c>
      <c r="C2451" s="910" t="e">
        <f>VLOOKUP(B2445,'LƯƠNG KT'!$D$16:$Z$184,20,0)</f>
        <v>#N/A</v>
      </c>
      <c r="D2451" s="609" t="e">
        <f>+C2451*$L$9</f>
        <v>#N/A</v>
      </c>
      <c r="E2451" s="912"/>
      <c r="F2451" s="912"/>
      <c r="G2451" s="908" t="s">
        <v>2096</v>
      </c>
      <c r="H2451" s="913" t="s">
        <v>2097</v>
      </c>
      <c r="I2451" s="910" t="e">
        <f>VLOOKUP(H2445,'LƯƠNG KT'!$D$16:$Z$184,20,0)</f>
        <v>#N/A</v>
      </c>
      <c r="J2451" s="609" t="e">
        <f>+I2451*$L$9</f>
        <v>#N/A</v>
      </c>
      <c r="K2451" s="935"/>
      <c r="L2451" s="935"/>
      <c r="M2451" s="935"/>
      <c r="N2451" s="935"/>
      <c r="O2451" s="935"/>
    </row>
    <row r="2452" spans="1:15" ht="15" customHeight="1">
      <c r="A2452" s="908" t="s">
        <v>2099</v>
      </c>
      <c r="B2452" s="909" t="s">
        <v>2100</v>
      </c>
      <c r="C2452" s="910" t="e">
        <f>VLOOKUP(B2445,'LƯƠNG KT'!$D$16:$Z$184,17,0)</f>
        <v>#N/A</v>
      </c>
      <c r="D2452" s="609" t="e">
        <f>+C2452*$L$10</f>
        <v>#N/A</v>
      </c>
      <c r="E2452" s="912"/>
      <c r="F2452" s="912"/>
      <c r="G2452" s="908" t="s">
        <v>2099</v>
      </c>
      <c r="H2452" s="909" t="s">
        <v>2100</v>
      </c>
      <c r="I2452" s="910" t="e">
        <f>VLOOKUP(H2445,'LƯƠNG KT'!$D$16:$Z$184,17,0)</f>
        <v>#N/A</v>
      </c>
      <c r="J2452" s="609" t="e">
        <f>+I2452*$L$10</f>
        <v>#N/A</v>
      </c>
      <c r="K2452" s="935"/>
      <c r="L2452" s="935"/>
      <c r="M2452" s="935"/>
      <c r="N2452" s="935"/>
      <c r="O2452" s="935"/>
    </row>
    <row r="2453" spans="1:15" ht="15" customHeight="1">
      <c r="A2453" s="908" t="s">
        <v>374</v>
      </c>
      <c r="B2453" s="909" t="s">
        <v>2102</v>
      </c>
      <c r="C2453" s="910" t="e">
        <f>VLOOKUP(B2445,'LƯƠNG KT'!$D$16:$Z$184,12,0)</f>
        <v>#N/A</v>
      </c>
      <c r="D2453" s="609" t="e">
        <f>VLOOKUP(B2445,'LƯƠNG KT'!$D$16:$Z$184,14,0)</f>
        <v>#N/A</v>
      </c>
      <c r="E2453" s="914"/>
      <c r="F2453" s="912"/>
      <c r="G2453" s="908" t="s">
        <v>374</v>
      </c>
      <c r="H2453" s="909" t="s">
        <v>2102</v>
      </c>
      <c r="I2453" s="910" t="e">
        <f>VLOOKUP(H2445,'LƯƠNG KT'!$D$16:$Z$184,12,0)</f>
        <v>#N/A</v>
      </c>
      <c r="J2453" s="609" t="e">
        <f>VLOOKUP(H2445,'LƯƠNG KT'!$D$16:$Z$184,14,0)</f>
        <v>#N/A</v>
      </c>
      <c r="K2453" s="935"/>
      <c r="L2453" s="935"/>
      <c r="M2453" s="935"/>
      <c r="N2453" s="935"/>
      <c r="O2453" s="935"/>
    </row>
    <row r="2454" spans="1:15" ht="15" customHeight="1">
      <c r="A2454" s="908" t="s">
        <v>2103</v>
      </c>
      <c r="B2454" s="909" t="s">
        <v>2104</v>
      </c>
      <c r="D2454" s="915" t="e">
        <f>VLOOKUP(B2445,'LƯƠNG KT'!$D$16:$Z$184,13,0)</f>
        <v>#N/A</v>
      </c>
      <c r="E2454" s="916"/>
      <c r="F2454" s="916"/>
      <c r="G2454" s="908" t="s">
        <v>2103</v>
      </c>
      <c r="H2454" s="909" t="s">
        <v>2104</v>
      </c>
      <c r="J2454" s="915" t="e">
        <f>VLOOKUP(H2445,'LƯƠNG KT'!$D$16:$Z$184,13,0)</f>
        <v>#N/A</v>
      </c>
    </row>
    <row r="2455" spans="1:15" ht="15" customHeight="1">
      <c r="A2455" s="547"/>
      <c r="B2455" s="546"/>
      <c r="C2455" s="910"/>
      <c r="D2455" s="609"/>
      <c r="E2455" s="914"/>
      <c r="F2455" s="916"/>
      <c r="G2455" s="547"/>
      <c r="H2455" s="546"/>
      <c r="I2455" s="910"/>
      <c r="J2455" s="609"/>
    </row>
    <row r="2456" spans="1:15" ht="15" customHeight="1">
      <c r="A2456" s="905"/>
      <c r="B2456" s="546"/>
      <c r="C2456" s="910"/>
      <c r="D2456" s="609"/>
      <c r="E2456" s="917"/>
      <c r="F2456" s="904"/>
      <c r="G2456" s="905"/>
      <c r="H2456" s="546"/>
      <c r="I2456" s="910"/>
      <c r="J2456" s="609"/>
    </row>
    <row r="2457" spans="1:15" ht="15" customHeight="1">
      <c r="A2457" s="918" t="s">
        <v>383</v>
      </c>
      <c r="B2457" s="919" t="s">
        <v>384</v>
      </c>
      <c r="C2457" s="920"/>
      <c r="D2457" s="921" t="e">
        <f>SUM(D2446:D2453)-D2456</f>
        <v>#N/A</v>
      </c>
      <c r="E2457" s="922"/>
      <c r="F2457" s="923"/>
      <c r="G2457" s="918" t="s">
        <v>383</v>
      </c>
      <c r="H2457" s="919" t="s">
        <v>384</v>
      </c>
      <c r="I2457" s="920"/>
      <c r="J2457" s="921" t="e">
        <f>SUM(J2446:J2453)-J2456</f>
        <v>#N/A</v>
      </c>
    </row>
    <row r="2458" spans="1:15" ht="18.75" customHeight="1">
      <c r="A2458" s="924"/>
      <c r="B2458" s="925"/>
      <c r="C2458" s="926"/>
      <c r="D2458" s="927"/>
      <c r="E2458" s="927"/>
      <c r="F2458" s="928"/>
      <c r="G2458" s="924"/>
      <c r="H2458" s="925"/>
      <c r="I2458" s="926"/>
      <c r="J2458" s="927"/>
    </row>
    <row r="2459" spans="1:15" ht="18.75" customHeight="1">
      <c r="A2459" s="925"/>
      <c r="B2459" s="925"/>
      <c r="C2459" s="929"/>
      <c r="D2459" s="930"/>
      <c r="E2459" s="925"/>
      <c r="F2459" s="931"/>
      <c r="G2459" s="925"/>
      <c r="H2459" s="925"/>
      <c r="I2459" s="929"/>
      <c r="J2459" s="930"/>
    </row>
    <row r="2460" spans="1:15" ht="15" customHeight="1">
      <c r="A2460" s="2360" t="str">
        <f>$K$2</f>
        <v>THÁNG 04/2025</v>
      </c>
      <c r="B2460" s="2360"/>
      <c r="C2460" s="2360"/>
      <c r="D2460" s="2360"/>
      <c r="E2460" s="903"/>
      <c r="F2460" s="904"/>
      <c r="G2460" s="2360" t="str">
        <f>$K$2</f>
        <v>THÁNG 04/2025</v>
      </c>
      <c r="H2460" s="2360"/>
      <c r="I2460" s="2360"/>
      <c r="J2460" s="2360"/>
      <c r="K2460" s="276"/>
    </row>
    <row r="2461" spans="1:15" ht="15" customHeight="1">
      <c r="A2461" s="905" t="s">
        <v>356</v>
      </c>
      <c r="B2461" s="642" t="s">
        <v>192</v>
      </c>
      <c r="C2461" s="546"/>
      <c r="D2461" s="902"/>
      <c r="E2461" s="906"/>
      <c r="F2461" s="907"/>
      <c r="G2461" s="905" t="s">
        <v>356</v>
      </c>
      <c r="H2461" s="642" t="s">
        <v>193</v>
      </c>
      <c r="I2461" s="546"/>
      <c r="J2461" s="902"/>
      <c r="L2461" s="938"/>
      <c r="M2461" s="938"/>
      <c r="N2461" s="938"/>
      <c r="O2461" s="938"/>
    </row>
    <row r="2462" spans="1:15" ht="15" customHeight="1">
      <c r="A2462" s="908" t="s">
        <v>359</v>
      </c>
      <c r="B2462" s="909" t="s">
        <v>2090</v>
      </c>
      <c r="C2462" s="910" t="e">
        <f>VLOOKUP(B2461,'LƯƠNG KT'!$D$16:$Z$184,4,0)</f>
        <v>#N/A</v>
      </c>
      <c r="D2462" s="609" t="e">
        <f>+C2462*25000</f>
        <v>#N/A</v>
      </c>
      <c r="E2462" s="911"/>
      <c r="F2462" s="911"/>
      <c r="G2462" s="908" t="s">
        <v>359</v>
      </c>
      <c r="H2462" s="909" t="s">
        <v>2090</v>
      </c>
      <c r="I2462" s="910" t="e">
        <f>VLOOKUP(H2461,'LƯƠNG KT'!$D$16:$Z$184,4,0)</f>
        <v>#N/A</v>
      </c>
      <c r="J2462" s="609" t="e">
        <f>+I2462*25000</f>
        <v>#N/A</v>
      </c>
      <c r="K2462" s="935"/>
      <c r="L2462" s="935"/>
      <c r="M2462" s="935"/>
      <c r="N2462" s="935"/>
      <c r="O2462" s="935"/>
    </row>
    <row r="2463" spans="1:15" ht="15" customHeight="1">
      <c r="A2463" s="908" t="s">
        <v>361</v>
      </c>
      <c r="B2463" s="909" t="s">
        <v>2091</v>
      </c>
      <c r="C2463" s="910" t="e">
        <f>VLOOKUP(B2461,'LƯƠNG KT'!$D$16:$Z$184,15,0)</f>
        <v>#N/A</v>
      </c>
      <c r="D2463" s="609" t="e">
        <f>C2463*$L$4</f>
        <v>#N/A</v>
      </c>
      <c r="E2463" s="912"/>
      <c r="F2463" s="912"/>
      <c r="G2463" s="908" t="s">
        <v>361</v>
      </c>
      <c r="H2463" s="909" t="s">
        <v>2091</v>
      </c>
      <c r="I2463" s="910" t="e">
        <f>VLOOKUP(H2461,'LƯƠNG KT'!$D$16:$Z$184,15,0)</f>
        <v>#N/A</v>
      </c>
      <c r="J2463" s="609" t="e">
        <f>I2463*$L$4</f>
        <v>#N/A</v>
      </c>
      <c r="K2463" s="935"/>
      <c r="L2463" s="935"/>
      <c r="M2463" s="935"/>
      <c r="N2463" s="935"/>
      <c r="O2463" s="935"/>
    </row>
    <row r="2464" spans="1:15" ht="15" customHeight="1">
      <c r="A2464" s="908" t="s">
        <v>364</v>
      </c>
      <c r="B2464" s="909" t="s">
        <v>2092</v>
      </c>
      <c r="C2464" s="910" t="e">
        <f>VLOOKUP(B2461,'LƯƠNG KT'!$D$16:$Z$184,16,0)</f>
        <v>#N/A</v>
      </c>
      <c r="D2464" s="609" t="e">
        <f>C2464*$L$5</f>
        <v>#N/A</v>
      </c>
      <c r="E2464" s="912"/>
      <c r="F2464" s="912"/>
      <c r="G2464" s="908" t="s">
        <v>364</v>
      </c>
      <c r="H2464" s="909" t="s">
        <v>2092</v>
      </c>
      <c r="I2464" s="910" t="e">
        <f>VLOOKUP(H2461,'LƯƠNG KT'!$D$16:$Z$184,16,0)</f>
        <v>#N/A</v>
      </c>
      <c r="J2464" s="609" t="e">
        <f>I2464*$L$5</f>
        <v>#N/A</v>
      </c>
      <c r="K2464" s="935"/>
      <c r="L2464" s="935"/>
      <c r="M2464" s="935"/>
      <c r="N2464" s="935"/>
      <c r="O2464" s="935"/>
    </row>
    <row r="2465" spans="1:15" ht="15" customHeight="1">
      <c r="A2465" s="908" t="s">
        <v>370</v>
      </c>
      <c r="B2465" s="909" t="s">
        <v>2093</v>
      </c>
      <c r="C2465" s="910" t="e">
        <f>VLOOKUP(B2461,'LƯƠNG KT'!$D$16:$Z$184,24,0)</f>
        <v>#N/A</v>
      </c>
      <c r="D2465" s="609" t="e">
        <f>+C2465*$L$6</f>
        <v>#N/A</v>
      </c>
      <c r="E2465" s="912"/>
      <c r="F2465" s="912"/>
      <c r="G2465" s="908" t="s">
        <v>370</v>
      </c>
      <c r="H2465" s="909" t="s">
        <v>2093</v>
      </c>
      <c r="I2465" s="910" t="e">
        <f>VLOOKUP(H2461,'LƯƠNG KT'!$D$16:$Z$184,24,0)</f>
        <v>#N/A</v>
      </c>
      <c r="J2465" s="609" t="e">
        <f>+I2465*$L$6</f>
        <v>#N/A</v>
      </c>
      <c r="K2465" s="935"/>
      <c r="L2465" s="935"/>
      <c r="M2465" s="935"/>
      <c r="N2465" s="935"/>
      <c r="O2465" s="935"/>
    </row>
    <row r="2466" spans="1:15" ht="15" customHeight="1">
      <c r="A2466" s="908" t="s">
        <v>2094</v>
      </c>
      <c r="B2466" s="909" t="s">
        <v>2095</v>
      </c>
      <c r="C2466" s="910" t="e">
        <f>VLOOKUP(B2461,'LƯƠNG KT'!$D$16:$Z$184,19,0)</f>
        <v>#N/A</v>
      </c>
      <c r="D2466" s="609" t="e">
        <f>+C2466*$L$8</f>
        <v>#N/A</v>
      </c>
      <c r="E2466" s="912"/>
      <c r="F2466" s="912"/>
      <c r="G2466" s="908" t="s">
        <v>2094</v>
      </c>
      <c r="H2466" s="909" t="s">
        <v>2095</v>
      </c>
      <c r="I2466" s="910" t="e">
        <f>VLOOKUP(H2461,'LƯƠNG KT'!$D$16:$Z$184,19,0)</f>
        <v>#N/A</v>
      </c>
      <c r="J2466" s="609" t="e">
        <f>+I2466*$L$8</f>
        <v>#N/A</v>
      </c>
      <c r="K2466" s="935"/>
      <c r="L2466" s="935"/>
      <c r="M2466" s="935"/>
      <c r="N2466" s="935"/>
      <c r="O2466" s="935"/>
    </row>
    <row r="2467" spans="1:15" ht="15" customHeight="1">
      <c r="A2467" s="908" t="s">
        <v>2096</v>
      </c>
      <c r="B2467" s="913" t="s">
        <v>2097</v>
      </c>
      <c r="C2467" s="910" t="e">
        <f>VLOOKUP(B2461,'LƯƠNG KT'!$D$16:$Z$184,20,0)</f>
        <v>#N/A</v>
      </c>
      <c r="D2467" s="609" t="e">
        <f>+C2467*$L$9</f>
        <v>#N/A</v>
      </c>
      <c r="E2467" s="912"/>
      <c r="F2467" s="912"/>
      <c r="G2467" s="908" t="s">
        <v>2096</v>
      </c>
      <c r="H2467" s="913" t="s">
        <v>2097</v>
      </c>
      <c r="I2467" s="910" t="e">
        <f>VLOOKUP(H2461,'LƯƠNG KT'!$D$16:$Z$184,20,0)</f>
        <v>#N/A</v>
      </c>
      <c r="J2467" s="609" t="e">
        <f>+I2467*$L$9</f>
        <v>#N/A</v>
      </c>
      <c r="K2467" s="935"/>
      <c r="L2467" s="935"/>
      <c r="M2467" s="935"/>
      <c r="N2467" s="935"/>
      <c r="O2467" s="935"/>
    </row>
    <row r="2468" spans="1:15" ht="15" customHeight="1">
      <c r="A2468" s="908" t="s">
        <v>2099</v>
      </c>
      <c r="B2468" s="909" t="s">
        <v>2100</v>
      </c>
      <c r="C2468" s="910" t="e">
        <f>VLOOKUP(B2461,'LƯƠNG KT'!$D$16:$Z$184,17,0)</f>
        <v>#N/A</v>
      </c>
      <c r="D2468" s="609" t="e">
        <f>+C2468*$L$10</f>
        <v>#N/A</v>
      </c>
      <c r="E2468" s="912"/>
      <c r="F2468" s="912"/>
      <c r="G2468" s="908" t="s">
        <v>2099</v>
      </c>
      <c r="H2468" s="909" t="s">
        <v>2100</v>
      </c>
      <c r="I2468" s="910" t="e">
        <f>VLOOKUP(H2461,'LƯƠNG KT'!$D$16:$Z$184,17,0)</f>
        <v>#N/A</v>
      </c>
      <c r="J2468" s="609" t="e">
        <f>+I2468*$L$10</f>
        <v>#N/A</v>
      </c>
      <c r="K2468" s="935"/>
      <c r="L2468" s="935"/>
      <c r="M2468" s="935"/>
      <c r="N2468" s="935"/>
      <c r="O2468" s="935"/>
    </row>
    <row r="2469" spans="1:15" ht="15" customHeight="1">
      <c r="A2469" s="908" t="s">
        <v>374</v>
      </c>
      <c r="B2469" s="909" t="s">
        <v>2102</v>
      </c>
      <c r="C2469" s="910" t="e">
        <f>VLOOKUP(B2461,'LƯƠNG KT'!$D$16:$Z$184,12,0)</f>
        <v>#N/A</v>
      </c>
      <c r="D2469" s="609" t="e">
        <f>VLOOKUP(B2461,'LƯƠNG KT'!$D$16:$Z$184,14,0)</f>
        <v>#N/A</v>
      </c>
      <c r="E2469" s="914"/>
      <c r="F2469" s="912"/>
      <c r="G2469" s="908" t="s">
        <v>374</v>
      </c>
      <c r="H2469" s="909" t="s">
        <v>2102</v>
      </c>
      <c r="I2469" s="910" t="e">
        <f>VLOOKUP(H2461,'LƯƠNG KT'!$D$16:$Z$184,12,0)</f>
        <v>#N/A</v>
      </c>
      <c r="J2469" s="609" t="e">
        <f>VLOOKUP(H2461,'LƯƠNG KT'!$D$16:$Z$184,14,0)</f>
        <v>#N/A</v>
      </c>
      <c r="K2469" s="935"/>
      <c r="L2469" s="935"/>
      <c r="M2469" s="935"/>
      <c r="N2469" s="935"/>
      <c r="O2469" s="935"/>
    </row>
    <row r="2470" spans="1:15" ht="15" customHeight="1">
      <c r="A2470" s="908" t="s">
        <v>2103</v>
      </c>
      <c r="B2470" s="909" t="s">
        <v>2104</v>
      </c>
      <c r="D2470" s="915" t="e">
        <f>VLOOKUP(B2461,'LƯƠNG KT'!$D$16:$Z$184,13,0)</f>
        <v>#N/A</v>
      </c>
      <c r="E2470" s="916"/>
      <c r="F2470" s="916"/>
      <c r="G2470" s="908" t="s">
        <v>2103</v>
      </c>
      <c r="H2470" s="909" t="s">
        <v>2104</v>
      </c>
      <c r="J2470" s="915" t="e">
        <f>VLOOKUP(H2461,'LƯƠNG KT'!$D$16:$Z$184,13,0)</f>
        <v>#N/A</v>
      </c>
    </row>
    <row r="2471" spans="1:15" ht="15" customHeight="1">
      <c r="A2471" s="547"/>
      <c r="B2471" s="546"/>
      <c r="C2471" s="910"/>
      <c r="D2471" s="609"/>
      <c r="E2471" s="914"/>
      <c r="F2471" s="916"/>
      <c r="G2471" s="547"/>
      <c r="H2471" s="546"/>
      <c r="I2471" s="910"/>
      <c r="J2471" s="609"/>
    </row>
    <row r="2472" spans="1:15" ht="15" customHeight="1">
      <c r="A2472" s="905"/>
      <c r="B2472" s="546"/>
      <c r="C2472" s="910"/>
      <c r="D2472" s="609"/>
      <c r="E2472" s="917"/>
      <c r="F2472" s="904"/>
      <c r="G2472" s="905"/>
      <c r="H2472" s="546"/>
      <c r="I2472" s="910"/>
      <c r="J2472" s="609"/>
    </row>
    <row r="2473" spans="1:15" ht="15" customHeight="1">
      <c r="A2473" s="918" t="s">
        <v>383</v>
      </c>
      <c r="B2473" s="919" t="s">
        <v>384</v>
      </c>
      <c r="C2473" s="920"/>
      <c r="D2473" s="921" t="e">
        <f>SUM(D2462:D2469)-D2472</f>
        <v>#N/A</v>
      </c>
      <c r="E2473" s="922"/>
      <c r="F2473" s="923"/>
      <c r="G2473" s="918" t="s">
        <v>383</v>
      </c>
      <c r="H2473" s="919" t="s">
        <v>384</v>
      </c>
      <c r="I2473" s="920"/>
      <c r="J2473" s="921" t="e">
        <f>SUM(J2462:J2469)-J2472</f>
        <v>#N/A</v>
      </c>
    </row>
    <row r="2474" spans="1:15" ht="15.75" customHeight="1">
      <c r="A2474" s="924"/>
      <c r="B2474" s="925"/>
      <c r="C2474" s="926"/>
      <c r="D2474" s="927"/>
      <c r="E2474" s="927"/>
      <c r="F2474" s="928"/>
      <c r="G2474" s="924"/>
      <c r="H2474" s="925"/>
      <c r="I2474" s="926"/>
      <c r="J2474" s="927"/>
    </row>
    <row r="2476" spans="1:15" ht="131.25" customHeight="1">
      <c r="A2476" s="2361"/>
      <c r="B2476" s="2361"/>
      <c r="C2476" s="2361"/>
      <c r="D2476" s="2361"/>
      <c r="E2476" s="2361"/>
      <c r="F2476" s="2361"/>
      <c r="G2476" s="2361"/>
      <c r="H2476" s="2361"/>
      <c r="I2476" s="2361"/>
      <c r="J2476" s="2361"/>
    </row>
    <row r="2477" spans="1:15" ht="15" customHeight="1">
      <c r="A2477" s="2360" t="str">
        <f>$K$2</f>
        <v>THÁNG 04/2025</v>
      </c>
      <c r="B2477" s="2360"/>
      <c r="C2477" s="2360"/>
      <c r="D2477" s="2360"/>
      <c r="E2477" s="903"/>
      <c r="F2477" s="904"/>
      <c r="G2477" s="2360" t="str">
        <f>$K$2</f>
        <v>THÁNG 04/2025</v>
      </c>
      <c r="H2477" s="2360"/>
      <c r="I2477" s="2360"/>
      <c r="J2477" s="2360"/>
      <c r="K2477" s="276"/>
    </row>
    <row r="2478" spans="1:15" ht="15" customHeight="1">
      <c r="A2478" s="905" t="s">
        <v>356</v>
      </c>
      <c r="B2478" s="642" t="s">
        <v>194</v>
      </c>
      <c r="C2478" s="546"/>
      <c r="D2478" s="902"/>
      <c r="E2478" s="906"/>
      <c r="F2478" s="907"/>
      <c r="G2478" s="905" t="s">
        <v>356</v>
      </c>
      <c r="H2478" s="642" t="s">
        <v>195</v>
      </c>
      <c r="I2478" s="546"/>
      <c r="J2478" s="902"/>
      <c r="L2478" s="938"/>
      <c r="M2478" s="938"/>
      <c r="N2478" s="938"/>
      <c r="O2478" s="938"/>
    </row>
    <row r="2479" spans="1:15" ht="15" customHeight="1">
      <c r="A2479" s="908" t="s">
        <v>359</v>
      </c>
      <c r="B2479" s="909" t="s">
        <v>2090</v>
      </c>
      <c r="C2479" s="910" t="e">
        <f>VLOOKUP(B2478,'LƯƠNG KT'!$D$16:$Z$184,4,0)</f>
        <v>#N/A</v>
      </c>
      <c r="D2479" s="609" t="e">
        <f>+C2479*25000</f>
        <v>#N/A</v>
      </c>
      <c r="E2479" s="911"/>
      <c r="F2479" s="911"/>
      <c r="G2479" s="908" t="s">
        <v>359</v>
      </c>
      <c r="H2479" s="909" t="s">
        <v>2090</v>
      </c>
      <c r="I2479" s="910" t="e">
        <f>VLOOKUP(H2478,'LƯƠNG KT'!$D$16:$Z$184,4,0)</f>
        <v>#N/A</v>
      </c>
      <c r="J2479" s="609" t="e">
        <f>+I2479*25000</f>
        <v>#N/A</v>
      </c>
      <c r="K2479" s="934"/>
      <c r="L2479" s="935"/>
      <c r="M2479" s="935"/>
      <c r="N2479" s="935"/>
      <c r="O2479" s="935"/>
    </row>
    <row r="2480" spans="1:15" ht="15" customHeight="1">
      <c r="A2480" s="908" t="s">
        <v>361</v>
      </c>
      <c r="B2480" s="909" t="s">
        <v>2091</v>
      </c>
      <c r="C2480" s="910" t="e">
        <f>VLOOKUP(B2478,'LƯƠNG KT'!$D$16:$Z$184,15,0)</f>
        <v>#N/A</v>
      </c>
      <c r="D2480" s="609" t="e">
        <f>C2480*$L$4</f>
        <v>#N/A</v>
      </c>
      <c r="E2480" s="912"/>
      <c r="F2480" s="912"/>
      <c r="G2480" s="908" t="s">
        <v>361</v>
      </c>
      <c r="H2480" s="909" t="s">
        <v>2091</v>
      </c>
      <c r="I2480" s="910" t="e">
        <f>VLOOKUP(H2478,'LƯƠNG KT'!$D$16:$Z$184,15,0)</f>
        <v>#N/A</v>
      </c>
      <c r="J2480" s="609" t="e">
        <f>I2480*$L$4</f>
        <v>#N/A</v>
      </c>
      <c r="K2480" s="934"/>
      <c r="L2480" s="935"/>
      <c r="M2480" s="935"/>
      <c r="N2480" s="935"/>
      <c r="O2480" s="935"/>
    </row>
    <row r="2481" spans="1:15" ht="15" customHeight="1">
      <c r="A2481" s="908" t="s">
        <v>364</v>
      </c>
      <c r="B2481" s="909" t="s">
        <v>2092</v>
      </c>
      <c r="C2481" s="910" t="e">
        <f>VLOOKUP(B2478,'LƯƠNG KT'!$D$16:$Z$184,16,0)</f>
        <v>#N/A</v>
      </c>
      <c r="D2481" s="609" t="e">
        <f>C2481*$L$5</f>
        <v>#N/A</v>
      </c>
      <c r="E2481" s="912"/>
      <c r="F2481" s="912"/>
      <c r="G2481" s="908" t="s">
        <v>364</v>
      </c>
      <c r="H2481" s="909" t="s">
        <v>2092</v>
      </c>
      <c r="I2481" s="910" t="e">
        <f>VLOOKUP(H2478,'LƯƠNG KT'!$D$16:$Z$184,16,0)</f>
        <v>#N/A</v>
      </c>
      <c r="J2481" s="609" t="e">
        <f>I2481*$L$5</f>
        <v>#N/A</v>
      </c>
      <c r="K2481" s="934"/>
      <c r="L2481" s="935"/>
      <c r="M2481" s="935"/>
      <c r="N2481" s="935"/>
      <c r="O2481" s="935"/>
    </row>
    <row r="2482" spans="1:15" ht="15" customHeight="1">
      <c r="A2482" s="908" t="s">
        <v>370</v>
      </c>
      <c r="B2482" s="909" t="s">
        <v>2093</v>
      </c>
      <c r="C2482" s="910" t="e">
        <f>VLOOKUP(B2478,'LƯƠNG KT'!$D$16:$Z$184,24,0)</f>
        <v>#N/A</v>
      </c>
      <c r="D2482" s="609" t="e">
        <f>+C2482*$L$6</f>
        <v>#N/A</v>
      </c>
      <c r="E2482" s="912"/>
      <c r="F2482" s="912"/>
      <c r="G2482" s="908" t="s">
        <v>370</v>
      </c>
      <c r="H2482" s="909" t="s">
        <v>2093</v>
      </c>
      <c r="I2482" s="910" t="e">
        <f>VLOOKUP(H2478,'LƯƠNG KT'!$D$16:$Z$184,24,0)</f>
        <v>#N/A</v>
      </c>
      <c r="J2482" s="609" t="e">
        <f>+I2482*$L$6</f>
        <v>#N/A</v>
      </c>
      <c r="K2482" s="935"/>
      <c r="L2482" s="935"/>
      <c r="M2482" s="935"/>
      <c r="N2482" s="935"/>
      <c r="O2482" s="935"/>
    </row>
    <row r="2483" spans="1:15" ht="15" customHeight="1">
      <c r="A2483" s="908" t="s">
        <v>2094</v>
      </c>
      <c r="B2483" s="909" t="s">
        <v>2095</v>
      </c>
      <c r="C2483" s="910" t="e">
        <f>VLOOKUP(B2478,'LƯƠNG KT'!$D$16:$Z$184,19,0)</f>
        <v>#N/A</v>
      </c>
      <c r="D2483" s="609" t="e">
        <f>+C2483*$L$8</f>
        <v>#N/A</v>
      </c>
      <c r="E2483" s="912"/>
      <c r="F2483" s="912"/>
      <c r="G2483" s="908" t="s">
        <v>2094</v>
      </c>
      <c r="H2483" s="909" t="s">
        <v>2095</v>
      </c>
      <c r="I2483" s="910" t="e">
        <f>VLOOKUP(H2478,'LƯƠNG KT'!$D$16:$Z$184,19,0)</f>
        <v>#N/A</v>
      </c>
      <c r="J2483" s="609" t="e">
        <f>+I2483*$L$8</f>
        <v>#N/A</v>
      </c>
      <c r="K2483" s="935"/>
      <c r="L2483" s="935"/>
      <c r="M2483" s="935"/>
      <c r="N2483" s="935"/>
      <c r="O2483" s="935"/>
    </row>
    <row r="2484" spans="1:15" ht="15" customHeight="1">
      <c r="A2484" s="908" t="s">
        <v>2096</v>
      </c>
      <c r="B2484" s="913" t="s">
        <v>2097</v>
      </c>
      <c r="C2484" s="910" t="e">
        <f>VLOOKUP(B2478,'LƯƠNG KT'!$D$16:$Z$184,20,0)</f>
        <v>#N/A</v>
      </c>
      <c r="D2484" s="609" t="e">
        <f>+C2484*$L$9</f>
        <v>#N/A</v>
      </c>
      <c r="E2484" s="912"/>
      <c r="F2484" s="912"/>
      <c r="G2484" s="908" t="s">
        <v>2096</v>
      </c>
      <c r="H2484" s="913" t="s">
        <v>2097</v>
      </c>
      <c r="I2484" s="910" t="e">
        <f>VLOOKUP(H2478,'LƯƠNG KT'!$D$16:$Z$184,20,0)</f>
        <v>#N/A</v>
      </c>
      <c r="J2484" s="609" t="e">
        <f>+I2484*$L$9</f>
        <v>#N/A</v>
      </c>
      <c r="K2484" s="935"/>
      <c r="L2484" s="935"/>
      <c r="M2484" s="935"/>
      <c r="N2484" s="935"/>
      <c r="O2484" s="935"/>
    </row>
    <row r="2485" spans="1:15" ht="15" customHeight="1">
      <c r="A2485" s="908" t="s">
        <v>2099</v>
      </c>
      <c r="B2485" s="909" t="s">
        <v>2100</v>
      </c>
      <c r="C2485" s="910" t="e">
        <f>VLOOKUP(B2478,'LƯƠNG KT'!$D$16:$Z$184,17,0)</f>
        <v>#N/A</v>
      </c>
      <c r="D2485" s="609" t="e">
        <f>+C2485*$L$10</f>
        <v>#N/A</v>
      </c>
      <c r="E2485" s="912"/>
      <c r="F2485" s="912"/>
      <c r="G2485" s="908" t="s">
        <v>2099</v>
      </c>
      <c r="H2485" s="909" t="s">
        <v>2100</v>
      </c>
      <c r="I2485" s="910" t="e">
        <f>VLOOKUP(H2478,'LƯƠNG KT'!$D$16:$Z$184,17,0)</f>
        <v>#N/A</v>
      </c>
      <c r="J2485" s="609" t="e">
        <f>+I2485*$L$10</f>
        <v>#N/A</v>
      </c>
      <c r="K2485" s="935"/>
      <c r="L2485" s="935"/>
      <c r="M2485" s="935"/>
      <c r="N2485" s="935"/>
      <c r="O2485" s="935"/>
    </row>
    <row r="2486" spans="1:15" ht="15" customHeight="1">
      <c r="A2486" s="908" t="s">
        <v>374</v>
      </c>
      <c r="B2486" s="909" t="s">
        <v>2102</v>
      </c>
      <c r="C2486" s="910" t="e">
        <f>VLOOKUP(B2478,'LƯƠNG KT'!$D$16:$Z$184,12,0)</f>
        <v>#N/A</v>
      </c>
      <c r="D2486" s="609" t="e">
        <f>VLOOKUP(B2478,'LƯƠNG KT'!$D$16:$Z$184,14,0)</f>
        <v>#N/A</v>
      </c>
      <c r="E2486" s="914"/>
      <c r="F2486" s="912"/>
      <c r="G2486" s="908" t="s">
        <v>374</v>
      </c>
      <c r="H2486" s="909" t="s">
        <v>2102</v>
      </c>
      <c r="I2486" s="910" t="e">
        <f>VLOOKUP(H2478,'LƯƠNG KT'!$D$16:$Z$184,12,0)</f>
        <v>#N/A</v>
      </c>
      <c r="J2486" s="609" t="e">
        <f>VLOOKUP(H2478,'LƯƠNG KT'!$D$16:$Z$184,14,0)</f>
        <v>#N/A</v>
      </c>
      <c r="K2486" s="935"/>
      <c r="L2486" s="935"/>
      <c r="M2486" s="935"/>
      <c r="N2486" s="935"/>
      <c r="O2486" s="935"/>
    </row>
    <row r="2487" spans="1:15" ht="15" customHeight="1">
      <c r="A2487" s="908" t="s">
        <v>2103</v>
      </c>
      <c r="B2487" s="909" t="s">
        <v>2104</v>
      </c>
      <c r="D2487" s="915" t="e">
        <f>VLOOKUP(B2478,'LƯƠNG KT'!$D$16:$Z$184,13,0)</f>
        <v>#N/A</v>
      </c>
      <c r="E2487" s="916"/>
      <c r="F2487" s="916"/>
      <c r="G2487" s="908" t="s">
        <v>2103</v>
      </c>
      <c r="H2487" s="909" t="s">
        <v>2104</v>
      </c>
      <c r="J2487" s="915" t="e">
        <f>VLOOKUP(H2478,'LƯƠNG KT'!$D$16:$Z$184,13,0)</f>
        <v>#N/A</v>
      </c>
    </row>
    <row r="2488" spans="1:15" ht="15" customHeight="1">
      <c r="A2488" s="547"/>
      <c r="B2488" s="546"/>
      <c r="C2488" s="910"/>
      <c r="D2488" s="609"/>
      <c r="E2488" s="914"/>
      <c r="F2488" s="916"/>
      <c r="G2488" s="547"/>
      <c r="H2488" s="546"/>
      <c r="I2488" s="910"/>
      <c r="J2488" s="609"/>
    </row>
    <row r="2489" spans="1:15" ht="15" customHeight="1">
      <c r="A2489" s="905"/>
      <c r="B2489" s="546"/>
      <c r="C2489" s="910"/>
      <c r="D2489" s="609"/>
      <c r="E2489" s="917"/>
      <c r="F2489" s="904"/>
      <c r="G2489" s="905"/>
      <c r="H2489" s="546"/>
      <c r="I2489" s="910"/>
      <c r="J2489" s="609"/>
    </row>
    <row r="2490" spans="1:15" ht="15" customHeight="1">
      <c r="A2490" s="918" t="s">
        <v>383</v>
      </c>
      <c r="B2490" s="919" t="s">
        <v>384</v>
      </c>
      <c r="C2490" s="920"/>
      <c r="D2490" s="921" t="e">
        <f>SUM(D2479:D2486)-D2489</f>
        <v>#N/A</v>
      </c>
      <c r="E2490" s="922"/>
      <c r="F2490" s="923"/>
      <c r="G2490" s="918" t="s">
        <v>383</v>
      </c>
      <c r="H2490" s="919" t="s">
        <v>384</v>
      </c>
      <c r="I2490" s="920"/>
      <c r="J2490" s="921" t="e">
        <f>SUM(J2479:J2486)-J2489</f>
        <v>#N/A</v>
      </c>
    </row>
    <row r="2491" spans="1:15" ht="18" customHeight="1">
      <c r="A2491" s="924"/>
      <c r="B2491" s="925"/>
      <c r="C2491" s="926"/>
      <c r="D2491" s="927"/>
      <c r="E2491" s="927"/>
      <c r="F2491" s="928"/>
      <c r="G2491" s="924"/>
      <c r="H2491" s="925"/>
      <c r="I2491" s="926"/>
      <c r="J2491" s="927"/>
    </row>
    <row r="2492" spans="1:15" ht="18" customHeight="1">
      <c r="A2492" s="925"/>
      <c r="B2492" s="925"/>
      <c r="C2492" s="929"/>
      <c r="D2492" s="930"/>
      <c r="E2492" s="925"/>
      <c r="F2492" s="931"/>
      <c r="G2492" s="925"/>
      <c r="H2492" s="925"/>
      <c r="I2492" s="929"/>
      <c r="J2492" s="930"/>
    </row>
    <row r="2493" spans="1:15" ht="15" customHeight="1">
      <c r="A2493" s="2360" t="str">
        <f>$K$2</f>
        <v>THÁNG 04/2025</v>
      </c>
      <c r="B2493" s="2360"/>
      <c r="C2493" s="2360"/>
      <c r="D2493" s="2360"/>
      <c r="E2493" s="903"/>
      <c r="F2493" s="904"/>
      <c r="G2493" s="2360" t="str">
        <f>$K$2</f>
        <v>THÁNG 04/2025</v>
      </c>
      <c r="H2493" s="2360"/>
      <c r="I2493" s="2360"/>
      <c r="J2493" s="2360"/>
      <c r="K2493" s="276"/>
    </row>
    <row r="2494" spans="1:15" ht="15" customHeight="1">
      <c r="A2494" s="905" t="s">
        <v>356</v>
      </c>
      <c r="B2494" s="642" t="s">
        <v>196</v>
      </c>
      <c r="C2494" s="546"/>
      <c r="D2494" s="902"/>
      <c r="E2494" s="906"/>
      <c r="F2494" s="907"/>
      <c r="G2494" s="905" t="s">
        <v>356</v>
      </c>
      <c r="H2494" s="642" t="s">
        <v>197</v>
      </c>
      <c r="I2494" s="546"/>
      <c r="J2494" s="902"/>
      <c r="L2494" s="938"/>
      <c r="M2494" s="938"/>
      <c r="N2494" s="938"/>
      <c r="O2494" s="938"/>
    </row>
    <row r="2495" spans="1:15" ht="15" customHeight="1">
      <c r="A2495" s="908" t="s">
        <v>359</v>
      </c>
      <c r="B2495" s="909" t="s">
        <v>2090</v>
      </c>
      <c r="C2495" s="910" t="e">
        <f>VLOOKUP(B2494,'LƯƠNG KT'!$D$16:$Z$184,4,0)</f>
        <v>#N/A</v>
      </c>
      <c r="D2495" s="609" t="e">
        <f>+C2495*25000</f>
        <v>#N/A</v>
      </c>
      <c r="E2495" s="911"/>
      <c r="F2495" s="911"/>
      <c r="G2495" s="908" t="s">
        <v>359</v>
      </c>
      <c r="H2495" s="909" t="s">
        <v>2090</v>
      </c>
      <c r="I2495" s="910" t="e">
        <f>VLOOKUP(H2494,'LƯƠNG KT'!$D$16:$Z$184,4,0)</f>
        <v>#N/A</v>
      </c>
      <c r="J2495" s="609" t="e">
        <f>+I2495*25000</f>
        <v>#N/A</v>
      </c>
      <c r="K2495" s="935"/>
      <c r="L2495" s="935"/>
      <c r="M2495" s="935"/>
      <c r="N2495" s="935"/>
      <c r="O2495" s="935"/>
    </row>
    <row r="2496" spans="1:15" ht="15" customHeight="1">
      <c r="A2496" s="908" t="s">
        <v>361</v>
      </c>
      <c r="B2496" s="909" t="s">
        <v>2091</v>
      </c>
      <c r="C2496" s="910" t="e">
        <f>VLOOKUP(B2494,'LƯƠNG KT'!$D$16:$Z$184,15,0)</f>
        <v>#N/A</v>
      </c>
      <c r="D2496" s="609" t="e">
        <f>C2496*$L$4</f>
        <v>#N/A</v>
      </c>
      <c r="E2496" s="912"/>
      <c r="F2496" s="912"/>
      <c r="G2496" s="908" t="s">
        <v>361</v>
      </c>
      <c r="H2496" s="909" t="s">
        <v>2091</v>
      </c>
      <c r="I2496" s="910" t="e">
        <f>VLOOKUP(H2494,'LƯƠNG KT'!$D$16:$Z$184,15,0)</f>
        <v>#N/A</v>
      </c>
      <c r="J2496" s="609" t="e">
        <f>I2496*$L$4</f>
        <v>#N/A</v>
      </c>
      <c r="K2496" s="935"/>
      <c r="L2496" s="935"/>
      <c r="M2496" s="935"/>
      <c r="N2496" s="935"/>
      <c r="O2496" s="935"/>
    </row>
    <row r="2497" spans="1:15" ht="15" customHeight="1">
      <c r="A2497" s="908" t="s">
        <v>364</v>
      </c>
      <c r="B2497" s="909" t="s">
        <v>2092</v>
      </c>
      <c r="C2497" s="910" t="e">
        <f>VLOOKUP(B2494,'LƯƠNG KT'!$D$16:$Z$184,16,0)</f>
        <v>#N/A</v>
      </c>
      <c r="D2497" s="609" t="e">
        <f>C2497*$L$5</f>
        <v>#N/A</v>
      </c>
      <c r="E2497" s="912"/>
      <c r="F2497" s="912"/>
      <c r="G2497" s="908" t="s">
        <v>364</v>
      </c>
      <c r="H2497" s="909" t="s">
        <v>2092</v>
      </c>
      <c r="I2497" s="910" t="e">
        <f>VLOOKUP(H2494,'LƯƠNG KT'!$D$16:$Z$184,16,0)</f>
        <v>#N/A</v>
      </c>
      <c r="J2497" s="609" t="e">
        <f>I2497*$L$5</f>
        <v>#N/A</v>
      </c>
      <c r="K2497" s="935"/>
      <c r="L2497" s="935"/>
      <c r="M2497" s="935"/>
      <c r="N2497" s="935"/>
      <c r="O2497" s="935"/>
    </row>
    <row r="2498" spans="1:15" ht="15" customHeight="1">
      <c r="A2498" s="908" t="s">
        <v>370</v>
      </c>
      <c r="B2498" s="909" t="s">
        <v>2093</v>
      </c>
      <c r="C2498" s="910" t="e">
        <f>VLOOKUP(B2494,'LƯƠNG KT'!$D$16:$Z$184,24,0)</f>
        <v>#N/A</v>
      </c>
      <c r="D2498" s="609" t="e">
        <f>+C2498*$L$6</f>
        <v>#N/A</v>
      </c>
      <c r="E2498" s="912"/>
      <c r="F2498" s="912"/>
      <c r="G2498" s="908" t="s">
        <v>370</v>
      </c>
      <c r="H2498" s="909" t="s">
        <v>2093</v>
      </c>
      <c r="I2498" s="910" t="e">
        <f>VLOOKUP(H2494,'LƯƠNG KT'!$D$16:$Z$184,24,0)</f>
        <v>#N/A</v>
      </c>
      <c r="J2498" s="609" t="e">
        <f>+I2498*$L$6</f>
        <v>#N/A</v>
      </c>
      <c r="K2498" s="935"/>
      <c r="L2498" s="935"/>
      <c r="M2498" s="935"/>
      <c r="N2498" s="935"/>
      <c r="O2498" s="935"/>
    </row>
    <row r="2499" spans="1:15" ht="15" customHeight="1">
      <c r="A2499" s="908" t="s">
        <v>2094</v>
      </c>
      <c r="B2499" s="909" t="s">
        <v>2095</v>
      </c>
      <c r="C2499" s="910" t="e">
        <f>VLOOKUP(B2494,'LƯƠNG KT'!$D$16:$Z$184,19,0)</f>
        <v>#N/A</v>
      </c>
      <c r="D2499" s="609" t="e">
        <f>+C2499*$L$8</f>
        <v>#N/A</v>
      </c>
      <c r="E2499" s="912"/>
      <c r="F2499" s="912"/>
      <c r="G2499" s="908" t="s">
        <v>2094</v>
      </c>
      <c r="H2499" s="909" t="s">
        <v>2095</v>
      </c>
      <c r="I2499" s="910" t="e">
        <f>VLOOKUP(H2494,'LƯƠNG KT'!$D$16:$Z$184,19,0)</f>
        <v>#N/A</v>
      </c>
      <c r="J2499" s="609" t="e">
        <f>+I2499*$L$8</f>
        <v>#N/A</v>
      </c>
      <c r="K2499" s="935"/>
      <c r="L2499" s="935"/>
      <c r="M2499" s="935"/>
      <c r="N2499" s="935"/>
      <c r="O2499" s="935"/>
    </row>
    <row r="2500" spans="1:15" ht="15" customHeight="1">
      <c r="A2500" s="908" t="s">
        <v>2096</v>
      </c>
      <c r="B2500" s="913" t="s">
        <v>2097</v>
      </c>
      <c r="C2500" s="910" t="e">
        <f>VLOOKUP(B2494,'LƯƠNG KT'!$D$16:$Z$184,20,0)</f>
        <v>#N/A</v>
      </c>
      <c r="D2500" s="609" t="e">
        <f>+C2500*$L$9</f>
        <v>#N/A</v>
      </c>
      <c r="E2500" s="912"/>
      <c r="F2500" s="912"/>
      <c r="G2500" s="908" t="s">
        <v>2096</v>
      </c>
      <c r="H2500" s="913" t="s">
        <v>2097</v>
      </c>
      <c r="I2500" s="910" t="e">
        <f>VLOOKUP(H2494,'LƯƠNG KT'!$D$16:$Z$184,20,0)</f>
        <v>#N/A</v>
      </c>
      <c r="J2500" s="609" t="e">
        <f>+I2500*$L$9</f>
        <v>#N/A</v>
      </c>
      <c r="K2500" s="935"/>
      <c r="L2500" s="935"/>
      <c r="M2500" s="935"/>
      <c r="N2500" s="935"/>
      <c r="O2500" s="935"/>
    </row>
    <row r="2501" spans="1:15" ht="15" customHeight="1">
      <c r="A2501" s="908" t="s">
        <v>2099</v>
      </c>
      <c r="B2501" s="909" t="s">
        <v>2100</v>
      </c>
      <c r="C2501" s="910" t="e">
        <f>VLOOKUP(B2494,'LƯƠNG KT'!$D$16:$Z$184,17,0)</f>
        <v>#N/A</v>
      </c>
      <c r="D2501" s="609" t="e">
        <f>+C2501*$L$10</f>
        <v>#N/A</v>
      </c>
      <c r="E2501" s="912"/>
      <c r="F2501" s="912"/>
      <c r="G2501" s="908" t="s">
        <v>2099</v>
      </c>
      <c r="H2501" s="909" t="s">
        <v>2100</v>
      </c>
      <c r="I2501" s="910" t="e">
        <f>VLOOKUP(H2494,'LƯƠNG KT'!$D$16:$Z$184,17,0)</f>
        <v>#N/A</v>
      </c>
      <c r="J2501" s="609" t="e">
        <f>+I2501*$L$10</f>
        <v>#N/A</v>
      </c>
      <c r="K2501" s="935"/>
      <c r="L2501" s="935"/>
      <c r="M2501" s="935"/>
      <c r="N2501" s="935"/>
      <c r="O2501" s="935"/>
    </row>
    <row r="2502" spans="1:15" ht="15" customHeight="1">
      <c r="A2502" s="908" t="s">
        <v>374</v>
      </c>
      <c r="B2502" s="909" t="s">
        <v>2102</v>
      </c>
      <c r="C2502" s="910" t="e">
        <f>VLOOKUP(B2494,'LƯƠNG KT'!$D$16:$Z$184,12,0)</f>
        <v>#N/A</v>
      </c>
      <c r="D2502" s="609" t="e">
        <f>VLOOKUP(B2494,'LƯƠNG KT'!$D$16:$Z$184,14,0)</f>
        <v>#N/A</v>
      </c>
      <c r="E2502" s="914"/>
      <c r="F2502" s="912"/>
      <c r="G2502" s="908" t="s">
        <v>374</v>
      </c>
      <c r="H2502" s="909" t="s">
        <v>2102</v>
      </c>
      <c r="I2502" s="910" t="e">
        <f>VLOOKUP(H2494,'LƯƠNG KT'!$D$16:$Z$184,12,0)</f>
        <v>#N/A</v>
      </c>
      <c r="J2502" s="609" t="e">
        <f>VLOOKUP(H2494,'LƯƠNG KT'!$D$16:$Z$184,14,0)</f>
        <v>#N/A</v>
      </c>
      <c r="K2502" s="935"/>
      <c r="L2502" s="935"/>
      <c r="M2502" s="935"/>
      <c r="N2502" s="935"/>
      <c r="O2502" s="935"/>
    </row>
    <row r="2503" spans="1:15" ht="15" customHeight="1">
      <c r="A2503" s="908" t="s">
        <v>2103</v>
      </c>
      <c r="B2503" s="909" t="s">
        <v>2104</v>
      </c>
      <c r="D2503" s="915" t="e">
        <f>VLOOKUP(B2494,'LƯƠNG KT'!$D$16:$Z$184,13,0)</f>
        <v>#N/A</v>
      </c>
      <c r="E2503" s="916"/>
      <c r="F2503" s="916"/>
      <c r="G2503" s="908" t="s">
        <v>2103</v>
      </c>
      <c r="H2503" s="909" t="s">
        <v>2104</v>
      </c>
      <c r="J2503" s="915" t="e">
        <f>VLOOKUP(H2494,'LƯƠNG KT'!$D$16:$Z$184,13,0)</f>
        <v>#N/A</v>
      </c>
    </row>
    <row r="2504" spans="1:15" ht="15" customHeight="1">
      <c r="A2504" s="547"/>
      <c r="B2504" s="546"/>
      <c r="C2504" s="910"/>
      <c r="D2504" s="609"/>
      <c r="E2504" s="914"/>
      <c r="F2504" s="916"/>
      <c r="G2504" s="547"/>
      <c r="H2504" s="546"/>
      <c r="I2504" s="910"/>
      <c r="J2504" s="609"/>
    </row>
    <row r="2505" spans="1:15" ht="15" customHeight="1">
      <c r="A2505" s="905"/>
      <c r="B2505" s="546"/>
      <c r="C2505" s="910"/>
      <c r="D2505" s="609"/>
      <c r="E2505" s="917"/>
      <c r="F2505" s="904"/>
      <c r="G2505" s="905"/>
      <c r="H2505" s="546"/>
      <c r="I2505" s="910"/>
      <c r="J2505" s="609"/>
    </row>
    <row r="2506" spans="1:15" ht="15" customHeight="1">
      <c r="A2506" s="918" t="s">
        <v>383</v>
      </c>
      <c r="B2506" s="919" t="s">
        <v>384</v>
      </c>
      <c r="C2506" s="920"/>
      <c r="D2506" s="921" t="e">
        <f>SUM(D2495:D2502)-D2505</f>
        <v>#N/A</v>
      </c>
      <c r="E2506" s="922"/>
      <c r="F2506" s="923"/>
      <c r="G2506" s="918" t="s">
        <v>383</v>
      </c>
      <c r="H2506" s="919" t="s">
        <v>384</v>
      </c>
      <c r="I2506" s="920"/>
      <c r="J2506" s="921" t="e">
        <f>SUM(J2495:J2502)-J2505</f>
        <v>#N/A</v>
      </c>
    </row>
    <row r="2507" spans="1:15" ht="18.75" customHeight="1">
      <c r="A2507" s="924"/>
      <c r="B2507" s="925"/>
      <c r="C2507" s="926"/>
      <c r="D2507" s="927"/>
      <c r="E2507" s="927"/>
      <c r="F2507" s="928"/>
      <c r="G2507" s="924"/>
      <c r="H2507" s="925"/>
      <c r="I2507" s="926"/>
      <c r="J2507" s="927"/>
    </row>
    <row r="2508" spans="1:15" ht="18.75" customHeight="1">
      <c r="A2508" s="925"/>
      <c r="B2508" s="925"/>
      <c r="C2508" s="929"/>
      <c r="D2508" s="930"/>
      <c r="E2508" s="925"/>
      <c r="F2508" s="931"/>
      <c r="G2508" s="925"/>
      <c r="H2508" s="925"/>
      <c r="I2508" s="929"/>
      <c r="J2508" s="930"/>
    </row>
    <row r="2509" spans="1:15" ht="15" customHeight="1">
      <c r="A2509" s="2360" t="str">
        <f>$K$2</f>
        <v>THÁNG 04/2025</v>
      </c>
      <c r="B2509" s="2360"/>
      <c r="C2509" s="2360"/>
      <c r="D2509" s="2360"/>
      <c r="E2509" s="903"/>
      <c r="F2509" s="904"/>
      <c r="G2509" s="2360" t="str">
        <f>$K$2</f>
        <v>THÁNG 04/2025</v>
      </c>
      <c r="H2509" s="2360"/>
      <c r="I2509" s="2360"/>
      <c r="J2509" s="2360"/>
      <c r="K2509" s="276"/>
    </row>
    <row r="2510" spans="1:15" ht="15" customHeight="1">
      <c r="A2510" s="905" t="s">
        <v>356</v>
      </c>
      <c r="B2510" s="642" t="s">
        <v>198</v>
      </c>
      <c r="C2510" s="546"/>
      <c r="D2510" s="902"/>
      <c r="E2510" s="906"/>
      <c r="F2510" s="907"/>
      <c r="G2510" s="905" t="s">
        <v>356</v>
      </c>
      <c r="H2510" s="642" t="s">
        <v>199</v>
      </c>
      <c r="I2510" s="546"/>
      <c r="J2510" s="902"/>
      <c r="L2510" s="938"/>
      <c r="M2510" s="938"/>
      <c r="N2510" s="938"/>
      <c r="O2510" s="938"/>
    </row>
    <row r="2511" spans="1:15" ht="15" customHeight="1">
      <c r="A2511" s="908" t="s">
        <v>359</v>
      </c>
      <c r="B2511" s="909" t="s">
        <v>2090</v>
      </c>
      <c r="C2511" s="910" t="e">
        <f>VLOOKUP(B2510,'LƯƠNG KT'!$D$16:$Z$184,4,0)</f>
        <v>#N/A</v>
      </c>
      <c r="D2511" s="609" t="e">
        <f>+C2511*25000</f>
        <v>#N/A</v>
      </c>
      <c r="E2511" s="911"/>
      <c r="F2511" s="911"/>
      <c r="G2511" s="908" t="s">
        <v>359</v>
      </c>
      <c r="H2511" s="909" t="s">
        <v>2090</v>
      </c>
      <c r="I2511" s="910" t="e">
        <f>VLOOKUP(H2510,'LƯƠNG KT'!$D$16:$Z$184,4,0)</f>
        <v>#N/A</v>
      </c>
      <c r="J2511" s="609" t="e">
        <f>+I2511*25000</f>
        <v>#N/A</v>
      </c>
      <c r="K2511" s="935"/>
      <c r="L2511" s="935"/>
      <c r="M2511" s="935"/>
      <c r="N2511" s="935"/>
      <c r="O2511" s="935"/>
    </row>
    <row r="2512" spans="1:15" ht="15" customHeight="1">
      <c r="A2512" s="908" t="s">
        <v>361</v>
      </c>
      <c r="B2512" s="909" t="s">
        <v>2091</v>
      </c>
      <c r="C2512" s="910" t="e">
        <f>VLOOKUP(B2510,'LƯƠNG KT'!$D$16:$Z$184,15,0)</f>
        <v>#N/A</v>
      </c>
      <c r="D2512" s="609" t="e">
        <f>C2512*$L$4</f>
        <v>#N/A</v>
      </c>
      <c r="E2512" s="912"/>
      <c r="F2512" s="912"/>
      <c r="G2512" s="908" t="s">
        <v>361</v>
      </c>
      <c r="H2512" s="909" t="s">
        <v>2091</v>
      </c>
      <c r="I2512" s="910" t="e">
        <f>VLOOKUP(H2510,'LƯƠNG KT'!$D$16:$Z$184,15,0)</f>
        <v>#N/A</v>
      </c>
      <c r="J2512" s="609" t="e">
        <f>I2512*$L$4</f>
        <v>#N/A</v>
      </c>
      <c r="K2512" s="935"/>
      <c r="L2512" s="935"/>
      <c r="M2512" s="935"/>
      <c r="N2512" s="935"/>
      <c r="O2512" s="935"/>
    </row>
    <row r="2513" spans="1:15" ht="15" customHeight="1">
      <c r="A2513" s="908" t="s">
        <v>364</v>
      </c>
      <c r="B2513" s="909" t="s">
        <v>2092</v>
      </c>
      <c r="C2513" s="910" t="e">
        <f>VLOOKUP(B2510,'LƯƠNG KT'!$D$16:$Z$184,16,0)</f>
        <v>#N/A</v>
      </c>
      <c r="D2513" s="609" t="e">
        <f>C2513*$L$5</f>
        <v>#N/A</v>
      </c>
      <c r="E2513" s="912"/>
      <c r="F2513" s="912"/>
      <c r="G2513" s="908" t="s">
        <v>364</v>
      </c>
      <c r="H2513" s="909" t="s">
        <v>2092</v>
      </c>
      <c r="I2513" s="910" t="e">
        <f>VLOOKUP(H2510,'LƯƠNG KT'!$D$16:$Z$184,16,0)</f>
        <v>#N/A</v>
      </c>
      <c r="J2513" s="609" t="e">
        <f>I2513*$L$5</f>
        <v>#N/A</v>
      </c>
      <c r="K2513" s="935"/>
      <c r="L2513" s="935"/>
      <c r="M2513" s="935"/>
      <c r="N2513" s="935"/>
      <c r="O2513" s="935"/>
    </row>
    <row r="2514" spans="1:15" ht="15" customHeight="1">
      <c r="A2514" s="908" t="s">
        <v>370</v>
      </c>
      <c r="B2514" s="909" t="s">
        <v>2093</v>
      </c>
      <c r="C2514" s="910" t="e">
        <f>VLOOKUP(B2510,'LƯƠNG KT'!$D$16:$Z$184,24,0)</f>
        <v>#N/A</v>
      </c>
      <c r="D2514" s="609" t="e">
        <f>+C2514*$L$6</f>
        <v>#N/A</v>
      </c>
      <c r="E2514" s="912"/>
      <c r="F2514" s="912"/>
      <c r="G2514" s="908" t="s">
        <v>370</v>
      </c>
      <c r="H2514" s="909" t="s">
        <v>2093</v>
      </c>
      <c r="I2514" s="910" t="e">
        <f>VLOOKUP(H2510,'LƯƠNG KT'!$D$16:$Z$184,24,0)</f>
        <v>#N/A</v>
      </c>
      <c r="J2514" s="609" t="e">
        <f>+I2514*$L$6</f>
        <v>#N/A</v>
      </c>
      <c r="K2514" s="935"/>
      <c r="L2514" s="935"/>
      <c r="M2514" s="935"/>
      <c r="N2514" s="935"/>
      <c r="O2514" s="935"/>
    </row>
    <row r="2515" spans="1:15" ht="15" customHeight="1">
      <c r="A2515" s="908" t="s">
        <v>2094</v>
      </c>
      <c r="B2515" s="909" t="s">
        <v>2095</v>
      </c>
      <c r="C2515" s="910" t="e">
        <f>VLOOKUP(B2510,'LƯƠNG KT'!$D$16:$Z$184,19,0)</f>
        <v>#N/A</v>
      </c>
      <c r="D2515" s="609" t="e">
        <f>+C2515*$L$8</f>
        <v>#N/A</v>
      </c>
      <c r="E2515" s="912"/>
      <c r="F2515" s="912"/>
      <c r="G2515" s="908" t="s">
        <v>2094</v>
      </c>
      <c r="H2515" s="909" t="s">
        <v>2095</v>
      </c>
      <c r="I2515" s="910" t="e">
        <f>VLOOKUP(H2510,'LƯƠNG KT'!$D$16:$Z$184,19,0)</f>
        <v>#N/A</v>
      </c>
      <c r="J2515" s="609" t="e">
        <f>+I2515*$L$8</f>
        <v>#N/A</v>
      </c>
      <c r="K2515" s="935"/>
      <c r="L2515" s="935"/>
      <c r="M2515" s="935"/>
      <c r="N2515" s="935"/>
      <c r="O2515" s="935"/>
    </row>
    <row r="2516" spans="1:15" ht="15" customHeight="1">
      <c r="A2516" s="908" t="s">
        <v>2096</v>
      </c>
      <c r="B2516" s="913" t="s">
        <v>2097</v>
      </c>
      <c r="C2516" s="910" t="e">
        <f>VLOOKUP(B2510,'LƯƠNG KT'!$D$16:$Z$184,20,0)</f>
        <v>#N/A</v>
      </c>
      <c r="D2516" s="609" t="e">
        <f>+C2516*$L$9</f>
        <v>#N/A</v>
      </c>
      <c r="E2516" s="912"/>
      <c r="F2516" s="912"/>
      <c r="G2516" s="908" t="s">
        <v>2096</v>
      </c>
      <c r="H2516" s="913" t="s">
        <v>2097</v>
      </c>
      <c r="I2516" s="910" t="e">
        <f>VLOOKUP(H2510,'LƯƠNG KT'!$D$16:$Z$184,20,0)</f>
        <v>#N/A</v>
      </c>
      <c r="J2516" s="609" t="e">
        <f>+I2516*$L$9</f>
        <v>#N/A</v>
      </c>
      <c r="K2516" s="935"/>
      <c r="L2516" s="935"/>
      <c r="M2516" s="935"/>
      <c r="N2516" s="935"/>
      <c r="O2516" s="935"/>
    </row>
    <row r="2517" spans="1:15" ht="15" customHeight="1">
      <c r="A2517" s="908" t="s">
        <v>2099</v>
      </c>
      <c r="B2517" s="909" t="s">
        <v>2100</v>
      </c>
      <c r="C2517" s="910" t="e">
        <f>VLOOKUP(B2510,'LƯƠNG KT'!$D$16:$Z$184,17,0)</f>
        <v>#N/A</v>
      </c>
      <c r="D2517" s="609" t="e">
        <f>+C2517*$L$10</f>
        <v>#N/A</v>
      </c>
      <c r="E2517" s="912"/>
      <c r="F2517" s="912"/>
      <c r="G2517" s="908" t="s">
        <v>2099</v>
      </c>
      <c r="H2517" s="909" t="s">
        <v>2100</v>
      </c>
      <c r="I2517" s="910" t="e">
        <f>VLOOKUP(H2510,'LƯƠNG KT'!$D$16:$Z$184,17,0)</f>
        <v>#N/A</v>
      </c>
      <c r="J2517" s="609" t="e">
        <f>+I2517*$L$10</f>
        <v>#N/A</v>
      </c>
      <c r="K2517" s="935"/>
      <c r="L2517" s="935"/>
      <c r="M2517" s="935"/>
      <c r="N2517" s="935"/>
      <c r="O2517" s="935"/>
    </row>
    <row r="2518" spans="1:15" ht="15" customHeight="1">
      <c r="A2518" s="908" t="s">
        <v>374</v>
      </c>
      <c r="B2518" s="909" t="s">
        <v>2102</v>
      </c>
      <c r="C2518" s="910" t="e">
        <f>VLOOKUP(B2510,'LƯƠNG KT'!$D$16:$Z$184,12,0)</f>
        <v>#N/A</v>
      </c>
      <c r="D2518" s="609" t="e">
        <f>VLOOKUP(B2510,'LƯƠNG KT'!$D$16:$Z$184,14,0)</f>
        <v>#N/A</v>
      </c>
      <c r="E2518" s="914"/>
      <c r="F2518" s="912"/>
      <c r="G2518" s="908" t="s">
        <v>374</v>
      </c>
      <c r="H2518" s="909" t="s">
        <v>2102</v>
      </c>
      <c r="I2518" s="910" t="e">
        <f>VLOOKUP(H2510,'LƯƠNG KT'!$D$16:$Z$184,12,0)</f>
        <v>#N/A</v>
      </c>
      <c r="J2518" s="609" t="e">
        <f>VLOOKUP(H2510,'LƯƠNG KT'!$D$16:$Z$184,14,0)</f>
        <v>#N/A</v>
      </c>
      <c r="K2518" s="935"/>
      <c r="L2518" s="935"/>
      <c r="M2518" s="935"/>
      <c r="N2518" s="935"/>
      <c r="O2518" s="935"/>
    </row>
    <row r="2519" spans="1:15" ht="15" customHeight="1">
      <c r="A2519" s="908" t="s">
        <v>2103</v>
      </c>
      <c r="B2519" s="909" t="s">
        <v>2104</v>
      </c>
      <c r="D2519" s="915" t="e">
        <f>VLOOKUP(B2510,'LƯƠNG KT'!$D$16:$Z$184,13,0)</f>
        <v>#N/A</v>
      </c>
      <c r="E2519" s="916"/>
      <c r="F2519" s="916"/>
      <c r="G2519" s="908" t="s">
        <v>2103</v>
      </c>
      <c r="H2519" s="909" t="s">
        <v>2104</v>
      </c>
      <c r="J2519" s="915" t="e">
        <f>VLOOKUP(H2510,'LƯƠNG KT'!$D$16:$Z$184,13,0)</f>
        <v>#N/A</v>
      </c>
    </row>
    <row r="2520" spans="1:15" ht="15" customHeight="1">
      <c r="A2520" s="547"/>
      <c r="B2520" s="546"/>
      <c r="C2520" s="910"/>
      <c r="D2520" s="609"/>
      <c r="E2520" s="914"/>
      <c r="F2520" s="916"/>
      <c r="G2520" s="547"/>
      <c r="H2520" s="546"/>
      <c r="I2520" s="910"/>
      <c r="J2520" s="609"/>
    </row>
    <row r="2521" spans="1:15" ht="15" customHeight="1">
      <c r="A2521" s="905"/>
      <c r="B2521" s="546"/>
      <c r="C2521" s="910"/>
      <c r="D2521" s="609"/>
      <c r="E2521" s="917"/>
      <c r="F2521" s="904"/>
      <c r="G2521" s="905"/>
      <c r="H2521" s="546"/>
      <c r="I2521" s="910"/>
      <c r="J2521" s="609"/>
    </row>
    <row r="2522" spans="1:15" ht="15" customHeight="1">
      <c r="A2522" s="918" t="s">
        <v>383</v>
      </c>
      <c r="B2522" s="919" t="s">
        <v>384</v>
      </c>
      <c r="C2522" s="920"/>
      <c r="D2522" s="921" t="e">
        <f>SUM(D2511:D2518)-D2521</f>
        <v>#N/A</v>
      </c>
      <c r="E2522" s="922"/>
      <c r="F2522" s="923"/>
      <c r="G2522" s="918" t="s">
        <v>383</v>
      </c>
      <c r="H2522" s="919" t="s">
        <v>384</v>
      </c>
      <c r="I2522" s="920"/>
      <c r="J2522" s="921" t="e">
        <f>SUM(J2511:J2518)-J2521</f>
        <v>#N/A</v>
      </c>
    </row>
    <row r="2523" spans="1:15" ht="18.75" customHeight="1">
      <c r="A2523" s="924"/>
      <c r="B2523" s="925"/>
      <c r="C2523" s="926"/>
      <c r="D2523" s="927"/>
      <c r="E2523" s="927"/>
      <c r="F2523" s="928"/>
      <c r="G2523" s="924"/>
      <c r="H2523" s="925"/>
      <c r="I2523" s="926"/>
      <c r="J2523" s="927"/>
    </row>
    <row r="2524" spans="1:15" ht="152.25" customHeight="1">
      <c r="A2524" s="925"/>
      <c r="B2524" s="925"/>
      <c r="C2524" s="929"/>
      <c r="D2524" s="930"/>
      <c r="E2524" s="925"/>
      <c r="F2524" s="931"/>
      <c r="G2524" s="925"/>
      <c r="H2524" s="925"/>
      <c r="I2524" s="929"/>
      <c r="J2524" s="930"/>
    </row>
    <row r="2525" spans="1:15" ht="15" customHeight="1">
      <c r="A2525" s="2360" t="str">
        <f>$K$2</f>
        <v>THÁNG 04/2025</v>
      </c>
      <c r="B2525" s="2360"/>
      <c r="C2525" s="2360"/>
      <c r="D2525" s="2360"/>
      <c r="E2525" s="903"/>
      <c r="F2525" s="904"/>
      <c r="G2525" s="2360" t="str">
        <f>$K$2</f>
        <v>THÁNG 04/2025</v>
      </c>
      <c r="H2525" s="2360"/>
      <c r="I2525" s="2360"/>
      <c r="J2525" s="2360"/>
      <c r="K2525" s="276"/>
    </row>
    <row r="2526" spans="1:15" ht="15" customHeight="1">
      <c r="A2526" s="905" t="s">
        <v>356</v>
      </c>
      <c r="B2526" s="642" t="s">
        <v>200</v>
      </c>
      <c r="C2526" s="546"/>
      <c r="D2526" s="902"/>
      <c r="E2526" s="906"/>
      <c r="F2526" s="907"/>
      <c r="G2526" s="905" t="s">
        <v>356</v>
      </c>
      <c r="H2526" s="642" t="s">
        <v>201</v>
      </c>
      <c r="I2526" s="546"/>
      <c r="J2526" s="902"/>
      <c r="L2526" s="938"/>
      <c r="M2526" s="938"/>
      <c r="N2526" s="938"/>
      <c r="O2526" s="938"/>
    </row>
    <row r="2527" spans="1:15" ht="15" customHeight="1">
      <c r="A2527" s="908" t="s">
        <v>359</v>
      </c>
      <c r="B2527" s="909" t="s">
        <v>2090</v>
      </c>
      <c r="C2527" s="910" t="e">
        <f>VLOOKUP(B2526,'LƯƠNG KT'!$D$16:$Z$184,4,0)</f>
        <v>#N/A</v>
      </c>
      <c r="D2527" s="609" t="e">
        <f>+C2527*25000</f>
        <v>#N/A</v>
      </c>
      <c r="E2527" s="911"/>
      <c r="F2527" s="911"/>
      <c r="G2527" s="908" t="s">
        <v>359</v>
      </c>
      <c r="H2527" s="909" t="s">
        <v>2090</v>
      </c>
      <c r="I2527" s="910" t="e">
        <f>VLOOKUP(H2526,'LƯƠNG KT'!$D$16:$Z$184,4,0)</f>
        <v>#N/A</v>
      </c>
      <c r="J2527" s="609" t="e">
        <f>+I2527*25000</f>
        <v>#N/A</v>
      </c>
      <c r="K2527" s="935"/>
      <c r="L2527" s="935"/>
      <c r="M2527" s="935"/>
      <c r="N2527" s="935"/>
      <c r="O2527" s="935"/>
    </row>
    <row r="2528" spans="1:15" ht="15" customHeight="1">
      <c r="A2528" s="908" t="s">
        <v>361</v>
      </c>
      <c r="B2528" s="909" t="s">
        <v>2091</v>
      </c>
      <c r="C2528" s="910" t="e">
        <f>VLOOKUP(B2526,'LƯƠNG KT'!$D$16:$Z$184,15,0)</f>
        <v>#N/A</v>
      </c>
      <c r="D2528" s="609" t="e">
        <f>C2528*$L$4</f>
        <v>#N/A</v>
      </c>
      <c r="E2528" s="912"/>
      <c r="F2528" s="912"/>
      <c r="G2528" s="908" t="s">
        <v>361</v>
      </c>
      <c r="H2528" s="909" t="s">
        <v>2091</v>
      </c>
      <c r="I2528" s="910" t="e">
        <f>VLOOKUP(H2526,'LƯƠNG KT'!$D$16:$Z$184,15,0)</f>
        <v>#N/A</v>
      </c>
      <c r="J2528" s="609" t="e">
        <f>I2528*$L$4</f>
        <v>#N/A</v>
      </c>
      <c r="K2528" s="935"/>
      <c r="L2528" s="935"/>
      <c r="M2528" s="935"/>
      <c r="N2528" s="935"/>
      <c r="O2528" s="935"/>
    </row>
    <row r="2529" spans="1:15" ht="15" customHeight="1">
      <c r="A2529" s="908" t="s">
        <v>364</v>
      </c>
      <c r="B2529" s="909" t="s">
        <v>2092</v>
      </c>
      <c r="C2529" s="910" t="e">
        <f>VLOOKUP(B2526,'LƯƠNG KT'!$D$16:$Z$184,16,0)</f>
        <v>#N/A</v>
      </c>
      <c r="D2529" s="609" t="e">
        <f>C2529*$L$5</f>
        <v>#N/A</v>
      </c>
      <c r="E2529" s="912"/>
      <c r="F2529" s="912"/>
      <c r="G2529" s="908" t="s">
        <v>364</v>
      </c>
      <c r="H2529" s="909" t="s">
        <v>2092</v>
      </c>
      <c r="I2529" s="910" t="e">
        <f>VLOOKUP(H2526,'LƯƠNG KT'!$D$16:$Z$184,16,0)</f>
        <v>#N/A</v>
      </c>
      <c r="J2529" s="609" t="e">
        <f>I2529*$L$5</f>
        <v>#N/A</v>
      </c>
      <c r="K2529" s="935"/>
      <c r="L2529" s="935"/>
      <c r="M2529" s="935"/>
      <c r="N2529" s="935"/>
      <c r="O2529" s="935"/>
    </row>
    <row r="2530" spans="1:15" ht="15" customHeight="1">
      <c r="A2530" s="908" t="s">
        <v>370</v>
      </c>
      <c r="B2530" s="909" t="s">
        <v>2093</v>
      </c>
      <c r="C2530" s="910" t="e">
        <f>VLOOKUP(B2526,'LƯƠNG KT'!$D$16:$Z$184,24,0)</f>
        <v>#N/A</v>
      </c>
      <c r="D2530" s="609" t="e">
        <f>+C2530*$L$6</f>
        <v>#N/A</v>
      </c>
      <c r="E2530" s="912"/>
      <c r="F2530" s="912"/>
      <c r="G2530" s="908" t="s">
        <v>370</v>
      </c>
      <c r="H2530" s="909" t="s">
        <v>2093</v>
      </c>
      <c r="I2530" s="910" t="e">
        <f>VLOOKUP(H2526,'LƯƠNG KT'!$D$16:$Z$184,24,0)</f>
        <v>#N/A</v>
      </c>
      <c r="J2530" s="609" t="e">
        <f>+I2530*$L$6</f>
        <v>#N/A</v>
      </c>
      <c r="K2530" s="935"/>
      <c r="L2530" s="935"/>
      <c r="M2530" s="935"/>
      <c r="N2530" s="935"/>
      <c r="O2530" s="935"/>
    </row>
    <row r="2531" spans="1:15" ht="15" customHeight="1">
      <c r="A2531" s="908" t="s">
        <v>2094</v>
      </c>
      <c r="B2531" s="909" t="s">
        <v>2095</v>
      </c>
      <c r="C2531" s="910" t="e">
        <f>VLOOKUP(B2526,'LƯƠNG KT'!$D$16:$Z$184,19,0)</f>
        <v>#N/A</v>
      </c>
      <c r="D2531" s="609" t="e">
        <f>+C2531*$L$8</f>
        <v>#N/A</v>
      </c>
      <c r="E2531" s="912"/>
      <c r="F2531" s="912"/>
      <c r="G2531" s="908" t="s">
        <v>2094</v>
      </c>
      <c r="H2531" s="909" t="s">
        <v>2095</v>
      </c>
      <c r="I2531" s="910" t="e">
        <f>VLOOKUP(H2526,'LƯƠNG KT'!$D$16:$Z$184,19,0)</f>
        <v>#N/A</v>
      </c>
      <c r="J2531" s="609" t="e">
        <f>+I2531*$L$8</f>
        <v>#N/A</v>
      </c>
      <c r="K2531" s="935"/>
      <c r="L2531" s="935"/>
      <c r="M2531" s="935"/>
      <c r="N2531" s="935"/>
      <c r="O2531" s="935"/>
    </row>
    <row r="2532" spans="1:15" ht="15" customHeight="1">
      <c r="A2532" s="908" t="s">
        <v>2096</v>
      </c>
      <c r="B2532" s="913" t="s">
        <v>2097</v>
      </c>
      <c r="C2532" s="910" t="e">
        <f>VLOOKUP(B2526,'LƯƠNG KT'!$D$16:$Z$184,20,0)</f>
        <v>#N/A</v>
      </c>
      <c r="D2532" s="609" t="e">
        <f>+C2532*$L$9</f>
        <v>#N/A</v>
      </c>
      <c r="E2532" s="912"/>
      <c r="F2532" s="912"/>
      <c r="G2532" s="908" t="s">
        <v>2096</v>
      </c>
      <c r="H2532" s="913" t="s">
        <v>2097</v>
      </c>
      <c r="I2532" s="910" t="e">
        <f>VLOOKUP(H2526,'LƯƠNG KT'!$D$16:$Z$184,20,0)</f>
        <v>#N/A</v>
      </c>
      <c r="J2532" s="609" t="e">
        <f>+I2532*$L$9</f>
        <v>#N/A</v>
      </c>
      <c r="K2532" s="935"/>
      <c r="L2532" s="935"/>
      <c r="M2532" s="935"/>
      <c r="N2532" s="935"/>
      <c r="O2532" s="935"/>
    </row>
    <row r="2533" spans="1:15" ht="15" customHeight="1">
      <c r="A2533" s="908" t="s">
        <v>2099</v>
      </c>
      <c r="B2533" s="909" t="s">
        <v>2100</v>
      </c>
      <c r="C2533" s="910" t="e">
        <f>VLOOKUP(B2526,'LƯƠNG KT'!$D$16:$Z$184,17,0)</f>
        <v>#N/A</v>
      </c>
      <c r="D2533" s="609" t="e">
        <f>+C2533*$L$10</f>
        <v>#N/A</v>
      </c>
      <c r="E2533" s="912"/>
      <c r="F2533" s="912"/>
      <c r="G2533" s="908" t="s">
        <v>2099</v>
      </c>
      <c r="H2533" s="909" t="s">
        <v>2100</v>
      </c>
      <c r="I2533" s="910" t="e">
        <f>VLOOKUP(H2526,'LƯƠNG KT'!$D$16:$Z$184,17,0)</f>
        <v>#N/A</v>
      </c>
      <c r="J2533" s="609" t="e">
        <f>+I2533*$L$10</f>
        <v>#N/A</v>
      </c>
      <c r="K2533" s="935"/>
      <c r="L2533" s="935"/>
      <c r="M2533" s="935"/>
      <c r="N2533" s="935"/>
      <c r="O2533" s="935"/>
    </row>
    <row r="2534" spans="1:15" ht="15" customHeight="1">
      <c r="A2534" s="908" t="s">
        <v>374</v>
      </c>
      <c r="B2534" s="909" t="s">
        <v>2102</v>
      </c>
      <c r="C2534" s="910" t="e">
        <f>VLOOKUP(B2526,'LƯƠNG KT'!$D$16:$Z$184,12,0)</f>
        <v>#N/A</v>
      </c>
      <c r="D2534" s="609" t="e">
        <f>VLOOKUP(B2526,'LƯƠNG KT'!$D$16:$Z$184,14,0)</f>
        <v>#N/A</v>
      </c>
      <c r="E2534" s="914"/>
      <c r="F2534" s="912"/>
      <c r="G2534" s="908" t="s">
        <v>374</v>
      </c>
      <c r="H2534" s="909" t="s">
        <v>2102</v>
      </c>
      <c r="I2534" s="910" t="e">
        <f>VLOOKUP(H2526,'LƯƠNG KT'!$D$16:$Z$184,12,0)</f>
        <v>#N/A</v>
      </c>
      <c r="J2534" s="609" t="e">
        <f>VLOOKUP(H2526,'LƯƠNG KT'!$D$16:$Z$184,14,0)</f>
        <v>#N/A</v>
      </c>
      <c r="K2534" s="935"/>
      <c r="L2534" s="935"/>
      <c r="M2534" s="935"/>
      <c r="N2534" s="935"/>
      <c r="O2534" s="935"/>
    </row>
    <row r="2535" spans="1:15" ht="15" customHeight="1">
      <c r="A2535" s="908" t="s">
        <v>2103</v>
      </c>
      <c r="B2535" s="909" t="s">
        <v>2104</v>
      </c>
      <c r="D2535" s="915" t="e">
        <f>VLOOKUP(B2526,'LƯƠNG KT'!$D$16:$Z$184,13,0)</f>
        <v>#N/A</v>
      </c>
      <c r="E2535" s="916"/>
      <c r="F2535" s="916"/>
      <c r="G2535" s="908" t="s">
        <v>2103</v>
      </c>
      <c r="H2535" s="909" t="s">
        <v>2104</v>
      </c>
      <c r="J2535" s="915" t="e">
        <f>VLOOKUP(H2526,'LƯƠNG KT'!$D$16:$Z$184,13,0)</f>
        <v>#N/A</v>
      </c>
    </row>
    <row r="2536" spans="1:15" ht="15" customHeight="1">
      <c r="A2536" s="547"/>
      <c r="B2536" s="546"/>
      <c r="C2536" s="910"/>
      <c r="D2536" s="609"/>
      <c r="E2536" s="914"/>
      <c r="F2536" s="916"/>
      <c r="G2536" s="547"/>
      <c r="H2536" s="546"/>
      <c r="I2536" s="910"/>
      <c r="J2536" s="609"/>
    </row>
    <row r="2537" spans="1:15" ht="15" customHeight="1">
      <c r="A2537" s="905"/>
      <c r="B2537" s="546"/>
      <c r="C2537" s="910"/>
      <c r="D2537" s="609"/>
      <c r="E2537" s="917"/>
      <c r="F2537" s="904"/>
      <c r="G2537" s="905"/>
      <c r="H2537" s="546"/>
      <c r="I2537" s="910"/>
      <c r="J2537" s="609"/>
    </row>
    <row r="2538" spans="1:15" ht="15" customHeight="1">
      <c r="A2538" s="918" t="s">
        <v>383</v>
      </c>
      <c r="B2538" s="919" t="s">
        <v>384</v>
      </c>
      <c r="C2538" s="920"/>
      <c r="D2538" s="921" t="e">
        <f>SUM(D2527:D2534)-D2537</f>
        <v>#N/A</v>
      </c>
      <c r="E2538" s="922"/>
      <c r="F2538" s="923"/>
      <c r="G2538" s="918" t="s">
        <v>383</v>
      </c>
      <c r="H2538" s="919" t="s">
        <v>384</v>
      </c>
      <c r="I2538" s="920"/>
      <c r="J2538" s="921" t="e">
        <f>SUM(J2527:J2534)-J2537</f>
        <v>#N/A</v>
      </c>
    </row>
    <row r="2539" spans="1:15" ht="15.75" customHeight="1">
      <c r="A2539" s="924"/>
      <c r="B2539" s="925"/>
      <c r="C2539" s="926"/>
      <c r="D2539" s="927"/>
      <c r="E2539" s="927"/>
      <c r="F2539" s="928"/>
      <c r="G2539" s="924"/>
      <c r="H2539" s="925"/>
      <c r="I2539" s="926"/>
      <c r="J2539" s="927"/>
    </row>
    <row r="2541" spans="1:15" ht="12" customHeight="1">
      <c r="A2541" s="2361"/>
      <c r="B2541" s="2361"/>
      <c r="C2541" s="2361"/>
      <c r="D2541" s="2361"/>
      <c r="E2541" s="2361"/>
      <c r="F2541" s="2361"/>
      <c r="G2541" s="2361"/>
      <c r="H2541" s="2361"/>
      <c r="I2541" s="2361"/>
      <c r="J2541" s="2361"/>
    </row>
    <row r="2542" spans="1:15" ht="15" customHeight="1">
      <c r="A2542" s="2360" t="str">
        <f>$K$2</f>
        <v>THÁNG 04/2025</v>
      </c>
      <c r="B2542" s="2360"/>
      <c r="C2542" s="2360"/>
      <c r="D2542" s="2360"/>
      <c r="E2542" s="903"/>
      <c r="F2542" s="904"/>
      <c r="G2542" s="2360" t="str">
        <f>$K$2</f>
        <v>THÁNG 04/2025</v>
      </c>
      <c r="H2542" s="2360"/>
      <c r="I2542" s="2360"/>
      <c r="J2542" s="2360"/>
      <c r="K2542" s="276"/>
    </row>
    <row r="2543" spans="1:15" ht="15" customHeight="1">
      <c r="A2543" s="905" t="s">
        <v>356</v>
      </c>
      <c r="B2543" s="642" t="s">
        <v>202</v>
      </c>
      <c r="C2543" s="546"/>
      <c r="D2543" s="902"/>
      <c r="E2543" s="906"/>
      <c r="F2543" s="907"/>
      <c r="G2543" s="905" t="s">
        <v>356</v>
      </c>
      <c r="H2543" s="642" t="s">
        <v>203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8" t="s">
        <v>359</v>
      </c>
      <c r="B2544" s="909" t="s">
        <v>2090</v>
      </c>
      <c r="C2544" s="910" t="e">
        <f>VLOOKUP(B2543,'LƯƠNG KT'!$D$16:$Z$184,4,0)</f>
        <v>#N/A</v>
      </c>
      <c r="D2544" s="609" t="e">
        <f>+C2544*25000</f>
        <v>#N/A</v>
      </c>
      <c r="E2544" s="911"/>
      <c r="F2544" s="911"/>
      <c r="G2544" s="908" t="s">
        <v>359</v>
      </c>
      <c r="H2544" s="909" t="s">
        <v>2090</v>
      </c>
      <c r="I2544" s="910" t="e">
        <f>VLOOKUP(H2543,'LƯƠNG KT'!$D$16:$Z$184,4,0)</f>
        <v>#N/A</v>
      </c>
      <c r="J2544" s="609" t="e">
        <f>+I2544*25000</f>
        <v>#N/A</v>
      </c>
      <c r="K2544" s="934"/>
      <c r="L2544" s="935"/>
      <c r="M2544" s="935"/>
      <c r="N2544" s="935"/>
      <c r="O2544" s="935"/>
    </row>
    <row r="2545" spans="1:15" ht="15" customHeight="1">
      <c r="A2545" s="908" t="s">
        <v>361</v>
      </c>
      <c r="B2545" s="909" t="s">
        <v>2091</v>
      </c>
      <c r="C2545" s="910" t="e">
        <f>VLOOKUP(B2543,'LƯƠNG KT'!$D$16:$Z$184,15,0)</f>
        <v>#N/A</v>
      </c>
      <c r="D2545" s="609" t="e">
        <f>C2545*$L$4</f>
        <v>#N/A</v>
      </c>
      <c r="E2545" s="912"/>
      <c r="F2545" s="912"/>
      <c r="G2545" s="908" t="s">
        <v>361</v>
      </c>
      <c r="H2545" s="909" t="s">
        <v>2091</v>
      </c>
      <c r="I2545" s="910" t="e">
        <f>VLOOKUP(H2543,'LƯƠNG KT'!$D$16:$Z$184,15,0)</f>
        <v>#N/A</v>
      </c>
      <c r="J2545" s="609" t="e">
        <f>I2545*$L$4</f>
        <v>#N/A</v>
      </c>
      <c r="K2545" s="934"/>
      <c r="L2545" s="935"/>
      <c r="M2545" s="935"/>
      <c r="N2545" s="935"/>
      <c r="O2545" s="935"/>
    </row>
    <row r="2546" spans="1:15" ht="15" customHeight="1">
      <c r="A2546" s="908" t="s">
        <v>364</v>
      </c>
      <c r="B2546" s="909" t="s">
        <v>2092</v>
      </c>
      <c r="C2546" s="910" t="e">
        <f>VLOOKUP(B2543,'LƯƠNG KT'!$D$16:$Z$184,16,0)</f>
        <v>#N/A</v>
      </c>
      <c r="D2546" s="609" t="e">
        <f>C2546*$L$5</f>
        <v>#N/A</v>
      </c>
      <c r="E2546" s="912"/>
      <c r="F2546" s="912"/>
      <c r="G2546" s="908" t="s">
        <v>364</v>
      </c>
      <c r="H2546" s="909" t="s">
        <v>2092</v>
      </c>
      <c r="I2546" s="910" t="e">
        <f>VLOOKUP(H2543,'LƯƠNG KT'!$D$16:$Z$184,16,0)</f>
        <v>#N/A</v>
      </c>
      <c r="J2546" s="609" t="e">
        <f>I2546*$L$5</f>
        <v>#N/A</v>
      </c>
      <c r="K2546" s="934"/>
      <c r="L2546" s="935"/>
      <c r="M2546" s="935"/>
      <c r="N2546" s="935"/>
      <c r="O2546" s="935"/>
    </row>
    <row r="2547" spans="1:15" ht="15" customHeight="1">
      <c r="A2547" s="908" t="s">
        <v>370</v>
      </c>
      <c r="B2547" s="909" t="s">
        <v>2093</v>
      </c>
      <c r="C2547" s="910" t="e">
        <f>VLOOKUP(B2543,'LƯƠNG KT'!$D$16:$Z$184,24,0)</f>
        <v>#N/A</v>
      </c>
      <c r="D2547" s="609" t="e">
        <f>+C2547*$L$6</f>
        <v>#N/A</v>
      </c>
      <c r="E2547" s="912"/>
      <c r="F2547" s="912"/>
      <c r="G2547" s="908" t="s">
        <v>370</v>
      </c>
      <c r="H2547" s="909" t="s">
        <v>2093</v>
      </c>
      <c r="I2547" s="910" t="e">
        <f>VLOOKUP(H2543,'LƯƠNG KT'!$D$16:$Z$184,24,0)</f>
        <v>#N/A</v>
      </c>
      <c r="J2547" s="609" t="e">
        <f>+I2547*$L$6</f>
        <v>#N/A</v>
      </c>
      <c r="K2547" s="935"/>
      <c r="L2547" s="935"/>
      <c r="M2547" s="935"/>
      <c r="N2547" s="935"/>
      <c r="O2547" s="935"/>
    </row>
    <row r="2548" spans="1:15" ht="15" customHeight="1">
      <c r="A2548" s="908" t="s">
        <v>2094</v>
      </c>
      <c r="B2548" s="909" t="s">
        <v>2095</v>
      </c>
      <c r="C2548" s="910" t="e">
        <f>VLOOKUP(B2543,'LƯƠNG KT'!$D$16:$Z$184,19,0)</f>
        <v>#N/A</v>
      </c>
      <c r="D2548" s="609" t="e">
        <f>+C2548*$L$8</f>
        <v>#N/A</v>
      </c>
      <c r="E2548" s="912"/>
      <c r="F2548" s="912"/>
      <c r="G2548" s="908" t="s">
        <v>2094</v>
      </c>
      <c r="H2548" s="909" t="s">
        <v>2095</v>
      </c>
      <c r="I2548" s="910" t="e">
        <f>VLOOKUP(H2543,'LƯƠNG KT'!$D$16:$Z$184,19,0)</f>
        <v>#N/A</v>
      </c>
      <c r="J2548" s="609" t="e">
        <f>+I2548*$L$8</f>
        <v>#N/A</v>
      </c>
      <c r="K2548" s="935"/>
      <c r="L2548" s="935"/>
      <c r="M2548" s="935"/>
      <c r="N2548" s="935"/>
      <c r="O2548" s="935"/>
    </row>
    <row r="2549" spans="1:15" ht="15" customHeight="1">
      <c r="A2549" s="908" t="s">
        <v>2096</v>
      </c>
      <c r="B2549" s="913" t="s">
        <v>2097</v>
      </c>
      <c r="C2549" s="910" t="e">
        <f>VLOOKUP(B2543,'LƯƠNG KT'!$D$16:$Z$184,20,0)</f>
        <v>#N/A</v>
      </c>
      <c r="D2549" s="609" t="e">
        <f>+C2549*$L$9</f>
        <v>#N/A</v>
      </c>
      <c r="E2549" s="912"/>
      <c r="F2549" s="912"/>
      <c r="G2549" s="908" t="s">
        <v>2096</v>
      </c>
      <c r="H2549" s="913" t="s">
        <v>2097</v>
      </c>
      <c r="I2549" s="910" t="e">
        <f>VLOOKUP(H2543,'LƯƠNG KT'!$D$16:$Z$184,20,0)</f>
        <v>#N/A</v>
      </c>
      <c r="J2549" s="609" t="e">
        <f>+I2549*$L$9</f>
        <v>#N/A</v>
      </c>
      <c r="K2549" s="935"/>
      <c r="L2549" s="935"/>
      <c r="M2549" s="935"/>
      <c r="N2549" s="935"/>
      <c r="O2549" s="935"/>
    </row>
    <row r="2550" spans="1:15" ht="15" customHeight="1">
      <c r="A2550" s="908" t="s">
        <v>2099</v>
      </c>
      <c r="B2550" s="909" t="s">
        <v>2100</v>
      </c>
      <c r="C2550" s="910" t="e">
        <f>VLOOKUP(B2543,'LƯƠNG KT'!$D$16:$Z$184,17,0)</f>
        <v>#N/A</v>
      </c>
      <c r="D2550" s="609" t="e">
        <f>+C2550*$L$10</f>
        <v>#N/A</v>
      </c>
      <c r="E2550" s="912"/>
      <c r="F2550" s="912"/>
      <c r="G2550" s="908" t="s">
        <v>2099</v>
      </c>
      <c r="H2550" s="909" t="s">
        <v>2100</v>
      </c>
      <c r="I2550" s="910" t="e">
        <f>VLOOKUP(H2543,'LƯƠNG KT'!$D$16:$Z$184,17,0)</f>
        <v>#N/A</v>
      </c>
      <c r="J2550" s="609" t="e">
        <f>+I2550*$L$10</f>
        <v>#N/A</v>
      </c>
      <c r="K2550" s="935"/>
      <c r="L2550" s="935"/>
      <c r="M2550" s="935"/>
      <c r="N2550" s="935"/>
      <c r="O2550" s="935"/>
    </row>
    <row r="2551" spans="1:15" ht="15" customHeight="1">
      <c r="A2551" s="908" t="s">
        <v>374</v>
      </c>
      <c r="B2551" s="909" t="s">
        <v>2102</v>
      </c>
      <c r="C2551" s="910" t="e">
        <f>VLOOKUP(B2543,'LƯƠNG KT'!$D$16:$Z$184,12,0)</f>
        <v>#N/A</v>
      </c>
      <c r="D2551" s="609" t="e">
        <f>VLOOKUP(B2543,'LƯƠNG KT'!$D$16:$Z$184,14,0)</f>
        <v>#N/A</v>
      </c>
      <c r="E2551" s="914"/>
      <c r="F2551" s="912"/>
      <c r="G2551" s="908" t="s">
        <v>374</v>
      </c>
      <c r="H2551" s="909" t="s">
        <v>2102</v>
      </c>
      <c r="I2551" s="910" t="e">
        <f>VLOOKUP(H2543,'LƯƠNG KT'!$D$16:$Z$184,12,0)</f>
        <v>#N/A</v>
      </c>
      <c r="J2551" s="609" t="e">
        <f>VLOOKUP(H2543,'LƯƠNG KT'!$D$16:$Z$184,14,0)</f>
        <v>#N/A</v>
      </c>
      <c r="K2551" s="935"/>
      <c r="L2551" s="935"/>
      <c r="M2551" s="935"/>
      <c r="N2551" s="935"/>
      <c r="O2551" s="935"/>
    </row>
    <row r="2552" spans="1:15" ht="15" customHeight="1">
      <c r="A2552" s="908" t="s">
        <v>2103</v>
      </c>
      <c r="B2552" s="909" t="s">
        <v>2104</v>
      </c>
      <c r="D2552" s="915" t="e">
        <f>VLOOKUP(B2543,'LƯƠNG KT'!$D$16:$Z$184,13,0)</f>
        <v>#N/A</v>
      </c>
      <c r="E2552" s="916"/>
      <c r="F2552" s="916"/>
      <c r="G2552" s="908" t="s">
        <v>2103</v>
      </c>
      <c r="H2552" s="909" t="s">
        <v>2104</v>
      </c>
      <c r="J2552" s="915" t="e">
        <f>VLOOKUP(H2543,'LƯƠNG KT'!$D$16:$Z$184,13,0)</f>
        <v>#N/A</v>
      </c>
    </row>
    <row r="2553" spans="1:15" ht="15" customHeight="1">
      <c r="A2553" s="547"/>
      <c r="B2553" s="546"/>
      <c r="C2553" s="910"/>
      <c r="D2553" s="609"/>
      <c r="E2553" s="914"/>
      <c r="F2553" s="916"/>
      <c r="G2553" s="547"/>
      <c r="H2553" s="546"/>
      <c r="I2553" s="910"/>
      <c r="J2553" s="609"/>
    </row>
    <row r="2554" spans="1:15" ht="15" customHeight="1">
      <c r="A2554" s="905"/>
      <c r="B2554" s="546"/>
      <c r="C2554" s="910"/>
      <c r="D2554" s="609"/>
      <c r="E2554" s="917"/>
      <c r="F2554" s="904"/>
      <c r="G2554" s="905"/>
      <c r="H2554" s="546"/>
      <c r="I2554" s="910"/>
      <c r="J2554" s="609"/>
    </row>
    <row r="2555" spans="1:15" ht="15" customHeight="1">
      <c r="A2555" s="918" t="s">
        <v>383</v>
      </c>
      <c r="B2555" s="919" t="s">
        <v>384</v>
      </c>
      <c r="C2555" s="920"/>
      <c r="D2555" s="921" t="e">
        <f>SUM(D2544:D2551)-D2554</f>
        <v>#N/A</v>
      </c>
      <c r="E2555" s="922"/>
      <c r="F2555" s="923"/>
      <c r="G2555" s="918" t="s">
        <v>383</v>
      </c>
      <c r="H2555" s="919" t="s">
        <v>384</v>
      </c>
      <c r="I2555" s="920"/>
      <c r="J2555" s="921" t="e">
        <f>SUM(J2544:J2551)-J2554</f>
        <v>#N/A</v>
      </c>
    </row>
    <row r="2556" spans="1:15" ht="12.6" customHeight="1">
      <c r="A2556" s="924"/>
      <c r="B2556" s="925"/>
      <c r="C2556" s="926"/>
      <c r="D2556" s="927"/>
      <c r="E2556" s="927"/>
      <c r="F2556" s="928"/>
      <c r="G2556" s="924"/>
      <c r="H2556" s="925"/>
      <c r="I2556" s="926"/>
      <c r="J2556" s="927"/>
    </row>
    <row r="2557" spans="1:15" ht="12.6" customHeight="1">
      <c r="A2557" s="925"/>
      <c r="B2557" s="925"/>
      <c r="C2557" s="929"/>
      <c r="D2557" s="930"/>
      <c r="E2557" s="925"/>
      <c r="F2557" s="931"/>
      <c r="G2557" s="925"/>
      <c r="H2557" s="925"/>
      <c r="I2557" s="929"/>
      <c r="J2557" s="930"/>
    </row>
    <row r="2558" spans="1:15" ht="15" customHeight="1">
      <c r="A2558" s="2360" t="str">
        <f>$K$2</f>
        <v>THÁNG 04/2025</v>
      </c>
      <c r="B2558" s="2360"/>
      <c r="C2558" s="2360"/>
      <c r="D2558" s="2360"/>
      <c r="E2558" s="903"/>
      <c r="F2558" s="904"/>
      <c r="G2558" s="2360" t="str">
        <f>$K$2</f>
        <v>THÁNG 04/2025</v>
      </c>
      <c r="H2558" s="2360"/>
      <c r="I2558" s="2360"/>
      <c r="J2558" s="2360"/>
      <c r="K2558" s="276"/>
    </row>
    <row r="2559" spans="1:15" ht="15" customHeight="1">
      <c r="A2559" s="905" t="s">
        <v>356</v>
      </c>
      <c r="B2559" s="642" t="s">
        <v>204</v>
      </c>
      <c r="C2559" s="546"/>
      <c r="D2559" s="902"/>
      <c r="E2559" s="906"/>
      <c r="F2559" s="907"/>
      <c r="G2559" s="905" t="s">
        <v>356</v>
      </c>
      <c r="H2559" s="642" t="s">
        <v>205</v>
      </c>
      <c r="I2559" s="546"/>
      <c r="J2559" s="902"/>
      <c r="L2559" s="938"/>
      <c r="M2559" s="938"/>
      <c r="N2559" s="938"/>
      <c r="O2559" s="938"/>
    </row>
    <row r="2560" spans="1:15" ht="15" customHeight="1">
      <c r="A2560" s="908" t="s">
        <v>359</v>
      </c>
      <c r="B2560" s="909" t="s">
        <v>2090</v>
      </c>
      <c r="C2560" s="910" t="e">
        <f>VLOOKUP(B2559,'LƯƠNG KT'!$D$16:$Z$184,4,0)</f>
        <v>#N/A</v>
      </c>
      <c r="D2560" s="609" t="e">
        <f>+C2560*25000</f>
        <v>#N/A</v>
      </c>
      <c r="E2560" s="911"/>
      <c r="F2560" s="911"/>
      <c r="G2560" s="908" t="s">
        <v>359</v>
      </c>
      <c r="H2560" s="909" t="s">
        <v>2090</v>
      </c>
      <c r="I2560" s="910" t="e">
        <f>VLOOKUP(H2559,'LƯƠNG KT'!$D$16:$Z$184,4,0)</f>
        <v>#N/A</v>
      </c>
      <c r="J2560" s="609" t="e">
        <f>+I2560*25000</f>
        <v>#N/A</v>
      </c>
      <c r="K2560" s="935"/>
      <c r="L2560" s="935"/>
      <c r="M2560" s="935"/>
      <c r="N2560" s="935"/>
      <c r="O2560" s="935"/>
    </row>
    <row r="2561" spans="1:15" ht="15" customHeight="1">
      <c r="A2561" s="908" t="s">
        <v>361</v>
      </c>
      <c r="B2561" s="909" t="s">
        <v>2091</v>
      </c>
      <c r="C2561" s="910" t="e">
        <f>VLOOKUP(B2559,'LƯƠNG KT'!$D$16:$Z$184,15,0)</f>
        <v>#N/A</v>
      </c>
      <c r="D2561" s="609" t="e">
        <f>C2561*$L$4</f>
        <v>#N/A</v>
      </c>
      <c r="E2561" s="912"/>
      <c r="F2561" s="912"/>
      <c r="G2561" s="908" t="s">
        <v>361</v>
      </c>
      <c r="H2561" s="909" t="s">
        <v>2091</v>
      </c>
      <c r="I2561" s="910" t="e">
        <f>VLOOKUP(H2559,'LƯƠNG KT'!$D$16:$Z$184,15,0)</f>
        <v>#N/A</v>
      </c>
      <c r="J2561" s="609" t="e">
        <f>I2561*$L$4</f>
        <v>#N/A</v>
      </c>
      <c r="K2561" s="935"/>
      <c r="L2561" s="935"/>
      <c r="M2561" s="935"/>
      <c r="N2561" s="935"/>
      <c r="O2561" s="935"/>
    </row>
    <row r="2562" spans="1:15" ht="15" customHeight="1">
      <c r="A2562" s="908" t="s">
        <v>364</v>
      </c>
      <c r="B2562" s="909" t="s">
        <v>2092</v>
      </c>
      <c r="C2562" s="910" t="e">
        <f>VLOOKUP(B2559,'LƯƠNG KT'!$D$16:$Z$184,16,0)</f>
        <v>#N/A</v>
      </c>
      <c r="D2562" s="609" t="e">
        <f>C2562*$L$5</f>
        <v>#N/A</v>
      </c>
      <c r="E2562" s="912"/>
      <c r="F2562" s="912"/>
      <c r="G2562" s="908" t="s">
        <v>364</v>
      </c>
      <c r="H2562" s="909" t="s">
        <v>2092</v>
      </c>
      <c r="I2562" s="910" t="e">
        <f>VLOOKUP(H2559,'LƯƠNG KT'!$D$16:$Z$184,16,0)</f>
        <v>#N/A</v>
      </c>
      <c r="J2562" s="609" t="e">
        <f>I2562*$L$5</f>
        <v>#N/A</v>
      </c>
      <c r="K2562" s="935"/>
      <c r="L2562" s="935"/>
      <c r="M2562" s="935"/>
      <c r="N2562" s="935"/>
      <c r="O2562" s="935"/>
    </row>
    <row r="2563" spans="1:15" ht="15" customHeight="1">
      <c r="A2563" s="908" t="s">
        <v>370</v>
      </c>
      <c r="B2563" s="909" t="s">
        <v>2093</v>
      </c>
      <c r="C2563" s="910" t="e">
        <f>VLOOKUP(B2559,'LƯƠNG KT'!$D$16:$Z$184,24,0)</f>
        <v>#N/A</v>
      </c>
      <c r="D2563" s="609" t="e">
        <f>+C2563*$L$6</f>
        <v>#N/A</v>
      </c>
      <c r="E2563" s="912"/>
      <c r="F2563" s="912"/>
      <c r="G2563" s="908" t="s">
        <v>370</v>
      </c>
      <c r="H2563" s="909" t="s">
        <v>2093</v>
      </c>
      <c r="I2563" s="910" t="e">
        <f>VLOOKUP(H2559,'LƯƠNG KT'!$D$16:$Z$184,24,0)</f>
        <v>#N/A</v>
      </c>
      <c r="J2563" s="609" t="e">
        <f>+I2563*$L$6</f>
        <v>#N/A</v>
      </c>
      <c r="K2563" s="935"/>
      <c r="L2563" s="935"/>
      <c r="M2563" s="935"/>
      <c r="N2563" s="935"/>
      <c r="O2563" s="935"/>
    </row>
    <row r="2564" spans="1:15" ht="15" customHeight="1">
      <c r="A2564" s="908" t="s">
        <v>2094</v>
      </c>
      <c r="B2564" s="909" t="s">
        <v>2095</v>
      </c>
      <c r="C2564" s="910" t="e">
        <f>VLOOKUP(B2559,'LƯƠNG KT'!$D$16:$Z$184,19,0)</f>
        <v>#N/A</v>
      </c>
      <c r="D2564" s="609" t="e">
        <f>+C2564*$L$8</f>
        <v>#N/A</v>
      </c>
      <c r="E2564" s="912"/>
      <c r="F2564" s="912"/>
      <c r="G2564" s="908" t="s">
        <v>2094</v>
      </c>
      <c r="H2564" s="909" t="s">
        <v>2095</v>
      </c>
      <c r="I2564" s="910" t="e">
        <f>VLOOKUP(H2559,'LƯƠNG KT'!$D$16:$Z$184,19,0)</f>
        <v>#N/A</v>
      </c>
      <c r="J2564" s="609" t="e">
        <f>+I2564*$L$8</f>
        <v>#N/A</v>
      </c>
      <c r="K2564" s="935"/>
      <c r="L2564" s="935"/>
      <c r="M2564" s="935"/>
      <c r="N2564" s="935"/>
      <c r="O2564" s="935"/>
    </row>
    <row r="2565" spans="1:15" ht="15" customHeight="1">
      <c r="A2565" s="908" t="s">
        <v>2096</v>
      </c>
      <c r="B2565" s="913" t="s">
        <v>2097</v>
      </c>
      <c r="C2565" s="910" t="e">
        <f>VLOOKUP(B2559,'LƯƠNG KT'!$D$16:$Z$184,20,0)</f>
        <v>#N/A</v>
      </c>
      <c r="D2565" s="609" t="e">
        <f>+C2565*$L$9</f>
        <v>#N/A</v>
      </c>
      <c r="E2565" s="912"/>
      <c r="F2565" s="912"/>
      <c r="G2565" s="908" t="s">
        <v>2096</v>
      </c>
      <c r="H2565" s="913" t="s">
        <v>2097</v>
      </c>
      <c r="I2565" s="910" t="e">
        <f>VLOOKUP(H2559,'LƯƠNG KT'!$D$16:$Z$184,20,0)</f>
        <v>#N/A</v>
      </c>
      <c r="J2565" s="609" t="e">
        <f>+I2565*$L$9</f>
        <v>#N/A</v>
      </c>
      <c r="K2565" s="935"/>
      <c r="L2565" s="935"/>
      <c r="M2565" s="935"/>
      <c r="N2565" s="935"/>
      <c r="O2565" s="935"/>
    </row>
    <row r="2566" spans="1:15" ht="15" customHeight="1">
      <c r="A2566" s="908" t="s">
        <v>2099</v>
      </c>
      <c r="B2566" s="909" t="s">
        <v>2100</v>
      </c>
      <c r="C2566" s="910" t="e">
        <f>VLOOKUP(B2559,'LƯƠNG KT'!$D$16:$Z$184,17,0)</f>
        <v>#N/A</v>
      </c>
      <c r="D2566" s="609" t="e">
        <f>+C2566*$L$10</f>
        <v>#N/A</v>
      </c>
      <c r="E2566" s="912"/>
      <c r="F2566" s="912"/>
      <c r="G2566" s="908" t="s">
        <v>2099</v>
      </c>
      <c r="H2566" s="909" t="s">
        <v>2100</v>
      </c>
      <c r="I2566" s="910" t="e">
        <f>VLOOKUP(H2559,'LƯƠNG KT'!$D$16:$Z$184,17,0)</f>
        <v>#N/A</v>
      </c>
      <c r="J2566" s="609" t="e">
        <f>+I2566*$L$10</f>
        <v>#N/A</v>
      </c>
      <c r="K2566" s="935"/>
      <c r="L2566" s="935"/>
      <c r="M2566" s="935"/>
      <c r="N2566" s="935"/>
      <c r="O2566" s="935"/>
    </row>
    <row r="2567" spans="1:15" ht="15" customHeight="1">
      <c r="A2567" s="908" t="s">
        <v>374</v>
      </c>
      <c r="B2567" s="909" t="s">
        <v>2102</v>
      </c>
      <c r="C2567" s="910" t="e">
        <f>VLOOKUP(B2559,'LƯƠNG KT'!$D$16:$Z$184,12,0)</f>
        <v>#N/A</v>
      </c>
      <c r="D2567" s="609" t="e">
        <f>VLOOKUP(B2559,'LƯƠNG KT'!$D$16:$Z$184,14,0)</f>
        <v>#N/A</v>
      </c>
      <c r="E2567" s="914"/>
      <c r="F2567" s="912"/>
      <c r="G2567" s="908" t="s">
        <v>374</v>
      </c>
      <c r="H2567" s="909" t="s">
        <v>2102</v>
      </c>
      <c r="I2567" s="910" t="e">
        <f>VLOOKUP(H2559,'LƯƠNG KT'!$D$16:$Z$184,12,0)</f>
        <v>#N/A</v>
      </c>
      <c r="J2567" s="609" t="e">
        <f>VLOOKUP(H2559,'LƯƠNG KT'!$D$16:$Z$184,14,0)</f>
        <v>#N/A</v>
      </c>
      <c r="K2567" s="935"/>
      <c r="L2567" s="935"/>
      <c r="M2567" s="935"/>
      <c r="N2567" s="935"/>
      <c r="O2567" s="935"/>
    </row>
    <row r="2568" spans="1:15" ht="15" customHeight="1">
      <c r="A2568" s="908" t="s">
        <v>2103</v>
      </c>
      <c r="B2568" s="909" t="s">
        <v>2104</v>
      </c>
      <c r="D2568" s="915" t="e">
        <f>VLOOKUP(B2559,'LƯƠNG KT'!$D$16:$Z$184,13,0)</f>
        <v>#N/A</v>
      </c>
      <c r="E2568" s="916"/>
      <c r="F2568" s="916"/>
      <c r="G2568" s="908" t="s">
        <v>2103</v>
      </c>
      <c r="H2568" s="909" t="s">
        <v>2104</v>
      </c>
      <c r="J2568" s="915" t="e">
        <f>VLOOKUP(H2559,'LƯƠNG KT'!$D$16:$Z$184,13,0)</f>
        <v>#N/A</v>
      </c>
    </row>
    <row r="2569" spans="1:15" ht="15" customHeight="1">
      <c r="A2569" s="547"/>
      <c r="B2569" s="546"/>
      <c r="C2569" s="910"/>
      <c r="D2569" s="609"/>
      <c r="E2569" s="914"/>
      <c r="F2569" s="916"/>
      <c r="G2569" s="547"/>
      <c r="H2569" s="546"/>
      <c r="I2569" s="910"/>
      <c r="J2569" s="609"/>
    </row>
    <row r="2570" spans="1:15" ht="15" customHeight="1">
      <c r="A2570" s="905"/>
      <c r="B2570" s="546"/>
      <c r="C2570" s="910"/>
      <c r="D2570" s="609"/>
      <c r="E2570" s="917"/>
      <c r="F2570" s="904"/>
      <c r="G2570" s="905"/>
      <c r="H2570" s="546"/>
      <c r="I2570" s="910"/>
      <c r="J2570" s="609"/>
    </row>
    <row r="2571" spans="1:15" ht="15" customHeight="1">
      <c r="A2571" s="918" t="s">
        <v>383</v>
      </c>
      <c r="B2571" s="919" t="s">
        <v>384</v>
      </c>
      <c r="C2571" s="920"/>
      <c r="D2571" s="921" t="e">
        <f>SUM(D2560:D2567)-D2570</f>
        <v>#N/A</v>
      </c>
      <c r="E2571" s="922"/>
      <c r="F2571" s="923"/>
      <c r="G2571" s="918" t="s">
        <v>383</v>
      </c>
      <c r="H2571" s="919" t="s">
        <v>384</v>
      </c>
      <c r="I2571" s="920"/>
      <c r="J2571" s="921" t="e">
        <f>SUM(J2560:J2567)-J2570</f>
        <v>#N/A</v>
      </c>
    </row>
    <row r="2572" spans="1:15" ht="18.75" customHeight="1">
      <c r="A2572" s="924"/>
      <c r="B2572" s="925"/>
      <c r="C2572" s="926"/>
      <c r="D2572" s="927"/>
      <c r="E2572" s="927"/>
      <c r="F2572" s="928"/>
      <c r="G2572" s="924"/>
      <c r="H2572" s="925"/>
      <c r="I2572" s="926"/>
      <c r="J2572" s="927"/>
    </row>
    <row r="2573" spans="1:15" ht="145.5" customHeight="1">
      <c r="A2573" s="925"/>
      <c r="B2573" s="925"/>
      <c r="C2573" s="929"/>
      <c r="D2573" s="930"/>
      <c r="E2573" s="925"/>
      <c r="F2573" s="931"/>
      <c r="G2573" s="925"/>
      <c r="H2573" s="925"/>
      <c r="I2573" s="929"/>
      <c r="J2573" s="930"/>
    </row>
    <row r="2574" spans="1:15" ht="15" customHeight="1">
      <c r="A2574" s="2360" t="str">
        <f>$K$2</f>
        <v>THÁNG 04/2025</v>
      </c>
      <c r="B2574" s="2360"/>
      <c r="C2574" s="2360"/>
      <c r="D2574" s="2360"/>
      <c r="E2574" s="903"/>
      <c r="F2574" s="904"/>
      <c r="G2574" s="2360" t="str">
        <f>$K$2</f>
        <v>THÁNG 04/2025</v>
      </c>
      <c r="H2574" s="2360"/>
      <c r="I2574" s="2360"/>
      <c r="J2574" s="2360"/>
      <c r="K2574" s="276"/>
    </row>
    <row r="2575" spans="1:15" ht="15" customHeight="1">
      <c r="A2575" s="905" t="s">
        <v>356</v>
      </c>
      <c r="B2575" s="642" t="s">
        <v>505</v>
      </c>
      <c r="C2575" s="546"/>
      <c r="D2575" s="902"/>
      <c r="E2575" s="906"/>
      <c r="F2575" s="907"/>
      <c r="G2575" s="905" t="s">
        <v>356</v>
      </c>
      <c r="H2575" s="642" t="s">
        <v>506</v>
      </c>
      <c r="I2575" s="546"/>
      <c r="J2575" s="902"/>
      <c r="L2575" s="938"/>
      <c r="M2575" s="938"/>
      <c r="N2575" s="938"/>
      <c r="O2575" s="938"/>
    </row>
    <row r="2576" spans="1:15" ht="15" customHeight="1">
      <c r="A2576" s="908" t="s">
        <v>359</v>
      </c>
      <c r="B2576" s="909" t="s">
        <v>2090</v>
      </c>
      <c r="C2576" s="910" t="e">
        <f>VLOOKUP(B2575,'LƯƠNG KT'!$D$16:$Z$184,4,0)</f>
        <v>#N/A</v>
      </c>
      <c r="D2576" s="609" t="e">
        <f>+C2576*25000</f>
        <v>#N/A</v>
      </c>
      <c r="E2576" s="911"/>
      <c r="F2576" s="911"/>
      <c r="G2576" s="908" t="s">
        <v>359</v>
      </c>
      <c r="H2576" s="909" t="s">
        <v>2090</v>
      </c>
      <c r="I2576" s="910" t="e">
        <f>VLOOKUP(H2575,'LƯƠNG KT'!$D$16:$Z$184,4,0)</f>
        <v>#N/A</v>
      </c>
      <c r="J2576" s="609" t="e">
        <f>+I2576*25000</f>
        <v>#N/A</v>
      </c>
      <c r="K2576" s="935"/>
      <c r="L2576" s="935"/>
      <c r="M2576" s="935"/>
      <c r="N2576" s="935"/>
      <c r="O2576" s="935"/>
    </row>
    <row r="2577" spans="1:15" ht="15" customHeight="1">
      <c r="A2577" s="908" t="s">
        <v>361</v>
      </c>
      <c r="B2577" s="909" t="s">
        <v>2091</v>
      </c>
      <c r="C2577" s="910" t="e">
        <f>VLOOKUP(B2575,'LƯƠNG KT'!$D$16:$Z$184,15,0)</f>
        <v>#N/A</v>
      </c>
      <c r="D2577" s="609" t="e">
        <f>C2577*$L$4</f>
        <v>#N/A</v>
      </c>
      <c r="E2577" s="912"/>
      <c r="F2577" s="912"/>
      <c r="G2577" s="908" t="s">
        <v>361</v>
      </c>
      <c r="H2577" s="909" t="s">
        <v>2091</v>
      </c>
      <c r="I2577" s="910" t="e">
        <f>VLOOKUP(H2575,'LƯƠNG KT'!$D$16:$Z$184,15,0)</f>
        <v>#N/A</v>
      </c>
      <c r="J2577" s="609" t="e">
        <f>I2577*$L$4</f>
        <v>#N/A</v>
      </c>
      <c r="K2577" s="935"/>
      <c r="L2577" s="935"/>
      <c r="M2577" s="935"/>
      <c r="N2577" s="935"/>
      <c r="O2577" s="935"/>
    </row>
    <row r="2578" spans="1:15" ht="15" customHeight="1">
      <c r="A2578" s="908" t="s">
        <v>364</v>
      </c>
      <c r="B2578" s="909" t="s">
        <v>2092</v>
      </c>
      <c r="C2578" s="910" t="e">
        <f>VLOOKUP(B2575,'LƯƠNG KT'!$D$16:$Z$184,16,0)</f>
        <v>#N/A</v>
      </c>
      <c r="D2578" s="609" t="e">
        <f>C2578*$L$5</f>
        <v>#N/A</v>
      </c>
      <c r="E2578" s="912"/>
      <c r="F2578" s="912"/>
      <c r="G2578" s="908" t="s">
        <v>364</v>
      </c>
      <c r="H2578" s="909" t="s">
        <v>2092</v>
      </c>
      <c r="I2578" s="910" t="e">
        <f>VLOOKUP(H2575,'LƯƠNG KT'!$D$16:$Z$184,16,0)</f>
        <v>#N/A</v>
      </c>
      <c r="J2578" s="609" t="e">
        <f>I2578*$L$5</f>
        <v>#N/A</v>
      </c>
      <c r="K2578" s="935"/>
      <c r="L2578" s="935"/>
      <c r="M2578" s="935"/>
      <c r="N2578" s="935"/>
      <c r="O2578" s="935"/>
    </row>
    <row r="2579" spans="1:15" ht="15" customHeight="1">
      <c r="A2579" s="908" t="s">
        <v>370</v>
      </c>
      <c r="B2579" s="909" t="s">
        <v>2093</v>
      </c>
      <c r="C2579" s="910" t="e">
        <f>VLOOKUP(B2575,'LƯƠNG KT'!$D$16:$Z$184,24,0)</f>
        <v>#N/A</v>
      </c>
      <c r="D2579" s="609" t="e">
        <f>+C2579*$L$6</f>
        <v>#N/A</v>
      </c>
      <c r="E2579" s="912"/>
      <c r="F2579" s="912"/>
      <c r="G2579" s="908" t="s">
        <v>370</v>
      </c>
      <c r="H2579" s="909" t="s">
        <v>2093</v>
      </c>
      <c r="I2579" s="910" t="e">
        <f>VLOOKUP(H2575,'LƯƠNG KT'!$D$16:$Z$184,24,0)</f>
        <v>#N/A</v>
      </c>
      <c r="J2579" s="609" t="e">
        <f>+I2579*$L$6</f>
        <v>#N/A</v>
      </c>
      <c r="K2579" s="935"/>
      <c r="L2579" s="935"/>
      <c r="M2579" s="935"/>
      <c r="N2579" s="935"/>
      <c r="O2579" s="935"/>
    </row>
    <row r="2580" spans="1:15" ht="15" customHeight="1">
      <c r="A2580" s="908" t="s">
        <v>2094</v>
      </c>
      <c r="B2580" s="909" t="s">
        <v>2095</v>
      </c>
      <c r="C2580" s="910" t="e">
        <f>VLOOKUP(B2575,'LƯƠNG KT'!$D$16:$Z$184,19,0)</f>
        <v>#N/A</v>
      </c>
      <c r="D2580" s="609" t="e">
        <f>+C2580*$L$8</f>
        <v>#N/A</v>
      </c>
      <c r="E2580" s="912"/>
      <c r="F2580" s="912"/>
      <c r="G2580" s="908" t="s">
        <v>2094</v>
      </c>
      <c r="H2580" s="909" t="s">
        <v>2095</v>
      </c>
      <c r="I2580" s="910" t="e">
        <f>VLOOKUP(H2575,'LƯƠNG KT'!$D$16:$Z$184,19,0)</f>
        <v>#N/A</v>
      </c>
      <c r="J2580" s="609" t="e">
        <f>+I2580*$L$8</f>
        <v>#N/A</v>
      </c>
      <c r="K2580" s="935"/>
      <c r="L2580" s="935"/>
      <c r="M2580" s="935"/>
      <c r="N2580" s="935"/>
      <c r="O2580" s="935"/>
    </row>
    <row r="2581" spans="1:15" ht="15" customHeight="1">
      <c r="A2581" s="908" t="s">
        <v>2096</v>
      </c>
      <c r="B2581" s="913" t="s">
        <v>2097</v>
      </c>
      <c r="C2581" s="910" t="e">
        <f>VLOOKUP(B2575,'LƯƠNG KT'!$D$16:$Z$184,20,0)</f>
        <v>#N/A</v>
      </c>
      <c r="D2581" s="609" t="e">
        <f>+C2581*$L$9</f>
        <v>#N/A</v>
      </c>
      <c r="E2581" s="912"/>
      <c r="F2581" s="912"/>
      <c r="G2581" s="908" t="s">
        <v>2096</v>
      </c>
      <c r="H2581" s="913" t="s">
        <v>2097</v>
      </c>
      <c r="I2581" s="910" t="e">
        <f>VLOOKUP(H2575,'LƯƠNG KT'!$D$16:$Z$184,20,0)</f>
        <v>#N/A</v>
      </c>
      <c r="J2581" s="609" t="e">
        <f>+I2581*$L$9</f>
        <v>#N/A</v>
      </c>
      <c r="K2581" s="935"/>
      <c r="L2581" s="935"/>
      <c r="M2581" s="935"/>
      <c r="N2581" s="935"/>
      <c r="O2581" s="935"/>
    </row>
    <row r="2582" spans="1:15" ht="15" customHeight="1">
      <c r="A2582" s="908" t="s">
        <v>2099</v>
      </c>
      <c r="B2582" s="909" t="s">
        <v>2100</v>
      </c>
      <c r="C2582" s="910" t="e">
        <f>VLOOKUP(B2575,'LƯƠNG KT'!$D$16:$Z$184,17,0)</f>
        <v>#N/A</v>
      </c>
      <c r="D2582" s="609" t="e">
        <f>+C2582*$L$10</f>
        <v>#N/A</v>
      </c>
      <c r="E2582" s="912"/>
      <c r="F2582" s="912"/>
      <c r="G2582" s="908" t="s">
        <v>2099</v>
      </c>
      <c r="H2582" s="909" t="s">
        <v>2100</v>
      </c>
      <c r="I2582" s="910" t="e">
        <f>VLOOKUP(H2575,'LƯƠNG KT'!$D$16:$Z$184,17,0)</f>
        <v>#N/A</v>
      </c>
      <c r="J2582" s="609" t="e">
        <f>+I2582*$L$10</f>
        <v>#N/A</v>
      </c>
      <c r="K2582" s="935"/>
      <c r="L2582" s="935"/>
      <c r="M2582" s="935"/>
      <c r="N2582" s="935"/>
      <c r="O2582" s="935"/>
    </row>
    <row r="2583" spans="1:15" ht="15" customHeight="1">
      <c r="A2583" s="908" t="s">
        <v>374</v>
      </c>
      <c r="B2583" s="909" t="s">
        <v>2102</v>
      </c>
      <c r="C2583" s="910" t="e">
        <f>VLOOKUP(B2575,'LƯƠNG KT'!$D$16:$Z$184,12,0)</f>
        <v>#N/A</v>
      </c>
      <c r="D2583" s="609" t="e">
        <f>VLOOKUP(B2575,'LƯƠNG KT'!$D$16:$Z$184,14,0)</f>
        <v>#N/A</v>
      </c>
      <c r="E2583" s="914"/>
      <c r="F2583" s="912"/>
      <c r="G2583" s="908" t="s">
        <v>374</v>
      </c>
      <c r="H2583" s="909" t="s">
        <v>2102</v>
      </c>
      <c r="I2583" s="910" t="e">
        <f>VLOOKUP(H2575,'LƯƠNG KT'!$D$16:$Z$184,12,0)</f>
        <v>#N/A</v>
      </c>
      <c r="J2583" s="609" t="e">
        <f>VLOOKUP(H2575,'LƯƠNG KT'!$D$16:$Z$184,14,0)</f>
        <v>#N/A</v>
      </c>
      <c r="K2583" s="935"/>
      <c r="L2583" s="935"/>
      <c r="M2583" s="935"/>
      <c r="N2583" s="935"/>
      <c r="O2583" s="935"/>
    </row>
    <row r="2584" spans="1:15" ht="15" customHeight="1">
      <c r="A2584" s="908" t="s">
        <v>2103</v>
      </c>
      <c r="B2584" s="909" t="s">
        <v>2104</v>
      </c>
      <c r="D2584" s="915" t="e">
        <f>VLOOKUP(B2575,'LƯƠNG KT'!$D$16:$Z$184,13,0)</f>
        <v>#N/A</v>
      </c>
      <c r="E2584" s="916"/>
      <c r="F2584" s="916"/>
      <c r="G2584" s="908" t="s">
        <v>2103</v>
      </c>
      <c r="H2584" s="909" t="s">
        <v>2104</v>
      </c>
      <c r="J2584" s="915" t="e">
        <f>VLOOKUP(H2575,'LƯƠNG KT'!$D$16:$Z$184,13,0)</f>
        <v>#N/A</v>
      </c>
    </row>
    <row r="2585" spans="1:15" ht="15" customHeight="1">
      <c r="A2585" s="547"/>
      <c r="B2585" s="546"/>
      <c r="C2585" s="910"/>
      <c r="D2585" s="609"/>
      <c r="E2585" s="914"/>
      <c r="F2585" s="916"/>
      <c r="G2585" s="547"/>
      <c r="H2585" s="546"/>
      <c r="I2585" s="910"/>
      <c r="J2585" s="609"/>
    </row>
    <row r="2586" spans="1:15" ht="15" customHeight="1">
      <c r="A2586" s="905"/>
      <c r="B2586" s="546"/>
      <c r="C2586" s="910"/>
      <c r="D2586" s="609"/>
      <c r="E2586" s="917"/>
      <c r="F2586" s="904"/>
      <c r="G2586" s="905"/>
      <c r="H2586" s="546"/>
      <c r="I2586" s="910"/>
      <c r="J2586" s="609"/>
    </row>
    <row r="2587" spans="1:15" ht="15" customHeight="1">
      <c r="A2587" s="918" t="s">
        <v>383</v>
      </c>
      <c r="B2587" s="919" t="s">
        <v>384</v>
      </c>
      <c r="C2587" s="920"/>
      <c r="D2587" s="921" t="e">
        <f>SUM(D2576:D2583)-D2586</f>
        <v>#N/A</v>
      </c>
      <c r="E2587" s="922"/>
      <c r="F2587" s="923"/>
      <c r="G2587" s="918" t="s">
        <v>383</v>
      </c>
      <c r="H2587" s="919" t="s">
        <v>384</v>
      </c>
      <c r="I2587" s="920"/>
      <c r="J2587" s="921" t="e">
        <f>SUM(J2576:J2583)-J2586</f>
        <v>#N/A</v>
      </c>
    </row>
    <row r="2588" spans="1:15" ht="18.75" customHeight="1">
      <c r="A2588" s="924"/>
      <c r="B2588" s="925"/>
      <c r="C2588" s="926"/>
      <c r="D2588" s="927"/>
      <c r="E2588" s="927"/>
      <c r="F2588" s="928"/>
      <c r="G2588" s="924"/>
      <c r="H2588" s="925"/>
      <c r="I2588" s="926"/>
      <c r="J2588" s="927"/>
    </row>
    <row r="2589" spans="1:15" ht="18.75" customHeight="1">
      <c r="A2589" s="925"/>
      <c r="B2589" s="925"/>
      <c r="C2589" s="929"/>
      <c r="D2589" s="930"/>
      <c r="E2589" s="925"/>
      <c r="F2589" s="931"/>
      <c r="G2589" s="925"/>
      <c r="H2589" s="925"/>
      <c r="I2589" s="929"/>
      <c r="J2589" s="930"/>
    </row>
    <row r="2590" spans="1:15" ht="15" customHeight="1">
      <c r="A2590" s="2360" t="str">
        <f>$K$2</f>
        <v>THÁNG 04/2025</v>
      </c>
      <c r="B2590" s="2360"/>
      <c r="C2590" s="2360"/>
      <c r="D2590" s="2360"/>
      <c r="E2590" s="903"/>
      <c r="F2590" s="904"/>
      <c r="G2590" s="2360" t="str">
        <f>$K$2</f>
        <v>THÁNG 04/2025</v>
      </c>
      <c r="H2590" s="2360"/>
      <c r="I2590" s="2360"/>
      <c r="J2590" s="2360"/>
      <c r="K2590" s="276"/>
    </row>
    <row r="2591" spans="1:15" ht="15" customHeight="1">
      <c r="A2591" s="905" t="s">
        <v>356</v>
      </c>
      <c r="B2591" s="642" t="s">
        <v>507</v>
      </c>
      <c r="C2591" s="546"/>
      <c r="D2591" s="902"/>
      <c r="E2591" s="906"/>
      <c r="F2591" s="907"/>
      <c r="G2591" s="905" t="s">
        <v>356</v>
      </c>
      <c r="H2591" s="642"/>
      <c r="I2591" s="546"/>
      <c r="J2591" s="902"/>
      <c r="L2591" s="938"/>
      <c r="M2591" s="938"/>
      <c r="N2591" s="938"/>
      <c r="O2591" s="938"/>
    </row>
    <row r="2592" spans="1:15" ht="15" customHeight="1">
      <c r="A2592" s="908" t="s">
        <v>359</v>
      </c>
      <c r="B2592" s="909" t="s">
        <v>2090</v>
      </c>
      <c r="C2592" s="910" t="e">
        <f>VLOOKUP(B2591,'LƯƠNG KT'!$D$16:$Z$184,4,0)</f>
        <v>#N/A</v>
      </c>
      <c r="D2592" s="609" t="e">
        <f>+C2592*25000</f>
        <v>#N/A</v>
      </c>
      <c r="E2592" s="911"/>
      <c r="F2592" s="911"/>
      <c r="G2592" s="908" t="s">
        <v>359</v>
      </c>
      <c r="H2592" s="909" t="s">
        <v>2090</v>
      </c>
      <c r="I2592" s="910" t="e">
        <f>VLOOKUP(H2591,'LƯƠNG KT'!$D$16:$Z$184,4,0)</f>
        <v>#N/A</v>
      </c>
      <c r="J2592" s="609" t="e">
        <f>+I2592*25000</f>
        <v>#N/A</v>
      </c>
      <c r="K2592" s="935"/>
      <c r="L2592" s="935"/>
      <c r="M2592" s="935"/>
      <c r="N2592" s="935"/>
      <c r="O2592" s="935"/>
    </row>
    <row r="2593" spans="1:15" ht="15" customHeight="1">
      <c r="A2593" s="908" t="s">
        <v>361</v>
      </c>
      <c r="B2593" s="909" t="s">
        <v>2091</v>
      </c>
      <c r="C2593" s="910" t="e">
        <f>VLOOKUP(B2591,'LƯƠNG KT'!$D$16:$Z$184,15,0)</f>
        <v>#N/A</v>
      </c>
      <c r="D2593" s="609" t="e">
        <f>C2593*$L$4</f>
        <v>#N/A</v>
      </c>
      <c r="E2593" s="912"/>
      <c r="F2593" s="912"/>
      <c r="G2593" s="908" t="s">
        <v>361</v>
      </c>
      <c r="H2593" s="909" t="s">
        <v>2091</v>
      </c>
      <c r="I2593" s="910" t="e">
        <f>VLOOKUP(H2591,'LƯƠNG KT'!$D$16:$Z$184,15,0)</f>
        <v>#N/A</v>
      </c>
      <c r="J2593" s="609" t="e">
        <f>I2593*$L$4</f>
        <v>#N/A</v>
      </c>
      <c r="K2593" s="935"/>
      <c r="L2593" s="935"/>
      <c r="M2593" s="935"/>
      <c r="N2593" s="935"/>
      <c r="O2593" s="935"/>
    </row>
    <row r="2594" spans="1:15" ht="15" customHeight="1">
      <c r="A2594" s="908" t="s">
        <v>364</v>
      </c>
      <c r="B2594" s="909" t="s">
        <v>2092</v>
      </c>
      <c r="C2594" s="910" t="e">
        <f>VLOOKUP(B2591,'LƯƠNG KT'!$D$16:$Z$184,16,0)</f>
        <v>#N/A</v>
      </c>
      <c r="D2594" s="609" t="e">
        <f>C2594*$L$5</f>
        <v>#N/A</v>
      </c>
      <c r="E2594" s="912"/>
      <c r="F2594" s="912"/>
      <c r="G2594" s="908" t="s">
        <v>364</v>
      </c>
      <c r="H2594" s="909" t="s">
        <v>2092</v>
      </c>
      <c r="I2594" s="910" t="e">
        <f>VLOOKUP(H2591,'LƯƠNG KT'!$D$16:$Z$184,16,0)</f>
        <v>#N/A</v>
      </c>
      <c r="J2594" s="609" t="e">
        <f>I2594*$L$5</f>
        <v>#N/A</v>
      </c>
      <c r="K2594" s="935"/>
      <c r="L2594" s="935"/>
      <c r="M2594" s="935"/>
      <c r="N2594" s="935"/>
      <c r="O2594" s="935"/>
    </row>
    <row r="2595" spans="1:15" ht="15" customHeight="1">
      <c r="A2595" s="908" t="s">
        <v>370</v>
      </c>
      <c r="B2595" s="909" t="s">
        <v>2093</v>
      </c>
      <c r="C2595" s="910" t="e">
        <f>VLOOKUP(B2591,'LƯƠNG KT'!$D$16:$Z$184,24,0)</f>
        <v>#N/A</v>
      </c>
      <c r="D2595" s="609" t="e">
        <f>+C2595*$L$6</f>
        <v>#N/A</v>
      </c>
      <c r="E2595" s="912"/>
      <c r="F2595" s="912"/>
      <c r="G2595" s="908" t="s">
        <v>370</v>
      </c>
      <c r="H2595" s="909" t="s">
        <v>2093</v>
      </c>
      <c r="I2595" s="910" t="e">
        <f>VLOOKUP(H2591,'LƯƠNG KT'!$D$16:$Z$184,24,0)</f>
        <v>#N/A</v>
      </c>
      <c r="J2595" s="609" t="e">
        <f>+I2595*$L$6</f>
        <v>#N/A</v>
      </c>
      <c r="K2595" s="935"/>
      <c r="L2595" s="935"/>
      <c r="M2595" s="935"/>
      <c r="N2595" s="935"/>
      <c r="O2595" s="935"/>
    </row>
    <row r="2596" spans="1:15" ht="15" customHeight="1">
      <c r="A2596" s="908" t="s">
        <v>2094</v>
      </c>
      <c r="B2596" s="909" t="s">
        <v>2095</v>
      </c>
      <c r="C2596" s="910" t="e">
        <f>VLOOKUP(B2591,'LƯƠNG KT'!$D$16:$Z$184,19,0)</f>
        <v>#N/A</v>
      </c>
      <c r="D2596" s="609" t="e">
        <f>+C2596*$L$8</f>
        <v>#N/A</v>
      </c>
      <c r="E2596" s="912"/>
      <c r="F2596" s="912"/>
      <c r="G2596" s="908" t="s">
        <v>2094</v>
      </c>
      <c r="H2596" s="909" t="s">
        <v>2095</v>
      </c>
      <c r="I2596" s="910" t="e">
        <f>VLOOKUP(H2591,'LƯƠNG KT'!$D$16:$Z$184,19,0)</f>
        <v>#N/A</v>
      </c>
      <c r="J2596" s="609" t="e">
        <f>+I2596*$L$8</f>
        <v>#N/A</v>
      </c>
      <c r="K2596" s="935"/>
      <c r="L2596" s="935"/>
      <c r="M2596" s="935"/>
      <c r="N2596" s="935"/>
      <c r="O2596" s="935"/>
    </row>
    <row r="2597" spans="1:15" ht="15" customHeight="1">
      <c r="A2597" s="908" t="s">
        <v>2096</v>
      </c>
      <c r="B2597" s="913" t="s">
        <v>2097</v>
      </c>
      <c r="C2597" s="910" t="e">
        <f>VLOOKUP(B2591,'LƯƠNG KT'!$D$16:$Z$184,20,0)</f>
        <v>#N/A</v>
      </c>
      <c r="D2597" s="609" t="e">
        <f>+C2597*$L$9</f>
        <v>#N/A</v>
      </c>
      <c r="E2597" s="912"/>
      <c r="F2597" s="912"/>
      <c r="G2597" s="908" t="s">
        <v>2096</v>
      </c>
      <c r="H2597" s="913" t="s">
        <v>2097</v>
      </c>
      <c r="I2597" s="910" t="e">
        <f>VLOOKUP(H2591,'LƯƠNG KT'!$D$16:$Z$184,20,0)</f>
        <v>#N/A</v>
      </c>
      <c r="J2597" s="609" t="e">
        <f>+I2597*$L$9</f>
        <v>#N/A</v>
      </c>
      <c r="K2597" s="935"/>
      <c r="L2597" s="935"/>
      <c r="M2597" s="935"/>
      <c r="N2597" s="935"/>
      <c r="O2597" s="935"/>
    </row>
    <row r="2598" spans="1:15" ht="15" customHeight="1">
      <c r="A2598" s="908" t="s">
        <v>2099</v>
      </c>
      <c r="B2598" s="909" t="s">
        <v>2100</v>
      </c>
      <c r="C2598" s="910" t="e">
        <f>VLOOKUP(B2591,'LƯƠNG KT'!$D$16:$Z$184,17,0)</f>
        <v>#N/A</v>
      </c>
      <c r="D2598" s="609" t="e">
        <f>+C2598*$L$10</f>
        <v>#N/A</v>
      </c>
      <c r="E2598" s="912"/>
      <c r="F2598" s="912"/>
      <c r="G2598" s="908" t="s">
        <v>2099</v>
      </c>
      <c r="H2598" s="909" t="s">
        <v>2100</v>
      </c>
      <c r="I2598" s="910" t="e">
        <f>VLOOKUP(H2591,'LƯƠNG KT'!$D$16:$Z$184,17,0)</f>
        <v>#N/A</v>
      </c>
      <c r="J2598" s="609" t="e">
        <f>+I2598*$L$10</f>
        <v>#N/A</v>
      </c>
      <c r="K2598" s="935"/>
      <c r="L2598" s="935"/>
      <c r="M2598" s="935"/>
      <c r="N2598" s="935"/>
      <c r="O2598" s="935"/>
    </row>
    <row r="2599" spans="1:15" ht="15" customHeight="1">
      <c r="A2599" s="908" t="s">
        <v>374</v>
      </c>
      <c r="B2599" s="909" t="s">
        <v>2102</v>
      </c>
      <c r="C2599" s="910" t="e">
        <f>VLOOKUP(B2591,'LƯƠNG KT'!$D$16:$Z$184,12,0)</f>
        <v>#N/A</v>
      </c>
      <c r="D2599" s="609" t="e">
        <f>VLOOKUP(B2591,'LƯƠNG KT'!$D$16:$Z$184,14,0)</f>
        <v>#N/A</v>
      </c>
      <c r="E2599" s="914"/>
      <c r="F2599" s="912"/>
      <c r="G2599" s="908" t="s">
        <v>374</v>
      </c>
      <c r="H2599" s="909" t="s">
        <v>2102</v>
      </c>
      <c r="I2599" s="910" t="e">
        <f>VLOOKUP(H2591,'LƯƠNG KT'!$D$16:$Z$184,12,0)</f>
        <v>#N/A</v>
      </c>
      <c r="J2599" s="609" t="e">
        <f>VLOOKUP(H2591,'LƯƠNG KT'!$D$16:$Z$184,14,0)</f>
        <v>#N/A</v>
      </c>
      <c r="K2599" s="935"/>
      <c r="L2599" s="935"/>
      <c r="M2599" s="935"/>
      <c r="N2599" s="935"/>
      <c r="O2599" s="935"/>
    </row>
    <row r="2600" spans="1:15" ht="15" customHeight="1">
      <c r="A2600" s="908" t="s">
        <v>2103</v>
      </c>
      <c r="B2600" s="909" t="s">
        <v>2104</v>
      </c>
      <c r="D2600" s="915" t="e">
        <f>VLOOKUP(B2591,'LƯƠNG KT'!$D$16:$Z$184,13,0)</f>
        <v>#N/A</v>
      </c>
      <c r="E2600" s="916"/>
      <c r="F2600" s="916"/>
      <c r="G2600" s="908" t="s">
        <v>2103</v>
      </c>
      <c r="H2600" s="909" t="s">
        <v>2104</v>
      </c>
      <c r="J2600" s="915" t="e">
        <f>VLOOKUP(H2591,'LƯƠNG KT'!$D$16:$Z$184,13,0)</f>
        <v>#N/A</v>
      </c>
    </row>
    <row r="2601" spans="1:15" ht="15" customHeight="1">
      <c r="A2601" s="547"/>
      <c r="B2601" s="546"/>
      <c r="C2601" s="910"/>
      <c r="D2601" s="609"/>
      <c r="E2601" s="914"/>
      <c r="F2601" s="916"/>
      <c r="G2601" s="547"/>
      <c r="H2601" s="546"/>
      <c r="I2601" s="910"/>
      <c r="J2601" s="609"/>
    </row>
    <row r="2602" spans="1:15" ht="15" customHeight="1">
      <c r="A2602" s="905"/>
      <c r="B2602" s="546"/>
      <c r="C2602" s="910"/>
      <c r="D2602" s="609"/>
      <c r="E2602" s="917"/>
      <c r="F2602" s="904"/>
      <c r="G2602" s="905"/>
      <c r="H2602" s="546"/>
      <c r="I2602" s="910"/>
      <c r="J2602" s="609"/>
    </row>
    <row r="2603" spans="1:15" ht="15" customHeight="1">
      <c r="A2603" s="918" t="s">
        <v>383</v>
      </c>
      <c r="B2603" s="919" t="s">
        <v>384</v>
      </c>
      <c r="C2603" s="920"/>
      <c r="D2603" s="921" t="e">
        <f>SUM(D2592:D2599)-D2602</f>
        <v>#N/A</v>
      </c>
      <c r="E2603" s="922"/>
      <c r="F2603" s="923"/>
      <c r="G2603" s="918" t="s">
        <v>383</v>
      </c>
      <c r="H2603" s="919"/>
      <c r="I2603" s="920"/>
      <c r="J2603" s="921"/>
    </row>
    <row r="2604" spans="1:15" ht="15.75" customHeight="1">
      <c r="A2604" s="924"/>
      <c r="B2604" s="925"/>
      <c r="C2604" s="926"/>
      <c r="D2604" s="927"/>
      <c r="E2604" s="927"/>
      <c r="F2604" s="928"/>
      <c r="G2604" s="924"/>
      <c r="H2604" s="925"/>
      <c r="I2604" s="926"/>
      <c r="J2604" s="927"/>
    </row>
    <row r="2606" spans="1:15" ht="12" customHeight="1">
      <c r="A2606" s="2361"/>
      <c r="B2606" s="2361"/>
      <c r="C2606" s="2361"/>
      <c r="D2606" s="2361"/>
      <c r="E2606" s="2361"/>
      <c r="F2606" s="2361"/>
      <c r="G2606" s="2361"/>
      <c r="H2606" s="2361"/>
      <c r="I2606" s="2361"/>
      <c r="J2606" s="2361"/>
    </row>
    <row r="2607" spans="1:15" ht="15" customHeight="1">
      <c r="A2607" s="2360" t="str">
        <f>$K$2</f>
        <v>THÁNG 04/2025</v>
      </c>
      <c r="B2607" s="2360"/>
      <c r="C2607" s="2360"/>
      <c r="D2607" s="2360"/>
      <c r="E2607" s="903"/>
      <c r="F2607" s="904"/>
      <c r="G2607" s="2360" t="str">
        <f>$K$2</f>
        <v>THÁNG 04/2025</v>
      </c>
      <c r="H2607" s="2360"/>
      <c r="I2607" s="2360"/>
      <c r="J2607" s="2360"/>
      <c r="K2607" s="276"/>
    </row>
    <row r="2608" spans="1:15" ht="15" customHeight="1">
      <c r="A2608" s="905" t="s">
        <v>356</v>
      </c>
      <c r="B2608" s="642"/>
      <c r="C2608" s="546"/>
      <c r="D2608" s="902"/>
      <c r="E2608" s="906"/>
      <c r="F2608" s="907"/>
      <c r="G2608" s="905" t="s">
        <v>356</v>
      </c>
      <c r="H2608" s="642"/>
      <c r="I2608" s="546"/>
      <c r="J2608" s="902"/>
      <c r="L2608" s="938"/>
      <c r="M2608" s="938"/>
      <c r="N2608" s="938"/>
      <c r="O2608" s="938"/>
    </row>
    <row r="2609" spans="1:15" ht="15" customHeight="1">
      <c r="A2609" s="905" t="s">
        <v>359</v>
      </c>
      <c r="B2609" s="939" t="s">
        <v>360</v>
      </c>
      <c r="C2609" s="910" t="e">
        <f>VLOOKUP(B2608,'LƯƠNG KT'!$D$16:$Z$184,4,0)</f>
        <v>#N/A</v>
      </c>
      <c r="D2609" s="609" t="e">
        <f>+C2609*25000</f>
        <v>#N/A</v>
      </c>
      <c r="E2609" s="911"/>
      <c r="F2609" s="911"/>
      <c r="G2609" s="905" t="s">
        <v>359</v>
      </c>
      <c r="H2609" s="939" t="s">
        <v>360</v>
      </c>
      <c r="I2609" s="910" t="e">
        <f>VLOOKUP(H2608,'LƯƠNG KT'!$D$16:$Z$184,4,0)</f>
        <v>#N/A</v>
      </c>
      <c r="J2609" s="609" t="e">
        <f>+I2609*25000</f>
        <v>#N/A</v>
      </c>
      <c r="K2609" s="934"/>
      <c r="L2609" s="935"/>
      <c r="M2609" s="935"/>
      <c r="N2609" s="935"/>
      <c r="O2609" s="935"/>
    </row>
    <row r="2610" spans="1:15" ht="15" customHeight="1">
      <c r="A2610" s="905" t="s">
        <v>361</v>
      </c>
      <c r="B2610" s="546" t="s">
        <v>362</v>
      </c>
      <c r="C2610" s="910" t="e">
        <f>VLOOKUP(B2608,'LƯƠNG KT'!$D$16:$Z$184,15,0)</f>
        <v>#N/A</v>
      </c>
      <c r="D2610" s="609" t="e">
        <f>C2610*$L$4</f>
        <v>#N/A</v>
      </c>
      <c r="E2610" s="912"/>
      <c r="F2610" s="912"/>
      <c r="G2610" s="905" t="s">
        <v>361</v>
      </c>
      <c r="H2610" s="546" t="s">
        <v>362</v>
      </c>
      <c r="I2610" s="910" t="e">
        <f>VLOOKUP(H2608,'LƯƠNG KT'!$D$16:$Z$184,15,0)</f>
        <v>#N/A</v>
      </c>
      <c r="J2610" s="609" t="e">
        <f>I2610*$L$4</f>
        <v>#N/A</v>
      </c>
      <c r="K2610" s="934"/>
      <c r="L2610" s="935"/>
      <c r="M2610" s="935"/>
      <c r="N2610" s="935"/>
      <c r="O2610" s="935"/>
    </row>
    <row r="2611" spans="1:15" ht="15" customHeight="1">
      <c r="A2611" s="905" t="s">
        <v>364</v>
      </c>
      <c r="B2611" s="546" t="s">
        <v>365</v>
      </c>
      <c r="C2611" s="910" t="e">
        <f>VLOOKUP(B2608,'LƯƠNG KT'!$D$16:$Z$184,16,0)</f>
        <v>#N/A</v>
      </c>
      <c r="D2611" s="609" t="e">
        <f>C2611*$L$5</f>
        <v>#N/A</v>
      </c>
      <c r="E2611" s="912"/>
      <c r="F2611" s="912"/>
      <c r="G2611" s="905" t="s">
        <v>364</v>
      </c>
      <c r="H2611" s="546" t="s">
        <v>365</v>
      </c>
      <c r="I2611" s="910" t="e">
        <f>VLOOKUP(H2608,'LƯƠNG KT'!$D$16:$Z$184,16,0)</f>
        <v>#N/A</v>
      </c>
      <c r="J2611" s="609" t="e">
        <f>I2611*$L$5</f>
        <v>#N/A</v>
      </c>
      <c r="K2611" s="934"/>
      <c r="L2611" s="935"/>
      <c r="M2611" s="935"/>
      <c r="N2611" s="935"/>
      <c r="O2611" s="935"/>
    </row>
    <row r="2612" spans="1:15" ht="15" customHeight="1">
      <c r="A2612" s="905" t="s">
        <v>369</v>
      </c>
      <c r="B2612" s="546"/>
      <c r="C2612" s="910" t="e">
        <f>VLOOKUP(B2608,'LƯƠNG KT'!$D$16:$Z$184,18,0)</f>
        <v>#N/A</v>
      </c>
      <c r="D2612" s="609" t="e">
        <f>+C2612*$L$6</f>
        <v>#N/A</v>
      </c>
      <c r="E2612" s="912"/>
      <c r="F2612" s="912"/>
      <c r="G2612" s="905" t="s">
        <v>369</v>
      </c>
      <c r="H2612" s="546"/>
      <c r="I2612" s="910" t="e">
        <f>VLOOKUP(H2608,'LƯƠNG KT'!$D$16:$Z$184,18,0)</f>
        <v>#N/A</v>
      </c>
      <c r="J2612" s="609" t="e">
        <f>+I2612*$L$6</f>
        <v>#N/A</v>
      </c>
      <c r="K2612" s="935"/>
      <c r="L2612" s="935"/>
      <c r="M2612" s="935"/>
      <c r="N2612" s="935"/>
      <c r="O2612" s="935"/>
    </row>
    <row r="2613" spans="1:15" ht="15" customHeight="1">
      <c r="A2613" s="905" t="s">
        <v>2114</v>
      </c>
      <c r="B2613" s="546"/>
      <c r="C2613" s="910" t="e">
        <f>VLOOKUP(B2608,'LƯƠNG KT'!$D$16:$Z$184,19,0)</f>
        <v>#N/A</v>
      </c>
      <c r="D2613" s="609" t="e">
        <f>+C2613*$L$8</f>
        <v>#N/A</v>
      </c>
      <c r="E2613" s="912"/>
      <c r="F2613" s="912"/>
      <c r="G2613" s="905" t="s">
        <v>2114</v>
      </c>
      <c r="H2613" s="546"/>
      <c r="I2613" s="910" t="e">
        <f>VLOOKUP(H2608,'LƯƠNG KT'!$D$16:$Z$184,19,0)</f>
        <v>#N/A</v>
      </c>
      <c r="J2613" s="609" t="e">
        <f>+I2613*$L$8</f>
        <v>#N/A</v>
      </c>
      <c r="K2613" s="935"/>
      <c r="L2613" s="935"/>
      <c r="M2613" s="935"/>
      <c r="N2613" s="935"/>
      <c r="O2613" s="935"/>
    </row>
    <row r="2614" spans="1:15" ht="15" customHeight="1">
      <c r="A2614" s="905" t="s">
        <v>2115</v>
      </c>
      <c r="B2614" s="546"/>
      <c r="C2614" s="910" t="e">
        <f>VLOOKUP(B2608,'LƯƠNG KT'!$D$16:$Z$184,20,0)</f>
        <v>#N/A</v>
      </c>
      <c r="D2614" s="609" t="e">
        <f>+C2614*$L$9</f>
        <v>#N/A</v>
      </c>
      <c r="E2614" s="912"/>
      <c r="F2614" s="912"/>
      <c r="G2614" s="905" t="s">
        <v>2115</v>
      </c>
      <c r="H2614" s="546"/>
      <c r="I2614" s="910" t="e">
        <f>VLOOKUP(H2608,'LƯƠNG KT'!$D$16:$Z$184,20,0)</f>
        <v>#N/A</v>
      </c>
      <c r="J2614" s="609" t="e">
        <f>+I2614*$L$9</f>
        <v>#N/A</v>
      </c>
      <c r="K2614" s="935"/>
      <c r="L2614" s="935"/>
      <c r="M2614" s="935"/>
      <c r="N2614" s="935"/>
      <c r="O2614" s="935"/>
    </row>
    <row r="2615" spans="1:15" ht="15" customHeight="1">
      <c r="A2615" s="905" t="s">
        <v>2101</v>
      </c>
      <c r="B2615" s="546"/>
      <c r="C2615" s="910" t="e">
        <f>VLOOKUP(B2608,'LƯƠNG KT'!$D$16:$Z$184,17,0)</f>
        <v>#N/A</v>
      </c>
      <c r="D2615" s="609" t="e">
        <f>+C2615*L2615</f>
        <v>#N/A</v>
      </c>
      <c r="E2615" s="912"/>
      <c r="F2615" s="912"/>
      <c r="G2615" s="905" t="s">
        <v>2101</v>
      </c>
      <c r="H2615" s="546"/>
      <c r="I2615" s="910" t="e">
        <f>VLOOKUP(H2608,'LƯƠNG KT'!$D$16:$Z$184,17,0)</f>
        <v>#N/A</v>
      </c>
      <c r="J2615" s="609" t="e">
        <f>+I2615*R2615</f>
        <v>#N/A</v>
      </c>
    </row>
    <row r="2616" spans="1:15" ht="15" customHeight="1">
      <c r="A2616" s="905" t="s">
        <v>374</v>
      </c>
      <c r="B2616" s="546" t="s">
        <v>375</v>
      </c>
      <c r="C2616" s="910" t="e">
        <f>VLOOKUP(B2608,'LƯƠNG KT'!$D$16:$Z$184,12,0)</f>
        <v>#N/A</v>
      </c>
      <c r="D2616" s="609" t="e">
        <f>VLOOKUP(B2608,'LƯƠNG KT'!$D$16:$Z$184,14,0)</f>
        <v>#N/A</v>
      </c>
      <c r="E2616" s="914"/>
      <c r="F2616" s="912"/>
      <c r="G2616" s="905" t="s">
        <v>374</v>
      </c>
      <c r="H2616" s="546" t="s">
        <v>375</v>
      </c>
      <c r="I2616" s="910" t="e">
        <f>VLOOKUP(H2608,'LƯƠNG KT'!$D$16:$Z$184,12,0)</f>
        <v>#N/A</v>
      </c>
      <c r="J2616" s="609" t="e">
        <f>VLOOKUP(H2608,'LƯƠNG KT'!$D$16:$Z$184,14,0)</f>
        <v>#N/A</v>
      </c>
    </row>
    <row r="2617" spans="1:15" ht="15" customHeight="1">
      <c r="A2617" s="905" t="s">
        <v>381</v>
      </c>
      <c r="B2617" s="546" t="s">
        <v>382</v>
      </c>
      <c r="C2617" s="910"/>
      <c r="D2617" s="609"/>
      <c r="E2617" s="917"/>
      <c r="F2617" s="904"/>
      <c r="G2617" s="905" t="s">
        <v>381</v>
      </c>
      <c r="H2617" s="546" t="s">
        <v>382</v>
      </c>
      <c r="I2617" s="910"/>
      <c r="J2617" s="609"/>
    </row>
    <row r="2618" spans="1:15" ht="15" customHeight="1">
      <c r="A2618" s="918" t="s">
        <v>383</v>
      </c>
      <c r="B2618" s="919" t="s">
        <v>384</v>
      </c>
      <c r="C2618" s="920"/>
      <c r="D2618" s="921"/>
      <c r="E2618" s="922"/>
      <c r="F2618" s="923"/>
      <c r="G2618" s="918" t="s">
        <v>383</v>
      </c>
      <c r="H2618" s="919" t="s">
        <v>384</v>
      </c>
      <c r="I2618" s="920"/>
      <c r="J2618" s="921"/>
      <c r="K2618" s="940" t="s">
        <v>503</v>
      </c>
      <c r="L2618" s="940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0"/>
      <c r="N2618" s="940"/>
      <c r="O2618" s="940"/>
    </row>
    <row r="2619" spans="1:15" ht="12.6" customHeight="1">
      <c r="A2619" s="924"/>
      <c r="B2619" s="925"/>
      <c r="C2619" s="926"/>
      <c r="D2619" s="927"/>
      <c r="E2619" s="927"/>
      <c r="F2619" s="928"/>
      <c r="G2619" s="924"/>
      <c r="H2619" s="925"/>
      <c r="I2619" s="926"/>
      <c r="J2619" s="927"/>
      <c r="L2619" s="898" t="e">
        <f>+'Đội 4'!AE99-'Đội 4'!AE98</f>
        <v>#N/A</v>
      </c>
    </row>
    <row r="2620" spans="1:15" ht="12.6" customHeight="1">
      <c r="A2620" s="925"/>
      <c r="B2620" s="925"/>
      <c r="C2620" s="929"/>
      <c r="D2620" s="930"/>
      <c r="E2620" s="925"/>
      <c r="F2620" s="931"/>
      <c r="G2620" s="925"/>
      <c r="H2620" s="925"/>
      <c r="I2620" s="929"/>
      <c r="J2620" s="930"/>
      <c r="L2620" s="898" t="e">
        <f>+L2618-L2619</f>
        <v>#N/A</v>
      </c>
      <c r="M2620" s="898">
        <f>224106900-174906900</f>
        <v>49200000</v>
      </c>
    </row>
    <row r="2621" spans="1:15" ht="15" customHeight="1">
      <c r="A2621" s="2360"/>
      <c r="B2621" s="2360"/>
      <c r="C2621" s="2360"/>
      <c r="D2621" s="2360"/>
      <c r="E2621" s="903"/>
      <c r="F2621" s="904"/>
      <c r="G2621" s="2360"/>
      <c r="H2621" s="2360"/>
      <c r="I2621" s="2360"/>
      <c r="J2621" s="2360"/>
      <c r="K2621" s="276"/>
    </row>
    <row r="2622" spans="1:15" ht="15" customHeight="1">
      <c r="A2622" s="905"/>
      <c r="B2622" s="546"/>
      <c r="C2622" s="910"/>
      <c r="D2622" s="609"/>
      <c r="E2622" s="917"/>
      <c r="F2622" s="904"/>
      <c r="G2622" s="905"/>
      <c r="H2622" s="546"/>
      <c r="I2622" s="910"/>
      <c r="J2622" s="609"/>
    </row>
    <row r="2623" spans="1:15" ht="15" customHeight="1">
      <c r="A2623" s="918"/>
      <c r="B2623" s="919"/>
      <c r="C2623" s="920"/>
      <c r="D2623" s="921"/>
      <c r="E2623" s="922"/>
      <c r="F2623" s="923"/>
      <c r="G2623" s="918"/>
      <c r="H2623" s="919"/>
      <c r="I2623" s="920"/>
      <c r="J2623" s="921"/>
    </row>
    <row r="2624" spans="1:15" ht="12" customHeight="1">
      <c r="A2624" s="2362" t="s">
        <v>509</v>
      </c>
      <c r="B2624" s="2362"/>
      <c r="C2624" s="2362"/>
      <c r="D2624" s="2362"/>
      <c r="E2624" s="2362"/>
      <c r="F2624" s="2362"/>
      <c r="G2624" s="2362"/>
      <c r="H2624" s="2362"/>
      <c r="I2624" s="2362"/>
      <c r="J2624" s="2362"/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60" t="str">
        <f>$K$2</f>
        <v>THÁNG 04/2025</v>
      </c>
      <c r="B2627" s="2360"/>
      <c r="C2627" s="2360"/>
      <c r="D2627" s="2360"/>
      <c r="E2627" s="903"/>
      <c r="F2627" s="904"/>
      <c r="G2627" s="2360" t="str">
        <f>$K$2</f>
        <v>THÁNG 04/2025</v>
      </c>
      <c r="H2627" s="2360"/>
      <c r="I2627" s="2360"/>
      <c r="J2627" s="2360"/>
      <c r="K2627" s="276"/>
    </row>
    <row r="2628" spans="1:15" ht="15" customHeight="1">
      <c r="A2628" s="905" t="s">
        <v>356</v>
      </c>
      <c r="B2628" s="642" t="s">
        <v>2004</v>
      </c>
      <c r="C2628" s="546"/>
      <c r="D2628" s="902"/>
      <c r="E2628" s="906"/>
      <c r="F2628" s="907"/>
      <c r="G2628" s="905" t="s">
        <v>356</v>
      </c>
      <c r="H2628" s="642" t="s">
        <v>2005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8" t="s">
        <v>359</v>
      </c>
      <c r="B2629" s="909" t="s">
        <v>2090</v>
      </c>
      <c r="C2629" s="910"/>
      <c r="D2629" s="609"/>
      <c r="E2629" s="911"/>
      <c r="F2629" s="911"/>
      <c r="G2629" s="908" t="s">
        <v>359</v>
      </c>
      <c r="H2629" s="909" t="s">
        <v>2090</v>
      </c>
      <c r="I2629" s="910"/>
      <c r="J2629" s="609"/>
      <c r="K2629" s="935" t="s">
        <v>2004</v>
      </c>
      <c r="L2629" s="935"/>
      <c r="M2629" s="935"/>
      <c r="N2629" s="935"/>
      <c r="O2629" s="935"/>
    </row>
    <row r="2630" spans="1:15" ht="15" customHeight="1">
      <c r="A2630" s="908" t="s">
        <v>361</v>
      </c>
      <c r="B2630" s="909" t="s">
        <v>2091</v>
      </c>
      <c r="C2630" s="910"/>
      <c r="D2630" s="609"/>
      <c r="E2630" s="912"/>
      <c r="F2630" s="912"/>
      <c r="G2630" s="908" t="s">
        <v>361</v>
      </c>
      <c r="H2630" s="909" t="s">
        <v>2091</v>
      </c>
      <c r="I2630" s="910"/>
      <c r="J2630" s="609"/>
      <c r="K2630" s="935" t="s">
        <v>2005</v>
      </c>
      <c r="L2630" s="935"/>
      <c r="M2630" s="935"/>
      <c r="N2630" s="935"/>
      <c r="O2630" s="935"/>
    </row>
    <row r="2631" spans="1:15" ht="15" customHeight="1">
      <c r="A2631" s="908" t="s">
        <v>364</v>
      </c>
      <c r="B2631" s="909" t="s">
        <v>2092</v>
      </c>
      <c r="C2631" s="910"/>
      <c r="D2631" s="609"/>
      <c r="E2631" s="912"/>
      <c r="F2631" s="912"/>
      <c r="G2631" s="908" t="s">
        <v>364</v>
      </c>
      <c r="H2631" s="909" t="s">
        <v>2092</v>
      </c>
      <c r="I2631" s="910"/>
      <c r="J2631" s="609"/>
      <c r="K2631" s="935" t="s">
        <v>657</v>
      </c>
      <c r="L2631" s="935"/>
      <c r="M2631" s="935"/>
      <c r="N2631" s="935"/>
      <c r="O2631" s="935"/>
    </row>
    <row r="2632" spans="1:15" ht="15" customHeight="1">
      <c r="A2632" s="908" t="s">
        <v>370</v>
      </c>
      <c r="B2632" s="909" t="s">
        <v>2093</v>
      </c>
      <c r="C2632" s="910"/>
      <c r="D2632" s="609"/>
      <c r="E2632" s="912"/>
      <c r="F2632" s="912"/>
      <c r="G2632" s="908" t="s">
        <v>370</v>
      </c>
      <c r="H2632" s="909" t="s">
        <v>2093</v>
      </c>
      <c r="I2632" s="910"/>
      <c r="J2632" s="609"/>
      <c r="K2632" s="935" t="s">
        <v>1352</v>
      </c>
      <c r="L2632" s="935"/>
      <c r="M2632" s="935"/>
      <c r="N2632" s="935"/>
      <c r="O2632" s="935"/>
    </row>
    <row r="2633" spans="1:15" ht="15" customHeight="1">
      <c r="A2633" s="908" t="s">
        <v>2094</v>
      </c>
      <c r="B2633" s="909" t="s">
        <v>2095</v>
      </c>
      <c r="C2633" s="910"/>
      <c r="D2633" s="609"/>
      <c r="E2633" s="912"/>
      <c r="F2633" s="912"/>
      <c r="G2633" s="908" t="s">
        <v>2094</v>
      </c>
      <c r="H2633" s="909" t="s">
        <v>2095</v>
      </c>
      <c r="I2633" s="910"/>
      <c r="J2633" s="609"/>
      <c r="K2633" s="935"/>
      <c r="L2633" s="935"/>
      <c r="M2633" s="935"/>
      <c r="N2633" s="935"/>
      <c r="O2633" s="935"/>
    </row>
    <row r="2634" spans="1:15" ht="15" customHeight="1">
      <c r="A2634" s="908" t="s">
        <v>2096</v>
      </c>
      <c r="B2634" s="913" t="s">
        <v>2097</v>
      </c>
      <c r="C2634" s="910"/>
      <c r="D2634" s="609"/>
      <c r="E2634" s="914"/>
      <c r="F2634" s="912"/>
      <c r="G2634" s="908" t="s">
        <v>2096</v>
      </c>
      <c r="H2634" s="913" t="s">
        <v>2097</v>
      </c>
      <c r="I2634" s="910"/>
      <c r="J2634" s="609"/>
      <c r="K2634" s="935"/>
      <c r="L2634" s="935"/>
      <c r="M2634" s="935"/>
      <c r="N2634" s="935"/>
      <c r="O2634" s="935"/>
    </row>
    <row r="2635" spans="1:15" ht="15" customHeight="1">
      <c r="A2635" s="908" t="s">
        <v>2099</v>
      </c>
      <c r="B2635" s="909" t="s">
        <v>2100</v>
      </c>
      <c r="C2635" s="910"/>
      <c r="D2635" s="609"/>
      <c r="E2635" s="916"/>
      <c r="F2635" s="916"/>
      <c r="G2635" s="908" t="s">
        <v>2099</v>
      </c>
      <c r="H2635" s="909" t="s">
        <v>2100</v>
      </c>
      <c r="I2635" s="910"/>
      <c r="J2635" s="609"/>
    </row>
    <row r="2636" spans="1:15" ht="15" customHeight="1">
      <c r="A2636" s="908" t="s">
        <v>374</v>
      </c>
      <c r="B2636" s="909" t="s">
        <v>2102</v>
      </c>
      <c r="C2636" s="910"/>
      <c r="D2636" s="609"/>
      <c r="E2636" s="914"/>
      <c r="F2636" s="916"/>
      <c r="G2636" s="908" t="s">
        <v>374</v>
      </c>
      <c r="H2636" s="909" t="s">
        <v>2102</v>
      </c>
      <c r="I2636" s="910"/>
      <c r="J2636" s="609"/>
    </row>
    <row r="2637" spans="1:15" ht="15" customHeight="1">
      <c r="A2637" s="908" t="s">
        <v>2103</v>
      </c>
      <c r="B2637" s="909" t="s">
        <v>2104</v>
      </c>
      <c r="D2637" s="915"/>
      <c r="E2637" s="917"/>
      <c r="F2637" s="904"/>
      <c r="G2637" s="908" t="s">
        <v>2103</v>
      </c>
      <c r="H2637" s="909" t="s">
        <v>2104</v>
      </c>
      <c r="J2637" s="915"/>
    </row>
    <row r="2638" spans="1:15" ht="15" customHeight="1">
      <c r="A2638" s="547"/>
      <c r="B2638" s="546"/>
      <c r="C2638" s="910"/>
      <c r="D2638" s="609"/>
      <c r="E2638" s="922"/>
      <c r="F2638" s="923"/>
      <c r="G2638" s="547"/>
      <c r="H2638" s="546"/>
      <c r="I2638" s="910"/>
      <c r="J2638" s="609"/>
    </row>
    <row r="2639" spans="1:15" ht="18.75" customHeight="1">
      <c r="A2639" s="905"/>
      <c r="B2639" s="546"/>
      <c r="C2639" s="910"/>
      <c r="D2639" s="609"/>
      <c r="E2639" s="927"/>
      <c r="F2639" s="928"/>
      <c r="G2639" s="905"/>
      <c r="H2639" s="546"/>
      <c r="I2639" s="910"/>
      <c r="J2639" s="609"/>
    </row>
    <row r="2640" spans="1:15" ht="18.75" customHeight="1">
      <c r="A2640" s="918" t="s">
        <v>383</v>
      </c>
      <c r="B2640" s="919" t="s">
        <v>384</v>
      </c>
      <c r="C2640" s="920"/>
      <c r="D2640" s="921">
        <f>SUM(D2629:D2636)-D2639</f>
        <v>0</v>
      </c>
      <c r="E2640" s="925"/>
      <c r="F2640" s="931"/>
      <c r="G2640" s="918" t="s">
        <v>383</v>
      </c>
      <c r="H2640" s="919" t="s">
        <v>384</v>
      </c>
      <c r="I2640" s="920"/>
      <c r="J2640" s="921">
        <f>SUM(J2629:J2636)-J2639</f>
        <v>0</v>
      </c>
    </row>
    <row r="2641" spans="1:15" ht="18.75" customHeight="1">
      <c r="A2641" s="918"/>
      <c r="B2641" s="919"/>
      <c r="C2641" s="920"/>
      <c r="D2641" s="921"/>
      <c r="E2641" s="898"/>
      <c r="G2641" s="918"/>
      <c r="H2641" s="919"/>
      <c r="I2641" s="920"/>
      <c r="J2641" s="921"/>
    </row>
    <row r="2642" spans="1:15" ht="18.75" customHeight="1">
      <c r="A2642" s="918"/>
      <c r="B2642" s="919"/>
      <c r="C2642" s="920"/>
      <c r="D2642" s="921"/>
      <c r="E2642" s="898"/>
      <c r="G2642" s="918"/>
      <c r="H2642" s="919"/>
      <c r="I2642" s="920"/>
      <c r="J2642" s="921"/>
    </row>
    <row r="2643" spans="1:15" ht="15" customHeight="1">
      <c r="A2643" s="2360" t="str">
        <f>$K$2</f>
        <v>THÁNG 04/2025</v>
      </c>
      <c r="B2643" s="2360"/>
      <c r="C2643" s="2360"/>
      <c r="D2643" s="2360"/>
      <c r="E2643" s="903"/>
      <c r="F2643" s="904"/>
      <c r="G2643" s="2360" t="str">
        <f>$K$2</f>
        <v>THÁNG 04/2025</v>
      </c>
      <c r="H2643" s="2360"/>
      <c r="I2643" s="2360"/>
      <c r="J2643" s="2360"/>
      <c r="K2643" s="276"/>
    </row>
    <row r="2644" spans="1:15" ht="15" customHeight="1">
      <c r="A2644" s="905" t="s">
        <v>356</v>
      </c>
      <c r="B2644" s="642" t="s">
        <v>657</v>
      </c>
      <c r="C2644" s="546"/>
      <c r="D2644" s="902"/>
      <c r="E2644" s="906"/>
      <c r="F2644" s="907"/>
      <c r="G2644" s="905" t="s">
        <v>356</v>
      </c>
      <c r="H2644" s="642" t="s">
        <v>513</v>
      </c>
      <c r="I2644" s="546"/>
      <c r="J2644" s="902"/>
      <c r="L2644" s="938"/>
      <c r="M2644" s="938"/>
      <c r="N2644" s="938"/>
      <c r="O2644" s="938"/>
    </row>
    <row r="2645" spans="1:15" ht="15" customHeight="1">
      <c r="A2645" s="908" t="s">
        <v>359</v>
      </c>
      <c r="B2645" s="909" t="s">
        <v>2090</v>
      </c>
      <c r="C2645" s="910"/>
      <c r="D2645" s="609"/>
      <c r="E2645" s="911"/>
      <c r="F2645" s="911"/>
      <c r="G2645" s="908" t="s">
        <v>359</v>
      </c>
      <c r="H2645" s="909" t="s">
        <v>2090</v>
      </c>
      <c r="I2645" s="910"/>
      <c r="J2645" s="609"/>
      <c r="K2645" s="935"/>
      <c r="L2645" s="935"/>
      <c r="M2645" s="935"/>
      <c r="N2645" s="935"/>
      <c r="O2645" s="935"/>
    </row>
    <row r="2646" spans="1:15" ht="15" customHeight="1">
      <c r="A2646" s="908" t="s">
        <v>361</v>
      </c>
      <c r="B2646" s="909" t="s">
        <v>2091</v>
      </c>
      <c r="C2646" s="910"/>
      <c r="D2646" s="609"/>
      <c r="E2646" s="912"/>
      <c r="F2646" s="912"/>
      <c r="G2646" s="908" t="s">
        <v>361</v>
      </c>
      <c r="H2646" s="909" t="s">
        <v>2091</v>
      </c>
      <c r="I2646" s="910"/>
      <c r="J2646" s="609"/>
      <c r="K2646" s="935"/>
      <c r="L2646" s="935"/>
      <c r="M2646" s="935"/>
      <c r="N2646" s="935"/>
      <c r="O2646" s="935"/>
    </row>
    <row r="2647" spans="1:15" ht="15" customHeight="1">
      <c r="A2647" s="908" t="s">
        <v>364</v>
      </c>
      <c r="B2647" s="909" t="s">
        <v>2092</v>
      </c>
      <c r="C2647" s="910"/>
      <c r="D2647" s="609"/>
      <c r="E2647" s="912"/>
      <c r="F2647" s="912"/>
      <c r="G2647" s="908" t="s">
        <v>364</v>
      </c>
      <c r="H2647" s="909" t="s">
        <v>2092</v>
      </c>
      <c r="I2647" s="910"/>
      <c r="J2647" s="609"/>
      <c r="K2647" s="935"/>
      <c r="L2647" s="935"/>
      <c r="M2647" s="935"/>
      <c r="N2647" s="935"/>
      <c r="O2647" s="935"/>
    </row>
    <row r="2648" spans="1:15" ht="15" customHeight="1">
      <c r="A2648" s="908" t="s">
        <v>370</v>
      </c>
      <c r="B2648" s="909" t="s">
        <v>2093</v>
      </c>
      <c r="C2648" s="910"/>
      <c r="D2648" s="609"/>
      <c r="E2648" s="912"/>
      <c r="F2648" s="912"/>
      <c r="G2648" s="908" t="s">
        <v>370</v>
      </c>
      <c r="H2648" s="909" t="s">
        <v>2093</v>
      </c>
      <c r="I2648" s="910"/>
      <c r="J2648" s="609"/>
      <c r="K2648" s="935"/>
      <c r="L2648" s="935"/>
      <c r="M2648" s="935"/>
      <c r="N2648" s="935"/>
      <c r="O2648" s="935"/>
    </row>
    <row r="2649" spans="1:15" ht="15" customHeight="1">
      <c r="A2649" s="908" t="s">
        <v>2094</v>
      </c>
      <c r="B2649" s="909" t="s">
        <v>2095</v>
      </c>
      <c r="C2649" s="910"/>
      <c r="D2649" s="609"/>
      <c r="E2649" s="912"/>
      <c r="F2649" s="912"/>
      <c r="G2649" s="908" t="s">
        <v>2094</v>
      </c>
      <c r="H2649" s="909" t="s">
        <v>2095</v>
      </c>
      <c r="I2649" s="910"/>
      <c r="J2649" s="609"/>
    </row>
    <row r="2650" spans="1:15" ht="15" customHeight="1">
      <c r="A2650" s="908" t="s">
        <v>2096</v>
      </c>
      <c r="B2650" s="913" t="s">
        <v>2097</v>
      </c>
      <c r="C2650" s="910"/>
      <c r="D2650" s="609"/>
      <c r="E2650" s="914"/>
      <c r="F2650" s="912"/>
      <c r="G2650" s="908" t="s">
        <v>2096</v>
      </c>
      <c r="H2650" s="913" t="s">
        <v>2097</v>
      </c>
      <c r="I2650" s="910"/>
      <c r="J2650" s="609"/>
      <c r="K2650" s="935"/>
      <c r="L2650" s="935"/>
      <c r="M2650" s="935"/>
      <c r="N2650" s="935"/>
      <c r="O2650" s="935"/>
    </row>
    <row r="2651" spans="1:15" ht="15" customHeight="1">
      <c r="A2651" s="908" t="s">
        <v>2099</v>
      </c>
      <c r="B2651" s="909" t="s">
        <v>2100</v>
      </c>
      <c r="C2651" s="910"/>
      <c r="D2651" s="609"/>
      <c r="E2651" s="916"/>
      <c r="F2651" s="916"/>
      <c r="G2651" s="908" t="s">
        <v>2099</v>
      </c>
      <c r="H2651" s="909" t="s">
        <v>2100</v>
      </c>
      <c r="I2651" s="910"/>
      <c r="J2651" s="609"/>
    </row>
    <row r="2652" spans="1:15" ht="15" customHeight="1">
      <c r="A2652" s="908" t="s">
        <v>374</v>
      </c>
      <c r="B2652" s="909" t="s">
        <v>2102</v>
      </c>
      <c r="C2652" s="910"/>
      <c r="D2652" s="609"/>
      <c r="E2652" s="914"/>
      <c r="F2652" s="916"/>
      <c r="G2652" s="908" t="s">
        <v>374</v>
      </c>
      <c r="H2652" s="909" t="s">
        <v>2102</v>
      </c>
      <c r="I2652" s="910"/>
      <c r="J2652" s="609"/>
    </row>
    <row r="2653" spans="1:15" ht="15" customHeight="1">
      <c r="A2653" s="908" t="s">
        <v>2103</v>
      </c>
      <c r="B2653" s="909" t="s">
        <v>2104</v>
      </c>
      <c r="D2653" s="915"/>
      <c r="E2653" s="917"/>
      <c r="F2653" s="904"/>
      <c r="G2653" s="908" t="s">
        <v>2103</v>
      </c>
      <c r="H2653" s="909" t="s">
        <v>2104</v>
      </c>
      <c r="J2653" s="915"/>
    </row>
    <row r="2654" spans="1:15" ht="15" customHeight="1">
      <c r="A2654" s="547"/>
      <c r="B2654" s="546"/>
      <c r="C2654" s="910"/>
      <c r="D2654" s="609"/>
      <c r="E2654" s="922"/>
      <c r="F2654" s="923"/>
      <c r="G2654" s="547"/>
      <c r="H2654" s="546"/>
      <c r="I2654" s="910"/>
      <c r="J2654" s="609"/>
    </row>
    <row r="2655" spans="1:15" ht="15.75" customHeight="1">
      <c r="A2655" s="905"/>
      <c r="B2655" s="546"/>
      <c r="C2655" s="910"/>
      <c r="D2655" s="609"/>
      <c r="E2655" s="927"/>
      <c r="F2655" s="928"/>
      <c r="G2655" s="905"/>
      <c r="H2655" s="546"/>
      <c r="I2655" s="910"/>
      <c r="J2655" s="609"/>
    </row>
    <row r="2656" spans="1:15">
      <c r="A2656" s="918" t="s">
        <v>383</v>
      </c>
      <c r="B2656" s="919" t="s">
        <v>384</v>
      </c>
      <c r="C2656" s="920"/>
      <c r="D2656" s="921">
        <f>SUM(D2645:D2652)-D2655</f>
        <v>0</v>
      </c>
      <c r="G2656" s="918" t="s">
        <v>383</v>
      </c>
      <c r="H2656" s="919" t="s">
        <v>384</v>
      </c>
      <c r="I2656" s="920"/>
      <c r="J2656" s="921">
        <f>SUM(J2645:J2652)-J2655</f>
        <v>0</v>
      </c>
    </row>
    <row r="2657" spans="1:15" s="546" customFormat="1">
      <c r="A2657" s="609"/>
      <c r="C2657" s="941"/>
      <c r="D2657" s="942"/>
      <c r="G2657" s="609"/>
      <c r="I2657" s="941"/>
      <c r="J2657" s="942"/>
    </row>
    <row r="2658" spans="1:15" s="546" customFormat="1" ht="12" customHeight="1">
      <c r="A2658" s="943"/>
      <c r="B2658" s="943"/>
      <c r="C2658" s="943"/>
      <c r="D2658" s="943"/>
      <c r="E2658" s="943"/>
      <c r="F2658" s="943"/>
      <c r="G2658" s="943"/>
      <c r="H2658" s="943"/>
      <c r="I2658" s="943"/>
      <c r="J2658" s="943"/>
    </row>
    <row r="2659" spans="1:15" ht="15" customHeight="1">
      <c r="A2659" s="2584" t="str">
        <f>$K$2</f>
        <v>THÁNG 04/2025</v>
      </c>
      <c r="B2659" s="2584"/>
      <c r="C2659" s="2584"/>
      <c r="D2659" s="2584"/>
      <c r="E2659" s="903"/>
      <c r="F2659" s="904"/>
      <c r="G2659" s="2584" t="str">
        <f>$K$2</f>
        <v>THÁNG 04/2025</v>
      </c>
      <c r="H2659" s="2584"/>
      <c r="I2659" s="2584"/>
      <c r="J2659" s="2584"/>
      <c r="K2659" s="276"/>
    </row>
    <row r="2660" spans="1:15" ht="15" customHeight="1">
      <c r="A2660" s="905" t="s">
        <v>356</v>
      </c>
      <c r="B2660" s="642" t="s">
        <v>206</v>
      </c>
      <c r="C2660" s="546"/>
      <c r="D2660" s="902"/>
      <c r="E2660" s="906"/>
      <c r="F2660" s="907"/>
      <c r="G2660" s="905" t="s">
        <v>356</v>
      </c>
      <c r="H2660" s="642" t="s">
        <v>207</v>
      </c>
      <c r="I2660" s="546"/>
      <c r="J2660" s="902"/>
      <c r="L2660" s="938"/>
      <c r="M2660" s="938"/>
      <c r="N2660" s="938"/>
      <c r="O2660" s="938"/>
    </row>
    <row r="2661" spans="1:15" ht="15" customHeight="1">
      <c r="A2661" s="908" t="s">
        <v>359</v>
      </c>
      <c r="B2661" s="909" t="s">
        <v>2090</v>
      </c>
      <c r="C2661" s="910" t="e">
        <f>VLOOKUP(B2660,'LƯƠNG KT'!$D$16:$Z$184,4,0)</f>
        <v>#N/A</v>
      </c>
      <c r="D2661" s="609" t="e">
        <f>+C2661*25000</f>
        <v>#N/A</v>
      </c>
      <c r="E2661" s="911"/>
      <c r="F2661" s="911"/>
      <c r="G2661" s="908" t="s">
        <v>359</v>
      </c>
      <c r="H2661" s="909" t="s">
        <v>2090</v>
      </c>
      <c r="I2661" s="910" t="e">
        <f>VLOOKUP(H2660,'LƯƠNG KT'!$D$16:$Z$184,4,0)</f>
        <v>#N/A</v>
      </c>
      <c r="J2661" s="609" t="e">
        <f>+I2661*25000</f>
        <v>#N/A</v>
      </c>
      <c r="K2661" s="934"/>
      <c r="L2661" s="935"/>
      <c r="M2661" s="935"/>
      <c r="N2661" s="935"/>
      <c r="O2661" s="935"/>
    </row>
    <row r="2662" spans="1:15" ht="15" customHeight="1">
      <c r="A2662" s="908" t="s">
        <v>361</v>
      </c>
      <c r="B2662" s="909" t="s">
        <v>2091</v>
      </c>
      <c r="C2662" s="910" t="e">
        <f>VLOOKUP(B2660,'LƯƠNG KT'!$D$16:$Z$184,15,0)</f>
        <v>#N/A</v>
      </c>
      <c r="D2662" s="609" t="e">
        <f>C2662*$L$4</f>
        <v>#N/A</v>
      </c>
      <c r="E2662" s="912"/>
      <c r="F2662" s="912"/>
      <c r="G2662" s="908" t="s">
        <v>361</v>
      </c>
      <c r="H2662" s="909" t="s">
        <v>2091</v>
      </c>
      <c r="I2662" s="910" t="e">
        <f>VLOOKUP(H2660,'LƯƠNG KT'!$D$16:$Z$184,15,0)</f>
        <v>#N/A</v>
      </c>
      <c r="J2662" s="609" t="e">
        <f>I2662*$L$4</f>
        <v>#N/A</v>
      </c>
      <c r="K2662" s="934"/>
      <c r="L2662" s="935"/>
      <c r="M2662" s="935"/>
      <c r="N2662" s="935"/>
      <c r="O2662" s="935"/>
    </row>
    <row r="2663" spans="1:15" ht="15" customHeight="1">
      <c r="A2663" s="908" t="s">
        <v>364</v>
      </c>
      <c r="B2663" s="909" t="s">
        <v>2092</v>
      </c>
      <c r="C2663" s="910" t="e">
        <f>VLOOKUP(B2660,'LƯƠNG KT'!$D$16:$Z$184,16,0)</f>
        <v>#N/A</v>
      </c>
      <c r="D2663" s="609" t="e">
        <f>C2663*$L$5</f>
        <v>#N/A</v>
      </c>
      <c r="E2663" s="912"/>
      <c r="F2663" s="912"/>
      <c r="G2663" s="908" t="s">
        <v>364</v>
      </c>
      <c r="H2663" s="909" t="s">
        <v>2092</v>
      </c>
      <c r="I2663" s="910" t="e">
        <f>VLOOKUP(H2660,'LƯƠNG KT'!$D$16:$Z$184,16,0)</f>
        <v>#N/A</v>
      </c>
      <c r="J2663" s="609" t="e">
        <f>I2663*$L$5</f>
        <v>#N/A</v>
      </c>
      <c r="K2663" s="934"/>
      <c r="L2663" s="935"/>
      <c r="M2663" s="935"/>
      <c r="N2663" s="935"/>
      <c r="O2663" s="935"/>
    </row>
    <row r="2664" spans="1:15" ht="15" customHeight="1">
      <c r="A2664" s="908" t="s">
        <v>370</v>
      </c>
      <c r="B2664" s="909" t="s">
        <v>2093</v>
      </c>
      <c r="C2664" s="910" t="e">
        <f>VLOOKUP(B2660,'LƯƠNG KT'!$D$16:$Z$184,24,0)</f>
        <v>#N/A</v>
      </c>
      <c r="D2664" s="609" t="e">
        <f>+C2664*$L$6</f>
        <v>#N/A</v>
      </c>
      <c r="E2664" s="912"/>
      <c r="F2664" s="912"/>
      <c r="G2664" s="908" t="s">
        <v>370</v>
      </c>
      <c r="H2664" s="909" t="s">
        <v>2093</v>
      </c>
      <c r="I2664" s="910" t="e">
        <f>VLOOKUP(H2660,'LƯƠNG KT'!$D$16:$Z$184,24,0)</f>
        <v>#N/A</v>
      </c>
      <c r="J2664" s="609" t="e">
        <f>+I2664*$L$6</f>
        <v>#N/A</v>
      </c>
      <c r="K2664" s="935"/>
      <c r="L2664" s="935"/>
      <c r="M2664" s="935"/>
      <c r="N2664" s="935"/>
      <c r="O2664" s="935"/>
    </row>
    <row r="2665" spans="1:15" ht="15" customHeight="1">
      <c r="A2665" s="908" t="s">
        <v>2094</v>
      </c>
      <c r="B2665" s="909" t="s">
        <v>2095</v>
      </c>
      <c r="C2665" s="910" t="e">
        <f>VLOOKUP(B2660,'LƯƠNG KT'!$D$16:$Z$184,19,0)</f>
        <v>#N/A</v>
      </c>
      <c r="D2665" s="609" t="e">
        <f>+C2665*$L$8</f>
        <v>#N/A</v>
      </c>
      <c r="E2665" s="912"/>
      <c r="F2665" s="912"/>
      <c r="G2665" s="908" t="s">
        <v>2094</v>
      </c>
      <c r="H2665" s="909" t="s">
        <v>2095</v>
      </c>
      <c r="I2665" s="910" t="e">
        <f>VLOOKUP(H2660,'LƯƠNG KT'!$D$16:$Z$184,19,0)</f>
        <v>#N/A</v>
      </c>
      <c r="J2665" s="609" t="e">
        <f>+I2665*$L$8</f>
        <v>#N/A</v>
      </c>
      <c r="K2665" s="935"/>
      <c r="L2665" s="935"/>
      <c r="M2665" s="935"/>
      <c r="N2665" s="935"/>
      <c r="O2665" s="935"/>
    </row>
    <row r="2666" spans="1:15" ht="15" customHeight="1">
      <c r="A2666" s="908" t="s">
        <v>2096</v>
      </c>
      <c r="B2666" s="913" t="s">
        <v>2097</v>
      </c>
      <c r="C2666" s="910" t="e">
        <f>VLOOKUP(B2660,'LƯƠNG KT'!$D$16:$Z$184,20,0)</f>
        <v>#N/A</v>
      </c>
      <c r="D2666" s="609" t="e">
        <f>+C2666*$L$9</f>
        <v>#N/A</v>
      </c>
      <c r="E2666" s="912"/>
      <c r="F2666" s="912"/>
      <c r="G2666" s="908" t="s">
        <v>2096</v>
      </c>
      <c r="H2666" s="913" t="s">
        <v>2097</v>
      </c>
      <c r="I2666" s="910" t="e">
        <f>VLOOKUP(H2660,'LƯƠNG KT'!$D$16:$Z$184,20,0)</f>
        <v>#N/A</v>
      </c>
      <c r="J2666" s="609" t="e">
        <f>+I2666*$L$9</f>
        <v>#N/A</v>
      </c>
      <c r="K2666" s="935"/>
      <c r="L2666" s="935"/>
      <c r="M2666" s="935"/>
      <c r="N2666" s="935"/>
      <c r="O2666" s="935"/>
    </row>
    <row r="2667" spans="1:15" ht="15" customHeight="1">
      <c r="A2667" s="908" t="s">
        <v>2099</v>
      </c>
      <c r="B2667" s="909" t="s">
        <v>2100</v>
      </c>
      <c r="C2667" s="910" t="e">
        <f>VLOOKUP(B2660,'LƯƠNG KT'!$D$16:$Z$184,17,0)</f>
        <v>#N/A</v>
      </c>
      <c r="D2667" s="609" t="e">
        <f>+C2667*$L$10</f>
        <v>#N/A</v>
      </c>
      <c r="E2667" s="912"/>
      <c r="F2667" s="912"/>
      <c r="G2667" s="908" t="s">
        <v>2099</v>
      </c>
      <c r="H2667" s="909" t="s">
        <v>2100</v>
      </c>
      <c r="I2667" s="910" t="e">
        <f>VLOOKUP(H2660,'LƯƠNG KT'!$D$16:$Z$184,17,0)</f>
        <v>#N/A</v>
      </c>
      <c r="J2667" s="609" t="e">
        <f>+I2667*$L$10</f>
        <v>#N/A</v>
      </c>
      <c r="K2667" s="935"/>
      <c r="L2667" s="935"/>
      <c r="M2667" s="935"/>
      <c r="N2667" s="935"/>
      <c r="O2667" s="935"/>
    </row>
    <row r="2668" spans="1:15" ht="15" customHeight="1">
      <c r="A2668" s="908" t="s">
        <v>374</v>
      </c>
      <c r="B2668" s="909" t="s">
        <v>2102</v>
      </c>
      <c r="C2668" s="910" t="e">
        <f>VLOOKUP(B2660,'LƯƠNG KT'!$D$16:$Z$184,12,0)</f>
        <v>#N/A</v>
      </c>
      <c r="D2668" s="609" t="e">
        <f>VLOOKUP(B2660,'LƯƠNG KT'!$D$16:$Z$184,14,0)</f>
        <v>#N/A</v>
      </c>
      <c r="E2668" s="914"/>
      <c r="F2668" s="912"/>
      <c r="G2668" s="908" t="s">
        <v>374</v>
      </c>
      <c r="H2668" s="909" t="s">
        <v>2102</v>
      </c>
      <c r="I2668" s="910" t="e">
        <f>VLOOKUP(H2660,'LƯƠNG KT'!$D$16:$Z$184,12,0)</f>
        <v>#N/A</v>
      </c>
      <c r="J2668" s="609" t="e">
        <f>VLOOKUP(H2660,'LƯƠNG KT'!$D$16:$Z$184,14,0)</f>
        <v>#N/A</v>
      </c>
      <c r="K2668" s="935"/>
      <c r="L2668" s="935"/>
      <c r="M2668" s="935"/>
      <c r="N2668" s="935"/>
      <c r="O2668" s="935"/>
    </row>
    <row r="2669" spans="1:15" ht="15" customHeight="1">
      <c r="A2669" s="908" t="s">
        <v>2103</v>
      </c>
      <c r="B2669" s="909" t="s">
        <v>2104</v>
      </c>
      <c r="D2669" s="915" t="e">
        <f>VLOOKUP(B2660,'LƯƠNG KT'!$D$16:$Z$184,13,0)</f>
        <v>#N/A</v>
      </c>
      <c r="E2669" s="916"/>
      <c r="F2669" s="916"/>
      <c r="G2669" s="908" t="s">
        <v>2103</v>
      </c>
      <c r="H2669" s="909" t="s">
        <v>2104</v>
      </c>
      <c r="J2669" s="915" t="e">
        <f>VLOOKUP(H2660,'LƯƠNG KT'!$D$16:$Z$184,13,0)</f>
        <v>#N/A</v>
      </c>
    </row>
    <row r="2670" spans="1:15" ht="15" customHeight="1">
      <c r="A2670" s="547"/>
      <c r="B2670" s="546"/>
      <c r="C2670" s="910"/>
      <c r="D2670" s="609"/>
      <c r="E2670" s="914"/>
      <c r="F2670" s="916"/>
      <c r="G2670" s="547"/>
      <c r="H2670" s="546"/>
      <c r="I2670" s="910"/>
      <c r="J2670" s="609"/>
    </row>
    <row r="2671" spans="1:15" ht="15" customHeight="1">
      <c r="A2671" s="905"/>
      <c r="B2671" s="546"/>
      <c r="C2671" s="910"/>
      <c r="D2671" s="609"/>
      <c r="E2671" s="917"/>
      <c r="F2671" s="904"/>
      <c r="G2671" s="905"/>
      <c r="H2671" s="546"/>
      <c r="I2671" s="910"/>
      <c r="J2671" s="609"/>
    </row>
    <row r="2672" spans="1:15" ht="15" customHeight="1">
      <c r="A2672" s="918" t="s">
        <v>383</v>
      </c>
      <c r="B2672" s="919" t="s">
        <v>384</v>
      </c>
      <c r="C2672" s="920"/>
      <c r="D2672" s="921" t="e">
        <f>SUM(D2661:D2668)-D2671</f>
        <v>#N/A</v>
      </c>
      <c r="E2672" s="922"/>
      <c r="F2672" s="923"/>
      <c r="G2672" s="918" t="s">
        <v>383</v>
      </c>
      <c r="H2672" s="919" t="s">
        <v>384</v>
      </c>
      <c r="I2672" s="920"/>
      <c r="J2672" s="921" t="e">
        <f>SUM(J2661:J2668)-J2671</f>
        <v>#N/A</v>
      </c>
    </row>
    <row r="2673" spans="1:15" ht="12.6" customHeight="1">
      <c r="A2673" s="924"/>
      <c r="B2673" s="925"/>
      <c r="C2673" s="926"/>
      <c r="D2673" s="927"/>
      <c r="E2673" s="927"/>
      <c r="F2673" s="928"/>
      <c r="G2673" s="924"/>
      <c r="H2673" s="925"/>
      <c r="I2673" s="926"/>
      <c r="J2673" s="927"/>
    </row>
    <row r="2674" spans="1:15" ht="131.25" customHeight="1">
      <c r="A2674" s="925"/>
      <c r="B2674" s="925"/>
      <c r="C2674" s="929"/>
      <c r="D2674" s="930"/>
      <c r="E2674" s="925"/>
      <c r="F2674" s="931"/>
      <c r="G2674" s="925"/>
      <c r="H2674" s="925"/>
      <c r="I2674" s="929"/>
      <c r="J2674" s="930"/>
    </row>
    <row r="2675" spans="1:15" ht="15" customHeight="1">
      <c r="A2675" s="2360" t="str">
        <f>$K$2</f>
        <v>THÁNG 04/2025</v>
      </c>
      <c r="B2675" s="2360"/>
      <c r="C2675" s="2360"/>
      <c r="D2675" s="2360"/>
      <c r="E2675" s="903"/>
      <c r="F2675" s="904"/>
      <c r="G2675" s="2360" t="str">
        <f>$K$2</f>
        <v>THÁNG 04/2025</v>
      </c>
      <c r="H2675" s="2360"/>
      <c r="I2675" s="2360"/>
      <c r="J2675" s="2360"/>
      <c r="K2675" s="276"/>
    </row>
    <row r="2676" spans="1:15" ht="15" customHeight="1">
      <c r="A2676" s="905" t="s">
        <v>356</v>
      </c>
      <c r="B2676" s="642" t="s">
        <v>208</v>
      </c>
      <c r="C2676" s="546"/>
      <c r="D2676" s="902"/>
      <c r="E2676" s="906"/>
      <c r="F2676" s="907"/>
      <c r="G2676" s="905" t="s">
        <v>356</v>
      </c>
      <c r="H2676" s="642" t="s">
        <v>209</v>
      </c>
      <c r="I2676" s="546"/>
      <c r="J2676" s="902"/>
      <c r="L2676" s="938"/>
      <c r="M2676" s="938"/>
      <c r="N2676" s="938"/>
      <c r="O2676" s="938"/>
    </row>
    <row r="2677" spans="1:15" ht="15" customHeight="1">
      <c r="A2677" s="908" t="s">
        <v>359</v>
      </c>
      <c r="B2677" s="909" t="s">
        <v>2090</v>
      </c>
      <c r="C2677" s="910" t="e">
        <f>VLOOKUP(B2676,'LƯƠNG KT'!$D$16:$Z$184,4,0)</f>
        <v>#N/A</v>
      </c>
      <c r="D2677" s="609" t="e">
        <f>+C2677*25000</f>
        <v>#N/A</v>
      </c>
      <c r="E2677" s="911"/>
      <c r="F2677" s="911"/>
      <c r="G2677" s="908" t="s">
        <v>359</v>
      </c>
      <c r="H2677" s="909" t="s">
        <v>2090</v>
      </c>
      <c r="I2677" s="910" t="e">
        <f>VLOOKUP(H2676,'LƯƠNG KT'!$D$16:$Z$184,4,0)</f>
        <v>#N/A</v>
      </c>
      <c r="J2677" s="609" t="e">
        <f>+I2677*25000</f>
        <v>#N/A</v>
      </c>
      <c r="K2677" s="935"/>
      <c r="L2677" s="935"/>
      <c r="M2677" s="935"/>
      <c r="N2677" s="935"/>
      <c r="O2677" s="935"/>
    </row>
    <row r="2678" spans="1:15" ht="15" customHeight="1">
      <c r="A2678" s="908" t="s">
        <v>361</v>
      </c>
      <c r="B2678" s="909" t="s">
        <v>2091</v>
      </c>
      <c r="C2678" s="910" t="e">
        <f>VLOOKUP(B2676,'LƯƠNG KT'!$D$16:$Z$184,15,0)</f>
        <v>#N/A</v>
      </c>
      <c r="D2678" s="609" t="e">
        <f>C2678*$L$4</f>
        <v>#N/A</v>
      </c>
      <c r="E2678" s="912"/>
      <c r="F2678" s="912"/>
      <c r="G2678" s="908" t="s">
        <v>361</v>
      </c>
      <c r="H2678" s="909" t="s">
        <v>2091</v>
      </c>
      <c r="I2678" s="910" t="e">
        <f>VLOOKUP(H2676,'LƯƠNG KT'!$D$16:$Z$184,15,0)</f>
        <v>#N/A</v>
      </c>
      <c r="J2678" s="609" t="e">
        <f>I2678*$L$4</f>
        <v>#N/A</v>
      </c>
      <c r="K2678" s="935"/>
      <c r="L2678" s="935"/>
      <c r="M2678" s="935"/>
      <c r="N2678" s="935"/>
      <c r="O2678" s="935"/>
    </row>
    <row r="2679" spans="1:15" ht="15" customHeight="1">
      <c r="A2679" s="908" t="s">
        <v>364</v>
      </c>
      <c r="B2679" s="909" t="s">
        <v>2092</v>
      </c>
      <c r="C2679" s="910" t="e">
        <f>VLOOKUP(B2676,'LƯƠNG KT'!$D$16:$Z$184,16,0)</f>
        <v>#N/A</v>
      </c>
      <c r="D2679" s="609" t="e">
        <f>C2679*$L$5</f>
        <v>#N/A</v>
      </c>
      <c r="E2679" s="912"/>
      <c r="F2679" s="912"/>
      <c r="G2679" s="908" t="s">
        <v>364</v>
      </c>
      <c r="H2679" s="909" t="s">
        <v>2092</v>
      </c>
      <c r="I2679" s="910" t="e">
        <f>VLOOKUP(H2676,'LƯƠNG KT'!$D$16:$Z$184,16,0)</f>
        <v>#N/A</v>
      </c>
      <c r="J2679" s="609" t="e">
        <f>I2679*$L$5</f>
        <v>#N/A</v>
      </c>
      <c r="K2679" s="935"/>
      <c r="L2679" s="935"/>
      <c r="M2679" s="935"/>
      <c r="N2679" s="935"/>
      <c r="O2679" s="935"/>
    </row>
    <row r="2680" spans="1:15" ht="15" customHeight="1">
      <c r="A2680" s="908" t="s">
        <v>370</v>
      </c>
      <c r="B2680" s="909" t="s">
        <v>2093</v>
      </c>
      <c r="C2680" s="910" t="e">
        <f>VLOOKUP(B2676,'LƯƠNG KT'!$D$16:$Z$184,24,0)</f>
        <v>#N/A</v>
      </c>
      <c r="D2680" s="609" t="e">
        <f>+C2680*$L$6</f>
        <v>#N/A</v>
      </c>
      <c r="E2680" s="912"/>
      <c r="F2680" s="912"/>
      <c r="G2680" s="908" t="s">
        <v>370</v>
      </c>
      <c r="H2680" s="909" t="s">
        <v>2093</v>
      </c>
      <c r="I2680" s="910" t="e">
        <f>VLOOKUP(H2676,'LƯƠNG KT'!$D$16:$Z$184,24,0)</f>
        <v>#N/A</v>
      </c>
      <c r="J2680" s="609" t="e">
        <f>+I2680*$L$6</f>
        <v>#N/A</v>
      </c>
      <c r="K2680" s="935"/>
      <c r="L2680" s="935"/>
      <c r="M2680" s="935"/>
      <c r="N2680" s="935"/>
      <c r="O2680" s="935"/>
    </row>
    <row r="2681" spans="1:15" ht="15" customHeight="1">
      <c r="A2681" s="908" t="s">
        <v>2094</v>
      </c>
      <c r="B2681" s="909" t="s">
        <v>2095</v>
      </c>
      <c r="C2681" s="910" t="e">
        <f>VLOOKUP(B2676,'LƯƠNG KT'!$D$16:$Z$184,19,0)</f>
        <v>#N/A</v>
      </c>
      <c r="D2681" s="609" t="e">
        <f>+C2681*$L$8</f>
        <v>#N/A</v>
      </c>
      <c r="E2681" s="912"/>
      <c r="F2681" s="912"/>
      <c r="G2681" s="908" t="s">
        <v>2094</v>
      </c>
      <c r="H2681" s="909" t="s">
        <v>2095</v>
      </c>
      <c r="I2681" s="910" t="e">
        <f>VLOOKUP(H2676,'LƯƠNG KT'!$D$16:$Z$184,19,0)</f>
        <v>#N/A</v>
      </c>
      <c r="J2681" s="609" t="e">
        <f>+I2681*$L$8</f>
        <v>#N/A</v>
      </c>
      <c r="K2681" s="935"/>
      <c r="L2681" s="935"/>
      <c r="M2681" s="935"/>
      <c r="N2681" s="935"/>
      <c r="O2681" s="935"/>
    </row>
    <row r="2682" spans="1:15" ht="15" customHeight="1">
      <c r="A2682" s="908" t="s">
        <v>2096</v>
      </c>
      <c r="B2682" s="913" t="s">
        <v>2097</v>
      </c>
      <c r="C2682" s="910" t="e">
        <f>VLOOKUP(B2676,'LƯƠNG KT'!$D$16:$Z$184,20,0)</f>
        <v>#N/A</v>
      </c>
      <c r="D2682" s="609" t="e">
        <f>+C2682*$L$9</f>
        <v>#N/A</v>
      </c>
      <c r="E2682" s="912"/>
      <c r="F2682" s="912"/>
      <c r="G2682" s="908" t="s">
        <v>2096</v>
      </c>
      <c r="H2682" s="913" t="s">
        <v>2097</v>
      </c>
      <c r="I2682" s="910" t="e">
        <f>VLOOKUP(H2676,'LƯƠNG KT'!$D$16:$Z$184,20,0)</f>
        <v>#N/A</v>
      </c>
      <c r="J2682" s="609" t="e">
        <f>+I2682*$L$9</f>
        <v>#N/A</v>
      </c>
      <c r="K2682" s="935"/>
      <c r="L2682" s="935"/>
      <c r="M2682" s="935"/>
      <c r="N2682" s="935"/>
      <c r="O2682" s="935"/>
    </row>
    <row r="2683" spans="1:15" ht="15" customHeight="1">
      <c r="A2683" s="908" t="s">
        <v>2099</v>
      </c>
      <c r="B2683" s="909" t="s">
        <v>2100</v>
      </c>
      <c r="C2683" s="910" t="e">
        <f>VLOOKUP(B2676,'LƯƠNG KT'!$D$16:$Z$184,17,0)</f>
        <v>#N/A</v>
      </c>
      <c r="D2683" s="609" t="e">
        <f>+C2683*$L$10</f>
        <v>#N/A</v>
      </c>
      <c r="E2683" s="912"/>
      <c r="F2683" s="912"/>
      <c r="G2683" s="908" t="s">
        <v>2099</v>
      </c>
      <c r="H2683" s="909" t="s">
        <v>2100</v>
      </c>
      <c r="I2683" s="910" t="e">
        <f>VLOOKUP(H2676,'LƯƠNG KT'!$D$16:$Z$184,17,0)</f>
        <v>#N/A</v>
      </c>
      <c r="J2683" s="609" t="e">
        <f>+I2683*$L$10</f>
        <v>#N/A</v>
      </c>
      <c r="K2683" s="935"/>
      <c r="L2683" s="935"/>
      <c r="M2683" s="935"/>
      <c r="N2683" s="935"/>
      <c r="O2683" s="935"/>
    </row>
    <row r="2684" spans="1:15" ht="15" customHeight="1">
      <c r="A2684" s="908" t="s">
        <v>374</v>
      </c>
      <c r="B2684" s="909" t="s">
        <v>2102</v>
      </c>
      <c r="C2684" s="910" t="e">
        <f>VLOOKUP(B2676,'LƯƠNG KT'!$D$16:$Z$184,12,0)</f>
        <v>#N/A</v>
      </c>
      <c r="D2684" s="609" t="e">
        <f>VLOOKUP(B2676,'LƯƠNG KT'!$D$16:$Z$184,14,0)</f>
        <v>#N/A</v>
      </c>
      <c r="E2684" s="914"/>
      <c r="F2684" s="912"/>
      <c r="G2684" s="908" t="s">
        <v>374</v>
      </c>
      <c r="H2684" s="909" t="s">
        <v>2102</v>
      </c>
      <c r="I2684" s="910" t="e">
        <f>VLOOKUP(H2676,'LƯƠNG KT'!$D$16:$Z$184,12,0)</f>
        <v>#N/A</v>
      </c>
      <c r="J2684" s="609" t="e">
        <f>VLOOKUP(H2676,'LƯƠNG KT'!$D$16:$Z$184,14,0)</f>
        <v>#N/A</v>
      </c>
      <c r="K2684" s="935"/>
      <c r="L2684" s="935"/>
      <c r="M2684" s="935"/>
      <c r="N2684" s="935"/>
      <c r="O2684" s="935"/>
    </row>
    <row r="2685" spans="1:15" ht="15" customHeight="1">
      <c r="A2685" s="908" t="s">
        <v>2103</v>
      </c>
      <c r="B2685" s="909" t="s">
        <v>2104</v>
      </c>
      <c r="D2685" s="915" t="e">
        <f>VLOOKUP(B2676,'LƯƠNG KT'!$D$16:$Z$184,13,0)</f>
        <v>#N/A</v>
      </c>
      <c r="E2685" s="916"/>
      <c r="F2685" s="916"/>
      <c r="G2685" s="908" t="s">
        <v>2103</v>
      </c>
      <c r="H2685" s="909" t="s">
        <v>2104</v>
      </c>
      <c r="J2685" s="915" t="e">
        <f>VLOOKUP(H2676,'LƯƠNG KT'!$D$16:$Z$184,13,0)</f>
        <v>#N/A</v>
      </c>
    </row>
    <row r="2686" spans="1:15" ht="15" customHeight="1">
      <c r="A2686" s="547"/>
      <c r="B2686" s="546"/>
      <c r="C2686" s="910"/>
      <c r="D2686" s="609"/>
      <c r="E2686" s="914"/>
      <c r="F2686" s="916"/>
      <c r="G2686" s="547"/>
      <c r="H2686" s="546"/>
      <c r="I2686" s="910"/>
      <c r="J2686" s="609"/>
    </row>
    <row r="2687" spans="1:15" ht="15" customHeight="1">
      <c r="A2687" s="905"/>
      <c r="B2687" s="546"/>
      <c r="C2687" s="910"/>
      <c r="D2687" s="609"/>
      <c r="E2687" s="917"/>
      <c r="F2687" s="904"/>
      <c r="G2687" s="905"/>
      <c r="H2687" s="546"/>
      <c r="I2687" s="910"/>
      <c r="J2687" s="609"/>
    </row>
    <row r="2688" spans="1:15" ht="15" customHeight="1">
      <c r="A2688" s="918" t="s">
        <v>383</v>
      </c>
      <c r="B2688" s="919" t="s">
        <v>384</v>
      </c>
      <c r="C2688" s="920"/>
      <c r="D2688" s="921" t="e">
        <f>SUM(D2677:D2684)-D2687</f>
        <v>#N/A</v>
      </c>
      <c r="E2688" s="922"/>
      <c r="F2688" s="923"/>
      <c r="G2688" s="918" t="s">
        <v>383</v>
      </c>
      <c r="H2688" s="919" t="s">
        <v>384</v>
      </c>
      <c r="I2688" s="920"/>
      <c r="J2688" s="921" t="e">
        <f>SUM(J2677:J2684)-J2687</f>
        <v>#N/A</v>
      </c>
    </row>
    <row r="2689" spans="1:15" ht="18.75" customHeight="1">
      <c r="A2689" s="924"/>
      <c r="B2689" s="925"/>
      <c r="C2689" s="926"/>
      <c r="D2689" s="927"/>
      <c r="E2689" s="927"/>
      <c r="F2689" s="928"/>
      <c r="G2689" s="924"/>
      <c r="H2689" s="925"/>
      <c r="I2689" s="926"/>
      <c r="J2689" s="927"/>
    </row>
    <row r="2690" spans="1:15" ht="18.75" customHeight="1">
      <c r="A2690" s="925"/>
      <c r="B2690" s="925"/>
      <c r="C2690" s="929"/>
      <c r="D2690" s="930"/>
      <c r="E2690" s="925"/>
      <c r="F2690" s="931"/>
      <c r="G2690" s="925"/>
      <c r="H2690" s="925"/>
      <c r="I2690" s="929"/>
      <c r="J2690" s="930"/>
    </row>
    <row r="2691" spans="1:15" ht="15" customHeight="1">
      <c r="A2691" s="2360" t="str">
        <f>$K$2</f>
        <v>THÁNG 04/2025</v>
      </c>
      <c r="B2691" s="2360"/>
      <c r="C2691" s="2360"/>
      <c r="D2691" s="2360"/>
      <c r="E2691" s="903"/>
      <c r="F2691" s="904"/>
      <c r="G2691" s="2360" t="str">
        <f>$K$2</f>
        <v>THÁNG 04/2025</v>
      </c>
      <c r="H2691" s="2360"/>
      <c r="I2691" s="2360"/>
      <c r="J2691" s="2360"/>
      <c r="K2691" s="276"/>
    </row>
    <row r="2692" spans="1:15" ht="15" customHeight="1">
      <c r="A2692" s="905" t="s">
        <v>356</v>
      </c>
      <c r="B2692" s="642" t="s">
        <v>210</v>
      </c>
      <c r="C2692" s="546"/>
      <c r="D2692" s="902"/>
      <c r="E2692" s="906"/>
      <c r="F2692" s="907"/>
      <c r="G2692" s="905" t="s">
        <v>356</v>
      </c>
      <c r="H2692" s="642" t="s">
        <v>211</v>
      </c>
      <c r="I2692" s="546"/>
      <c r="J2692" s="902"/>
      <c r="L2692" s="938"/>
      <c r="M2692" s="938"/>
      <c r="N2692" s="938"/>
      <c r="O2692" s="938"/>
    </row>
    <row r="2693" spans="1:15" ht="15" customHeight="1">
      <c r="A2693" s="908" t="s">
        <v>359</v>
      </c>
      <c r="B2693" s="909" t="s">
        <v>2090</v>
      </c>
      <c r="C2693" s="910" t="e">
        <f>VLOOKUP(B2692,'LƯƠNG KT'!$D$16:$Z$184,4,0)</f>
        <v>#N/A</v>
      </c>
      <c r="D2693" s="609" t="e">
        <f>+C2693*25000</f>
        <v>#N/A</v>
      </c>
      <c r="E2693" s="911"/>
      <c r="F2693" s="911"/>
      <c r="G2693" s="908" t="s">
        <v>359</v>
      </c>
      <c r="H2693" s="909" t="s">
        <v>2090</v>
      </c>
      <c r="I2693" s="910" t="e">
        <f>VLOOKUP(H2692,'LƯƠNG KT'!$D$16:$Z$184,4,0)</f>
        <v>#N/A</v>
      </c>
      <c r="J2693" s="609" t="e">
        <f>+I2693*25000</f>
        <v>#N/A</v>
      </c>
      <c r="K2693" s="935"/>
      <c r="L2693" s="935"/>
      <c r="M2693" s="935"/>
      <c r="N2693" s="935"/>
      <c r="O2693" s="935"/>
    </row>
    <row r="2694" spans="1:15" ht="15" customHeight="1">
      <c r="A2694" s="908" t="s">
        <v>361</v>
      </c>
      <c r="B2694" s="909" t="s">
        <v>2091</v>
      </c>
      <c r="C2694" s="910" t="e">
        <f>VLOOKUP(B2692,'LƯƠNG KT'!$D$16:$Z$184,15,0)</f>
        <v>#N/A</v>
      </c>
      <c r="D2694" s="609" t="e">
        <f>C2694*$L$4</f>
        <v>#N/A</v>
      </c>
      <c r="E2694" s="912"/>
      <c r="F2694" s="912"/>
      <c r="G2694" s="908" t="s">
        <v>361</v>
      </c>
      <c r="H2694" s="909" t="s">
        <v>2091</v>
      </c>
      <c r="I2694" s="910" t="e">
        <f>VLOOKUP(H2692,'LƯƠNG KT'!$D$16:$Z$184,15,0)</f>
        <v>#N/A</v>
      </c>
      <c r="J2694" s="609" t="e">
        <f>I2694*$L$4</f>
        <v>#N/A</v>
      </c>
      <c r="K2694" s="935"/>
      <c r="L2694" s="935"/>
      <c r="M2694" s="935"/>
      <c r="N2694" s="935"/>
      <c r="O2694" s="935"/>
    </row>
    <row r="2695" spans="1:15" ht="15" customHeight="1">
      <c r="A2695" s="908" t="s">
        <v>364</v>
      </c>
      <c r="B2695" s="909" t="s">
        <v>2092</v>
      </c>
      <c r="C2695" s="910" t="e">
        <f>VLOOKUP(B2692,'LƯƠNG KT'!$D$16:$Z$184,16,0)</f>
        <v>#N/A</v>
      </c>
      <c r="D2695" s="609" t="e">
        <f>C2695*$L$5</f>
        <v>#N/A</v>
      </c>
      <c r="E2695" s="912"/>
      <c r="F2695" s="912"/>
      <c r="G2695" s="908" t="s">
        <v>364</v>
      </c>
      <c r="H2695" s="909" t="s">
        <v>2092</v>
      </c>
      <c r="I2695" s="910" t="e">
        <f>VLOOKUP(H2692,'LƯƠNG KT'!$D$16:$Z$184,16,0)</f>
        <v>#N/A</v>
      </c>
      <c r="J2695" s="609" t="e">
        <f>I2695*$L$5</f>
        <v>#N/A</v>
      </c>
      <c r="K2695" s="935"/>
      <c r="L2695" s="935"/>
      <c r="M2695" s="935"/>
      <c r="N2695" s="935"/>
      <c r="O2695" s="935"/>
    </row>
    <row r="2696" spans="1:15" ht="15" customHeight="1">
      <c r="A2696" s="908" t="s">
        <v>370</v>
      </c>
      <c r="B2696" s="909" t="s">
        <v>2093</v>
      </c>
      <c r="C2696" s="910" t="e">
        <f>VLOOKUP(B2692,'LƯƠNG KT'!$D$16:$Z$184,24,0)</f>
        <v>#N/A</v>
      </c>
      <c r="D2696" s="609" t="e">
        <f>+C2696*$L$6</f>
        <v>#N/A</v>
      </c>
      <c r="E2696" s="912"/>
      <c r="F2696" s="912"/>
      <c r="G2696" s="908" t="s">
        <v>370</v>
      </c>
      <c r="H2696" s="909" t="s">
        <v>2093</v>
      </c>
      <c r="I2696" s="910" t="e">
        <f>VLOOKUP(H2692,'LƯƠNG KT'!$D$16:$Z$184,24,0)</f>
        <v>#N/A</v>
      </c>
      <c r="J2696" s="609" t="e">
        <f>+I2696*$L$6</f>
        <v>#N/A</v>
      </c>
      <c r="K2696" s="935"/>
      <c r="L2696" s="935"/>
      <c r="M2696" s="935"/>
      <c r="N2696" s="935"/>
      <c r="O2696" s="935"/>
    </row>
    <row r="2697" spans="1:15" ht="15" customHeight="1">
      <c r="A2697" s="908" t="s">
        <v>2094</v>
      </c>
      <c r="B2697" s="909" t="s">
        <v>2095</v>
      </c>
      <c r="C2697" s="910" t="e">
        <f>VLOOKUP(B2692,'LƯƠNG KT'!$D$16:$Z$184,19,0)</f>
        <v>#N/A</v>
      </c>
      <c r="D2697" s="609" t="e">
        <f>+C2697*$L$8</f>
        <v>#N/A</v>
      </c>
      <c r="E2697" s="912"/>
      <c r="F2697" s="912"/>
      <c r="G2697" s="908" t="s">
        <v>2094</v>
      </c>
      <c r="H2697" s="909" t="s">
        <v>2095</v>
      </c>
      <c r="I2697" s="910" t="e">
        <f>VLOOKUP(H2692,'LƯƠNG KT'!$D$16:$Z$184,19,0)</f>
        <v>#N/A</v>
      </c>
      <c r="J2697" s="609" t="e">
        <f>+I2697*$L$8</f>
        <v>#N/A</v>
      </c>
      <c r="K2697" s="935"/>
      <c r="L2697" s="935"/>
      <c r="M2697" s="935"/>
      <c r="N2697" s="935"/>
      <c r="O2697" s="935"/>
    </row>
    <row r="2698" spans="1:15" ht="15" customHeight="1">
      <c r="A2698" s="908" t="s">
        <v>2096</v>
      </c>
      <c r="B2698" s="913" t="s">
        <v>2097</v>
      </c>
      <c r="C2698" s="910" t="e">
        <f>VLOOKUP(B2692,'LƯƠNG KT'!$D$16:$Z$184,20,0)</f>
        <v>#N/A</v>
      </c>
      <c r="D2698" s="609" t="e">
        <f>+C2698*$L$9</f>
        <v>#N/A</v>
      </c>
      <c r="E2698" s="912"/>
      <c r="F2698" s="912"/>
      <c r="G2698" s="908" t="s">
        <v>2096</v>
      </c>
      <c r="H2698" s="913" t="s">
        <v>2097</v>
      </c>
      <c r="I2698" s="910" t="e">
        <f>VLOOKUP(H2692,'LƯƠNG KT'!$D$16:$Z$184,20,0)</f>
        <v>#N/A</v>
      </c>
      <c r="J2698" s="609" t="e">
        <f>+I2698*$L$9</f>
        <v>#N/A</v>
      </c>
      <c r="K2698" s="935"/>
      <c r="L2698" s="935"/>
      <c r="M2698" s="935"/>
      <c r="N2698" s="935"/>
      <c r="O2698" s="935"/>
    </row>
    <row r="2699" spans="1:15" ht="15" customHeight="1">
      <c r="A2699" s="908" t="s">
        <v>2099</v>
      </c>
      <c r="B2699" s="909" t="s">
        <v>2100</v>
      </c>
      <c r="C2699" s="910" t="e">
        <f>VLOOKUP(B2692,'LƯƠNG KT'!$D$16:$Z$184,17,0)</f>
        <v>#N/A</v>
      </c>
      <c r="D2699" s="609" t="e">
        <f>+C2699*$L$10</f>
        <v>#N/A</v>
      </c>
      <c r="E2699" s="912"/>
      <c r="F2699" s="912"/>
      <c r="G2699" s="908" t="s">
        <v>2099</v>
      </c>
      <c r="H2699" s="909" t="s">
        <v>2100</v>
      </c>
      <c r="I2699" s="910" t="e">
        <f>VLOOKUP(H2692,'LƯƠNG KT'!$D$16:$Z$184,17,0)</f>
        <v>#N/A</v>
      </c>
      <c r="J2699" s="609" t="e">
        <f>+I2699*$L$10</f>
        <v>#N/A</v>
      </c>
      <c r="K2699" s="935"/>
      <c r="L2699" s="935"/>
      <c r="M2699" s="935"/>
      <c r="N2699" s="935"/>
      <c r="O2699" s="935"/>
    </row>
    <row r="2700" spans="1:15" ht="15" customHeight="1">
      <c r="A2700" s="908" t="s">
        <v>374</v>
      </c>
      <c r="B2700" s="909" t="s">
        <v>2102</v>
      </c>
      <c r="C2700" s="910" t="e">
        <f>VLOOKUP(B2692,'LƯƠNG KT'!$D$16:$Z$184,12,0)</f>
        <v>#N/A</v>
      </c>
      <c r="D2700" s="609" t="e">
        <f>VLOOKUP(B2692,'LƯƠNG KT'!$D$16:$Z$184,14,0)</f>
        <v>#N/A</v>
      </c>
      <c r="E2700" s="914"/>
      <c r="F2700" s="912"/>
      <c r="G2700" s="908" t="s">
        <v>374</v>
      </c>
      <c r="H2700" s="909" t="s">
        <v>2102</v>
      </c>
      <c r="I2700" s="910" t="e">
        <f>VLOOKUP(H2692,'LƯƠNG KT'!$D$16:$Z$184,12,0)</f>
        <v>#N/A</v>
      </c>
      <c r="J2700" s="609" t="e">
        <f>VLOOKUP(H2692,'LƯƠNG KT'!$D$16:$Z$184,14,0)</f>
        <v>#N/A</v>
      </c>
      <c r="K2700" s="935"/>
      <c r="L2700" s="935"/>
      <c r="M2700" s="935"/>
      <c r="N2700" s="935"/>
      <c r="O2700" s="935"/>
    </row>
    <row r="2701" spans="1:15" ht="15" customHeight="1">
      <c r="A2701" s="908" t="s">
        <v>2103</v>
      </c>
      <c r="B2701" s="909" t="s">
        <v>2104</v>
      </c>
      <c r="D2701" s="915" t="e">
        <f>VLOOKUP(B2692,'LƯƠNG KT'!$D$16:$Z$184,13,0)</f>
        <v>#N/A</v>
      </c>
      <c r="E2701" s="916"/>
      <c r="F2701" s="916"/>
      <c r="G2701" s="908" t="s">
        <v>2103</v>
      </c>
      <c r="H2701" s="909" t="s">
        <v>2104</v>
      </c>
      <c r="J2701" s="915" t="e">
        <f>VLOOKUP(H2692,'LƯƠNG KT'!$D$16:$Z$184,13,0)</f>
        <v>#N/A</v>
      </c>
    </row>
    <row r="2702" spans="1:15" ht="15" customHeight="1">
      <c r="A2702" s="547"/>
      <c r="B2702" s="546"/>
      <c r="C2702" s="910"/>
      <c r="D2702" s="609"/>
      <c r="E2702" s="914"/>
      <c r="F2702" s="916"/>
      <c r="G2702" s="547"/>
      <c r="H2702" s="546"/>
      <c r="I2702" s="910"/>
      <c r="J2702" s="609"/>
    </row>
    <row r="2703" spans="1:15" ht="15" customHeight="1">
      <c r="A2703" s="905"/>
      <c r="B2703" s="546"/>
      <c r="C2703" s="910"/>
      <c r="D2703" s="609"/>
      <c r="E2703" s="917"/>
      <c r="F2703" s="904"/>
      <c r="G2703" s="905"/>
      <c r="H2703" s="546"/>
      <c r="I2703" s="910"/>
      <c r="J2703" s="609"/>
    </row>
    <row r="2704" spans="1:15" ht="15" customHeight="1">
      <c r="A2704" s="918" t="s">
        <v>383</v>
      </c>
      <c r="B2704" s="919" t="s">
        <v>384</v>
      </c>
      <c r="C2704" s="920"/>
      <c r="D2704" s="921" t="e">
        <f>SUM(D2693:D2700)-D2703</f>
        <v>#N/A</v>
      </c>
      <c r="E2704" s="922"/>
      <c r="F2704" s="923"/>
      <c r="G2704" s="918" t="s">
        <v>383</v>
      </c>
      <c r="H2704" s="919" t="s">
        <v>384</v>
      </c>
      <c r="I2704" s="920"/>
      <c r="J2704" s="921" t="e">
        <f>SUM(J2693:J2700)-J2703</f>
        <v>#N/A</v>
      </c>
    </row>
    <row r="2705" spans="1:15" ht="18.75" customHeight="1">
      <c r="A2705" s="924"/>
      <c r="B2705" s="925"/>
      <c r="C2705" s="926"/>
      <c r="D2705" s="927"/>
      <c r="E2705" s="927"/>
      <c r="F2705" s="928"/>
      <c r="G2705" s="924"/>
      <c r="H2705" s="925"/>
      <c r="I2705" s="926"/>
      <c r="J2705" s="927"/>
    </row>
    <row r="2706" spans="1:15" ht="18.75" customHeight="1">
      <c r="A2706" s="925"/>
      <c r="B2706" s="925"/>
      <c r="C2706" s="929"/>
      <c r="D2706" s="930"/>
      <c r="E2706" s="925"/>
      <c r="F2706" s="931"/>
      <c r="G2706" s="925"/>
      <c r="H2706" s="925"/>
      <c r="I2706" s="929"/>
      <c r="J2706" s="930"/>
    </row>
    <row r="2707" spans="1:15" ht="15" customHeight="1">
      <c r="A2707" s="2360" t="str">
        <f>$K$2</f>
        <v>THÁNG 04/2025</v>
      </c>
      <c r="B2707" s="2360"/>
      <c r="C2707" s="2360"/>
      <c r="D2707" s="2360"/>
      <c r="E2707" s="903"/>
      <c r="F2707" s="904"/>
      <c r="G2707" s="2360" t="str">
        <f>$K$2</f>
        <v>THÁNG 04/2025</v>
      </c>
      <c r="H2707" s="2360"/>
      <c r="I2707" s="2360"/>
      <c r="J2707" s="2360"/>
      <c r="K2707" s="276"/>
    </row>
    <row r="2708" spans="1:15" ht="15" customHeight="1">
      <c r="A2708" s="905" t="s">
        <v>356</v>
      </c>
      <c r="B2708" s="642" t="s">
        <v>212</v>
      </c>
      <c r="C2708" s="546"/>
      <c r="D2708" s="902"/>
      <c r="E2708" s="906"/>
      <c r="F2708" s="907"/>
      <c r="G2708" s="905" t="s">
        <v>356</v>
      </c>
      <c r="H2708" s="642" t="s">
        <v>213</v>
      </c>
      <c r="I2708" s="546"/>
      <c r="J2708" s="902"/>
      <c r="L2708" s="938"/>
      <c r="M2708" s="938"/>
      <c r="N2708" s="938"/>
      <c r="O2708" s="938"/>
    </row>
    <row r="2709" spans="1:15" ht="15" customHeight="1">
      <c r="A2709" s="908" t="s">
        <v>359</v>
      </c>
      <c r="B2709" s="909" t="s">
        <v>2090</v>
      </c>
      <c r="C2709" s="910" t="e">
        <f>VLOOKUP(B2708,'LƯƠNG KT'!$D$16:$Z$184,4,0)</f>
        <v>#N/A</v>
      </c>
      <c r="D2709" s="609" t="e">
        <f>+C2709*25000</f>
        <v>#N/A</v>
      </c>
      <c r="E2709" s="911"/>
      <c r="F2709" s="911"/>
      <c r="G2709" s="908" t="s">
        <v>359</v>
      </c>
      <c r="H2709" s="909" t="s">
        <v>2090</v>
      </c>
      <c r="I2709" s="910" t="e">
        <f>VLOOKUP(H2708,'LƯƠNG KT'!$D$16:$Z$184,4,0)</f>
        <v>#N/A</v>
      </c>
      <c r="J2709" s="609" t="e">
        <f>+I2709*25000</f>
        <v>#N/A</v>
      </c>
      <c r="K2709" s="935"/>
      <c r="L2709" s="935"/>
      <c r="M2709" s="935"/>
      <c r="N2709" s="935"/>
      <c r="O2709" s="935"/>
    </row>
    <row r="2710" spans="1:15" ht="15" customHeight="1">
      <c r="A2710" s="908" t="s">
        <v>361</v>
      </c>
      <c r="B2710" s="909" t="s">
        <v>2091</v>
      </c>
      <c r="C2710" s="910" t="e">
        <f>VLOOKUP(B2708,'LƯƠNG KT'!$D$16:$Z$184,15,0)</f>
        <v>#N/A</v>
      </c>
      <c r="D2710" s="609" t="e">
        <f>C2710*$L$4</f>
        <v>#N/A</v>
      </c>
      <c r="E2710" s="912"/>
      <c r="F2710" s="912"/>
      <c r="G2710" s="908" t="s">
        <v>361</v>
      </c>
      <c r="H2710" s="909" t="s">
        <v>2091</v>
      </c>
      <c r="I2710" s="910" t="e">
        <f>VLOOKUP(H2708,'LƯƠNG KT'!$D$16:$Z$184,15,0)</f>
        <v>#N/A</v>
      </c>
      <c r="J2710" s="609" t="e">
        <f>I2710*$L$4</f>
        <v>#N/A</v>
      </c>
      <c r="K2710" s="935"/>
      <c r="L2710" s="935"/>
      <c r="M2710" s="935"/>
      <c r="N2710" s="935"/>
      <c r="O2710" s="935"/>
    </row>
    <row r="2711" spans="1:15" ht="15" customHeight="1">
      <c r="A2711" s="908" t="s">
        <v>364</v>
      </c>
      <c r="B2711" s="909" t="s">
        <v>2092</v>
      </c>
      <c r="C2711" s="910" t="e">
        <f>VLOOKUP(B2708,'LƯƠNG KT'!$D$16:$Z$184,16,0)</f>
        <v>#N/A</v>
      </c>
      <c r="D2711" s="609" t="e">
        <f>C2711*$L$5</f>
        <v>#N/A</v>
      </c>
      <c r="E2711" s="912"/>
      <c r="F2711" s="912"/>
      <c r="G2711" s="908" t="s">
        <v>364</v>
      </c>
      <c r="H2711" s="909" t="s">
        <v>2092</v>
      </c>
      <c r="I2711" s="910" t="e">
        <f>VLOOKUP(H2708,'LƯƠNG KT'!$D$16:$Z$184,16,0)</f>
        <v>#N/A</v>
      </c>
      <c r="J2711" s="609" t="e">
        <f>I2711*$L$5</f>
        <v>#N/A</v>
      </c>
      <c r="K2711" s="935"/>
      <c r="L2711" s="935"/>
      <c r="M2711" s="935"/>
      <c r="N2711" s="935"/>
      <c r="O2711" s="935"/>
    </row>
    <row r="2712" spans="1:15" ht="15" customHeight="1">
      <c r="A2712" s="908" t="s">
        <v>370</v>
      </c>
      <c r="B2712" s="909" t="s">
        <v>2093</v>
      </c>
      <c r="C2712" s="910" t="e">
        <f>VLOOKUP(B2708,'LƯƠNG KT'!$D$16:$Z$184,24,0)</f>
        <v>#N/A</v>
      </c>
      <c r="D2712" s="609" t="e">
        <f>+C2712*$L$6</f>
        <v>#N/A</v>
      </c>
      <c r="E2712" s="912"/>
      <c r="F2712" s="912"/>
      <c r="G2712" s="908" t="s">
        <v>370</v>
      </c>
      <c r="H2712" s="909" t="s">
        <v>2093</v>
      </c>
      <c r="I2712" s="910" t="e">
        <f>VLOOKUP(H2708,'LƯƠNG KT'!$D$16:$Z$184,24,0)</f>
        <v>#N/A</v>
      </c>
      <c r="J2712" s="609" t="e">
        <f>+I2712*$L$6</f>
        <v>#N/A</v>
      </c>
      <c r="K2712" s="935"/>
      <c r="L2712" s="935"/>
      <c r="M2712" s="935"/>
      <c r="N2712" s="935"/>
      <c r="O2712" s="935"/>
    </row>
    <row r="2713" spans="1:15" ht="15" customHeight="1">
      <c r="A2713" s="908" t="s">
        <v>2094</v>
      </c>
      <c r="B2713" s="909" t="s">
        <v>2095</v>
      </c>
      <c r="C2713" s="910" t="e">
        <f>VLOOKUP(B2708,'LƯƠNG KT'!$D$16:$Z$184,19,0)</f>
        <v>#N/A</v>
      </c>
      <c r="D2713" s="609" t="e">
        <f>+C2713*$L$8</f>
        <v>#N/A</v>
      </c>
      <c r="E2713" s="912"/>
      <c r="F2713" s="912"/>
      <c r="G2713" s="908" t="s">
        <v>2094</v>
      </c>
      <c r="H2713" s="909" t="s">
        <v>2095</v>
      </c>
      <c r="I2713" s="910" t="e">
        <f>VLOOKUP(H2708,'LƯƠNG KT'!$D$16:$Z$184,19,0)</f>
        <v>#N/A</v>
      </c>
      <c r="J2713" s="609" t="e">
        <f>+I2713*$L$8</f>
        <v>#N/A</v>
      </c>
      <c r="K2713" s="935"/>
      <c r="L2713" s="935"/>
      <c r="M2713" s="935"/>
      <c r="N2713" s="935"/>
      <c r="O2713" s="935"/>
    </row>
    <row r="2714" spans="1:15" ht="15" customHeight="1">
      <c r="A2714" s="908" t="s">
        <v>2096</v>
      </c>
      <c r="B2714" s="913" t="s">
        <v>2097</v>
      </c>
      <c r="C2714" s="910" t="e">
        <f>VLOOKUP(B2708,'LƯƠNG KT'!$D$16:$Z$184,20,0)</f>
        <v>#N/A</v>
      </c>
      <c r="D2714" s="609" t="e">
        <f>+C2714*$L$9</f>
        <v>#N/A</v>
      </c>
      <c r="E2714" s="912"/>
      <c r="F2714" s="912"/>
      <c r="G2714" s="908" t="s">
        <v>2096</v>
      </c>
      <c r="H2714" s="913" t="s">
        <v>2097</v>
      </c>
      <c r="I2714" s="910" t="e">
        <f>VLOOKUP(H2708,'LƯƠNG KT'!$D$16:$Z$184,20,0)</f>
        <v>#N/A</v>
      </c>
      <c r="J2714" s="609" t="e">
        <f>+I2714*$L$9</f>
        <v>#N/A</v>
      </c>
      <c r="K2714" s="935"/>
      <c r="L2714" s="935"/>
      <c r="M2714" s="935"/>
      <c r="N2714" s="935"/>
      <c r="O2714" s="935"/>
    </row>
    <row r="2715" spans="1:15" ht="15" customHeight="1">
      <c r="A2715" s="908" t="s">
        <v>2099</v>
      </c>
      <c r="B2715" s="909" t="s">
        <v>2100</v>
      </c>
      <c r="C2715" s="910" t="e">
        <f>VLOOKUP(B2708,'LƯƠNG KT'!$D$16:$Z$184,17,0)</f>
        <v>#N/A</v>
      </c>
      <c r="D2715" s="609" t="e">
        <f>+C2715*$L$10</f>
        <v>#N/A</v>
      </c>
      <c r="E2715" s="912"/>
      <c r="F2715" s="912"/>
      <c r="G2715" s="908" t="s">
        <v>2099</v>
      </c>
      <c r="H2715" s="909" t="s">
        <v>2100</v>
      </c>
      <c r="I2715" s="910" t="e">
        <f>VLOOKUP(H2708,'LƯƠNG KT'!$D$16:$Z$184,17,0)</f>
        <v>#N/A</v>
      </c>
      <c r="J2715" s="609" t="e">
        <f>+I2715*$L$10</f>
        <v>#N/A</v>
      </c>
      <c r="K2715" s="935"/>
      <c r="L2715" s="935"/>
      <c r="M2715" s="935"/>
      <c r="N2715" s="935"/>
      <c r="O2715" s="935"/>
    </row>
    <row r="2716" spans="1:15" ht="15" customHeight="1">
      <c r="A2716" s="908" t="s">
        <v>374</v>
      </c>
      <c r="B2716" s="909" t="s">
        <v>2102</v>
      </c>
      <c r="C2716" s="910" t="e">
        <f>VLOOKUP(B2708,'LƯƠNG KT'!$D$16:$Z$184,12,0)</f>
        <v>#N/A</v>
      </c>
      <c r="D2716" s="609" t="e">
        <f>VLOOKUP(B2708,'LƯƠNG KT'!$D$16:$Z$184,14,0)</f>
        <v>#N/A</v>
      </c>
      <c r="E2716" s="914"/>
      <c r="F2716" s="912"/>
      <c r="G2716" s="908" t="s">
        <v>374</v>
      </c>
      <c r="H2716" s="909" t="s">
        <v>2102</v>
      </c>
      <c r="I2716" s="910" t="e">
        <f>VLOOKUP(H2708,'LƯƠNG KT'!$D$16:$Z$184,12,0)</f>
        <v>#N/A</v>
      </c>
      <c r="J2716" s="609" t="e">
        <f>VLOOKUP(H2708,'LƯƠNG KT'!$D$16:$Z$184,14,0)</f>
        <v>#N/A</v>
      </c>
      <c r="K2716" s="935"/>
      <c r="L2716" s="935"/>
      <c r="M2716" s="935"/>
      <c r="N2716" s="935"/>
      <c r="O2716" s="935"/>
    </row>
    <row r="2717" spans="1:15" ht="15" customHeight="1">
      <c r="A2717" s="908" t="s">
        <v>2103</v>
      </c>
      <c r="B2717" s="909" t="s">
        <v>2104</v>
      </c>
      <c r="D2717" s="915" t="e">
        <f>VLOOKUP(B2708,'LƯƠNG KT'!$D$16:$Z$184,13,0)</f>
        <v>#N/A</v>
      </c>
      <c r="E2717" s="916"/>
      <c r="F2717" s="916"/>
      <c r="G2717" s="908" t="s">
        <v>2103</v>
      </c>
      <c r="H2717" s="909" t="s">
        <v>2104</v>
      </c>
      <c r="J2717" s="915" t="e">
        <f>VLOOKUP(H2708,'LƯƠNG KT'!$D$16:$Z$184,13,0)</f>
        <v>#N/A</v>
      </c>
    </row>
    <row r="2718" spans="1:15" ht="15" customHeight="1">
      <c r="A2718" s="547"/>
      <c r="B2718" s="546"/>
      <c r="C2718" s="910"/>
      <c r="D2718" s="609"/>
      <c r="E2718" s="914"/>
      <c r="F2718" s="916"/>
      <c r="G2718" s="547"/>
      <c r="H2718" s="546"/>
      <c r="I2718" s="910"/>
      <c r="J2718" s="609"/>
    </row>
    <row r="2719" spans="1:15" ht="15" customHeight="1">
      <c r="A2719" s="905"/>
      <c r="B2719" s="546"/>
      <c r="C2719" s="910"/>
      <c r="D2719" s="609"/>
      <c r="E2719" s="917"/>
      <c r="F2719" s="904"/>
      <c r="G2719" s="905"/>
      <c r="H2719" s="546"/>
      <c r="I2719" s="910"/>
      <c r="J2719" s="609"/>
    </row>
    <row r="2720" spans="1:15" ht="15" customHeight="1">
      <c r="A2720" s="918" t="s">
        <v>383</v>
      </c>
      <c r="B2720" s="919" t="s">
        <v>384</v>
      </c>
      <c r="C2720" s="920"/>
      <c r="D2720" s="921" t="e">
        <f>SUM(D2709:D2716)-D2719</f>
        <v>#N/A</v>
      </c>
      <c r="E2720" s="922"/>
      <c r="F2720" s="923"/>
      <c r="G2720" s="918" t="s">
        <v>383</v>
      </c>
      <c r="H2720" s="919" t="s">
        <v>384</v>
      </c>
      <c r="I2720" s="920"/>
      <c r="J2720" s="921" t="e">
        <f>SUM(J2709:J2716)-J2719</f>
        <v>#N/A</v>
      </c>
    </row>
    <row r="2721" spans="1:15" ht="15.75" customHeight="1">
      <c r="A2721" s="924"/>
      <c r="B2721" s="925"/>
      <c r="C2721" s="926"/>
      <c r="D2721" s="927"/>
      <c r="E2721" s="927"/>
      <c r="F2721" s="928"/>
      <c r="G2721" s="924"/>
      <c r="H2721" s="925"/>
      <c r="I2721" s="926"/>
      <c r="J2721" s="927"/>
    </row>
    <row r="2723" spans="1:15" ht="129" customHeight="1">
      <c r="A2723" s="2361"/>
      <c r="B2723" s="2361"/>
      <c r="C2723" s="2361"/>
      <c r="D2723" s="2361"/>
      <c r="E2723" s="2361"/>
      <c r="F2723" s="2361"/>
      <c r="G2723" s="2361"/>
      <c r="H2723" s="2361"/>
      <c r="I2723" s="2361"/>
      <c r="J2723" s="2361"/>
    </row>
    <row r="2724" spans="1:15" ht="15" customHeight="1">
      <c r="A2724" s="2360" t="str">
        <f>$K$2</f>
        <v>THÁNG 04/2025</v>
      </c>
      <c r="B2724" s="2360"/>
      <c r="C2724" s="2360"/>
      <c r="D2724" s="2360"/>
      <c r="E2724" s="903"/>
      <c r="F2724" s="904"/>
      <c r="G2724" s="2360" t="str">
        <f>$K$2</f>
        <v>THÁNG 04/2025</v>
      </c>
      <c r="H2724" s="2360"/>
      <c r="I2724" s="2360"/>
      <c r="J2724" s="2360"/>
      <c r="K2724" s="276"/>
    </row>
    <row r="2725" spans="1:15" ht="15" customHeight="1">
      <c r="A2725" s="905" t="s">
        <v>356</v>
      </c>
      <c r="B2725" s="642" t="s">
        <v>214</v>
      </c>
      <c r="C2725" s="546"/>
      <c r="D2725" s="902"/>
      <c r="E2725" s="906"/>
      <c r="F2725" s="907"/>
      <c r="G2725" s="905" t="s">
        <v>356</v>
      </c>
      <c r="H2725" s="642" t="s">
        <v>215</v>
      </c>
      <c r="I2725" s="546"/>
      <c r="J2725" s="902"/>
      <c r="L2725" s="938"/>
      <c r="M2725" s="938"/>
      <c r="N2725" s="938"/>
      <c r="O2725" s="938"/>
    </row>
    <row r="2726" spans="1:15" ht="15" customHeight="1">
      <c r="A2726" s="908" t="s">
        <v>359</v>
      </c>
      <c r="B2726" s="909" t="s">
        <v>2090</v>
      </c>
      <c r="C2726" s="910" t="e">
        <f>VLOOKUP(B2725,'LƯƠNG KT'!$D$16:$Z$184,4,0)</f>
        <v>#N/A</v>
      </c>
      <c r="D2726" s="609" t="e">
        <f>+C2726*25000</f>
        <v>#N/A</v>
      </c>
      <c r="E2726" s="911"/>
      <c r="F2726" s="911"/>
      <c r="G2726" s="908" t="s">
        <v>359</v>
      </c>
      <c r="H2726" s="909" t="s">
        <v>2090</v>
      </c>
      <c r="I2726" s="910" t="e">
        <f>VLOOKUP(H2725,'LƯƠNG KT'!$D$16:$Z$184,4,0)</f>
        <v>#N/A</v>
      </c>
      <c r="J2726" s="609" t="e">
        <f>+I2726*25000</f>
        <v>#N/A</v>
      </c>
      <c r="K2726" s="934"/>
      <c r="L2726" s="935"/>
      <c r="M2726" s="935"/>
      <c r="N2726" s="935"/>
      <c r="O2726" s="935"/>
    </row>
    <row r="2727" spans="1:15" ht="15" customHeight="1">
      <c r="A2727" s="908" t="s">
        <v>361</v>
      </c>
      <c r="B2727" s="909" t="s">
        <v>2091</v>
      </c>
      <c r="C2727" s="910" t="e">
        <f>VLOOKUP(B2725,'LƯƠNG KT'!$D$16:$Z$184,15,0)</f>
        <v>#N/A</v>
      </c>
      <c r="D2727" s="609" t="e">
        <f>C2727*$L$4</f>
        <v>#N/A</v>
      </c>
      <c r="E2727" s="912"/>
      <c r="F2727" s="912"/>
      <c r="G2727" s="908" t="s">
        <v>361</v>
      </c>
      <c r="H2727" s="909" t="s">
        <v>2091</v>
      </c>
      <c r="I2727" s="910" t="e">
        <f>VLOOKUP(H2725,'LƯƠNG KT'!$D$16:$Z$184,15,0)</f>
        <v>#N/A</v>
      </c>
      <c r="J2727" s="609" t="e">
        <f>I2727*$L$4</f>
        <v>#N/A</v>
      </c>
      <c r="K2727" s="934"/>
      <c r="L2727" s="935"/>
      <c r="M2727" s="935"/>
      <c r="N2727" s="935"/>
      <c r="O2727" s="935"/>
    </row>
    <row r="2728" spans="1:15" ht="15" customHeight="1">
      <c r="A2728" s="908" t="s">
        <v>364</v>
      </c>
      <c r="B2728" s="909" t="s">
        <v>2092</v>
      </c>
      <c r="C2728" s="910" t="e">
        <f>VLOOKUP(B2725,'LƯƠNG KT'!$D$16:$Z$184,16,0)</f>
        <v>#N/A</v>
      </c>
      <c r="D2728" s="609" t="e">
        <f>C2728*$L$5</f>
        <v>#N/A</v>
      </c>
      <c r="E2728" s="912"/>
      <c r="F2728" s="912"/>
      <c r="G2728" s="908" t="s">
        <v>364</v>
      </c>
      <c r="H2728" s="909" t="s">
        <v>2092</v>
      </c>
      <c r="I2728" s="910" t="e">
        <f>VLOOKUP(H2725,'LƯƠNG KT'!$D$16:$Z$184,16,0)</f>
        <v>#N/A</v>
      </c>
      <c r="J2728" s="609" t="e">
        <f>I2728*$L$5</f>
        <v>#N/A</v>
      </c>
      <c r="K2728" s="934"/>
      <c r="L2728" s="935"/>
      <c r="M2728" s="935"/>
      <c r="N2728" s="935"/>
      <c r="O2728" s="935"/>
    </row>
    <row r="2729" spans="1:15" ht="15" customHeight="1">
      <c r="A2729" s="908" t="s">
        <v>370</v>
      </c>
      <c r="B2729" s="909" t="s">
        <v>2093</v>
      </c>
      <c r="C2729" s="910" t="e">
        <f>VLOOKUP(B2725,'LƯƠNG KT'!$D$16:$Z$184,24,0)</f>
        <v>#N/A</v>
      </c>
      <c r="D2729" s="609" t="e">
        <f>+C2729*$L$6</f>
        <v>#N/A</v>
      </c>
      <c r="E2729" s="912"/>
      <c r="F2729" s="912"/>
      <c r="G2729" s="908" t="s">
        <v>370</v>
      </c>
      <c r="H2729" s="909" t="s">
        <v>2093</v>
      </c>
      <c r="I2729" s="910" t="e">
        <f>VLOOKUP(H2725,'LƯƠNG KT'!$D$16:$Z$184,24,0)</f>
        <v>#N/A</v>
      </c>
      <c r="J2729" s="609" t="e">
        <f>+I2729*$L$6</f>
        <v>#N/A</v>
      </c>
      <c r="K2729" s="935"/>
      <c r="L2729" s="935"/>
      <c r="M2729" s="935"/>
      <c r="N2729" s="935"/>
      <c r="O2729" s="935"/>
    </row>
    <row r="2730" spans="1:15" ht="15" customHeight="1">
      <c r="A2730" s="908" t="s">
        <v>2094</v>
      </c>
      <c r="B2730" s="909" t="s">
        <v>2095</v>
      </c>
      <c r="C2730" s="910" t="e">
        <f>VLOOKUP(B2725,'LƯƠNG KT'!$D$16:$Z$184,19,0)</f>
        <v>#N/A</v>
      </c>
      <c r="D2730" s="609" t="e">
        <f>+C2730*$L$8</f>
        <v>#N/A</v>
      </c>
      <c r="E2730" s="912"/>
      <c r="F2730" s="912"/>
      <c r="G2730" s="908" t="s">
        <v>2094</v>
      </c>
      <c r="H2730" s="909" t="s">
        <v>2095</v>
      </c>
      <c r="I2730" s="910" t="e">
        <f>VLOOKUP(H2725,'LƯƠNG KT'!$D$16:$Z$184,19,0)</f>
        <v>#N/A</v>
      </c>
      <c r="J2730" s="609" t="e">
        <f>+I2730*$L$8</f>
        <v>#N/A</v>
      </c>
      <c r="K2730" s="935"/>
      <c r="L2730" s="935"/>
      <c r="M2730" s="935"/>
      <c r="N2730" s="935"/>
      <c r="O2730" s="935"/>
    </row>
    <row r="2731" spans="1:15" ht="15" customHeight="1">
      <c r="A2731" s="908" t="s">
        <v>2096</v>
      </c>
      <c r="B2731" s="913" t="s">
        <v>2097</v>
      </c>
      <c r="C2731" s="910" t="e">
        <f>VLOOKUP(B2725,'LƯƠNG KT'!$D$16:$Z$184,20,0)</f>
        <v>#N/A</v>
      </c>
      <c r="D2731" s="609" t="e">
        <f>+C2731*$L$9</f>
        <v>#N/A</v>
      </c>
      <c r="E2731" s="912"/>
      <c r="F2731" s="912"/>
      <c r="G2731" s="908" t="s">
        <v>2096</v>
      </c>
      <c r="H2731" s="913" t="s">
        <v>2097</v>
      </c>
      <c r="I2731" s="910" t="e">
        <f>VLOOKUP(H2725,'LƯƠNG KT'!$D$16:$Z$184,20,0)</f>
        <v>#N/A</v>
      </c>
      <c r="J2731" s="609" t="e">
        <f>+I2731*$L$9</f>
        <v>#N/A</v>
      </c>
      <c r="K2731" s="935"/>
      <c r="L2731" s="935"/>
      <c r="M2731" s="935"/>
      <c r="N2731" s="935"/>
      <c r="O2731" s="935"/>
    </row>
    <row r="2732" spans="1:15" ht="15" customHeight="1">
      <c r="A2732" s="908" t="s">
        <v>2099</v>
      </c>
      <c r="B2732" s="909" t="s">
        <v>2100</v>
      </c>
      <c r="C2732" s="910" t="e">
        <f>VLOOKUP(B2725,'LƯƠNG KT'!$D$16:$Z$184,17,0)</f>
        <v>#N/A</v>
      </c>
      <c r="D2732" s="609" t="e">
        <f>+C2732*$L$10</f>
        <v>#N/A</v>
      </c>
      <c r="E2732" s="912"/>
      <c r="F2732" s="912"/>
      <c r="G2732" s="908" t="s">
        <v>2099</v>
      </c>
      <c r="H2732" s="909" t="s">
        <v>2100</v>
      </c>
      <c r="I2732" s="910" t="e">
        <f>VLOOKUP(H2725,'LƯƠNG KT'!$D$16:$Z$184,17,0)</f>
        <v>#N/A</v>
      </c>
      <c r="J2732" s="609" t="e">
        <f>+I2732*$L$10</f>
        <v>#N/A</v>
      </c>
      <c r="K2732" s="935"/>
      <c r="L2732" s="935"/>
      <c r="M2732" s="935"/>
      <c r="N2732" s="935"/>
      <c r="O2732" s="935"/>
    </row>
    <row r="2733" spans="1:15" ht="15" customHeight="1">
      <c r="A2733" s="908" t="s">
        <v>374</v>
      </c>
      <c r="B2733" s="909" t="s">
        <v>2102</v>
      </c>
      <c r="C2733" s="910" t="e">
        <f>VLOOKUP(B2725,'LƯƠNG KT'!$D$16:$Z$184,12,0)</f>
        <v>#N/A</v>
      </c>
      <c r="D2733" s="609" t="e">
        <f>VLOOKUP(B2725,'LƯƠNG KT'!$D$16:$Z$184,14,0)</f>
        <v>#N/A</v>
      </c>
      <c r="E2733" s="914"/>
      <c r="F2733" s="912"/>
      <c r="G2733" s="908" t="s">
        <v>374</v>
      </c>
      <c r="H2733" s="909" t="s">
        <v>2102</v>
      </c>
      <c r="I2733" s="910" t="e">
        <f>VLOOKUP(H2725,'LƯƠNG KT'!$D$16:$Z$184,12,0)</f>
        <v>#N/A</v>
      </c>
      <c r="J2733" s="609" t="e">
        <f>VLOOKUP(H2725,'LƯƠNG KT'!$D$16:$Z$184,14,0)</f>
        <v>#N/A</v>
      </c>
      <c r="K2733" s="935"/>
      <c r="L2733" s="935"/>
      <c r="M2733" s="935"/>
      <c r="N2733" s="935"/>
      <c r="O2733" s="935"/>
    </row>
    <row r="2734" spans="1:15" ht="15" customHeight="1">
      <c r="A2734" s="908" t="s">
        <v>2103</v>
      </c>
      <c r="B2734" s="909" t="s">
        <v>2104</v>
      </c>
      <c r="D2734" s="915" t="e">
        <f>VLOOKUP(B2725,'LƯƠNG KT'!$D$16:$Z$184,13,0)</f>
        <v>#N/A</v>
      </c>
      <c r="E2734" s="916"/>
      <c r="F2734" s="916"/>
      <c r="G2734" s="908" t="s">
        <v>2103</v>
      </c>
      <c r="H2734" s="909" t="s">
        <v>2104</v>
      </c>
      <c r="J2734" s="915" t="e">
        <f>VLOOKUP(H2725,'LƯƠNG KT'!$D$16:$Z$184,13,0)</f>
        <v>#N/A</v>
      </c>
    </row>
    <row r="2735" spans="1:15" ht="15" customHeight="1">
      <c r="A2735" s="547"/>
      <c r="B2735" s="546"/>
      <c r="C2735" s="910"/>
      <c r="D2735" s="609"/>
      <c r="E2735" s="914"/>
      <c r="F2735" s="916"/>
      <c r="G2735" s="547"/>
      <c r="H2735" s="546"/>
      <c r="I2735" s="910"/>
      <c r="J2735" s="609"/>
    </row>
    <row r="2736" spans="1:15" ht="15" customHeight="1">
      <c r="A2736" s="905"/>
      <c r="B2736" s="546"/>
      <c r="C2736" s="910"/>
      <c r="D2736" s="609"/>
      <c r="E2736" s="917"/>
      <c r="F2736" s="904"/>
      <c r="G2736" s="905"/>
      <c r="H2736" s="546"/>
      <c r="I2736" s="910"/>
      <c r="J2736" s="609"/>
    </row>
    <row r="2737" spans="1:15" ht="15" customHeight="1">
      <c r="A2737" s="918" t="s">
        <v>383</v>
      </c>
      <c r="B2737" s="919" t="s">
        <v>384</v>
      </c>
      <c r="C2737" s="920"/>
      <c r="D2737" s="921" t="e">
        <f>SUM(D2726:D2733)-D2736</f>
        <v>#N/A</v>
      </c>
      <c r="E2737" s="922"/>
      <c r="F2737" s="923"/>
      <c r="G2737" s="918" t="s">
        <v>383</v>
      </c>
      <c r="H2737" s="919" t="s">
        <v>384</v>
      </c>
      <c r="I2737" s="920"/>
      <c r="J2737" s="921" t="e">
        <f>SUM(J2726:J2733)-J2736</f>
        <v>#N/A</v>
      </c>
    </row>
    <row r="2738" spans="1:15" ht="16.5" customHeight="1">
      <c r="A2738" s="924"/>
      <c r="B2738" s="925"/>
      <c r="C2738" s="926"/>
      <c r="D2738" s="927"/>
      <c r="E2738" s="927"/>
      <c r="F2738" s="928"/>
      <c r="G2738" s="924"/>
      <c r="H2738" s="925"/>
      <c r="I2738" s="926"/>
      <c r="J2738" s="927"/>
    </row>
    <row r="2739" spans="1:15" ht="16.5" customHeight="1">
      <c r="A2739" s="925"/>
      <c r="B2739" s="925"/>
      <c r="C2739" s="929"/>
      <c r="D2739" s="930"/>
      <c r="E2739" s="925"/>
      <c r="F2739" s="931"/>
      <c r="G2739" s="925"/>
      <c r="H2739" s="925"/>
      <c r="I2739" s="929"/>
      <c r="J2739" s="930"/>
    </row>
    <row r="2740" spans="1:15" ht="15" customHeight="1">
      <c r="A2740" s="2360" t="str">
        <f>$K$2</f>
        <v>THÁNG 04/2025</v>
      </c>
      <c r="B2740" s="2360"/>
      <c r="C2740" s="2360"/>
      <c r="D2740" s="2360"/>
      <c r="E2740" s="903"/>
      <c r="F2740" s="904"/>
      <c r="G2740" s="2360" t="str">
        <f>$K$2</f>
        <v>THÁNG 04/2025</v>
      </c>
      <c r="H2740" s="2360"/>
      <c r="I2740" s="2360"/>
      <c r="J2740" s="2360"/>
      <c r="K2740" s="276"/>
    </row>
    <row r="2741" spans="1:15" ht="15" customHeight="1">
      <c r="A2741" s="905" t="s">
        <v>356</v>
      </c>
      <c r="B2741" s="642" t="s">
        <v>216</v>
      </c>
      <c r="C2741" s="546"/>
      <c r="D2741" s="902"/>
      <c r="E2741" s="906"/>
      <c r="F2741" s="907"/>
      <c r="G2741" s="905" t="s">
        <v>356</v>
      </c>
      <c r="H2741" s="642" t="s">
        <v>217</v>
      </c>
      <c r="I2741" s="546"/>
      <c r="J2741" s="902"/>
      <c r="L2741" s="938"/>
      <c r="M2741" s="938"/>
      <c r="N2741" s="938"/>
      <c r="O2741" s="938"/>
    </row>
    <row r="2742" spans="1:15" ht="15" customHeight="1">
      <c r="A2742" s="908" t="s">
        <v>359</v>
      </c>
      <c r="B2742" s="909" t="s">
        <v>2090</v>
      </c>
      <c r="C2742" s="910" t="e">
        <f>VLOOKUP(B2741,'LƯƠNG KT'!$D$16:$Z$184,4,0)</f>
        <v>#N/A</v>
      </c>
      <c r="D2742" s="609" t="e">
        <f>+C2742*25000</f>
        <v>#N/A</v>
      </c>
      <c r="E2742" s="911"/>
      <c r="F2742" s="911"/>
      <c r="G2742" s="908" t="s">
        <v>359</v>
      </c>
      <c r="H2742" s="909" t="s">
        <v>2090</v>
      </c>
      <c r="I2742" s="910" t="e">
        <f>VLOOKUP(H2741,'LƯƠNG KT'!$D$16:$Z$184,4,0)</f>
        <v>#N/A</v>
      </c>
      <c r="J2742" s="609" t="e">
        <f>+I2742*25000</f>
        <v>#N/A</v>
      </c>
      <c r="K2742" s="935"/>
      <c r="L2742" s="935"/>
      <c r="M2742" s="935"/>
      <c r="N2742" s="935"/>
      <c r="O2742" s="935"/>
    </row>
    <row r="2743" spans="1:15" ht="15" customHeight="1">
      <c r="A2743" s="908" t="s">
        <v>361</v>
      </c>
      <c r="B2743" s="909" t="s">
        <v>2091</v>
      </c>
      <c r="C2743" s="910" t="e">
        <f>VLOOKUP(B2741,'LƯƠNG KT'!$D$16:$Z$184,15,0)</f>
        <v>#N/A</v>
      </c>
      <c r="D2743" s="609" t="e">
        <f>C2743*$L$4</f>
        <v>#N/A</v>
      </c>
      <c r="E2743" s="912"/>
      <c r="F2743" s="912"/>
      <c r="G2743" s="908" t="s">
        <v>361</v>
      </c>
      <c r="H2743" s="909" t="s">
        <v>2091</v>
      </c>
      <c r="I2743" s="910" t="e">
        <f>VLOOKUP(H2741,'LƯƠNG KT'!$D$16:$Z$184,15,0)</f>
        <v>#N/A</v>
      </c>
      <c r="J2743" s="609" t="e">
        <f>I2743*$L$4</f>
        <v>#N/A</v>
      </c>
      <c r="K2743" s="935"/>
      <c r="L2743" s="935"/>
      <c r="M2743" s="935"/>
      <c r="N2743" s="935"/>
      <c r="O2743" s="935"/>
    </row>
    <row r="2744" spans="1:15" ht="15" customHeight="1">
      <c r="A2744" s="908" t="s">
        <v>364</v>
      </c>
      <c r="B2744" s="909" t="s">
        <v>2092</v>
      </c>
      <c r="C2744" s="910" t="e">
        <f>VLOOKUP(B2741,'LƯƠNG KT'!$D$16:$Z$184,16,0)</f>
        <v>#N/A</v>
      </c>
      <c r="D2744" s="609" t="e">
        <f>C2744*$L$5</f>
        <v>#N/A</v>
      </c>
      <c r="E2744" s="912"/>
      <c r="F2744" s="912"/>
      <c r="G2744" s="908" t="s">
        <v>364</v>
      </c>
      <c r="H2744" s="909" t="s">
        <v>2092</v>
      </c>
      <c r="I2744" s="910" t="e">
        <f>VLOOKUP(H2741,'LƯƠNG KT'!$D$16:$Z$184,16,0)</f>
        <v>#N/A</v>
      </c>
      <c r="J2744" s="609" t="e">
        <f>I2744*$L$5</f>
        <v>#N/A</v>
      </c>
      <c r="K2744" s="935"/>
      <c r="L2744" s="935"/>
      <c r="M2744" s="935"/>
      <c r="N2744" s="935"/>
      <c r="O2744" s="935"/>
    </row>
    <row r="2745" spans="1:15" ht="15" customHeight="1">
      <c r="A2745" s="908" t="s">
        <v>370</v>
      </c>
      <c r="B2745" s="909" t="s">
        <v>2093</v>
      </c>
      <c r="C2745" s="910" t="e">
        <f>VLOOKUP(B2741,'LƯƠNG KT'!$D$16:$Z$184,24,0)</f>
        <v>#N/A</v>
      </c>
      <c r="D2745" s="609" t="e">
        <f>+C2745*$L$6</f>
        <v>#N/A</v>
      </c>
      <c r="E2745" s="912"/>
      <c r="F2745" s="912"/>
      <c r="G2745" s="908" t="s">
        <v>370</v>
      </c>
      <c r="H2745" s="909" t="s">
        <v>2093</v>
      </c>
      <c r="I2745" s="910" t="e">
        <f>VLOOKUP(H2741,'LƯƠNG KT'!$D$16:$Z$184,24,0)</f>
        <v>#N/A</v>
      </c>
      <c r="J2745" s="609" t="e">
        <f>+I2745*$L$6</f>
        <v>#N/A</v>
      </c>
      <c r="K2745" s="935"/>
      <c r="L2745" s="935"/>
      <c r="M2745" s="935"/>
      <c r="N2745" s="935"/>
      <c r="O2745" s="935"/>
    </row>
    <row r="2746" spans="1:15" ht="15" customHeight="1">
      <c r="A2746" s="908" t="s">
        <v>2094</v>
      </c>
      <c r="B2746" s="909" t="s">
        <v>2095</v>
      </c>
      <c r="C2746" s="910" t="e">
        <f>VLOOKUP(B2741,'LƯƠNG KT'!$D$16:$Z$184,19,0)</f>
        <v>#N/A</v>
      </c>
      <c r="D2746" s="609" t="e">
        <f>+C2746*$L$8</f>
        <v>#N/A</v>
      </c>
      <c r="E2746" s="912"/>
      <c r="F2746" s="912"/>
      <c r="G2746" s="908" t="s">
        <v>2094</v>
      </c>
      <c r="H2746" s="909" t="s">
        <v>2095</v>
      </c>
      <c r="I2746" s="910" t="e">
        <f>VLOOKUP(H2741,'LƯƠNG KT'!$D$16:$Z$184,19,0)</f>
        <v>#N/A</v>
      </c>
      <c r="J2746" s="609" t="e">
        <f>+I2746*$L$8</f>
        <v>#N/A</v>
      </c>
      <c r="K2746" s="935"/>
      <c r="L2746" s="935"/>
      <c r="M2746" s="935"/>
      <c r="N2746" s="935"/>
      <c r="O2746" s="935"/>
    </row>
    <row r="2747" spans="1:15" ht="15" customHeight="1">
      <c r="A2747" s="908" t="s">
        <v>2096</v>
      </c>
      <c r="B2747" s="913" t="s">
        <v>2097</v>
      </c>
      <c r="C2747" s="910" t="e">
        <f>VLOOKUP(B2741,'LƯƠNG KT'!$D$16:$Z$184,20,0)</f>
        <v>#N/A</v>
      </c>
      <c r="D2747" s="609" t="e">
        <f>+C2747*$L$9</f>
        <v>#N/A</v>
      </c>
      <c r="E2747" s="912"/>
      <c r="F2747" s="912"/>
      <c r="G2747" s="908" t="s">
        <v>2096</v>
      </c>
      <c r="H2747" s="913" t="s">
        <v>2097</v>
      </c>
      <c r="I2747" s="910" t="e">
        <f>VLOOKUP(H2741,'LƯƠNG KT'!$D$16:$Z$184,20,0)</f>
        <v>#N/A</v>
      </c>
      <c r="J2747" s="609" t="e">
        <f>+I2747*$L$9</f>
        <v>#N/A</v>
      </c>
      <c r="K2747" s="935"/>
      <c r="L2747" s="935"/>
      <c r="M2747" s="935"/>
      <c r="N2747" s="935"/>
      <c r="O2747" s="935"/>
    </row>
    <row r="2748" spans="1:15" ht="15" customHeight="1">
      <c r="A2748" s="908" t="s">
        <v>2099</v>
      </c>
      <c r="B2748" s="909" t="s">
        <v>2100</v>
      </c>
      <c r="C2748" s="910" t="e">
        <f>VLOOKUP(B2741,'LƯƠNG KT'!$D$16:$Z$184,17,0)</f>
        <v>#N/A</v>
      </c>
      <c r="D2748" s="609" t="e">
        <f>+C2748*$L$10</f>
        <v>#N/A</v>
      </c>
      <c r="E2748" s="912"/>
      <c r="F2748" s="912"/>
      <c r="G2748" s="908" t="s">
        <v>2099</v>
      </c>
      <c r="H2748" s="909" t="s">
        <v>2100</v>
      </c>
      <c r="I2748" s="910" t="e">
        <f>VLOOKUP(H2741,'LƯƠNG KT'!$D$16:$Z$184,17,0)</f>
        <v>#N/A</v>
      </c>
      <c r="J2748" s="609" t="e">
        <f>+I2748*$L$10</f>
        <v>#N/A</v>
      </c>
      <c r="K2748" s="935"/>
      <c r="L2748" s="935"/>
      <c r="M2748" s="935"/>
      <c r="N2748" s="935"/>
      <c r="O2748" s="935"/>
    </row>
    <row r="2749" spans="1:15" ht="15" customHeight="1">
      <c r="A2749" s="908" t="s">
        <v>374</v>
      </c>
      <c r="B2749" s="909" t="s">
        <v>2102</v>
      </c>
      <c r="C2749" s="910" t="e">
        <f>VLOOKUP(B2741,'LƯƠNG KT'!$D$16:$Z$184,12,0)</f>
        <v>#N/A</v>
      </c>
      <c r="D2749" s="609" t="e">
        <f>VLOOKUP(B2741,'LƯƠNG KT'!$D$16:$Z$184,14,0)</f>
        <v>#N/A</v>
      </c>
      <c r="E2749" s="914"/>
      <c r="F2749" s="912"/>
      <c r="G2749" s="908" t="s">
        <v>374</v>
      </c>
      <c r="H2749" s="909" t="s">
        <v>2102</v>
      </c>
      <c r="I2749" s="910" t="e">
        <f>VLOOKUP(H2741,'LƯƠNG KT'!$D$16:$Z$184,12,0)</f>
        <v>#N/A</v>
      </c>
      <c r="J2749" s="609" t="e">
        <f>VLOOKUP(H2741,'LƯƠNG KT'!$D$16:$Z$184,14,0)</f>
        <v>#N/A</v>
      </c>
      <c r="K2749" s="935"/>
      <c r="L2749" s="935"/>
      <c r="M2749" s="935"/>
      <c r="N2749" s="935"/>
      <c r="O2749" s="935"/>
    </row>
    <row r="2750" spans="1:15" ht="15" customHeight="1">
      <c r="A2750" s="908" t="s">
        <v>2103</v>
      </c>
      <c r="B2750" s="909" t="s">
        <v>2104</v>
      </c>
      <c r="D2750" s="915" t="e">
        <f>VLOOKUP(B2741,'LƯƠNG KT'!$D$16:$Z$184,13,0)</f>
        <v>#N/A</v>
      </c>
      <c r="E2750" s="916"/>
      <c r="F2750" s="916"/>
      <c r="G2750" s="908" t="s">
        <v>2103</v>
      </c>
      <c r="H2750" s="909" t="s">
        <v>2104</v>
      </c>
      <c r="J2750" s="915" t="e">
        <f>VLOOKUP(H2741,'LƯƠNG KT'!$D$16:$Z$184,13,0)</f>
        <v>#N/A</v>
      </c>
    </row>
    <row r="2751" spans="1:15" ht="15" customHeight="1">
      <c r="A2751" s="547"/>
      <c r="B2751" s="546"/>
      <c r="C2751" s="910"/>
      <c r="D2751" s="609"/>
      <c r="E2751" s="914"/>
      <c r="F2751" s="916"/>
      <c r="G2751" s="547"/>
      <c r="H2751" s="546"/>
      <c r="I2751" s="910"/>
      <c r="J2751" s="609"/>
    </row>
    <row r="2752" spans="1:15" ht="15" customHeight="1">
      <c r="A2752" s="905"/>
      <c r="B2752" s="546"/>
      <c r="C2752" s="910"/>
      <c r="D2752" s="609"/>
      <c r="E2752" s="917"/>
      <c r="F2752" s="904"/>
      <c r="G2752" s="905"/>
      <c r="H2752" s="546"/>
      <c r="I2752" s="910"/>
      <c r="J2752" s="609"/>
    </row>
    <row r="2753" spans="1:15" ht="15" customHeight="1">
      <c r="A2753" s="918" t="s">
        <v>383</v>
      </c>
      <c r="B2753" s="919" t="s">
        <v>384</v>
      </c>
      <c r="C2753" s="920"/>
      <c r="D2753" s="921" t="e">
        <f>SUM(D2742:D2749)-D2752</f>
        <v>#N/A</v>
      </c>
      <c r="E2753" s="922"/>
      <c r="F2753" s="923"/>
      <c r="G2753" s="918" t="s">
        <v>383</v>
      </c>
      <c r="H2753" s="919" t="s">
        <v>384</v>
      </c>
      <c r="I2753" s="920"/>
      <c r="J2753" s="921" t="e">
        <f>SUM(J2742:J2749)-J2752</f>
        <v>#N/A</v>
      </c>
    </row>
    <row r="2754" spans="1:15" ht="18.75" customHeight="1">
      <c r="A2754" s="924"/>
      <c r="B2754" s="925"/>
      <c r="C2754" s="926"/>
      <c r="D2754" s="927"/>
      <c r="E2754" s="927"/>
      <c r="F2754" s="928"/>
      <c r="G2754" s="924"/>
      <c r="H2754" s="925"/>
      <c r="I2754" s="926"/>
      <c r="J2754" s="927"/>
    </row>
    <row r="2755" spans="1:15" ht="18.75" customHeight="1">
      <c r="A2755" s="925"/>
      <c r="B2755" s="925"/>
      <c r="C2755" s="929"/>
      <c r="D2755" s="930"/>
      <c r="E2755" s="925"/>
      <c r="F2755" s="931"/>
      <c r="G2755" s="925"/>
      <c r="H2755" s="925"/>
      <c r="I2755" s="929"/>
      <c r="J2755" s="930"/>
    </row>
    <row r="2756" spans="1:15" ht="15" customHeight="1">
      <c r="A2756" s="2360" t="str">
        <f>$K$2</f>
        <v>THÁNG 04/2025</v>
      </c>
      <c r="B2756" s="2360"/>
      <c r="C2756" s="2360"/>
      <c r="D2756" s="2360"/>
      <c r="E2756" s="903"/>
      <c r="F2756" s="904"/>
      <c r="G2756" s="2360" t="str">
        <f>$K$2</f>
        <v>THÁNG 04/2025</v>
      </c>
      <c r="H2756" s="2360"/>
      <c r="I2756" s="2360"/>
      <c r="J2756" s="2360"/>
      <c r="K2756" s="276"/>
    </row>
    <row r="2757" spans="1:15" ht="15" customHeight="1">
      <c r="A2757" s="905" t="s">
        <v>356</v>
      </c>
      <c r="B2757" s="642" t="s">
        <v>218</v>
      </c>
      <c r="C2757" s="546"/>
      <c r="D2757" s="902"/>
      <c r="E2757" s="906"/>
      <c r="F2757" s="907"/>
      <c r="G2757" s="905" t="s">
        <v>356</v>
      </c>
      <c r="H2757" s="642" t="s">
        <v>219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8" t="s">
        <v>359</v>
      </c>
      <c r="B2758" s="909" t="s">
        <v>2090</v>
      </c>
      <c r="C2758" s="910" t="e">
        <f>VLOOKUP(B2757,'LƯƠNG KT'!$D$16:$Z$184,4,0)</f>
        <v>#N/A</v>
      </c>
      <c r="D2758" s="609" t="e">
        <f>+C2758*25000</f>
        <v>#N/A</v>
      </c>
      <c r="E2758" s="911"/>
      <c r="F2758" s="911"/>
      <c r="G2758" s="908" t="s">
        <v>359</v>
      </c>
      <c r="H2758" s="909" t="s">
        <v>2090</v>
      </c>
      <c r="I2758" s="910" t="e">
        <f>VLOOKUP(H2757,'LƯƠNG KT'!$D$16:$Z$184,4,0)</f>
        <v>#N/A</v>
      </c>
      <c r="J2758" s="609" t="e">
        <f>+I2758*25000</f>
        <v>#N/A</v>
      </c>
      <c r="K2758" s="935"/>
      <c r="L2758" s="935"/>
      <c r="M2758" s="935"/>
      <c r="N2758" s="935"/>
      <c r="O2758" s="935"/>
    </row>
    <row r="2759" spans="1:15" ht="15" customHeight="1">
      <c r="A2759" s="908" t="s">
        <v>361</v>
      </c>
      <c r="B2759" s="909" t="s">
        <v>2091</v>
      </c>
      <c r="C2759" s="910" t="e">
        <f>VLOOKUP(B2757,'LƯƠNG KT'!$D$16:$Z$184,15,0)</f>
        <v>#N/A</v>
      </c>
      <c r="D2759" s="609" t="e">
        <f>C2759*$L$4</f>
        <v>#N/A</v>
      </c>
      <c r="E2759" s="912"/>
      <c r="F2759" s="912"/>
      <c r="G2759" s="908" t="s">
        <v>361</v>
      </c>
      <c r="H2759" s="909" t="s">
        <v>2091</v>
      </c>
      <c r="I2759" s="910" t="e">
        <f>VLOOKUP(H2757,'LƯƠNG KT'!$D$16:$Z$184,15,0)</f>
        <v>#N/A</v>
      </c>
      <c r="J2759" s="609" t="e">
        <f>I2759*$L$4</f>
        <v>#N/A</v>
      </c>
      <c r="K2759" s="935"/>
      <c r="L2759" s="935"/>
      <c r="M2759" s="935"/>
      <c r="N2759" s="935"/>
      <c r="O2759" s="935"/>
    </row>
    <row r="2760" spans="1:15" ht="15" customHeight="1">
      <c r="A2760" s="908" t="s">
        <v>364</v>
      </c>
      <c r="B2760" s="909" t="s">
        <v>2092</v>
      </c>
      <c r="C2760" s="910" t="e">
        <f>VLOOKUP(B2757,'LƯƠNG KT'!$D$16:$Z$184,16,0)</f>
        <v>#N/A</v>
      </c>
      <c r="D2760" s="609" t="e">
        <f>C2760*$L$5</f>
        <v>#N/A</v>
      </c>
      <c r="E2760" s="912"/>
      <c r="F2760" s="912"/>
      <c r="G2760" s="908" t="s">
        <v>364</v>
      </c>
      <c r="H2760" s="909" t="s">
        <v>2092</v>
      </c>
      <c r="I2760" s="910" t="e">
        <f>VLOOKUP(H2757,'LƯƠNG KT'!$D$16:$Z$184,16,0)</f>
        <v>#N/A</v>
      </c>
      <c r="J2760" s="609" t="e">
        <f>I2760*$L$5</f>
        <v>#N/A</v>
      </c>
      <c r="K2760" s="935"/>
      <c r="L2760" s="935"/>
      <c r="M2760" s="935"/>
      <c r="N2760" s="935"/>
      <c r="O2760" s="935"/>
    </row>
    <row r="2761" spans="1:15" ht="15" customHeight="1">
      <c r="A2761" s="908" t="s">
        <v>370</v>
      </c>
      <c r="B2761" s="909" t="s">
        <v>2093</v>
      </c>
      <c r="C2761" s="910" t="e">
        <f>VLOOKUP(B2757,'LƯƠNG KT'!$D$16:$Z$184,24,0)</f>
        <v>#N/A</v>
      </c>
      <c r="D2761" s="609" t="e">
        <f>+C2761*$L$6</f>
        <v>#N/A</v>
      </c>
      <c r="E2761" s="912"/>
      <c r="F2761" s="912"/>
      <c r="G2761" s="908" t="s">
        <v>370</v>
      </c>
      <c r="H2761" s="909" t="s">
        <v>2093</v>
      </c>
      <c r="I2761" s="910" t="e">
        <f>VLOOKUP(H2757,'LƯƠNG KT'!$D$16:$Z$184,24,0)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8" t="s">
        <v>2094</v>
      </c>
      <c r="B2762" s="909" t="s">
        <v>2095</v>
      </c>
      <c r="C2762" s="910" t="e">
        <f>VLOOKUP(B2757,'LƯƠNG KT'!$D$16:$Z$184,19,0)</f>
        <v>#N/A</v>
      </c>
      <c r="D2762" s="609" t="e">
        <f>+C2762*$L$8</f>
        <v>#N/A</v>
      </c>
      <c r="E2762" s="912"/>
      <c r="F2762" s="912"/>
      <c r="G2762" s="908" t="s">
        <v>2094</v>
      </c>
      <c r="H2762" s="909" t="s">
        <v>2095</v>
      </c>
      <c r="I2762" s="910" t="e">
        <f>VLOOKUP(H2757,'LƯƠNG KT'!$D$16:$Z$184,19,0)</f>
        <v>#N/A</v>
      </c>
      <c r="J2762" s="609" t="e">
        <f>+I2762*$L$8</f>
        <v>#N/A</v>
      </c>
      <c r="K2762" s="935"/>
      <c r="L2762" s="935"/>
      <c r="M2762" s="935"/>
      <c r="N2762" s="935"/>
      <c r="O2762" s="935"/>
    </row>
    <row r="2763" spans="1:15" ht="15" customHeight="1">
      <c r="A2763" s="908" t="s">
        <v>2096</v>
      </c>
      <c r="B2763" s="913" t="s">
        <v>2097</v>
      </c>
      <c r="C2763" s="910" t="e">
        <f>VLOOKUP(B2757,'LƯƠNG KT'!$D$16:$Z$184,20,0)</f>
        <v>#N/A</v>
      </c>
      <c r="D2763" s="609" t="e">
        <f>+C2763*$L$9</f>
        <v>#N/A</v>
      </c>
      <c r="E2763" s="912"/>
      <c r="F2763" s="912"/>
      <c r="G2763" s="908" t="s">
        <v>2096</v>
      </c>
      <c r="H2763" s="913" t="s">
        <v>2097</v>
      </c>
      <c r="I2763" s="910" t="e">
        <f>VLOOKUP(H2757,'LƯƠNG KT'!$D$16:$Z$184,20,0)</f>
        <v>#N/A</v>
      </c>
      <c r="J2763" s="609" t="e">
        <f>+I2763*$L$9</f>
        <v>#N/A</v>
      </c>
      <c r="K2763" s="935"/>
      <c r="L2763" s="935"/>
      <c r="M2763" s="935"/>
      <c r="N2763" s="935"/>
      <c r="O2763" s="935"/>
    </row>
    <row r="2764" spans="1:15" ht="15" customHeight="1">
      <c r="A2764" s="908" t="s">
        <v>2099</v>
      </c>
      <c r="B2764" s="909" t="s">
        <v>2100</v>
      </c>
      <c r="C2764" s="910" t="e">
        <f>VLOOKUP(B2757,'LƯƠNG KT'!$D$16:$Z$184,17,0)</f>
        <v>#N/A</v>
      </c>
      <c r="D2764" s="609" t="e">
        <f>+C2764*$L$10</f>
        <v>#N/A</v>
      </c>
      <c r="E2764" s="912"/>
      <c r="F2764" s="912"/>
      <c r="G2764" s="908" t="s">
        <v>2099</v>
      </c>
      <c r="H2764" s="909" t="s">
        <v>2100</v>
      </c>
      <c r="I2764" s="910" t="e">
        <f>VLOOKUP(H2757,'LƯƠNG KT'!$D$16:$Z$184,17,0)</f>
        <v>#N/A</v>
      </c>
      <c r="J2764" s="609" t="e">
        <f>+I2764*$L$10</f>
        <v>#N/A</v>
      </c>
      <c r="K2764" s="935"/>
      <c r="L2764" s="935"/>
      <c r="M2764" s="935"/>
      <c r="N2764" s="935"/>
      <c r="O2764" s="935"/>
    </row>
    <row r="2765" spans="1:15" ht="15" customHeight="1">
      <c r="A2765" s="908" t="s">
        <v>374</v>
      </c>
      <c r="B2765" s="909" t="s">
        <v>2102</v>
      </c>
      <c r="C2765" s="910" t="e">
        <f>VLOOKUP(B2757,'LƯƠNG KT'!$D$16:$Z$184,12,0)</f>
        <v>#N/A</v>
      </c>
      <c r="D2765" s="609" t="e">
        <f>VLOOKUP(B2757,'LƯƠNG KT'!$D$16:$Z$184,14,0)</f>
        <v>#N/A</v>
      </c>
      <c r="E2765" s="914"/>
      <c r="F2765" s="912"/>
      <c r="G2765" s="908" t="s">
        <v>374</v>
      </c>
      <c r="H2765" s="909" t="s">
        <v>2102</v>
      </c>
      <c r="I2765" s="910" t="e">
        <f>VLOOKUP(H2757,'LƯƠNG KT'!$D$16:$Z$184,12,0)</f>
        <v>#N/A</v>
      </c>
      <c r="J2765" s="609" t="e">
        <f>VLOOKUP(H2757,'LƯƠNG KT'!$D$16:$Z$184,14,0)</f>
        <v>#N/A</v>
      </c>
      <c r="K2765" s="935"/>
      <c r="L2765" s="935"/>
      <c r="M2765" s="935"/>
      <c r="N2765" s="935"/>
      <c r="O2765" s="935"/>
    </row>
    <row r="2766" spans="1:15" ht="15" customHeight="1">
      <c r="A2766" s="908" t="s">
        <v>2103</v>
      </c>
      <c r="B2766" s="909" t="s">
        <v>2104</v>
      </c>
      <c r="D2766" s="915" t="e">
        <f>VLOOKUP(B2757,'LƯƠNG KT'!$D$16:$Z$184,13,0)</f>
        <v>#N/A</v>
      </c>
      <c r="E2766" s="916"/>
      <c r="F2766" s="916"/>
      <c r="G2766" s="908" t="s">
        <v>2103</v>
      </c>
      <c r="H2766" s="909" t="s">
        <v>2104</v>
      </c>
      <c r="J2766" s="915" t="e">
        <f>VLOOKUP(H2757,'LƯƠNG KT'!$D$16:$Z$184,13,0)</f>
        <v>#N/A</v>
      </c>
    </row>
    <row r="2767" spans="1:15" ht="15" customHeight="1">
      <c r="A2767" s="547"/>
      <c r="B2767" s="546"/>
      <c r="C2767" s="910"/>
      <c r="D2767" s="609"/>
      <c r="E2767" s="914"/>
      <c r="F2767" s="916"/>
      <c r="G2767" s="547"/>
      <c r="H2767" s="546"/>
      <c r="I2767" s="910"/>
      <c r="J2767" s="609"/>
    </row>
    <row r="2768" spans="1:15" ht="15" customHeight="1">
      <c r="A2768" s="905"/>
      <c r="B2768" s="546"/>
      <c r="C2768" s="910"/>
      <c r="D2768" s="609"/>
      <c r="E2768" s="917"/>
      <c r="F2768" s="904"/>
      <c r="G2768" s="905"/>
      <c r="H2768" s="546"/>
      <c r="I2768" s="910"/>
      <c r="J2768" s="609"/>
    </row>
    <row r="2769" spans="1:15" ht="15" customHeight="1">
      <c r="A2769" s="918" t="s">
        <v>383</v>
      </c>
      <c r="B2769" s="919" t="s">
        <v>384</v>
      </c>
      <c r="C2769" s="920"/>
      <c r="D2769" s="921" t="e">
        <f>SUM(D2758:D2765)-D2768</f>
        <v>#N/A</v>
      </c>
      <c r="E2769" s="922"/>
      <c r="F2769" s="923"/>
      <c r="G2769" s="918" t="s">
        <v>383</v>
      </c>
      <c r="H2769" s="919" t="s">
        <v>384</v>
      </c>
      <c r="I2769" s="920"/>
      <c r="J2769" s="921" t="e">
        <f>SUM(J2758:J2765)-J2768</f>
        <v>#N/A</v>
      </c>
    </row>
    <row r="2770" spans="1:15" ht="18.75" customHeight="1">
      <c r="A2770" s="924"/>
      <c r="B2770" s="925"/>
      <c r="C2770" s="926"/>
      <c r="D2770" s="927"/>
      <c r="E2770" s="927"/>
      <c r="F2770" s="928"/>
      <c r="G2770" s="924"/>
      <c r="H2770" s="925"/>
      <c r="I2770" s="926"/>
      <c r="J2770" s="927"/>
    </row>
    <row r="2771" spans="1:15" ht="136.5" customHeight="1">
      <c r="A2771" s="925"/>
      <c r="B2771" s="925"/>
      <c r="C2771" s="929"/>
      <c r="D2771" s="930"/>
      <c r="E2771" s="925"/>
      <c r="F2771" s="931"/>
      <c r="G2771" s="925"/>
      <c r="H2771" s="925"/>
      <c r="I2771" s="929"/>
      <c r="J2771" s="930"/>
    </row>
    <row r="2772" spans="1:15" ht="15" customHeight="1">
      <c r="A2772" s="2360" t="str">
        <f>$K$2</f>
        <v>THÁNG 04/2025</v>
      </c>
      <c r="B2772" s="2360"/>
      <c r="C2772" s="2360"/>
      <c r="D2772" s="2360"/>
      <c r="E2772" s="903"/>
      <c r="F2772" s="904"/>
      <c r="G2772" s="2360" t="str">
        <f>$K$2</f>
        <v>THÁNG 04/2025</v>
      </c>
      <c r="H2772" s="2360"/>
      <c r="I2772" s="2360"/>
      <c r="J2772" s="2360"/>
      <c r="K2772" s="276"/>
    </row>
    <row r="2773" spans="1:15" ht="15" customHeight="1">
      <c r="A2773" s="905" t="s">
        <v>356</v>
      </c>
      <c r="B2773" s="642" t="s">
        <v>220</v>
      </c>
      <c r="C2773" s="546"/>
      <c r="D2773" s="902"/>
      <c r="E2773" s="906"/>
      <c r="F2773" s="907"/>
      <c r="G2773" s="905" t="s">
        <v>356</v>
      </c>
      <c r="H2773" s="642" t="s">
        <v>221</v>
      </c>
      <c r="I2773" s="546"/>
      <c r="J2773" s="902"/>
      <c r="L2773" s="938"/>
      <c r="M2773" s="938"/>
      <c r="N2773" s="938"/>
      <c r="O2773" s="938"/>
    </row>
    <row r="2774" spans="1:15" ht="15" customHeight="1">
      <c r="A2774" s="908" t="s">
        <v>359</v>
      </c>
      <c r="B2774" s="909" t="s">
        <v>2090</v>
      </c>
      <c r="C2774" s="910" t="e">
        <f>VLOOKUP(B2773,'LƯƠNG KT'!$D$16:$Z$184,4,0)</f>
        <v>#N/A</v>
      </c>
      <c r="D2774" s="609" t="e">
        <f>+C2774*25000</f>
        <v>#N/A</v>
      </c>
      <c r="E2774" s="911"/>
      <c r="F2774" s="911"/>
      <c r="G2774" s="908" t="s">
        <v>359</v>
      </c>
      <c r="H2774" s="909" t="s">
        <v>2090</v>
      </c>
      <c r="I2774" s="910" t="e">
        <f>VLOOKUP(H2773,'LƯƠNG KT'!$D$16:$Z$184,4,0)</f>
        <v>#N/A</v>
      </c>
      <c r="J2774" s="609" t="e">
        <f>+I2774*25000</f>
        <v>#N/A</v>
      </c>
      <c r="K2774" s="935"/>
      <c r="L2774" s="935"/>
      <c r="M2774" s="935"/>
      <c r="N2774" s="935"/>
      <c r="O2774" s="935"/>
    </row>
    <row r="2775" spans="1:15" ht="15" customHeight="1">
      <c r="A2775" s="908" t="s">
        <v>361</v>
      </c>
      <c r="B2775" s="909" t="s">
        <v>2091</v>
      </c>
      <c r="C2775" s="910" t="e">
        <f>VLOOKUP(B2773,'LƯƠNG KT'!$D$16:$Z$184,15,0)</f>
        <v>#N/A</v>
      </c>
      <c r="D2775" s="609" t="e">
        <f>C2775*$L$4</f>
        <v>#N/A</v>
      </c>
      <c r="E2775" s="912"/>
      <c r="F2775" s="912"/>
      <c r="G2775" s="908" t="s">
        <v>361</v>
      </c>
      <c r="H2775" s="909" t="s">
        <v>2091</v>
      </c>
      <c r="I2775" s="910" t="e">
        <f>VLOOKUP(H2773,'LƯƠNG KT'!$D$16:$Z$184,15,0)</f>
        <v>#N/A</v>
      </c>
      <c r="J2775" s="609" t="e">
        <f>I2775*$L$4</f>
        <v>#N/A</v>
      </c>
      <c r="K2775" s="935"/>
      <c r="L2775" s="935"/>
      <c r="M2775" s="935"/>
      <c r="N2775" s="935"/>
      <c r="O2775" s="935"/>
    </row>
    <row r="2776" spans="1:15" ht="15" customHeight="1">
      <c r="A2776" s="908" t="s">
        <v>364</v>
      </c>
      <c r="B2776" s="909" t="s">
        <v>2092</v>
      </c>
      <c r="C2776" s="910" t="e">
        <f>VLOOKUP(B2773,'LƯƠNG KT'!$D$16:$Z$184,16,0)</f>
        <v>#N/A</v>
      </c>
      <c r="D2776" s="609" t="e">
        <f>C2776*$L$5</f>
        <v>#N/A</v>
      </c>
      <c r="E2776" s="912"/>
      <c r="F2776" s="912"/>
      <c r="G2776" s="908" t="s">
        <v>364</v>
      </c>
      <c r="H2776" s="909" t="s">
        <v>2092</v>
      </c>
      <c r="I2776" s="910" t="e">
        <f>VLOOKUP(H2773,'LƯƠNG KT'!$D$16:$Z$184,16,0)</f>
        <v>#N/A</v>
      </c>
      <c r="J2776" s="609" t="e">
        <f>I2776*$L$5</f>
        <v>#N/A</v>
      </c>
      <c r="K2776" s="935"/>
      <c r="L2776" s="935"/>
      <c r="M2776" s="935"/>
      <c r="N2776" s="935"/>
      <c r="O2776" s="935"/>
    </row>
    <row r="2777" spans="1:15" ht="15" customHeight="1">
      <c r="A2777" s="908" t="s">
        <v>370</v>
      </c>
      <c r="B2777" s="909" t="s">
        <v>2093</v>
      </c>
      <c r="C2777" s="910" t="e">
        <f>VLOOKUP(B2773,'LƯƠNG KT'!$D$16:$Z$184,24,0)</f>
        <v>#N/A</v>
      </c>
      <c r="D2777" s="609" t="e">
        <f>+C2777*$L$6</f>
        <v>#N/A</v>
      </c>
      <c r="E2777" s="912"/>
      <c r="F2777" s="912"/>
      <c r="G2777" s="908" t="s">
        <v>370</v>
      </c>
      <c r="H2777" s="909" t="s">
        <v>2093</v>
      </c>
      <c r="I2777" s="910" t="e">
        <f>VLOOKUP(H2773,'LƯƠNG KT'!$D$16:$Z$184,24,0)</f>
        <v>#N/A</v>
      </c>
      <c r="J2777" s="609" t="e">
        <f>+I2777*$L$6</f>
        <v>#N/A</v>
      </c>
      <c r="K2777" s="935"/>
      <c r="L2777" s="935"/>
      <c r="M2777" s="935"/>
      <c r="N2777" s="935"/>
      <c r="O2777" s="935"/>
    </row>
    <row r="2778" spans="1:15" ht="15" customHeight="1">
      <c r="A2778" s="908" t="s">
        <v>2094</v>
      </c>
      <c r="B2778" s="909" t="s">
        <v>2095</v>
      </c>
      <c r="C2778" s="910" t="e">
        <f>VLOOKUP(B2773,'LƯƠNG KT'!$D$16:$Z$184,19,0)</f>
        <v>#N/A</v>
      </c>
      <c r="D2778" s="609" t="e">
        <f>+C2778*$L$8</f>
        <v>#N/A</v>
      </c>
      <c r="E2778" s="912"/>
      <c r="F2778" s="912"/>
      <c r="G2778" s="908" t="s">
        <v>2094</v>
      </c>
      <c r="H2778" s="909" t="s">
        <v>2095</v>
      </c>
      <c r="I2778" s="910" t="e">
        <f>VLOOKUP(H2773,'LƯƠNG KT'!$D$16:$Z$184,19,0)</f>
        <v>#N/A</v>
      </c>
      <c r="J2778" s="609" t="e">
        <f>+I2778*$L$8</f>
        <v>#N/A</v>
      </c>
      <c r="K2778" s="935"/>
      <c r="L2778" s="935"/>
      <c r="M2778" s="935"/>
      <c r="N2778" s="935"/>
      <c r="O2778" s="935"/>
    </row>
    <row r="2779" spans="1:15" ht="15" customHeight="1">
      <c r="A2779" s="908" t="s">
        <v>2096</v>
      </c>
      <c r="B2779" s="913" t="s">
        <v>2097</v>
      </c>
      <c r="C2779" s="910" t="e">
        <f>VLOOKUP(B2773,'LƯƠNG KT'!$D$16:$Z$184,20,0)</f>
        <v>#N/A</v>
      </c>
      <c r="D2779" s="609" t="e">
        <f>+C2779*$L$9</f>
        <v>#N/A</v>
      </c>
      <c r="E2779" s="912"/>
      <c r="F2779" s="912"/>
      <c r="G2779" s="908" t="s">
        <v>2096</v>
      </c>
      <c r="H2779" s="913" t="s">
        <v>2097</v>
      </c>
      <c r="I2779" s="910" t="e">
        <f>VLOOKUP(H2773,'LƯƠNG KT'!$D$16:$Z$184,20,0)</f>
        <v>#N/A</v>
      </c>
      <c r="J2779" s="609" t="e">
        <f>+I2779*$L$9</f>
        <v>#N/A</v>
      </c>
      <c r="K2779" s="935"/>
      <c r="L2779" s="935"/>
      <c r="M2779" s="935"/>
      <c r="N2779" s="935"/>
      <c r="O2779" s="935"/>
    </row>
    <row r="2780" spans="1:15" ht="15" customHeight="1">
      <c r="A2780" s="908" t="s">
        <v>2099</v>
      </c>
      <c r="B2780" s="909" t="s">
        <v>2100</v>
      </c>
      <c r="C2780" s="910" t="e">
        <f>VLOOKUP(B2773,'LƯƠNG KT'!$D$16:$Z$184,17,0)</f>
        <v>#N/A</v>
      </c>
      <c r="D2780" s="609" t="e">
        <f>+C2780*$L$10</f>
        <v>#N/A</v>
      </c>
      <c r="E2780" s="912"/>
      <c r="F2780" s="912"/>
      <c r="G2780" s="908" t="s">
        <v>2099</v>
      </c>
      <c r="H2780" s="909" t="s">
        <v>2100</v>
      </c>
      <c r="I2780" s="910" t="e">
        <f>VLOOKUP(H2773,'LƯƠNG KT'!$D$16:$Z$184,17,0)</f>
        <v>#N/A</v>
      </c>
      <c r="J2780" s="609" t="e">
        <f>+I2780*$L$10</f>
        <v>#N/A</v>
      </c>
      <c r="K2780" s="935"/>
      <c r="L2780" s="935"/>
      <c r="M2780" s="935"/>
      <c r="N2780" s="935"/>
      <c r="O2780" s="935"/>
    </row>
    <row r="2781" spans="1:15" ht="15" customHeight="1">
      <c r="A2781" s="908" t="s">
        <v>374</v>
      </c>
      <c r="B2781" s="909" t="s">
        <v>2102</v>
      </c>
      <c r="C2781" s="910" t="e">
        <f>VLOOKUP(B2773,'LƯƠNG KT'!$D$16:$Z$184,12,0)</f>
        <v>#N/A</v>
      </c>
      <c r="D2781" s="609" t="e">
        <f>VLOOKUP(B2773,'LƯƠNG KT'!$D$16:$Z$184,14,0)</f>
        <v>#N/A</v>
      </c>
      <c r="E2781" s="914"/>
      <c r="F2781" s="912"/>
      <c r="G2781" s="908" t="s">
        <v>374</v>
      </c>
      <c r="H2781" s="909" t="s">
        <v>2102</v>
      </c>
      <c r="I2781" s="910" t="e">
        <f>VLOOKUP(H2773,'LƯƠNG KT'!$D$16:$Z$184,12,0)</f>
        <v>#N/A</v>
      </c>
      <c r="J2781" s="609" t="e">
        <f>VLOOKUP(H2773,'LƯƠNG KT'!$D$16:$Z$184,14,0)</f>
        <v>#N/A</v>
      </c>
      <c r="K2781" s="935"/>
      <c r="L2781" s="935"/>
      <c r="M2781" s="935"/>
      <c r="N2781" s="935"/>
      <c r="O2781" s="935"/>
    </row>
    <row r="2782" spans="1:15" ht="15" customHeight="1">
      <c r="A2782" s="908" t="s">
        <v>2103</v>
      </c>
      <c r="B2782" s="909" t="s">
        <v>2104</v>
      </c>
      <c r="D2782" s="915" t="e">
        <f>VLOOKUP(B2773,'LƯƠNG KT'!$D$16:$Z$184,13,0)</f>
        <v>#N/A</v>
      </c>
      <c r="E2782" s="916"/>
      <c r="F2782" s="916"/>
      <c r="G2782" s="908" t="s">
        <v>2103</v>
      </c>
      <c r="H2782" s="909" t="s">
        <v>2104</v>
      </c>
      <c r="J2782" s="915" t="e">
        <f>VLOOKUP(H2773,'LƯƠNG KT'!$D$16:$Z$184,13,0)</f>
        <v>#N/A</v>
      </c>
    </row>
    <row r="2783" spans="1:15" ht="15" customHeight="1">
      <c r="A2783" s="547"/>
      <c r="B2783" s="546"/>
      <c r="C2783" s="910"/>
      <c r="D2783" s="609"/>
      <c r="E2783" s="914"/>
      <c r="F2783" s="916"/>
      <c r="G2783" s="547"/>
      <c r="H2783" s="546"/>
      <c r="I2783" s="910"/>
      <c r="J2783" s="609"/>
    </row>
    <row r="2784" spans="1:15" ht="15" customHeight="1">
      <c r="A2784" s="905"/>
      <c r="B2784" s="546"/>
      <c r="C2784" s="910"/>
      <c r="D2784" s="609"/>
      <c r="E2784" s="917"/>
      <c r="F2784" s="904"/>
      <c r="G2784" s="905"/>
      <c r="H2784" s="546"/>
      <c r="I2784" s="910"/>
      <c r="J2784" s="609"/>
    </row>
    <row r="2785" spans="1:15" ht="15" customHeight="1">
      <c r="A2785" s="918" t="s">
        <v>383</v>
      </c>
      <c r="B2785" s="919" t="s">
        <v>384</v>
      </c>
      <c r="C2785" s="920"/>
      <c r="D2785" s="921" t="e">
        <f>SUM(D2774:D2781)-D2784</f>
        <v>#N/A</v>
      </c>
      <c r="E2785" s="922"/>
      <c r="F2785" s="923"/>
      <c r="G2785" s="918" t="s">
        <v>383</v>
      </c>
      <c r="H2785" s="919" t="s">
        <v>384</v>
      </c>
      <c r="I2785" s="920"/>
      <c r="J2785" s="921" t="e">
        <f>SUM(J2774:J2781)-J2784</f>
        <v>#N/A</v>
      </c>
    </row>
    <row r="2786" spans="1:15" ht="15.75" customHeight="1">
      <c r="A2786" s="924"/>
      <c r="B2786" s="925"/>
      <c r="C2786" s="926"/>
      <c r="D2786" s="927"/>
      <c r="E2786" s="927"/>
      <c r="F2786" s="928"/>
      <c r="G2786" s="924"/>
      <c r="H2786" s="925"/>
      <c r="I2786" s="926"/>
      <c r="J2786" s="927"/>
    </row>
    <row r="2788" spans="1:15" ht="12" customHeight="1">
      <c r="A2788" s="2361"/>
      <c r="B2788" s="2361"/>
      <c r="C2788" s="2361"/>
      <c r="D2788" s="2361"/>
      <c r="E2788" s="2361"/>
      <c r="F2788" s="2361"/>
      <c r="G2788" s="2361"/>
      <c r="H2788" s="2361"/>
      <c r="I2788" s="2361"/>
      <c r="J2788" s="2361"/>
    </row>
    <row r="2789" spans="1:15" ht="15" customHeight="1">
      <c r="A2789" s="2360" t="str">
        <f>$K$2</f>
        <v>THÁNG 04/2025</v>
      </c>
      <c r="B2789" s="2360"/>
      <c r="C2789" s="2360"/>
      <c r="D2789" s="2360"/>
      <c r="E2789" s="903"/>
      <c r="F2789" s="904"/>
      <c r="G2789" s="2360" t="str">
        <f>$K$2</f>
        <v>THÁNG 04/2025</v>
      </c>
      <c r="H2789" s="2360"/>
      <c r="I2789" s="2360"/>
      <c r="J2789" s="2360"/>
      <c r="K2789" s="276"/>
    </row>
    <row r="2790" spans="1:15" ht="15" customHeight="1">
      <c r="A2790" s="905" t="s">
        <v>356</v>
      </c>
      <c r="B2790" s="642" t="s">
        <v>222</v>
      </c>
      <c r="C2790" s="546"/>
      <c r="D2790" s="902"/>
      <c r="E2790" s="906"/>
      <c r="F2790" s="907"/>
      <c r="G2790" s="905" t="s">
        <v>356</v>
      </c>
      <c r="H2790" s="642" t="s">
        <v>223</v>
      </c>
      <c r="I2790" s="546"/>
      <c r="J2790" s="902"/>
      <c r="L2790" s="938"/>
      <c r="M2790" s="938"/>
      <c r="N2790" s="938"/>
      <c r="O2790" s="938"/>
    </row>
    <row r="2791" spans="1:15" ht="15" customHeight="1">
      <c r="A2791" s="908" t="s">
        <v>359</v>
      </c>
      <c r="B2791" s="909" t="s">
        <v>2090</v>
      </c>
      <c r="C2791" s="910" t="e">
        <f>VLOOKUP(B2790,'LƯƠNG KT'!$D$16:$Z$184,4,0)</f>
        <v>#N/A</v>
      </c>
      <c r="D2791" s="609" t="e">
        <f>+C2791*25000</f>
        <v>#N/A</v>
      </c>
      <c r="E2791" s="911"/>
      <c r="F2791" s="911"/>
      <c r="G2791" s="908" t="s">
        <v>359</v>
      </c>
      <c r="H2791" s="909" t="s">
        <v>2090</v>
      </c>
      <c r="I2791" s="910" t="e">
        <f>VLOOKUP(H2790,'LƯƠNG KT'!$D$16:$Z$184,4,0)</f>
        <v>#N/A</v>
      </c>
      <c r="J2791" s="609" t="e">
        <f>+I2791*25000</f>
        <v>#N/A</v>
      </c>
      <c r="K2791" s="934"/>
      <c r="L2791" s="935"/>
      <c r="M2791" s="935"/>
      <c r="N2791" s="935"/>
      <c r="O2791" s="935"/>
    </row>
    <row r="2792" spans="1:15" ht="15" customHeight="1">
      <c r="A2792" s="908" t="s">
        <v>361</v>
      </c>
      <c r="B2792" s="909" t="s">
        <v>2091</v>
      </c>
      <c r="C2792" s="910" t="e">
        <f>VLOOKUP(B2790,'LƯƠNG KT'!$D$16:$Z$184,15,0)</f>
        <v>#N/A</v>
      </c>
      <c r="D2792" s="609" t="e">
        <f>C2792*$L$4</f>
        <v>#N/A</v>
      </c>
      <c r="E2792" s="912"/>
      <c r="F2792" s="912"/>
      <c r="G2792" s="908" t="s">
        <v>361</v>
      </c>
      <c r="H2792" s="909" t="s">
        <v>2091</v>
      </c>
      <c r="I2792" s="910" t="e">
        <f>VLOOKUP(H2790,'LƯƠNG KT'!$D$16:$Z$184,15,0)</f>
        <v>#N/A</v>
      </c>
      <c r="J2792" s="609" t="e">
        <f>I2792*$L$4</f>
        <v>#N/A</v>
      </c>
      <c r="K2792" s="934"/>
      <c r="L2792" s="935"/>
      <c r="M2792" s="935"/>
      <c r="N2792" s="935"/>
      <c r="O2792" s="935"/>
    </row>
    <row r="2793" spans="1:15" ht="15" customHeight="1">
      <c r="A2793" s="908" t="s">
        <v>364</v>
      </c>
      <c r="B2793" s="909" t="s">
        <v>2092</v>
      </c>
      <c r="C2793" s="910" t="e">
        <f>VLOOKUP(B2790,'LƯƠNG KT'!$D$16:$Z$184,16,0)</f>
        <v>#N/A</v>
      </c>
      <c r="D2793" s="609" t="e">
        <f>C2793*$L$5</f>
        <v>#N/A</v>
      </c>
      <c r="E2793" s="912"/>
      <c r="F2793" s="912"/>
      <c r="G2793" s="908" t="s">
        <v>364</v>
      </c>
      <c r="H2793" s="909" t="s">
        <v>2092</v>
      </c>
      <c r="I2793" s="910" t="e">
        <f>VLOOKUP(H2790,'LƯƠNG KT'!$D$16:$Z$184,16,0)</f>
        <v>#N/A</v>
      </c>
      <c r="J2793" s="609" t="e">
        <f>I2793*$L$5</f>
        <v>#N/A</v>
      </c>
      <c r="K2793" s="934"/>
      <c r="L2793" s="935"/>
      <c r="M2793" s="935"/>
      <c r="N2793" s="935"/>
      <c r="O2793" s="935"/>
    </row>
    <row r="2794" spans="1:15" ht="15" customHeight="1">
      <c r="A2794" s="908" t="s">
        <v>370</v>
      </c>
      <c r="B2794" s="909" t="s">
        <v>2093</v>
      </c>
      <c r="C2794" s="910" t="e">
        <f>VLOOKUP(B2790,'LƯƠNG KT'!$D$16:$Z$184,24,0)</f>
        <v>#N/A</v>
      </c>
      <c r="D2794" s="609" t="e">
        <f>+C2794*$L$6</f>
        <v>#N/A</v>
      </c>
      <c r="E2794" s="912"/>
      <c r="F2794" s="912"/>
      <c r="G2794" s="908" t="s">
        <v>370</v>
      </c>
      <c r="H2794" s="909" t="s">
        <v>2093</v>
      </c>
      <c r="I2794" s="910" t="e">
        <f>VLOOKUP(H2790,'LƯƠNG KT'!$D$16:$Z$184,24,0)</f>
        <v>#N/A</v>
      </c>
      <c r="J2794" s="609" t="e">
        <f>+I2794*$L$6</f>
        <v>#N/A</v>
      </c>
      <c r="K2794" s="935"/>
      <c r="L2794" s="935"/>
      <c r="M2794" s="935"/>
      <c r="N2794" s="935"/>
      <c r="O2794" s="935"/>
    </row>
    <row r="2795" spans="1:15" ht="15" customHeight="1">
      <c r="A2795" s="908" t="s">
        <v>2094</v>
      </c>
      <c r="B2795" s="909" t="s">
        <v>2095</v>
      </c>
      <c r="C2795" s="910" t="e">
        <f>VLOOKUP(B2790,'LƯƠNG KT'!$D$16:$Z$184,19,0)</f>
        <v>#N/A</v>
      </c>
      <c r="D2795" s="609" t="e">
        <f>+C2795*$L$8</f>
        <v>#N/A</v>
      </c>
      <c r="E2795" s="912"/>
      <c r="F2795" s="912"/>
      <c r="G2795" s="908" t="s">
        <v>2094</v>
      </c>
      <c r="H2795" s="909" t="s">
        <v>2095</v>
      </c>
      <c r="I2795" s="910" t="e">
        <f>VLOOKUP(H2790,'LƯƠNG KT'!$D$16:$Z$184,19,0)</f>
        <v>#N/A</v>
      </c>
      <c r="J2795" s="609" t="e">
        <f>+I2795*$L$8</f>
        <v>#N/A</v>
      </c>
      <c r="K2795" s="935"/>
      <c r="L2795" s="935"/>
      <c r="M2795" s="935"/>
      <c r="N2795" s="935"/>
      <c r="O2795" s="935"/>
    </row>
    <row r="2796" spans="1:15" ht="15" customHeight="1">
      <c r="A2796" s="908" t="s">
        <v>2096</v>
      </c>
      <c r="B2796" s="913" t="s">
        <v>2097</v>
      </c>
      <c r="C2796" s="910" t="e">
        <f>VLOOKUP(B2790,'LƯƠNG KT'!$D$16:$Z$184,20,0)</f>
        <v>#N/A</v>
      </c>
      <c r="D2796" s="609" t="e">
        <f>+C2796*$L$9</f>
        <v>#N/A</v>
      </c>
      <c r="E2796" s="912"/>
      <c r="F2796" s="912"/>
      <c r="G2796" s="908" t="s">
        <v>2096</v>
      </c>
      <c r="H2796" s="913" t="s">
        <v>2097</v>
      </c>
      <c r="I2796" s="910" t="e">
        <f>VLOOKUP(H2790,'LƯƠNG KT'!$D$16:$Z$184,20,0)</f>
        <v>#N/A</v>
      </c>
      <c r="J2796" s="609" t="e">
        <f>+I2796*$L$9</f>
        <v>#N/A</v>
      </c>
      <c r="K2796" s="935"/>
      <c r="L2796" s="935"/>
      <c r="M2796" s="935"/>
      <c r="N2796" s="935"/>
      <c r="O2796" s="935"/>
    </row>
    <row r="2797" spans="1:15" ht="15" customHeight="1">
      <c r="A2797" s="908" t="s">
        <v>2099</v>
      </c>
      <c r="B2797" s="909" t="s">
        <v>2100</v>
      </c>
      <c r="C2797" s="910" t="e">
        <f>VLOOKUP(B2790,'LƯƠNG KT'!$D$16:$Z$184,17,0)</f>
        <v>#N/A</v>
      </c>
      <c r="D2797" s="609" t="e">
        <f>+C2797*$L$10</f>
        <v>#N/A</v>
      </c>
      <c r="E2797" s="912"/>
      <c r="F2797" s="912"/>
      <c r="G2797" s="908" t="s">
        <v>2099</v>
      </c>
      <c r="H2797" s="909" t="s">
        <v>2100</v>
      </c>
      <c r="I2797" s="910" t="e">
        <f>VLOOKUP(H2790,'LƯƠNG KT'!$D$16:$Z$184,17,0)</f>
        <v>#N/A</v>
      </c>
      <c r="J2797" s="609" t="e">
        <f>+I2797*$L$10</f>
        <v>#N/A</v>
      </c>
      <c r="K2797" s="935"/>
      <c r="L2797" s="935"/>
      <c r="M2797" s="935"/>
      <c r="N2797" s="935"/>
      <c r="O2797" s="935"/>
    </row>
    <row r="2798" spans="1:15" ht="15" customHeight="1">
      <c r="A2798" s="908" t="s">
        <v>374</v>
      </c>
      <c r="B2798" s="909" t="s">
        <v>2102</v>
      </c>
      <c r="C2798" s="910" t="e">
        <f>VLOOKUP(B2790,'LƯƠNG KT'!$D$16:$Z$184,12,0)</f>
        <v>#N/A</v>
      </c>
      <c r="D2798" s="609" t="e">
        <f>VLOOKUP(B2790,'LƯƠNG KT'!$D$16:$Z$184,14,0)</f>
        <v>#N/A</v>
      </c>
      <c r="E2798" s="914"/>
      <c r="F2798" s="912"/>
      <c r="G2798" s="908" t="s">
        <v>374</v>
      </c>
      <c r="H2798" s="909" t="s">
        <v>2102</v>
      </c>
      <c r="I2798" s="910" t="e">
        <f>VLOOKUP(H2790,'LƯƠNG KT'!$D$16:$Z$184,12,0)</f>
        <v>#N/A</v>
      </c>
      <c r="J2798" s="609" t="e">
        <f>VLOOKUP(H2790,'LƯƠNG KT'!$D$16:$Z$184,14,0)</f>
        <v>#N/A</v>
      </c>
      <c r="K2798" s="935"/>
      <c r="L2798" s="935"/>
      <c r="M2798" s="935"/>
      <c r="N2798" s="935"/>
      <c r="O2798" s="935"/>
    </row>
    <row r="2799" spans="1:15" ht="15" customHeight="1">
      <c r="A2799" s="908" t="s">
        <v>2103</v>
      </c>
      <c r="B2799" s="909" t="s">
        <v>2104</v>
      </c>
      <c r="D2799" s="915" t="e">
        <f>VLOOKUP(B2790,'LƯƠNG KT'!$D$16:$Z$184,13,0)</f>
        <v>#N/A</v>
      </c>
      <c r="E2799" s="916"/>
      <c r="F2799" s="916"/>
      <c r="G2799" s="908" t="s">
        <v>2103</v>
      </c>
      <c r="H2799" s="909" t="s">
        <v>2104</v>
      </c>
      <c r="J2799" s="915" t="e">
        <f>VLOOKUP(H2790,'LƯƠNG KT'!$D$16:$Z$184,13,0)</f>
        <v>#N/A</v>
      </c>
    </row>
    <row r="2800" spans="1:15" ht="15" customHeight="1">
      <c r="A2800" s="547"/>
      <c r="B2800" s="546"/>
      <c r="C2800" s="910"/>
      <c r="D2800" s="609"/>
      <c r="E2800" s="914"/>
      <c r="F2800" s="916"/>
      <c r="G2800" s="547"/>
      <c r="H2800" s="546"/>
      <c r="I2800" s="910"/>
      <c r="J2800" s="609"/>
    </row>
    <row r="2801" spans="1:15" ht="15" customHeight="1">
      <c r="A2801" s="905"/>
      <c r="B2801" s="546"/>
      <c r="C2801" s="910"/>
      <c r="D2801" s="609"/>
      <c r="E2801" s="917"/>
      <c r="F2801" s="904"/>
      <c r="G2801" s="905"/>
      <c r="H2801" s="546"/>
      <c r="I2801" s="910"/>
      <c r="J2801" s="609"/>
    </row>
    <row r="2802" spans="1:15" ht="15" customHeight="1">
      <c r="A2802" s="918" t="s">
        <v>383</v>
      </c>
      <c r="B2802" s="919" t="s">
        <v>384</v>
      </c>
      <c r="C2802" s="920"/>
      <c r="D2802" s="921" t="e">
        <f>SUM(D2791:D2798)-D2801</f>
        <v>#N/A</v>
      </c>
      <c r="E2802" s="922"/>
      <c r="F2802" s="923"/>
      <c r="G2802" s="918" t="s">
        <v>383</v>
      </c>
      <c r="H2802" s="919" t="s">
        <v>384</v>
      </c>
      <c r="I2802" s="920"/>
      <c r="J2802" s="921" t="e">
        <f>SUM(J2791:J2798)-J2801</f>
        <v>#N/A</v>
      </c>
    </row>
    <row r="2803" spans="1:15" ht="21.75" customHeight="1">
      <c r="A2803" s="924"/>
      <c r="B2803" s="925"/>
      <c r="C2803" s="926"/>
      <c r="D2803" s="927"/>
      <c r="E2803" s="927"/>
      <c r="F2803" s="928"/>
      <c r="G2803" s="924"/>
      <c r="H2803" s="925"/>
      <c r="I2803" s="926"/>
      <c r="J2803" s="927"/>
    </row>
    <row r="2804" spans="1:15" ht="21.75" customHeight="1">
      <c r="A2804" s="925"/>
      <c r="B2804" s="925"/>
      <c r="C2804" s="929"/>
      <c r="D2804" s="930"/>
      <c r="E2804" s="925"/>
      <c r="F2804" s="931"/>
      <c r="G2804" s="925"/>
      <c r="H2804" s="925"/>
      <c r="I2804" s="929"/>
      <c r="J2804" s="930"/>
    </row>
    <row r="2805" spans="1:15" ht="15" customHeight="1">
      <c r="A2805" s="2360" t="str">
        <f>$K$2</f>
        <v>THÁNG 04/2025</v>
      </c>
      <c r="B2805" s="2360"/>
      <c r="C2805" s="2360"/>
      <c r="D2805" s="2360"/>
      <c r="E2805" s="903"/>
      <c r="F2805" s="904"/>
      <c r="G2805" s="2360" t="str">
        <f>$K$2</f>
        <v>THÁNG 04/2025</v>
      </c>
      <c r="H2805" s="2360"/>
      <c r="I2805" s="2360"/>
      <c r="J2805" s="2360"/>
      <c r="K2805" s="276"/>
    </row>
    <row r="2806" spans="1:15" ht="15" customHeight="1">
      <c r="A2806" s="905" t="s">
        <v>356</v>
      </c>
      <c r="B2806" s="642" t="s">
        <v>224</v>
      </c>
      <c r="C2806" s="546"/>
      <c r="D2806" s="902"/>
      <c r="E2806" s="906"/>
      <c r="F2806" s="907"/>
      <c r="G2806" s="905" t="s">
        <v>356</v>
      </c>
      <c r="H2806" s="642" t="s">
        <v>225</v>
      </c>
      <c r="I2806" s="546"/>
      <c r="J2806" s="902"/>
      <c r="L2806" s="938"/>
      <c r="M2806" s="938"/>
      <c r="N2806" s="938"/>
      <c r="O2806" s="938"/>
    </row>
    <row r="2807" spans="1:15" ht="15" customHeight="1">
      <c r="A2807" s="908" t="s">
        <v>359</v>
      </c>
      <c r="B2807" s="909" t="s">
        <v>2090</v>
      </c>
      <c r="C2807" s="910" t="e">
        <f>VLOOKUP(B2806,'LƯƠNG KT'!$D$16:$Z$184,4,0)</f>
        <v>#N/A</v>
      </c>
      <c r="D2807" s="609" t="e">
        <f>+C2807*25000</f>
        <v>#N/A</v>
      </c>
      <c r="E2807" s="911"/>
      <c r="F2807" s="911"/>
      <c r="G2807" s="908" t="s">
        <v>359</v>
      </c>
      <c r="H2807" s="909" t="s">
        <v>2090</v>
      </c>
      <c r="I2807" s="910" t="e">
        <f>VLOOKUP(H2806,'LƯƠNG KT'!$D$16:$Z$184,4,0)</f>
        <v>#N/A</v>
      </c>
      <c r="J2807" s="609" t="e">
        <f>+I2807*25000</f>
        <v>#N/A</v>
      </c>
      <c r="K2807" s="935"/>
      <c r="L2807" s="935"/>
      <c r="M2807" s="935"/>
      <c r="N2807" s="935"/>
      <c r="O2807" s="935"/>
    </row>
    <row r="2808" spans="1:15" ht="15" customHeight="1">
      <c r="A2808" s="908" t="s">
        <v>361</v>
      </c>
      <c r="B2808" s="909" t="s">
        <v>2091</v>
      </c>
      <c r="C2808" s="910" t="e">
        <f>VLOOKUP(B2806,'LƯƠNG KT'!$D$16:$Z$184,15,0)</f>
        <v>#N/A</v>
      </c>
      <c r="D2808" s="609" t="e">
        <f>C2808*$L$4</f>
        <v>#N/A</v>
      </c>
      <c r="E2808" s="912"/>
      <c r="F2808" s="912"/>
      <c r="G2808" s="908" t="s">
        <v>361</v>
      </c>
      <c r="H2808" s="909" t="s">
        <v>2091</v>
      </c>
      <c r="I2808" s="910" t="e">
        <f>VLOOKUP(H2806,'LƯƠNG KT'!$D$16:$Z$184,15,0)</f>
        <v>#N/A</v>
      </c>
      <c r="J2808" s="609" t="e">
        <f>I2808*$L$4</f>
        <v>#N/A</v>
      </c>
      <c r="K2808" s="935"/>
      <c r="L2808" s="935"/>
      <c r="M2808" s="935"/>
      <c r="N2808" s="935"/>
      <c r="O2808" s="935"/>
    </row>
    <row r="2809" spans="1:15" ht="15" customHeight="1">
      <c r="A2809" s="908" t="s">
        <v>364</v>
      </c>
      <c r="B2809" s="909" t="s">
        <v>2092</v>
      </c>
      <c r="C2809" s="910" t="e">
        <f>VLOOKUP(B2806,'LƯƠNG KT'!$D$16:$Z$184,16,0)</f>
        <v>#N/A</v>
      </c>
      <c r="D2809" s="609" t="e">
        <f>C2809*$L$5</f>
        <v>#N/A</v>
      </c>
      <c r="E2809" s="912"/>
      <c r="F2809" s="912"/>
      <c r="G2809" s="908" t="s">
        <v>364</v>
      </c>
      <c r="H2809" s="909" t="s">
        <v>2092</v>
      </c>
      <c r="I2809" s="910" t="e">
        <f>VLOOKUP(H2806,'LƯƠNG KT'!$D$16:$Z$184,16,0)</f>
        <v>#N/A</v>
      </c>
      <c r="J2809" s="609" t="e">
        <f>I2809*$L$5</f>
        <v>#N/A</v>
      </c>
      <c r="K2809" s="935"/>
      <c r="L2809" s="935"/>
      <c r="M2809" s="935"/>
      <c r="N2809" s="935"/>
      <c r="O2809" s="935"/>
    </row>
    <row r="2810" spans="1:15" ht="15" customHeight="1">
      <c r="A2810" s="908" t="s">
        <v>370</v>
      </c>
      <c r="B2810" s="909" t="s">
        <v>2093</v>
      </c>
      <c r="C2810" s="910" t="e">
        <f>VLOOKUP(B2806,'LƯƠNG KT'!$D$16:$Z$184,24,0)</f>
        <v>#N/A</v>
      </c>
      <c r="D2810" s="609" t="e">
        <f>+C2810*$L$6</f>
        <v>#N/A</v>
      </c>
      <c r="E2810" s="912"/>
      <c r="F2810" s="912"/>
      <c r="G2810" s="908" t="s">
        <v>370</v>
      </c>
      <c r="H2810" s="909" t="s">
        <v>2093</v>
      </c>
      <c r="I2810" s="910" t="e">
        <f>VLOOKUP(H2806,'LƯƠNG KT'!$D$16:$Z$184,24,0)</f>
        <v>#N/A</v>
      </c>
      <c r="J2810" s="609" t="e">
        <f>+I2810*$L$6</f>
        <v>#N/A</v>
      </c>
      <c r="K2810" s="935"/>
      <c r="L2810" s="935"/>
      <c r="M2810" s="935"/>
      <c r="N2810" s="935"/>
      <c r="O2810" s="935"/>
    </row>
    <row r="2811" spans="1:15" ht="15" customHeight="1">
      <c r="A2811" s="908" t="s">
        <v>2094</v>
      </c>
      <c r="B2811" s="909" t="s">
        <v>2095</v>
      </c>
      <c r="C2811" s="910" t="e">
        <f>VLOOKUP(B2806,'LƯƠNG KT'!$D$16:$Z$184,19,0)</f>
        <v>#N/A</v>
      </c>
      <c r="D2811" s="609" t="e">
        <f>+C2811*$L$8</f>
        <v>#N/A</v>
      </c>
      <c r="E2811" s="912"/>
      <c r="F2811" s="912"/>
      <c r="G2811" s="908" t="s">
        <v>2094</v>
      </c>
      <c r="H2811" s="909" t="s">
        <v>2095</v>
      </c>
      <c r="I2811" s="910" t="e">
        <f>VLOOKUP(H2806,'LƯƠNG KT'!$D$16:$Z$184,19,0)</f>
        <v>#N/A</v>
      </c>
      <c r="J2811" s="609" t="e">
        <f>+I2811*$L$8</f>
        <v>#N/A</v>
      </c>
      <c r="K2811" s="935"/>
      <c r="L2811" s="935"/>
      <c r="M2811" s="935"/>
      <c r="N2811" s="935"/>
      <c r="O2811" s="935"/>
    </row>
    <row r="2812" spans="1:15" ht="15" customHeight="1">
      <c r="A2812" s="908" t="s">
        <v>2096</v>
      </c>
      <c r="B2812" s="913" t="s">
        <v>2097</v>
      </c>
      <c r="C2812" s="910" t="e">
        <f>VLOOKUP(B2806,'LƯƠNG KT'!$D$16:$Z$184,20,0)</f>
        <v>#N/A</v>
      </c>
      <c r="D2812" s="609" t="e">
        <f>+C2812*$L$9</f>
        <v>#N/A</v>
      </c>
      <c r="E2812" s="912"/>
      <c r="F2812" s="912"/>
      <c r="G2812" s="908" t="s">
        <v>2096</v>
      </c>
      <c r="H2812" s="913" t="s">
        <v>2097</v>
      </c>
      <c r="I2812" s="910" t="e">
        <f>VLOOKUP(H2806,'LƯƠNG KT'!$D$16:$Z$184,20,0)</f>
        <v>#N/A</v>
      </c>
      <c r="J2812" s="609" t="e">
        <f>+I2812*$L$9</f>
        <v>#N/A</v>
      </c>
      <c r="K2812" s="935"/>
      <c r="L2812" s="935"/>
      <c r="M2812" s="935"/>
      <c r="N2812" s="935"/>
      <c r="O2812" s="935"/>
    </row>
    <row r="2813" spans="1:15" ht="15" customHeight="1">
      <c r="A2813" s="908" t="s">
        <v>2099</v>
      </c>
      <c r="B2813" s="909" t="s">
        <v>2100</v>
      </c>
      <c r="C2813" s="910" t="e">
        <f>VLOOKUP(B2806,'LƯƠNG KT'!$D$16:$Z$184,17,0)</f>
        <v>#N/A</v>
      </c>
      <c r="D2813" s="609" t="e">
        <f>+C2813*$L$10</f>
        <v>#N/A</v>
      </c>
      <c r="E2813" s="912"/>
      <c r="F2813" s="912"/>
      <c r="G2813" s="908" t="s">
        <v>2099</v>
      </c>
      <c r="H2813" s="909" t="s">
        <v>2100</v>
      </c>
      <c r="I2813" s="910" t="e">
        <f>VLOOKUP(H2806,'LƯƠNG KT'!$D$16:$Z$184,17,0)</f>
        <v>#N/A</v>
      </c>
      <c r="J2813" s="609" t="e">
        <f>+I2813*$L$10</f>
        <v>#N/A</v>
      </c>
      <c r="K2813" s="935"/>
      <c r="L2813" s="935"/>
      <c r="M2813" s="935"/>
      <c r="N2813" s="935"/>
      <c r="O2813" s="935"/>
    </row>
    <row r="2814" spans="1:15" ht="15" customHeight="1">
      <c r="A2814" s="908" t="s">
        <v>374</v>
      </c>
      <c r="B2814" s="909" t="s">
        <v>2102</v>
      </c>
      <c r="C2814" s="910" t="e">
        <f>VLOOKUP(B2806,'LƯƠNG KT'!$D$16:$Z$184,12,0)</f>
        <v>#N/A</v>
      </c>
      <c r="D2814" s="609" t="e">
        <f>VLOOKUP(B2806,'LƯƠNG KT'!$D$16:$Z$184,14,0)</f>
        <v>#N/A</v>
      </c>
      <c r="E2814" s="914"/>
      <c r="F2814" s="912"/>
      <c r="G2814" s="908" t="s">
        <v>374</v>
      </c>
      <c r="H2814" s="909" t="s">
        <v>2102</v>
      </c>
      <c r="I2814" s="910" t="e">
        <f>VLOOKUP(H2806,'LƯƠNG KT'!$D$16:$Z$184,12,0)</f>
        <v>#N/A</v>
      </c>
      <c r="J2814" s="609" t="e">
        <f>VLOOKUP(H2806,'LƯƠNG KT'!$D$16:$Z$184,14,0)</f>
        <v>#N/A</v>
      </c>
      <c r="K2814" s="935"/>
      <c r="L2814" s="935"/>
      <c r="M2814" s="935"/>
      <c r="N2814" s="935"/>
      <c r="O2814" s="935"/>
    </row>
    <row r="2815" spans="1:15" ht="15" customHeight="1">
      <c r="A2815" s="908" t="s">
        <v>2103</v>
      </c>
      <c r="B2815" s="909" t="s">
        <v>2104</v>
      </c>
      <c r="D2815" s="915" t="e">
        <f>VLOOKUP(B2806,'LƯƠNG KT'!$D$16:$Z$184,13,0)</f>
        <v>#N/A</v>
      </c>
      <c r="E2815" s="916"/>
      <c r="F2815" s="916"/>
      <c r="G2815" s="908" t="s">
        <v>2103</v>
      </c>
      <c r="H2815" s="909" t="s">
        <v>2104</v>
      </c>
      <c r="J2815" s="915" t="e">
        <f>VLOOKUP(H2806,'LƯƠNG KT'!$D$16:$Z$184,13,0)</f>
        <v>#N/A</v>
      </c>
    </row>
    <row r="2816" spans="1:15" ht="15" customHeight="1">
      <c r="A2816" s="547"/>
      <c r="B2816" s="546"/>
      <c r="C2816" s="910"/>
      <c r="D2816" s="609"/>
      <c r="E2816" s="914"/>
      <c r="F2816" s="916"/>
      <c r="G2816" s="547"/>
      <c r="H2816" s="546"/>
      <c r="I2816" s="910"/>
      <c r="J2816" s="609"/>
    </row>
    <row r="2817" spans="1:15" ht="15" customHeight="1">
      <c r="A2817" s="905"/>
      <c r="B2817" s="546"/>
      <c r="C2817" s="910"/>
      <c r="D2817" s="609"/>
      <c r="E2817" s="917"/>
      <c r="F2817" s="904"/>
      <c r="G2817" s="905"/>
      <c r="H2817" s="546"/>
      <c r="I2817" s="910"/>
      <c r="J2817" s="609"/>
    </row>
    <row r="2818" spans="1:15" ht="15" customHeight="1">
      <c r="A2818" s="918" t="s">
        <v>383</v>
      </c>
      <c r="B2818" s="919" t="s">
        <v>384</v>
      </c>
      <c r="C2818" s="920"/>
      <c r="D2818" s="921" t="e">
        <f>SUM(D2807:D2814)-D2817</f>
        <v>#N/A</v>
      </c>
      <c r="E2818" s="922"/>
      <c r="F2818" s="923"/>
      <c r="G2818" s="918" t="s">
        <v>383</v>
      </c>
      <c r="H2818" s="919" t="s">
        <v>384</v>
      </c>
      <c r="I2818" s="920"/>
      <c r="J2818" s="921" t="e">
        <f>SUM(J2807:J2814)-J2817</f>
        <v>#N/A</v>
      </c>
    </row>
    <row r="2819" spans="1:15" ht="18.75" customHeight="1">
      <c r="A2819" s="924"/>
      <c r="B2819" s="925"/>
      <c r="C2819" s="926"/>
      <c r="D2819" s="927"/>
      <c r="E2819" s="927"/>
      <c r="F2819" s="928"/>
      <c r="G2819" s="924"/>
      <c r="H2819" s="925"/>
      <c r="I2819" s="926"/>
      <c r="J2819" s="927"/>
    </row>
    <row r="2820" spans="1:15" ht="18.75" customHeight="1">
      <c r="A2820" s="925"/>
      <c r="B2820" s="925"/>
      <c r="C2820" s="929"/>
      <c r="D2820" s="930"/>
      <c r="E2820" s="925"/>
      <c r="F2820" s="931"/>
      <c r="G2820" s="925"/>
      <c r="H2820" s="925"/>
      <c r="I2820" s="929"/>
      <c r="J2820" s="930"/>
    </row>
    <row r="2821" spans="1:15" ht="15" customHeight="1">
      <c r="A2821" s="2360" t="str">
        <f>$K$2</f>
        <v>THÁNG 04/2025</v>
      </c>
      <c r="B2821" s="2360"/>
      <c r="C2821" s="2360"/>
      <c r="D2821" s="2360"/>
      <c r="E2821" s="903"/>
      <c r="F2821" s="904"/>
      <c r="G2821" s="2360" t="str">
        <f>$K$2</f>
        <v>THÁNG 04/2025</v>
      </c>
      <c r="H2821" s="2360"/>
      <c r="I2821" s="2360"/>
      <c r="J2821" s="2360"/>
      <c r="K2821" s="276"/>
    </row>
    <row r="2822" spans="1:15" ht="15" customHeight="1">
      <c r="A2822" s="905" t="s">
        <v>356</v>
      </c>
      <c r="B2822" s="642" t="s">
        <v>226</v>
      </c>
      <c r="C2822" s="546"/>
      <c r="D2822" s="902"/>
      <c r="E2822" s="906"/>
      <c r="F2822" s="907"/>
      <c r="G2822" s="905" t="s">
        <v>356</v>
      </c>
      <c r="H2822" s="642" t="s">
        <v>227</v>
      </c>
      <c r="I2822" s="546"/>
      <c r="J2822" s="902"/>
      <c r="L2822" s="938"/>
      <c r="M2822" s="938"/>
      <c r="N2822" s="938"/>
      <c r="O2822" s="938"/>
    </row>
    <row r="2823" spans="1:15" ht="15" customHeight="1">
      <c r="A2823" s="908" t="s">
        <v>359</v>
      </c>
      <c r="B2823" s="909" t="s">
        <v>2090</v>
      </c>
      <c r="C2823" s="910" t="e">
        <f>VLOOKUP(B2822,'LƯƠNG KT'!$D$16:$Z$184,4,0)</f>
        <v>#N/A</v>
      </c>
      <c r="D2823" s="609" t="e">
        <f>+C2823*25000</f>
        <v>#N/A</v>
      </c>
      <c r="E2823" s="911"/>
      <c r="F2823" s="911"/>
      <c r="G2823" s="908" t="s">
        <v>359</v>
      </c>
      <c r="H2823" s="909" t="s">
        <v>2090</v>
      </c>
      <c r="I2823" s="910" t="e">
        <f>VLOOKUP(H2822,'LƯƠNG KT'!$D$16:$Z$184,4,0)</f>
        <v>#N/A</v>
      </c>
      <c r="J2823" s="609" t="e">
        <f>+I2823*25000</f>
        <v>#N/A</v>
      </c>
      <c r="K2823" s="935"/>
      <c r="L2823" s="935"/>
      <c r="M2823" s="935"/>
      <c r="N2823" s="935"/>
      <c r="O2823" s="935"/>
    </row>
    <row r="2824" spans="1:15" ht="15" customHeight="1">
      <c r="A2824" s="908" t="s">
        <v>361</v>
      </c>
      <c r="B2824" s="909" t="s">
        <v>2091</v>
      </c>
      <c r="C2824" s="910" t="e">
        <f>VLOOKUP(B2822,'LƯƠNG KT'!$D$16:$Z$184,15,0)</f>
        <v>#N/A</v>
      </c>
      <c r="D2824" s="609" t="e">
        <f>C2824*$L$4</f>
        <v>#N/A</v>
      </c>
      <c r="E2824" s="912"/>
      <c r="F2824" s="912"/>
      <c r="G2824" s="908" t="s">
        <v>361</v>
      </c>
      <c r="H2824" s="909" t="s">
        <v>2091</v>
      </c>
      <c r="I2824" s="910" t="e">
        <f>VLOOKUP(H2822,'LƯƠNG KT'!$D$16:$Z$184,15,0)</f>
        <v>#N/A</v>
      </c>
      <c r="J2824" s="609" t="e">
        <f>I2824*$L$4</f>
        <v>#N/A</v>
      </c>
      <c r="K2824" s="935"/>
      <c r="L2824" s="935"/>
      <c r="M2824" s="935"/>
      <c r="N2824" s="935"/>
      <c r="O2824" s="935"/>
    </row>
    <row r="2825" spans="1:15" ht="15" customHeight="1">
      <c r="A2825" s="908" t="s">
        <v>364</v>
      </c>
      <c r="B2825" s="909" t="s">
        <v>2092</v>
      </c>
      <c r="C2825" s="910" t="e">
        <f>VLOOKUP(B2822,'LƯƠNG KT'!$D$16:$Z$184,16,0)</f>
        <v>#N/A</v>
      </c>
      <c r="D2825" s="609" t="e">
        <f>C2825*$L$5</f>
        <v>#N/A</v>
      </c>
      <c r="E2825" s="912"/>
      <c r="F2825" s="912"/>
      <c r="G2825" s="908" t="s">
        <v>364</v>
      </c>
      <c r="H2825" s="909" t="s">
        <v>2092</v>
      </c>
      <c r="I2825" s="910" t="e">
        <f>VLOOKUP(H2822,'LƯƠNG KT'!$D$16:$Z$184,16,0)</f>
        <v>#N/A</v>
      </c>
      <c r="J2825" s="609" t="e">
        <f>I2825*$L$5</f>
        <v>#N/A</v>
      </c>
      <c r="K2825" s="935"/>
      <c r="L2825" s="935"/>
      <c r="M2825" s="935"/>
      <c r="N2825" s="935"/>
      <c r="O2825" s="935"/>
    </row>
    <row r="2826" spans="1:15" ht="15" customHeight="1">
      <c r="A2826" s="908" t="s">
        <v>370</v>
      </c>
      <c r="B2826" s="909" t="s">
        <v>2093</v>
      </c>
      <c r="C2826" s="910" t="e">
        <f>VLOOKUP(B2822,'LƯƠNG KT'!$D$16:$Z$184,24,0)</f>
        <v>#N/A</v>
      </c>
      <c r="D2826" s="609" t="e">
        <f>+C2826*$L$6</f>
        <v>#N/A</v>
      </c>
      <c r="E2826" s="912"/>
      <c r="F2826" s="912"/>
      <c r="G2826" s="908" t="s">
        <v>370</v>
      </c>
      <c r="H2826" s="909" t="s">
        <v>2093</v>
      </c>
      <c r="I2826" s="910" t="e">
        <f>VLOOKUP(H2822,'LƯƠNG KT'!$D$16:$Z$184,24,0)</f>
        <v>#N/A</v>
      </c>
      <c r="J2826" s="609" t="e">
        <f>+I2826*$L$6</f>
        <v>#N/A</v>
      </c>
      <c r="K2826" s="935"/>
      <c r="L2826" s="935"/>
      <c r="M2826" s="935"/>
      <c r="N2826" s="935"/>
      <c r="O2826" s="935"/>
    </row>
    <row r="2827" spans="1:15" ht="15" customHeight="1">
      <c r="A2827" s="908" t="s">
        <v>2094</v>
      </c>
      <c r="B2827" s="909" t="s">
        <v>2095</v>
      </c>
      <c r="C2827" s="910" t="e">
        <f>VLOOKUP(B2822,'LƯƠNG KT'!$D$16:$Z$184,19,0)</f>
        <v>#N/A</v>
      </c>
      <c r="D2827" s="609" t="e">
        <f>+C2827*$L$8</f>
        <v>#N/A</v>
      </c>
      <c r="E2827" s="912"/>
      <c r="F2827" s="912"/>
      <c r="G2827" s="908" t="s">
        <v>2094</v>
      </c>
      <c r="H2827" s="909" t="s">
        <v>2095</v>
      </c>
      <c r="I2827" s="910" t="e">
        <f>VLOOKUP(H2822,'LƯƠNG KT'!$D$16:$Z$184,19,0)</f>
        <v>#N/A</v>
      </c>
      <c r="J2827" s="609" t="e">
        <f>+I2827*$L$8</f>
        <v>#N/A</v>
      </c>
      <c r="K2827" s="935"/>
      <c r="L2827" s="935"/>
      <c r="M2827" s="935"/>
      <c r="N2827" s="935"/>
      <c r="O2827" s="935"/>
    </row>
    <row r="2828" spans="1:15" ht="15" customHeight="1">
      <c r="A2828" s="908" t="s">
        <v>2096</v>
      </c>
      <c r="B2828" s="913" t="s">
        <v>2097</v>
      </c>
      <c r="C2828" s="910" t="e">
        <f>VLOOKUP(B2822,'LƯƠNG KT'!$D$16:$Z$184,20,0)</f>
        <v>#N/A</v>
      </c>
      <c r="D2828" s="609" t="e">
        <f>+C2828*$L$9</f>
        <v>#N/A</v>
      </c>
      <c r="E2828" s="912"/>
      <c r="F2828" s="912"/>
      <c r="G2828" s="908" t="s">
        <v>2096</v>
      </c>
      <c r="H2828" s="913" t="s">
        <v>2097</v>
      </c>
      <c r="I2828" s="910" t="e">
        <f>VLOOKUP(H2822,'LƯƠNG KT'!$D$16:$Z$184,20,0)</f>
        <v>#N/A</v>
      </c>
      <c r="J2828" s="609" t="e">
        <f>+I2828*$L$9</f>
        <v>#N/A</v>
      </c>
      <c r="K2828" s="935"/>
      <c r="L2828" s="935"/>
      <c r="M2828" s="935"/>
      <c r="N2828" s="935"/>
      <c r="O2828" s="935"/>
    </row>
    <row r="2829" spans="1:15" ht="15" customHeight="1">
      <c r="A2829" s="908" t="s">
        <v>2099</v>
      </c>
      <c r="B2829" s="909" t="s">
        <v>2100</v>
      </c>
      <c r="C2829" s="910" t="e">
        <f>VLOOKUP(B2822,'LƯƠNG KT'!$D$16:$Z$184,17,0)</f>
        <v>#N/A</v>
      </c>
      <c r="D2829" s="609" t="e">
        <f>+C2829*$L$10</f>
        <v>#N/A</v>
      </c>
      <c r="E2829" s="912"/>
      <c r="F2829" s="912"/>
      <c r="G2829" s="908" t="s">
        <v>2099</v>
      </c>
      <c r="H2829" s="909" t="s">
        <v>2100</v>
      </c>
      <c r="I2829" s="910" t="e">
        <f>VLOOKUP(H2822,'LƯƠNG KT'!$D$16:$Z$184,17,0)</f>
        <v>#N/A</v>
      </c>
      <c r="J2829" s="609" t="e">
        <f>+I2829*$L$10</f>
        <v>#N/A</v>
      </c>
      <c r="K2829" s="935"/>
      <c r="L2829" s="935"/>
      <c r="M2829" s="935"/>
      <c r="N2829" s="935"/>
      <c r="O2829" s="935"/>
    </row>
    <row r="2830" spans="1:15" ht="15" customHeight="1">
      <c r="A2830" s="908" t="s">
        <v>374</v>
      </c>
      <c r="B2830" s="909" t="s">
        <v>2102</v>
      </c>
      <c r="C2830" s="910" t="e">
        <f>VLOOKUP(B2822,'LƯƠNG KT'!$D$16:$Z$184,12,0)</f>
        <v>#N/A</v>
      </c>
      <c r="D2830" s="609" t="e">
        <f>VLOOKUP(B2822,'LƯƠNG KT'!$D$16:$Z$184,14,0)</f>
        <v>#N/A</v>
      </c>
      <c r="E2830" s="914"/>
      <c r="F2830" s="912"/>
      <c r="G2830" s="908" t="s">
        <v>374</v>
      </c>
      <c r="H2830" s="909" t="s">
        <v>2102</v>
      </c>
      <c r="I2830" s="910" t="e">
        <f>VLOOKUP(H2822,'LƯƠNG KT'!$D$16:$Z$184,12,0)</f>
        <v>#N/A</v>
      </c>
      <c r="J2830" s="609" t="e">
        <f>VLOOKUP(H2822,'LƯƠNG KT'!$D$16:$Z$184,14,0)</f>
        <v>#N/A</v>
      </c>
      <c r="K2830" s="935"/>
      <c r="L2830" s="935"/>
      <c r="M2830" s="935"/>
      <c r="N2830" s="935"/>
      <c r="O2830" s="935"/>
    </row>
    <row r="2831" spans="1:15" ht="15" customHeight="1">
      <c r="A2831" s="908" t="s">
        <v>2103</v>
      </c>
      <c r="B2831" s="909" t="s">
        <v>2104</v>
      </c>
      <c r="D2831" s="915" t="e">
        <f>VLOOKUP(B2822,'LƯƠNG KT'!$D$16:$Z$184,13,0)</f>
        <v>#N/A</v>
      </c>
      <c r="E2831" s="916"/>
      <c r="F2831" s="916"/>
      <c r="G2831" s="908" t="s">
        <v>2103</v>
      </c>
      <c r="H2831" s="909" t="s">
        <v>2104</v>
      </c>
      <c r="J2831" s="915" t="e">
        <f>VLOOKUP(H2822,'LƯƠNG KT'!$D$16:$Z$184,13,0)</f>
        <v>#N/A</v>
      </c>
    </row>
    <row r="2832" spans="1:15" ht="15" customHeight="1">
      <c r="A2832" s="547"/>
      <c r="B2832" s="546"/>
      <c r="C2832" s="910"/>
      <c r="D2832" s="609"/>
      <c r="E2832" s="914"/>
      <c r="F2832" s="916"/>
      <c r="G2832" s="547"/>
      <c r="H2832" s="546"/>
      <c r="I2832" s="910"/>
      <c r="J2832" s="609"/>
    </row>
    <row r="2833" spans="1:15" ht="15" customHeight="1">
      <c r="A2833" s="905"/>
      <c r="B2833" s="546"/>
      <c r="C2833" s="910"/>
      <c r="D2833" s="609"/>
      <c r="E2833" s="917"/>
      <c r="F2833" s="904"/>
      <c r="G2833" s="905"/>
      <c r="H2833" s="546"/>
      <c r="I2833" s="910"/>
      <c r="J2833" s="609"/>
    </row>
    <row r="2834" spans="1:15" ht="15" customHeight="1">
      <c r="A2834" s="918" t="s">
        <v>383</v>
      </c>
      <c r="B2834" s="919" t="s">
        <v>384</v>
      </c>
      <c r="C2834" s="920"/>
      <c r="D2834" s="921" t="e">
        <f>SUM(D2823:D2830)-D2833</f>
        <v>#N/A</v>
      </c>
      <c r="E2834" s="922"/>
      <c r="F2834" s="923"/>
      <c r="G2834" s="918" t="s">
        <v>383</v>
      </c>
      <c r="H2834" s="919" t="s">
        <v>384</v>
      </c>
      <c r="I2834" s="920"/>
      <c r="J2834" s="921" t="e">
        <f>SUM(J2823:J2830)-J2833</f>
        <v>#N/A</v>
      </c>
    </row>
    <row r="2835" spans="1:15" ht="18.75" customHeight="1">
      <c r="A2835" s="924"/>
      <c r="B2835" s="925"/>
      <c r="C2835" s="926"/>
      <c r="D2835" s="927"/>
      <c r="E2835" s="927"/>
      <c r="F2835" s="928"/>
      <c r="G2835" s="924"/>
      <c r="H2835" s="925"/>
      <c r="I2835" s="926"/>
      <c r="J2835" s="927"/>
    </row>
    <row r="2836" spans="1:15" ht="18.75" customHeight="1">
      <c r="A2836" s="925"/>
      <c r="B2836" s="925"/>
      <c r="C2836" s="929"/>
      <c r="D2836" s="930"/>
      <c r="E2836" s="925"/>
      <c r="F2836" s="931"/>
      <c r="G2836" s="925"/>
      <c r="H2836" s="925"/>
      <c r="I2836" s="929"/>
      <c r="J2836" s="930"/>
    </row>
    <row r="2837" spans="1:15" ht="15" customHeight="1">
      <c r="A2837" s="2360" t="str">
        <f>$K$2</f>
        <v>THÁNG 04/2025</v>
      </c>
      <c r="B2837" s="2360"/>
      <c r="C2837" s="2360"/>
      <c r="D2837" s="2360"/>
      <c r="E2837" s="903"/>
      <c r="F2837" s="904"/>
      <c r="G2837" s="2360" t="str">
        <f>$K$2</f>
        <v>THÁNG 04/2025</v>
      </c>
      <c r="H2837" s="2360"/>
      <c r="I2837" s="2360"/>
      <c r="J2837" s="2360"/>
      <c r="K2837" s="276"/>
    </row>
    <row r="2838" spans="1:15" ht="15" customHeight="1">
      <c r="A2838" s="905" t="s">
        <v>356</v>
      </c>
      <c r="B2838" s="642" t="s">
        <v>228</v>
      </c>
      <c r="C2838" s="546"/>
      <c r="D2838" s="902"/>
      <c r="E2838" s="906"/>
      <c r="F2838" s="907"/>
      <c r="G2838" s="905" t="s">
        <v>356</v>
      </c>
      <c r="H2838" s="642" t="s">
        <v>229</v>
      </c>
      <c r="I2838" s="546"/>
      <c r="J2838" s="902"/>
      <c r="L2838" s="938"/>
      <c r="M2838" s="938"/>
      <c r="N2838" s="938"/>
      <c r="O2838" s="938"/>
    </row>
    <row r="2839" spans="1:15" ht="15" customHeight="1">
      <c r="A2839" s="908" t="s">
        <v>359</v>
      </c>
      <c r="B2839" s="909" t="s">
        <v>2090</v>
      </c>
      <c r="C2839" s="910" t="e">
        <f>VLOOKUP(B2838,'LƯƠNG KT'!$D$16:$Z$184,4,0)</f>
        <v>#N/A</v>
      </c>
      <c r="D2839" s="609" t="e">
        <f>+C2839*25000</f>
        <v>#N/A</v>
      </c>
      <c r="E2839" s="911"/>
      <c r="F2839" s="911"/>
      <c r="G2839" s="908" t="s">
        <v>359</v>
      </c>
      <c r="H2839" s="909" t="s">
        <v>2090</v>
      </c>
      <c r="I2839" s="910" t="e">
        <f>VLOOKUP(H2838,'LƯƠNG KT'!$D$16:$Z$184,4,0)</f>
        <v>#N/A</v>
      </c>
      <c r="J2839" s="609" t="e">
        <f>+I2839*25000</f>
        <v>#N/A</v>
      </c>
      <c r="K2839" s="935"/>
      <c r="L2839" s="935"/>
      <c r="M2839" s="935"/>
      <c r="N2839" s="935"/>
      <c r="O2839" s="935"/>
    </row>
    <row r="2840" spans="1:15" ht="15" customHeight="1">
      <c r="A2840" s="908" t="s">
        <v>361</v>
      </c>
      <c r="B2840" s="909" t="s">
        <v>2091</v>
      </c>
      <c r="C2840" s="910" t="e">
        <f>VLOOKUP(B2838,'LƯƠNG KT'!$D$16:$Z$184,15,0)</f>
        <v>#N/A</v>
      </c>
      <c r="D2840" s="609" t="e">
        <f>C2840*$L$4</f>
        <v>#N/A</v>
      </c>
      <c r="E2840" s="912"/>
      <c r="F2840" s="912"/>
      <c r="G2840" s="908" t="s">
        <v>361</v>
      </c>
      <c r="H2840" s="909" t="s">
        <v>2091</v>
      </c>
      <c r="I2840" s="910" t="e">
        <f>VLOOKUP(H2838,'LƯƠNG KT'!$D$16:$Z$184,15,0)</f>
        <v>#N/A</v>
      </c>
      <c r="J2840" s="609" t="e">
        <f>I2840*$L$4</f>
        <v>#N/A</v>
      </c>
      <c r="K2840" s="935"/>
      <c r="L2840" s="935"/>
      <c r="M2840" s="935"/>
      <c r="N2840" s="935"/>
      <c r="O2840" s="935"/>
    </row>
    <row r="2841" spans="1:15" ht="15" customHeight="1">
      <c r="A2841" s="908" t="s">
        <v>364</v>
      </c>
      <c r="B2841" s="909" t="s">
        <v>2092</v>
      </c>
      <c r="C2841" s="910" t="e">
        <f>VLOOKUP(B2838,'LƯƠNG KT'!$D$16:$Z$184,16,0)</f>
        <v>#N/A</v>
      </c>
      <c r="D2841" s="609" t="e">
        <f>C2841*$L$5</f>
        <v>#N/A</v>
      </c>
      <c r="E2841" s="912"/>
      <c r="F2841" s="912"/>
      <c r="G2841" s="908" t="s">
        <v>364</v>
      </c>
      <c r="H2841" s="909" t="s">
        <v>2092</v>
      </c>
      <c r="I2841" s="910" t="e">
        <f>VLOOKUP(H2838,'LƯƠNG KT'!$D$16:$Z$184,16,0)</f>
        <v>#N/A</v>
      </c>
      <c r="J2841" s="609" t="e">
        <f>I2841*$L$5</f>
        <v>#N/A</v>
      </c>
      <c r="K2841" s="935"/>
      <c r="L2841" s="935"/>
      <c r="M2841" s="935"/>
      <c r="N2841" s="935"/>
      <c r="O2841" s="935"/>
    </row>
    <row r="2842" spans="1:15" ht="15" customHeight="1">
      <c r="A2842" s="908" t="s">
        <v>370</v>
      </c>
      <c r="B2842" s="909" t="s">
        <v>2093</v>
      </c>
      <c r="C2842" s="910" t="e">
        <f>VLOOKUP(B2838,'LƯƠNG KT'!$D$16:$Z$184,24,0)</f>
        <v>#N/A</v>
      </c>
      <c r="D2842" s="609" t="e">
        <f>+C2842*$L$6</f>
        <v>#N/A</v>
      </c>
      <c r="E2842" s="912"/>
      <c r="F2842" s="912"/>
      <c r="G2842" s="908" t="s">
        <v>370</v>
      </c>
      <c r="H2842" s="909" t="s">
        <v>2093</v>
      </c>
      <c r="I2842" s="910" t="e">
        <f>VLOOKUP(H2838,'LƯƠNG KT'!$D$16:$Z$184,24,0)</f>
        <v>#N/A</v>
      </c>
      <c r="J2842" s="609" t="e">
        <f>+I2842*$L$6</f>
        <v>#N/A</v>
      </c>
      <c r="K2842" s="935"/>
      <c r="L2842" s="935"/>
      <c r="M2842" s="935"/>
      <c r="N2842" s="935"/>
      <c r="O2842" s="935"/>
    </row>
    <row r="2843" spans="1:15" ht="15" customHeight="1">
      <c r="A2843" s="908" t="s">
        <v>2094</v>
      </c>
      <c r="B2843" s="909" t="s">
        <v>2095</v>
      </c>
      <c r="C2843" s="910" t="e">
        <f>VLOOKUP(B2838,'LƯƠNG KT'!$D$16:$Z$184,19,0)</f>
        <v>#N/A</v>
      </c>
      <c r="D2843" s="609" t="e">
        <f>+C2843*$L$8</f>
        <v>#N/A</v>
      </c>
      <c r="E2843" s="912"/>
      <c r="F2843" s="912"/>
      <c r="G2843" s="908" t="s">
        <v>2094</v>
      </c>
      <c r="H2843" s="909" t="s">
        <v>2095</v>
      </c>
      <c r="I2843" s="910" t="e">
        <f>VLOOKUP(H2838,'LƯƠNG KT'!$D$16:$Z$184,19,0)</f>
        <v>#N/A</v>
      </c>
      <c r="J2843" s="609" t="e">
        <f>+I2843*$L$8</f>
        <v>#N/A</v>
      </c>
      <c r="K2843" s="935"/>
      <c r="L2843" s="935"/>
      <c r="M2843" s="935"/>
      <c r="N2843" s="935"/>
      <c r="O2843" s="935"/>
    </row>
    <row r="2844" spans="1:15" ht="15" customHeight="1">
      <c r="A2844" s="908" t="s">
        <v>2096</v>
      </c>
      <c r="B2844" s="913" t="s">
        <v>2097</v>
      </c>
      <c r="C2844" s="910" t="e">
        <f>VLOOKUP(B2838,'LƯƠNG KT'!$D$16:$Z$184,20,0)</f>
        <v>#N/A</v>
      </c>
      <c r="D2844" s="609" t="e">
        <f>+C2844*$L$9</f>
        <v>#N/A</v>
      </c>
      <c r="E2844" s="912"/>
      <c r="F2844" s="912"/>
      <c r="G2844" s="908" t="s">
        <v>2096</v>
      </c>
      <c r="H2844" s="913" t="s">
        <v>2097</v>
      </c>
      <c r="I2844" s="910" t="e">
        <f>VLOOKUP(H2838,'LƯƠNG KT'!$D$16:$Z$184,20,0)</f>
        <v>#N/A</v>
      </c>
      <c r="J2844" s="609" t="e">
        <f>+I2844*$L$9</f>
        <v>#N/A</v>
      </c>
      <c r="K2844" s="935"/>
      <c r="L2844" s="935"/>
      <c r="M2844" s="935"/>
      <c r="N2844" s="935"/>
      <c r="O2844" s="935"/>
    </row>
    <row r="2845" spans="1:15" ht="15" customHeight="1">
      <c r="A2845" s="908" t="s">
        <v>2099</v>
      </c>
      <c r="B2845" s="909" t="s">
        <v>2100</v>
      </c>
      <c r="C2845" s="910" t="e">
        <f>VLOOKUP(B2838,'LƯƠNG KT'!$D$16:$Z$184,17,0)</f>
        <v>#N/A</v>
      </c>
      <c r="D2845" s="609" t="e">
        <f>+C2845*$L$10</f>
        <v>#N/A</v>
      </c>
      <c r="E2845" s="912"/>
      <c r="F2845" s="912"/>
      <c r="G2845" s="908" t="s">
        <v>2099</v>
      </c>
      <c r="H2845" s="909" t="s">
        <v>2100</v>
      </c>
      <c r="I2845" s="910" t="e">
        <f>VLOOKUP(H2838,'LƯƠNG KT'!$D$16:$Z$184,17,0)</f>
        <v>#N/A</v>
      </c>
      <c r="J2845" s="609" t="e">
        <f>+I2845*$L$10</f>
        <v>#N/A</v>
      </c>
      <c r="K2845" s="935"/>
      <c r="L2845" s="935"/>
      <c r="M2845" s="935"/>
      <c r="N2845" s="935"/>
      <c r="O2845" s="935"/>
    </row>
    <row r="2846" spans="1:15" ht="15" customHeight="1">
      <c r="A2846" s="908" t="s">
        <v>374</v>
      </c>
      <c r="B2846" s="909" t="s">
        <v>2102</v>
      </c>
      <c r="C2846" s="910" t="e">
        <f>VLOOKUP(B2838,'LƯƠNG KT'!$D$16:$Z$184,12,0)</f>
        <v>#N/A</v>
      </c>
      <c r="D2846" s="609" t="e">
        <f>VLOOKUP(B2838,'LƯƠNG KT'!$D$16:$Z$184,14,0)</f>
        <v>#N/A</v>
      </c>
      <c r="E2846" s="914"/>
      <c r="F2846" s="912"/>
      <c r="G2846" s="908" t="s">
        <v>374</v>
      </c>
      <c r="H2846" s="909" t="s">
        <v>2102</v>
      </c>
      <c r="I2846" s="910" t="e">
        <f>VLOOKUP(H2838,'LƯƠNG KT'!$D$16:$Z$184,12,0)</f>
        <v>#N/A</v>
      </c>
      <c r="J2846" s="609" t="e">
        <f>VLOOKUP(H2838,'LƯƠNG KT'!$D$16:$Z$184,14,0)</f>
        <v>#N/A</v>
      </c>
      <c r="K2846" s="935"/>
      <c r="L2846" s="935"/>
      <c r="M2846" s="935"/>
      <c r="N2846" s="935"/>
      <c r="O2846" s="935"/>
    </row>
    <row r="2847" spans="1:15" ht="15" customHeight="1">
      <c r="A2847" s="908" t="s">
        <v>2103</v>
      </c>
      <c r="B2847" s="909" t="s">
        <v>2104</v>
      </c>
      <c r="D2847" s="915" t="e">
        <f>VLOOKUP(B2838,'LƯƠNG KT'!$D$16:$Z$184,13,0)</f>
        <v>#N/A</v>
      </c>
      <c r="E2847" s="916"/>
      <c r="F2847" s="916"/>
      <c r="G2847" s="908" t="s">
        <v>2103</v>
      </c>
      <c r="H2847" s="909" t="s">
        <v>2104</v>
      </c>
      <c r="J2847" s="915" t="e">
        <f>VLOOKUP(H2838,'LƯƠNG KT'!$D$16:$Z$184,13,0)</f>
        <v>#N/A</v>
      </c>
    </row>
    <row r="2848" spans="1:15" ht="15" customHeight="1">
      <c r="A2848" s="547"/>
      <c r="B2848" s="546"/>
      <c r="C2848" s="910"/>
      <c r="D2848" s="609"/>
      <c r="E2848" s="914"/>
      <c r="F2848" s="916"/>
      <c r="G2848" s="547"/>
      <c r="H2848" s="546"/>
      <c r="I2848" s="910"/>
      <c r="J2848" s="609"/>
    </row>
    <row r="2849" spans="1:15" ht="15" customHeight="1">
      <c r="A2849" s="905"/>
      <c r="B2849" s="546"/>
      <c r="C2849" s="910"/>
      <c r="D2849" s="609"/>
      <c r="E2849" s="917"/>
      <c r="F2849" s="904"/>
      <c r="G2849" s="905"/>
      <c r="H2849" s="546"/>
      <c r="I2849" s="910"/>
      <c r="J2849" s="609"/>
    </row>
    <row r="2850" spans="1:15" ht="15" customHeight="1">
      <c r="A2850" s="918" t="s">
        <v>383</v>
      </c>
      <c r="B2850" s="919" t="s">
        <v>384</v>
      </c>
      <c r="C2850" s="920"/>
      <c r="D2850" s="921" t="e">
        <f>SUM(D2839:D2846)-D2849</f>
        <v>#N/A</v>
      </c>
      <c r="E2850" s="922"/>
      <c r="F2850" s="923"/>
      <c r="G2850" s="918" t="s">
        <v>383</v>
      </c>
      <c r="H2850" s="919" t="s">
        <v>384</v>
      </c>
      <c r="I2850" s="920"/>
      <c r="J2850" s="921" t="e">
        <f>SUM(J2839:J2846)-J2849</f>
        <v>#N/A</v>
      </c>
    </row>
    <row r="2851" spans="1:15" ht="15.75" customHeight="1">
      <c r="A2851" s="924"/>
      <c r="B2851" s="925"/>
      <c r="C2851" s="926"/>
      <c r="D2851" s="927"/>
      <c r="E2851" s="927"/>
      <c r="F2851" s="928"/>
      <c r="G2851" s="924"/>
      <c r="H2851" s="925"/>
      <c r="I2851" s="926"/>
      <c r="J2851" s="927"/>
    </row>
    <row r="2853" spans="1:15" ht="12" customHeight="1">
      <c r="A2853" s="2361"/>
      <c r="B2853" s="2361"/>
      <c r="C2853" s="2361"/>
      <c r="D2853" s="2361"/>
      <c r="E2853" s="2361"/>
      <c r="F2853" s="2361"/>
      <c r="G2853" s="2361"/>
      <c r="H2853" s="2361"/>
      <c r="I2853" s="2361"/>
      <c r="J2853" s="2361"/>
    </row>
    <row r="2854" spans="1:15" ht="15" customHeight="1">
      <c r="A2854" s="2360" t="str">
        <f>$K$2</f>
        <v>THÁNG 04/2025</v>
      </c>
      <c r="B2854" s="2360"/>
      <c r="C2854" s="2360"/>
      <c r="D2854" s="2360"/>
      <c r="E2854" s="903"/>
      <c r="F2854" s="904"/>
      <c r="G2854" s="2360" t="str">
        <f>$K$2</f>
        <v>THÁNG 04/2025</v>
      </c>
      <c r="H2854" s="2360"/>
      <c r="I2854" s="2360"/>
      <c r="J2854" s="2360"/>
      <c r="K2854" s="276"/>
    </row>
    <row r="2855" spans="1:15" ht="15" customHeight="1">
      <c r="A2855" s="905" t="s">
        <v>356</v>
      </c>
      <c r="B2855" s="642" t="s">
        <v>230</v>
      </c>
      <c r="C2855" s="546"/>
      <c r="D2855" s="902"/>
      <c r="E2855" s="906"/>
      <c r="F2855" s="907"/>
      <c r="G2855" s="905" t="s">
        <v>356</v>
      </c>
      <c r="H2855" s="642" t="s">
        <v>231</v>
      </c>
      <c r="I2855" s="546"/>
      <c r="J2855" s="902"/>
      <c r="L2855" s="938"/>
      <c r="M2855" s="938"/>
      <c r="N2855" s="938"/>
      <c r="O2855" s="938"/>
    </row>
    <row r="2856" spans="1:15" ht="15" customHeight="1">
      <c r="A2856" s="908" t="s">
        <v>359</v>
      </c>
      <c r="B2856" s="909" t="s">
        <v>2090</v>
      </c>
      <c r="C2856" s="910" t="e">
        <f>VLOOKUP(B2855,'LƯƠNG KT'!$D$16:$Z$184,4,0)</f>
        <v>#N/A</v>
      </c>
      <c r="D2856" s="609" t="e">
        <f>+C2856*25000</f>
        <v>#N/A</v>
      </c>
      <c r="E2856" s="911"/>
      <c r="F2856" s="911"/>
      <c r="G2856" s="908" t="s">
        <v>359</v>
      </c>
      <c r="H2856" s="909" t="s">
        <v>2090</v>
      </c>
      <c r="I2856" s="910" t="e">
        <f>VLOOKUP(H2855,'LƯƠNG KT'!$D$16:$Z$184,4,0)</f>
        <v>#N/A</v>
      </c>
      <c r="J2856" s="609" t="e">
        <f>+I2856*25000</f>
        <v>#N/A</v>
      </c>
      <c r="K2856" s="934"/>
      <c r="L2856" s="935"/>
      <c r="M2856" s="935"/>
      <c r="N2856" s="935"/>
      <c r="O2856" s="935"/>
    </row>
    <row r="2857" spans="1:15" ht="15" customHeight="1">
      <c r="A2857" s="908" t="s">
        <v>361</v>
      </c>
      <c r="B2857" s="909" t="s">
        <v>2091</v>
      </c>
      <c r="C2857" s="910" t="e">
        <f>VLOOKUP(B2855,'LƯƠNG KT'!$D$16:$Z$184,15,0)</f>
        <v>#N/A</v>
      </c>
      <c r="D2857" s="609" t="e">
        <f>C2857*$L$4</f>
        <v>#N/A</v>
      </c>
      <c r="E2857" s="912"/>
      <c r="F2857" s="912"/>
      <c r="G2857" s="908" t="s">
        <v>361</v>
      </c>
      <c r="H2857" s="909" t="s">
        <v>2091</v>
      </c>
      <c r="I2857" s="910" t="e">
        <f>VLOOKUP(H2855,'LƯƠNG KT'!$D$16:$Z$184,15,0)</f>
        <v>#N/A</v>
      </c>
      <c r="J2857" s="609" t="e">
        <f>I2857*$L$4</f>
        <v>#N/A</v>
      </c>
      <c r="K2857" s="934"/>
      <c r="L2857" s="935"/>
      <c r="M2857" s="935"/>
      <c r="N2857" s="935"/>
      <c r="O2857" s="935"/>
    </row>
    <row r="2858" spans="1:15" ht="15" customHeight="1">
      <c r="A2858" s="908" t="s">
        <v>364</v>
      </c>
      <c r="B2858" s="909" t="s">
        <v>2092</v>
      </c>
      <c r="C2858" s="910" t="e">
        <f>VLOOKUP(B2855,'LƯƠNG KT'!$D$16:$Z$184,16,0)</f>
        <v>#N/A</v>
      </c>
      <c r="D2858" s="609" t="e">
        <f>C2858*$L$5</f>
        <v>#N/A</v>
      </c>
      <c r="E2858" s="912"/>
      <c r="F2858" s="912"/>
      <c r="G2858" s="908" t="s">
        <v>364</v>
      </c>
      <c r="H2858" s="909" t="s">
        <v>2092</v>
      </c>
      <c r="I2858" s="910" t="e">
        <f>VLOOKUP(H2855,'LƯƠNG KT'!$D$16:$Z$184,16,0)</f>
        <v>#N/A</v>
      </c>
      <c r="J2858" s="609" t="e">
        <f>I2858*$L$5</f>
        <v>#N/A</v>
      </c>
      <c r="K2858" s="934"/>
      <c r="L2858" s="935"/>
      <c r="M2858" s="935"/>
      <c r="N2858" s="935"/>
      <c r="O2858" s="935"/>
    </row>
    <row r="2859" spans="1:15" ht="15" customHeight="1">
      <c r="A2859" s="908" t="s">
        <v>370</v>
      </c>
      <c r="B2859" s="909" t="s">
        <v>2093</v>
      </c>
      <c r="C2859" s="910" t="e">
        <f>VLOOKUP(B2855,'LƯƠNG KT'!$D$16:$Z$184,24,0)</f>
        <v>#N/A</v>
      </c>
      <c r="D2859" s="609" t="e">
        <f>+C2859*$L$6</f>
        <v>#N/A</v>
      </c>
      <c r="E2859" s="912"/>
      <c r="F2859" s="912"/>
      <c r="G2859" s="908" t="s">
        <v>370</v>
      </c>
      <c r="H2859" s="909" t="s">
        <v>2093</v>
      </c>
      <c r="I2859" s="910" t="e">
        <f>VLOOKUP(H2855,'LƯƠNG KT'!$D$16:$Z$184,24,0)</f>
        <v>#N/A</v>
      </c>
      <c r="J2859" s="609" t="e">
        <f>+I2859*$L$6</f>
        <v>#N/A</v>
      </c>
      <c r="K2859" s="935"/>
      <c r="L2859" s="935"/>
      <c r="M2859" s="935"/>
      <c r="N2859" s="935"/>
      <c r="O2859" s="935"/>
    </row>
    <row r="2860" spans="1:15" ht="15" customHeight="1">
      <c r="A2860" s="908" t="s">
        <v>2094</v>
      </c>
      <c r="B2860" s="909" t="s">
        <v>2095</v>
      </c>
      <c r="C2860" s="910" t="e">
        <f>VLOOKUP(B2855,'LƯƠNG KT'!$D$16:$Z$184,19,0)</f>
        <v>#N/A</v>
      </c>
      <c r="D2860" s="609" t="e">
        <f>+C2860*$L$8</f>
        <v>#N/A</v>
      </c>
      <c r="E2860" s="912"/>
      <c r="F2860" s="912"/>
      <c r="G2860" s="908" t="s">
        <v>2094</v>
      </c>
      <c r="H2860" s="909" t="s">
        <v>2095</v>
      </c>
      <c r="I2860" s="910" t="e">
        <f>VLOOKUP(H2855,'LƯƠNG KT'!$D$16:$Z$184,19,0)</f>
        <v>#N/A</v>
      </c>
      <c r="J2860" s="609" t="e">
        <f>+I2860*$L$8</f>
        <v>#N/A</v>
      </c>
      <c r="K2860" s="935"/>
      <c r="L2860" s="935"/>
      <c r="M2860" s="935"/>
      <c r="N2860" s="935"/>
      <c r="O2860" s="935"/>
    </row>
    <row r="2861" spans="1:15" ht="15" customHeight="1">
      <c r="A2861" s="908" t="s">
        <v>2096</v>
      </c>
      <c r="B2861" s="913" t="s">
        <v>2097</v>
      </c>
      <c r="C2861" s="910" t="e">
        <f>VLOOKUP(B2855,'LƯƠNG KT'!$D$16:$Z$184,20,0)</f>
        <v>#N/A</v>
      </c>
      <c r="D2861" s="609" t="e">
        <f>+C2861*$L$9</f>
        <v>#N/A</v>
      </c>
      <c r="E2861" s="912"/>
      <c r="F2861" s="912"/>
      <c r="G2861" s="908" t="s">
        <v>2096</v>
      </c>
      <c r="H2861" s="913" t="s">
        <v>2097</v>
      </c>
      <c r="I2861" s="910" t="e">
        <f>VLOOKUP(H2855,'LƯƠNG KT'!$D$16:$Z$184,20,0)</f>
        <v>#N/A</v>
      </c>
      <c r="J2861" s="609" t="e">
        <f>+I2861*$L$9</f>
        <v>#N/A</v>
      </c>
      <c r="K2861" s="935"/>
      <c r="L2861" s="935"/>
      <c r="M2861" s="935"/>
      <c r="N2861" s="935"/>
      <c r="O2861" s="935"/>
    </row>
    <row r="2862" spans="1:15" ht="15" customHeight="1">
      <c r="A2862" s="908" t="s">
        <v>2099</v>
      </c>
      <c r="B2862" s="909" t="s">
        <v>2100</v>
      </c>
      <c r="C2862" s="910" t="e">
        <f>VLOOKUP(B2855,'LƯƠNG KT'!$D$16:$Z$184,17,0)</f>
        <v>#N/A</v>
      </c>
      <c r="D2862" s="609" t="e">
        <f>+C2862*$L$10</f>
        <v>#N/A</v>
      </c>
      <c r="E2862" s="912"/>
      <c r="F2862" s="912"/>
      <c r="G2862" s="908" t="s">
        <v>2099</v>
      </c>
      <c r="H2862" s="909" t="s">
        <v>2100</v>
      </c>
      <c r="I2862" s="910" t="e">
        <f>VLOOKUP(H2855,'LƯƠNG KT'!$D$16:$Z$184,17,0)</f>
        <v>#N/A</v>
      </c>
      <c r="J2862" s="609" t="e">
        <f>+I2862*$L$10</f>
        <v>#N/A</v>
      </c>
      <c r="K2862" s="935"/>
      <c r="L2862" s="935"/>
      <c r="M2862" s="935"/>
      <c r="N2862" s="935"/>
      <c r="O2862" s="935"/>
    </row>
    <row r="2863" spans="1:15" ht="15" customHeight="1">
      <c r="A2863" s="908" t="s">
        <v>374</v>
      </c>
      <c r="B2863" s="909" t="s">
        <v>2102</v>
      </c>
      <c r="C2863" s="910" t="e">
        <f>VLOOKUP(B2855,'LƯƠNG KT'!$D$16:$Z$184,12,0)</f>
        <v>#N/A</v>
      </c>
      <c r="D2863" s="609" t="e">
        <f>VLOOKUP(B2855,'LƯƠNG KT'!$D$16:$Z$184,14,0)</f>
        <v>#N/A</v>
      </c>
      <c r="E2863" s="914"/>
      <c r="F2863" s="912"/>
      <c r="G2863" s="908" t="s">
        <v>374</v>
      </c>
      <c r="H2863" s="909" t="s">
        <v>2102</v>
      </c>
      <c r="I2863" s="910" t="e">
        <f>VLOOKUP(H2855,'LƯƠNG KT'!$D$16:$Z$184,12,0)</f>
        <v>#N/A</v>
      </c>
      <c r="J2863" s="609" t="e">
        <f>VLOOKUP(H2855,'LƯƠNG KT'!$D$16:$Z$184,14,0)</f>
        <v>#N/A</v>
      </c>
      <c r="K2863" s="935"/>
      <c r="L2863" s="935"/>
      <c r="M2863" s="935"/>
      <c r="N2863" s="935"/>
      <c r="O2863" s="935"/>
    </row>
    <row r="2864" spans="1:15" ht="15" customHeight="1">
      <c r="A2864" s="908" t="s">
        <v>2103</v>
      </c>
      <c r="B2864" s="909" t="s">
        <v>2104</v>
      </c>
      <c r="D2864" s="915" t="e">
        <f>VLOOKUP(B2855,'LƯƠNG KT'!$D$16:$Z$184,13,0)</f>
        <v>#N/A</v>
      </c>
      <c r="E2864" s="916"/>
      <c r="F2864" s="916"/>
      <c r="G2864" s="908" t="s">
        <v>2103</v>
      </c>
      <c r="H2864" s="909" t="s">
        <v>2104</v>
      </c>
      <c r="J2864" s="915" t="e">
        <f>VLOOKUP(H2855,'LƯƠNG KT'!$D$16:$Z$184,13,0)</f>
        <v>#N/A</v>
      </c>
    </row>
    <row r="2865" spans="1:15" ht="15" customHeight="1">
      <c r="A2865" s="547"/>
      <c r="B2865" s="546"/>
      <c r="C2865" s="910"/>
      <c r="D2865" s="609"/>
      <c r="E2865" s="914"/>
      <c r="F2865" s="916"/>
      <c r="G2865" s="547"/>
      <c r="H2865" s="546"/>
      <c r="I2865" s="910"/>
      <c r="J2865" s="609"/>
    </row>
    <row r="2866" spans="1:15" ht="15" customHeight="1">
      <c r="A2866" s="905"/>
      <c r="B2866" s="546"/>
      <c r="C2866" s="910"/>
      <c r="D2866" s="609"/>
      <c r="E2866" s="917"/>
      <c r="F2866" s="904"/>
      <c r="G2866" s="905"/>
      <c r="H2866" s="546"/>
      <c r="I2866" s="910"/>
      <c r="J2866" s="609"/>
    </row>
    <row r="2867" spans="1:15" ht="15" customHeight="1">
      <c r="A2867" s="918" t="s">
        <v>383</v>
      </c>
      <c r="B2867" s="919" t="s">
        <v>384</v>
      </c>
      <c r="C2867" s="920"/>
      <c r="D2867" s="921" t="e">
        <f>SUM(D2856:D2863)-D2866</f>
        <v>#N/A</v>
      </c>
      <c r="E2867" s="922"/>
      <c r="F2867" s="923"/>
      <c r="G2867" s="918" t="s">
        <v>383</v>
      </c>
      <c r="H2867" s="919" t="s">
        <v>384</v>
      </c>
      <c r="I2867" s="920"/>
      <c r="J2867" s="921" t="e">
        <f>SUM(J2856:J2863)-J2866</f>
        <v>#N/A</v>
      </c>
    </row>
    <row r="2868" spans="1:15" ht="12.6" customHeight="1">
      <c r="A2868" s="924"/>
      <c r="B2868" s="925"/>
      <c r="C2868" s="926"/>
      <c r="D2868" s="927"/>
      <c r="E2868" s="927"/>
      <c r="F2868" s="928"/>
      <c r="G2868" s="924"/>
      <c r="H2868" s="925"/>
      <c r="I2868" s="926"/>
      <c r="J2868" s="927"/>
    </row>
    <row r="2869" spans="1:15" ht="101.25" customHeight="1">
      <c r="A2869" s="925"/>
      <c r="B2869" s="925"/>
      <c r="C2869" s="929"/>
      <c r="D2869" s="930"/>
      <c r="E2869" s="925"/>
      <c r="F2869" s="931"/>
      <c r="G2869" s="925"/>
      <c r="H2869" s="925"/>
      <c r="I2869" s="929"/>
      <c r="J2869" s="930"/>
    </row>
    <row r="2870" spans="1:15" ht="15" customHeight="1">
      <c r="A2870" s="2360" t="str">
        <f>$K$2</f>
        <v>THÁNG 04/2025</v>
      </c>
      <c r="B2870" s="2360"/>
      <c r="C2870" s="2360"/>
      <c r="D2870" s="2360"/>
      <c r="E2870" s="903"/>
      <c r="F2870" s="904"/>
      <c r="G2870" s="2360" t="str">
        <f>$K$2</f>
        <v>THÁNG 04/2025</v>
      </c>
      <c r="H2870" s="2360"/>
      <c r="I2870" s="2360"/>
      <c r="J2870" s="2360"/>
      <c r="K2870" s="276"/>
    </row>
    <row r="2871" spans="1:15" ht="15" customHeight="1">
      <c r="A2871" s="905" t="s">
        <v>356</v>
      </c>
      <c r="B2871" s="642" t="s">
        <v>232</v>
      </c>
      <c r="C2871" s="546"/>
      <c r="D2871" s="902"/>
      <c r="E2871" s="906"/>
      <c r="F2871" s="907"/>
      <c r="G2871" s="905" t="s">
        <v>356</v>
      </c>
      <c r="H2871" s="642" t="s">
        <v>233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8" t="s">
        <v>359</v>
      </c>
      <c r="B2872" s="909" t="s">
        <v>2090</v>
      </c>
      <c r="C2872" s="910" t="e">
        <f>VLOOKUP(B2871,'LƯƠNG KT'!$D$16:$Z$184,4,0)</f>
        <v>#N/A</v>
      </c>
      <c r="D2872" s="609" t="e">
        <f>+C2872*25000</f>
        <v>#N/A</v>
      </c>
      <c r="E2872" s="911"/>
      <c r="F2872" s="911"/>
      <c r="G2872" s="908" t="s">
        <v>359</v>
      </c>
      <c r="H2872" s="909" t="s">
        <v>2090</v>
      </c>
      <c r="I2872" s="910">
        <f>VLOOKUP(H2871,'LƯƠNG KT'!$D$16:$Z$184,4,0)</f>
        <v>0</v>
      </c>
      <c r="J2872" s="609">
        <f>+I2872*25000</f>
        <v>0</v>
      </c>
      <c r="K2872" s="935"/>
      <c r="L2872" s="935"/>
      <c r="M2872" s="935"/>
      <c r="N2872" s="935"/>
      <c r="O2872" s="935"/>
    </row>
    <row r="2873" spans="1:15" ht="15" customHeight="1">
      <c r="A2873" s="908" t="s">
        <v>361</v>
      </c>
      <c r="B2873" s="909" t="s">
        <v>2091</v>
      </c>
      <c r="C2873" s="910" t="e">
        <f>VLOOKUP(B2871,'LƯƠNG KT'!$D$16:$Z$184,15,0)</f>
        <v>#N/A</v>
      </c>
      <c r="D2873" s="609" t="e">
        <f>C2873*$L$4</f>
        <v>#N/A</v>
      </c>
      <c r="E2873" s="912"/>
      <c r="F2873" s="912"/>
      <c r="G2873" s="908" t="s">
        <v>361</v>
      </c>
      <c r="H2873" s="909" t="s">
        <v>2091</v>
      </c>
      <c r="I2873" s="910">
        <f>VLOOKUP(H2871,'LƯƠNG KT'!$D$16:$Z$184,15,0)</f>
        <v>0</v>
      </c>
      <c r="J2873" s="609">
        <f>I2873*$L$4</f>
        <v>0</v>
      </c>
      <c r="K2873" s="935"/>
      <c r="L2873" s="935"/>
      <c r="M2873" s="935"/>
      <c r="N2873" s="935"/>
      <c r="O2873" s="935"/>
    </row>
    <row r="2874" spans="1:15" ht="15" customHeight="1">
      <c r="A2874" s="908" t="s">
        <v>364</v>
      </c>
      <c r="B2874" s="909" t="s">
        <v>2092</v>
      </c>
      <c r="C2874" s="910" t="e">
        <f>VLOOKUP(B2871,'LƯƠNG KT'!$D$16:$Z$184,16,0)</f>
        <v>#N/A</v>
      </c>
      <c r="D2874" s="609" t="e">
        <f>C2874*$L$5</f>
        <v>#N/A</v>
      </c>
      <c r="E2874" s="912"/>
      <c r="F2874" s="912"/>
      <c r="G2874" s="908" t="s">
        <v>364</v>
      </c>
      <c r="H2874" s="909" t="s">
        <v>2092</v>
      </c>
      <c r="I2874" s="910">
        <f>VLOOKUP(H2871,'LƯƠNG KT'!$D$16:$Z$184,16,0)</f>
        <v>4</v>
      </c>
      <c r="J2874" s="609">
        <f>I2874*$L$5</f>
        <v>184560</v>
      </c>
      <c r="K2874" s="935"/>
      <c r="L2874" s="935"/>
      <c r="M2874" s="935"/>
      <c r="N2874" s="935"/>
      <c r="O2874" s="935"/>
    </row>
    <row r="2875" spans="1:15" ht="15" customHeight="1">
      <c r="A2875" s="908" t="s">
        <v>370</v>
      </c>
      <c r="B2875" s="909" t="s">
        <v>2093</v>
      </c>
      <c r="C2875" s="910" t="e">
        <f>VLOOKUP(B2871,'LƯƠNG KT'!$D$16:$Z$184,24,0)</f>
        <v>#N/A</v>
      </c>
      <c r="D2875" s="609" t="e">
        <f>+C2875*$L$6</f>
        <v>#N/A</v>
      </c>
      <c r="E2875" s="912"/>
      <c r="F2875" s="912"/>
      <c r="G2875" s="908" t="s">
        <v>370</v>
      </c>
      <c r="H2875" s="909" t="s">
        <v>2093</v>
      </c>
      <c r="I2875" s="910" t="e">
        <f>VLOOKUP(H2871,'LƯƠNG KT'!$D$16:$Z$184,24,0)</f>
        <v>#REF!</v>
      </c>
      <c r="J2875" s="609" t="e">
        <f>+I2875*$L$6</f>
        <v>#REF!</v>
      </c>
      <c r="K2875" s="935"/>
      <c r="L2875" s="935"/>
      <c r="M2875" s="935"/>
      <c r="N2875" s="935"/>
      <c r="O2875" s="935"/>
    </row>
    <row r="2876" spans="1:15" ht="15" customHeight="1">
      <c r="A2876" s="908" t="s">
        <v>2094</v>
      </c>
      <c r="B2876" s="909" t="s">
        <v>2095</v>
      </c>
      <c r="C2876" s="910" t="e">
        <f>VLOOKUP(B2871,'LƯƠNG KT'!$D$16:$Z$184,19,0)</f>
        <v>#N/A</v>
      </c>
      <c r="D2876" s="609" t="e">
        <f>+C2876*$L$8</f>
        <v>#N/A</v>
      </c>
      <c r="E2876" s="912"/>
      <c r="F2876" s="912"/>
      <c r="G2876" s="908" t="s">
        <v>2094</v>
      </c>
      <c r="H2876" s="909" t="s">
        <v>2095</v>
      </c>
      <c r="I2876" s="910">
        <f>VLOOKUP(H2871,'LƯƠNG KT'!$D$16:$Z$184,19,0)</f>
        <v>0</v>
      </c>
      <c r="J2876" s="609">
        <f>+I2876*$L$8</f>
        <v>0</v>
      </c>
      <c r="K2876" s="935"/>
      <c r="L2876" s="935"/>
      <c r="M2876" s="935"/>
      <c r="N2876" s="935"/>
      <c r="O2876" s="935"/>
    </row>
    <row r="2877" spans="1:15" ht="15" customHeight="1">
      <c r="A2877" s="908" t="s">
        <v>2096</v>
      </c>
      <c r="B2877" s="913" t="s">
        <v>2097</v>
      </c>
      <c r="C2877" s="910" t="e">
        <f>VLOOKUP(B2871,'LƯƠNG KT'!$D$16:$Z$184,20,0)</f>
        <v>#N/A</v>
      </c>
      <c r="D2877" s="609" t="e">
        <f>+C2877*$L$9</f>
        <v>#N/A</v>
      </c>
      <c r="E2877" s="912"/>
      <c r="F2877" s="912"/>
      <c r="G2877" s="908" t="s">
        <v>2096</v>
      </c>
      <c r="H2877" s="913" t="s">
        <v>2097</v>
      </c>
      <c r="I2877" s="910">
        <f>VLOOKUP(H2871,'LƯƠNG KT'!$D$16:$Z$184,20,0)</f>
        <v>0</v>
      </c>
      <c r="J2877" s="609">
        <f>+I2877*$L$9</f>
        <v>0</v>
      </c>
      <c r="K2877" s="935"/>
      <c r="L2877" s="935"/>
      <c r="M2877" s="935"/>
      <c r="N2877" s="935"/>
      <c r="O2877" s="935"/>
    </row>
    <row r="2878" spans="1:15" ht="15" customHeight="1">
      <c r="A2878" s="908" t="s">
        <v>2099</v>
      </c>
      <c r="B2878" s="909" t="s">
        <v>2100</v>
      </c>
      <c r="C2878" s="910" t="e">
        <f>VLOOKUP(B2871,'LƯƠNG KT'!$D$16:$Z$184,17,0)</f>
        <v>#N/A</v>
      </c>
      <c r="D2878" s="609" t="e">
        <f>+C2878*$L$10</f>
        <v>#N/A</v>
      </c>
      <c r="E2878" s="912"/>
      <c r="F2878" s="912"/>
      <c r="G2878" s="908" t="s">
        <v>2099</v>
      </c>
      <c r="H2878" s="909" t="s">
        <v>2100</v>
      </c>
      <c r="I2878" s="910" t="e">
        <f>VLOOKUP(H2871,'LƯƠNG KT'!$D$16:$Z$184,17,0)</f>
        <v>#N/A</v>
      </c>
      <c r="J2878" s="609" t="e">
        <f>+I2878*$L$10</f>
        <v>#N/A</v>
      </c>
      <c r="K2878" s="935"/>
      <c r="L2878" s="935"/>
      <c r="M2878" s="935"/>
      <c r="N2878" s="935"/>
      <c r="O2878" s="935"/>
    </row>
    <row r="2879" spans="1:15" ht="15" customHeight="1">
      <c r="A2879" s="908" t="s">
        <v>374</v>
      </c>
      <c r="B2879" s="909" t="s">
        <v>2102</v>
      </c>
      <c r="C2879" s="910" t="e">
        <f>VLOOKUP(B2871,'LƯƠNG KT'!$D$16:$Z$184,12,0)</f>
        <v>#N/A</v>
      </c>
      <c r="D2879" s="609" t="e">
        <f>VLOOKUP(B2871,'LƯƠNG KT'!$D$16:$Z$184,14,0)</f>
        <v>#N/A</v>
      </c>
      <c r="E2879" s="914"/>
      <c r="F2879" s="912"/>
      <c r="G2879" s="908" t="s">
        <v>374</v>
      </c>
      <c r="H2879" s="909" t="s">
        <v>2102</v>
      </c>
      <c r="I2879" s="910">
        <f>VLOOKUP(H2871,'LƯƠNG KT'!$D$16:$Z$184,12,0)</f>
        <v>23</v>
      </c>
      <c r="J2879" s="609">
        <f>VLOOKUP(H2871,'LƯƠNG KT'!$D$16:$Z$184,14,0)</f>
        <v>4</v>
      </c>
      <c r="K2879" s="935"/>
      <c r="L2879" s="935"/>
      <c r="M2879" s="935"/>
      <c r="N2879" s="935"/>
      <c r="O2879" s="935"/>
    </row>
    <row r="2880" spans="1:15" ht="15" customHeight="1">
      <c r="A2880" s="908" t="s">
        <v>2103</v>
      </c>
      <c r="B2880" s="909" t="s">
        <v>2104</v>
      </c>
      <c r="D2880" s="915" t="e">
        <f>VLOOKUP(B2871,'LƯƠNG KT'!$D$16:$Z$184,13,0)</f>
        <v>#N/A</v>
      </c>
      <c r="E2880" s="916"/>
      <c r="F2880" s="916"/>
      <c r="G2880" s="908" t="s">
        <v>2103</v>
      </c>
      <c r="H2880" s="909" t="s">
        <v>2104</v>
      </c>
      <c r="J2880" s="915">
        <f>VLOOKUP(H2871,'LƯƠNG KT'!$D$16:$Z$184,13,0)</f>
        <v>4</v>
      </c>
    </row>
    <row r="2881" spans="1:15" ht="15" customHeight="1">
      <c r="A2881" s="547"/>
      <c r="B2881" s="546"/>
      <c r="C2881" s="910"/>
      <c r="D2881" s="609"/>
      <c r="E2881" s="914"/>
      <c r="F2881" s="916"/>
      <c r="G2881" s="547"/>
      <c r="H2881" s="546"/>
      <c r="I2881" s="910"/>
      <c r="J2881" s="609"/>
    </row>
    <row r="2882" spans="1:15" ht="15" customHeight="1">
      <c r="A2882" s="905"/>
      <c r="B2882" s="546"/>
      <c r="C2882" s="910"/>
      <c r="D2882" s="609"/>
      <c r="E2882" s="917"/>
      <c r="F2882" s="904"/>
      <c r="G2882" s="905"/>
      <c r="H2882" s="546"/>
      <c r="I2882" s="910"/>
      <c r="J2882" s="609"/>
    </row>
    <row r="2883" spans="1:15" ht="15" customHeight="1">
      <c r="A2883" s="918" t="s">
        <v>383</v>
      </c>
      <c r="B2883" s="919" t="s">
        <v>384</v>
      </c>
      <c r="C2883" s="920"/>
      <c r="D2883" s="921" t="e">
        <f>SUM(D2872:D2879)-D2882</f>
        <v>#N/A</v>
      </c>
      <c r="E2883" s="922"/>
      <c r="F2883" s="923"/>
      <c r="G2883" s="918" t="s">
        <v>383</v>
      </c>
      <c r="H2883" s="919" t="s">
        <v>384</v>
      </c>
      <c r="I2883" s="920"/>
      <c r="J2883" s="921" t="e">
        <f>SUM(J2872:J2879)-J2882</f>
        <v>#REF!</v>
      </c>
    </row>
    <row r="2884" spans="1:15" ht="18.75" customHeight="1">
      <c r="A2884" s="924"/>
      <c r="B2884" s="925"/>
      <c r="C2884" s="926"/>
      <c r="D2884" s="927"/>
      <c r="E2884" s="927"/>
      <c r="F2884" s="928"/>
      <c r="G2884" s="924"/>
      <c r="H2884" s="925"/>
      <c r="I2884" s="926"/>
      <c r="J2884" s="927"/>
    </row>
    <row r="2885" spans="1:15" ht="18.75" customHeight="1">
      <c r="A2885" s="925"/>
      <c r="B2885" s="925"/>
      <c r="C2885" s="929"/>
      <c r="D2885" s="930"/>
      <c r="E2885" s="925"/>
      <c r="F2885" s="931"/>
      <c r="G2885" s="925"/>
      <c r="H2885" s="925"/>
      <c r="I2885" s="929"/>
      <c r="J2885" s="930"/>
    </row>
    <row r="2886" spans="1:15" ht="15" customHeight="1">
      <c r="A2886" s="2360" t="str">
        <f>$K$2</f>
        <v>THÁNG 04/2025</v>
      </c>
      <c r="B2886" s="2360"/>
      <c r="C2886" s="2360"/>
      <c r="D2886" s="2360"/>
      <c r="E2886" s="903"/>
      <c r="F2886" s="904"/>
      <c r="G2886" s="2360" t="str">
        <f>$K$2</f>
        <v>THÁNG 04/2025</v>
      </c>
      <c r="H2886" s="2360"/>
      <c r="I2886" s="2360"/>
      <c r="J2886" s="2360"/>
      <c r="K2886" s="276"/>
    </row>
    <row r="2887" spans="1:15" ht="15" customHeight="1">
      <c r="A2887" s="905" t="s">
        <v>356</v>
      </c>
      <c r="B2887" s="642" t="s">
        <v>234</v>
      </c>
      <c r="C2887" s="546"/>
      <c r="D2887" s="902"/>
      <c r="E2887" s="906"/>
      <c r="F2887" s="907"/>
      <c r="G2887" s="905" t="s">
        <v>356</v>
      </c>
      <c r="H2887" s="642" t="s">
        <v>235</v>
      </c>
      <c r="I2887" s="546"/>
      <c r="J2887" s="902"/>
      <c r="L2887" s="938"/>
      <c r="M2887" s="938"/>
      <c r="N2887" s="938"/>
      <c r="O2887" s="938"/>
    </row>
    <row r="2888" spans="1:15" ht="15" customHeight="1">
      <c r="A2888" s="908" t="s">
        <v>359</v>
      </c>
      <c r="B2888" s="909" t="s">
        <v>2090</v>
      </c>
      <c r="C2888" s="910" t="e">
        <f>VLOOKUP(B2887,'LƯƠNG KT'!$D$16:$Z$184,4,0)</f>
        <v>#N/A</v>
      </c>
      <c r="D2888" s="609" t="e">
        <f>+C2888*25000</f>
        <v>#N/A</v>
      </c>
      <c r="E2888" s="911"/>
      <c r="F2888" s="911"/>
      <c r="G2888" s="908" t="s">
        <v>359</v>
      </c>
      <c r="H2888" s="909" t="s">
        <v>2090</v>
      </c>
      <c r="I2888" s="910" t="e">
        <f>VLOOKUP(H2887,'LƯƠNG KT'!$D$16:$Z$184,4,0)</f>
        <v>#N/A</v>
      </c>
      <c r="J2888" s="609" t="e">
        <f>+I2888*25000</f>
        <v>#N/A</v>
      </c>
      <c r="K2888" s="935"/>
      <c r="L2888" s="935"/>
      <c r="M2888" s="935"/>
      <c r="N2888" s="935"/>
      <c r="O2888" s="935"/>
    </row>
    <row r="2889" spans="1:15" ht="15" customHeight="1">
      <c r="A2889" s="908" t="s">
        <v>361</v>
      </c>
      <c r="B2889" s="909" t="s">
        <v>2091</v>
      </c>
      <c r="C2889" s="910" t="e">
        <f>VLOOKUP(B2887,'LƯƠNG KT'!$D$16:$Z$184,15,0)</f>
        <v>#N/A</v>
      </c>
      <c r="D2889" s="609" t="e">
        <f>C2889*$L$4</f>
        <v>#N/A</v>
      </c>
      <c r="E2889" s="912"/>
      <c r="F2889" s="912"/>
      <c r="G2889" s="908" t="s">
        <v>361</v>
      </c>
      <c r="H2889" s="909" t="s">
        <v>2091</v>
      </c>
      <c r="I2889" s="910" t="e">
        <f>VLOOKUP(H2887,'LƯƠNG KT'!$D$16:$Z$184,15,0)</f>
        <v>#N/A</v>
      </c>
      <c r="J2889" s="609" t="e">
        <f>I2889*$L$4</f>
        <v>#N/A</v>
      </c>
      <c r="K2889" s="935"/>
      <c r="L2889" s="935"/>
      <c r="M2889" s="935"/>
      <c r="N2889" s="935"/>
      <c r="O2889" s="935"/>
    </row>
    <row r="2890" spans="1:15" ht="15" customHeight="1">
      <c r="A2890" s="908" t="s">
        <v>364</v>
      </c>
      <c r="B2890" s="909" t="s">
        <v>2092</v>
      </c>
      <c r="C2890" s="910" t="e">
        <f>VLOOKUP(B2887,'LƯƠNG KT'!$D$16:$Z$184,16,0)</f>
        <v>#N/A</v>
      </c>
      <c r="D2890" s="609" t="e">
        <f>C2890*$L$5</f>
        <v>#N/A</v>
      </c>
      <c r="E2890" s="912"/>
      <c r="F2890" s="912"/>
      <c r="G2890" s="908" t="s">
        <v>364</v>
      </c>
      <c r="H2890" s="909" t="s">
        <v>2092</v>
      </c>
      <c r="I2890" s="910" t="e">
        <f>VLOOKUP(H2887,'LƯƠNG KT'!$D$16:$Z$184,16,0)</f>
        <v>#N/A</v>
      </c>
      <c r="J2890" s="609" t="e">
        <f>I2890*$L$5</f>
        <v>#N/A</v>
      </c>
      <c r="K2890" s="935"/>
      <c r="L2890" s="935"/>
      <c r="M2890" s="935"/>
      <c r="N2890" s="935"/>
      <c r="O2890" s="935"/>
    </row>
    <row r="2891" spans="1:15" ht="15" customHeight="1">
      <c r="A2891" s="908" t="s">
        <v>370</v>
      </c>
      <c r="B2891" s="909" t="s">
        <v>2093</v>
      </c>
      <c r="C2891" s="910" t="e">
        <f>VLOOKUP(B2887,'LƯƠNG KT'!$D$16:$Z$184,24,0)</f>
        <v>#N/A</v>
      </c>
      <c r="D2891" s="609" t="e">
        <f>+C2891*$L$6</f>
        <v>#N/A</v>
      </c>
      <c r="E2891" s="912"/>
      <c r="F2891" s="912"/>
      <c r="G2891" s="908" t="s">
        <v>370</v>
      </c>
      <c r="H2891" s="909" t="s">
        <v>2093</v>
      </c>
      <c r="I2891" s="910" t="e">
        <f>VLOOKUP(H2887,'LƯƠNG KT'!$D$16:$Z$184,24,0)</f>
        <v>#N/A</v>
      </c>
      <c r="J2891" s="609" t="e">
        <f>+I2891*$L$6</f>
        <v>#N/A</v>
      </c>
      <c r="K2891" s="935"/>
      <c r="L2891" s="935"/>
      <c r="M2891" s="935"/>
      <c r="N2891" s="935"/>
      <c r="O2891" s="935"/>
    </row>
    <row r="2892" spans="1:15" ht="15" customHeight="1">
      <c r="A2892" s="908" t="s">
        <v>2094</v>
      </c>
      <c r="B2892" s="909" t="s">
        <v>2095</v>
      </c>
      <c r="C2892" s="910" t="e">
        <f>VLOOKUP(B2887,'LƯƠNG KT'!$D$16:$Z$184,19,0)</f>
        <v>#N/A</v>
      </c>
      <c r="D2892" s="609" t="e">
        <f>+C2892*$L$8</f>
        <v>#N/A</v>
      </c>
      <c r="E2892" s="912"/>
      <c r="F2892" s="912"/>
      <c r="G2892" s="908" t="s">
        <v>2094</v>
      </c>
      <c r="H2892" s="909" t="s">
        <v>2095</v>
      </c>
      <c r="I2892" s="910" t="e">
        <f>VLOOKUP(H2887,'LƯƠNG KT'!$D$16:$Z$184,19,0)</f>
        <v>#N/A</v>
      </c>
      <c r="J2892" s="609" t="e">
        <f>+I2892*$L$8</f>
        <v>#N/A</v>
      </c>
      <c r="K2892" s="935"/>
      <c r="L2892" s="935"/>
      <c r="M2892" s="935"/>
      <c r="N2892" s="935"/>
      <c r="O2892" s="935"/>
    </row>
    <row r="2893" spans="1:15" ht="15" customHeight="1">
      <c r="A2893" s="908" t="s">
        <v>2096</v>
      </c>
      <c r="B2893" s="913" t="s">
        <v>2097</v>
      </c>
      <c r="C2893" s="910" t="e">
        <f>VLOOKUP(B2887,'LƯƠNG KT'!$D$16:$Z$184,20,0)</f>
        <v>#N/A</v>
      </c>
      <c r="D2893" s="609" t="e">
        <f>+C2893*$L$9</f>
        <v>#N/A</v>
      </c>
      <c r="E2893" s="912"/>
      <c r="F2893" s="912"/>
      <c r="G2893" s="908" t="s">
        <v>2096</v>
      </c>
      <c r="H2893" s="913" t="s">
        <v>2097</v>
      </c>
      <c r="I2893" s="910" t="e">
        <f>VLOOKUP(H2887,'LƯƠNG KT'!$D$16:$Z$184,20,0)</f>
        <v>#N/A</v>
      </c>
      <c r="J2893" s="609" t="e">
        <f>+I2893*$L$9</f>
        <v>#N/A</v>
      </c>
      <c r="K2893" s="935"/>
      <c r="L2893" s="935"/>
      <c r="M2893" s="935"/>
      <c r="N2893" s="935"/>
      <c r="O2893" s="935"/>
    </row>
    <row r="2894" spans="1:15" ht="15" customHeight="1">
      <c r="A2894" s="908" t="s">
        <v>2099</v>
      </c>
      <c r="B2894" s="909" t="s">
        <v>2100</v>
      </c>
      <c r="C2894" s="910" t="e">
        <f>VLOOKUP(B2887,'LƯƠNG KT'!$D$16:$Z$184,17,0)</f>
        <v>#N/A</v>
      </c>
      <c r="D2894" s="609" t="e">
        <f>+C2894*$L$10</f>
        <v>#N/A</v>
      </c>
      <c r="E2894" s="912"/>
      <c r="F2894" s="912"/>
      <c r="G2894" s="908" t="s">
        <v>2099</v>
      </c>
      <c r="H2894" s="909" t="s">
        <v>2100</v>
      </c>
      <c r="I2894" s="910" t="e">
        <f>VLOOKUP(H2887,'LƯƠNG KT'!$D$16:$Z$184,17,0)</f>
        <v>#N/A</v>
      </c>
      <c r="J2894" s="609" t="e">
        <f>+I2894*$L$10</f>
        <v>#N/A</v>
      </c>
      <c r="K2894" s="935"/>
      <c r="L2894" s="935"/>
      <c r="M2894" s="935"/>
      <c r="N2894" s="935"/>
      <c r="O2894" s="935"/>
    </row>
    <row r="2895" spans="1:15" ht="15" customHeight="1">
      <c r="A2895" s="908" t="s">
        <v>374</v>
      </c>
      <c r="B2895" s="909" t="s">
        <v>2102</v>
      </c>
      <c r="C2895" s="910" t="e">
        <f>VLOOKUP(B2887,'LƯƠNG KT'!$D$16:$Z$184,12,0)</f>
        <v>#N/A</v>
      </c>
      <c r="D2895" s="609" t="e">
        <f>VLOOKUP(B2887,'LƯƠNG KT'!$D$16:$Z$184,14,0)</f>
        <v>#N/A</v>
      </c>
      <c r="E2895" s="914"/>
      <c r="F2895" s="912"/>
      <c r="G2895" s="908" t="s">
        <v>374</v>
      </c>
      <c r="H2895" s="909" t="s">
        <v>2102</v>
      </c>
      <c r="I2895" s="910" t="e">
        <f>VLOOKUP(H2887,'LƯƠNG KT'!$D$16:$Z$184,12,0)</f>
        <v>#N/A</v>
      </c>
      <c r="J2895" s="609" t="e">
        <f>VLOOKUP(H2887,'LƯƠNG KT'!$D$16:$Z$184,14,0)</f>
        <v>#N/A</v>
      </c>
      <c r="K2895" s="935"/>
      <c r="L2895" s="935"/>
      <c r="M2895" s="935"/>
      <c r="N2895" s="935"/>
      <c r="O2895" s="935"/>
    </row>
    <row r="2896" spans="1:15" ht="15" customHeight="1">
      <c r="A2896" s="908" t="s">
        <v>2103</v>
      </c>
      <c r="B2896" s="909" t="s">
        <v>2104</v>
      </c>
      <c r="D2896" s="915" t="e">
        <f>VLOOKUP(B2887,'LƯƠNG KT'!$D$16:$Z$184,13,0)</f>
        <v>#N/A</v>
      </c>
      <c r="E2896" s="916"/>
      <c r="F2896" s="916"/>
      <c r="G2896" s="908" t="s">
        <v>2103</v>
      </c>
      <c r="H2896" s="909" t="s">
        <v>2104</v>
      </c>
      <c r="J2896" s="915" t="e">
        <f>VLOOKUP(H2887,'LƯƠNG KT'!$D$16:$Z$184,13,0)</f>
        <v>#N/A</v>
      </c>
    </row>
    <row r="2897" spans="1:15" ht="15" customHeight="1">
      <c r="A2897" s="547"/>
      <c r="B2897" s="546"/>
      <c r="C2897" s="910"/>
      <c r="D2897" s="609"/>
      <c r="E2897" s="914"/>
      <c r="F2897" s="916"/>
      <c r="G2897" s="547"/>
      <c r="H2897" s="546"/>
      <c r="I2897" s="910"/>
      <c r="J2897" s="609"/>
    </row>
    <row r="2898" spans="1:15" ht="15" customHeight="1">
      <c r="A2898" s="905"/>
      <c r="B2898" s="546"/>
      <c r="C2898" s="910"/>
      <c r="D2898" s="609"/>
      <c r="E2898" s="917"/>
      <c r="F2898" s="904"/>
      <c r="G2898" s="905"/>
      <c r="H2898" s="546"/>
      <c r="I2898" s="910"/>
      <c r="J2898" s="609"/>
    </row>
    <row r="2899" spans="1:15" ht="15" customHeight="1">
      <c r="A2899" s="918" t="s">
        <v>383</v>
      </c>
      <c r="B2899" s="919" t="s">
        <v>384</v>
      </c>
      <c r="C2899" s="920"/>
      <c r="D2899" s="921" t="e">
        <f>SUM(D2888:D2895)-D2898</f>
        <v>#N/A</v>
      </c>
      <c r="E2899" s="922"/>
      <c r="F2899" s="923"/>
      <c r="G2899" s="918" t="s">
        <v>383</v>
      </c>
      <c r="H2899" s="919" t="s">
        <v>384</v>
      </c>
      <c r="I2899" s="920"/>
      <c r="J2899" s="921" t="e">
        <f>SUM(J2888:J2895)-J2898</f>
        <v>#N/A</v>
      </c>
    </row>
    <row r="2900" spans="1:15" ht="18.75" customHeight="1">
      <c r="A2900" s="924"/>
      <c r="B2900" s="925"/>
      <c r="C2900" s="926"/>
      <c r="D2900" s="927"/>
      <c r="E2900" s="927"/>
      <c r="F2900" s="928"/>
      <c r="G2900" s="924"/>
      <c r="H2900" s="925"/>
      <c r="I2900" s="926"/>
      <c r="J2900" s="927"/>
    </row>
    <row r="2901" spans="1:15" ht="18.75" customHeight="1">
      <c r="A2901" s="925"/>
      <c r="B2901" s="925"/>
      <c r="C2901" s="929"/>
      <c r="D2901" s="930"/>
      <c r="E2901" s="925"/>
      <c r="F2901" s="931"/>
      <c r="G2901" s="925"/>
      <c r="H2901" s="925"/>
      <c r="I2901" s="929"/>
      <c r="J2901" s="930"/>
    </row>
    <row r="2902" spans="1:15" ht="15" customHeight="1">
      <c r="A2902" s="2360" t="str">
        <f>$K$2</f>
        <v>THÁNG 04/2025</v>
      </c>
      <c r="B2902" s="2360"/>
      <c r="C2902" s="2360"/>
      <c r="D2902" s="2360"/>
      <c r="E2902" s="903"/>
      <c r="F2902" s="904"/>
      <c r="G2902" s="2360" t="str">
        <f>$K$2</f>
        <v>THÁNG 04/2025</v>
      </c>
      <c r="H2902" s="2360"/>
      <c r="I2902" s="2360"/>
      <c r="J2902" s="2360"/>
      <c r="K2902" s="276"/>
    </row>
    <row r="2903" spans="1:15" ht="15" customHeight="1">
      <c r="A2903" s="905" t="s">
        <v>356</v>
      </c>
      <c r="B2903" s="642" t="s">
        <v>236</v>
      </c>
      <c r="C2903" s="546"/>
      <c r="D2903" s="902"/>
      <c r="E2903" s="906"/>
      <c r="F2903" s="907"/>
      <c r="G2903" s="905" t="s">
        <v>356</v>
      </c>
      <c r="H2903" s="642" t="s">
        <v>237</v>
      </c>
      <c r="I2903" s="546"/>
      <c r="J2903" s="902"/>
      <c r="L2903" s="938"/>
      <c r="M2903" s="938"/>
      <c r="N2903" s="938"/>
      <c r="O2903" s="938"/>
    </row>
    <row r="2904" spans="1:15" ht="15" customHeight="1">
      <c r="A2904" s="908" t="s">
        <v>359</v>
      </c>
      <c r="B2904" s="909" t="s">
        <v>2090</v>
      </c>
      <c r="C2904" s="910">
        <f>VLOOKUP(B2903,'LƯƠNG KT'!$D$16:$Z$184,4,0)</f>
        <v>0</v>
      </c>
      <c r="D2904" s="609">
        <f>+C2904*25000</f>
        <v>0</v>
      </c>
      <c r="E2904" s="911"/>
      <c r="F2904" s="911"/>
      <c r="G2904" s="908" t="s">
        <v>359</v>
      </c>
      <c r="H2904" s="909" t="s">
        <v>2090</v>
      </c>
      <c r="I2904" s="910" t="e">
        <f>VLOOKUP(H2903,'LƯƠNG KT'!$D$16:$Z$184,4,0)</f>
        <v>#N/A</v>
      </c>
      <c r="J2904" s="609" t="e">
        <f>+I2904*25000</f>
        <v>#N/A</v>
      </c>
      <c r="K2904" s="935"/>
      <c r="L2904" s="935"/>
      <c r="M2904" s="935"/>
      <c r="N2904" s="935"/>
      <c r="O2904" s="935"/>
    </row>
    <row r="2905" spans="1:15" ht="15" customHeight="1">
      <c r="A2905" s="908" t="s">
        <v>361</v>
      </c>
      <c r="B2905" s="909" t="s">
        <v>2091</v>
      </c>
      <c r="C2905" s="910">
        <f>VLOOKUP(B2903,'LƯƠNG KT'!$D$16:$Z$184,15,0)</f>
        <v>0</v>
      </c>
      <c r="D2905" s="609">
        <f>C2905*$L$4</f>
        <v>0</v>
      </c>
      <c r="E2905" s="912"/>
      <c r="F2905" s="912"/>
      <c r="G2905" s="908" t="s">
        <v>361</v>
      </c>
      <c r="H2905" s="909" t="s">
        <v>2091</v>
      </c>
      <c r="I2905" s="910" t="e">
        <f>VLOOKUP(H2903,'LƯƠNG KT'!$D$16:$Z$184,15,0)</f>
        <v>#N/A</v>
      </c>
      <c r="J2905" s="609" t="e">
        <f>I2905*$L$4</f>
        <v>#N/A</v>
      </c>
      <c r="K2905" s="935"/>
      <c r="L2905" s="935"/>
      <c r="M2905" s="935"/>
      <c r="N2905" s="935"/>
      <c r="O2905" s="935"/>
    </row>
    <row r="2906" spans="1:15" ht="15" customHeight="1">
      <c r="A2906" s="908" t="s">
        <v>364</v>
      </c>
      <c r="B2906" s="909" t="s">
        <v>2092</v>
      </c>
      <c r="C2906" s="910">
        <f>VLOOKUP(B2903,'LƯƠNG KT'!$D$16:$Z$184,16,0)</f>
        <v>3</v>
      </c>
      <c r="D2906" s="609">
        <f>C2906*$L$5</f>
        <v>138420</v>
      </c>
      <c r="E2906" s="912"/>
      <c r="F2906" s="912"/>
      <c r="G2906" s="908" t="s">
        <v>364</v>
      </c>
      <c r="H2906" s="909" t="s">
        <v>2092</v>
      </c>
      <c r="I2906" s="910" t="e">
        <f>VLOOKUP(H2903,'LƯƠNG KT'!$D$16:$Z$184,16,0)</f>
        <v>#N/A</v>
      </c>
      <c r="J2906" s="609" t="e">
        <f>I2906*$L$5</f>
        <v>#N/A</v>
      </c>
      <c r="K2906" s="935"/>
      <c r="L2906" s="935"/>
      <c r="M2906" s="935"/>
      <c r="N2906" s="935"/>
      <c r="O2906" s="935"/>
    </row>
    <row r="2907" spans="1:15" ht="15" customHeight="1">
      <c r="A2907" s="908" t="s">
        <v>370</v>
      </c>
      <c r="B2907" s="909" t="s">
        <v>2093</v>
      </c>
      <c r="C2907" s="910" t="e">
        <f>VLOOKUP(B2903,'LƯƠNG KT'!$D$16:$Z$184,24,0)</f>
        <v>#REF!</v>
      </c>
      <c r="D2907" s="609" t="e">
        <f>+C2907*$L$6</f>
        <v>#REF!</v>
      </c>
      <c r="E2907" s="912"/>
      <c r="F2907" s="912"/>
      <c r="G2907" s="908" t="s">
        <v>370</v>
      </c>
      <c r="H2907" s="909" t="s">
        <v>2093</v>
      </c>
      <c r="I2907" s="910" t="e">
        <f>VLOOKUP(H2903,'LƯƠNG KT'!$D$16:$Z$184,24,0)</f>
        <v>#N/A</v>
      </c>
      <c r="J2907" s="609" t="e">
        <f>+I2907*$L$6</f>
        <v>#N/A</v>
      </c>
      <c r="K2907" s="935"/>
      <c r="L2907" s="935"/>
      <c r="M2907" s="935"/>
      <c r="N2907" s="935"/>
      <c r="O2907" s="935"/>
    </row>
    <row r="2908" spans="1:15" ht="15" customHeight="1">
      <c r="A2908" s="908" t="s">
        <v>2094</v>
      </c>
      <c r="B2908" s="909" t="s">
        <v>2095</v>
      </c>
      <c r="C2908" s="910">
        <f>VLOOKUP(B2903,'LƯƠNG KT'!$D$16:$Z$184,19,0)</f>
        <v>22</v>
      </c>
      <c r="D2908" s="609">
        <f>+C2908*$L$8</f>
        <v>1217040</v>
      </c>
      <c r="E2908" s="912"/>
      <c r="F2908" s="912"/>
      <c r="G2908" s="908" t="s">
        <v>2094</v>
      </c>
      <c r="H2908" s="909" t="s">
        <v>2095</v>
      </c>
      <c r="I2908" s="910" t="e">
        <f>VLOOKUP(H2903,'LƯƠNG KT'!$D$16:$Z$184,19,0)</f>
        <v>#N/A</v>
      </c>
      <c r="J2908" s="609" t="e">
        <f>+I2908*$L$8</f>
        <v>#N/A</v>
      </c>
      <c r="K2908" s="935"/>
      <c r="L2908" s="935"/>
      <c r="M2908" s="935"/>
      <c r="N2908" s="935"/>
      <c r="O2908" s="935"/>
    </row>
    <row r="2909" spans="1:15" ht="15" customHeight="1">
      <c r="A2909" s="908" t="s">
        <v>2096</v>
      </c>
      <c r="B2909" s="913" t="s">
        <v>2097</v>
      </c>
      <c r="C2909" s="910">
        <f>VLOOKUP(B2903,'LƯƠNG KT'!$D$16:$Z$184,20,0)</f>
        <v>0</v>
      </c>
      <c r="D2909" s="609">
        <f>+C2909*$L$9</f>
        <v>0</v>
      </c>
      <c r="E2909" s="912"/>
      <c r="F2909" s="912"/>
      <c r="G2909" s="908" t="s">
        <v>2096</v>
      </c>
      <c r="H2909" s="913" t="s">
        <v>2097</v>
      </c>
      <c r="I2909" s="910" t="e">
        <f>VLOOKUP(H2903,'LƯƠNG KT'!$D$16:$Z$184,20,0)</f>
        <v>#N/A</v>
      </c>
      <c r="J2909" s="609" t="e">
        <f>+I2909*$L$9</f>
        <v>#N/A</v>
      </c>
      <c r="K2909" s="935"/>
      <c r="L2909" s="935"/>
      <c r="M2909" s="935"/>
      <c r="N2909" s="935"/>
      <c r="O2909" s="935"/>
    </row>
    <row r="2910" spans="1:15" ht="15" customHeight="1">
      <c r="A2910" s="908" t="s">
        <v>2099</v>
      </c>
      <c r="B2910" s="909" t="s">
        <v>2100</v>
      </c>
      <c r="C2910" s="910" t="e">
        <f>VLOOKUP(B2903,'LƯƠNG KT'!$D$16:$Z$184,17,0)</f>
        <v>#N/A</v>
      </c>
      <c r="D2910" s="609" t="e">
        <f>+C2910*$L$10</f>
        <v>#N/A</v>
      </c>
      <c r="E2910" s="912"/>
      <c r="F2910" s="912"/>
      <c r="G2910" s="908" t="s">
        <v>2099</v>
      </c>
      <c r="H2910" s="909" t="s">
        <v>2100</v>
      </c>
      <c r="I2910" s="910" t="e">
        <f>VLOOKUP(H2903,'LƯƠNG KT'!$D$16:$Z$184,17,0)</f>
        <v>#N/A</v>
      </c>
      <c r="J2910" s="609" t="e">
        <f>+I2910*$L$10</f>
        <v>#N/A</v>
      </c>
      <c r="K2910" s="935"/>
      <c r="L2910" s="935"/>
      <c r="M2910" s="935"/>
      <c r="N2910" s="935"/>
      <c r="O2910" s="935"/>
    </row>
    <row r="2911" spans="1:15" ht="15" customHeight="1">
      <c r="A2911" s="908" t="s">
        <v>374</v>
      </c>
      <c r="B2911" s="909" t="s">
        <v>2102</v>
      </c>
      <c r="C2911" s="910">
        <f>VLOOKUP(B2903,'LƯƠNG KT'!$D$16:$Z$184,12,0)</f>
        <v>12</v>
      </c>
      <c r="D2911" s="609">
        <f>VLOOKUP(B2903,'LƯƠNG KT'!$D$16:$Z$184,14,0)</f>
        <v>3</v>
      </c>
      <c r="E2911" s="914"/>
      <c r="F2911" s="912"/>
      <c r="G2911" s="908" t="s">
        <v>374</v>
      </c>
      <c r="H2911" s="909" t="s">
        <v>2102</v>
      </c>
      <c r="I2911" s="910" t="e">
        <f>VLOOKUP(H2903,'LƯƠNG KT'!$D$16:$Z$184,12,0)</f>
        <v>#N/A</v>
      </c>
      <c r="J2911" s="609" t="e">
        <f>VLOOKUP(H2903,'LƯƠNG KT'!$D$16:$Z$184,14,0)</f>
        <v>#N/A</v>
      </c>
      <c r="K2911" s="935"/>
      <c r="L2911" s="935"/>
      <c r="M2911" s="935"/>
      <c r="N2911" s="935"/>
      <c r="O2911" s="935"/>
    </row>
    <row r="2912" spans="1:15" ht="15" customHeight="1">
      <c r="A2912" s="908" t="s">
        <v>2103</v>
      </c>
      <c r="B2912" s="909" t="s">
        <v>2104</v>
      </c>
      <c r="D2912" s="915">
        <f>VLOOKUP(B2903,'LƯƠNG KT'!$D$16:$Z$184,13,0)</f>
        <v>4</v>
      </c>
      <c r="E2912" s="916"/>
      <c r="F2912" s="916"/>
      <c r="G2912" s="908" t="s">
        <v>2103</v>
      </c>
      <c r="H2912" s="909" t="s">
        <v>2104</v>
      </c>
      <c r="J2912" s="915" t="e">
        <f>VLOOKUP(H2903,'LƯƠNG KT'!$D$16:$Z$184,13,0)</f>
        <v>#N/A</v>
      </c>
    </row>
    <row r="2913" spans="1:15" ht="15" customHeight="1">
      <c r="A2913" s="547"/>
      <c r="B2913" s="546"/>
      <c r="C2913" s="910"/>
      <c r="D2913" s="609"/>
      <c r="E2913" s="914"/>
      <c r="F2913" s="916"/>
      <c r="G2913" s="547"/>
      <c r="H2913" s="546"/>
      <c r="I2913" s="910"/>
      <c r="J2913" s="609"/>
    </row>
    <row r="2914" spans="1:15" ht="15" customHeight="1">
      <c r="A2914" s="905"/>
      <c r="B2914" s="546"/>
      <c r="C2914" s="910"/>
      <c r="D2914" s="609"/>
      <c r="E2914" s="917"/>
      <c r="F2914" s="904"/>
      <c r="G2914" s="905"/>
      <c r="H2914" s="546"/>
      <c r="I2914" s="910"/>
      <c r="J2914" s="609"/>
    </row>
    <row r="2915" spans="1:15" ht="15" customHeight="1">
      <c r="A2915" s="918" t="s">
        <v>383</v>
      </c>
      <c r="B2915" s="919" t="s">
        <v>384</v>
      </c>
      <c r="C2915" s="920"/>
      <c r="D2915" s="921" t="e">
        <f>SUM(D2904:D2911)-D2914</f>
        <v>#REF!</v>
      </c>
      <c r="E2915" s="922"/>
      <c r="F2915" s="923"/>
      <c r="G2915" s="918" t="s">
        <v>383</v>
      </c>
      <c r="H2915" s="919" t="s">
        <v>384</v>
      </c>
      <c r="I2915" s="920"/>
      <c r="J2915" s="921" t="e">
        <f>SUM(J2904:J2911)-J2914</f>
        <v>#N/A</v>
      </c>
    </row>
    <row r="2916" spans="1:15" ht="15.75" customHeight="1">
      <c r="A2916" s="924"/>
      <c r="B2916" s="925"/>
      <c r="C2916" s="926"/>
      <c r="D2916" s="927"/>
      <c r="E2916" s="927"/>
      <c r="F2916" s="928"/>
      <c r="G2916" s="924"/>
      <c r="H2916" s="925"/>
      <c r="I2916" s="926"/>
      <c r="J2916" s="927"/>
    </row>
    <row r="2918" spans="1:15" ht="131.25" customHeight="1">
      <c r="A2918" s="2361"/>
      <c r="B2918" s="2361"/>
      <c r="C2918" s="2361"/>
      <c r="D2918" s="2361"/>
      <c r="E2918" s="2361"/>
      <c r="F2918" s="2361"/>
      <c r="G2918" s="2361"/>
      <c r="H2918" s="2361"/>
      <c r="I2918" s="2361"/>
      <c r="J2918" s="2361"/>
    </row>
    <row r="2919" spans="1:15" ht="15" customHeight="1">
      <c r="A2919" s="2360" t="str">
        <f>$K$2</f>
        <v>THÁNG 04/2025</v>
      </c>
      <c r="B2919" s="2360"/>
      <c r="C2919" s="2360"/>
      <c r="D2919" s="2360"/>
      <c r="E2919" s="903"/>
      <c r="F2919" s="904"/>
      <c r="G2919" s="2360" t="str">
        <f>$K$2</f>
        <v>THÁNG 04/2025</v>
      </c>
      <c r="H2919" s="2360"/>
      <c r="I2919" s="2360"/>
      <c r="J2919" s="2360"/>
      <c r="K2919" s="276"/>
    </row>
    <row r="2920" spans="1:15" ht="15" customHeight="1">
      <c r="A2920" s="905" t="s">
        <v>356</v>
      </c>
      <c r="B2920" s="642" t="s">
        <v>238</v>
      </c>
      <c r="C2920" s="546"/>
      <c r="D2920" s="902"/>
      <c r="E2920" s="906"/>
      <c r="F2920" s="907"/>
      <c r="G2920" s="905" t="s">
        <v>356</v>
      </c>
      <c r="H2920" s="642" t="s">
        <v>239</v>
      </c>
      <c r="I2920" s="546"/>
      <c r="J2920" s="902"/>
      <c r="L2920" s="938"/>
      <c r="M2920" s="938"/>
      <c r="N2920" s="938"/>
      <c r="O2920" s="938"/>
    </row>
    <row r="2921" spans="1:15" ht="15" customHeight="1">
      <c r="A2921" s="908" t="s">
        <v>359</v>
      </c>
      <c r="B2921" s="909" t="s">
        <v>2090</v>
      </c>
      <c r="C2921" s="910" t="e">
        <f>VLOOKUP(B2920,'LƯƠNG KT'!$D$16:$Z$184,4,0)</f>
        <v>#N/A</v>
      </c>
      <c r="D2921" s="609" t="e">
        <f>+C2921*25000</f>
        <v>#N/A</v>
      </c>
      <c r="E2921" s="911"/>
      <c r="F2921" s="911"/>
      <c r="G2921" s="908" t="s">
        <v>359</v>
      </c>
      <c r="H2921" s="909" t="s">
        <v>2090</v>
      </c>
      <c r="I2921" s="910" t="e">
        <f>VLOOKUP(H2920,'LƯƠNG KT'!$D$16:$Z$184,4,0)</f>
        <v>#N/A</v>
      </c>
      <c r="J2921" s="609" t="e">
        <f>+I2921*25000</f>
        <v>#N/A</v>
      </c>
      <c r="K2921" s="934"/>
      <c r="L2921" s="935"/>
      <c r="M2921" s="935"/>
      <c r="N2921" s="935"/>
      <c r="O2921" s="935"/>
    </row>
    <row r="2922" spans="1:15" ht="15" customHeight="1">
      <c r="A2922" s="908" t="s">
        <v>361</v>
      </c>
      <c r="B2922" s="909" t="s">
        <v>2091</v>
      </c>
      <c r="C2922" s="910" t="e">
        <f>VLOOKUP(B2920,'LƯƠNG KT'!$D$16:$Z$184,15,0)</f>
        <v>#N/A</v>
      </c>
      <c r="D2922" s="609" t="e">
        <f>C2922*$L$4</f>
        <v>#N/A</v>
      </c>
      <c r="E2922" s="912"/>
      <c r="F2922" s="912"/>
      <c r="G2922" s="908" t="s">
        <v>361</v>
      </c>
      <c r="H2922" s="909" t="s">
        <v>2091</v>
      </c>
      <c r="I2922" s="910" t="e">
        <f>VLOOKUP(H2920,'LƯƠNG KT'!$D$16:$Z$184,15,0)</f>
        <v>#N/A</v>
      </c>
      <c r="J2922" s="609" t="e">
        <f>I2922*$L$4</f>
        <v>#N/A</v>
      </c>
      <c r="K2922" s="934"/>
      <c r="L2922" s="935"/>
      <c r="M2922" s="935"/>
      <c r="N2922" s="935"/>
      <c r="O2922" s="935"/>
    </row>
    <row r="2923" spans="1:15" ht="15" customHeight="1">
      <c r="A2923" s="908" t="s">
        <v>364</v>
      </c>
      <c r="B2923" s="909" t="s">
        <v>2092</v>
      </c>
      <c r="C2923" s="910" t="e">
        <f>VLOOKUP(B2920,'LƯƠNG KT'!$D$16:$Z$184,16,0)</f>
        <v>#N/A</v>
      </c>
      <c r="D2923" s="609" t="e">
        <f>C2923*$L$5</f>
        <v>#N/A</v>
      </c>
      <c r="E2923" s="912"/>
      <c r="F2923" s="912"/>
      <c r="G2923" s="908" t="s">
        <v>364</v>
      </c>
      <c r="H2923" s="909" t="s">
        <v>2092</v>
      </c>
      <c r="I2923" s="910" t="e">
        <f>VLOOKUP(H2920,'LƯƠNG KT'!$D$16:$Z$184,16,0)</f>
        <v>#N/A</v>
      </c>
      <c r="J2923" s="609" t="e">
        <f>I2923*$L$5</f>
        <v>#N/A</v>
      </c>
      <c r="K2923" s="934"/>
      <c r="L2923" s="935"/>
      <c r="M2923" s="935"/>
      <c r="N2923" s="935"/>
      <c r="O2923" s="935"/>
    </row>
    <row r="2924" spans="1:15" ht="15" customHeight="1">
      <c r="A2924" s="908" t="s">
        <v>370</v>
      </c>
      <c r="B2924" s="909" t="s">
        <v>2093</v>
      </c>
      <c r="C2924" s="910" t="e">
        <f>VLOOKUP(B2920,'LƯƠNG KT'!$D$16:$Z$184,24,0)</f>
        <v>#N/A</v>
      </c>
      <c r="D2924" s="609" t="e">
        <f>+C2924*$L$6</f>
        <v>#N/A</v>
      </c>
      <c r="E2924" s="912"/>
      <c r="F2924" s="912"/>
      <c r="G2924" s="908" t="s">
        <v>370</v>
      </c>
      <c r="H2924" s="909" t="s">
        <v>2093</v>
      </c>
      <c r="I2924" s="910" t="e">
        <f>VLOOKUP(H2920,'LƯƠNG KT'!$D$16:$Z$184,24,0)</f>
        <v>#N/A</v>
      </c>
      <c r="J2924" s="609" t="e">
        <f>+I2924*$L$6</f>
        <v>#N/A</v>
      </c>
      <c r="K2924" s="935"/>
      <c r="L2924" s="935"/>
      <c r="M2924" s="935"/>
      <c r="N2924" s="935"/>
      <c r="O2924" s="935"/>
    </row>
    <row r="2925" spans="1:15" ht="15" customHeight="1">
      <c r="A2925" s="908" t="s">
        <v>2094</v>
      </c>
      <c r="B2925" s="909" t="s">
        <v>2095</v>
      </c>
      <c r="C2925" s="910" t="e">
        <f>VLOOKUP(B2920,'LƯƠNG KT'!$D$16:$Z$184,19,0)</f>
        <v>#N/A</v>
      </c>
      <c r="D2925" s="609" t="e">
        <f>+C2925*$L$8</f>
        <v>#N/A</v>
      </c>
      <c r="E2925" s="912"/>
      <c r="F2925" s="912"/>
      <c r="G2925" s="908" t="s">
        <v>2094</v>
      </c>
      <c r="H2925" s="909" t="s">
        <v>2095</v>
      </c>
      <c r="I2925" s="910" t="e">
        <f>VLOOKUP(H2920,'LƯƠNG KT'!$D$16:$Z$184,19,0)</f>
        <v>#N/A</v>
      </c>
      <c r="J2925" s="609" t="e">
        <f>+I2925*$L$8</f>
        <v>#N/A</v>
      </c>
      <c r="K2925" s="935"/>
      <c r="L2925" s="935"/>
      <c r="M2925" s="935"/>
      <c r="N2925" s="935"/>
      <c r="O2925" s="935"/>
    </row>
    <row r="2926" spans="1:15" ht="15" customHeight="1">
      <c r="A2926" s="908" t="s">
        <v>2096</v>
      </c>
      <c r="B2926" s="913" t="s">
        <v>2097</v>
      </c>
      <c r="C2926" s="910" t="e">
        <f>VLOOKUP(B2920,'LƯƠNG KT'!$D$16:$Z$184,20,0)</f>
        <v>#N/A</v>
      </c>
      <c r="D2926" s="609" t="e">
        <f>+C2926*$L$9</f>
        <v>#N/A</v>
      </c>
      <c r="E2926" s="912"/>
      <c r="F2926" s="912"/>
      <c r="G2926" s="908" t="s">
        <v>2096</v>
      </c>
      <c r="H2926" s="913" t="s">
        <v>2097</v>
      </c>
      <c r="I2926" s="910" t="e">
        <f>VLOOKUP(H2920,'LƯƠNG KT'!$D$16:$Z$184,20,0)</f>
        <v>#N/A</v>
      </c>
      <c r="J2926" s="609" t="e">
        <f>+I2926*$L$9</f>
        <v>#N/A</v>
      </c>
      <c r="K2926" s="935"/>
      <c r="L2926" s="935"/>
      <c r="M2926" s="935"/>
      <c r="N2926" s="935"/>
      <c r="O2926" s="935"/>
    </row>
    <row r="2927" spans="1:15" ht="15" customHeight="1">
      <c r="A2927" s="908" t="s">
        <v>2099</v>
      </c>
      <c r="B2927" s="909" t="s">
        <v>2100</v>
      </c>
      <c r="C2927" s="910" t="e">
        <f>VLOOKUP(B2920,'LƯƠNG KT'!$D$16:$Z$184,17,0)</f>
        <v>#N/A</v>
      </c>
      <c r="D2927" s="609" t="e">
        <f>+C2927*$L$10</f>
        <v>#N/A</v>
      </c>
      <c r="E2927" s="912"/>
      <c r="F2927" s="912"/>
      <c r="G2927" s="908" t="s">
        <v>2099</v>
      </c>
      <c r="H2927" s="909" t="s">
        <v>2100</v>
      </c>
      <c r="I2927" s="910" t="e">
        <f>VLOOKUP(H2920,'LƯƠNG KT'!$D$16:$Z$184,17,0)</f>
        <v>#N/A</v>
      </c>
      <c r="J2927" s="609" t="e">
        <f>+I2927*$L$10</f>
        <v>#N/A</v>
      </c>
      <c r="K2927" s="935"/>
      <c r="L2927" s="935"/>
      <c r="M2927" s="935"/>
      <c r="N2927" s="935"/>
      <c r="O2927" s="935"/>
    </row>
    <row r="2928" spans="1:15" ht="15" customHeight="1">
      <c r="A2928" s="908" t="s">
        <v>374</v>
      </c>
      <c r="B2928" s="909" t="s">
        <v>2102</v>
      </c>
      <c r="C2928" s="910" t="e">
        <f>VLOOKUP(B2920,'LƯƠNG KT'!$D$16:$Z$184,12,0)</f>
        <v>#N/A</v>
      </c>
      <c r="D2928" s="609" t="e">
        <f>VLOOKUP(B2920,'LƯƠNG KT'!$D$16:$Z$184,14,0)</f>
        <v>#N/A</v>
      </c>
      <c r="E2928" s="914"/>
      <c r="F2928" s="912"/>
      <c r="G2928" s="908" t="s">
        <v>374</v>
      </c>
      <c r="H2928" s="909" t="s">
        <v>2102</v>
      </c>
      <c r="I2928" s="910" t="e">
        <f>VLOOKUP(H2920,'LƯƠNG KT'!$D$16:$Z$184,12,0)</f>
        <v>#N/A</v>
      </c>
      <c r="J2928" s="609" t="e">
        <f>VLOOKUP(H2920,'LƯƠNG KT'!$D$16:$Z$184,14,0)</f>
        <v>#N/A</v>
      </c>
      <c r="K2928" s="935"/>
      <c r="L2928" s="935"/>
      <c r="M2928" s="935"/>
      <c r="N2928" s="935"/>
      <c r="O2928" s="935"/>
    </row>
    <row r="2929" spans="1:15" ht="15" customHeight="1">
      <c r="A2929" s="908" t="s">
        <v>2103</v>
      </c>
      <c r="B2929" s="909" t="s">
        <v>2104</v>
      </c>
      <c r="D2929" s="915" t="e">
        <f>VLOOKUP(B2920,'LƯƠNG KT'!$D$16:$Z$184,13,0)</f>
        <v>#N/A</v>
      </c>
      <c r="E2929" s="916"/>
      <c r="F2929" s="916"/>
      <c r="G2929" s="908" t="s">
        <v>2103</v>
      </c>
      <c r="H2929" s="909" t="s">
        <v>2104</v>
      </c>
      <c r="J2929" s="915" t="e">
        <f>VLOOKUP(H2920,'LƯƠNG KT'!$D$16:$Z$184,13,0)</f>
        <v>#N/A</v>
      </c>
    </row>
    <row r="2930" spans="1:15" ht="15" customHeight="1">
      <c r="A2930" s="547"/>
      <c r="B2930" s="546"/>
      <c r="C2930" s="910"/>
      <c r="D2930" s="609"/>
      <c r="E2930" s="914"/>
      <c r="F2930" s="916"/>
      <c r="G2930" s="547"/>
      <c r="H2930" s="546"/>
      <c r="I2930" s="910"/>
      <c r="J2930" s="609"/>
    </row>
    <row r="2931" spans="1:15" ht="15" customHeight="1">
      <c r="A2931" s="905"/>
      <c r="B2931" s="546"/>
      <c r="C2931" s="910"/>
      <c r="D2931" s="609"/>
      <c r="E2931" s="917"/>
      <c r="F2931" s="904"/>
      <c r="G2931" s="905"/>
      <c r="H2931" s="546"/>
      <c r="I2931" s="910"/>
      <c r="J2931" s="609"/>
    </row>
    <row r="2932" spans="1:15" ht="15" customHeight="1">
      <c r="A2932" s="918" t="s">
        <v>383</v>
      </c>
      <c r="B2932" s="919" t="s">
        <v>384</v>
      </c>
      <c r="C2932" s="920"/>
      <c r="D2932" s="921" t="e">
        <f>SUM(D2921:D2928)-D2931</f>
        <v>#N/A</v>
      </c>
      <c r="E2932" s="922"/>
      <c r="F2932" s="923"/>
      <c r="G2932" s="918" t="s">
        <v>383</v>
      </c>
      <c r="H2932" s="919" t="s">
        <v>384</v>
      </c>
      <c r="I2932" s="920"/>
      <c r="J2932" s="921" t="e">
        <f>SUM(J2921:J2928)-J2931</f>
        <v>#N/A</v>
      </c>
    </row>
    <row r="2933" spans="1:15" ht="20.25" customHeight="1">
      <c r="A2933" s="924"/>
      <c r="B2933" s="925"/>
      <c r="C2933" s="926"/>
      <c r="D2933" s="927"/>
      <c r="E2933" s="927"/>
      <c r="F2933" s="928"/>
      <c r="G2933" s="924"/>
      <c r="H2933" s="925"/>
      <c r="I2933" s="926"/>
      <c r="J2933" s="927"/>
    </row>
    <row r="2934" spans="1:15" ht="20.25" customHeight="1">
      <c r="A2934" s="925"/>
      <c r="B2934" s="925"/>
      <c r="C2934" s="929"/>
      <c r="D2934" s="930"/>
      <c r="E2934" s="925"/>
      <c r="F2934" s="931"/>
      <c r="G2934" s="925"/>
      <c r="H2934" s="925"/>
      <c r="I2934" s="929"/>
      <c r="J2934" s="930"/>
    </row>
    <row r="2935" spans="1:15" ht="15" customHeight="1">
      <c r="A2935" s="2360" t="str">
        <f>$K$2</f>
        <v>THÁNG 04/2025</v>
      </c>
      <c r="B2935" s="2360"/>
      <c r="C2935" s="2360"/>
      <c r="D2935" s="2360"/>
      <c r="E2935" s="903"/>
      <c r="F2935" s="904"/>
      <c r="G2935" s="2360" t="str">
        <f>$K$2</f>
        <v>THÁNG 04/2025</v>
      </c>
      <c r="H2935" s="2360"/>
      <c r="I2935" s="2360"/>
      <c r="J2935" s="2360"/>
      <c r="K2935" s="276"/>
    </row>
    <row r="2936" spans="1:15" ht="15" customHeight="1">
      <c r="A2936" s="905" t="s">
        <v>356</v>
      </c>
      <c r="B2936" s="642" t="s">
        <v>240</v>
      </c>
      <c r="C2936" s="546"/>
      <c r="D2936" s="902"/>
      <c r="E2936" s="906"/>
      <c r="F2936" s="907"/>
      <c r="G2936" s="905" t="s">
        <v>356</v>
      </c>
      <c r="H2936" s="642" t="s">
        <v>241</v>
      </c>
      <c r="I2936" s="546"/>
      <c r="J2936" s="902"/>
      <c r="L2936" s="938"/>
      <c r="M2936" s="938"/>
      <c r="N2936" s="938"/>
      <c r="O2936" s="938"/>
    </row>
    <row r="2937" spans="1:15" ht="15" customHeight="1">
      <c r="A2937" s="908" t="s">
        <v>359</v>
      </c>
      <c r="B2937" s="909" t="s">
        <v>2090</v>
      </c>
      <c r="C2937" s="910" t="e">
        <f>VLOOKUP(B2936,'LƯƠNG KT'!$D$16:$Z$184,4,0)</f>
        <v>#N/A</v>
      </c>
      <c r="D2937" s="609" t="e">
        <f>+C2937*25000</f>
        <v>#N/A</v>
      </c>
      <c r="E2937" s="911"/>
      <c r="F2937" s="911"/>
      <c r="G2937" s="908" t="s">
        <v>359</v>
      </c>
      <c r="H2937" s="909" t="s">
        <v>2090</v>
      </c>
      <c r="I2937" s="910" t="e">
        <f>VLOOKUP(H2936,'LƯƠNG KT'!$D$16:$Z$184,4,0)</f>
        <v>#N/A</v>
      </c>
      <c r="J2937" s="609" t="e">
        <f>+I2937*25000</f>
        <v>#N/A</v>
      </c>
      <c r="K2937" s="935"/>
      <c r="L2937" s="935"/>
      <c r="M2937" s="935"/>
      <c r="N2937" s="935"/>
      <c r="O2937" s="935"/>
    </row>
    <row r="2938" spans="1:15" ht="15" customHeight="1">
      <c r="A2938" s="908" t="s">
        <v>361</v>
      </c>
      <c r="B2938" s="909" t="s">
        <v>2091</v>
      </c>
      <c r="C2938" s="910" t="e">
        <f>VLOOKUP(B2936,'LƯƠNG KT'!$D$16:$Z$184,15,0)</f>
        <v>#N/A</v>
      </c>
      <c r="D2938" s="609" t="e">
        <f>C2938*$L$4</f>
        <v>#N/A</v>
      </c>
      <c r="E2938" s="912"/>
      <c r="F2938" s="912"/>
      <c r="G2938" s="908" t="s">
        <v>361</v>
      </c>
      <c r="H2938" s="909" t="s">
        <v>2091</v>
      </c>
      <c r="I2938" s="910" t="e">
        <f>VLOOKUP(H2936,'LƯƠNG KT'!$D$16:$Z$184,15,0)</f>
        <v>#N/A</v>
      </c>
      <c r="J2938" s="609" t="e">
        <f>I2938*$L$4</f>
        <v>#N/A</v>
      </c>
      <c r="K2938" s="935"/>
      <c r="L2938" s="935"/>
      <c r="M2938" s="935"/>
      <c r="N2938" s="935"/>
      <c r="O2938" s="935"/>
    </row>
    <row r="2939" spans="1:15" ht="15" customHeight="1">
      <c r="A2939" s="908" t="s">
        <v>364</v>
      </c>
      <c r="B2939" s="909" t="s">
        <v>2092</v>
      </c>
      <c r="C2939" s="910" t="e">
        <f>VLOOKUP(B2936,'LƯƠNG KT'!$D$16:$Z$184,16,0)</f>
        <v>#N/A</v>
      </c>
      <c r="D2939" s="609" t="e">
        <f>C2939*$L$5</f>
        <v>#N/A</v>
      </c>
      <c r="E2939" s="912"/>
      <c r="F2939" s="912"/>
      <c r="G2939" s="908" t="s">
        <v>364</v>
      </c>
      <c r="H2939" s="909" t="s">
        <v>2092</v>
      </c>
      <c r="I2939" s="910" t="e">
        <f>VLOOKUP(H2936,'LƯƠNG KT'!$D$16:$Z$184,16,0)</f>
        <v>#N/A</v>
      </c>
      <c r="J2939" s="609" t="e">
        <f>I2939*$L$5</f>
        <v>#N/A</v>
      </c>
      <c r="K2939" s="935"/>
      <c r="L2939" s="935"/>
      <c r="M2939" s="935"/>
      <c r="N2939" s="935"/>
      <c r="O2939" s="935"/>
    </row>
    <row r="2940" spans="1:15" ht="15" customHeight="1">
      <c r="A2940" s="908" t="s">
        <v>370</v>
      </c>
      <c r="B2940" s="909" t="s">
        <v>2093</v>
      </c>
      <c r="C2940" s="910" t="e">
        <f>VLOOKUP(B2936,'LƯƠNG KT'!$D$16:$Z$184,24,0)</f>
        <v>#N/A</v>
      </c>
      <c r="D2940" s="609" t="e">
        <f>+C2940*$L$6</f>
        <v>#N/A</v>
      </c>
      <c r="E2940" s="912"/>
      <c r="F2940" s="912"/>
      <c r="G2940" s="908" t="s">
        <v>370</v>
      </c>
      <c r="H2940" s="909" t="s">
        <v>2093</v>
      </c>
      <c r="I2940" s="910" t="e">
        <f>VLOOKUP(H2936,'LƯƠNG KT'!$D$16:$Z$184,24,0)</f>
        <v>#N/A</v>
      </c>
      <c r="J2940" s="609" t="e">
        <f>+I2940*$L$6</f>
        <v>#N/A</v>
      </c>
      <c r="K2940" s="935"/>
      <c r="L2940" s="935"/>
      <c r="M2940" s="935"/>
      <c r="N2940" s="935"/>
      <c r="O2940" s="935"/>
    </row>
    <row r="2941" spans="1:15" ht="15" customHeight="1">
      <c r="A2941" s="908" t="s">
        <v>2094</v>
      </c>
      <c r="B2941" s="909" t="s">
        <v>2095</v>
      </c>
      <c r="C2941" s="910" t="e">
        <f>VLOOKUP(B2936,'LƯƠNG KT'!$D$16:$Z$184,19,0)</f>
        <v>#N/A</v>
      </c>
      <c r="D2941" s="609" t="e">
        <f>+C2941*$L$8</f>
        <v>#N/A</v>
      </c>
      <c r="E2941" s="912"/>
      <c r="F2941" s="912"/>
      <c r="G2941" s="908" t="s">
        <v>2094</v>
      </c>
      <c r="H2941" s="909" t="s">
        <v>2095</v>
      </c>
      <c r="I2941" s="910" t="e">
        <f>VLOOKUP(H2936,'LƯƠNG KT'!$D$16:$Z$184,19,0)</f>
        <v>#N/A</v>
      </c>
      <c r="J2941" s="609" t="e">
        <f>+I2941*$L$8</f>
        <v>#N/A</v>
      </c>
      <c r="K2941" s="935"/>
      <c r="L2941" s="935"/>
      <c r="M2941" s="935"/>
      <c r="N2941" s="935"/>
      <c r="O2941" s="935"/>
    </row>
    <row r="2942" spans="1:15" ht="15" customHeight="1">
      <c r="A2942" s="908" t="s">
        <v>2096</v>
      </c>
      <c r="B2942" s="913" t="s">
        <v>2097</v>
      </c>
      <c r="C2942" s="910" t="e">
        <f>VLOOKUP(B2936,'LƯƠNG KT'!$D$16:$Z$184,20,0)</f>
        <v>#N/A</v>
      </c>
      <c r="D2942" s="609" t="e">
        <f>+C2942*$L$9</f>
        <v>#N/A</v>
      </c>
      <c r="E2942" s="912"/>
      <c r="F2942" s="912"/>
      <c r="G2942" s="908" t="s">
        <v>2096</v>
      </c>
      <c r="H2942" s="913" t="s">
        <v>2097</v>
      </c>
      <c r="I2942" s="910" t="e">
        <f>VLOOKUP(H2936,'LƯƠNG KT'!$D$16:$Z$184,20,0)</f>
        <v>#N/A</v>
      </c>
      <c r="J2942" s="609" t="e">
        <f>+I2942*$L$9</f>
        <v>#N/A</v>
      </c>
      <c r="K2942" s="935"/>
      <c r="L2942" s="935"/>
      <c r="M2942" s="935"/>
      <c r="N2942" s="935"/>
      <c r="O2942" s="935"/>
    </row>
    <row r="2943" spans="1:15" ht="15" customHeight="1">
      <c r="A2943" s="908" t="s">
        <v>2099</v>
      </c>
      <c r="B2943" s="909" t="s">
        <v>2100</v>
      </c>
      <c r="C2943" s="910" t="e">
        <f>VLOOKUP(B2936,'LƯƠNG KT'!$D$16:$Z$184,17,0)</f>
        <v>#N/A</v>
      </c>
      <c r="D2943" s="609" t="e">
        <f>+C2943*$L$10</f>
        <v>#N/A</v>
      </c>
      <c r="E2943" s="912"/>
      <c r="F2943" s="912"/>
      <c r="G2943" s="908" t="s">
        <v>2099</v>
      </c>
      <c r="H2943" s="909" t="s">
        <v>2100</v>
      </c>
      <c r="I2943" s="910" t="e">
        <f>VLOOKUP(H2936,'LƯƠNG KT'!$D$16:$Z$184,17,0)</f>
        <v>#N/A</v>
      </c>
      <c r="J2943" s="609" t="e">
        <f>+I2943*$L$10</f>
        <v>#N/A</v>
      </c>
      <c r="K2943" s="935"/>
      <c r="L2943" s="935"/>
      <c r="M2943" s="935"/>
      <c r="N2943" s="935"/>
      <c r="O2943" s="935"/>
    </row>
    <row r="2944" spans="1:15" ht="15" customHeight="1">
      <c r="A2944" s="908" t="s">
        <v>374</v>
      </c>
      <c r="B2944" s="909" t="s">
        <v>2102</v>
      </c>
      <c r="C2944" s="910" t="e">
        <f>VLOOKUP(B2936,'LƯƠNG KT'!$D$16:$Z$184,12,0)</f>
        <v>#N/A</v>
      </c>
      <c r="D2944" s="609" t="e">
        <f>VLOOKUP(B2936,'LƯƠNG KT'!$D$16:$Z$184,14,0)</f>
        <v>#N/A</v>
      </c>
      <c r="E2944" s="914"/>
      <c r="F2944" s="912"/>
      <c r="G2944" s="908" t="s">
        <v>374</v>
      </c>
      <c r="H2944" s="909" t="s">
        <v>2102</v>
      </c>
      <c r="I2944" s="910" t="e">
        <f>VLOOKUP(H2936,'LƯƠNG KT'!$D$16:$Z$184,12,0)</f>
        <v>#N/A</v>
      </c>
      <c r="J2944" s="609" t="e">
        <f>VLOOKUP(H2936,'LƯƠNG KT'!$D$16:$Z$184,14,0)</f>
        <v>#N/A</v>
      </c>
      <c r="K2944" s="935"/>
      <c r="L2944" s="935"/>
      <c r="M2944" s="935"/>
      <c r="N2944" s="935"/>
      <c r="O2944" s="935"/>
    </row>
    <row r="2945" spans="1:15" ht="15" customHeight="1">
      <c r="A2945" s="908" t="s">
        <v>2103</v>
      </c>
      <c r="B2945" s="909" t="s">
        <v>2104</v>
      </c>
      <c r="D2945" s="915" t="e">
        <f>VLOOKUP(B2936,'LƯƠNG KT'!$D$16:$Z$184,13,0)</f>
        <v>#N/A</v>
      </c>
      <c r="E2945" s="916"/>
      <c r="F2945" s="916"/>
      <c r="G2945" s="908" t="s">
        <v>2103</v>
      </c>
      <c r="H2945" s="909" t="s">
        <v>2104</v>
      </c>
      <c r="J2945" s="915" t="e">
        <f>VLOOKUP(H2936,'LƯƠNG KT'!$D$16:$Z$184,13,0)</f>
        <v>#N/A</v>
      </c>
    </row>
    <row r="2946" spans="1:15" ht="15" customHeight="1">
      <c r="A2946" s="547"/>
      <c r="B2946" s="546"/>
      <c r="C2946" s="910"/>
      <c r="D2946" s="609"/>
      <c r="E2946" s="914"/>
      <c r="F2946" s="916"/>
      <c r="G2946" s="547"/>
      <c r="H2946" s="546"/>
      <c r="I2946" s="910"/>
      <c r="J2946" s="609"/>
    </row>
    <row r="2947" spans="1:15" ht="15" customHeight="1">
      <c r="A2947" s="905"/>
      <c r="B2947" s="546"/>
      <c r="C2947" s="910"/>
      <c r="D2947" s="609"/>
      <c r="E2947" s="917"/>
      <c r="F2947" s="904"/>
      <c r="G2947" s="905"/>
      <c r="H2947" s="546"/>
      <c r="I2947" s="910"/>
      <c r="J2947" s="609"/>
    </row>
    <row r="2948" spans="1:15" ht="15" customHeight="1">
      <c r="A2948" s="918" t="s">
        <v>383</v>
      </c>
      <c r="B2948" s="919" t="s">
        <v>384</v>
      </c>
      <c r="C2948" s="920"/>
      <c r="D2948" s="921" t="e">
        <f>SUM(D2937:D2944)-D2947</f>
        <v>#N/A</v>
      </c>
      <c r="E2948" s="922"/>
      <c r="F2948" s="923"/>
      <c r="G2948" s="918" t="s">
        <v>383</v>
      </c>
      <c r="H2948" s="919" t="s">
        <v>384</v>
      </c>
      <c r="I2948" s="920"/>
      <c r="J2948" s="921" t="e">
        <f>SUM(J2937:J2944)-J2947</f>
        <v>#N/A</v>
      </c>
    </row>
    <row r="2949" spans="1:15" ht="18.75" customHeight="1">
      <c r="A2949" s="924"/>
      <c r="B2949" s="925"/>
      <c r="C2949" s="926"/>
      <c r="D2949" s="927"/>
      <c r="E2949" s="927"/>
      <c r="F2949" s="928"/>
      <c r="G2949" s="924"/>
      <c r="H2949" s="925"/>
      <c r="I2949" s="926"/>
      <c r="J2949" s="927"/>
    </row>
    <row r="2950" spans="1:15" ht="18.75" customHeight="1">
      <c r="A2950" s="925"/>
      <c r="B2950" s="925"/>
      <c r="C2950" s="929"/>
      <c r="D2950" s="930"/>
      <c r="E2950" s="925"/>
      <c r="F2950" s="931"/>
      <c r="G2950" s="925"/>
      <c r="H2950" s="925"/>
      <c r="I2950" s="929"/>
      <c r="J2950" s="930"/>
    </row>
    <row r="2951" spans="1:15" ht="15" customHeight="1">
      <c r="A2951" s="2360" t="str">
        <f>$K$2</f>
        <v>THÁNG 04/2025</v>
      </c>
      <c r="B2951" s="2360"/>
      <c r="C2951" s="2360"/>
      <c r="D2951" s="2360"/>
      <c r="E2951" s="903"/>
      <c r="F2951" s="904"/>
      <c r="G2951" s="2360" t="str">
        <f>$K$2</f>
        <v>THÁNG 04/2025</v>
      </c>
      <c r="H2951" s="2360"/>
      <c r="I2951" s="2360"/>
      <c r="J2951" s="2360"/>
      <c r="K2951" s="276"/>
    </row>
    <row r="2952" spans="1:15" ht="15" customHeight="1">
      <c r="A2952" s="905" t="s">
        <v>356</v>
      </c>
      <c r="B2952" s="642" t="s">
        <v>242</v>
      </c>
      <c r="C2952" s="546"/>
      <c r="D2952" s="902"/>
      <c r="E2952" s="906"/>
      <c r="F2952" s="907"/>
      <c r="G2952" s="905" t="s">
        <v>356</v>
      </c>
      <c r="H2952" s="642" t="s">
        <v>243</v>
      </c>
      <c r="I2952" s="546"/>
      <c r="J2952" s="902"/>
      <c r="L2952" s="938"/>
      <c r="M2952" s="938"/>
      <c r="N2952" s="938"/>
      <c r="O2952" s="938"/>
    </row>
    <row r="2953" spans="1:15" ht="15" customHeight="1">
      <c r="A2953" s="908" t="s">
        <v>359</v>
      </c>
      <c r="B2953" s="909" t="s">
        <v>2090</v>
      </c>
      <c r="C2953" s="910" t="e">
        <f>VLOOKUP(B2952,'LƯƠNG KT'!$D$16:$Z$184,4,0)</f>
        <v>#N/A</v>
      </c>
      <c r="D2953" s="609" t="e">
        <f>+C2953*25000</f>
        <v>#N/A</v>
      </c>
      <c r="E2953" s="911"/>
      <c r="F2953" s="911"/>
      <c r="G2953" s="908" t="s">
        <v>359</v>
      </c>
      <c r="H2953" s="909" t="s">
        <v>2090</v>
      </c>
      <c r="I2953" s="910" t="e">
        <f>VLOOKUP(H2952,'LƯƠNG KT'!$D$16:$Z$184,4,0)</f>
        <v>#N/A</v>
      </c>
      <c r="J2953" s="609" t="e">
        <f>+I2953*25000</f>
        <v>#N/A</v>
      </c>
      <c r="K2953" s="935"/>
      <c r="L2953" s="935"/>
      <c r="M2953" s="935"/>
      <c r="N2953" s="935"/>
      <c r="O2953" s="935"/>
    </row>
    <row r="2954" spans="1:15" ht="15" customHeight="1">
      <c r="A2954" s="908" t="s">
        <v>361</v>
      </c>
      <c r="B2954" s="909" t="s">
        <v>2091</v>
      </c>
      <c r="C2954" s="910" t="e">
        <f>VLOOKUP(B2952,'LƯƠNG KT'!$D$16:$Z$184,15,0)</f>
        <v>#N/A</v>
      </c>
      <c r="D2954" s="609" t="e">
        <f>C2954*$L$4</f>
        <v>#N/A</v>
      </c>
      <c r="E2954" s="912"/>
      <c r="F2954" s="912"/>
      <c r="G2954" s="908" t="s">
        <v>361</v>
      </c>
      <c r="H2954" s="909" t="s">
        <v>2091</v>
      </c>
      <c r="I2954" s="910" t="e">
        <f>VLOOKUP(H2952,'LƯƠNG KT'!$D$16:$Z$184,15,0)</f>
        <v>#N/A</v>
      </c>
      <c r="J2954" s="609" t="e">
        <f>I2954*$L$4</f>
        <v>#N/A</v>
      </c>
      <c r="K2954" s="935"/>
      <c r="L2954" s="935"/>
      <c r="M2954" s="935"/>
      <c r="N2954" s="935"/>
      <c r="O2954" s="935"/>
    </row>
    <row r="2955" spans="1:15" ht="15" customHeight="1">
      <c r="A2955" s="908" t="s">
        <v>364</v>
      </c>
      <c r="B2955" s="909" t="s">
        <v>2092</v>
      </c>
      <c r="C2955" s="910" t="e">
        <f>VLOOKUP(B2952,'LƯƠNG KT'!$D$16:$Z$184,16,0)</f>
        <v>#N/A</v>
      </c>
      <c r="D2955" s="609" t="e">
        <f>C2955*$L$5</f>
        <v>#N/A</v>
      </c>
      <c r="E2955" s="912"/>
      <c r="F2955" s="912"/>
      <c r="G2955" s="908" t="s">
        <v>364</v>
      </c>
      <c r="H2955" s="909" t="s">
        <v>2092</v>
      </c>
      <c r="I2955" s="910" t="e">
        <f>VLOOKUP(H2952,'LƯƠNG KT'!$D$16:$Z$184,16,0)</f>
        <v>#N/A</v>
      </c>
      <c r="J2955" s="609" t="e">
        <f>I2955*$L$5</f>
        <v>#N/A</v>
      </c>
      <c r="K2955" s="935"/>
      <c r="L2955" s="935"/>
      <c r="M2955" s="935"/>
      <c r="N2955" s="935"/>
      <c r="O2955" s="935"/>
    </row>
    <row r="2956" spans="1:15" ht="15" customHeight="1">
      <c r="A2956" s="908" t="s">
        <v>370</v>
      </c>
      <c r="B2956" s="909" t="s">
        <v>2093</v>
      </c>
      <c r="C2956" s="910" t="e">
        <f>VLOOKUP(B2952,'LƯƠNG KT'!$D$16:$Z$184,24,0)</f>
        <v>#N/A</v>
      </c>
      <c r="D2956" s="609" t="e">
        <f>+C2956*$L$6</f>
        <v>#N/A</v>
      </c>
      <c r="E2956" s="912"/>
      <c r="F2956" s="912"/>
      <c r="G2956" s="908" t="s">
        <v>370</v>
      </c>
      <c r="H2956" s="909" t="s">
        <v>2093</v>
      </c>
      <c r="I2956" s="910" t="e">
        <f>VLOOKUP(H2952,'LƯƠNG KT'!$D$16:$Z$184,24,0)</f>
        <v>#N/A</v>
      </c>
      <c r="J2956" s="609" t="e">
        <f>+I2956*$L$6</f>
        <v>#N/A</v>
      </c>
      <c r="K2956" s="935"/>
      <c r="L2956" s="935"/>
      <c r="M2956" s="935"/>
      <c r="N2956" s="935"/>
      <c r="O2956" s="935"/>
    </row>
    <row r="2957" spans="1:15" ht="15" customHeight="1">
      <c r="A2957" s="908" t="s">
        <v>2094</v>
      </c>
      <c r="B2957" s="909" t="s">
        <v>2095</v>
      </c>
      <c r="C2957" s="910" t="e">
        <f>VLOOKUP(B2952,'LƯƠNG KT'!$D$16:$Z$184,19,0)</f>
        <v>#N/A</v>
      </c>
      <c r="D2957" s="609" t="e">
        <f>+C2957*$L$8</f>
        <v>#N/A</v>
      </c>
      <c r="E2957" s="912"/>
      <c r="F2957" s="912"/>
      <c r="G2957" s="908" t="s">
        <v>2094</v>
      </c>
      <c r="H2957" s="909" t="s">
        <v>2095</v>
      </c>
      <c r="I2957" s="910" t="e">
        <f>VLOOKUP(H2952,'LƯƠNG KT'!$D$16:$Z$184,19,0)</f>
        <v>#N/A</v>
      </c>
      <c r="J2957" s="609" t="e">
        <f>+I2957*$L$8</f>
        <v>#N/A</v>
      </c>
      <c r="K2957" s="935"/>
      <c r="L2957" s="935"/>
      <c r="M2957" s="935"/>
      <c r="N2957" s="935"/>
      <c r="O2957" s="935"/>
    </row>
    <row r="2958" spans="1:15" ht="15" customHeight="1">
      <c r="A2958" s="908" t="s">
        <v>2096</v>
      </c>
      <c r="B2958" s="913" t="s">
        <v>2097</v>
      </c>
      <c r="C2958" s="910" t="e">
        <f>VLOOKUP(B2952,'LƯƠNG KT'!$D$16:$Z$184,20,0)</f>
        <v>#N/A</v>
      </c>
      <c r="D2958" s="609" t="e">
        <f>+C2958*$L$9</f>
        <v>#N/A</v>
      </c>
      <c r="E2958" s="912"/>
      <c r="F2958" s="912"/>
      <c r="G2958" s="908" t="s">
        <v>2096</v>
      </c>
      <c r="H2958" s="913" t="s">
        <v>2097</v>
      </c>
      <c r="I2958" s="910" t="e">
        <f>VLOOKUP(H2952,'LƯƠNG KT'!$D$16:$Z$184,20,0)</f>
        <v>#N/A</v>
      </c>
      <c r="J2958" s="609" t="e">
        <f>+I2958*$L$9</f>
        <v>#N/A</v>
      </c>
      <c r="K2958" s="935"/>
      <c r="L2958" s="935"/>
      <c r="M2958" s="935"/>
      <c r="N2958" s="935"/>
      <c r="O2958" s="935"/>
    </row>
    <row r="2959" spans="1:15" ht="15" customHeight="1">
      <c r="A2959" s="908" t="s">
        <v>2099</v>
      </c>
      <c r="B2959" s="909" t="s">
        <v>2100</v>
      </c>
      <c r="C2959" s="910" t="e">
        <f>VLOOKUP(B2952,'LƯƠNG KT'!$D$16:$Z$184,17,0)</f>
        <v>#N/A</v>
      </c>
      <c r="D2959" s="609" t="e">
        <f>+C2959*$L$10</f>
        <v>#N/A</v>
      </c>
      <c r="E2959" s="912"/>
      <c r="F2959" s="912"/>
      <c r="G2959" s="908" t="s">
        <v>2099</v>
      </c>
      <c r="H2959" s="909" t="s">
        <v>2100</v>
      </c>
      <c r="I2959" s="910" t="e">
        <f>VLOOKUP(H2952,'LƯƠNG KT'!$D$16:$Z$184,17,0)</f>
        <v>#N/A</v>
      </c>
      <c r="J2959" s="609" t="e">
        <f>+I2959*$L$10</f>
        <v>#N/A</v>
      </c>
      <c r="K2959" s="935"/>
      <c r="L2959" s="935"/>
      <c r="M2959" s="935"/>
      <c r="N2959" s="935"/>
      <c r="O2959" s="935"/>
    </row>
    <row r="2960" spans="1:15" ht="15" customHeight="1">
      <c r="A2960" s="908" t="s">
        <v>374</v>
      </c>
      <c r="B2960" s="909" t="s">
        <v>2102</v>
      </c>
      <c r="C2960" s="910" t="e">
        <f>VLOOKUP(B2952,'LƯƠNG KT'!$D$16:$Z$184,12,0)</f>
        <v>#N/A</v>
      </c>
      <c r="D2960" s="609" t="e">
        <f>VLOOKUP(B2952,'LƯƠNG KT'!$D$16:$Z$184,14,0)</f>
        <v>#N/A</v>
      </c>
      <c r="E2960" s="914"/>
      <c r="F2960" s="912"/>
      <c r="G2960" s="908" t="s">
        <v>374</v>
      </c>
      <c r="H2960" s="909" t="s">
        <v>2102</v>
      </c>
      <c r="I2960" s="910" t="e">
        <f>VLOOKUP(H2952,'LƯƠNG KT'!$D$16:$Z$184,12,0)</f>
        <v>#N/A</v>
      </c>
      <c r="J2960" s="609" t="e">
        <f>VLOOKUP(H2952,'LƯƠNG KT'!$D$16:$Z$184,14,0)</f>
        <v>#N/A</v>
      </c>
      <c r="K2960" s="935"/>
      <c r="L2960" s="935"/>
      <c r="M2960" s="935"/>
      <c r="N2960" s="935"/>
      <c r="O2960" s="935"/>
    </row>
    <row r="2961" spans="1:15" ht="15" customHeight="1">
      <c r="A2961" s="908" t="s">
        <v>2103</v>
      </c>
      <c r="B2961" s="909" t="s">
        <v>2104</v>
      </c>
      <c r="D2961" s="915" t="e">
        <f>VLOOKUP(B2952,'LƯƠNG KT'!$D$16:$Z$184,13,0)</f>
        <v>#N/A</v>
      </c>
      <c r="E2961" s="916"/>
      <c r="F2961" s="916"/>
      <c r="G2961" s="908" t="s">
        <v>2103</v>
      </c>
      <c r="H2961" s="909" t="s">
        <v>2104</v>
      </c>
      <c r="J2961" s="915" t="e">
        <f>VLOOKUP(H2952,'LƯƠNG KT'!$D$16:$Z$184,13,0)</f>
        <v>#N/A</v>
      </c>
    </row>
    <row r="2962" spans="1:15" ht="15" customHeight="1">
      <c r="A2962" s="547"/>
      <c r="B2962" s="546"/>
      <c r="C2962" s="910"/>
      <c r="D2962" s="609"/>
      <c r="E2962" s="914"/>
      <c r="F2962" s="916"/>
      <c r="G2962" s="547"/>
      <c r="H2962" s="546"/>
      <c r="I2962" s="910"/>
      <c r="J2962" s="609"/>
    </row>
    <row r="2963" spans="1:15" ht="15" customHeight="1">
      <c r="A2963" s="905"/>
      <c r="B2963" s="546"/>
      <c r="C2963" s="910"/>
      <c r="D2963" s="609"/>
      <c r="E2963" s="917"/>
      <c r="F2963" s="904"/>
      <c r="G2963" s="905"/>
      <c r="H2963" s="546"/>
      <c r="I2963" s="910"/>
      <c r="J2963" s="609"/>
    </row>
    <row r="2964" spans="1:15" ht="15" customHeight="1">
      <c r="A2964" s="918" t="s">
        <v>383</v>
      </c>
      <c r="B2964" s="919" t="s">
        <v>384</v>
      </c>
      <c r="C2964" s="920"/>
      <c r="D2964" s="921" t="e">
        <f>SUM(D2953:D2960)-D2963</f>
        <v>#N/A</v>
      </c>
      <c r="E2964" s="922"/>
      <c r="F2964" s="923"/>
      <c r="G2964" s="918" t="s">
        <v>383</v>
      </c>
      <c r="H2964" s="919" t="s">
        <v>384</v>
      </c>
      <c r="I2964" s="920"/>
      <c r="J2964" s="921" t="e">
        <f>SUM(J2953:J2960)-J2963</f>
        <v>#N/A</v>
      </c>
    </row>
    <row r="2965" spans="1:15" ht="18.75" customHeight="1">
      <c r="A2965" s="924"/>
      <c r="B2965" s="925"/>
      <c r="C2965" s="926"/>
      <c r="D2965" s="927"/>
      <c r="E2965" s="927"/>
      <c r="F2965" s="928"/>
      <c r="G2965" s="924"/>
      <c r="H2965" s="925"/>
      <c r="I2965" s="926"/>
      <c r="J2965" s="927"/>
    </row>
    <row r="2966" spans="1:15" ht="153.75" customHeight="1">
      <c r="A2966" s="925"/>
      <c r="B2966" s="925"/>
      <c r="C2966" s="929"/>
      <c r="D2966" s="930"/>
      <c r="E2966" s="925"/>
      <c r="F2966" s="931"/>
      <c r="G2966" s="925"/>
      <c r="H2966" s="925"/>
      <c r="I2966" s="929"/>
      <c r="J2966" s="930"/>
    </row>
    <row r="2967" spans="1:15" ht="15" customHeight="1">
      <c r="A2967" s="2360" t="str">
        <f>$K$2</f>
        <v>THÁNG 04/2025</v>
      </c>
      <c r="B2967" s="2360"/>
      <c r="C2967" s="2360"/>
      <c r="D2967" s="2360"/>
      <c r="E2967" s="903"/>
      <c r="F2967" s="904"/>
      <c r="G2967" s="2360" t="str">
        <f>$K$2</f>
        <v>THÁNG 04/2025</v>
      </c>
      <c r="H2967" s="2360"/>
      <c r="I2967" s="2360"/>
      <c r="J2967" s="2360"/>
      <c r="K2967" s="276"/>
    </row>
    <row r="2968" spans="1:15" ht="15" customHeight="1">
      <c r="A2968" s="905" t="s">
        <v>356</v>
      </c>
      <c r="B2968" s="642" t="s">
        <v>244</v>
      </c>
      <c r="C2968" s="546"/>
      <c r="D2968" s="902"/>
      <c r="E2968" s="906"/>
      <c r="F2968" s="907"/>
      <c r="G2968" s="905" t="s">
        <v>356</v>
      </c>
      <c r="H2968" s="642" t="s">
        <v>245</v>
      </c>
      <c r="I2968" s="546"/>
      <c r="J2968" s="902"/>
      <c r="L2968" s="938"/>
      <c r="M2968" s="938"/>
      <c r="N2968" s="938"/>
      <c r="O2968" s="938"/>
    </row>
    <row r="2969" spans="1:15" ht="15" customHeight="1">
      <c r="A2969" s="908" t="s">
        <v>359</v>
      </c>
      <c r="B2969" s="909" t="s">
        <v>2090</v>
      </c>
      <c r="C2969" s="910" t="e">
        <f>VLOOKUP(B2968,'LƯƠNG KT'!$D$16:$Z$184,4,0)</f>
        <v>#N/A</v>
      </c>
      <c r="D2969" s="609" t="e">
        <f>+C2969*25000</f>
        <v>#N/A</v>
      </c>
      <c r="E2969" s="911"/>
      <c r="F2969" s="911"/>
      <c r="G2969" s="908" t="s">
        <v>359</v>
      </c>
      <c r="H2969" s="909" t="s">
        <v>2090</v>
      </c>
      <c r="I2969" s="910" t="e">
        <f>VLOOKUP(H2968,'LƯƠNG KT'!$D$16:$Z$184,4,0)</f>
        <v>#N/A</v>
      </c>
      <c r="J2969" s="609" t="e">
        <f>+I2969*25000</f>
        <v>#N/A</v>
      </c>
      <c r="K2969" s="935"/>
      <c r="L2969" s="935"/>
      <c r="M2969" s="935"/>
      <c r="N2969" s="935"/>
      <c r="O2969" s="935"/>
    </row>
    <row r="2970" spans="1:15" ht="15" customHeight="1">
      <c r="A2970" s="908" t="s">
        <v>361</v>
      </c>
      <c r="B2970" s="909" t="s">
        <v>2091</v>
      </c>
      <c r="C2970" s="910" t="e">
        <f>VLOOKUP(B2968,'LƯƠNG KT'!$D$16:$Z$184,15,0)</f>
        <v>#N/A</v>
      </c>
      <c r="D2970" s="609" t="e">
        <f>C2970*$L$4</f>
        <v>#N/A</v>
      </c>
      <c r="E2970" s="912"/>
      <c r="F2970" s="912"/>
      <c r="G2970" s="908" t="s">
        <v>361</v>
      </c>
      <c r="H2970" s="909" t="s">
        <v>2091</v>
      </c>
      <c r="I2970" s="910" t="e">
        <f>VLOOKUP(H2968,'LƯƠNG KT'!$D$16:$Z$184,15,0)</f>
        <v>#N/A</v>
      </c>
      <c r="J2970" s="609" t="e">
        <f>I2970*$L$4</f>
        <v>#N/A</v>
      </c>
      <c r="K2970" s="935"/>
      <c r="L2970" s="935"/>
      <c r="M2970" s="935"/>
      <c r="N2970" s="935"/>
      <c r="O2970" s="935"/>
    </row>
    <row r="2971" spans="1:15" ht="15" customHeight="1">
      <c r="A2971" s="908" t="s">
        <v>364</v>
      </c>
      <c r="B2971" s="909" t="s">
        <v>2092</v>
      </c>
      <c r="C2971" s="910" t="e">
        <f>VLOOKUP(B2968,'LƯƠNG KT'!$D$16:$Z$184,16,0)</f>
        <v>#N/A</v>
      </c>
      <c r="D2971" s="609" t="e">
        <f>C2971*$L$5</f>
        <v>#N/A</v>
      </c>
      <c r="E2971" s="912"/>
      <c r="F2971" s="912"/>
      <c r="G2971" s="908" t="s">
        <v>364</v>
      </c>
      <c r="H2971" s="909" t="s">
        <v>2092</v>
      </c>
      <c r="I2971" s="910" t="e">
        <f>VLOOKUP(H2968,'LƯƠNG KT'!$D$16:$Z$184,16,0)</f>
        <v>#N/A</v>
      </c>
      <c r="J2971" s="609" t="e">
        <f>I2971*$L$5</f>
        <v>#N/A</v>
      </c>
      <c r="K2971" s="935"/>
      <c r="L2971" s="935"/>
      <c r="M2971" s="935"/>
      <c r="N2971" s="935"/>
      <c r="O2971" s="935"/>
    </row>
    <row r="2972" spans="1:15" ht="15" customHeight="1">
      <c r="A2972" s="908" t="s">
        <v>370</v>
      </c>
      <c r="B2972" s="909" t="s">
        <v>2093</v>
      </c>
      <c r="C2972" s="910" t="e">
        <f>VLOOKUP(B2968,'LƯƠNG KT'!$D$16:$Z$184,24,0)</f>
        <v>#N/A</v>
      </c>
      <c r="D2972" s="609" t="e">
        <f>+C2972*$L$6</f>
        <v>#N/A</v>
      </c>
      <c r="E2972" s="912"/>
      <c r="F2972" s="912"/>
      <c r="G2972" s="908" t="s">
        <v>370</v>
      </c>
      <c r="H2972" s="909" t="s">
        <v>2093</v>
      </c>
      <c r="I2972" s="910" t="e">
        <f>VLOOKUP(H2968,'LƯƠNG KT'!$D$16:$Z$184,24,0)</f>
        <v>#N/A</v>
      </c>
      <c r="J2972" s="609" t="e">
        <f>+I2972*$L$6</f>
        <v>#N/A</v>
      </c>
      <c r="K2972" s="935"/>
      <c r="L2972" s="935"/>
      <c r="M2972" s="935"/>
      <c r="N2972" s="935"/>
      <c r="O2972" s="935"/>
    </row>
    <row r="2973" spans="1:15" ht="15" customHeight="1">
      <c r="A2973" s="908" t="s">
        <v>2094</v>
      </c>
      <c r="B2973" s="909" t="s">
        <v>2095</v>
      </c>
      <c r="C2973" s="910" t="e">
        <f>VLOOKUP(B2968,'LƯƠNG KT'!$D$16:$Z$184,19,0)</f>
        <v>#N/A</v>
      </c>
      <c r="D2973" s="609" t="e">
        <f>+C2973*$L$8</f>
        <v>#N/A</v>
      </c>
      <c r="E2973" s="912"/>
      <c r="F2973" s="912"/>
      <c r="G2973" s="908" t="s">
        <v>2094</v>
      </c>
      <c r="H2973" s="909" t="s">
        <v>2095</v>
      </c>
      <c r="I2973" s="910" t="e">
        <f>VLOOKUP(H2968,'LƯƠNG KT'!$D$16:$Z$184,19,0)</f>
        <v>#N/A</v>
      </c>
      <c r="J2973" s="609" t="e">
        <f>+I2973*$L$8</f>
        <v>#N/A</v>
      </c>
      <c r="K2973" s="935"/>
      <c r="L2973" s="935"/>
      <c r="M2973" s="935"/>
      <c r="N2973" s="935"/>
      <c r="O2973" s="935"/>
    </row>
    <row r="2974" spans="1:15" ht="15" customHeight="1">
      <c r="A2974" s="908" t="s">
        <v>2096</v>
      </c>
      <c r="B2974" s="913" t="s">
        <v>2097</v>
      </c>
      <c r="C2974" s="910" t="e">
        <f>VLOOKUP(B2968,'LƯƠNG KT'!$D$16:$Z$184,20,0)</f>
        <v>#N/A</v>
      </c>
      <c r="D2974" s="609" t="e">
        <f>+C2974*$L$9</f>
        <v>#N/A</v>
      </c>
      <c r="E2974" s="912"/>
      <c r="F2974" s="912"/>
      <c r="G2974" s="908" t="s">
        <v>2096</v>
      </c>
      <c r="H2974" s="913" t="s">
        <v>2097</v>
      </c>
      <c r="I2974" s="910" t="e">
        <f>VLOOKUP(H2968,'LƯƠNG KT'!$D$16:$Z$184,20,0)</f>
        <v>#N/A</v>
      </c>
      <c r="J2974" s="609" t="e">
        <f>+I2974*$L$9</f>
        <v>#N/A</v>
      </c>
      <c r="K2974" s="935"/>
      <c r="L2974" s="935"/>
      <c r="M2974" s="935"/>
      <c r="N2974" s="935"/>
      <c r="O2974" s="935"/>
    </row>
    <row r="2975" spans="1:15" ht="15" customHeight="1">
      <c r="A2975" s="908" t="s">
        <v>2099</v>
      </c>
      <c r="B2975" s="909" t="s">
        <v>2100</v>
      </c>
      <c r="C2975" s="910" t="e">
        <f>VLOOKUP(B2968,'LƯƠNG KT'!$D$16:$Z$184,17,0)</f>
        <v>#N/A</v>
      </c>
      <c r="D2975" s="609" t="e">
        <f>+C2975*$L$10</f>
        <v>#N/A</v>
      </c>
      <c r="E2975" s="912"/>
      <c r="F2975" s="912"/>
      <c r="G2975" s="908" t="s">
        <v>2099</v>
      </c>
      <c r="H2975" s="909" t="s">
        <v>2100</v>
      </c>
      <c r="I2975" s="910" t="e">
        <f>VLOOKUP(H2968,'LƯƠNG KT'!$D$16:$Z$184,17,0)</f>
        <v>#N/A</v>
      </c>
      <c r="J2975" s="609" t="e">
        <f>+I2975*$L$10</f>
        <v>#N/A</v>
      </c>
      <c r="K2975" s="935"/>
      <c r="L2975" s="935"/>
      <c r="M2975" s="935"/>
      <c r="N2975" s="935"/>
      <c r="O2975" s="935"/>
    </row>
    <row r="2976" spans="1:15" ht="15" customHeight="1">
      <c r="A2976" s="908" t="s">
        <v>374</v>
      </c>
      <c r="B2976" s="909" t="s">
        <v>2102</v>
      </c>
      <c r="C2976" s="910" t="e">
        <f>VLOOKUP(B2968,'LƯƠNG KT'!$D$16:$Z$184,12,0)</f>
        <v>#N/A</v>
      </c>
      <c r="D2976" s="609" t="e">
        <f>VLOOKUP(B2968,'LƯƠNG KT'!$D$16:$Z$184,14,0)</f>
        <v>#N/A</v>
      </c>
      <c r="E2976" s="914"/>
      <c r="F2976" s="912"/>
      <c r="G2976" s="908" t="s">
        <v>374</v>
      </c>
      <c r="H2976" s="909" t="s">
        <v>2102</v>
      </c>
      <c r="I2976" s="910" t="e">
        <f>VLOOKUP(H2968,'LƯƠNG KT'!$D$16:$Z$184,12,0)</f>
        <v>#N/A</v>
      </c>
      <c r="J2976" s="609" t="e">
        <f>VLOOKUP(H2968,'LƯƠNG KT'!$D$16:$Z$184,14,0)</f>
        <v>#N/A</v>
      </c>
      <c r="K2976" s="935"/>
      <c r="L2976" s="935"/>
      <c r="M2976" s="935"/>
      <c r="N2976" s="935"/>
      <c r="O2976" s="935"/>
    </row>
    <row r="2977" spans="1:15" ht="15" customHeight="1">
      <c r="A2977" s="908" t="s">
        <v>2103</v>
      </c>
      <c r="B2977" s="909" t="s">
        <v>2104</v>
      </c>
      <c r="D2977" s="915" t="e">
        <f>VLOOKUP(B2968,'LƯƠNG KT'!$D$16:$Z$184,13,0)</f>
        <v>#N/A</v>
      </c>
      <c r="E2977" s="916"/>
      <c r="F2977" s="916"/>
      <c r="G2977" s="908" t="s">
        <v>2103</v>
      </c>
      <c r="H2977" s="909" t="s">
        <v>2104</v>
      </c>
      <c r="J2977" s="915" t="e">
        <f>VLOOKUP(H2968,'LƯƠNG KT'!$D$16:$Z$184,13,0)</f>
        <v>#N/A</v>
      </c>
    </row>
    <row r="2978" spans="1:15" ht="15" customHeight="1">
      <c r="A2978" s="547"/>
      <c r="B2978" s="546"/>
      <c r="C2978" s="910"/>
      <c r="D2978" s="609"/>
      <c r="E2978" s="914"/>
      <c r="F2978" s="916"/>
      <c r="G2978" s="547"/>
      <c r="H2978" s="546"/>
      <c r="I2978" s="910"/>
      <c r="J2978" s="609"/>
    </row>
    <row r="2979" spans="1:15" ht="15" customHeight="1">
      <c r="A2979" s="905"/>
      <c r="B2979" s="546"/>
      <c r="C2979" s="910"/>
      <c r="D2979" s="609"/>
      <c r="E2979" s="917"/>
      <c r="F2979" s="904"/>
      <c r="G2979" s="905"/>
      <c r="H2979" s="546"/>
      <c r="I2979" s="910"/>
      <c r="J2979" s="609"/>
    </row>
    <row r="2980" spans="1:15" ht="15" customHeight="1">
      <c r="A2980" s="918" t="s">
        <v>383</v>
      </c>
      <c r="B2980" s="919" t="s">
        <v>384</v>
      </c>
      <c r="C2980" s="920"/>
      <c r="D2980" s="921" t="e">
        <f>SUM(D2969:D2976)-D2979</f>
        <v>#N/A</v>
      </c>
      <c r="E2980" s="922"/>
      <c r="F2980" s="923"/>
      <c r="G2980" s="918" t="s">
        <v>383</v>
      </c>
      <c r="H2980" s="919" t="s">
        <v>384</v>
      </c>
      <c r="I2980" s="920"/>
      <c r="J2980" s="921" t="e">
        <f>SUM(J2969:J2976)-J2979</f>
        <v>#N/A</v>
      </c>
    </row>
    <row r="2981" spans="1:15" ht="15.75" customHeight="1">
      <c r="A2981" s="924"/>
      <c r="B2981" s="925"/>
      <c r="C2981" s="926"/>
      <c r="D2981" s="927"/>
      <c r="E2981" s="927"/>
      <c r="F2981" s="928"/>
      <c r="G2981" s="924"/>
      <c r="H2981" s="925"/>
      <c r="I2981" s="926"/>
      <c r="J2981" s="927"/>
    </row>
    <row r="2983" spans="1:15" ht="12" customHeight="1">
      <c r="A2983" s="2361"/>
      <c r="B2983" s="2361"/>
      <c r="C2983" s="2361"/>
      <c r="D2983" s="2361"/>
      <c r="E2983" s="2361"/>
      <c r="F2983" s="2361"/>
      <c r="G2983" s="2361"/>
      <c r="H2983" s="2361"/>
      <c r="I2983" s="2361"/>
      <c r="J2983" s="2361"/>
    </row>
    <row r="2984" spans="1:15" ht="15" customHeight="1">
      <c r="A2984" s="2360" t="str">
        <f>$K$2</f>
        <v>THÁNG 04/2025</v>
      </c>
      <c r="B2984" s="2360"/>
      <c r="C2984" s="2360"/>
      <c r="D2984" s="2360"/>
      <c r="E2984" s="903"/>
      <c r="F2984" s="904"/>
      <c r="G2984" s="2360" t="str">
        <f>$K$2</f>
        <v>THÁNG 04/2025</v>
      </c>
      <c r="H2984" s="2360"/>
      <c r="I2984" s="2360"/>
      <c r="J2984" s="2360"/>
      <c r="K2984" s="276"/>
    </row>
    <row r="2985" spans="1:15" ht="15" customHeight="1">
      <c r="A2985" s="905" t="s">
        <v>356</v>
      </c>
      <c r="B2985" s="642" t="s">
        <v>246</v>
      </c>
      <c r="C2985" s="546"/>
      <c r="D2985" s="902"/>
      <c r="E2985" s="906"/>
      <c r="F2985" s="907"/>
      <c r="G2985" s="905" t="s">
        <v>356</v>
      </c>
      <c r="H2985" s="642" t="s">
        <v>247</v>
      </c>
      <c r="I2985" s="546"/>
      <c r="J2985" s="902"/>
      <c r="L2985" s="938"/>
      <c r="M2985" s="938"/>
      <c r="N2985" s="938"/>
      <c r="O2985" s="938"/>
    </row>
    <row r="2986" spans="1:15" ht="15" customHeight="1">
      <c r="A2986" s="908" t="s">
        <v>359</v>
      </c>
      <c r="B2986" s="909" t="s">
        <v>2090</v>
      </c>
      <c r="C2986" s="910" t="e">
        <f>VLOOKUP(B2985,'LƯƠNG KT'!$D$16:$Z$184,4,0)</f>
        <v>#N/A</v>
      </c>
      <c r="D2986" s="609" t="e">
        <f>+C2986*25000</f>
        <v>#N/A</v>
      </c>
      <c r="E2986" s="911"/>
      <c r="F2986" s="911"/>
      <c r="G2986" s="908" t="s">
        <v>359</v>
      </c>
      <c r="H2986" s="909" t="s">
        <v>2090</v>
      </c>
      <c r="I2986" s="910" t="e">
        <f>VLOOKUP(H2985,'LƯƠNG KT'!$D$16:$Z$184,4,0)</f>
        <v>#N/A</v>
      </c>
      <c r="J2986" s="609" t="e">
        <f>+I2986*25000</f>
        <v>#N/A</v>
      </c>
      <c r="K2986" s="934"/>
      <c r="L2986" s="935"/>
      <c r="M2986" s="935"/>
      <c r="N2986" s="935"/>
      <c r="O2986" s="935"/>
    </row>
    <row r="2987" spans="1:15" ht="15" customHeight="1">
      <c r="A2987" s="908" t="s">
        <v>361</v>
      </c>
      <c r="B2987" s="909" t="s">
        <v>2091</v>
      </c>
      <c r="C2987" s="910" t="e">
        <f>VLOOKUP(B2985,'LƯƠNG KT'!$D$16:$Z$184,15,0)</f>
        <v>#N/A</v>
      </c>
      <c r="D2987" s="609" t="e">
        <f>C2987*$L$4</f>
        <v>#N/A</v>
      </c>
      <c r="E2987" s="912"/>
      <c r="F2987" s="912"/>
      <c r="G2987" s="908" t="s">
        <v>361</v>
      </c>
      <c r="H2987" s="909" t="s">
        <v>2091</v>
      </c>
      <c r="I2987" s="910" t="e">
        <f>VLOOKUP(H2985,'LƯƠNG KT'!$D$16:$Z$184,15,0)</f>
        <v>#N/A</v>
      </c>
      <c r="J2987" s="609" t="e">
        <f>I2987*$L$4</f>
        <v>#N/A</v>
      </c>
      <c r="K2987" s="934"/>
      <c r="L2987" s="935"/>
      <c r="M2987" s="935"/>
      <c r="N2987" s="935"/>
      <c r="O2987" s="935"/>
    </row>
    <row r="2988" spans="1:15" ht="15" customHeight="1">
      <c r="A2988" s="908" t="s">
        <v>364</v>
      </c>
      <c r="B2988" s="909" t="s">
        <v>2092</v>
      </c>
      <c r="C2988" s="910" t="e">
        <f>VLOOKUP(B2985,'LƯƠNG KT'!$D$16:$Z$184,16,0)</f>
        <v>#N/A</v>
      </c>
      <c r="D2988" s="609" t="e">
        <f>C2988*$L$5</f>
        <v>#N/A</v>
      </c>
      <c r="E2988" s="912"/>
      <c r="F2988" s="912"/>
      <c r="G2988" s="908" t="s">
        <v>364</v>
      </c>
      <c r="H2988" s="909" t="s">
        <v>2092</v>
      </c>
      <c r="I2988" s="910" t="e">
        <f>VLOOKUP(H2985,'LƯƠNG KT'!$D$16:$Z$184,16,0)</f>
        <v>#N/A</v>
      </c>
      <c r="J2988" s="609" t="e">
        <f>I2988*$L$5</f>
        <v>#N/A</v>
      </c>
      <c r="K2988" s="934"/>
      <c r="L2988" s="935"/>
      <c r="M2988" s="935"/>
      <c r="N2988" s="935"/>
      <c r="O2988" s="935"/>
    </row>
    <row r="2989" spans="1:15" ht="15" customHeight="1">
      <c r="A2989" s="908" t="s">
        <v>370</v>
      </c>
      <c r="B2989" s="909" t="s">
        <v>2093</v>
      </c>
      <c r="C2989" s="910" t="e">
        <f>VLOOKUP(B2985,'LƯƠNG KT'!$D$16:$Z$184,24,0)</f>
        <v>#N/A</v>
      </c>
      <c r="D2989" s="609" t="e">
        <f>+C2989*$L$6</f>
        <v>#N/A</v>
      </c>
      <c r="E2989" s="912"/>
      <c r="F2989" s="912"/>
      <c r="G2989" s="908" t="s">
        <v>370</v>
      </c>
      <c r="H2989" s="909" t="s">
        <v>2093</v>
      </c>
      <c r="I2989" s="910" t="e">
        <f>VLOOKUP(H2985,'LƯƠNG KT'!$D$16:$Z$184,24,0)</f>
        <v>#N/A</v>
      </c>
      <c r="J2989" s="609" t="e">
        <f>+I2989*$L$6</f>
        <v>#N/A</v>
      </c>
      <c r="K2989" s="935"/>
      <c r="L2989" s="935"/>
      <c r="M2989" s="935"/>
      <c r="N2989" s="935"/>
      <c r="O2989" s="935"/>
    </row>
    <row r="2990" spans="1:15" ht="15" customHeight="1">
      <c r="A2990" s="908" t="s">
        <v>2094</v>
      </c>
      <c r="B2990" s="909" t="s">
        <v>2095</v>
      </c>
      <c r="C2990" s="910" t="e">
        <f>VLOOKUP(B2985,'LƯƠNG KT'!$D$16:$Z$184,19,0)</f>
        <v>#N/A</v>
      </c>
      <c r="D2990" s="609" t="e">
        <f>+C2990*$L$8</f>
        <v>#N/A</v>
      </c>
      <c r="E2990" s="912"/>
      <c r="F2990" s="912"/>
      <c r="G2990" s="908" t="s">
        <v>2094</v>
      </c>
      <c r="H2990" s="909" t="s">
        <v>2095</v>
      </c>
      <c r="I2990" s="910" t="e">
        <f>VLOOKUP(H2985,'LƯƠNG KT'!$D$16:$Z$184,19,0)</f>
        <v>#N/A</v>
      </c>
      <c r="J2990" s="609" t="e">
        <f>+I2990*$L$8</f>
        <v>#N/A</v>
      </c>
      <c r="K2990" s="935"/>
      <c r="L2990" s="935"/>
      <c r="M2990" s="935"/>
      <c r="N2990" s="935"/>
      <c r="O2990" s="935"/>
    </row>
    <row r="2991" spans="1:15" ht="15" customHeight="1">
      <c r="A2991" s="908" t="s">
        <v>2096</v>
      </c>
      <c r="B2991" s="913" t="s">
        <v>2097</v>
      </c>
      <c r="C2991" s="910" t="e">
        <f>VLOOKUP(B2985,'LƯƠNG KT'!$D$16:$Z$184,20,0)</f>
        <v>#N/A</v>
      </c>
      <c r="D2991" s="609" t="e">
        <f>+C2991*$L$9</f>
        <v>#N/A</v>
      </c>
      <c r="E2991" s="912"/>
      <c r="F2991" s="912"/>
      <c r="G2991" s="908" t="s">
        <v>2096</v>
      </c>
      <c r="H2991" s="913" t="s">
        <v>2097</v>
      </c>
      <c r="I2991" s="910" t="e">
        <f>VLOOKUP(H2985,'LƯƠNG KT'!$D$16:$Z$184,20,0)</f>
        <v>#N/A</v>
      </c>
      <c r="J2991" s="609" t="e">
        <f>+I2991*$L$9</f>
        <v>#N/A</v>
      </c>
      <c r="K2991" s="935"/>
      <c r="L2991" s="935"/>
      <c r="M2991" s="935"/>
      <c r="N2991" s="935"/>
      <c r="O2991" s="935"/>
    </row>
    <row r="2992" spans="1:15" ht="15" customHeight="1">
      <c r="A2992" s="908" t="s">
        <v>2099</v>
      </c>
      <c r="B2992" s="909" t="s">
        <v>2100</v>
      </c>
      <c r="C2992" s="910" t="e">
        <f>VLOOKUP(B2985,'LƯƠNG KT'!$D$16:$Z$184,17,0)</f>
        <v>#N/A</v>
      </c>
      <c r="D2992" s="609" t="e">
        <f>+C2992*$L$10</f>
        <v>#N/A</v>
      </c>
      <c r="E2992" s="912"/>
      <c r="F2992" s="912"/>
      <c r="G2992" s="908" t="s">
        <v>2099</v>
      </c>
      <c r="H2992" s="909" t="s">
        <v>2100</v>
      </c>
      <c r="I2992" s="910" t="e">
        <f>VLOOKUP(H2985,'LƯƠNG KT'!$D$16:$Z$184,17,0)</f>
        <v>#N/A</v>
      </c>
      <c r="J2992" s="609" t="e">
        <f>+I2992*$L$10</f>
        <v>#N/A</v>
      </c>
      <c r="K2992" s="935"/>
      <c r="L2992" s="935"/>
      <c r="M2992" s="935"/>
      <c r="N2992" s="935"/>
      <c r="O2992" s="935"/>
    </row>
    <row r="2993" spans="1:15" ht="15" customHeight="1">
      <c r="A2993" s="908" t="s">
        <v>374</v>
      </c>
      <c r="B2993" s="909" t="s">
        <v>2102</v>
      </c>
      <c r="C2993" s="910" t="e">
        <f>VLOOKUP(B2985,'LƯƠNG KT'!$D$16:$Z$184,12,0)</f>
        <v>#N/A</v>
      </c>
      <c r="D2993" s="609" t="e">
        <f>VLOOKUP(B2985,'LƯƠNG KT'!$D$16:$Z$184,14,0)</f>
        <v>#N/A</v>
      </c>
      <c r="E2993" s="914"/>
      <c r="F2993" s="912"/>
      <c r="G2993" s="908" t="s">
        <v>374</v>
      </c>
      <c r="H2993" s="909" t="s">
        <v>2102</v>
      </c>
      <c r="I2993" s="910" t="e">
        <f>VLOOKUP(H2985,'LƯƠNG KT'!$D$16:$Z$184,12,0)</f>
        <v>#N/A</v>
      </c>
      <c r="J2993" s="609" t="e">
        <f>VLOOKUP(H2985,'LƯƠNG KT'!$D$16:$Z$184,14,0)</f>
        <v>#N/A</v>
      </c>
      <c r="K2993" s="935"/>
      <c r="L2993" s="935"/>
      <c r="M2993" s="935"/>
      <c r="N2993" s="935"/>
      <c r="O2993" s="935"/>
    </row>
    <row r="2994" spans="1:15" ht="15" customHeight="1">
      <c r="A2994" s="908" t="s">
        <v>2103</v>
      </c>
      <c r="B2994" s="909" t="s">
        <v>2104</v>
      </c>
      <c r="D2994" s="915" t="e">
        <f>VLOOKUP(B2985,'LƯƠNG KT'!$D$16:$Z$184,13,0)</f>
        <v>#N/A</v>
      </c>
      <c r="E2994" s="916"/>
      <c r="F2994" s="916"/>
      <c r="G2994" s="908" t="s">
        <v>2103</v>
      </c>
      <c r="H2994" s="909" t="s">
        <v>2104</v>
      </c>
      <c r="J2994" s="915" t="e">
        <f>VLOOKUP(H2985,'LƯƠNG KT'!$D$16:$Z$184,13,0)</f>
        <v>#N/A</v>
      </c>
    </row>
    <row r="2995" spans="1:15" ht="15" customHeight="1">
      <c r="A2995" s="547"/>
      <c r="B2995" s="546"/>
      <c r="C2995" s="910"/>
      <c r="D2995" s="609"/>
      <c r="E2995" s="914"/>
      <c r="F2995" s="916"/>
      <c r="G2995" s="547"/>
      <c r="H2995" s="546"/>
      <c r="I2995" s="910"/>
      <c r="J2995" s="609"/>
    </row>
    <row r="2996" spans="1:15" ht="15" customHeight="1">
      <c r="A2996" s="905"/>
      <c r="B2996" s="546"/>
      <c r="C2996" s="910"/>
      <c r="D2996" s="609"/>
      <c r="E2996" s="917"/>
      <c r="F2996" s="904"/>
      <c r="G2996" s="905"/>
      <c r="H2996" s="546"/>
      <c r="I2996" s="910"/>
      <c r="J2996" s="609"/>
    </row>
    <row r="2997" spans="1:15" ht="15" customHeight="1">
      <c r="A2997" s="918" t="s">
        <v>383</v>
      </c>
      <c r="B2997" s="919" t="s">
        <v>384</v>
      </c>
      <c r="C2997" s="920"/>
      <c r="D2997" s="921" t="e">
        <f>SUM(D2986:D2993)-D2996</f>
        <v>#N/A</v>
      </c>
      <c r="E2997" s="922"/>
      <c r="F2997" s="923"/>
      <c r="G2997" s="918" t="s">
        <v>383</v>
      </c>
      <c r="H2997" s="919" t="s">
        <v>384</v>
      </c>
      <c r="I2997" s="920"/>
      <c r="J2997" s="921" t="e">
        <f>SUM(J2986:J2993)-J2996</f>
        <v>#N/A</v>
      </c>
    </row>
    <row r="2998" spans="1:15" ht="12.6" customHeight="1">
      <c r="A2998" s="924"/>
      <c r="B2998" s="925"/>
      <c r="C2998" s="926"/>
      <c r="D2998" s="927"/>
      <c r="E2998" s="927"/>
      <c r="F2998" s="928"/>
      <c r="G2998" s="924"/>
      <c r="H2998" s="925"/>
      <c r="I2998" s="926"/>
      <c r="J2998" s="927"/>
    </row>
    <row r="2999" spans="1:15" ht="12.6" customHeight="1">
      <c r="A2999" s="925"/>
      <c r="B2999" s="925"/>
      <c r="C2999" s="929"/>
      <c r="D2999" s="930"/>
      <c r="E2999" s="925"/>
      <c r="F2999" s="931"/>
      <c r="G2999" s="925"/>
      <c r="H2999" s="925"/>
      <c r="I2999" s="929"/>
      <c r="J2999" s="930"/>
    </row>
    <row r="3000" spans="1:15" ht="15" customHeight="1">
      <c r="A3000" s="2360" t="str">
        <f>$K$2</f>
        <v>THÁNG 04/2025</v>
      </c>
      <c r="B3000" s="2360"/>
      <c r="C3000" s="2360"/>
      <c r="D3000" s="2360"/>
      <c r="E3000" s="903"/>
      <c r="F3000" s="904"/>
      <c r="G3000" s="2360" t="str">
        <f>$K$2</f>
        <v>THÁNG 04/2025</v>
      </c>
      <c r="H3000" s="2360"/>
      <c r="I3000" s="2360"/>
      <c r="J3000" s="2360"/>
      <c r="K3000" s="276"/>
    </row>
    <row r="3001" spans="1:15" ht="15" customHeight="1">
      <c r="A3001" s="905" t="s">
        <v>356</v>
      </c>
      <c r="B3001" s="642" t="s">
        <v>248</v>
      </c>
      <c r="C3001" s="546"/>
      <c r="D3001" s="902"/>
      <c r="E3001" s="906"/>
      <c r="F3001" s="907"/>
      <c r="G3001" s="905" t="s">
        <v>356</v>
      </c>
      <c r="H3001" s="642" t="s">
        <v>249</v>
      </c>
      <c r="I3001" s="546"/>
      <c r="J3001" s="902"/>
      <c r="L3001" s="938"/>
      <c r="M3001" s="938"/>
      <c r="N3001" s="938"/>
      <c r="O3001" s="938"/>
    </row>
    <row r="3002" spans="1:15" ht="15" customHeight="1">
      <c r="A3002" s="908" t="s">
        <v>359</v>
      </c>
      <c r="B3002" s="909" t="s">
        <v>2090</v>
      </c>
      <c r="C3002" s="910" t="e">
        <f>VLOOKUP(B3001,'LƯƠNG KT'!$D$16:$Z$184,4,0)</f>
        <v>#N/A</v>
      </c>
      <c r="D3002" s="609" t="e">
        <f>+C3002*25000</f>
        <v>#N/A</v>
      </c>
      <c r="E3002" s="911"/>
      <c r="F3002" s="911"/>
      <c r="G3002" s="908" t="s">
        <v>359</v>
      </c>
      <c r="H3002" s="909" t="s">
        <v>2090</v>
      </c>
      <c r="I3002" s="910" t="e">
        <f>VLOOKUP(H3001,'LƯƠNG KT'!$D$16:$Z$184,4,0)</f>
        <v>#N/A</v>
      </c>
      <c r="J3002" s="609" t="e">
        <f>+I3002*25000</f>
        <v>#N/A</v>
      </c>
      <c r="K3002" s="935"/>
      <c r="L3002" s="935"/>
      <c r="M3002" s="935"/>
      <c r="N3002" s="935"/>
      <c r="O3002" s="935"/>
    </row>
    <row r="3003" spans="1:15" ht="15" customHeight="1">
      <c r="A3003" s="908" t="s">
        <v>361</v>
      </c>
      <c r="B3003" s="909" t="s">
        <v>2091</v>
      </c>
      <c r="C3003" s="910" t="e">
        <f>VLOOKUP(B3001,'LƯƠNG KT'!$D$16:$Z$184,15,0)</f>
        <v>#N/A</v>
      </c>
      <c r="D3003" s="609" t="e">
        <f>C3003*$L$4</f>
        <v>#N/A</v>
      </c>
      <c r="E3003" s="912"/>
      <c r="F3003" s="912"/>
      <c r="G3003" s="908" t="s">
        <v>361</v>
      </c>
      <c r="H3003" s="909" t="s">
        <v>2091</v>
      </c>
      <c r="I3003" s="910" t="e">
        <f>VLOOKUP(H3001,'LƯƠNG KT'!$D$16:$Z$184,15,0)</f>
        <v>#N/A</v>
      </c>
      <c r="J3003" s="609" t="e">
        <f>I3003*$L$4</f>
        <v>#N/A</v>
      </c>
      <c r="K3003" s="935"/>
      <c r="L3003" s="935"/>
      <c r="M3003" s="935"/>
      <c r="N3003" s="935"/>
      <c r="O3003" s="935"/>
    </row>
    <row r="3004" spans="1:15" ht="15" customHeight="1">
      <c r="A3004" s="908" t="s">
        <v>364</v>
      </c>
      <c r="B3004" s="909" t="s">
        <v>2092</v>
      </c>
      <c r="C3004" s="910" t="e">
        <f>VLOOKUP(B3001,'LƯƠNG KT'!$D$16:$Z$184,16,0)</f>
        <v>#N/A</v>
      </c>
      <c r="D3004" s="609" t="e">
        <f>C3004*$L$5</f>
        <v>#N/A</v>
      </c>
      <c r="E3004" s="912"/>
      <c r="F3004" s="912"/>
      <c r="G3004" s="908" t="s">
        <v>364</v>
      </c>
      <c r="H3004" s="909" t="s">
        <v>2092</v>
      </c>
      <c r="I3004" s="910" t="e">
        <f>VLOOKUP(H3001,'LƯƠNG KT'!$D$16:$Z$184,16,0)</f>
        <v>#N/A</v>
      </c>
      <c r="J3004" s="609" t="e">
        <f>I3004*$L$5</f>
        <v>#N/A</v>
      </c>
      <c r="K3004" s="935"/>
      <c r="L3004" s="935"/>
      <c r="M3004" s="935"/>
      <c r="N3004" s="935"/>
      <c r="O3004" s="935"/>
    </row>
    <row r="3005" spans="1:15" ht="15" customHeight="1">
      <c r="A3005" s="908" t="s">
        <v>370</v>
      </c>
      <c r="B3005" s="909" t="s">
        <v>2093</v>
      </c>
      <c r="C3005" s="910" t="e">
        <f>VLOOKUP(B3001,'LƯƠNG KT'!$D$16:$Z$184,24,0)</f>
        <v>#N/A</v>
      </c>
      <c r="D3005" s="609" t="e">
        <f>+C3005*$L$6</f>
        <v>#N/A</v>
      </c>
      <c r="E3005" s="912"/>
      <c r="F3005" s="912"/>
      <c r="G3005" s="908" t="s">
        <v>370</v>
      </c>
      <c r="H3005" s="909" t="s">
        <v>2093</v>
      </c>
      <c r="I3005" s="910" t="e">
        <f>VLOOKUP(H3001,'LƯƠNG KT'!$D$16:$Z$184,24,0)</f>
        <v>#N/A</v>
      </c>
      <c r="J3005" s="609" t="e">
        <f>+I3005*$L$6</f>
        <v>#N/A</v>
      </c>
      <c r="K3005" s="935"/>
      <c r="L3005" s="935"/>
      <c r="M3005" s="935"/>
      <c r="N3005" s="935"/>
      <c r="O3005" s="935"/>
    </row>
    <row r="3006" spans="1:15" ht="15" customHeight="1">
      <c r="A3006" s="908" t="s">
        <v>2094</v>
      </c>
      <c r="B3006" s="909" t="s">
        <v>2095</v>
      </c>
      <c r="C3006" s="910" t="e">
        <f>VLOOKUP(B3001,'LƯƠNG KT'!$D$16:$Z$184,19,0)</f>
        <v>#N/A</v>
      </c>
      <c r="D3006" s="609" t="e">
        <f>+C3006*$L$8</f>
        <v>#N/A</v>
      </c>
      <c r="E3006" s="912"/>
      <c r="F3006" s="912"/>
      <c r="G3006" s="908" t="s">
        <v>2094</v>
      </c>
      <c r="H3006" s="909" t="s">
        <v>2095</v>
      </c>
      <c r="I3006" s="910" t="e">
        <f>VLOOKUP(H3001,'LƯƠNG KT'!$D$16:$Z$184,19,0)</f>
        <v>#N/A</v>
      </c>
      <c r="J3006" s="609" t="e">
        <f>+I3006*$L$8</f>
        <v>#N/A</v>
      </c>
      <c r="K3006" s="935"/>
      <c r="L3006" s="935"/>
      <c r="M3006" s="935"/>
      <c r="N3006" s="935"/>
      <c r="O3006" s="935"/>
    </row>
    <row r="3007" spans="1:15" ht="15" customHeight="1">
      <c r="A3007" s="908" t="s">
        <v>2096</v>
      </c>
      <c r="B3007" s="913" t="s">
        <v>2097</v>
      </c>
      <c r="C3007" s="910" t="e">
        <f>VLOOKUP(B3001,'LƯƠNG KT'!$D$16:$Z$184,20,0)</f>
        <v>#N/A</v>
      </c>
      <c r="D3007" s="609" t="e">
        <f>+C3007*$L$9</f>
        <v>#N/A</v>
      </c>
      <c r="E3007" s="912"/>
      <c r="F3007" s="912"/>
      <c r="G3007" s="908" t="s">
        <v>2096</v>
      </c>
      <c r="H3007" s="913" t="s">
        <v>2097</v>
      </c>
      <c r="I3007" s="910" t="e">
        <f>VLOOKUP(H3001,'LƯƠNG KT'!$D$16:$Z$184,20,0)</f>
        <v>#N/A</v>
      </c>
      <c r="J3007" s="609" t="e">
        <f>+I3007*$L$9</f>
        <v>#N/A</v>
      </c>
      <c r="K3007" s="935"/>
      <c r="L3007" s="935"/>
      <c r="M3007" s="935"/>
      <c r="N3007" s="935"/>
      <c r="O3007" s="935"/>
    </row>
    <row r="3008" spans="1:15" ht="15" customHeight="1">
      <c r="A3008" s="908" t="s">
        <v>2099</v>
      </c>
      <c r="B3008" s="909" t="s">
        <v>2100</v>
      </c>
      <c r="C3008" s="910" t="e">
        <f>VLOOKUP(B3001,'LƯƠNG KT'!$D$16:$Z$184,17,0)</f>
        <v>#N/A</v>
      </c>
      <c r="D3008" s="609" t="e">
        <f>+C3008*$L$10</f>
        <v>#N/A</v>
      </c>
      <c r="E3008" s="912"/>
      <c r="F3008" s="912"/>
      <c r="G3008" s="908" t="s">
        <v>2099</v>
      </c>
      <c r="H3008" s="909" t="s">
        <v>2100</v>
      </c>
      <c r="I3008" s="910" t="e">
        <f>VLOOKUP(H3001,'LƯƠNG KT'!$D$16:$Z$184,17,0)</f>
        <v>#N/A</v>
      </c>
      <c r="J3008" s="609" t="e">
        <f>+I3008*$L$10</f>
        <v>#N/A</v>
      </c>
      <c r="K3008" s="935"/>
      <c r="L3008" s="935"/>
      <c r="M3008" s="935"/>
      <c r="N3008" s="935"/>
      <c r="O3008" s="935"/>
    </row>
    <row r="3009" spans="1:15" ht="15" customHeight="1">
      <c r="A3009" s="908" t="s">
        <v>374</v>
      </c>
      <c r="B3009" s="909" t="s">
        <v>2102</v>
      </c>
      <c r="C3009" s="910" t="e">
        <f>VLOOKUP(B3001,'LƯƠNG KT'!$D$16:$Z$184,12,0)</f>
        <v>#N/A</v>
      </c>
      <c r="D3009" s="609" t="e">
        <f>VLOOKUP(B3001,'LƯƠNG KT'!$D$16:$Z$184,14,0)</f>
        <v>#N/A</v>
      </c>
      <c r="E3009" s="914"/>
      <c r="F3009" s="912"/>
      <c r="G3009" s="908" t="s">
        <v>374</v>
      </c>
      <c r="H3009" s="909" t="s">
        <v>2102</v>
      </c>
      <c r="I3009" s="910" t="e">
        <f>VLOOKUP(H3001,'LƯƠNG KT'!$D$16:$Z$184,12,0)</f>
        <v>#N/A</v>
      </c>
      <c r="J3009" s="609" t="e">
        <f>VLOOKUP(H3001,'LƯƠNG KT'!$D$16:$Z$184,14,0)</f>
        <v>#N/A</v>
      </c>
      <c r="K3009" s="935"/>
      <c r="L3009" s="935"/>
      <c r="M3009" s="935"/>
      <c r="N3009" s="935"/>
      <c r="O3009" s="935"/>
    </row>
    <row r="3010" spans="1:15" ht="15" customHeight="1">
      <c r="A3010" s="908" t="s">
        <v>2103</v>
      </c>
      <c r="B3010" s="909" t="s">
        <v>2104</v>
      </c>
      <c r="D3010" s="915" t="e">
        <f>VLOOKUP(B3001,'LƯƠNG KT'!$D$16:$Z$184,13,0)</f>
        <v>#N/A</v>
      </c>
      <c r="E3010" s="916"/>
      <c r="F3010" s="916"/>
      <c r="G3010" s="908" t="s">
        <v>2103</v>
      </c>
      <c r="H3010" s="909" t="s">
        <v>2104</v>
      </c>
      <c r="J3010" s="915" t="e">
        <f>VLOOKUP(H3001,'LƯƠNG KT'!$D$16:$Z$184,13,0)</f>
        <v>#N/A</v>
      </c>
    </row>
    <row r="3011" spans="1:15" ht="15" customHeight="1">
      <c r="A3011" s="547"/>
      <c r="B3011" s="546"/>
      <c r="C3011" s="910"/>
      <c r="D3011" s="609"/>
      <c r="E3011" s="914"/>
      <c r="F3011" s="916"/>
      <c r="G3011" s="547"/>
      <c r="H3011" s="546"/>
      <c r="I3011" s="910"/>
      <c r="J3011" s="609"/>
    </row>
    <row r="3012" spans="1:15" ht="15" customHeight="1">
      <c r="A3012" s="905"/>
      <c r="B3012" s="546"/>
      <c r="C3012" s="910"/>
      <c r="D3012" s="609"/>
      <c r="E3012" s="917"/>
      <c r="F3012" s="904"/>
      <c r="G3012" s="905"/>
      <c r="H3012" s="546"/>
      <c r="I3012" s="910"/>
      <c r="J3012" s="609"/>
    </row>
    <row r="3013" spans="1:15" ht="15" customHeight="1">
      <c r="A3013" s="918" t="s">
        <v>383</v>
      </c>
      <c r="B3013" s="919" t="s">
        <v>384</v>
      </c>
      <c r="C3013" s="920"/>
      <c r="D3013" s="921" t="e">
        <f>SUM(D3002:D3009)-D3012</f>
        <v>#N/A</v>
      </c>
      <c r="E3013" s="922"/>
      <c r="F3013" s="923"/>
      <c r="G3013" s="918" t="s">
        <v>383</v>
      </c>
      <c r="H3013" s="919" t="s">
        <v>384</v>
      </c>
      <c r="I3013" s="920"/>
      <c r="J3013" s="921" t="e">
        <f>SUM(J3002:J3009)-J3012</f>
        <v>#N/A</v>
      </c>
    </row>
    <row r="3014" spans="1:15" ht="18.75" customHeight="1">
      <c r="A3014" s="924"/>
      <c r="B3014" s="925"/>
      <c r="C3014" s="926"/>
      <c r="D3014" s="927"/>
      <c r="E3014" s="927"/>
      <c r="F3014" s="928"/>
      <c r="G3014" s="924"/>
      <c r="H3014" s="925"/>
      <c r="I3014" s="926"/>
      <c r="J3014" s="927"/>
    </row>
    <row r="3015" spans="1:15" ht="110.25" customHeight="1">
      <c r="A3015" s="925"/>
      <c r="B3015" s="925"/>
      <c r="C3015" s="929"/>
      <c r="D3015" s="930"/>
      <c r="E3015" s="925"/>
      <c r="F3015" s="931"/>
      <c r="G3015" s="925"/>
      <c r="H3015" s="925"/>
      <c r="I3015" s="929"/>
      <c r="J3015" s="930"/>
    </row>
    <row r="3016" spans="1:15" ht="15" customHeight="1">
      <c r="A3016" s="2360" t="str">
        <f>$K$2</f>
        <v>THÁNG 04/2025</v>
      </c>
      <c r="B3016" s="2360"/>
      <c r="C3016" s="2360"/>
      <c r="D3016" s="2360"/>
      <c r="E3016" s="903"/>
      <c r="F3016" s="904"/>
      <c r="G3016" s="2360" t="str">
        <f>$K$2</f>
        <v>THÁNG 04/2025</v>
      </c>
      <c r="H3016" s="2360"/>
      <c r="I3016" s="2360"/>
      <c r="J3016" s="2360"/>
      <c r="K3016" s="276"/>
    </row>
    <row r="3017" spans="1:15" ht="15" customHeight="1">
      <c r="A3017" s="905" t="s">
        <v>356</v>
      </c>
      <c r="B3017" s="642" t="s">
        <v>250</v>
      </c>
      <c r="C3017" s="546"/>
      <c r="D3017" s="902"/>
      <c r="E3017" s="906"/>
      <c r="F3017" s="907"/>
      <c r="G3017" s="905" t="s">
        <v>356</v>
      </c>
      <c r="H3017" s="642" t="s">
        <v>251</v>
      </c>
      <c r="I3017" s="546"/>
      <c r="J3017" s="902"/>
      <c r="L3017" s="938"/>
      <c r="M3017" s="938"/>
      <c r="N3017" s="938"/>
      <c r="O3017" s="938"/>
    </row>
    <row r="3018" spans="1:15" ht="15" customHeight="1">
      <c r="A3018" s="908" t="s">
        <v>359</v>
      </c>
      <c r="B3018" s="909" t="s">
        <v>2090</v>
      </c>
      <c r="C3018" s="910" t="e">
        <f>VLOOKUP(B3017,'LƯƠNG KT'!$D$16:$Z$184,4,0)</f>
        <v>#N/A</v>
      </c>
      <c r="D3018" s="609" t="e">
        <f>+C3018*25000</f>
        <v>#N/A</v>
      </c>
      <c r="E3018" s="911"/>
      <c r="F3018" s="911"/>
      <c r="G3018" s="908" t="s">
        <v>359</v>
      </c>
      <c r="H3018" s="909" t="s">
        <v>2090</v>
      </c>
      <c r="I3018" s="910" t="e">
        <f>VLOOKUP(H3017,'LƯƠNG KT'!$D$16:$Z$184,4,0)</f>
        <v>#N/A</v>
      </c>
      <c r="J3018" s="609" t="e">
        <f>+I3018*25000</f>
        <v>#N/A</v>
      </c>
      <c r="K3018" s="935"/>
      <c r="L3018" s="935"/>
      <c r="M3018" s="935"/>
      <c r="N3018" s="935"/>
      <c r="O3018" s="935"/>
    </row>
    <row r="3019" spans="1:15" ht="15" customHeight="1">
      <c r="A3019" s="908" t="s">
        <v>361</v>
      </c>
      <c r="B3019" s="909" t="s">
        <v>2091</v>
      </c>
      <c r="C3019" s="910" t="e">
        <f>VLOOKUP(B3017,'LƯƠNG KT'!$D$16:$Z$184,15,0)</f>
        <v>#N/A</v>
      </c>
      <c r="D3019" s="609" t="e">
        <f>C3019*$L$4</f>
        <v>#N/A</v>
      </c>
      <c r="E3019" s="912"/>
      <c r="F3019" s="912"/>
      <c r="G3019" s="908" t="s">
        <v>361</v>
      </c>
      <c r="H3019" s="909" t="s">
        <v>2091</v>
      </c>
      <c r="I3019" s="910" t="e">
        <f>VLOOKUP(H3017,'LƯƠNG KT'!$D$16:$Z$184,15,0)</f>
        <v>#N/A</v>
      </c>
      <c r="J3019" s="609" t="e">
        <f>I3019*$L$4</f>
        <v>#N/A</v>
      </c>
      <c r="K3019" s="935"/>
      <c r="L3019" s="935"/>
      <c r="M3019" s="935"/>
      <c r="N3019" s="935"/>
      <c r="O3019" s="935"/>
    </row>
    <row r="3020" spans="1:15" ht="15" customHeight="1">
      <c r="A3020" s="908" t="s">
        <v>364</v>
      </c>
      <c r="B3020" s="909" t="s">
        <v>2092</v>
      </c>
      <c r="C3020" s="910" t="e">
        <f>VLOOKUP(B3017,'LƯƠNG KT'!$D$16:$Z$184,16,0)</f>
        <v>#N/A</v>
      </c>
      <c r="D3020" s="609" t="e">
        <f>C3020*$L$5</f>
        <v>#N/A</v>
      </c>
      <c r="E3020" s="912"/>
      <c r="F3020" s="912"/>
      <c r="G3020" s="908" t="s">
        <v>364</v>
      </c>
      <c r="H3020" s="909" t="s">
        <v>2092</v>
      </c>
      <c r="I3020" s="910" t="e">
        <f>VLOOKUP(H3017,'LƯƠNG KT'!$D$16:$Z$184,16,0)</f>
        <v>#N/A</v>
      </c>
      <c r="J3020" s="609" t="e">
        <f>I3020*$L$5</f>
        <v>#N/A</v>
      </c>
      <c r="K3020" s="935"/>
      <c r="L3020" s="935"/>
      <c r="M3020" s="935"/>
      <c r="N3020" s="935"/>
      <c r="O3020" s="935"/>
    </row>
    <row r="3021" spans="1:15" ht="15" customHeight="1">
      <c r="A3021" s="908" t="s">
        <v>370</v>
      </c>
      <c r="B3021" s="909" t="s">
        <v>2093</v>
      </c>
      <c r="C3021" s="910" t="e">
        <f>VLOOKUP(B3017,'LƯƠNG KT'!$D$16:$Z$184,24,0)</f>
        <v>#N/A</v>
      </c>
      <c r="D3021" s="609" t="e">
        <f>+C3021*$L$6</f>
        <v>#N/A</v>
      </c>
      <c r="E3021" s="912"/>
      <c r="F3021" s="912"/>
      <c r="G3021" s="908" t="s">
        <v>370</v>
      </c>
      <c r="H3021" s="909" t="s">
        <v>2093</v>
      </c>
      <c r="I3021" s="910" t="e">
        <f>VLOOKUP(H3017,'LƯƠNG KT'!$D$16:$Z$184,24,0)</f>
        <v>#N/A</v>
      </c>
      <c r="J3021" s="609" t="e">
        <f>+I3021*$L$6</f>
        <v>#N/A</v>
      </c>
      <c r="K3021" s="935"/>
      <c r="L3021" s="935"/>
      <c r="M3021" s="935"/>
      <c r="N3021" s="935"/>
      <c r="O3021" s="935"/>
    </row>
    <row r="3022" spans="1:15" ht="15" customHeight="1">
      <c r="A3022" s="908" t="s">
        <v>2094</v>
      </c>
      <c r="B3022" s="909" t="s">
        <v>2095</v>
      </c>
      <c r="C3022" s="910" t="e">
        <f>VLOOKUP(B3017,'LƯƠNG KT'!$D$16:$Z$184,19,0)</f>
        <v>#N/A</v>
      </c>
      <c r="D3022" s="609" t="e">
        <f>+C3022*$L$8</f>
        <v>#N/A</v>
      </c>
      <c r="E3022" s="912"/>
      <c r="F3022" s="912"/>
      <c r="G3022" s="908" t="s">
        <v>2094</v>
      </c>
      <c r="H3022" s="909" t="s">
        <v>2095</v>
      </c>
      <c r="I3022" s="910" t="e">
        <f>VLOOKUP(H3017,'LƯƠNG KT'!$D$16:$Z$184,19,0)</f>
        <v>#N/A</v>
      </c>
      <c r="J3022" s="609" t="e">
        <f>+I3022*$L$8</f>
        <v>#N/A</v>
      </c>
      <c r="K3022" s="935"/>
      <c r="L3022" s="935"/>
      <c r="M3022" s="935"/>
      <c r="N3022" s="935"/>
      <c r="O3022" s="935"/>
    </row>
    <row r="3023" spans="1:15" ht="15" customHeight="1">
      <c r="A3023" s="908" t="s">
        <v>2096</v>
      </c>
      <c r="B3023" s="913" t="s">
        <v>2097</v>
      </c>
      <c r="C3023" s="910" t="e">
        <f>VLOOKUP(B3017,'LƯƠNG KT'!$D$16:$Z$184,20,0)</f>
        <v>#N/A</v>
      </c>
      <c r="D3023" s="609" t="e">
        <f>+C3023*$L$9</f>
        <v>#N/A</v>
      </c>
      <c r="E3023" s="912"/>
      <c r="F3023" s="912"/>
      <c r="G3023" s="908" t="s">
        <v>2096</v>
      </c>
      <c r="H3023" s="913" t="s">
        <v>2097</v>
      </c>
      <c r="I3023" s="910" t="e">
        <f>VLOOKUP(H3017,'LƯƠNG KT'!$D$16:$Z$184,20,0)</f>
        <v>#N/A</v>
      </c>
      <c r="J3023" s="609" t="e">
        <f>+I3023*$L$9</f>
        <v>#N/A</v>
      </c>
      <c r="K3023" s="935"/>
      <c r="L3023" s="935"/>
      <c r="M3023" s="935"/>
      <c r="N3023" s="935"/>
      <c r="O3023" s="935"/>
    </row>
    <row r="3024" spans="1:15" ht="15" customHeight="1">
      <c r="A3024" s="908" t="s">
        <v>2099</v>
      </c>
      <c r="B3024" s="909" t="s">
        <v>2100</v>
      </c>
      <c r="C3024" s="910" t="e">
        <f>VLOOKUP(B3017,'LƯƠNG KT'!$D$16:$Z$184,17,0)</f>
        <v>#N/A</v>
      </c>
      <c r="D3024" s="609" t="e">
        <f>+C3024*$L$10</f>
        <v>#N/A</v>
      </c>
      <c r="E3024" s="912"/>
      <c r="F3024" s="912"/>
      <c r="G3024" s="908" t="s">
        <v>2099</v>
      </c>
      <c r="H3024" s="909" t="s">
        <v>2100</v>
      </c>
      <c r="I3024" s="910" t="e">
        <f>VLOOKUP(H3017,'LƯƠNG KT'!$D$16:$Z$184,17,0)</f>
        <v>#N/A</v>
      </c>
      <c r="J3024" s="609" t="e">
        <f>+I3024*$L$10</f>
        <v>#N/A</v>
      </c>
      <c r="K3024" s="935"/>
      <c r="L3024" s="935"/>
      <c r="M3024" s="935"/>
      <c r="N3024" s="935"/>
      <c r="O3024" s="935"/>
    </row>
    <row r="3025" spans="1:15" ht="15" customHeight="1">
      <c r="A3025" s="908" t="s">
        <v>374</v>
      </c>
      <c r="B3025" s="909" t="s">
        <v>2102</v>
      </c>
      <c r="C3025" s="910" t="e">
        <f>VLOOKUP(B3017,'LƯƠNG KT'!$D$16:$Z$184,12,0)</f>
        <v>#N/A</v>
      </c>
      <c r="D3025" s="609" t="e">
        <f>VLOOKUP(B3017,'LƯƠNG KT'!$D$16:$Z$184,14,0)</f>
        <v>#N/A</v>
      </c>
      <c r="E3025" s="914"/>
      <c r="F3025" s="912"/>
      <c r="G3025" s="908" t="s">
        <v>374</v>
      </c>
      <c r="H3025" s="909" t="s">
        <v>2102</v>
      </c>
      <c r="I3025" s="910" t="e">
        <f>VLOOKUP(H3017,'LƯƠNG KT'!$D$16:$Z$184,12,0)</f>
        <v>#N/A</v>
      </c>
      <c r="J3025" s="609" t="e">
        <f>VLOOKUP(H3017,'LƯƠNG KT'!$D$16:$Z$184,14,0)</f>
        <v>#N/A</v>
      </c>
      <c r="K3025" s="935"/>
      <c r="L3025" s="935"/>
      <c r="M3025" s="935"/>
      <c r="N3025" s="935"/>
      <c r="O3025" s="935"/>
    </row>
    <row r="3026" spans="1:15" ht="15" customHeight="1">
      <c r="A3026" s="908" t="s">
        <v>2103</v>
      </c>
      <c r="B3026" s="909" t="s">
        <v>2104</v>
      </c>
      <c r="D3026" s="915" t="e">
        <f>VLOOKUP(B3017,'LƯƠNG KT'!$D$16:$Z$184,13,0)</f>
        <v>#N/A</v>
      </c>
      <c r="E3026" s="916"/>
      <c r="F3026" s="916"/>
      <c r="G3026" s="908" t="s">
        <v>2103</v>
      </c>
      <c r="H3026" s="909" t="s">
        <v>2104</v>
      </c>
      <c r="J3026" s="915" t="e">
        <f>VLOOKUP(H3017,'LƯƠNG KT'!$D$16:$Z$184,13,0)</f>
        <v>#N/A</v>
      </c>
    </row>
    <row r="3027" spans="1:15" ht="15" customHeight="1">
      <c r="A3027" s="547"/>
      <c r="B3027" s="546"/>
      <c r="C3027" s="910"/>
      <c r="D3027" s="609"/>
      <c r="E3027" s="914"/>
      <c r="F3027" s="916"/>
      <c r="G3027" s="547"/>
      <c r="H3027" s="546"/>
      <c r="I3027" s="910"/>
      <c r="J3027" s="609"/>
    </row>
    <row r="3028" spans="1:15" ht="15" customHeight="1">
      <c r="A3028" s="905"/>
      <c r="B3028" s="546"/>
      <c r="C3028" s="910"/>
      <c r="D3028" s="609"/>
      <c r="E3028" s="917"/>
      <c r="F3028" s="904"/>
      <c r="G3028" s="905"/>
      <c r="H3028" s="546"/>
      <c r="I3028" s="910"/>
      <c r="J3028" s="609"/>
    </row>
    <row r="3029" spans="1:15" ht="15" customHeight="1">
      <c r="A3029" s="918" t="s">
        <v>383</v>
      </c>
      <c r="B3029" s="919" t="s">
        <v>384</v>
      </c>
      <c r="C3029" s="920"/>
      <c r="D3029" s="921" t="e">
        <f>SUM(D3018:D3025)-D3028</f>
        <v>#N/A</v>
      </c>
      <c r="E3029" s="922"/>
      <c r="F3029" s="923"/>
      <c r="G3029" s="918" t="s">
        <v>383</v>
      </c>
      <c r="H3029" s="919" t="s">
        <v>384</v>
      </c>
      <c r="I3029" s="920"/>
      <c r="J3029" s="921" t="e">
        <f>SUM(J3018:J3025)-J3028</f>
        <v>#N/A</v>
      </c>
    </row>
    <row r="3030" spans="1:15" ht="18.75" customHeight="1">
      <c r="A3030" s="924"/>
      <c r="B3030" s="925"/>
      <c r="C3030" s="926"/>
      <c r="D3030" s="927"/>
      <c r="E3030" s="927"/>
      <c r="F3030" s="928"/>
      <c r="G3030" s="924"/>
      <c r="H3030" s="925"/>
      <c r="I3030" s="926"/>
      <c r="J3030" s="927"/>
    </row>
    <row r="3031" spans="1:15" ht="18.75" customHeight="1">
      <c r="A3031" s="925"/>
      <c r="B3031" s="925"/>
      <c r="C3031" s="929"/>
      <c r="D3031" s="930"/>
      <c r="E3031" s="925"/>
      <c r="F3031" s="931"/>
      <c r="G3031" s="925"/>
      <c r="H3031" s="925"/>
      <c r="I3031" s="929"/>
      <c r="J3031" s="930"/>
    </row>
    <row r="3032" spans="1:15" ht="15" customHeight="1">
      <c r="A3032" s="2360" t="str">
        <f>$K$2</f>
        <v>THÁNG 04/2025</v>
      </c>
      <c r="B3032" s="2360"/>
      <c r="C3032" s="2360"/>
      <c r="D3032" s="2360"/>
      <c r="E3032" s="903"/>
      <c r="F3032" s="904"/>
      <c r="G3032" s="2360" t="str">
        <f>$K$2</f>
        <v>THÁNG 04/2025</v>
      </c>
      <c r="H3032" s="2360"/>
      <c r="I3032" s="2360"/>
      <c r="J3032" s="2360"/>
      <c r="K3032" s="276"/>
    </row>
    <row r="3033" spans="1:15" ht="15" customHeight="1">
      <c r="A3033" s="905" t="s">
        <v>356</v>
      </c>
      <c r="B3033" s="642" t="s">
        <v>252</v>
      </c>
      <c r="C3033" s="546"/>
      <c r="D3033" s="902"/>
      <c r="E3033" s="906"/>
      <c r="F3033" s="907"/>
      <c r="G3033" s="905" t="s">
        <v>356</v>
      </c>
      <c r="H3033" s="642" t="s">
        <v>253</v>
      </c>
      <c r="I3033" s="546"/>
      <c r="J3033" s="902"/>
      <c r="L3033" s="938"/>
      <c r="M3033" s="938"/>
      <c r="N3033" s="938"/>
      <c r="O3033" s="938"/>
    </row>
    <row r="3034" spans="1:15" ht="15" customHeight="1">
      <c r="A3034" s="908" t="s">
        <v>359</v>
      </c>
      <c r="B3034" s="909" t="s">
        <v>2090</v>
      </c>
      <c r="C3034" s="910" t="e">
        <f>VLOOKUP(B3033,'LƯƠNG KT'!$D$16:$Z$184,4,0)</f>
        <v>#N/A</v>
      </c>
      <c r="D3034" s="609" t="e">
        <f>+C3034*25000</f>
        <v>#N/A</v>
      </c>
      <c r="E3034" s="911"/>
      <c r="F3034" s="911"/>
      <c r="G3034" s="908" t="s">
        <v>359</v>
      </c>
      <c r="H3034" s="909" t="s">
        <v>2090</v>
      </c>
      <c r="I3034" s="910" t="e">
        <f>VLOOKUP(H3033,'LƯƠNG KT'!$D$16:$Z$184,4,0)</f>
        <v>#N/A</v>
      </c>
      <c r="J3034" s="609" t="e">
        <f>+I3034*25000</f>
        <v>#N/A</v>
      </c>
      <c r="K3034" s="935"/>
      <c r="L3034" s="935"/>
      <c r="M3034" s="935"/>
      <c r="N3034" s="935"/>
      <c r="O3034" s="935"/>
    </row>
    <row r="3035" spans="1:15" ht="15" customHeight="1">
      <c r="A3035" s="908" t="s">
        <v>361</v>
      </c>
      <c r="B3035" s="909" t="s">
        <v>2091</v>
      </c>
      <c r="C3035" s="910" t="e">
        <f>VLOOKUP(B3033,'LƯƠNG KT'!$D$16:$Z$184,15,0)</f>
        <v>#N/A</v>
      </c>
      <c r="D3035" s="609" t="e">
        <f>C3035*$L$4</f>
        <v>#N/A</v>
      </c>
      <c r="E3035" s="912"/>
      <c r="F3035" s="912"/>
      <c r="G3035" s="908" t="s">
        <v>361</v>
      </c>
      <c r="H3035" s="909" t="s">
        <v>2091</v>
      </c>
      <c r="I3035" s="910" t="e">
        <f>VLOOKUP(H3033,'LƯƠNG KT'!$D$16:$Z$184,15,0)</f>
        <v>#N/A</v>
      </c>
      <c r="J3035" s="609" t="e">
        <f>I3035*$L$4</f>
        <v>#N/A</v>
      </c>
      <c r="K3035" s="935"/>
      <c r="L3035" s="935"/>
      <c r="M3035" s="935"/>
      <c r="N3035" s="935"/>
      <c r="O3035" s="935"/>
    </row>
    <row r="3036" spans="1:15" ht="15" customHeight="1">
      <c r="A3036" s="908" t="s">
        <v>364</v>
      </c>
      <c r="B3036" s="909" t="s">
        <v>2092</v>
      </c>
      <c r="C3036" s="910" t="e">
        <f>VLOOKUP(B3033,'LƯƠNG KT'!$D$16:$Z$184,16,0)</f>
        <v>#N/A</v>
      </c>
      <c r="D3036" s="609" t="e">
        <f>C3036*$L$5</f>
        <v>#N/A</v>
      </c>
      <c r="E3036" s="912"/>
      <c r="F3036" s="912"/>
      <c r="G3036" s="908" t="s">
        <v>364</v>
      </c>
      <c r="H3036" s="909" t="s">
        <v>2092</v>
      </c>
      <c r="I3036" s="910" t="e">
        <f>VLOOKUP(H3033,'LƯƠNG KT'!$D$16:$Z$184,16,0)</f>
        <v>#N/A</v>
      </c>
      <c r="J3036" s="609" t="e">
        <f>I3036*$L$5</f>
        <v>#N/A</v>
      </c>
      <c r="K3036" s="935"/>
      <c r="L3036" s="935"/>
      <c r="M3036" s="935"/>
      <c r="N3036" s="935"/>
      <c r="O3036" s="935"/>
    </row>
    <row r="3037" spans="1:15" ht="15" customHeight="1">
      <c r="A3037" s="908" t="s">
        <v>370</v>
      </c>
      <c r="B3037" s="909" t="s">
        <v>2093</v>
      </c>
      <c r="C3037" s="910" t="e">
        <f>VLOOKUP(B3033,'LƯƠNG KT'!$D$16:$Z$184,24,0)</f>
        <v>#N/A</v>
      </c>
      <c r="D3037" s="609" t="e">
        <f>+C3037*$L$6</f>
        <v>#N/A</v>
      </c>
      <c r="E3037" s="912"/>
      <c r="F3037" s="912"/>
      <c r="G3037" s="908" t="s">
        <v>370</v>
      </c>
      <c r="H3037" s="909" t="s">
        <v>2093</v>
      </c>
      <c r="I3037" s="910" t="e">
        <f>VLOOKUP(H3033,'LƯƠNG KT'!$D$16:$Z$184,24,0)</f>
        <v>#N/A</v>
      </c>
      <c r="J3037" s="609" t="e">
        <f>+I3037*$L$6</f>
        <v>#N/A</v>
      </c>
      <c r="K3037" s="935"/>
      <c r="L3037" s="935"/>
      <c r="M3037" s="935"/>
      <c r="N3037" s="935"/>
      <c r="O3037" s="935"/>
    </row>
    <row r="3038" spans="1:15" ht="15" customHeight="1">
      <c r="A3038" s="908" t="s">
        <v>2094</v>
      </c>
      <c r="B3038" s="909" t="s">
        <v>2095</v>
      </c>
      <c r="C3038" s="910" t="e">
        <f>VLOOKUP(B3033,'LƯƠNG KT'!$D$16:$Z$184,19,0)</f>
        <v>#N/A</v>
      </c>
      <c r="D3038" s="609" t="e">
        <f>+C3038*$L$8</f>
        <v>#N/A</v>
      </c>
      <c r="E3038" s="912"/>
      <c r="F3038" s="912"/>
      <c r="G3038" s="908" t="s">
        <v>2094</v>
      </c>
      <c r="H3038" s="909" t="s">
        <v>2095</v>
      </c>
      <c r="I3038" s="910" t="e">
        <f>VLOOKUP(H3033,'LƯƠNG KT'!$D$16:$Z$184,19,0)</f>
        <v>#N/A</v>
      </c>
      <c r="J3038" s="609" t="e">
        <f>+I3038*$L$8</f>
        <v>#N/A</v>
      </c>
      <c r="K3038" s="935"/>
      <c r="L3038" s="935"/>
      <c r="M3038" s="935"/>
      <c r="N3038" s="935"/>
      <c r="O3038" s="935"/>
    </row>
    <row r="3039" spans="1:15" ht="15" customHeight="1">
      <c r="A3039" s="908" t="s">
        <v>2096</v>
      </c>
      <c r="B3039" s="913" t="s">
        <v>2097</v>
      </c>
      <c r="C3039" s="910" t="e">
        <f>VLOOKUP(B3033,'LƯƠNG KT'!$D$16:$Z$184,20,0)</f>
        <v>#N/A</v>
      </c>
      <c r="D3039" s="609" t="e">
        <f>+C3039*$L$9</f>
        <v>#N/A</v>
      </c>
      <c r="E3039" s="912"/>
      <c r="F3039" s="912"/>
      <c r="G3039" s="908" t="s">
        <v>2096</v>
      </c>
      <c r="H3039" s="913" t="s">
        <v>2097</v>
      </c>
      <c r="I3039" s="910" t="e">
        <f>VLOOKUP(H3033,'LƯƠNG KT'!$D$16:$Z$184,20,0)</f>
        <v>#N/A</v>
      </c>
      <c r="J3039" s="609" t="e">
        <f>+I3039*$L$9</f>
        <v>#N/A</v>
      </c>
      <c r="K3039" s="935"/>
      <c r="L3039" s="935"/>
      <c r="M3039" s="935"/>
      <c r="N3039" s="935"/>
      <c r="O3039" s="935"/>
    </row>
    <row r="3040" spans="1:15" ht="15" customHeight="1">
      <c r="A3040" s="908" t="s">
        <v>2099</v>
      </c>
      <c r="B3040" s="909" t="s">
        <v>2100</v>
      </c>
      <c r="C3040" s="910" t="e">
        <f>VLOOKUP(B3033,'LƯƠNG KT'!$D$16:$Z$184,17,0)</f>
        <v>#N/A</v>
      </c>
      <c r="D3040" s="609" t="e">
        <f>+C3040*$L$10</f>
        <v>#N/A</v>
      </c>
      <c r="E3040" s="912"/>
      <c r="F3040" s="912"/>
      <c r="G3040" s="908" t="s">
        <v>2099</v>
      </c>
      <c r="H3040" s="909" t="s">
        <v>2100</v>
      </c>
      <c r="I3040" s="910" t="e">
        <f>VLOOKUP(H3033,'LƯƠNG KT'!$D$16:$Z$184,17,0)</f>
        <v>#N/A</v>
      </c>
      <c r="J3040" s="609" t="e">
        <f>+I3040*$L$10</f>
        <v>#N/A</v>
      </c>
      <c r="K3040" s="935"/>
      <c r="L3040" s="935"/>
      <c r="M3040" s="935"/>
      <c r="N3040" s="935"/>
      <c r="O3040" s="935"/>
    </row>
    <row r="3041" spans="1:15" ht="15" customHeight="1">
      <c r="A3041" s="908" t="s">
        <v>374</v>
      </c>
      <c r="B3041" s="909" t="s">
        <v>2102</v>
      </c>
      <c r="C3041" s="910" t="e">
        <f>VLOOKUP(B3033,'LƯƠNG KT'!$D$16:$Z$184,12,0)</f>
        <v>#N/A</v>
      </c>
      <c r="D3041" s="609" t="e">
        <f>VLOOKUP(B3033,'LƯƠNG KT'!$D$16:$Z$184,14,0)</f>
        <v>#N/A</v>
      </c>
      <c r="E3041" s="914"/>
      <c r="F3041" s="912"/>
      <c r="G3041" s="908" t="s">
        <v>374</v>
      </c>
      <c r="H3041" s="909" t="s">
        <v>2102</v>
      </c>
      <c r="I3041" s="910" t="e">
        <f>VLOOKUP(H3033,'LƯƠNG KT'!$D$16:$Z$184,12,0)</f>
        <v>#N/A</v>
      </c>
      <c r="J3041" s="609" t="e">
        <f>VLOOKUP(H3033,'LƯƠNG KT'!$D$16:$Z$184,14,0)</f>
        <v>#N/A</v>
      </c>
      <c r="K3041" s="935"/>
      <c r="L3041" s="935"/>
      <c r="M3041" s="935"/>
      <c r="N3041" s="935"/>
      <c r="O3041" s="935"/>
    </row>
    <row r="3042" spans="1:15" ht="15" customHeight="1">
      <c r="A3042" s="908" t="s">
        <v>2103</v>
      </c>
      <c r="B3042" s="909" t="s">
        <v>2104</v>
      </c>
      <c r="D3042" s="915" t="e">
        <f>VLOOKUP(B3033,'LƯƠNG KT'!$D$16:$Z$184,13,0)</f>
        <v>#N/A</v>
      </c>
      <c r="E3042" s="916"/>
      <c r="F3042" s="916"/>
      <c r="G3042" s="908" t="s">
        <v>2103</v>
      </c>
      <c r="H3042" s="909" t="s">
        <v>2104</v>
      </c>
      <c r="J3042" s="915" t="e">
        <f>VLOOKUP(H3033,'LƯƠNG KT'!$D$16:$Z$184,13,0)</f>
        <v>#N/A</v>
      </c>
    </row>
    <row r="3043" spans="1:15" ht="15" customHeight="1">
      <c r="A3043" s="547"/>
      <c r="B3043" s="546"/>
      <c r="C3043" s="910"/>
      <c r="D3043" s="609"/>
      <c r="E3043" s="914"/>
      <c r="F3043" s="916"/>
      <c r="G3043" s="547"/>
      <c r="H3043" s="546"/>
      <c r="I3043" s="910"/>
      <c r="J3043" s="609"/>
    </row>
    <row r="3044" spans="1:15" ht="15" customHeight="1">
      <c r="A3044" s="905"/>
      <c r="B3044" s="546"/>
      <c r="C3044" s="910"/>
      <c r="D3044" s="609"/>
      <c r="E3044" s="917"/>
      <c r="F3044" s="904"/>
      <c r="G3044" s="905"/>
      <c r="H3044" s="546"/>
      <c r="I3044" s="910"/>
      <c r="J3044" s="609"/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SUM(D3034:D3041)-D3044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SUM(J3034:J3041)-J3044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8" spans="1:15" ht="12" customHeight="1">
      <c r="A3048" s="2361"/>
      <c r="B3048" s="2361"/>
      <c r="C3048" s="2361"/>
      <c r="D3048" s="2361"/>
      <c r="E3048" s="2361"/>
      <c r="F3048" s="2361"/>
      <c r="G3048" s="2361"/>
      <c r="H3048" s="2361"/>
      <c r="I3048" s="2361"/>
      <c r="J3048" s="2361"/>
    </row>
    <row r="3049" spans="1:15" ht="15" customHeight="1">
      <c r="A3049" s="2360" t="str">
        <f>$K$2</f>
        <v>THÁNG 04/2025</v>
      </c>
      <c r="B3049" s="2360"/>
      <c r="C3049" s="2360"/>
      <c r="D3049" s="2360"/>
      <c r="E3049" s="903"/>
      <c r="F3049" s="904"/>
      <c r="G3049" s="2360" t="str">
        <f>$K$2</f>
        <v>THÁNG 04/2025</v>
      </c>
      <c r="H3049" s="2360"/>
      <c r="I3049" s="2360"/>
      <c r="J3049" s="2360"/>
      <c r="K3049" s="276"/>
    </row>
    <row r="3050" spans="1:15" ht="15" customHeight="1">
      <c r="A3050" s="905" t="s">
        <v>356</v>
      </c>
      <c r="B3050" s="642" t="s">
        <v>254</v>
      </c>
      <c r="C3050" s="546"/>
      <c r="D3050" s="902"/>
      <c r="E3050" s="906"/>
      <c r="F3050" s="907"/>
      <c r="G3050" s="905" t="s">
        <v>356</v>
      </c>
      <c r="H3050" s="642" t="s">
        <v>255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8" t="s">
        <v>359</v>
      </c>
      <c r="B3051" s="909" t="s">
        <v>2090</v>
      </c>
      <c r="C3051" s="910" t="e">
        <f>VLOOKUP(B3050,'LƯƠNG KT'!$D$16:$Z$184,4,0)</f>
        <v>#N/A</v>
      </c>
      <c r="D3051" s="609" t="e">
        <f>+C3051*25000</f>
        <v>#N/A</v>
      </c>
      <c r="E3051" s="911"/>
      <c r="F3051" s="911"/>
      <c r="G3051" s="908" t="s">
        <v>359</v>
      </c>
      <c r="H3051" s="909" t="s">
        <v>2090</v>
      </c>
      <c r="I3051" s="910" t="e">
        <f>VLOOKUP(H3050,'LƯƠNG KT'!$D$16:$Z$184,4,0)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8" t="s">
        <v>361</v>
      </c>
      <c r="B3052" s="909" t="s">
        <v>2091</v>
      </c>
      <c r="C3052" s="910" t="e">
        <f>VLOOKUP(B3050,'LƯƠNG KT'!$D$16:$Z$184,15,0)</f>
        <v>#N/A</v>
      </c>
      <c r="D3052" s="609" t="e">
        <f>C3052*$L$4</f>
        <v>#N/A</v>
      </c>
      <c r="E3052" s="912"/>
      <c r="F3052" s="912"/>
      <c r="G3052" s="908" t="s">
        <v>361</v>
      </c>
      <c r="H3052" s="909" t="s">
        <v>2091</v>
      </c>
      <c r="I3052" s="910" t="e">
        <f>VLOOKUP(H3050,'LƯƠNG KT'!$D$16:$Z$184,15,0)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8" t="s">
        <v>364</v>
      </c>
      <c r="B3053" s="909" t="s">
        <v>2092</v>
      </c>
      <c r="C3053" s="910" t="e">
        <f>VLOOKUP(B3050,'LƯƠNG KT'!$D$16:$Z$184,16,0)</f>
        <v>#N/A</v>
      </c>
      <c r="D3053" s="609" t="e">
        <f>C3053*$L$5</f>
        <v>#N/A</v>
      </c>
      <c r="E3053" s="912"/>
      <c r="F3053" s="912"/>
      <c r="G3053" s="908" t="s">
        <v>364</v>
      </c>
      <c r="H3053" s="909" t="s">
        <v>2092</v>
      </c>
      <c r="I3053" s="910" t="e">
        <f>VLOOKUP(H3050,'LƯƠNG KT'!$D$16:$Z$184,16,0)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8" t="s">
        <v>370</v>
      </c>
      <c r="B3054" s="909" t="s">
        <v>2093</v>
      </c>
      <c r="C3054" s="910" t="e">
        <f>VLOOKUP(B3050,'LƯƠNG KT'!$D$16:$Z$184,24,0)</f>
        <v>#N/A</v>
      </c>
      <c r="D3054" s="609" t="e">
        <f>+C3054*$L$6</f>
        <v>#N/A</v>
      </c>
      <c r="E3054" s="912"/>
      <c r="F3054" s="912"/>
      <c r="G3054" s="908" t="s">
        <v>370</v>
      </c>
      <c r="H3054" s="909" t="s">
        <v>2093</v>
      </c>
      <c r="I3054" s="910" t="e">
        <f>VLOOKUP(H3050,'LƯƠNG KT'!$D$16:$Z$184,24,0)</f>
        <v>#N/A</v>
      </c>
      <c r="J3054" s="609" t="e">
        <f>+I3054*$L$6</f>
        <v>#N/A</v>
      </c>
      <c r="K3054" s="935"/>
      <c r="L3054" s="935"/>
      <c r="M3054" s="935"/>
      <c r="N3054" s="935"/>
      <c r="O3054" s="935"/>
    </row>
    <row r="3055" spans="1:15" ht="15" customHeight="1">
      <c r="A3055" s="908" t="s">
        <v>2094</v>
      </c>
      <c r="B3055" s="909" t="s">
        <v>2095</v>
      </c>
      <c r="C3055" s="910" t="e">
        <f>VLOOKUP(B3050,'LƯƠNG KT'!$D$16:$Z$184,19,0)</f>
        <v>#N/A</v>
      </c>
      <c r="D3055" s="609" t="e">
        <f>+C3055*$L$8</f>
        <v>#N/A</v>
      </c>
      <c r="E3055" s="912"/>
      <c r="F3055" s="912"/>
      <c r="G3055" s="908" t="s">
        <v>2094</v>
      </c>
      <c r="H3055" s="909" t="s">
        <v>2095</v>
      </c>
      <c r="I3055" s="910" t="e">
        <f>VLOOKUP(H3050,'LƯƠNG KT'!$D$16:$Z$184,19,0)</f>
        <v>#N/A</v>
      </c>
      <c r="J3055" s="609" t="e">
        <f>+I3055*$L$8</f>
        <v>#N/A</v>
      </c>
      <c r="K3055" s="935"/>
      <c r="L3055" s="935"/>
      <c r="M3055" s="935"/>
      <c r="N3055" s="935"/>
      <c r="O3055" s="935"/>
    </row>
    <row r="3056" spans="1:15" ht="15" customHeight="1">
      <c r="A3056" s="908" t="s">
        <v>2096</v>
      </c>
      <c r="B3056" s="913" t="s">
        <v>2097</v>
      </c>
      <c r="C3056" s="910" t="e">
        <f>VLOOKUP(B3050,'LƯƠNG KT'!$D$16:$Z$184,20,0)</f>
        <v>#N/A</v>
      </c>
      <c r="D3056" s="609" t="e">
        <f>+C3056*$L$9</f>
        <v>#N/A</v>
      </c>
      <c r="E3056" s="912"/>
      <c r="F3056" s="912"/>
      <c r="G3056" s="908" t="s">
        <v>2096</v>
      </c>
      <c r="H3056" s="913" t="s">
        <v>2097</v>
      </c>
      <c r="I3056" s="910" t="e">
        <f>VLOOKUP(H3050,'LƯƠNG KT'!$D$16:$Z$184,20,0)</f>
        <v>#N/A</v>
      </c>
      <c r="J3056" s="609" t="e">
        <f>+I3056*$L$9</f>
        <v>#N/A</v>
      </c>
      <c r="K3056" s="935"/>
      <c r="L3056" s="935"/>
      <c r="M3056" s="935"/>
      <c r="N3056" s="935"/>
      <c r="O3056" s="935"/>
    </row>
    <row r="3057" spans="1:15" ht="15" customHeight="1">
      <c r="A3057" s="908" t="s">
        <v>2099</v>
      </c>
      <c r="B3057" s="909" t="s">
        <v>2100</v>
      </c>
      <c r="C3057" s="910" t="e">
        <f>VLOOKUP(B3050,'LƯƠNG KT'!$D$16:$Z$184,17,0)</f>
        <v>#N/A</v>
      </c>
      <c r="D3057" s="609" t="e">
        <f>+C3057*$L$10</f>
        <v>#N/A</v>
      </c>
      <c r="E3057" s="912"/>
      <c r="F3057" s="912"/>
      <c r="G3057" s="908" t="s">
        <v>2099</v>
      </c>
      <c r="H3057" s="909" t="s">
        <v>2100</v>
      </c>
      <c r="I3057" s="910" t="e">
        <f>VLOOKUP(H3050,'LƯƠNG KT'!$D$16:$Z$184,17,0)</f>
        <v>#N/A</v>
      </c>
      <c r="J3057" s="609" t="e">
        <f>+I3057*$L$10</f>
        <v>#N/A</v>
      </c>
      <c r="K3057" s="935"/>
      <c r="L3057" s="935"/>
      <c r="M3057" s="935"/>
      <c r="N3057" s="935"/>
      <c r="O3057" s="935"/>
    </row>
    <row r="3058" spans="1:15" ht="15" customHeight="1">
      <c r="A3058" s="908" t="s">
        <v>374</v>
      </c>
      <c r="B3058" s="909" t="s">
        <v>2102</v>
      </c>
      <c r="C3058" s="910" t="e">
        <f>VLOOKUP(B3050,'LƯƠNG KT'!$D$16:$Z$184,12,0)</f>
        <v>#N/A</v>
      </c>
      <c r="D3058" s="609" t="e">
        <f>VLOOKUP(B3050,'LƯƠNG KT'!$D$16:$Z$184,14,0)</f>
        <v>#N/A</v>
      </c>
      <c r="E3058" s="914"/>
      <c r="F3058" s="912"/>
      <c r="G3058" s="908" t="s">
        <v>374</v>
      </c>
      <c r="H3058" s="909" t="s">
        <v>2102</v>
      </c>
      <c r="I3058" s="910" t="e">
        <f>VLOOKUP(H3050,'LƯƠNG KT'!$D$16:$Z$184,12,0)</f>
        <v>#N/A</v>
      </c>
      <c r="J3058" s="609" t="e">
        <f>VLOOKUP(H3050,'LƯƠNG KT'!$D$16:$Z$184,14,0)</f>
        <v>#N/A</v>
      </c>
      <c r="K3058" s="935"/>
      <c r="L3058" s="935"/>
      <c r="M3058" s="935"/>
      <c r="N3058" s="935"/>
      <c r="O3058" s="935"/>
    </row>
    <row r="3059" spans="1:15" ht="15" customHeight="1">
      <c r="A3059" s="908" t="s">
        <v>2103</v>
      </c>
      <c r="B3059" s="909" t="s">
        <v>2104</v>
      </c>
      <c r="D3059" s="915" t="e">
        <f>VLOOKUP(B3050,'LƯƠNG KT'!$D$16:$Z$184,13,0)</f>
        <v>#N/A</v>
      </c>
      <c r="E3059" s="916"/>
      <c r="F3059" s="916"/>
      <c r="G3059" s="908" t="s">
        <v>2103</v>
      </c>
      <c r="H3059" s="909" t="s">
        <v>2104</v>
      </c>
      <c r="J3059" s="915" t="e">
        <f>VLOOKUP(H3050,'LƯƠNG KT'!$D$16:$Z$184,13,0)</f>
        <v>#N/A</v>
      </c>
    </row>
    <row r="3060" spans="1:15" ht="15" customHeight="1">
      <c r="A3060" s="547"/>
      <c r="B3060" s="546"/>
      <c r="C3060" s="910"/>
      <c r="D3060" s="609"/>
      <c r="E3060" s="914"/>
      <c r="F3060" s="916"/>
      <c r="G3060" s="547"/>
      <c r="H3060" s="546"/>
      <c r="I3060" s="910"/>
      <c r="J3060" s="609"/>
    </row>
    <row r="3061" spans="1:15" ht="15" customHeight="1">
      <c r="A3061" s="905"/>
      <c r="B3061" s="546"/>
      <c r="C3061" s="910"/>
      <c r="D3061" s="609"/>
      <c r="E3061" s="917"/>
      <c r="F3061" s="904"/>
      <c r="G3061" s="905"/>
      <c r="H3061" s="546"/>
      <c r="I3061" s="910"/>
      <c r="J3061" s="609"/>
    </row>
    <row r="3062" spans="1:15" ht="15" customHeight="1">
      <c r="A3062" s="918" t="s">
        <v>383</v>
      </c>
      <c r="B3062" s="919" t="s">
        <v>384</v>
      </c>
      <c r="C3062" s="920"/>
      <c r="D3062" s="921" t="e">
        <f>SUM(D3051:D3058)-D3061</f>
        <v>#N/A</v>
      </c>
      <c r="E3062" s="922"/>
      <c r="F3062" s="923"/>
      <c r="G3062" s="918" t="s">
        <v>383</v>
      </c>
      <c r="H3062" s="919" t="s">
        <v>384</v>
      </c>
      <c r="I3062" s="920"/>
      <c r="J3062" s="921" t="e">
        <f>SUM(J3051:J3058)-J3061</f>
        <v>#N/A</v>
      </c>
    </row>
    <row r="3063" spans="1:15" ht="12.6" customHeight="1">
      <c r="A3063" s="924"/>
      <c r="B3063" s="925"/>
      <c r="C3063" s="926"/>
      <c r="D3063" s="927"/>
      <c r="E3063" s="927"/>
      <c r="F3063" s="928"/>
      <c r="G3063" s="924"/>
      <c r="H3063" s="925"/>
      <c r="I3063" s="926"/>
      <c r="J3063" s="927"/>
    </row>
    <row r="3064" spans="1:15" ht="139.5" customHeight="1">
      <c r="A3064" s="925"/>
      <c r="B3064" s="925"/>
      <c r="C3064" s="929"/>
      <c r="D3064" s="930"/>
      <c r="E3064" s="925"/>
      <c r="F3064" s="931"/>
      <c r="G3064" s="925"/>
      <c r="H3064" s="925"/>
      <c r="I3064" s="929"/>
      <c r="J3064" s="930"/>
    </row>
    <row r="3065" spans="1:15" ht="15" customHeight="1">
      <c r="A3065" s="2360" t="str">
        <f>$K$2</f>
        <v>THÁNG 04/2025</v>
      </c>
      <c r="B3065" s="2360"/>
      <c r="C3065" s="2360"/>
      <c r="D3065" s="2360"/>
      <c r="E3065" s="903"/>
      <c r="F3065" s="904"/>
      <c r="G3065" s="2360" t="str">
        <f>$K$2</f>
        <v>THÁNG 04/2025</v>
      </c>
      <c r="H3065" s="2360"/>
      <c r="I3065" s="2360"/>
      <c r="J3065" s="2360"/>
      <c r="K3065" s="276"/>
    </row>
    <row r="3066" spans="1:15" ht="15" customHeight="1">
      <c r="A3066" s="905" t="s">
        <v>356</v>
      </c>
      <c r="B3066" s="642" t="s">
        <v>256</v>
      </c>
      <c r="C3066" s="546"/>
      <c r="D3066" s="902"/>
      <c r="E3066" s="906"/>
      <c r="F3066" s="907"/>
      <c r="G3066" s="905" t="s">
        <v>356</v>
      </c>
      <c r="H3066" s="642" t="s">
        <v>257</v>
      </c>
      <c r="I3066" s="546"/>
      <c r="J3066" s="902"/>
      <c r="L3066" s="938"/>
      <c r="M3066" s="938"/>
      <c r="N3066" s="938"/>
      <c r="O3066" s="938"/>
    </row>
    <row r="3067" spans="1:15" ht="15" customHeight="1">
      <c r="A3067" s="908" t="s">
        <v>359</v>
      </c>
      <c r="B3067" s="909" t="s">
        <v>2090</v>
      </c>
      <c r="C3067" s="910" t="e">
        <f>VLOOKUP(B3066,'LƯƠNG KT'!$D$16:$Z$184,4,0)</f>
        <v>#N/A</v>
      </c>
      <c r="D3067" s="609" t="e">
        <f>+C3067*25000</f>
        <v>#N/A</v>
      </c>
      <c r="E3067" s="911"/>
      <c r="F3067" s="911"/>
      <c r="G3067" s="908" t="s">
        <v>359</v>
      </c>
      <c r="H3067" s="909" t="s">
        <v>2090</v>
      </c>
      <c r="I3067" s="910" t="e">
        <f>VLOOKUP(H3066,'LƯƠNG KT'!$D$16:$Z$184,4,0)</f>
        <v>#N/A</v>
      </c>
      <c r="J3067" s="609" t="e">
        <f>+I3067*25000</f>
        <v>#N/A</v>
      </c>
      <c r="K3067" s="935"/>
      <c r="L3067" s="935"/>
      <c r="M3067" s="935"/>
      <c r="N3067" s="935"/>
      <c r="O3067" s="935"/>
    </row>
    <row r="3068" spans="1:15" ht="15" customHeight="1">
      <c r="A3068" s="908" t="s">
        <v>361</v>
      </c>
      <c r="B3068" s="909" t="s">
        <v>2091</v>
      </c>
      <c r="C3068" s="910" t="e">
        <f>VLOOKUP(B3066,'LƯƠNG KT'!$D$16:$Z$184,15,0)</f>
        <v>#N/A</v>
      </c>
      <c r="D3068" s="609" t="e">
        <f>C3068*$L$4</f>
        <v>#N/A</v>
      </c>
      <c r="E3068" s="912"/>
      <c r="F3068" s="912"/>
      <c r="G3068" s="908" t="s">
        <v>361</v>
      </c>
      <c r="H3068" s="909" t="s">
        <v>2091</v>
      </c>
      <c r="I3068" s="910" t="e">
        <f>VLOOKUP(H3066,'LƯƠNG KT'!$D$16:$Z$184,15,0)</f>
        <v>#N/A</v>
      </c>
      <c r="J3068" s="609" t="e">
        <f>I3068*$L$4</f>
        <v>#N/A</v>
      </c>
      <c r="K3068" s="935"/>
      <c r="L3068" s="935"/>
      <c r="M3068" s="935"/>
      <c r="N3068" s="935"/>
      <c r="O3068" s="935"/>
    </row>
    <row r="3069" spans="1:15" ht="15" customHeight="1">
      <c r="A3069" s="908" t="s">
        <v>364</v>
      </c>
      <c r="B3069" s="909" t="s">
        <v>2092</v>
      </c>
      <c r="C3069" s="910" t="e">
        <f>VLOOKUP(B3066,'LƯƠNG KT'!$D$16:$Z$184,16,0)</f>
        <v>#N/A</v>
      </c>
      <c r="D3069" s="609" t="e">
        <f>C3069*$L$5</f>
        <v>#N/A</v>
      </c>
      <c r="E3069" s="912"/>
      <c r="F3069" s="912"/>
      <c r="G3069" s="908" t="s">
        <v>364</v>
      </c>
      <c r="H3069" s="909" t="s">
        <v>2092</v>
      </c>
      <c r="I3069" s="910" t="e">
        <f>VLOOKUP(H3066,'LƯƠNG KT'!$D$16:$Z$184,16,0)</f>
        <v>#N/A</v>
      </c>
      <c r="J3069" s="609" t="e">
        <f>I3069*$L$5</f>
        <v>#N/A</v>
      </c>
      <c r="K3069" s="935"/>
      <c r="L3069" s="935"/>
      <c r="M3069" s="935"/>
      <c r="N3069" s="935"/>
      <c r="O3069" s="935"/>
    </row>
    <row r="3070" spans="1:15" ht="15" customHeight="1">
      <c r="A3070" s="908" t="s">
        <v>370</v>
      </c>
      <c r="B3070" s="909" t="s">
        <v>2093</v>
      </c>
      <c r="C3070" s="910" t="e">
        <f>VLOOKUP(B3066,'LƯƠNG KT'!$D$16:$Z$184,24,0)</f>
        <v>#N/A</v>
      </c>
      <c r="D3070" s="609" t="e">
        <f>+C3070*$L$6</f>
        <v>#N/A</v>
      </c>
      <c r="E3070" s="912"/>
      <c r="F3070" s="912"/>
      <c r="G3070" s="908" t="s">
        <v>370</v>
      </c>
      <c r="H3070" s="909" t="s">
        <v>2093</v>
      </c>
      <c r="I3070" s="910" t="e">
        <f>VLOOKUP(H3066,'LƯƠNG KT'!$D$16:$Z$184,24,0)</f>
        <v>#N/A</v>
      </c>
      <c r="J3070" s="609" t="e">
        <f>+I3070*$L$6</f>
        <v>#N/A</v>
      </c>
      <c r="K3070" s="642" t="s">
        <v>259</v>
      </c>
      <c r="L3070" s="935"/>
      <c r="M3070" s="935"/>
      <c r="N3070" s="935"/>
      <c r="O3070" s="935"/>
    </row>
    <row r="3071" spans="1:15" ht="15" customHeight="1">
      <c r="A3071" s="908" t="s">
        <v>2094</v>
      </c>
      <c r="B3071" s="909" t="s">
        <v>2095</v>
      </c>
      <c r="C3071" s="910" t="e">
        <f>VLOOKUP(B3066,'LƯƠNG KT'!$D$16:$Z$184,19,0)</f>
        <v>#N/A</v>
      </c>
      <c r="D3071" s="609" t="e">
        <f>+C3071*$L$8</f>
        <v>#N/A</v>
      </c>
      <c r="E3071" s="912"/>
      <c r="F3071" s="912"/>
      <c r="G3071" s="908" t="s">
        <v>2094</v>
      </c>
      <c r="H3071" s="909" t="s">
        <v>2095</v>
      </c>
      <c r="I3071" s="910" t="e">
        <f>VLOOKUP(H3066,'LƯƠNG KT'!$D$16:$Z$184,19,0)</f>
        <v>#N/A</v>
      </c>
      <c r="J3071" s="609" t="e">
        <f>+I3071*$L$8</f>
        <v>#N/A</v>
      </c>
      <c r="K3071" s="944"/>
      <c r="L3071" s="935"/>
      <c r="M3071" s="935"/>
      <c r="N3071" s="935"/>
      <c r="O3071" s="935"/>
    </row>
    <row r="3072" spans="1:15" ht="15" customHeight="1">
      <c r="A3072" s="908" t="s">
        <v>2096</v>
      </c>
      <c r="B3072" s="913" t="s">
        <v>2097</v>
      </c>
      <c r="C3072" s="910" t="e">
        <f>VLOOKUP(B3066,'LƯƠNG KT'!$D$16:$Z$184,20,0)</f>
        <v>#N/A</v>
      </c>
      <c r="D3072" s="609" t="e">
        <f>+C3072*$L$9</f>
        <v>#N/A</v>
      </c>
      <c r="E3072" s="912"/>
      <c r="F3072" s="912"/>
      <c r="G3072" s="908" t="s">
        <v>2096</v>
      </c>
      <c r="H3072" s="913" t="s">
        <v>2097</v>
      </c>
      <c r="I3072" s="910" t="e">
        <f>VLOOKUP(H3066,'LƯƠNG KT'!$D$16:$Z$184,20,0)</f>
        <v>#N/A</v>
      </c>
      <c r="J3072" s="609" t="e">
        <f>+I3072*$L$9</f>
        <v>#N/A</v>
      </c>
      <c r="K3072" s="944"/>
      <c r="L3072" s="935"/>
      <c r="M3072" s="935"/>
      <c r="N3072" s="935"/>
      <c r="O3072" s="935"/>
    </row>
    <row r="3073" spans="1:15" ht="15" customHeight="1">
      <c r="A3073" s="908" t="s">
        <v>2099</v>
      </c>
      <c r="B3073" s="909" t="s">
        <v>2100</v>
      </c>
      <c r="C3073" s="910" t="e">
        <f>VLOOKUP(B3066,'LƯƠNG KT'!$D$16:$Z$184,17,0)</f>
        <v>#N/A</v>
      </c>
      <c r="D3073" s="609" t="e">
        <f>+C3073*$L$10</f>
        <v>#N/A</v>
      </c>
      <c r="E3073" s="912"/>
      <c r="F3073" s="912"/>
      <c r="G3073" s="908" t="s">
        <v>2099</v>
      </c>
      <c r="H3073" s="909" t="s">
        <v>2100</v>
      </c>
      <c r="I3073" s="910" t="e">
        <f>VLOOKUP(H3066,'LƯƠNG KT'!$D$16:$Z$184,17,0)</f>
        <v>#N/A</v>
      </c>
      <c r="J3073" s="609" t="e">
        <f>+I3073*$L$10</f>
        <v>#N/A</v>
      </c>
      <c r="K3073" s="935"/>
      <c r="L3073" s="935"/>
      <c r="M3073" s="935"/>
      <c r="N3073" s="935"/>
      <c r="O3073" s="935"/>
    </row>
    <row r="3074" spans="1:15" ht="15" customHeight="1">
      <c r="A3074" s="908" t="s">
        <v>374</v>
      </c>
      <c r="B3074" s="909" t="s">
        <v>2102</v>
      </c>
      <c r="C3074" s="910" t="e">
        <f>VLOOKUP(B3066,'LƯƠNG KT'!$D$16:$Z$184,12,0)</f>
        <v>#N/A</v>
      </c>
      <c r="D3074" s="609" t="e">
        <f>VLOOKUP(B3066,'LƯƠNG KT'!$D$16:$Z$184,14,0)</f>
        <v>#N/A</v>
      </c>
      <c r="E3074" s="914"/>
      <c r="F3074" s="912"/>
      <c r="G3074" s="908" t="s">
        <v>374</v>
      </c>
      <c r="H3074" s="909" t="s">
        <v>2102</v>
      </c>
      <c r="I3074" s="910" t="e">
        <f>VLOOKUP(H3066,'LƯƠNG KT'!$D$16:$Z$184,12,0)</f>
        <v>#N/A</v>
      </c>
      <c r="J3074" s="609" t="e">
        <f>VLOOKUP(H3066,'LƯƠNG KT'!$D$16:$Z$184,14,0)</f>
        <v>#N/A</v>
      </c>
      <c r="K3074" s="935"/>
      <c r="L3074" s="935"/>
      <c r="M3074" s="935"/>
      <c r="N3074" s="935"/>
      <c r="O3074" s="935"/>
    </row>
    <row r="3075" spans="1:15" ht="15" customHeight="1">
      <c r="A3075" s="908" t="s">
        <v>2103</v>
      </c>
      <c r="B3075" s="909" t="s">
        <v>2104</v>
      </c>
      <c r="D3075" s="915" t="e">
        <f>VLOOKUP(B3066,'LƯƠNG KT'!$D$16:$Z$184,13,0)</f>
        <v>#N/A</v>
      </c>
      <c r="E3075" s="916"/>
      <c r="F3075" s="916"/>
      <c r="G3075" s="908" t="s">
        <v>2103</v>
      </c>
      <c r="H3075" s="909" t="s">
        <v>2104</v>
      </c>
      <c r="J3075" s="915" t="e">
        <f>VLOOKUP(H3066,'LƯƠNG KT'!$D$16:$Z$184,13,0)</f>
        <v>#N/A</v>
      </c>
    </row>
    <row r="3076" spans="1:15" ht="15" customHeight="1">
      <c r="A3076" s="547"/>
      <c r="B3076" s="546"/>
      <c r="C3076" s="910"/>
      <c r="D3076" s="609"/>
      <c r="E3076" s="914"/>
      <c r="F3076" s="916"/>
      <c r="G3076" s="547"/>
      <c r="H3076" s="546"/>
      <c r="I3076" s="910"/>
      <c r="J3076" s="609"/>
    </row>
    <row r="3077" spans="1:15" ht="15" customHeight="1">
      <c r="A3077" s="905"/>
      <c r="B3077" s="546"/>
      <c r="C3077" s="910"/>
      <c r="D3077" s="609"/>
      <c r="E3077" s="917"/>
      <c r="F3077" s="904"/>
      <c r="G3077" s="905"/>
      <c r="H3077" s="546"/>
      <c r="I3077" s="910"/>
      <c r="J3077" s="609"/>
    </row>
    <row r="3078" spans="1:15" ht="15" customHeight="1">
      <c r="A3078" s="918" t="s">
        <v>383</v>
      </c>
      <c r="B3078" s="919" t="s">
        <v>384</v>
      </c>
      <c r="C3078" s="920"/>
      <c r="D3078" s="921" t="e">
        <f>SUM(D3067:D3074)-D3077</f>
        <v>#N/A</v>
      </c>
      <c r="E3078" s="922"/>
      <c r="F3078" s="923"/>
      <c r="G3078" s="918" t="s">
        <v>383</v>
      </c>
      <c r="H3078" s="919" t="s">
        <v>384</v>
      </c>
      <c r="I3078" s="920"/>
      <c r="J3078" s="921" t="e">
        <f>SUM(J3067:J3074)-J3077</f>
        <v>#N/A</v>
      </c>
    </row>
    <row r="3079" spans="1:15" ht="18.75" customHeight="1">
      <c r="A3079" s="924"/>
      <c r="B3079" s="925"/>
      <c r="C3079" s="926"/>
      <c r="D3079" s="927"/>
      <c r="E3079" s="927"/>
      <c r="F3079" s="928"/>
      <c r="G3079" s="924"/>
      <c r="H3079" s="925"/>
      <c r="I3079" s="926"/>
      <c r="J3079" s="927"/>
    </row>
    <row r="3080" spans="1:15" ht="18.75" customHeight="1">
      <c r="A3080" s="925"/>
      <c r="B3080" s="925"/>
      <c r="C3080" s="929"/>
      <c r="D3080" s="930"/>
      <c r="E3080" s="925"/>
      <c r="F3080" s="931"/>
      <c r="G3080" s="925"/>
      <c r="H3080" s="925"/>
      <c r="I3080" s="929"/>
      <c r="J3080" s="930"/>
    </row>
    <row r="3081" spans="1:15" ht="15" customHeight="1">
      <c r="A3081" s="2360" t="str">
        <f>$K$2</f>
        <v>THÁNG 04/2025</v>
      </c>
      <c r="B3081" s="2360"/>
      <c r="C3081" s="2360"/>
      <c r="D3081" s="2360"/>
      <c r="E3081" s="903"/>
      <c r="F3081" s="904"/>
      <c r="G3081" s="2360" t="str">
        <f>$K$2</f>
        <v>THÁNG 04/2025</v>
      </c>
      <c r="H3081" s="2360"/>
      <c r="I3081" s="2360"/>
      <c r="J3081" s="2360"/>
      <c r="K3081" s="276"/>
    </row>
    <row r="3082" spans="1:15" ht="15" customHeight="1">
      <c r="A3082" s="905" t="s">
        <v>356</v>
      </c>
      <c r="B3082" s="642" t="s">
        <v>258</v>
      </c>
      <c r="C3082" s="546"/>
      <c r="D3082" s="902"/>
      <c r="E3082" s="906"/>
      <c r="F3082" s="907"/>
      <c r="G3082" s="905" t="s">
        <v>356</v>
      </c>
      <c r="H3082" s="642" t="s">
        <v>259</v>
      </c>
      <c r="I3082" s="546"/>
      <c r="J3082" s="902"/>
      <c r="L3082" s="938"/>
      <c r="M3082" s="938"/>
      <c r="N3082" s="938"/>
      <c r="O3082" s="938"/>
    </row>
    <row r="3083" spans="1:15" ht="15" customHeight="1">
      <c r="A3083" s="908" t="s">
        <v>359</v>
      </c>
      <c r="B3083" s="909" t="s">
        <v>2090</v>
      </c>
      <c r="C3083" s="910" t="e">
        <f>VLOOKUP(B3082,'LƯƠNG KT'!$D$16:$Z$184,4,0)</f>
        <v>#N/A</v>
      </c>
      <c r="D3083" s="609" t="e">
        <f>+C3083*25000</f>
        <v>#N/A</v>
      </c>
      <c r="E3083" s="911"/>
      <c r="F3083" s="911"/>
      <c r="G3083" s="908" t="s">
        <v>359</v>
      </c>
      <c r="H3083" s="909" t="s">
        <v>2090</v>
      </c>
      <c r="I3083" s="910" t="e">
        <f>VLOOKUP(H3082,'LƯƠNG KT'!$D$16:$Z$184,4,0)</f>
        <v>#N/A</v>
      </c>
      <c r="J3083" s="609" t="e">
        <f>+I3083*25000</f>
        <v>#N/A</v>
      </c>
      <c r="K3083" s="935"/>
      <c r="L3083" s="935"/>
      <c r="M3083" s="935"/>
      <c r="N3083" s="935"/>
      <c r="O3083" s="935"/>
    </row>
    <row r="3084" spans="1:15" ht="15" customHeight="1">
      <c r="A3084" s="908" t="s">
        <v>361</v>
      </c>
      <c r="B3084" s="909" t="s">
        <v>2091</v>
      </c>
      <c r="C3084" s="910" t="e">
        <f>VLOOKUP(B3082,'LƯƠNG KT'!$D$16:$Z$184,15,0)</f>
        <v>#N/A</v>
      </c>
      <c r="D3084" s="609" t="e">
        <f>C3084*$L$4</f>
        <v>#N/A</v>
      </c>
      <c r="E3084" s="912"/>
      <c r="F3084" s="912"/>
      <c r="G3084" s="908" t="s">
        <v>361</v>
      </c>
      <c r="H3084" s="909" t="s">
        <v>2091</v>
      </c>
      <c r="I3084" s="910" t="e">
        <f>VLOOKUP(H3082,'LƯƠNG KT'!$D$16:$Z$184,15,0)</f>
        <v>#N/A</v>
      </c>
      <c r="J3084" s="609" t="e">
        <f>I3084*$L$4</f>
        <v>#N/A</v>
      </c>
      <c r="K3084" s="935"/>
      <c r="L3084" s="935"/>
      <c r="M3084" s="935"/>
      <c r="N3084" s="935"/>
      <c r="O3084" s="935"/>
    </row>
    <row r="3085" spans="1:15" ht="15" customHeight="1">
      <c r="A3085" s="908" t="s">
        <v>364</v>
      </c>
      <c r="B3085" s="909" t="s">
        <v>2092</v>
      </c>
      <c r="C3085" s="910" t="e">
        <f>VLOOKUP(B3082,'LƯƠNG KT'!$D$16:$Z$184,16,0)</f>
        <v>#N/A</v>
      </c>
      <c r="D3085" s="609" t="e">
        <f>C3085*$L$5</f>
        <v>#N/A</v>
      </c>
      <c r="E3085" s="912"/>
      <c r="F3085" s="912"/>
      <c r="G3085" s="908" t="s">
        <v>364</v>
      </c>
      <c r="H3085" s="909" t="s">
        <v>2092</v>
      </c>
      <c r="I3085" s="910" t="e">
        <f>VLOOKUP(H3082,'LƯƠNG KT'!$D$16:$Z$184,16,0)</f>
        <v>#N/A</v>
      </c>
      <c r="J3085" s="609" t="e">
        <f>I3085*$L$5</f>
        <v>#N/A</v>
      </c>
      <c r="K3085" s="935"/>
      <c r="L3085" s="935"/>
      <c r="M3085" s="935"/>
      <c r="N3085" s="935"/>
      <c r="O3085" s="935"/>
    </row>
    <row r="3086" spans="1:15" ht="15" customHeight="1">
      <c r="A3086" s="908" t="s">
        <v>370</v>
      </c>
      <c r="B3086" s="909" t="s">
        <v>2093</v>
      </c>
      <c r="C3086" s="910" t="e">
        <f>VLOOKUP(B3082,'LƯƠNG KT'!$D$16:$Z$184,24,0)</f>
        <v>#N/A</v>
      </c>
      <c r="D3086" s="609" t="e">
        <f>+C3086*$L$6</f>
        <v>#N/A</v>
      </c>
      <c r="E3086" s="912"/>
      <c r="F3086" s="912"/>
      <c r="G3086" s="908" t="s">
        <v>370</v>
      </c>
      <c r="H3086" s="909" t="s">
        <v>2093</v>
      </c>
      <c r="I3086" s="910" t="e">
        <f>VLOOKUP(H3082,'LƯƠNG KT'!$D$16:$Z$184,24,0)</f>
        <v>#N/A</v>
      </c>
      <c r="J3086" s="609" t="e">
        <f>+I3086*$L$6</f>
        <v>#N/A</v>
      </c>
      <c r="K3086" s="935"/>
      <c r="L3086" s="935"/>
      <c r="M3086" s="935"/>
      <c r="N3086" s="935"/>
      <c r="O3086" s="935"/>
    </row>
    <row r="3087" spans="1:15" ht="15" customHeight="1">
      <c r="A3087" s="908" t="s">
        <v>2094</v>
      </c>
      <c r="B3087" s="909" t="s">
        <v>2095</v>
      </c>
      <c r="C3087" s="910" t="e">
        <f>VLOOKUP(B3082,'LƯƠNG KT'!$D$16:$Z$184,19,0)</f>
        <v>#N/A</v>
      </c>
      <c r="D3087" s="609" t="e">
        <f>+C3087*$L$8</f>
        <v>#N/A</v>
      </c>
      <c r="E3087" s="912"/>
      <c r="F3087" s="912"/>
      <c r="G3087" s="908" t="s">
        <v>2094</v>
      </c>
      <c r="H3087" s="909" t="s">
        <v>2095</v>
      </c>
      <c r="I3087" s="910" t="e">
        <f>VLOOKUP(H3082,'LƯƠNG KT'!$D$16:$Z$184,19,0)</f>
        <v>#N/A</v>
      </c>
      <c r="J3087" s="609" t="e">
        <f>+I3087*$L$8</f>
        <v>#N/A</v>
      </c>
      <c r="K3087" s="935"/>
      <c r="L3087" s="935"/>
      <c r="M3087" s="935"/>
      <c r="N3087" s="935"/>
      <c r="O3087" s="935"/>
    </row>
    <row r="3088" spans="1:15" ht="15" customHeight="1">
      <c r="A3088" s="908" t="s">
        <v>2096</v>
      </c>
      <c r="B3088" s="913" t="s">
        <v>2097</v>
      </c>
      <c r="C3088" s="910" t="e">
        <f>VLOOKUP(B3082,'LƯƠNG KT'!$D$16:$Z$184,20,0)</f>
        <v>#N/A</v>
      </c>
      <c r="D3088" s="609" t="e">
        <f>+C3088*$L$9</f>
        <v>#N/A</v>
      </c>
      <c r="E3088" s="912"/>
      <c r="F3088" s="912"/>
      <c r="G3088" s="908" t="s">
        <v>2096</v>
      </c>
      <c r="H3088" s="913" t="s">
        <v>2097</v>
      </c>
      <c r="I3088" s="910" t="e">
        <f>VLOOKUP(H3082,'LƯƠNG KT'!$D$16:$Z$184,20,0)</f>
        <v>#N/A</v>
      </c>
      <c r="J3088" s="609" t="e">
        <f>+I3088*$L$9</f>
        <v>#N/A</v>
      </c>
      <c r="K3088" s="935"/>
      <c r="L3088" s="935"/>
      <c r="M3088" s="935"/>
      <c r="N3088" s="935"/>
      <c r="O3088" s="935"/>
    </row>
    <row r="3089" spans="1:15" ht="15" customHeight="1">
      <c r="A3089" s="908" t="s">
        <v>2099</v>
      </c>
      <c r="B3089" s="909" t="s">
        <v>2100</v>
      </c>
      <c r="C3089" s="910" t="e">
        <f>VLOOKUP(B3082,'LƯƠNG KT'!$D$16:$Z$184,17,0)</f>
        <v>#N/A</v>
      </c>
      <c r="D3089" s="609" t="e">
        <f>+C3089*$L$10</f>
        <v>#N/A</v>
      </c>
      <c r="E3089" s="912"/>
      <c r="F3089" s="912"/>
      <c r="G3089" s="908" t="s">
        <v>2099</v>
      </c>
      <c r="H3089" s="909" t="s">
        <v>2100</v>
      </c>
      <c r="I3089" s="910" t="e">
        <f>VLOOKUP(H3082,'LƯƠNG KT'!$D$16:$Z$184,17,0)</f>
        <v>#N/A</v>
      </c>
      <c r="J3089" s="609" t="e">
        <f>+I3089*$L$10</f>
        <v>#N/A</v>
      </c>
      <c r="K3089" s="935"/>
      <c r="L3089" s="935"/>
      <c r="M3089" s="935"/>
      <c r="N3089" s="935"/>
      <c r="O3089" s="935"/>
    </row>
    <row r="3090" spans="1:15" ht="15" customHeight="1">
      <c r="A3090" s="908" t="s">
        <v>374</v>
      </c>
      <c r="B3090" s="909" t="s">
        <v>2102</v>
      </c>
      <c r="C3090" s="910" t="e">
        <f>VLOOKUP(B3082,'LƯƠNG KT'!$D$16:$Z$184,12,0)</f>
        <v>#N/A</v>
      </c>
      <c r="D3090" s="609" t="e">
        <f>VLOOKUP(B3082,'LƯƠNG KT'!$D$16:$Z$184,14,0)</f>
        <v>#N/A</v>
      </c>
      <c r="E3090" s="914"/>
      <c r="F3090" s="912"/>
      <c r="G3090" s="908" t="s">
        <v>374</v>
      </c>
      <c r="H3090" s="909" t="s">
        <v>2102</v>
      </c>
      <c r="I3090" s="910" t="e">
        <f>VLOOKUP(H3082,'LƯƠNG KT'!$D$16:$Z$184,12,0)</f>
        <v>#N/A</v>
      </c>
      <c r="J3090" s="609" t="e">
        <f>VLOOKUP(H3082,'LƯƠNG KT'!$D$16:$Z$184,14,0)</f>
        <v>#N/A</v>
      </c>
      <c r="K3090" s="935"/>
      <c r="L3090" s="935"/>
      <c r="M3090" s="935"/>
      <c r="N3090" s="935"/>
      <c r="O3090" s="935"/>
    </row>
    <row r="3091" spans="1:15" ht="15" customHeight="1">
      <c r="A3091" s="908" t="s">
        <v>2103</v>
      </c>
      <c r="B3091" s="909" t="s">
        <v>2104</v>
      </c>
      <c r="D3091" s="915" t="e">
        <f>VLOOKUP(B3082,'LƯƠNG KT'!$D$16:$Z$184,13,0)</f>
        <v>#N/A</v>
      </c>
      <c r="E3091" s="916"/>
      <c r="F3091" s="916"/>
      <c r="G3091" s="908" t="s">
        <v>2103</v>
      </c>
      <c r="H3091" s="909" t="s">
        <v>2104</v>
      </c>
      <c r="J3091" s="915" t="e">
        <f>VLOOKUP(H3082,'LƯƠNG KT'!$D$16:$Z$184,13,0)</f>
        <v>#N/A</v>
      </c>
    </row>
    <row r="3092" spans="1:15" ht="15" customHeight="1">
      <c r="A3092" s="547"/>
      <c r="B3092" s="546"/>
      <c r="C3092" s="910"/>
      <c r="D3092" s="609"/>
      <c r="E3092" s="914"/>
      <c r="F3092" s="916"/>
      <c r="G3092" s="547"/>
      <c r="H3092" s="546"/>
      <c r="I3092" s="910"/>
      <c r="J3092" s="609"/>
    </row>
    <row r="3093" spans="1:15" ht="15" customHeight="1">
      <c r="A3093" s="905"/>
      <c r="B3093" s="546"/>
      <c r="C3093" s="910"/>
      <c r="D3093" s="609"/>
      <c r="E3093" s="917"/>
      <c r="F3093" s="904"/>
      <c r="G3093" s="905"/>
      <c r="H3093" s="546"/>
      <c r="I3093" s="910"/>
      <c r="J3093" s="609"/>
    </row>
    <row r="3094" spans="1:15" ht="15" customHeight="1">
      <c r="A3094" s="918" t="s">
        <v>383</v>
      </c>
      <c r="B3094" s="919" t="s">
        <v>384</v>
      </c>
      <c r="C3094" s="920"/>
      <c r="D3094" s="921" t="e">
        <f>SUM(D3083:D3090)-D3093</f>
        <v>#N/A</v>
      </c>
      <c r="E3094" s="922"/>
      <c r="F3094" s="923"/>
      <c r="G3094" s="918" t="s">
        <v>383</v>
      </c>
      <c r="H3094" s="919" t="s">
        <v>384</v>
      </c>
      <c r="I3094" s="920"/>
      <c r="J3094" s="921" t="e">
        <f>SUM(J3083:J3090)-J3093</f>
        <v>#N/A</v>
      </c>
    </row>
    <row r="3095" spans="1:15" ht="18.75" customHeight="1">
      <c r="A3095" s="924"/>
      <c r="B3095" s="925"/>
      <c r="C3095" s="926"/>
      <c r="D3095" s="927"/>
      <c r="E3095" s="927"/>
      <c r="F3095" s="928"/>
      <c r="G3095" s="924"/>
      <c r="H3095" s="925"/>
      <c r="I3095" s="926"/>
      <c r="J3095" s="927"/>
    </row>
    <row r="3096" spans="1:15" ht="18.75" customHeight="1">
      <c r="A3096" s="925"/>
      <c r="B3096" s="925"/>
      <c r="C3096" s="929"/>
      <c r="D3096" s="930"/>
      <c r="E3096" s="925"/>
      <c r="F3096" s="931"/>
      <c r="G3096" s="925"/>
      <c r="H3096" s="925"/>
      <c r="I3096" s="929"/>
      <c r="J3096" s="930"/>
    </row>
    <row r="3097" spans="1:15" ht="15" customHeight="1">
      <c r="A3097" s="2360" t="str">
        <f>$K$2</f>
        <v>THÁNG 04/2025</v>
      </c>
      <c r="B3097" s="2360"/>
      <c r="C3097" s="2360"/>
      <c r="D3097" s="2360"/>
      <c r="E3097" s="903"/>
      <c r="F3097" s="904"/>
      <c r="G3097" s="2360" t="str">
        <f>$K$2</f>
        <v>THÁNG 04/2025</v>
      </c>
      <c r="H3097" s="2360"/>
      <c r="I3097" s="2360"/>
      <c r="J3097" s="2360"/>
      <c r="K3097" s="276"/>
    </row>
    <row r="3098" spans="1:15" ht="15" customHeight="1">
      <c r="A3098" s="905" t="s">
        <v>356</v>
      </c>
      <c r="B3098" s="642" t="s">
        <v>260</v>
      </c>
      <c r="C3098" s="546"/>
      <c r="D3098" s="902"/>
      <c r="E3098" s="906"/>
      <c r="F3098" s="907"/>
      <c r="G3098" s="905" t="s">
        <v>356</v>
      </c>
      <c r="H3098" s="642" t="s">
        <v>261</v>
      </c>
      <c r="I3098" s="546"/>
      <c r="J3098" s="902"/>
      <c r="L3098" s="938"/>
      <c r="M3098" s="938"/>
      <c r="N3098" s="938"/>
      <c r="O3098" s="938"/>
    </row>
    <row r="3099" spans="1:15" ht="15" customHeight="1">
      <c r="A3099" s="908" t="s">
        <v>359</v>
      </c>
      <c r="B3099" s="909" t="s">
        <v>2090</v>
      </c>
      <c r="C3099" s="910" t="e">
        <f>VLOOKUP(B3098,'LƯƠNG KT'!$D$16:$Z$184,4,0)</f>
        <v>#N/A</v>
      </c>
      <c r="D3099" s="609" t="e">
        <f>+C3099*25000</f>
        <v>#N/A</v>
      </c>
      <c r="E3099" s="911"/>
      <c r="F3099" s="911"/>
      <c r="G3099" s="908" t="s">
        <v>359</v>
      </c>
      <c r="H3099" s="909" t="s">
        <v>2090</v>
      </c>
      <c r="I3099" s="910" t="e">
        <f>VLOOKUP(H3098,'LƯƠNG KT'!$D$16:$Z$184,4,0)</f>
        <v>#N/A</v>
      </c>
      <c r="J3099" s="609" t="e">
        <f>+I3099*25000</f>
        <v>#N/A</v>
      </c>
      <c r="K3099" s="935"/>
      <c r="L3099" s="935"/>
      <c r="M3099" s="935"/>
      <c r="N3099" s="935"/>
      <c r="O3099" s="935"/>
    </row>
    <row r="3100" spans="1:15" ht="15" customHeight="1">
      <c r="A3100" s="908" t="s">
        <v>361</v>
      </c>
      <c r="B3100" s="909" t="s">
        <v>2091</v>
      </c>
      <c r="C3100" s="910" t="e">
        <f>VLOOKUP(B3098,'LƯƠNG KT'!$D$16:$Z$184,15,0)</f>
        <v>#N/A</v>
      </c>
      <c r="D3100" s="609" t="e">
        <f>C3100*$L$4</f>
        <v>#N/A</v>
      </c>
      <c r="E3100" s="912"/>
      <c r="F3100" s="912"/>
      <c r="G3100" s="908" t="s">
        <v>361</v>
      </c>
      <c r="H3100" s="909" t="s">
        <v>2091</v>
      </c>
      <c r="I3100" s="910" t="e">
        <f>VLOOKUP(H3098,'LƯƠNG KT'!$D$16:$Z$184,15,0)</f>
        <v>#N/A</v>
      </c>
      <c r="J3100" s="609" t="e">
        <f>I3100*$L$4</f>
        <v>#N/A</v>
      </c>
      <c r="K3100" s="935"/>
      <c r="L3100" s="935"/>
      <c r="M3100" s="935"/>
      <c r="N3100" s="935"/>
      <c r="O3100" s="935"/>
    </row>
    <row r="3101" spans="1:15" ht="15" customHeight="1">
      <c r="A3101" s="908" t="s">
        <v>364</v>
      </c>
      <c r="B3101" s="909" t="s">
        <v>2092</v>
      </c>
      <c r="C3101" s="910" t="e">
        <f>VLOOKUP(B3098,'LƯƠNG KT'!$D$16:$Z$184,16,0)</f>
        <v>#N/A</v>
      </c>
      <c r="D3101" s="609" t="e">
        <f>C3101*$L$5</f>
        <v>#N/A</v>
      </c>
      <c r="E3101" s="912"/>
      <c r="F3101" s="912"/>
      <c r="G3101" s="908" t="s">
        <v>364</v>
      </c>
      <c r="H3101" s="909" t="s">
        <v>2092</v>
      </c>
      <c r="I3101" s="910" t="e">
        <f>VLOOKUP(H3098,'LƯƠNG KT'!$D$16:$Z$184,16,0)</f>
        <v>#N/A</v>
      </c>
      <c r="J3101" s="609" t="e">
        <f>I3101*$L$5</f>
        <v>#N/A</v>
      </c>
      <c r="K3101" s="935"/>
      <c r="L3101" s="935"/>
      <c r="M3101" s="935"/>
      <c r="N3101" s="935"/>
      <c r="O3101" s="935"/>
    </row>
    <row r="3102" spans="1:15" ht="15" customHeight="1">
      <c r="A3102" s="908" t="s">
        <v>370</v>
      </c>
      <c r="B3102" s="909" t="s">
        <v>2093</v>
      </c>
      <c r="C3102" s="910" t="e">
        <f>VLOOKUP(B3098,'LƯƠNG KT'!$D$16:$Z$184,24,0)</f>
        <v>#N/A</v>
      </c>
      <c r="D3102" s="609" t="e">
        <f>+C3102*$L$6</f>
        <v>#N/A</v>
      </c>
      <c r="E3102" s="912"/>
      <c r="F3102" s="912"/>
      <c r="G3102" s="908" t="s">
        <v>370</v>
      </c>
      <c r="H3102" s="909" t="s">
        <v>2093</v>
      </c>
      <c r="I3102" s="910" t="e">
        <f>VLOOKUP(H3098,'LƯƠNG KT'!$D$16:$Z$184,24,0)</f>
        <v>#N/A</v>
      </c>
      <c r="J3102" s="609" t="e">
        <f>+I3102*$L$6</f>
        <v>#N/A</v>
      </c>
      <c r="K3102" s="935"/>
      <c r="L3102" s="935"/>
      <c r="M3102" s="935"/>
      <c r="N3102" s="935"/>
      <c r="O3102" s="935"/>
    </row>
    <row r="3103" spans="1:15" ht="15" customHeight="1">
      <c r="A3103" s="908" t="s">
        <v>2094</v>
      </c>
      <c r="B3103" s="909" t="s">
        <v>2095</v>
      </c>
      <c r="C3103" s="910" t="e">
        <f>VLOOKUP(B3098,'LƯƠNG KT'!$D$16:$Z$184,19,0)</f>
        <v>#N/A</v>
      </c>
      <c r="D3103" s="609" t="e">
        <f>+C3103*$L$8</f>
        <v>#N/A</v>
      </c>
      <c r="E3103" s="912"/>
      <c r="F3103" s="912"/>
      <c r="G3103" s="908" t="s">
        <v>2094</v>
      </c>
      <c r="H3103" s="909" t="s">
        <v>2095</v>
      </c>
      <c r="I3103" s="910" t="e">
        <f>VLOOKUP(H3098,'LƯƠNG KT'!$D$16:$Z$184,19,0)</f>
        <v>#N/A</v>
      </c>
      <c r="J3103" s="609" t="e">
        <f>+I3103*$L$8</f>
        <v>#N/A</v>
      </c>
      <c r="K3103" s="935"/>
      <c r="L3103" s="935"/>
      <c r="M3103" s="935"/>
      <c r="N3103" s="935"/>
      <c r="O3103" s="935"/>
    </row>
    <row r="3104" spans="1:15" ht="15" customHeight="1">
      <c r="A3104" s="908" t="s">
        <v>2096</v>
      </c>
      <c r="B3104" s="913" t="s">
        <v>2097</v>
      </c>
      <c r="C3104" s="910" t="e">
        <f>VLOOKUP(B3098,'LƯƠNG KT'!$D$16:$Z$184,20,0)</f>
        <v>#N/A</v>
      </c>
      <c r="D3104" s="609" t="e">
        <f>+C3104*$L$9</f>
        <v>#N/A</v>
      </c>
      <c r="E3104" s="912"/>
      <c r="F3104" s="912"/>
      <c r="G3104" s="908" t="s">
        <v>2096</v>
      </c>
      <c r="H3104" s="913" t="s">
        <v>2097</v>
      </c>
      <c r="I3104" s="910" t="e">
        <f>VLOOKUP(H3098,'LƯƠNG KT'!$D$16:$Z$184,20,0)</f>
        <v>#N/A</v>
      </c>
      <c r="J3104" s="609" t="e">
        <f>+I3104*$L$9</f>
        <v>#N/A</v>
      </c>
      <c r="K3104" s="935"/>
      <c r="L3104" s="935"/>
      <c r="M3104" s="935"/>
      <c r="N3104" s="935"/>
      <c r="O3104" s="935"/>
    </row>
    <row r="3105" spans="1:15" ht="15" customHeight="1">
      <c r="A3105" s="908" t="s">
        <v>2099</v>
      </c>
      <c r="B3105" s="909" t="s">
        <v>2100</v>
      </c>
      <c r="C3105" s="910" t="e">
        <f>VLOOKUP(B3098,'LƯƠNG KT'!$D$16:$Z$184,17,0)</f>
        <v>#N/A</v>
      </c>
      <c r="D3105" s="609" t="e">
        <f>+C3105*$L$10</f>
        <v>#N/A</v>
      </c>
      <c r="E3105" s="912"/>
      <c r="F3105" s="912"/>
      <c r="G3105" s="908" t="s">
        <v>2099</v>
      </c>
      <c r="H3105" s="909" t="s">
        <v>2100</v>
      </c>
      <c r="I3105" s="910" t="e">
        <f>VLOOKUP(H3098,'LƯƠNG KT'!$D$16:$Z$184,17,0)</f>
        <v>#N/A</v>
      </c>
      <c r="J3105" s="609" t="e">
        <f>+I3105*$L$10</f>
        <v>#N/A</v>
      </c>
      <c r="K3105" s="935"/>
      <c r="L3105" s="935"/>
      <c r="M3105" s="935"/>
      <c r="N3105" s="935"/>
      <c r="O3105" s="935"/>
    </row>
    <row r="3106" spans="1:15" ht="15" customHeight="1">
      <c r="A3106" s="908" t="s">
        <v>374</v>
      </c>
      <c r="B3106" s="909" t="s">
        <v>2102</v>
      </c>
      <c r="C3106" s="910" t="e">
        <f>VLOOKUP(B3098,'LƯƠNG KT'!$D$16:$Z$184,12,0)</f>
        <v>#N/A</v>
      </c>
      <c r="D3106" s="609" t="e">
        <f>VLOOKUP(B3098,'LƯƠNG KT'!$D$16:$Z$184,14,0)</f>
        <v>#N/A</v>
      </c>
      <c r="E3106" s="914"/>
      <c r="F3106" s="912"/>
      <c r="G3106" s="908" t="s">
        <v>374</v>
      </c>
      <c r="H3106" s="909" t="s">
        <v>2102</v>
      </c>
      <c r="I3106" s="910" t="e">
        <f>VLOOKUP(H3098,'LƯƠNG KT'!$D$16:$Z$184,12,0)</f>
        <v>#N/A</v>
      </c>
      <c r="J3106" s="609" t="e">
        <f>VLOOKUP(H3098,'LƯƠNG KT'!$D$16:$Z$184,14,0)</f>
        <v>#N/A</v>
      </c>
      <c r="K3106" s="935"/>
      <c r="L3106" s="935"/>
      <c r="M3106" s="935"/>
      <c r="N3106" s="935"/>
      <c r="O3106" s="935"/>
    </row>
    <row r="3107" spans="1:15" ht="15" customHeight="1">
      <c r="A3107" s="908" t="s">
        <v>2103</v>
      </c>
      <c r="B3107" s="909" t="s">
        <v>2104</v>
      </c>
      <c r="D3107" s="915" t="e">
        <f>VLOOKUP(B3098,'LƯƠNG KT'!$D$16:$Z$184,13,0)</f>
        <v>#N/A</v>
      </c>
      <c r="E3107" s="916"/>
      <c r="F3107" s="916"/>
      <c r="G3107" s="908" t="s">
        <v>2103</v>
      </c>
      <c r="H3107" s="909" t="s">
        <v>2104</v>
      </c>
      <c r="J3107" s="915" t="e">
        <f>VLOOKUP(H3098,'LƯƠNG KT'!$D$16:$Z$184,13,0)</f>
        <v>#N/A</v>
      </c>
    </row>
    <row r="3108" spans="1:15" ht="15" customHeight="1">
      <c r="A3108" s="547"/>
      <c r="B3108" s="546"/>
      <c r="C3108" s="910"/>
      <c r="D3108" s="609"/>
      <c r="E3108" s="914"/>
      <c r="F3108" s="916"/>
      <c r="G3108" s="547"/>
      <c r="H3108" s="546"/>
      <c r="I3108" s="910"/>
      <c r="J3108" s="609"/>
    </row>
    <row r="3109" spans="1:15" ht="15" customHeight="1">
      <c r="A3109" s="905"/>
      <c r="B3109" s="546"/>
      <c r="C3109" s="910"/>
      <c r="D3109" s="609"/>
      <c r="E3109" s="917"/>
      <c r="F3109" s="904"/>
      <c r="G3109" s="905"/>
      <c r="H3109" s="546"/>
      <c r="I3109" s="910"/>
      <c r="J3109" s="609"/>
    </row>
    <row r="3110" spans="1:15" ht="15" customHeight="1">
      <c r="A3110" s="918" t="s">
        <v>383</v>
      </c>
      <c r="B3110" s="919" t="s">
        <v>384</v>
      </c>
      <c r="C3110" s="920"/>
      <c r="D3110" s="921" t="e">
        <f>SUM(D3099:D3106)-D3109</f>
        <v>#N/A</v>
      </c>
      <c r="E3110" s="922"/>
      <c r="F3110" s="923"/>
      <c r="G3110" s="918" t="s">
        <v>383</v>
      </c>
      <c r="H3110" s="919" t="s">
        <v>384</v>
      </c>
      <c r="I3110" s="920"/>
      <c r="J3110" s="921" t="e">
        <f>SUM(J3099:J3106)-J3109</f>
        <v>#N/A</v>
      </c>
    </row>
    <row r="3111" spans="1:15" ht="15.75" customHeight="1">
      <c r="A3111" s="924"/>
      <c r="B3111" s="925"/>
      <c r="C3111" s="926"/>
      <c r="D3111" s="927"/>
      <c r="E3111" s="927"/>
      <c r="F3111" s="928"/>
      <c r="G3111" s="924"/>
      <c r="H3111" s="925"/>
      <c r="I3111" s="926"/>
      <c r="J3111" s="927"/>
    </row>
    <row r="3113" spans="1:15" ht="130.5" customHeight="1">
      <c r="A3113" s="2361"/>
      <c r="B3113" s="2361"/>
      <c r="C3113" s="2361"/>
      <c r="D3113" s="2361"/>
      <c r="E3113" s="2361"/>
      <c r="F3113" s="2361"/>
      <c r="G3113" s="2361"/>
      <c r="H3113" s="2361"/>
      <c r="I3113" s="2361"/>
      <c r="J3113" s="2361"/>
    </row>
    <row r="3114" spans="1:15" ht="15" customHeight="1">
      <c r="A3114" s="2360" t="str">
        <f>$K$2</f>
        <v>THÁNG 04/2025</v>
      </c>
      <c r="B3114" s="2360"/>
      <c r="C3114" s="2360"/>
      <c r="D3114" s="2360"/>
      <c r="E3114" s="903"/>
      <c r="F3114" s="904"/>
      <c r="G3114" s="2360" t="str">
        <f>$K$2</f>
        <v>THÁNG 04/2025</v>
      </c>
      <c r="H3114" s="2360"/>
      <c r="I3114" s="2360"/>
      <c r="J3114" s="2360"/>
      <c r="K3114" s="276"/>
    </row>
    <row r="3115" spans="1:15" ht="15" customHeight="1">
      <c r="A3115" s="905" t="s">
        <v>356</v>
      </c>
      <c r="B3115" s="642" t="s">
        <v>262</v>
      </c>
      <c r="C3115" s="546"/>
      <c r="D3115" s="902"/>
      <c r="E3115" s="906"/>
      <c r="F3115" s="907"/>
      <c r="G3115" s="905" t="s">
        <v>356</v>
      </c>
      <c r="H3115" s="642" t="s">
        <v>263</v>
      </c>
      <c r="I3115" s="546"/>
      <c r="J3115" s="902"/>
      <c r="L3115" s="938"/>
      <c r="M3115" s="938"/>
      <c r="N3115" s="938"/>
      <c r="O3115" s="938"/>
    </row>
    <row r="3116" spans="1:15" ht="15" customHeight="1">
      <c r="A3116" s="908" t="s">
        <v>359</v>
      </c>
      <c r="B3116" s="909" t="s">
        <v>2090</v>
      </c>
      <c r="C3116" s="910" t="e">
        <f>VLOOKUP(B3115,'LƯƠNG KT'!$D$16:$Z$184,4,0)</f>
        <v>#N/A</v>
      </c>
      <c r="D3116" s="609" t="e">
        <f>+C3116*25000</f>
        <v>#N/A</v>
      </c>
      <c r="E3116" s="911"/>
      <c r="F3116" s="911"/>
      <c r="G3116" s="908" t="s">
        <v>359</v>
      </c>
      <c r="H3116" s="909" t="s">
        <v>2090</v>
      </c>
      <c r="I3116" s="910" t="e">
        <f>VLOOKUP(H3115,'LƯƠNG KT'!$D$16:$Z$184,4,0)</f>
        <v>#N/A</v>
      </c>
      <c r="J3116" s="609" t="e">
        <f>+I3116*25000</f>
        <v>#N/A</v>
      </c>
      <c r="K3116" s="934"/>
      <c r="L3116" s="935"/>
      <c r="M3116" s="935"/>
      <c r="N3116" s="935"/>
      <c r="O3116" s="935"/>
    </row>
    <row r="3117" spans="1:15" ht="15" customHeight="1">
      <c r="A3117" s="908" t="s">
        <v>361</v>
      </c>
      <c r="B3117" s="909" t="s">
        <v>2091</v>
      </c>
      <c r="C3117" s="910" t="e">
        <f>VLOOKUP(B3115,'LƯƠNG KT'!$D$16:$Z$184,15,0)</f>
        <v>#N/A</v>
      </c>
      <c r="D3117" s="609" t="e">
        <f>C3117*$L$4</f>
        <v>#N/A</v>
      </c>
      <c r="E3117" s="912"/>
      <c r="F3117" s="912"/>
      <c r="G3117" s="908" t="s">
        <v>361</v>
      </c>
      <c r="H3117" s="909" t="s">
        <v>2091</v>
      </c>
      <c r="I3117" s="910" t="e">
        <f>VLOOKUP(H3115,'LƯƠNG KT'!$D$16:$Z$184,15,0)</f>
        <v>#N/A</v>
      </c>
      <c r="J3117" s="609" t="e">
        <f>I3117*$L$4</f>
        <v>#N/A</v>
      </c>
      <c r="K3117" s="934"/>
      <c r="L3117" s="935"/>
      <c r="M3117" s="935"/>
      <c r="N3117" s="935"/>
      <c r="O3117" s="935"/>
    </row>
    <row r="3118" spans="1:15" ht="15" customHeight="1">
      <c r="A3118" s="908" t="s">
        <v>364</v>
      </c>
      <c r="B3118" s="909" t="s">
        <v>2092</v>
      </c>
      <c r="C3118" s="910" t="e">
        <f>VLOOKUP(B3115,'LƯƠNG KT'!$D$16:$Z$184,16,0)</f>
        <v>#N/A</v>
      </c>
      <c r="D3118" s="609" t="e">
        <f>C3118*$L$5</f>
        <v>#N/A</v>
      </c>
      <c r="E3118" s="912"/>
      <c r="F3118" s="912"/>
      <c r="G3118" s="908" t="s">
        <v>364</v>
      </c>
      <c r="H3118" s="909" t="s">
        <v>2092</v>
      </c>
      <c r="I3118" s="910" t="e">
        <f>VLOOKUP(H3115,'LƯƠNG KT'!$D$16:$Z$184,16,0)</f>
        <v>#N/A</v>
      </c>
      <c r="J3118" s="609" t="e">
        <f>I3118*$L$5</f>
        <v>#N/A</v>
      </c>
      <c r="K3118" s="934"/>
      <c r="L3118" s="935"/>
      <c r="M3118" s="935"/>
      <c r="N3118" s="935"/>
      <c r="O3118" s="935"/>
    </row>
    <row r="3119" spans="1:15" ht="15" customHeight="1">
      <c r="A3119" s="908" t="s">
        <v>370</v>
      </c>
      <c r="B3119" s="909" t="s">
        <v>2093</v>
      </c>
      <c r="C3119" s="910" t="e">
        <f>VLOOKUP(B3115,'LƯƠNG KT'!$D$16:$Z$184,24,0)</f>
        <v>#N/A</v>
      </c>
      <c r="D3119" s="609" t="e">
        <f>+C3119*$L$6</f>
        <v>#N/A</v>
      </c>
      <c r="E3119" s="912"/>
      <c r="F3119" s="912"/>
      <c r="G3119" s="908" t="s">
        <v>370</v>
      </c>
      <c r="H3119" s="909" t="s">
        <v>2093</v>
      </c>
      <c r="I3119" s="910" t="e">
        <f>VLOOKUP(H3115,'LƯƠNG KT'!$D$16:$Z$184,24,0)</f>
        <v>#N/A</v>
      </c>
      <c r="J3119" s="609" t="e">
        <f>+I3119*$L$6</f>
        <v>#N/A</v>
      </c>
      <c r="K3119" s="935"/>
      <c r="L3119" s="935"/>
      <c r="M3119" s="935"/>
      <c r="N3119" s="935"/>
      <c r="O3119" s="935"/>
    </row>
    <row r="3120" spans="1:15" ht="15" customHeight="1">
      <c r="A3120" s="908" t="s">
        <v>2094</v>
      </c>
      <c r="B3120" s="909" t="s">
        <v>2095</v>
      </c>
      <c r="C3120" s="910" t="e">
        <f>VLOOKUP(B3115,'LƯƠNG KT'!$D$16:$Z$184,19,0)</f>
        <v>#N/A</v>
      </c>
      <c r="D3120" s="609" t="e">
        <f>+C3120*$L$8</f>
        <v>#N/A</v>
      </c>
      <c r="E3120" s="912"/>
      <c r="F3120" s="912"/>
      <c r="G3120" s="908" t="s">
        <v>2094</v>
      </c>
      <c r="H3120" s="909" t="s">
        <v>2095</v>
      </c>
      <c r="I3120" s="910" t="e">
        <f>VLOOKUP(H3115,'LƯƠNG KT'!$D$16:$Z$184,19,0)</f>
        <v>#N/A</v>
      </c>
      <c r="J3120" s="609" t="e">
        <f>+I3120*$L$8</f>
        <v>#N/A</v>
      </c>
      <c r="K3120" s="935"/>
      <c r="L3120" s="935"/>
      <c r="M3120" s="935"/>
      <c r="N3120" s="935"/>
      <c r="O3120" s="935"/>
    </row>
    <row r="3121" spans="1:15" ht="15" customHeight="1">
      <c r="A3121" s="908" t="s">
        <v>2096</v>
      </c>
      <c r="B3121" s="913" t="s">
        <v>2097</v>
      </c>
      <c r="C3121" s="910" t="e">
        <f>VLOOKUP(B3115,'LƯƠNG KT'!$D$16:$Z$184,20,0)</f>
        <v>#N/A</v>
      </c>
      <c r="D3121" s="609" t="e">
        <f>+C3121*$L$9</f>
        <v>#N/A</v>
      </c>
      <c r="E3121" s="912"/>
      <c r="F3121" s="912"/>
      <c r="G3121" s="908" t="s">
        <v>2096</v>
      </c>
      <c r="H3121" s="913" t="s">
        <v>2097</v>
      </c>
      <c r="I3121" s="910" t="e">
        <f>VLOOKUP(H3115,'LƯƠNG KT'!$D$16:$Z$184,20,0)</f>
        <v>#N/A</v>
      </c>
      <c r="J3121" s="609" t="e">
        <f>+I3121*$L$9</f>
        <v>#N/A</v>
      </c>
      <c r="K3121" s="935"/>
      <c r="L3121" s="935"/>
      <c r="M3121" s="935"/>
      <c r="N3121" s="935"/>
      <c r="O3121" s="935"/>
    </row>
    <row r="3122" spans="1:15" ht="15" customHeight="1">
      <c r="A3122" s="908" t="s">
        <v>2099</v>
      </c>
      <c r="B3122" s="909" t="s">
        <v>2100</v>
      </c>
      <c r="C3122" s="910" t="e">
        <f>VLOOKUP(B3115,'LƯƠNG KT'!$D$16:$Z$184,17,0)</f>
        <v>#N/A</v>
      </c>
      <c r="D3122" s="609" t="e">
        <f>+C3122*$L$10</f>
        <v>#N/A</v>
      </c>
      <c r="E3122" s="912"/>
      <c r="F3122" s="912"/>
      <c r="G3122" s="908" t="s">
        <v>2099</v>
      </c>
      <c r="H3122" s="909" t="s">
        <v>2100</v>
      </c>
      <c r="I3122" s="910" t="e">
        <f>VLOOKUP(H3115,'LƯƠNG KT'!$D$16:$Z$184,17,0)</f>
        <v>#N/A</v>
      </c>
      <c r="J3122" s="609" t="e">
        <f>+I3122*$L$10</f>
        <v>#N/A</v>
      </c>
      <c r="K3122" s="935"/>
      <c r="L3122" s="935"/>
      <c r="M3122" s="935"/>
      <c r="N3122" s="935"/>
      <c r="O3122" s="935"/>
    </row>
    <row r="3123" spans="1:15" ht="15" customHeight="1">
      <c r="A3123" s="908" t="s">
        <v>374</v>
      </c>
      <c r="B3123" s="909" t="s">
        <v>2102</v>
      </c>
      <c r="C3123" s="910" t="e">
        <f>VLOOKUP(B3115,'LƯƠNG KT'!$D$16:$Z$184,12,0)</f>
        <v>#N/A</v>
      </c>
      <c r="D3123" s="609" t="e">
        <f>VLOOKUP(B3115,'LƯƠNG KT'!$D$16:$Z$184,14,0)</f>
        <v>#N/A</v>
      </c>
      <c r="E3123" s="914"/>
      <c r="F3123" s="912"/>
      <c r="G3123" s="908" t="s">
        <v>374</v>
      </c>
      <c r="H3123" s="909" t="s">
        <v>2102</v>
      </c>
      <c r="I3123" s="910" t="e">
        <f>VLOOKUP(H3115,'LƯƠNG KT'!$D$16:$Z$184,12,0)</f>
        <v>#N/A</v>
      </c>
      <c r="J3123" s="609" t="e">
        <f>VLOOKUP(H3115,'LƯƠNG KT'!$D$16:$Z$184,14,0)</f>
        <v>#N/A</v>
      </c>
      <c r="K3123" s="935"/>
      <c r="L3123" s="935"/>
      <c r="M3123" s="935"/>
      <c r="N3123" s="935"/>
      <c r="O3123" s="935"/>
    </row>
    <row r="3124" spans="1:15" ht="15" customHeight="1">
      <c r="A3124" s="908" t="s">
        <v>2103</v>
      </c>
      <c r="B3124" s="909" t="s">
        <v>2104</v>
      </c>
      <c r="D3124" s="915" t="e">
        <f>VLOOKUP(B3115,'LƯƠNG KT'!$D$16:$Z$184,13,0)</f>
        <v>#N/A</v>
      </c>
      <c r="E3124" s="916"/>
      <c r="F3124" s="916"/>
      <c r="G3124" s="908" t="s">
        <v>2103</v>
      </c>
      <c r="H3124" s="909" t="s">
        <v>2104</v>
      </c>
      <c r="J3124" s="915" t="e">
        <f>VLOOKUP(H3115,'LƯƠNG KT'!$D$16:$Z$184,13,0)</f>
        <v>#N/A</v>
      </c>
    </row>
    <row r="3125" spans="1:15" ht="15" customHeight="1">
      <c r="A3125" s="547"/>
      <c r="B3125" s="546"/>
      <c r="C3125" s="910"/>
      <c r="D3125" s="609"/>
      <c r="E3125" s="914"/>
      <c r="F3125" s="916"/>
      <c r="G3125" s="547"/>
      <c r="H3125" s="546"/>
      <c r="I3125" s="910"/>
      <c r="J3125" s="609"/>
    </row>
    <row r="3126" spans="1:15" ht="15" customHeight="1">
      <c r="A3126" s="905"/>
      <c r="B3126" s="546"/>
      <c r="C3126" s="910"/>
      <c r="D3126" s="609"/>
      <c r="E3126" s="917"/>
      <c r="F3126" s="904"/>
      <c r="G3126" s="905"/>
      <c r="H3126" s="546"/>
      <c r="I3126" s="910"/>
      <c r="J3126" s="609"/>
    </row>
    <row r="3127" spans="1:15" ht="15" customHeight="1">
      <c r="A3127" s="918" t="s">
        <v>383</v>
      </c>
      <c r="B3127" s="919" t="s">
        <v>384</v>
      </c>
      <c r="C3127" s="920"/>
      <c r="D3127" s="921" t="e">
        <f>SUM(D3116:D3123)-D3126</f>
        <v>#N/A</v>
      </c>
      <c r="E3127" s="922"/>
      <c r="F3127" s="923"/>
      <c r="G3127" s="918" t="s">
        <v>383</v>
      </c>
      <c r="H3127" s="919" t="s">
        <v>384</v>
      </c>
      <c r="I3127" s="920"/>
      <c r="J3127" s="921" t="e">
        <f>SUM(J3116:J3123)-J3126</f>
        <v>#N/A</v>
      </c>
    </row>
    <row r="3128" spans="1:15" ht="20.25" customHeight="1">
      <c r="A3128" s="924"/>
      <c r="B3128" s="925"/>
      <c r="C3128" s="926"/>
      <c r="D3128" s="927"/>
      <c r="E3128" s="927"/>
      <c r="F3128" s="928"/>
      <c r="G3128" s="924"/>
      <c r="H3128" s="925"/>
      <c r="I3128" s="926"/>
      <c r="J3128" s="927"/>
    </row>
    <row r="3129" spans="1:15" ht="20.25" customHeight="1">
      <c r="A3129" s="925"/>
      <c r="B3129" s="925"/>
      <c r="C3129" s="929"/>
      <c r="D3129" s="930"/>
      <c r="E3129" s="925"/>
      <c r="F3129" s="931"/>
      <c r="G3129" s="925"/>
      <c r="H3129" s="925"/>
      <c r="I3129" s="929"/>
      <c r="J3129" s="930"/>
    </row>
    <row r="3130" spans="1:15" ht="15" customHeight="1">
      <c r="A3130" s="2360" t="str">
        <f>$K$2</f>
        <v>THÁNG 04/2025</v>
      </c>
      <c r="B3130" s="2360"/>
      <c r="C3130" s="2360"/>
      <c r="D3130" s="2360"/>
      <c r="E3130" s="903"/>
      <c r="F3130" s="904"/>
      <c r="G3130" s="2360" t="str">
        <f>$K$2</f>
        <v>THÁNG 04/2025</v>
      </c>
      <c r="H3130" s="2360"/>
      <c r="I3130" s="2360"/>
      <c r="J3130" s="2360"/>
      <c r="K3130" s="276"/>
    </row>
    <row r="3131" spans="1:15" ht="15" customHeight="1">
      <c r="A3131" s="905" t="s">
        <v>356</v>
      </c>
      <c r="B3131" s="642" t="s">
        <v>264</v>
      </c>
      <c r="C3131" s="546"/>
      <c r="D3131" s="902"/>
      <c r="E3131" s="906"/>
      <c r="F3131" s="907"/>
      <c r="G3131" s="905" t="s">
        <v>356</v>
      </c>
      <c r="H3131" s="642" t="s">
        <v>265</v>
      </c>
      <c r="I3131" s="546"/>
      <c r="J3131" s="902"/>
      <c r="L3131" s="938"/>
      <c r="M3131" s="938"/>
      <c r="N3131" s="938"/>
      <c r="O3131" s="938"/>
    </row>
    <row r="3132" spans="1:15" ht="15" customHeight="1">
      <c r="A3132" s="908" t="s">
        <v>359</v>
      </c>
      <c r="B3132" s="909" t="s">
        <v>2090</v>
      </c>
      <c r="C3132" s="910" t="e">
        <f>VLOOKUP(B3131,'LƯƠNG KT'!$D$16:$Z$184,4,0)</f>
        <v>#N/A</v>
      </c>
      <c r="D3132" s="609" t="e">
        <f>+C3132*25000</f>
        <v>#N/A</v>
      </c>
      <c r="E3132" s="911"/>
      <c r="F3132" s="911"/>
      <c r="G3132" s="908" t="s">
        <v>359</v>
      </c>
      <c r="H3132" s="909" t="s">
        <v>2090</v>
      </c>
      <c r="I3132" s="910" t="e">
        <f>VLOOKUP(H3131,'LƯƠNG KT'!$D$16:$Z$184,4,0)</f>
        <v>#N/A</v>
      </c>
      <c r="J3132" s="609" t="e">
        <f>+I3132*25000</f>
        <v>#N/A</v>
      </c>
      <c r="K3132" s="935"/>
      <c r="L3132" s="935"/>
      <c r="M3132" s="935"/>
      <c r="N3132" s="935"/>
      <c r="O3132" s="935"/>
    </row>
    <row r="3133" spans="1:15" ht="15" customHeight="1">
      <c r="A3133" s="908" t="s">
        <v>361</v>
      </c>
      <c r="B3133" s="909" t="s">
        <v>2091</v>
      </c>
      <c r="C3133" s="910" t="e">
        <f>VLOOKUP(B3131,'LƯƠNG KT'!$D$16:$Z$184,15,0)</f>
        <v>#N/A</v>
      </c>
      <c r="D3133" s="609" t="e">
        <f>C3133*$L$4</f>
        <v>#N/A</v>
      </c>
      <c r="E3133" s="912"/>
      <c r="F3133" s="912"/>
      <c r="G3133" s="908" t="s">
        <v>361</v>
      </c>
      <c r="H3133" s="909" t="s">
        <v>2091</v>
      </c>
      <c r="I3133" s="910" t="e">
        <f>VLOOKUP(H3131,'LƯƠNG KT'!$D$16:$Z$184,15,0)</f>
        <v>#N/A</v>
      </c>
      <c r="J3133" s="609" t="e">
        <f>I3133*$L$4</f>
        <v>#N/A</v>
      </c>
      <c r="K3133" s="935"/>
      <c r="L3133" s="935"/>
      <c r="M3133" s="935"/>
      <c r="N3133" s="935"/>
      <c r="O3133" s="935"/>
    </row>
    <row r="3134" spans="1:15" ht="15" customHeight="1">
      <c r="A3134" s="908" t="s">
        <v>364</v>
      </c>
      <c r="B3134" s="909" t="s">
        <v>2092</v>
      </c>
      <c r="C3134" s="910" t="e">
        <f>VLOOKUP(B3131,'LƯƠNG KT'!$D$16:$Z$184,16,0)</f>
        <v>#N/A</v>
      </c>
      <c r="D3134" s="609" t="e">
        <f>C3134*$L$5</f>
        <v>#N/A</v>
      </c>
      <c r="E3134" s="912"/>
      <c r="F3134" s="912"/>
      <c r="G3134" s="908" t="s">
        <v>364</v>
      </c>
      <c r="H3134" s="909" t="s">
        <v>2092</v>
      </c>
      <c r="I3134" s="910" t="e">
        <f>VLOOKUP(H3131,'LƯƠNG KT'!$D$16:$Z$184,16,0)</f>
        <v>#N/A</v>
      </c>
      <c r="J3134" s="609" t="e">
        <f>I3134*$L$5</f>
        <v>#N/A</v>
      </c>
      <c r="K3134" s="935"/>
      <c r="L3134" s="935"/>
      <c r="M3134" s="935"/>
      <c r="N3134" s="935"/>
      <c r="O3134" s="935"/>
    </row>
    <row r="3135" spans="1:15" ht="15" customHeight="1">
      <c r="A3135" s="908" t="s">
        <v>370</v>
      </c>
      <c r="B3135" s="909" t="s">
        <v>2093</v>
      </c>
      <c r="C3135" s="910" t="e">
        <f>VLOOKUP(B3131,'LƯƠNG KT'!$D$16:$Z$184,24,0)</f>
        <v>#N/A</v>
      </c>
      <c r="D3135" s="609" t="e">
        <f>+C3135*$L$6</f>
        <v>#N/A</v>
      </c>
      <c r="E3135" s="912"/>
      <c r="F3135" s="912"/>
      <c r="G3135" s="908" t="s">
        <v>370</v>
      </c>
      <c r="H3135" s="909" t="s">
        <v>2093</v>
      </c>
      <c r="I3135" s="910" t="e">
        <f>VLOOKUP(H3131,'LƯƠNG KT'!$D$16:$Z$184,24,0)</f>
        <v>#N/A</v>
      </c>
      <c r="J3135" s="609" t="e">
        <f>+I3135*$L$6</f>
        <v>#N/A</v>
      </c>
      <c r="K3135" s="935"/>
      <c r="L3135" s="935"/>
      <c r="M3135" s="935"/>
      <c r="N3135" s="935"/>
      <c r="O3135" s="935"/>
    </row>
    <row r="3136" spans="1:15" ht="15" customHeight="1">
      <c r="A3136" s="908" t="s">
        <v>2094</v>
      </c>
      <c r="B3136" s="909" t="s">
        <v>2095</v>
      </c>
      <c r="C3136" s="910" t="e">
        <f>VLOOKUP(B3131,'LƯƠNG KT'!$D$16:$Z$184,19,0)</f>
        <v>#N/A</v>
      </c>
      <c r="D3136" s="609" t="e">
        <f>+C3136*$L$8</f>
        <v>#N/A</v>
      </c>
      <c r="E3136" s="912"/>
      <c r="F3136" s="912"/>
      <c r="G3136" s="908" t="s">
        <v>2094</v>
      </c>
      <c r="H3136" s="909" t="s">
        <v>2095</v>
      </c>
      <c r="I3136" s="910" t="e">
        <f>VLOOKUP(H3131,'LƯƠNG KT'!$D$16:$Z$184,19,0)</f>
        <v>#N/A</v>
      </c>
      <c r="J3136" s="609" t="e">
        <f>+I3136*$L$8</f>
        <v>#N/A</v>
      </c>
      <c r="K3136" s="935"/>
      <c r="L3136" s="935"/>
      <c r="M3136" s="935"/>
      <c r="N3136" s="935"/>
      <c r="O3136" s="935"/>
    </row>
    <row r="3137" spans="1:15" ht="15" customHeight="1">
      <c r="A3137" s="908" t="s">
        <v>2096</v>
      </c>
      <c r="B3137" s="913" t="s">
        <v>2097</v>
      </c>
      <c r="C3137" s="910" t="e">
        <f>VLOOKUP(B3131,'LƯƠNG KT'!$D$16:$Z$184,20,0)</f>
        <v>#N/A</v>
      </c>
      <c r="D3137" s="609" t="e">
        <f>+C3137*$L$9</f>
        <v>#N/A</v>
      </c>
      <c r="E3137" s="912"/>
      <c r="F3137" s="912"/>
      <c r="G3137" s="908" t="s">
        <v>2096</v>
      </c>
      <c r="H3137" s="913" t="s">
        <v>2097</v>
      </c>
      <c r="I3137" s="910" t="e">
        <f>VLOOKUP(H3131,'LƯƠNG KT'!$D$16:$Z$184,20,0)</f>
        <v>#N/A</v>
      </c>
      <c r="J3137" s="609" t="e">
        <f>+I3137*$L$9</f>
        <v>#N/A</v>
      </c>
      <c r="K3137" s="935"/>
      <c r="L3137" s="935"/>
      <c r="M3137" s="935"/>
      <c r="N3137" s="935"/>
      <c r="O3137" s="935"/>
    </row>
    <row r="3138" spans="1:15" ht="15" customHeight="1">
      <c r="A3138" s="908" t="s">
        <v>2099</v>
      </c>
      <c r="B3138" s="909" t="s">
        <v>2100</v>
      </c>
      <c r="C3138" s="910" t="e">
        <f>VLOOKUP(B3131,'LƯƠNG KT'!$D$16:$Z$184,17,0)</f>
        <v>#N/A</v>
      </c>
      <c r="D3138" s="609" t="e">
        <f>+C3138*$L$10</f>
        <v>#N/A</v>
      </c>
      <c r="E3138" s="912"/>
      <c r="F3138" s="912"/>
      <c r="G3138" s="908" t="s">
        <v>2099</v>
      </c>
      <c r="H3138" s="909" t="s">
        <v>2100</v>
      </c>
      <c r="I3138" s="910" t="e">
        <f>VLOOKUP(H3131,'LƯƠNG KT'!$D$16:$Z$184,17,0)</f>
        <v>#N/A</v>
      </c>
      <c r="J3138" s="609" t="e">
        <f>+I3138*$L$10</f>
        <v>#N/A</v>
      </c>
      <c r="K3138" s="935"/>
      <c r="L3138" s="935"/>
      <c r="M3138" s="935"/>
      <c r="N3138" s="935"/>
      <c r="O3138" s="935"/>
    </row>
    <row r="3139" spans="1:15" ht="15" customHeight="1">
      <c r="A3139" s="908" t="s">
        <v>374</v>
      </c>
      <c r="B3139" s="909" t="s">
        <v>2102</v>
      </c>
      <c r="C3139" s="910" t="e">
        <f>VLOOKUP(B3131,'LƯƠNG KT'!$D$16:$Z$184,12,0)</f>
        <v>#N/A</v>
      </c>
      <c r="D3139" s="609" t="e">
        <f>VLOOKUP(B3131,'LƯƠNG KT'!$D$16:$Z$184,14,0)</f>
        <v>#N/A</v>
      </c>
      <c r="E3139" s="914"/>
      <c r="F3139" s="912"/>
      <c r="G3139" s="908" t="s">
        <v>374</v>
      </c>
      <c r="H3139" s="909" t="s">
        <v>2102</v>
      </c>
      <c r="I3139" s="910" t="e">
        <f>VLOOKUP(H3131,'LƯƠNG KT'!$D$16:$Z$184,12,0)</f>
        <v>#N/A</v>
      </c>
      <c r="J3139" s="609" t="e">
        <f>VLOOKUP(H3131,'LƯƠNG KT'!$D$16:$Z$184,14,0)</f>
        <v>#N/A</v>
      </c>
      <c r="K3139" s="935"/>
      <c r="L3139" s="935"/>
      <c r="M3139" s="935"/>
      <c r="N3139" s="935"/>
      <c r="O3139" s="935"/>
    </row>
    <row r="3140" spans="1:15" ht="15" customHeight="1">
      <c r="A3140" s="908" t="s">
        <v>2103</v>
      </c>
      <c r="B3140" s="909" t="s">
        <v>2104</v>
      </c>
      <c r="D3140" s="915" t="e">
        <f>VLOOKUP(B3131,'LƯƠNG KT'!$D$16:$Z$184,13,0)</f>
        <v>#N/A</v>
      </c>
      <c r="E3140" s="916"/>
      <c r="F3140" s="916"/>
      <c r="G3140" s="908" t="s">
        <v>2103</v>
      </c>
      <c r="H3140" s="909" t="s">
        <v>2104</v>
      </c>
      <c r="J3140" s="915" t="e">
        <f>VLOOKUP(H3131,'LƯƠNG KT'!$D$16:$Z$184,13,0)</f>
        <v>#N/A</v>
      </c>
    </row>
    <row r="3141" spans="1:15" ht="15" customHeight="1">
      <c r="A3141" s="547"/>
      <c r="B3141" s="546"/>
      <c r="C3141" s="910"/>
      <c r="D3141" s="609"/>
      <c r="E3141" s="914"/>
      <c r="F3141" s="916"/>
      <c r="G3141" s="547"/>
      <c r="H3141" s="546"/>
      <c r="I3141" s="910"/>
      <c r="J3141" s="609"/>
    </row>
    <row r="3142" spans="1:15" ht="15" customHeight="1">
      <c r="A3142" s="905"/>
      <c r="B3142" s="546"/>
      <c r="C3142" s="910"/>
      <c r="D3142" s="609"/>
      <c r="E3142" s="917"/>
      <c r="F3142" s="904"/>
      <c r="G3142" s="905"/>
      <c r="H3142" s="546"/>
      <c r="I3142" s="910"/>
      <c r="J3142" s="609"/>
    </row>
    <row r="3143" spans="1:15" ht="15" customHeight="1">
      <c r="A3143" s="918" t="s">
        <v>383</v>
      </c>
      <c r="B3143" s="919" t="s">
        <v>384</v>
      </c>
      <c r="C3143" s="920"/>
      <c r="D3143" s="921" t="e">
        <f>SUM(D3132:D3139)-D3142</f>
        <v>#N/A</v>
      </c>
      <c r="E3143" s="922"/>
      <c r="F3143" s="923"/>
      <c r="G3143" s="918" t="s">
        <v>383</v>
      </c>
      <c r="H3143" s="919" t="s">
        <v>384</v>
      </c>
      <c r="I3143" s="920"/>
      <c r="J3143" s="921" t="e">
        <f>SUM(J3132:J3139)-J3142</f>
        <v>#N/A</v>
      </c>
    </row>
    <row r="3144" spans="1:15" ht="18.75" customHeight="1">
      <c r="A3144" s="924"/>
      <c r="B3144" s="925"/>
      <c r="C3144" s="926"/>
      <c r="D3144" s="927"/>
      <c r="E3144" s="927"/>
      <c r="F3144" s="928"/>
      <c r="G3144" s="924"/>
      <c r="H3144" s="925"/>
      <c r="I3144" s="926"/>
      <c r="J3144" s="927"/>
    </row>
    <row r="3145" spans="1:15" ht="18.75" customHeight="1">
      <c r="A3145" s="925"/>
      <c r="B3145" s="925"/>
      <c r="C3145" s="929"/>
      <c r="D3145" s="930"/>
      <c r="E3145" s="925"/>
      <c r="F3145" s="931"/>
      <c r="G3145" s="925"/>
      <c r="H3145" s="925"/>
      <c r="I3145" s="929"/>
      <c r="J3145" s="930"/>
    </row>
    <row r="3146" spans="1:15" ht="15" customHeight="1">
      <c r="A3146" s="2360" t="str">
        <f>$K$2</f>
        <v>THÁNG 04/2025</v>
      </c>
      <c r="B3146" s="2360"/>
      <c r="C3146" s="2360"/>
      <c r="D3146" s="2360"/>
      <c r="E3146" s="903"/>
      <c r="F3146" s="904"/>
      <c r="G3146" s="2360" t="str">
        <f>$K$2</f>
        <v>THÁNG 04/2025</v>
      </c>
      <c r="H3146" s="2360"/>
      <c r="I3146" s="2360"/>
      <c r="J3146" s="2360"/>
      <c r="K3146" s="276"/>
    </row>
    <row r="3147" spans="1:15" ht="15" customHeight="1">
      <c r="A3147" s="905" t="s">
        <v>356</v>
      </c>
      <c r="B3147" s="642" t="s">
        <v>266</v>
      </c>
      <c r="C3147" s="546"/>
      <c r="D3147" s="902"/>
      <c r="E3147" s="906"/>
      <c r="F3147" s="907"/>
      <c r="G3147" s="905" t="s">
        <v>356</v>
      </c>
      <c r="H3147" s="642" t="s">
        <v>267</v>
      </c>
      <c r="I3147" s="546"/>
      <c r="J3147" s="902"/>
      <c r="L3147" s="938"/>
      <c r="M3147" s="938"/>
      <c r="N3147" s="938"/>
      <c r="O3147" s="938"/>
    </row>
    <row r="3148" spans="1:15" ht="15" customHeight="1">
      <c r="A3148" s="908" t="s">
        <v>359</v>
      </c>
      <c r="B3148" s="909" t="s">
        <v>2090</v>
      </c>
      <c r="C3148" s="910" t="e">
        <f>VLOOKUP(B3147,'LƯƠNG KT'!$D$16:$Z$184,4,0)</f>
        <v>#N/A</v>
      </c>
      <c r="D3148" s="609" t="e">
        <f>+C3148*25000</f>
        <v>#N/A</v>
      </c>
      <c r="E3148" s="911"/>
      <c r="F3148" s="911"/>
      <c r="G3148" s="908" t="s">
        <v>359</v>
      </c>
      <c r="H3148" s="909" t="s">
        <v>2090</v>
      </c>
      <c r="I3148" s="910" t="e">
        <f>VLOOKUP(H3147,'LƯƠNG KT'!$D$16:$Z$184,4,0)</f>
        <v>#N/A</v>
      </c>
      <c r="J3148" s="609" t="e">
        <f>+I3148*25000</f>
        <v>#N/A</v>
      </c>
      <c r="K3148" s="935"/>
      <c r="L3148" s="935"/>
      <c r="M3148" s="935"/>
      <c r="N3148" s="935"/>
      <c r="O3148" s="935"/>
    </row>
    <row r="3149" spans="1:15" ht="15" customHeight="1">
      <c r="A3149" s="908" t="s">
        <v>361</v>
      </c>
      <c r="B3149" s="909" t="s">
        <v>2091</v>
      </c>
      <c r="C3149" s="910" t="e">
        <f>VLOOKUP(B3147,'LƯƠNG KT'!$D$16:$Z$184,15,0)</f>
        <v>#N/A</v>
      </c>
      <c r="D3149" s="609" t="e">
        <f>C3149*$L$4</f>
        <v>#N/A</v>
      </c>
      <c r="E3149" s="912"/>
      <c r="F3149" s="912"/>
      <c r="G3149" s="908" t="s">
        <v>361</v>
      </c>
      <c r="H3149" s="909" t="s">
        <v>2091</v>
      </c>
      <c r="I3149" s="910" t="e">
        <f>VLOOKUP(H3147,'LƯƠNG KT'!$D$16:$Z$184,15,0)</f>
        <v>#N/A</v>
      </c>
      <c r="J3149" s="609" t="e">
        <f>I3149*$L$4</f>
        <v>#N/A</v>
      </c>
      <c r="K3149" s="935"/>
      <c r="L3149" s="935"/>
      <c r="M3149" s="935"/>
      <c r="N3149" s="935"/>
      <c r="O3149" s="935"/>
    </row>
    <row r="3150" spans="1:15" ht="15" customHeight="1">
      <c r="A3150" s="908" t="s">
        <v>364</v>
      </c>
      <c r="B3150" s="909" t="s">
        <v>2092</v>
      </c>
      <c r="C3150" s="910" t="e">
        <f>VLOOKUP(B3147,'LƯƠNG KT'!$D$16:$Z$184,16,0)</f>
        <v>#N/A</v>
      </c>
      <c r="D3150" s="609" t="e">
        <f>C3150*$L$5</f>
        <v>#N/A</v>
      </c>
      <c r="E3150" s="912"/>
      <c r="F3150" s="912"/>
      <c r="G3150" s="908" t="s">
        <v>364</v>
      </c>
      <c r="H3150" s="909" t="s">
        <v>2092</v>
      </c>
      <c r="I3150" s="910" t="e">
        <f>VLOOKUP(H3147,'LƯƠNG KT'!$D$16:$Z$184,16,0)</f>
        <v>#N/A</v>
      </c>
      <c r="J3150" s="609" t="e">
        <f>I3150*$L$5</f>
        <v>#N/A</v>
      </c>
      <c r="K3150" s="935"/>
      <c r="L3150" s="935"/>
      <c r="M3150" s="935"/>
      <c r="N3150" s="935"/>
      <c r="O3150" s="935"/>
    </row>
    <row r="3151" spans="1:15" ht="15" customHeight="1">
      <c r="A3151" s="908" t="s">
        <v>370</v>
      </c>
      <c r="B3151" s="909" t="s">
        <v>2093</v>
      </c>
      <c r="C3151" s="910" t="e">
        <f>VLOOKUP(B3147,'LƯƠNG KT'!$D$16:$Z$184,24,0)</f>
        <v>#N/A</v>
      </c>
      <c r="D3151" s="609" t="e">
        <f>+C3151*$L$6</f>
        <v>#N/A</v>
      </c>
      <c r="E3151" s="912"/>
      <c r="F3151" s="912"/>
      <c r="G3151" s="908" t="s">
        <v>370</v>
      </c>
      <c r="H3151" s="909" t="s">
        <v>2093</v>
      </c>
      <c r="I3151" s="910" t="e">
        <f>VLOOKUP(H3147,'LƯƠNG KT'!$D$16:$Z$184,24,0)</f>
        <v>#N/A</v>
      </c>
      <c r="J3151" s="609" t="e">
        <f>+I3151*$L$6</f>
        <v>#N/A</v>
      </c>
      <c r="K3151" s="935"/>
      <c r="L3151" s="935"/>
      <c r="M3151" s="935"/>
      <c r="N3151" s="935"/>
      <c r="O3151" s="935"/>
    </row>
    <row r="3152" spans="1:15" ht="15" customHeight="1">
      <c r="A3152" s="908" t="s">
        <v>2094</v>
      </c>
      <c r="B3152" s="909" t="s">
        <v>2095</v>
      </c>
      <c r="C3152" s="910" t="e">
        <f>VLOOKUP(B3147,'LƯƠNG KT'!$D$16:$Z$184,19,0)</f>
        <v>#N/A</v>
      </c>
      <c r="D3152" s="609" t="e">
        <f>+C3152*$L$8</f>
        <v>#N/A</v>
      </c>
      <c r="E3152" s="912"/>
      <c r="F3152" s="912"/>
      <c r="G3152" s="908" t="s">
        <v>2094</v>
      </c>
      <c r="H3152" s="909" t="s">
        <v>2095</v>
      </c>
      <c r="I3152" s="910" t="e">
        <f>VLOOKUP(H3147,'LƯƠNG KT'!$D$16:$Z$184,19,0)</f>
        <v>#N/A</v>
      </c>
      <c r="J3152" s="609" t="e">
        <f>+I3152*$L$8</f>
        <v>#N/A</v>
      </c>
      <c r="K3152" s="935"/>
      <c r="L3152" s="935"/>
      <c r="M3152" s="935"/>
      <c r="N3152" s="935"/>
      <c r="O3152" s="935"/>
    </row>
    <row r="3153" spans="1:15" ht="15" customHeight="1">
      <c r="A3153" s="908" t="s">
        <v>2096</v>
      </c>
      <c r="B3153" s="913" t="s">
        <v>2097</v>
      </c>
      <c r="C3153" s="910" t="e">
        <f>VLOOKUP(B3147,'LƯƠNG KT'!$D$16:$Z$184,20,0)</f>
        <v>#N/A</v>
      </c>
      <c r="D3153" s="609" t="e">
        <f>+C3153*$L$9</f>
        <v>#N/A</v>
      </c>
      <c r="E3153" s="912"/>
      <c r="F3153" s="912"/>
      <c r="G3153" s="908" t="s">
        <v>2096</v>
      </c>
      <c r="H3153" s="913" t="s">
        <v>2097</v>
      </c>
      <c r="I3153" s="910" t="e">
        <f>VLOOKUP(H3147,'LƯƠNG KT'!$D$16:$Z$184,20,0)</f>
        <v>#N/A</v>
      </c>
      <c r="J3153" s="609" t="e">
        <f>+I3153*$L$9</f>
        <v>#N/A</v>
      </c>
      <c r="K3153" s="935"/>
      <c r="L3153" s="935"/>
      <c r="M3153" s="935"/>
      <c r="N3153" s="935"/>
      <c r="O3153" s="935"/>
    </row>
    <row r="3154" spans="1:15" ht="15" customHeight="1">
      <c r="A3154" s="908" t="s">
        <v>2099</v>
      </c>
      <c r="B3154" s="909" t="s">
        <v>2100</v>
      </c>
      <c r="C3154" s="910" t="e">
        <f>VLOOKUP(B3147,'LƯƠNG KT'!$D$16:$Z$184,17,0)</f>
        <v>#N/A</v>
      </c>
      <c r="D3154" s="609" t="e">
        <f>+C3154*$L$10</f>
        <v>#N/A</v>
      </c>
      <c r="E3154" s="912"/>
      <c r="F3154" s="912"/>
      <c r="G3154" s="908" t="s">
        <v>2099</v>
      </c>
      <c r="H3154" s="909" t="s">
        <v>2100</v>
      </c>
      <c r="I3154" s="910" t="e">
        <f>VLOOKUP(H3147,'LƯƠNG KT'!$D$16:$Z$184,17,0)</f>
        <v>#N/A</v>
      </c>
      <c r="J3154" s="609" t="e">
        <f>+I3154*$L$10</f>
        <v>#N/A</v>
      </c>
      <c r="K3154" s="935"/>
      <c r="L3154" s="935"/>
      <c r="M3154" s="935"/>
      <c r="N3154" s="935"/>
      <c r="O3154" s="935"/>
    </row>
    <row r="3155" spans="1:15" ht="15" customHeight="1">
      <c r="A3155" s="908" t="s">
        <v>374</v>
      </c>
      <c r="B3155" s="909" t="s">
        <v>2102</v>
      </c>
      <c r="C3155" s="910" t="e">
        <f>VLOOKUP(B3147,'LƯƠNG KT'!$D$16:$Z$184,12,0)</f>
        <v>#N/A</v>
      </c>
      <c r="D3155" s="609" t="e">
        <f>VLOOKUP(B3147,'LƯƠNG KT'!$D$16:$Z$184,14,0)</f>
        <v>#N/A</v>
      </c>
      <c r="E3155" s="914"/>
      <c r="F3155" s="912"/>
      <c r="G3155" s="908" t="s">
        <v>374</v>
      </c>
      <c r="H3155" s="909" t="s">
        <v>2102</v>
      </c>
      <c r="I3155" s="910" t="e">
        <f>VLOOKUP(H3147,'LƯƠNG KT'!$D$16:$Z$184,12,0)</f>
        <v>#N/A</v>
      </c>
      <c r="J3155" s="609" t="e">
        <f>VLOOKUP(H3147,'LƯƠNG KT'!$D$16:$Z$184,14,0)</f>
        <v>#N/A</v>
      </c>
      <c r="K3155" s="935"/>
      <c r="L3155" s="935"/>
      <c r="M3155" s="935"/>
      <c r="N3155" s="935"/>
      <c r="O3155" s="935"/>
    </row>
    <row r="3156" spans="1:15" ht="15" customHeight="1">
      <c r="A3156" s="908" t="s">
        <v>2103</v>
      </c>
      <c r="B3156" s="909" t="s">
        <v>2104</v>
      </c>
      <c r="D3156" s="915" t="e">
        <f>VLOOKUP(B3147,'LƯƠNG KT'!$D$16:$Z$184,13,0)</f>
        <v>#N/A</v>
      </c>
      <c r="E3156" s="916"/>
      <c r="F3156" s="916"/>
      <c r="G3156" s="908" t="s">
        <v>2103</v>
      </c>
      <c r="H3156" s="909" t="s">
        <v>2104</v>
      </c>
      <c r="J3156" s="915" t="e">
        <f>VLOOKUP(H3147,'LƯƠNG KT'!$D$16:$Z$184,13,0)</f>
        <v>#N/A</v>
      </c>
    </row>
    <row r="3157" spans="1:15" ht="15" customHeight="1">
      <c r="A3157" s="547"/>
      <c r="B3157" s="546"/>
      <c r="C3157" s="910"/>
      <c r="D3157" s="609"/>
      <c r="E3157" s="914"/>
      <c r="F3157" s="916"/>
      <c r="G3157" s="547"/>
      <c r="H3157" s="546"/>
      <c r="I3157" s="910"/>
      <c r="J3157" s="609"/>
    </row>
    <row r="3158" spans="1:15" ht="15" customHeight="1">
      <c r="A3158" s="905"/>
      <c r="B3158" s="546"/>
      <c r="C3158" s="910"/>
      <c r="D3158" s="609"/>
      <c r="E3158" s="917"/>
      <c r="F3158" s="904"/>
      <c r="G3158" s="905"/>
      <c r="H3158" s="546"/>
      <c r="I3158" s="910"/>
      <c r="J3158" s="609"/>
    </row>
    <row r="3159" spans="1:15" ht="15" customHeight="1">
      <c r="A3159" s="918" t="s">
        <v>383</v>
      </c>
      <c r="B3159" s="919" t="s">
        <v>384</v>
      </c>
      <c r="C3159" s="920"/>
      <c r="D3159" s="921" t="e">
        <f>SUM(D3148:D3155)-D3158</f>
        <v>#N/A</v>
      </c>
      <c r="E3159" s="922"/>
      <c r="F3159" s="923"/>
      <c r="G3159" s="918" t="s">
        <v>383</v>
      </c>
      <c r="H3159" s="919" t="s">
        <v>384</v>
      </c>
      <c r="I3159" s="920"/>
      <c r="J3159" s="921" t="e">
        <f>SUM(J3148:J3155)-J3158</f>
        <v>#N/A</v>
      </c>
    </row>
    <row r="3160" spans="1:15" ht="18.75" customHeight="1">
      <c r="A3160" s="924"/>
      <c r="B3160" s="925"/>
      <c r="C3160" s="926"/>
      <c r="D3160" s="927"/>
      <c r="E3160" s="927"/>
      <c r="F3160" s="928"/>
      <c r="G3160" s="924"/>
      <c r="H3160" s="925"/>
      <c r="I3160" s="926"/>
      <c r="J3160" s="927"/>
    </row>
    <row r="3161" spans="1:15" ht="120.75" customHeight="1">
      <c r="A3161" s="925"/>
      <c r="B3161" s="925"/>
      <c r="C3161" s="929"/>
      <c r="D3161" s="930"/>
      <c r="E3161" s="925"/>
      <c r="F3161" s="931"/>
      <c r="G3161" s="925"/>
      <c r="H3161" s="925"/>
      <c r="I3161" s="929"/>
      <c r="J3161" s="930"/>
    </row>
    <row r="3162" spans="1:15" ht="15" customHeight="1">
      <c r="A3162" s="2360" t="str">
        <f>$K$2</f>
        <v>THÁNG 04/2025</v>
      </c>
      <c r="B3162" s="2360"/>
      <c r="C3162" s="2360"/>
      <c r="D3162" s="2360"/>
      <c r="E3162" s="903"/>
      <c r="F3162" s="904"/>
      <c r="G3162" s="2360" t="str">
        <f>$K$2</f>
        <v>THÁNG 04/2025</v>
      </c>
      <c r="H3162" s="2360"/>
      <c r="I3162" s="2360"/>
      <c r="J3162" s="2360"/>
      <c r="K3162" s="276"/>
    </row>
    <row r="3163" spans="1:15" ht="15" customHeight="1">
      <c r="A3163" s="905" t="s">
        <v>356</v>
      </c>
      <c r="B3163" s="642" t="s">
        <v>268</v>
      </c>
      <c r="C3163" s="546"/>
      <c r="D3163" s="902"/>
      <c r="E3163" s="906"/>
      <c r="F3163" s="907"/>
      <c r="G3163" s="905" t="s">
        <v>356</v>
      </c>
      <c r="H3163" s="642" t="s">
        <v>269</v>
      </c>
      <c r="I3163" s="546"/>
      <c r="J3163" s="902"/>
      <c r="L3163" s="938"/>
      <c r="M3163" s="938"/>
      <c r="N3163" s="938"/>
      <c r="O3163" s="938"/>
    </row>
    <row r="3164" spans="1:15" ht="15" customHeight="1">
      <c r="A3164" s="908" t="s">
        <v>359</v>
      </c>
      <c r="B3164" s="909" t="s">
        <v>2090</v>
      </c>
      <c r="C3164" s="910" t="e">
        <f>VLOOKUP(B3163,'LƯƠNG KT'!$D$16:$Z$184,4,0)</f>
        <v>#N/A</v>
      </c>
      <c r="D3164" s="609" t="e">
        <f>+C3164*25000</f>
        <v>#N/A</v>
      </c>
      <c r="E3164" s="911"/>
      <c r="F3164" s="911"/>
      <c r="G3164" s="908" t="s">
        <v>359</v>
      </c>
      <c r="H3164" s="909" t="s">
        <v>2090</v>
      </c>
      <c r="I3164" s="910" t="e">
        <f>VLOOKUP(H3163,'LƯƠNG KT'!$D$16:$Z$184,4,0)</f>
        <v>#N/A</v>
      </c>
      <c r="J3164" s="609" t="e">
        <f>+I3164*25000</f>
        <v>#N/A</v>
      </c>
      <c r="K3164" s="935"/>
      <c r="L3164" s="935"/>
      <c r="M3164" s="935"/>
      <c r="N3164" s="935"/>
      <c r="O3164" s="935"/>
    </row>
    <row r="3165" spans="1:15" ht="15" customHeight="1">
      <c r="A3165" s="908" t="s">
        <v>361</v>
      </c>
      <c r="B3165" s="909" t="s">
        <v>2091</v>
      </c>
      <c r="C3165" s="910" t="e">
        <f>VLOOKUP(B3163,'LƯƠNG KT'!$D$16:$Z$184,15,0)</f>
        <v>#N/A</v>
      </c>
      <c r="D3165" s="609" t="e">
        <f>C3165*$L$4</f>
        <v>#N/A</v>
      </c>
      <c r="E3165" s="912"/>
      <c r="F3165" s="912"/>
      <c r="G3165" s="908" t="s">
        <v>361</v>
      </c>
      <c r="H3165" s="909" t="s">
        <v>2091</v>
      </c>
      <c r="I3165" s="910" t="e">
        <f>VLOOKUP(H3163,'LƯƠNG KT'!$D$16:$Z$184,15,0)</f>
        <v>#N/A</v>
      </c>
      <c r="J3165" s="609" t="e">
        <f>I3165*$L$4</f>
        <v>#N/A</v>
      </c>
      <c r="K3165" s="935"/>
      <c r="L3165" s="935"/>
      <c r="M3165" s="935"/>
      <c r="N3165" s="935"/>
      <c r="O3165" s="935"/>
    </row>
    <row r="3166" spans="1:15" ht="15" customHeight="1">
      <c r="A3166" s="908" t="s">
        <v>364</v>
      </c>
      <c r="B3166" s="909" t="s">
        <v>2092</v>
      </c>
      <c r="C3166" s="910" t="e">
        <f>VLOOKUP(B3163,'LƯƠNG KT'!$D$16:$Z$184,16,0)</f>
        <v>#N/A</v>
      </c>
      <c r="D3166" s="609" t="e">
        <f>C3166*$L$5</f>
        <v>#N/A</v>
      </c>
      <c r="E3166" s="912"/>
      <c r="F3166" s="912"/>
      <c r="G3166" s="908" t="s">
        <v>364</v>
      </c>
      <c r="H3166" s="909" t="s">
        <v>2092</v>
      </c>
      <c r="I3166" s="910" t="e">
        <f>VLOOKUP(H3163,'LƯƠNG KT'!$D$16:$Z$184,16,0)</f>
        <v>#N/A</v>
      </c>
      <c r="J3166" s="609" t="e">
        <f>I3166*$L$5</f>
        <v>#N/A</v>
      </c>
      <c r="K3166" s="935"/>
      <c r="L3166" s="935"/>
      <c r="M3166" s="935"/>
      <c r="N3166" s="935"/>
      <c r="O3166" s="935"/>
    </row>
    <row r="3167" spans="1:15" ht="15" customHeight="1">
      <c r="A3167" s="908" t="s">
        <v>370</v>
      </c>
      <c r="B3167" s="909" t="s">
        <v>2093</v>
      </c>
      <c r="C3167" s="910" t="e">
        <f>VLOOKUP(B3163,'LƯƠNG KT'!$D$16:$Z$184,24,0)</f>
        <v>#N/A</v>
      </c>
      <c r="D3167" s="609" t="e">
        <f>+C3167*$L$6</f>
        <v>#N/A</v>
      </c>
      <c r="E3167" s="912"/>
      <c r="F3167" s="912"/>
      <c r="G3167" s="908" t="s">
        <v>370</v>
      </c>
      <c r="H3167" s="909" t="s">
        <v>2093</v>
      </c>
      <c r="I3167" s="910" t="e">
        <f>VLOOKUP(H3163,'LƯƠNG KT'!$D$16:$Z$184,24,0)</f>
        <v>#N/A</v>
      </c>
      <c r="J3167" s="609" t="e">
        <f>+I3167*$L$6</f>
        <v>#N/A</v>
      </c>
      <c r="K3167" s="935"/>
      <c r="L3167" s="935"/>
      <c r="M3167" s="935"/>
      <c r="N3167" s="935"/>
      <c r="O3167" s="935"/>
    </row>
    <row r="3168" spans="1:15" ht="15" customHeight="1">
      <c r="A3168" s="908" t="s">
        <v>2094</v>
      </c>
      <c r="B3168" s="909" t="s">
        <v>2095</v>
      </c>
      <c r="C3168" s="910" t="e">
        <f>VLOOKUP(B3163,'LƯƠNG KT'!$D$16:$Z$184,19,0)</f>
        <v>#N/A</v>
      </c>
      <c r="D3168" s="609" t="e">
        <f>+C3168*$L$8</f>
        <v>#N/A</v>
      </c>
      <c r="E3168" s="912"/>
      <c r="F3168" s="912"/>
      <c r="G3168" s="908" t="s">
        <v>2094</v>
      </c>
      <c r="H3168" s="909" t="s">
        <v>2095</v>
      </c>
      <c r="I3168" s="910" t="e">
        <f>VLOOKUP(H3163,'LƯƠNG KT'!$D$16:$Z$184,19,0)</f>
        <v>#N/A</v>
      </c>
      <c r="J3168" s="609" t="e">
        <f>+I3168*$L$8</f>
        <v>#N/A</v>
      </c>
      <c r="K3168" s="935"/>
      <c r="L3168" s="935"/>
      <c r="M3168" s="935"/>
      <c r="N3168" s="935"/>
      <c r="O3168" s="935"/>
    </row>
    <row r="3169" spans="1:15" ht="15" customHeight="1">
      <c r="A3169" s="908" t="s">
        <v>2096</v>
      </c>
      <c r="B3169" s="913" t="s">
        <v>2097</v>
      </c>
      <c r="C3169" s="910" t="e">
        <f>VLOOKUP(B3163,'LƯƠNG KT'!$D$16:$Z$184,20,0)</f>
        <v>#N/A</v>
      </c>
      <c r="D3169" s="609" t="e">
        <f>+C3169*$L$9</f>
        <v>#N/A</v>
      </c>
      <c r="E3169" s="912"/>
      <c r="F3169" s="912"/>
      <c r="G3169" s="908" t="s">
        <v>2096</v>
      </c>
      <c r="H3169" s="913" t="s">
        <v>2097</v>
      </c>
      <c r="I3169" s="910" t="e">
        <f>VLOOKUP(H3163,'LƯƠNG KT'!$D$16:$Z$184,20,0)</f>
        <v>#N/A</v>
      </c>
      <c r="J3169" s="609" t="e">
        <f>+I3169*$L$9</f>
        <v>#N/A</v>
      </c>
      <c r="K3169" s="935"/>
      <c r="L3169" s="935"/>
      <c r="M3169" s="935"/>
      <c r="N3169" s="935"/>
      <c r="O3169" s="935"/>
    </row>
    <row r="3170" spans="1:15" ht="15" customHeight="1">
      <c r="A3170" s="908" t="s">
        <v>2099</v>
      </c>
      <c r="B3170" s="909" t="s">
        <v>2100</v>
      </c>
      <c r="C3170" s="910" t="e">
        <f>VLOOKUP(B3163,'LƯƠNG KT'!$D$16:$Z$184,17,0)</f>
        <v>#N/A</v>
      </c>
      <c r="D3170" s="609" t="e">
        <f>+C3170*$L$10</f>
        <v>#N/A</v>
      </c>
      <c r="E3170" s="912"/>
      <c r="F3170" s="912"/>
      <c r="G3170" s="908" t="s">
        <v>2099</v>
      </c>
      <c r="H3170" s="909" t="s">
        <v>2100</v>
      </c>
      <c r="I3170" s="910" t="e">
        <f>VLOOKUP(H3163,'LƯƠNG KT'!$D$16:$Z$184,17,0)</f>
        <v>#N/A</v>
      </c>
      <c r="J3170" s="609" t="e">
        <f>+I3170*$L$10</f>
        <v>#N/A</v>
      </c>
      <c r="K3170" s="935"/>
      <c r="L3170" s="935"/>
      <c r="M3170" s="935"/>
      <c r="N3170" s="935"/>
      <c r="O3170" s="935"/>
    </row>
    <row r="3171" spans="1:15" ht="15" customHeight="1">
      <c r="A3171" s="908" t="s">
        <v>374</v>
      </c>
      <c r="B3171" s="909" t="s">
        <v>2102</v>
      </c>
      <c r="C3171" s="910" t="e">
        <f>VLOOKUP(B3163,'LƯƠNG KT'!$D$16:$Z$184,12,0)</f>
        <v>#N/A</v>
      </c>
      <c r="D3171" s="609" t="e">
        <f>VLOOKUP(B3163,'LƯƠNG KT'!$D$16:$Z$184,14,0)</f>
        <v>#N/A</v>
      </c>
      <c r="E3171" s="914"/>
      <c r="F3171" s="912"/>
      <c r="G3171" s="908" t="s">
        <v>374</v>
      </c>
      <c r="H3171" s="909" t="s">
        <v>2102</v>
      </c>
      <c r="I3171" s="910" t="e">
        <f>VLOOKUP(H3163,'LƯƠNG KT'!$D$16:$Z$184,12,0)</f>
        <v>#N/A</v>
      </c>
      <c r="J3171" s="609" t="e">
        <f>VLOOKUP(H3163,'LƯƠNG KT'!$D$16:$Z$184,14,0)</f>
        <v>#N/A</v>
      </c>
      <c r="K3171" s="935"/>
      <c r="L3171" s="935"/>
      <c r="M3171" s="935"/>
      <c r="N3171" s="935"/>
      <c r="O3171" s="935"/>
    </row>
    <row r="3172" spans="1:15" ht="15" customHeight="1">
      <c r="A3172" s="908" t="s">
        <v>2103</v>
      </c>
      <c r="B3172" s="909" t="s">
        <v>2104</v>
      </c>
      <c r="D3172" s="915" t="e">
        <f>VLOOKUP(B3163,'LƯƠNG KT'!$D$16:$Z$184,13,0)</f>
        <v>#N/A</v>
      </c>
      <c r="E3172" s="916"/>
      <c r="F3172" s="916"/>
      <c r="G3172" s="908" t="s">
        <v>2103</v>
      </c>
      <c r="H3172" s="909" t="s">
        <v>2104</v>
      </c>
      <c r="J3172" s="915" t="e">
        <f>VLOOKUP(H3163,'LƯƠNG KT'!$D$16:$Z$184,13,0)</f>
        <v>#N/A</v>
      </c>
    </row>
    <row r="3173" spans="1:15" ht="15" customHeight="1">
      <c r="A3173" s="547"/>
      <c r="B3173" s="546"/>
      <c r="C3173" s="910"/>
      <c r="D3173" s="609"/>
      <c r="E3173" s="914"/>
      <c r="F3173" s="916"/>
      <c r="G3173" s="547"/>
      <c r="H3173" s="546"/>
      <c r="I3173" s="910"/>
      <c r="J3173" s="609"/>
    </row>
    <row r="3174" spans="1:15" ht="15" customHeight="1">
      <c r="A3174" s="905"/>
      <c r="B3174" s="546"/>
      <c r="C3174" s="910"/>
      <c r="D3174" s="609"/>
      <c r="E3174" s="917"/>
      <c r="F3174" s="904"/>
      <c r="G3174" s="905"/>
      <c r="H3174" s="546"/>
      <c r="I3174" s="910"/>
      <c r="J3174" s="609"/>
    </row>
    <row r="3175" spans="1:15" ht="15" customHeight="1">
      <c r="A3175" s="918" t="s">
        <v>383</v>
      </c>
      <c r="B3175" s="919" t="s">
        <v>384</v>
      </c>
      <c r="C3175" s="920"/>
      <c r="D3175" s="921" t="e">
        <f>SUM(D3164:D3171)-D3174</f>
        <v>#N/A</v>
      </c>
      <c r="E3175" s="922"/>
      <c r="F3175" s="923"/>
      <c r="G3175" s="918" t="s">
        <v>383</v>
      </c>
      <c r="H3175" s="919" t="s">
        <v>384</v>
      </c>
      <c r="I3175" s="920"/>
      <c r="J3175" s="921" t="e">
        <f>SUM(J3164:J3171)-J3174</f>
        <v>#N/A</v>
      </c>
    </row>
    <row r="3176" spans="1:15" ht="15.75" customHeight="1">
      <c r="A3176" s="924"/>
      <c r="B3176" s="925"/>
      <c r="C3176" s="926"/>
      <c r="D3176" s="927"/>
      <c r="E3176" s="927"/>
      <c r="F3176" s="928"/>
      <c r="G3176" s="924"/>
      <c r="H3176" s="925"/>
      <c r="I3176" s="926"/>
      <c r="J3176" s="927"/>
    </row>
    <row r="3178" spans="1:15" ht="12" customHeight="1">
      <c r="A3178" s="2361"/>
      <c r="B3178" s="2361"/>
      <c r="C3178" s="2361"/>
      <c r="D3178" s="2361"/>
      <c r="E3178" s="2361"/>
      <c r="F3178" s="2361"/>
      <c r="G3178" s="2361"/>
      <c r="H3178" s="2361"/>
      <c r="I3178" s="2361"/>
      <c r="J3178" s="2361"/>
    </row>
    <row r="3179" spans="1:15" ht="15" customHeight="1">
      <c r="A3179" s="2360" t="str">
        <f>$K$2</f>
        <v>THÁNG 04/2025</v>
      </c>
      <c r="B3179" s="2360"/>
      <c r="C3179" s="2360"/>
      <c r="D3179" s="2360"/>
      <c r="E3179" s="903"/>
      <c r="F3179" s="904"/>
      <c r="G3179" s="2360" t="str">
        <f>$K$2</f>
        <v>THÁNG 04/2025</v>
      </c>
      <c r="H3179" s="2360"/>
      <c r="I3179" s="2360"/>
      <c r="J3179" s="2360"/>
      <c r="K3179" s="276"/>
    </row>
    <row r="3180" spans="1:15" ht="15" customHeight="1">
      <c r="A3180" s="905" t="s">
        <v>356</v>
      </c>
      <c r="B3180" s="642" t="s">
        <v>271</v>
      </c>
      <c r="C3180" s="546"/>
      <c r="D3180" s="902"/>
      <c r="E3180" s="906"/>
      <c r="F3180" s="907"/>
      <c r="G3180" s="905" t="s">
        <v>356</v>
      </c>
      <c r="H3180" s="642" t="s">
        <v>270</v>
      </c>
      <c r="I3180" s="546"/>
      <c r="J3180" s="902"/>
      <c r="L3180" s="938"/>
      <c r="M3180" s="938"/>
      <c r="N3180" s="938"/>
      <c r="O3180" s="938"/>
    </row>
    <row r="3181" spans="1:15" ht="15" customHeight="1">
      <c r="A3181" s="908" t="s">
        <v>359</v>
      </c>
      <c r="B3181" s="909" t="s">
        <v>2090</v>
      </c>
      <c r="C3181" s="910">
        <f>VLOOKUP(B3180,'LƯƠNG KT'!$D$16:$Z$184,4,0)</f>
        <v>0</v>
      </c>
      <c r="D3181" s="609">
        <f>+C3181*25000</f>
        <v>0</v>
      </c>
      <c r="E3181" s="911"/>
      <c r="F3181" s="911"/>
      <c r="G3181" s="908" t="s">
        <v>359</v>
      </c>
      <c r="H3181" s="909" t="s">
        <v>2090</v>
      </c>
      <c r="I3181" s="910" t="e">
        <f>VLOOKUP(H3180,'LƯƠNG KT'!$D$16:$Z$184,4,0)</f>
        <v>#N/A</v>
      </c>
      <c r="J3181" s="609" t="e">
        <f>+I3181*25000</f>
        <v>#N/A</v>
      </c>
      <c r="K3181" s="934"/>
      <c r="L3181" s="935"/>
      <c r="M3181" s="935"/>
      <c r="N3181" s="935"/>
      <c r="O3181" s="935"/>
    </row>
    <row r="3182" spans="1:15" ht="15" customHeight="1">
      <c r="A3182" s="908" t="s">
        <v>361</v>
      </c>
      <c r="B3182" s="909" t="s">
        <v>2091</v>
      </c>
      <c r="C3182" s="910">
        <f>VLOOKUP(B3180,'LƯƠNG KT'!$D$16:$Z$184,15,0)</f>
        <v>0</v>
      </c>
      <c r="D3182" s="609">
        <f>C3182*$L$4</f>
        <v>0</v>
      </c>
      <c r="E3182" s="912"/>
      <c r="F3182" s="912"/>
      <c r="G3182" s="908" t="s">
        <v>361</v>
      </c>
      <c r="H3182" s="909" t="s">
        <v>2091</v>
      </c>
      <c r="I3182" s="910" t="e">
        <f>VLOOKUP(H3180,'LƯƠNG KT'!$D$16:$Z$184,15,0)</f>
        <v>#N/A</v>
      </c>
      <c r="J3182" s="609" t="e">
        <f>I3182*$L$4</f>
        <v>#N/A</v>
      </c>
      <c r="K3182" s="934"/>
      <c r="L3182" s="935"/>
      <c r="M3182" s="935"/>
      <c r="N3182" s="935"/>
      <c r="O3182" s="935"/>
    </row>
    <row r="3183" spans="1:15" ht="15" customHeight="1">
      <c r="A3183" s="908" t="s">
        <v>364</v>
      </c>
      <c r="B3183" s="909" t="s">
        <v>2092</v>
      </c>
      <c r="C3183" s="910">
        <f>VLOOKUP(B3180,'LƯƠNG KT'!$D$16:$Z$184,16,0)</f>
        <v>0</v>
      </c>
      <c r="D3183" s="609">
        <f>C3183*$L$5</f>
        <v>0</v>
      </c>
      <c r="E3183" s="912"/>
      <c r="F3183" s="912"/>
      <c r="G3183" s="908" t="s">
        <v>364</v>
      </c>
      <c r="H3183" s="909" t="s">
        <v>2092</v>
      </c>
      <c r="I3183" s="910" t="e">
        <f>VLOOKUP(H3180,'LƯƠNG KT'!$D$16:$Z$184,16,0)</f>
        <v>#N/A</v>
      </c>
      <c r="J3183" s="609" t="e">
        <f>I3183*$L$5</f>
        <v>#N/A</v>
      </c>
      <c r="K3183" s="934"/>
      <c r="L3183" s="935"/>
      <c r="M3183" s="935"/>
      <c r="N3183" s="935"/>
      <c r="O3183" s="935"/>
    </row>
    <row r="3184" spans="1:15" ht="15" customHeight="1">
      <c r="A3184" s="908" t="s">
        <v>370</v>
      </c>
      <c r="B3184" s="909" t="s">
        <v>2093</v>
      </c>
      <c r="C3184" s="910" t="e">
        <f>VLOOKUP(B3180,'LƯƠNG KT'!$D$16:$Z$184,24,0)</f>
        <v>#REF!</v>
      </c>
      <c r="D3184" s="609" t="e">
        <f>+C3184*$L$6</f>
        <v>#REF!</v>
      </c>
      <c r="E3184" s="912"/>
      <c r="F3184" s="912"/>
      <c r="G3184" s="908" t="s">
        <v>370</v>
      </c>
      <c r="H3184" s="909" t="s">
        <v>2093</v>
      </c>
      <c r="I3184" s="910" t="e">
        <f>VLOOKUP(H3180,'LƯƠNG KT'!$D$16:$Z$184,24,0)</f>
        <v>#N/A</v>
      </c>
      <c r="J3184" s="609" t="e">
        <f>+I3184*$L$6</f>
        <v>#N/A</v>
      </c>
      <c r="K3184" s="935"/>
      <c r="L3184" s="935"/>
      <c r="M3184" s="935"/>
      <c r="N3184" s="935"/>
      <c r="O3184" s="935"/>
    </row>
    <row r="3185" spans="1:15" ht="15" customHeight="1">
      <c r="A3185" s="908" t="s">
        <v>2094</v>
      </c>
      <c r="B3185" s="909" t="s">
        <v>2095</v>
      </c>
      <c r="C3185" s="910">
        <f>VLOOKUP(B3180,'LƯƠNG KT'!$D$16:$Z$184,19,0)</f>
        <v>0</v>
      </c>
      <c r="D3185" s="609">
        <f>+C3185*$L$8</f>
        <v>0</v>
      </c>
      <c r="E3185" s="912"/>
      <c r="F3185" s="912"/>
      <c r="G3185" s="908" t="s">
        <v>2094</v>
      </c>
      <c r="H3185" s="909" t="s">
        <v>2095</v>
      </c>
      <c r="I3185" s="910" t="e">
        <f>VLOOKUP(H3180,'LƯƠNG KT'!$D$16:$Z$184,19,0)</f>
        <v>#N/A</v>
      </c>
      <c r="J3185" s="609" t="e">
        <f>+I3185*$L$8</f>
        <v>#N/A</v>
      </c>
      <c r="K3185" s="935"/>
      <c r="L3185" s="935"/>
      <c r="M3185" s="935"/>
      <c r="N3185" s="935"/>
      <c r="O3185" s="935"/>
    </row>
    <row r="3186" spans="1:15" ht="15" customHeight="1">
      <c r="A3186" s="908" t="s">
        <v>2096</v>
      </c>
      <c r="B3186" s="913" t="s">
        <v>2097</v>
      </c>
      <c r="C3186" s="910">
        <f>VLOOKUP(B3180,'LƯƠNG KT'!$D$16:$Z$184,20,0)</f>
        <v>0</v>
      </c>
      <c r="D3186" s="609">
        <f>+C3186*$L$9</f>
        <v>0</v>
      </c>
      <c r="E3186" s="912"/>
      <c r="F3186" s="912"/>
      <c r="G3186" s="908" t="s">
        <v>2096</v>
      </c>
      <c r="H3186" s="913" t="s">
        <v>2097</v>
      </c>
      <c r="I3186" s="910" t="e">
        <f>VLOOKUP(H3180,'LƯƠNG KT'!$D$16:$Z$184,20,0)</f>
        <v>#N/A</v>
      </c>
      <c r="J3186" s="609" t="e">
        <f>+I3186*$L$9</f>
        <v>#N/A</v>
      </c>
      <c r="K3186" s="935"/>
      <c r="L3186" s="935"/>
      <c r="M3186" s="935"/>
      <c r="N3186" s="935"/>
      <c r="O3186" s="935"/>
    </row>
    <row r="3187" spans="1:15" ht="15" customHeight="1">
      <c r="A3187" s="908" t="s">
        <v>2099</v>
      </c>
      <c r="B3187" s="909" t="s">
        <v>2100</v>
      </c>
      <c r="C3187" s="910">
        <f>VLOOKUP(B3180,'LƯƠNG KT'!$D$16:$Z$184,17,0)</f>
        <v>0</v>
      </c>
      <c r="D3187" s="609">
        <f>+C3187*$L$10</f>
        <v>0</v>
      </c>
      <c r="E3187" s="912"/>
      <c r="F3187" s="912"/>
      <c r="G3187" s="908" t="s">
        <v>2099</v>
      </c>
      <c r="H3187" s="909" t="s">
        <v>2100</v>
      </c>
      <c r="I3187" s="910" t="e">
        <f>VLOOKUP(H3180,'LƯƠNG KT'!$D$16:$Z$184,17,0)</f>
        <v>#N/A</v>
      </c>
      <c r="J3187" s="609" t="e">
        <f>+I3187*$L$10</f>
        <v>#N/A</v>
      </c>
      <c r="K3187" s="935"/>
      <c r="L3187" s="935"/>
      <c r="M3187" s="935"/>
      <c r="N3187" s="935"/>
      <c r="O3187" s="935"/>
    </row>
    <row r="3188" spans="1:15" ht="15" customHeight="1">
      <c r="A3188" s="908" t="s">
        <v>374</v>
      </c>
      <c r="B3188" s="909" t="s">
        <v>2102</v>
      </c>
      <c r="C3188" s="910">
        <f>VLOOKUP(B3180,'LƯƠNG KT'!$D$16:$Z$184,12,0)</f>
        <v>21</v>
      </c>
      <c r="D3188" s="609">
        <f>VLOOKUP(B3180,'LƯƠNG KT'!$D$16:$Z$184,14,0)</f>
        <v>0</v>
      </c>
      <c r="E3188" s="914"/>
      <c r="F3188" s="912"/>
      <c r="G3188" s="908" t="s">
        <v>374</v>
      </c>
      <c r="H3188" s="909" t="s">
        <v>2102</v>
      </c>
      <c r="I3188" s="910" t="e">
        <f>VLOOKUP(H3180,'LƯƠNG KT'!$D$16:$Z$184,12,0)</f>
        <v>#N/A</v>
      </c>
      <c r="J3188" s="609" t="e">
        <f>VLOOKUP(H3180,'LƯƠNG KT'!$D$16:$Z$184,14,0)</f>
        <v>#N/A</v>
      </c>
      <c r="K3188" s="935"/>
      <c r="L3188" s="935"/>
      <c r="M3188" s="935"/>
      <c r="N3188" s="935"/>
      <c r="O3188" s="935"/>
    </row>
    <row r="3189" spans="1:15" ht="15" customHeight="1">
      <c r="A3189" s="908" t="s">
        <v>2103</v>
      </c>
      <c r="B3189" s="909" t="s">
        <v>2104</v>
      </c>
      <c r="D3189" s="915">
        <f>VLOOKUP(B3180,'LƯƠNG KT'!$D$16:$Z$184,13,0)</f>
        <v>4</v>
      </c>
      <c r="E3189" s="916"/>
      <c r="F3189" s="916"/>
      <c r="G3189" s="908" t="s">
        <v>2103</v>
      </c>
      <c r="H3189" s="909" t="s">
        <v>2104</v>
      </c>
      <c r="J3189" s="915" t="e">
        <f>VLOOKUP(H3180,'LƯƠNG KT'!$D$16:$Z$184,13,0)</f>
        <v>#N/A</v>
      </c>
    </row>
    <row r="3190" spans="1:15" ht="15" customHeight="1">
      <c r="A3190" s="547"/>
      <c r="B3190" s="546"/>
      <c r="C3190" s="910"/>
      <c r="D3190" s="609"/>
      <c r="E3190" s="914"/>
      <c r="F3190" s="916"/>
      <c r="G3190" s="547"/>
      <c r="H3190" s="546"/>
      <c r="I3190" s="910"/>
      <c r="J3190" s="609"/>
    </row>
    <row r="3191" spans="1:15" ht="15" customHeight="1">
      <c r="A3191" s="905"/>
      <c r="B3191" s="546"/>
      <c r="C3191" s="910"/>
      <c r="D3191" s="609"/>
      <c r="E3191" s="917"/>
      <c r="F3191" s="904"/>
      <c r="G3191" s="905"/>
      <c r="H3191" s="546"/>
      <c r="I3191" s="910"/>
      <c r="J3191" s="609"/>
    </row>
    <row r="3192" spans="1:15" ht="15" customHeight="1">
      <c r="A3192" s="918" t="s">
        <v>383</v>
      </c>
      <c r="B3192" s="919" t="s">
        <v>384</v>
      </c>
      <c r="C3192" s="920"/>
      <c r="D3192" s="921" t="e">
        <f>SUM(D3181:D3188)-D3191</f>
        <v>#REF!</v>
      </c>
      <c r="E3192" s="922"/>
      <c r="F3192" s="923"/>
      <c r="G3192" s="918" t="s">
        <v>383</v>
      </c>
      <c r="H3192" s="919" t="s">
        <v>384</v>
      </c>
      <c r="I3192" s="920"/>
      <c r="J3192" s="921" t="e">
        <f>SUM(J3181:J3188)-J3191</f>
        <v>#N/A</v>
      </c>
    </row>
    <row r="3193" spans="1:15" ht="18" customHeight="1">
      <c r="A3193" s="924"/>
      <c r="B3193" s="925"/>
      <c r="C3193" s="926"/>
      <c r="D3193" s="927"/>
      <c r="E3193" s="927"/>
      <c r="F3193" s="928"/>
      <c r="G3193" s="924"/>
      <c r="H3193" s="925"/>
      <c r="I3193" s="926"/>
      <c r="J3193" s="927"/>
    </row>
    <row r="3194" spans="1:15" ht="18" customHeight="1">
      <c r="A3194" s="925"/>
      <c r="B3194" s="925"/>
      <c r="C3194" s="929"/>
      <c r="D3194" s="930"/>
      <c r="E3194" s="925"/>
      <c r="F3194" s="931"/>
      <c r="G3194" s="925"/>
      <c r="H3194" s="925"/>
      <c r="I3194" s="929"/>
      <c r="J3194" s="930"/>
    </row>
    <row r="3195" spans="1:15" ht="15" customHeight="1">
      <c r="A3195" s="2360" t="str">
        <f>$K$2</f>
        <v>THÁNG 04/2025</v>
      </c>
      <c r="B3195" s="2360"/>
      <c r="C3195" s="2360"/>
      <c r="D3195" s="2360"/>
      <c r="E3195" s="903"/>
      <c r="F3195" s="904"/>
      <c r="G3195" s="2360" t="str">
        <f>$K$2</f>
        <v>THÁNG 04/2025</v>
      </c>
      <c r="H3195" s="2360"/>
      <c r="I3195" s="2360"/>
      <c r="J3195" s="2360"/>
      <c r="K3195" s="276"/>
    </row>
    <row r="3196" spans="1:15" ht="15" customHeight="1">
      <c r="A3196" s="905" t="s">
        <v>356</v>
      </c>
      <c r="B3196" s="642" t="s">
        <v>272</v>
      </c>
      <c r="C3196" s="546"/>
      <c r="D3196" s="902"/>
      <c r="E3196" s="906"/>
      <c r="F3196" s="907"/>
      <c r="G3196" s="905" t="s">
        <v>356</v>
      </c>
      <c r="H3196" s="642" t="s">
        <v>273</v>
      </c>
      <c r="I3196" s="546"/>
      <c r="J3196" s="902"/>
      <c r="L3196" s="938"/>
      <c r="M3196" s="938"/>
      <c r="N3196" s="938"/>
      <c r="O3196" s="938"/>
    </row>
    <row r="3197" spans="1:15" ht="15" customHeight="1">
      <c r="A3197" s="908" t="s">
        <v>359</v>
      </c>
      <c r="B3197" s="909" t="s">
        <v>2090</v>
      </c>
      <c r="C3197" s="910" t="e">
        <f>VLOOKUP(B3196,'LƯƠNG KT'!$D$16:$Z$184,4,0)</f>
        <v>#N/A</v>
      </c>
      <c r="D3197" s="609" t="e">
        <f>+C3197*25000</f>
        <v>#N/A</v>
      </c>
      <c r="E3197" s="911"/>
      <c r="F3197" s="911"/>
      <c r="G3197" s="908" t="s">
        <v>359</v>
      </c>
      <c r="H3197" s="909" t="s">
        <v>2090</v>
      </c>
      <c r="I3197" s="910" t="e">
        <f>VLOOKUP(H3196,'LƯƠNG KT'!$D$16:$Z$184,4,0)</f>
        <v>#N/A</v>
      </c>
      <c r="J3197" s="609" t="e">
        <f>+I3197*25000</f>
        <v>#N/A</v>
      </c>
      <c r="K3197" s="935"/>
      <c r="L3197" s="935"/>
      <c r="M3197" s="935"/>
      <c r="N3197" s="935"/>
      <c r="O3197" s="935"/>
    </row>
    <row r="3198" spans="1:15" ht="15" customHeight="1">
      <c r="A3198" s="908" t="s">
        <v>361</v>
      </c>
      <c r="B3198" s="909" t="s">
        <v>2091</v>
      </c>
      <c r="C3198" s="910" t="e">
        <f>VLOOKUP(B3196,'LƯƠNG KT'!$D$16:$Z$184,15,0)</f>
        <v>#N/A</v>
      </c>
      <c r="D3198" s="609" t="e">
        <f>C3198*$L$4</f>
        <v>#N/A</v>
      </c>
      <c r="E3198" s="912"/>
      <c r="F3198" s="912"/>
      <c r="G3198" s="908" t="s">
        <v>361</v>
      </c>
      <c r="H3198" s="909" t="s">
        <v>2091</v>
      </c>
      <c r="I3198" s="910" t="e">
        <f>VLOOKUP(H3196,'LƯƠNG KT'!$D$16:$Z$184,15,0)</f>
        <v>#N/A</v>
      </c>
      <c r="J3198" s="609" t="e">
        <f>I3198*$L$4</f>
        <v>#N/A</v>
      </c>
      <c r="K3198" s="935"/>
      <c r="L3198" s="935"/>
      <c r="M3198" s="935"/>
      <c r="N3198" s="935"/>
      <c r="O3198" s="935"/>
    </row>
    <row r="3199" spans="1:15" ht="15" customHeight="1">
      <c r="A3199" s="908" t="s">
        <v>364</v>
      </c>
      <c r="B3199" s="909" t="s">
        <v>2092</v>
      </c>
      <c r="C3199" s="910" t="e">
        <f>VLOOKUP(B3196,'LƯƠNG KT'!$D$16:$Z$184,16,0)</f>
        <v>#N/A</v>
      </c>
      <c r="D3199" s="609" t="e">
        <f>C3199*$L$5</f>
        <v>#N/A</v>
      </c>
      <c r="E3199" s="912"/>
      <c r="F3199" s="912"/>
      <c r="G3199" s="908" t="s">
        <v>364</v>
      </c>
      <c r="H3199" s="909" t="s">
        <v>2092</v>
      </c>
      <c r="I3199" s="910" t="e">
        <f>VLOOKUP(H3196,'LƯƠNG KT'!$D$16:$Z$184,16,0)</f>
        <v>#N/A</v>
      </c>
      <c r="J3199" s="609" t="e">
        <f>I3199*$L$5</f>
        <v>#N/A</v>
      </c>
      <c r="K3199" s="935"/>
      <c r="L3199" s="935"/>
      <c r="M3199" s="935"/>
      <c r="N3199" s="935"/>
      <c r="O3199" s="935"/>
    </row>
    <row r="3200" spans="1:15" ht="15" customHeight="1">
      <c r="A3200" s="908" t="s">
        <v>370</v>
      </c>
      <c r="B3200" s="909" t="s">
        <v>2093</v>
      </c>
      <c r="C3200" s="910" t="e">
        <f>VLOOKUP(B3196,'LƯƠNG KT'!$D$16:$Z$184,24,0)</f>
        <v>#N/A</v>
      </c>
      <c r="D3200" s="609" t="e">
        <f>+C3200*$L$6</f>
        <v>#N/A</v>
      </c>
      <c r="E3200" s="912"/>
      <c r="F3200" s="912"/>
      <c r="G3200" s="908" t="s">
        <v>370</v>
      </c>
      <c r="H3200" s="909" t="s">
        <v>2093</v>
      </c>
      <c r="I3200" s="910" t="e">
        <f>VLOOKUP(H3196,'LƯƠNG KT'!$D$16:$Z$184,24,0)</f>
        <v>#N/A</v>
      </c>
      <c r="J3200" s="609" t="e">
        <f>+I3200*$L$6</f>
        <v>#N/A</v>
      </c>
      <c r="K3200" s="935"/>
      <c r="L3200" s="935"/>
      <c r="M3200" s="935"/>
      <c r="N3200" s="935"/>
      <c r="O3200" s="935"/>
    </row>
    <row r="3201" spans="1:15" ht="15" customHeight="1">
      <c r="A3201" s="908" t="s">
        <v>2094</v>
      </c>
      <c r="B3201" s="909" t="s">
        <v>2095</v>
      </c>
      <c r="C3201" s="910" t="e">
        <f>VLOOKUP(B3196,'LƯƠNG KT'!$D$16:$Z$184,19,0)</f>
        <v>#N/A</v>
      </c>
      <c r="D3201" s="609" t="e">
        <f>+C3201*$L$8</f>
        <v>#N/A</v>
      </c>
      <c r="E3201" s="912"/>
      <c r="F3201" s="912"/>
      <c r="G3201" s="908" t="s">
        <v>2094</v>
      </c>
      <c r="H3201" s="909" t="s">
        <v>2095</v>
      </c>
      <c r="I3201" s="910" t="e">
        <f>VLOOKUP(H3196,'LƯƠNG KT'!$D$16:$Z$184,19,0)</f>
        <v>#N/A</v>
      </c>
      <c r="J3201" s="609" t="e">
        <f>+I3201*$L$8</f>
        <v>#N/A</v>
      </c>
      <c r="K3201" s="935"/>
      <c r="L3201" s="935"/>
      <c r="M3201" s="935"/>
      <c r="N3201" s="935"/>
      <c r="O3201" s="935"/>
    </row>
    <row r="3202" spans="1:15" ht="15" customHeight="1">
      <c r="A3202" s="908" t="s">
        <v>2096</v>
      </c>
      <c r="B3202" s="913" t="s">
        <v>2097</v>
      </c>
      <c r="C3202" s="910" t="e">
        <f>VLOOKUP(B3196,'LƯƠNG KT'!$D$16:$Z$184,20,0)</f>
        <v>#N/A</v>
      </c>
      <c r="D3202" s="609" t="e">
        <f>+C3202*$L$9</f>
        <v>#N/A</v>
      </c>
      <c r="E3202" s="912"/>
      <c r="F3202" s="912"/>
      <c r="G3202" s="908" t="s">
        <v>2096</v>
      </c>
      <c r="H3202" s="913" t="s">
        <v>2097</v>
      </c>
      <c r="I3202" s="910" t="e">
        <f>VLOOKUP(H3196,'LƯƠNG KT'!$D$16:$Z$184,20,0)</f>
        <v>#N/A</v>
      </c>
      <c r="J3202" s="609" t="e">
        <f>+I3202*$L$9</f>
        <v>#N/A</v>
      </c>
      <c r="K3202" s="935"/>
      <c r="L3202" s="935"/>
      <c r="M3202" s="935"/>
      <c r="N3202" s="935"/>
      <c r="O3202" s="935"/>
    </row>
    <row r="3203" spans="1:15" ht="15" customHeight="1">
      <c r="A3203" s="908" t="s">
        <v>2099</v>
      </c>
      <c r="B3203" s="909" t="s">
        <v>2100</v>
      </c>
      <c r="C3203" s="910" t="e">
        <f>VLOOKUP(B3196,'LƯƠNG KT'!$D$16:$Z$184,17,0)</f>
        <v>#N/A</v>
      </c>
      <c r="D3203" s="609" t="e">
        <f>+C3203*$L$10</f>
        <v>#N/A</v>
      </c>
      <c r="E3203" s="912"/>
      <c r="F3203" s="912"/>
      <c r="G3203" s="908" t="s">
        <v>2099</v>
      </c>
      <c r="H3203" s="909" t="s">
        <v>2100</v>
      </c>
      <c r="I3203" s="910" t="e">
        <f>VLOOKUP(H3196,'LƯƠNG KT'!$D$16:$Z$184,17,0)</f>
        <v>#N/A</v>
      </c>
      <c r="J3203" s="609" t="e">
        <f>+I3203*$L$10</f>
        <v>#N/A</v>
      </c>
      <c r="K3203" s="935"/>
      <c r="L3203" s="935"/>
      <c r="M3203" s="935"/>
      <c r="N3203" s="935"/>
      <c r="O3203" s="935"/>
    </row>
    <row r="3204" spans="1:15" ht="15" customHeight="1">
      <c r="A3204" s="908" t="s">
        <v>374</v>
      </c>
      <c r="B3204" s="909" t="s">
        <v>2102</v>
      </c>
      <c r="C3204" s="910" t="e">
        <f>VLOOKUP(B3196,'LƯƠNG KT'!$D$16:$Z$184,12,0)</f>
        <v>#N/A</v>
      </c>
      <c r="D3204" s="609" t="e">
        <f>VLOOKUP(B3196,'LƯƠNG KT'!$D$16:$Z$184,14,0)</f>
        <v>#N/A</v>
      </c>
      <c r="E3204" s="914"/>
      <c r="F3204" s="912"/>
      <c r="G3204" s="908" t="s">
        <v>374</v>
      </c>
      <c r="H3204" s="909" t="s">
        <v>2102</v>
      </c>
      <c r="I3204" s="910" t="e">
        <f>VLOOKUP(H3196,'LƯƠNG KT'!$D$16:$Z$184,12,0)</f>
        <v>#N/A</v>
      </c>
      <c r="J3204" s="609" t="e">
        <f>VLOOKUP(H3196,'LƯƠNG KT'!$D$16:$Z$184,14,0)</f>
        <v>#N/A</v>
      </c>
      <c r="K3204" s="935"/>
      <c r="L3204" s="935"/>
      <c r="M3204" s="935"/>
      <c r="N3204" s="935"/>
      <c r="O3204" s="935"/>
    </row>
    <row r="3205" spans="1:15" ht="15" customHeight="1">
      <c r="A3205" s="908" t="s">
        <v>2103</v>
      </c>
      <c r="B3205" s="909" t="s">
        <v>2104</v>
      </c>
      <c r="D3205" s="915" t="e">
        <f>VLOOKUP(B3196,'LƯƠNG KT'!$D$16:$Z$184,13,0)</f>
        <v>#N/A</v>
      </c>
      <c r="E3205" s="916"/>
      <c r="F3205" s="916"/>
      <c r="G3205" s="908" t="s">
        <v>2103</v>
      </c>
      <c r="H3205" s="909" t="s">
        <v>2104</v>
      </c>
      <c r="J3205" s="915" t="e">
        <f>VLOOKUP(H3196,'LƯƠNG KT'!$D$16:$Z$184,13,0)</f>
        <v>#N/A</v>
      </c>
    </row>
    <row r="3206" spans="1:15" ht="15" customHeight="1">
      <c r="A3206" s="547"/>
      <c r="B3206" s="546"/>
      <c r="C3206" s="910"/>
      <c r="D3206" s="609"/>
      <c r="E3206" s="914"/>
      <c r="F3206" s="916"/>
      <c r="G3206" s="547"/>
      <c r="H3206" s="546"/>
      <c r="I3206" s="910"/>
      <c r="J3206" s="609"/>
    </row>
    <row r="3207" spans="1:15" ht="15" customHeight="1">
      <c r="A3207" s="905"/>
      <c r="B3207" s="546"/>
      <c r="C3207" s="910"/>
      <c r="D3207" s="609"/>
      <c r="E3207" s="917"/>
      <c r="F3207" s="904"/>
      <c r="G3207" s="905"/>
      <c r="H3207" s="546"/>
      <c r="I3207" s="910"/>
      <c r="J3207" s="609"/>
    </row>
    <row r="3208" spans="1:15" ht="15" customHeight="1">
      <c r="A3208" s="918" t="s">
        <v>383</v>
      </c>
      <c r="B3208" s="919" t="s">
        <v>384</v>
      </c>
      <c r="C3208" s="920"/>
      <c r="D3208" s="921" t="e">
        <f>SUM(D3197:D3204)-D3207</f>
        <v>#N/A</v>
      </c>
      <c r="E3208" s="922"/>
      <c r="F3208" s="923"/>
      <c r="G3208" s="918" t="s">
        <v>383</v>
      </c>
      <c r="H3208" s="919" t="s">
        <v>384</v>
      </c>
      <c r="I3208" s="920"/>
      <c r="J3208" s="921" t="e">
        <f>SUM(J3197:J3204)-J3207</f>
        <v>#N/A</v>
      </c>
    </row>
    <row r="3209" spans="1:15" ht="18.75" customHeight="1">
      <c r="A3209" s="924"/>
      <c r="B3209" s="925"/>
      <c r="C3209" s="926"/>
      <c r="D3209" s="927"/>
      <c r="E3209" s="927"/>
      <c r="F3209" s="928"/>
      <c r="G3209" s="924"/>
      <c r="H3209" s="925"/>
      <c r="I3209" s="926"/>
      <c r="J3209" s="927"/>
    </row>
    <row r="3210" spans="1:15" ht="12" customHeight="1">
      <c r="A3210" s="925"/>
      <c r="B3210" s="925"/>
      <c r="C3210" s="929"/>
      <c r="D3210" s="930"/>
      <c r="E3210" s="925"/>
      <c r="F3210" s="931"/>
      <c r="G3210" s="925"/>
      <c r="H3210" s="925"/>
      <c r="I3210" s="929"/>
      <c r="J3210" s="930"/>
    </row>
    <row r="3211" spans="1:15" ht="15" customHeight="1">
      <c r="A3211" s="2360" t="str">
        <f>$K$2</f>
        <v>THÁNG 04/2025</v>
      </c>
      <c r="B3211" s="2360"/>
      <c r="C3211" s="2360"/>
      <c r="D3211" s="2360"/>
      <c r="E3211" s="903"/>
      <c r="F3211" s="904"/>
      <c r="G3211" s="2360" t="str">
        <f>$K$2</f>
        <v>THÁNG 04/2025</v>
      </c>
      <c r="H3211" s="2360"/>
      <c r="I3211" s="2360"/>
      <c r="J3211" s="2360"/>
      <c r="K3211" s="276"/>
    </row>
    <row r="3212" spans="1:15" ht="15" customHeight="1">
      <c r="A3212" s="905" t="s">
        <v>356</v>
      </c>
      <c r="B3212" s="642" t="s">
        <v>274</v>
      </c>
      <c r="C3212" s="546"/>
      <c r="D3212" s="902"/>
      <c r="E3212" s="906"/>
      <c r="F3212" s="907"/>
      <c r="G3212" s="905" t="s">
        <v>356</v>
      </c>
      <c r="H3212" s="642" t="s">
        <v>275</v>
      </c>
      <c r="I3212" s="546"/>
      <c r="J3212" s="902"/>
      <c r="L3212" s="938"/>
      <c r="M3212" s="938"/>
      <c r="N3212" s="938"/>
      <c r="O3212" s="938"/>
    </row>
    <row r="3213" spans="1:15" ht="15" customHeight="1">
      <c r="A3213" s="908" t="s">
        <v>359</v>
      </c>
      <c r="B3213" s="909" t="s">
        <v>2090</v>
      </c>
      <c r="C3213" s="910" t="e">
        <f>VLOOKUP(B3212,'LƯƠNG KT'!$D$16:$Z$184,4,0)</f>
        <v>#N/A</v>
      </c>
      <c r="D3213" s="609" t="e">
        <f>+C3213*25000</f>
        <v>#N/A</v>
      </c>
      <c r="E3213" s="911"/>
      <c r="F3213" s="911"/>
      <c r="G3213" s="908" t="s">
        <v>359</v>
      </c>
      <c r="H3213" s="909" t="s">
        <v>2090</v>
      </c>
      <c r="I3213" s="910" t="e">
        <f>VLOOKUP(H3212,'LƯƠNG KT'!$D$16:$Z$184,4,0)</f>
        <v>#N/A</v>
      </c>
      <c r="J3213" s="609" t="e">
        <f>+I3213*25000</f>
        <v>#N/A</v>
      </c>
      <c r="K3213" s="935"/>
      <c r="L3213" s="935"/>
      <c r="M3213" s="935"/>
      <c r="N3213" s="935"/>
      <c r="O3213" s="935"/>
    </row>
    <row r="3214" spans="1:15" ht="15" customHeight="1">
      <c r="A3214" s="908" t="s">
        <v>361</v>
      </c>
      <c r="B3214" s="909" t="s">
        <v>2091</v>
      </c>
      <c r="C3214" s="910" t="e">
        <f>VLOOKUP(B3212,'LƯƠNG KT'!$D$16:$Z$184,15,0)</f>
        <v>#N/A</v>
      </c>
      <c r="D3214" s="609" t="e">
        <f>C3214*$L$4</f>
        <v>#N/A</v>
      </c>
      <c r="E3214" s="912"/>
      <c r="F3214" s="912"/>
      <c r="G3214" s="908" t="s">
        <v>361</v>
      </c>
      <c r="H3214" s="909" t="s">
        <v>2091</v>
      </c>
      <c r="I3214" s="910" t="e">
        <f>VLOOKUP(H3212,'LƯƠNG KT'!$D$16:$Z$184,15,0)</f>
        <v>#N/A</v>
      </c>
      <c r="J3214" s="609" t="e">
        <f>I3214*$L$4</f>
        <v>#N/A</v>
      </c>
      <c r="K3214" s="935"/>
      <c r="L3214" s="935"/>
      <c r="M3214" s="935"/>
      <c r="N3214" s="935"/>
      <c r="O3214" s="935"/>
    </row>
    <row r="3215" spans="1:15" ht="15" customHeight="1">
      <c r="A3215" s="908" t="s">
        <v>364</v>
      </c>
      <c r="B3215" s="909" t="s">
        <v>2092</v>
      </c>
      <c r="C3215" s="910" t="e">
        <f>VLOOKUP(B3212,'LƯƠNG KT'!$D$16:$Z$184,16,0)</f>
        <v>#N/A</v>
      </c>
      <c r="D3215" s="609" t="e">
        <f>C3215*$L$5</f>
        <v>#N/A</v>
      </c>
      <c r="E3215" s="912"/>
      <c r="F3215" s="912"/>
      <c r="G3215" s="908" t="s">
        <v>364</v>
      </c>
      <c r="H3215" s="909" t="s">
        <v>2092</v>
      </c>
      <c r="I3215" s="910" t="e">
        <f>VLOOKUP(H3212,'LƯƠNG KT'!$D$16:$Z$184,16,0)</f>
        <v>#N/A</v>
      </c>
      <c r="J3215" s="609" t="e">
        <f>I3215*$L$5</f>
        <v>#N/A</v>
      </c>
      <c r="K3215" s="935"/>
      <c r="L3215" s="935"/>
      <c r="M3215" s="935"/>
      <c r="N3215" s="935"/>
      <c r="O3215" s="935"/>
    </row>
    <row r="3216" spans="1:15" ht="15" customHeight="1">
      <c r="A3216" s="908" t="s">
        <v>370</v>
      </c>
      <c r="B3216" s="909" t="s">
        <v>2093</v>
      </c>
      <c r="C3216" s="910" t="e">
        <f>VLOOKUP(B3212,'LƯƠNG KT'!$D$16:$Z$184,24,0)</f>
        <v>#N/A</v>
      </c>
      <c r="D3216" s="609" t="e">
        <f>+C3216*$L$6</f>
        <v>#N/A</v>
      </c>
      <c r="E3216" s="912"/>
      <c r="F3216" s="912"/>
      <c r="G3216" s="908" t="s">
        <v>370</v>
      </c>
      <c r="H3216" s="909" t="s">
        <v>2093</v>
      </c>
      <c r="I3216" s="910" t="e">
        <f>VLOOKUP(H3212,'LƯƠNG KT'!$D$16:$Z$184,24,0)</f>
        <v>#N/A</v>
      </c>
      <c r="J3216" s="609" t="e">
        <f>+I3216*$L$6</f>
        <v>#N/A</v>
      </c>
      <c r="K3216" s="935"/>
      <c r="L3216" s="935"/>
      <c r="M3216" s="935"/>
      <c r="N3216" s="935"/>
      <c r="O3216" s="935"/>
    </row>
    <row r="3217" spans="1:15" ht="15" customHeight="1">
      <c r="A3217" s="908" t="s">
        <v>2094</v>
      </c>
      <c r="B3217" s="909" t="s">
        <v>2095</v>
      </c>
      <c r="C3217" s="910" t="e">
        <f>VLOOKUP(B3212,'LƯƠNG KT'!$D$16:$Z$184,19,0)</f>
        <v>#N/A</v>
      </c>
      <c r="D3217" s="609" t="e">
        <f>+C3217*$L$8</f>
        <v>#N/A</v>
      </c>
      <c r="E3217" s="912"/>
      <c r="F3217" s="912"/>
      <c r="G3217" s="908" t="s">
        <v>2094</v>
      </c>
      <c r="H3217" s="909" t="s">
        <v>2095</v>
      </c>
      <c r="I3217" s="910" t="e">
        <f>VLOOKUP(H3212,'LƯƠNG KT'!$D$16:$Z$184,19,0)</f>
        <v>#N/A</v>
      </c>
      <c r="J3217" s="609" t="e">
        <f>+I3217*$L$8</f>
        <v>#N/A</v>
      </c>
      <c r="K3217" s="935"/>
      <c r="L3217" s="935"/>
      <c r="M3217" s="935"/>
      <c r="N3217" s="935"/>
      <c r="O3217" s="935"/>
    </row>
    <row r="3218" spans="1:15" ht="15" customHeight="1">
      <c r="A3218" s="908" t="s">
        <v>2096</v>
      </c>
      <c r="B3218" s="913" t="s">
        <v>2097</v>
      </c>
      <c r="C3218" s="910" t="e">
        <f>VLOOKUP(B3212,'LƯƠNG KT'!$D$16:$Z$184,20,0)</f>
        <v>#N/A</v>
      </c>
      <c r="D3218" s="609" t="e">
        <f>+C3218*$L$9</f>
        <v>#N/A</v>
      </c>
      <c r="E3218" s="912"/>
      <c r="F3218" s="912"/>
      <c r="G3218" s="908" t="s">
        <v>2096</v>
      </c>
      <c r="H3218" s="913" t="s">
        <v>2097</v>
      </c>
      <c r="I3218" s="910" t="e">
        <f>VLOOKUP(H3212,'LƯƠNG KT'!$D$16:$Z$184,20,0)</f>
        <v>#N/A</v>
      </c>
      <c r="J3218" s="609" t="e">
        <f>+I3218*$L$9</f>
        <v>#N/A</v>
      </c>
      <c r="K3218" s="935"/>
      <c r="L3218" s="935"/>
      <c r="M3218" s="935"/>
      <c r="N3218" s="935"/>
      <c r="O3218" s="935"/>
    </row>
    <row r="3219" spans="1:15" ht="15" customHeight="1">
      <c r="A3219" s="908" t="s">
        <v>2099</v>
      </c>
      <c r="B3219" s="909" t="s">
        <v>2100</v>
      </c>
      <c r="C3219" s="910" t="e">
        <f>VLOOKUP(B3212,'LƯƠNG KT'!$D$16:$Z$184,17,0)</f>
        <v>#N/A</v>
      </c>
      <c r="D3219" s="609" t="e">
        <f>+C3219*$L$10</f>
        <v>#N/A</v>
      </c>
      <c r="E3219" s="912"/>
      <c r="F3219" s="912"/>
      <c r="G3219" s="908" t="s">
        <v>2099</v>
      </c>
      <c r="H3219" s="909" t="s">
        <v>2100</v>
      </c>
      <c r="I3219" s="910" t="e">
        <f>VLOOKUP(H3212,'LƯƠNG KT'!$D$16:$Z$184,17,0)</f>
        <v>#N/A</v>
      </c>
      <c r="J3219" s="609" t="e">
        <f>+I3219*$L$10</f>
        <v>#N/A</v>
      </c>
      <c r="K3219" s="935"/>
      <c r="L3219" s="935"/>
      <c r="M3219" s="935"/>
      <c r="N3219" s="935"/>
      <c r="O3219" s="935"/>
    </row>
    <row r="3220" spans="1:15" ht="15" customHeight="1">
      <c r="A3220" s="908" t="s">
        <v>374</v>
      </c>
      <c r="B3220" s="909" t="s">
        <v>2102</v>
      </c>
      <c r="C3220" s="910" t="e">
        <f>VLOOKUP(B3212,'LƯƠNG KT'!$D$16:$Z$184,12,0)</f>
        <v>#N/A</v>
      </c>
      <c r="D3220" s="609" t="e">
        <f>VLOOKUP(B3212,'LƯƠNG KT'!$D$16:$Z$184,14,0)</f>
        <v>#N/A</v>
      </c>
      <c r="E3220" s="914"/>
      <c r="F3220" s="912"/>
      <c r="G3220" s="908" t="s">
        <v>374</v>
      </c>
      <c r="H3220" s="909" t="s">
        <v>2102</v>
      </c>
      <c r="I3220" s="910" t="e">
        <f>VLOOKUP(H3212,'LƯƠNG KT'!$D$16:$Z$184,12,0)</f>
        <v>#N/A</v>
      </c>
      <c r="J3220" s="609" t="e">
        <f>VLOOKUP(H3212,'LƯƠNG KT'!$D$16:$Z$184,14,0)</f>
        <v>#N/A</v>
      </c>
      <c r="K3220" s="935"/>
      <c r="L3220" s="935"/>
      <c r="M3220" s="935"/>
      <c r="N3220" s="935"/>
      <c r="O3220" s="935"/>
    </row>
    <row r="3221" spans="1:15" ht="15" customHeight="1">
      <c r="A3221" s="908" t="s">
        <v>2103</v>
      </c>
      <c r="B3221" s="909" t="s">
        <v>2104</v>
      </c>
      <c r="D3221" s="915" t="e">
        <f>VLOOKUP(B3212,'LƯƠNG KT'!$D$16:$Z$184,13,0)</f>
        <v>#N/A</v>
      </c>
      <c r="E3221" s="916"/>
      <c r="F3221" s="916"/>
      <c r="G3221" s="908" t="s">
        <v>2103</v>
      </c>
      <c r="H3221" s="909" t="s">
        <v>2104</v>
      </c>
      <c r="J3221" s="915" t="e">
        <f>VLOOKUP(H3212,'LƯƠNG KT'!$D$16:$Z$184,13,0)</f>
        <v>#N/A</v>
      </c>
    </row>
    <row r="3222" spans="1:15" ht="15" customHeight="1">
      <c r="A3222" s="547"/>
      <c r="B3222" s="546"/>
      <c r="C3222" s="910"/>
      <c r="D3222" s="609"/>
      <c r="E3222" s="914"/>
      <c r="F3222" s="916"/>
      <c r="G3222" s="547"/>
      <c r="H3222" s="546"/>
      <c r="I3222" s="910"/>
      <c r="J3222" s="609"/>
    </row>
    <row r="3223" spans="1:15" ht="15" customHeight="1">
      <c r="A3223" s="905"/>
      <c r="B3223" s="546"/>
      <c r="C3223" s="910"/>
      <c r="D3223" s="609"/>
      <c r="E3223" s="917"/>
      <c r="F3223" s="904"/>
      <c r="G3223" s="905"/>
      <c r="H3223" s="546"/>
      <c r="I3223" s="910"/>
      <c r="J3223" s="609"/>
    </row>
    <row r="3224" spans="1:15" ht="15" customHeight="1">
      <c r="A3224" s="918" t="s">
        <v>383</v>
      </c>
      <c r="B3224" s="919" t="s">
        <v>384</v>
      </c>
      <c r="C3224" s="920"/>
      <c r="D3224" s="921" t="e">
        <f>SUM(D3213:D3220)-D3223</f>
        <v>#N/A</v>
      </c>
      <c r="E3224" s="922"/>
      <c r="F3224" s="923"/>
      <c r="G3224" s="918" t="s">
        <v>383</v>
      </c>
      <c r="H3224" s="919" t="s">
        <v>384</v>
      </c>
      <c r="I3224" s="920"/>
      <c r="J3224" s="921" t="e">
        <f>SUM(J3213:J3220)-J3223</f>
        <v>#N/A</v>
      </c>
    </row>
    <row r="3225" spans="1:15" ht="18.75" customHeight="1">
      <c r="A3225" s="924"/>
      <c r="B3225" s="925"/>
      <c r="C3225" s="926"/>
      <c r="D3225" s="927"/>
      <c r="E3225" s="927"/>
      <c r="F3225" s="928"/>
      <c r="G3225" s="924"/>
      <c r="H3225" s="925"/>
      <c r="I3225" s="926"/>
      <c r="J3225" s="927"/>
    </row>
    <row r="3226" spans="1:15" ht="18.75" customHeight="1">
      <c r="A3226" s="925"/>
      <c r="B3226" s="925"/>
      <c r="C3226" s="929"/>
      <c r="D3226" s="930"/>
      <c r="E3226" s="925"/>
      <c r="F3226" s="931"/>
      <c r="G3226" s="925"/>
      <c r="H3226" s="925"/>
      <c r="I3226" s="929"/>
      <c r="J3226" s="930"/>
    </row>
    <row r="3227" spans="1:15" ht="15" customHeight="1">
      <c r="A3227" s="2360" t="str">
        <f>$K$2</f>
        <v>THÁNG 04/2025</v>
      </c>
      <c r="B3227" s="2360"/>
      <c r="C3227" s="2360"/>
      <c r="D3227" s="2360"/>
      <c r="E3227" s="903"/>
      <c r="F3227" s="904"/>
      <c r="G3227" s="2360" t="str">
        <f>$K$2</f>
        <v>THÁNG 04/2025</v>
      </c>
      <c r="H3227" s="2360"/>
      <c r="I3227" s="2360"/>
      <c r="J3227" s="2360"/>
      <c r="K3227" s="276"/>
    </row>
    <row r="3228" spans="1:15" ht="15" customHeight="1">
      <c r="A3228" s="905" t="s">
        <v>356</v>
      </c>
      <c r="B3228" s="642" t="s">
        <v>276</v>
      </c>
      <c r="C3228" s="546"/>
      <c r="D3228" s="902"/>
      <c r="E3228" s="906"/>
      <c r="F3228" s="907"/>
      <c r="G3228" s="905" t="s">
        <v>356</v>
      </c>
      <c r="H3228" s="642" t="s">
        <v>512</v>
      </c>
      <c r="I3228" s="546"/>
      <c r="J3228" s="902"/>
      <c r="L3228" s="938"/>
      <c r="M3228" s="938"/>
      <c r="N3228" s="938"/>
      <c r="O3228" s="938"/>
    </row>
    <row r="3229" spans="1:15" ht="15" customHeight="1">
      <c r="A3229" s="908" t="s">
        <v>359</v>
      </c>
      <c r="B3229" s="909" t="s">
        <v>2090</v>
      </c>
      <c r="C3229" s="910" t="e">
        <f>VLOOKUP(B3228,'LƯƠNG KT'!$D$16:$Z$184,4,0)</f>
        <v>#N/A</v>
      </c>
      <c r="D3229" s="609" t="e">
        <f>+C3229*25000</f>
        <v>#N/A</v>
      </c>
      <c r="E3229" s="911"/>
      <c r="F3229" s="911"/>
      <c r="G3229" s="908" t="s">
        <v>359</v>
      </c>
      <c r="H3229" s="909" t="s">
        <v>2090</v>
      </c>
      <c r="I3229" s="910"/>
      <c r="J3229" s="609"/>
      <c r="K3229" s="935"/>
      <c r="L3229" s="935"/>
      <c r="M3229" s="935"/>
      <c r="N3229" s="935"/>
      <c r="O3229" s="935"/>
    </row>
    <row r="3230" spans="1:15" ht="15" customHeight="1">
      <c r="A3230" s="908" t="s">
        <v>361</v>
      </c>
      <c r="B3230" s="909" t="s">
        <v>2091</v>
      </c>
      <c r="C3230" s="910" t="e">
        <f>VLOOKUP(B3228,'LƯƠNG KT'!$D$16:$Z$184,15,0)</f>
        <v>#N/A</v>
      </c>
      <c r="D3230" s="609" t="e">
        <f>C3230*$L$4</f>
        <v>#N/A</v>
      </c>
      <c r="E3230" s="912"/>
      <c r="F3230" s="912"/>
      <c r="G3230" s="908" t="s">
        <v>361</v>
      </c>
      <c r="H3230" s="909" t="s">
        <v>2091</v>
      </c>
      <c r="I3230" s="910"/>
      <c r="J3230" s="609"/>
      <c r="K3230" s="935"/>
      <c r="L3230" s="935"/>
      <c r="M3230" s="935"/>
      <c r="N3230" s="935"/>
      <c r="O3230" s="935"/>
    </row>
    <row r="3231" spans="1:15" ht="15" customHeight="1">
      <c r="A3231" s="908" t="s">
        <v>364</v>
      </c>
      <c r="B3231" s="909" t="s">
        <v>2092</v>
      </c>
      <c r="C3231" s="910" t="e">
        <f>VLOOKUP(B3228,'LƯƠNG KT'!$D$16:$Z$184,16,0)</f>
        <v>#N/A</v>
      </c>
      <c r="D3231" s="609" t="e">
        <f>C3231*$L$5</f>
        <v>#N/A</v>
      </c>
      <c r="E3231" s="912"/>
      <c r="F3231" s="912"/>
      <c r="G3231" s="908" t="s">
        <v>364</v>
      </c>
      <c r="H3231" s="909" t="s">
        <v>2092</v>
      </c>
      <c r="I3231" s="910"/>
      <c r="J3231" s="609"/>
      <c r="K3231" s="935"/>
      <c r="L3231" s="935"/>
      <c r="M3231" s="935"/>
      <c r="N3231" s="935"/>
      <c r="O3231" s="935"/>
    </row>
    <row r="3232" spans="1:15" ht="15" customHeight="1">
      <c r="A3232" s="908" t="s">
        <v>370</v>
      </c>
      <c r="B3232" s="909" t="s">
        <v>2093</v>
      </c>
      <c r="C3232" s="910" t="e">
        <f>VLOOKUP(B3228,'LƯƠNG KT'!$D$16:$Z$184,24,0)</f>
        <v>#N/A</v>
      </c>
      <c r="D3232" s="609" t="e">
        <f>+C3232*$L$6</f>
        <v>#N/A</v>
      </c>
      <c r="E3232" s="912"/>
      <c r="F3232" s="912"/>
      <c r="G3232" s="908" t="s">
        <v>370</v>
      </c>
      <c r="H3232" s="909" t="s">
        <v>2093</v>
      </c>
      <c r="I3232" s="910"/>
      <c r="J3232" s="609"/>
      <c r="K3232" s="935"/>
      <c r="L3232" s="935"/>
      <c r="M3232" s="935"/>
      <c r="N3232" s="935"/>
      <c r="O3232" s="935"/>
    </row>
    <row r="3233" spans="1:15" ht="15" customHeight="1">
      <c r="A3233" s="908" t="s">
        <v>2094</v>
      </c>
      <c r="B3233" s="909" t="s">
        <v>2095</v>
      </c>
      <c r="C3233" s="910" t="e">
        <f>VLOOKUP(B3228,'LƯƠNG KT'!$D$16:$Z$184,19,0)</f>
        <v>#N/A</v>
      </c>
      <c r="D3233" s="609" t="e">
        <f>+C3233*$L$8</f>
        <v>#N/A</v>
      </c>
      <c r="E3233" s="912"/>
      <c r="F3233" s="912"/>
      <c r="G3233" s="908" t="s">
        <v>2094</v>
      </c>
      <c r="H3233" s="909" t="s">
        <v>2095</v>
      </c>
      <c r="I3233" s="910"/>
      <c r="J3233" s="609"/>
      <c r="K3233" s="935"/>
      <c r="L3233" s="935"/>
      <c r="M3233" s="935"/>
      <c r="N3233" s="935"/>
      <c r="O3233" s="935"/>
    </row>
    <row r="3234" spans="1:15" ht="15" customHeight="1">
      <c r="A3234" s="908" t="s">
        <v>2096</v>
      </c>
      <c r="B3234" s="913" t="s">
        <v>2097</v>
      </c>
      <c r="C3234" s="910" t="e">
        <f>VLOOKUP(B3228,'LƯƠNG KT'!$D$16:$Z$184,20,0)</f>
        <v>#N/A</v>
      </c>
      <c r="D3234" s="609" t="e">
        <f>+C3234*$L$9</f>
        <v>#N/A</v>
      </c>
      <c r="E3234" s="912"/>
      <c r="F3234" s="912"/>
      <c r="G3234" s="908" t="s">
        <v>2096</v>
      </c>
      <c r="H3234" s="913" t="s">
        <v>2097</v>
      </c>
      <c r="I3234" s="910"/>
      <c r="J3234" s="609"/>
      <c r="K3234" s="935"/>
      <c r="L3234" s="935"/>
      <c r="M3234" s="935"/>
      <c r="N3234" s="935"/>
      <c r="O3234" s="935"/>
    </row>
    <row r="3235" spans="1:15" ht="15" customHeight="1">
      <c r="A3235" s="908" t="s">
        <v>2099</v>
      </c>
      <c r="B3235" s="909" t="s">
        <v>2100</v>
      </c>
      <c r="C3235" s="910" t="e">
        <f>VLOOKUP(B3228,'LƯƠNG KT'!$D$16:$Z$184,17,0)</f>
        <v>#N/A</v>
      </c>
      <c r="D3235" s="609" t="e">
        <f>+C3235*$L$10</f>
        <v>#N/A</v>
      </c>
      <c r="E3235" s="912"/>
      <c r="F3235" s="912"/>
      <c r="G3235" s="908" t="s">
        <v>2099</v>
      </c>
      <c r="H3235" s="909" t="s">
        <v>2100</v>
      </c>
      <c r="I3235" s="910"/>
      <c r="J3235" s="609"/>
      <c r="K3235" s="935"/>
      <c r="L3235" s="935"/>
      <c r="M3235" s="935"/>
      <c r="N3235" s="935"/>
      <c r="O3235" s="935"/>
    </row>
    <row r="3236" spans="1:15" ht="15" customHeight="1">
      <c r="A3236" s="908" t="s">
        <v>374</v>
      </c>
      <c r="B3236" s="909" t="s">
        <v>2102</v>
      </c>
      <c r="C3236" s="910" t="e">
        <f>VLOOKUP(B3228,'LƯƠNG KT'!$D$16:$Z$184,12,0)</f>
        <v>#N/A</v>
      </c>
      <c r="D3236" s="609" t="e">
        <f>VLOOKUP(B3228,'LƯƠNG KT'!$D$16:$Z$184,14,0)</f>
        <v>#N/A</v>
      </c>
      <c r="E3236" s="914"/>
      <c r="F3236" s="912"/>
      <c r="G3236" s="908" t="s">
        <v>374</v>
      </c>
      <c r="H3236" s="909" t="s">
        <v>2102</v>
      </c>
      <c r="I3236" s="910"/>
      <c r="J3236" s="609"/>
      <c r="K3236" s="935"/>
      <c r="L3236" s="935"/>
      <c r="M3236" s="935"/>
      <c r="N3236" s="935"/>
      <c r="O3236" s="935"/>
    </row>
    <row r="3237" spans="1:15" ht="15" customHeight="1">
      <c r="A3237" s="908" t="s">
        <v>2103</v>
      </c>
      <c r="B3237" s="909" t="s">
        <v>2104</v>
      </c>
      <c r="D3237" s="915" t="e">
        <f>VLOOKUP(B3228,'LƯƠNG KT'!$D$16:$Z$184,13,0)</f>
        <v>#N/A</v>
      </c>
      <c r="E3237" s="916"/>
      <c r="F3237" s="916"/>
      <c r="G3237" s="908" t="s">
        <v>2103</v>
      </c>
      <c r="H3237" s="909" t="s">
        <v>2104</v>
      </c>
      <c r="J3237" s="915"/>
    </row>
    <row r="3238" spans="1:15" ht="15" customHeight="1">
      <c r="A3238" s="547"/>
      <c r="B3238" s="546"/>
      <c r="C3238" s="910"/>
      <c r="D3238" s="609"/>
      <c r="E3238" s="914"/>
      <c r="F3238" s="916"/>
      <c r="G3238" s="547"/>
      <c r="H3238" s="546"/>
      <c r="I3238" s="910"/>
      <c r="J3238" s="609"/>
    </row>
    <row r="3239" spans="1:15" ht="15" customHeight="1">
      <c r="A3239" s="905"/>
      <c r="B3239" s="546"/>
      <c r="C3239" s="910"/>
      <c r="D3239" s="609"/>
      <c r="E3239" s="917"/>
      <c r="F3239" s="904"/>
      <c r="G3239" s="905"/>
      <c r="H3239" s="546"/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SUM(D3229:D3236)-D3239</f>
        <v>#N/A</v>
      </c>
      <c r="E3240" s="922"/>
      <c r="F3240" s="923"/>
      <c r="G3240" s="918" t="s">
        <v>383</v>
      </c>
      <c r="H3240" s="919" t="s">
        <v>384</v>
      </c>
      <c r="I3240" s="920"/>
      <c r="J3240" s="921">
        <f>SUM(J3229:J3236)-J3239</f>
        <v>0</v>
      </c>
    </row>
    <row r="3241" spans="1:15" ht="23.25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3" spans="1:15" ht="12" customHeight="1">
      <c r="A3243" s="2361"/>
      <c r="B3243" s="2361"/>
      <c r="C3243" s="2361"/>
      <c r="D3243" s="2361"/>
      <c r="E3243" s="2361"/>
      <c r="F3243" s="2361"/>
      <c r="G3243" s="2361"/>
      <c r="H3243" s="2361"/>
      <c r="I3243" s="2361"/>
      <c r="J3243" s="2361"/>
    </row>
    <row r="3244" spans="1:15" ht="15" customHeight="1">
      <c r="A3244" s="2360" t="str">
        <f>$K$2</f>
        <v>THÁNG 04/2025</v>
      </c>
      <c r="B3244" s="2360"/>
      <c r="C3244" s="2360"/>
      <c r="D3244" s="2360"/>
      <c r="E3244" s="903"/>
      <c r="F3244" s="904"/>
      <c r="G3244" s="2360" t="str">
        <f>$K$2</f>
        <v>THÁNG 04/2025</v>
      </c>
      <c r="H3244" s="2360"/>
      <c r="I3244" s="2360"/>
      <c r="J3244" s="2360"/>
      <c r="K3244" s="276"/>
    </row>
    <row r="3245" spans="1:15" ht="15" customHeight="1">
      <c r="A3245" s="905" t="s">
        <v>356</v>
      </c>
      <c r="B3245" s="642" t="s">
        <v>278</v>
      </c>
      <c r="C3245" s="546"/>
      <c r="D3245" s="902"/>
      <c r="E3245" s="906"/>
      <c r="F3245" s="907"/>
      <c r="G3245" s="905" t="s">
        <v>356</v>
      </c>
      <c r="H3245" s="642" t="s">
        <v>281</v>
      </c>
      <c r="I3245" s="546"/>
      <c r="J3245" s="902"/>
      <c r="L3245" s="938"/>
      <c r="M3245" s="938"/>
      <c r="N3245" s="938"/>
      <c r="O3245" s="938"/>
    </row>
    <row r="3246" spans="1:15" ht="15" customHeight="1">
      <c r="A3246" s="908" t="s">
        <v>359</v>
      </c>
      <c r="B3246" s="909" t="s">
        <v>2090</v>
      </c>
      <c r="C3246" s="910" t="e">
        <f>VLOOKUP(B3245,'LƯƠNG KT'!$D$16:$Z$184,4,0)</f>
        <v>#N/A</v>
      </c>
      <c r="D3246" s="609" t="e">
        <f>+C3246*25000</f>
        <v>#N/A</v>
      </c>
      <c r="E3246" s="911"/>
      <c r="F3246" s="911"/>
      <c r="G3246" s="908" t="s">
        <v>359</v>
      </c>
      <c r="H3246" s="909" t="s">
        <v>2090</v>
      </c>
      <c r="I3246" s="910" t="e">
        <f>VLOOKUP(H3245,'LƯƠNG KT'!$D$16:$Z$184,4,0)</f>
        <v>#N/A</v>
      </c>
      <c r="J3246" s="609" t="e">
        <f>+I3246*25000</f>
        <v>#N/A</v>
      </c>
      <c r="K3246" s="934"/>
      <c r="L3246" s="935"/>
      <c r="M3246" s="935"/>
      <c r="N3246" s="935"/>
      <c r="O3246" s="935"/>
    </row>
    <row r="3247" spans="1:15" ht="15" customHeight="1">
      <c r="A3247" s="908" t="s">
        <v>361</v>
      </c>
      <c r="B3247" s="909" t="s">
        <v>2091</v>
      </c>
      <c r="C3247" s="910" t="e">
        <f>VLOOKUP(B3245,'LƯƠNG KT'!$D$16:$Z$184,15,0)</f>
        <v>#N/A</v>
      </c>
      <c r="D3247" s="609" t="e">
        <f>C3247*$L$4</f>
        <v>#N/A</v>
      </c>
      <c r="E3247" s="912"/>
      <c r="F3247" s="912"/>
      <c r="G3247" s="908" t="s">
        <v>361</v>
      </c>
      <c r="H3247" s="909" t="s">
        <v>2091</v>
      </c>
      <c r="I3247" s="910" t="e">
        <f>VLOOKUP(H3245,'LƯƠNG KT'!$D$16:$Z$184,15,0)</f>
        <v>#N/A</v>
      </c>
      <c r="J3247" s="609" t="e">
        <f>I3247*$L$4</f>
        <v>#N/A</v>
      </c>
      <c r="K3247" s="934"/>
      <c r="L3247" s="935"/>
      <c r="M3247" s="935"/>
      <c r="N3247" s="935"/>
      <c r="O3247" s="935"/>
    </row>
    <row r="3248" spans="1:15" ht="15" customHeight="1">
      <c r="A3248" s="908" t="s">
        <v>364</v>
      </c>
      <c r="B3248" s="909" t="s">
        <v>2092</v>
      </c>
      <c r="C3248" s="910" t="e">
        <f>VLOOKUP(B3245,'LƯƠNG KT'!$D$16:$Z$184,16,0)</f>
        <v>#N/A</v>
      </c>
      <c r="D3248" s="609" t="e">
        <f>C3248*$L$5</f>
        <v>#N/A</v>
      </c>
      <c r="E3248" s="912"/>
      <c r="F3248" s="912"/>
      <c r="G3248" s="908" t="s">
        <v>364</v>
      </c>
      <c r="H3248" s="909" t="s">
        <v>2092</v>
      </c>
      <c r="I3248" s="910" t="e">
        <f>VLOOKUP(H3245,'LƯƠNG KT'!$D$16:$Z$184,16,0)</f>
        <v>#N/A</v>
      </c>
      <c r="J3248" s="609" t="e">
        <f>I3248*$L$5</f>
        <v>#N/A</v>
      </c>
      <c r="K3248" s="934"/>
      <c r="L3248" s="935"/>
      <c r="M3248" s="935"/>
      <c r="N3248" s="935"/>
      <c r="O3248" s="935"/>
    </row>
    <row r="3249" spans="1:15" ht="15" customHeight="1">
      <c r="A3249" s="908" t="s">
        <v>370</v>
      </c>
      <c r="B3249" s="909" t="s">
        <v>2093</v>
      </c>
      <c r="C3249" s="910" t="e">
        <f>VLOOKUP(B3245,'LƯƠNG KT'!$D$16:$Z$184,24,0)</f>
        <v>#N/A</v>
      </c>
      <c r="D3249" s="609" t="e">
        <f>+C3249*$L$6</f>
        <v>#N/A</v>
      </c>
      <c r="E3249" s="912"/>
      <c r="F3249" s="912"/>
      <c r="G3249" s="908" t="s">
        <v>370</v>
      </c>
      <c r="H3249" s="909" t="s">
        <v>2093</v>
      </c>
      <c r="I3249" s="910" t="e">
        <f>VLOOKUP(H3245,'LƯƠNG KT'!$D$16:$Z$184,24,0)</f>
        <v>#N/A</v>
      </c>
      <c r="J3249" s="609" t="e">
        <f>+I3249*$L$6</f>
        <v>#N/A</v>
      </c>
      <c r="K3249" s="935"/>
      <c r="L3249" s="935"/>
      <c r="M3249" s="935"/>
      <c r="N3249" s="935"/>
      <c r="O3249" s="935"/>
    </row>
    <row r="3250" spans="1:15" ht="15" customHeight="1">
      <c r="A3250" s="908" t="s">
        <v>2094</v>
      </c>
      <c r="B3250" s="909" t="s">
        <v>2095</v>
      </c>
      <c r="C3250" s="910" t="e">
        <f>VLOOKUP(B3245,'LƯƠNG KT'!$D$16:$Z$184,19,0)</f>
        <v>#N/A</v>
      </c>
      <c r="D3250" s="609" t="e">
        <f>+C3250*$L$8</f>
        <v>#N/A</v>
      </c>
      <c r="E3250" s="912"/>
      <c r="F3250" s="912"/>
      <c r="G3250" s="908" t="s">
        <v>2094</v>
      </c>
      <c r="H3250" s="909" t="s">
        <v>2095</v>
      </c>
      <c r="I3250" s="910" t="e">
        <f>VLOOKUP(H3245,'LƯƠNG KT'!$D$16:$Z$184,19,0)</f>
        <v>#N/A</v>
      </c>
      <c r="J3250" s="609" t="e">
        <f>+I3250*$L$8</f>
        <v>#N/A</v>
      </c>
      <c r="K3250" s="935"/>
      <c r="L3250" s="935"/>
      <c r="M3250" s="935"/>
      <c r="N3250" s="935"/>
      <c r="O3250" s="935"/>
    </row>
    <row r="3251" spans="1:15" ht="15" customHeight="1">
      <c r="A3251" s="908" t="s">
        <v>2096</v>
      </c>
      <c r="B3251" s="913" t="s">
        <v>2097</v>
      </c>
      <c r="C3251" s="910" t="e">
        <f>VLOOKUP(B3245,'LƯƠNG KT'!$D$16:$Z$184,20,0)</f>
        <v>#N/A</v>
      </c>
      <c r="D3251" s="609" t="e">
        <f>+C3251*$L$9</f>
        <v>#N/A</v>
      </c>
      <c r="E3251" s="912"/>
      <c r="F3251" s="912"/>
      <c r="G3251" s="908" t="s">
        <v>2096</v>
      </c>
      <c r="H3251" s="913" t="s">
        <v>2097</v>
      </c>
      <c r="I3251" s="910" t="e">
        <f>VLOOKUP(H3245,'LƯƠNG KT'!$D$16:$Z$184,20,0)</f>
        <v>#N/A</v>
      </c>
      <c r="J3251" s="609" t="e">
        <f>+I3251*$L$9</f>
        <v>#N/A</v>
      </c>
      <c r="K3251" s="935"/>
      <c r="L3251" s="935"/>
      <c r="M3251" s="935"/>
      <c r="N3251" s="935"/>
      <c r="O3251" s="935"/>
    </row>
    <row r="3252" spans="1:15" ht="15" customHeight="1">
      <c r="A3252" s="908" t="s">
        <v>2099</v>
      </c>
      <c r="B3252" s="909" t="s">
        <v>2100</v>
      </c>
      <c r="C3252" s="910" t="e">
        <f>VLOOKUP(B3245,'LƯƠNG KT'!$D$16:$Z$184,17,0)</f>
        <v>#N/A</v>
      </c>
      <c r="D3252" s="609" t="e">
        <f>+C3252*$L$10</f>
        <v>#N/A</v>
      </c>
      <c r="E3252" s="912"/>
      <c r="F3252" s="912"/>
      <c r="G3252" s="908" t="s">
        <v>2099</v>
      </c>
      <c r="H3252" s="909" t="s">
        <v>2100</v>
      </c>
      <c r="I3252" s="910" t="e">
        <f>VLOOKUP(H3245,'LƯƠNG KT'!$D$16:$Z$184,17,0)</f>
        <v>#N/A</v>
      </c>
      <c r="J3252" s="609" t="e">
        <f>+I3252*$L$10</f>
        <v>#N/A</v>
      </c>
      <c r="K3252" s="935"/>
      <c r="L3252" s="935"/>
      <c r="M3252" s="935"/>
      <c r="N3252" s="935"/>
      <c r="O3252" s="935"/>
    </row>
    <row r="3253" spans="1:15" ht="15" customHeight="1">
      <c r="A3253" s="908" t="s">
        <v>374</v>
      </c>
      <c r="B3253" s="909" t="s">
        <v>2102</v>
      </c>
      <c r="C3253" s="910" t="e">
        <f>VLOOKUP(B3245,'LƯƠNG KT'!$D$16:$Z$184,12,0)</f>
        <v>#N/A</v>
      </c>
      <c r="D3253" s="609" t="e">
        <f>VLOOKUP(B3245,'LƯƠNG KT'!$D$16:$Z$184,14,0)</f>
        <v>#N/A</v>
      </c>
      <c r="E3253" s="914"/>
      <c r="F3253" s="912"/>
      <c r="G3253" s="908" t="s">
        <v>374</v>
      </c>
      <c r="H3253" s="909" t="s">
        <v>2102</v>
      </c>
      <c r="I3253" s="910" t="e">
        <f>VLOOKUP(H3245,'LƯƠNG KT'!$D$16:$Z$184,12,0)</f>
        <v>#N/A</v>
      </c>
      <c r="J3253" s="609" t="e">
        <f>VLOOKUP(H3245,'LƯƠNG KT'!$D$16:$Z$184,14,0)</f>
        <v>#N/A</v>
      </c>
      <c r="K3253" s="935"/>
      <c r="L3253" s="935"/>
      <c r="M3253" s="935"/>
      <c r="N3253" s="935"/>
      <c r="O3253" s="935"/>
    </row>
    <row r="3254" spans="1:15" ht="15" customHeight="1">
      <c r="A3254" s="908" t="s">
        <v>2103</v>
      </c>
      <c r="B3254" s="909" t="s">
        <v>2104</v>
      </c>
      <c r="D3254" s="915" t="e">
        <f>VLOOKUP(B3245,'LƯƠNG KT'!$D$16:$Z$184,13,0)</f>
        <v>#N/A</v>
      </c>
      <c r="E3254" s="916"/>
      <c r="F3254" s="916"/>
      <c r="G3254" s="908" t="s">
        <v>2103</v>
      </c>
      <c r="H3254" s="909" t="s">
        <v>2104</v>
      </c>
      <c r="J3254" s="915" t="e">
        <f>VLOOKUP(H3245,'LƯƠNG KT'!$D$16:$Z$184,13,0)</f>
        <v>#N/A</v>
      </c>
    </row>
    <row r="3255" spans="1:15" ht="15" customHeight="1">
      <c r="A3255" s="547"/>
      <c r="B3255" s="546"/>
      <c r="C3255" s="910"/>
      <c r="D3255" s="609"/>
      <c r="E3255" s="914"/>
      <c r="F3255" s="916"/>
      <c r="G3255" s="547"/>
      <c r="H3255" s="546"/>
      <c r="I3255" s="910"/>
      <c r="J3255" s="609"/>
    </row>
    <row r="3256" spans="1:15" ht="15" customHeight="1">
      <c r="A3256" s="905"/>
      <c r="B3256" s="546"/>
      <c r="C3256" s="910"/>
      <c r="D3256" s="609"/>
      <c r="E3256" s="917"/>
      <c r="F3256" s="904"/>
      <c r="G3256" s="905"/>
      <c r="H3256" s="546"/>
      <c r="I3256" s="910"/>
      <c r="J3256" s="609"/>
    </row>
    <row r="3257" spans="1:15" ht="15" customHeight="1">
      <c r="A3257" s="918" t="s">
        <v>383</v>
      </c>
      <c r="B3257" s="919" t="s">
        <v>384</v>
      </c>
      <c r="C3257" s="920"/>
      <c r="D3257" s="921" t="e">
        <f>SUM(D3246:D3253)-D3256</f>
        <v>#N/A</v>
      </c>
      <c r="E3257" s="922"/>
      <c r="F3257" s="923"/>
      <c r="G3257" s="918" t="s">
        <v>383</v>
      </c>
      <c r="H3257" s="919" t="s">
        <v>384</v>
      </c>
      <c r="I3257" s="920"/>
      <c r="J3257" s="921" t="e">
        <f>SUM(J3246:J3253)-J3256</f>
        <v>#N/A</v>
      </c>
    </row>
    <row r="3258" spans="1:15" ht="12.6" customHeight="1">
      <c r="A3258" s="924"/>
      <c r="B3258" s="925"/>
      <c r="C3258" s="926"/>
      <c r="D3258" s="927"/>
      <c r="E3258" s="927"/>
      <c r="F3258" s="928"/>
      <c r="G3258" s="924"/>
      <c r="H3258" s="925"/>
      <c r="I3258" s="926"/>
      <c r="J3258" s="927"/>
    </row>
    <row r="3259" spans="1:15" ht="136.5" customHeight="1">
      <c r="A3259" s="925"/>
      <c r="B3259" s="925"/>
      <c r="C3259" s="929"/>
      <c r="D3259" s="930"/>
      <c r="E3259" s="925"/>
      <c r="F3259" s="931"/>
      <c r="G3259" s="925"/>
      <c r="H3259" s="925"/>
      <c r="I3259" s="929"/>
      <c r="J3259" s="930"/>
    </row>
    <row r="3260" spans="1:15" ht="15" customHeight="1">
      <c r="A3260" s="2360" t="str">
        <f>$K$2</f>
        <v>THÁNG 04/2025</v>
      </c>
      <c r="B3260" s="2360"/>
      <c r="C3260" s="2360"/>
      <c r="D3260" s="2360"/>
      <c r="E3260" s="903"/>
      <c r="F3260" s="904"/>
      <c r="G3260" s="2360" t="str">
        <f>$K$2</f>
        <v>THÁNG 04/2025</v>
      </c>
      <c r="H3260" s="2360"/>
      <c r="I3260" s="2360"/>
      <c r="J3260" s="2360"/>
      <c r="K3260" s="276"/>
    </row>
    <row r="3261" spans="1:15" ht="15" customHeight="1">
      <c r="A3261" s="905" t="s">
        <v>356</v>
      </c>
      <c r="B3261" s="642" t="s">
        <v>283</v>
      </c>
      <c r="C3261" s="546"/>
      <c r="D3261" s="902"/>
      <c r="E3261" s="906"/>
      <c r="F3261" s="907"/>
      <c r="G3261" s="905" t="s">
        <v>356</v>
      </c>
      <c r="H3261" s="642" t="s">
        <v>280</v>
      </c>
      <c r="I3261" s="546"/>
      <c r="J3261" s="902"/>
      <c r="L3261" s="938"/>
      <c r="M3261" s="938"/>
      <c r="N3261" s="938"/>
      <c r="O3261" s="938"/>
    </row>
    <row r="3262" spans="1:15" ht="15" customHeight="1">
      <c r="A3262" s="908" t="s">
        <v>359</v>
      </c>
      <c r="B3262" s="909" t="s">
        <v>2090</v>
      </c>
      <c r="C3262" s="910" t="e">
        <f>VLOOKUP(B3261,'LƯƠNG KT'!$D$16:$Z$184,4,0)</f>
        <v>#N/A</v>
      </c>
      <c r="D3262" s="609" t="e">
        <f>+C3262*25000</f>
        <v>#N/A</v>
      </c>
      <c r="E3262" s="911"/>
      <c r="F3262" s="911"/>
      <c r="G3262" s="908" t="s">
        <v>359</v>
      </c>
      <c r="H3262" s="909" t="s">
        <v>2090</v>
      </c>
      <c r="I3262" s="910" t="e">
        <f>VLOOKUP(H3261,'LƯƠNG KT'!$D$16:$Z$184,4,0)</f>
        <v>#N/A</v>
      </c>
      <c r="J3262" s="609" t="e">
        <f>+I3262*25000</f>
        <v>#N/A</v>
      </c>
      <c r="K3262" s="935"/>
      <c r="L3262" s="935"/>
      <c r="M3262" s="935"/>
      <c r="N3262" s="935"/>
      <c r="O3262" s="935"/>
    </row>
    <row r="3263" spans="1:15" ht="15" customHeight="1">
      <c r="A3263" s="908" t="s">
        <v>361</v>
      </c>
      <c r="B3263" s="909" t="s">
        <v>2091</v>
      </c>
      <c r="C3263" s="910" t="e">
        <f>VLOOKUP(B3261,'LƯƠNG KT'!$D$16:$Z$184,15,0)</f>
        <v>#N/A</v>
      </c>
      <c r="D3263" s="609" t="e">
        <f>C3263*$L$4</f>
        <v>#N/A</v>
      </c>
      <c r="E3263" s="912"/>
      <c r="F3263" s="912"/>
      <c r="G3263" s="908" t="s">
        <v>361</v>
      </c>
      <c r="H3263" s="909" t="s">
        <v>2091</v>
      </c>
      <c r="I3263" s="910" t="e">
        <f>VLOOKUP(H3261,'LƯƠNG KT'!$D$16:$Z$184,15,0)</f>
        <v>#N/A</v>
      </c>
      <c r="J3263" s="609" t="e">
        <f>I3263*$L$4</f>
        <v>#N/A</v>
      </c>
      <c r="K3263" s="935"/>
      <c r="L3263" s="935"/>
      <c r="M3263" s="935"/>
      <c r="N3263" s="935"/>
      <c r="O3263" s="935"/>
    </row>
    <row r="3264" spans="1:15" ht="15" customHeight="1">
      <c r="A3264" s="908" t="s">
        <v>364</v>
      </c>
      <c r="B3264" s="909" t="s">
        <v>2092</v>
      </c>
      <c r="C3264" s="910" t="e">
        <f>VLOOKUP(B3261,'LƯƠNG KT'!$D$16:$Z$184,16,0)</f>
        <v>#N/A</v>
      </c>
      <c r="D3264" s="609" t="e">
        <f>C3264*$L$5</f>
        <v>#N/A</v>
      </c>
      <c r="E3264" s="912"/>
      <c r="F3264" s="912"/>
      <c r="G3264" s="908" t="s">
        <v>364</v>
      </c>
      <c r="H3264" s="909" t="s">
        <v>2092</v>
      </c>
      <c r="I3264" s="910" t="e">
        <f>VLOOKUP(H3261,'LƯƠNG KT'!$D$16:$Z$184,16,0)</f>
        <v>#N/A</v>
      </c>
      <c r="J3264" s="609" t="e">
        <f>I3264*$L$5</f>
        <v>#N/A</v>
      </c>
      <c r="K3264" s="935"/>
      <c r="L3264" s="935"/>
      <c r="M3264" s="935"/>
      <c r="N3264" s="935"/>
      <c r="O3264" s="935"/>
    </row>
    <row r="3265" spans="1:15" ht="15" customHeight="1">
      <c r="A3265" s="908" t="s">
        <v>370</v>
      </c>
      <c r="B3265" s="909" t="s">
        <v>2093</v>
      </c>
      <c r="C3265" s="910" t="e">
        <f>VLOOKUP(B3261,'LƯƠNG KT'!$D$16:$Z$184,24,0)</f>
        <v>#N/A</v>
      </c>
      <c r="D3265" s="609" t="e">
        <f>+C3265*$L$6</f>
        <v>#N/A</v>
      </c>
      <c r="E3265" s="912"/>
      <c r="F3265" s="912"/>
      <c r="G3265" s="908" t="s">
        <v>370</v>
      </c>
      <c r="H3265" s="909" t="s">
        <v>2093</v>
      </c>
      <c r="I3265" s="910" t="e">
        <f>VLOOKUP(H3261,'LƯƠNG KT'!$D$16:$Z$184,24,0)</f>
        <v>#N/A</v>
      </c>
      <c r="J3265" s="609" t="e">
        <f>+I3265*$L$6</f>
        <v>#N/A</v>
      </c>
      <c r="K3265" s="935"/>
      <c r="L3265" s="935"/>
      <c r="M3265" s="935"/>
      <c r="N3265" s="935"/>
      <c r="O3265" s="935"/>
    </row>
    <row r="3266" spans="1:15" ht="15" customHeight="1">
      <c r="A3266" s="908" t="s">
        <v>2094</v>
      </c>
      <c r="B3266" s="909" t="s">
        <v>2095</v>
      </c>
      <c r="C3266" s="910" t="e">
        <f>VLOOKUP(B3261,'LƯƠNG KT'!$D$16:$Z$184,19,0)</f>
        <v>#N/A</v>
      </c>
      <c r="D3266" s="609" t="e">
        <f>+C3266*$L$8</f>
        <v>#N/A</v>
      </c>
      <c r="E3266" s="912"/>
      <c r="F3266" s="912"/>
      <c r="G3266" s="908" t="s">
        <v>2094</v>
      </c>
      <c r="H3266" s="909" t="s">
        <v>2095</v>
      </c>
      <c r="I3266" s="910" t="e">
        <f>VLOOKUP(H3261,'LƯƠNG KT'!$D$16:$Z$184,19,0)</f>
        <v>#N/A</v>
      </c>
      <c r="J3266" s="609" t="e">
        <f>+I3266*$L$8</f>
        <v>#N/A</v>
      </c>
      <c r="K3266" s="935"/>
      <c r="L3266" s="935"/>
      <c r="M3266" s="935"/>
      <c r="N3266" s="935"/>
      <c r="O3266" s="935"/>
    </row>
    <row r="3267" spans="1:15" ht="15" customHeight="1">
      <c r="A3267" s="908" t="s">
        <v>2096</v>
      </c>
      <c r="B3267" s="913" t="s">
        <v>2097</v>
      </c>
      <c r="C3267" s="910" t="e">
        <f>VLOOKUP(B3261,'LƯƠNG KT'!$D$16:$Z$184,20,0)</f>
        <v>#N/A</v>
      </c>
      <c r="D3267" s="609" t="e">
        <f>+C3267*$L$9</f>
        <v>#N/A</v>
      </c>
      <c r="E3267" s="912"/>
      <c r="F3267" s="912"/>
      <c r="G3267" s="908" t="s">
        <v>2096</v>
      </c>
      <c r="H3267" s="913" t="s">
        <v>2097</v>
      </c>
      <c r="I3267" s="910" t="e">
        <f>VLOOKUP(H3261,'LƯƠNG KT'!$D$16:$Z$184,20,0)</f>
        <v>#N/A</v>
      </c>
      <c r="J3267" s="609" t="e">
        <f>+I3267*$L$9</f>
        <v>#N/A</v>
      </c>
      <c r="K3267" s="935"/>
      <c r="L3267" s="935"/>
      <c r="M3267" s="935"/>
      <c r="N3267" s="935"/>
      <c r="O3267" s="935"/>
    </row>
    <row r="3268" spans="1:15" ht="15" customHeight="1">
      <c r="A3268" s="908" t="s">
        <v>2099</v>
      </c>
      <c r="B3268" s="909" t="s">
        <v>2100</v>
      </c>
      <c r="C3268" s="910" t="e">
        <f>VLOOKUP(B3261,'LƯƠNG KT'!$D$16:$Z$184,17,0)</f>
        <v>#N/A</v>
      </c>
      <c r="D3268" s="609" t="e">
        <f>+C3268*$L$10</f>
        <v>#N/A</v>
      </c>
      <c r="E3268" s="912"/>
      <c r="F3268" s="912"/>
      <c r="G3268" s="908" t="s">
        <v>2099</v>
      </c>
      <c r="H3268" s="909" t="s">
        <v>2100</v>
      </c>
      <c r="I3268" s="910" t="e">
        <f>VLOOKUP(H3261,'LƯƠNG KT'!$D$16:$Z$184,17,0)</f>
        <v>#N/A</v>
      </c>
      <c r="J3268" s="609" t="e">
        <f>+I3268*$L$10</f>
        <v>#N/A</v>
      </c>
      <c r="K3268" s="935"/>
      <c r="L3268" s="935"/>
      <c r="M3268" s="935"/>
      <c r="N3268" s="935"/>
      <c r="O3268" s="935"/>
    </row>
    <row r="3269" spans="1:15" ht="15" customHeight="1">
      <c r="A3269" s="908" t="s">
        <v>374</v>
      </c>
      <c r="B3269" s="909" t="s">
        <v>2102</v>
      </c>
      <c r="C3269" s="910" t="e">
        <f>VLOOKUP(B3261,'LƯƠNG KT'!$D$16:$Z$184,12,0)</f>
        <v>#N/A</v>
      </c>
      <c r="D3269" s="609" t="e">
        <f>VLOOKUP(B3261,'LƯƠNG KT'!$D$16:$Z$184,14,0)</f>
        <v>#N/A</v>
      </c>
      <c r="E3269" s="914"/>
      <c r="F3269" s="912"/>
      <c r="G3269" s="908" t="s">
        <v>374</v>
      </c>
      <c r="H3269" s="909" t="s">
        <v>2102</v>
      </c>
      <c r="I3269" s="910" t="e">
        <f>VLOOKUP(H3261,'LƯƠNG KT'!$D$16:$Z$184,12,0)</f>
        <v>#N/A</v>
      </c>
      <c r="J3269" s="609" t="e">
        <f>VLOOKUP(H3261,'LƯƠNG KT'!$D$16:$Z$184,14,0)</f>
        <v>#N/A</v>
      </c>
      <c r="K3269" s="935"/>
      <c r="L3269" s="935"/>
      <c r="M3269" s="935"/>
      <c r="N3269" s="935"/>
      <c r="O3269" s="935"/>
    </row>
    <row r="3270" spans="1:15" ht="15" customHeight="1">
      <c r="A3270" s="908" t="s">
        <v>2103</v>
      </c>
      <c r="B3270" s="909" t="s">
        <v>2104</v>
      </c>
      <c r="D3270" s="915" t="e">
        <f>VLOOKUP(B3261,'LƯƠNG KT'!$D$16:$Z$184,13,0)</f>
        <v>#N/A</v>
      </c>
      <c r="E3270" s="916"/>
      <c r="F3270" s="916"/>
      <c r="G3270" s="908" t="s">
        <v>2103</v>
      </c>
      <c r="H3270" s="909" t="s">
        <v>2104</v>
      </c>
      <c r="J3270" s="915" t="e">
        <f>VLOOKUP(H3261,'LƯƠNG KT'!$D$16:$Z$184,13,0)</f>
        <v>#N/A</v>
      </c>
    </row>
    <row r="3271" spans="1:15" ht="15" customHeight="1">
      <c r="A3271" s="547"/>
      <c r="B3271" s="546"/>
      <c r="C3271" s="910"/>
      <c r="D3271" s="609"/>
      <c r="E3271" s="914"/>
      <c r="F3271" s="916"/>
      <c r="G3271" s="547"/>
      <c r="H3271" s="546"/>
      <c r="I3271" s="910"/>
      <c r="J3271" s="609"/>
    </row>
    <row r="3272" spans="1:15" ht="15" customHeight="1">
      <c r="A3272" s="905"/>
      <c r="B3272" s="546"/>
      <c r="C3272" s="910"/>
      <c r="D3272" s="609"/>
      <c r="E3272" s="917"/>
      <c r="F3272" s="904"/>
      <c r="G3272" s="905"/>
      <c r="H3272" s="546"/>
      <c r="I3272" s="910"/>
      <c r="J3272" s="609"/>
    </row>
    <row r="3273" spans="1:15" ht="15" customHeight="1">
      <c r="A3273" s="918" t="s">
        <v>383</v>
      </c>
      <c r="B3273" s="919" t="s">
        <v>384</v>
      </c>
      <c r="C3273" s="920"/>
      <c r="D3273" s="921" t="e">
        <f>SUM(D3262:D3269)-D3272</f>
        <v>#N/A</v>
      </c>
      <c r="E3273" s="922"/>
      <c r="F3273" s="923"/>
      <c r="G3273" s="918" t="s">
        <v>383</v>
      </c>
      <c r="H3273" s="919" t="s">
        <v>384</v>
      </c>
      <c r="I3273" s="920"/>
      <c r="J3273" s="921" t="e">
        <f>SUM(J3262:J3269)-J3272</f>
        <v>#N/A</v>
      </c>
    </row>
    <row r="3274" spans="1:15" ht="18.75" customHeight="1">
      <c r="A3274" s="924"/>
      <c r="B3274" s="925"/>
      <c r="C3274" s="926"/>
      <c r="D3274" s="927"/>
      <c r="E3274" s="927"/>
      <c r="F3274" s="928"/>
      <c r="G3274" s="924"/>
      <c r="H3274" s="925"/>
      <c r="I3274" s="926"/>
      <c r="J3274" s="927"/>
    </row>
    <row r="3275" spans="1:15" ht="18.75" customHeight="1">
      <c r="A3275" s="925"/>
      <c r="B3275" s="925"/>
      <c r="C3275" s="929"/>
      <c r="D3275" s="930"/>
      <c r="E3275" s="925"/>
      <c r="F3275" s="931"/>
      <c r="G3275" s="925"/>
      <c r="H3275" s="925"/>
      <c r="I3275" s="929"/>
      <c r="J3275" s="930"/>
    </row>
    <row r="3276" spans="1:15" ht="15" customHeight="1">
      <c r="A3276" s="2360" t="str">
        <f>$K$2</f>
        <v>THÁNG 04/2025</v>
      </c>
      <c r="B3276" s="2360"/>
      <c r="C3276" s="2360"/>
      <c r="D3276" s="2360"/>
      <c r="E3276" s="903"/>
      <c r="F3276" s="904"/>
      <c r="G3276" s="2360" t="str">
        <f>$K$2</f>
        <v>THÁNG 04/2025</v>
      </c>
      <c r="H3276" s="2360"/>
      <c r="I3276" s="2360"/>
      <c r="J3276" s="2360"/>
      <c r="K3276" s="276"/>
    </row>
    <row r="3277" spans="1:15" ht="15" customHeight="1">
      <c r="A3277" s="905" t="s">
        <v>356</v>
      </c>
      <c r="B3277" s="642" t="s">
        <v>282</v>
      </c>
      <c r="C3277" s="546"/>
      <c r="D3277" s="902"/>
      <c r="E3277" s="906"/>
      <c r="F3277" s="907"/>
      <c r="G3277" s="905" t="s">
        <v>356</v>
      </c>
      <c r="H3277" s="642" t="s">
        <v>284</v>
      </c>
      <c r="I3277" s="546"/>
      <c r="J3277" s="902"/>
      <c r="L3277" s="938"/>
      <c r="M3277" s="938"/>
      <c r="N3277" s="938"/>
      <c r="O3277" s="938"/>
    </row>
    <row r="3278" spans="1:15" ht="15" customHeight="1">
      <c r="A3278" s="908" t="s">
        <v>359</v>
      </c>
      <c r="B3278" s="909" t="s">
        <v>2090</v>
      </c>
      <c r="C3278" s="910" t="e">
        <f>VLOOKUP(B3277,'LƯƠNG KT'!$D$16:$Z$184,4,0)</f>
        <v>#N/A</v>
      </c>
      <c r="D3278" s="609" t="e">
        <f>+C3278*25000</f>
        <v>#N/A</v>
      </c>
      <c r="E3278" s="911"/>
      <c r="F3278" s="911"/>
      <c r="G3278" s="908" t="s">
        <v>359</v>
      </c>
      <c r="H3278" s="909" t="s">
        <v>2090</v>
      </c>
      <c r="I3278" s="910" t="e">
        <f>VLOOKUP(H3277,'LƯƠNG KT'!$D$16:$Z$184,4,0)</f>
        <v>#N/A</v>
      </c>
      <c r="J3278" s="609" t="e">
        <f>+I3278*25000</f>
        <v>#N/A</v>
      </c>
      <c r="K3278" s="935"/>
      <c r="L3278" s="935"/>
      <c r="M3278" s="935"/>
      <c r="N3278" s="935"/>
      <c r="O3278" s="935"/>
    </row>
    <row r="3279" spans="1:15" ht="15" customHeight="1">
      <c r="A3279" s="908" t="s">
        <v>361</v>
      </c>
      <c r="B3279" s="909" t="s">
        <v>2091</v>
      </c>
      <c r="C3279" s="910" t="e">
        <f>VLOOKUP(B3277,'LƯƠNG KT'!$D$16:$Z$184,15,0)</f>
        <v>#N/A</v>
      </c>
      <c r="D3279" s="609" t="e">
        <f>C3279*$L$4</f>
        <v>#N/A</v>
      </c>
      <c r="E3279" s="912"/>
      <c r="F3279" s="912"/>
      <c r="G3279" s="908" t="s">
        <v>361</v>
      </c>
      <c r="H3279" s="909" t="s">
        <v>2091</v>
      </c>
      <c r="I3279" s="910" t="e">
        <f>VLOOKUP(H3277,'LƯƠNG KT'!$D$16:$Z$184,15,0)</f>
        <v>#N/A</v>
      </c>
      <c r="J3279" s="609" t="e">
        <f>I3279*$L$4</f>
        <v>#N/A</v>
      </c>
      <c r="K3279" s="935"/>
      <c r="L3279" s="935"/>
      <c r="M3279" s="935"/>
      <c r="N3279" s="935"/>
      <c r="O3279" s="935"/>
    </row>
    <row r="3280" spans="1:15" ht="15" customHeight="1">
      <c r="A3280" s="908" t="s">
        <v>364</v>
      </c>
      <c r="B3280" s="909" t="s">
        <v>2092</v>
      </c>
      <c r="C3280" s="910" t="e">
        <f>VLOOKUP(B3277,'LƯƠNG KT'!$D$16:$Z$184,16,0)</f>
        <v>#N/A</v>
      </c>
      <c r="D3280" s="609" t="e">
        <f>C3280*$L$5</f>
        <v>#N/A</v>
      </c>
      <c r="E3280" s="912"/>
      <c r="F3280" s="912"/>
      <c r="G3280" s="908" t="s">
        <v>364</v>
      </c>
      <c r="H3280" s="909" t="s">
        <v>2092</v>
      </c>
      <c r="I3280" s="910" t="e">
        <f>VLOOKUP(H3277,'LƯƠNG KT'!$D$16:$Z$184,16,0)</f>
        <v>#N/A</v>
      </c>
      <c r="J3280" s="609" t="e">
        <f>I3280*$L$5</f>
        <v>#N/A</v>
      </c>
      <c r="K3280" s="935"/>
      <c r="L3280" s="935"/>
      <c r="M3280" s="935"/>
      <c r="N3280" s="935"/>
      <c r="O3280" s="935"/>
    </row>
    <row r="3281" spans="1:15" ht="15" customHeight="1">
      <c r="A3281" s="908" t="s">
        <v>370</v>
      </c>
      <c r="B3281" s="909" t="s">
        <v>2093</v>
      </c>
      <c r="C3281" s="910" t="e">
        <f>VLOOKUP(B3277,'LƯƠNG KT'!$D$16:$Z$184,24,0)</f>
        <v>#N/A</v>
      </c>
      <c r="D3281" s="609" t="e">
        <f>+C3281*$L$6</f>
        <v>#N/A</v>
      </c>
      <c r="E3281" s="912"/>
      <c r="F3281" s="912"/>
      <c r="G3281" s="908" t="s">
        <v>370</v>
      </c>
      <c r="H3281" s="909" t="s">
        <v>2093</v>
      </c>
      <c r="I3281" s="910" t="e">
        <f>VLOOKUP(H3277,'LƯƠNG KT'!$D$16:$Z$184,24,0)</f>
        <v>#N/A</v>
      </c>
      <c r="J3281" s="609" t="e">
        <f>+I3281*$L$6</f>
        <v>#N/A</v>
      </c>
      <c r="K3281" s="935"/>
      <c r="L3281" s="935"/>
      <c r="M3281" s="935"/>
      <c r="N3281" s="935"/>
      <c r="O3281" s="935"/>
    </row>
    <row r="3282" spans="1:15" ht="15" customHeight="1">
      <c r="A3282" s="908" t="s">
        <v>2094</v>
      </c>
      <c r="B3282" s="909" t="s">
        <v>2095</v>
      </c>
      <c r="C3282" s="910" t="e">
        <f>VLOOKUP(B3277,'LƯƠNG KT'!$D$16:$Z$184,19,0)</f>
        <v>#N/A</v>
      </c>
      <c r="D3282" s="609" t="e">
        <f>+C3282*$L$8</f>
        <v>#N/A</v>
      </c>
      <c r="E3282" s="912"/>
      <c r="F3282" s="912"/>
      <c r="G3282" s="908" t="s">
        <v>2094</v>
      </c>
      <c r="H3282" s="909" t="s">
        <v>2095</v>
      </c>
      <c r="I3282" s="910" t="e">
        <f>VLOOKUP(H3277,'LƯƠNG KT'!$D$16:$Z$184,19,0)</f>
        <v>#N/A</v>
      </c>
      <c r="J3282" s="609" t="e">
        <f>+I3282*$L$8</f>
        <v>#N/A</v>
      </c>
      <c r="K3282" s="935"/>
      <c r="L3282" s="935"/>
      <c r="M3282" s="935"/>
      <c r="N3282" s="935"/>
      <c r="O3282" s="935"/>
    </row>
    <row r="3283" spans="1:15" ht="15" customHeight="1">
      <c r="A3283" s="908" t="s">
        <v>2096</v>
      </c>
      <c r="B3283" s="913" t="s">
        <v>2097</v>
      </c>
      <c r="C3283" s="910" t="e">
        <f>VLOOKUP(B3277,'LƯƠNG KT'!$D$16:$Z$184,20,0)</f>
        <v>#N/A</v>
      </c>
      <c r="D3283" s="609" t="e">
        <f>+C3283*$L$9</f>
        <v>#N/A</v>
      </c>
      <c r="E3283" s="912"/>
      <c r="F3283" s="912"/>
      <c r="G3283" s="908" t="s">
        <v>2096</v>
      </c>
      <c r="H3283" s="913" t="s">
        <v>2097</v>
      </c>
      <c r="I3283" s="910" t="e">
        <f>VLOOKUP(H3277,'LƯƠNG KT'!$D$16:$Z$184,20,0)</f>
        <v>#N/A</v>
      </c>
      <c r="J3283" s="609" t="e">
        <f>+I3283*$L$9</f>
        <v>#N/A</v>
      </c>
      <c r="K3283" s="935"/>
      <c r="L3283" s="935"/>
      <c r="M3283" s="935"/>
      <c r="N3283" s="935"/>
      <c r="O3283" s="935"/>
    </row>
    <row r="3284" spans="1:15" ht="15" customHeight="1">
      <c r="A3284" s="908" t="s">
        <v>2099</v>
      </c>
      <c r="B3284" s="909" t="s">
        <v>2100</v>
      </c>
      <c r="C3284" s="910" t="e">
        <f>VLOOKUP(B3277,'LƯƠNG KT'!$D$16:$Z$184,17,0)</f>
        <v>#N/A</v>
      </c>
      <c r="D3284" s="609" t="e">
        <f>+C3284*$L$10</f>
        <v>#N/A</v>
      </c>
      <c r="E3284" s="912"/>
      <c r="F3284" s="912"/>
      <c r="G3284" s="908" t="s">
        <v>2099</v>
      </c>
      <c r="H3284" s="909" t="s">
        <v>2100</v>
      </c>
      <c r="I3284" s="910" t="e">
        <f>VLOOKUP(H3277,'LƯƠNG KT'!$D$16:$Z$184,17,0)</f>
        <v>#N/A</v>
      </c>
      <c r="J3284" s="609" t="e">
        <f>+I3284*$L$10</f>
        <v>#N/A</v>
      </c>
      <c r="K3284" s="935"/>
      <c r="L3284" s="935"/>
      <c r="M3284" s="935"/>
      <c r="N3284" s="935"/>
      <c r="O3284" s="935"/>
    </row>
    <row r="3285" spans="1:15" ht="15" customHeight="1">
      <c r="A3285" s="908" t="s">
        <v>374</v>
      </c>
      <c r="B3285" s="909" t="s">
        <v>2102</v>
      </c>
      <c r="C3285" s="910" t="e">
        <f>VLOOKUP(B3277,'LƯƠNG KT'!$D$16:$Z$184,12,0)</f>
        <v>#N/A</v>
      </c>
      <c r="D3285" s="609" t="e">
        <f>VLOOKUP(B3277,'LƯƠNG KT'!$D$16:$Z$184,14,0)</f>
        <v>#N/A</v>
      </c>
      <c r="E3285" s="914"/>
      <c r="F3285" s="912"/>
      <c r="G3285" s="908" t="s">
        <v>374</v>
      </c>
      <c r="H3285" s="909" t="s">
        <v>2102</v>
      </c>
      <c r="I3285" s="910" t="e">
        <f>VLOOKUP(H3277,'LƯƠNG KT'!$D$16:$Z$184,12,0)</f>
        <v>#N/A</v>
      </c>
      <c r="J3285" s="609" t="e">
        <f>VLOOKUP(H3277,'LƯƠNG KT'!$D$16:$Z$184,14,0)</f>
        <v>#N/A</v>
      </c>
      <c r="K3285" s="935"/>
      <c r="L3285" s="935"/>
      <c r="M3285" s="935"/>
      <c r="N3285" s="935"/>
      <c r="O3285" s="935"/>
    </row>
    <row r="3286" spans="1:15" ht="15" customHeight="1">
      <c r="A3286" s="908" t="s">
        <v>2103</v>
      </c>
      <c r="B3286" s="909" t="s">
        <v>2104</v>
      </c>
      <c r="D3286" s="915" t="e">
        <f>VLOOKUP(B3277,'LƯƠNG KT'!$D$16:$Z$184,13,0)</f>
        <v>#N/A</v>
      </c>
      <c r="E3286" s="916"/>
      <c r="F3286" s="916"/>
      <c r="G3286" s="908" t="s">
        <v>2103</v>
      </c>
      <c r="H3286" s="909" t="s">
        <v>2104</v>
      </c>
      <c r="J3286" s="915" t="e">
        <f>VLOOKUP(H3277,'LƯƠNG KT'!$D$16:$Z$184,13,0)</f>
        <v>#N/A</v>
      </c>
    </row>
    <row r="3287" spans="1:15" ht="15" customHeight="1">
      <c r="A3287" s="547"/>
      <c r="B3287" s="546"/>
      <c r="C3287" s="910"/>
      <c r="D3287" s="609"/>
      <c r="E3287" s="914"/>
      <c r="F3287" s="916"/>
      <c r="G3287" s="547"/>
      <c r="H3287" s="546"/>
      <c r="I3287" s="910"/>
      <c r="J3287" s="609"/>
    </row>
    <row r="3288" spans="1:15" ht="15" customHeight="1">
      <c r="A3288" s="905"/>
      <c r="B3288" s="546"/>
      <c r="C3288" s="910"/>
      <c r="D3288" s="609"/>
      <c r="E3288" s="917"/>
      <c r="F3288" s="904"/>
      <c r="G3288" s="905"/>
      <c r="H3288" s="546"/>
      <c r="I3288" s="910"/>
      <c r="J3288" s="609"/>
    </row>
    <row r="3289" spans="1:15" ht="15" customHeight="1">
      <c r="A3289" s="918" t="s">
        <v>383</v>
      </c>
      <c r="B3289" s="919" t="s">
        <v>384</v>
      </c>
      <c r="C3289" s="920"/>
      <c r="D3289" s="921" t="e">
        <f>SUM(D3278:D3285)-D3288</f>
        <v>#N/A</v>
      </c>
      <c r="E3289" s="922"/>
      <c r="F3289" s="923"/>
      <c r="G3289" s="918" t="s">
        <v>383</v>
      </c>
      <c r="H3289" s="919" t="s">
        <v>384</v>
      </c>
      <c r="I3289" s="920"/>
      <c r="J3289" s="921" t="e">
        <f>SUM(J3278:J3285)-J3288</f>
        <v>#N/A</v>
      </c>
    </row>
    <row r="3290" spans="1:15" ht="18.75" customHeight="1">
      <c r="A3290" s="924"/>
      <c r="B3290" s="925"/>
      <c r="C3290" s="926"/>
      <c r="D3290" s="927"/>
      <c r="E3290" s="927"/>
      <c r="F3290" s="928"/>
      <c r="G3290" s="924"/>
      <c r="H3290" s="925"/>
      <c r="I3290" s="926"/>
      <c r="J3290" s="927"/>
    </row>
    <row r="3291" spans="1:15" ht="18.75" customHeight="1">
      <c r="A3291" s="925"/>
      <c r="B3291" s="925"/>
      <c r="C3291" s="929"/>
      <c r="D3291" s="930"/>
      <c r="E3291" s="925"/>
      <c r="F3291" s="931"/>
      <c r="G3291" s="925"/>
      <c r="H3291" s="925"/>
      <c r="I3291" s="929"/>
      <c r="J3291" s="930"/>
    </row>
    <row r="3292" spans="1:15" ht="15" customHeight="1">
      <c r="A3292" s="2360" t="str">
        <f>$K$2</f>
        <v>THÁNG 04/2025</v>
      </c>
      <c r="B3292" s="2360"/>
      <c r="C3292" s="2360"/>
      <c r="D3292" s="2360"/>
      <c r="E3292" s="903"/>
      <c r="F3292" s="904"/>
      <c r="G3292" s="2360" t="str">
        <f>$K$2</f>
        <v>THÁNG 04/2025</v>
      </c>
      <c r="H3292" s="2360"/>
      <c r="I3292" s="2360"/>
      <c r="J3292" s="2360"/>
      <c r="K3292" s="276"/>
    </row>
    <row r="3293" spans="1:15" ht="15" customHeight="1">
      <c r="A3293" s="905" t="s">
        <v>356</v>
      </c>
      <c r="B3293" s="642" t="s">
        <v>279</v>
      </c>
      <c r="C3293" s="546"/>
      <c r="D3293" s="902"/>
      <c r="E3293" s="906"/>
      <c r="F3293" s="907"/>
      <c r="G3293" s="905" t="s">
        <v>356</v>
      </c>
      <c r="H3293" s="642" t="s">
        <v>2003</v>
      </c>
      <c r="I3293" s="546"/>
      <c r="J3293" s="902"/>
      <c r="L3293" s="938"/>
      <c r="M3293" s="938"/>
      <c r="N3293" s="938"/>
      <c r="O3293" s="938"/>
    </row>
    <row r="3294" spans="1:15" ht="15" customHeight="1">
      <c r="A3294" s="908" t="s">
        <v>359</v>
      </c>
      <c r="B3294" s="909" t="s">
        <v>2090</v>
      </c>
      <c r="C3294" s="910" t="e">
        <f>VLOOKUP(B3293,'LƯƠNG KT'!$D$16:$Z$184,4,0)</f>
        <v>#N/A</v>
      </c>
      <c r="D3294" s="609" t="e">
        <f>+C3294*25000</f>
        <v>#N/A</v>
      </c>
      <c r="E3294" s="911"/>
      <c r="F3294" s="911"/>
      <c r="G3294" s="908" t="s">
        <v>359</v>
      </c>
      <c r="H3294" s="909" t="s">
        <v>2090</v>
      </c>
      <c r="I3294" s="910"/>
      <c r="J3294" s="609"/>
      <c r="K3294" s="935"/>
      <c r="L3294" s="935"/>
      <c r="M3294" s="935"/>
      <c r="N3294" s="935"/>
      <c r="O3294" s="935"/>
    </row>
    <row r="3295" spans="1:15" ht="15" customHeight="1">
      <c r="A3295" s="908" t="s">
        <v>361</v>
      </c>
      <c r="B3295" s="909" t="s">
        <v>2091</v>
      </c>
      <c r="C3295" s="910" t="e">
        <f>VLOOKUP(B3293,'LƯƠNG KT'!$D$16:$Z$184,15,0)</f>
        <v>#N/A</v>
      </c>
      <c r="D3295" s="609" t="e">
        <f>C3295*$L$4</f>
        <v>#N/A</v>
      </c>
      <c r="E3295" s="912"/>
      <c r="F3295" s="912"/>
      <c r="G3295" s="908" t="s">
        <v>361</v>
      </c>
      <c r="H3295" s="909" t="s">
        <v>2091</v>
      </c>
      <c r="I3295" s="910"/>
      <c r="J3295" s="609"/>
      <c r="K3295" s="935"/>
      <c r="L3295" s="935"/>
      <c r="M3295" s="935"/>
      <c r="N3295" s="935"/>
      <c r="O3295" s="935"/>
    </row>
    <row r="3296" spans="1:15" ht="15" customHeight="1">
      <c r="A3296" s="908" t="s">
        <v>364</v>
      </c>
      <c r="B3296" s="909" t="s">
        <v>2092</v>
      </c>
      <c r="C3296" s="910" t="e">
        <f>VLOOKUP(B3293,'LƯƠNG KT'!$D$16:$Z$184,16,0)</f>
        <v>#N/A</v>
      </c>
      <c r="D3296" s="609" t="e">
        <f>C3296*$L$5</f>
        <v>#N/A</v>
      </c>
      <c r="E3296" s="912"/>
      <c r="F3296" s="912"/>
      <c r="G3296" s="908" t="s">
        <v>364</v>
      </c>
      <c r="H3296" s="909" t="s">
        <v>2092</v>
      </c>
      <c r="I3296" s="910"/>
      <c r="J3296" s="609"/>
      <c r="K3296" s="935"/>
      <c r="L3296" s="935"/>
      <c r="M3296" s="935"/>
      <c r="N3296" s="935"/>
      <c r="O3296" s="935"/>
    </row>
    <row r="3297" spans="1:15" ht="15" customHeight="1">
      <c r="A3297" s="908" t="s">
        <v>370</v>
      </c>
      <c r="B3297" s="909" t="s">
        <v>2093</v>
      </c>
      <c r="C3297" s="910" t="e">
        <f>VLOOKUP(B3293,'LƯƠNG KT'!$D$16:$Z$184,24,0)</f>
        <v>#N/A</v>
      </c>
      <c r="D3297" s="609" t="e">
        <f>+C3297*$L$6</f>
        <v>#N/A</v>
      </c>
      <c r="E3297" s="912"/>
      <c r="F3297" s="912"/>
      <c r="G3297" s="908" t="s">
        <v>370</v>
      </c>
      <c r="H3297" s="909" t="s">
        <v>2093</v>
      </c>
      <c r="I3297" s="910"/>
      <c r="J3297" s="609"/>
      <c r="K3297" s="935"/>
      <c r="L3297" s="935"/>
      <c r="M3297" s="935"/>
      <c r="N3297" s="935"/>
      <c r="O3297" s="935"/>
    </row>
    <row r="3298" spans="1:15" ht="15" customHeight="1">
      <c r="A3298" s="908" t="s">
        <v>2094</v>
      </c>
      <c r="B3298" s="909" t="s">
        <v>2095</v>
      </c>
      <c r="C3298" s="910" t="e">
        <f>VLOOKUP(B3293,'LƯƠNG KT'!$D$16:$Z$184,19,0)</f>
        <v>#N/A</v>
      </c>
      <c r="D3298" s="609" t="e">
        <f>+C3298*$L$8</f>
        <v>#N/A</v>
      </c>
      <c r="E3298" s="912"/>
      <c r="F3298" s="912"/>
      <c r="G3298" s="908" t="s">
        <v>2094</v>
      </c>
      <c r="H3298" s="909" t="s">
        <v>2095</v>
      </c>
      <c r="I3298" s="910"/>
      <c r="J3298" s="609"/>
      <c r="K3298" s="935"/>
      <c r="L3298" s="935"/>
      <c r="M3298" s="935"/>
      <c r="N3298" s="935"/>
      <c r="O3298" s="935"/>
    </row>
    <row r="3299" spans="1:15" ht="15" customHeight="1">
      <c r="A3299" s="908" t="s">
        <v>2096</v>
      </c>
      <c r="B3299" s="913" t="s">
        <v>2097</v>
      </c>
      <c r="C3299" s="910" t="e">
        <f>VLOOKUP(B3293,'LƯƠNG KT'!$D$16:$Z$184,20,0)</f>
        <v>#N/A</v>
      </c>
      <c r="D3299" s="609" t="e">
        <f>+C3299*$L$9</f>
        <v>#N/A</v>
      </c>
      <c r="E3299" s="912"/>
      <c r="F3299" s="912"/>
      <c r="G3299" s="908" t="s">
        <v>2096</v>
      </c>
      <c r="H3299" s="913" t="s">
        <v>2097</v>
      </c>
      <c r="I3299" s="910"/>
      <c r="J3299" s="609"/>
      <c r="K3299" s="935"/>
      <c r="L3299" s="935"/>
      <c r="M3299" s="935"/>
      <c r="N3299" s="935"/>
      <c r="O3299" s="935"/>
    </row>
    <row r="3300" spans="1:15" ht="15" customHeight="1">
      <c r="A3300" s="908" t="s">
        <v>2099</v>
      </c>
      <c r="B3300" s="909" t="s">
        <v>2100</v>
      </c>
      <c r="C3300" s="910" t="e">
        <f>VLOOKUP(B3293,'LƯƠNG KT'!$D$16:$Z$184,17,0)</f>
        <v>#N/A</v>
      </c>
      <c r="D3300" s="609" t="e">
        <f>+C3300*$L$10</f>
        <v>#N/A</v>
      </c>
      <c r="E3300" s="912"/>
      <c r="F3300" s="912"/>
      <c r="G3300" s="908" t="s">
        <v>2099</v>
      </c>
      <c r="H3300" s="909" t="s">
        <v>2100</v>
      </c>
      <c r="I3300" s="910"/>
      <c r="J3300" s="609"/>
      <c r="K3300" s="935"/>
      <c r="L3300" s="935"/>
      <c r="M3300" s="935"/>
      <c r="N3300" s="935"/>
      <c r="O3300" s="935"/>
    </row>
    <row r="3301" spans="1:15" ht="15" customHeight="1">
      <c r="A3301" s="908" t="s">
        <v>374</v>
      </c>
      <c r="B3301" s="909" t="s">
        <v>2102</v>
      </c>
      <c r="C3301" s="910" t="e">
        <f>VLOOKUP(B3293,'LƯƠNG KT'!$D$16:$Z$184,12,0)</f>
        <v>#N/A</v>
      </c>
      <c r="D3301" s="609" t="e">
        <f>VLOOKUP(B3293,'LƯƠNG KT'!$D$16:$Z$184,14,0)</f>
        <v>#N/A</v>
      </c>
      <c r="E3301" s="914"/>
      <c r="F3301" s="912"/>
      <c r="G3301" s="908" t="s">
        <v>374</v>
      </c>
      <c r="H3301" s="909" t="s">
        <v>2102</v>
      </c>
      <c r="I3301" s="910"/>
      <c r="J3301" s="609"/>
      <c r="K3301" s="940" t="s">
        <v>509</v>
      </c>
      <c r="L3301" s="940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0"/>
      <c r="N3301" s="940"/>
      <c r="O3301" s="940"/>
    </row>
    <row r="3302" spans="1:15" ht="15" customHeight="1">
      <c r="A3302" s="908" t="s">
        <v>2103</v>
      </c>
      <c r="B3302" s="909" t="s">
        <v>2104</v>
      </c>
      <c r="D3302" s="915" t="e">
        <f>VLOOKUP(B3293,'LƯƠNG KT'!$D$16:$Z$184,13,0)</f>
        <v>#N/A</v>
      </c>
      <c r="E3302" s="916"/>
      <c r="F3302" s="916"/>
      <c r="G3302" s="908" t="s">
        <v>2103</v>
      </c>
      <c r="H3302" s="909" t="s">
        <v>2104</v>
      </c>
      <c r="J3302" s="915"/>
    </row>
    <row r="3303" spans="1:15" ht="15" customHeight="1">
      <c r="A3303" s="547"/>
      <c r="B3303" s="546"/>
      <c r="C3303" s="910"/>
      <c r="D3303" s="609"/>
      <c r="E3303" s="914"/>
      <c r="F3303" s="916"/>
      <c r="G3303" s="547"/>
      <c r="H3303" s="546"/>
      <c r="I3303" s="910"/>
      <c r="J3303" s="609"/>
    </row>
    <row r="3304" spans="1:15" ht="15" customHeight="1">
      <c r="A3304" s="905"/>
      <c r="B3304" s="546"/>
      <c r="C3304" s="910"/>
      <c r="D3304" s="609"/>
      <c r="E3304" s="917"/>
      <c r="F3304" s="904"/>
      <c r="G3304" s="905"/>
      <c r="H3304" s="546"/>
      <c r="I3304" s="910"/>
      <c r="J3304" s="609"/>
    </row>
    <row r="3305" spans="1:15" ht="15" customHeight="1">
      <c r="A3305" s="918" t="s">
        <v>383</v>
      </c>
      <c r="B3305" s="919" t="s">
        <v>384</v>
      </c>
      <c r="C3305" s="920"/>
      <c r="D3305" s="921" t="e">
        <f>SUM(D3294:D3301)-D3304</f>
        <v>#N/A</v>
      </c>
      <c r="E3305" s="922"/>
      <c r="F3305" s="923"/>
      <c r="G3305" s="918" t="s">
        <v>383</v>
      </c>
      <c r="H3305" s="919" t="s">
        <v>384</v>
      </c>
      <c r="I3305" s="920"/>
      <c r="J3305" s="921">
        <f>SUM(J3294:J3301)-J3304</f>
        <v>0</v>
      </c>
    </row>
    <row r="3306" spans="1:15" ht="15.75" customHeight="1">
      <c r="A3306" s="924"/>
      <c r="B3306" s="925"/>
      <c r="C3306" s="926"/>
      <c r="D3306" s="927"/>
      <c r="E3306" s="927"/>
      <c r="F3306" s="928"/>
      <c r="G3306" s="924"/>
      <c r="H3306" s="925"/>
      <c r="I3306" s="926"/>
      <c r="J3306" s="927"/>
    </row>
    <row r="3307" spans="1:15" ht="66" customHeight="1"/>
    <row r="3308" spans="1:15" ht="12" customHeight="1">
      <c r="A3308" s="2362" t="s">
        <v>514</v>
      </c>
      <c r="B3308" s="2362"/>
      <c r="C3308" s="2362"/>
      <c r="D3308" s="2362"/>
      <c r="E3308" s="2362"/>
      <c r="F3308" s="2362"/>
      <c r="G3308" s="2362"/>
      <c r="H3308" s="2362"/>
      <c r="I3308" s="2362"/>
      <c r="J3308" s="2362"/>
    </row>
    <row r="3309" spans="1:15" ht="15" customHeight="1">
      <c r="A3309" s="2360" t="str">
        <f>$K$2</f>
        <v>THÁNG 04/2025</v>
      </c>
      <c r="B3309" s="2360"/>
      <c r="C3309" s="2360"/>
      <c r="D3309" s="2360"/>
      <c r="E3309" s="903"/>
      <c r="F3309" s="904"/>
      <c r="G3309" s="2360" t="str">
        <f>$K$2</f>
        <v>THÁNG 04/2025</v>
      </c>
      <c r="H3309" s="2360"/>
      <c r="I3309" s="2360"/>
      <c r="J3309" s="2360"/>
      <c r="K3309" s="908" t="s">
        <v>359</v>
      </c>
      <c r="L3309" s="909" t="s">
        <v>2090</v>
      </c>
    </row>
    <row r="3310" spans="1:15" ht="15" customHeight="1">
      <c r="A3310" s="609" t="s">
        <v>356</v>
      </c>
      <c r="B3310" s="642" t="s">
        <v>308</v>
      </c>
      <c r="C3310" s="546"/>
      <c r="D3310" s="902"/>
      <c r="E3310" s="906"/>
      <c r="F3310" s="907"/>
      <c r="G3310" s="905" t="s">
        <v>356</v>
      </c>
      <c r="H3310" s="642" t="s">
        <v>309</v>
      </c>
      <c r="I3310" s="546"/>
      <c r="J3310" s="902"/>
      <c r="K3310" s="908" t="s">
        <v>361</v>
      </c>
      <c r="L3310" s="909" t="s">
        <v>2091</v>
      </c>
      <c r="M3310" s="938"/>
      <c r="N3310" s="938"/>
      <c r="O3310" s="938"/>
    </row>
    <row r="3311" spans="1:15" ht="15" customHeight="1">
      <c r="A3311" s="908" t="s">
        <v>359</v>
      </c>
      <c r="B3311" s="909" t="s">
        <v>2090</v>
      </c>
      <c r="C3311" s="910" t="e">
        <f>VLOOKUP(B3310,'LƯƠNG KT'!$D$16:$Z$184,4,0)</f>
        <v>#N/A</v>
      </c>
      <c r="D3311" s="609" t="e">
        <f>+C3311*25000</f>
        <v>#N/A</v>
      </c>
      <c r="E3311" s="911"/>
      <c r="F3311" s="911"/>
      <c r="G3311" s="908" t="s">
        <v>359</v>
      </c>
      <c r="H3311" s="909" t="s">
        <v>2090</v>
      </c>
      <c r="I3311" s="910" t="e">
        <f>VLOOKUP(H3310,'LƯƠNG KT'!$D$16:$Z$184,4,0)</f>
        <v>#N/A</v>
      </c>
      <c r="J3311" s="609" t="e">
        <f>+I3311*25000</f>
        <v>#N/A</v>
      </c>
      <c r="K3311" s="908" t="s">
        <v>364</v>
      </c>
      <c r="L3311" s="909" t="s">
        <v>2092</v>
      </c>
      <c r="M3311" s="935"/>
      <c r="N3311" s="935"/>
      <c r="O3311" s="935"/>
    </row>
    <row r="3312" spans="1:15" ht="15" customHeight="1">
      <c r="A3312" s="908" t="s">
        <v>361</v>
      </c>
      <c r="B3312" s="909" t="s">
        <v>2091</v>
      </c>
      <c r="C3312" s="910" t="e">
        <f>VLOOKUP(B3310,'LƯƠNG KT'!$D$16:$Z$184,15,0)</f>
        <v>#N/A</v>
      </c>
      <c r="D3312" s="609" t="e">
        <f>C3312*$L$4</f>
        <v>#N/A</v>
      </c>
      <c r="E3312" s="912"/>
      <c r="F3312" s="912"/>
      <c r="G3312" s="908" t="s">
        <v>361</v>
      </c>
      <c r="H3312" s="909" t="s">
        <v>2091</v>
      </c>
      <c r="I3312" s="910" t="e">
        <f>VLOOKUP(H3310,'LƯƠNG KT'!$D$16:$Z$184,15,0)</f>
        <v>#N/A</v>
      </c>
      <c r="J3312" s="609" t="e">
        <f>I3312*$L$4</f>
        <v>#N/A</v>
      </c>
      <c r="K3312" s="908" t="s">
        <v>370</v>
      </c>
      <c r="L3312" s="909" t="s">
        <v>2093</v>
      </c>
      <c r="M3312" s="935"/>
      <c r="N3312" s="935"/>
      <c r="O3312" s="935"/>
    </row>
    <row r="3313" spans="1:15" ht="15" customHeight="1">
      <c r="A3313" s="908" t="s">
        <v>364</v>
      </c>
      <c r="B3313" s="909" t="s">
        <v>2092</v>
      </c>
      <c r="C3313" s="910" t="e">
        <f>VLOOKUP(B3310,'LƯƠNG KT'!$D$16:$Z$184,16,0)</f>
        <v>#N/A</v>
      </c>
      <c r="D3313" s="609" t="e">
        <f>C3313*$L$5</f>
        <v>#N/A</v>
      </c>
      <c r="E3313" s="912"/>
      <c r="F3313" s="912"/>
      <c r="G3313" s="908" t="s">
        <v>364</v>
      </c>
      <c r="H3313" s="909" t="s">
        <v>2092</v>
      </c>
      <c r="I3313" s="910" t="e">
        <f>VLOOKUP(H3310,'LƯƠNG KT'!$D$16:$Z$184,16,0)</f>
        <v>#N/A</v>
      </c>
      <c r="J3313" s="609" t="e">
        <f>I3313*$L$5</f>
        <v>#N/A</v>
      </c>
      <c r="K3313" s="908" t="s">
        <v>2094</v>
      </c>
      <c r="L3313" s="909" t="s">
        <v>2095</v>
      </c>
      <c r="M3313" s="935"/>
      <c r="N3313" s="935"/>
      <c r="O3313" s="935"/>
    </row>
    <row r="3314" spans="1:15" ht="15" customHeight="1">
      <c r="A3314" s="908" t="s">
        <v>370</v>
      </c>
      <c r="B3314" s="909" t="s">
        <v>2093</v>
      </c>
      <c r="C3314" s="910" t="e">
        <f>VLOOKUP(B3310,'LƯƠNG KT'!$D$16:$Z$184,24,0)</f>
        <v>#N/A</v>
      </c>
      <c r="D3314" s="609" t="e">
        <f>+C3314*$L$6</f>
        <v>#N/A</v>
      </c>
      <c r="E3314" s="912"/>
      <c r="F3314" s="912"/>
      <c r="G3314" s="908" t="s">
        <v>370</v>
      </c>
      <c r="H3314" s="909" t="s">
        <v>2093</v>
      </c>
      <c r="I3314" s="910" t="e">
        <f>VLOOKUP(H3310,'LƯƠNG KT'!$D$16:$Z$184,24,0)</f>
        <v>#N/A</v>
      </c>
      <c r="J3314" s="609" t="e">
        <f>+I3314*$L$6</f>
        <v>#N/A</v>
      </c>
      <c r="K3314" s="908" t="s">
        <v>2096</v>
      </c>
      <c r="L3314" s="945" t="s">
        <v>2097</v>
      </c>
      <c r="M3314" s="935"/>
      <c r="N3314" s="935"/>
      <c r="O3314" s="935"/>
    </row>
    <row r="3315" spans="1:15" ht="15" customHeight="1">
      <c r="A3315" s="908" t="s">
        <v>2094</v>
      </c>
      <c r="B3315" s="909" t="s">
        <v>2095</v>
      </c>
      <c r="C3315" s="910" t="e">
        <f>VLOOKUP(B3310,'LƯƠNG KT'!$D$16:$Z$184,19,0)</f>
        <v>#N/A</v>
      </c>
      <c r="D3315" s="609" t="e">
        <f>+C3315*$L$8</f>
        <v>#N/A</v>
      </c>
      <c r="E3315" s="912"/>
      <c r="F3315" s="912"/>
      <c r="G3315" s="908" t="s">
        <v>2094</v>
      </c>
      <c r="H3315" s="909" t="s">
        <v>2095</v>
      </c>
      <c r="I3315" s="910" t="e">
        <f>VLOOKUP(H3310,'LƯƠNG KT'!$D$16:$Z$184,19,0)</f>
        <v>#N/A</v>
      </c>
      <c r="J3315" s="609" t="e">
        <f>+I3315*$L$8</f>
        <v>#N/A</v>
      </c>
      <c r="K3315" s="908" t="s">
        <v>2099</v>
      </c>
      <c r="L3315" s="909" t="s">
        <v>2100</v>
      </c>
      <c r="M3315" s="935"/>
      <c r="N3315" s="935"/>
      <c r="O3315" s="935"/>
    </row>
    <row r="3316" spans="1:15" ht="15" customHeight="1">
      <c r="A3316" s="908" t="s">
        <v>2096</v>
      </c>
      <c r="B3316" s="913" t="s">
        <v>2097</v>
      </c>
      <c r="C3316" s="910" t="e">
        <f>VLOOKUP(B3310,'LƯƠNG KT'!$D$16:$Z$184,20,0)</f>
        <v>#N/A</v>
      </c>
      <c r="D3316" s="609" t="e">
        <f>+C3316*$L$9</f>
        <v>#N/A</v>
      </c>
      <c r="E3316" s="912"/>
      <c r="F3316" s="912"/>
      <c r="G3316" s="908" t="s">
        <v>2096</v>
      </c>
      <c r="H3316" s="913" t="s">
        <v>2097</v>
      </c>
      <c r="I3316" s="910" t="e">
        <f>VLOOKUP(H3310,'LƯƠNG KT'!$D$16:$Z$184,20,0)</f>
        <v>#N/A</v>
      </c>
      <c r="J3316" s="609" t="e">
        <f>+I3316*$L$9</f>
        <v>#N/A</v>
      </c>
      <c r="K3316" s="908" t="s">
        <v>2109</v>
      </c>
      <c r="L3316" s="913" t="s">
        <v>2116</v>
      </c>
      <c r="M3316" s="935"/>
      <c r="N3316" s="935"/>
      <c r="O3316" s="935"/>
    </row>
    <row r="3317" spans="1:15" ht="15" customHeight="1">
      <c r="A3317" s="908" t="s">
        <v>2099</v>
      </c>
      <c r="B3317" s="909" t="s">
        <v>2100</v>
      </c>
      <c r="C3317" s="910" t="e">
        <f>VLOOKUP(B3310,'LƯƠNG KT'!$D$16:$Z$184,17,0)</f>
        <v>#N/A</v>
      </c>
      <c r="D3317" s="609" t="e">
        <f>+C3317*$L$10</f>
        <v>#N/A</v>
      </c>
      <c r="E3317" s="912"/>
      <c r="F3317" s="912"/>
      <c r="G3317" s="908" t="s">
        <v>2099</v>
      </c>
      <c r="H3317" s="909" t="s">
        <v>2100</v>
      </c>
      <c r="I3317" s="910" t="e">
        <f>VLOOKUP(H3310,'LƯƠNG KT'!$D$16:$Z$184,17,0)</f>
        <v>#N/A</v>
      </c>
      <c r="J3317" s="609" t="e">
        <f>+I3317*$L$10</f>
        <v>#N/A</v>
      </c>
      <c r="K3317" s="908" t="s">
        <v>2111</v>
      </c>
      <c r="L3317" s="909" t="s">
        <v>2112</v>
      </c>
      <c r="M3317" s="935"/>
      <c r="N3317" s="935"/>
      <c r="O3317" s="935"/>
    </row>
    <row r="3318" spans="1:15" ht="15" customHeight="1">
      <c r="A3318" s="908" t="s">
        <v>2117</v>
      </c>
      <c r="B3318" s="913" t="s">
        <v>2116</v>
      </c>
      <c r="C3318" s="910" t="e">
        <f>VLOOKUP(B3310,'LƯƠNG KT'!$D$16:$Z$184,21,0)</f>
        <v>#N/A</v>
      </c>
      <c r="D3318" s="609" t="e">
        <f>+C3318*$L$7</f>
        <v>#N/A</v>
      </c>
      <c r="E3318" s="912"/>
      <c r="F3318" s="912"/>
      <c r="G3318" s="908" t="s">
        <v>2117</v>
      </c>
      <c r="H3318" s="913" t="s">
        <v>2116</v>
      </c>
      <c r="I3318" s="910" t="e">
        <f>VLOOKUP(H3310,'LƯƠNG KT'!$D$16:$Z$184,21,0)</f>
        <v>#N/A</v>
      </c>
      <c r="J3318" s="609" t="e">
        <f>+I3318*$L$7</f>
        <v>#N/A</v>
      </c>
      <c r="K3318" s="908" t="s">
        <v>374</v>
      </c>
      <c r="L3318" s="909" t="s">
        <v>2102</v>
      </c>
      <c r="M3318" s="935"/>
      <c r="N3318" s="935"/>
      <c r="O3318" s="935"/>
    </row>
    <row r="3319" spans="1:15" ht="15" customHeight="1">
      <c r="A3319" s="908" t="s">
        <v>2118</v>
      </c>
      <c r="B3319" s="909" t="s">
        <v>2112</v>
      </c>
      <c r="C3319" s="910" t="e">
        <f>VLOOKUP(B3310,'LƯƠNG KT'!$D$16:$Z$184,23,0)</f>
        <v>#N/A</v>
      </c>
      <c r="D3319" s="609" t="e">
        <f>+C3319*20000</f>
        <v>#N/A</v>
      </c>
      <c r="E3319" s="914"/>
      <c r="F3319" s="912"/>
      <c r="G3319" s="908" t="s">
        <v>2118</v>
      </c>
      <c r="H3319" s="909" t="s">
        <v>2112</v>
      </c>
      <c r="I3319" s="910" t="e">
        <f>VLOOKUP(H3310,'LƯƠNG KT'!$D$16:$Z$184,23,0)</f>
        <v>#N/A</v>
      </c>
      <c r="J3319" s="609" t="e">
        <f>+I3319*20000</f>
        <v>#N/A</v>
      </c>
      <c r="K3319" s="908" t="s">
        <v>2103</v>
      </c>
      <c r="L3319" s="909" t="s">
        <v>2104</v>
      </c>
      <c r="M3319" s="935"/>
      <c r="N3319" s="935"/>
      <c r="O3319" s="935"/>
    </row>
    <row r="3320" spans="1:15" ht="15" customHeight="1">
      <c r="A3320" s="908" t="s">
        <v>374</v>
      </c>
      <c r="B3320" s="909" t="s">
        <v>2102</v>
      </c>
      <c r="C3320" s="910" t="e">
        <f>VLOOKUP(B3310,'LƯƠNG KT'!$D$16:$Z$184,12,0)</f>
        <v>#N/A</v>
      </c>
      <c r="D3320" s="609" t="e">
        <f>VLOOKUP(B3310,'LƯƠNG KT'!$D$16:$Z$184,14,0)</f>
        <v>#N/A</v>
      </c>
      <c r="E3320" s="916"/>
      <c r="F3320" s="916"/>
      <c r="G3320" s="908" t="s">
        <v>374</v>
      </c>
      <c r="H3320" s="909" t="s">
        <v>2102</v>
      </c>
      <c r="I3320" s="910" t="e">
        <f>VLOOKUP(H3310,'LƯƠNG KT'!$D$16:$Z$184,12,0)</f>
        <v>#N/A</v>
      </c>
      <c r="J3320" s="609" t="e">
        <f>VLOOKUP(H3310,'LƯƠNG KT'!$D$16:$Z$184,14,0)</f>
        <v>#N/A</v>
      </c>
    </row>
    <row r="3321" spans="1:15" ht="15" customHeight="1">
      <c r="A3321" s="908" t="s">
        <v>2103</v>
      </c>
      <c r="B3321" s="909" t="s">
        <v>2104</v>
      </c>
      <c r="D3321" s="915" t="e">
        <f>VLOOKUP(B3310,'LƯƠNG KT'!$D$16:$Z$184,13,0)</f>
        <v>#N/A</v>
      </c>
      <c r="E3321" s="914"/>
      <c r="F3321" s="916"/>
      <c r="G3321" s="908" t="s">
        <v>2103</v>
      </c>
      <c r="H3321" s="909" t="s">
        <v>2104</v>
      </c>
      <c r="J3321" s="915" t="e">
        <f>VLOOKUP(H3310,'LƯƠNG KT'!$D$16:$Z$184,13,0)</f>
        <v>#N/A</v>
      </c>
    </row>
    <row r="3322" spans="1:15" ht="15" customHeight="1">
      <c r="A3322" s="905"/>
      <c r="B3322" s="546"/>
      <c r="C3322" s="910"/>
      <c r="D3322" s="609"/>
      <c r="E3322" s="917"/>
      <c r="F3322" s="904"/>
      <c r="G3322" s="905"/>
      <c r="H3322" s="546"/>
      <c r="I3322" s="910"/>
      <c r="J3322" s="609"/>
    </row>
    <row r="3323" spans="1:15" ht="15" customHeight="1">
      <c r="A3323" s="918" t="s">
        <v>383</v>
      </c>
      <c r="B3323" s="919" t="s">
        <v>384</v>
      </c>
      <c r="C3323" s="920"/>
      <c r="D3323" s="921" t="e">
        <f>SUM(D3311:D3320)</f>
        <v>#N/A</v>
      </c>
      <c r="E3323" s="922"/>
      <c r="F3323" s="923"/>
      <c r="G3323" s="918" t="s">
        <v>383</v>
      </c>
      <c r="H3323" s="919" t="s">
        <v>384</v>
      </c>
      <c r="I3323" s="920"/>
      <c r="J3323" s="921" t="e">
        <f>SUM(J3311:J3320)</f>
        <v>#N/A</v>
      </c>
    </row>
    <row r="3324" spans="1:15" ht="22.5" customHeight="1">
      <c r="A3324" s="924"/>
      <c r="B3324" s="925"/>
      <c r="C3324" s="926"/>
      <c r="D3324" s="927"/>
      <c r="E3324" s="927"/>
      <c r="F3324" s="928"/>
      <c r="G3324" s="924"/>
      <c r="H3324" s="925"/>
      <c r="I3324" s="926"/>
      <c r="J3324" s="927"/>
    </row>
    <row r="3325" spans="1:15" ht="22.5" customHeight="1">
      <c r="A3325" s="925"/>
      <c r="B3325" s="925"/>
      <c r="C3325" s="929"/>
      <c r="D3325" s="930"/>
      <c r="E3325" s="925"/>
      <c r="F3325" s="931"/>
      <c r="G3325" s="925"/>
      <c r="H3325" s="925"/>
      <c r="I3325" s="929"/>
      <c r="J3325" s="930"/>
    </row>
    <row r="3326" spans="1:15" ht="15" customHeight="1">
      <c r="A3326" s="2360" t="str">
        <f>$K$2</f>
        <v>THÁNG 04/2025</v>
      </c>
      <c r="B3326" s="2360"/>
      <c r="C3326" s="2360"/>
      <c r="D3326" s="2360"/>
      <c r="E3326" s="903"/>
      <c r="F3326" s="904"/>
      <c r="G3326" s="2360" t="str">
        <f>$K$2</f>
        <v>THÁNG 04/2025</v>
      </c>
      <c r="H3326" s="2360"/>
      <c r="I3326" s="2360"/>
      <c r="J3326" s="2360"/>
      <c r="K3326" s="276"/>
    </row>
    <row r="3327" spans="1:15" ht="15" customHeight="1">
      <c r="A3327" s="905" t="s">
        <v>356</v>
      </c>
      <c r="B3327" s="642" t="s">
        <v>310</v>
      </c>
      <c r="C3327" s="546"/>
      <c r="D3327" s="902"/>
      <c r="E3327" s="906"/>
      <c r="F3327" s="907"/>
      <c r="G3327" s="905" t="s">
        <v>356</v>
      </c>
      <c r="H3327" s="642" t="s">
        <v>311</v>
      </c>
      <c r="I3327" s="546"/>
      <c r="J3327" s="902"/>
      <c r="L3327" s="938"/>
      <c r="M3327" s="938"/>
      <c r="N3327" s="938"/>
      <c r="O3327" s="938"/>
    </row>
    <row r="3328" spans="1:15" ht="15" customHeight="1">
      <c r="A3328" s="908" t="s">
        <v>359</v>
      </c>
      <c r="B3328" s="909" t="s">
        <v>2090</v>
      </c>
      <c r="C3328" s="910" t="e">
        <f>VLOOKUP(B3327,'LƯƠNG KT'!$D$16:$Z$184,4,0)</f>
        <v>#N/A</v>
      </c>
      <c r="D3328" s="609" t="e">
        <f>+C3328*25000</f>
        <v>#N/A</v>
      </c>
      <c r="E3328" s="911"/>
      <c r="F3328" s="911"/>
      <c r="G3328" s="908" t="s">
        <v>359</v>
      </c>
      <c r="H3328" s="909" t="s">
        <v>2090</v>
      </c>
      <c r="I3328" s="910" t="e">
        <f>VLOOKUP(H3327,'LƯƠNG KT'!$D$16:$Z$184,4,0)</f>
        <v>#N/A</v>
      </c>
      <c r="J3328" s="609" t="e">
        <f>+I3328*25000</f>
        <v>#N/A</v>
      </c>
      <c r="K3328" s="935"/>
      <c r="L3328" s="935"/>
      <c r="M3328" s="935"/>
      <c r="N3328" s="935"/>
      <c r="O3328" s="935"/>
    </row>
    <row r="3329" spans="1:15" ht="15" customHeight="1">
      <c r="A3329" s="908" t="s">
        <v>361</v>
      </c>
      <c r="B3329" s="909" t="s">
        <v>2091</v>
      </c>
      <c r="C3329" s="910" t="e">
        <f>VLOOKUP(B3327,'LƯƠNG KT'!$D$16:$Z$184,15,0)</f>
        <v>#N/A</v>
      </c>
      <c r="D3329" s="609" t="e">
        <f>C3329*$L$4</f>
        <v>#N/A</v>
      </c>
      <c r="E3329" s="912"/>
      <c r="F3329" s="912"/>
      <c r="G3329" s="908" t="s">
        <v>361</v>
      </c>
      <c r="H3329" s="909" t="s">
        <v>2091</v>
      </c>
      <c r="I3329" s="910" t="e">
        <f>VLOOKUP(H3327,'LƯƠNG KT'!$D$16:$Z$184,15,0)</f>
        <v>#N/A</v>
      </c>
      <c r="J3329" s="609" t="e">
        <f>I3329*$L$4</f>
        <v>#N/A</v>
      </c>
      <c r="K3329" s="935"/>
      <c r="L3329" s="935"/>
      <c r="M3329" s="935"/>
      <c r="N3329" s="935"/>
      <c r="O3329" s="935"/>
    </row>
    <row r="3330" spans="1:15" ht="15" customHeight="1">
      <c r="A3330" s="908" t="s">
        <v>364</v>
      </c>
      <c r="B3330" s="909" t="s">
        <v>2092</v>
      </c>
      <c r="C3330" s="910" t="e">
        <f>VLOOKUP(B3327,'LƯƠNG KT'!$D$16:$Z$184,16,0)</f>
        <v>#N/A</v>
      </c>
      <c r="D3330" s="609" t="e">
        <f>C3330*$L$5</f>
        <v>#N/A</v>
      </c>
      <c r="E3330" s="912"/>
      <c r="F3330" s="912"/>
      <c r="G3330" s="908" t="s">
        <v>364</v>
      </c>
      <c r="H3330" s="909" t="s">
        <v>2092</v>
      </c>
      <c r="I3330" s="910" t="e">
        <f>VLOOKUP(H3327,'LƯƠNG KT'!$D$16:$Z$184,16,0)</f>
        <v>#N/A</v>
      </c>
      <c r="J3330" s="609" t="e">
        <f>I3330*$L$5</f>
        <v>#N/A</v>
      </c>
      <c r="K3330" s="935"/>
      <c r="L3330" s="935"/>
      <c r="M3330" s="935"/>
      <c r="N3330" s="935"/>
      <c r="O3330" s="935"/>
    </row>
    <row r="3331" spans="1:15" ht="15" customHeight="1">
      <c r="A3331" s="908" t="s">
        <v>370</v>
      </c>
      <c r="B3331" s="909" t="s">
        <v>2093</v>
      </c>
      <c r="C3331" s="910" t="e">
        <f>VLOOKUP(B3327,'LƯƠNG KT'!$D$16:$Z$184,24,0)</f>
        <v>#N/A</v>
      </c>
      <c r="D3331" s="609" t="e">
        <f>+C3331*$L$6</f>
        <v>#N/A</v>
      </c>
      <c r="E3331" s="912"/>
      <c r="F3331" s="912"/>
      <c r="G3331" s="908" t="s">
        <v>370</v>
      </c>
      <c r="H3331" s="909" t="s">
        <v>2093</v>
      </c>
      <c r="I3331" s="910" t="e">
        <f>VLOOKUP(H3327,'LƯƠNG KT'!$D$16:$Z$184,24,0)</f>
        <v>#N/A</v>
      </c>
      <c r="J3331" s="609" t="e">
        <f>+I3331*$L$6</f>
        <v>#N/A</v>
      </c>
      <c r="K3331" s="935"/>
      <c r="L3331" s="935"/>
      <c r="M3331" s="935"/>
      <c r="N3331" s="935"/>
      <c r="O3331" s="935"/>
    </row>
    <row r="3332" spans="1:15" ht="15" customHeight="1">
      <c r="A3332" s="908" t="s">
        <v>2094</v>
      </c>
      <c r="B3332" s="909" t="s">
        <v>2095</v>
      </c>
      <c r="C3332" s="910" t="e">
        <f>VLOOKUP(B3327,'LƯƠNG KT'!$D$16:$Z$184,19,0)</f>
        <v>#N/A</v>
      </c>
      <c r="D3332" s="609" t="e">
        <f>+C3332*$L$8</f>
        <v>#N/A</v>
      </c>
      <c r="E3332" s="912"/>
      <c r="F3332" s="912"/>
      <c r="G3332" s="908" t="s">
        <v>2094</v>
      </c>
      <c r="H3332" s="909" t="s">
        <v>2095</v>
      </c>
      <c r="I3332" s="910" t="e">
        <f>VLOOKUP(H3327,'LƯƠNG KT'!$D$16:$Z$184,19,0)</f>
        <v>#N/A</v>
      </c>
      <c r="J3332" s="609" t="e">
        <f>+I3332*$L$8</f>
        <v>#N/A</v>
      </c>
      <c r="K3332" s="935"/>
      <c r="L3332" s="935"/>
      <c r="M3332" s="935"/>
      <c r="N3332" s="935"/>
      <c r="O3332" s="935"/>
    </row>
    <row r="3333" spans="1:15" ht="15" customHeight="1">
      <c r="A3333" s="908" t="s">
        <v>2096</v>
      </c>
      <c r="B3333" s="913" t="s">
        <v>2097</v>
      </c>
      <c r="C3333" s="910" t="e">
        <f>VLOOKUP(B3327,'LƯƠNG KT'!$D$16:$Z$184,20,0)</f>
        <v>#N/A</v>
      </c>
      <c r="D3333" s="609" t="e">
        <f>+C3333*$L$9</f>
        <v>#N/A</v>
      </c>
      <c r="E3333" s="912"/>
      <c r="F3333" s="912"/>
      <c r="G3333" s="908" t="s">
        <v>2096</v>
      </c>
      <c r="H3333" s="913" t="s">
        <v>2097</v>
      </c>
      <c r="I3333" s="910" t="e">
        <f>VLOOKUP(H3327,'LƯƠNG KT'!$D$16:$Z$184,20,0)</f>
        <v>#N/A</v>
      </c>
      <c r="J3333" s="609" t="e">
        <f>+I3333*$L$9</f>
        <v>#N/A</v>
      </c>
      <c r="K3333" s="935"/>
      <c r="L3333" s="935"/>
      <c r="M3333" s="935"/>
      <c r="N3333" s="935"/>
      <c r="O3333" s="935"/>
    </row>
    <row r="3334" spans="1:15" ht="15" customHeight="1">
      <c r="A3334" s="908" t="s">
        <v>2099</v>
      </c>
      <c r="B3334" s="909" t="s">
        <v>2100</v>
      </c>
      <c r="C3334" s="910" t="e">
        <f>VLOOKUP(B3327,'LƯƠNG KT'!$D$16:$Z$184,17,0)</f>
        <v>#N/A</v>
      </c>
      <c r="D3334" s="609" t="e">
        <f>+C3334*$L$10</f>
        <v>#N/A</v>
      </c>
      <c r="E3334" s="912"/>
      <c r="F3334" s="912"/>
      <c r="G3334" s="908" t="s">
        <v>2099</v>
      </c>
      <c r="H3334" s="909" t="s">
        <v>2100</v>
      </c>
      <c r="I3334" s="910" t="e">
        <f>VLOOKUP(H3327,'LƯƠNG KT'!$D$16:$Z$184,17,0)</f>
        <v>#N/A</v>
      </c>
      <c r="J3334" s="609" t="e">
        <f>+I3334*$L$10</f>
        <v>#N/A</v>
      </c>
      <c r="K3334" s="935"/>
      <c r="L3334" s="935"/>
      <c r="M3334" s="935"/>
      <c r="N3334" s="935"/>
      <c r="O3334" s="935"/>
    </row>
    <row r="3335" spans="1:15" ht="15" customHeight="1">
      <c r="A3335" s="908" t="s">
        <v>2117</v>
      </c>
      <c r="B3335" s="913" t="s">
        <v>2116</v>
      </c>
      <c r="C3335" s="910" t="e">
        <f>VLOOKUP(B3327,'LƯƠNG KT'!$D$16:$Z$184,21,0)</f>
        <v>#N/A</v>
      </c>
      <c r="D3335" s="609" t="e">
        <f>+C3335*$L$7</f>
        <v>#N/A</v>
      </c>
      <c r="E3335" s="912"/>
      <c r="F3335" s="912"/>
      <c r="G3335" s="908" t="s">
        <v>2117</v>
      </c>
      <c r="H3335" s="913" t="s">
        <v>2116</v>
      </c>
      <c r="I3335" s="910" t="e">
        <f>VLOOKUP(H3327,'LƯƠNG KT'!$D$16:$Z$184,21,0)</f>
        <v>#N/A</v>
      </c>
      <c r="J3335" s="609" t="e">
        <f>+I3335*$L$7</f>
        <v>#N/A</v>
      </c>
      <c r="K3335" s="935"/>
      <c r="L3335" s="935"/>
      <c r="M3335" s="935"/>
      <c r="N3335" s="935"/>
      <c r="O3335" s="935"/>
    </row>
    <row r="3336" spans="1:15" ht="15" customHeight="1">
      <c r="A3336" s="908" t="s">
        <v>2118</v>
      </c>
      <c r="B3336" s="909" t="s">
        <v>2112</v>
      </c>
      <c r="C3336" s="910" t="e">
        <f>VLOOKUP(B3327,'LƯƠNG KT'!$D$16:$Z$184,23,0)</f>
        <v>#N/A</v>
      </c>
      <c r="D3336" s="609" t="e">
        <f>+C3336*20000</f>
        <v>#N/A</v>
      </c>
      <c r="E3336" s="914"/>
      <c r="F3336" s="912"/>
      <c r="G3336" s="908" t="s">
        <v>2118</v>
      </c>
      <c r="H3336" s="909" t="s">
        <v>2112</v>
      </c>
      <c r="I3336" s="910" t="e">
        <f>VLOOKUP(H3327,'LƯƠNG KT'!$D$16:$Z$184,23,0)</f>
        <v>#N/A</v>
      </c>
      <c r="J3336" s="609" t="e">
        <f>+I3336*20000</f>
        <v>#N/A</v>
      </c>
      <c r="K3336" s="935"/>
      <c r="L3336" s="935"/>
      <c r="M3336" s="935"/>
      <c r="N3336" s="935"/>
      <c r="O3336" s="935"/>
    </row>
    <row r="3337" spans="1:15" ht="15" customHeight="1">
      <c r="A3337" s="908" t="s">
        <v>374</v>
      </c>
      <c r="B3337" s="909" t="s">
        <v>2102</v>
      </c>
      <c r="C3337" s="910" t="e">
        <f>VLOOKUP(B3327,'LƯƠNG KT'!$D$16:$Z$184,12,0)</f>
        <v>#N/A</v>
      </c>
      <c r="D3337" s="609" t="e">
        <f>VLOOKUP(B3327,'LƯƠNG KT'!$D$16:$Z$184,14,0)</f>
        <v>#N/A</v>
      </c>
      <c r="E3337" s="916"/>
      <c r="F3337" s="916"/>
      <c r="G3337" s="908" t="s">
        <v>374</v>
      </c>
      <c r="H3337" s="909" t="s">
        <v>2102</v>
      </c>
      <c r="I3337" s="910" t="e">
        <f>VLOOKUP(H3327,'LƯƠNG KT'!$D$16:$Z$184,12,0)</f>
        <v>#N/A</v>
      </c>
      <c r="J3337" s="609" t="e">
        <f>VLOOKUP(H3327,'LƯƠNG KT'!$D$16:$Z$184,14,0)</f>
        <v>#N/A</v>
      </c>
    </row>
    <row r="3338" spans="1:15" ht="15" customHeight="1">
      <c r="A3338" s="908" t="s">
        <v>2103</v>
      </c>
      <c r="B3338" s="909" t="s">
        <v>2104</v>
      </c>
      <c r="D3338" s="915" t="e">
        <f>VLOOKUP(B3327,'LƯƠNG KT'!$D$16:$Z$184,13,0)</f>
        <v>#N/A</v>
      </c>
      <c r="E3338" s="914"/>
      <c r="F3338" s="916"/>
      <c r="G3338" s="908" t="s">
        <v>2103</v>
      </c>
      <c r="H3338" s="909" t="s">
        <v>2104</v>
      </c>
      <c r="J3338" s="915" t="e">
        <f>VLOOKUP(H3327,'LƯƠNG KT'!$D$16:$Z$184,13,0)</f>
        <v>#N/A</v>
      </c>
    </row>
    <row r="3339" spans="1:15" ht="15" customHeight="1">
      <c r="A3339" s="905"/>
      <c r="B3339" s="546"/>
      <c r="C3339" s="910"/>
      <c r="D3339" s="609"/>
      <c r="E3339" s="917"/>
      <c r="F3339" s="904"/>
      <c r="G3339" s="905"/>
      <c r="H3339" s="546"/>
      <c r="I3339" s="910"/>
      <c r="J3339" s="609"/>
    </row>
    <row r="3340" spans="1:15" ht="15" customHeight="1">
      <c r="A3340" s="918" t="s">
        <v>383</v>
      </c>
      <c r="B3340" s="919" t="s">
        <v>384</v>
      </c>
      <c r="C3340" s="920"/>
      <c r="D3340" s="921" t="e">
        <f>SUM(D3328:D3337)</f>
        <v>#N/A</v>
      </c>
      <c r="E3340" s="922"/>
      <c r="F3340" s="923"/>
      <c r="G3340" s="918" t="s">
        <v>383</v>
      </c>
      <c r="H3340" s="919" t="s">
        <v>384</v>
      </c>
      <c r="I3340" s="920"/>
      <c r="J3340" s="921" t="e">
        <f>SUM(J3328:J3337)</f>
        <v>#N/A</v>
      </c>
    </row>
    <row r="3341" spans="1:15" ht="20.25" customHeight="1">
      <c r="A3341" s="924"/>
      <c r="B3341" s="925"/>
      <c r="C3341" s="926"/>
      <c r="D3341" s="927"/>
      <c r="E3341" s="927"/>
      <c r="F3341" s="928"/>
      <c r="G3341" s="924"/>
      <c r="H3341" s="925"/>
      <c r="I3341" s="926"/>
      <c r="J3341" s="927"/>
    </row>
    <row r="3342" spans="1:15" ht="20.25" customHeight="1">
      <c r="A3342" s="925"/>
      <c r="B3342" s="925"/>
      <c r="C3342" s="929"/>
      <c r="D3342" s="930"/>
      <c r="E3342" s="925"/>
      <c r="F3342" s="931"/>
      <c r="G3342" s="925"/>
      <c r="H3342" s="925"/>
      <c r="I3342" s="929"/>
      <c r="J3342" s="930"/>
    </row>
    <row r="3343" spans="1:15" ht="15" customHeight="1">
      <c r="A3343" s="2360" t="str">
        <f>$K$2</f>
        <v>THÁNG 04/2025</v>
      </c>
      <c r="B3343" s="2360"/>
      <c r="C3343" s="2360"/>
      <c r="D3343" s="2360"/>
      <c r="E3343" s="903"/>
      <c r="F3343" s="904"/>
      <c r="G3343" s="2360" t="str">
        <f>$K$2</f>
        <v>THÁNG 04/2025</v>
      </c>
      <c r="H3343" s="2360"/>
      <c r="I3343" s="2360"/>
      <c r="J3343" s="2360"/>
      <c r="K3343" s="276"/>
    </row>
    <row r="3344" spans="1:15" ht="15" customHeight="1">
      <c r="A3344" s="905" t="s">
        <v>356</v>
      </c>
      <c r="B3344" s="642" t="s">
        <v>312</v>
      </c>
      <c r="C3344" s="546"/>
      <c r="D3344" s="902"/>
      <c r="E3344" s="906"/>
      <c r="F3344" s="907"/>
      <c r="G3344" s="905" t="s">
        <v>356</v>
      </c>
      <c r="H3344" s="642" t="s">
        <v>313</v>
      </c>
      <c r="I3344" s="546"/>
      <c r="J3344" s="902"/>
      <c r="L3344" s="938"/>
      <c r="M3344" s="938"/>
      <c r="N3344" s="938"/>
      <c r="O3344" s="938"/>
    </row>
    <row r="3345" spans="1:15" ht="15" customHeight="1">
      <c r="A3345" s="908" t="s">
        <v>359</v>
      </c>
      <c r="B3345" s="909" t="s">
        <v>2090</v>
      </c>
      <c r="C3345" s="910" t="e">
        <f>VLOOKUP(B3344,'LƯƠNG KT'!$D$16:$Z$184,4,0)</f>
        <v>#N/A</v>
      </c>
      <c r="D3345" s="609" t="e">
        <f>+C3345*25000</f>
        <v>#N/A</v>
      </c>
      <c r="E3345" s="911"/>
      <c r="F3345" s="911"/>
      <c r="G3345" s="908" t="s">
        <v>359</v>
      </c>
      <c r="H3345" s="909" t="s">
        <v>2090</v>
      </c>
      <c r="I3345" s="910" t="e">
        <f>VLOOKUP(H3344,'LƯƠNG KT'!$D$16:$Z$184,4,0)</f>
        <v>#N/A</v>
      </c>
      <c r="J3345" s="609" t="e">
        <f>+I3345*25000</f>
        <v>#N/A</v>
      </c>
      <c r="K3345" s="935"/>
      <c r="L3345" s="935"/>
      <c r="M3345" s="935"/>
      <c r="N3345" s="935"/>
      <c r="O3345" s="935"/>
    </row>
    <row r="3346" spans="1:15" ht="15" customHeight="1">
      <c r="A3346" s="908" t="s">
        <v>361</v>
      </c>
      <c r="B3346" s="909" t="s">
        <v>2091</v>
      </c>
      <c r="C3346" s="910" t="e">
        <f>VLOOKUP(B3344,'LƯƠNG KT'!$D$16:$Z$184,15,0)</f>
        <v>#N/A</v>
      </c>
      <c r="D3346" s="609" t="e">
        <f>C3346*$L$4</f>
        <v>#N/A</v>
      </c>
      <c r="E3346" s="912"/>
      <c r="F3346" s="912"/>
      <c r="G3346" s="908" t="s">
        <v>361</v>
      </c>
      <c r="H3346" s="909" t="s">
        <v>2091</v>
      </c>
      <c r="I3346" s="910" t="e">
        <f>VLOOKUP(H3344,'LƯƠNG KT'!$D$16:$Z$184,15,0)</f>
        <v>#N/A</v>
      </c>
      <c r="J3346" s="609" t="e">
        <f>I3346*$L$4</f>
        <v>#N/A</v>
      </c>
      <c r="K3346" s="935"/>
      <c r="L3346" s="935"/>
      <c r="M3346" s="935"/>
      <c r="N3346" s="935"/>
      <c r="O3346" s="935"/>
    </row>
    <row r="3347" spans="1:15" ht="15" customHeight="1">
      <c r="A3347" s="908" t="s">
        <v>364</v>
      </c>
      <c r="B3347" s="909" t="s">
        <v>2092</v>
      </c>
      <c r="C3347" s="910" t="e">
        <f>VLOOKUP(B3344,'LƯƠNG KT'!$D$16:$Z$184,16,0)</f>
        <v>#N/A</v>
      </c>
      <c r="D3347" s="609" t="e">
        <f>C3347*$L$5</f>
        <v>#N/A</v>
      </c>
      <c r="E3347" s="912"/>
      <c r="F3347" s="912"/>
      <c r="G3347" s="908" t="s">
        <v>364</v>
      </c>
      <c r="H3347" s="909" t="s">
        <v>2092</v>
      </c>
      <c r="I3347" s="910" t="e">
        <f>VLOOKUP(H3344,'LƯƠNG KT'!$D$16:$Z$184,16,0)</f>
        <v>#N/A</v>
      </c>
      <c r="J3347" s="609" t="e">
        <f>I3347*$L$5</f>
        <v>#N/A</v>
      </c>
      <c r="K3347" s="935"/>
      <c r="L3347" s="935"/>
      <c r="M3347" s="935"/>
      <c r="N3347" s="935"/>
      <c r="O3347" s="935"/>
    </row>
    <row r="3348" spans="1:15" ht="15" customHeight="1">
      <c r="A3348" s="908" t="s">
        <v>370</v>
      </c>
      <c r="B3348" s="909" t="s">
        <v>2093</v>
      </c>
      <c r="C3348" s="910" t="e">
        <f>VLOOKUP(B3344,'LƯƠNG KT'!$D$16:$Z$184,24,0)</f>
        <v>#N/A</v>
      </c>
      <c r="D3348" s="609" t="e">
        <f>+C3348*$L$6</f>
        <v>#N/A</v>
      </c>
      <c r="E3348" s="912"/>
      <c r="F3348" s="912"/>
      <c r="G3348" s="908" t="s">
        <v>370</v>
      </c>
      <c r="H3348" s="909" t="s">
        <v>2093</v>
      </c>
      <c r="I3348" s="910" t="e">
        <f>VLOOKUP(H3344,'LƯƠNG KT'!$D$16:$Z$184,24,0)</f>
        <v>#N/A</v>
      </c>
      <c r="J3348" s="609" t="e">
        <f>+I3348*$L$6</f>
        <v>#N/A</v>
      </c>
      <c r="K3348" s="935"/>
      <c r="L3348" s="935"/>
      <c r="M3348" s="935"/>
      <c r="N3348" s="935"/>
      <c r="O3348" s="935"/>
    </row>
    <row r="3349" spans="1:15" ht="15" customHeight="1">
      <c r="A3349" s="908" t="s">
        <v>2094</v>
      </c>
      <c r="B3349" s="909" t="s">
        <v>2095</v>
      </c>
      <c r="C3349" s="910" t="e">
        <f>VLOOKUP(B3344,'LƯƠNG KT'!$D$16:$Z$184,19,0)</f>
        <v>#N/A</v>
      </c>
      <c r="D3349" s="609" t="e">
        <f>+C3349*$L$8</f>
        <v>#N/A</v>
      </c>
      <c r="E3349" s="912"/>
      <c r="F3349" s="912"/>
      <c r="G3349" s="908" t="s">
        <v>2094</v>
      </c>
      <c r="H3349" s="909" t="s">
        <v>2095</v>
      </c>
      <c r="I3349" s="910" t="e">
        <f>VLOOKUP(H3344,'LƯƠNG KT'!$D$16:$Z$184,19,0)</f>
        <v>#N/A</v>
      </c>
      <c r="J3349" s="609" t="e">
        <f>+I3349*$L$8</f>
        <v>#N/A</v>
      </c>
      <c r="K3349" s="935"/>
      <c r="L3349" s="935"/>
      <c r="M3349" s="935"/>
      <c r="N3349" s="935"/>
      <c r="O3349" s="935"/>
    </row>
    <row r="3350" spans="1:15" ht="15" customHeight="1">
      <c r="A3350" s="908" t="s">
        <v>2096</v>
      </c>
      <c r="B3350" s="913" t="s">
        <v>2097</v>
      </c>
      <c r="C3350" s="910" t="e">
        <f>VLOOKUP(B3344,'LƯƠNG KT'!$D$16:$Z$184,20,0)</f>
        <v>#N/A</v>
      </c>
      <c r="D3350" s="609" t="e">
        <f>+C3350*$L$9</f>
        <v>#N/A</v>
      </c>
      <c r="E3350" s="912"/>
      <c r="F3350" s="912"/>
      <c r="G3350" s="908" t="s">
        <v>2096</v>
      </c>
      <c r="H3350" s="913" t="s">
        <v>2097</v>
      </c>
      <c r="I3350" s="910" t="e">
        <f>VLOOKUP(H3344,'LƯƠNG KT'!$D$16:$Z$184,20,0)</f>
        <v>#N/A</v>
      </c>
      <c r="J3350" s="609" t="e">
        <f>+I3350*$L$9</f>
        <v>#N/A</v>
      </c>
      <c r="K3350" s="935"/>
      <c r="L3350" s="935"/>
      <c r="M3350" s="935"/>
      <c r="N3350" s="935"/>
      <c r="O3350" s="935"/>
    </row>
    <row r="3351" spans="1:15" ht="15" customHeight="1">
      <c r="A3351" s="908" t="s">
        <v>2099</v>
      </c>
      <c r="B3351" s="909" t="s">
        <v>2100</v>
      </c>
      <c r="C3351" s="910" t="e">
        <f>VLOOKUP(B3344,'LƯƠNG KT'!$D$16:$Z$184,17,0)</f>
        <v>#N/A</v>
      </c>
      <c r="D3351" s="609" t="e">
        <f>+C3351*$L$10</f>
        <v>#N/A</v>
      </c>
      <c r="E3351" s="912"/>
      <c r="F3351" s="912"/>
      <c r="G3351" s="908" t="s">
        <v>2099</v>
      </c>
      <c r="H3351" s="909" t="s">
        <v>2100</v>
      </c>
      <c r="I3351" s="910" t="e">
        <f>VLOOKUP(H3344,'LƯƠNG KT'!$D$16:$Z$184,17,0)</f>
        <v>#N/A</v>
      </c>
      <c r="J3351" s="609" t="e">
        <f>+I3351*$L$10</f>
        <v>#N/A</v>
      </c>
      <c r="K3351" s="935"/>
      <c r="L3351" s="935"/>
      <c r="M3351" s="935"/>
      <c r="N3351" s="935"/>
      <c r="O3351" s="935"/>
    </row>
    <row r="3352" spans="1:15" ht="15" customHeight="1">
      <c r="A3352" s="908" t="s">
        <v>2117</v>
      </c>
      <c r="B3352" s="913" t="s">
        <v>2116</v>
      </c>
      <c r="C3352" s="910" t="e">
        <f>VLOOKUP(B3344,'LƯƠNG KT'!$D$16:$Z$184,21,0)</f>
        <v>#N/A</v>
      </c>
      <c r="D3352" s="609" t="e">
        <f>+C3352*$L$7</f>
        <v>#N/A</v>
      </c>
      <c r="E3352" s="912"/>
      <c r="F3352" s="912"/>
      <c r="G3352" s="908" t="s">
        <v>2117</v>
      </c>
      <c r="H3352" s="913" t="s">
        <v>2116</v>
      </c>
      <c r="I3352" s="910" t="e">
        <f>VLOOKUP(H3344,'LƯƠNG KT'!$D$16:$Z$184,21,0)</f>
        <v>#N/A</v>
      </c>
      <c r="J3352" s="609" t="e">
        <f>+I3352*$L$7</f>
        <v>#N/A</v>
      </c>
      <c r="K3352" s="935"/>
      <c r="L3352" s="935"/>
      <c r="M3352" s="935"/>
      <c r="N3352" s="935"/>
      <c r="O3352" s="935"/>
    </row>
    <row r="3353" spans="1:15" ht="15" customHeight="1">
      <c r="A3353" s="908" t="s">
        <v>2118</v>
      </c>
      <c r="B3353" s="909" t="s">
        <v>2112</v>
      </c>
      <c r="C3353" s="910" t="e">
        <f>VLOOKUP(B3344,'LƯƠNG KT'!$D$16:$Z$184,23,0)</f>
        <v>#N/A</v>
      </c>
      <c r="D3353" s="609" t="e">
        <f>+C3353*20000</f>
        <v>#N/A</v>
      </c>
      <c r="E3353" s="914"/>
      <c r="F3353" s="912"/>
      <c r="G3353" s="908" t="s">
        <v>2118</v>
      </c>
      <c r="H3353" s="909" t="s">
        <v>2112</v>
      </c>
      <c r="I3353" s="910" t="e">
        <f>VLOOKUP(H3344,'LƯƠNG KT'!$D$16:$Z$184,23,0)</f>
        <v>#N/A</v>
      </c>
      <c r="J3353" s="609" t="e">
        <f>+I3353*20000</f>
        <v>#N/A</v>
      </c>
      <c r="K3353" s="935"/>
      <c r="L3353" s="935"/>
      <c r="M3353" s="935"/>
      <c r="N3353" s="935"/>
      <c r="O3353" s="935"/>
    </row>
    <row r="3354" spans="1:15" ht="15" customHeight="1">
      <c r="A3354" s="908" t="s">
        <v>374</v>
      </c>
      <c r="B3354" s="909" t="s">
        <v>2102</v>
      </c>
      <c r="C3354" s="910" t="e">
        <f>VLOOKUP(B3344,'LƯƠNG KT'!$D$16:$Z$184,12,0)</f>
        <v>#N/A</v>
      </c>
      <c r="D3354" s="609" t="e">
        <f>VLOOKUP(B3344,'LƯƠNG KT'!$D$16:$Z$184,14,0)</f>
        <v>#N/A</v>
      </c>
      <c r="E3354" s="916"/>
      <c r="F3354" s="916"/>
      <c r="G3354" s="908" t="s">
        <v>374</v>
      </c>
      <c r="H3354" s="909" t="s">
        <v>2102</v>
      </c>
      <c r="I3354" s="910" t="e">
        <f>VLOOKUP(H3344,'LƯƠNG KT'!$D$16:$Z$184,12,0)</f>
        <v>#N/A</v>
      </c>
      <c r="J3354" s="609" t="e">
        <f>VLOOKUP(H3344,'LƯƠNG KT'!$D$16:$Z$184,14,0)</f>
        <v>#N/A</v>
      </c>
    </row>
    <row r="3355" spans="1:15" ht="15" customHeight="1">
      <c r="A3355" s="908" t="s">
        <v>2103</v>
      </c>
      <c r="B3355" s="909" t="s">
        <v>2104</v>
      </c>
      <c r="D3355" s="915" t="e">
        <f>VLOOKUP(B3344,'LƯƠNG KT'!$D$16:$Z$184,13,0)</f>
        <v>#N/A</v>
      </c>
      <c r="E3355" s="914"/>
      <c r="F3355" s="916"/>
      <c r="G3355" s="908" t="s">
        <v>2103</v>
      </c>
      <c r="H3355" s="909" t="s">
        <v>2104</v>
      </c>
      <c r="J3355" s="915" t="e">
        <f>VLOOKUP(H3344,'LƯƠNG KT'!$D$16:$Z$184,13,0)</f>
        <v>#N/A</v>
      </c>
    </row>
    <row r="3356" spans="1:15" ht="15" customHeight="1">
      <c r="A3356" s="905"/>
      <c r="B3356" s="546"/>
      <c r="C3356" s="910"/>
      <c r="D3356" s="609"/>
      <c r="E3356" s="917"/>
      <c r="F3356" s="904"/>
      <c r="G3356" s="905"/>
      <c r="H3356" s="546"/>
      <c r="I3356" s="910"/>
      <c r="J3356" s="609"/>
    </row>
    <row r="3357" spans="1:15" ht="15" customHeight="1">
      <c r="A3357" s="918" t="s">
        <v>383</v>
      </c>
      <c r="B3357" s="919" t="s">
        <v>384</v>
      </c>
      <c r="C3357" s="920"/>
      <c r="D3357" s="921" t="e">
        <f>SUM(D3345:D3354)</f>
        <v>#N/A</v>
      </c>
      <c r="E3357" s="922"/>
      <c r="F3357" s="923"/>
      <c r="G3357" s="918" t="s">
        <v>383</v>
      </c>
      <c r="H3357" s="919" t="s">
        <v>384</v>
      </c>
      <c r="I3357" s="920"/>
      <c r="J3357" s="921" t="e">
        <f>SUM(J3345:J3354)</f>
        <v>#N/A</v>
      </c>
    </row>
    <row r="3358" spans="1:15" ht="11.25" customHeight="1">
      <c r="A3358" s="924"/>
      <c r="B3358" s="925"/>
      <c r="C3358" s="926"/>
      <c r="D3358" s="927"/>
      <c r="E3358" s="927"/>
      <c r="F3358" s="928"/>
      <c r="G3358" s="924"/>
      <c r="H3358" s="925"/>
      <c r="I3358" s="926"/>
      <c r="J3358" s="927"/>
    </row>
    <row r="3359" spans="1:15" ht="92.25" customHeight="1">
      <c r="A3359" s="925"/>
      <c r="B3359" s="925"/>
      <c r="C3359" s="929"/>
      <c r="D3359" s="930"/>
      <c r="E3359" s="925"/>
      <c r="F3359" s="931"/>
      <c r="G3359" s="925"/>
      <c r="H3359" s="925"/>
      <c r="I3359" s="929"/>
      <c r="J3359" s="930"/>
    </row>
    <row r="3360" spans="1:15" ht="15" customHeight="1">
      <c r="A3360" s="2360" t="str">
        <f>$K$2</f>
        <v>THÁNG 04/2025</v>
      </c>
      <c r="B3360" s="2360"/>
      <c r="C3360" s="2360"/>
      <c r="D3360" s="2360"/>
      <c r="E3360" s="903"/>
      <c r="F3360" s="904"/>
      <c r="G3360" s="2360" t="str">
        <f>$K$2</f>
        <v>THÁNG 04/2025</v>
      </c>
      <c r="H3360" s="2360"/>
      <c r="I3360" s="2360"/>
      <c r="J3360" s="2360"/>
      <c r="K3360" s="276"/>
    </row>
    <row r="3361" spans="1:15" ht="15" customHeight="1">
      <c r="A3361" s="905" t="s">
        <v>356</v>
      </c>
      <c r="B3361" s="642" t="s">
        <v>314</v>
      </c>
      <c r="C3361" s="546"/>
      <c r="D3361" s="902"/>
      <c r="E3361" s="906"/>
      <c r="F3361" s="907"/>
      <c r="G3361" s="905" t="s">
        <v>356</v>
      </c>
      <c r="H3361" s="642" t="s">
        <v>315</v>
      </c>
      <c r="I3361" s="546"/>
      <c r="J3361" s="902"/>
      <c r="L3361" s="938"/>
      <c r="M3361" s="938"/>
      <c r="N3361" s="938"/>
      <c r="O3361" s="938"/>
    </row>
    <row r="3362" spans="1:15" ht="15" customHeight="1">
      <c r="A3362" s="908" t="s">
        <v>359</v>
      </c>
      <c r="B3362" s="909" t="s">
        <v>2090</v>
      </c>
      <c r="C3362" s="910" t="e">
        <f>VLOOKUP(B3361,'LƯƠNG KT'!$D$16:$Z$184,4,0)</f>
        <v>#N/A</v>
      </c>
      <c r="D3362" s="609" t="e">
        <f>+C3362*25000</f>
        <v>#N/A</v>
      </c>
      <c r="E3362" s="911"/>
      <c r="F3362" s="911"/>
      <c r="G3362" s="908" t="s">
        <v>359</v>
      </c>
      <c r="H3362" s="909" t="s">
        <v>2090</v>
      </c>
      <c r="I3362" s="910" t="e">
        <f>VLOOKUP(H3361,'LƯƠNG KT'!$D$16:$Z$184,4,0)</f>
        <v>#N/A</v>
      </c>
      <c r="J3362" s="609" t="e">
        <f>+I3362*25000</f>
        <v>#N/A</v>
      </c>
      <c r="K3362" s="935"/>
      <c r="L3362" s="935"/>
      <c r="M3362" s="935"/>
      <c r="N3362" s="935"/>
      <c r="O3362" s="935"/>
    </row>
    <row r="3363" spans="1:15" ht="15" customHeight="1">
      <c r="A3363" s="908" t="s">
        <v>361</v>
      </c>
      <c r="B3363" s="909" t="s">
        <v>2091</v>
      </c>
      <c r="C3363" s="910" t="e">
        <f>VLOOKUP(B3361,'LƯƠNG KT'!$D$16:$Z$184,15,0)</f>
        <v>#N/A</v>
      </c>
      <c r="D3363" s="609" t="e">
        <f>C3363*$L$4</f>
        <v>#N/A</v>
      </c>
      <c r="E3363" s="912"/>
      <c r="F3363" s="912"/>
      <c r="G3363" s="908" t="s">
        <v>361</v>
      </c>
      <c r="H3363" s="909" t="s">
        <v>2091</v>
      </c>
      <c r="I3363" s="910" t="e">
        <f>VLOOKUP(H3361,'LƯƠNG KT'!$D$16:$Z$184,15,0)</f>
        <v>#N/A</v>
      </c>
      <c r="J3363" s="609" t="e">
        <f>I3363*$L$4</f>
        <v>#N/A</v>
      </c>
      <c r="K3363" s="935"/>
      <c r="L3363" s="935"/>
      <c r="M3363" s="935"/>
      <c r="N3363" s="935"/>
      <c r="O3363" s="935"/>
    </row>
    <row r="3364" spans="1:15" ht="15" customHeight="1">
      <c r="A3364" s="908" t="s">
        <v>364</v>
      </c>
      <c r="B3364" s="909" t="s">
        <v>2092</v>
      </c>
      <c r="C3364" s="910" t="e">
        <f>VLOOKUP(B3361,'LƯƠNG KT'!$D$16:$Z$184,16,0)</f>
        <v>#N/A</v>
      </c>
      <c r="D3364" s="609" t="e">
        <f>C3364*$L$5</f>
        <v>#N/A</v>
      </c>
      <c r="E3364" s="912"/>
      <c r="F3364" s="912"/>
      <c r="G3364" s="908" t="s">
        <v>364</v>
      </c>
      <c r="H3364" s="909" t="s">
        <v>2092</v>
      </c>
      <c r="I3364" s="910" t="e">
        <f>VLOOKUP(H3361,'LƯƠNG KT'!$D$16:$Z$184,16,0)</f>
        <v>#N/A</v>
      </c>
      <c r="J3364" s="609" t="e">
        <f>I3364*$L$5</f>
        <v>#N/A</v>
      </c>
      <c r="K3364" s="935"/>
      <c r="L3364" s="935"/>
      <c r="M3364" s="935"/>
      <c r="N3364" s="935"/>
      <c r="O3364" s="935"/>
    </row>
    <row r="3365" spans="1:15" ht="15" customHeight="1">
      <c r="A3365" s="908" t="s">
        <v>370</v>
      </c>
      <c r="B3365" s="909" t="s">
        <v>2093</v>
      </c>
      <c r="C3365" s="910" t="e">
        <f>VLOOKUP(B3361,'LƯƠNG KT'!$D$16:$Z$184,24,0)</f>
        <v>#N/A</v>
      </c>
      <c r="D3365" s="609" t="e">
        <f>+C3365*$L$6</f>
        <v>#N/A</v>
      </c>
      <c r="E3365" s="912"/>
      <c r="F3365" s="912"/>
      <c r="G3365" s="908" t="s">
        <v>370</v>
      </c>
      <c r="H3365" s="909" t="s">
        <v>2093</v>
      </c>
      <c r="I3365" s="910" t="e">
        <f>VLOOKUP(H3361,'LƯƠNG KT'!$D$16:$Z$184,24,0)</f>
        <v>#N/A</v>
      </c>
      <c r="J3365" s="609" t="e">
        <f>+I3365*$L$6</f>
        <v>#N/A</v>
      </c>
      <c r="K3365" s="935"/>
      <c r="L3365" s="935"/>
      <c r="M3365" s="935"/>
      <c r="N3365" s="935"/>
      <c r="O3365" s="935"/>
    </row>
    <row r="3366" spans="1:15" ht="15" customHeight="1">
      <c r="A3366" s="908" t="s">
        <v>2094</v>
      </c>
      <c r="B3366" s="909" t="s">
        <v>2095</v>
      </c>
      <c r="C3366" s="910" t="e">
        <f>VLOOKUP(B3361,'LƯƠNG KT'!$D$16:$Z$184,19,0)</f>
        <v>#N/A</v>
      </c>
      <c r="D3366" s="609" t="e">
        <f>+C3366*$L$8</f>
        <v>#N/A</v>
      </c>
      <c r="E3366" s="912"/>
      <c r="F3366" s="912"/>
      <c r="G3366" s="908" t="s">
        <v>2094</v>
      </c>
      <c r="H3366" s="909" t="s">
        <v>2095</v>
      </c>
      <c r="I3366" s="910" t="e">
        <f>VLOOKUP(H3361,'LƯƠNG KT'!$D$16:$Z$184,19,0)</f>
        <v>#N/A</v>
      </c>
      <c r="J3366" s="609" t="e">
        <f>+I3366*$L$8</f>
        <v>#N/A</v>
      </c>
      <c r="K3366" s="935"/>
      <c r="L3366" s="935"/>
      <c r="M3366" s="935"/>
      <c r="N3366" s="935"/>
      <c r="O3366" s="935"/>
    </row>
    <row r="3367" spans="1:15" ht="15" customHeight="1">
      <c r="A3367" s="908" t="s">
        <v>2096</v>
      </c>
      <c r="B3367" s="913" t="s">
        <v>2097</v>
      </c>
      <c r="C3367" s="910" t="e">
        <f>VLOOKUP(B3361,'LƯƠNG KT'!$D$16:$Z$184,20,0)</f>
        <v>#N/A</v>
      </c>
      <c r="D3367" s="609" t="e">
        <f>+C3367*$L$9</f>
        <v>#N/A</v>
      </c>
      <c r="E3367" s="912"/>
      <c r="F3367" s="912"/>
      <c r="G3367" s="908" t="s">
        <v>2096</v>
      </c>
      <c r="H3367" s="913" t="s">
        <v>2097</v>
      </c>
      <c r="I3367" s="910" t="e">
        <f>VLOOKUP(H3361,'LƯƠNG KT'!$D$16:$Z$184,20,0)</f>
        <v>#N/A</v>
      </c>
      <c r="J3367" s="609" t="e">
        <f>+I3367*$L$9</f>
        <v>#N/A</v>
      </c>
      <c r="K3367" s="935"/>
      <c r="L3367" s="935"/>
      <c r="M3367" s="935"/>
      <c r="N3367" s="935"/>
      <c r="O3367" s="935"/>
    </row>
    <row r="3368" spans="1:15" ht="15" customHeight="1">
      <c r="A3368" s="908" t="s">
        <v>2099</v>
      </c>
      <c r="B3368" s="909" t="s">
        <v>2100</v>
      </c>
      <c r="C3368" s="910" t="e">
        <f>VLOOKUP(B3361,'LƯƠNG KT'!$D$16:$Z$184,17,0)</f>
        <v>#N/A</v>
      </c>
      <c r="D3368" s="609" t="e">
        <f>+C3368*$L$10</f>
        <v>#N/A</v>
      </c>
      <c r="E3368" s="912"/>
      <c r="F3368" s="912"/>
      <c r="G3368" s="908" t="s">
        <v>2099</v>
      </c>
      <c r="H3368" s="909" t="s">
        <v>2100</v>
      </c>
      <c r="I3368" s="910" t="e">
        <f>VLOOKUP(H3361,'LƯƠNG KT'!$D$16:$Z$184,17,0)</f>
        <v>#N/A</v>
      </c>
      <c r="J3368" s="609" t="e">
        <f>+I3368*$L$10</f>
        <v>#N/A</v>
      </c>
      <c r="K3368" s="935"/>
      <c r="L3368" s="935"/>
      <c r="M3368" s="935"/>
      <c r="N3368" s="935"/>
      <c r="O3368" s="935"/>
    </row>
    <row r="3369" spans="1:15" ht="15" customHeight="1">
      <c r="A3369" s="908" t="s">
        <v>2117</v>
      </c>
      <c r="B3369" s="913" t="s">
        <v>2116</v>
      </c>
      <c r="C3369" s="910" t="e">
        <f>VLOOKUP(B3361,'LƯƠNG KT'!$D$16:$Z$184,21,0)</f>
        <v>#N/A</v>
      </c>
      <c r="D3369" s="609" t="e">
        <f>+C3369*$L$7</f>
        <v>#N/A</v>
      </c>
      <c r="E3369" s="912"/>
      <c r="F3369" s="912"/>
      <c r="G3369" s="908" t="s">
        <v>2117</v>
      </c>
      <c r="H3369" s="913" t="s">
        <v>2116</v>
      </c>
      <c r="I3369" s="910" t="e">
        <f>VLOOKUP(H3361,'LƯƠNG KT'!$D$16:$Z$184,21,0)</f>
        <v>#N/A</v>
      </c>
      <c r="J3369" s="609" t="e">
        <f>+I3369*$L$7</f>
        <v>#N/A</v>
      </c>
      <c r="K3369" s="935"/>
      <c r="L3369" s="935"/>
      <c r="M3369" s="935"/>
      <c r="N3369" s="935"/>
      <c r="O3369" s="935"/>
    </row>
    <row r="3370" spans="1:15" ht="15" customHeight="1">
      <c r="A3370" s="908" t="s">
        <v>2118</v>
      </c>
      <c r="B3370" s="909" t="s">
        <v>2112</v>
      </c>
      <c r="C3370" s="910" t="e">
        <f>VLOOKUP(B3361,'LƯƠNG KT'!$D$16:$Z$184,23,0)</f>
        <v>#N/A</v>
      </c>
      <c r="D3370" s="609" t="e">
        <f>+C3370*20000</f>
        <v>#N/A</v>
      </c>
      <c r="E3370" s="914"/>
      <c r="F3370" s="912"/>
      <c r="G3370" s="908" t="s">
        <v>2118</v>
      </c>
      <c r="H3370" s="909" t="s">
        <v>2112</v>
      </c>
      <c r="I3370" s="910" t="e">
        <f>VLOOKUP(H3361,'LƯƠNG KT'!$D$16:$Z$184,23,0)</f>
        <v>#N/A</v>
      </c>
      <c r="J3370" s="609" t="e">
        <f>+I3370*20000</f>
        <v>#N/A</v>
      </c>
      <c r="K3370" s="935"/>
      <c r="L3370" s="935"/>
      <c r="M3370" s="935"/>
      <c r="N3370" s="935"/>
      <c r="O3370" s="935"/>
    </row>
    <row r="3371" spans="1:15" ht="15" customHeight="1">
      <c r="A3371" s="908" t="s">
        <v>374</v>
      </c>
      <c r="B3371" s="909" t="s">
        <v>2102</v>
      </c>
      <c r="C3371" s="910" t="e">
        <f>VLOOKUP(B3361,'LƯƠNG KT'!$D$16:$Z$184,12,0)</f>
        <v>#N/A</v>
      </c>
      <c r="D3371" s="609" t="e">
        <f>VLOOKUP(B3361,'LƯƠNG KT'!$D$16:$Z$184,14,0)</f>
        <v>#N/A</v>
      </c>
      <c r="E3371" s="916"/>
      <c r="F3371" s="916"/>
      <c r="G3371" s="908" t="s">
        <v>374</v>
      </c>
      <c r="H3371" s="909" t="s">
        <v>2102</v>
      </c>
      <c r="I3371" s="910" t="e">
        <f>VLOOKUP(H3361,'LƯƠNG KT'!$D$16:$Z$184,12,0)</f>
        <v>#N/A</v>
      </c>
      <c r="J3371" s="609" t="e">
        <f>VLOOKUP(H3361,'LƯƠNG KT'!$D$16:$Z$184,14,0)</f>
        <v>#N/A</v>
      </c>
    </row>
    <row r="3372" spans="1:15" ht="15" customHeight="1">
      <c r="A3372" s="908" t="s">
        <v>2103</v>
      </c>
      <c r="B3372" s="909" t="s">
        <v>2104</v>
      </c>
      <c r="D3372" s="915" t="e">
        <f>VLOOKUP(B3361,'LƯƠNG KT'!$D$16:$Z$184,13,0)</f>
        <v>#N/A</v>
      </c>
      <c r="E3372" s="914"/>
      <c r="F3372" s="916"/>
      <c r="G3372" s="908" t="s">
        <v>2103</v>
      </c>
      <c r="H3372" s="909" t="s">
        <v>2104</v>
      </c>
      <c r="J3372" s="915" t="e">
        <f>VLOOKUP(H3361,'LƯƠNG KT'!$D$16:$Z$184,13,0)</f>
        <v>#N/A</v>
      </c>
    </row>
    <row r="3373" spans="1:15" ht="15" customHeight="1">
      <c r="A3373" s="905"/>
      <c r="B3373" s="546"/>
      <c r="C3373" s="910"/>
      <c r="D3373" s="609"/>
      <c r="E3373" s="917"/>
      <c r="F3373" s="904"/>
      <c r="G3373" s="905"/>
      <c r="H3373" s="546"/>
      <c r="I3373" s="910"/>
      <c r="J3373" s="609"/>
    </row>
    <row r="3374" spans="1:15" ht="18.75" customHeight="1">
      <c r="A3374" s="918" t="s">
        <v>383</v>
      </c>
      <c r="B3374" s="919" t="s">
        <v>384</v>
      </c>
      <c r="C3374" s="920"/>
      <c r="D3374" s="921" t="e">
        <f>SUM(D3362:D3371)</f>
        <v>#N/A</v>
      </c>
      <c r="E3374" s="922"/>
      <c r="F3374" s="923"/>
      <c r="G3374" s="918" t="s">
        <v>383</v>
      </c>
      <c r="H3374" s="919" t="s">
        <v>384</v>
      </c>
      <c r="I3374" s="920"/>
      <c r="J3374" s="921" t="e">
        <f>SUM(J3362:J3371)</f>
        <v>#N/A</v>
      </c>
    </row>
    <row r="3375" spans="1:15" ht="18.75" customHeight="1">
      <c r="A3375" s="924"/>
      <c r="B3375" s="925"/>
      <c r="C3375" s="926"/>
      <c r="D3375" s="927"/>
      <c r="E3375" s="927"/>
      <c r="F3375" s="928"/>
      <c r="G3375" s="924"/>
      <c r="H3375" s="925"/>
      <c r="I3375" s="926"/>
      <c r="J3375" s="927"/>
    </row>
    <row r="3376" spans="1:15" ht="12.75" customHeight="1"/>
    <row r="3377" spans="1:15" ht="12.75" customHeight="1">
      <c r="A3377" s="2361"/>
      <c r="B3377" s="2361"/>
      <c r="C3377" s="2361"/>
      <c r="D3377" s="2361"/>
      <c r="E3377" s="2361"/>
      <c r="F3377" s="2361"/>
      <c r="G3377" s="2361"/>
      <c r="H3377" s="2361"/>
      <c r="I3377" s="2361"/>
      <c r="J3377" s="2361"/>
    </row>
    <row r="3378" spans="1:15" ht="15" customHeight="1">
      <c r="A3378" s="2360" t="str">
        <f>$K$2</f>
        <v>THÁNG 04/2025</v>
      </c>
      <c r="B3378" s="2360"/>
      <c r="C3378" s="2360"/>
      <c r="D3378" s="2360"/>
      <c r="E3378" s="903"/>
      <c r="F3378" s="904"/>
      <c r="G3378" s="2360" t="str">
        <f>$K$2</f>
        <v>THÁNG 04/2025</v>
      </c>
      <c r="H3378" s="2360"/>
      <c r="I3378" s="2360"/>
      <c r="J3378" s="2360"/>
      <c r="K3378" s="276"/>
    </row>
    <row r="3379" spans="1:15" ht="15" customHeight="1">
      <c r="A3379" s="905" t="s">
        <v>356</v>
      </c>
      <c r="B3379" s="642" t="s">
        <v>316</v>
      </c>
      <c r="C3379" s="546"/>
      <c r="D3379" s="902"/>
      <c r="E3379" s="906"/>
      <c r="F3379" s="907"/>
      <c r="G3379" s="905" t="s">
        <v>356</v>
      </c>
      <c r="H3379" s="642" t="s">
        <v>317</v>
      </c>
      <c r="I3379" s="546"/>
      <c r="J3379" s="902"/>
      <c r="L3379" s="938"/>
      <c r="M3379" s="938"/>
      <c r="N3379" s="938"/>
      <c r="O3379" s="938"/>
    </row>
    <row r="3380" spans="1:15" ht="15" customHeight="1">
      <c r="A3380" s="908" t="s">
        <v>359</v>
      </c>
      <c r="B3380" s="909" t="s">
        <v>2090</v>
      </c>
      <c r="C3380" s="910" t="e">
        <f>VLOOKUP(B3379,'LƯƠNG KT'!$D$16:$Z$184,4,0)</f>
        <v>#N/A</v>
      </c>
      <c r="D3380" s="609" t="e">
        <f>+C3380*25000</f>
        <v>#N/A</v>
      </c>
      <c r="E3380" s="911"/>
      <c r="F3380" s="911"/>
      <c r="G3380" s="908" t="s">
        <v>359</v>
      </c>
      <c r="H3380" s="909" t="s">
        <v>2090</v>
      </c>
      <c r="I3380" s="910" t="e">
        <f>VLOOKUP(H3379,'LƯƠNG KT'!$D$16:$Z$184,4,0)</f>
        <v>#N/A</v>
      </c>
      <c r="J3380" s="609" t="e">
        <f>+I3380*25000</f>
        <v>#N/A</v>
      </c>
      <c r="K3380" s="934"/>
      <c r="L3380" s="935"/>
      <c r="M3380" s="935"/>
      <c r="N3380" s="935"/>
      <c r="O3380" s="935"/>
    </row>
    <row r="3381" spans="1:15" ht="15" customHeight="1">
      <c r="A3381" s="908" t="s">
        <v>361</v>
      </c>
      <c r="B3381" s="909" t="s">
        <v>2091</v>
      </c>
      <c r="C3381" s="910" t="e">
        <f>VLOOKUP(B3379,'LƯƠNG KT'!$D$16:$Z$184,15,0)</f>
        <v>#N/A</v>
      </c>
      <c r="D3381" s="609" t="e">
        <f>C3381*$L$4</f>
        <v>#N/A</v>
      </c>
      <c r="E3381" s="912"/>
      <c r="F3381" s="912"/>
      <c r="G3381" s="908" t="s">
        <v>361</v>
      </c>
      <c r="H3381" s="909" t="s">
        <v>2091</v>
      </c>
      <c r="I3381" s="910" t="e">
        <f>VLOOKUP(H3379,'LƯƠNG KT'!$D$16:$Z$184,15,0)</f>
        <v>#N/A</v>
      </c>
      <c r="J3381" s="609" t="e">
        <f>I3381*$L$4</f>
        <v>#N/A</v>
      </c>
      <c r="K3381" s="934"/>
      <c r="L3381" s="935"/>
      <c r="M3381" s="935"/>
      <c r="N3381" s="935"/>
      <c r="O3381" s="935"/>
    </row>
    <row r="3382" spans="1:15" ht="15" customHeight="1">
      <c r="A3382" s="908" t="s">
        <v>364</v>
      </c>
      <c r="B3382" s="909" t="s">
        <v>2092</v>
      </c>
      <c r="C3382" s="910" t="e">
        <f>VLOOKUP(B3379,'LƯƠNG KT'!$D$16:$Z$184,16,0)</f>
        <v>#N/A</v>
      </c>
      <c r="D3382" s="609" t="e">
        <f>C3382*$L$5</f>
        <v>#N/A</v>
      </c>
      <c r="E3382" s="912"/>
      <c r="F3382" s="912"/>
      <c r="G3382" s="908" t="s">
        <v>364</v>
      </c>
      <c r="H3382" s="909" t="s">
        <v>2092</v>
      </c>
      <c r="I3382" s="910" t="e">
        <f>VLOOKUP(H3379,'LƯƠNG KT'!$D$16:$Z$184,16,0)</f>
        <v>#N/A</v>
      </c>
      <c r="J3382" s="609" t="e">
        <f>I3382*$L$5</f>
        <v>#N/A</v>
      </c>
      <c r="K3382" s="934"/>
      <c r="L3382" s="935"/>
      <c r="M3382" s="935"/>
      <c r="N3382" s="935"/>
      <c r="O3382" s="935"/>
    </row>
    <row r="3383" spans="1:15" ht="15" customHeight="1">
      <c r="A3383" s="908" t="s">
        <v>370</v>
      </c>
      <c r="B3383" s="909" t="s">
        <v>2093</v>
      </c>
      <c r="C3383" s="910" t="e">
        <f>VLOOKUP(B3379,'LƯƠNG KT'!$D$16:$Z$184,24,0)</f>
        <v>#N/A</v>
      </c>
      <c r="D3383" s="609" t="e">
        <f>+C3383*$L$6</f>
        <v>#N/A</v>
      </c>
      <c r="E3383" s="912"/>
      <c r="F3383" s="912"/>
      <c r="G3383" s="908" t="s">
        <v>370</v>
      </c>
      <c r="H3383" s="909" t="s">
        <v>2093</v>
      </c>
      <c r="I3383" s="910" t="e">
        <f>VLOOKUP(H3379,'LƯƠNG KT'!$D$16:$Z$184,24,0)</f>
        <v>#N/A</v>
      </c>
      <c r="J3383" s="609" t="e">
        <f>+I3383*$L$6</f>
        <v>#N/A</v>
      </c>
      <c r="K3383" s="934"/>
      <c r="L3383" s="935"/>
      <c r="M3383" s="935"/>
      <c r="N3383" s="935"/>
      <c r="O3383" s="935"/>
    </row>
    <row r="3384" spans="1:15" ht="15" customHeight="1">
      <c r="A3384" s="908" t="s">
        <v>2094</v>
      </c>
      <c r="B3384" s="909" t="s">
        <v>2095</v>
      </c>
      <c r="C3384" s="910" t="e">
        <f>VLOOKUP(B3379,'LƯƠNG KT'!$D$16:$Z$184,19,0)</f>
        <v>#N/A</v>
      </c>
      <c r="D3384" s="609" t="e">
        <f>+C3384*$L$8</f>
        <v>#N/A</v>
      </c>
      <c r="E3384" s="912"/>
      <c r="F3384" s="912"/>
      <c r="G3384" s="908" t="s">
        <v>2094</v>
      </c>
      <c r="H3384" s="909" t="s">
        <v>2095</v>
      </c>
      <c r="I3384" s="910" t="e">
        <f>VLOOKUP(H3379,'LƯƠNG KT'!$D$16:$Z$184,19,0)</f>
        <v>#N/A</v>
      </c>
      <c r="J3384" s="609" t="e">
        <f>+I3384*$L$8</f>
        <v>#N/A</v>
      </c>
      <c r="K3384" s="935"/>
      <c r="L3384" s="935"/>
      <c r="M3384" s="935"/>
      <c r="N3384" s="935"/>
      <c r="O3384" s="935"/>
    </row>
    <row r="3385" spans="1:15" ht="15" customHeight="1">
      <c r="A3385" s="908" t="s">
        <v>2096</v>
      </c>
      <c r="B3385" s="913" t="s">
        <v>2097</v>
      </c>
      <c r="C3385" s="910" t="e">
        <f>VLOOKUP(B3379,'LƯƠNG KT'!$D$16:$Z$184,20,0)</f>
        <v>#N/A</v>
      </c>
      <c r="D3385" s="609" t="e">
        <f>+C3385*$L$9</f>
        <v>#N/A</v>
      </c>
      <c r="E3385" s="912"/>
      <c r="F3385" s="912"/>
      <c r="G3385" s="908" t="s">
        <v>2096</v>
      </c>
      <c r="H3385" s="913" t="s">
        <v>2097</v>
      </c>
      <c r="I3385" s="910" t="e">
        <f>VLOOKUP(H3379,'LƯƠNG KT'!$D$16:$Z$184,20,0)</f>
        <v>#N/A</v>
      </c>
      <c r="J3385" s="609" t="e">
        <f>+I3385*$L$9</f>
        <v>#N/A</v>
      </c>
      <c r="K3385" s="935"/>
      <c r="L3385" s="935"/>
      <c r="M3385" s="935"/>
      <c r="N3385" s="935"/>
      <c r="O3385" s="935"/>
    </row>
    <row r="3386" spans="1:15" ht="15" customHeight="1">
      <c r="A3386" s="908" t="s">
        <v>2099</v>
      </c>
      <c r="B3386" s="909" t="s">
        <v>2100</v>
      </c>
      <c r="C3386" s="910" t="e">
        <f>VLOOKUP(B3379,'LƯƠNG KT'!$D$16:$Z$184,17,0)</f>
        <v>#N/A</v>
      </c>
      <c r="D3386" s="609" t="e">
        <f>+C3386*$L$10</f>
        <v>#N/A</v>
      </c>
      <c r="E3386" s="912"/>
      <c r="F3386" s="912"/>
      <c r="G3386" s="908" t="s">
        <v>2099</v>
      </c>
      <c r="H3386" s="909" t="s">
        <v>2100</v>
      </c>
      <c r="I3386" s="910" t="e">
        <f>VLOOKUP(H3379,'LƯƠNG KT'!$D$16:$Z$184,17,0)</f>
        <v>#N/A</v>
      </c>
      <c r="J3386" s="609" t="e">
        <f>+I3386*$L$10</f>
        <v>#N/A</v>
      </c>
      <c r="K3386" s="935"/>
      <c r="L3386" s="935"/>
      <c r="M3386" s="935"/>
      <c r="N3386" s="935"/>
      <c r="O3386" s="935"/>
    </row>
    <row r="3387" spans="1:15" ht="15" customHeight="1">
      <c r="A3387" s="908" t="s">
        <v>2117</v>
      </c>
      <c r="B3387" s="909" t="s">
        <v>2110</v>
      </c>
      <c r="C3387" s="910" t="e">
        <f>VLOOKUP(B3379,'LƯƠNG KT'!$D$16:$Z$184,21,0)</f>
        <v>#N/A</v>
      </c>
      <c r="D3387" s="609" t="e">
        <f>+C3387*$L$7</f>
        <v>#N/A</v>
      </c>
      <c r="E3387" s="912"/>
      <c r="F3387" s="912"/>
      <c r="G3387" s="908" t="s">
        <v>2117</v>
      </c>
      <c r="H3387" s="909" t="s">
        <v>2110</v>
      </c>
      <c r="I3387" s="910" t="e">
        <f>VLOOKUP(H3379,'LƯƠNG KT'!$D$16:$Z$184,21,0)</f>
        <v>#N/A</v>
      </c>
      <c r="J3387" s="609" t="e">
        <f>+I3387*$L$7</f>
        <v>#N/A</v>
      </c>
      <c r="K3387" s="935"/>
      <c r="L3387" s="935"/>
      <c r="M3387" s="935"/>
      <c r="N3387" s="935"/>
      <c r="O3387" s="935"/>
    </row>
    <row r="3388" spans="1:15" ht="15" customHeight="1">
      <c r="A3388" s="908" t="s">
        <v>2118</v>
      </c>
      <c r="B3388" s="909" t="s">
        <v>2112</v>
      </c>
      <c r="C3388" s="910" t="e">
        <f>VLOOKUP(B3379,'LƯƠNG KT'!$D$16:$Z$184,23,0)</f>
        <v>#N/A</v>
      </c>
      <c r="D3388" s="609" t="e">
        <f>+C3388*20000</f>
        <v>#N/A</v>
      </c>
      <c r="E3388" s="914"/>
      <c r="F3388" s="912"/>
      <c r="G3388" s="908" t="s">
        <v>2118</v>
      </c>
      <c r="H3388" s="909" t="s">
        <v>2112</v>
      </c>
      <c r="I3388" s="910" t="e">
        <f>VLOOKUP(H3379,'LƯƠNG KT'!$D$16:$Z$184,23,0)</f>
        <v>#N/A</v>
      </c>
      <c r="J3388" s="609" t="e">
        <f>+I3388*20000</f>
        <v>#N/A</v>
      </c>
      <c r="K3388" s="935"/>
      <c r="L3388" s="935"/>
      <c r="M3388" s="935"/>
      <c r="N3388" s="935"/>
      <c r="O3388" s="935"/>
    </row>
    <row r="3389" spans="1:15" ht="15" customHeight="1">
      <c r="A3389" s="908" t="s">
        <v>374</v>
      </c>
      <c r="B3389" s="909" t="s">
        <v>2102</v>
      </c>
      <c r="C3389" s="910" t="e">
        <f>VLOOKUP(B3379,'LƯƠNG KT'!$D$16:$Z$184,12,0)</f>
        <v>#N/A</v>
      </c>
      <c r="D3389" s="609" t="e">
        <f>VLOOKUP(B3379,'LƯƠNG KT'!$D$16:$Z$184,14,0)</f>
        <v>#N/A</v>
      </c>
      <c r="E3389" s="916"/>
      <c r="F3389" s="916"/>
      <c r="G3389" s="908" t="s">
        <v>374</v>
      </c>
      <c r="H3389" s="909" t="s">
        <v>2102</v>
      </c>
      <c r="I3389" s="910" t="e">
        <f>VLOOKUP(H3379,'LƯƠNG KT'!$D$16:$Z$184,12,0)</f>
        <v>#N/A</v>
      </c>
      <c r="J3389" s="609" t="e">
        <f>VLOOKUP(H3379,'LƯƠNG KT'!$D$16:$Z$184,14,0)</f>
        <v>#N/A</v>
      </c>
    </row>
    <row r="3390" spans="1:15" ht="15" customHeight="1">
      <c r="A3390" s="908" t="s">
        <v>2103</v>
      </c>
      <c r="B3390" s="909" t="s">
        <v>2104</v>
      </c>
      <c r="D3390" s="915" t="e">
        <f>VLOOKUP(B3379,'LƯƠNG KT'!$D$16:$Z$184,13,0)</f>
        <v>#N/A</v>
      </c>
      <c r="E3390" s="914"/>
      <c r="F3390" s="916"/>
      <c r="G3390" s="908" t="s">
        <v>2103</v>
      </c>
      <c r="H3390" s="909" t="s">
        <v>2104</v>
      </c>
      <c r="J3390" s="915" t="e">
        <f>VLOOKUP(H3379,'LƯƠNG KT'!$D$16:$Z$184,13,0)</f>
        <v>#N/A</v>
      </c>
    </row>
    <row r="3391" spans="1:15" ht="15" customHeight="1">
      <c r="A3391" s="905"/>
      <c r="B3391" s="546"/>
      <c r="C3391" s="910"/>
      <c r="D3391" s="609"/>
      <c r="E3391" s="917"/>
      <c r="F3391" s="904"/>
      <c r="G3391" s="905"/>
      <c r="H3391" s="546"/>
      <c r="I3391" s="910"/>
      <c r="J3391" s="609"/>
    </row>
    <row r="3392" spans="1:15" ht="15" customHeight="1">
      <c r="A3392" s="918" t="s">
        <v>383</v>
      </c>
      <c r="B3392" s="919" t="s">
        <v>384</v>
      </c>
      <c r="C3392" s="920"/>
      <c r="D3392" s="921" t="e">
        <f>SUM(D3380:D3389)</f>
        <v>#N/A</v>
      </c>
      <c r="E3392" s="922"/>
      <c r="F3392" s="923"/>
      <c r="G3392" s="918" t="s">
        <v>383</v>
      </c>
      <c r="H3392" s="919" t="s">
        <v>384</v>
      </c>
      <c r="I3392" s="920"/>
      <c r="J3392" s="921" t="e">
        <f>SUM(J3380:J3389)</f>
        <v>#N/A</v>
      </c>
    </row>
    <row r="3393" spans="1:15" ht="18" customHeight="1">
      <c r="A3393" s="924"/>
      <c r="B3393" s="925"/>
      <c r="C3393" s="926"/>
      <c r="D3393" s="927"/>
      <c r="E3393" s="927"/>
      <c r="F3393" s="928"/>
      <c r="G3393" s="924"/>
      <c r="H3393" s="925"/>
      <c r="I3393" s="926"/>
      <c r="J3393" s="927"/>
    </row>
    <row r="3394" spans="1:15" ht="18" customHeight="1">
      <c r="A3394" s="925"/>
      <c r="B3394" s="925"/>
      <c r="C3394" s="929"/>
      <c r="D3394" s="930"/>
      <c r="E3394" s="925"/>
      <c r="F3394" s="931"/>
      <c r="G3394" s="925"/>
      <c r="H3394" s="925"/>
      <c r="I3394" s="929"/>
      <c r="J3394" s="930"/>
    </row>
    <row r="3395" spans="1:15" ht="15" customHeight="1">
      <c r="A3395" s="2360" t="str">
        <f>$K$2</f>
        <v>THÁNG 04/2025</v>
      </c>
      <c r="B3395" s="2360"/>
      <c r="C3395" s="2360"/>
      <c r="D3395" s="2360"/>
      <c r="E3395" s="903"/>
      <c r="F3395" s="904"/>
      <c r="G3395" s="2360" t="str">
        <f>$K$2</f>
        <v>THÁNG 04/2025</v>
      </c>
      <c r="H3395" s="2360"/>
      <c r="I3395" s="2360"/>
      <c r="J3395" s="2360"/>
      <c r="K3395" s="276"/>
    </row>
    <row r="3396" spans="1:15" ht="15" customHeight="1">
      <c r="A3396" s="905" t="s">
        <v>356</v>
      </c>
      <c r="B3396" s="642" t="s">
        <v>318</v>
      </c>
      <c r="C3396" s="546"/>
      <c r="D3396" s="902"/>
      <c r="E3396" s="906"/>
      <c r="F3396" s="907"/>
      <c r="G3396" s="905" t="s">
        <v>356</v>
      </c>
      <c r="H3396" s="642" t="s">
        <v>319</v>
      </c>
      <c r="I3396" s="546"/>
      <c r="J3396" s="902"/>
      <c r="L3396" s="938"/>
      <c r="M3396" s="938"/>
      <c r="N3396" s="938"/>
      <c r="O3396" s="938"/>
    </row>
    <row r="3397" spans="1:15" ht="15" customHeight="1">
      <c r="A3397" s="908" t="s">
        <v>359</v>
      </c>
      <c r="B3397" s="909" t="s">
        <v>2090</v>
      </c>
      <c r="C3397" s="910" t="e">
        <f>VLOOKUP(B3396,'LƯƠNG KT'!$D$16:$Z$184,4,0)</f>
        <v>#N/A</v>
      </c>
      <c r="D3397" s="609" t="e">
        <f>+C3397*25000</f>
        <v>#N/A</v>
      </c>
      <c r="E3397" s="911"/>
      <c r="F3397" s="911"/>
      <c r="G3397" s="908" t="s">
        <v>359</v>
      </c>
      <c r="H3397" s="909" t="s">
        <v>2090</v>
      </c>
      <c r="I3397" s="910" t="e">
        <f>VLOOKUP(H3396,'LƯƠNG KT'!$D$16:$Z$184,4,0)</f>
        <v>#N/A</v>
      </c>
      <c r="J3397" s="609" t="e">
        <f>+I3397*25000</f>
        <v>#N/A</v>
      </c>
      <c r="K3397" s="935"/>
      <c r="L3397" s="935"/>
      <c r="M3397" s="935"/>
      <c r="N3397" s="935"/>
      <c r="O3397" s="935"/>
    </row>
    <row r="3398" spans="1:15" ht="15" customHeight="1">
      <c r="A3398" s="908" t="s">
        <v>361</v>
      </c>
      <c r="B3398" s="909" t="s">
        <v>2091</v>
      </c>
      <c r="C3398" s="910" t="e">
        <f>VLOOKUP(B3396,'LƯƠNG KT'!$D$16:$Z$184,15,0)</f>
        <v>#N/A</v>
      </c>
      <c r="D3398" s="609" t="e">
        <f>C3398*$L$4</f>
        <v>#N/A</v>
      </c>
      <c r="E3398" s="912"/>
      <c r="F3398" s="912"/>
      <c r="G3398" s="908" t="s">
        <v>361</v>
      </c>
      <c r="H3398" s="909" t="s">
        <v>2091</v>
      </c>
      <c r="I3398" s="910" t="e">
        <f>VLOOKUP(H3396,'LƯƠNG KT'!$D$16:$Z$184,15,0)</f>
        <v>#N/A</v>
      </c>
      <c r="J3398" s="609" t="e">
        <f>I3398*$L$4</f>
        <v>#N/A</v>
      </c>
      <c r="K3398" s="935"/>
      <c r="L3398" s="935"/>
      <c r="M3398" s="935"/>
      <c r="N3398" s="935"/>
      <c r="O3398" s="935"/>
    </row>
    <row r="3399" spans="1:15" ht="15" customHeight="1">
      <c r="A3399" s="908" t="s">
        <v>364</v>
      </c>
      <c r="B3399" s="909" t="s">
        <v>2092</v>
      </c>
      <c r="C3399" s="910" t="e">
        <f>VLOOKUP(B3396,'LƯƠNG KT'!$D$16:$Z$184,16,0)</f>
        <v>#N/A</v>
      </c>
      <c r="D3399" s="609" t="e">
        <f>C3399*$L$5</f>
        <v>#N/A</v>
      </c>
      <c r="E3399" s="912"/>
      <c r="F3399" s="912"/>
      <c r="G3399" s="908" t="s">
        <v>364</v>
      </c>
      <c r="H3399" s="909" t="s">
        <v>2092</v>
      </c>
      <c r="I3399" s="910" t="e">
        <f>VLOOKUP(H3396,'LƯƠNG KT'!$D$16:$Z$184,16,0)</f>
        <v>#N/A</v>
      </c>
      <c r="J3399" s="609" t="e">
        <f>I3399*$L$5</f>
        <v>#N/A</v>
      </c>
      <c r="K3399" s="935"/>
      <c r="L3399" s="935"/>
      <c r="M3399" s="935"/>
      <c r="N3399" s="935"/>
      <c r="O3399" s="935"/>
    </row>
    <row r="3400" spans="1:15" ht="15" customHeight="1">
      <c r="A3400" s="908" t="s">
        <v>370</v>
      </c>
      <c r="B3400" s="909" t="s">
        <v>2093</v>
      </c>
      <c r="C3400" s="910" t="e">
        <f>VLOOKUP(B3396,'LƯƠNG KT'!$D$16:$Z$184,24,0)</f>
        <v>#N/A</v>
      </c>
      <c r="D3400" s="609" t="e">
        <f>+C3400*$L$6</f>
        <v>#N/A</v>
      </c>
      <c r="E3400" s="912"/>
      <c r="F3400" s="912"/>
      <c r="G3400" s="908" t="s">
        <v>370</v>
      </c>
      <c r="H3400" s="909" t="s">
        <v>2093</v>
      </c>
      <c r="I3400" s="910" t="e">
        <f>VLOOKUP(H3396,'LƯƠNG KT'!$D$16:$Z$184,24,0)</f>
        <v>#N/A</v>
      </c>
      <c r="J3400" s="609" t="e">
        <f>+I3400*$L$6</f>
        <v>#N/A</v>
      </c>
      <c r="K3400" s="935"/>
      <c r="L3400" s="935"/>
      <c r="M3400" s="935"/>
      <c r="N3400" s="935"/>
      <c r="O3400" s="935"/>
    </row>
    <row r="3401" spans="1:15" ht="15" customHeight="1">
      <c r="A3401" s="908" t="s">
        <v>2094</v>
      </c>
      <c r="B3401" s="909" t="s">
        <v>2095</v>
      </c>
      <c r="C3401" s="910" t="e">
        <f>VLOOKUP(B3396,'LƯƠNG KT'!$D$16:$Z$184,19,0)</f>
        <v>#N/A</v>
      </c>
      <c r="D3401" s="609" t="e">
        <f>+C3401*$L$8</f>
        <v>#N/A</v>
      </c>
      <c r="E3401" s="912"/>
      <c r="F3401" s="912"/>
      <c r="G3401" s="908" t="s">
        <v>2094</v>
      </c>
      <c r="H3401" s="909" t="s">
        <v>2095</v>
      </c>
      <c r="I3401" s="910" t="e">
        <f>VLOOKUP(H3396,'LƯƠNG KT'!$D$16:$Z$184,19,0)</f>
        <v>#N/A</v>
      </c>
      <c r="J3401" s="609" t="e">
        <f>+I3401*$L$8</f>
        <v>#N/A</v>
      </c>
      <c r="K3401" s="935"/>
      <c r="L3401" s="935"/>
      <c r="M3401" s="935"/>
      <c r="N3401" s="935"/>
      <c r="O3401" s="935"/>
    </row>
    <row r="3402" spans="1:15" ht="15" customHeight="1">
      <c r="A3402" s="908" t="s">
        <v>2096</v>
      </c>
      <c r="B3402" s="913" t="s">
        <v>2097</v>
      </c>
      <c r="C3402" s="910" t="e">
        <f>VLOOKUP(B3396,'LƯƠNG KT'!$D$16:$Z$184,20,0)</f>
        <v>#N/A</v>
      </c>
      <c r="D3402" s="609" t="e">
        <f>+C3402*$L$9</f>
        <v>#N/A</v>
      </c>
      <c r="E3402" s="912"/>
      <c r="F3402" s="912"/>
      <c r="G3402" s="908" t="s">
        <v>2096</v>
      </c>
      <c r="H3402" s="913" t="s">
        <v>2097</v>
      </c>
      <c r="I3402" s="910" t="e">
        <f>VLOOKUP(H3396,'LƯƠNG KT'!$D$16:$Z$184,20,0)</f>
        <v>#N/A</v>
      </c>
      <c r="J3402" s="609" t="e">
        <f>+I3402*$L$9</f>
        <v>#N/A</v>
      </c>
      <c r="K3402" s="935"/>
      <c r="L3402" s="935"/>
      <c r="M3402" s="935"/>
      <c r="N3402" s="935"/>
      <c r="O3402" s="935"/>
    </row>
    <row r="3403" spans="1:15" ht="15" customHeight="1">
      <c r="A3403" s="908" t="s">
        <v>2099</v>
      </c>
      <c r="B3403" s="909" t="s">
        <v>2100</v>
      </c>
      <c r="C3403" s="910" t="e">
        <f>VLOOKUP(B3396,'LƯƠNG KT'!$D$16:$Z$184,17,0)</f>
        <v>#N/A</v>
      </c>
      <c r="D3403" s="609" t="e">
        <f>+C3403*$L$10</f>
        <v>#N/A</v>
      </c>
      <c r="E3403" s="912"/>
      <c r="F3403" s="912"/>
      <c r="G3403" s="908" t="s">
        <v>2099</v>
      </c>
      <c r="H3403" s="909" t="s">
        <v>2100</v>
      </c>
      <c r="I3403" s="910" t="e">
        <f>VLOOKUP(H3396,'LƯƠNG KT'!$D$16:$Z$184,17,0)</f>
        <v>#N/A</v>
      </c>
      <c r="J3403" s="609" t="e">
        <f>+I3403*$L$10</f>
        <v>#N/A</v>
      </c>
      <c r="K3403" s="935"/>
      <c r="L3403" s="935"/>
      <c r="M3403" s="935"/>
      <c r="N3403" s="935"/>
      <c r="O3403" s="935"/>
    </row>
    <row r="3404" spans="1:15" ht="15" customHeight="1">
      <c r="A3404" s="908" t="s">
        <v>2117</v>
      </c>
      <c r="B3404" s="913" t="s">
        <v>2116</v>
      </c>
      <c r="C3404" s="910" t="e">
        <f>VLOOKUP(B3396,'LƯƠNG KT'!$D$16:$Z$184,21,0)</f>
        <v>#N/A</v>
      </c>
      <c r="D3404" s="609" t="e">
        <f>+C3404*$L$7</f>
        <v>#N/A</v>
      </c>
      <c r="E3404" s="912"/>
      <c r="F3404" s="912"/>
      <c r="G3404" s="908" t="s">
        <v>2117</v>
      </c>
      <c r="H3404" s="913" t="s">
        <v>2116</v>
      </c>
      <c r="I3404" s="910" t="e">
        <f>VLOOKUP(H3396,'LƯƠNG KT'!$D$16:$Z$184,21,0)</f>
        <v>#N/A</v>
      </c>
      <c r="J3404" s="609" t="e">
        <f>+I3404*$L$7</f>
        <v>#N/A</v>
      </c>
      <c r="K3404" s="935"/>
      <c r="L3404" s="935"/>
      <c r="M3404" s="935"/>
      <c r="N3404" s="935"/>
      <c r="O3404" s="935"/>
    </row>
    <row r="3405" spans="1:15" ht="15" customHeight="1">
      <c r="A3405" s="908" t="s">
        <v>2118</v>
      </c>
      <c r="B3405" s="909" t="s">
        <v>2112</v>
      </c>
      <c r="C3405" s="910" t="e">
        <f>VLOOKUP(B3396,'LƯƠNG KT'!$D$16:$Z$184,23,0)</f>
        <v>#N/A</v>
      </c>
      <c r="D3405" s="609" t="e">
        <f>+C3405*20000</f>
        <v>#N/A</v>
      </c>
      <c r="E3405" s="914"/>
      <c r="F3405" s="912"/>
      <c r="G3405" s="908" t="s">
        <v>2118</v>
      </c>
      <c r="H3405" s="909" t="s">
        <v>2112</v>
      </c>
      <c r="I3405" s="910" t="e">
        <f>VLOOKUP(H3396,'LƯƠNG KT'!$D$16:$Z$184,23,0)</f>
        <v>#N/A</v>
      </c>
      <c r="J3405" s="609" t="e">
        <f>+I3405*20000</f>
        <v>#N/A</v>
      </c>
      <c r="K3405" s="935"/>
      <c r="L3405" s="935"/>
      <c r="M3405" s="935"/>
      <c r="N3405" s="935"/>
      <c r="O3405" s="935"/>
    </row>
    <row r="3406" spans="1:15" ht="15" customHeight="1">
      <c r="A3406" s="908" t="s">
        <v>374</v>
      </c>
      <c r="B3406" s="909" t="s">
        <v>2102</v>
      </c>
      <c r="C3406" s="910" t="e">
        <f>VLOOKUP(B3396,'LƯƠNG KT'!$D$16:$Z$184,12,0)</f>
        <v>#N/A</v>
      </c>
      <c r="D3406" s="609" t="e">
        <f>VLOOKUP(B3396,'LƯƠNG KT'!$D$16:$Z$184,14,0)</f>
        <v>#N/A</v>
      </c>
      <c r="E3406" s="916"/>
      <c r="F3406" s="916"/>
      <c r="G3406" s="908" t="s">
        <v>374</v>
      </c>
      <c r="H3406" s="909" t="s">
        <v>2102</v>
      </c>
      <c r="I3406" s="910" t="e">
        <f>VLOOKUP(H3396,'LƯƠNG KT'!$D$16:$Z$184,12,0)</f>
        <v>#N/A</v>
      </c>
      <c r="J3406" s="609" t="e">
        <f>VLOOKUP(H3396,'LƯƠNG KT'!$D$16:$Z$184,14,0)</f>
        <v>#N/A</v>
      </c>
    </row>
    <row r="3407" spans="1:15" ht="15" customHeight="1">
      <c r="A3407" s="908" t="s">
        <v>2103</v>
      </c>
      <c r="B3407" s="909" t="s">
        <v>2104</v>
      </c>
      <c r="D3407" s="915" t="e">
        <f>VLOOKUP(B3396,'LƯƠNG KT'!$D$16:$Z$184,13,0)</f>
        <v>#N/A</v>
      </c>
      <c r="E3407" s="914"/>
      <c r="F3407" s="916"/>
      <c r="G3407" s="908" t="s">
        <v>2103</v>
      </c>
      <c r="H3407" s="909" t="s">
        <v>2104</v>
      </c>
      <c r="J3407" s="915" t="e">
        <f>VLOOKUP(H3396,'LƯƠNG KT'!$D$16:$Z$184,13,0)</f>
        <v>#N/A</v>
      </c>
    </row>
    <row r="3408" spans="1:15" ht="15" customHeight="1">
      <c r="A3408" s="905"/>
      <c r="B3408" s="546"/>
      <c r="C3408" s="910"/>
      <c r="D3408" s="609"/>
      <c r="E3408" s="917"/>
      <c r="F3408" s="904"/>
      <c r="G3408" s="905"/>
      <c r="H3408" s="546"/>
      <c r="I3408" s="910"/>
      <c r="J3408" s="609"/>
    </row>
    <row r="3409" spans="1:15" ht="15" customHeight="1">
      <c r="A3409" s="918" t="s">
        <v>383</v>
      </c>
      <c r="B3409" s="919" t="s">
        <v>384</v>
      </c>
      <c r="C3409" s="920"/>
      <c r="D3409" s="921" t="e">
        <f>SUM(D3397:D3406)</f>
        <v>#N/A</v>
      </c>
      <c r="E3409" s="922"/>
      <c r="F3409" s="923"/>
      <c r="G3409" s="918" t="s">
        <v>383</v>
      </c>
      <c r="H3409" s="919" t="s">
        <v>384</v>
      </c>
      <c r="I3409" s="920"/>
      <c r="J3409" s="921" t="e">
        <f>SUM(J3397:J3406)</f>
        <v>#N/A</v>
      </c>
    </row>
    <row r="3410" spans="1:15" ht="6.75" customHeight="1">
      <c r="A3410" s="924"/>
      <c r="B3410" s="925"/>
      <c r="C3410" s="926"/>
      <c r="D3410" s="927"/>
      <c r="E3410" s="927"/>
      <c r="F3410" s="928"/>
      <c r="G3410" s="924"/>
      <c r="H3410" s="925"/>
      <c r="I3410" s="926"/>
      <c r="J3410" s="927"/>
    </row>
    <row r="3411" spans="1:15" ht="90" customHeight="1">
      <c r="A3411" s="925"/>
      <c r="B3411" s="925"/>
      <c r="C3411" s="929"/>
      <c r="D3411" s="930"/>
      <c r="E3411" s="925"/>
      <c r="F3411" s="931"/>
      <c r="G3411" s="925"/>
      <c r="H3411" s="925"/>
      <c r="I3411" s="929"/>
      <c r="J3411" s="930"/>
    </row>
    <row r="3412" spans="1:15" ht="15" customHeight="1">
      <c r="A3412" s="2360" t="str">
        <f>$K$2</f>
        <v>THÁNG 04/2025</v>
      </c>
      <c r="B3412" s="2360"/>
      <c r="C3412" s="2360"/>
      <c r="D3412" s="2360"/>
      <c r="E3412" s="903"/>
      <c r="F3412" s="904"/>
      <c r="G3412" s="2360" t="str">
        <f>$K$2</f>
        <v>THÁNG 04/2025</v>
      </c>
      <c r="H3412" s="2360"/>
      <c r="I3412" s="2360"/>
      <c r="J3412" s="2360"/>
      <c r="K3412" s="276"/>
    </row>
    <row r="3413" spans="1:15" ht="15" customHeight="1">
      <c r="A3413" s="905" t="s">
        <v>356</v>
      </c>
      <c r="B3413" s="642" t="s">
        <v>320</v>
      </c>
      <c r="C3413" s="546"/>
      <c r="D3413" s="902"/>
      <c r="E3413" s="906"/>
      <c r="F3413" s="907"/>
      <c r="G3413" s="905" t="s">
        <v>356</v>
      </c>
      <c r="H3413" s="642" t="s">
        <v>321</v>
      </c>
      <c r="I3413" s="546"/>
      <c r="J3413" s="902"/>
      <c r="L3413" s="938"/>
      <c r="M3413" s="938"/>
      <c r="N3413" s="938"/>
      <c r="O3413" s="938"/>
    </row>
    <row r="3414" spans="1:15" ht="15" customHeight="1">
      <c r="A3414" s="908" t="s">
        <v>359</v>
      </c>
      <c r="B3414" s="909" t="s">
        <v>2090</v>
      </c>
      <c r="C3414" s="910" t="e">
        <f>VLOOKUP(B3413,'LƯƠNG KT'!$D$16:$Z$184,4,0)</f>
        <v>#N/A</v>
      </c>
      <c r="D3414" s="609" t="e">
        <f>+C3414*25000</f>
        <v>#N/A</v>
      </c>
      <c r="E3414" s="911"/>
      <c r="F3414" s="911"/>
      <c r="G3414" s="908" t="s">
        <v>359</v>
      </c>
      <c r="H3414" s="909" t="s">
        <v>2090</v>
      </c>
      <c r="I3414" s="910" t="e">
        <f>VLOOKUP(H3413,'LƯƠNG KT'!$D$16:$Z$184,4,0)</f>
        <v>#N/A</v>
      </c>
      <c r="J3414" s="609" t="e">
        <f>+I3414*25000</f>
        <v>#N/A</v>
      </c>
      <c r="K3414" s="935"/>
      <c r="L3414" s="935"/>
      <c r="M3414" s="935"/>
      <c r="N3414" s="935"/>
      <c r="O3414" s="935"/>
    </row>
    <row r="3415" spans="1:15" ht="15" customHeight="1">
      <c r="A3415" s="908" t="s">
        <v>361</v>
      </c>
      <c r="B3415" s="909" t="s">
        <v>2091</v>
      </c>
      <c r="C3415" s="910" t="e">
        <f>VLOOKUP(B3413,'LƯƠNG KT'!$D$16:$Z$184,15,0)</f>
        <v>#N/A</v>
      </c>
      <c r="D3415" s="609" t="e">
        <f>C3415*$L$4</f>
        <v>#N/A</v>
      </c>
      <c r="E3415" s="912"/>
      <c r="F3415" s="912"/>
      <c r="G3415" s="908" t="s">
        <v>361</v>
      </c>
      <c r="H3415" s="909" t="s">
        <v>2091</v>
      </c>
      <c r="I3415" s="910" t="e">
        <f>VLOOKUP(H3413,'LƯƠNG KT'!$D$16:$Z$184,15,0)</f>
        <v>#N/A</v>
      </c>
      <c r="J3415" s="609" t="e">
        <f>I3415*$L$4</f>
        <v>#N/A</v>
      </c>
      <c r="K3415" s="935"/>
      <c r="L3415" s="935"/>
      <c r="M3415" s="935"/>
      <c r="N3415" s="935"/>
      <c r="O3415" s="935"/>
    </row>
    <row r="3416" spans="1:15" ht="15" customHeight="1">
      <c r="A3416" s="908" t="s">
        <v>364</v>
      </c>
      <c r="B3416" s="909" t="s">
        <v>2092</v>
      </c>
      <c r="C3416" s="910" t="e">
        <f>VLOOKUP(B3413,'LƯƠNG KT'!$D$16:$Z$184,16,0)</f>
        <v>#N/A</v>
      </c>
      <c r="D3416" s="609" t="e">
        <f>C3416*$L$5</f>
        <v>#N/A</v>
      </c>
      <c r="E3416" s="912"/>
      <c r="F3416" s="912"/>
      <c r="G3416" s="908" t="s">
        <v>364</v>
      </c>
      <c r="H3416" s="909" t="s">
        <v>2092</v>
      </c>
      <c r="I3416" s="910" t="e">
        <f>VLOOKUP(H3413,'LƯƠNG KT'!$D$16:$Z$184,16,0)</f>
        <v>#N/A</v>
      </c>
      <c r="J3416" s="609" t="e">
        <f>I3416*$L$5</f>
        <v>#N/A</v>
      </c>
      <c r="K3416" s="935"/>
      <c r="L3416" s="935"/>
      <c r="M3416" s="935"/>
      <c r="N3416" s="935"/>
      <c r="O3416" s="935"/>
    </row>
    <row r="3417" spans="1:15" ht="15" customHeight="1">
      <c r="A3417" s="908" t="s">
        <v>370</v>
      </c>
      <c r="B3417" s="909" t="s">
        <v>2093</v>
      </c>
      <c r="C3417" s="910" t="e">
        <f>VLOOKUP(B3413,'LƯƠNG KT'!$D$16:$Z$184,24,0)</f>
        <v>#N/A</v>
      </c>
      <c r="D3417" s="609" t="e">
        <f>+C3417*$L$6</f>
        <v>#N/A</v>
      </c>
      <c r="E3417" s="912"/>
      <c r="F3417" s="912"/>
      <c r="G3417" s="908" t="s">
        <v>370</v>
      </c>
      <c r="H3417" s="909" t="s">
        <v>2093</v>
      </c>
      <c r="I3417" s="910" t="e">
        <f>VLOOKUP(H3413,'LƯƠNG KT'!$D$16:$Z$184,24,0)</f>
        <v>#N/A</v>
      </c>
      <c r="J3417" s="609" t="e">
        <f>+I3417*$L$6</f>
        <v>#N/A</v>
      </c>
      <c r="K3417" s="935"/>
      <c r="L3417" s="935"/>
      <c r="M3417" s="935"/>
      <c r="N3417" s="935"/>
      <c r="O3417" s="935"/>
    </row>
    <row r="3418" spans="1:15" ht="15" customHeight="1">
      <c r="A3418" s="908" t="s">
        <v>2094</v>
      </c>
      <c r="B3418" s="909" t="s">
        <v>2095</v>
      </c>
      <c r="C3418" s="910" t="e">
        <f>VLOOKUP(B3413,'LƯƠNG KT'!$D$16:$Z$184,19,0)</f>
        <v>#N/A</v>
      </c>
      <c r="D3418" s="609" t="e">
        <f>+C3418*$L$8</f>
        <v>#N/A</v>
      </c>
      <c r="E3418" s="912"/>
      <c r="F3418" s="912"/>
      <c r="G3418" s="908" t="s">
        <v>2094</v>
      </c>
      <c r="H3418" s="909" t="s">
        <v>2095</v>
      </c>
      <c r="I3418" s="910" t="e">
        <f>VLOOKUP(H3413,'LƯƠNG KT'!$D$16:$Z$184,19,0)</f>
        <v>#N/A</v>
      </c>
      <c r="J3418" s="609" t="e">
        <f>+I3418*$L$8</f>
        <v>#N/A</v>
      </c>
      <c r="K3418" s="935"/>
      <c r="L3418" s="935"/>
      <c r="M3418" s="935"/>
      <c r="N3418" s="935"/>
      <c r="O3418" s="935"/>
    </row>
    <row r="3419" spans="1:15" ht="15" customHeight="1">
      <c r="A3419" s="908" t="s">
        <v>2096</v>
      </c>
      <c r="B3419" s="913" t="s">
        <v>2097</v>
      </c>
      <c r="C3419" s="910" t="e">
        <f>VLOOKUP(B3413,'LƯƠNG KT'!$D$16:$Z$184,20,0)</f>
        <v>#N/A</v>
      </c>
      <c r="D3419" s="609" t="e">
        <f>+C3419*$L$9</f>
        <v>#N/A</v>
      </c>
      <c r="E3419" s="912"/>
      <c r="F3419" s="912"/>
      <c r="G3419" s="908" t="s">
        <v>2096</v>
      </c>
      <c r="H3419" s="913" t="s">
        <v>2097</v>
      </c>
      <c r="I3419" s="910" t="e">
        <f>VLOOKUP(H3413,'LƯƠNG KT'!$D$16:$Z$184,20,0)</f>
        <v>#N/A</v>
      </c>
      <c r="J3419" s="609" t="e">
        <f>+I3419*$L$9</f>
        <v>#N/A</v>
      </c>
      <c r="K3419" s="935"/>
      <c r="L3419" s="935"/>
      <c r="M3419" s="935"/>
      <c r="N3419" s="935"/>
      <c r="O3419" s="935"/>
    </row>
    <row r="3420" spans="1:15" ht="15" customHeight="1">
      <c r="A3420" s="908" t="s">
        <v>2099</v>
      </c>
      <c r="B3420" s="909" t="s">
        <v>2100</v>
      </c>
      <c r="C3420" s="910" t="e">
        <f>VLOOKUP(B3413,'LƯƠNG KT'!$D$16:$Z$184,17,0)</f>
        <v>#N/A</v>
      </c>
      <c r="D3420" s="609" t="e">
        <f>+C3420*$L$10</f>
        <v>#N/A</v>
      </c>
      <c r="E3420" s="912"/>
      <c r="F3420" s="912"/>
      <c r="G3420" s="908" t="s">
        <v>2099</v>
      </c>
      <c r="H3420" s="909" t="s">
        <v>2100</v>
      </c>
      <c r="I3420" s="910" t="e">
        <f>VLOOKUP(H3413,'LƯƠNG KT'!$D$16:$Z$184,17,0)</f>
        <v>#N/A</v>
      </c>
      <c r="J3420" s="609" t="e">
        <f>+I3420*$L$10</f>
        <v>#N/A</v>
      </c>
      <c r="K3420" s="935"/>
      <c r="L3420" s="935"/>
      <c r="M3420" s="935"/>
      <c r="N3420" s="935"/>
      <c r="O3420" s="935"/>
    </row>
    <row r="3421" spans="1:15" ht="15" customHeight="1">
      <c r="A3421" s="908" t="s">
        <v>2117</v>
      </c>
      <c r="B3421" s="913" t="s">
        <v>2116</v>
      </c>
      <c r="C3421" s="910" t="e">
        <f>VLOOKUP(B3413,'LƯƠNG KT'!$D$16:$Z$184,21,0)</f>
        <v>#N/A</v>
      </c>
      <c r="D3421" s="609" t="e">
        <f>+C3421*$L$7</f>
        <v>#N/A</v>
      </c>
      <c r="E3421" s="912"/>
      <c r="F3421" s="912"/>
      <c r="G3421" s="908" t="s">
        <v>2117</v>
      </c>
      <c r="H3421" s="913" t="s">
        <v>2116</v>
      </c>
      <c r="I3421" s="910" t="e">
        <f>VLOOKUP(H3413,'LƯƠNG KT'!$D$16:$Z$184,21,0)</f>
        <v>#N/A</v>
      </c>
      <c r="J3421" s="609" t="e">
        <f>+I3421*$L$7</f>
        <v>#N/A</v>
      </c>
      <c r="K3421" s="935"/>
      <c r="L3421" s="935"/>
      <c r="M3421" s="935"/>
      <c r="N3421" s="935"/>
      <c r="O3421" s="935"/>
    </row>
    <row r="3422" spans="1:15" ht="15" customHeight="1">
      <c r="A3422" s="908" t="s">
        <v>2118</v>
      </c>
      <c r="B3422" s="909" t="s">
        <v>2112</v>
      </c>
      <c r="C3422" s="910" t="e">
        <f>VLOOKUP(B3413,'LƯƠNG KT'!$D$16:$Z$184,23,0)</f>
        <v>#N/A</v>
      </c>
      <c r="D3422" s="609" t="e">
        <f>+C3422*20000</f>
        <v>#N/A</v>
      </c>
      <c r="E3422" s="914"/>
      <c r="F3422" s="912"/>
      <c r="G3422" s="908" t="s">
        <v>2118</v>
      </c>
      <c r="H3422" s="909" t="s">
        <v>2112</v>
      </c>
      <c r="I3422" s="910" t="e">
        <f>VLOOKUP(H3413,'LƯƠNG KT'!$D$16:$Z$184,23,0)</f>
        <v>#N/A</v>
      </c>
      <c r="J3422" s="609" t="e">
        <f>+I3422*20000</f>
        <v>#N/A</v>
      </c>
      <c r="K3422" s="935"/>
      <c r="L3422" s="935"/>
      <c r="M3422" s="935"/>
      <c r="N3422" s="935"/>
      <c r="O3422" s="935"/>
    </row>
    <row r="3423" spans="1:15" ht="15" customHeight="1">
      <c r="A3423" s="908" t="s">
        <v>374</v>
      </c>
      <c r="B3423" s="909" t="s">
        <v>2102</v>
      </c>
      <c r="C3423" s="910" t="e">
        <f>VLOOKUP(B3413,'LƯƠNG KT'!$D$16:$Z$184,12,0)</f>
        <v>#N/A</v>
      </c>
      <c r="D3423" s="609" t="e">
        <f>VLOOKUP(B3413,'LƯƠNG KT'!$D$16:$Z$184,14,0)</f>
        <v>#N/A</v>
      </c>
      <c r="E3423" s="916"/>
      <c r="F3423" s="916"/>
      <c r="G3423" s="908" t="s">
        <v>374</v>
      </c>
      <c r="H3423" s="909" t="s">
        <v>2102</v>
      </c>
      <c r="I3423" s="910" t="e">
        <f>VLOOKUP(H3413,'LƯƠNG KT'!$D$16:$Z$184,12,0)</f>
        <v>#N/A</v>
      </c>
      <c r="J3423" s="609" t="e">
        <f>VLOOKUP(H3413,'LƯƠNG KT'!$D$16:$Z$184,14,0)</f>
        <v>#N/A</v>
      </c>
    </row>
    <row r="3424" spans="1:15" ht="15" customHeight="1">
      <c r="A3424" s="908" t="s">
        <v>2103</v>
      </c>
      <c r="B3424" s="909" t="s">
        <v>2104</v>
      </c>
      <c r="D3424" s="915" t="e">
        <f>VLOOKUP(B3413,'LƯƠNG KT'!$D$16:$Z$184,13,0)</f>
        <v>#N/A</v>
      </c>
      <c r="E3424" s="914"/>
      <c r="F3424" s="916"/>
      <c r="G3424" s="908" t="s">
        <v>2103</v>
      </c>
      <c r="H3424" s="909" t="s">
        <v>2104</v>
      </c>
      <c r="J3424" s="915" t="e">
        <f>VLOOKUP(H3413,'LƯƠNG KT'!$D$16:$Z$184,13,0)</f>
        <v>#N/A</v>
      </c>
    </row>
    <row r="3425" spans="1:15" ht="15" customHeight="1">
      <c r="A3425" s="905"/>
      <c r="B3425" s="546"/>
      <c r="C3425" s="910"/>
      <c r="D3425" s="609"/>
      <c r="E3425" s="917"/>
      <c r="F3425" s="904"/>
      <c r="G3425" s="905"/>
      <c r="H3425" s="546"/>
      <c r="I3425" s="910"/>
      <c r="J3425" s="609"/>
    </row>
    <row r="3426" spans="1:15" ht="15" customHeight="1">
      <c r="A3426" s="918" t="s">
        <v>383</v>
      </c>
      <c r="B3426" s="919" t="s">
        <v>384</v>
      </c>
      <c r="C3426" s="920"/>
      <c r="D3426" s="921" t="e">
        <f>SUM(D3414:D3423)</f>
        <v>#N/A</v>
      </c>
      <c r="E3426" s="922"/>
      <c r="F3426" s="923"/>
      <c r="G3426" s="918" t="s">
        <v>383</v>
      </c>
      <c r="H3426" s="919" t="s">
        <v>384</v>
      </c>
      <c r="I3426" s="920"/>
      <c r="J3426" s="921" t="e">
        <f>SUM(J3414:J3423)</f>
        <v>#N/A</v>
      </c>
    </row>
    <row r="3427" spans="1:15" ht="18.75" customHeight="1">
      <c r="A3427" s="924"/>
      <c r="B3427" s="925"/>
      <c r="C3427" s="926"/>
      <c r="D3427" s="927"/>
      <c r="E3427" s="927"/>
      <c r="F3427" s="928"/>
      <c r="G3427" s="924"/>
      <c r="H3427" s="925"/>
      <c r="I3427" s="926"/>
      <c r="J3427" s="927"/>
    </row>
    <row r="3428" spans="1:15" ht="18.75" customHeight="1">
      <c r="A3428" s="925"/>
      <c r="B3428" s="925"/>
      <c r="C3428" s="929"/>
      <c r="D3428" s="930"/>
      <c r="E3428" s="925"/>
      <c r="F3428" s="931"/>
      <c r="G3428" s="925"/>
      <c r="H3428" s="925"/>
      <c r="I3428" s="929"/>
      <c r="J3428" s="930"/>
    </row>
    <row r="3429" spans="1:15" ht="15" customHeight="1">
      <c r="A3429" s="2360" t="str">
        <f>$K$2</f>
        <v>THÁNG 04/2025</v>
      </c>
      <c r="B3429" s="2360"/>
      <c r="C3429" s="2360"/>
      <c r="D3429" s="2360"/>
      <c r="E3429" s="903"/>
      <c r="F3429" s="904"/>
      <c r="G3429" s="2360" t="str">
        <f>$K$2</f>
        <v>THÁNG 04/2025</v>
      </c>
      <c r="H3429" s="2360"/>
      <c r="I3429" s="2360"/>
      <c r="J3429" s="2360"/>
      <c r="K3429" s="276"/>
    </row>
    <row r="3430" spans="1:15" ht="15" customHeight="1">
      <c r="A3430" s="905" t="s">
        <v>356</v>
      </c>
      <c r="B3430" s="642" t="s">
        <v>322</v>
      </c>
      <c r="C3430" s="546"/>
      <c r="D3430" s="902"/>
      <c r="E3430" s="906"/>
      <c r="F3430" s="907"/>
      <c r="G3430" s="905" t="s">
        <v>356</v>
      </c>
      <c r="H3430" s="642" t="s">
        <v>323</v>
      </c>
      <c r="I3430" s="546"/>
      <c r="J3430" s="902"/>
      <c r="L3430" s="938"/>
      <c r="M3430" s="938"/>
      <c r="N3430" s="938"/>
      <c r="O3430" s="938"/>
    </row>
    <row r="3431" spans="1:15" ht="15" customHeight="1">
      <c r="A3431" s="908" t="s">
        <v>359</v>
      </c>
      <c r="B3431" s="909" t="s">
        <v>2090</v>
      </c>
      <c r="C3431" s="910" t="e">
        <f>VLOOKUP(B3430,'LƯƠNG KT'!$D$16:$Z$184,4,0)</f>
        <v>#N/A</v>
      </c>
      <c r="D3431" s="609" t="e">
        <f>+C3431*25000</f>
        <v>#N/A</v>
      </c>
      <c r="E3431" s="911"/>
      <c r="F3431" s="911"/>
      <c r="G3431" s="908" t="s">
        <v>359</v>
      </c>
      <c r="H3431" s="909" t="s">
        <v>2090</v>
      </c>
      <c r="I3431" s="910" t="e">
        <f>VLOOKUP(H3430,'LƯƠNG KT'!$D$16:$Z$184,4,0)</f>
        <v>#N/A</v>
      </c>
      <c r="J3431" s="609" t="e">
        <f>+I3431*25000</f>
        <v>#N/A</v>
      </c>
      <c r="K3431" s="935"/>
      <c r="L3431" s="935"/>
      <c r="M3431" s="935"/>
      <c r="N3431" s="935"/>
      <c r="O3431" s="935"/>
    </row>
    <row r="3432" spans="1:15" ht="15" customHeight="1">
      <c r="A3432" s="908" t="s">
        <v>361</v>
      </c>
      <c r="B3432" s="909" t="s">
        <v>2091</v>
      </c>
      <c r="C3432" s="910" t="e">
        <f>VLOOKUP(B3430,'LƯƠNG KT'!$D$16:$Z$184,15,0)</f>
        <v>#N/A</v>
      </c>
      <c r="D3432" s="609" t="e">
        <f>C3432*$L$4</f>
        <v>#N/A</v>
      </c>
      <c r="E3432" s="912"/>
      <c r="F3432" s="912"/>
      <c r="G3432" s="908" t="s">
        <v>361</v>
      </c>
      <c r="H3432" s="909" t="s">
        <v>2091</v>
      </c>
      <c r="I3432" s="910" t="e">
        <f>VLOOKUP(H3430,'LƯƠNG KT'!$D$16:$Z$184,15,0)</f>
        <v>#N/A</v>
      </c>
      <c r="J3432" s="609" t="e">
        <f>I3432*$L$4</f>
        <v>#N/A</v>
      </c>
      <c r="K3432" s="935"/>
      <c r="L3432" s="935"/>
      <c r="M3432" s="935"/>
      <c r="N3432" s="935"/>
      <c r="O3432" s="935"/>
    </row>
    <row r="3433" spans="1:15" ht="15" customHeight="1">
      <c r="A3433" s="908" t="s">
        <v>364</v>
      </c>
      <c r="B3433" s="909" t="s">
        <v>2092</v>
      </c>
      <c r="C3433" s="910" t="e">
        <f>VLOOKUP(B3430,'LƯƠNG KT'!$D$16:$Z$184,16,0)</f>
        <v>#N/A</v>
      </c>
      <c r="D3433" s="609" t="e">
        <f>C3433*$L$5</f>
        <v>#N/A</v>
      </c>
      <c r="E3433" s="912"/>
      <c r="F3433" s="912"/>
      <c r="G3433" s="908" t="s">
        <v>364</v>
      </c>
      <c r="H3433" s="909" t="s">
        <v>2092</v>
      </c>
      <c r="I3433" s="910" t="e">
        <f>VLOOKUP(H3430,'LƯƠNG KT'!$D$16:$Z$184,16,0)</f>
        <v>#N/A</v>
      </c>
      <c r="J3433" s="609" t="e">
        <f>I3433*$L$5</f>
        <v>#N/A</v>
      </c>
      <c r="K3433" s="935"/>
      <c r="L3433" s="935"/>
      <c r="M3433" s="935"/>
      <c r="N3433" s="935"/>
      <c r="O3433" s="935"/>
    </row>
    <row r="3434" spans="1:15" ht="15" customHeight="1">
      <c r="A3434" s="908" t="s">
        <v>370</v>
      </c>
      <c r="B3434" s="909" t="s">
        <v>2093</v>
      </c>
      <c r="C3434" s="910" t="e">
        <f>VLOOKUP(B3430,'LƯƠNG KT'!$D$16:$Z$184,24,0)</f>
        <v>#N/A</v>
      </c>
      <c r="D3434" s="609" t="e">
        <f>+C3434*$L$6</f>
        <v>#N/A</v>
      </c>
      <c r="E3434" s="912"/>
      <c r="F3434" s="912"/>
      <c r="G3434" s="908" t="s">
        <v>370</v>
      </c>
      <c r="H3434" s="909" t="s">
        <v>2093</v>
      </c>
      <c r="I3434" s="910" t="e">
        <f>VLOOKUP(H3430,'LƯƠNG KT'!$D$16:$Z$184,24,0)</f>
        <v>#N/A</v>
      </c>
      <c r="J3434" s="609" t="e">
        <f>+I3434*$L$6</f>
        <v>#N/A</v>
      </c>
      <c r="K3434" s="935"/>
      <c r="L3434" s="935"/>
      <c r="M3434" s="935"/>
      <c r="N3434" s="935"/>
      <c r="O3434" s="935"/>
    </row>
    <row r="3435" spans="1:15" ht="15" customHeight="1">
      <c r="A3435" s="908" t="s">
        <v>2094</v>
      </c>
      <c r="B3435" s="909" t="s">
        <v>2095</v>
      </c>
      <c r="C3435" s="910" t="e">
        <f>VLOOKUP(B3430,'LƯƠNG KT'!$D$16:$Z$184,19,0)</f>
        <v>#N/A</v>
      </c>
      <c r="D3435" s="609" t="e">
        <f>+C3435*$L$8</f>
        <v>#N/A</v>
      </c>
      <c r="E3435" s="912"/>
      <c r="F3435" s="912"/>
      <c r="G3435" s="908" t="s">
        <v>2094</v>
      </c>
      <c r="H3435" s="909" t="s">
        <v>2095</v>
      </c>
      <c r="I3435" s="910" t="e">
        <f>VLOOKUP(H3430,'LƯƠNG KT'!$D$16:$Z$184,19,0)</f>
        <v>#N/A</v>
      </c>
      <c r="J3435" s="609" t="e">
        <f>+I3435*$L$8</f>
        <v>#N/A</v>
      </c>
      <c r="K3435" s="935"/>
      <c r="L3435" s="935"/>
      <c r="M3435" s="935"/>
      <c r="N3435" s="935"/>
      <c r="O3435" s="935"/>
    </row>
    <row r="3436" spans="1:15" ht="15" customHeight="1">
      <c r="A3436" s="908" t="s">
        <v>2096</v>
      </c>
      <c r="B3436" s="913" t="s">
        <v>2097</v>
      </c>
      <c r="C3436" s="910" t="e">
        <f>VLOOKUP(B3430,'LƯƠNG KT'!$D$16:$Z$184,20,0)</f>
        <v>#N/A</v>
      </c>
      <c r="D3436" s="609" t="e">
        <f>+C3436*$L$9</f>
        <v>#N/A</v>
      </c>
      <c r="E3436" s="912"/>
      <c r="F3436" s="912"/>
      <c r="G3436" s="908" t="s">
        <v>2096</v>
      </c>
      <c r="H3436" s="913" t="s">
        <v>2097</v>
      </c>
      <c r="I3436" s="910" t="e">
        <f>VLOOKUP(H3430,'LƯƠNG KT'!$D$16:$Z$184,20,0)</f>
        <v>#N/A</v>
      </c>
      <c r="J3436" s="609" t="e">
        <f>+I3436*$L$9</f>
        <v>#N/A</v>
      </c>
      <c r="K3436" s="935"/>
      <c r="L3436" s="935"/>
      <c r="M3436" s="935"/>
      <c r="N3436" s="935"/>
      <c r="O3436" s="935"/>
    </row>
    <row r="3437" spans="1:15" ht="15" customHeight="1">
      <c r="A3437" s="908" t="s">
        <v>2099</v>
      </c>
      <c r="B3437" s="909" t="s">
        <v>2100</v>
      </c>
      <c r="C3437" s="910" t="e">
        <f>VLOOKUP(B3430,'LƯƠNG KT'!$D$16:$Z$184,17,0)</f>
        <v>#N/A</v>
      </c>
      <c r="D3437" s="609" t="e">
        <f>+C3437*$L$10</f>
        <v>#N/A</v>
      </c>
      <c r="E3437" s="912"/>
      <c r="F3437" s="912"/>
      <c r="G3437" s="908" t="s">
        <v>2099</v>
      </c>
      <c r="H3437" s="909" t="s">
        <v>2100</v>
      </c>
      <c r="I3437" s="910" t="e">
        <f>VLOOKUP(H3430,'LƯƠNG KT'!$D$16:$Z$184,17,0)</f>
        <v>#N/A</v>
      </c>
      <c r="J3437" s="609" t="e">
        <f>+I3437*$L$10</f>
        <v>#N/A</v>
      </c>
      <c r="K3437" s="935"/>
      <c r="L3437" s="935"/>
      <c r="M3437" s="935"/>
      <c r="N3437" s="935"/>
      <c r="O3437" s="935"/>
    </row>
    <row r="3438" spans="1:15" ht="15" customHeight="1">
      <c r="A3438" s="908" t="s">
        <v>2117</v>
      </c>
      <c r="B3438" s="913" t="s">
        <v>2116</v>
      </c>
      <c r="C3438" s="910" t="e">
        <f>VLOOKUP(B3430,'LƯƠNG KT'!$D$16:$Z$184,21,0)</f>
        <v>#N/A</v>
      </c>
      <c r="D3438" s="609" t="e">
        <f>+C3438*$L$7</f>
        <v>#N/A</v>
      </c>
      <c r="E3438" s="912"/>
      <c r="F3438" s="912"/>
      <c r="G3438" s="908" t="s">
        <v>2117</v>
      </c>
      <c r="H3438" s="913" t="s">
        <v>2116</v>
      </c>
      <c r="I3438" s="910" t="e">
        <f>VLOOKUP(H3430,'LƯƠNG KT'!$D$16:$Z$184,21,0)</f>
        <v>#N/A</v>
      </c>
      <c r="J3438" s="609" t="e">
        <f>+I3438*$L$7</f>
        <v>#N/A</v>
      </c>
      <c r="K3438" s="935"/>
      <c r="L3438" s="935"/>
      <c r="M3438" s="935"/>
      <c r="N3438" s="935"/>
      <c r="O3438" s="935"/>
    </row>
    <row r="3439" spans="1:15" ht="15" customHeight="1">
      <c r="A3439" s="908" t="s">
        <v>2118</v>
      </c>
      <c r="B3439" s="909" t="s">
        <v>2112</v>
      </c>
      <c r="C3439" s="910" t="e">
        <f>VLOOKUP(B3430,'LƯƠNG KT'!$D$16:$Z$184,23,0)</f>
        <v>#N/A</v>
      </c>
      <c r="D3439" s="609" t="e">
        <f>+C3439*20000</f>
        <v>#N/A</v>
      </c>
      <c r="E3439" s="914"/>
      <c r="F3439" s="912"/>
      <c r="G3439" s="908" t="s">
        <v>2118</v>
      </c>
      <c r="H3439" s="909" t="s">
        <v>2112</v>
      </c>
      <c r="I3439" s="910" t="e">
        <f>VLOOKUP(H3430,'LƯƠNG KT'!$D$16:$Z$184,23,0)</f>
        <v>#N/A</v>
      </c>
      <c r="J3439" s="609" t="e">
        <f>+I3439*20000</f>
        <v>#N/A</v>
      </c>
      <c r="K3439" s="935"/>
      <c r="L3439" s="935"/>
      <c r="M3439" s="935"/>
      <c r="N3439" s="935"/>
      <c r="O3439" s="935"/>
    </row>
    <row r="3440" spans="1:15" ht="15" customHeight="1">
      <c r="A3440" s="908" t="s">
        <v>374</v>
      </c>
      <c r="B3440" s="909" t="s">
        <v>2102</v>
      </c>
      <c r="C3440" s="910" t="e">
        <f>VLOOKUP(B3430,'LƯƠNG KT'!$D$16:$Z$184,12,0)</f>
        <v>#N/A</v>
      </c>
      <c r="D3440" s="609" t="e">
        <f>VLOOKUP(B3430,'LƯƠNG KT'!$D$16:$Z$184,14,0)</f>
        <v>#N/A</v>
      </c>
      <c r="E3440" s="916"/>
      <c r="F3440" s="916"/>
      <c r="G3440" s="908" t="s">
        <v>374</v>
      </c>
      <c r="H3440" s="909" t="s">
        <v>2102</v>
      </c>
      <c r="I3440" s="910" t="e">
        <f>VLOOKUP(H3430,'LƯƠNG KT'!$D$16:$Z$184,12,0)</f>
        <v>#N/A</v>
      </c>
      <c r="J3440" s="609" t="e">
        <f>VLOOKUP(H3430,'LƯƠNG KT'!$D$16:$Z$184,14,0)</f>
        <v>#N/A</v>
      </c>
    </row>
    <row r="3441" spans="1:15" ht="15" customHeight="1">
      <c r="A3441" s="908" t="s">
        <v>2103</v>
      </c>
      <c r="B3441" s="909" t="s">
        <v>2104</v>
      </c>
      <c r="D3441" s="915" t="e">
        <f>VLOOKUP(B3430,'LƯƠNG KT'!$D$16:$Z$184,13,0)</f>
        <v>#N/A</v>
      </c>
      <c r="E3441" s="914"/>
      <c r="F3441" s="916"/>
      <c r="G3441" s="908" t="s">
        <v>2103</v>
      </c>
      <c r="H3441" s="909" t="s">
        <v>2104</v>
      </c>
      <c r="J3441" s="915" t="e">
        <f>VLOOKUP(H3430,'LƯƠNG KT'!$D$16:$Z$184,13,0)</f>
        <v>#N/A</v>
      </c>
    </row>
    <row r="3442" spans="1:15" ht="15" customHeight="1">
      <c r="A3442" s="905"/>
      <c r="B3442" s="546"/>
      <c r="C3442" s="910"/>
      <c r="D3442" s="609"/>
      <c r="E3442" s="917"/>
      <c r="F3442" s="904"/>
      <c r="G3442" s="905"/>
      <c r="H3442" s="546"/>
      <c r="I3442" s="910"/>
      <c r="J3442" s="609"/>
    </row>
    <row r="3443" spans="1:15" ht="15" customHeight="1">
      <c r="A3443" s="918" t="s">
        <v>383</v>
      </c>
      <c r="B3443" s="919" t="s">
        <v>384</v>
      </c>
      <c r="C3443" s="920"/>
      <c r="D3443" s="921" t="e">
        <f>SUM(D3431:D3440)</f>
        <v>#N/A</v>
      </c>
      <c r="E3443" s="922"/>
      <c r="F3443" s="923"/>
      <c r="G3443" s="918" t="s">
        <v>383</v>
      </c>
      <c r="H3443" s="919" t="s">
        <v>384</v>
      </c>
      <c r="I3443" s="920"/>
      <c r="J3443" s="921" t="e">
        <f>SUM(J3431:J3440)</f>
        <v>#N/A</v>
      </c>
    </row>
    <row r="3444" spans="1:15" ht="15.75" customHeight="1">
      <c r="A3444" s="924"/>
      <c r="B3444" s="925"/>
      <c r="C3444" s="926"/>
      <c r="D3444" s="927"/>
      <c r="E3444" s="927"/>
      <c r="F3444" s="928"/>
      <c r="G3444" s="924"/>
      <c r="H3444" s="925"/>
      <c r="I3444" s="926"/>
      <c r="J3444" s="927"/>
    </row>
    <row r="3445" spans="1:15" ht="6.75" customHeight="1"/>
    <row r="3446" spans="1:15" ht="6.75" customHeight="1">
      <c r="A3446" s="2361"/>
      <c r="B3446" s="2361"/>
      <c r="C3446" s="2361"/>
      <c r="D3446" s="2361"/>
      <c r="E3446" s="2361"/>
      <c r="F3446" s="2361"/>
      <c r="G3446" s="2361"/>
      <c r="H3446" s="2361"/>
      <c r="I3446" s="2361"/>
      <c r="J3446" s="2361"/>
    </row>
    <row r="3447" spans="1:15" ht="15" customHeight="1">
      <c r="A3447" s="2360" t="str">
        <f>$K$2</f>
        <v>THÁNG 04/2025</v>
      </c>
      <c r="B3447" s="2360"/>
      <c r="C3447" s="2360"/>
      <c r="D3447" s="2360"/>
      <c r="E3447" s="903"/>
      <c r="F3447" s="904"/>
      <c r="G3447" s="2360" t="str">
        <f>$K$2</f>
        <v>THÁNG 04/2025</v>
      </c>
      <c r="H3447" s="2360"/>
      <c r="I3447" s="2360"/>
      <c r="J3447" s="2360"/>
      <c r="K3447" s="276"/>
    </row>
    <row r="3448" spans="1:15" ht="15" customHeight="1">
      <c r="A3448" s="905" t="s">
        <v>356</v>
      </c>
      <c r="B3448" s="642" t="s">
        <v>324</v>
      </c>
      <c r="C3448" s="546"/>
      <c r="D3448" s="902"/>
      <c r="E3448" s="906"/>
      <c r="F3448" s="907"/>
      <c r="G3448" s="905" t="s">
        <v>356</v>
      </c>
      <c r="H3448" s="642" t="s">
        <v>325</v>
      </c>
      <c r="I3448" s="546"/>
      <c r="J3448" s="902"/>
      <c r="L3448" s="938"/>
      <c r="M3448" s="938"/>
      <c r="N3448" s="938"/>
      <c r="O3448" s="938"/>
    </row>
    <row r="3449" spans="1:15" ht="15" customHeight="1">
      <c r="A3449" s="908" t="s">
        <v>359</v>
      </c>
      <c r="B3449" s="909" t="s">
        <v>2090</v>
      </c>
      <c r="C3449" s="910" t="e">
        <f>VLOOKUP(B3448,'LƯƠNG KT'!$D$16:$Z$184,4,0)</f>
        <v>#N/A</v>
      </c>
      <c r="D3449" s="609" t="e">
        <f>+C3449*25000</f>
        <v>#N/A</v>
      </c>
      <c r="E3449" s="911"/>
      <c r="F3449" s="911"/>
      <c r="G3449" s="908" t="s">
        <v>359</v>
      </c>
      <c r="H3449" s="909" t="s">
        <v>2090</v>
      </c>
      <c r="I3449" s="910" t="e">
        <f>VLOOKUP(H3448,'LƯƠNG KT'!$D$16:$Z$184,4,0)</f>
        <v>#N/A</v>
      </c>
      <c r="J3449" s="609" t="e">
        <f>+I3449*25000</f>
        <v>#N/A</v>
      </c>
      <c r="K3449" s="934"/>
      <c r="L3449" s="935"/>
      <c r="M3449" s="935"/>
      <c r="N3449" s="935"/>
      <c r="O3449" s="935"/>
    </row>
    <row r="3450" spans="1:15" ht="15" customHeight="1">
      <c r="A3450" s="908" t="s">
        <v>361</v>
      </c>
      <c r="B3450" s="909" t="s">
        <v>2091</v>
      </c>
      <c r="C3450" s="910" t="e">
        <f>VLOOKUP(B3448,'LƯƠNG KT'!$D$16:$Z$184,15,0)</f>
        <v>#N/A</v>
      </c>
      <c r="D3450" s="609" t="e">
        <f>C3450*$L$4</f>
        <v>#N/A</v>
      </c>
      <c r="E3450" s="912"/>
      <c r="F3450" s="912"/>
      <c r="G3450" s="908" t="s">
        <v>361</v>
      </c>
      <c r="H3450" s="909" t="s">
        <v>2091</v>
      </c>
      <c r="I3450" s="910" t="e">
        <f>VLOOKUP(H3448,'LƯƠNG KT'!$D$16:$Z$184,15,0)</f>
        <v>#N/A</v>
      </c>
      <c r="J3450" s="609" t="e">
        <f>I3450*$L$4</f>
        <v>#N/A</v>
      </c>
      <c r="K3450" s="934"/>
      <c r="L3450" s="935"/>
      <c r="M3450" s="935"/>
      <c r="N3450" s="935"/>
      <c r="O3450" s="935"/>
    </row>
    <row r="3451" spans="1:15" ht="15" customHeight="1">
      <c r="A3451" s="908" t="s">
        <v>364</v>
      </c>
      <c r="B3451" s="909" t="s">
        <v>2092</v>
      </c>
      <c r="C3451" s="910" t="e">
        <f>VLOOKUP(B3448,'LƯƠNG KT'!$D$16:$Z$184,16,0)</f>
        <v>#N/A</v>
      </c>
      <c r="D3451" s="609" t="e">
        <f>C3451*$L$5</f>
        <v>#N/A</v>
      </c>
      <c r="E3451" s="912"/>
      <c r="F3451" s="912"/>
      <c r="G3451" s="908" t="s">
        <v>364</v>
      </c>
      <c r="H3451" s="909" t="s">
        <v>2092</v>
      </c>
      <c r="I3451" s="910" t="e">
        <f>VLOOKUP(H3448,'LƯƠNG KT'!$D$16:$Z$184,16,0)</f>
        <v>#N/A</v>
      </c>
      <c r="J3451" s="609" t="e">
        <f>I3451*$L$5</f>
        <v>#N/A</v>
      </c>
      <c r="K3451" s="934"/>
      <c r="L3451" s="935"/>
      <c r="M3451" s="935"/>
      <c r="N3451" s="935"/>
      <c r="O3451" s="935"/>
    </row>
    <row r="3452" spans="1:15" ht="15" customHeight="1">
      <c r="A3452" s="908" t="s">
        <v>370</v>
      </c>
      <c r="B3452" s="909" t="s">
        <v>2093</v>
      </c>
      <c r="C3452" s="910" t="e">
        <f>VLOOKUP(B3448,'LƯƠNG KT'!$D$16:$Z$184,24,0)</f>
        <v>#N/A</v>
      </c>
      <c r="D3452" s="609" t="e">
        <f>+C3452*$L$6</f>
        <v>#N/A</v>
      </c>
      <c r="E3452" s="912"/>
      <c r="F3452" s="912"/>
      <c r="G3452" s="908" t="s">
        <v>370</v>
      </c>
      <c r="H3452" s="909" t="s">
        <v>2093</v>
      </c>
      <c r="I3452" s="910" t="e">
        <f>VLOOKUP(H3448,'LƯƠNG KT'!$D$16:$Z$184,24,0)</f>
        <v>#N/A</v>
      </c>
      <c r="J3452" s="609" t="e">
        <f>+I3452*$L$6</f>
        <v>#N/A</v>
      </c>
      <c r="K3452" s="934"/>
      <c r="L3452" s="935"/>
      <c r="M3452" s="935"/>
      <c r="N3452" s="935"/>
      <c r="O3452" s="935"/>
    </row>
    <row r="3453" spans="1:15" ht="15" customHeight="1">
      <c r="A3453" s="908" t="s">
        <v>2094</v>
      </c>
      <c r="B3453" s="909" t="s">
        <v>2095</v>
      </c>
      <c r="C3453" s="910" t="e">
        <f>VLOOKUP(B3448,'LƯƠNG KT'!$D$16:$Z$184,19,0)</f>
        <v>#N/A</v>
      </c>
      <c r="D3453" s="609" t="e">
        <f>+C3453*$L$8</f>
        <v>#N/A</v>
      </c>
      <c r="E3453" s="912"/>
      <c r="F3453" s="912"/>
      <c r="G3453" s="908" t="s">
        <v>2094</v>
      </c>
      <c r="H3453" s="909" t="s">
        <v>2095</v>
      </c>
      <c r="I3453" s="910" t="e">
        <f>VLOOKUP(H3448,'LƯƠNG KT'!$D$16:$Z$184,19,0)</f>
        <v>#N/A</v>
      </c>
      <c r="J3453" s="609" t="e">
        <f>+I3453*$L$8</f>
        <v>#N/A</v>
      </c>
      <c r="K3453" s="935"/>
      <c r="L3453" s="935"/>
      <c r="M3453" s="935"/>
      <c r="N3453" s="935"/>
      <c r="O3453" s="935"/>
    </row>
    <row r="3454" spans="1:15" ht="15" customHeight="1">
      <c r="A3454" s="908" t="s">
        <v>2096</v>
      </c>
      <c r="B3454" s="913" t="s">
        <v>2097</v>
      </c>
      <c r="C3454" s="910" t="e">
        <f>VLOOKUP(B3448,'LƯƠNG KT'!$D$16:$Z$184,20,0)</f>
        <v>#N/A</v>
      </c>
      <c r="D3454" s="609" t="e">
        <f>+C3454*$L$9</f>
        <v>#N/A</v>
      </c>
      <c r="E3454" s="912"/>
      <c r="F3454" s="912"/>
      <c r="G3454" s="908" t="s">
        <v>2096</v>
      </c>
      <c r="H3454" s="913" t="s">
        <v>2097</v>
      </c>
      <c r="I3454" s="910" t="e">
        <f>VLOOKUP(H3448,'LƯƠNG KT'!$D$16:$Z$184,20,0)</f>
        <v>#N/A</v>
      </c>
      <c r="J3454" s="609" t="e">
        <f>+I3454*$L$9</f>
        <v>#N/A</v>
      </c>
      <c r="K3454" s="935"/>
      <c r="L3454" s="935"/>
      <c r="M3454" s="935"/>
      <c r="N3454" s="935"/>
      <c r="O3454" s="935"/>
    </row>
    <row r="3455" spans="1:15" ht="15" customHeight="1">
      <c r="A3455" s="908" t="s">
        <v>2099</v>
      </c>
      <c r="B3455" s="909" t="s">
        <v>2100</v>
      </c>
      <c r="C3455" s="910" t="e">
        <f>VLOOKUP(B3448,'LƯƠNG KT'!$D$16:$Z$184,17,0)</f>
        <v>#N/A</v>
      </c>
      <c r="D3455" s="609" t="e">
        <f>+C3455*$L$10</f>
        <v>#N/A</v>
      </c>
      <c r="E3455" s="912"/>
      <c r="F3455" s="912"/>
      <c r="G3455" s="908" t="s">
        <v>2099</v>
      </c>
      <c r="H3455" s="909" t="s">
        <v>2100</v>
      </c>
      <c r="I3455" s="910" t="e">
        <f>VLOOKUP(H3448,'LƯƠNG KT'!$D$16:$Z$184,17,0)</f>
        <v>#N/A</v>
      </c>
      <c r="J3455" s="609" t="e">
        <f>+I3455*$L$10</f>
        <v>#N/A</v>
      </c>
      <c r="K3455" s="935"/>
      <c r="L3455" s="935"/>
      <c r="M3455" s="935"/>
      <c r="N3455" s="935"/>
      <c r="O3455" s="935"/>
    </row>
    <row r="3456" spans="1:15" ht="15" customHeight="1">
      <c r="A3456" s="908" t="s">
        <v>2117</v>
      </c>
      <c r="B3456" s="913" t="s">
        <v>2116</v>
      </c>
      <c r="C3456" s="910" t="e">
        <f>VLOOKUP(B3448,'LƯƠNG KT'!$D$16:$Z$184,21,0)</f>
        <v>#N/A</v>
      </c>
      <c r="D3456" s="609" t="e">
        <f>+C3456*$L$7</f>
        <v>#N/A</v>
      </c>
      <c r="E3456" s="912"/>
      <c r="F3456" s="912"/>
      <c r="G3456" s="908" t="s">
        <v>2117</v>
      </c>
      <c r="H3456" s="913" t="s">
        <v>2116</v>
      </c>
      <c r="I3456" s="910" t="e">
        <f>VLOOKUP(H3448,'LƯƠNG KT'!$D$16:$Z$184,21,0)</f>
        <v>#N/A</v>
      </c>
      <c r="J3456" s="609" t="e">
        <f>+I3456*$L$7</f>
        <v>#N/A</v>
      </c>
      <c r="K3456" s="935"/>
      <c r="L3456" s="935"/>
      <c r="M3456" s="935"/>
      <c r="N3456" s="935"/>
      <c r="O3456" s="935"/>
    </row>
    <row r="3457" spans="1:15" ht="15" customHeight="1">
      <c r="A3457" s="908" t="s">
        <v>2118</v>
      </c>
      <c r="B3457" s="909" t="s">
        <v>2112</v>
      </c>
      <c r="C3457" s="910" t="e">
        <f>VLOOKUP(B3448,'LƯƠNG KT'!$D$16:$Z$184,23,0)</f>
        <v>#N/A</v>
      </c>
      <c r="D3457" s="609" t="e">
        <f>+C3457*20000</f>
        <v>#N/A</v>
      </c>
      <c r="E3457" s="914"/>
      <c r="F3457" s="912"/>
      <c r="G3457" s="908" t="s">
        <v>2118</v>
      </c>
      <c r="H3457" s="909" t="s">
        <v>2112</v>
      </c>
      <c r="I3457" s="910" t="e">
        <f>VLOOKUP(H3448,'LƯƠNG KT'!$D$16:$Z$184,23,0)</f>
        <v>#N/A</v>
      </c>
      <c r="J3457" s="609" t="e">
        <f>+I3457*20000</f>
        <v>#N/A</v>
      </c>
      <c r="K3457" s="935"/>
      <c r="L3457" s="935"/>
      <c r="M3457" s="935"/>
      <c r="N3457" s="935"/>
      <c r="O3457" s="935"/>
    </row>
    <row r="3458" spans="1:15" ht="15" customHeight="1">
      <c r="A3458" s="908" t="s">
        <v>374</v>
      </c>
      <c r="B3458" s="909" t="s">
        <v>2102</v>
      </c>
      <c r="C3458" s="910" t="e">
        <f>VLOOKUP(B3448,'LƯƠNG KT'!$D$16:$Z$184,12,0)</f>
        <v>#N/A</v>
      </c>
      <c r="D3458" s="609" t="e">
        <f>VLOOKUP(B3448,'LƯƠNG KT'!$D$16:$Z$184,14,0)</f>
        <v>#N/A</v>
      </c>
      <c r="E3458" s="916"/>
      <c r="F3458" s="916"/>
      <c r="G3458" s="908" t="s">
        <v>374</v>
      </c>
      <c r="H3458" s="909" t="s">
        <v>2102</v>
      </c>
      <c r="I3458" s="910" t="e">
        <f>VLOOKUP(H3448,'LƯƠNG KT'!$D$16:$Z$184,12,0)</f>
        <v>#N/A</v>
      </c>
      <c r="J3458" s="609" t="e">
        <f>VLOOKUP(H3448,'LƯƠNG KT'!$D$16:$Z$184,14,0)</f>
        <v>#N/A</v>
      </c>
    </row>
    <row r="3459" spans="1:15" ht="15" customHeight="1">
      <c r="A3459" s="908" t="s">
        <v>2103</v>
      </c>
      <c r="B3459" s="909" t="s">
        <v>2104</v>
      </c>
      <c r="D3459" s="915" t="e">
        <f>VLOOKUP(B3448,'LƯƠNG KT'!$D$16:$Z$184,13,0)</f>
        <v>#N/A</v>
      </c>
      <c r="E3459" s="914"/>
      <c r="F3459" s="916"/>
      <c r="G3459" s="908" t="s">
        <v>2103</v>
      </c>
      <c r="H3459" s="909" t="s">
        <v>2104</v>
      </c>
      <c r="J3459" s="915" t="e">
        <f>VLOOKUP(H3448,'LƯƠNG KT'!$D$16:$Z$184,13,0)</f>
        <v>#N/A</v>
      </c>
    </row>
    <row r="3460" spans="1:15" ht="15" customHeight="1">
      <c r="A3460" s="905"/>
      <c r="B3460" s="546"/>
      <c r="C3460" s="910"/>
      <c r="D3460" s="609"/>
      <c r="E3460" s="917"/>
      <c r="F3460" s="904"/>
      <c r="G3460" s="905"/>
      <c r="H3460" s="546"/>
      <c r="I3460" s="910"/>
      <c r="J3460" s="609"/>
    </row>
    <row r="3461" spans="1:15" ht="15" customHeight="1">
      <c r="A3461" s="918" t="s">
        <v>383</v>
      </c>
      <c r="B3461" s="919" t="s">
        <v>384</v>
      </c>
      <c r="C3461" s="920"/>
      <c r="D3461" s="921" t="e">
        <f>SUM(D3449:D3458)</f>
        <v>#N/A</v>
      </c>
      <c r="E3461" s="922"/>
      <c r="F3461" s="923"/>
      <c r="G3461" s="918" t="s">
        <v>383</v>
      </c>
      <c r="H3461" s="919" t="s">
        <v>384</v>
      </c>
      <c r="I3461" s="920"/>
      <c r="J3461" s="921" t="e">
        <f>SUM(J3449:J3458)</f>
        <v>#N/A</v>
      </c>
    </row>
    <row r="3462" spans="1:15" ht="12.6" customHeight="1">
      <c r="A3462" s="924"/>
      <c r="B3462" s="925"/>
      <c r="C3462" s="926"/>
      <c r="D3462" s="927"/>
      <c r="E3462" s="927"/>
      <c r="F3462" s="928"/>
      <c r="G3462" s="924"/>
      <c r="H3462" s="925"/>
      <c r="I3462" s="926"/>
      <c r="J3462" s="927"/>
    </row>
    <row r="3463" spans="1:15" ht="69.75" customHeight="1">
      <c r="A3463" s="925"/>
      <c r="B3463" s="925"/>
      <c r="C3463" s="929"/>
      <c r="D3463" s="930"/>
      <c r="E3463" s="925"/>
      <c r="F3463" s="931"/>
      <c r="G3463" s="925"/>
      <c r="H3463" s="925"/>
      <c r="I3463" s="929"/>
      <c r="J3463" s="930"/>
    </row>
    <row r="3464" spans="1:15" ht="15" customHeight="1">
      <c r="A3464" s="2360" t="str">
        <f>$K$2</f>
        <v>THÁNG 04/2025</v>
      </c>
      <c r="B3464" s="2360"/>
      <c r="C3464" s="2360"/>
      <c r="D3464" s="2360"/>
      <c r="E3464" s="903"/>
      <c r="F3464" s="904"/>
      <c r="G3464" s="2360" t="str">
        <f>$K$2</f>
        <v>THÁNG 04/2025</v>
      </c>
      <c r="H3464" s="2360"/>
      <c r="I3464" s="2360"/>
      <c r="J3464" s="2360"/>
      <c r="K3464" s="276"/>
    </row>
    <row r="3465" spans="1:15" ht="15" customHeight="1">
      <c r="A3465" s="905" t="s">
        <v>356</v>
      </c>
      <c r="B3465" s="642" t="s">
        <v>326</v>
      </c>
      <c r="C3465" s="546"/>
      <c r="D3465" s="902"/>
      <c r="E3465" s="906"/>
      <c r="F3465" s="907"/>
      <c r="G3465" s="905" t="s">
        <v>356</v>
      </c>
      <c r="H3465" s="642" t="s">
        <v>327</v>
      </c>
      <c r="I3465" s="546"/>
      <c r="J3465" s="902"/>
      <c r="L3465" s="938"/>
      <c r="M3465" s="938"/>
      <c r="N3465" s="938"/>
      <c r="O3465" s="938"/>
    </row>
    <row r="3466" spans="1:15" ht="15" customHeight="1">
      <c r="A3466" s="908" t="s">
        <v>359</v>
      </c>
      <c r="B3466" s="909" t="s">
        <v>2090</v>
      </c>
      <c r="C3466" s="910" t="e">
        <f>VLOOKUP(B3465,'LƯƠNG KT'!$D$16:$Z$184,4,0)</f>
        <v>#N/A</v>
      </c>
      <c r="D3466" s="609" t="e">
        <f>+C3466*25000</f>
        <v>#N/A</v>
      </c>
      <c r="E3466" s="911"/>
      <c r="F3466" s="911"/>
      <c r="G3466" s="908" t="s">
        <v>359</v>
      </c>
      <c r="H3466" s="909" t="s">
        <v>2090</v>
      </c>
      <c r="I3466" s="910" t="e">
        <f>VLOOKUP(H3465,'LƯƠNG KT'!$D$16:$Z$184,4,0)</f>
        <v>#N/A</v>
      </c>
      <c r="J3466" s="609" t="e">
        <f>+I3466*25000</f>
        <v>#N/A</v>
      </c>
      <c r="K3466" s="935"/>
      <c r="L3466" s="935"/>
      <c r="M3466" s="935"/>
      <c r="N3466" s="935"/>
      <c r="O3466" s="935"/>
    </row>
    <row r="3467" spans="1:15" ht="15" customHeight="1">
      <c r="A3467" s="908" t="s">
        <v>361</v>
      </c>
      <c r="B3467" s="909" t="s">
        <v>2091</v>
      </c>
      <c r="C3467" s="910" t="e">
        <f>VLOOKUP(B3465,'LƯƠNG KT'!$D$16:$Z$184,15,0)</f>
        <v>#N/A</v>
      </c>
      <c r="D3467" s="609" t="e">
        <f>C3467*$L$4</f>
        <v>#N/A</v>
      </c>
      <c r="E3467" s="912"/>
      <c r="F3467" s="912"/>
      <c r="G3467" s="908" t="s">
        <v>361</v>
      </c>
      <c r="H3467" s="909" t="s">
        <v>2091</v>
      </c>
      <c r="I3467" s="910" t="e">
        <f>VLOOKUP(H3465,'LƯƠNG KT'!$D$16:$Z$184,15,0)</f>
        <v>#N/A</v>
      </c>
      <c r="J3467" s="609" t="e">
        <f>I3467*$L$4</f>
        <v>#N/A</v>
      </c>
      <c r="K3467" s="935"/>
      <c r="L3467" s="935"/>
      <c r="M3467" s="935"/>
      <c r="N3467" s="935"/>
      <c r="O3467" s="935"/>
    </row>
    <row r="3468" spans="1:15" ht="15" customHeight="1">
      <c r="A3468" s="908" t="s">
        <v>364</v>
      </c>
      <c r="B3468" s="909" t="s">
        <v>2092</v>
      </c>
      <c r="C3468" s="910" t="e">
        <f>VLOOKUP(B3465,'LƯƠNG KT'!$D$16:$Z$184,16,0)</f>
        <v>#N/A</v>
      </c>
      <c r="D3468" s="609" t="e">
        <f>C3468*$L$5</f>
        <v>#N/A</v>
      </c>
      <c r="E3468" s="912"/>
      <c r="F3468" s="912"/>
      <c r="G3468" s="908" t="s">
        <v>364</v>
      </c>
      <c r="H3468" s="909" t="s">
        <v>2092</v>
      </c>
      <c r="I3468" s="910" t="e">
        <f>VLOOKUP(H3465,'LƯƠNG KT'!$D$16:$Z$184,16,0)</f>
        <v>#N/A</v>
      </c>
      <c r="J3468" s="609" t="e">
        <f>I3468*$L$5</f>
        <v>#N/A</v>
      </c>
      <c r="K3468" s="935"/>
      <c r="L3468" s="935"/>
      <c r="M3468" s="935"/>
      <c r="N3468" s="935"/>
      <c r="O3468" s="935"/>
    </row>
    <row r="3469" spans="1:15" ht="15" customHeight="1">
      <c r="A3469" s="908" t="s">
        <v>370</v>
      </c>
      <c r="B3469" s="909" t="s">
        <v>2093</v>
      </c>
      <c r="C3469" s="910" t="e">
        <f>VLOOKUP(B3465,'LƯƠNG KT'!$D$16:$Z$184,24,0)</f>
        <v>#N/A</v>
      </c>
      <c r="D3469" s="609" t="e">
        <f>+C3469*$L$6</f>
        <v>#N/A</v>
      </c>
      <c r="E3469" s="912"/>
      <c r="F3469" s="912"/>
      <c r="G3469" s="908" t="s">
        <v>370</v>
      </c>
      <c r="H3469" s="909" t="s">
        <v>2093</v>
      </c>
      <c r="I3469" s="910" t="e">
        <f>VLOOKUP(H3465,'LƯƠNG KT'!$D$16:$Z$184,24,0)</f>
        <v>#N/A</v>
      </c>
      <c r="J3469" s="609" t="e">
        <f>+I3469*$L$6</f>
        <v>#N/A</v>
      </c>
      <c r="K3469" s="935"/>
      <c r="L3469" s="935"/>
      <c r="M3469" s="935"/>
      <c r="N3469" s="935"/>
      <c r="O3469" s="935"/>
    </row>
    <row r="3470" spans="1:15" ht="15" customHeight="1">
      <c r="A3470" s="908" t="s">
        <v>2094</v>
      </c>
      <c r="B3470" s="909" t="s">
        <v>2095</v>
      </c>
      <c r="C3470" s="910" t="e">
        <f>VLOOKUP(B3465,'LƯƠNG KT'!$D$16:$Z$184,19,0)</f>
        <v>#N/A</v>
      </c>
      <c r="D3470" s="609" t="e">
        <f>+C3470*$L$8</f>
        <v>#N/A</v>
      </c>
      <c r="E3470" s="912"/>
      <c r="F3470" s="912"/>
      <c r="G3470" s="908" t="s">
        <v>2094</v>
      </c>
      <c r="H3470" s="909" t="s">
        <v>2095</v>
      </c>
      <c r="I3470" s="910" t="e">
        <f>VLOOKUP(H3465,'LƯƠNG KT'!$D$16:$Z$184,19,0)</f>
        <v>#N/A</v>
      </c>
      <c r="J3470" s="609" t="e">
        <f>+I3470*$L$8</f>
        <v>#N/A</v>
      </c>
      <c r="K3470" s="935"/>
      <c r="L3470" s="935"/>
      <c r="M3470" s="935"/>
      <c r="N3470" s="935"/>
      <c r="O3470" s="935"/>
    </row>
    <row r="3471" spans="1:15" ht="15" customHeight="1">
      <c r="A3471" s="908" t="s">
        <v>2096</v>
      </c>
      <c r="B3471" s="913" t="s">
        <v>2097</v>
      </c>
      <c r="C3471" s="910" t="e">
        <f>VLOOKUP(B3465,'LƯƠNG KT'!$D$16:$Z$184,20,0)</f>
        <v>#N/A</v>
      </c>
      <c r="D3471" s="609" t="e">
        <f>+C3471*$L$9</f>
        <v>#N/A</v>
      </c>
      <c r="E3471" s="912"/>
      <c r="F3471" s="912"/>
      <c r="G3471" s="908" t="s">
        <v>2096</v>
      </c>
      <c r="H3471" s="913" t="s">
        <v>2097</v>
      </c>
      <c r="I3471" s="910" t="e">
        <f>VLOOKUP(H3465,'LƯƠNG KT'!$D$16:$Z$184,20,0)</f>
        <v>#N/A</v>
      </c>
      <c r="J3471" s="609" t="e">
        <f>+I3471*$L$9</f>
        <v>#N/A</v>
      </c>
      <c r="K3471" s="935"/>
      <c r="L3471" s="935"/>
      <c r="M3471" s="935"/>
      <c r="N3471" s="935"/>
      <c r="O3471" s="935"/>
    </row>
    <row r="3472" spans="1:15" ht="15" customHeight="1">
      <c r="A3472" s="908" t="s">
        <v>2099</v>
      </c>
      <c r="B3472" s="909" t="s">
        <v>2100</v>
      </c>
      <c r="C3472" s="910" t="e">
        <f>VLOOKUP(B3465,'LƯƠNG KT'!$D$16:$Z$184,17,0)</f>
        <v>#N/A</v>
      </c>
      <c r="D3472" s="609" t="e">
        <f>+C3472*$L$10</f>
        <v>#N/A</v>
      </c>
      <c r="E3472" s="912"/>
      <c r="F3472" s="912"/>
      <c r="G3472" s="908" t="s">
        <v>2099</v>
      </c>
      <c r="H3472" s="909" t="s">
        <v>2100</v>
      </c>
      <c r="I3472" s="910" t="e">
        <f>VLOOKUP(H3465,'LƯƠNG KT'!$D$16:$Z$184,17,0)</f>
        <v>#N/A</v>
      </c>
      <c r="J3472" s="609" t="e">
        <f>+I3472*$L$10</f>
        <v>#N/A</v>
      </c>
      <c r="K3472" s="935"/>
      <c r="L3472" s="935"/>
      <c r="M3472" s="935"/>
      <c r="N3472" s="935"/>
      <c r="O3472" s="935"/>
    </row>
    <row r="3473" spans="1:15" ht="15" customHeight="1">
      <c r="A3473" s="908" t="s">
        <v>2117</v>
      </c>
      <c r="B3473" s="913" t="s">
        <v>2116</v>
      </c>
      <c r="C3473" s="910" t="e">
        <f>VLOOKUP(B3465,'LƯƠNG KT'!$D$16:$Z$184,21,0)</f>
        <v>#N/A</v>
      </c>
      <c r="D3473" s="609" t="e">
        <f>+C3473*$L$7</f>
        <v>#N/A</v>
      </c>
      <c r="E3473" s="912"/>
      <c r="F3473" s="912"/>
      <c r="G3473" s="908" t="s">
        <v>2117</v>
      </c>
      <c r="H3473" s="913" t="s">
        <v>2116</v>
      </c>
      <c r="I3473" s="910" t="e">
        <f>VLOOKUP(H3465,'LƯƠNG KT'!$D$16:$Z$184,21,0)</f>
        <v>#N/A</v>
      </c>
      <c r="J3473" s="609" t="e">
        <f>+I3473*$L$7</f>
        <v>#N/A</v>
      </c>
      <c r="K3473" s="935"/>
      <c r="L3473" s="935"/>
      <c r="M3473" s="935"/>
      <c r="N3473" s="935"/>
      <c r="O3473" s="935"/>
    </row>
    <row r="3474" spans="1:15" ht="15" customHeight="1">
      <c r="A3474" s="908" t="s">
        <v>2118</v>
      </c>
      <c r="B3474" s="909" t="s">
        <v>2112</v>
      </c>
      <c r="C3474" s="910" t="e">
        <f>VLOOKUP(B3465,'LƯƠNG KT'!$D$16:$Z$184,23,0)</f>
        <v>#N/A</v>
      </c>
      <c r="D3474" s="609" t="e">
        <f>+C3474*20000</f>
        <v>#N/A</v>
      </c>
      <c r="E3474" s="914"/>
      <c r="F3474" s="912"/>
      <c r="G3474" s="908" t="s">
        <v>2118</v>
      </c>
      <c r="H3474" s="909" t="s">
        <v>2112</v>
      </c>
      <c r="I3474" s="910" t="e">
        <f>VLOOKUP(H3465,'LƯƠNG KT'!$D$16:$Z$184,23,0)</f>
        <v>#N/A</v>
      </c>
      <c r="J3474" s="609" t="e">
        <f>+I3474*20000</f>
        <v>#N/A</v>
      </c>
      <c r="K3474" s="935"/>
      <c r="L3474" s="935"/>
      <c r="M3474" s="935"/>
      <c r="N3474" s="935"/>
      <c r="O3474" s="935"/>
    </row>
    <row r="3475" spans="1:15" ht="15" customHeight="1">
      <c r="A3475" s="908" t="s">
        <v>374</v>
      </c>
      <c r="B3475" s="909" t="s">
        <v>2102</v>
      </c>
      <c r="C3475" s="910" t="e">
        <f>VLOOKUP(B3465,'LƯƠNG KT'!$D$16:$Z$184,12,0)</f>
        <v>#N/A</v>
      </c>
      <c r="D3475" s="609" t="e">
        <f>VLOOKUP(B3465,'LƯƠNG KT'!$D$16:$Z$184,14,0)</f>
        <v>#N/A</v>
      </c>
      <c r="E3475" s="916"/>
      <c r="F3475" s="916"/>
      <c r="G3475" s="908" t="s">
        <v>374</v>
      </c>
      <c r="H3475" s="909" t="s">
        <v>2102</v>
      </c>
      <c r="I3475" s="910" t="e">
        <f>VLOOKUP(H3465,'LƯƠNG KT'!$D$16:$Z$184,12,0)</f>
        <v>#N/A</v>
      </c>
      <c r="J3475" s="609" t="e">
        <f>VLOOKUP(H3465,'LƯƠNG KT'!$D$16:$Z$184,14,0)</f>
        <v>#N/A</v>
      </c>
    </row>
    <row r="3476" spans="1:15" ht="15" customHeight="1">
      <c r="A3476" s="908" t="s">
        <v>2103</v>
      </c>
      <c r="B3476" s="909" t="s">
        <v>2104</v>
      </c>
      <c r="D3476" s="915" t="e">
        <f>VLOOKUP(B3465,'LƯƠNG KT'!$D$16:$Z$184,13,0)</f>
        <v>#N/A</v>
      </c>
      <c r="E3476" s="914"/>
      <c r="F3476" s="916"/>
      <c r="G3476" s="908" t="s">
        <v>2103</v>
      </c>
      <c r="H3476" s="909" t="s">
        <v>2104</v>
      </c>
      <c r="J3476" s="915" t="e">
        <f>VLOOKUP(H3465,'LƯƠNG KT'!$D$16:$Z$184,13,0)</f>
        <v>#N/A</v>
      </c>
    </row>
    <row r="3477" spans="1:15" ht="15" customHeight="1">
      <c r="A3477" s="905"/>
      <c r="B3477" s="546"/>
      <c r="C3477" s="910"/>
      <c r="D3477" s="609"/>
      <c r="E3477" s="917"/>
      <c r="F3477" s="904"/>
      <c r="G3477" s="905"/>
      <c r="H3477" s="546"/>
      <c r="I3477" s="910"/>
      <c r="J3477" s="609"/>
    </row>
    <row r="3478" spans="1:15" ht="15" customHeight="1">
      <c r="A3478" s="918" t="s">
        <v>383</v>
      </c>
      <c r="B3478" s="919" t="s">
        <v>384</v>
      </c>
      <c r="C3478" s="920"/>
      <c r="D3478" s="921" t="e">
        <f>SUM(D3466:D3475)</f>
        <v>#N/A</v>
      </c>
      <c r="E3478" s="922"/>
      <c r="F3478" s="923"/>
      <c r="G3478" s="918" t="s">
        <v>383</v>
      </c>
      <c r="H3478" s="919" t="s">
        <v>384</v>
      </c>
      <c r="I3478" s="920"/>
      <c r="J3478" s="921" t="e">
        <f>SUM(J3466:J3475)</f>
        <v>#N/A</v>
      </c>
    </row>
    <row r="3479" spans="1:15" ht="29.25" customHeight="1">
      <c r="A3479" s="924"/>
      <c r="B3479" s="925"/>
      <c r="C3479" s="926"/>
      <c r="D3479" s="927"/>
      <c r="E3479" s="927"/>
      <c r="F3479" s="928"/>
      <c r="G3479" s="924"/>
      <c r="H3479" s="925"/>
      <c r="I3479" s="926"/>
      <c r="J3479" s="927"/>
    </row>
    <row r="3480" spans="1:15" ht="29.25" customHeight="1">
      <c r="A3480" s="925"/>
      <c r="B3480" s="925"/>
      <c r="C3480" s="929"/>
      <c r="D3480" s="930"/>
      <c r="E3480" s="925"/>
      <c r="F3480" s="931"/>
      <c r="G3480" s="925"/>
      <c r="H3480" s="925"/>
      <c r="I3480" s="929"/>
      <c r="J3480" s="930"/>
    </row>
    <row r="3481" spans="1:15" ht="15" customHeight="1">
      <c r="A3481" s="2360" t="str">
        <f>$K$2</f>
        <v>THÁNG 04/2025</v>
      </c>
      <c r="B3481" s="2360"/>
      <c r="C3481" s="2360"/>
      <c r="D3481" s="2360"/>
      <c r="E3481" s="903"/>
      <c r="F3481" s="904"/>
      <c r="G3481" s="2360" t="str">
        <f>$K$2</f>
        <v>THÁNG 04/2025</v>
      </c>
      <c r="H3481" s="2360"/>
      <c r="I3481" s="2360"/>
      <c r="J3481" s="2360"/>
      <c r="K3481" s="276"/>
    </row>
    <row r="3482" spans="1:15" ht="15" customHeight="1">
      <c r="A3482" s="905" t="s">
        <v>356</v>
      </c>
      <c r="B3482" s="642" t="s">
        <v>328</v>
      </c>
      <c r="C3482" s="546"/>
      <c r="D3482" s="902"/>
      <c r="E3482" s="906"/>
      <c r="F3482" s="907"/>
      <c r="G3482" s="905" t="s">
        <v>356</v>
      </c>
      <c r="H3482" s="642" t="s">
        <v>329</v>
      </c>
      <c r="I3482" s="546"/>
      <c r="J3482" s="902"/>
      <c r="L3482" s="938"/>
      <c r="M3482" s="938"/>
      <c r="N3482" s="938"/>
      <c r="O3482" s="938"/>
    </row>
    <row r="3483" spans="1:15" ht="15" customHeight="1">
      <c r="A3483" s="908" t="s">
        <v>359</v>
      </c>
      <c r="B3483" s="909" t="s">
        <v>2090</v>
      </c>
      <c r="C3483" s="910" t="e">
        <f>VLOOKUP(B3482,'LƯƠNG KT'!$D$16:$Z$184,4,0)</f>
        <v>#N/A</v>
      </c>
      <c r="D3483" s="609" t="e">
        <f>+C3483*25000</f>
        <v>#N/A</v>
      </c>
      <c r="E3483" s="911"/>
      <c r="F3483" s="911"/>
      <c r="G3483" s="908" t="s">
        <v>359</v>
      </c>
      <c r="H3483" s="909" t="s">
        <v>2090</v>
      </c>
      <c r="I3483" s="910" t="e">
        <f>VLOOKUP(H3482,'LƯƠNG KT'!$D$16:$Z$184,4,0)</f>
        <v>#N/A</v>
      </c>
      <c r="J3483" s="609" t="e">
        <f>+I3483*25000</f>
        <v>#N/A</v>
      </c>
      <c r="K3483" s="935"/>
      <c r="L3483" s="935"/>
      <c r="M3483" s="935"/>
      <c r="N3483" s="935"/>
      <c r="O3483" s="935"/>
    </row>
    <row r="3484" spans="1:15" ht="15" customHeight="1">
      <c r="A3484" s="908" t="s">
        <v>361</v>
      </c>
      <c r="B3484" s="909" t="s">
        <v>2091</v>
      </c>
      <c r="C3484" s="910" t="e">
        <f>VLOOKUP(B3482,'LƯƠNG KT'!$D$16:$Z$184,15,0)</f>
        <v>#N/A</v>
      </c>
      <c r="D3484" s="609" t="e">
        <f>C3484*$L$4</f>
        <v>#N/A</v>
      </c>
      <c r="E3484" s="912"/>
      <c r="F3484" s="912"/>
      <c r="G3484" s="908" t="s">
        <v>361</v>
      </c>
      <c r="H3484" s="909" t="s">
        <v>2091</v>
      </c>
      <c r="I3484" s="910" t="e">
        <f>VLOOKUP(H3482,'LƯƠNG KT'!$D$16:$Z$184,15,0)</f>
        <v>#N/A</v>
      </c>
      <c r="J3484" s="609" t="e">
        <f>I3484*$L$4</f>
        <v>#N/A</v>
      </c>
      <c r="K3484" s="935"/>
      <c r="L3484" s="935"/>
      <c r="M3484" s="935"/>
      <c r="N3484" s="935"/>
      <c r="O3484" s="935"/>
    </row>
    <row r="3485" spans="1:15" ht="15" customHeight="1">
      <c r="A3485" s="908" t="s">
        <v>364</v>
      </c>
      <c r="B3485" s="909" t="s">
        <v>2092</v>
      </c>
      <c r="C3485" s="910" t="e">
        <f>VLOOKUP(B3482,'LƯƠNG KT'!$D$16:$Z$184,16,0)</f>
        <v>#N/A</v>
      </c>
      <c r="D3485" s="609" t="e">
        <f>C3485*$L$5</f>
        <v>#N/A</v>
      </c>
      <c r="E3485" s="912"/>
      <c r="F3485" s="912"/>
      <c r="G3485" s="908" t="s">
        <v>364</v>
      </c>
      <c r="H3485" s="909" t="s">
        <v>2092</v>
      </c>
      <c r="I3485" s="910" t="e">
        <f>VLOOKUP(H3482,'LƯƠNG KT'!$D$16:$Z$184,16,0)</f>
        <v>#N/A</v>
      </c>
      <c r="J3485" s="609" t="e">
        <f>I3485*$L$5</f>
        <v>#N/A</v>
      </c>
      <c r="K3485" s="935"/>
      <c r="L3485" s="935"/>
      <c r="M3485" s="935"/>
      <c r="N3485" s="935"/>
      <c r="O3485" s="935"/>
    </row>
    <row r="3486" spans="1:15" ht="15" customHeight="1">
      <c r="A3486" s="908" t="s">
        <v>370</v>
      </c>
      <c r="B3486" s="909" t="s">
        <v>2093</v>
      </c>
      <c r="C3486" s="910" t="e">
        <f>VLOOKUP(B3482,'LƯƠNG KT'!$D$16:$Z$184,24,0)</f>
        <v>#N/A</v>
      </c>
      <c r="D3486" s="609" t="e">
        <f>+C3486*$L$6</f>
        <v>#N/A</v>
      </c>
      <c r="E3486" s="912"/>
      <c r="F3486" s="912"/>
      <c r="G3486" s="908" t="s">
        <v>370</v>
      </c>
      <c r="H3486" s="909" t="s">
        <v>2093</v>
      </c>
      <c r="I3486" s="910" t="e">
        <f>VLOOKUP(H3482,'LƯƠNG KT'!$D$16:$Z$184,24,0)</f>
        <v>#N/A</v>
      </c>
      <c r="J3486" s="609" t="e">
        <f>+I3486*$L$6</f>
        <v>#N/A</v>
      </c>
      <c r="K3486" s="935"/>
      <c r="L3486" s="935"/>
      <c r="M3486" s="935"/>
      <c r="N3486" s="935"/>
      <c r="O3486" s="935"/>
    </row>
    <row r="3487" spans="1:15" ht="15" customHeight="1">
      <c r="A3487" s="908" t="s">
        <v>2094</v>
      </c>
      <c r="B3487" s="909" t="s">
        <v>2095</v>
      </c>
      <c r="C3487" s="910" t="e">
        <f>VLOOKUP(B3482,'LƯƠNG KT'!$D$16:$Z$184,19,0)</f>
        <v>#N/A</v>
      </c>
      <c r="D3487" s="609" t="e">
        <f>+C3487*$L$8</f>
        <v>#N/A</v>
      </c>
      <c r="E3487" s="912"/>
      <c r="F3487" s="912"/>
      <c r="G3487" s="908" t="s">
        <v>2094</v>
      </c>
      <c r="H3487" s="909" t="s">
        <v>2095</v>
      </c>
      <c r="I3487" s="910" t="e">
        <f>VLOOKUP(H3482,'LƯƠNG KT'!$D$16:$Z$184,19,0)</f>
        <v>#N/A</v>
      </c>
      <c r="J3487" s="609" t="e">
        <f>+I3487*$L$8</f>
        <v>#N/A</v>
      </c>
      <c r="K3487" s="935"/>
      <c r="L3487" s="935"/>
      <c r="M3487" s="935"/>
      <c r="N3487" s="935"/>
      <c r="O3487" s="935"/>
    </row>
    <row r="3488" spans="1:15" ht="15" customHeight="1">
      <c r="A3488" s="908" t="s">
        <v>2096</v>
      </c>
      <c r="B3488" s="913" t="s">
        <v>2097</v>
      </c>
      <c r="C3488" s="910" t="e">
        <f>VLOOKUP(B3482,'LƯƠNG KT'!$D$16:$Z$184,20,0)</f>
        <v>#N/A</v>
      </c>
      <c r="D3488" s="609" t="e">
        <f>+C3488*$L$9</f>
        <v>#N/A</v>
      </c>
      <c r="E3488" s="912"/>
      <c r="F3488" s="912"/>
      <c r="G3488" s="908" t="s">
        <v>2096</v>
      </c>
      <c r="H3488" s="913" t="s">
        <v>2097</v>
      </c>
      <c r="I3488" s="910" t="e">
        <f>VLOOKUP(H3482,'LƯƠNG KT'!$D$16:$Z$184,20,0)</f>
        <v>#N/A</v>
      </c>
      <c r="J3488" s="609" t="e">
        <f>+I3488*$L$9</f>
        <v>#N/A</v>
      </c>
      <c r="K3488" s="935"/>
      <c r="L3488" s="935"/>
      <c r="M3488" s="935"/>
      <c r="N3488" s="935"/>
      <c r="O3488" s="935"/>
    </row>
    <row r="3489" spans="1:15" ht="15" customHeight="1">
      <c r="A3489" s="908" t="s">
        <v>2099</v>
      </c>
      <c r="B3489" s="909" t="s">
        <v>2100</v>
      </c>
      <c r="C3489" s="910" t="e">
        <f>VLOOKUP(B3482,'LƯƠNG KT'!$D$16:$Z$184,17,0)</f>
        <v>#N/A</v>
      </c>
      <c r="D3489" s="609" t="e">
        <f>+C3489*$L$10</f>
        <v>#N/A</v>
      </c>
      <c r="E3489" s="912"/>
      <c r="F3489" s="912"/>
      <c r="G3489" s="908" t="s">
        <v>2099</v>
      </c>
      <c r="H3489" s="909" t="s">
        <v>2100</v>
      </c>
      <c r="I3489" s="910" t="e">
        <f>VLOOKUP(H3482,'LƯƠNG KT'!$D$16:$Z$184,17,0)</f>
        <v>#N/A</v>
      </c>
      <c r="J3489" s="609" t="e">
        <f>+I3489*$L$10</f>
        <v>#N/A</v>
      </c>
      <c r="K3489" s="935"/>
      <c r="L3489" s="935"/>
      <c r="M3489" s="935"/>
      <c r="N3489" s="935"/>
      <c r="O3489" s="935"/>
    </row>
    <row r="3490" spans="1:15" ht="15" customHeight="1">
      <c r="A3490" s="908" t="s">
        <v>2117</v>
      </c>
      <c r="B3490" s="913" t="s">
        <v>2116</v>
      </c>
      <c r="C3490" s="910" t="e">
        <f>VLOOKUP(B3482,'LƯƠNG KT'!$D$16:$Z$184,21,0)</f>
        <v>#N/A</v>
      </c>
      <c r="D3490" s="609" t="e">
        <f>+C3490*$L$7</f>
        <v>#N/A</v>
      </c>
      <c r="E3490" s="912"/>
      <c r="F3490" s="912"/>
      <c r="G3490" s="908" t="s">
        <v>2117</v>
      </c>
      <c r="H3490" s="913" t="s">
        <v>2116</v>
      </c>
      <c r="I3490" s="910" t="e">
        <f>VLOOKUP(H3482,'LƯƠNG KT'!$D$16:$Z$184,21,0)</f>
        <v>#N/A</v>
      </c>
      <c r="J3490" s="609" t="e">
        <f>+I3490*$L$7</f>
        <v>#N/A</v>
      </c>
      <c r="K3490" s="935"/>
      <c r="L3490" s="935"/>
      <c r="M3490" s="935"/>
      <c r="N3490" s="935"/>
      <c r="O3490" s="935"/>
    </row>
    <row r="3491" spans="1:15" ht="15" customHeight="1">
      <c r="A3491" s="908" t="s">
        <v>2118</v>
      </c>
      <c r="B3491" s="909" t="s">
        <v>2112</v>
      </c>
      <c r="C3491" s="910" t="e">
        <f>VLOOKUP(B3482,'LƯƠNG KT'!$D$16:$Z$184,23,0)</f>
        <v>#N/A</v>
      </c>
      <c r="D3491" s="609" t="e">
        <f>+C3491*20000</f>
        <v>#N/A</v>
      </c>
      <c r="E3491" s="914"/>
      <c r="F3491" s="912"/>
      <c r="G3491" s="908" t="s">
        <v>2118</v>
      </c>
      <c r="H3491" s="909" t="s">
        <v>2112</v>
      </c>
      <c r="I3491" s="910" t="e">
        <f>VLOOKUP(H3482,'LƯƠNG KT'!$D$16:$Z$184,23,0)</f>
        <v>#N/A</v>
      </c>
      <c r="J3491" s="609" t="e">
        <f>+I3491*20000</f>
        <v>#N/A</v>
      </c>
      <c r="K3491" s="935"/>
      <c r="L3491" s="935"/>
      <c r="M3491" s="935"/>
      <c r="N3491" s="935"/>
      <c r="O3491" s="935"/>
    </row>
    <row r="3492" spans="1:15" ht="15" customHeight="1">
      <c r="A3492" s="908" t="s">
        <v>374</v>
      </c>
      <c r="B3492" s="909" t="s">
        <v>2102</v>
      </c>
      <c r="C3492" s="910" t="e">
        <f>VLOOKUP(B3482,'LƯƠNG KT'!$D$16:$Z$184,12,0)</f>
        <v>#N/A</v>
      </c>
      <c r="D3492" s="609" t="e">
        <f>VLOOKUP(B3482,'LƯƠNG KT'!$D$16:$Z$184,14,0)</f>
        <v>#N/A</v>
      </c>
      <c r="E3492" s="916"/>
      <c r="F3492" s="916"/>
      <c r="G3492" s="908" t="s">
        <v>374</v>
      </c>
      <c r="H3492" s="909" t="s">
        <v>2102</v>
      </c>
      <c r="I3492" s="910" t="e">
        <f>VLOOKUP(H3482,'LƯƠNG KT'!$D$16:$Z$184,12,0)</f>
        <v>#N/A</v>
      </c>
      <c r="J3492" s="609" t="e">
        <f>VLOOKUP(H3482,'LƯƠNG KT'!$D$16:$Z$184,14,0)</f>
        <v>#N/A</v>
      </c>
    </row>
    <row r="3493" spans="1:15" ht="15" customHeight="1">
      <c r="A3493" s="908" t="s">
        <v>2103</v>
      </c>
      <c r="B3493" s="909" t="s">
        <v>2104</v>
      </c>
      <c r="D3493" s="915" t="e">
        <f>VLOOKUP(B3482,'LƯƠNG KT'!$D$16:$Z$184,13,0)</f>
        <v>#N/A</v>
      </c>
      <c r="E3493" s="914"/>
      <c r="F3493" s="916"/>
      <c r="G3493" s="908" t="s">
        <v>2103</v>
      </c>
      <c r="H3493" s="909" t="s">
        <v>2104</v>
      </c>
      <c r="J3493" s="915" t="e">
        <f>VLOOKUP(H3482,'LƯƠNG KT'!$D$16:$Z$184,13,0)</f>
        <v>#N/A</v>
      </c>
    </row>
    <row r="3494" spans="1:15" ht="15" customHeight="1">
      <c r="A3494" s="905"/>
      <c r="B3494" s="546"/>
      <c r="C3494" s="910"/>
      <c r="D3494" s="609"/>
      <c r="E3494" s="917"/>
      <c r="F3494" s="904"/>
      <c r="G3494" s="905"/>
      <c r="H3494" s="546"/>
      <c r="I3494" s="910"/>
      <c r="J3494" s="609"/>
    </row>
    <row r="3495" spans="1:15" ht="15" customHeight="1">
      <c r="A3495" s="918" t="s">
        <v>383</v>
      </c>
      <c r="B3495" s="919" t="s">
        <v>384</v>
      </c>
      <c r="C3495" s="920"/>
      <c r="D3495" s="921" t="e">
        <f>SUM(D3483:D3492)</f>
        <v>#N/A</v>
      </c>
      <c r="E3495" s="922"/>
      <c r="F3495" s="923"/>
      <c r="G3495" s="918" t="s">
        <v>383</v>
      </c>
      <c r="H3495" s="919" t="s">
        <v>384</v>
      </c>
      <c r="I3495" s="920"/>
      <c r="J3495" s="921" t="e">
        <f>SUM(J3483:J3492)</f>
        <v>#N/A</v>
      </c>
    </row>
    <row r="3496" spans="1:15" ht="23.25" customHeight="1">
      <c r="A3496" s="924"/>
      <c r="B3496" s="925"/>
      <c r="C3496" s="926"/>
      <c r="D3496" s="927"/>
      <c r="E3496" s="927"/>
      <c r="F3496" s="928"/>
      <c r="G3496" s="924"/>
      <c r="H3496" s="925"/>
      <c r="I3496" s="926"/>
      <c r="J3496" s="927"/>
    </row>
    <row r="3497" spans="1:15" ht="23.25" customHeight="1">
      <c r="A3497" s="925"/>
      <c r="B3497" s="925"/>
      <c r="C3497" s="929"/>
      <c r="D3497" s="930"/>
      <c r="E3497" s="925"/>
      <c r="F3497" s="931"/>
      <c r="G3497" s="925"/>
      <c r="H3497" s="925"/>
      <c r="I3497" s="929"/>
      <c r="J3497" s="930"/>
    </row>
    <row r="3498" spans="1:15" ht="15" customHeight="1">
      <c r="A3498" s="2360" t="str">
        <f>$K$2</f>
        <v>THÁNG 04/2025</v>
      </c>
      <c r="B3498" s="2360"/>
      <c r="C3498" s="2360"/>
      <c r="D3498" s="2360"/>
      <c r="E3498" s="903"/>
      <c r="F3498" s="904"/>
      <c r="G3498" s="2360" t="str">
        <f>$K$2</f>
        <v>THÁNG 04/2025</v>
      </c>
      <c r="H3498" s="2360"/>
      <c r="I3498" s="2360"/>
      <c r="J3498" s="2360"/>
      <c r="K3498" s="276"/>
    </row>
    <row r="3499" spans="1:15" ht="15" customHeight="1">
      <c r="A3499" s="905" t="s">
        <v>356</v>
      </c>
      <c r="B3499" s="642" t="s">
        <v>286</v>
      </c>
      <c r="C3499" s="546"/>
      <c r="D3499" s="902"/>
      <c r="E3499" s="906"/>
      <c r="F3499" s="907"/>
      <c r="G3499" s="905" t="s">
        <v>356</v>
      </c>
      <c r="H3499" s="642" t="s">
        <v>287</v>
      </c>
      <c r="I3499" s="546"/>
      <c r="J3499" s="902"/>
      <c r="L3499" s="938"/>
      <c r="M3499" s="938"/>
      <c r="N3499" s="938"/>
      <c r="O3499" s="938"/>
    </row>
    <row r="3500" spans="1:15" ht="15" customHeight="1">
      <c r="A3500" s="908" t="s">
        <v>359</v>
      </c>
      <c r="B3500" s="909" t="s">
        <v>2090</v>
      </c>
      <c r="C3500" s="910" t="e">
        <f>VLOOKUP(B3499,'LƯƠNG KT'!$D$16:$Z$184,4,0)</f>
        <v>#N/A</v>
      </c>
      <c r="D3500" s="609" t="e">
        <f>+C3500*25000</f>
        <v>#N/A</v>
      </c>
      <c r="E3500" s="911"/>
      <c r="F3500" s="911"/>
      <c r="G3500" s="908" t="s">
        <v>359</v>
      </c>
      <c r="H3500" s="909" t="s">
        <v>2090</v>
      </c>
      <c r="I3500" s="910" t="e">
        <f>VLOOKUP(H3499,'LƯƠNG KT'!$D$16:$Z$184,4,0)</f>
        <v>#N/A</v>
      </c>
      <c r="J3500" s="609" t="e">
        <f>+I3500*25000</f>
        <v>#N/A</v>
      </c>
      <c r="K3500" s="935"/>
      <c r="L3500" s="935"/>
      <c r="M3500" s="935"/>
      <c r="N3500" s="935"/>
      <c r="O3500" s="935"/>
    </row>
    <row r="3501" spans="1:15" ht="15" customHeight="1">
      <c r="A3501" s="908" t="s">
        <v>361</v>
      </c>
      <c r="B3501" s="909" t="s">
        <v>2091</v>
      </c>
      <c r="C3501" s="910" t="e">
        <f>VLOOKUP(B3499,'LƯƠNG KT'!$D$16:$Z$184,15,0)</f>
        <v>#N/A</v>
      </c>
      <c r="D3501" s="609" t="e">
        <f>C3501*$L$4</f>
        <v>#N/A</v>
      </c>
      <c r="E3501" s="912"/>
      <c r="F3501" s="912"/>
      <c r="G3501" s="908" t="s">
        <v>361</v>
      </c>
      <c r="H3501" s="909" t="s">
        <v>2091</v>
      </c>
      <c r="I3501" s="910" t="e">
        <f>VLOOKUP(H3499,'LƯƠNG KT'!$D$16:$Z$184,15,0)</f>
        <v>#N/A</v>
      </c>
      <c r="J3501" s="609" t="e">
        <f>I3501*$L$4</f>
        <v>#N/A</v>
      </c>
      <c r="K3501" s="935"/>
      <c r="L3501" s="935"/>
      <c r="M3501" s="935"/>
      <c r="N3501" s="935"/>
      <c r="O3501" s="935"/>
    </row>
    <row r="3502" spans="1:15" ht="15" customHeight="1">
      <c r="A3502" s="908" t="s">
        <v>364</v>
      </c>
      <c r="B3502" s="909" t="s">
        <v>2092</v>
      </c>
      <c r="C3502" s="910" t="e">
        <f>VLOOKUP(B3499,'LƯƠNG KT'!$D$16:$Z$184,16,0)</f>
        <v>#N/A</v>
      </c>
      <c r="D3502" s="609" t="e">
        <f>C3502*$L$5</f>
        <v>#N/A</v>
      </c>
      <c r="E3502" s="912"/>
      <c r="F3502" s="912"/>
      <c r="G3502" s="908" t="s">
        <v>364</v>
      </c>
      <c r="H3502" s="909" t="s">
        <v>2092</v>
      </c>
      <c r="I3502" s="910" t="e">
        <f>VLOOKUP(H3499,'LƯƠNG KT'!$D$16:$Z$184,16,0)</f>
        <v>#N/A</v>
      </c>
      <c r="J3502" s="609" t="e">
        <f>I3502*$L$5</f>
        <v>#N/A</v>
      </c>
      <c r="K3502" s="935"/>
      <c r="L3502" s="935"/>
      <c r="M3502" s="935"/>
      <c r="N3502" s="935"/>
      <c r="O3502" s="935"/>
    </row>
    <row r="3503" spans="1:15" ht="15" customHeight="1">
      <c r="A3503" s="908" t="s">
        <v>370</v>
      </c>
      <c r="B3503" s="909" t="s">
        <v>2093</v>
      </c>
      <c r="C3503" s="910" t="e">
        <f>VLOOKUP(B3499,'LƯƠNG KT'!$D$16:$Z$184,24,0)</f>
        <v>#N/A</v>
      </c>
      <c r="D3503" s="609" t="e">
        <f>+C3503*$L$6</f>
        <v>#N/A</v>
      </c>
      <c r="E3503" s="912"/>
      <c r="F3503" s="912"/>
      <c r="G3503" s="908" t="s">
        <v>370</v>
      </c>
      <c r="H3503" s="909" t="s">
        <v>2093</v>
      </c>
      <c r="I3503" s="910" t="e">
        <f>VLOOKUP(H3499,'LƯƠNG KT'!$D$16:$Z$184,24,0)</f>
        <v>#N/A</v>
      </c>
      <c r="J3503" s="609" t="e">
        <f>+I3503*$L$6</f>
        <v>#N/A</v>
      </c>
      <c r="K3503" s="935"/>
      <c r="L3503" s="935"/>
      <c r="M3503" s="935"/>
      <c r="N3503" s="935"/>
      <c r="O3503" s="935"/>
    </row>
    <row r="3504" spans="1:15" ht="15" customHeight="1">
      <c r="A3504" s="908" t="s">
        <v>2094</v>
      </c>
      <c r="B3504" s="909" t="s">
        <v>2095</v>
      </c>
      <c r="C3504" s="910" t="e">
        <f>VLOOKUP(B3499,'LƯƠNG KT'!$D$16:$Z$184,19,0)</f>
        <v>#N/A</v>
      </c>
      <c r="D3504" s="609" t="e">
        <f>+C3504*$L$8</f>
        <v>#N/A</v>
      </c>
      <c r="E3504" s="912"/>
      <c r="F3504" s="912"/>
      <c r="G3504" s="908" t="s">
        <v>2094</v>
      </c>
      <c r="H3504" s="909" t="s">
        <v>2095</v>
      </c>
      <c r="I3504" s="910" t="e">
        <f>VLOOKUP(H3499,'LƯƠNG KT'!$D$16:$Z$184,19,0)</f>
        <v>#N/A</v>
      </c>
      <c r="J3504" s="609" t="e">
        <f>+I3504*$L$8</f>
        <v>#N/A</v>
      </c>
      <c r="K3504" s="935"/>
      <c r="L3504" s="935"/>
      <c r="M3504" s="935"/>
      <c r="N3504" s="935"/>
      <c r="O3504" s="935"/>
    </row>
    <row r="3505" spans="1:15" ht="15" customHeight="1">
      <c r="A3505" s="908" t="s">
        <v>2096</v>
      </c>
      <c r="B3505" s="913" t="s">
        <v>2097</v>
      </c>
      <c r="C3505" s="910" t="e">
        <f>VLOOKUP(B3499,'LƯƠNG KT'!$D$16:$Z$184,20,0)</f>
        <v>#N/A</v>
      </c>
      <c r="D3505" s="609" t="e">
        <f>+C3505*$L$9</f>
        <v>#N/A</v>
      </c>
      <c r="E3505" s="912"/>
      <c r="F3505" s="912"/>
      <c r="G3505" s="908" t="s">
        <v>2096</v>
      </c>
      <c r="H3505" s="913" t="s">
        <v>2097</v>
      </c>
      <c r="I3505" s="910" t="e">
        <f>VLOOKUP(H3499,'LƯƠNG KT'!$D$16:$Z$184,20,0)</f>
        <v>#N/A</v>
      </c>
      <c r="J3505" s="609" t="e">
        <f>+I3505*$L$9</f>
        <v>#N/A</v>
      </c>
      <c r="K3505" s="935"/>
      <c r="L3505" s="935"/>
      <c r="M3505" s="935"/>
      <c r="N3505" s="935"/>
      <c r="O3505" s="935"/>
    </row>
    <row r="3506" spans="1:15" ht="15" customHeight="1">
      <c r="A3506" s="908" t="s">
        <v>2099</v>
      </c>
      <c r="B3506" s="909" t="s">
        <v>2100</v>
      </c>
      <c r="C3506" s="910" t="e">
        <f>VLOOKUP(B3499,'LƯƠNG KT'!$D$16:$Z$184,17,0)</f>
        <v>#N/A</v>
      </c>
      <c r="D3506" s="609" t="e">
        <f>+C3506*$L$10</f>
        <v>#N/A</v>
      </c>
      <c r="E3506" s="912"/>
      <c r="F3506" s="912"/>
      <c r="G3506" s="908" t="s">
        <v>2099</v>
      </c>
      <c r="H3506" s="909" t="s">
        <v>2100</v>
      </c>
      <c r="I3506" s="910" t="e">
        <f>VLOOKUP(H3499,'LƯƠNG KT'!$D$16:$Z$184,17,0)</f>
        <v>#N/A</v>
      </c>
      <c r="J3506" s="609" t="e">
        <f>+I3506*$L$10</f>
        <v>#N/A</v>
      </c>
      <c r="K3506" s="935"/>
      <c r="L3506" s="935"/>
      <c r="M3506" s="935"/>
      <c r="N3506" s="935"/>
      <c r="O3506" s="935"/>
    </row>
    <row r="3507" spans="1:15" ht="15" customHeight="1">
      <c r="A3507" s="908" t="s">
        <v>2117</v>
      </c>
      <c r="B3507" s="913" t="s">
        <v>2116</v>
      </c>
      <c r="C3507" s="910" t="e">
        <f>VLOOKUP(B3499,'LƯƠNG KT'!$D$16:$Z$184,21,0)</f>
        <v>#N/A</v>
      </c>
      <c r="D3507" s="609" t="e">
        <f>+C3507*$L$7</f>
        <v>#N/A</v>
      </c>
      <c r="E3507" s="912"/>
      <c r="F3507" s="912"/>
      <c r="G3507" s="908" t="s">
        <v>2117</v>
      </c>
      <c r="H3507" s="913" t="s">
        <v>2116</v>
      </c>
      <c r="I3507" s="910" t="e">
        <f>VLOOKUP(H3499,'LƯƠNG KT'!$D$16:$Z$184,21,0)</f>
        <v>#N/A</v>
      </c>
      <c r="J3507" s="609" t="e">
        <f>+I3507*$L$7</f>
        <v>#N/A</v>
      </c>
      <c r="K3507" s="935"/>
      <c r="L3507" s="935"/>
      <c r="M3507" s="935"/>
      <c r="N3507" s="935"/>
      <c r="O3507" s="935"/>
    </row>
    <row r="3508" spans="1:15" ht="15" customHeight="1">
      <c r="A3508" s="908" t="s">
        <v>2118</v>
      </c>
      <c r="B3508" s="909" t="s">
        <v>2112</v>
      </c>
      <c r="C3508" s="910" t="e">
        <f>VLOOKUP(B3499,'LƯƠNG KT'!$D$16:$Z$184,23,0)</f>
        <v>#N/A</v>
      </c>
      <c r="D3508" s="609" t="e">
        <f>+C3508*20000</f>
        <v>#N/A</v>
      </c>
      <c r="E3508" s="914"/>
      <c r="F3508" s="912"/>
      <c r="G3508" s="908" t="s">
        <v>2118</v>
      </c>
      <c r="H3508" s="909" t="s">
        <v>2112</v>
      </c>
      <c r="I3508" s="910" t="e">
        <f>VLOOKUP(H3499,'LƯƠNG KT'!$D$16:$Z$184,23,0)</f>
        <v>#N/A</v>
      </c>
      <c r="J3508" s="609" t="e">
        <f>+I3508*20000</f>
        <v>#N/A</v>
      </c>
      <c r="K3508" s="935"/>
      <c r="L3508" s="935"/>
      <c r="M3508" s="935"/>
      <c r="N3508" s="935"/>
      <c r="O3508" s="935"/>
    </row>
    <row r="3509" spans="1:15" ht="15" customHeight="1">
      <c r="A3509" s="908" t="s">
        <v>374</v>
      </c>
      <c r="B3509" s="909" t="s">
        <v>2102</v>
      </c>
      <c r="C3509" s="910" t="e">
        <f>VLOOKUP(B3499,'LƯƠNG KT'!$D$16:$Z$184,12,0)</f>
        <v>#N/A</v>
      </c>
      <c r="D3509" s="609" t="e">
        <f>VLOOKUP(B3499,'LƯƠNG KT'!$D$16:$Z$184,14,0)</f>
        <v>#N/A</v>
      </c>
      <c r="E3509" s="916"/>
      <c r="F3509" s="916"/>
      <c r="G3509" s="908" t="s">
        <v>374</v>
      </c>
      <c r="H3509" s="909" t="s">
        <v>2102</v>
      </c>
      <c r="I3509" s="910" t="e">
        <f>VLOOKUP(H3499,'LƯƠNG KT'!$D$16:$Z$184,12,0)</f>
        <v>#N/A</v>
      </c>
      <c r="J3509" s="609" t="e">
        <f>VLOOKUP(H3499,'LƯƠNG KT'!$D$16:$Z$184,14,0)</f>
        <v>#N/A</v>
      </c>
    </row>
    <row r="3510" spans="1:15" ht="15" customHeight="1">
      <c r="A3510" s="908" t="s">
        <v>2103</v>
      </c>
      <c r="B3510" s="909" t="s">
        <v>2104</v>
      </c>
      <c r="D3510" s="915" t="e">
        <f>VLOOKUP(B3499,'LƯƠNG KT'!$D$16:$Z$184,13,0)</f>
        <v>#N/A</v>
      </c>
      <c r="E3510" s="914"/>
      <c r="F3510" s="916"/>
      <c r="G3510" s="908" t="s">
        <v>2103</v>
      </c>
      <c r="H3510" s="909" t="s">
        <v>2104</v>
      </c>
      <c r="J3510" s="915" t="e">
        <f>VLOOKUP(H3499,'LƯƠNG KT'!$D$16:$Z$184,13,0)</f>
        <v>#N/A</v>
      </c>
    </row>
    <row r="3511" spans="1:15" ht="15" customHeight="1">
      <c r="A3511" s="905"/>
      <c r="B3511" s="546"/>
      <c r="C3511" s="910"/>
      <c r="D3511" s="609"/>
      <c r="E3511" s="917"/>
      <c r="F3511" s="904"/>
      <c r="G3511" s="905"/>
      <c r="H3511" s="546"/>
      <c r="I3511" s="910"/>
      <c r="J3511" s="609"/>
    </row>
    <row r="3512" spans="1:15" ht="15" customHeight="1">
      <c r="A3512" s="918" t="s">
        <v>383</v>
      </c>
      <c r="B3512" s="919" t="s">
        <v>384</v>
      </c>
      <c r="C3512" s="920"/>
      <c r="D3512" s="921" t="e">
        <f>SUM(D3500:D3509)</f>
        <v>#N/A</v>
      </c>
      <c r="E3512" s="922"/>
      <c r="F3512" s="923"/>
      <c r="G3512" s="918" t="s">
        <v>383</v>
      </c>
      <c r="H3512" s="919" t="s">
        <v>384</v>
      </c>
      <c r="I3512" s="920"/>
      <c r="J3512" s="921" t="e">
        <f>SUM(J3500:J3509)</f>
        <v>#N/A</v>
      </c>
    </row>
    <row r="3513" spans="1:15" ht="15.75" customHeight="1">
      <c r="A3513" s="924"/>
      <c r="B3513" s="925"/>
      <c r="C3513" s="926"/>
      <c r="D3513" s="927"/>
      <c r="E3513" s="927"/>
      <c r="F3513" s="928"/>
      <c r="G3513" s="924"/>
      <c r="H3513" s="925"/>
      <c r="I3513" s="926"/>
      <c r="J3513" s="927"/>
    </row>
    <row r="3515" spans="1:15" ht="76.5" customHeight="1">
      <c r="A3515" s="2361"/>
      <c r="B3515" s="2361"/>
      <c r="C3515" s="2361"/>
      <c r="D3515" s="2361"/>
      <c r="E3515" s="2361"/>
      <c r="F3515" s="2361"/>
      <c r="G3515" s="2361"/>
      <c r="H3515" s="2361"/>
      <c r="I3515" s="2361"/>
      <c r="J3515" s="2361"/>
    </row>
    <row r="3516" spans="1:15" ht="15" customHeight="1">
      <c r="A3516" s="2360" t="str">
        <f>$K$2</f>
        <v>THÁNG 04/2025</v>
      </c>
      <c r="B3516" s="2360"/>
      <c r="C3516" s="2360"/>
      <c r="D3516" s="2360"/>
      <c r="E3516" s="903"/>
      <c r="F3516" s="904"/>
      <c r="G3516" s="2360" t="str">
        <f>$K$2</f>
        <v>THÁNG 04/2025</v>
      </c>
      <c r="H3516" s="2360"/>
      <c r="I3516" s="2360"/>
      <c r="J3516" s="2360"/>
      <c r="K3516" s="276"/>
    </row>
    <row r="3517" spans="1:15" ht="15" customHeight="1">
      <c r="A3517" s="905" t="s">
        <v>356</v>
      </c>
      <c r="B3517" s="642" t="s">
        <v>288</v>
      </c>
      <c r="C3517" s="546"/>
      <c r="D3517" s="902"/>
      <c r="E3517" s="906"/>
      <c r="F3517" s="907"/>
      <c r="G3517" s="905" t="s">
        <v>356</v>
      </c>
      <c r="H3517" s="642" t="s">
        <v>289</v>
      </c>
      <c r="I3517" s="546"/>
      <c r="J3517" s="902"/>
      <c r="L3517" s="938"/>
      <c r="M3517" s="938"/>
      <c r="N3517" s="938"/>
      <c r="O3517" s="938"/>
    </row>
    <row r="3518" spans="1:15" ht="15" customHeight="1">
      <c r="A3518" s="908" t="s">
        <v>359</v>
      </c>
      <c r="B3518" s="909" t="s">
        <v>2090</v>
      </c>
      <c r="C3518" s="910" t="e">
        <f>VLOOKUP(B3517,'LƯƠNG KT'!$D$16:$Z$184,4,0)</f>
        <v>#N/A</v>
      </c>
      <c r="D3518" s="609" t="e">
        <f>+C3518*25000</f>
        <v>#N/A</v>
      </c>
      <c r="E3518" s="911"/>
      <c r="F3518" s="911"/>
      <c r="G3518" s="908" t="s">
        <v>359</v>
      </c>
      <c r="H3518" s="909" t="s">
        <v>2090</v>
      </c>
      <c r="I3518" s="910" t="e">
        <f>VLOOKUP(H3517,'LƯƠNG KT'!$D$16:$Z$184,4,0)</f>
        <v>#N/A</v>
      </c>
      <c r="J3518" s="609" t="e">
        <f>+I3518*25000</f>
        <v>#N/A</v>
      </c>
      <c r="K3518" s="934"/>
      <c r="L3518" s="935"/>
      <c r="M3518" s="935"/>
      <c r="N3518" s="935"/>
      <c r="O3518" s="935"/>
    </row>
    <row r="3519" spans="1:15" ht="15" customHeight="1">
      <c r="A3519" s="908" t="s">
        <v>361</v>
      </c>
      <c r="B3519" s="909" t="s">
        <v>2091</v>
      </c>
      <c r="C3519" s="910" t="e">
        <f>VLOOKUP(B3517,'LƯƠNG KT'!$D$16:$Z$184,15,0)</f>
        <v>#N/A</v>
      </c>
      <c r="D3519" s="609" t="e">
        <f>C3519*$L$4</f>
        <v>#N/A</v>
      </c>
      <c r="E3519" s="912"/>
      <c r="F3519" s="912"/>
      <c r="G3519" s="908" t="s">
        <v>361</v>
      </c>
      <c r="H3519" s="909" t="s">
        <v>2091</v>
      </c>
      <c r="I3519" s="910" t="e">
        <f>VLOOKUP(H3517,'LƯƠNG KT'!$D$16:$Z$184,15,0)</f>
        <v>#N/A</v>
      </c>
      <c r="J3519" s="609" t="e">
        <f>I3519*$L$4</f>
        <v>#N/A</v>
      </c>
      <c r="K3519" s="934"/>
      <c r="L3519" s="935"/>
      <c r="M3519" s="935"/>
      <c r="N3519" s="935"/>
      <c r="O3519" s="935"/>
    </row>
    <row r="3520" spans="1:15" ht="15" customHeight="1">
      <c r="A3520" s="908" t="s">
        <v>364</v>
      </c>
      <c r="B3520" s="909" t="s">
        <v>2092</v>
      </c>
      <c r="C3520" s="910" t="e">
        <f>VLOOKUP(B3517,'LƯƠNG KT'!$D$16:$Z$184,16,0)</f>
        <v>#N/A</v>
      </c>
      <c r="D3520" s="609" t="e">
        <f>C3520*$L$5</f>
        <v>#N/A</v>
      </c>
      <c r="E3520" s="912"/>
      <c r="F3520" s="912"/>
      <c r="G3520" s="908" t="s">
        <v>364</v>
      </c>
      <c r="H3520" s="909" t="s">
        <v>2092</v>
      </c>
      <c r="I3520" s="910" t="e">
        <f>VLOOKUP(H3517,'LƯƠNG KT'!$D$16:$Z$184,16,0)</f>
        <v>#N/A</v>
      </c>
      <c r="J3520" s="609" t="e">
        <f>I3520*$L$5</f>
        <v>#N/A</v>
      </c>
      <c r="K3520" s="934"/>
      <c r="L3520" s="935"/>
      <c r="M3520" s="935"/>
      <c r="N3520" s="935"/>
      <c r="O3520" s="935"/>
    </row>
    <row r="3521" spans="1:15" ht="15" customHeight="1">
      <c r="A3521" s="908" t="s">
        <v>370</v>
      </c>
      <c r="B3521" s="909" t="s">
        <v>2093</v>
      </c>
      <c r="C3521" s="910" t="e">
        <f>VLOOKUP(B3517,'LƯƠNG KT'!$D$16:$Z$184,24,0)</f>
        <v>#N/A</v>
      </c>
      <c r="D3521" s="609" t="e">
        <f>+C3521*$L$6</f>
        <v>#N/A</v>
      </c>
      <c r="E3521" s="912"/>
      <c r="F3521" s="912"/>
      <c r="G3521" s="908" t="s">
        <v>370</v>
      </c>
      <c r="H3521" s="909" t="s">
        <v>2093</v>
      </c>
      <c r="I3521" s="910" t="e">
        <f>VLOOKUP(H3517,'LƯƠNG KT'!$D$16:$Z$184,24,0)</f>
        <v>#N/A</v>
      </c>
      <c r="J3521" s="609" t="e">
        <f>+I3521*$L$6</f>
        <v>#N/A</v>
      </c>
      <c r="K3521" s="935"/>
      <c r="L3521" s="935"/>
      <c r="M3521" s="935"/>
      <c r="N3521" s="935"/>
      <c r="O3521" s="935"/>
    </row>
    <row r="3522" spans="1:15" ht="15" customHeight="1">
      <c r="A3522" s="908" t="s">
        <v>2094</v>
      </c>
      <c r="B3522" s="909" t="s">
        <v>2095</v>
      </c>
      <c r="C3522" s="910" t="e">
        <f>VLOOKUP(B3517,'LƯƠNG KT'!$D$16:$Z$184,19,0)</f>
        <v>#N/A</v>
      </c>
      <c r="D3522" s="609" t="e">
        <f>+C3522*$L$8</f>
        <v>#N/A</v>
      </c>
      <c r="E3522" s="912"/>
      <c r="F3522" s="912"/>
      <c r="G3522" s="908" t="s">
        <v>2094</v>
      </c>
      <c r="H3522" s="909" t="s">
        <v>2095</v>
      </c>
      <c r="I3522" s="910" t="e">
        <f>VLOOKUP(H3517,'LƯƠNG KT'!$D$16:$Z$184,19,0)</f>
        <v>#N/A</v>
      </c>
      <c r="J3522" s="609" t="e">
        <f>+I3522*$L$8</f>
        <v>#N/A</v>
      </c>
      <c r="K3522" s="935"/>
      <c r="L3522" s="935"/>
      <c r="M3522" s="935"/>
      <c r="N3522" s="935"/>
      <c r="O3522" s="935"/>
    </row>
    <row r="3523" spans="1:15" ht="15" customHeight="1">
      <c r="A3523" s="908" t="s">
        <v>2096</v>
      </c>
      <c r="B3523" s="913" t="s">
        <v>2097</v>
      </c>
      <c r="C3523" s="910" t="e">
        <f>VLOOKUP(B3517,'LƯƠNG KT'!$D$16:$Z$184,20,0)</f>
        <v>#N/A</v>
      </c>
      <c r="D3523" s="609" t="e">
        <f>+C3523*$L$9</f>
        <v>#N/A</v>
      </c>
      <c r="E3523" s="912"/>
      <c r="F3523" s="912"/>
      <c r="G3523" s="908" t="s">
        <v>2096</v>
      </c>
      <c r="H3523" s="913" t="s">
        <v>2097</v>
      </c>
      <c r="I3523" s="910" t="e">
        <f>VLOOKUP(H3517,'LƯƠNG KT'!$D$16:$Z$184,20,0)</f>
        <v>#N/A</v>
      </c>
      <c r="J3523" s="609" t="e">
        <f>+I3523*$L$9</f>
        <v>#N/A</v>
      </c>
      <c r="K3523" s="935"/>
      <c r="L3523" s="935"/>
      <c r="M3523" s="935"/>
      <c r="N3523" s="935"/>
      <c r="O3523" s="935"/>
    </row>
    <row r="3524" spans="1:15" ht="15" customHeight="1">
      <c r="A3524" s="908" t="s">
        <v>2099</v>
      </c>
      <c r="B3524" s="909" t="s">
        <v>2100</v>
      </c>
      <c r="C3524" s="910" t="e">
        <f>VLOOKUP(B3517,'LƯƠNG KT'!$D$16:$Z$184,17,0)</f>
        <v>#N/A</v>
      </c>
      <c r="D3524" s="609" t="e">
        <f>+C3524*$L$10</f>
        <v>#N/A</v>
      </c>
      <c r="E3524" s="912"/>
      <c r="F3524" s="912"/>
      <c r="G3524" s="908" t="s">
        <v>2099</v>
      </c>
      <c r="H3524" s="909" t="s">
        <v>2100</v>
      </c>
      <c r="I3524" s="910" t="e">
        <f>VLOOKUP(H3517,'LƯƠNG KT'!$D$16:$Z$184,17,0)</f>
        <v>#N/A</v>
      </c>
      <c r="J3524" s="609" t="e">
        <f>+I3524*$L$10</f>
        <v>#N/A</v>
      </c>
      <c r="K3524" s="935"/>
      <c r="L3524" s="935"/>
      <c r="M3524" s="935"/>
      <c r="N3524" s="935"/>
      <c r="O3524" s="935"/>
    </row>
    <row r="3525" spans="1:15" ht="15" customHeight="1">
      <c r="A3525" s="908" t="s">
        <v>2117</v>
      </c>
      <c r="B3525" s="913" t="s">
        <v>2116</v>
      </c>
      <c r="C3525" s="910" t="e">
        <f>VLOOKUP(B3517,'LƯƠNG KT'!$D$16:$Z$184,21,0)</f>
        <v>#N/A</v>
      </c>
      <c r="D3525" s="609" t="e">
        <f>+C3525*$L$7</f>
        <v>#N/A</v>
      </c>
      <c r="E3525" s="912"/>
      <c r="F3525" s="912"/>
      <c r="G3525" s="908" t="s">
        <v>2117</v>
      </c>
      <c r="H3525" s="913" t="s">
        <v>2116</v>
      </c>
      <c r="I3525" s="910" t="e">
        <f>VLOOKUP(H3517,'LƯƠNG KT'!$D$16:$Z$184,21,0)</f>
        <v>#N/A</v>
      </c>
      <c r="J3525" s="609" t="e">
        <f>+I3525*$L$7</f>
        <v>#N/A</v>
      </c>
      <c r="K3525" s="935"/>
      <c r="L3525" s="935"/>
      <c r="M3525" s="935"/>
      <c r="N3525" s="935"/>
      <c r="O3525" s="935"/>
    </row>
    <row r="3526" spans="1:15" ht="15" customHeight="1">
      <c r="A3526" s="908" t="s">
        <v>2118</v>
      </c>
      <c r="B3526" s="909" t="s">
        <v>2112</v>
      </c>
      <c r="C3526" s="910" t="e">
        <f>VLOOKUP(B3517,'LƯƠNG KT'!$D$16:$Z$184,23,0)</f>
        <v>#N/A</v>
      </c>
      <c r="D3526" s="609" t="e">
        <f>+C3526*20000</f>
        <v>#N/A</v>
      </c>
      <c r="E3526" s="914"/>
      <c r="F3526" s="912"/>
      <c r="G3526" s="908" t="s">
        <v>2118</v>
      </c>
      <c r="H3526" s="909" t="s">
        <v>2112</v>
      </c>
      <c r="I3526" s="910" t="e">
        <f>VLOOKUP(H3517,'LƯƠNG KT'!$D$16:$Z$184,23,0)</f>
        <v>#N/A</v>
      </c>
      <c r="J3526" s="609" t="e">
        <f>+I3526*20000</f>
        <v>#N/A</v>
      </c>
      <c r="K3526" s="935"/>
      <c r="L3526" s="935"/>
      <c r="M3526" s="935"/>
      <c r="N3526" s="935"/>
      <c r="O3526" s="935"/>
    </row>
    <row r="3527" spans="1:15" ht="15" customHeight="1">
      <c r="A3527" s="908" t="s">
        <v>374</v>
      </c>
      <c r="B3527" s="909" t="s">
        <v>2102</v>
      </c>
      <c r="C3527" s="910" t="e">
        <f>VLOOKUP(B3517,'LƯƠNG KT'!$D$16:$Z$184,12,0)</f>
        <v>#N/A</v>
      </c>
      <c r="D3527" s="609" t="e">
        <f>VLOOKUP(B3517,'LƯƠNG KT'!$D$16:$Z$184,14,0)</f>
        <v>#N/A</v>
      </c>
      <c r="E3527" s="916"/>
      <c r="F3527" s="916"/>
      <c r="G3527" s="908" t="s">
        <v>374</v>
      </c>
      <c r="H3527" s="909" t="s">
        <v>2102</v>
      </c>
      <c r="I3527" s="910" t="e">
        <f>VLOOKUP(H3517,'LƯƠNG KT'!$D$16:$Z$184,12,0)</f>
        <v>#N/A</v>
      </c>
      <c r="J3527" s="609" t="e">
        <f>VLOOKUP(H3517,'LƯƠNG KT'!$D$16:$Z$184,14,0)</f>
        <v>#N/A</v>
      </c>
    </row>
    <row r="3528" spans="1:15" ht="15" customHeight="1">
      <c r="A3528" s="908" t="s">
        <v>2103</v>
      </c>
      <c r="B3528" s="909" t="s">
        <v>2104</v>
      </c>
      <c r="D3528" s="915" t="e">
        <f>VLOOKUP(B3517,'LƯƠNG KT'!$D$16:$Z$184,13,0)</f>
        <v>#N/A</v>
      </c>
      <c r="E3528" s="914"/>
      <c r="F3528" s="916"/>
      <c r="G3528" s="908" t="s">
        <v>2103</v>
      </c>
      <c r="H3528" s="909" t="s">
        <v>2104</v>
      </c>
      <c r="J3528" s="915" t="e">
        <f>VLOOKUP(H3517,'LƯƠNG KT'!$D$16:$Z$184,13,0)</f>
        <v>#N/A</v>
      </c>
    </row>
    <row r="3529" spans="1:15" ht="15" customHeight="1">
      <c r="A3529" s="905"/>
      <c r="B3529" s="546"/>
      <c r="C3529" s="910"/>
      <c r="D3529" s="609"/>
      <c r="E3529" s="917"/>
      <c r="F3529" s="904"/>
      <c r="G3529" s="905"/>
      <c r="H3529" s="546"/>
      <c r="I3529" s="910"/>
      <c r="J3529" s="609"/>
    </row>
    <row r="3530" spans="1:15" ht="15" customHeight="1">
      <c r="A3530" s="918" t="s">
        <v>383</v>
      </c>
      <c r="B3530" s="919" t="s">
        <v>384</v>
      </c>
      <c r="C3530" s="920"/>
      <c r="D3530" s="921" t="e">
        <f>SUM(D3518:D3527)</f>
        <v>#N/A</v>
      </c>
      <c r="E3530" s="922"/>
      <c r="F3530" s="923"/>
      <c r="G3530" s="918" t="s">
        <v>383</v>
      </c>
      <c r="H3530" s="919" t="s">
        <v>384</v>
      </c>
      <c r="I3530" s="920"/>
      <c r="J3530" s="921" t="e">
        <f>SUM(J3518:J3527)</f>
        <v>#N/A</v>
      </c>
    </row>
    <row r="3531" spans="1:15" ht="18" customHeight="1">
      <c r="A3531" s="924"/>
      <c r="B3531" s="925"/>
      <c r="C3531" s="926"/>
      <c r="D3531" s="927"/>
      <c r="E3531" s="927"/>
      <c r="F3531" s="928"/>
      <c r="G3531" s="924"/>
      <c r="H3531" s="925"/>
      <c r="I3531" s="926"/>
      <c r="J3531" s="927"/>
    </row>
    <row r="3532" spans="1:15" ht="18" customHeight="1">
      <c r="A3532" s="925"/>
      <c r="B3532" s="925"/>
      <c r="C3532" s="929"/>
      <c r="D3532" s="930"/>
      <c r="E3532" s="925"/>
      <c r="F3532" s="931"/>
      <c r="G3532" s="925"/>
      <c r="H3532" s="925"/>
      <c r="I3532" s="929"/>
      <c r="J3532" s="930"/>
    </row>
    <row r="3533" spans="1:15" ht="15" customHeight="1">
      <c r="A3533" s="2360" t="str">
        <f>$K$2</f>
        <v>THÁNG 04/2025</v>
      </c>
      <c r="B3533" s="2360"/>
      <c r="C3533" s="2360"/>
      <c r="D3533" s="2360"/>
      <c r="E3533" s="903"/>
      <c r="F3533" s="904"/>
      <c r="G3533" s="2360" t="str">
        <f>$K$2</f>
        <v>THÁNG 04/2025</v>
      </c>
      <c r="H3533" s="2360"/>
      <c r="I3533" s="2360"/>
      <c r="J3533" s="2360"/>
      <c r="K3533" s="276"/>
    </row>
    <row r="3534" spans="1:15" ht="15" customHeight="1">
      <c r="A3534" s="905" t="s">
        <v>356</v>
      </c>
      <c r="B3534" s="642" t="s">
        <v>290</v>
      </c>
      <c r="C3534" s="546"/>
      <c r="D3534" s="902"/>
      <c r="E3534" s="906"/>
      <c r="F3534" s="907"/>
      <c r="G3534" s="905" t="s">
        <v>356</v>
      </c>
      <c r="H3534" s="642" t="s">
        <v>291</v>
      </c>
      <c r="I3534" s="546"/>
      <c r="J3534" s="902"/>
      <c r="L3534" s="938"/>
      <c r="M3534" s="938"/>
      <c r="N3534" s="938"/>
      <c r="O3534" s="938"/>
    </row>
    <row r="3535" spans="1:15" ht="15" customHeight="1">
      <c r="A3535" s="908" t="s">
        <v>359</v>
      </c>
      <c r="B3535" s="909" t="s">
        <v>2090</v>
      </c>
      <c r="C3535" s="910" t="e">
        <f>VLOOKUP(B3534,'LƯƠNG KT'!$D$16:$Z$184,4,0)</f>
        <v>#N/A</v>
      </c>
      <c r="D3535" s="609" t="e">
        <f>+C3535*25000</f>
        <v>#N/A</v>
      </c>
      <c r="E3535" s="911"/>
      <c r="F3535" s="911"/>
      <c r="G3535" s="908" t="s">
        <v>359</v>
      </c>
      <c r="H3535" s="909" t="s">
        <v>2090</v>
      </c>
      <c r="I3535" s="910" t="e">
        <f>VLOOKUP(H3534,'LƯƠNG KT'!$D$16:$Z$184,4,0)</f>
        <v>#N/A</v>
      </c>
      <c r="J3535" s="609" t="e">
        <f>+I3535*25000</f>
        <v>#N/A</v>
      </c>
      <c r="K3535" s="935"/>
      <c r="L3535" s="935"/>
      <c r="M3535" s="935"/>
      <c r="N3535" s="935"/>
      <c r="O3535" s="935"/>
    </row>
    <row r="3536" spans="1:15" ht="15" customHeight="1">
      <c r="A3536" s="908" t="s">
        <v>361</v>
      </c>
      <c r="B3536" s="909" t="s">
        <v>2091</v>
      </c>
      <c r="C3536" s="910" t="e">
        <f>VLOOKUP(B3534,'LƯƠNG KT'!$D$16:$Z$184,15,0)</f>
        <v>#N/A</v>
      </c>
      <c r="D3536" s="609" t="e">
        <f>C3536*$L$4</f>
        <v>#N/A</v>
      </c>
      <c r="E3536" s="912"/>
      <c r="F3536" s="912"/>
      <c r="G3536" s="908" t="s">
        <v>361</v>
      </c>
      <c r="H3536" s="909" t="s">
        <v>2091</v>
      </c>
      <c r="I3536" s="910" t="e">
        <f>VLOOKUP(H3534,'LƯƠNG KT'!$D$16:$Z$184,15,0)</f>
        <v>#N/A</v>
      </c>
      <c r="J3536" s="609" t="e">
        <f>I3536*$L$4</f>
        <v>#N/A</v>
      </c>
      <c r="K3536" s="935"/>
      <c r="L3536" s="935"/>
      <c r="M3536" s="935"/>
      <c r="N3536" s="935"/>
      <c r="O3536" s="935"/>
    </row>
    <row r="3537" spans="1:15" ht="15" customHeight="1">
      <c r="A3537" s="908" t="s">
        <v>364</v>
      </c>
      <c r="B3537" s="909" t="s">
        <v>2092</v>
      </c>
      <c r="C3537" s="910" t="e">
        <f>VLOOKUP(B3534,'LƯƠNG KT'!$D$16:$Z$184,16,0)</f>
        <v>#N/A</v>
      </c>
      <c r="D3537" s="609" t="e">
        <f>C3537*$L$5</f>
        <v>#N/A</v>
      </c>
      <c r="E3537" s="912"/>
      <c r="F3537" s="912"/>
      <c r="G3537" s="908" t="s">
        <v>364</v>
      </c>
      <c r="H3537" s="909" t="s">
        <v>2092</v>
      </c>
      <c r="I3537" s="910" t="e">
        <f>VLOOKUP(H3534,'LƯƠNG KT'!$D$16:$Z$184,16,0)</f>
        <v>#N/A</v>
      </c>
      <c r="J3537" s="609" t="e">
        <f>I3537*$L$5</f>
        <v>#N/A</v>
      </c>
      <c r="K3537" s="935"/>
      <c r="L3537" s="935"/>
      <c r="M3537" s="935"/>
      <c r="N3537" s="935"/>
      <c r="O3537" s="935"/>
    </row>
    <row r="3538" spans="1:15" ht="15" customHeight="1">
      <c r="A3538" s="908" t="s">
        <v>370</v>
      </c>
      <c r="B3538" s="909" t="s">
        <v>2093</v>
      </c>
      <c r="C3538" s="910" t="e">
        <f>VLOOKUP(B3534,'LƯƠNG KT'!$D$16:$Z$184,24,0)</f>
        <v>#N/A</v>
      </c>
      <c r="D3538" s="609" t="e">
        <f>+C3538*$L$6</f>
        <v>#N/A</v>
      </c>
      <c r="E3538" s="912"/>
      <c r="F3538" s="912"/>
      <c r="G3538" s="908" t="s">
        <v>370</v>
      </c>
      <c r="H3538" s="909" t="s">
        <v>2093</v>
      </c>
      <c r="I3538" s="910" t="e">
        <f>VLOOKUP(H3534,'LƯƠNG KT'!$D$16:$Z$184,24,0)</f>
        <v>#N/A</v>
      </c>
      <c r="J3538" s="609" t="e">
        <f>+I3538*$L$6</f>
        <v>#N/A</v>
      </c>
      <c r="K3538" s="935"/>
      <c r="L3538" s="935"/>
      <c r="M3538" s="935"/>
      <c r="N3538" s="935"/>
      <c r="O3538" s="935"/>
    </row>
    <row r="3539" spans="1:15" ht="15" customHeight="1">
      <c r="A3539" s="908" t="s">
        <v>2094</v>
      </c>
      <c r="B3539" s="909" t="s">
        <v>2095</v>
      </c>
      <c r="C3539" s="910" t="e">
        <f>VLOOKUP(B3534,'LƯƠNG KT'!$D$16:$Z$184,19,0)</f>
        <v>#N/A</v>
      </c>
      <c r="D3539" s="609" t="e">
        <f>+C3539*$L$8</f>
        <v>#N/A</v>
      </c>
      <c r="E3539" s="912"/>
      <c r="F3539" s="912"/>
      <c r="G3539" s="908" t="s">
        <v>2094</v>
      </c>
      <c r="H3539" s="909" t="s">
        <v>2095</v>
      </c>
      <c r="I3539" s="910" t="e">
        <f>VLOOKUP(H3534,'LƯƠNG KT'!$D$16:$Z$184,19,0)</f>
        <v>#N/A</v>
      </c>
      <c r="J3539" s="609" t="e">
        <f>+I3539*$L$8</f>
        <v>#N/A</v>
      </c>
      <c r="K3539" s="935"/>
      <c r="L3539" s="935"/>
      <c r="M3539" s="935"/>
      <c r="N3539" s="935"/>
      <c r="O3539" s="935"/>
    </row>
    <row r="3540" spans="1:15" ht="15" customHeight="1">
      <c r="A3540" s="908" t="s">
        <v>2096</v>
      </c>
      <c r="B3540" s="913" t="s">
        <v>2097</v>
      </c>
      <c r="C3540" s="910" t="e">
        <f>VLOOKUP(B3534,'LƯƠNG KT'!$D$16:$Z$184,20,0)</f>
        <v>#N/A</v>
      </c>
      <c r="D3540" s="609" t="e">
        <f>+C3540*$L$9</f>
        <v>#N/A</v>
      </c>
      <c r="E3540" s="912"/>
      <c r="F3540" s="912"/>
      <c r="G3540" s="908" t="s">
        <v>2096</v>
      </c>
      <c r="H3540" s="913" t="s">
        <v>2097</v>
      </c>
      <c r="I3540" s="910" t="e">
        <f>VLOOKUP(H3534,'LƯƠNG KT'!$D$16:$Z$184,20,0)</f>
        <v>#N/A</v>
      </c>
      <c r="J3540" s="609" t="e">
        <f>+I3540*$L$9</f>
        <v>#N/A</v>
      </c>
      <c r="K3540" s="935"/>
      <c r="L3540" s="935"/>
      <c r="M3540" s="935"/>
      <c r="N3540" s="935"/>
      <c r="O3540" s="935"/>
    </row>
    <row r="3541" spans="1:15" ht="15" customHeight="1">
      <c r="A3541" s="908" t="s">
        <v>2099</v>
      </c>
      <c r="B3541" s="909" t="s">
        <v>2100</v>
      </c>
      <c r="C3541" s="910" t="e">
        <f>VLOOKUP(B3534,'LƯƠNG KT'!$D$16:$Z$184,17,0)</f>
        <v>#N/A</v>
      </c>
      <c r="D3541" s="609" t="e">
        <f>+C3541*$L$10</f>
        <v>#N/A</v>
      </c>
      <c r="E3541" s="912"/>
      <c r="F3541" s="912"/>
      <c r="G3541" s="908" t="s">
        <v>2099</v>
      </c>
      <c r="H3541" s="909" t="s">
        <v>2100</v>
      </c>
      <c r="I3541" s="910" t="e">
        <f>VLOOKUP(H3534,'LƯƠNG KT'!$D$16:$Z$184,17,0)</f>
        <v>#N/A</v>
      </c>
      <c r="J3541" s="609" t="e">
        <f>+I3541*$L$10</f>
        <v>#N/A</v>
      </c>
      <c r="K3541" s="935"/>
      <c r="L3541" s="935"/>
      <c r="M3541" s="935"/>
      <c r="N3541" s="935"/>
      <c r="O3541" s="935"/>
    </row>
    <row r="3542" spans="1:15" ht="15" customHeight="1">
      <c r="A3542" s="908" t="s">
        <v>2117</v>
      </c>
      <c r="B3542" s="913" t="s">
        <v>2116</v>
      </c>
      <c r="C3542" s="910" t="e">
        <f>VLOOKUP(B3534,'LƯƠNG KT'!$D$16:$Z$184,21,0)</f>
        <v>#N/A</v>
      </c>
      <c r="D3542" s="609" t="e">
        <f>+C3542*$L$7</f>
        <v>#N/A</v>
      </c>
      <c r="E3542" s="912"/>
      <c r="F3542" s="912"/>
      <c r="G3542" s="908" t="s">
        <v>2117</v>
      </c>
      <c r="H3542" s="913" t="s">
        <v>2116</v>
      </c>
      <c r="I3542" s="910" t="e">
        <f>VLOOKUP(H3534,'LƯƠNG KT'!$D$16:$Z$184,21,0)</f>
        <v>#N/A</v>
      </c>
      <c r="J3542" s="609" t="e">
        <f>+I3542*$L$7</f>
        <v>#N/A</v>
      </c>
      <c r="K3542" s="935"/>
      <c r="L3542" s="935"/>
      <c r="M3542" s="935"/>
      <c r="N3542" s="935"/>
      <c r="O3542" s="935"/>
    </row>
    <row r="3543" spans="1:15" ht="15" customHeight="1">
      <c r="A3543" s="908" t="s">
        <v>2118</v>
      </c>
      <c r="B3543" s="909" t="s">
        <v>2112</v>
      </c>
      <c r="C3543" s="910" t="e">
        <f>VLOOKUP(B3534,'LƯƠNG KT'!$D$16:$Z$184,23,0)</f>
        <v>#N/A</v>
      </c>
      <c r="D3543" s="609" t="e">
        <f>+C3543*20000</f>
        <v>#N/A</v>
      </c>
      <c r="E3543" s="914"/>
      <c r="F3543" s="912"/>
      <c r="G3543" s="908" t="s">
        <v>2118</v>
      </c>
      <c r="H3543" s="909" t="s">
        <v>2112</v>
      </c>
      <c r="I3543" s="910" t="e">
        <f>VLOOKUP(H3534,'LƯƠNG KT'!$D$16:$Z$184,23,0)</f>
        <v>#N/A</v>
      </c>
      <c r="J3543" s="609" t="e">
        <f>+I3543*20000</f>
        <v>#N/A</v>
      </c>
      <c r="K3543" s="935"/>
      <c r="L3543" s="935"/>
      <c r="M3543" s="935"/>
      <c r="N3543" s="935"/>
      <c r="O3543" s="935"/>
    </row>
    <row r="3544" spans="1:15" ht="15" customHeight="1">
      <c r="A3544" s="908" t="s">
        <v>374</v>
      </c>
      <c r="B3544" s="909" t="s">
        <v>2102</v>
      </c>
      <c r="C3544" s="910" t="e">
        <f>VLOOKUP(B3534,'LƯƠNG KT'!$D$16:$Z$184,12,0)</f>
        <v>#N/A</v>
      </c>
      <c r="D3544" s="609" t="e">
        <f>VLOOKUP(B3534,'LƯƠNG KT'!$D$16:$Z$184,14,0)</f>
        <v>#N/A</v>
      </c>
      <c r="E3544" s="916"/>
      <c r="F3544" s="916"/>
      <c r="G3544" s="908" t="s">
        <v>374</v>
      </c>
      <c r="H3544" s="909" t="s">
        <v>2102</v>
      </c>
      <c r="I3544" s="910" t="e">
        <f>VLOOKUP(H3534,'LƯƠNG KT'!$D$16:$Z$184,12,0)</f>
        <v>#N/A</v>
      </c>
      <c r="J3544" s="609" t="e">
        <f>VLOOKUP(H3534,'LƯƠNG KT'!$D$16:$Z$184,14,0)</f>
        <v>#N/A</v>
      </c>
    </row>
    <row r="3545" spans="1:15" ht="15" customHeight="1">
      <c r="A3545" s="908" t="s">
        <v>2103</v>
      </c>
      <c r="B3545" s="909" t="s">
        <v>2104</v>
      </c>
      <c r="D3545" s="915" t="e">
        <f>VLOOKUP(B3534,'LƯƠNG KT'!$D$16:$Z$184,13,0)</f>
        <v>#N/A</v>
      </c>
      <c r="E3545" s="914"/>
      <c r="F3545" s="916"/>
      <c r="G3545" s="908" t="s">
        <v>2103</v>
      </c>
      <c r="H3545" s="909" t="s">
        <v>2104</v>
      </c>
      <c r="J3545" s="915" t="e">
        <f>VLOOKUP(H3534,'LƯƠNG KT'!$D$16:$Z$184,13,0)</f>
        <v>#N/A</v>
      </c>
    </row>
    <row r="3546" spans="1:15" ht="15" customHeight="1">
      <c r="A3546" s="905"/>
      <c r="B3546" s="546"/>
      <c r="C3546" s="910"/>
      <c r="D3546" s="609"/>
      <c r="E3546" s="917"/>
      <c r="F3546" s="904"/>
      <c r="G3546" s="905"/>
      <c r="H3546" s="546"/>
      <c r="I3546" s="910"/>
      <c r="J3546" s="609"/>
    </row>
    <row r="3547" spans="1:15" ht="15" customHeight="1">
      <c r="A3547" s="918" t="s">
        <v>383</v>
      </c>
      <c r="B3547" s="919" t="s">
        <v>384</v>
      </c>
      <c r="C3547" s="920"/>
      <c r="D3547" s="921" t="e">
        <f>SUM(D3535:D3544)</f>
        <v>#N/A</v>
      </c>
      <c r="E3547" s="922"/>
      <c r="F3547" s="923"/>
      <c r="G3547" s="918" t="s">
        <v>383</v>
      </c>
      <c r="H3547" s="919" t="s">
        <v>384</v>
      </c>
      <c r="I3547" s="920"/>
      <c r="J3547" s="921" t="e">
        <f>SUM(J3535:J3544)</f>
        <v>#N/A</v>
      </c>
    </row>
    <row r="3548" spans="1:15" ht="21" customHeight="1">
      <c r="A3548" s="924"/>
      <c r="B3548" s="925"/>
      <c r="C3548" s="926"/>
      <c r="D3548" s="927"/>
      <c r="E3548" s="927"/>
      <c r="F3548" s="928"/>
      <c r="G3548" s="924"/>
      <c r="H3548" s="925"/>
      <c r="I3548" s="926"/>
      <c r="J3548" s="927"/>
    </row>
    <row r="3549" spans="1:15" ht="21" customHeight="1">
      <c r="A3549" s="925"/>
      <c r="B3549" s="925"/>
      <c r="C3549" s="929"/>
      <c r="D3549" s="930"/>
      <c r="E3549" s="925"/>
      <c r="F3549" s="931"/>
      <c r="G3549" s="925"/>
      <c r="H3549" s="925"/>
      <c r="I3549" s="929"/>
      <c r="J3549" s="930"/>
    </row>
    <row r="3550" spans="1:15" ht="15" customHeight="1">
      <c r="A3550" s="2360" t="str">
        <f>$K$2</f>
        <v>THÁNG 04/2025</v>
      </c>
      <c r="B3550" s="2360"/>
      <c r="C3550" s="2360"/>
      <c r="D3550" s="2360"/>
      <c r="E3550" s="903"/>
      <c r="F3550" s="904"/>
      <c r="G3550" s="2360" t="str">
        <f>$K$2</f>
        <v>THÁNG 04/2025</v>
      </c>
      <c r="H3550" s="2360"/>
      <c r="I3550" s="2360"/>
      <c r="J3550" s="2360"/>
      <c r="K3550" s="276"/>
    </row>
    <row r="3551" spans="1:15" ht="15" customHeight="1">
      <c r="A3551" s="905" t="s">
        <v>356</v>
      </c>
      <c r="B3551" s="642" t="s">
        <v>292</v>
      </c>
      <c r="C3551" s="546"/>
      <c r="D3551" s="902"/>
      <c r="E3551" s="906"/>
      <c r="F3551" s="907"/>
      <c r="G3551" s="905" t="s">
        <v>356</v>
      </c>
      <c r="H3551" s="642" t="s">
        <v>293</v>
      </c>
      <c r="I3551" s="546"/>
      <c r="J3551" s="902"/>
      <c r="L3551" s="938"/>
      <c r="M3551" s="938"/>
      <c r="N3551" s="938"/>
      <c r="O3551" s="938"/>
    </row>
    <row r="3552" spans="1:15" ht="15" customHeight="1">
      <c r="A3552" s="908" t="s">
        <v>359</v>
      </c>
      <c r="B3552" s="909" t="s">
        <v>2090</v>
      </c>
      <c r="C3552" s="910" t="e">
        <f>VLOOKUP(B3551,'LƯƠNG KT'!$D$16:$Z$184,4,0)</f>
        <v>#N/A</v>
      </c>
      <c r="D3552" s="609" t="e">
        <f>+C3552*25000</f>
        <v>#N/A</v>
      </c>
      <c r="E3552" s="911"/>
      <c r="F3552" s="911"/>
      <c r="G3552" s="908" t="s">
        <v>359</v>
      </c>
      <c r="H3552" s="909" t="s">
        <v>2090</v>
      </c>
      <c r="I3552" s="910" t="e">
        <f>VLOOKUP(H3551,'LƯƠNG KT'!$D$16:$Z$184,4,0)</f>
        <v>#N/A</v>
      </c>
      <c r="J3552" s="609" t="e">
        <f>+I3552*25000</f>
        <v>#N/A</v>
      </c>
      <c r="K3552" s="935"/>
      <c r="L3552" s="935"/>
      <c r="M3552" s="935"/>
      <c r="N3552" s="935"/>
      <c r="O3552" s="935"/>
    </row>
    <row r="3553" spans="1:15" ht="15" customHeight="1">
      <c r="A3553" s="908" t="s">
        <v>361</v>
      </c>
      <c r="B3553" s="909" t="s">
        <v>2091</v>
      </c>
      <c r="C3553" s="910" t="e">
        <f>VLOOKUP(B3551,'LƯƠNG KT'!$D$16:$Z$184,15,0)</f>
        <v>#N/A</v>
      </c>
      <c r="D3553" s="609" t="e">
        <f>C3553*$L$4</f>
        <v>#N/A</v>
      </c>
      <c r="E3553" s="912"/>
      <c r="F3553" s="912"/>
      <c r="G3553" s="908" t="s">
        <v>361</v>
      </c>
      <c r="H3553" s="909" t="s">
        <v>2091</v>
      </c>
      <c r="I3553" s="910" t="e">
        <f>VLOOKUP(H3551,'LƯƠNG KT'!$D$16:$Z$184,15,0)</f>
        <v>#N/A</v>
      </c>
      <c r="J3553" s="609" t="e">
        <f>I3553*$L$4</f>
        <v>#N/A</v>
      </c>
      <c r="K3553" s="935"/>
      <c r="L3553" s="935"/>
      <c r="M3553" s="935"/>
      <c r="N3553" s="935"/>
      <c r="O3553" s="935"/>
    </row>
    <row r="3554" spans="1:15" ht="15" customHeight="1">
      <c r="A3554" s="908" t="s">
        <v>364</v>
      </c>
      <c r="B3554" s="909" t="s">
        <v>2092</v>
      </c>
      <c r="C3554" s="910" t="e">
        <f>VLOOKUP(B3551,'LƯƠNG KT'!$D$16:$Z$184,16,0)</f>
        <v>#N/A</v>
      </c>
      <c r="D3554" s="609" t="e">
        <f>C3554*$L$5</f>
        <v>#N/A</v>
      </c>
      <c r="E3554" s="912"/>
      <c r="F3554" s="912"/>
      <c r="G3554" s="908" t="s">
        <v>364</v>
      </c>
      <c r="H3554" s="909" t="s">
        <v>2092</v>
      </c>
      <c r="I3554" s="910" t="e">
        <f>VLOOKUP(H3551,'LƯƠNG KT'!$D$16:$Z$184,16,0)</f>
        <v>#N/A</v>
      </c>
      <c r="J3554" s="609" t="e">
        <f>I3554*$L$5</f>
        <v>#N/A</v>
      </c>
      <c r="K3554" s="935"/>
      <c r="L3554" s="935"/>
      <c r="M3554" s="935"/>
      <c r="N3554" s="935"/>
      <c r="O3554" s="935"/>
    </row>
    <row r="3555" spans="1:15" ht="15" customHeight="1">
      <c r="A3555" s="908" t="s">
        <v>370</v>
      </c>
      <c r="B3555" s="909" t="s">
        <v>2093</v>
      </c>
      <c r="C3555" s="910" t="e">
        <f>VLOOKUP(B3551,'LƯƠNG KT'!$D$16:$Z$184,24,0)</f>
        <v>#N/A</v>
      </c>
      <c r="D3555" s="609" t="e">
        <f>+C3555*$L$6</f>
        <v>#N/A</v>
      </c>
      <c r="E3555" s="912"/>
      <c r="F3555" s="912"/>
      <c r="G3555" s="908" t="s">
        <v>370</v>
      </c>
      <c r="H3555" s="909" t="s">
        <v>2093</v>
      </c>
      <c r="I3555" s="910" t="e">
        <f>VLOOKUP(H3551,'LƯƠNG KT'!$D$16:$Z$184,24,0)</f>
        <v>#N/A</v>
      </c>
      <c r="J3555" s="609" t="e">
        <f>+I3555*$L$6</f>
        <v>#N/A</v>
      </c>
      <c r="K3555" s="935"/>
      <c r="L3555" s="935"/>
      <c r="M3555" s="935"/>
      <c r="N3555" s="935"/>
      <c r="O3555" s="935"/>
    </row>
    <row r="3556" spans="1:15" ht="15" customHeight="1">
      <c r="A3556" s="908" t="s">
        <v>2094</v>
      </c>
      <c r="B3556" s="909" t="s">
        <v>2095</v>
      </c>
      <c r="C3556" s="910" t="e">
        <f>VLOOKUP(B3551,'LƯƠNG KT'!$D$16:$Z$184,19,0)</f>
        <v>#N/A</v>
      </c>
      <c r="D3556" s="609" t="e">
        <f>+C3556*$L$8</f>
        <v>#N/A</v>
      </c>
      <c r="E3556" s="912"/>
      <c r="F3556" s="912"/>
      <c r="G3556" s="908" t="s">
        <v>2094</v>
      </c>
      <c r="H3556" s="909" t="s">
        <v>2095</v>
      </c>
      <c r="I3556" s="910" t="e">
        <f>VLOOKUP(H3551,'LƯƠNG KT'!$D$16:$Z$184,19,0)</f>
        <v>#N/A</v>
      </c>
      <c r="J3556" s="609" t="e">
        <f>+I3556*$L$8</f>
        <v>#N/A</v>
      </c>
      <c r="K3556" s="935"/>
      <c r="L3556" s="935"/>
      <c r="M3556" s="935"/>
      <c r="N3556" s="935"/>
      <c r="O3556" s="935"/>
    </row>
    <row r="3557" spans="1:15" ht="15" customHeight="1">
      <c r="A3557" s="908" t="s">
        <v>2096</v>
      </c>
      <c r="B3557" s="913" t="s">
        <v>2097</v>
      </c>
      <c r="C3557" s="910" t="e">
        <f>VLOOKUP(B3551,'LƯƠNG KT'!$D$16:$Z$184,20,0)</f>
        <v>#N/A</v>
      </c>
      <c r="D3557" s="609" t="e">
        <f>+C3557*$L$9</f>
        <v>#N/A</v>
      </c>
      <c r="E3557" s="912"/>
      <c r="F3557" s="912"/>
      <c r="G3557" s="908" t="s">
        <v>2096</v>
      </c>
      <c r="H3557" s="913" t="s">
        <v>2097</v>
      </c>
      <c r="I3557" s="910" t="e">
        <f>VLOOKUP(H3551,'LƯƠNG KT'!$D$16:$Z$184,20,0)</f>
        <v>#N/A</v>
      </c>
      <c r="J3557" s="609" t="e">
        <f>+I3557*$L$9</f>
        <v>#N/A</v>
      </c>
      <c r="K3557" s="935"/>
      <c r="L3557" s="935"/>
      <c r="M3557" s="935"/>
      <c r="N3557" s="935"/>
      <c r="O3557" s="935"/>
    </row>
    <row r="3558" spans="1:15" ht="15" customHeight="1">
      <c r="A3558" s="908" t="s">
        <v>2099</v>
      </c>
      <c r="B3558" s="909" t="s">
        <v>2100</v>
      </c>
      <c r="C3558" s="910" t="e">
        <f>VLOOKUP(B3551,'LƯƠNG KT'!$D$16:$Z$184,17,0)</f>
        <v>#N/A</v>
      </c>
      <c r="D3558" s="609" t="e">
        <f>+C3558*$L$10</f>
        <v>#N/A</v>
      </c>
      <c r="E3558" s="912"/>
      <c r="F3558" s="912"/>
      <c r="G3558" s="908" t="s">
        <v>2099</v>
      </c>
      <c r="H3558" s="909" t="s">
        <v>2100</v>
      </c>
      <c r="I3558" s="910" t="e">
        <f>VLOOKUP(H3551,'LƯƠNG KT'!$D$16:$Z$184,17,0)</f>
        <v>#N/A</v>
      </c>
      <c r="J3558" s="609" t="e">
        <f>+I3558*$L$10</f>
        <v>#N/A</v>
      </c>
      <c r="K3558" s="935"/>
      <c r="L3558" s="935"/>
      <c r="M3558" s="935"/>
      <c r="N3558" s="935"/>
      <c r="O3558" s="935"/>
    </row>
    <row r="3559" spans="1:15" ht="15" customHeight="1">
      <c r="A3559" s="908" t="s">
        <v>2117</v>
      </c>
      <c r="B3559" s="913" t="s">
        <v>2116</v>
      </c>
      <c r="C3559" s="910" t="e">
        <f>VLOOKUP(B3551,'LƯƠNG KT'!$D$16:$Z$184,21,0)</f>
        <v>#N/A</v>
      </c>
      <c r="D3559" s="609" t="e">
        <f>+C3559*$L$7</f>
        <v>#N/A</v>
      </c>
      <c r="E3559" s="912"/>
      <c r="F3559" s="912"/>
      <c r="G3559" s="908" t="s">
        <v>2117</v>
      </c>
      <c r="H3559" s="913" t="s">
        <v>2116</v>
      </c>
      <c r="I3559" s="910" t="e">
        <f>VLOOKUP(H3551,'LƯƠNG KT'!$D$16:$Z$184,21,0)</f>
        <v>#N/A</v>
      </c>
      <c r="J3559" s="609" t="e">
        <f>+I3559*$L$7</f>
        <v>#N/A</v>
      </c>
      <c r="K3559" s="935"/>
      <c r="L3559" s="935"/>
      <c r="M3559" s="935"/>
      <c r="N3559" s="935"/>
      <c r="O3559" s="935"/>
    </row>
    <row r="3560" spans="1:15" ht="15" customHeight="1">
      <c r="A3560" s="908" t="s">
        <v>2118</v>
      </c>
      <c r="B3560" s="909" t="s">
        <v>2112</v>
      </c>
      <c r="C3560" s="910" t="e">
        <f>VLOOKUP(B3551,'LƯƠNG KT'!$D$16:$Z$184,23,0)</f>
        <v>#N/A</v>
      </c>
      <c r="D3560" s="609" t="e">
        <f>+C3560*20000</f>
        <v>#N/A</v>
      </c>
      <c r="E3560" s="914"/>
      <c r="F3560" s="912"/>
      <c r="G3560" s="908" t="s">
        <v>2118</v>
      </c>
      <c r="H3560" s="909" t="s">
        <v>2112</v>
      </c>
      <c r="I3560" s="910" t="e">
        <f>VLOOKUP(H3551,'LƯƠNG KT'!$D$16:$Z$184,23,0)</f>
        <v>#N/A</v>
      </c>
      <c r="J3560" s="609" t="e">
        <f>+I3560*20000</f>
        <v>#N/A</v>
      </c>
      <c r="K3560" s="935"/>
      <c r="L3560" s="935"/>
      <c r="M3560" s="935"/>
      <c r="N3560" s="935"/>
      <c r="O3560" s="935"/>
    </row>
    <row r="3561" spans="1:15" ht="15" customHeight="1">
      <c r="A3561" s="908" t="s">
        <v>374</v>
      </c>
      <c r="B3561" s="909" t="s">
        <v>2102</v>
      </c>
      <c r="C3561" s="910" t="e">
        <f>VLOOKUP(B3551,'LƯƠNG KT'!$D$16:$Z$184,12,0)</f>
        <v>#N/A</v>
      </c>
      <c r="D3561" s="609" t="e">
        <f>VLOOKUP(B3551,'LƯƠNG KT'!$D$16:$Z$184,14,0)</f>
        <v>#N/A</v>
      </c>
      <c r="E3561" s="916"/>
      <c r="F3561" s="916"/>
      <c r="G3561" s="908" t="s">
        <v>374</v>
      </c>
      <c r="H3561" s="909" t="s">
        <v>2102</v>
      </c>
      <c r="I3561" s="910" t="e">
        <f>VLOOKUP(H3551,'LƯƠNG KT'!$D$16:$Z$184,12,0)</f>
        <v>#N/A</v>
      </c>
      <c r="J3561" s="609" t="e">
        <f>VLOOKUP(H3551,'LƯƠNG KT'!$D$16:$Z$184,14,0)</f>
        <v>#N/A</v>
      </c>
    </row>
    <row r="3562" spans="1:15" ht="15" customHeight="1">
      <c r="A3562" s="908" t="s">
        <v>2103</v>
      </c>
      <c r="B3562" s="909" t="s">
        <v>2104</v>
      </c>
      <c r="D3562" s="915" t="e">
        <f>VLOOKUP(B3551,'LƯƠNG KT'!$D$16:$Z$184,13,0)</f>
        <v>#N/A</v>
      </c>
      <c r="E3562" s="914"/>
      <c r="F3562" s="916"/>
      <c r="G3562" s="908" t="s">
        <v>2103</v>
      </c>
      <c r="H3562" s="909" t="s">
        <v>2104</v>
      </c>
      <c r="J3562" s="915" t="e">
        <f>VLOOKUP(H3551,'LƯƠNG KT'!$D$16:$Z$184,13,0)</f>
        <v>#N/A</v>
      </c>
    </row>
    <row r="3563" spans="1:15" ht="15" customHeight="1">
      <c r="A3563" s="905"/>
      <c r="B3563" s="546"/>
      <c r="C3563" s="910"/>
      <c r="D3563" s="609"/>
      <c r="E3563" s="917"/>
      <c r="F3563" s="904"/>
      <c r="G3563" s="905"/>
      <c r="H3563" s="546"/>
      <c r="I3563" s="910"/>
      <c r="J3563" s="609"/>
    </row>
    <row r="3564" spans="1:15" ht="15" customHeight="1">
      <c r="A3564" s="918" t="s">
        <v>383</v>
      </c>
      <c r="B3564" s="919" t="s">
        <v>384</v>
      </c>
      <c r="C3564" s="920"/>
      <c r="D3564" s="921" t="e">
        <f>SUM(D3552:D3561)</f>
        <v>#N/A</v>
      </c>
      <c r="E3564" s="922"/>
      <c r="F3564" s="923"/>
      <c r="G3564" s="918" t="s">
        <v>383</v>
      </c>
      <c r="H3564" s="919" t="s">
        <v>384</v>
      </c>
      <c r="I3564" s="920"/>
      <c r="J3564" s="921" t="e">
        <f>SUM(J3552:J3561)</f>
        <v>#N/A</v>
      </c>
    </row>
    <row r="3565" spans="1:15" ht="11.25" customHeight="1">
      <c r="A3565" s="924"/>
      <c r="B3565" s="925"/>
      <c r="C3565" s="926"/>
      <c r="D3565" s="927"/>
      <c r="E3565" s="927"/>
      <c r="F3565" s="928"/>
      <c r="G3565" s="924"/>
      <c r="H3565" s="925"/>
      <c r="I3565" s="926"/>
      <c r="J3565" s="927"/>
    </row>
    <row r="3566" spans="1:15" ht="65.25" customHeight="1">
      <c r="A3566" s="925"/>
      <c r="B3566" s="925"/>
      <c r="C3566" s="929"/>
      <c r="D3566" s="930"/>
      <c r="E3566" s="925"/>
      <c r="F3566" s="931"/>
      <c r="G3566" s="925"/>
      <c r="H3566" s="925"/>
      <c r="I3566" s="929"/>
      <c r="J3566" s="930"/>
    </row>
    <row r="3567" spans="1:15" ht="15" customHeight="1">
      <c r="A3567" s="2360" t="str">
        <f>$K$2</f>
        <v>THÁNG 04/2025</v>
      </c>
      <c r="B3567" s="2360"/>
      <c r="C3567" s="2360"/>
      <c r="D3567" s="2360"/>
      <c r="E3567" s="903"/>
      <c r="F3567" s="904"/>
      <c r="G3567" s="2360" t="str">
        <f>$K$2</f>
        <v>THÁNG 04/2025</v>
      </c>
      <c r="H3567" s="2360"/>
      <c r="I3567" s="2360"/>
      <c r="J3567" s="2360"/>
      <c r="K3567" s="276"/>
    </row>
    <row r="3568" spans="1:15" ht="15" customHeight="1">
      <c r="A3568" s="905" t="s">
        <v>356</v>
      </c>
      <c r="B3568" s="642" t="s">
        <v>294</v>
      </c>
      <c r="C3568" s="546"/>
      <c r="D3568" s="902"/>
      <c r="E3568" s="906"/>
      <c r="F3568" s="907"/>
      <c r="G3568" s="905" t="s">
        <v>356</v>
      </c>
      <c r="H3568" s="642" t="s">
        <v>295</v>
      </c>
      <c r="I3568" s="546"/>
      <c r="J3568" s="902"/>
      <c r="L3568" s="938"/>
      <c r="M3568" s="938"/>
      <c r="N3568" s="938"/>
      <c r="O3568" s="938"/>
    </row>
    <row r="3569" spans="1:15" ht="15" customHeight="1">
      <c r="A3569" s="908" t="s">
        <v>359</v>
      </c>
      <c r="B3569" s="909" t="s">
        <v>2090</v>
      </c>
      <c r="C3569" s="910" t="e">
        <f>VLOOKUP(B3568,'LƯƠNG KT'!$D$16:$Z$184,4,0)</f>
        <v>#N/A</v>
      </c>
      <c r="D3569" s="609" t="e">
        <f>+C3569*25000</f>
        <v>#N/A</v>
      </c>
      <c r="E3569" s="911"/>
      <c r="F3569" s="911"/>
      <c r="G3569" s="908" t="s">
        <v>359</v>
      </c>
      <c r="H3569" s="909" t="s">
        <v>2090</v>
      </c>
      <c r="I3569" s="910" t="e">
        <f>VLOOKUP(H3568,'LƯƠNG KT'!$D$16:$Z$184,4,0)</f>
        <v>#N/A</v>
      </c>
      <c r="J3569" s="609" t="e">
        <f>+I3569*25000</f>
        <v>#N/A</v>
      </c>
      <c r="K3569" s="935"/>
      <c r="L3569" s="935"/>
      <c r="M3569" s="935"/>
      <c r="N3569" s="935"/>
      <c r="O3569" s="935"/>
    </row>
    <row r="3570" spans="1:15" ht="15" customHeight="1">
      <c r="A3570" s="908" t="s">
        <v>361</v>
      </c>
      <c r="B3570" s="909" t="s">
        <v>2091</v>
      </c>
      <c r="C3570" s="910" t="e">
        <f>VLOOKUP(B3568,'LƯƠNG KT'!$D$16:$Z$184,15,0)</f>
        <v>#N/A</v>
      </c>
      <c r="D3570" s="609" t="e">
        <f>C3570*$L$4</f>
        <v>#N/A</v>
      </c>
      <c r="E3570" s="912"/>
      <c r="F3570" s="912"/>
      <c r="G3570" s="908" t="s">
        <v>361</v>
      </c>
      <c r="H3570" s="909" t="s">
        <v>2091</v>
      </c>
      <c r="I3570" s="910" t="e">
        <f>VLOOKUP(H3568,'LƯƠNG KT'!$D$16:$Z$184,15,0)</f>
        <v>#N/A</v>
      </c>
      <c r="J3570" s="609" t="e">
        <f>I3570*$L$4</f>
        <v>#N/A</v>
      </c>
      <c r="K3570" s="935"/>
      <c r="L3570" s="935"/>
      <c r="M3570" s="935"/>
      <c r="N3570" s="935"/>
      <c r="O3570" s="935"/>
    </row>
    <row r="3571" spans="1:15" ht="15" customHeight="1">
      <c r="A3571" s="908" t="s">
        <v>364</v>
      </c>
      <c r="B3571" s="909" t="s">
        <v>2092</v>
      </c>
      <c r="C3571" s="910" t="e">
        <f>VLOOKUP(B3568,'LƯƠNG KT'!$D$16:$Z$184,16,0)</f>
        <v>#N/A</v>
      </c>
      <c r="D3571" s="609" t="e">
        <f>C3571*$L$5</f>
        <v>#N/A</v>
      </c>
      <c r="E3571" s="912"/>
      <c r="F3571" s="912"/>
      <c r="G3571" s="908" t="s">
        <v>364</v>
      </c>
      <c r="H3571" s="909" t="s">
        <v>2092</v>
      </c>
      <c r="I3571" s="910" t="e">
        <f>VLOOKUP(H3568,'LƯƠNG KT'!$D$16:$Z$184,16,0)</f>
        <v>#N/A</v>
      </c>
      <c r="J3571" s="609" t="e">
        <f>I3571*$L$5</f>
        <v>#N/A</v>
      </c>
      <c r="K3571" s="935"/>
      <c r="L3571" s="935"/>
      <c r="M3571" s="935"/>
      <c r="N3571" s="935"/>
      <c r="O3571" s="935"/>
    </row>
    <row r="3572" spans="1:15" ht="15" customHeight="1">
      <c r="A3572" s="908" t="s">
        <v>370</v>
      </c>
      <c r="B3572" s="909" t="s">
        <v>2093</v>
      </c>
      <c r="C3572" s="910" t="e">
        <f>VLOOKUP(B3568,'LƯƠNG KT'!$D$16:$Z$184,24,0)</f>
        <v>#N/A</v>
      </c>
      <c r="D3572" s="609" t="e">
        <f>+C3572*$L$6</f>
        <v>#N/A</v>
      </c>
      <c r="E3572" s="912"/>
      <c r="F3572" s="912"/>
      <c r="G3572" s="908" t="s">
        <v>370</v>
      </c>
      <c r="H3572" s="909" t="s">
        <v>2093</v>
      </c>
      <c r="I3572" s="910" t="e">
        <f>VLOOKUP(H3568,'LƯƠNG KT'!$D$16:$Z$184,24,0)</f>
        <v>#N/A</v>
      </c>
      <c r="J3572" s="609" t="e">
        <f>+I3572*$L$6</f>
        <v>#N/A</v>
      </c>
      <c r="K3572" s="935"/>
      <c r="L3572" s="935"/>
      <c r="M3572" s="935"/>
      <c r="N3572" s="935"/>
      <c r="O3572" s="935"/>
    </row>
    <row r="3573" spans="1:15" ht="15" customHeight="1">
      <c r="A3573" s="908" t="s">
        <v>2094</v>
      </c>
      <c r="B3573" s="909" t="s">
        <v>2095</v>
      </c>
      <c r="C3573" s="910" t="e">
        <f>VLOOKUP(B3568,'LƯƠNG KT'!$D$16:$Z$184,19,0)</f>
        <v>#N/A</v>
      </c>
      <c r="D3573" s="609" t="e">
        <f>+C3573*$L$8</f>
        <v>#N/A</v>
      </c>
      <c r="E3573" s="912"/>
      <c r="F3573" s="912"/>
      <c r="G3573" s="908" t="s">
        <v>2094</v>
      </c>
      <c r="H3573" s="909" t="s">
        <v>2095</v>
      </c>
      <c r="I3573" s="910" t="e">
        <f>VLOOKUP(H3568,'LƯƠNG KT'!$D$16:$Z$184,19,0)</f>
        <v>#N/A</v>
      </c>
      <c r="J3573" s="609" t="e">
        <f>+I3573*$L$8</f>
        <v>#N/A</v>
      </c>
      <c r="K3573" s="935"/>
      <c r="L3573" s="935"/>
      <c r="M3573" s="935"/>
      <c r="N3573" s="935"/>
      <c r="O3573" s="935"/>
    </row>
    <row r="3574" spans="1:15" ht="15" customHeight="1">
      <c r="A3574" s="908" t="s">
        <v>2096</v>
      </c>
      <c r="B3574" s="913" t="s">
        <v>2097</v>
      </c>
      <c r="C3574" s="910" t="e">
        <f>VLOOKUP(B3568,'LƯƠNG KT'!$D$16:$Z$184,20,0)</f>
        <v>#N/A</v>
      </c>
      <c r="D3574" s="609" t="e">
        <f>+C3574*$L$9</f>
        <v>#N/A</v>
      </c>
      <c r="E3574" s="912"/>
      <c r="F3574" s="912"/>
      <c r="G3574" s="908" t="s">
        <v>2096</v>
      </c>
      <c r="H3574" s="913" t="s">
        <v>2097</v>
      </c>
      <c r="I3574" s="910" t="e">
        <f>VLOOKUP(H3568,'LƯƠNG KT'!$D$16:$Z$184,20,0)</f>
        <v>#N/A</v>
      </c>
      <c r="J3574" s="609" t="e">
        <f>+I3574*$L$9</f>
        <v>#N/A</v>
      </c>
      <c r="K3574" s="935"/>
      <c r="L3574" s="935"/>
      <c r="M3574" s="935"/>
      <c r="N3574" s="935"/>
      <c r="O3574" s="935"/>
    </row>
    <row r="3575" spans="1:15" ht="15" customHeight="1">
      <c r="A3575" s="908" t="s">
        <v>2099</v>
      </c>
      <c r="B3575" s="909" t="s">
        <v>2100</v>
      </c>
      <c r="C3575" s="910" t="e">
        <f>VLOOKUP(B3568,'LƯƠNG KT'!$D$16:$Z$184,17,0)</f>
        <v>#N/A</v>
      </c>
      <c r="D3575" s="609" t="e">
        <f>+C3575*$L$10</f>
        <v>#N/A</v>
      </c>
      <c r="E3575" s="912"/>
      <c r="F3575" s="912"/>
      <c r="G3575" s="908" t="s">
        <v>2099</v>
      </c>
      <c r="H3575" s="909" t="s">
        <v>2100</v>
      </c>
      <c r="I3575" s="910" t="e">
        <f>VLOOKUP(H3568,'LƯƠNG KT'!$D$16:$Z$184,17,0)</f>
        <v>#N/A</v>
      </c>
      <c r="J3575" s="609" t="e">
        <f>+I3575*$L$10</f>
        <v>#N/A</v>
      </c>
      <c r="K3575" s="935"/>
      <c r="L3575" s="935"/>
      <c r="M3575" s="935"/>
      <c r="N3575" s="935"/>
      <c r="O3575" s="935"/>
    </row>
    <row r="3576" spans="1:15" ht="15" customHeight="1">
      <c r="A3576" s="908" t="s">
        <v>2117</v>
      </c>
      <c r="B3576" s="913" t="s">
        <v>2116</v>
      </c>
      <c r="C3576" s="910" t="e">
        <f>VLOOKUP(B3568,'LƯƠNG KT'!$D$16:$Z$184,21,0)</f>
        <v>#N/A</v>
      </c>
      <c r="D3576" s="609" t="e">
        <f>+C3576*$L$7</f>
        <v>#N/A</v>
      </c>
      <c r="E3576" s="912"/>
      <c r="F3576" s="912"/>
      <c r="G3576" s="908" t="s">
        <v>2117</v>
      </c>
      <c r="H3576" s="913" t="s">
        <v>2116</v>
      </c>
      <c r="I3576" s="910" t="e">
        <f>VLOOKUP(H3568,'LƯƠNG KT'!$D$16:$Z$184,21,0)</f>
        <v>#N/A</v>
      </c>
      <c r="J3576" s="609" t="e">
        <f>+I3576*$L$7</f>
        <v>#N/A</v>
      </c>
      <c r="K3576" s="935"/>
      <c r="L3576" s="935"/>
      <c r="M3576" s="935"/>
      <c r="N3576" s="935"/>
      <c r="O3576" s="935"/>
    </row>
    <row r="3577" spans="1:15" ht="15" customHeight="1">
      <c r="A3577" s="908" t="s">
        <v>2118</v>
      </c>
      <c r="B3577" s="909" t="s">
        <v>2112</v>
      </c>
      <c r="C3577" s="910" t="e">
        <f>VLOOKUP(B3568,'LƯƠNG KT'!$D$16:$Z$184,23,0)</f>
        <v>#N/A</v>
      </c>
      <c r="D3577" s="609" t="e">
        <f>+C3577*20000</f>
        <v>#N/A</v>
      </c>
      <c r="E3577" s="914"/>
      <c r="F3577" s="912"/>
      <c r="G3577" s="908" t="s">
        <v>2118</v>
      </c>
      <c r="H3577" s="909" t="s">
        <v>2112</v>
      </c>
      <c r="I3577" s="910" t="e">
        <f>VLOOKUP(H3568,'LƯƠNG KT'!$D$16:$Z$184,23,0)</f>
        <v>#N/A</v>
      </c>
      <c r="J3577" s="609" t="e">
        <f>+I3577*20000</f>
        <v>#N/A</v>
      </c>
      <c r="K3577" s="935"/>
      <c r="L3577" s="935"/>
      <c r="M3577" s="935"/>
      <c r="N3577" s="935"/>
      <c r="O3577" s="935"/>
    </row>
    <row r="3578" spans="1:15" ht="15" customHeight="1">
      <c r="A3578" s="908" t="s">
        <v>374</v>
      </c>
      <c r="B3578" s="909" t="s">
        <v>2102</v>
      </c>
      <c r="C3578" s="910" t="e">
        <f>VLOOKUP(B3568,'LƯƠNG KT'!$D$16:$Z$184,12,0)</f>
        <v>#N/A</v>
      </c>
      <c r="D3578" s="609" t="e">
        <f>VLOOKUP(B3568,'LƯƠNG KT'!$D$16:$Z$184,14,0)</f>
        <v>#N/A</v>
      </c>
      <c r="E3578" s="916"/>
      <c r="F3578" s="916"/>
      <c r="G3578" s="908" t="s">
        <v>374</v>
      </c>
      <c r="H3578" s="909" t="s">
        <v>2102</v>
      </c>
      <c r="I3578" s="910" t="e">
        <f>VLOOKUP(H3568,'LƯƠNG KT'!$D$16:$Z$184,12,0)</f>
        <v>#N/A</v>
      </c>
      <c r="J3578" s="609" t="e">
        <f>VLOOKUP(H3568,'LƯƠNG KT'!$D$16:$Z$184,14,0)</f>
        <v>#N/A</v>
      </c>
    </row>
    <row r="3579" spans="1:15" ht="15" customHeight="1">
      <c r="A3579" s="908" t="s">
        <v>2103</v>
      </c>
      <c r="B3579" s="909" t="s">
        <v>2104</v>
      </c>
      <c r="D3579" s="915" t="e">
        <f>VLOOKUP(B3568,'LƯƠNG KT'!$D$16:$Z$184,13,0)</f>
        <v>#N/A</v>
      </c>
      <c r="E3579" s="914"/>
      <c r="F3579" s="916"/>
      <c r="G3579" s="908" t="s">
        <v>2103</v>
      </c>
      <c r="H3579" s="909" t="s">
        <v>2104</v>
      </c>
      <c r="J3579" s="915" t="e">
        <f>VLOOKUP(H3568,'LƯƠNG KT'!$D$16:$Z$184,13,0)</f>
        <v>#N/A</v>
      </c>
    </row>
    <row r="3580" spans="1:15" ht="15" customHeight="1">
      <c r="A3580" s="905"/>
      <c r="B3580" s="546"/>
      <c r="C3580" s="910"/>
      <c r="D3580" s="609"/>
      <c r="E3580" s="917"/>
      <c r="F3580" s="904"/>
      <c r="G3580" s="905"/>
      <c r="H3580" s="546"/>
      <c r="I3580" s="910"/>
      <c r="J3580" s="609"/>
    </row>
    <row r="3581" spans="1:15" ht="15" customHeight="1">
      <c r="A3581" s="918" t="s">
        <v>383</v>
      </c>
      <c r="B3581" s="919" t="s">
        <v>384</v>
      </c>
      <c r="C3581" s="920"/>
      <c r="D3581" s="921" t="e">
        <f>SUM(D3569:D3578)</f>
        <v>#N/A</v>
      </c>
      <c r="E3581" s="922"/>
      <c r="F3581" s="923"/>
      <c r="G3581" s="918" t="s">
        <v>383</v>
      </c>
      <c r="H3581" s="919" t="s">
        <v>384</v>
      </c>
      <c r="I3581" s="920"/>
      <c r="J3581" s="921" t="e">
        <f>SUM(J3569:J3578)</f>
        <v>#N/A</v>
      </c>
    </row>
    <row r="3582" spans="1:15" ht="27.75" customHeight="1">
      <c r="A3582" s="924"/>
      <c r="B3582" s="925"/>
      <c r="C3582" s="926"/>
      <c r="D3582" s="927"/>
      <c r="E3582" s="927"/>
      <c r="F3582" s="928"/>
      <c r="G3582" s="924"/>
      <c r="H3582" s="925"/>
      <c r="I3582" s="926"/>
      <c r="J3582" s="927"/>
    </row>
    <row r="3583" spans="1:15" ht="27.75" customHeight="1">
      <c r="A3583" s="924"/>
      <c r="B3583" s="925"/>
      <c r="C3583" s="926"/>
      <c r="D3583" s="927"/>
      <c r="E3583" s="946"/>
      <c r="F3583" s="922"/>
      <c r="G3583" s="924"/>
      <c r="H3583" s="925"/>
      <c r="I3583" s="926"/>
      <c r="J3583" s="927"/>
    </row>
    <row r="3584" spans="1:15" ht="15" customHeight="1">
      <c r="A3584" s="2360" t="str">
        <f>$K$2</f>
        <v>THÁNG 04/2025</v>
      </c>
      <c r="B3584" s="2360"/>
      <c r="C3584" s="2360"/>
      <c r="D3584" s="2360"/>
      <c r="E3584" s="903"/>
      <c r="F3584" s="904"/>
      <c r="G3584" s="2360" t="str">
        <f>$K$2</f>
        <v>THÁNG 04/2025</v>
      </c>
      <c r="H3584" s="2360"/>
      <c r="I3584" s="2360"/>
      <c r="J3584" s="2360"/>
      <c r="K3584" s="276"/>
    </row>
    <row r="3585" spans="1:15" ht="15" customHeight="1">
      <c r="A3585" s="905" t="s">
        <v>356</v>
      </c>
      <c r="B3585" s="642" t="s">
        <v>296</v>
      </c>
      <c r="C3585" s="546"/>
      <c r="D3585" s="902"/>
      <c r="E3585" s="906"/>
      <c r="F3585" s="907"/>
      <c r="G3585" s="905" t="s">
        <v>356</v>
      </c>
      <c r="H3585" s="642" t="s">
        <v>297</v>
      </c>
      <c r="I3585" s="546"/>
      <c r="J3585" s="902"/>
      <c r="L3585" s="938"/>
      <c r="M3585" s="938"/>
      <c r="N3585" s="938"/>
      <c r="O3585" s="938"/>
    </row>
    <row r="3586" spans="1:15" ht="15" customHeight="1">
      <c r="A3586" s="908" t="s">
        <v>359</v>
      </c>
      <c r="B3586" s="909" t="s">
        <v>2090</v>
      </c>
      <c r="C3586" s="910" t="e">
        <f>VLOOKUP(B3585,'LƯƠNG KT'!$D$16:$Z$184,4,0)</f>
        <v>#N/A</v>
      </c>
      <c r="D3586" s="609" t="e">
        <f>+C3586*25000</f>
        <v>#N/A</v>
      </c>
      <c r="E3586" s="911"/>
      <c r="F3586" s="911"/>
      <c r="G3586" s="908" t="s">
        <v>359</v>
      </c>
      <c r="H3586" s="909" t="s">
        <v>2090</v>
      </c>
      <c r="I3586" s="910" t="e">
        <f>VLOOKUP(H3585,'LƯƠNG KT'!$D$16:$Z$184,4,0)</f>
        <v>#N/A</v>
      </c>
      <c r="J3586" s="609" t="e">
        <f>+I3586*25000</f>
        <v>#N/A</v>
      </c>
      <c r="K3586" s="934"/>
      <c r="L3586" s="935"/>
      <c r="M3586" s="935"/>
      <c r="N3586" s="935"/>
      <c r="O3586" s="935"/>
    </row>
    <row r="3587" spans="1:15" ht="15" customHeight="1">
      <c r="A3587" s="908" t="s">
        <v>361</v>
      </c>
      <c r="B3587" s="909" t="s">
        <v>2091</v>
      </c>
      <c r="C3587" s="910" t="e">
        <f>VLOOKUP(B3585,'LƯƠNG KT'!$D$16:$Z$184,15,0)</f>
        <v>#N/A</v>
      </c>
      <c r="D3587" s="609" t="e">
        <f>C3587*$L$4</f>
        <v>#N/A</v>
      </c>
      <c r="E3587" s="912"/>
      <c r="F3587" s="912"/>
      <c r="G3587" s="908" t="s">
        <v>361</v>
      </c>
      <c r="H3587" s="909" t="s">
        <v>2091</v>
      </c>
      <c r="I3587" s="910" t="e">
        <f>VLOOKUP(H3585,'LƯƠNG KT'!$D$16:$Z$184,15,0)</f>
        <v>#N/A</v>
      </c>
      <c r="J3587" s="609" t="e">
        <f>I3587*$L$4</f>
        <v>#N/A</v>
      </c>
      <c r="K3587" s="934"/>
      <c r="L3587" s="935"/>
      <c r="M3587" s="935"/>
      <c r="N3587" s="935"/>
      <c r="O3587" s="935"/>
    </row>
    <row r="3588" spans="1:15" ht="15" customHeight="1">
      <c r="A3588" s="908" t="s">
        <v>364</v>
      </c>
      <c r="B3588" s="909" t="s">
        <v>2092</v>
      </c>
      <c r="C3588" s="910" t="e">
        <f>VLOOKUP(B3585,'LƯƠNG KT'!$D$16:$Z$184,16,0)</f>
        <v>#N/A</v>
      </c>
      <c r="D3588" s="609" t="e">
        <f>C3588*$L$5</f>
        <v>#N/A</v>
      </c>
      <c r="E3588" s="912"/>
      <c r="F3588" s="912"/>
      <c r="G3588" s="908" t="s">
        <v>364</v>
      </c>
      <c r="H3588" s="909" t="s">
        <v>2092</v>
      </c>
      <c r="I3588" s="910" t="e">
        <f>VLOOKUP(H3585,'LƯƠNG KT'!$D$16:$Z$184,16,0)</f>
        <v>#N/A</v>
      </c>
      <c r="J3588" s="609" t="e">
        <f>I3588*$L$5</f>
        <v>#N/A</v>
      </c>
      <c r="K3588" s="934"/>
      <c r="L3588" s="935"/>
      <c r="M3588" s="935"/>
      <c r="N3588" s="935"/>
      <c r="O3588" s="935"/>
    </row>
    <row r="3589" spans="1:15" ht="15" customHeight="1">
      <c r="A3589" s="908" t="s">
        <v>370</v>
      </c>
      <c r="B3589" s="909" t="s">
        <v>2093</v>
      </c>
      <c r="C3589" s="910" t="e">
        <f>VLOOKUP(B3585,'LƯƠNG KT'!$D$16:$Z$184,24,0)</f>
        <v>#N/A</v>
      </c>
      <c r="D3589" s="609" t="e">
        <f>+C3589*$L$6</f>
        <v>#N/A</v>
      </c>
      <c r="E3589" s="912"/>
      <c r="F3589" s="912"/>
      <c r="G3589" s="908" t="s">
        <v>370</v>
      </c>
      <c r="H3589" s="909" t="s">
        <v>2093</v>
      </c>
      <c r="I3589" s="910" t="e">
        <f>VLOOKUP(H3585,'LƯƠNG KT'!$D$16:$Z$184,24,0)</f>
        <v>#N/A</v>
      </c>
      <c r="J3589" s="609" t="e">
        <f>+I3589*$L$6</f>
        <v>#N/A</v>
      </c>
      <c r="K3589" s="935"/>
      <c r="L3589" s="935"/>
      <c r="M3589" s="935"/>
      <c r="N3589" s="935"/>
      <c r="O3589" s="935"/>
    </row>
    <row r="3590" spans="1:15" ht="15" customHeight="1">
      <c r="A3590" s="908" t="s">
        <v>2094</v>
      </c>
      <c r="B3590" s="909" t="s">
        <v>2095</v>
      </c>
      <c r="C3590" s="910" t="e">
        <f>VLOOKUP(B3585,'LƯƠNG KT'!$D$16:$Z$184,19,0)</f>
        <v>#N/A</v>
      </c>
      <c r="D3590" s="609" t="e">
        <f>+C3590*$L$8</f>
        <v>#N/A</v>
      </c>
      <c r="E3590" s="912"/>
      <c r="F3590" s="912"/>
      <c r="G3590" s="908" t="s">
        <v>2094</v>
      </c>
      <c r="H3590" s="909" t="s">
        <v>2095</v>
      </c>
      <c r="I3590" s="910" t="e">
        <f>VLOOKUP(H3585,'LƯƠNG KT'!$D$16:$Z$184,19,0)</f>
        <v>#N/A</v>
      </c>
      <c r="J3590" s="609" t="e">
        <f>+I3590*$L$8</f>
        <v>#N/A</v>
      </c>
      <c r="K3590" s="935"/>
      <c r="L3590" s="935"/>
      <c r="M3590" s="935"/>
      <c r="N3590" s="935"/>
      <c r="O3590" s="935"/>
    </row>
    <row r="3591" spans="1:15" ht="15" customHeight="1">
      <c r="A3591" s="908" t="s">
        <v>2096</v>
      </c>
      <c r="B3591" s="913" t="s">
        <v>2097</v>
      </c>
      <c r="C3591" s="910" t="e">
        <f>VLOOKUP(B3585,'LƯƠNG KT'!$D$16:$Z$184,20,0)</f>
        <v>#N/A</v>
      </c>
      <c r="D3591" s="609" t="e">
        <f>+C3591*$L$9</f>
        <v>#N/A</v>
      </c>
      <c r="E3591" s="912"/>
      <c r="F3591" s="912"/>
      <c r="G3591" s="908" t="s">
        <v>2096</v>
      </c>
      <c r="H3591" s="913" t="s">
        <v>2097</v>
      </c>
      <c r="I3591" s="910" t="e">
        <f>VLOOKUP(H3585,'LƯƠNG KT'!$D$16:$Z$184,20,0)</f>
        <v>#N/A</v>
      </c>
      <c r="J3591" s="609" t="e">
        <f>+I3591*$L$9</f>
        <v>#N/A</v>
      </c>
      <c r="K3591" s="935"/>
      <c r="L3591" s="935"/>
      <c r="M3591" s="935"/>
      <c r="N3591" s="935"/>
      <c r="O3591" s="935"/>
    </row>
    <row r="3592" spans="1:15" ht="15" customHeight="1">
      <c r="A3592" s="908" t="s">
        <v>2099</v>
      </c>
      <c r="B3592" s="909" t="s">
        <v>2100</v>
      </c>
      <c r="C3592" s="910" t="e">
        <f>VLOOKUP(B3585,'LƯƠNG KT'!$D$16:$Z$184,17,0)</f>
        <v>#N/A</v>
      </c>
      <c r="D3592" s="609" t="e">
        <f>+C3592*$L$10</f>
        <v>#N/A</v>
      </c>
      <c r="E3592" s="912"/>
      <c r="F3592" s="912"/>
      <c r="G3592" s="908" t="s">
        <v>2099</v>
      </c>
      <c r="H3592" s="909" t="s">
        <v>2100</v>
      </c>
      <c r="I3592" s="910" t="e">
        <f>VLOOKUP(H3585,'LƯƠNG KT'!$D$16:$Z$184,17,0)</f>
        <v>#N/A</v>
      </c>
      <c r="J3592" s="609" t="e">
        <f>+I3592*$L$10</f>
        <v>#N/A</v>
      </c>
      <c r="K3592" s="935"/>
      <c r="L3592" s="935"/>
      <c r="M3592" s="935"/>
      <c r="N3592" s="935"/>
      <c r="O3592" s="935"/>
    </row>
    <row r="3593" spans="1:15" ht="15" customHeight="1">
      <c r="A3593" s="908" t="s">
        <v>2117</v>
      </c>
      <c r="B3593" s="913" t="s">
        <v>2116</v>
      </c>
      <c r="C3593" s="910" t="e">
        <f>VLOOKUP(B3585,'LƯƠNG KT'!$D$16:$Z$184,21,0)</f>
        <v>#N/A</v>
      </c>
      <c r="D3593" s="609" t="e">
        <f>+C3593*$L$7</f>
        <v>#N/A</v>
      </c>
      <c r="E3593" s="912"/>
      <c r="F3593" s="912"/>
      <c r="G3593" s="908" t="s">
        <v>2117</v>
      </c>
      <c r="H3593" s="913" t="s">
        <v>2116</v>
      </c>
      <c r="I3593" s="910" t="e">
        <f>VLOOKUP(H3585,'LƯƠNG KT'!$D$16:$Z$184,21,0)</f>
        <v>#N/A</v>
      </c>
      <c r="J3593" s="609" t="e">
        <f>+I3593*$L$7</f>
        <v>#N/A</v>
      </c>
      <c r="K3593" s="935"/>
      <c r="L3593" s="935"/>
      <c r="M3593" s="935"/>
      <c r="N3593" s="935"/>
      <c r="O3593" s="935"/>
    </row>
    <row r="3594" spans="1:15" ht="15" customHeight="1">
      <c r="A3594" s="908" t="s">
        <v>2118</v>
      </c>
      <c r="B3594" s="909" t="s">
        <v>2112</v>
      </c>
      <c r="C3594" s="910" t="e">
        <f>VLOOKUP(B3585,'LƯƠNG KT'!$D$16:$Z$184,23,0)</f>
        <v>#N/A</v>
      </c>
      <c r="D3594" s="609" t="e">
        <f>+C3594*20000</f>
        <v>#N/A</v>
      </c>
      <c r="E3594" s="914"/>
      <c r="F3594" s="912"/>
      <c r="G3594" s="908" t="s">
        <v>2118</v>
      </c>
      <c r="H3594" s="909" t="s">
        <v>2112</v>
      </c>
      <c r="I3594" s="910" t="e">
        <f>VLOOKUP(H3585,'LƯƠNG KT'!$D$16:$Z$184,23,0)</f>
        <v>#N/A</v>
      </c>
      <c r="J3594" s="609" t="e">
        <f>+I3594*20000</f>
        <v>#N/A</v>
      </c>
      <c r="K3594" s="935"/>
      <c r="L3594" s="935"/>
      <c r="M3594" s="935"/>
      <c r="N3594" s="935"/>
      <c r="O3594" s="935"/>
    </row>
    <row r="3595" spans="1:15" ht="15" customHeight="1">
      <c r="A3595" s="908" t="s">
        <v>374</v>
      </c>
      <c r="B3595" s="909" t="s">
        <v>2102</v>
      </c>
      <c r="C3595" s="910" t="e">
        <f>VLOOKUP(B3585,'LƯƠNG KT'!$D$16:$Z$184,12,0)</f>
        <v>#N/A</v>
      </c>
      <c r="D3595" s="609" t="e">
        <f>VLOOKUP(B3585,'LƯƠNG KT'!$D$16:$Z$184,14,0)</f>
        <v>#N/A</v>
      </c>
      <c r="E3595" s="916"/>
      <c r="F3595" s="916"/>
      <c r="G3595" s="908" t="s">
        <v>374</v>
      </c>
      <c r="H3595" s="909" t="s">
        <v>2102</v>
      </c>
      <c r="I3595" s="910" t="e">
        <f>VLOOKUP(H3585,'LƯƠNG KT'!$D$16:$Z$184,12,0)</f>
        <v>#N/A</v>
      </c>
      <c r="J3595" s="609" t="e">
        <f>VLOOKUP(H3585,'LƯƠNG KT'!$D$16:$Z$184,14,0)</f>
        <v>#N/A</v>
      </c>
    </row>
    <row r="3596" spans="1:15" ht="15" customHeight="1">
      <c r="A3596" s="908" t="s">
        <v>2103</v>
      </c>
      <c r="B3596" s="909" t="s">
        <v>2104</v>
      </c>
      <c r="D3596" s="915" t="e">
        <f>VLOOKUP(B3585,'LƯƠNG KT'!$D$16:$Z$184,13,0)</f>
        <v>#N/A</v>
      </c>
      <c r="E3596" s="914"/>
      <c r="F3596" s="916"/>
      <c r="G3596" s="908" t="s">
        <v>2103</v>
      </c>
      <c r="H3596" s="909" t="s">
        <v>2104</v>
      </c>
      <c r="J3596" s="915" t="e">
        <f>VLOOKUP(H3585,'LƯƠNG KT'!$D$16:$Z$184,13,0)</f>
        <v>#N/A</v>
      </c>
    </row>
    <row r="3597" spans="1:15" ht="15" customHeight="1">
      <c r="A3597" s="905"/>
      <c r="B3597" s="546"/>
      <c r="C3597" s="910"/>
      <c r="D3597" s="609"/>
      <c r="E3597" s="917"/>
      <c r="F3597" s="904"/>
      <c r="G3597" s="905"/>
      <c r="H3597" s="546"/>
      <c r="I3597" s="910"/>
      <c r="J3597" s="609"/>
    </row>
    <row r="3598" spans="1:15" ht="15" customHeight="1">
      <c r="A3598" s="918" t="s">
        <v>383</v>
      </c>
      <c r="B3598" s="919" t="s">
        <v>384</v>
      </c>
      <c r="C3598" s="920"/>
      <c r="D3598" s="921" t="e">
        <f>SUM(D3586:D3595)</f>
        <v>#N/A</v>
      </c>
      <c r="E3598" s="922"/>
      <c r="F3598" s="923"/>
      <c r="G3598" s="918" t="s">
        <v>383</v>
      </c>
      <c r="H3598" s="919" t="s">
        <v>384</v>
      </c>
      <c r="I3598" s="920"/>
      <c r="J3598" s="921" t="e">
        <f>SUM(J3586:J3595)</f>
        <v>#N/A</v>
      </c>
    </row>
    <row r="3599" spans="1:15" ht="18" customHeight="1">
      <c r="A3599" s="924"/>
      <c r="B3599" s="925"/>
      <c r="C3599" s="926"/>
      <c r="D3599" s="927"/>
      <c r="E3599" s="927"/>
      <c r="F3599" s="928"/>
      <c r="G3599" s="924"/>
      <c r="H3599" s="925"/>
      <c r="I3599" s="926"/>
      <c r="J3599" s="927"/>
    </row>
    <row r="3600" spans="1:15" ht="21.75" customHeight="1">
      <c r="A3600" s="925"/>
      <c r="B3600" s="925"/>
      <c r="C3600" s="929"/>
      <c r="D3600" s="930"/>
      <c r="E3600" s="925"/>
      <c r="F3600" s="931"/>
      <c r="G3600" s="925"/>
      <c r="H3600" s="925"/>
      <c r="I3600" s="929"/>
      <c r="J3600" s="930"/>
    </row>
    <row r="3601" spans="1:15" ht="21.75" customHeight="1">
      <c r="A3601" s="2360" t="str">
        <f>$K$2</f>
        <v>THÁNG 04/2025</v>
      </c>
      <c r="B3601" s="2360"/>
      <c r="C3601" s="2360"/>
      <c r="D3601" s="2360"/>
      <c r="E3601" s="903"/>
      <c r="F3601" s="904"/>
      <c r="G3601" s="2360" t="str">
        <f>$K$2</f>
        <v>THÁNG 04/2025</v>
      </c>
      <c r="H3601" s="2360"/>
      <c r="I3601" s="2360"/>
      <c r="J3601" s="2360"/>
      <c r="K3601" s="276"/>
    </row>
    <row r="3602" spans="1:15" ht="15" customHeight="1">
      <c r="A3602" s="905" t="s">
        <v>356</v>
      </c>
      <c r="B3602" s="642" t="s">
        <v>518</v>
      </c>
      <c r="C3602" s="546"/>
      <c r="D3602" s="902"/>
      <c r="E3602" s="906"/>
      <c r="F3602" s="907"/>
      <c r="G3602" s="905" t="s">
        <v>356</v>
      </c>
      <c r="H3602" s="642" t="s">
        <v>299</v>
      </c>
      <c r="I3602" s="546"/>
      <c r="J3602" s="902"/>
      <c r="L3602" s="938"/>
      <c r="M3602" s="938"/>
      <c r="N3602" s="938"/>
      <c r="O3602" s="938"/>
    </row>
    <row r="3603" spans="1:15" ht="15" customHeight="1">
      <c r="A3603" s="908" t="s">
        <v>359</v>
      </c>
      <c r="B3603" s="909" t="s">
        <v>2090</v>
      </c>
      <c r="C3603" s="910" t="e">
        <f>VLOOKUP(B3602,'LƯƠNG KT'!$D$16:$Z$184,4,0)</f>
        <v>#N/A</v>
      </c>
      <c r="D3603" s="609" t="e">
        <f>+C3603*25000</f>
        <v>#N/A</v>
      </c>
      <c r="E3603" s="911"/>
      <c r="F3603" s="911"/>
      <c r="G3603" s="908" t="s">
        <v>359</v>
      </c>
      <c r="H3603" s="909" t="s">
        <v>2090</v>
      </c>
      <c r="I3603" s="910" t="e">
        <f>VLOOKUP(H3602,'LƯƠNG KT'!$D$16:$Z$184,4,0)</f>
        <v>#N/A</v>
      </c>
      <c r="J3603" s="609" t="e">
        <f>+I3603*25000</f>
        <v>#N/A</v>
      </c>
      <c r="K3603" s="935"/>
      <c r="L3603" s="935"/>
      <c r="M3603" s="935"/>
      <c r="N3603" s="935"/>
      <c r="O3603" s="935"/>
    </row>
    <row r="3604" spans="1:15" ht="15" customHeight="1">
      <c r="A3604" s="908" t="s">
        <v>361</v>
      </c>
      <c r="B3604" s="909" t="s">
        <v>2091</v>
      </c>
      <c r="C3604" s="910" t="e">
        <f>VLOOKUP(B3602,'LƯƠNG KT'!$D$16:$Z$184,15,0)</f>
        <v>#N/A</v>
      </c>
      <c r="D3604" s="609" t="e">
        <f>C3604*$L$4</f>
        <v>#N/A</v>
      </c>
      <c r="E3604" s="912"/>
      <c r="F3604" s="912"/>
      <c r="G3604" s="908" t="s">
        <v>361</v>
      </c>
      <c r="H3604" s="909" t="s">
        <v>2091</v>
      </c>
      <c r="I3604" s="910" t="e">
        <f>VLOOKUP(H3602,'LƯƠNG KT'!$D$16:$Z$184,15,0)</f>
        <v>#N/A</v>
      </c>
      <c r="J3604" s="609" t="e">
        <f>I3604*$L$4</f>
        <v>#N/A</v>
      </c>
      <c r="K3604" s="935"/>
      <c r="L3604" s="935"/>
      <c r="M3604" s="935"/>
      <c r="N3604" s="935"/>
      <c r="O3604" s="935"/>
    </row>
    <row r="3605" spans="1:15" ht="15" customHeight="1">
      <c r="A3605" s="908" t="s">
        <v>364</v>
      </c>
      <c r="B3605" s="909" t="s">
        <v>2092</v>
      </c>
      <c r="C3605" s="910" t="e">
        <f>VLOOKUP(B3602,'LƯƠNG KT'!$D$16:$Z$184,16,0)</f>
        <v>#N/A</v>
      </c>
      <c r="D3605" s="609" t="e">
        <f>C3605*$L$5</f>
        <v>#N/A</v>
      </c>
      <c r="E3605" s="912"/>
      <c r="F3605" s="912"/>
      <c r="G3605" s="908" t="s">
        <v>364</v>
      </c>
      <c r="H3605" s="909" t="s">
        <v>2092</v>
      </c>
      <c r="I3605" s="910" t="e">
        <f>VLOOKUP(H3602,'LƯƠNG KT'!$D$16:$Z$184,16,0)</f>
        <v>#N/A</v>
      </c>
      <c r="J3605" s="609" t="e">
        <f>I3605*$L$5</f>
        <v>#N/A</v>
      </c>
      <c r="K3605" s="935"/>
      <c r="L3605" s="935"/>
      <c r="M3605" s="935"/>
      <c r="N3605" s="935"/>
      <c r="O3605" s="935"/>
    </row>
    <row r="3606" spans="1:15" ht="15" customHeight="1">
      <c r="A3606" s="908" t="s">
        <v>370</v>
      </c>
      <c r="B3606" s="909" t="s">
        <v>2093</v>
      </c>
      <c r="C3606" s="910" t="e">
        <f>VLOOKUP(B3602,'LƯƠNG KT'!$D$16:$Z$184,24,0)</f>
        <v>#N/A</v>
      </c>
      <c r="D3606" s="609" t="e">
        <f>+C3606*$L$6</f>
        <v>#N/A</v>
      </c>
      <c r="E3606" s="912"/>
      <c r="F3606" s="912"/>
      <c r="G3606" s="908" t="s">
        <v>370</v>
      </c>
      <c r="H3606" s="909" t="s">
        <v>2093</v>
      </c>
      <c r="I3606" s="910" t="e">
        <f>VLOOKUP(H3602,'LƯƠNG KT'!$D$16:$Z$184,24,0)</f>
        <v>#N/A</v>
      </c>
      <c r="J3606" s="609" t="e">
        <f>+I3606*$L$6</f>
        <v>#N/A</v>
      </c>
      <c r="K3606" s="935"/>
      <c r="L3606" s="935"/>
      <c r="M3606" s="935"/>
      <c r="N3606" s="935"/>
      <c r="O3606" s="935"/>
    </row>
    <row r="3607" spans="1:15" ht="15" customHeight="1">
      <c r="A3607" s="908" t="s">
        <v>2094</v>
      </c>
      <c r="B3607" s="909" t="s">
        <v>2095</v>
      </c>
      <c r="C3607" s="910" t="e">
        <f>VLOOKUP(B3602,'LƯƠNG KT'!$D$16:$Z$184,19,0)</f>
        <v>#N/A</v>
      </c>
      <c r="D3607" s="609" t="e">
        <f>+C3607*$L$8</f>
        <v>#N/A</v>
      </c>
      <c r="E3607" s="912"/>
      <c r="F3607" s="912"/>
      <c r="G3607" s="908" t="s">
        <v>2094</v>
      </c>
      <c r="H3607" s="909" t="s">
        <v>2095</v>
      </c>
      <c r="I3607" s="910" t="e">
        <f>VLOOKUP(H3602,'LƯƠNG KT'!$D$16:$Z$184,19,0)</f>
        <v>#N/A</v>
      </c>
      <c r="J3607" s="609" t="e">
        <f>+I3607*$L$8</f>
        <v>#N/A</v>
      </c>
      <c r="K3607" s="935"/>
      <c r="L3607" s="935"/>
      <c r="M3607" s="935"/>
      <c r="N3607" s="935"/>
      <c r="O3607" s="935"/>
    </row>
    <row r="3608" spans="1:15" ht="15" customHeight="1">
      <c r="A3608" s="908" t="s">
        <v>2096</v>
      </c>
      <c r="B3608" s="913" t="s">
        <v>2097</v>
      </c>
      <c r="C3608" s="910" t="e">
        <f>VLOOKUP(B3602,'LƯƠNG KT'!$D$16:$Z$184,20,0)</f>
        <v>#N/A</v>
      </c>
      <c r="D3608" s="609" t="e">
        <f>+C3608*$L$9</f>
        <v>#N/A</v>
      </c>
      <c r="E3608" s="912"/>
      <c r="F3608" s="912"/>
      <c r="G3608" s="908" t="s">
        <v>2096</v>
      </c>
      <c r="H3608" s="913" t="s">
        <v>2097</v>
      </c>
      <c r="I3608" s="910" t="e">
        <f>VLOOKUP(H3602,'LƯƠNG KT'!$D$16:$Z$184,20,0)</f>
        <v>#N/A</v>
      </c>
      <c r="J3608" s="609" t="e">
        <f>+I3608*$L$9</f>
        <v>#N/A</v>
      </c>
      <c r="K3608" s="935"/>
      <c r="L3608" s="935"/>
      <c r="M3608" s="935"/>
      <c r="N3608" s="935"/>
      <c r="O3608" s="935"/>
    </row>
    <row r="3609" spans="1:15" ht="15" customHeight="1">
      <c r="A3609" s="908" t="s">
        <v>2099</v>
      </c>
      <c r="B3609" s="909" t="s">
        <v>2100</v>
      </c>
      <c r="C3609" s="910" t="e">
        <f>VLOOKUP(B3602,'LƯƠNG KT'!$D$16:$Z$184,17,0)</f>
        <v>#N/A</v>
      </c>
      <c r="D3609" s="609" t="e">
        <f>+C3609*$L$10</f>
        <v>#N/A</v>
      </c>
      <c r="E3609" s="912"/>
      <c r="F3609" s="912"/>
      <c r="G3609" s="908" t="s">
        <v>2099</v>
      </c>
      <c r="H3609" s="909" t="s">
        <v>2100</v>
      </c>
      <c r="I3609" s="910" t="e">
        <f>VLOOKUP(H3602,'LƯƠNG KT'!$D$16:$Z$184,17,0)</f>
        <v>#N/A</v>
      </c>
      <c r="J3609" s="609" t="e">
        <f>+I3609*$L$10</f>
        <v>#N/A</v>
      </c>
      <c r="K3609" s="935"/>
      <c r="L3609" s="935"/>
      <c r="M3609" s="935"/>
      <c r="N3609" s="935"/>
      <c r="O3609" s="935"/>
    </row>
    <row r="3610" spans="1:15" ht="15" customHeight="1">
      <c r="A3610" s="908" t="s">
        <v>2117</v>
      </c>
      <c r="B3610" s="913" t="s">
        <v>2116</v>
      </c>
      <c r="C3610" s="910" t="e">
        <f>VLOOKUP(B3602,'LƯƠNG KT'!$D$16:$Z$184,21,0)</f>
        <v>#N/A</v>
      </c>
      <c r="D3610" s="609" t="e">
        <f>+C3610*$L$7</f>
        <v>#N/A</v>
      </c>
      <c r="E3610" s="912"/>
      <c r="F3610" s="912"/>
      <c r="G3610" s="908" t="s">
        <v>2117</v>
      </c>
      <c r="H3610" s="913" t="s">
        <v>2116</v>
      </c>
      <c r="I3610" s="910" t="e">
        <f>VLOOKUP(H3602,'LƯƠNG KT'!$D$16:$Z$184,21,0)</f>
        <v>#N/A</v>
      </c>
      <c r="J3610" s="609" t="e">
        <f>+I3610*$L$7</f>
        <v>#N/A</v>
      </c>
      <c r="K3610" s="935"/>
      <c r="L3610" s="935"/>
      <c r="M3610" s="935"/>
      <c r="N3610" s="935"/>
      <c r="O3610" s="935"/>
    </row>
    <row r="3611" spans="1:15" ht="15" customHeight="1">
      <c r="A3611" s="908" t="s">
        <v>2118</v>
      </c>
      <c r="B3611" s="909" t="s">
        <v>2112</v>
      </c>
      <c r="C3611" s="910" t="e">
        <f>VLOOKUP(B3602,'LƯƠNG KT'!$D$16:$Z$184,23,0)</f>
        <v>#N/A</v>
      </c>
      <c r="D3611" s="609" t="e">
        <f>+C3611*20000</f>
        <v>#N/A</v>
      </c>
      <c r="E3611" s="914"/>
      <c r="F3611" s="912"/>
      <c r="G3611" s="908" t="s">
        <v>2118</v>
      </c>
      <c r="H3611" s="909" t="s">
        <v>2112</v>
      </c>
      <c r="I3611" s="910" t="e">
        <f>VLOOKUP(H3602,'LƯƠNG KT'!$D$16:$Z$184,23,0)</f>
        <v>#N/A</v>
      </c>
      <c r="J3611" s="609" t="e">
        <f>+I3611*20000</f>
        <v>#N/A</v>
      </c>
      <c r="K3611" s="935"/>
      <c r="L3611" s="935"/>
      <c r="M3611" s="935"/>
      <c r="N3611" s="935"/>
      <c r="O3611" s="935"/>
    </row>
    <row r="3612" spans="1:15" ht="15" customHeight="1">
      <c r="A3612" s="908" t="s">
        <v>374</v>
      </c>
      <c r="B3612" s="909" t="s">
        <v>2102</v>
      </c>
      <c r="C3612" s="910" t="e">
        <f>VLOOKUP(B3602,'LƯƠNG KT'!$D$16:$Z$184,12,0)</f>
        <v>#N/A</v>
      </c>
      <c r="D3612" s="609" t="e">
        <f>VLOOKUP(B3602,'LƯƠNG KT'!$D$16:$Z$184,14,0)</f>
        <v>#N/A</v>
      </c>
      <c r="E3612" s="916"/>
      <c r="F3612" s="916"/>
      <c r="G3612" s="908" t="s">
        <v>374</v>
      </c>
      <c r="H3612" s="909" t="s">
        <v>2102</v>
      </c>
      <c r="I3612" s="910" t="e">
        <f>VLOOKUP(H3602,'LƯƠNG KT'!$D$16:$Z$184,12,0)</f>
        <v>#N/A</v>
      </c>
      <c r="J3612" s="609" t="e">
        <f>VLOOKUP(H3602,'LƯƠNG KT'!$D$16:$Z$184,14,0)</f>
        <v>#N/A</v>
      </c>
    </row>
    <row r="3613" spans="1:15" ht="15" customHeight="1">
      <c r="A3613" s="908" t="s">
        <v>2103</v>
      </c>
      <c r="B3613" s="909" t="s">
        <v>2104</v>
      </c>
      <c r="D3613" s="915" t="e">
        <f>VLOOKUP(B3602,'LƯƠNG KT'!$D$16:$Z$184,13,0)</f>
        <v>#N/A</v>
      </c>
      <c r="E3613" s="914"/>
      <c r="F3613" s="916"/>
      <c r="G3613" s="908" t="s">
        <v>2103</v>
      </c>
      <c r="H3613" s="909" t="s">
        <v>2104</v>
      </c>
      <c r="J3613" s="915" t="e">
        <f>VLOOKUP(H3602,'LƯƠNG KT'!$D$16:$Z$184,13,0)</f>
        <v>#N/A</v>
      </c>
    </row>
    <row r="3614" spans="1:15" ht="15" customHeight="1">
      <c r="A3614" s="905"/>
      <c r="B3614" s="546"/>
      <c r="C3614" s="910"/>
      <c r="D3614" s="609"/>
      <c r="E3614" s="917"/>
      <c r="F3614" s="904"/>
      <c r="G3614" s="905"/>
      <c r="H3614" s="546"/>
      <c r="I3614" s="910"/>
      <c r="J3614" s="609"/>
    </row>
    <row r="3615" spans="1:15" ht="15" customHeight="1">
      <c r="A3615" s="918" t="s">
        <v>383</v>
      </c>
      <c r="B3615" s="919" t="s">
        <v>384</v>
      </c>
      <c r="C3615" s="920"/>
      <c r="D3615" s="921" t="e">
        <f>SUM(D3603:D3612)</f>
        <v>#N/A</v>
      </c>
      <c r="E3615" s="922"/>
      <c r="F3615" s="923"/>
      <c r="G3615" s="918" t="s">
        <v>383</v>
      </c>
      <c r="H3615" s="919" t="s">
        <v>384</v>
      </c>
      <c r="I3615" s="920"/>
      <c r="J3615" s="921" t="e">
        <f>SUM(J3603:J3612)</f>
        <v>#N/A</v>
      </c>
    </row>
    <row r="3616" spans="1:15" ht="11.25" customHeight="1">
      <c r="A3616" s="924"/>
      <c r="B3616" s="925"/>
      <c r="C3616" s="926"/>
      <c r="D3616" s="927"/>
      <c r="E3616" s="927"/>
      <c r="F3616" s="928"/>
      <c r="G3616" s="924"/>
      <c r="H3616" s="925"/>
      <c r="I3616" s="926"/>
      <c r="J3616" s="927"/>
    </row>
    <row r="3617" spans="1:15" ht="145.5" customHeight="1">
      <c r="A3617" s="925"/>
      <c r="B3617" s="925"/>
      <c r="C3617" s="929"/>
      <c r="D3617" s="930"/>
      <c r="E3617" s="925"/>
      <c r="F3617" s="931"/>
      <c r="G3617" s="925"/>
      <c r="H3617" s="925"/>
      <c r="I3617" s="929"/>
      <c r="J3617" s="930"/>
    </row>
    <row r="3618" spans="1:15" ht="15" customHeight="1">
      <c r="A3618" s="2360" t="str">
        <f>$K$2</f>
        <v>THÁNG 04/2025</v>
      </c>
      <c r="B3618" s="2360"/>
      <c r="C3618" s="2360"/>
      <c r="D3618" s="2360"/>
      <c r="E3618" s="903"/>
      <c r="F3618" s="904"/>
      <c r="G3618" s="2360" t="str">
        <f>$K$2</f>
        <v>THÁNG 04/2025</v>
      </c>
      <c r="H3618" s="2360"/>
      <c r="I3618" s="2360"/>
      <c r="J3618" s="2360"/>
      <c r="K3618" s="276"/>
    </row>
    <row r="3619" spans="1:15" ht="15" customHeight="1">
      <c r="A3619" s="905" t="s">
        <v>356</v>
      </c>
      <c r="B3619" s="642" t="s">
        <v>300</v>
      </c>
      <c r="C3619" s="546"/>
      <c r="D3619" s="902"/>
      <c r="E3619" s="906"/>
      <c r="F3619" s="907"/>
      <c r="G3619" s="905" t="s">
        <v>356</v>
      </c>
      <c r="H3619" s="642" t="s">
        <v>301</v>
      </c>
      <c r="I3619" s="546"/>
      <c r="J3619" s="902"/>
      <c r="L3619" s="938"/>
      <c r="M3619" s="938"/>
      <c r="N3619" s="938"/>
      <c r="O3619" s="938"/>
    </row>
    <row r="3620" spans="1:15" ht="15" customHeight="1">
      <c r="A3620" s="908" t="s">
        <v>359</v>
      </c>
      <c r="B3620" s="909" t="s">
        <v>2090</v>
      </c>
      <c r="C3620" s="910" t="e">
        <f>VLOOKUP(B3619,'LƯƠNG KT'!$D$16:$Z$184,4,0)</f>
        <v>#N/A</v>
      </c>
      <c r="D3620" s="609" t="e">
        <f>+C3620*25000</f>
        <v>#N/A</v>
      </c>
      <c r="E3620" s="911"/>
      <c r="F3620" s="911"/>
      <c r="G3620" s="908" t="s">
        <v>359</v>
      </c>
      <c r="H3620" s="909" t="s">
        <v>2090</v>
      </c>
      <c r="I3620" s="910" t="e">
        <f>VLOOKUP(H3619,'LƯƠNG KT'!$D$16:$Z$184,4,0)</f>
        <v>#N/A</v>
      </c>
      <c r="J3620" s="609" t="e">
        <f>+I3620*25000</f>
        <v>#N/A</v>
      </c>
      <c r="K3620" s="935"/>
      <c r="L3620" s="935"/>
      <c r="M3620" s="935"/>
      <c r="N3620" s="935"/>
      <c r="O3620" s="935"/>
    </row>
    <row r="3621" spans="1:15" ht="15" customHeight="1">
      <c r="A3621" s="908" t="s">
        <v>361</v>
      </c>
      <c r="B3621" s="909" t="s">
        <v>2091</v>
      </c>
      <c r="C3621" s="910" t="e">
        <f>VLOOKUP(B3619,'LƯƠNG KT'!$D$16:$Z$184,15,0)</f>
        <v>#N/A</v>
      </c>
      <c r="D3621" s="609" t="e">
        <f>C3621*$L$4</f>
        <v>#N/A</v>
      </c>
      <c r="E3621" s="912"/>
      <c r="F3621" s="912"/>
      <c r="G3621" s="908" t="s">
        <v>361</v>
      </c>
      <c r="H3621" s="909" t="s">
        <v>2091</v>
      </c>
      <c r="I3621" s="910" t="e">
        <f>VLOOKUP(H3619,'LƯƠNG KT'!$D$16:$Z$184,15,0)</f>
        <v>#N/A</v>
      </c>
      <c r="J3621" s="609" t="e">
        <f>I3621*$L$4</f>
        <v>#N/A</v>
      </c>
      <c r="K3621" s="935"/>
      <c r="L3621" s="935"/>
      <c r="M3621" s="935"/>
      <c r="N3621" s="935"/>
      <c r="O3621" s="935"/>
    </row>
    <row r="3622" spans="1:15" ht="15" customHeight="1">
      <c r="A3622" s="908" t="s">
        <v>364</v>
      </c>
      <c r="B3622" s="909" t="s">
        <v>2092</v>
      </c>
      <c r="C3622" s="910" t="e">
        <f>VLOOKUP(B3619,'LƯƠNG KT'!$D$16:$Z$184,16,0)</f>
        <v>#N/A</v>
      </c>
      <c r="D3622" s="609" t="e">
        <f>C3622*$L$5</f>
        <v>#N/A</v>
      </c>
      <c r="E3622" s="912"/>
      <c r="F3622" s="912"/>
      <c r="G3622" s="908" t="s">
        <v>364</v>
      </c>
      <c r="H3622" s="909" t="s">
        <v>2092</v>
      </c>
      <c r="I3622" s="910" t="e">
        <f>VLOOKUP(H3619,'LƯƠNG KT'!$D$16:$Z$184,16,0)</f>
        <v>#N/A</v>
      </c>
      <c r="J3622" s="609" t="e">
        <f>I3622*$L$5</f>
        <v>#N/A</v>
      </c>
      <c r="K3622" s="935"/>
      <c r="L3622" s="935"/>
      <c r="M3622" s="935"/>
      <c r="N3622" s="935"/>
      <c r="O3622" s="935"/>
    </row>
    <row r="3623" spans="1:15" ht="15" customHeight="1">
      <c r="A3623" s="908" t="s">
        <v>370</v>
      </c>
      <c r="B3623" s="909" t="s">
        <v>2093</v>
      </c>
      <c r="C3623" s="910" t="e">
        <f>VLOOKUP(B3619,'LƯƠNG KT'!$D$16:$Z$184,24,0)</f>
        <v>#N/A</v>
      </c>
      <c r="D3623" s="609" t="e">
        <f>+C3623*$L$6</f>
        <v>#N/A</v>
      </c>
      <c r="E3623" s="912"/>
      <c r="F3623" s="912"/>
      <c r="G3623" s="908" t="s">
        <v>370</v>
      </c>
      <c r="H3623" s="909" t="s">
        <v>2093</v>
      </c>
      <c r="I3623" s="910" t="e">
        <f>VLOOKUP(H3619,'LƯƠNG KT'!$D$16:$Z$184,24,0)</f>
        <v>#N/A</v>
      </c>
      <c r="J3623" s="609" t="e">
        <f>+I3623*$L$6</f>
        <v>#N/A</v>
      </c>
      <c r="K3623" s="935"/>
      <c r="L3623" s="935"/>
      <c r="M3623" s="935"/>
      <c r="N3623" s="935"/>
      <c r="O3623" s="935"/>
    </row>
    <row r="3624" spans="1:15" ht="15" customHeight="1">
      <c r="A3624" s="908" t="s">
        <v>2094</v>
      </c>
      <c r="B3624" s="909" t="s">
        <v>2095</v>
      </c>
      <c r="C3624" s="910" t="e">
        <f>VLOOKUP(B3619,'LƯƠNG KT'!$D$16:$Z$184,19,0)</f>
        <v>#N/A</v>
      </c>
      <c r="D3624" s="609" t="e">
        <f>+C3624*$L$8</f>
        <v>#N/A</v>
      </c>
      <c r="E3624" s="912"/>
      <c r="F3624" s="912"/>
      <c r="G3624" s="908" t="s">
        <v>2094</v>
      </c>
      <c r="H3624" s="909" t="s">
        <v>2095</v>
      </c>
      <c r="I3624" s="910" t="e">
        <f>VLOOKUP(H3619,'LƯƠNG KT'!$D$16:$Z$184,19,0)</f>
        <v>#N/A</v>
      </c>
      <c r="J3624" s="609" t="e">
        <f>+I3624*$L$8</f>
        <v>#N/A</v>
      </c>
      <c r="K3624" s="935"/>
      <c r="L3624" s="935"/>
      <c r="M3624" s="935"/>
      <c r="N3624" s="935"/>
      <c r="O3624" s="935"/>
    </row>
    <row r="3625" spans="1:15" ht="15" customHeight="1">
      <c r="A3625" s="908" t="s">
        <v>2096</v>
      </c>
      <c r="B3625" s="913" t="s">
        <v>2097</v>
      </c>
      <c r="C3625" s="910" t="e">
        <f>VLOOKUP(B3619,'LƯƠNG KT'!$D$16:$Z$184,20,0)</f>
        <v>#N/A</v>
      </c>
      <c r="D3625" s="609" t="e">
        <f>+C3625*$L$9</f>
        <v>#N/A</v>
      </c>
      <c r="E3625" s="912"/>
      <c r="F3625" s="912"/>
      <c r="G3625" s="908" t="s">
        <v>2096</v>
      </c>
      <c r="H3625" s="913" t="s">
        <v>2097</v>
      </c>
      <c r="I3625" s="910" t="e">
        <f>VLOOKUP(H3619,'LƯƠNG KT'!$D$16:$Z$184,20,0)</f>
        <v>#N/A</v>
      </c>
      <c r="J3625" s="609" t="e">
        <f>+I3625*$L$9</f>
        <v>#N/A</v>
      </c>
      <c r="K3625" s="935"/>
      <c r="L3625" s="935"/>
      <c r="M3625" s="935"/>
      <c r="N3625" s="935"/>
      <c r="O3625" s="935"/>
    </row>
    <row r="3626" spans="1:15" ht="15" customHeight="1">
      <c r="A3626" s="908" t="s">
        <v>2099</v>
      </c>
      <c r="B3626" s="909" t="s">
        <v>2100</v>
      </c>
      <c r="C3626" s="910" t="e">
        <f>VLOOKUP(B3619,'LƯƠNG KT'!$D$16:$Z$184,17,0)</f>
        <v>#N/A</v>
      </c>
      <c r="D3626" s="609" t="e">
        <f>+C3626*$L$10</f>
        <v>#N/A</v>
      </c>
      <c r="E3626" s="912"/>
      <c r="F3626" s="912"/>
      <c r="G3626" s="908" t="s">
        <v>2099</v>
      </c>
      <c r="H3626" s="909" t="s">
        <v>2100</v>
      </c>
      <c r="I3626" s="910" t="e">
        <f>VLOOKUP(H3619,'LƯƠNG KT'!$D$16:$Z$184,17,0)</f>
        <v>#N/A</v>
      </c>
      <c r="J3626" s="609" t="e">
        <f>+I3626*$L$10</f>
        <v>#N/A</v>
      </c>
      <c r="K3626" s="935"/>
      <c r="L3626" s="935"/>
      <c r="M3626" s="935"/>
      <c r="N3626" s="935"/>
      <c r="O3626" s="935"/>
    </row>
    <row r="3627" spans="1:15" ht="15" customHeight="1">
      <c r="A3627" s="908" t="s">
        <v>2117</v>
      </c>
      <c r="B3627" s="913" t="s">
        <v>2116</v>
      </c>
      <c r="C3627" s="910" t="e">
        <f>VLOOKUP(B3619,'LƯƠNG KT'!$D$16:$Z$184,21,0)</f>
        <v>#N/A</v>
      </c>
      <c r="D3627" s="609" t="e">
        <f>+C3627*$L$7</f>
        <v>#N/A</v>
      </c>
      <c r="E3627" s="912"/>
      <c r="F3627" s="912"/>
      <c r="G3627" s="908" t="s">
        <v>2117</v>
      </c>
      <c r="H3627" s="913" t="s">
        <v>2116</v>
      </c>
      <c r="I3627" s="910" t="e">
        <f>VLOOKUP(H3619,'LƯƠNG KT'!$D$16:$Z$184,21,0)</f>
        <v>#N/A</v>
      </c>
      <c r="J3627" s="609" t="e">
        <f>+I3627*$L$7</f>
        <v>#N/A</v>
      </c>
      <c r="K3627" s="935"/>
      <c r="L3627" s="935"/>
      <c r="M3627" s="935"/>
      <c r="N3627" s="935"/>
      <c r="O3627" s="935"/>
    </row>
    <row r="3628" spans="1:15" ht="15" customHeight="1">
      <c r="A3628" s="908" t="s">
        <v>2118</v>
      </c>
      <c r="B3628" s="909" t="s">
        <v>2112</v>
      </c>
      <c r="C3628" s="910" t="e">
        <f>VLOOKUP(B3619,'LƯƠNG KT'!$D$16:$Z$184,23,0)</f>
        <v>#N/A</v>
      </c>
      <c r="D3628" s="609" t="e">
        <f>+C3628*20000</f>
        <v>#N/A</v>
      </c>
      <c r="E3628" s="914"/>
      <c r="F3628" s="912"/>
      <c r="G3628" s="908" t="s">
        <v>2118</v>
      </c>
      <c r="H3628" s="909" t="s">
        <v>2112</v>
      </c>
      <c r="I3628" s="910" t="e">
        <f>VLOOKUP(H3619,'LƯƠNG KT'!$D$16:$Z$184,23,0)</f>
        <v>#N/A</v>
      </c>
      <c r="J3628" s="609" t="e">
        <f>+I3628*20000</f>
        <v>#N/A</v>
      </c>
      <c r="K3628" s="935"/>
      <c r="L3628" s="935"/>
      <c r="M3628" s="935"/>
      <c r="N3628" s="935"/>
      <c r="O3628" s="935"/>
    </row>
    <row r="3629" spans="1:15" ht="15" customHeight="1">
      <c r="A3629" s="908" t="s">
        <v>374</v>
      </c>
      <c r="B3629" s="909" t="s">
        <v>2102</v>
      </c>
      <c r="C3629" s="910" t="e">
        <f>VLOOKUP(B3619,'LƯƠNG KT'!$D$16:$Z$184,12,0)</f>
        <v>#N/A</v>
      </c>
      <c r="D3629" s="609" t="e">
        <f>VLOOKUP(B3619,'LƯƠNG KT'!$D$16:$Z$184,14,0)</f>
        <v>#N/A</v>
      </c>
      <c r="E3629" s="916"/>
      <c r="F3629" s="916"/>
      <c r="G3629" s="908" t="s">
        <v>374</v>
      </c>
      <c r="H3629" s="909" t="s">
        <v>2102</v>
      </c>
      <c r="I3629" s="910" t="e">
        <f>VLOOKUP(H3619,'LƯƠNG KT'!$D$16:$Z$184,12,0)</f>
        <v>#N/A</v>
      </c>
      <c r="J3629" s="609" t="e">
        <f>VLOOKUP(H3619,'LƯƠNG KT'!$D$16:$Z$184,14,0)</f>
        <v>#N/A</v>
      </c>
    </row>
    <row r="3630" spans="1:15" ht="15" customHeight="1">
      <c r="A3630" s="908" t="s">
        <v>2103</v>
      </c>
      <c r="B3630" s="909" t="s">
        <v>2104</v>
      </c>
      <c r="D3630" s="915" t="e">
        <f>VLOOKUP(B3619,'LƯƠNG KT'!$D$16:$Z$184,13,0)</f>
        <v>#N/A</v>
      </c>
      <c r="E3630" s="914"/>
      <c r="F3630" s="916"/>
      <c r="G3630" s="908" t="s">
        <v>2103</v>
      </c>
      <c r="H3630" s="909" t="s">
        <v>2104</v>
      </c>
      <c r="J3630" s="915" t="e">
        <f>VLOOKUP(H3619,'LƯƠNG KT'!$D$16:$Z$184,13,0)</f>
        <v>#N/A</v>
      </c>
    </row>
    <row r="3631" spans="1:15" ht="15" customHeight="1">
      <c r="A3631" s="905"/>
      <c r="B3631" s="546"/>
      <c r="C3631" s="910"/>
      <c r="D3631" s="609"/>
      <c r="E3631" s="917"/>
      <c r="F3631" s="904"/>
      <c r="G3631" s="905"/>
      <c r="H3631" s="546"/>
      <c r="I3631" s="910"/>
      <c r="J3631" s="609"/>
    </row>
    <row r="3632" spans="1:15" ht="15" customHeight="1">
      <c r="A3632" s="918" t="s">
        <v>383</v>
      </c>
      <c r="B3632" s="919" t="s">
        <v>384</v>
      </c>
      <c r="C3632" s="920"/>
      <c r="D3632" s="921" t="e">
        <f>SUM(D3620:D3629)</f>
        <v>#N/A</v>
      </c>
      <c r="E3632" s="922"/>
      <c r="F3632" s="923"/>
      <c r="G3632" s="918" t="s">
        <v>383</v>
      </c>
      <c r="H3632" s="919" t="s">
        <v>384</v>
      </c>
      <c r="I3632" s="920"/>
      <c r="J3632" s="921" t="e">
        <f>SUM(J3620:J3629)</f>
        <v>#N/A</v>
      </c>
    </row>
    <row r="3633" spans="1:15" ht="14.25" customHeight="1">
      <c r="A3633" s="924"/>
      <c r="B3633" s="925"/>
      <c r="C3633" s="926"/>
      <c r="D3633" s="927"/>
      <c r="E3633" s="927"/>
      <c r="F3633" s="928"/>
      <c r="G3633" s="924"/>
      <c r="H3633" s="925"/>
      <c r="I3633" s="926"/>
      <c r="J3633" s="927"/>
    </row>
    <row r="3634" spans="1:15" ht="14.25" customHeight="1">
      <c r="A3634" s="925"/>
      <c r="B3634" s="925"/>
      <c r="C3634" s="929"/>
      <c r="D3634" s="930"/>
      <c r="E3634" s="925"/>
      <c r="F3634" s="931"/>
      <c r="G3634" s="925"/>
      <c r="H3634" s="925"/>
      <c r="I3634" s="929"/>
      <c r="J3634" s="930"/>
    </row>
    <row r="3635" spans="1:15" ht="15" customHeight="1">
      <c r="A3635" s="2360" t="str">
        <f>$K$2</f>
        <v>THÁNG 04/2025</v>
      </c>
      <c r="B3635" s="2360"/>
      <c r="C3635" s="2360"/>
      <c r="D3635" s="2360"/>
      <c r="E3635" s="903"/>
      <c r="F3635" s="904"/>
      <c r="G3635" s="2360" t="str">
        <f>$K$2</f>
        <v>THÁNG 04/2025</v>
      </c>
      <c r="H3635" s="2360"/>
      <c r="I3635" s="2360"/>
      <c r="J3635" s="2360"/>
      <c r="K3635" s="276"/>
    </row>
    <row r="3636" spans="1:15" ht="15" customHeight="1">
      <c r="A3636" s="905" t="s">
        <v>356</v>
      </c>
      <c r="B3636" s="642" t="s">
        <v>302</v>
      </c>
      <c r="C3636" s="546"/>
      <c r="D3636" s="902"/>
      <c r="E3636" s="906"/>
      <c r="F3636" s="907"/>
      <c r="G3636" s="905" t="s">
        <v>356</v>
      </c>
      <c r="H3636" s="642" t="s">
        <v>303</v>
      </c>
      <c r="I3636" s="546"/>
      <c r="J3636" s="902"/>
      <c r="L3636" s="938"/>
      <c r="M3636" s="938"/>
      <c r="N3636" s="938"/>
      <c r="O3636" s="938"/>
    </row>
    <row r="3637" spans="1:15" ht="15" customHeight="1">
      <c r="A3637" s="908" t="s">
        <v>359</v>
      </c>
      <c r="B3637" s="909" t="s">
        <v>2090</v>
      </c>
      <c r="C3637" s="910" t="e">
        <f>VLOOKUP(B3636,'LƯƠNG KT'!$D$16:$Z$184,4,0)</f>
        <v>#N/A</v>
      </c>
      <c r="D3637" s="609" t="e">
        <f>+C3637*25000</f>
        <v>#N/A</v>
      </c>
      <c r="E3637" s="911"/>
      <c r="F3637" s="911"/>
      <c r="G3637" s="908" t="s">
        <v>359</v>
      </c>
      <c r="H3637" s="909" t="s">
        <v>2090</v>
      </c>
      <c r="I3637" s="910" t="e">
        <f>VLOOKUP(H3636,'LƯƠNG KT'!$D$16:$Z$184,4,0)</f>
        <v>#N/A</v>
      </c>
      <c r="J3637" s="609" t="e">
        <f>+I3637*25000</f>
        <v>#N/A</v>
      </c>
      <c r="K3637" s="935"/>
      <c r="L3637" s="935"/>
      <c r="M3637" s="935"/>
      <c r="N3637" s="935"/>
      <c r="O3637" s="935"/>
    </row>
    <row r="3638" spans="1:15" ht="15" customHeight="1">
      <c r="A3638" s="908" t="s">
        <v>361</v>
      </c>
      <c r="B3638" s="909" t="s">
        <v>2091</v>
      </c>
      <c r="C3638" s="910" t="e">
        <f>VLOOKUP(B3636,'LƯƠNG KT'!$D$16:$Z$184,15,0)</f>
        <v>#N/A</v>
      </c>
      <c r="D3638" s="609" t="e">
        <f>C3638*$L$4</f>
        <v>#N/A</v>
      </c>
      <c r="E3638" s="912"/>
      <c r="F3638" s="912"/>
      <c r="G3638" s="908" t="s">
        <v>361</v>
      </c>
      <c r="H3638" s="909" t="s">
        <v>2091</v>
      </c>
      <c r="I3638" s="910" t="e">
        <f>VLOOKUP(H3636,'LƯƠNG KT'!$D$16:$Z$184,15,0)</f>
        <v>#N/A</v>
      </c>
      <c r="J3638" s="609" t="e">
        <f>I3638*$L$4</f>
        <v>#N/A</v>
      </c>
      <c r="K3638" s="935"/>
      <c r="L3638" s="935"/>
      <c r="M3638" s="935"/>
      <c r="N3638" s="935"/>
      <c r="O3638" s="935"/>
    </row>
    <row r="3639" spans="1:15" ht="15" customHeight="1">
      <c r="A3639" s="908" t="s">
        <v>364</v>
      </c>
      <c r="B3639" s="909" t="s">
        <v>2092</v>
      </c>
      <c r="C3639" s="910" t="e">
        <f>VLOOKUP(B3636,'LƯƠNG KT'!$D$16:$Z$184,16,0)</f>
        <v>#N/A</v>
      </c>
      <c r="D3639" s="609" t="e">
        <f>C3639*$L$5</f>
        <v>#N/A</v>
      </c>
      <c r="E3639" s="912"/>
      <c r="F3639" s="912"/>
      <c r="G3639" s="908" t="s">
        <v>364</v>
      </c>
      <c r="H3639" s="909" t="s">
        <v>2092</v>
      </c>
      <c r="I3639" s="910" t="e">
        <f>VLOOKUP(H3636,'LƯƠNG KT'!$D$16:$Z$184,16,0)</f>
        <v>#N/A</v>
      </c>
      <c r="J3639" s="609" t="e">
        <f>I3639*$L$5</f>
        <v>#N/A</v>
      </c>
      <c r="K3639" s="935"/>
      <c r="L3639" s="935"/>
      <c r="M3639" s="935"/>
      <c r="N3639" s="935"/>
      <c r="O3639" s="935"/>
    </row>
    <row r="3640" spans="1:15" ht="15" customHeight="1">
      <c r="A3640" s="908" t="s">
        <v>370</v>
      </c>
      <c r="B3640" s="909" t="s">
        <v>2093</v>
      </c>
      <c r="C3640" s="910" t="e">
        <f>VLOOKUP(B3636,'LƯƠNG KT'!$D$16:$Z$184,24,0)</f>
        <v>#N/A</v>
      </c>
      <c r="D3640" s="609" t="e">
        <f>+C3640*$L$6</f>
        <v>#N/A</v>
      </c>
      <c r="E3640" s="912"/>
      <c r="F3640" s="912"/>
      <c r="G3640" s="908" t="s">
        <v>370</v>
      </c>
      <c r="H3640" s="909" t="s">
        <v>2093</v>
      </c>
      <c r="I3640" s="910" t="e">
        <f>VLOOKUP(H3636,'LƯƠNG KT'!$D$16:$Z$184,24,0)</f>
        <v>#N/A</v>
      </c>
      <c r="J3640" s="609" t="e">
        <f>+I3640*$L$6</f>
        <v>#N/A</v>
      </c>
      <c r="K3640" s="935"/>
      <c r="L3640" s="935"/>
      <c r="M3640" s="935"/>
      <c r="N3640" s="935"/>
      <c r="O3640" s="935"/>
    </row>
    <row r="3641" spans="1:15" ht="15" customHeight="1">
      <c r="A3641" s="908" t="s">
        <v>2094</v>
      </c>
      <c r="B3641" s="909" t="s">
        <v>2095</v>
      </c>
      <c r="C3641" s="910" t="e">
        <f>VLOOKUP(B3636,'LƯƠNG KT'!$D$16:$Z$184,19,0)</f>
        <v>#N/A</v>
      </c>
      <c r="D3641" s="609" t="e">
        <f>+C3641*$L$8</f>
        <v>#N/A</v>
      </c>
      <c r="E3641" s="912"/>
      <c r="F3641" s="912"/>
      <c r="G3641" s="908" t="s">
        <v>2094</v>
      </c>
      <c r="H3641" s="909" t="s">
        <v>2095</v>
      </c>
      <c r="I3641" s="910" t="e">
        <f>VLOOKUP(H3636,'LƯƠNG KT'!$D$16:$Z$184,19,0)</f>
        <v>#N/A</v>
      </c>
      <c r="J3641" s="609" t="e">
        <f>+I3641*$L$8</f>
        <v>#N/A</v>
      </c>
      <c r="K3641" s="935"/>
      <c r="L3641" s="935"/>
      <c r="M3641" s="935"/>
      <c r="N3641" s="935"/>
      <c r="O3641" s="935"/>
    </row>
    <row r="3642" spans="1:15" ht="15" customHeight="1">
      <c r="A3642" s="908" t="s">
        <v>2096</v>
      </c>
      <c r="B3642" s="913" t="s">
        <v>2097</v>
      </c>
      <c r="C3642" s="910" t="e">
        <f>VLOOKUP(B3636,'LƯƠNG KT'!$D$16:$Z$184,20,0)</f>
        <v>#N/A</v>
      </c>
      <c r="D3642" s="609" t="e">
        <f>+C3642*$L$9</f>
        <v>#N/A</v>
      </c>
      <c r="E3642" s="912"/>
      <c r="F3642" s="912"/>
      <c r="G3642" s="908" t="s">
        <v>2096</v>
      </c>
      <c r="H3642" s="913" t="s">
        <v>2097</v>
      </c>
      <c r="I3642" s="910" t="e">
        <f>VLOOKUP(H3636,'LƯƠNG KT'!$D$16:$Z$184,20,0)</f>
        <v>#N/A</v>
      </c>
      <c r="J3642" s="609" t="e">
        <f>+I3642*$L$9</f>
        <v>#N/A</v>
      </c>
      <c r="K3642" s="935"/>
      <c r="L3642" s="935"/>
      <c r="M3642" s="935"/>
      <c r="N3642" s="935"/>
      <c r="O3642" s="935"/>
    </row>
    <row r="3643" spans="1:15" ht="15" customHeight="1">
      <c r="A3643" s="908" t="s">
        <v>2099</v>
      </c>
      <c r="B3643" s="909" t="s">
        <v>2100</v>
      </c>
      <c r="C3643" s="910" t="e">
        <f>VLOOKUP(B3636,'LƯƠNG KT'!$D$16:$Z$184,17,0)</f>
        <v>#N/A</v>
      </c>
      <c r="D3643" s="609" t="e">
        <f>+C3643*$L$10</f>
        <v>#N/A</v>
      </c>
      <c r="E3643" s="912"/>
      <c r="F3643" s="912"/>
      <c r="G3643" s="908" t="s">
        <v>2099</v>
      </c>
      <c r="H3643" s="909" t="s">
        <v>2100</v>
      </c>
      <c r="I3643" s="910" t="e">
        <f>VLOOKUP(H3636,'LƯƠNG KT'!$D$16:$Z$184,17,0)</f>
        <v>#N/A</v>
      </c>
      <c r="J3643" s="609" t="e">
        <f>+I3643*$L$10</f>
        <v>#N/A</v>
      </c>
      <c r="K3643" s="935"/>
      <c r="L3643" s="935"/>
      <c r="M3643" s="935"/>
      <c r="N3643" s="935"/>
      <c r="O3643" s="935"/>
    </row>
    <row r="3644" spans="1:15" ht="15" customHeight="1">
      <c r="A3644" s="908" t="s">
        <v>2117</v>
      </c>
      <c r="B3644" s="913" t="s">
        <v>2116</v>
      </c>
      <c r="C3644" s="910" t="e">
        <f>VLOOKUP(B3636,'LƯƠNG KT'!$D$16:$Z$184,21,0)</f>
        <v>#N/A</v>
      </c>
      <c r="D3644" s="609" t="e">
        <f>+C3644*$L$7</f>
        <v>#N/A</v>
      </c>
      <c r="E3644" s="912"/>
      <c r="F3644" s="912"/>
      <c r="G3644" s="908" t="s">
        <v>2117</v>
      </c>
      <c r="H3644" s="913" t="s">
        <v>2116</v>
      </c>
      <c r="I3644" s="910" t="e">
        <f>VLOOKUP(H3636,'LƯƠNG KT'!$D$16:$Z$184,21,0)</f>
        <v>#N/A</v>
      </c>
      <c r="J3644" s="609" t="e">
        <f>+I3644*$L$7</f>
        <v>#N/A</v>
      </c>
      <c r="K3644" s="935"/>
      <c r="L3644" s="935"/>
      <c r="M3644" s="935"/>
      <c r="N3644" s="935"/>
      <c r="O3644" s="935"/>
    </row>
    <row r="3645" spans="1:15" ht="15" customHeight="1">
      <c r="A3645" s="908" t="s">
        <v>2118</v>
      </c>
      <c r="B3645" s="909" t="s">
        <v>2112</v>
      </c>
      <c r="C3645" s="910" t="e">
        <f>VLOOKUP(B3636,'LƯƠNG KT'!$D$16:$Z$184,23,0)</f>
        <v>#N/A</v>
      </c>
      <c r="D3645" s="609" t="e">
        <f>+C3645*20000</f>
        <v>#N/A</v>
      </c>
      <c r="E3645" s="914"/>
      <c r="F3645" s="912"/>
      <c r="G3645" s="908" t="s">
        <v>2118</v>
      </c>
      <c r="H3645" s="909" t="s">
        <v>2112</v>
      </c>
      <c r="I3645" s="910" t="e">
        <f>VLOOKUP(H3636,'LƯƠNG KT'!$D$16:$Z$184,23,0)</f>
        <v>#N/A</v>
      </c>
      <c r="J3645" s="609" t="e">
        <f>+I3645*20000</f>
        <v>#N/A</v>
      </c>
      <c r="K3645" s="935"/>
      <c r="L3645" s="935"/>
      <c r="M3645" s="935"/>
      <c r="N3645" s="935"/>
      <c r="O3645" s="935"/>
    </row>
    <row r="3646" spans="1:15" ht="15" customHeight="1">
      <c r="A3646" s="908" t="s">
        <v>374</v>
      </c>
      <c r="B3646" s="909" t="s">
        <v>2102</v>
      </c>
      <c r="C3646" s="910" t="e">
        <f>VLOOKUP(B3636,'LƯƠNG KT'!$D$16:$Z$184,12,0)</f>
        <v>#N/A</v>
      </c>
      <c r="D3646" s="609" t="e">
        <f>VLOOKUP(B3636,'LƯƠNG KT'!$D$16:$Z$184,14,0)</f>
        <v>#N/A</v>
      </c>
      <c r="E3646" s="916"/>
      <c r="F3646" s="916"/>
      <c r="G3646" s="908" t="s">
        <v>374</v>
      </c>
      <c r="H3646" s="909" t="s">
        <v>2102</v>
      </c>
      <c r="I3646" s="910" t="e">
        <f>VLOOKUP(H3636,'LƯƠNG KT'!$D$16:$Z$184,12,0)</f>
        <v>#N/A</v>
      </c>
      <c r="J3646" s="609" t="e">
        <f>VLOOKUP(H3636,'LƯƠNG KT'!$D$16:$Z$184,14,0)</f>
        <v>#N/A</v>
      </c>
    </row>
    <row r="3647" spans="1:15" ht="15" customHeight="1">
      <c r="A3647" s="908" t="s">
        <v>2103</v>
      </c>
      <c r="B3647" s="909" t="s">
        <v>2104</v>
      </c>
      <c r="D3647" s="915" t="e">
        <f>VLOOKUP(B3636,'LƯƠNG KT'!$D$16:$Z$184,13,0)</f>
        <v>#N/A</v>
      </c>
      <c r="E3647" s="914"/>
      <c r="F3647" s="916"/>
      <c r="G3647" s="908" t="s">
        <v>2103</v>
      </c>
      <c r="H3647" s="909" t="s">
        <v>2104</v>
      </c>
      <c r="J3647" s="915" t="e">
        <f>VLOOKUP(H3636,'LƯƠNG KT'!$D$16:$Z$184,13,0)</f>
        <v>#N/A</v>
      </c>
    </row>
    <row r="3648" spans="1:15" ht="15" customHeight="1">
      <c r="A3648" s="905"/>
      <c r="B3648" s="546"/>
      <c r="C3648" s="910"/>
      <c r="D3648" s="609"/>
      <c r="E3648" s="917"/>
      <c r="F3648" s="904"/>
      <c r="G3648" s="905"/>
      <c r="H3648" s="546"/>
      <c r="I3648" s="910"/>
      <c r="J3648" s="609"/>
    </row>
    <row r="3649" spans="1:15" s="897" customFormat="1" ht="17.25" customHeight="1">
      <c r="A3649" s="918" t="s">
        <v>383</v>
      </c>
      <c r="B3649" s="919" t="s">
        <v>384</v>
      </c>
      <c r="C3649" s="920"/>
      <c r="D3649" s="921" t="e">
        <f>SUM(D3637:D3646)</f>
        <v>#N/A</v>
      </c>
      <c r="E3649" s="922"/>
      <c r="F3649" s="923"/>
      <c r="G3649" s="918" t="s">
        <v>383</v>
      </c>
      <c r="H3649" s="919" t="s">
        <v>384</v>
      </c>
      <c r="I3649" s="920"/>
      <c r="J3649" s="921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360" t="str">
        <f>$K$2</f>
        <v>THÁNG 04/2025</v>
      </c>
      <c r="B3651" s="2360"/>
      <c r="C3651" s="2360"/>
      <c r="D3651" s="2360"/>
      <c r="E3651" s="903"/>
      <c r="F3651" s="904"/>
      <c r="G3651" s="2360" t="str">
        <f>$K$2</f>
        <v>THÁNG 04/2025</v>
      </c>
      <c r="H3651" s="2360"/>
      <c r="I3651" s="2360"/>
      <c r="J3651" s="2360"/>
      <c r="K3651" s="276"/>
    </row>
    <row r="3652" spans="1:15" ht="15" customHeight="1">
      <c r="A3652" s="905" t="s">
        <v>356</v>
      </c>
      <c r="B3652" s="642" t="s">
        <v>304</v>
      </c>
      <c r="C3652" s="546"/>
      <c r="D3652" s="902"/>
      <c r="E3652" s="906"/>
      <c r="F3652" s="907"/>
      <c r="G3652" s="905" t="s">
        <v>356</v>
      </c>
      <c r="H3652" s="642" t="s">
        <v>305</v>
      </c>
      <c r="I3652" s="546"/>
      <c r="J3652" s="902"/>
      <c r="L3652" s="938"/>
      <c r="M3652" s="938"/>
      <c r="N3652" s="938"/>
      <c r="O3652" s="938"/>
    </row>
    <row r="3653" spans="1:15" ht="15" customHeight="1">
      <c r="A3653" s="908" t="s">
        <v>359</v>
      </c>
      <c r="B3653" s="909" t="s">
        <v>2090</v>
      </c>
      <c r="C3653" s="910" t="e">
        <f>VLOOKUP(B3652,'LƯƠNG KT'!$D$16:$Z$184,4,0)</f>
        <v>#N/A</v>
      </c>
      <c r="D3653" s="609" t="e">
        <f>+C3653*25000</f>
        <v>#N/A</v>
      </c>
      <c r="E3653" s="911"/>
      <c r="F3653" s="911"/>
      <c r="G3653" s="908" t="s">
        <v>359</v>
      </c>
      <c r="H3653" s="909" t="s">
        <v>2090</v>
      </c>
      <c r="I3653" s="910" t="e">
        <f>VLOOKUP(H3652,'LƯƠNG KT'!$D$16:$Z$184,4,0)</f>
        <v>#N/A</v>
      </c>
      <c r="J3653" s="609" t="e">
        <f>+I3653*25000</f>
        <v>#N/A</v>
      </c>
      <c r="K3653" s="934"/>
      <c r="L3653" s="935"/>
      <c r="M3653" s="935"/>
      <c r="N3653" s="935"/>
      <c r="O3653" s="935"/>
    </row>
    <row r="3654" spans="1:15" ht="15" customHeight="1">
      <c r="A3654" s="908" t="s">
        <v>361</v>
      </c>
      <c r="B3654" s="909" t="s">
        <v>2091</v>
      </c>
      <c r="C3654" s="910" t="e">
        <f>VLOOKUP(B3652,'LƯƠNG KT'!$D$16:$Z$184,15,0)</f>
        <v>#N/A</v>
      </c>
      <c r="D3654" s="609" t="e">
        <f>C3654*$L$4</f>
        <v>#N/A</v>
      </c>
      <c r="E3654" s="912"/>
      <c r="F3654" s="912"/>
      <c r="G3654" s="908" t="s">
        <v>361</v>
      </c>
      <c r="H3654" s="909" t="s">
        <v>2091</v>
      </c>
      <c r="I3654" s="910" t="e">
        <f>VLOOKUP(H3652,'LƯƠNG KT'!$D$16:$Z$184,15,0)</f>
        <v>#N/A</v>
      </c>
      <c r="J3654" s="609" t="e">
        <f>I3654*$L$4</f>
        <v>#N/A</v>
      </c>
      <c r="K3654" s="934"/>
      <c r="L3654" s="935"/>
      <c r="M3654" s="935"/>
      <c r="N3654" s="935"/>
      <c r="O3654" s="935"/>
    </row>
    <row r="3655" spans="1:15" ht="15" customHeight="1">
      <c r="A3655" s="908" t="s">
        <v>364</v>
      </c>
      <c r="B3655" s="909" t="s">
        <v>2092</v>
      </c>
      <c r="C3655" s="910" t="e">
        <f>VLOOKUP(B3652,'LƯƠNG KT'!$D$16:$Z$184,16,0)</f>
        <v>#N/A</v>
      </c>
      <c r="D3655" s="609" t="e">
        <f>C3655*$L$5</f>
        <v>#N/A</v>
      </c>
      <c r="E3655" s="912"/>
      <c r="F3655" s="912"/>
      <c r="G3655" s="908" t="s">
        <v>364</v>
      </c>
      <c r="H3655" s="909" t="s">
        <v>2092</v>
      </c>
      <c r="I3655" s="910" t="e">
        <f>VLOOKUP(H3652,'LƯƠNG KT'!$D$16:$Z$184,16,0)</f>
        <v>#N/A</v>
      </c>
      <c r="J3655" s="609" t="e">
        <f>I3655*$L$5</f>
        <v>#N/A</v>
      </c>
      <c r="K3655" s="934"/>
      <c r="L3655" s="935"/>
      <c r="M3655" s="935"/>
      <c r="N3655" s="935"/>
      <c r="O3655" s="935"/>
    </row>
    <row r="3656" spans="1:15" ht="15" customHeight="1">
      <c r="A3656" s="908" t="s">
        <v>370</v>
      </c>
      <c r="B3656" s="909" t="s">
        <v>2093</v>
      </c>
      <c r="C3656" s="910" t="e">
        <f>VLOOKUP(B3652,'LƯƠNG KT'!$D$16:$Z$184,24,0)</f>
        <v>#N/A</v>
      </c>
      <c r="D3656" s="609" t="e">
        <f>+C3656*$L$6</f>
        <v>#N/A</v>
      </c>
      <c r="E3656" s="912"/>
      <c r="F3656" s="912"/>
      <c r="G3656" s="908" t="s">
        <v>370</v>
      </c>
      <c r="H3656" s="909" t="s">
        <v>2093</v>
      </c>
      <c r="I3656" s="910" t="e">
        <f>VLOOKUP(H3652,'LƯƠNG KT'!$D$16:$Z$184,24,0)</f>
        <v>#N/A</v>
      </c>
      <c r="J3656" s="609" t="e">
        <f>+I3656*$L$6</f>
        <v>#N/A</v>
      </c>
      <c r="K3656" s="935"/>
      <c r="L3656" s="935"/>
      <c r="M3656" s="935"/>
      <c r="N3656" s="935"/>
      <c r="O3656" s="935"/>
    </row>
    <row r="3657" spans="1:15" ht="15" customHeight="1">
      <c r="A3657" s="908" t="s">
        <v>2094</v>
      </c>
      <c r="B3657" s="909" t="s">
        <v>2095</v>
      </c>
      <c r="C3657" s="910" t="e">
        <f>VLOOKUP(B3652,'LƯƠNG KT'!$D$16:$Z$184,19,0)</f>
        <v>#N/A</v>
      </c>
      <c r="D3657" s="609" t="e">
        <f>+C3657*$L$8</f>
        <v>#N/A</v>
      </c>
      <c r="E3657" s="912"/>
      <c r="F3657" s="912"/>
      <c r="G3657" s="908" t="s">
        <v>2094</v>
      </c>
      <c r="H3657" s="909" t="s">
        <v>2095</v>
      </c>
      <c r="I3657" s="910" t="e">
        <f>VLOOKUP(H3652,'LƯƠNG KT'!$D$16:$Z$184,19,0)</f>
        <v>#N/A</v>
      </c>
      <c r="J3657" s="609" t="e">
        <f>+I3657*$L$8</f>
        <v>#N/A</v>
      </c>
      <c r="K3657" s="935"/>
      <c r="L3657" s="935"/>
      <c r="M3657" s="935"/>
      <c r="N3657" s="935"/>
      <c r="O3657" s="935"/>
    </row>
    <row r="3658" spans="1:15" ht="15" customHeight="1">
      <c r="A3658" s="908" t="s">
        <v>2096</v>
      </c>
      <c r="B3658" s="913" t="s">
        <v>2097</v>
      </c>
      <c r="C3658" s="910" t="e">
        <f>VLOOKUP(B3652,'LƯƠNG KT'!$D$16:$Z$184,20,0)</f>
        <v>#N/A</v>
      </c>
      <c r="D3658" s="609" t="e">
        <f>+C3658*$L$9</f>
        <v>#N/A</v>
      </c>
      <c r="E3658" s="912"/>
      <c r="F3658" s="912"/>
      <c r="G3658" s="908" t="s">
        <v>2096</v>
      </c>
      <c r="H3658" s="913" t="s">
        <v>2097</v>
      </c>
      <c r="I3658" s="910" t="e">
        <f>VLOOKUP(H3652,'LƯƠNG KT'!$D$16:$Z$184,20,0)</f>
        <v>#N/A</v>
      </c>
      <c r="J3658" s="609" t="e">
        <f>+I3658*$L$9</f>
        <v>#N/A</v>
      </c>
      <c r="K3658" s="935"/>
      <c r="L3658" s="935"/>
      <c r="M3658" s="935"/>
      <c r="N3658" s="935"/>
      <c r="O3658" s="935"/>
    </row>
    <row r="3659" spans="1:15" ht="15" customHeight="1">
      <c r="A3659" s="908" t="s">
        <v>2099</v>
      </c>
      <c r="B3659" s="909" t="s">
        <v>2100</v>
      </c>
      <c r="C3659" s="910" t="e">
        <f>VLOOKUP(B3652,'LƯƠNG KT'!$D$16:$Z$184,17,0)</f>
        <v>#N/A</v>
      </c>
      <c r="D3659" s="609" t="e">
        <f>+C3659*$L$10</f>
        <v>#N/A</v>
      </c>
      <c r="E3659" s="912"/>
      <c r="F3659" s="912"/>
      <c r="G3659" s="908" t="s">
        <v>2099</v>
      </c>
      <c r="H3659" s="909" t="s">
        <v>2100</v>
      </c>
      <c r="I3659" s="910" t="e">
        <f>VLOOKUP(H3652,'LƯƠNG KT'!$D$16:$Z$184,17,0)</f>
        <v>#N/A</v>
      </c>
      <c r="J3659" s="609" t="e">
        <f>+I3659*$L$10</f>
        <v>#N/A</v>
      </c>
      <c r="K3659" s="935"/>
      <c r="L3659" s="935"/>
      <c r="M3659" s="935"/>
      <c r="N3659" s="935"/>
      <c r="O3659" s="935"/>
    </row>
    <row r="3660" spans="1:15" ht="15" customHeight="1">
      <c r="A3660" s="908" t="s">
        <v>2117</v>
      </c>
      <c r="B3660" s="913" t="s">
        <v>2116</v>
      </c>
      <c r="C3660" s="910" t="e">
        <f>VLOOKUP(B3652,'LƯƠNG KT'!$D$16:$Z$184,21,0)</f>
        <v>#N/A</v>
      </c>
      <c r="D3660" s="609" t="e">
        <f>+C3660*$L$7</f>
        <v>#N/A</v>
      </c>
      <c r="E3660" s="912"/>
      <c r="F3660" s="912"/>
      <c r="G3660" s="908" t="s">
        <v>2117</v>
      </c>
      <c r="H3660" s="913" t="s">
        <v>2116</v>
      </c>
      <c r="I3660" s="910" t="e">
        <f>VLOOKUP(H3652,'LƯƠNG KT'!$D$16:$Z$184,21,0)</f>
        <v>#N/A</v>
      </c>
      <c r="J3660" s="609" t="e">
        <f>+I3660*$L$7</f>
        <v>#N/A</v>
      </c>
      <c r="K3660" s="935"/>
      <c r="L3660" s="935"/>
      <c r="M3660" s="935"/>
      <c r="N3660" s="935"/>
      <c r="O3660" s="935"/>
    </row>
    <row r="3661" spans="1:15" ht="15" customHeight="1">
      <c r="A3661" s="908" t="s">
        <v>2118</v>
      </c>
      <c r="B3661" s="909" t="s">
        <v>2112</v>
      </c>
      <c r="C3661" s="910" t="e">
        <f>VLOOKUP(B3652,'LƯƠNG KT'!$D$16:$Z$184,23,0)</f>
        <v>#N/A</v>
      </c>
      <c r="D3661" s="609" t="e">
        <f>+C3661*20000</f>
        <v>#N/A</v>
      </c>
      <c r="E3661" s="914"/>
      <c r="F3661" s="912"/>
      <c r="G3661" s="908" t="s">
        <v>2118</v>
      </c>
      <c r="H3661" s="909" t="s">
        <v>2112</v>
      </c>
      <c r="I3661" s="910" t="e">
        <f>VLOOKUP(H3652,'LƯƠNG KT'!$D$16:$Z$184,23,0)</f>
        <v>#N/A</v>
      </c>
      <c r="J3661" s="609" t="e">
        <f>+I3661*20000</f>
        <v>#N/A</v>
      </c>
      <c r="K3661" s="935"/>
      <c r="L3661" s="935"/>
      <c r="M3661" s="935"/>
      <c r="N3661" s="935"/>
      <c r="O3661" s="935"/>
    </row>
    <row r="3662" spans="1:15" ht="15" customHeight="1">
      <c r="A3662" s="908" t="s">
        <v>374</v>
      </c>
      <c r="B3662" s="909" t="s">
        <v>2102</v>
      </c>
      <c r="C3662" s="910" t="e">
        <f>VLOOKUP(B3652,'LƯƠNG KT'!$D$16:$Z$184,12,0)</f>
        <v>#N/A</v>
      </c>
      <c r="D3662" s="609" t="e">
        <f>VLOOKUP(B3652,'LƯƠNG KT'!$D$16:$Z$184,14,0)</f>
        <v>#N/A</v>
      </c>
      <c r="E3662" s="916"/>
      <c r="F3662" s="916"/>
      <c r="G3662" s="908" t="s">
        <v>374</v>
      </c>
      <c r="H3662" s="909" t="s">
        <v>2102</v>
      </c>
      <c r="I3662" s="910" t="e">
        <f>VLOOKUP(H3652,'LƯƠNG KT'!$D$16:$Z$184,12,0)</f>
        <v>#N/A</v>
      </c>
      <c r="J3662" s="609" t="e">
        <f>VLOOKUP(H3652,'LƯƠNG KT'!$D$16:$Z$184,14,0)</f>
        <v>#N/A</v>
      </c>
    </row>
    <row r="3663" spans="1:15" ht="15" customHeight="1">
      <c r="A3663" s="908" t="s">
        <v>2103</v>
      </c>
      <c r="B3663" s="909" t="s">
        <v>2104</v>
      </c>
      <c r="D3663" s="915" t="e">
        <f>VLOOKUP(B3652,'LƯƠNG KT'!$D$16:$Z$184,13,0)</f>
        <v>#N/A</v>
      </c>
      <c r="E3663" s="914"/>
      <c r="F3663" s="916"/>
      <c r="G3663" s="908" t="s">
        <v>2103</v>
      </c>
      <c r="H3663" s="909" t="s">
        <v>2104</v>
      </c>
      <c r="J3663" s="915" t="e">
        <f>VLOOKUP(H3652,'LƯƠNG KT'!$D$16:$Z$184,13,0)</f>
        <v>#N/A</v>
      </c>
    </row>
    <row r="3664" spans="1:15" ht="15" customHeight="1">
      <c r="A3664" s="905"/>
      <c r="B3664" s="546"/>
      <c r="C3664" s="910"/>
      <c r="D3664" s="609"/>
      <c r="E3664" s="917"/>
      <c r="F3664" s="904"/>
      <c r="G3664" s="905"/>
      <c r="H3664" s="546"/>
      <c r="I3664" s="910"/>
      <c r="J3664" s="609"/>
    </row>
    <row r="3665" spans="1:15" ht="12.6" customHeight="1">
      <c r="A3665" s="918" t="s">
        <v>383</v>
      </c>
      <c r="B3665" s="919" t="s">
        <v>384</v>
      </c>
      <c r="C3665" s="920"/>
      <c r="D3665" s="921" t="e">
        <f>SUM(D3653:D3662)</f>
        <v>#N/A</v>
      </c>
      <c r="E3665" s="922"/>
      <c r="F3665" s="923"/>
      <c r="G3665" s="918" t="s">
        <v>383</v>
      </c>
      <c r="H3665" s="919" t="s">
        <v>384</v>
      </c>
      <c r="I3665" s="920"/>
      <c r="J3665" s="921" t="e">
        <f>SUM(J3653:J3662)</f>
        <v>#N/A</v>
      </c>
    </row>
    <row r="3666" spans="1:15" ht="107.25" customHeight="1">
      <c r="A3666" s="925"/>
      <c r="B3666" s="925"/>
      <c r="C3666" s="929"/>
      <c r="D3666" s="930"/>
      <c r="E3666" s="925"/>
      <c r="F3666" s="931"/>
      <c r="G3666" s="925"/>
      <c r="H3666" s="925"/>
      <c r="I3666" s="929"/>
      <c r="J3666" s="930"/>
    </row>
    <row r="3667" spans="1:15" ht="15" customHeight="1">
      <c r="A3667" s="2360" t="str">
        <f>$K$2</f>
        <v>THÁNG 04/2025</v>
      </c>
      <c r="B3667" s="2360"/>
      <c r="C3667" s="2360"/>
      <c r="D3667" s="2360"/>
      <c r="E3667" s="903"/>
      <c r="F3667" s="904"/>
      <c r="G3667" s="2360" t="str">
        <f>$K$2</f>
        <v>THÁNG 04/2025</v>
      </c>
      <c r="H3667" s="2360"/>
      <c r="I3667" s="2360"/>
      <c r="J3667" s="2360"/>
      <c r="K3667" s="276"/>
    </row>
    <row r="3668" spans="1:15" ht="15" customHeight="1">
      <c r="A3668" s="905" t="s">
        <v>356</v>
      </c>
      <c r="B3668" s="642" t="s">
        <v>331</v>
      </c>
      <c r="C3668" s="546"/>
      <c r="D3668" s="902"/>
      <c r="E3668" s="906"/>
      <c r="F3668" s="907"/>
      <c r="G3668" s="905" t="s">
        <v>356</v>
      </c>
      <c r="H3668" s="642" t="s">
        <v>332</v>
      </c>
      <c r="I3668" s="546"/>
      <c r="J3668" s="902"/>
      <c r="L3668" s="938"/>
      <c r="M3668" s="938"/>
      <c r="N3668" s="938"/>
      <c r="O3668" s="938"/>
    </row>
    <row r="3669" spans="1:15" ht="15" customHeight="1">
      <c r="A3669" s="908" t="s">
        <v>359</v>
      </c>
      <c r="B3669" s="909" t="s">
        <v>2090</v>
      </c>
      <c r="C3669" s="910" t="e">
        <f>VLOOKUP(B3668,'LƯƠNG KT'!$D$16:$Z$184,4,0)</f>
        <v>#N/A</v>
      </c>
      <c r="D3669" s="609" t="e">
        <f>+C3669*25000</f>
        <v>#N/A</v>
      </c>
      <c r="E3669" s="911"/>
      <c r="F3669" s="911"/>
      <c r="G3669" s="908" t="s">
        <v>359</v>
      </c>
      <c r="H3669" s="909" t="s">
        <v>2090</v>
      </c>
      <c r="I3669" s="910" t="e">
        <f>VLOOKUP(H3668,'LƯƠNG KT'!$D$16:$Z$184,4,0)</f>
        <v>#N/A</v>
      </c>
      <c r="J3669" s="609" t="e">
        <f>+I3669*25000</f>
        <v>#N/A</v>
      </c>
      <c r="K3669" s="935"/>
      <c r="L3669" s="935"/>
      <c r="M3669" s="935"/>
      <c r="N3669" s="935"/>
      <c r="O3669" s="935"/>
    </row>
    <row r="3670" spans="1:15" ht="15" customHeight="1">
      <c r="A3670" s="908" t="s">
        <v>361</v>
      </c>
      <c r="B3670" s="909" t="s">
        <v>2091</v>
      </c>
      <c r="C3670" s="910" t="e">
        <f>VLOOKUP(B3668,'LƯƠNG KT'!$D$16:$Z$184,15,0)</f>
        <v>#N/A</v>
      </c>
      <c r="D3670" s="609" t="e">
        <f>C3670*$L$4</f>
        <v>#N/A</v>
      </c>
      <c r="E3670" s="912"/>
      <c r="F3670" s="912"/>
      <c r="G3670" s="908" t="s">
        <v>361</v>
      </c>
      <c r="H3670" s="909" t="s">
        <v>2091</v>
      </c>
      <c r="I3670" s="910" t="e">
        <f>VLOOKUP(H3668,'LƯƠNG KT'!$D$16:$Z$184,15,0)</f>
        <v>#N/A</v>
      </c>
      <c r="J3670" s="609" t="e">
        <f>I3670*$L$4</f>
        <v>#N/A</v>
      </c>
      <c r="K3670" s="935"/>
      <c r="L3670" s="935"/>
      <c r="M3670" s="935"/>
      <c r="N3670" s="935"/>
      <c r="O3670" s="935"/>
    </row>
    <row r="3671" spans="1:15" ht="15" customHeight="1">
      <c r="A3671" s="908" t="s">
        <v>364</v>
      </c>
      <c r="B3671" s="909" t="s">
        <v>2092</v>
      </c>
      <c r="C3671" s="910" t="e">
        <f>VLOOKUP(B3668,'LƯƠNG KT'!$D$16:$Z$184,16,0)</f>
        <v>#N/A</v>
      </c>
      <c r="D3671" s="609" t="e">
        <f>C3671*$L$5</f>
        <v>#N/A</v>
      </c>
      <c r="E3671" s="912"/>
      <c r="F3671" s="912"/>
      <c r="G3671" s="908" t="s">
        <v>364</v>
      </c>
      <c r="H3671" s="909" t="s">
        <v>2092</v>
      </c>
      <c r="I3671" s="910" t="e">
        <f>VLOOKUP(H3668,'LƯƠNG KT'!$D$16:$Z$184,16,0)</f>
        <v>#N/A</v>
      </c>
      <c r="J3671" s="609" t="e">
        <f>I3671*$L$5</f>
        <v>#N/A</v>
      </c>
      <c r="K3671" s="935"/>
      <c r="L3671" s="935"/>
      <c r="M3671" s="935"/>
      <c r="N3671" s="935"/>
      <c r="O3671" s="935"/>
    </row>
    <row r="3672" spans="1:15" ht="15" customHeight="1">
      <c r="A3672" s="908" t="s">
        <v>370</v>
      </c>
      <c r="B3672" s="909" t="s">
        <v>2093</v>
      </c>
      <c r="C3672" s="910" t="e">
        <f>VLOOKUP(B3668,'LƯƠNG KT'!$D$16:$Z$184,24,0)</f>
        <v>#N/A</v>
      </c>
      <c r="D3672" s="609" t="e">
        <f>+C3672*$L$6</f>
        <v>#N/A</v>
      </c>
      <c r="E3672" s="912"/>
      <c r="F3672" s="912"/>
      <c r="G3672" s="908" t="s">
        <v>370</v>
      </c>
      <c r="H3672" s="909" t="s">
        <v>2093</v>
      </c>
      <c r="I3672" s="910" t="e">
        <f>VLOOKUP(H3668,'LƯƠNG KT'!$D$16:$Z$184,24,0)</f>
        <v>#N/A</v>
      </c>
      <c r="J3672" s="609" t="e">
        <f>+I3672*$L$6</f>
        <v>#N/A</v>
      </c>
      <c r="K3672" s="935"/>
      <c r="L3672" s="935"/>
      <c r="M3672" s="935"/>
      <c r="N3672" s="935"/>
      <c r="O3672" s="935"/>
    </row>
    <row r="3673" spans="1:15" ht="15" customHeight="1">
      <c r="A3673" s="908" t="s">
        <v>2094</v>
      </c>
      <c r="B3673" s="909" t="s">
        <v>2095</v>
      </c>
      <c r="C3673" s="910" t="e">
        <f>VLOOKUP(B3668,'LƯƠNG KT'!$D$16:$Z$184,19,0)</f>
        <v>#N/A</v>
      </c>
      <c r="D3673" s="609" t="e">
        <f>+C3673*$L$8</f>
        <v>#N/A</v>
      </c>
      <c r="E3673" s="912"/>
      <c r="F3673" s="912"/>
      <c r="G3673" s="908" t="s">
        <v>2094</v>
      </c>
      <c r="H3673" s="909" t="s">
        <v>2095</v>
      </c>
      <c r="I3673" s="910" t="e">
        <f>VLOOKUP(H3668,'LƯƠNG KT'!$D$16:$Z$184,19,0)</f>
        <v>#N/A</v>
      </c>
      <c r="J3673" s="609" t="e">
        <f>+I3673*$L$8</f>
        <v>#N/A</v>
      </c>
      <c r="K3673" s="935"/>
      <c r="L3673" s="935"/>
      <c r="M3673" s="935"/>
      <c r="N3673" s="935"/>
      <c r="O3673" s="935"/>
    </row>
    <row r="3674" spans="1:15" ht="15" customHeight="1">
      <c r="A3674" s="908" t="s">
        <v>2096</v>
      </c>
      <c r="B3674" s="913" t="s">
        <v>2097</v>
      </c>
      <c r="C3674" s="910" t="e">
        <f>VLOOKUP(B3668,'LƯƠNG KT'!$D$16:$Z$184,20,0)</f>
        <v>#N/A</v>
      </c>
      <c r="D3674" s="609" t="e">
        <f>+C3674*$L$9</f>
        <v>#N/A</v>
      </c>
      <c r="E3674" s="912"/>
      <c r="F3674" s="912"/>
      <c r="G3674" s="908" t="s">
        <v>2096</v>
      </c>
      <c r="H3674" s="913" t="s">
        <v>2097</v>
      </c>
      <c r="I3674" s="910" t="e">
        <f>VLOOKUP(H3668,'LƯƠNG KT'!$D$16:$Z$184,20,0)</f>
        <v>#N/A</v>
      </c>
      <c r="J3674" s="609" t="e">
        <f>+I3674*$L$9</f>
        <v>#N/A</v>
      </c>
      <c r="K3674" s="935"/>
      <c r="L3674" s="935"/>
      <c r="M3674" s="935"/>
      <c r="N3674" s="935"/>
      <c r="O3674" s="935"/>
    </row>
    <row r="3675" spans="1:15" ht="15" customHeight="1">
      <c r="A3675" s="908" t="s">
        <v>2099</v>
      </c>
      <c r="B3675" s="909" t="s">
        <v>2100</v>
      </c>
      <c r="C3675" s="910" t="e">
        <f>VLOOKUP(B3668,'LƯƠNG KT'!$D$16:$Z$184,17,0)</f>
        <v>#N/A</v>
      </c>
      <c r="D3675" s="609" t="e">
        <f>+C3675*$L$10</f>
        <v>#N/A</v>
      </c>
      <c r="E3675" s="912"/>
      <c r="F3675" s="912"/>
      <c r="G3675" s="908" t="s">
        <v>2099</v>
      </c>
      <c r="H3675" s="909" t="s">
        <v>2100</v>
      </c>
      <c r="I3675" s="910" t="e">
        <f>VLOOKUP(H3668,'LƯƠNG KT'!$D$16:$Z$184,17,0)</f>
        <v>#N/A</v>
      </c>
      <c r="J3675" s="609" t="e">
        <f>+I3675*$L$10</f>
        <v>#N/A</v>
      </c>
      <c r="K3675" s="935"/>
      <c r="L3675" s="935"/>
      <c r="M3675" s="935"/>
      <c r="N3675" s="935"/>
      <c r="O3675" s="935"/>
    </row>
    <row r="3676" spans="1:15" ht="15" customHeight="1">
      <c r="A3676" s="908" t="s">
        <v>2117</v>
      </c>
      <c r="B3676" s="913" t="s">
        <v>2116</v>
      </c>
      <c r="C3676" s="910" t="e">
        <f>VLOOKUP(B3668,'LƯƠNG KT'!$D$16:$Z$184,21,0)</f>
        <v>#N/A</v>
      </c>
      <c r="D3676" s="609" t="e">
        <f>+C3676*$L$7</f>
        <v>#N/A</v>
      </c>
      <c r="E3676" s="912"/>
      <c r="F3676" s="912"/>
      <c r="G3676" s="908" t="s">
        <v>2117</v>
      </c>
      <c r="H3676" s="913" t="s">
        <v>2116</v>
      </c>
      <c r="I3676" s="910" t="e">
        <f>VLOOKUP(H3668,'LƯƠNG KT'!$D$16:$Z$184,21,0)</f>
        <v>#N/A</v>
      </c>
      <c r="J3676" s="609" t="e">
        <f>+I3676*$L$7</f>
        <v>#N/A</v>
      </c>
      <c r="K3676" s="935"/>
      <c r="L3676" s="935"/>
      <c r="M3676" s="935"/>
      <c r="N3676" s="935"/>
      <c r="O3676" s="935"/>
    </row>
    <row r="3677" spans="1:15" ht="15" customHeight="1">
      <c r="A3677" s="908" t="s">
        <v>2118</v>
      </c>
      <c r="B3677" s="909" t="s">
        <v>2112</v>
      </c>
      <c r="C3677" s="910" t="e">
        <f>VLOOKUP(B3668,'LƯƠNG KT'!$D$16:$Z$184,23,0)</f>
        <v>#N/A</v>
      </c>
      <c r="D3677" s="609" t="e">
        <f>+C3677*20000</f>
        <v>#N/A</v>
      </c>
      <c r="E3677" s="914"/>
      <c r="F3677" s="912"/>
      <c r="G3677" s="908" t="s">
        <v>2118</v>
      </c>
      <c r="H3677" s="909" t="s">
        <v>2112</v>
      </c>
      <c r="I3677" s="910" t="e">
        <f>VLOOKUP(H3668,'LƯƠNG KT'!$D$16:$Z$184,23,0)</f>
        <v>#N/A</v>
      </c>
      <c r="J3677" s="609" t="e">
        <f>+I3677*20000</f>
        <v>#N/A</v>
      </c>
      <c r="K3677" s="935"/>
      <c r="L3677" s="935"/>
      <c r="M3677" s="935"/>
      <c r="N3677" s="935"/>
      <c r="O3677" s="935"/>
    </row>
    <row r="3678" spans="1:15" ht="15" customHeight="1">
      <c r="A3678" s="908" t="s">
        <v>374</v>
      </c>
      <c r="B3678" s="909" t="s">
        <v>2102</v>
      </c>
      <c r="C3678" s="910" t="e">
        <f>VLOOKUP(B3668,'LƯƠNG KT'!$D$16:$Z$184,12,0)</f>
        <v>#N/A</v>
      </c>
      <c r="D3678" s="609" t="e">
        <f>VLOOKUP(B3668,'LƯƠNG KT'!$D$16:$Z$184,14,0)</f>
        <v>#N/A</v>
      </c>
      <c r="E3678" s="916"/>
      <c r="F3678" s="916"/>
      <c r="G3678" s="908" t="s">
        <v>374</v>
      </c>
      <c r="H3678" s="909" t="s">
        <v>2102</v>
      </c>
      <c r="I3678" s="910" t="e">
        <f>VLOOKUP(H3668,'LƯƠNG KT'!$D$16:$Z$184,12,0)</f>
        <v>#N/A</v>
      </c>
      <c r="J3678" s="609" t="e">
        <f>VLOOKUP(H3668,'LƯƠNG KT'!$D$16:$Z$184,14,0)</f>
        <v>#N/A</v>
      </c>
      <c r="K3678" s="935"/>
      <c r="L3678" s="935"/>
      <c r="M3678" s="935"/>
      <c r="N3678" s="935"/>
      <c r="O3678" s="935"/>
    </row>
    <row r="3679" spans="1:15" ht="15" customHeight="1">
      <c r="A3679" s="908" t="s">
        <v>2103</v>
      </c>
      <c r="B3679" s="909" t="s">
        <v>2104</v>
      </c>
      <c r="D3679" s="915" t="e">
        <f>VLOOKUP(B3668,'LƯƠNG KT'!$D$16:$Z$184,13,0)</f>
        <v>#N/A</v>
      </c>
      <c r="E3679" s="914"/>
      <c r="F3679" s="916"/>
      <c r="G3679" s="908" t="s">
        <v>2103</v>
      </c>
      <c r="H3679" s="909" t="s">
        <v>2104</v>
      </c>
      <c r="J3679" s="915" t="e">
        <f>VLOOKUP(H3668,'LƯƠNG KT'!$D$16:$Z$184,13,0)</f>
        <v>#N/A</v>
      </c>
    </row>
    <row r="3680" spans="1:15" ht="15" customHeight="1">
      <c r="A3680" s="905"/>
      <c r="B3680" s="546"/>
      <c r="C3680" s="910"/>
      <c r="D3680" s="609"/>
      <c r="E3680" s="917"/>
      <c r="F3680" s="904"/>
      <c r="G3680" s="905"/>
      <c r="H3680" s="546"/>
      <c r="I3680" s="910"/>
      <c r="J3680" s="609"/>
    </row>
    <row r="3681" spans="1:15" ht="18" customHeight="1">
      <c r="A3681" s="918" t="s">
        <v>383</v>
      </c>
      <c r="B3681" s="919" t="s">
        <v>384</v>
      </c>
      <c r="C3681" s="920"/>
      <c r="D3681" s="921" t="e">
        <f>SUM(D3669:D3678)</f>
        <v>#N/A</v>
      </c>
      <c r="E3681" s="922"/>
      <c r="F3681" s="923"/>
      <c r="G3681" s="918" t="s">
        <v>383</v>
      </c>
      <c r="H3681" s="919" t="s">
        <v>384</v>
      </c>
      <c r="I3681" s="920"/>
      <c r="J3681" s="921" t="e">
        <f>SUM(J3669:J3678)</f>
        <v>#N/A</v>
      </c>
    </row>
    <row r="3682" spans="1:15" ht="18" customHeight="1">
      <c r="A3682" s="947"/>
      <c r="B3682" s="948"/>
      <c r="C3682" s="949"/>
      <c r="D3682" s="950"/>
      <c r="E3682" s="946"/>
      <c r="F3682" s="922"/>
      <c r="G3682" s="947"/>
      <c r="H3682" s="948"/>
      <c r="I3682" s="949"/>
      <c r="J3682" s="950"/>
    </row>
    <row r="3683" spans="1:15" ht="20.25" customHeight="1">
      <c r="A3683" s="925"/>
      <c r="B3683" s="925"/>
      <c r="C3683" s="929"/>
      <c r="D3683" s="930"/>
      <c r="E3683" s="925"/>
      <c r="F3683" s="931"/>
      <c r="G3683" s="925"/>
      <c r="H3683" s="925"/>
      <c r="I3683" s="929"/>
      <c r="J3683" s="930"/>
    </row>
    <row r="3684" spans="1:15" ht="15" customHeight="1">
      <c r="A3684" s="2360" t="str">
        <f>$K$2</f>
        <v>THÁNG 04/2025</v>
      </c>
      <c r="B3684" s="2360"/>
      <c r="C3684" s="2360"/>
      <c r="D3684" s="2360"/>
      <c r="E3684" s="903"/>
      <c r="F3684" s="904"/>
      <c r="G3684" s="2360" t="str">
        <f>$K$2</f>
        <v>THÁNG 04/2025</v>
      </c>
      <c r="H3684" s="2360"/>
      <c r="I3684" s="2360"/>
      <c r="J3684" s="2360"/>
      <c r="K3684" s="276"/>
    </row>
    <row r="3685" spans="1:15" ht="15" customHeight="1">
      <c r="A3685" s="905" t="s">
        <v>356</v>
      </c>
      <c r="B3685" s="642" t="s">
        <v>333</v>
      </c>
      <c r="C3685" s="546"/>
      <c r="D3685" s="902"/>
      <c r="E3685" s="906"/>
      <c r="F3685" s="907"/>
      <c r="G3685" s="905" t="s">
        <v>356</v>
      </c>
      <c r="H3685" s="642" t="s">
        <v>334</v>
      </c>
      <c r="I3685" s="546"/>
      <c r="J3685" s="902"/>
      <c r="L3685" s="938"/>
      <c r="M3685" s="938"/>
      <c r="N3685" s="938"/>
      <c r="O3685" s="938"/>
    </row>
    <row r="3686" spans="1:15" ht="15" customHeight="1">
      <c r="A3686" s="908" t="s">
        <v>359</v>
      </c>
      <c r="B3686" s="909" t="s">
        <v>2090</v>
      </c>
      <c r="C3686" s="910" t="e">
        <f>VLOOKUP(B3685,'LƯƠNG KT'!$D$16:$Z$184,4,0)</f>
        <v>#N/A</v>
      </c>
      <c r="D3686" s="609" t="e">
        <f>+C3686*25000</f>
        <v>#N/A</v>
      </c>
      <c r="E3686" s="911"/>
      <c r="F3686" s="911"/>
      <c r="G3686" s="908" t="s">
        <v>359</v>
      </c>
      <c r="H3686" s="909" t="s">
        <v>2090</v>
      </c>
      <c r="I3686" s="910" t="e">
        <f>VLOOKUP(H3685,'LƯƠNG KT'!$D$16:$Z$184,4,0)</f>
        <v>#N/A</v>
      </c>
      <c r="J3686" s="609" t="e">
        <f>+I3686*25000</f>
        <v>#N/A</v>
      </c>
      <c r="K3686" s="935"/>
      <c r="L3686" s="935"/>
      <c r="M3686" s="935"/>
      <c r="N3686" s="935"/>
      <c r="O3686" s="935"/>
    </row>
    <row r="3687" spans="1:15" ht="15" customHeight="1">
      <c r="A3687" s="908" t="s">
        <v>361</v>
      </c>
      <c r="B3687" s="909" t="s">
        <v>2091</v>
      </c>
      <c r="C3687" s="910" t="e">
        <f>VLOOKUP(B3685,'LƯƠNG KT'!$D$16:$Z$184,15,0)</f>
        <v>#N/A</v>
      </c>
      <c r="D3687" s="609" t="e">
        <f>C3687*$L$4</f>
        <v>#N/A</v>
      </c>
      <c r="E3687" s="912"/>
      <c r="F3687" s="912"/>
      <c r="G3687" s="908" t="s">
        <v>361</v>
      </c>
      <c r="H3687" s="909" t="s">
        <v>2091</v>
      </c>
      <c r="I3687" s="910" t="e">
        <f>VLOOKUP(H3685,'LƯƠNG KT'!$D$16:$Z$184,15,0)</f>
        <v>#N/A</v>
      </c>
      <c r="J3687" s="609" t="e">
        <f>I3687*$L$4</f>
        <v>#N/A</v>
      </c>
      <c r="K3687" s="935"/>
      <c r="L3687" s="935"/>
      <c r="M3687" s="935"/>
      <c r="N3687" s="935"/>
      <c r="O3687" s="935"/>
    </row>
    <row r="3688" spans="1:15" ht="15" customHeight="1">
      <c r="A3688" s="908" t="s">
        <v>364</v>
      </c>
      <c r="B3688" s="909" t="s">
        <v>2092</v>
      </c>
      <c r="C3688" s="910" t="e">
        <f>VLOOKUP(B3685,'LƯƠNG KT'!$D$16:$Z$184,16,0)</f>
        <v>#N/A</v>
      </c>
      <c r="D3688" s="609" t="e">
        <f>C3688*$L$5</f>
        <v>#N/A</v>
      </c>
      <c r="E3688" s="912"/>
      <c r="F3688" s="912"/>
      <c r="G3688" s="908" t="s">
        <v>364</v>
      </c>
      <c r="H3688" s="909" t="s">
        <v>2092</v>
      </c>
      <c r="I3688" s="910" t="e">
        <f>VLOOKUP(H3685,'LƯƠNG KT'!$D$16:$Z$184,16,0)</f>
        <v>#N/A</v>
      </c>
      <c r="J3688" s="609" t="e">
        <f>I3688*$L$5</f>
        <v>#N/A</v>
      </c>
      <c r="K3688" s="935"/>
      <c r="L3688" s="935"/>
      <c r="M3688" s="935"/>
      <c r="N3688" s="935"/>
      <c r="O3688" s="935"/>
    </row>
    <row r="3689" spans="1:15" ht="15" customHeight="1">
      <c r="A3689" s="908" t="s">
        <v>370</v>
      </c>
      <c r="B3689" s="909" t="s">
        <v>2093</v>
      </c>
      <c r="C3689" s="910" t="e">
        <f>VLOOKUP(B3685,'LƯƠNG KT'!$D$16:$Z$184,24,0)</f>
        <v>#N/A</v>
      </c>
      <c r="D3689" s="609" t="e">
        <f>+C3689*$L$6</f>
        <v>#N/A</v>
      </c>
      <c r="E3689" s="912"/>
      <c r="F3689" s="912"/>
      <c r="G3689" s="908" t="s">
        <v>370</v>
      </c>
      <c r="H3689" s="909" t="s">
        <v>2093</v>
      </c>
      <c r="I3689" s="910" t="e">
        <f>VLOOKUP(H3685,'LƯƠNG KT'!$D$16:$Z$184,24,0)</f>
        <v>#N/A</v>
      </c>
      <c r="J3689" s="609" t="e">
        <f>+I3689*$L$6</f>
        <v>#N/A</v>
      </c>
      <c r="K3689" s="935"/>
      <c r="L3689" s="935"/>
      <c r="M3689" s="935"/>
      <c r="N3689" s="935"/>
      <c r="O3689" s="935"/>
    </row>
    <row r="3690" spans="1:15" ht="15" customHeight="1">
      <c r="A3690" s="908" t="s">
        <v>2094</v>
      </c>
      <c r="B3690" s="909" t="s">
        <v>2095</v>
      </c>
      <c r="C3690" s="910" t="e">
        <f>VLOOKUP(B3685,'LƯƠNG KT'!$D$16:$Z$184,19,0)</f>
        <v>#N/A</v>
      </c>
      <c r="D3690" s="609" t="e">
        <f>+C3690*$L$8</f>
        <v>#N/A</v>
      </c>
      <c r="E3690" s="912"/>
      <c r="F3690" s="912"/>
      <c r="G3690" s="908" t="s">
        <v>2094</v>
      </c>
      <c r="H3690" s="909" t="s">
        <v>2095</v>
      </c>
      <c r="I3690" s="910" t="e">
        <f>VLOOKUP(H3685,'LƯƠNG KT'!$D$16:$Z$184,19,0)</f>
        <v>#N/A</v>
      </c>
      <c r="J3690" s="609" t="e">
        <f>+I3690*$L$8</f>
        <v>#N/A</v>
      </c>
      <c r="K3690" s="935"/>
      <c r="L3690" s="935"/>
      <c r="M3690" s="935"/>
      <c r="N3690" s="935"/>
      <c r="O3690" s="935"/>
    </row>
    <row r="3691" spans="1:15" ht="15" customHeight="1">
      <c r="A3691" s="908" t="s">
        <v>2096</v>
      </c>
      <c r="B3691" s="913" t="s">
        <v>2097</v>
      </c>
      <c r="C3691" s="910" t="e">
        <f>VLOOKUP(B3685,'LƯƠNG KT'!$D$16:$Z$184,20,0)</f>
        <v>#N/A</v>
      </c>
      <c r="D3691" s="609" t="e">
        <f>+C3691*$L$9</f>
        <v>#N/A</v>
      </c>
      <c r="E3691" s="912"/>
      <c r="F3691" s="912"/>
      <c r="G3691" s="908" t="s">
        <v>2096</v>
      </c>
      <c r="H3691" s="913" t="s">
        <v>2097</v>
      </c>
      <c r="I3691" s="910" t="e">
        <f>VLOOKUP(H3685,'LƯƠNG KT'!$D$16:$Z$184,20,0)</f>
        <v>#N/A</v>
      </c>
      <c r="J3691" s="609" t="e">
        <f>+I3691*$L$9</f>
        <v>#N/A</v>
      </c>
      <c r="K3691" s="935"/>
      <c r="L3691" s="935"/>
      <c r="M3691" s="935"/>
      <c r="N3691" s="935"/>
      <c r="O3691" s="935"/>
    </row>
    <row r="3692" spans="1:15" ht="15" customHeight="1">
      <c r="A3692" s="908" t="s">
        <v>2099</v>
      </c>
      <c r="B3692" s="909" t="s">
        <v>2100</v>
      </c>
      <c r="C3692" s="910" t="e">
        <f>VLOOKUP(B3685,'LƯƠNG KT'!$D$16:$Z$184,17,0)</f>
        <v>#N/A</v>
      </c>
      <c r="D3692" s="609" t="e">
        <f>+C3692*$L$10</f>
        <v>#N/A</v>
      </c>
      <c r="E3692" s="912"/>
      <c r="F3692" s="912"/>
      <c r="G3692" s="908" t="s">
        <v>2099</v>
      </c>
      <c r="H3692" s="909" t="s">
        <v>2100</v>
      </c>
      <c r="I3692" s="910" t="e">
        <f>VLOOKUP(H3685,'LƯƠNG KT'!$D$16:$Z$184,17,0)</f>
        <v>#N/A</v>
      </c>
      <c r="J3692" s="609" t="e">
        <f>+I3692*$L$10</f>
        <v>#N/A</v>
      </c>
      <c r="K3692" s="935"/>
      <c r="L3692" s="935"/>
      <c r="M3692" s="935"/>
      <c r="N3692" s="935"/>
      <c r="O3692" s="935"/>
    </row>
    <row r="3693" spans="1:15" ht="15" customHeight="1">
      <c r="A3693" s="908" t="s">
        <v>2117</v>
      </c>
      <c r="B3693" s="913" t="s">
        <v>2116</v>
      </c>
      <c r="C3693" s="910" t="e">
        <f>VLOOKUP(B3685,'LƯƠNG KT'!$D$16:$Z$184,21,0)</f>
        <v>#N/A</v>
      </c>
      <c r="D3693" s="609" t="e">
        <f>+C3693*$L$7</f>
        <v>#N/A</v>
      </c>
      <c r="E3693" s="912"/>
      <c r="F3693" s="912"/>
      <c r="G3693" s="908" t="s">
        <v>2117</v>
      </c>
      <c r="H3693" s="913" t="s">
        <v>2116</v>
      </c>
      <c r="I3693" s="910" t="e">
        <f>VLOOKUP(H3685,'LƯƠNG KT'!$D$16:$Z$184,21,0)</f>
        <v>#N/A</v>
      </c>
      <c r="J3693" s="609" t="e">
        <f>+I3693*$L$7</f>
        <v>#N/A</v>
      </c>
      <c r="K3693" s="935"/>
      <c r="L3693" s="935"/>
      <c r="M3693" s="935"/>
      <c r="N3693" s="935"/>
      <c r="O3693" s="935"/>
    </row>
    <row r="3694" spans="1:15" ht="15" customHeight="1">
      <c r="A3694" s="908" t="s">
        <v>2118</v>
      </c>
      <c r="B3694" s="909" t="s">
        <v>2112</v>
      </c>
      <c r="C3694" s="910" t="e">
        <f>VLOOKUP(B3685,'LƯƠNG KT'!$D$16:$Z$184,23,0)</f>
        <v>#N/A</v>
      </c>
      <c r="D3694" s="609" t="e">
        <f>+C3694*20000</f>
        <v>#N/A</v>
      </c>
      <c r="E3694" s="914"/>
      <c r="F3694" s="912"/>
      <c r="G3694" s="908" t="s">
        <v>2118</v>
      </c>
      <c r="H3694" s="909" t="s">
        <v>2112</v>
      </c>
      <c r="I3694" s="910" t="e">
        <f>VLOOKUP(H3685,'LƯƠNG KT'!$D$16:$Z$184,23,0)</f>
        <v>#N/A</v>
      </c>
      <c r="J3694" s="609" t="e">
        <f>+I3694*20000</f>
        <v>#N/A</v>
      </c>
      <c r="K3694" s="935"/>
      <c r="L3694" s="935"/>
      <c r="M3694" s="935"/>
      <c r="N3694" s="935"/>
      <c r="O3694" s="935"/>
    </row>
    <row r="3695" spans="1:15" ht="15" customHeight="1">
      <c r="A3695" s="908" t="s">
        <v>374</v>
      </c>
      <c r="B3695" s="909" t="s">
        <v>2102</v>
      </c>
      <c r="C3695" s="910" t="e">
        <f>VLOOKUP(B3685,'LƯƠNG KT'!$D$16:$Z$184,12,0)</f>
        <v>#N/A</v>
      </c>
      <c r="D3695" s="609" t="e">
        <f>VLOOKUP(B3685,'LƯƠNG KT'!$D$16:$Z$184,14,0)</f>
        <v>#N/A</v>
      </c>
      <c r="E3695" s="916"/>
      <c r="F3695" s="916"/>
      <c r="G3695" s="908" t="s">
        <v>374</v>
      </c>
      <c r="H3695" s="909" t="s">
        <v>2102</v>
      </c>
      <c r="I3695" s="910" t="e">
        <f>VLOOKUP(H3685,'LƯƠNG KT'!$D$16:$Z$184,12,0)</f>
        <v>#N/A</v>
      </c>
      <c r="J3695" s="609" t="e">
        <f>VLOOKUP(H3685,'LƯƠNG KT'!$D$16:$Z$184,14,0)</f>
        <v>#N/A</v>
      </c>
      <c r="K3695" s="935"/>
      <c r="L3695" s="935"/>
      <c r="M3695" s="935"/>
      <c r="N3695" s="935"/>
      <c r="O3695" s="935"/>
    </row>
    <row r="3696" spans="1:15" ht="15" customHeight="1">
      <c r="A3696" s="908" t="s">
        <v>2103</v>
      </c>
      <c r="B3696" s="909" t="s">
        <v>2104</v>
      </c>
      <c r="D3696" s="915" t="e">
        <f>VLOOKUP(B3685,'LƯƠNG KT'!$D$16:$Z$184,13,0)</f>
        <v>#N/A</v>
      </c>
      <c r="E3696" s="914"/>
      <c r="F3696" s="916"/>
      <c r="G3696" s="908" t="s">
        <v>2103</v>
      </c>
      <c r="H3696" s="909" t="s">
        <v>2104</v>
      </c>
      <c r="J3696" s="915" t="e">
        <f>VLOOKUP(H3685,'LƯƠNG KT'!$D$16:$Z$184,13,0)</f>
        <v>#N/A</v>
      </c>
    </row>
    <row r="3697" spans="1:16" ht="15" customHeight="1">
      <c r="A3697" s="905"/>
      <c r="B3697" s="546"/>
      <c r="C3697" s="910"/>
      <c r="D3697" s="609"/>
      <c r="E3697" s="917"/>
      <c r="F3697" s="904"/>
      <c r="G3697" s="905"/>
      <c r="H3697" s="546"/>
      <c r="I3697" s="910"/>
      <c r="J3697" s="609"/>
    </row>
    <row r="3698" spans="1:16" ht="15" customHeight="1">
      <c r="A3698" s="918" t="s">
        <v>383</v>
      </c>
      <c r="B3698" s="919" t="s">
        <v>384</v>
      </c>
      <c r="C3698" s="920"/>
      <c r="D3698" s="921" t="e">
        <f>SUM(D3686:D3695)</f>
        <v>#N/A</v>
      </c>
      <c r="E3698" s="922"/>
      <c r="F3698" s="923"/>
      <c r="G3698" s="918" t="s">
        <v>383</v>
      </c>
      <c r="H3698" s="919" t="s">
        <v>384</v>
      </c>
      <c r="I3698" s="920"/>
      <c r="J3698" s="921" t="e">
        <f>SUM(J3686:J3695)</f>
        <v>#N/A</v>
      </c>
      <c r="K3698" s="940" t="s">
        <v>514</v>
      </c>
      <c r="L3698" s="940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0"/>
      <c r="N3698" s="940"/>
      <c r="O3698" s="940"/>
    </row>
    <row r="3699" spans="1:16" ht="18.75" customHeight="1">
      <c r="A3699" s="925"/>
      <c r="B3699" s="925"/>
      <c r="C3699" s="929"/>
      <c r="D3699" s="930"/>
      <c r="E3699" s="925"/>
      <c r="F3699" s="931"/>
      <c r="G3699" s="925"/>
      <c r="H3699" s="925"/>
      <c r="I3699" s="929"/>
      <c r="J3699" s="930"/>
      <c r="L3699" s="898" t="e">
        <f>+'Đội 6'!AE78-'Đội 6'!#REF!</f>
        <v>#N/A</v>
      </c>
    </row>
    <row r="3700" spans="1:16" ht="18.75" customHeight="1">
      <c r="A3700" s="925"/>
      <c r="B3700" s="925"/>
      <c r="C3700" s="929"/>
      <c r="D3700" s="930"/>
      <c r="E3700" s="898"/>
      <c r="G3700" s="925"/>
      <c r="H3700" s="925"/>
      <c r="I3700" s="929"/>
      <c r="J3700" s="930"/>
      <c r="L3700" s="898" t="e">
        <f>+L3699-L3698</f>
        <v>#N/A</v>
      </c>
    </row>
    <row r="3701" spans="1:16" ht="15" customHeight="1">
      <c r="A3701" s="2360" t="str">
        <f>$K$2</f>
        <v>THÁNG 04/2025</v>
      </c>
      <c r="B3701" s="2360"/>
      <c r="C3701" s="2360"/>
      <c r="D3701" s="2360"/>
      <c r="E3701" s="903"/>
      <c r="F3701" s="904"/>
      <c r="G3701" s="2360" t="str">
        <f>$K$2</f>
        <v>THÁNG 04/2025</v>
      </c>
      <c r="H3701" s="2360"/>
      <c r="I3701" s="2360"/>
      <c r="J3701" s="2360"/>
      <c r="K3701" s="276"/>
    </row>
    <row r="3702" spans="1:16" ht="15" customHeight="1">
      <c r="A3702" s="905" t="s">
        <v>356</v>
      </c>
      <c r="B3702" s="642" t="s">
        <v>335</v>
      </c>
      <c r="C3702" s="546"/>
      <c r="D3702" s="902"/>
      <c r="E3702" s="906"/>
      <c r="F3702" s="907"/>
      <c r="G3702" s="905" t="s">
        <v>356</v>
      </c>
      <c r="H3702" s="642" t="s">
        <v>336</v>
      </c>
      <c r="I3702" s="546"/>
      <c r="J3702" s="902"/>
      <c r="K3702" s="951" t="s">
        <v>427</v>
      </c>
      <c r="L3702" s="951" t="e">
        <f>+L427</f>
        <v>#N/A</v>
      </c>
      <c r="M3702" s="951">
        <f>+'TRẠM 1'!AB108</f>
        <v>657947322</v>
      </c>
      <c r="N3702" s="952"/>
      <c r="O3702" s="952" t="e">
        <f>+L3702-M3702</f>
        <v>#N/A</v>
      </c>
      <c r="P3702" s="898" t="e">
        <f>+O3702+N3702</f>
        <v>#N/A</v>
      </c>
    </row>
    <row r="3703" spans="1:16" ht="15" customHeight="1">
      <c r="A3703" s="908" t="s">
        <v>359</v>
      </c>
      <c r="B3703" s="909" t="s">
        <v>2090</v>
      </c>
      <c r="C3703" s="910" t="e">
        <f>VLOOKUP(B3702,'LƯƠNG KT'!$D$16:$Z$184,4,0)</f>
        <v>#N/A</v>
      </c>
      <c r="D3703" s="609" t="e">
        <f>+C3703*25000</f>
        <v>#N/A</v>
      </c>
      <c r="E3703" s="911"/>
      <c r="F3703" s="911"/>
      <c r="G3703" s="908" t="s">
        <v>359</v>
      </c>
      <c r="H3703" s="909" t="s">
        <v>2090</v>
      </c>
      <c r="I3703" s="910" t="e">
        <f>VLOOKUP(H3702,'LƯƠNG KT'!$D$16:$Z$184,4,0)</f>
        <v>#N/A</v>
      </c>
      <c r="J3703" s="609" t="e">
        <f>+I3703*25000</f>
        <v>#N/A</v>
      </c>
      <c r="K3703" s="951" t="s">
        <v>520</v>
      </c>
      <c r="L3703" s="951" t="e">
        <f>+L902</f>
        <v>#N/A</v>
      </c>
      <c r="M3703" s="951" t="e">
        <f>+#REF!</f>
        <v>#REF!</v>
      </c>
      <c r="N3703" s="951"/>
      <c r="O3703" s="952" t="e">
        <f t="shared" ref="O3703:O3710" si="2">+L3703-M3703</f>
        <v>#N/A</v>
      </c>
      <c r="P3703" s="898" t="e">
        <f t="shared" ref="P3703:P3707" si="3">+O3703+N3703</f>
        <v>#N/A</v>
      </c>
    </row>
    <row r="3704" spans="1:16" ht="15" customHeight="1">
      <c r="A3704" s="908" t="s">
        <v>361</v>
      </c>
      <c r="B3704" s="909" t="s">
        <v>2091</v>
      </c>
      <c r="C3704" s="910" t="e">
        <f>VLOOKUP(B3702,'LƯƠNG KT'!$D$16:$Z$184,15,0)</f>
        <v>#N/A</v>
      </c>
      <c r="D3704" s="609" t="e">
        <f>C3704*$L$4</f>
        <v>#N/A</v>
      </c>
      <c r="E3704" s="912"/>
      <c r="F3704" s="912"/>
      <c r="G3704" s="908" t="s">
        <v>361</v>
      </c>
      <c r="H3704" s="909" t="s">
        <v>2091</v>
      </c>
      <c r="I3704" s="910" t="e">
        <f>VLOOKUP(H3702,'LƯƠNG KT'!$D$16:$Z$184,15,0)</f>
        <v>#N/A</v>
      </c>
      <c r="J3704" s="609" t="e">
        <f>I3704*$L$4</f>
        <v>#N/A</v>
      </c>
      <c r="K3704" s="951" t="s">
        <v>521</v>
      </c>
      <c r="L3704" s="951" t="e">
        <f>+M1692</f>
        <v>#N/A</v>
      </c>
      <c r="M3704" s="951" t="e">
        <f>+'Đội 3'!AE101</f>
        <v>#N/A</v>
      </c>
      <c r="N3704" s="951" t="e">
        <f>+'Đội 3'!#REF!</f>
        <v>#REF!</v>
      </c>
      <c r="O3704" s="952" t="e">
        <f t="shared" si="2"/>
        <v>#N/A</v>
      </c>
      <c r="P3704" s="898" t="e">
        <f t="shared" si="3"/>
        <v>#N/A</v>
      </c>
    </row>
    <row r="3705" spans="1:16" ht="15" customHeight="1">
      <c r="A3705" s="908" t="s">
        <v>364</v>
      </c>
      <c r="B3705" s="909" t="s">
        <v>2092</v>
      </c>
      <c r="C3705" s="910" t="e">
        <f>VLOOKUP(B3702,'LƯƠNG KT'!$D$16:$Z$184,16,0)</f>
        <v>#N/A</v>
      </c>
      <c r="D3705" s="609" t="e">
        <f>C3705*$L$5</f>
        <v>#N/A</v>
      </c>
      <c r="E3705" s="912"/>
      <c r="F3705" s="912"/>
      <c r="G3705" s="908" t="s">
        <v>364</v>
      </c>
      <c r="H3705" s="909" t="s">
        <v>2092</v>
      </c>
      <c r="I3705" s="910" t="e">
        <f>VLOOKUP(H3702,'LƯƠNG KT'!$D$16:$Z$184,16,0)</f>
        <v>#N/A</v>
      </c>
      <c r="J3705" s="609" t="e">
        <f>I3705*$L$5</f>
        <v>#N/A</v>
      </c>
      <c r="K3705" s="951" t="s">
        <v>123</v>
      </c>
      <c r="L3705" s="951" t="e">
        <f>+L2618</f>
        <v>#N/A</v>
      </c>
      <c r="M3705" s="951" t="e">
        <f>+'Đội 4'!AE99</f>
        <v>#N/A</v>
      </c>
      <c r="N3705" s="951" t="e">
        <f>'Đội 4'!AE98</f>
        <v>#N/A</v>
      </c>
      <c r="O3705" s="952" t="e">
        <f t="shared" si="2"/>
        <v>#N/A</v>
      </c>
      <c r="P3705" s="898" t="e">
        <f t="shared" si="3"/>
        <v>#N/A</v>
      </c>
    </row>
    <row r="3706" spans="1:16" ht="15" customHeight="1">
      <c r="A3706" s="908" t="s">
        <v>370</v>
      </c>
      <c r="B3706" s="909" t="s">
        <v>2093</v>
      </c>
      <c r="C3706" s="910" t="e">
        <f>VLOOKUP(B3702,'LƯƠNG KT'!$D$16:$Z$184,24,0)</f>
        <v>#N/A</v>
      </c>
      <c r="D3706" s="609" t="e">
        <f>+C3706*$L$6</f>
        <v>#N/A</v>
      </c>
      <c r="E3706" s="912"/>
      <c r="F3706" s="912"/>
      <c r="G3706" s="908" t="s">
        <v>370</v>
      </c>
      <c r="H3706" s="909" t="s">
        <v>2093</v>
      </c>
      <c r="I3706" s="910" t="e">
        <f>VLOOKUP(H3702,'LƯƠNG KT'!$D$16:$Z$184,24,0)</f>
        <v>#N/A</v>
      </c>
      <c r="J3706" s="609" t="e">
        <f>+I3706*$L$6</f>
        <v>#N/A</v>
      </c>
      <c r="K3706" s="951" t="s">
        <v>522</v>
      </c>
      <c r="L3706" s="951" t="e">
        <f>+L3301</f>
        <v>#N/A</v>
      </c>
      <c r="M3706" s="951" t="e">
        <f>+'Đội 5'!AE85+'Đội 5 - KV71ha'!AE21</f>
        <v>#N/A</v>
      </c>
      <c r="N3706" s="951" t="e">
        <f>+'Đội 5'!#REF!</f>
        <v>#REF!</v>
      </c>
      <c r="O3706" s="952" t="e">
        <f t="shared" si="2"/>
        <v>#N/A</v>
      </c>
      <c r="P3706" s="898" t="e">
        <f t="shared" si="3"/>
        <v>#N/A</v>
      </c>
    </row>
    <row r="3707" spans="1:16" ht="15" customHeight="1">
      <c r="A3707" s="908" t="s">
        <v>2094</v>
      </c>
      <c r="B3707" s="909" t="s">
        <v>2095</v>
      </c>
      <c r="C3707" s="910" t="e">
        <f>VLOOKUP(B3702,'LƯƠNG KT'!$D$16:$Z$184,19,0)</f>
        <v>#N/A</v>
      </c>
      <c r="D3707" s="609" t="e">
        <f>+C3707*$L$8</f>
        <v>#N/A</v>
      </c>
      <c r="E3707" s="912"/>
      <c r="F3707" s="912"/>
      <c r="G3707" s="908" t="s">
        <v>2094</v>
      </c>
      <c r="H3707" s="909" t="s">
        <v>2095</v>
      </c>
      <c r="I3707" s="910" t="e">
        <f>VLOOKUP(H3702,'LƯƠNG KT'!$D$16:$Z$184,19,0)</f>
        <v>#N/A</v>
      </c>
      <c r="J3707" s="609" t="e">
        <f>+I3707*$L$8</f>
        <v>#N/A</v>
      </c>
      <c r="K3707" s="951" t="s">
        <v>285</v>
      </c>
      <c r="L3707" s="951" t="e">
        <f>+L3698</f>
        <v>#N/A</v>
      </c>
      <c r="M3707" s="951" t="e">
        <f>+'Đội 6'!AE78</f>
        <v>#N/A</v>
      </c>
      <c r="N3707" s="951" t="e">
        <f>+'Đội 6'!#REF!</f>
        <v>#REF!</v>
      </c>
      <c r="O3707" s="952" t="e">
        <f t="shared" si="2"/>
        <v>#N/A</v>
      </c>
      <c r="P3707" s="898" t="e">
        <f t="shared" si="3"/>
        <v>#N/A</v>
      </c>
    </row>
    <row r="3708" spans="1:16" ht="15" customHeight="1">
      <c r="A3708" s="908" t="s">
        <v>2096</v>
      </c>
      <c r="B3708" s="913" t="s">
        <v>2097</v>
      </c>
      <c r="C3708" s="910" t="e">
        <f>VLOOKUP(B3702,'LƯƠNG KT'!$D$16:$Z$184,20,0)</f>
        <v>#N/A</v>
      </c>
      <c r="D3708" s="609" t="e">
        <f>+C3708*$L$9</f>
        <v>#N/A</v>
      </c>
      <c r="E3708" s="912"/>
      <c r="F3708" s="912"/>
      <c r="G3708" s="908" t="s">
        <v>2096</v>
      </c>
      <c r="H3708" s="913" t="s">
        <v>2097</v>
      </c>
      <c r="I3708" s="910" t="e">
        <f>VLOOKUP(H3702,'LƯƠNG KT'!$D$16:$Z$184,20,0)</f>
        <v>#N/A</v>
      </c>
      <c r="J3708" s="609" t="e">
        <f>+I3708*$L$9</f>
        <v>#N/A</v>
      </c>
      <c r="K3708" s="951" t="s">
        <v>523</v>
      </c>
      <c r="L3708" s="951" t="e">
        <f>+L1848</f>
        <v>#N/A</v>
      </c>
      <c r="M3708" s="951" t="e">
        <f>+'Đ3 - XC'!AE21</f>
        <v>#N/A</v>
      </c>
      <c r="N3708" s="951"/>
      <c r="O3708" s="952" t="e">
        <f t="shared" si="2"/>
        <v>#N/A</v>
      </c>
    </row>
    <row r="3709" spans="1:16" ht="15" customHeight="1">
      <c r="A3709" s="908" t="s">
        <v>2099</v>
      </c>
      <c r="B3709" s="909" t="s">
        <v>2100</v>
      </c>
      <c r="C3709" s="910" t="e">
        <f>VLOOKUP(B3702,'LƯƠNG KT'!$D$16:$Z$184,17,0)</f>
        <v>#N/A</v>
      </c>
      <c r="D3709" s="609" t="e">
        <f>+C3709*$L$10</f>
        <v>#N/A</v>
      </c>
      <c r="E3709" s="912"/>
      <c r="F3709" s="912"/>
      <c r="G3709" s="908" t="s">
        <v>2099</v>
      </c>
      <c r="H3709" s="909" t="s">
        <v>2100</v>
      </c>
      <c r="I3709" s="910" t="e">
        <f>VLOOKUP(H3702,'LƯƠNG KT'!$D$16:$Z$184,17,0)</f>
        <v>#N/A</v>
      </c>
      <c r="J3709" s="609" t="e">
        <f>+I3709*$L$10</f>
        <v>#N/A</v>
      </c>
      <c r="K3709" s="951" t="s">
        <v>524</v>
      </c>
      <c r="L3709" s="951" t="e">
        <f>+L1793</f>
        <v>#N/A</v>
      </c>
      <c r="M3709" s="951" t="e">
        <f>'Đ3 - TC'!AE25</f>
        <v>#N/A</v>
      </c>
      <c r="N3709" s="951"/>
      <c r="O3709" s="952" t="e">
        <f t="shared" si="2"/>
        <v>#N/A</v>
      </c>
    </row>
    <row r="3710" spans="1:16" ht="15" customHeight="1">
      <c r="A3710" s="908" t="s">
        <v>2117</v>
      </c>
      <c r="B3710" s="913" t="s">
        <v>2116</v>
      </c>
      <c r="C3710" s="910" t="e">
        <f>VLOOKUP(B3702,'LƯƠNG KT'!$D$16:$Z$184,21,0)</f>
        <v>#N/A</v>
      </c>
      <c r="D3710" s="609" t="e">
        <f>+C3710*$L$7</f>
        <v>#N/A</v>
      </c>
      <c r="E3710" s="912"/>
      <c r="F3710" s="912"/>
      <c r="G3710" s="908" t="s">
        <v>2117</v>
      </c>
      <c r="H3710" s="913" t="s">
        <v>2116</v>
      </c>
      <c r="I3710" s="910" t="e">
        <f>VLOOKUP(H3702,'LƯƠNG KT'!$D$16:$Z$184,21,0)</f>
        <v>#N/A</v>
      </c>
      <c r="J3710" s="609" t="e">
        <f>+I3710*$L$7</f>
        <v>#N/A</v>
      </c>
      <c r="K3710" s="951" t="s">
        <v>525</v>
      </c>
      <c r="L3710" s="951" t="e">
        <f>SUM(L3702:L3709)</f>
        <v>#N/A</v>
      </c>
      <c r="M3710" s="951" t="e">
        <f>SUM(M3702:M3709)</f>
        <v>#REF!</v>
      </c>
      <c r="N3710" s="951" t="e">
        <f>SUM(N3702:N3709)</f>
        <v>#REF!</v>
      </c>
      <c r="O3710" s="952" t="e">
        <f t="shared" si="2"/>
        <v>#N/A</v>
      </c>
    </row>
    <row r="3711" spans="1:16" ht="15" customHeight="1">
      <c r="A3711" s="908" t="s">
        <v>2118</v>
      </c>
      <c r="B3711" s="909" t="s">
        <v>2112</v>
      </c>
      <c r="C3711" s="910" t="e">
        <f>VLOOKUP(B3702,'LƯƠNG KT'!$D$16:$Z$184,23,0)</f>
        <v>#N/A</v>
      </c>
      <c r="D3711" s="609" t="e">
        <f>+C3711*20000</f>
        <v>#N/A</v>
      </c>
      <c r="E3711" s="914"/>
      <c r="F3711" s="912"/>
      <c r="G3711" s="908" t="s">
        <v>2118</v>
      </c>
      <c r="H3711" s="909" t="s">
        <v>2112</v>
      </c>
      <c r="I3711" s="910" t="e">
        <f>VLOOKUP(H3702,'LƯƠNG KT'!$D$16:$Z$184,23,0)</f>
        <v>#N/A</v>
      </c>
      <c r="J3711" s="609" t="e">
        <f>+I3711*20000</f>
        <v>#N/A</v>
      </c>
      <c r="K3711" s="951"/>
      <c r="L3711" s="951"/>
      <c r="M3711" s="951"/>
      <c r="N3711" s="951"/>
      <c r="O3711" s="952"/>
    </row>
    <row r="3712" spans="1:16" ht="15" customHeight="1">
      <c r="A3712" s="908" t="s">
        <v>374</v>
      </c>
      <c r="B3712" s="909" t="s">
        <v>2102</v>
      </c>
      <c r="C3712" s="910" t="e">
        <f>VLOOKUP(B3702,'LƯƠNG KT'!$D$16:$Z$184,12,0)</f>
        <v>#N/A</v>
      </c>
      <c r="D3712" s="609" t="e">
        <f>VLOOKUP(B3702,'LƯƠNG KT'!$D$16:$Z$184,14,0)</f>
        <v>#N/A</v>
      </c>
      <c r="E3712" s="916"/>
      <c r="F3712" s="916"/>
      <c r="G3712" s="908" t="s">
        <v>374</v>
      </c>
      <c r="H3712" s="909" t="s">
        <v>2102</v>
      </c>
      <c r="I3712" s="910" t="e">
        <f>VLOOKUP(H3702,'LƯƠNG KT'!$D$16:$Z$184,12,0)</f>
        <v>#N/A</v>
      </c>
      <c r="J3712" s="609" t="e">
        <f>VLOOKUP(H3702,'LƯƠNG KT'!$D$16:$Z$184,14,0)</f>
        <v>#N/A</v>
      </c>
      <c r="M3712" s="951"/>
      <c r="N3712" s="951" t="e">
        <f>+M3710-N3710</f>
        <v>#REF!</v>
      </c>
      <c r="O3712" s="952" t="e">
        <f>+L3710-N3712</f>
        <v>#N/A</v>
      </c>
    </row>
    <row r="3713" spans="1:15" ht="15" customHeight="1">
      <c r="A3713" s="908" t="s">
        <v>2103</v>
      </c>
      <c r="B3713" s="909" t="s">
        <v>2104</v>
      </c>
      <c r="D3713" s="915" t="e">
        <f>VLOOKUP(B3702,'LƯƠNG KT'!$D$16:$Z$184,13,0)</f>
        <v>#N/A</v>
      </c>
      <c r="E3713" s="914"/>
      <c r="F3713" s="916"/>
      <c r="G3713" s="908" t="s">
        <v>2103</v>
      </c>
      <c r="H3713" s="909" t="s">
        <v>2104</v>
      </c>
      <c r="J3713" s="915" t="e">
        <f>VLOOKUP(H3702,'LƯƠNG KT'!$D$16:$Z$184,13,0)</f>
        <v>#N/A</v>
      </c>
    </row>
    <row r="3714" spans="1:15" ht="15" customHeight="1">
      <c r="A3714" s="905"/>
      <c r="B3714" s="546"/>
      <c r="C3714" s="910"/>
      <c r="D3714" s="609"/>
      <c r="E3714" s="917"/>
      <c r="F3714" s="904"/>
      <c r="G3714" s="905"/>
      <c r="H3714" s="546"/>
      <c r="I3714" s="910"/>
      <c r="J3714" s="609"/>
      <c r="L3714" s="898" t="e">
        <f>+#REF!+L3710</f>
        <v>#REF!</v>
      </c>
    </row>
    <row r="3715" spans="1:15" ht="15" customHeight="1">
      <c r="A3715" s="918" t="s">
        <v>383</v>
      </c>
      <c r="B3715" s="919" t="s">
        <v>384</v>
      </c>
      <c r="C3715" s="920"/>
      <c r="D3715" s="921" t="e">
        <f>SUM(D3703:D3712)</f>
        <v>#N/A</v>
      </c>
      <c r="E3715" s="922"/>
      <c r="F3715" s="923"/>
      <c r="G3715" s="918" t="s">
        <v>383</v>
      </c>
      <c r="H3715" s="919" t="s">
        <v>384</v>
      </c>
      <c r="I3715" s="920"/>
      <c r="J3715" s="921" t="e">
        <f>SUM(J3703:J3712)</f>
        <v>#N/A</v>
      </c>
    </row>
    <row r="3716" spans="1:15" ht="104.25" customHeight="1">
      <c r="A3716" s="918"/>
      <c r="B3716" s="919"/>
      <c r="C3716" s="920"/>
      <c r="D3716" s="921"/>
      <c r="E3716" s="946"/>
      <c r="F3716" s="923"/>
      <c r="G3716" s="918"/>
      <c r="H3716" s="919"/>
      <c r="I3716" s="920"/>
      <c r="J3716" s="921"/>
    </row>
    <row r="3717" spans="1:15" ht="15" customHeight="1">
      <c r="A3717" s="2360" t="str">
        <f>$K$2</f>
        <v>THÁNG 04/2025</v>
      </c>
      <c r="B3717" s="2360"/>
      <c r="C3717" s="2360"/>
      <c r="D3717" s="2360"/>
      <c r="E3717" s="903"/>
      <c r="F3717" s="904"/>
      <c r="G3717" s="2360" t="str">
        <f>$K$2</f>
        <v>THÁNG 04/2025</v>
      </c>
      <c r="H3717" s="2360"/>
      <c r="I3717" s="2360"/>
      <c r="J3717" s="2360"/>
      <c r="K3717" s="276"/>
    </row>
    <row r="3718" spans="1:15" ht="15" customHeight="1">
      <c r="A3718" s="905" t="s">
        <v>356</v>
      </c>
      <c r="B3718" s="642" t="s">
        <v>337</v>
      </c>
      <c r="C3718" s="546"/>
      <c r="D3718" s="902"/>
      <c r="E3718" s="906"/>
      <c r="F3718" s="907"/>
      <c r="G3718" s="905" t="s">
        <v>356</v>
      </c>
      <c r="H3718" s="642" t="s">
        <v>338</v>
      </c>
      <c r="I3718" s="546"/>
      <c r="J3718" s="902"/>
      <c r="L3718" s="938"/>
      <c r="M3718" s="938"/>
      <c r="N3718" s="938"/>
      <c r="O3718" s="938"/>
    </row>
    <row r="3719" spans="1:15" ht="15" customHeight="1">
      <c r="A3719" s="908" t="s">
        <v>359</v>
      </c>
      <c r="B3719" s="909" t="s">
        <v>2090</v>
      </c>
      <c r="C3719" s="910" t="e">
        <f>VLOOKUP(B3718,'LƯƠNG KT'!$D$16:$Z$184,4,0)</f>
        <v>#N/A</v>
      </c>
      <c r="D3719" s="609" t="e">
        <f>+C3719*25000</f>
        <v>#N/A</v>
      </c>
      <c r="E3719" s="911"/>
      <c r="F3719" s="911"/>
      <c r="G3719" s="908" t="s">
        <v>359</v>
      </c>
      <c r="H3719" s="909" t="s">
        <v>2090</v>
      </c>
      <c r="I3719" s="910" t="e">
        <f>VLOOKUP(H3718,'LƯƠNG KT'!$D$16:$Z$184,4,0)</f>
        <v>#N/A</v>
      </c>
      <c r="J3719" s="609" t="e">
        <f>+I3719*25000</f>
        <v>#N/A</v>
      </c>
      <c r="K3719" s="934"/>
      <c r="L3719" s="935"/>
      <c r="M3719" s="935"/>
      <c r="N3719" s="935"/>
      <c r="O3719" s="935"/>
    </row>
    <row r="3720" spans="1:15" ht="15" customHeight="1">
      <c r="A3720" s="908" t="s">
        <v>361</v>
      </c>
      <c r="B3720" s="909" t="s">
        <v>2091</v>
      </c>
      <c r="C3720" s="910" t="e">
        <f>VLOOKUP(B3718,'LƯƠNG KT'!$D$16:$Z$184,15,0)</f>
        <v>#N/A</v>
      </c>
      <c r="D3720" s="609" t="e">
        <f>C3720*$L$4</f>
        <v>#N/A</v>
      </c>
      <c r="E3720" s="912"/>
      <c r="F3720" s="912"/>
      <c r="G3720" s="908" t="s">
        <v>361</v>
      </c>
      <c r="H3720" s="909" t="s">
        <v>2091</v>
      </c>
      <c r="I3720" s="910" t="e">
        <f>VLOOKUP(H3718,'LƯƠNG KT'!$D$16:$Z$184,15,0)</f>
        <v>#N/A</v>
      </c>
      <c r="J3720" s="609" t="e">
        <f>I3720*$L$4</f>
        <v>#N/A</v>
      </c>
      <c r="K3720" s="934"/>
      <c r="L3720" s="935"/>
      <c r="M3720" s="935"/>
      <c r="N3720" s="935"/>
      <c r="O3720" s="935"/>
    </row>
    <row r="3721" spans="1:15" ht="15" customHeight="1">
      <c r="A3721" s="908" t="s">
        <v>364</v>
      </c>
      <c r="B3721" s="909" t="s">
        <v>2092</v>
      </c>
      <c r="C3721" s="910" t="e">
        <f>VLOOKUP(B3718,'LƯƠNG KT'!$D$16:$Z$184,16,0)</f>
        <v>#N/A</v>
      </c>
      <c r="D3721" s="609" t="e">
        <f>C3721*$L$5</f>
        <v>#N/A</v>
      </c>
      <c r="E3721" s="912"/>
      <c r="F3721" s="912"/>
      <c r="G3721" s="908" t="s">
        <v>364</v>
      </c>
      <c r="H3721" s="909" t="s">
        <v>2092</v>
      </c>
      <c r="I3721" s="910" t="e">
        <f>VLOOKUP(H3718,'LƯƠNG KT'!$D$16:$Z$184,16,0)</f>
        <v>#N/A</v>
      </c>
      <c r="J3721" s="609" t="e">
        <f>I3721*$L$5</f>
        <v>#N/A</v>
      </c>
      <c r="K3721" s="934"/>
      <c r="L3721" s="935"/>
      <c r="M3721" s="935"/>
      <c r="N3721" s="935"/>
      <c r="O3721" s="935"/>
    </row>
    <row r="3722" spans="1:15" ht="15" customHeight="1">
      <c r="A3722" s="908" t="s">
        <v>370</v>
      </c>
      <c r="B3722" s="909" t="s">
        <v>2093</v>
      </c>
      <c r="C3722" s="910" t="e">
        <f>VLOOKUP(B3718,'LƯƠNG KT'!$D$16:$Z$184,24,0)</f>
        <v>#N/A</v>
      </c>
      <c r="D3722" s="609" t="e">
        <f>+C3722*$L$6</f>
        <v>#N/A</v>
      </c>
      <c r="E3722" s="912"/>
      <c r="F3722" s="912"/>
      <c r="G3722" s="908" t="s">
        <v>370</v>
      </c>
      <c r="H3722" s="909" t="s">
        <v>2093</v>
      </c>
      <c r="I3722" s="910" t="e">
        <f>VLOOKUP(H3718,'LƯƠNG KT'!$D$16:$Z$184,24,0)</f>
        <v>#N/A</v>
      </c>
      <c r="J3722" s="609" t="e">
        <f>+I3722*$L$6</f>
        <v>#N/A</v>
      </c>
      <c r="K3722" s="935"/>
      <c r="L3722" s="935"/>
      <c r="M3722" s="935"/>
      <c r="N3722" s="935"/>
      <c r="O3722" s="935"/>
    </row>
    <row r="3723" spans="1:15" ht="15" customHeight="1">
      <c r="A3723" s="908" t="s">
        <v>2094</v>
      </c>
      <c r="B3723" s="909" t="s">
        <v>2095</v>
      </c>
      <c r="C3723" s="910" t="e">
        <f>VLOOKUP(B3718,'LƯƠNG KT'!$D$16:$Z$184,19,0)</f>
        <v>#N/A</v>
      </c>
      <c r="D3723" s="609" t="e">
        <f>+C3723*$L$8</f>
        <v>#N/A</v>
      </c>
      <c r="E3723" s="912"/>
      <c r="F3723" s="912"/>
      <c r="G3723" s="908" t="s">
        <v>2094</v>
      </c>
      <c r="H3723" s="909" t="s">
        <v>2095</v>
      </c>
      <c r="I3723" s="910" t="e">
        <f>VLOOKUP(H3718,'LƯƠNG KT'!$D$16:$Z$184,19,0)</f>
        <v>#N/A</v>
      </c>
      <c r="J3723" s="609" t="e">
        <f>+I3723*$L$8</f>
        <v>#N/A</v>
      </c>
      <c r="K3723" s="935"/>
      <c r="L3723" s="935"/>
      <c r="M3723" s="935"/>
      <c r="N3723" s="935"/>
      <c r="O3723" s="935"/>
    </row>
    <row r="3724" spans="1:15" ht="15" customHeight="1">
      <c r="A3724" s="908" t="s">
        <v>2096</v>
      </c>
      <c r="B3724" s="913" t="s">
        <v>2097</v>
      </c>
      <c r="C3724" s="910" t="e">
        <f>VLOOKUP(B3718,'LƯƠNG KT'!$D$16:$Z$184,20,0)</f>
        <v>#N/A</v>
      </c>
      <c r="D3724" s="609" t="e">
        <f>+C3724*$L$9</f>
        <v>#N/A</v>
      </c>
      <c r="E3724" s="912"/>
      <c r="F3724" s="912"/>
      <c r="G3724" s="908" t="s">
        <v>2096</v>
      </c>
      <c r="H3724" s="913" t="s">
        <v>2097</v>
      </c>
      <c r="I3724" s="910" t="e">
        <f>VLOOKUP(H3718,'LƯƠNG KT'!$D$16:$Z$184,20,0)</f>
        <v>#N/A</v>
      </c>
      <c r="J3724" s="609" t="e">
        <f>+I3724*$L$9</f>
        <v>#N/A</v>
      </c>
      <c r="K3724" s="935"/>
      <c r="L3724" s="935"/>
      <c r="M3724" s="935"/>
      <c r="N3724" s="935"/>
      <c r="O3724" s="935"/>
    </row>
    <row r="3725" spans="1:15" ht="15" customHeight="1">
      <c r="A3725" s="908" t="s">
        <v>2099</v>
      </c>
      <c r="B3725" s="909" t="s">
        <v>2100</v>
      </c>
      <c r="C3725" s="910" t="e">
        <f>VLOOKUP(B3718,'LƯƠNG KT'!$D$16:$Z$184,17,0)</f>
        <v>#N/A</v>
      </c>
      <c r="D3725" s="609" t="e">
        <f>+C3725*$L$10</f>
        <v>#N/A</v>
      </c>
      <c r="E3725" s="912"/>
      <c r="F3725" s="912"/>
      <c r="G3725" s="908" t="s">
        <v>2099</v>
      </c>
      <c r="H3725" s="909" t="s">
        <v>2100</v>
      </c>
      <c r="I3725" s="910" t="e">
        <f>VLOOKUP(H3718,'LƯƠNG KT'!$D$16:$Z$184,17,0)</f>
        <v>#N/A</v>
      </c>
      <c r="J3725" s="609" t="e">
        <f>+I3725*$L$10</f>
        <v>#N/A</v>
      </c>
      <c r="K3725" s="935"/>
      <c r="L3725" s="935"/>
      <c r="M3725" s="935"/>
      <c r="N3725" s="935"/>
      <c r="O3725" s="935"/>
    </row>
    <row r="3726" spans="1:15" ht="15" customHeight="1">
      <c r="A3726" s="908" t="s">
        <v>2117</v>
      </c>
      <c r="B3726" s="913" t="s">
        <v>2116</v>
      </c>
      <c r="C3726" s="910" t="e">
        <f>VLOOKUP(B3718,'LƯƠNG KT'!$D$16:$Z$184,21,0)</f>
        <v>#N/A</v>
      </c>
      <c r="D3726" s="609" t="e">
        <f>+C3726*$L$7</f>
        <v>#N/A</v>
      </c>
      <c r="E3726" s="912"/>
      <c r="F3726" s="912"/>
      <c r="G3726" s="908" t="s">
        <v>2117</v>
      </c>
      <c r="H3726" s="913" t="s">
        <v>2116</v>
      </c>
      <c r="I3726" s="910" t="e">
        <f>VLOOKUP(H3718,'LƯƠNG KT'!$D$16:$Z$184,21,0)</f>
        <v>#N/A</v>
      </c>
      <c r="J3726" s="609" t="e">
        <f>+I3726*$L$7</f>
        <v>#N/A</v>
      </c>
      <c r="K3726" s="935"/>
      <c r="L3726" s="935"/>
      <c r="M3726" s="935"/>
      <c r="N3726" s="935"/>
      <c r="O3726" s="935"/>
    </row>
    <row r="3727" spans="1:15" ht="15" customHeight="1">
      <c r="A3727" s="908" t="s">
        <v>2118</v>
      </c>
      <c r="B3727" s="909" t="s">
        <v>2112</v>
      </c>
      <c r="C3727" s="910" t="e">
        <f>VLOOKUP(B3718,'LƯƠNG KT'!$D$16:$Z$184,23,0)</f>
        <v>#N/A</v>
      </c>
      <c r="D3727" s="609" t="e">
        <f>+C3727*20000</f>
        <v>#N/A</v>
      </c>
      <c r="E3727" s="914"/>
      <c r="F3727" s="912"/>
      <c r="G3727" s="908" t="s">
        <v>2118</v>
      </c>
      <c r="H3727" s="909" t="s">
        <v>2112</v>
      </c>
      <c r="I3727" s="910" t="e">
        <f>VLOOKUP(H3718,'LƯƠNG KT'!$D$16:$Z$184,23,0)</f>
        <v>#N/A</v>
      </c>
      <c r="J3727" s="609" t="e">
        <f>+I3727*20000</f>
        <v>#N/A</v>
      </c>
      <c r="K3727" s="935"/>
      <c r="L3727" s="935"/>
      <c r="M3727" s="935"/>
      <c r="N3727" s="935"/>
      <c r="O3727" s="935"/>
    </row>
    <row r="3728" spans="1:15" ht="15" customHeight="1">
      <c r="A3728" s="908" t="s">
        <v>374</v>
      </c>
      <c r="B3728" s="909" t="s">
        <v>2102</v>
      </c>
      <c r="C3728" s="910" t="e">
        <f>VLOOKUP(B3718,'LƯƠNG KT'!$D$16:$Z$184,12,0)</f>
        <v>#N/A</v>
      </c>
      <c r="D3728" s="609" t="e">
        <f>VLOOKUP(B3718,'LƯƠNG KT'!$D$16:$Z$184,14,0)</f>
        <v>#N/A</v>
      </c>
      <c r="E3728" s="916"/>
      <c r="F3728" s="916"/>
      <c r="G3728" s="908" t="s">
        <v>374</v>
      </c>
      <c r="H3728" s="909" t="s">
        <v>2102</v>
      </c>
      <c r="I3728" s="910" t="e">
        <f>VLOOKUP(H3718,'LƯƠNG KT'!$D$16:$Z$184,12,0)</f>
        <v>#N/A</v>
      </c>
      <c r="J3728" s="609" t="e">
        <f>VLOOKUP(H3718,'LƯƠNG KT'!$D$16:$Z$184,14,0)</f>
        <v>#N/A</v>
      </c>
      <c r="K3728" s="935"/>
      <c r="L3728" s="935"/>
      <c r="M3728" s="935"/>
      <c r="N3728" s="935"/>
      <c r="O3728" s="935"/>
    </row>
    <row r="3729" spans="1:15" ht="15" customHeight="1">
      <c r="A3729" s="908" t="s">
        <v>2103</v>
      </c>
      <c r="B3729" s="909" t="s">
        <v>2104</v>
      </c>
      <c r="D3729" s="915" t="e">
        <f>VLOOKUP(B3718,'LƯƠNG KT'!$D$16:$Z$184,13,0)</f>
        <v>#N/A</v>
      </c>
      <c r="E3729" s="914"/>
      <c r="F3729" s="916"/>
      <c r="G3729" s="908" t="s">
        <v>2103</v>
      </c>
      <c r="H3729" s="909" t="s">
        <v>2104</v>
      </c>
      <c r="J3729" s="915" t="e">
        <f>VLOOKUP(H3718,'LƯƠNG KT'!$D$16:$Z$184,13,0)</f>
        <v>#N/A</v>
      </c>
    </row>
    <row r="3730" spans="1:15" ht="15" customHeight="1">
      <c r="A3730" s="905"/>
      <c r="B3730" s="546"/>
      <c r="C3730" s="910"/>
      <c r="D3730" s="609"/>
      <c r="E3730" s="917"/>
      <c r="F3730" s="904"/>
      <c r="G3730" s="905"/>
      <c r="H3730" s="546"/>
      <c r="I3730" s="910"/>
      <c r="J3730" s="609"/>
    </row>
    <row r="3731" spans="1:15" ht="15" customHeight="1">
      <c r="A3731" s="918" t="s">
        <v>383</v>
      </c>
      <c r="B3731" s="919" t="s">
        <v>384</v>
      </c>
      <c r="C3731" s="920"/>
      <c r="D3731" s="921" t="e">
        <f>SUM(D3719:D3728)</f>
        <v>#N/A</v>
      </c>
      <c r="E3731" s="922"/>
      <c r="F3731" s="923"/>
      <c r="G3731" s="918" t="s">
        <v>383</v>
      </c>
      <c r="H3731" s="919" t="s">
        <v>384</v>
      </c>
      <c r="I3731" s="920"/>
      <c r="J3731" s="921" t="e">
        <f>SUM(J3719:J3728)</f>
        <v>#N/A</v>
      </c>
    </row>
    <row r="3732" spans="1:15" ht="18" customHeight="1">
      <c r="A3732" s="924"/>
      <c r="B3732" s="925"/>
      <c r="C3732" s="926"/>
      <c r="D3732" s="927"/>
      <c r="E3732" s="927"/>
      <c r="F3732" s="928"/>
      <c r="G3732" s="924"/>
      <c r="H3732" s="925"/>
      <c r="I3732" s="926"/>
      <c r="J3732" s="927"/>
    </row>
    <row r="3733" spans="1:15" ht="18" customHeight="1">
      <c r="A3733" s="925"/>
      <c r="B3733" s="925"/>
      <c r="C3733" s="929"/>
      <c r="D3733" s="930"/>
      <c r="E3733" s="925"/>
      <c r="F3733" s="931"/>
      <c r="G3733" s="925"/>
      <c r="H3733" s="925"/>
      <c r="I3733" s="929"/>
      <c r="J3733" s="930"/>
    </row>
    <row r="3734" spans="1:15" ht="15" customHeight="1">
      <c r="A3734" s="2360" t="str">
        <f>$K$2</f>
        <v>THÁNG 04/2025</v>
      </c>
      <c r="B3734" s="2360"/>
      <c r="C3734" s="2360"/>
      <c r="D3734" s="2360"/>
      <c r="E3734" s="903"/>
      <c r="F3734" s="904"/>
      <c r="G3734" s="2360" t="str">
        <f>$K$2</f>
        <v>THÁNG 04/2025</v>
      </c>
      <c r="H3734" s="2360"/>
      <c r="I3734" s="2360"/>
      <c r="J3734" s="2360"/>
      <c r="K3734" s="276"/>
    </row>
    <row r="3735" spans="1:15" ht="15" customHeight="1">
      <c r="A3735" s="905" t="s">
        <v>356</v>
      </c>
      <c r="B3735" s="642" t="s">
        <v>339</v>
      </c>
      <c r="C3735" s="546"/>
      <c r="D3735" s="902"/>
      <c r="E3735" s="906"/>
      <c r="F3735" s="907"/>
      <c r="G3735" s="905" t="s">
        <v>356</v>
      </c>
      <c r="H3735" s="642" t="s">
        <v>340</v>
      </c>
      <c r="I3735" s="546"/>
      <c r="J3735" s="902"/>
      <c r="L3735" s="938"/>
      <c r="M3735" s="938"/>
      <c r="N3735" s="938"/>
      <c r="O3735" s="938"/>
    </row>
    <row r="3736" spans="1:15" ht="15" customHeight="1">
      <c r="A3736" s="908" t="s">
        <v>359</v>
      </c>
      <c r="B3736" s="909" t="s">
        <v>2090</v>
      </c>
      <c r="C3736" s="910" t="e">
        <f>VLOOKUP(B3735,'LƯƠNG KT'!$D$16:$Z$184,4,0)</f>
        <v>#N/A</v>
      </c>
      <c r="D3736" s="609" t="e">
        <f>+C3736*25000</f>
        <v>#N/A</v>
      </c>
      <c r="E3736" s="911"/>
      <c r="F3736" s="911"/>
      <c r="G3736" s="908" t="s">
        <v>359</v>
      </c>
      <c r="H3736" s="909" t="s">
        <v>2090</v>
      </c>
      <c r="I3736" s="910" t="e">
        <f>VLOOKUP(H3735,'LƯƠNG KT'!$D$16:$Z$184,4,0)</f>
        <v>#N/A</v>
      </c>
      <c r="J3736" s="609" t="e">
        <f>+I3736*25000</f>
        <v>#N/A</v>
      </c>
      <c r="K3736" s="935"/>
      <c r="L3736" s="935"/>
      <c r="M3736" s="935"/>
      <c r="N3736" s="935"/>
      <c r="O3736" s="935"/>
    </row>
    <row r="3737" spans="1:15" ht="15" customHeight="1">
      <c r="A3737" s="908" t="s">
        <v>361</v>
      </c>
      <c r="B3737" s="909" t="s">
        <v>2091</v>
      </c>
      <c r="C3737" s="910" t="e">
        <f>VLOOKUP(B3735,'LƯƠNG KT'!$D$16:$Z$184,15,0)</f>
        <v>#N/A</v>
      </c>
      <c r="D3737" s="609" t="e">
        <f>C3737*$L$4</f>
        <v>#N/A</v>
      </c>
      <c r="E3737" s="912"/>
      <c r="F3737" s="912"/>
      <c r="G3737" s="908" t="s">
        <v>361</v>
      </c>
      <c r="H3737" s="909" t="s">
        <v>2091</v>
      </c>
      <c r="I3737" s="910" t="e">
        <f>VLOOKUP(H3735,'LƯƠNG KT'!$D$16:$Z$184,15,0)</f>
        <v>#N/A</v>
      </c>
      <c r="J3737" s="609" t="e">
        <f>I3737*$L$4</f>
        <v>#N/A</v>
      </c>
      <c r="K3737" s="935"/>
      <c r="L3737" s="935"/>
      <c r="M3737" s="935"/>
      <c r="N3737" s="935"/>
      <c r="O3737" s="935"/>
    </row>
    <row r="3738" spans="1:15" ht="15" customHeight="1">
      <c r="A3738" s="908" t="s">
        <v>364</v>
      </c>
      <c r="B3738" s="909" t="s">
        <v>2092</v>
      </c>
      <c r="C3738" s="910" t="e">
        <f>VLOOKUP(B3735,'LƯƠNG KT'!$D$16:$Z$184,16,0)</f>
        <v>#N/A</v>
      </c>
      <c r="D3738" s="609" t="e">
        <f>C3738*$L$5</f>
        <v>#N/A</v>
      </c>
      <c r="E3738" s="912"/>
      <c r="F3738" s="912"/>
      <c r="G3738" s="908" t="s">
        <v>364</v>
      </c>
      <c r="H3738" s="909" t="s">
        <v>2092</v>
      </c>
      <c r="I3738" s="910" t="e">
        <f>VLOOKUP(H3735,'LƯƠNG KT'!$D$16:$Z$184,16,0)</f>
        <v>#N/A</v>
      </c>
      <c r="J3738" s="609" t="e">
        <f>I3738*$L$5</f>
        <v>#N/A</v>
      </c>
      <c r="K3738" s="935"/>
      <c r="L3738" s="935"/>
      <c r="M3738" s="935"/>
      <c r="N3738" s="935"/>
      <c r="O3738" s="935"/>
    </row>
    <row r="3739" spans="1:15" ht="15" customHeight="1">
      <c r="A3739" s="908" t="s">
        <v>370</v>
      </c>
      <c r="B3739" s="909" t="s">
        <v>2093</v>
      </c>
      <c r="C3739" s="910" t="e">
        <f>VLOOKUP(B3735,'LƯƠNG KT'!$D$16:$Z$184,24,0)</f>
        <v>#N/A</v>
      </c>
      <c r="D3739" s="609" t="e">
        <f>+C3739*$L$6</f>
        <v>#N/A</v>
      </c>
      <c r="E3739" s="912"/>
      <c r="F3739" s="912"/>
      <c r="G3739" s="908" t="s">
        <v>370</v>
      </c>
      <c r="H3739" s="909" t="s">
        <v>2093</v>
      </c>
      <c r="I3739" s="910" t="e">
        <f>VLOOKUP(H3735,'LƯƠNG KT'!$D$16:$Z$184,24,0)</f>
        <v>#N/A</v>
      </c>
      <c r="J3739" s="609" t="e">
        <f>+I3739*$L$6</f>
        <v>#N/A</v>
      </c>
      <c r="K3739" s="935"/>
      <c r="L3739" s="935"/>
      <c r="M3739" s="935"/>
      <c r="N3739" s="935"/>
      <c r="O3739" s="935"/>
    </row>
    <row r="3740" spans="1:15" ht="15" customHeight="1">
      <c r="A3740" s="908" t="s">
        <v>2094</v>
      </c>
      <c r="B3740" s="909" t="s">
        <v>2095</v>
      </c>
      <c r="C3740" s="910" t="e">
        <f>VLOOKUP(B3735,'LƯƠNG KT'!$D$16:$Z$184,19,0)</f>
        <v>#N/A</v>
      </c>
      <c r="D3740" s="609" t="e">
        <f>+C3740*$L$8</f>
        <v>#N/A</v>
      </c>
      <c r="E3740" s="912"/>
      <c r="F3740" s="912"/>
      <c r="G3740" s="908" t="s">
        <v>2094</v>
      </c>
      <c r="H3740" s="909" t="s">
        <v>2095</v>
      </c>
      <c r="I3740" s="910" t="e">
        <f>VLOOKUP(H3735,'LƯƠNG KT'!$D$16:$Z$184,19,0)</f>
        <v>#N/A</v>
      </c>
      <c r="J3740" s="609" t="e">
        <f>+I3740*$L$8</f>
        <v>#N/A</v>
      </c>
      <c r="K3740" s="935"/>
      <c r="L3740" s="935"/>
      <c r="M3740" s="935"/>
      <c r="N3740" s="935"/>
      <c r="O3740" s="935"/>
    </row>
    <row r="3741" spans="1:15" ht="15" customHeight="1">
      <c r="A3741" s="908" t="s">
        <v>2096</v>
      </c>
      <c r="B3741" s="913" t="s">
        <v>2097</v>
      </c>
      <c r="C3741" s="910" t="e">
        <f>VLOOKUP(B3735,'LƯƠNG KT'!$D$16:$Z$184,20,0)</f>
        <v>#N/A</v>
      </c>
      <c r="D3741" s="609" t="e">
        <f>+C3741*$L$9</f>
        <v>#N/A</v>
      </c>
      <c r="E3741" s="912"/>
      <c r="F3741" s="912"/>
      <c r="G3741" s="908" t="s">
        <v>2096</v>
      </c>
      <c r="H3741" s="913" t="s">
        <v>2097</v>
      </c>
      <c r="I3741" s="910" t="e">
        <f>VLOOKUP(H3735,'LƯƠNG KT'!$D$16:$Z$184,20,0)</f>
        <v>#N/A</v>
      </c>
      <c r="J3741" s="609" t="e">
        <f>+I3741*$L$9</f>
        <v>#N/A</v>
      </c>
      <c r="K3741" s="935"/>
      <c r="L3741" s="935"/>
      <c r="M3741" s="935"/>
      <c r="N3741" s="935"/>
      <c r="O3741" s="935"/>
    </row>
    <row r="3742" spans="1:15" ht="15" customHeight="1">
      <c r="A3742" s="908" t="s">
        <v>2099</v>
      </c>
      <c r="B3742" s="909" t="s">
        <v>2100</v>
      </c>
      <c r="C3742" s="910" t="e">
        <f>VLOOKUP(B3735,'LƯƠNG KT'!$D$16:$Z$184,17,0)</f>
        <v>#N/A</v>
      </c>
      <c r="D3742" s="609" t="e">
        <f>+C3742*$L$10</f>
        <v>#N/A</v>
      </c>
      <c r="E3742" s="912"/>
      <c r="F3742" s="912"/>
      <c r="G3742" s="908" t="s">
        <v>2099</v>
      </c>
      <c r="H3742" s="909" t="s">
        <v>2100</v>
      </c>
      <c r="I3742" s="910" t="e">
        <f>VLOOKUP(H3735,'LƯƠNG KT'!$D$16:$Z$184,17,0)</f>
        <v>#N/A</v>
      </c>
      <c r="J3742" s="609" t="e">
        <f>+I3742*$L$10</f>
        <v>#N/A</v>
      </c>
      <c r="K3742" s="935"/>
      <c r="L3742" s="935"/>
      <c r="M3742" s="935"/>
      <c r="N3742" s="935"/>
      <c r="O3742" s="935"/>
    </row>
    <row r="3743" spans="1:15" ht="15" customHeight="1">
      <c r="A3743" s="908" t="s">
        <v>2117</v>
      </c>
      <c r="B3743" s="913" t="s">
        <v>2116</v>
      </c>
      <c r="C3743" s="910" t="e">
        <f>VLOOKUP(B3735,'LƯƠNG KT'!$D$16:$Z$184,21,0)</f>
        <v>#N/A</v>
      </c>
      <c r="D3743" s="609" t="e">
        <f>+C3743*$L$7</f>
        <v>#N/A</v>
      </c>
      <c r="E3743" s="912"/>
      <c r="F3743" s="912"/>
      <c r="G3743" s="908" t="s">
        <v>2117</v>
      </c>
      <c r="H3743" s="913" t="s">
        <v>2116</v>
      </c>
      <c r="I3743" s="910" t="e">
        <f>VLOOKUP(H3735,'LƯƠNG KT'!$D$16:$Z$184,21,0)</f>
        <v>#N/A</v>
      </c>
      <c r="J3743" s="609" t="e">
        <f>+I3743*$L$7</f>
        <v>#N/A</v>
      </c>
      <c r="K3743" s="935"/>
      <c r="L3743" s="935"/>
      <c r="M3743" s="935"/>
      <c r="N3743" s="935"/>
      <c r="O3743" s="935"/>
    </row>
    <row r="3744" spans="1:15" ht="15" customHeight="1">
      <c r="A3744" s="908" t="s">
        <v>2118</v>
      </c>
      <c r="B3744" s="909" t="s">
        <v>2112</v>
      </c>
      <c r="C3744" s="910" t="e">
        <f>VLOOKUP(B3735,'LƯƠNG KT'!$D$16:$Z$184,23,0)</f>
        <v>#N/A</v>
      </c>
      <c r="D3744" s="609" t="e">
        <f>+C3744*20000</f>
        <v>#N/A</v>
      </c>
      <c r="E3744" s="914"/>
      <c r="F3744" s="912"/>
      <c r="G3744" s="908" t="s">
        <v>2118</v>
      </c>
      <c r="H3744" s="909" t="s">
        <v>2112</v>
      </c>
      <c r="I3744" s="910" t="e">
        <f>VLOOKUP(H3735,'LƯƠNG KT'!$D$16:$Z$184,23,0)</f>
        <v>#N/A</v>
      </c>
      <c r="J3744" s="609" t="e">
        <f>+I3744*20000</f>
        <v>#N/A</v>
      </c>
      <c r="K3744" s="935"/>
      <c r="L3744" s="935"/>
      <c r="M3744" s="935"/>
      <c r="N3744" s="935"/>
      <c r="O3744" s="935"/>
    </row>
    <row r="3745" spans="1:15" ht="15" customHeight="1">
      <c r="A3745" s="908" t="s">
        <v>374</v>
      </c>
      <c r="B3745" s="909" t="s">
        <v>2102</v>
      </c>
      <c r="C3745" s="910" t="e">
        <f>VLOOKUP(B3735,'LƯƠNG KT'!$D$16:$Z$184,12,0)</f>
        <v>#N/A</v>
      </c>
      <c r="D3745" s="609" t="e">
        <f>VLOOKUP(B3735,'LƯƠNG KT'!$D$16:$Z$184,14,0)</f>
        <v>#N/A</v>
      </c>
      <c r="E3745" s="916"/>
      <c r="F3745" s="916"/>
      <c r="G3745" s="908" t="s">
        <v>374</v>
      </c>
      <c r="H3745" s="909" t="s">
        <v>2102</v>
      </c>
      <c r="I3745" s="910" t="e">
        <f>VLOOKUP(H3735,'LƯƠNG KT'!$D$16:$Z$184,12,0)</f>
        <v>#N/A</v>
      </c>
      <c r="J3745" s="609" t="e">
        <f>VLOOKUP(H3735,'LƯƠNG KT'!$D$16:$Z$184,14,0)</f>
        <v>#N/A</v>
      </c>
      <c r="K3745" s="935"/>
      <c r="L3745" s="935"/>
      <c r="M3745" s="935"/>
      <c r="N3745" s="935"/>
      <c r="O3745" s="935"/>
    </row>
    <row r="3746" spans="1:15" ht="15" customHeight="1">
      <c r="A3746" s="908" t="s">
        <v>2103</v>
      </c>
      <c r="B3746" s="909" t="s">
        <v>2104</v>
      </c>
      <c r="D3746" s="915" t="e">
        <f>VLOOKUP(B3735,'LƯƠNG KT'!$D$16:$Z$184,13,0)</f>
        <v>#N/A</v>
      </c>
      <c r="E3746" s="914"/>
      <c r="F3746" s="916"/>
      <c r="G3746" s="908" t="s">
        <v>2103</v>
      </c>
      <c r="H3746" s="909" t="s">
        <v>2104</v>
      </c>
      <c r="J3746" s="915" t="e">
        <f>VLOOKUP(H3735,'LƯƠNG KT'!$D$16:$Z$184,13,0)</f>
        <v>#N/A</v>
      </c>
    </row>
    <row r="3747" spans="1:15" ht="15" customHeight="1">
      <c r="A3747" s="905"/>
      <c r="B3747" s="546"/>
      <c r="C3747" s="910"/>
      <c r="D3747" s="609"/>
      <c r="E3747" s="917"/>
      <c r="F3747" s="904"/>
      <c r="G3747" s="905"/>
      <c r="H3747" s="546"/>
      <c r="I3747" s="910"/>
      <c r="J3747" s="609"/>
    </row>
    <row r="3748" spans="1:15" ht="15" customHeight="1">
      <c r="A3748" s="918" t="s">
        <v>383</v>
      </c>
      <c r="B3748" s="919" t="s">
        <v>384</v>
      </c>
      <c r="C3748" s="920"/>
      <c r="D3748" s="921" t="e">
        <f>SUM(D3736:D3745)</f>
        <v>#N/A</v>
      </c>
      <c r="E3748" s="922"/>
      <c r="F3748" s="923"/>
      <c r="G3748" s="918" t="s">
        <v>383</v>
      </c>
      <c r="H3748" s="919" t="s">
        <v>384</v>
      </c>
      <c r="I3748" s="920"/>
      <c r="J3748" s="921" t="e">
        <f>SUM(J3736:J3745)</f>
        <v>#N/A</v>
      </c>
    </row>
    <row r="3749" spans="1:15" ht="15" customHeight="1">
      <c r="A3749" s="947"/>
      <c r="B3749" s="948"/>
      <c r="C3749" s="949"/>
      <c r="D3749" s="950"/>
      <c r="E3749" s="946"/>
      <c r="F3749" s="922"/>
      <c r="G3749" s="947"/>
      <c r="H3749" s="948"/>
      <c r="I3749" s="949"/>
      <c r="J3749" s="950"/>
    </row>
    <row r="3750" spans="1:15" ht="18.75" customHeight="1">
      <c r="A3750" s="924"/>
      <c r="B3750" s="925"/>
      <c r="C3750" s="926"/>
      <c r="D3750" s="927"/>
      <c r="E3750" s="927"/>
      <c r="F3750" s="928"/>
      <c r="G3750" s="924"/>
      <c r="H3750" s="925"/>
      <c r="I3750" s="926"/>
      <c r="J3750" s="927"/>
    </row>
    <row r="3751" spans="1:15" ht="15" customHeight="1">
      <c r="A3751" s="2360" t="str">
        <f>$K$2</f>
        <v>THÁNG 04/2025</v>
      </c>
      <c r="B3751" s="2360"/>
      <c r="C3751" s="2360"/>
      <c r="D3751" s="2360"/>
      <c r="E3751" s="903"/>
      <c r="F3751" s="904"/>
      <c r="G3751" s="2360" t="str">
        <f>$K$2</f>
        <v>THÁNG 04/2025</v>
      </c>
      <c r="H3751" s="2360"/>
      <c r="I3751" s="2360"/>
      <c r="J3751" s="2360"/>
      <c r="K3751" s="276"/>
    </row>
    <row r="3752" spans="1:15" ht="15" customHeight="1">
      <c r="A3752" s="905" t="s">
        <v>356</v>
      </c>
      <c r="B3752" s="642" t="s">
        <v>341</v>
      </c>
      <c r="C3752" s="546"/>
      <c r="D3752" s="902"/>
      <c r="E3752" s="906"/>
      <c r="F3752" s="907"/>
      <c r="G3752" s="905" t="s">
        <v>356</v>
      </c>
      <c r="H3752" s="642" t="s">
        <v>342</v>
      </c>
      <c r="I3752" s="546"/>
      <c r="J3752" s="902"/>
      <c r="L3752" s="938"/>
      <c r="M3752" s="938"/>
      <c r="N3752" s="938"/>
      <c r="O3752" s="938"/>
    </row>
    <row r="3753" spans="1:15" ht="15" customHeight="1">
      <c r="A3753" s="908" t="s">
        <v>359</v>
      </c>
      <c r="B3753" s="909" t="s">
        <v>2090</v>
      </c>
      <c r="C3753" s="910" t="e">
        <f>VLOOKUP(B3752,'LƯƠNG KT'!$D$16:$Z$184,4,0)</f>
        <v>#N/A</v>
      </c>
      <c r="D3753" s="609" t="e">
        <f>+C3753*25000</f>
        <v>#N/A</v>
      </c>
      <c r="E3753" s="911"/>
      <c r="F3753" s="911"/>
      <c r="G3753" s="908" t="s">
        <v>359</v>
      </c>
      <c r="H3753" s="909" t="s">
        <v>2090</v>
      </c>
      <c r="I3753" s="910" t="e">
        <f>VLOOKUP(H3752,'LƯƠNG KT'!$D$16:$Z$184,4,0)</f>
        <v>#N/A</v>
      </c>
      <c r="J3753" s="609" t="e">
        <f>+I3753*25000</f>
        <v>#N/A</v>
      </c>
      <c r="K3753" s="935"/>
      <c r="L3753" s="935"/>
      <c r="M3753" s="935"/>
      <c r="N3753" s="935"/>
      <c r="O3753" s="935"/>
    </row>
    <row r="3754" spans="1:15" ht="15" customHeight="1">
      <c r="A3754" s="908" t="s">
        <v>361</v>
      </c>
      <c r="B3754" s="909" t="s">
        <v>2091</v>
      </c>
      <c r="C3754" s="910" t="e">
        <f>VLOOKUP(B3752,'LƯƠNG KT'!$D$16:$Z$184,15,0)</f>
        <v>#N/A</v>
      </c>
      <c r="D3754" s="609" t="e">
        <f>C3754*$L$4</f>
        <v>#N/A</v>
      </c>
      <c r="E3754" s="912"/>
      <c r="F3754" s="912"/>
      <c r="G3754" s="908" t="s">
        <v>361</v>
      </c>
      <c r="H3754" s="909" t="s">
        <v>2091</v>
      </c>
      <c r="I3754" s="910" t="e">
        <f>VLOOKUP(H3752,'LƯƠNG KT'!$D$16:$Z$184,15,0)</f>
        <v>#N/A</v>
      </c>
      <c r="J3754" s="609" t="e">
        <f>I3754*$L$4</f>
        <v>#N/A</v>
      </c>
      <c r="K3754" s="935"/>
      <c r="L3754" s="935"/>
      <c r="M3754" s="935"/>
      <c r="N3754" s="935"/>
      <c r="O3754" s="935"/>
    </row>
    <row r="3755" spans="1:15" ht="15" customHeight="1">
      <c r="A3755" s="908" t="s">
        <v>364</v>
      </c>
      <c r="B3755" s="909" t="s">
        <v>2092</v>
      </c>
      <c r="C3755" s="910" t="e">
        <f>VLOOKUP(B3752,'LƯƠNG KT'!$D$16:$Z$184,16,0)</f>
        <v>#N/A</v>
      </c>
      <c r="D3755" s="609" t="e">
        <f>C3755*$L$5</f>
        <v>#N/A</v>
      </c>
      <c r="E3755" s="912"/>
      <c r="F3755" s="912"/>
      <c r="G3755" s="908" t="s">
        <v>364</v>
      </c>
      <c r="H3755" s="909" t="s">
        <v>2092</v>
      </c>
      <c r="I3755" s="910" t="e">
        <f>VLOOKUP(H3752,'LƯƠNG KT'!$D$16:$Z$184,16,0)</f>
        <v>#N/A</v>
      </c>
      <c r="J3755" s="609" t="e">
        <f>I3755*$L$5</f>
        <v>#N/A</v>
      </c>
      <c r="K3755" s="935"/>
      <c r="L3755" s="935"/>
      <c r="M3755" s="935"/>
      <c r="N3755" s="935"/>
      <c r="O3755" s="935"/>
    </row>
    <row r="3756" spans="1:15" ht="15" customHeight="1">
      <c r="A3756" s="908" t="s">
        <v>370</v>
      </c>
      <c r="B3756" s="909" t="s">
        <v>2093</v>
      </c>
      <c r="C3756" s="910" t="e">
        <f>VLOOKUP(B3752,'LƯƠNG KT'!$D$16:$Z$184,24,0)</f>
        <v>#N/A</v>
      </c>
      <c r="D3756" s="609" t="e">
        <f>+C3756*$L$6</f>
        <v>#N/A</v>
      </c>
      <c r="E3756" s="912"/>
      <c r="F3756" s="912"/>
      <c r="G3756" s="908" t="s">
        <v>370</v>
      </c>
      <c r="H3756" s="909" t="s">
        <v>2093</v>
      </c>
      <c r="I3756" s="910" t="e">
        <f>VLOOKUP(H3752,'LƯƠNG KT'!$D$16:$Z$184,24,0)</f>
        <v>#N/A</v>
      </c>
      <c r="J3756" s="609" t="e">
        <f>+I3756*$L$6</f>
        <v>#N/A</v>
      </c>
      <c r="K3756" s="935"/>
      <c r="L3756" s="935"/>
      <c r="M3756" s="935"/>
      <c r="N3756" s="935"/>
      <c r="O3756" s="935"/>
    </row>
    <row r="3757" spans="1:15" ht="15" customHeight="1">
      <c r="A3757" s="908" t="s">
        <v>2094</v>
      </c>
      <c r="B3757" s="909" t="s">
        <v>2095</v>
      </c>
      <c r="C3757" s="910" t="e">
        <f>VLOOKUP(B3752,'LƯƠNG KT'!$D$16:$Z$184,19,0)</f>
        <v>#N/A</v>
      </c>
      <c r="D3757" s="609" t="e">
        <f>+C3757*$L$8</f>
        <v>#N/A</v>
      </c>
      <c r="E3757" s="912"/>
      <c r="F3757" s="912"/>
      <c r="G3757" s="908" t="s">
        <v>2094</v>
      </c>
      <c r="H3757" s="909" t="s">
        <v>2095</v>
      </c>
      <c r="I3757" s="910" t="e">
        <f>VLOOKUP(H3752,'LƯƠNG KT'!$D$16:$Z$184,19,0)</f>
        <v>#N/A</v>
      </c>
      <c r="J3757" s="609" t="e">
        <f>+I3757*$L$8</f>
        <v>#N/A</v>
      </c>
      <c r="K3757" s="935"/>
      <c r="L3757" s="935"/>
      <c r="M3757" s="935"/>
      <c r="N3757" s="935"/>
      <c r="O3757" s="935"/>
    </row>
    <row r="3758" spans="1:15" ht="15" customHeight="1">
      <c r="A3758" s="908" t="s">
        <v>2096</v>
      </c>
      <c r="B3758" s="913" t="s">
        <v>2097</v>
      </c>
      <c r="C3758" s="910" t="e">
        <f>VLOOKUP(B3752,'LƯƠNG KT'!$D$16:$Z$184,20,0)</f>
        <v>#N/A</v>
      </c>
      <c r="D3758" s="609" t="e">
        <f>+C3758*$L$9</f>
        <v>#N/A</v>
      </c>
      <c r="E3758" s="912"/>
      <c r="F3758" s="912"/>
      <c r="G3758" s="908" t="s">
        <v>2096</v>
      </c>
      <c r="H3758" s="913" t="s">
        <v>2097</v>
      </c>
      <c r="I3758" s="910" t="e">
        <f>VLOOKUP(H3752,'LƯƠNG KT'!$D$16:$Z$184,20,0)</f>
        <v>#N/A</v>
      </c>
      <c r="J3758" s="609" t="e">
        <f>+I3758*$L$9</f>
        <v>#N/A</v>
      </c>
      <c r="K3758" s="935"/>
      <c r="L3758" s="935"/>
      <c r="M3758" s="935"/>
      <c r="N3758" s="935"/>
      <c r="O3758" s="935"/>
    </row>
    <row r="3759" spans="1:15" ht="15" customHeight="1">
      <c r="A3759" s="908" t="s">
        <v>2099</v>
      </c>
      <c r="B3759" s="909" t="s">
        <v>2100</v>
      </c>
      <c r="C3759" s="910" t="e">
        <f>VLOOKUP(B3752,'LƯƠNG KT'!$D$16:$Z$184,17,0)</f>
        <v>#N/A</v>
      </c>
      <c r="D3759" s="609" t="e">
        <f>+C3759*$L$10</f>
        <v>#N/A</v>
      </c>
      <c r="E3759" s="912"/>
      <c r="F3759" s="912"/>
      <c r="G3759" s="908" t="s">
        <v>2099</v>
      </c>
      <c r="H3759" s="909" t="s">
        <v>2100</v>
      </c>
      <c r="I3759" s="910" t="e">
        <f>VLOOKUP(H3752,'LƯƠNG KT'!$D$16:$Z$184,17,0)</f>
        <v>#N/A</v>
      </c>
      <c r="J3759" s="609" t="e">
        <f>+I3759*$L$10</f>
        <v>#N/A</v>
      </c>
      <c r="K3759" s="935"/>
      <c r="L3759" s="935"/>
      <c r="M3759" s="935"/>
      <c r="N3759" s="935"/>
      <c r="O3759" s="935"/>
    </row>
    <row r="3760" spans="1:15" ht="15" customHeight="1">
      <c r="A3760" s="908" t="s">
        <v>2117</v>
      </c>
      <c r="B3760" s="913" t="s">
        <v>2116</v>
      </c>
      <c r="C3760" s="910" t="e">
        <f>VLOOKUP(B3752,'LƯƠNG KT'!$D$16:$Z$184,21,0)</f>
        <v>#N/A</v>
      </c>
      <c r="D3760" s="609" t="e">
        <f>+C3760*$L$7</f>
        <v>#N/A</v>
      </c>
      <c r="E3760" s="912"/>
      <c r="F3760" s="912"/>
      <c r="G3760" s="908" t="s">
        <v>2117</v>
      </c>
      <c r="H3760" s="913" t="s">
        <v>2116</v>
      </c>
      <c r="I3760" s="910" t="e">
        <f>VLOOKUP(H3752,'LƯƠNG KT'!$D$16:$Z$184,21,0)</f>
        <v>#N/A</v>
      </c>
      <c r="J3760" s="609" t="e">
        <f>+I3760*$L$7</f>
        <v>#N/A</v>
      </c>
      <c r="K3760" s="935"/>
      <c r="L3760" s="935"/>
      <c r="M3760" s="935"/>
      <c r="N3760" s="935"/>
      <c r="O3760" s="935"/>
    </row>
    <row r="3761" spans="1:15" ht="15" customHeight="1">
      <c r="A3761" s="908" t="s">
        <v>2118</v>
      </c>
      <c r="B3761" s="909" t="s">
        <v>2112</v>
      </c>
      <c r="C3761" s="910" t="e">
        <f>VLOOKUP(B3752,'LƯƠNG KT'!$D$16:$Z$184,23,0)</f>
        <v>#N/A</v>
      </c>
      <c r="D3761" s="609" t="e">
        <f>+C3761*20000</f>
        <v>#N/A</v>
      </c>
      <c r="E3761" s="914"/>
      <c r="F3761" s="912"/>
      <c r="G3761" s="908" t="s">
        <v>2118</v>
      </c>
      <c r="H3761" s="909" t="s">
        <v>2112</v>
      </c>
      <c r="I3761" s="910" t="e">
        <f>VLOOKUP(H3752,'LƯƠNG KT'!$D$16:$Z$184,23,0)</f>
        <v>#N/A</v>
      </c>
      <c r="J3761" s="609" t="e">
        <f>+I3761*20000</f>
        <v>#N/A</v>
      </c>
      <c r="K3761" s="935"/>
      <c r="L3761" s="935"/>
      <c r="M3761" s="935"/>
      <c r="N3761" s="935"/>
      <c r="O3761" s="935"/>
    </row>
    <row r="3762" spans="1:15" ht="15" customHeight="1">
      <c r="A3762" s="908" t="s">
        <v>374</v>
      </c>
      <c r="B3762" s="909" t="s">
        <v>2102</v>
      </c>
      <c r="C3762" s="910" t="e">
        <f>VLOOKUP(B3752,'LƯƠNG KT'!$D$16:$Z$184,12,0)</f>
        <v>#N/A</v>
      </c>
      <c r="D3762" s="609" t="e">
        <f>VLOOKUP(B3752,'LƯƠNG KT'!$D$16:$Z$184,14,0)</f>
        <v>#N/A</v>
      </c>
      <c r="E3762" s="916"/>
      <c r="F3762" s="916"/>
      <c r="G3762" s="908" t="s">
        <v>374</v>
      </c>
      <c r="H3762" s="909" t="s">
        <v>2102</v>
      </c>
      <c r="I3762" s="910" t="e">
        <f>VLOOKUP(H3752,'LƯƠNG KT'!$D$16:$Z$184,12,0)</f>
        <v>#N/A</v>
      </c>
      <c r="J3762" s="609" t="e">
        <f>VLOOKUP(H3752,'LƯƠNG KT'!$D$16:$Z$184,14,0)</f>
        <v>#N/A</v>
      </c>
      <c r="K3762" s="935"/>
      <c r="L3762" s="935"/>
      <c r="M3762" s="935"/>
      <c r="N3762" s="935"/>
      <c r="O3762" s="935"/>
    </row>
    <row r="3763" spans="1:15" ht="15" customHeight="1">
      <c r="A3763" s="908" t="s">
        <v>2103</v>
      </c>
      <c r="B3763" s="909" t="s">
        <v>2104</v>
      </c>
      <c r="D3763" s="915" t="e">
        <f>VLOOKUP(B3752,'LƯƠNG KT'!$D$16:$Z$184,13,0)</f>
        <v>#N/A</v>
      </c>
      <c r="E3763" s="914"/>
      <c r="F3763" s="916"/>
      <c r="G3763" s="908" t="s">
        <v>2103</v>
      </c>
      <c r="H3763" s="909" t="s">
        <v>2104</v>
      </c>
      <c r="J3763" s="915" t="e">
        <f>VLOOKUP(H3752,'LƯƠNG KT'!$D$16:$Z$184,13,0)</f>
        <v>#N/A</v>
      </c>
    </row>
    <row r="3764" spans="1:15" ht="15" customHeight="1">
      <c r="A3764" s="905"/>
      <c r="B3764" s="546"/>
      <c r="C3764" s="910"/>
      <c r="D3764" s="609"/>
      <c r="E3764" s="917"/>
      <c r="F3764" s="904"/>
      <c r="G3764" s="905"/>
      <c r="H3764" s="546"/>
      <c r="I3764" s="910"/>
      <c r="J3764" s="609"/>
    </row>
    <row r="3765" spans="1:15" ht="15" customHeight="1">
      <c r="A3765" s="918" t="s">
        <v>383</v>
      </c>
      <c r="B3765" s="919" t="s">
        <v>384</v>
      </c>
      <c r="C3765" s="920"/>
      <c r="D3765" s="921" t="e">
        <f>SUM(D3753:D3762)</f>
        <v>#N/A</v>
      </c>
      <c r="E3765" s="922"/>
      <c r="F3765" s="923"/>
      <c r="G3765" s="918" t="s">
        <v>383</v>
      </c>
      <c r="H3765" s="919" t="s">
        <v>384</v>
      </c>
      <c r="I3765" s="920"/>
      <c r="J3765" s="921" t="e">
        <f>SUM(J3753:J3762)</f>
        <v>#N/A</v>
      </c>
      <c r="K3765" s="940"/>
      <c r="L3765" s="940"/>
      <c r="M3765" s="940"/>
      <c r="N3765" s="940"/>
      <c r="O3765" s="940"/>
    </row>
    <row r="3766" spans="1:15" ht="98.25" customHeight="1">
      <c r="A3766" s="924"/>
      <c r="B3766" s="925"/>
      <c r="C3766" s="926"/>
      <c r="D3766" s="927"/>
      <c r="E3766" s="927"/>
      <c r="F3766" s="928"/>
      <c r="G3766" s="924"/>
      <c r="H3766" s="925"/>
      <c r="I3766" s="926"/>
      <c r="J3766" s="927"/>
    </row>
    <row r="3767" spans="1:15" ht="15" customHeight="1">
      <c r="A3767" s="2360" t="str">
        <f>$K$2</f>
        <v>THÁNG 04/2025</v>
      </c>
      <c r="B3767" s="2360"/>
      <c r="C3767" s="2360"/>
      <c r="D3767" s="2360"/>
      <c r="E3767" s="903"/>
      <c r="F3767" s="904"/>
      <c r="G3767" s="2360" t="str">
        <f>$K$2</f>
        <v>THÁNG 04/2025</v>
      </c>
      <c r="H3767" s="2360"/>
      <c r="I3767" s="2360"/>
      <c r="J3767" s="2360"/>
      <c r="K3767" s="276"/>
    </row>
    <row r="3768" spans="1:15" ht="15" customHeight="1">
      <c r="A3768" s="905" t="s">
        <v>356</v>
      </c>
      <c r="B3768" s="642" t="s">
        <v>343</v>
      </c>
      <c r="C3768" s="546"/>
      <c r="D3768" s="902"/>
      <c r="E3768" s="906"/>
      <c r="F3768" s="907"/>
      <c r="G3768" s="905" t="s">
        <v>356</v>
      </c>
      <c r="H3768" s="642" t="s">
        <v>344</v>
      </c>
      <c r="I3768" s="546"/>
      <c r="J3768" s="902"/>
      <c r="K3768" s="951"/>
      <c r="L3768" s="952"/>
      <c r="M3768" s="952"/>
      <c r="N3768" s="952"/>
      <c r="O3768" s="952"/>
    </row>
    <row r="3769" spans="1:15" ht="15" customHeight="1">
      <c r="A3769" s="908" t="s">
        <v>359</v>
      </c>
      <c r="B3769" s="909" t="s">
        <v>2090</v>
      </c>
      <c r="C3769" s="910" t="e">
        <f>VLOOKUP(B3768,'LƯƠNG KT'!$D$16:$Z$184,4,0)</f>
        <v>#N/A</v>
      </c>
      <c r="D3769" s="609" t="e">
        <f>+C3769*25000</f>
        <v>#N/A</v>
      </c>
      <c r="E3769" s="911"/>
      <c r="F3769" s="911"/>
      <c r="G3769" s="908" t="s">
        <v>359</v>
      </c>
      <c r="H3769" s="909" t="s">
        <v>2090</v>
      </c>
      <c r="I3769" s="910" t="e">
        <f>VLOOKUP(H3768,'LƯƠNG KT'!$D$16:$Z$184,4,0)</f>
        <v>#N/A</v>
      </c>
      <c r="J3769" s="609" t="e">
        <f>+I3769*25000</f>
        <v>#N/A</v>
      </c>
      <c r="K3769" s="951"/>
      <c r="L3769" s="951"/>
      <c r="M3769" s="951"/>
      <c r="N3769" s="951"/>
      <c r="O3769" s="951"/>
    </row>
    <row r="3770" spans="1:15" ht="15" customHeight="1">
      <c r="A3770" s="908" t="s">
        <v>361</v>
      </c>
      <c r="B3770" s="909" t="s">
        <v>2091</v>
      </c>
      <c r="C3770" s="910" t="e">
        <f>VLOOKUP(B3768,'LƯƠNG KT'!$D$16:$Z$184,15,0)</f>
        <v>#N/A</v>
      </c>
      <c r="D3770" s="609" t="e">
        <f>C3770*$L$4</f>
        <v>#N/A</v>
      </c>
      <c r="E3770" s="912"/>
      <c r="F3770" s="912"/>
      <c r="G3770" s="908" t="s">
        <v>361</v>
      </c>
      <c r="H3770" s="909" t="s">
        <v>2091</v>
      </c>
      <c r="I3770" s="910" t="e">
        <f>VLOOKUP(H3768,'LƯƠNG KT'!$D$16:$Z$184,15,0)</f>
        <v>#N/A</v>
      </c>
      <c r="J3770" s="609" t="e">
        <f>I3770*$L$4</f>
        <v>#N/A</v>
      </c>
      <c r="K3770" s="951"/>
      <c r="L3770" s="951"/>
      <c r="M3770" s="951"/>
      <c r="N3770" s="951"/>
      <c r="O3770" s="951"/>
    </row>
    <row r="3771" spans="1:15" ht="15" customHeight="1">
      <c r="A3771" s="908" t="s">
        <v>364</v>
      </c>
      <c r="B3771" s="909" t="s">
        <v>2092</v>
      </c>
      <c r="C3771" s="910" t="e">
        <f>VLOOKUP(B3768,'LƯƠNG KT'!$D$16:$Z$184,16,0)</f>
        <v>#N/A</v>
      </c>
      <c r="D3771" s="609" t="e">
        <f>C3771*$L$5</f>
        <v>#N/A</v>
      </c>
      <c r="E3771" s="912"/>
      <c r="F3771" s="912"/>
      <c r="G3771" s="908" t="s">
        <v>364</v>
      </c>
      <c r="H3771" s="909" t="s">
        <v>2092</v>
      </c>
      <c r="I3771" s="910" t="e">
        <f>VLOOKUP(H3768,'LƯƠNG KT'!$D$16:$Z$184,16,0)</f>
        <v>#N/A</v>
      </c>
      <c r="J3771" s="609" t="e">
        <f>I3771*$L$5</f>
        <v>#N/A</v>
      </c>
      <c r="K3771" s="951"/>
      <c r="L3771" s="951"/>
      <c r="M3771" s="951"/>
      <c r="N3771" s="951"/>
      <c r="O3771" s="951"/>
    </row>
    <row r="3772" spans="1:15" ht="15" customHeight="1">
      <c r="A3772" s="908" t="s">
        <v>370</v>
      </c>
      <c r="B3772" s="909" t="s">
        <v>2093</v>
      </c>
      <c r="C3772" s="910" t="e">
        <f>VLOOKUP(B3768,'LƯƠNG KT'!$D$16:$Z$184,24,0)</f>
        <v>#N/A</v>
      </c>
      <c r="D3772" s="609" t="e">
        <f>+C3772*$L$6</f>
        <v>#N/A</v>
      </c>
      <c r="E3772" s="912"/>
      <c r="F3772" s="912"/>
      <c r="G3772" s="908" t="s">
        <v>370</v>
      </c>
      <c r="H3772" s="909" t="s">
        <v>2093</v>
      </c>
      <c r="I3772" s="910" t="e">
        <f>VLOOKUP(H3768,'LƯƠNG KT'!$D$16:$Z$184,24,0)</f>
        <v>#N/A</v>
      </c>
      <c r="J3772" s="609" t="e">
        <f>+I3772*$L$6</f>
        <v>#N/A</v>
      </c>
      <c r="K3772" s="951"/>
      <c r="L3772" s="951"/>
      <c r="M3772" s="951"/>
      <c r="N3772" s="951"/>
      <c r="O3772" s="951"/>
    </row>
    <row r="3773" spans="1:15" ht="15" customHeight="1">
      <c r="A3773" s="908" t="s">
        <v>2094</v>
      </c>
      <c r="B3773" s="909" t="s">
        <v>2095</v>
      </c>
      <c r="C3773" s="910" t="e">
        <f>VLOOKUP(B3768,'LƯƠNG KT'!$D$16:$Z$184,19,0)</f>
        <v>#N/A</v>
      </c>
      <c r="D3773" s="609" t="e">
        <f>+C3773*$L$8</f>
        <v>#N/A</v>
      </c>
      <c r="E3773" s="912"/>
      <c r="F3773" s="912"/>
      <c r="G3773" s="908" t="s">
        <v>2094</v>
      </c>
      <c r="H3773" s="909" t="s">
        <v>2095</v>
      </c>
      <c r="I3773" s="910" t="e">
        <f>VLOOKUP(H3768,'LƯƠNG KT'!$D$16:$Z$184,19,0)</f>
        <v>#N/A</v>
      </c>
      <c r="J3773" s="609" t="e">
        <f>+I3773*$L$8</f>
        <v>#N/A</v>
      </c>
      <c r="K3773" s="951"/>
      <c r="L3773" s="951"/>
      <c r="M3773" s="951"/>
      <c r="N3773" s="951"/>
      <c r="O3773" s="951"/>
    </row>
    <row r="3774" spans="1:15" ht="15" customHeight="1">
      <c r="A3774" s="908" t="s">
        <v>2096</v>
      </c>
      <c r="B3774" s="913" t="s">
        <v>2097</v>
      </c>
      <c r="C3774" s="910" t="e">
        <f>VLOOKUP(B3768,'LƯƠNG KT'!$D$16:$Z$184,20,0)</f>
        <v>#N/A</v>
      </c>
      <c r="D3774" s="609" t="e">
        <f>+C3774*$L$9</f>
        <v>#N/A</v>
      </c>
      <c r="E3774" s="912"/>
      <c r="F3774" s="912"/>
      <c r="G3774" s="908" t="s">
        <v>2096</v>
      </c>
      <c r="H3774" s="913" t="s">
        <v>2097</v>
      </c>
      <c r="I3774" s="910" t="e">
        <f>VLOOKUP(H3768,'LƯƠNG KT'!$D$16:$Z$184,20,0)</f>
        <v>#N/A</v>
      </c>
      <c r="J3774" s="609" t="e">
        <f>+I3774*$L$9</f>
        <v>#N/A</v>
      </c>
      <c r="K3774" s="951"/>
      <c r="L3774" s="951"/>
      <c r="M3774" s="951"/>
      <c r="N3774" s="951"/>
      <c r="O3774" s="951"/>
    </row>
    <row r="3775" spans="1:15" ht="15" customHeight="1">
      <c r="A3775" s="908" t="s">
        <v>2099</v>
      </c>
      <c r="B3775" s="909" t="s">
        <v>2100</v>
      </c>
      <c r="C3775" s="910" t="e">
        <f>VLOOKUP(B3768,'LƯƠNG KT'!$D$16:$Z$184,17,0)</f>
        <v>#N/A</v>
      </c>
      <c r="D3775" s="609" t="e">
        <f>+C3775*$L$10</f>
        <v>#N/A</v>
      </c>
      <c r="E3775" s="912"/>
      <c r="F3775" s="912"/>
      <c r="G3775" s="908" t="s">
        <v>2099</v>
      </c>
      <c r="H3775" s="909" t="s">
        <v>2100</v>
      </c>
      <c r="I3775" s="910" t="e">
        <f>VLOOKUP(H3768,'LƯƠNG KT'!$D$16:$Z$184,17,0)</f>
        <v>#N/A</v>
      </c>
      <c r="J3775" s="609" t="e">
        <f>+I3775*$L$10</f>
        <v>#N/A</v>
      </c>
      <c r="K3775" s="951"/>
      <c r="L3775" s="951"/>
      <c r="M3775" s="951"/>
      <c r="N3775" s="951"/>
      <c r="O3775" s="951"/>
    </row>
    <row r="3776" spans="1:15" ht="15" customHeight="1">
      <c r="A3776" s="908" t="s">
        <v>2117</v>
      </c>
      <c r="B3776" s="913" t="s">
        <v>2116</v>
      </c>
      <c r="C3776" s="910" t="e">
        <f>VLOOKUP(B3768,'LƯƠNG KT'!$D$16:$Z$184,21,0)</f>
        <v>#N/A</v>
      </c>
      <c r="D3776" s="609" t="e">
        <f>+C3776*$L$7</f>
        <v>#N/A</v>
      </c>
      <c r="E3776" s="912"/>
      <c r="F3776" s="912"/>
      <c r="G3776" s="908" t="s">
        <v>2117</v>
      </c>
      <c r="H3776" s="913" t="s">
        <v>2116</v>
      </c>
      <c r="I3776" s="910" t="e">
        <f>VLOOKUP(H3768,'LƯƠNG KT'!$D$16:$Z$184,21,0)</f>
        <v>#N/A</v>
      </c>
      <c r="J3776" s="609" t="e">
        <f>+I3776*$L$7</f>
        <v>#N/A</v>
      </c>
      <c r="K3776" s="951"/>
      <c r="L3776" s="951"/>
      <c r="M3776" s="951"/>
      <c r="N3776" s="951"/>
      <c r="O3776" s="951"/>
    </row>
    <row r="3777" spans="1:15" ht="15" customHeight="1">
      <c r="A3777" s="908" t="s">
        <v>2118</v>
      </c>
      <c r="B3777" s="909" t="s">
        <v>2112</v>
      </c>
      <c r="C3777" s="910" t="e">
        <f>VLOOKUP(B3768,'LƯƠNG KT'!$D$16:$Z$184,23,0)</f>
        <v>#N/A</v>
      </c>
      <c r="D3777" s="609" t="e">
        <f>+C3777*20000</f>
        <v>#N/A</v>
      </c>
      <c r="E3777" s="914"/>
      <c r="F3777" s="912"/>
      <c r="G3777" s="908" t="s">
        <v>2118</v>
      </c>
      <c r="H3777" s="909" t="s">
        <v>2112</v>
      </c>
      <c r="I3777" s="910" t="e">
        <f>VLOOKUP(H3768,'LƯƠNG KT'!$D$16:$Z$184,23,0)</f>
        <v>#N/A</v>
      </c>
      <c r="J3777" s="609" t="e">
        <f>+I3777*20000</f>
        <v>#N/A</v>
      </c>
      <c r="K3777" s="951"/>
      <c r="L3777" s="951"/>
      <c r="M3777" s="951"/>
      <c r="N3777" s="951"/>
      <c r="O3777" s="951"/>
    </row>
    <row r="3778" spans="1:15" ht="15" customHeight="1">
      <c r="A3778" s="908" t="s">
        <v>374</v>
      </c>
      <c r="B3778" s="909" t="s">
        <v>2102</v>
      </c>
      <c r="C3778" s="910" t="e">
        <f>VLOOKUP(B3768,'LƯƠNG KT'!$D$16:$Z$184,12,0)</f>
        <v>#N/A</v>
      </c>
      <c r="D3778" s="609" t="e">
        <f>VLOOKUP(B3768,'LƯƠNG KT'!$D$16:$Z$184,14,0)</f>
        <v>#N/A</v>
      </c>
      <c r="E3778" s="916"/>
      <c r="F3778" s="916"/>
      <c r="G3778" s="908" t="s">
        <v>374</v>
      </c>
      <c r="H3778" s="909" t="s">
        <v>2102</v>
      </c>
      <c r="I3778" s="910" t="e">
        <f>VLOOKUP(H3768,'LƯƠNG KT'!$D$16:$Z$184,12,0)</f>
        <v>#N/A</v>
      </c>
      <c r="J3778" s="609" t="e">
        <f>VLOOKUP(H3768,'LƯƠNG KT'!$D$16:$Z$184,14,0)</f>
        <v>#N/A</v>
      </c>
      <c r="K3778" s="951"/>
      <c r="L3778" s="951"/>
      <c r="M3778" s="951"/>
      <c r="N3778" s="951"/>
      <c r="O3778" s="951"/>
    </row>
    <row r="3779" spans="1:15" ht="15" customHeight="1">
      <c r="A3779" s="908" t="s">
        <v>2103</v>
      </c>
      <c r="B3779" s="909" t="s">
        <v>2104</v>
      </c>
      <c r="D3779" s="915" t="e">
        <f>VLOOKUP(B3768,'LƯƠNG KT'!$D$16:$Z$184,13,0)</f>
        <v>#N/A</v>
      </c>
      <c r="E3779" s="914"/>
      <c r="F3779" s="916"/>
      <c r="G3779" s="908" t="s">
        <v>2103</v>
      </c>
      <c r="H3779" s="909" t="s">
        <v>2104</v>
      </c>
      <c r="J3779" s="915" t="e">
        <f>VLOOKUP(H3768,'LƯƠNG KT'!$D$16:$Z$184,13,0)</f>
        <v>#N/A</v>
      </c>
      <c r="K3779" s="951"/>
      <c r="L3779" s="951"/>
      <c r="M3779" s="951"/>
      <c r="N3779" s="951"/>
      <c r="O3779" s="951"/>
    </row>
    <row r="3780" spans="1:15" ht="15" customHeight="1">
      <c r="A3780" s="905"/>
      <c r="B3780" s="546"/>
      <c r="C3780" s="910"/>
      <c r="D3780" s="609"/>
      <c r="E3780" s="917"/>
      <c r="F3780" s="904"/>
      <c r="G3780" s="905"/>
      <c r="H3780" s="546"/>
      <c r="I3780" s="910"/>
      <c r="J3780" s="609"/>
      <c r="K3780" s="951"/>
      <c r="L3780" s="951"/>
      <c r="M3780" s="951"/>
      <c r="N3780" s="951"/>
      <c r="O3780" s="951"/>
    </row>
    <row r="3781" spans="1:15" ht="15" customHeight="1">
      <c r="A3781" s="918" t="s">
        <v>383</v>
      </c>
      <c r="B3781" s="919" t="s">
        <v>384</v>
      </c>
      <c r="C3781" s="920"/>
      <c r="D3781" s="921" t="e">
        <f>SUM(D3769:D3778)</f>
        <v>#N/A</v>
      </c>
      <c r="E3781" s="922"/>
      <c r="F3781" s="923"/>
      <c r="G3781" s="918" t="s">
        <v>383</v>
      </c>
      <c r="H3781" s="919" t="s">
        <v>384</v>
      </c>
      <c r="I3781" s="920"/>
      <c r="J3781" s="921" t="e">
        <f>SUM(J3769:J3778)</f>
        <v>#N/A</v>
      </c>
    </row>
    <row r="3782" spans="1:15" ht="15.75" customHeight="1">
      <c r="A3782" s="924"/>
      <c r="B3782" s="925"/>
      <c r="C3782" s="926"/>
      <c r="D3782" s="927"/>
      <c r="E3782" s="927"/>
      <c r="F3782" s="928"/>
      <c r="G3782" s="924"/>
      <c r="H3782" s="925"/>
      <c r="I3782" s="926"/>
      <c r="J3782" s="927"/>
    </row>
    <row r="3783" spans="1:15" ht="12" customHeight="1">
      <c r="A3783" s="2361"/>
      <c r="B3783" s="2361"/>
      <c r="C3783" s="2361"/>
      <c r="D3783" s="2361"/>
      <c r="E3783" s="2361"/>
      <c r="F3783" s="2361"/>
      <c r="G3783" s="2361"/>
      <c r="H3783" s="2361"/>
      <c r="I3783" s="2361"/>
      <c r="J3783" s="2361"/>
    </row>
    <row r="3784" spans="1:15" ht="15" customHeight="1">
      <c r="A3784" s="2360" t="str">
        <f>$K$2</f>
        <v>THÁNG 04/2025</v>
      </c>
      <c r="B3784" s="2360"/>
      <c r="C3784" s="2360"/>
      <c r="D3784" s="2360"/>
      <c r="E3784" s="903"/>
      <c r="F3784" s="904"/>
      <c r="G3784" s="2360" t="str">
        <f>$K$2</f>
        <v>THÁNG 04/2025</v>
      </c>
      <c r="H3784" s="2360"/>
      <c r="I3784" s="2360"/>
      <c r="J3784" s="2360"/>
      <c r="K3784" s="276"/>
    </row>
    <row r="3785" spans="1:15" ht="15" customHeight="1">
      <c r="A3785" s="905" t="s">
        <v>356</v>
      </c>
      <c r="B3785" s="642" t="s">
        <v>345</v>
      </c>
      <c r="C3785" s="546"/>
      <c r="D3785" s="902"/>
      <c r="E3785" s="906"/>
      <c r="F3785" s="907"/>
      <c r="G3785" s="905" t="s">
        <v>356</v>
      </c>
      <c r="H3785" s="642" t="s">
        <v>346</v>
      </c>
      <c r="I3785" s="546"/>
      <c r="J3785" s="902"/>
      <c r="L3785" s="938"/>
      <c r="M3785" s="938"/>
      <c r="N3785" s="938"/>
      <c r="O3785" s="938"/>
    </row>
    <row r="3786" spans="1:15" ht="15" customHeight="1">
      <c r="A3786" s="908" t="s">
        <v>359</v>
      </c>
      <c r="B3786" s="909" t="s">
        <v>2090</v>
      </c>
      <c r="C3786" s="910" t="e">
        <f>VLOOKUP(B3785,'LƯƠNG KT'!$D$16:$Z$184,4,0)</f>
        <v>#N/A</v>
      </c>
      <c r="D3786" s="609" t="e">
        <f>+C3786*25000</f>
        <v>#N/A</v>
      </c>
      <c r="E3786" s="911"/>
      <c r="F3786" s="911"/>
      <c r="G3786" s="908" t="s">
        <v>359</v>
      </c>
      <c r="H3786" s="909" t="s">
        <v>2090</v>
      </c>
      <c r="I3786" s="910" t="e">
        <f>VLOOKUP(H3785,'LƯƠNG KT'!$D$16:$Z$184,4,0)</f>
        <v>#N/A</v>
      </c>
      <c r="J3786" s="609" t="e">
        <f>+I3786*25000</f>
        <v>#N/A</v>
      </c>
      <c r="K3786" s="934"/>
      <c r="L3786" s="935"/>
      <c r="M3786" s="935"/>
      <c r="N3786" s="935"/>
      <c r="O3786" s="935"/>
    </row>
    <row r="3787" spans="1:15" ht="15" customHeight="1">
      <c r="A3787" s="908" t="s">
        <v>361</v>
      </c>
      <c r="B3787" s="909" t="s">
        <v>2091</v>
      </c>
      <c r="C3787" s="910" t="e">
        <f>VLOOKUP(B3785,'LƯƠNG KT'!$D$16:$Z$184,15,0)</f>
        <v>#N/A</v>
      </c>
      <c r="D3787" s="609" t="e">
        <f>C3787*$L$4</f>
        <v>#N/A</v>
      </c>
      <c r="E3787" s="912"/>
      <c r="F3787" s="912"/>
      <c r="G3787" s="908" t="s">
        <v>361</v>
      </c>
      <c r="H3787" s="909" t="s">
        <v>2091</v>
      </c>
      <c r="I3787" s="910" t="e">
        <f>VLOOKUP(H3785,'LƯƠNG KT'!$D$16:$Z$184,15,0)</f>
        <v>#N/A</v>
      </c>
      <c r="J3787" s="609" t="e">
        <f>I3787*$L$4</f>
        <v>#N/A</v>
      </c>
      <c r="K3787" s="934"/>
      <c r="L3787" s="935"/>
      <c r="M3787" s="935"/>
      <c r="N3787" s="935"/>
      <c r="O3787" s="935"/>
    </row>
    <row r="3788" spans="1:15" ht="15" customHeight="1">
      <c r="A3788" s="908" t="s">
        <v>364</v>
      </c>
      <c r="B3788" s="909" t="s">
        <v>2092</v>
      </c>
      <c r="C3788" s="910" t="e">
        <f>VLOOKUP(B3785,'LƯƠNG KT'!$D$16:$Z$184,16,0)</f>
        <v>#N/A</v>
      </c>
      <c r="D3788" s="609" t="e">
        <f>C3788*$L$5</f>
        <v>#N/A</v>
      </c>
      <c r="E3788" s="912"/>
      <c r="F3788" s="912"/>
      <c r="G3788" s="908" t="s">
        <v>364</v>
      </c>
      <c r="H3788" s="909" t="s">
        <v>2092</v>
      </c>
      <c r="I3788" s="910" t="e">
        <f>VLOOKUP(H3785,'LƯƠNG KT'!$D$16:$Z$184,16,0)</f>
        <v>#N/A</v>
      </c>
      <c r="J3788" s="609" t="e">
        <f>I3788*$L$5</f>
        <v>#N/A</v>
      </c>
      <c r="K3788" s="934"/>
      <c r="L3788" s="935"/>
      <c r="M3788" s="935"/>
      <c r="N3788" s="935"/>
      <c r="O3788" s="935"/>
    </row>
    <row r="3789" spans="1:15" ht="15" customHeight="1">
      <c r="A3789" s="908" t="s">
        <v>370</v>
      </c>
      <c r="B3789" s="909" t="s">
        <v>2093</v>
      </c>
      <c r="C3789" s="910" t="e">
        <f>VLOOKUP(B3785,'LƯƠNG KT'!$D$16:$Z$184,24,0)</f>
        <v>#N/A</v>
      </c>
      <c r="D3789" s="609" t="e">
        <f>+C3789*$L$6</f>
        <v>#N/A</v>
      </c>
      <c r="E3789" s="912"/>
      <c r="F3789" s="912"/>
      <c r="G3789" s="908" t="s">
        <v>370</v>
      </c>
      <c r="H3789" s="909" t="s">
        <v>2093</v>
      </c>
      <c r="I3789" s="910" t="e">
        <f>VLOOKUP(H3785,'LƯƠNG KT'!$D$16:$Z$184,24,0)</f>
        <v>#N/A</v>
      </c>
      <c r="J3789" s="609" t="e">
        <f>+I3789*$L$6</f>
        <v>#N/A</v>
      </c>
      <c r="K3789" s="934"/>
      <c r="L3789" s="935"/>
      <c r="M3789" s="935"/>
      <c r="N3789" s="935"/>
      <c r="O3789" s="935"/>
    </row>
    <row r="3790" spans="1:15" ht="15" customHeight="1">
      <c r="A3790" s="908" t="s">
        <v>2094</v>
      </c>
      <c r="B3790" s="909" t="s">
        <v>2095</v>
      </c>
      <c r="C3790" s="910" t="e">
        <f>VLOOKUP(B3785,'LƯƠNG KT'!$D$16:$Z$184,19,0)</f>
        <v>#N/A</v>
      </c>
      <c r="D3790" s="609" t="e">
        <f>+C3790*$L$8</f>
        <v>#N/A</v>
      </c>
      <c r="E3790" s="912"/>
      <c r="F3790" s="912"/>
      <c r="G3790" s="908" t="s">
        <v>2094</v>
      </c>
      <c r="H3790" s="909" t="s">
        <v>2095</v>
      </c>
      <c r="I3790" s="910" t="e">
        <f>VLOOKUP(H3785,'LƯƠNG KT'!$D$16:$Z$184,19,0)</f>
        <v>#N/A</v>
      </c>
      <c r="J3790" s="609" t="e">
        <f>+I3790*$L$8</f>
        <v>#N/A</v>
      </c>
      <c r="K3790" s="935"/>
      <c r="L3790" s="935"/>
      <c r="M3790" s="935"/>
      <c r="N3790" s="935"/>
      <c r="O3790" s="935"/>
    </row>
    <row r="3791" spans="1:15" ht="15" customHeight="1">
      <c r="A3791" s="908" t="s">
        <v>2096</v>
      </c>
      <c r="B3791" s="913" t="s">
        <v>2097</v>
      </c>
      <c r="C3791" s="910" t="e">
        <f>VLOOKUP(B3785,'LƯƠNG KT'!$D$16:$Z$184,20,0)</f>
        <v>#N/A</v>
      </c>
      <c r="D3791" s="609" t="e">
        <f>+C3791*$L$9</f>
        <v>#N/A</v>
      </c>
      <c r="E3791" s="912"/>
      <c r="F3791" s="912"/>
      <c r="G3791" s="908" t="s">
        <v>2096</v>
      </c>
      <c r="H3791" s="913" t="s">
        <v>2097</v>
      </c>
      <c r="I3791" s="910" t="e">
        <f>VLOOKUP(H3785,'LƯƠNG KT'!$D$16:$Z$184,20,0)</f>
        <v>#N/A</v>
      </c>
      <c r="J3791" s="609" t="e">
        <f>+I3791*$L$9</f>
        <v>#N/A</v>
      </c>
      <c r="K3791" s="935"/>
      <c r="L3791" s="935"/>
      <c r="M3791" s="935"/>
      <c r="N3791" s="935"/>
      <c r="O3791" s="935"/>
    </row>
    <row r="3792" spans="1:15" ht="15" customHeight="1">
      <c r="A3792" s="908" t="s">
        <v>2099</v>
      </c>
      <c r="B3792" s="909" t="s">
        <v>2100</v>
      </c>
      <c r="C3792" s="910" t="e">
        <f>VLOOKUP(B3785,'LƯƠNG KT'!$D$16:$Z$184,17,0)</f>
        <v>#N/A</v>
      </c>
      <c r="D3792" s="609" t="e">
        <f>+C3792*$L$10</f>
        <v>#N/A</v>
      </c>
      <c r="E3792" s="912"/>
      <c r="F3792" s="912"/>
      <c r="G3792" s="908" t="s">
        <v>2099</v>
      </c>
      <c r="H3792" s="909" t="s">
        <v>2100</v>
      </c>
      <c r="I3792" s="910" t="e">
        <f>VLOOKUP(H3785,'LƯƠNG KT'!$D$16:$Z$184,17,0)</f>
        <v>#N/A</v>
      </c>
      <c r="J3792" s="609" t="e">
        <f>+I3792*$L$10</f>
        <v>#N/A</v>
      </c>
      <c r="K3792" s="935"/>
      <c r="L3792" s="935"/>
      <c r="M3792" s="935"/>
      <c r="N3792" s="935"/>
      <c r="O3792" s="935"/>
    </row>
    <row r="3793" spans="1:15" ht="15" customHeight="1">
      <c r="A3793" s="908" t="s">
        <v>2117</v>
      </c>
      <c r="B3793" s="913" t="s">
        <v>2116</v>
      </c>
      <c r="C3793" s="910" t="e">
        <f>VLOOKUP(B3785,'LƯƠNG KT'!$D$16:$Z$184,21,0)</f>
        <v>#N/A</v>
      </c>
      <c r="D3793" s="609" t="e">
        <f>+C3793*$L$7</f>
        <v>#N/A</v>
      </c>
      <c r="E3793" s="912"/>
      <c r="F3793" s="912"/>
      <c r="G3793" s="908" t="s">
        <v>2117</v>
      </c>
      <c r="H3793" s="913" t="s">
        <v>2116</v>
      </c>
      <c r="I3793" s="910" t="e">
        <f>VLOOKUP(H3785,'LƯƠNG KT'!$D$16:$Z$184,21,0)</f>
        <v>#N/A</v>
      </c>
      <c r="J3793" s="609" t="e">
        <f>+I3793*$L$7</f>
        <v>#N/A</v>
      </c>
      <c r="K3793" s="935"/>
      <c r="L3793" s="935"/>
      <c r="M3793" s="935"/>
      <c r="N3793" s="935"/>
      <c r="O3793" s="935"/>
    </row>
    <row r="3794" spans="1:15" ht="15" customHeight="1">
      <c r="A3794" s="908" t="s">
        <v>2118</v>
      </c>
      <c r="B3794" s="909" t="s">
        <v>2112</v>
      </c>
      <c r="C3794" s="910" t="e">
        <f>VLOOKUP(B3785,'LƯƠNG KT'!$D$16:$Z$184,23,0)</f>
        <v>#N/A</v>
      </c>
      <c r="D3794" s="609" t="e">
        <f>+C3794*20000</f>
        <v>#N/A</v>
      </c>
      <c r="E3794" s="914"/>
      <c r="F3794" s="912"/>
      <c r="G3794" s="908" t="s">
        <v>2118</v>
      </c>
      <c r="H3794" s="909" t="s">
        <v>2112</v>
      </c>
      <c r="I3794" s="910" t="e">
        <f>VLOOKUP(H3785,'LƯƠNG KT'!$D$16:$Z$184,23,0)</f>
        <v>#N/A</v>
      </c>
      <c r="J3794" s="609" t="e">
        <f>+I3794*20000</f>
        <v>#N/A</v>
      </c>
      <c r="K3794" s="935"/>
      <c r="L3794" s="935"/>
      <c r="M3794" s="935"/>
      <c r="N3794" s="935"/>
      <c r="O3794" s="935"/>
    </row>
    <row r="3795" spans="1:15" ht="15" customHeight="1">
      <c r="A3795" s="908" t="s">
        <v>374</v>
      </c>
      <c r="B3795" s="909" t="s">
        <v>2102</v>
      </c>
      <c r="C3795" s="910" t="e">
        <f>VLOOKUP(B3785,'LƯƠNG KT'!$D$16:$Z$184,12,0)</f>
        <v>#N/A</v>
      </c>
      <c r="D3795" s="609" t="e">
        <f>VLOOKUP(B3785,'LƯƠNG KT'!$D$16:$Z$184,14,0)</f>
        <v>#N/A</v>
      </c>
      <c r="E3795" s="916"/>
      <c r="F3795" s="916"/>
      <c r="G3795" s="908" t="s">
        <v>374</v>
      </c>
      <c r="H3795" s="909" t="s">
        <v>2102</v>
      </c>
      <c r="I3795" s="910" t="e">
        <f>VLOOKUP(H3785,'LƯƠNG KT'!$D$16:$Z$184,12,0)</f>
        <v>#N/A</v>
      </c>
      <c r="J3795" s="609" t="e">
        <f>VLOOKUP(H3785,'LƯƠNG KT'!$D$16:$Z$184,14,0)</f>
        <v>#N/A</v>
      </c>
      <c r="K3795" s="935"/>
      <c r="L3795" s="935"/>
      <c r="M3795" s="935"/>
      <c r="N3795" s="935"/>
      <c r="O3795" s="935"/>
    </row>
    <row r="3796" spans="1:15" ht="15" customHeight="1">
      <c r="A3796" s="908" t="s">
        <v>2103</v>
      </c>
      <c r="B3796" s="909" t="s">
        <v>2104</v>
      </c>
      <c r="D3796" s="915" t="e">
        <f>VLOOKUP(B3785,'LƯƠNG KT'!$D$16:$Z$184,13,0)</f>
        <v>#N/A</v>
      </c>
      <c r="E3796" s="914"/>
      <c r="F3796" s="916"/>
      <c r="G3796" s="908" t="s">
        <v>2103</v>
      </c>
      <c r="H3796" s="909" t="s">
        <v>2104</v>
      </c>
      <c r="J3796" s="915" t="e">
        <f>VLOOKUP(H3785,'LƯƠNG KT'!$D$16:$Z$184,13,0)</f>
        <v>#N/A</v>
      </c>
    </row>
    <row r="3797" spans="1:15" ht="15" customHeight="1">
      <c r="A3797" s="905"/>
      <c r="B3797" s="546"/>
      <c r="C3797" s="910"/>
      <c r="D3797" s="609"/>
      <c r="E3797" s="917"/>
      <c r="F3797" s="904"/>
      <c r="G3797" s="905"/>
      <c r="H3797" s="546"/>
      <c r="I3797" s="910"/>
      <c r="J3797" s="609"/>
    </row>
    <row r="3798" spans="1:15" ht="15" customHeight="1">
      <c r="A3798" s="918" t="s">
        <v>383</v>
      </c>
      <c r="B3798" s="919" t="s">
        <v>384</v>
      </c>
      <c r="C3798" s="920"/>
      <c r="D3798" s="921" t="e">
        <f>SUM(D3786:D3795)</f>
        <v>#N/A</v>
      </c>
      <c r="E3798" s="922"/>
      <c r="F3798" s="923"/>
      <c r="G3798" s="918" t="s">
        <v>383</v>
      </c>
      <c r="H3798" s="919" t="s">
        <v>384</v>
      </c>
      <c r="I3798" s="920"/>
      <c r="J3798" s="921" t="e">
        <f>SUM(J3786:J3795)</f>
        <v>#N/A</v>
      </c>
    </row>
    <row r="3799" spans="1:15" ht="12.6" customHeight="1">
      <c r="A3799" s="924"/>
      <c r="B3799" s="925"/>
      <c r="C3799" s="926"/>
      <c r="D3799" s="927"/>
      <c r="E3799" s="927"/>
      <c r="F3799" s="928"/>
      <c r="G3799" s="924"/>
      <c r="H3799" s="925"/>
      <c r="I3799" s="926"/>
      <c r="J3799" s="927"/>
    </row>
    <row r="3800" spans="1:15" ht="12.6" customHeight="1">
      <c r="A3800" s="925"/>
      <c r="B3800" s="925"/>
      <c r="C3800" s="929"/>
      <c r="D3800" s="930"/>
      <c r="E3800" s="925"/>
      <c r="F3800" s="931"/>
      <c r="G3800" s="925"/>
      <c r="H3800" s="925"/>
      <c r="I3800" s="929"/>
      <c r="J3800" s="930"/>
    </row>
    <row r="3801" spans="1:15" ht="15" customHeight="1">
      <c r="A3801" s="2360"/>
      <c r="B3801" s="2360"/>
      <c r="C3801" s="2360"/>
      <c r="D3801" s="2360"/>
      <c r="E3801" s="903"/>
      <c r="F3801" s="904"/>
      <c r="G3801" s="2360"/>
      <c r="H3801" s="2360"/>
      <c r="I3801" s="2360"/>
      <c r="J3801" s="2360"/>
      <c r="K3801" s="276"/>
    </row>
    <row r="3802" spans="1:15" ht="15" customHeight="1">
      <c r="A3802" s="2360" t="str">
        <f>$K$2</f>
        <v>THÁNG 04/2025</v>
      </c>
      <c r="B3802" s="2360"/>
      <c r="C3802" s="2360"/>
      <c r="D3802" s="2360"/>
      <c r="E3802" s="906"/>
      <c r="F3802" s="907"/>
      <c r="G3802" s="2360" t="str">
        <f>$K$2</f>
        <v>THÁNG 04/2025</v>
      </c>
      <c r="H3802" s="2360"/>
      <c r="I3802" s="2360"/>
      <c r="J3802" s="2360"/>
      <c r="L3802" s="938"/>
      <c r="M3802" s="938"/>
      <c r="N3802" s="938"/>
      <c r="O3802" s="938"/>
    </row>
    <row r="3803" spans="1:15" ht="15" customHeight="1">
      <c r="A3803" s="905" t="s">
        <v>356</v>
      </c>
      <c r="B3803" s="642" t="s">
        <v>347</v>
      </c>
      <c r="C3803" s="546"/>
      <c r="D3803" s="902"/>
      <c r="E3803" s="911"/>
      <c r="F3803" s="911"/>
      <c r="G3803" s="905" t="s">
        <v>356</v>
      </c>
      <c r="H3803" s="642" t="s">
        <v>348</v>
      </c>
      <c r="I3803" s="546"/>
      <c r="J3803" s="902"/>
      <c r="K3803" s="935"/>
      <c r="L3803" s="935"/>
      <c r="M3803" s="935"/>
      <c r="N3803" s="935"/>
      <c r="O3803" s="935"/>
    </row>
    <row r="3804" spans="1:15" ht="15" customHeight="1">
      <c r="A3804" s="908" t="s">
        <v>359</v>
      </c>
      <c r="B3804" s="909" t="s">
        <v>2090</v>
      </c>
      <c r="C3804" s="910" t="e">
        <f>VLOOKUP(B3803,'LƯƠNG KT'!$D$16:$Z$184,4,0)</f>
        <v>#N/A</v>
      </c>
      <c r="D3804" s="609" t="e">
        <f>+C3804*25000</f>
        <v>#N/A</v>
      </c>
      <c r="E3804" s="911"/>
      <c r="F3804" s="911"/>
      <c r="G3804" s="908" t="s">
        <v>359</v>
      </c>
      <c r="H3804" s="909" t="s">
        <v>2090</v>
      </c>
      <c r="I3804" s="910" t="e">
        <f>VLOOKUP(H3803,'LƯƠNG KT'!$D$16:$Z$184,4,0)</f>
        <v>#N/A</v>
      </c>
      <c r="J3804" s="609" t="e">
        <f>+I3804*25000</f>
        <v>#N/A</v>
      </c>
      <c r="K3804" s="935"/>
      <c r="L3804" s="935"/>
      <c r="M3804" s="935"/>
      <c r="N3804" s="935"/>
      <c r="O3804" s="935"/>
    </row>
    <row r="3805" spans="1:15" ht="15" customHeight="1">
      <c r="A3805" s="908" t="s">
        <v>361</v>
      </c>
      <c r="B3805" s="909" t="s">
        <v>2091</v>
      </c>
      <c r="C3805" s="910" t="e">
        <f>VLOOKUP(B3803,'LƯƠNG KT'!$D$16:$Z$184,15,0)</f>
        <v>#N/A</v>
      </c>
      <c r="D3805" s="609" t="e">
        <f>C3805*$L$4</f>
        <v>#N/A</v>
      </c>
      <c r="E3805" s="912"/>
      <c r="F3805" s="912"/>
      <c r="G3805" s="908" t="s">
        <v>361</v>
      </c>
      <c r="H3805" s="909" t="s">
        <v>2091</v>
      </c>
      <c r="I3805" s="910" t="e">
        <f>VLOOKUP(H3803,'LƯƠNG KT'!$D$16:$Z$184,15,0)</f>
        <v>#N/A</v>
      </c>
      <c r="J3805" s="609" t="e">
        <f>I3805*$L$4</f>
        <v>#N/A</v>
      </c>
      <c r="K3805" s="935"/>
      <c r="L3805" s="935"/>
      <c r="M3805" s="935"/>
      <c r="N3805" s="935"/>
      <c r="O3805" s="935"/>
    </row>
    <row r="3806" spans="1:15" ht="15" customHeight="1">
      <c r="A3806" s="908" t="s">
        <v>364</v>
      </c>
      <c r="B3806" s="909" t="s">
        <v>2092</v>
      </c>
      <c r="C3806" s="910" t="e">
        <f>VLOOKUP(B3803,'LƯƠNG KT'!$D$16:$Z$184,16,0)</f>
        <v>#N/A</v>
      </c>
      <c r="D3806" s="609" t="e">
        <f>C3806*$L$5</f>
        <v>#N/A</v>
      </c>
      <c r="E3806" s="912"/>
      <c r="F3806" s="912"/>
      <c r="G3806" s="908" t="s">
        <v>364</v>
      </c>
      <c r="H3806" s="909" t="s">
        <v>2092</v>
      </c>
      <c r="I3806" s="910" t="e">
        <f>VLOOKUP(H3803,'LƯƠNG KT'!$D$16:$Z$184,16,0)</f>
        <v>#N/A</v>
      </c>
      <c r="J3806" s="609" t="e">
        <f>I3806*$L$5</f>
        <v>#N/A</v>
      </c>
      <c r="K3806" s="935"/>
      <c r="L3806" s="935"/>
      <c r="M3806" s="935"/>
      <c r="N3806" s="935"/>
      <c r="O3806" s="935"/>
    </row>
    <row r="3807" spans="1:15" ht="15" customHeight="1">
      <c r="A3807" s="908" t="s">
        <v>370</v>
      </c>
      <c r="B3807" s="909" t="s">
        <v>2093</v>
      </c>
      <c r="C3807" s="910" t="e">
        <f>VLOOKUP(B3803,'LƯƠNG KT'!$D$16:$Z$184,24,0)</f>
        <v>#N/A</v>
      </c>
      <c r="D3807" s="609" t="e">
        <f>+C3807*$L$6</f>
        <v>#N/A</v>
      </c>
      <c r="E3807" s="912"/>
      <c r="F3807" s="912"/>
      <c r="G3807" s="908" t="s">
        <v>370</v>
      </c>
      <c r="H3807" s="909" t="s">
        <v>2093</v>
      </c>
      <c r="I3807" s="910" t="e">
        <f>VLOOKUP(H3803,'LƯƠNG KT'!$D$16:$Z$184,24,0)</f>
        <v>#N/A</v>
      </c>
      <c r="J3807" s="609" t="e">
        <f>+I3807*$L$6</f>
        <v>#N/A</v>
      </c>
      <c r="K3807" s="935"/>
      <c r="L3807" s="935"/>
      <c r="M3807" s="935"/>
      <c r="N3807" s="935"/>
      <c r="O3807" s="935"/>
    </row>
    <row r="3808" spans="1:15" ht="15" customHeight="1">
      <c r="A3808" s="908" t="s">
        <v>2094</v>
      </c>
      <c r="B3808" s="909" t="s">
        <v>2095</v>
      </c>
      <c r="C3808" s="910" t="e">
        <f>VLOOKUP(B3803,'LƯƠNG KT'!$D$16:$Z$184,19,0)</f>
        <v>#N/A</v>
      </c>
      <c r="D3808" s="609" t="e">
        <f>+C3808*$L$8</f>
        <v>#N/A</v>
      </c>
      <c r="E3808" s="912"/>
      <c r="F3808" s="912"/>
      <c r="G3808" s="908" t="s">
        <v>2094</v>
      </c>
      <c r="H3808" s="909" t="s">
        <v>2095</v>
      </c>
      <c r="I3808" s="910" t="e">
        <f>VLOOKUP(H3803,'LƯƠNG KT'!$D$16:$Z$184,19,0)</f>
        <v>#N/A</v>
      </c>
      <c r="J3808" s="609" t="e">
        <f>+I3808*$L$8</f>
        <v>#N/A</v>
      </c>
      <c r="K3808" s="935"/>
      <c r="L3808" s="935"/>
      <c r="M3808" s="935"/>
      <c r="N3808" s="935"/>
      <c r="O3808" s="935"/>
    </row>
    <row r="3809" spans="1:15" ht="15" customHeight="1">
      <c r="A3809" s="908" t="s">
        <v>2096</v>
      </c>
      <c r="B3809" s="913" t="s">
        <v>2097</v>
      </c>
      <c r="C3809" s="910" t="e">
        <f>VLOOKUP(B3803,'LƯƠNG KT'!$D$16:$Z$184,20,0)</f>
        <v>#N/A</v>
      </c>
      <c r="D3809" s="609" t="e">
        <f>+C3809*$L$9</f>
        <v>#N/A</v>
      </c>
      <c r="E3809" s="912"/>
      <c r="F3809" s="912"/>
      <c r="G3809" s="908" t="s">
        <v>2096</v>
      </c>
      <c r="H3809" s="913" t="s">
        <v>2097</v>
      </c>
      <c r="I3809" s="910" t="e">
        <f>VLOOKUP(H3803,'LƯƠNG KT'!$D$16:$Z$184,20,0)</f>
        <v>#N/A</v>
      </c>
      <c r="J3809" s="609" t="e">
        <f>+I3809*$L$9</f>
        <v>#N/A</v>
      </c>
      <c r="K3809" s="935"/>
      <c r="L3809" s="935"/>
      <c r="M3809" s="935"/>
      <c r="N3809" s="935"/>
      <c r="O3809" s="935"/>
    </row>
    <row r="3810" spans="1:15" ht="15" customHeight="1">
      <c r="A3810" s="908" t="s">
        <v>2099</v>
      </c>
      <c r="B3810" s="909" t="s">
        <v>2100</v>
      </c>
      <c r="C3810" s="910" t="e">
        <f>VLOOKUP(B3803,'LƯƠNG KT'!$D$16:$Z$184,17,0)</f>
        <v>#N/A</v>
      </c>
      <c r="D3810" s="609" t="e">
        <f>+C3810*$L$10</f>
        <v>#N/A</v>
      </c>
      <c r="E3810" s="912"/>
      <c r="F3810" s="912"/>
      <c r="G3810" s="908" t="s">
        <v>2099</v>
      </c>
      <c r="H3810" s="909" t="s">
        <v>2100</v>
      </c>
      <c r="I3810" s="910" t="e">
        <f>VLOOKUP(H3803,'LƯƠNG KT'!$D$16:$Z$184,17,0)</f>
        <v>#N/A</v>
      </c>
      <c r="J3810" s="609" t="e">
        <f>+I3810*$L$10</f>
        <v>#N/A</v>
      </c>
      <c r="K3810" s="935"/>
      <c r="L3810" s="935"/>
      <c r="M3810" s="935"/>
      <c r="N3810" s="935"/>
      <c r="O3810" s="935"/>
    </row>
    <row r="3811" spans="1:15" ht="15" customHeight="1">
      <c r="A3811" s="908" t="s">
        <v>2117</v>
      </c>
      <c r="B3811" s="913" t="s">
        <v>2116</v>
      </c>
      <c r="C3811" s="910" t="e">
        <f>VLOOKUP(B3803,'LƯƠNG KT'!$D$16:$Z$184,21,0)</f>
        <v>#N/A</v>
      </c>
      <c r="D3811" s="609" t="e">
        <f>+C3811*$L$7</f>
        <v>#N/A</v>
      </c>
      <c r="E3811" s="912"/>
      <c r="F3811" s="912"/>
      <c r="G3811" s="908" t="s">
        <v>2117</v>
      </c>
      <c r="H3811" s="913" t="s">
        <v>2116</v>
      </c>
      <c r="I3811" s="910" t="e">
        <f>VLOOKUP(H3803,'LƯƠNG KT'!$D$16:$Z$184,21,0)</f>
        <v>#N/A</v>
      </c>
      <c r="J3811" s="609" t="e">
        <f>+I3811*$L$7</f>
        <v>#N/A</v>
      </c>
    </row>
    <row r="3812" spans="1:15" ht="15" customHeight="1">
      <c r="A3812" s="908" t="s">
        <v>2118</v>
      </c>
      <c r="B3812" s="909" t="s">
        <v>2112</v>
      </c>
      <c r="C3812" s="910" t="e">
        <f>VLOOKUP(B3803,'LƯƠNG KT'!$D$16:$Z$184,23,0)</f>
        <v>#N/A</v>
      </c>
      <c r="D3812" s="609" t="e">
        <f>+C3812*20000</f>
        <v>#N/A</v>
      </c>
      <c r="E3812" s="914"/>
      <c r="F3812" s="912"/>
      <c r="G3812" s="908" t="s">
        <v>2118</v>
      </c>
      <c r="H3812" s="909" t="s">
        <v>2112</v>
      </c>
      <c r="I3812" s="910" t="e">
        <f>VLOOKUP(H3803,'LƯƠNG KT'!$D$16:$Z$184,23,0)</f>
        <v>#N/A</v>
      </c>
      <c r="J3812" s="609" t="e">
        <f>+I3812*20000</f>
        <v>#N/A</v>
      </c>
    </row>
    <row r="3813" spans="1:15" ht="15" customHeight="1">
      <c r="A3813" s="908" t="s">
        <v>374</v>
      </c>
      <c r="B3813" s="909" t="s">
        <v>2102</v>
      </c>
      <c r="C3813" s="910" t="e">
        <f>VLOOKUP(B3803,'LƯƠNG KT'!$D$16:$Z$184,12,0)</f>
        <v>#N/A</v>
      </c>
      <c r="D3813" s="609" t="e">
        <f>VLOOKUP(B3803,'LƯƠNG KT'!$D$16:$Z$184,14,0)</f>
        <v>#N/A</v>
      </c>
      <c r="E3813" s="916"/>
      <c r="F3813" s="916"/>
      <c r="G3813" s="908" t="s">
        <v>374</v>
      </c>
      <c r="H3813" s="909" t="s">
        <v>2102</v>
      </c>
      <c r="I3813" s="910" t="e">
        <f>VLOOKUP(H3803,'LƯƠNG KT'!$D$16:$Z$184,12,0)</f>
        <v>#N/A</v>
      </c>
      <c r="J3813" s="609" t="e">
        <f>VLOOKUP(H3803,'LƯƠNG KT'!$D$16:$Z$184,14,0)</f>
        <v>#N/A</v>
      </c>
    </row>
    <row r="3814" spans="1:15" ht="18.75" customHeight="1">
      <c r="A3814" s="908" t="s">
        <v>2103</v>
      </c>
      <c r="B3814" s="909" t="s">
        <v>2104</v>
      </c>
      <c r="D3814" s="915" t="e">
        <f>VLOOKUP(B3803,'LƯƠNG KT'!$D$16:$Z$184,13,0)</f>
        <v>#N/A</v>
      </c>
      <c r="E3814" s="914"/>
      <c r="F3814" s="916"/>
      <c r="G3814" s="908" t="s">
        <v>2103</v>
      </c>
      <c r="H3814" s="909" t="s">
        <v>2104</v>
      </c>
      <c r="J3814" s="915" t="e">
        <f>VLOOKUP(H3803,'LƯƠNG KT'!$D$16:$Z$184,13,0)</f>
        <v>#N/A</v>
      </c>
    </row>
    <row r="3815" spans="1:15" ht="18.75" customHeight="1">
      <c r="A3815" s="905"/>
      <c r="B3815" s="546"/>
      <c r="C3815" s="910"/>
      <c r="D3815" s="609"/>
      <c r="E3815" s="917"/>
      <c r="F3815" s="904"/>
      <c r="G3815" s="905"/>
      <c r="H3815" s="546"/>
      <c r="I3815" s="910"/>
      <c r="J3815" s="609"/>
    </row>
    <row r="3816" spans="1:15" ht="15" customHeight="1">
      <c r="A3816" s="918" t="s">
        <v>383</v>
      </c>
      <c r="B3816" s="919" t="s">
        <v>384</v>
      </c>
      <c r="C3816" s="920"/>
      <c r="D3816" s="921" t="e">
        <f>SUM(D3804:D3813)</f>
        <v>#N/A</v>
      </c>
      <c r="E3816" s="922"/>
      <c r="F3816" s="923"/>
      <c r="G3816" s="918" t="s">
        <v>383</v>
      </c>
      <c r="H3816" s="919" t="s">
        <v>384</v>
      </c>
      <c r="I3816" s="920"/>
      <c r="J3816" s="921" t="e">
        <f>SUM(J3804:J3813)</f>
        <v>#N/A</v>
      </c>
      <c r="K3816" s="276"/>
    </row>
    <row r="3817" spans="1:15" ht="15" customHeight="1">
      <c r="A3817" s="905"/>
      <c r="B3817" s="642"/>
      <c r="C3817" s="546"/>
      <c r="D3817" s="902"/>
      <c r="E3817" s="906"/>
      <c r="F3817" s="907"/>
      <c r="G3817" s="905"/>
      <c r="H3817" s="642"/>
      <c r="I3817" s="546"/>
      <c r="J3817" s="902"/>
      <c r="L3817" s="938"/>
      <c r="M3817" s="938"/>
      <c r="N3817" s="938"/>
      <c r="O3817" s="938"/>
    </row>
    <row r="3818" spans="1:15" ht="15" customHeight="1">
      <c r="A3818" s="2360" t="str">
        <f>$K$2</f>
        <v>THÁNG 04/2025</v>
      </c>
      <c r="B3818" s="2360"/>
      <c r="C3818" s="2360"/>
      <c r="D3818" s="2360"/>
      <c r="E3818" s="911"/>
      <c r="F3818" s="911"/>
      <c r="G3818" s="2360" t="str">
        <f>$K$2</f>
        <v>THÁNG 04/2025</v>
      </c>
      <c r="H3818" s="2360"/>
      <c r="I3818" s="2360"/>
      <c r="J3818" s="2360"/>
      <c r="K3818" s="935"/>
      <c r="L3818" s="935"/>
      <c r="M3818" s="935"/>
      <c r="N3818" s="935"/>
      <c r="O3818" s="935"/>
    </row>
    <row r="3819" spans="1:15" ht="15" customHeight="1">
      <c r="A3819" s="905" t="s">
        <v>356</v>
      </c>
      <c r="B3819" s="642" t="s">
        <v>306</v>
      </c>
      <c r="C3819" s="546"/>
      <c r="D3819" s="902"/>
      <c r="E3819" s="912"/>
      <c r="F3819" s="912"/>
      <c r="G3819" s="905" t="s">
        <v>356</v>
      </c>
      <c r="H3819" s="642" t="s">
        <v>307</v>
      </c>
      <c r="I3819" s="546"/>
      <c r="J3819" s="902"/>
      <c r="K3819" s="935"/>
      <c r="L3819" s="935"/>
      <c r="M3819" s="935"/>
      <c r="N3819" s="935"/>
      <c r="O3819" s="935"/>
    </row>
    <row r="3820" spans="1:15" ht="15" customHeight="1">
      <c r="A3820" s="908" t="s">
        <v>359</v>
      </c>
      <c r="B3820" s="909" t="s">
        <v>2090</v>
      </c>
      <c r="C3820" s="910" t="e">
        <f>VLOOKUP(B3819,'LƯƠNG KT'!$D$16:$Z$184,4,0)</f>
        <v>#N/A</v>
      </c>
      <c r="D3820" s="609" t="e">
        <f>+C3820*25000</f>
        <v>#N/A</v>
      </c>
      <c r="E3820" s="912"/>
      <c r="F3820" s="912"/>
      <c r="G3820" s="908" t="s">
        <v>359</v>
      </c>
      <c r="H3820" s="909" t="s">
        <v>2090</v>
      </c>
      <c r="I3820" s="910" t="e">
        <f>VLOOKUP(H3819,'LƯƠNG KT'!$D$16:$Z$184,4,0)</f>
        <v>#N/A</v>
      </c>
      <c r="J3820" s="609" t="e">
        <f>+I3820*25000</f>
        <v>#N/A</v>
      </c>
      <c r="K3820" s="935"/>
      <c r="L3820" s="935"/>
      <c r="M3820" s="935"/>
      <c r="N3820" s="935"/>
      <c r="O3820" s="935"/>
    </row>
    <row r="3821" spans="1:15" ht="15" customHeight="1">
      <c r="A3821" s="908" t="s">
        <v>361</v>
      </c>
      <c r="B3821" s="909" t="s">
        <v>2091</v>
      </c>
      <c r="C3821" s="910" t="e">
        <f>VLOOKUP(B3819,'LƯƠNG KT'!$D$16:$Z$184,15,0)</f>
        <v>#N/A</v>
      </c>
      <c r="D3821" s="609" t="e">
        <f>C3821*$L$4</f>
        <v>#N/A</v>
      </c>
      <c r="E3821" s="912"/>
      <c r="F3821" s="912"/>
      <c r="G3821" s="908" t="s">
        <v>361</v>
      </c>
      <c r="H3821" s="909" t="s">
        <v>2091</v>
      </c>
      <c r="I3821" s="910" t="e">
        <f>VLOOKUP(H3819,'LƯƠNG KT'!$D$16:$Z$184,15,0)</f>
        <v>#N/A</v>
      </c>
      <c r="J3821" s="609" t="e">
        <f>I3821*$L$4</f>
        <v>#N/A</v>
      </c>
      <c r="K3821" s="935"/>
      <c r="L3821" s="935"/>
      <c r="M3821" s="935"/>
      <c r="N3821" s="935"/>
      <c r="O3821" s="935"/>
    </row>
    <row r="3822" spans="1:15" ht="15" customHeight="1">
      <c r="A3822" s="908" t="s">
        <v>364</v>
      </c>
      <c r="B3822" s="909" t="s">
        <v>2092</v>
      </c>
      <c r="C3822" s="910" t="e">
        <f>VLOOKUP(B3819,'LƯƠNG KT'!$D$16:$Z$184,16,0)</f>
        <v>#N/A</v>
      </c>
      <c r="D3822" s="609" t="e">
        <f>C3822*$L$5</f>
        <v>#N/A</v>
      </c>
      <c r="E3822" s="912"/>
      <c r="F3822" s="912"/>
      <c r="G3822" s="908" t="s">
        <v>364</v>
      </c>
      <c r="H3822" s="909" t="s">
        <v>2092</v>
      </c>
      <c r="I3822" s="910" t="e">
        <f>VLOOKUP(H3819,'LƯƠNG KT'!$D$16:$Z$184,16,0)</f>
        <v>#N/A</v>
      </c>
      <c r="J3822" s="609" t="e">
        <f>I3822*$L$5</f>
        <v>#N/A</v>
      </c>
      <c r="K3822" s="935"/>
      <c r="L3822" s="935"/>
      <c r="M3822" s="935"/>
      <c r="N3822" s="935"/>
      <c r="O3822" s="935"/>
    </row>
    <row r="3823" spans="1:15" ht="15" customHeight="1">
      <c r="A3823" s="908" t="s">
        <v>370</v>
      </c>
      <c r="B3823" s="909" t="s">
        <v>2093</v>
      </c>
      <c r="C3823" s="910" t="e">
        <f>VLOOKUP(B3819,'LƯƠNG KT'!$D$16:$Z$184,24,0)</f>
        <v>#N/A</v>
      </c>
      <c r="D3823" s="609" t="e">
        <f>+C3823*$L$6</f>
        <v>#N/A</v>
      </c>
      <c r="E3823" s="914"/>
      <c r="F3823" s="912"/>
      <c r="G3823" s="908" t="s">
        <v>370</v>
      </c>
      <c r="H3823" s="909" t="s">
        <v>2093</v>
      </c>
      <c r="I3823" s="910" t="e">
        <f>VLOOKUP(H3819,'LƯƠNG KT'!$D$16:$Z$184,24,0)</f>
        <v>#N/A</v>
      </c>
      <c r="J3823" s="609" t="e">
        <f>+I3823*$L$6</f>
        <v>#N/A</v>
      </c>
      <c r="K3823" s="935"/>
      <c r="L3823" s="935"/>
      <c r="M3823" s="935"/>
      <c r="N3823" s="935"/>
      <c r="O3823" s="935"/>
    </row>
    <row r="3824" spans="1:15" ht="15" customHeight="1">
      <c r="A3824" s="908" t="s">
        <v>2094</v>
      </c>
      <c r="B3824" s="909" t="s">
        <v>2095</v>
      </c>
      <c r="C3824" s="910" t="e">
        <f>VLOOKUP(B3819,'LƯƠNG KT'!$D$16:$Z$184,19,0)</f>
        <v>#N/A</v>
      </c>
      <c r="D3824" s="609" t="e">
        <f>+C3824*$L$8</f>
        <v>#N/A</v>
      </c>
      <c r="E3824" s="916"/>
      <c r="F3824" s="916"/>
      <c r="G3824" s="908" t="s">
        <v>2094</v>
      </c>
      <c r="H3824" s="909" t="s">
        <v>2095</v>
      </c>
      <c r="I3824" s="910" t="e">
        <f>VLOOKUP(H3819,'LƯƠNG KT'!$D$16:$Z$184,19,0)</f>
        <v>#N/A</v>
      </c>
      <c r="J3824" s="609" t="e">
        <f>+I3824*$L$8</f>
        <v>#N/A</v>
      </c>
    </row>
    <row r="3825" spans="1:15" ht="15" customHeight="1">
      <c r="A3825" s="908" t="s">
        <v>2096</v>
      </c>
      <c r="B3825" s="913" t="s">
        <v>2097</v>
      </c>
      <c r="C3825" s="910" t="e">
        <f>VLOOKUP(B3819,'LƯƠNG KT'!$D$16:$Z$184,20,0)</f>
        <v>#N/A</v>
      </c>
      <c r="D3825" s="609" t="e">
        <f>+C3825*$L$9</f>
        <v>#N/A</v>
      </c>
      <c r="E3825" s="914"/>
      <c r="F3825" s="916"/>
      <c r="G3825" s="908" t="s">
        <v>2096</v>
      </c>
      <c r="H3825" s="913" t="s">
        <v>2097</v>
      </c>
      <c r="I3825" s="910" t="e">
        <f>VLOOKUP(H3819,'LƯƠNG KT'!$D$16:$Z$184,20,0)</f>
        <v>#N/A</v>
      </c>
      <c r="J3825" s="609" t="e">
        <f>+I3825*$L$9</f>
        <v>#N/A</v>
      </c>
    </row>
    <row r="3826" spans="1:15" ht="15" customHeight="1">
      <c r="A3826" s="908" t="s">
        <v>2099</v>
      </c>
      <c r="B3826" s="909" t="s">
        <v>2100</v>
      </c>
      <c r="C3826" s="910" t="e">
        <f>VLOOKUP(B3819,'LƯƠNG KT'!$D$16:$Z$184,17,0)</f>
        <v>#N/A</v>
      </c>
      <c r="D3826" s="609" t="e">
        <f>+C3826*$L$10</f>
        <v>#N/A</v>
      </c>
      <c r="E3826" s="917"/>
      <c r="F3826" s="904"/>
      <c r="G3826" s="908" t="s">
        <v>2099</v>
      </c>
      <c r="H3826" s="909" t="s">
        <v>2100</v>
      </c>
      <c r="I3826" s="910" t="e">
        <f>VLOOKUP(H3819,'LƯƠNG KT'!$D$16:$Z$184,17,0)</f>
        <v>#N/A</v>
      </c>
      <c r="J3826" s="609" t="e">
        <f>+I3826*$L$10</f>
        <v>#N/A</v>
      </c>
    </row>
    <row r="3827" spans="1:15" ht="15" customHeight="1">
      <c r="A3827" s="908" t="s">
        <v>2117</v>
      </c>
      <c r="B3827" s="913" t="s">
        <v>2116</v>
      </c>
      <c r="C3827" s="910" t="e">
        <f>VLOOKUP(B3819,'LƯƠNG KT'!$D$16:$Z$184,21,0)</f>
        <v>#N/A</v>
      </c>
      <c r="D3827" s="609" t="e">
        <f>+C3827*$L$7</f>
        <v>#N/A</v>
      </c>
      <c r="E3827" s="922"/>
      <c r="F3827" s="923"/>
      <c r="G3827" s="908" t="s">
        <v>2117</v>
      </c>
      <c r="H3827" s="913" t="s">
        <v>2116</v>
      </c>
      <c r="I3827" s="910" t="e">
        <f>VLOOKUP(H3819,'LƯƠNG KT'!$D$16:$Z$184,21,0)</f>
        <v>#N/A</v>
      </c>
      <c r="J3827" s="609" t="e">
        <f>+I3827*$L$7</f>
        <v>#N/A</v>
      </c>
      <c r="K3827" s="940"/>
      <c r="L3827" s="940"/>
      <c r="M3827" s="940"/>
      <c r="N3827" s="940"/>
      <c r="O3827" s="940"/>
    </row>
    <row r="3828" spans="1:15" ht="18.75" customHeight="1">
      <c r="A3828" s="908" t="s">
        <v>2118</v>
      </c>
      <c r="B3828" s="909" t="s">
        <v>2112</v>
      </c>
      <c r="C3828" s="910" t="e">
        <f>VLOOKUP(B3819,'LƯƠNG KT'!$D$16:$Z$184,23,0)</f>
        <v>#N/A</v>
      </c>
      <c r="D3828" s="609" t="e">
        <f>+C3828*20000</f>
        <v>#N/A</v>
      </c>
      <c r="E3828" s="927"/>
      <c r="F3828" s="928"/>
      <c r="G3828" s="908" t="s">
        <v>2118</v>
      </c>
      <c r="H3828" s="909" t="s">
        <v>2112</v>
      </c>
      <c r="I3828" s="910" t="e">
        <f>VLOOKUP(H3819,'LƯƠNG KT'!$D$16:$Z$184,23,0)</f>
        <v>#N/A</v>
      </c>
      <c r="J3828" s="609" t="e">
        <f>+I3828*20000</f>
        <v>#N/A</v>
      </c>
    </row>
    <row r="3829" spans="1:15" ht="18.75" customHeight="1">
      <c r="A3829" s="908" t="s">
        <v>374</v>
      </c>
      <c r="B3829" s="909" t="s">
        <v>2102</v>
      </c>
      <c r="C3829" s="910" t="e">
        <f>VLOOKUP(B3819,'LƯƠNG KT'!$D$16:$Z$184,12,0)</f>
        <v>#N/A</v>
      </c>
      <c r="D3829" s="609" t="e">
        <f>VLOOKUP(B3819,'LƯƠNG KT'!$D$16:$Z$184,14,0)</f>
        <v>#N/A</v>
      </c>
      <c r="E3829" s="925"/>
      <c r="F3829" s="931"/>
      <c r="G3829" s="908" t="s">
        <v>374</v>
      </c>
      <c r="H3829" s="909" t="s">
        <v>2102</v>
      </c>
      <c r="I3829" s="910" t="e">
        <f>VLOOKUP(H3819,'LƯƠNG KT'!$D$16:$Z$184,12,0)</f>
        <v>#N/A</v>
      </c>
      <c r="J3829" s="609" t="e">
        <f>VLOOKUP(H3819,'LƯƠNG KT'!$D$16:$Z$184,14,0)</f>
        <v>#N/A</v>
      </c>
    </row>
    <row r="3830" spans="1:15" ht="18.75" customHeight="1">
      <c r="A3830" s="908" t="s">
        <v>2103</v>
      </c>
      <c r="B3830" s="909" t="s">
        <v>2104</v>
      </c>
      <c r="D3830" s="915" t="e">
        <f>VLOOKUP(B3819,'LƯƠNG KT'!$D$16:$Z$184,13,0)</f>
        <v>#N/A</v>
      </c>
      <c r="E3830" s="925"/>
      <c r="F3830" s="931"/>
      <c r="G3830" s="908" t="s">
        <v>2103</v>
      </c>
      <c r="H3830" s="909" t="s">
        <v>2104</v>
      </c>
      <c r="J3830" s="915" t="e">
        <f>VLOOKUP(H3819,'LƯƠNG KT'!$D$16:$Z$184,13,0)</f>
        <v>#N/A</v>
      </c>
    </row>
    <row r="3831" spans="1:15" ht="15" customHeight="1">
      <c r="A3831" s="905"/>
      <c r="B3831" s="546"/>
      <c r="C3831" s="910"/>
      <c r="D3831" s="609"/>
      <c r="E3831" s="903"/>
      <c r="F3831" s="904"/>
      <c r="G3831" s="905"/>
      <c r="H3831" s="546"/>
      <c r="I3831" s="910"/>
      <c r="J3831" s="609"/>
      <c r="K3831" s="276"/>
    </row>
    <row r="3832" spans="1:15" ht="15" customHeight="1">
      <c r="A3832" s="918" t="s">
        <v>383</v>
      </c>
      <c r="B3832" s="919" t="s">
        <v>384</v>
      </c>
      <c r="C3832" s="920"/>
      <c r="D3832" s="921" t="e">
        <f>SUM(D3820:D3829)</f>
        <v>#N/A</v>
      </c>
      <c r="E3832" s="906"/>
      <c r="F3832" s="907"/>
      <c r="G3832" s="918" t="s">
        <v>383</v>
      </c>
      <c r="H3832" s="919" t="s">
        <v>384</v>
      </c>
      <c r="I3832" s="920"/>
      <c r="J3832" s="921" t="e">
        <f>SUM(J3820:J3829)</f>
        <v>#N/A</v>
      </c>
      <c r="K3832" s="951"/>
      <c r="L3832" s="952"/>
      <c r="M3832" s="952"/>
      <c r="N3832" s="952"/>
      <c r="O3832" s="952"/>
    </row>
    <row r="3833" spans="1:15" ht="15" customHeight="1">
      <c r="A3833" s="905"/>
      <c r="B3833" s="939"/>
      <c r="C3833" s="910"/>
      <c r="D3833" s="609"/>
      <c r="E3833" s="911"/>
      <c r="F3833" s="911"/>
      <c r="G3833" s="905"/>
      <c r="H3833" s="939"/>
      <c r="I3833" s="910"/>
      <c r="J3833" s="609"/>
      <c r="K3833" s="951"/>
      <c r="L3833" s="951"/>
      <c r="M3833" s="951"/>
      <c r="N3833" s="951"/>
      <c r="O3833" s="951"/>
    </row>
    <row r="3834" spans="1:15" ht="15" customHeight="1">
      <c r="A3834" s="2360" t="str">
        <f>$K$2</f>
        <v>THÁNG 04/2025</v>
      </c>
      <c r="B3834" s="2360"/>
      <c r="C3834" s="2360"/>
      <c r="D3834" s="2360"/>
      <c r="E3834" s="911"/>
      <c r="F3834" s="911"/>
      <c r="G3834" s="2360" t="str">
        <f>$K$2</f>
        <v>THÁNG 04/2025</v>
      </c>
      <c r="H3834" s="2360"/>
      <c r="I3834" s="2360"/>
      <c r="J3834" s="2360"/>
      <c r="K3834" s="935"/>
      <c r="L3834" s="935"/>
      <c r="M3834" s="935"/>
      <c r="N3834" s="935"/>
      <c r="O3834" s="935"/>
    </row>
    <row r="3835" spans="1:15" ht="15" customHeight="1">
      <c r="A3835" s="905" t="s">
        <v>356</v>
      </c>
      <c r="B3835" s="642" t="s">
        <v>330</v>
      </c>
      <c r="C3835" s="546"/>
      <c r="D3835" s="902"/>
      <c r="E3835" s="912"/>
      <c r="F3835" s="912"/>
      <c r="G3835" s="905" t="s">
        <v>356</v>
      </c>
      <c r="H3835" s="642"/>
      <c r="I3835" s="546"/>
      <c r="J3835" s="902"/>
      <c r="K3835" s="935"/>
      <c r="L3835" s="935"/>
      <c r="M3835" s="935"/>
      <c r="N3835" s="935"/>
      <c r="O3835" s="935"/>
    </row>
    <row r="3836" spans="1:15" ht="15" customHeight="1">
      <c r="A3836" s="908" t="s">
        <v>359</v>
      </c>
      <c r="B3836" s="909" t="s">
        <v>2090</v>
      </c>
      <c r="C3836" s="910" t="e">
        <f>VLOOKUP(B3835,'LƯƠNG KT'!$D$16:$Z$184,4,0)</f>
        <v>#N/A</v>
      </c>
      <c r="D3836" s="609" t="e">
        <f>+C3836*25000</f>
        <v>#N/A</v>
      </c>
      <c r="E3836" s="912"/>
      <c r="F3836" s="912"/>
      <c r="G3836" s="908" t="s">
        <v>359</v>
      </c>
      <c r="H3836" s="909" t="s">
        <v>2090</v>
      </c>
      <c r="I3836" s="910"/>
      <c r="J3836" s="609"/>
      <c r="K3836" s="935"/>
      <c r="L3836" s="935"/>
      <c r="M3836" s="935"/>
      <c r="N3836" s="935"/>
      <c r="O3836" s="935"/>
    </row>
    <row r="3837" spans="1:15" ht="15" customHeight="1">
      <c r="A3837" s="908" t="s">
        <v>361</v>
      </c>
      <c r="B3837" s="909" t="s">
        <v>2091</v>
      </c>
      <c r="C3837" s="910" t="e">
        <f>VLOOKUP(B3835,'LƯƠNG KT'!$D$16:$Z$184,15,0)</f>
        <v>#N/A</v>
      </c>
      <c r="D3837" s="609" t="e">
        <f>C3837*$L$4</f>
        <v>#N/A</v>
      </c>
      <c r="E3837" s="912"/>
      <c r="F3837" s="912"/>
      <c r="G3837" s="908" t="s">
        <v>361</v>
      </c>
      <c r="H3837" s="909" t="s">
        <v>2091</v>
      </c>
      <c r="I3837" s="910"/>
      <c r="J3837" s="609"/>
      <c r="K3837" s="935"/>
      <c r="L3837" s="935"/>
      <c r="M3837" s="935"/>
      <c r="N3837" s="935"/>
      <c r="O3837" s="935"/>
    </row>
    <row r="3838" spans="1:15" ht="15" customHeight="1">
      <c r="A3838" s="908" t="s">
        <v>364</v>
      </c>
      <c r="B3838" s="909" t="s">
        <v>2092</v>
      </c>
      <c r="C3838" s="910" t="e">
        <f>VLOOKUP(B3835,'LƯƠNG KT'!$D$16:$Z$184,16,0)</f>
        <v>#N/A</v>
      </c>
      <c r="D3838" s="609" t="e">
        <f>C3838*$L$5</f>
        <v>#N/A</v>
      </c>
      <c r="E3838" s="912"/>
      <c r="F3838" s="912"/>
      <c r="G3838" s="908" t="s">
        <v>364</v>
      </c>
      <c r="H3838" s="909" t="s">
        <v>2092</v>
      </c>
      <c r="I3838" s="910"/>
      <c r="J3838" s="609"/>
      <c r="K3838" s="935"/>
      <c r="L3838" s="935"/>
      <c r="M3838" s="935"/>
      <c r="N3838" s="935"/>
      <c r="O3838" s="935"/>
    </row>
    <row r="3839" spans="1:15" ht="15" customHeight="1">
      <c r="A3839" s="908" t="s">
        <v>370</v>
      </c>
      <c r="B3839" s="909" t="s">
        <v>2093</v>
      </c>
      <c r="C3839" s="910" t="e">
        <f>VLOOKUP(B3835,'LƯƠNG KT'!$D$16:$Z$184,24,0)</f>
        <v>#N/A</v>
      </c>
      <c r="D3839" s="609" t="e">
        <f>+C3839*$L$6</f>
        <v>#N/A</v>
      </c>
      <c r="E3839" s="914"/>
      <c r="F3839" s="912"/>
      <c r="G3839" s="908" t="s">
        <v>370</v>
      </c>
      <c r="H3839" s="909" t="s">
        <v>2093</v>
      </c>
      <c r="I3839" s="910"/>
      <c r="J3839" s="609"/>
      <c r="K3839" s="935"/>
      <c r="L3839" s="935"/>
      <c r="M3839" s="935"/>
      <c r="N3839" s="935"/>
      <c r="O3839" s="935"/>
    </row>
    <row r="3840" spans="1:15" ht="15" customHeight="1">
      <c r="A3840" s="908" t="s">
        <v>2094</v>
      </c>
      <c r="B3840" s="909" t="s">
        <v>2095</v>
      </c>
      <c r="C3840" s="910" t="e">
        <f>VLOOKUP(B3835,'LƯƠNG KT'!$D$16:$Z$184,19,0)</f>
        <v>#N/A</v>
      </c>
      <c r="D3840" s="609" t="e">
        <f>+C3840*$L$8</f>
        <v>#N/A</v>
      </c>
      <c r="E3840" s="916"/>
      <c r="F3840" s="916"/>
      <c r="G3840" s="908" t="s">
        <v>2094</v>
      </c>
      <c r="H3840" s="909" t="s">
        <v>2095</v>
      </c>
      <c r="I3840" s="910"/>
      <c r="J3840" s="609"/>
    </row>
    <row r="3841" spans="1:15" ht="15" customHeight="1">
      <c r="A3841" s="908" t="s">
        <v>2096</v>
      </c>
      <c r="B3841" s="913" t="s">
        <v>2097</v>
      </c>
      <c r="C3841" s="910" t="e">
        <f>VLOOKUP(B3835,'LƯƠNG KT'!$D$16:$Z$184,20,0)</f>
        <v>#N/A</v>
      </c>
      <c r="D3841" s="609" t="e">
        <f>+C3841*$L$9</f>
        <v>#N/A</v>
      </c>
      <c r="E3841" s="914"/>
      <c r="F3841" s="916"/>
      <c r="G3841" s="908" t="s">
        <v>2096</v>
      </c>
      <c r="H3841" s="913" t="s">
        <v>2097</v>
      </c>
      <c r="I3841" s="910"/>
      <c r="J3841" s="609"/>
    </row>
    <row r="3842" spans="1:15" ht="15" customHeight="1">
      <c r="A3842" s="908" t="s">
        <v>2099</v>
      </c>
      <c r="B3842" s="909" t="s">
        <v>2100</v>
      </c>
      <c r="C3842" s="910" t="e">
        <f>VLOOKUP(B3835,'LƯƠNG KT'!$D$16:$Z$184,17,0)</f>
        <v>#N/A</v>
      </c>
      <c r="D3842" s="609" t="e">
        <f>+C3842*$L$10</f>
        <v>#N/A</v>
      </c>
      <c r="E3842" s="917"/>
      <c r="F3842" s="904"/>
      <c r="G3842" s="908" t="s">
        <v>2099</v>
      </c>
      <c r="H3842" s="909" t="s">
        <v>2100</v>
      </c>
      <c r="I3842" s="910"/>
      <c r="J3842" s="609"/>
    </row>
    <row r="3843" spans="1:15" ht="15" customHeight="1">
      <c r="A3843" s="908" t="s">
        <v>2117</v>
      </c>
      <c r="B3843" s="913" t="s">
        <v>2116</v>
      </c>
      <c r="C3843" s="910" t="e">
        <f>VLOOKUP(B3835,'LƯƠNG KT'!$D$16:$Z$184,21,0)</f>
        <v>#N/A</v>
      </c>
      <c r="D3843" s="609" t="e">
        <f>+C3843*$L$7</f>
        <v>#N/A</v>
      </c>
      <c r="E3843" s="922"/>
      <c r="F3843" s="923"/>
      <c r="G3843" s="908" t="s">
        <v>2117</v>
      </c>
      <c r="H3843" s="913" t="s">
        <v>2116</v>
      </c>
      <c r="I3843" s="910"/>
      <c r="J3843" s="609"/>
      <c r="K3843" s="940"/>
      <c r="L3843" s="940"/>
      <c r="M3843" s="940"/>
      <c r="N3843" s="940"/>
      <c r="O3843" s="940"/>
    </row>
    <row r="3844" spans="1:15" ht="18.75" customHeight="1">
      <c r="A3844" s="908" t="s">
        <v>2118</v>
      </c>
      <c r="B3844" s="909" t="s">
        <v>2112</v>
      </c>
      <c r="C3844" s="910" t="e">
        <f>VLOOKUP(B3835,'LƯƠNG KT'!$D$16:$Z$184,23,0)</f>
        <v>#N/A</v>
      </c>
      <c r="D3844" s="609" t="e">
        <f>+C3844*20000</f>
        <v>#N/A</v>
      </c>
      <c r="E3844" s="927"/>
      <c r="F3844" s="928"/>
      <c r="G3844" s="908" t="s">
        <v>2118</v>
      </c>
      <c r="H3844" s="909" t="s">
        <v>2112</v>
      </c>
      <c r="I3844" s="910"/>
      <c r="J3844" s="609"/>
    </row>
    <row r="3845" spans="1:15" ht="18.75" customHeight="1">
      <c r="A3845" s="908" t="s">
        <v>374</v>
      </c>
      <c r="B3845" s="909" t="s">
        <v>2102</v>
      </c>
      <c r="C3845" s="910" t="e">
        <f>VLOOKUP(B3835,'LƯƠNG KT'!$D$16:$Z$184,12,0)</f>
        <v>#N/A</v>
      </c>
      <c r="D3845" s="609" t="e">
        <f>VLOOKUP(B3835,'LƯƠNG KT'!$D$16:$Z$184,14,0)</f>
        <v>#N/A</v>
      </c>
      <c r="E3845" s="925"/>
      <c r="F3845" s="931"/>
      <c r="G3845" s="908" t="s">
        <v>374</v>
      </c>
      <c r="H3845" s="909" t="s">
        <v>2102</v>
      </c>
      <c r="I3845" s="910"/>
      <c r="J3845" s="609"/>
    </row>
    <row r="3846" spans="1:15" ht="18.75" customHeight="1">
      <c r="A3846" s="908" t="s">
        <v>2103</v>
      </c>
      <c r="B3846" s="909" t="s">
        <v>2104</v>
      </c>
      <c r="D3846" s="915" t="e">
        <f>VLOOKUP(B3835,'LƯƠNG KT'!$D$16:$Z$184,13,0)</f>
        <v>#N/A</v>
      </c>
      <c r="E3846" s="925"/>
      <c r="F3846" s="931"/>
      <c r="G3846" s="908" t="s">
        <v>2103</v>
      </c>
      <c r="H3846" s="909" t="s">
        <v>2104</v>
      </c>
      <c r="J3846" s="915"/>
    </row>
    <row r="3847" spans="1:15" ht="15" customHeight="1">
      <c r="A3847" s="905"/>
      <c r="B3847" s="546"/>
      <c r="C3847" s="910"/>
      <c r="D3847" s="609"/>
      <c r="E3847" s="903"/>
      <c r="F3847" s="904"/>
      <c r="G3847" s="905"/>
      <c r="H3847" s="546"/>
      <c r="I3847" s="910"/>
      <c r="J3847" s="609"/>
      <c r="K3847" s="276"/>
    </row>
    <row r="3848" spans="1:15" ht="15" customHeight="1">
      <c r="A3848" s="918" t="s">
        <v>383</v>
      </c>
      <c r="B3848" s="919" t="s">
        <v>384</v>
      </c>
      <c r="C3848" s="920"/>
      <c r="D3848" s="921" t="e">
        <f>SUM(D3836:D3845)</f>
        <v>#N/A</v>
      </c>
      <c r="E3848" s="906"/>
      <c r="F3848" s="907"/>
      <c r="G3848" s="918" t="s">
        <v>383</v>
      </c>
      <c r="H3848" s="919" t="s">
        <v>384</v>
      </c>
      <c r="I3848" s="920"/>
      <c r="J3848" s="921"/>
      <c r="K3848" s="951"/>
      <c r="L3848" s="952"/>
      <c r="M3848" s="952"/>
      <c r="N3848" s="952"/>
      <c r="O3848" s="952"/>
    </row>
    <row r="3849" spans="1:15" ht="15" customHeight="1">
      <c r="A3849" s="905"/>
      <c r="B3849" s="939"/>
      <c r="C3849" s="910"/>
      <c r="D3849" s="609"/>
      <c r="E3849" s="911"/>
      <c r="F3849" s="911"/>
      <c r="G3849" s="905"/>
      <c r="H3849" s="939"/>
      <c r="I3849" s="910"/>
      <c r="J3849" s="609"/>
      <c r="K3849" s="951"/>
      <c r="L3849" s="951"/>
      <c r="M3849" s="951"/>
      <c r="N3849" s="951"/>
      <c r="O3849" s="951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12" width="10" style="801" customWidth="1"/>
    <col min="13" max="20" width="12" style="801" customWidth="1"/>
    <col min="21" max="21" width="13.28515625" style="801" customWidth="1"/>
    <col min="22" max="22" width="12.5703125" style="801" customWidth="1"/>
    <col min="23" max="26" width="10.140625" style="801" customWidth="1"/>
    <col min="27" max="27" width="12.85546875" style="801" customWidth="1"/>
    <col min="28" max="30" width="11.85546875" style="801" customWidth="1"/>
    <col min="31" max="31" width="14.28515625" style="801" customWidth="1"/>
    <col min="32" max="33" width="10.28515625" style="801" customWidth="1"/>
    <col min="34" max="34" width="14.140625" style="801" customWidth="1"/>
    <col min="35" max="36" width="10.140625" style="801" customWidth="1"/>
    <col min="37" max="45" width="10.28515625" style="801" customWidth="1"/>
    <col min="46" max="46" width="10.140625" style="801" customWidth="1"/>
    <col min="47" max="48" width="16.42578125" style="801" customWidth="1"/>
    <col min="49" max="49" width="10.140625" style="801"/>
    <col min="50" max="52" width="10.140625" style="799"/>
    <col min="53" max="16384" width="10.140625" style="801"/>
  </cols>
  <sheetData>
    <row r="1" spans="1:54">
      <c r="A1" s="2583" t="s">
        <v>2028</v>
      </c>
      <c r="B1" s="2583"/>
      <c r="C1" s="2583"/>
      <c r="D1" s="2583"/>
      <c r="E1" s="2583"/>
      <c r="F1" s="2583"/>
      <c r="G1" s="2583"/>
      <c r="H1" s="2583"/>
      <c r="I1" s="2583"/>
      <c r="J1" s="2583"/>
      <c r="K1" s="2583"/>
      <c r="L1" s="2583"/>
      <c r="M1" s="2583"/>
      <c r="N1" s="802"/>
      <c r="O1" s="802"/>
      <c r="P1" s="802"/>
      <c r="Q1" s="802"/>
      <c r="R1" s="802"/>
      <c r="S1" s="802"/>
      <c r="T1" s="802"/>
      <c r="U1" s="2575" t="s">
        <v>0</v>
      </c>
      <c r="V1" s="2575"/>
      <c r="W1" s="2575"/>
      <c r="X1" s="2575"/>
      <c r="Y1" s="2575"/>
      <c r="Z1" s="2575"/>
      <c r="AA1" s="2575"/>
      <c r="AB1" s="2575"/>
      <c r="AC1" s="2575"/>
      <c r="AD1" s="2575"/>
      <c r="AE1" s="2575"/>
      <c r="AF1" s="2575"/>
      <c r="AG1" s="2575"/>
      <c r="AH1" s="2575"/>
      <c r="AI1" s="2575"/>
      <c r="AJ1" s="2575"/>
      <c r="AK1" s="2575"/>
      <c r="AL1" s="2575"/>
      <c r="AM1" s="2575"/>
      <c r="AN1" s="2575"/>
      <c r="AO1" s="2575"/>
      <c r="AP1" s="2575"/>
      <c r="AQ1" s="2575"/>
      <c r="AR1" s="2575"/>
      <c r="AS1" s="2575"/>
      <c r="AT1" s="2575"/>
    </row>
    <row r="2" spans="1:54">
      <c r="A2" s="2583" t="s">
        <v>2029</v>
      </c>
      <c r="B2" s="2583"/>
      <c r="C2" s="2583"/>
      <c r="D2" s="2583"/>
      <c r="E2" s="2583"/>
      <c r="F2" s="2583"/>
      <c r="G2" s="2583"/>
      <c r="H2" s="2583"/>
      <c r="I2" s="2583"/>
      <c r="J2" s="2583"/>
      <c r="K2" s="2583"/>
      <c r="L2" s="2583"/>
      <c r="M2" s="2583"/>
      <c r="N2" s="802"/>
      <c r="O2" s="802"/>
      <c r="P2" s="802"/>
      <c r="Q2" s="802"/>
      <c r="R2" s="802"/>
      <c r="S2" s="802"/>
      <c r="T2" s="802"/>
      <c r="U2" s="2575" t="s">
        <v>2030</v>
      </c>
      <c r="V2" s="2575"/>
      <c r="W2" s="2575"/>
      <c r="X2" s="2575"/>
      <c r="Y2" s="2575"/>
      <c r="Z2" s="2575"/>
      <c r="AA2" s="2575"/>
      <c r="AB2" s="2575"/>
      <c r="AC2" s="2575"/>
      <c r="AD2" s="2575"/>
      <c r="AE2" s="2575"/>
      <c r="AF2" s="2575"/>
      <c r="AG2" s="2575"/>
      <c r="AH2" s="2575"/>
      <c r="AI2" s="2575"/>
      <c r="AJ2" s="2575"/>
      <c r="AK2" s="2575"/>
      <c r="AL2" s="2575"/>
      <c r="AM2" s="2575"/>
      <c r="AN2" s="2575"/>
      <c r="AO2" s="2575"/>
      <c r="AP2" s="2575"/>
      <c r="AQ2" s="2575"/>
      <c r="AR2" s="2575"/>
      <c r="AS2" s="2575"/>
      <c r="AT2" s="2575"/>
    </row>
    <row r="3" spans="1:54">
      <c r="A3" s="803"/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28"/>
      <c r="AB3" s="828"/>
      <c r="AC3" s="828"/>
      <c r="AD3" s="828"/>
      <c r="AE3" s="829"/>
      <c r="AF3" s="829"/>
      <c r="AG3" s="829"/>
      <c r="AH3" s="829"/>
      <c r="AI3" s="829"/>
      <c r="AJ3" s="829"/>
      <c r="AK3" s="829"/>
      <c r="AL3" s="829"/>
      <c r="AM3" s="829"/>
      <c r="AN3" s="829"/>
      <c r="AO3" s="829"/>
      <c r="AP3" s="829"/>
      <c r="AQ3" s="829"/>
      <c r="AR3" s="829"/>
      <c r="AS3" s="829"/>
      <c r="AT3" s="828"/>
    </row>
    <row r="4" spans="1:54">
      <c r="A4" s="2575" t="s">
        <v>2031</v>
      </c>
      <c r="B4" s="2575"/>
      <c r="C4" s="2575"/>
      <c r="D4" s="2575"/>
      <c r="E4" s="2575"/>
      <c r="F4" s="2575"/>
      <c r="G4" s="2575"/>
      <c r="H4" s="2575"/>
      <c r="I4" s="2575"/>
      <c r="J4" s="2575"/>
      <c r="K4" s="2575"/>
      <c r="L4" s="2575"/>
      <c r="M4" s="2575"/>
      <c r="N4" s="2575"/>
      <c r="O4" s="2575"/>
      <c r="P4" s="2575"/>
      <c r="Q4" s="2575"/>
      <c r="R4" s="2575"/>
      <c r="S4" s="2575"/>
      <c r="T4" s="2575"/>
      <c r="U4" s="2575"/>
      <c r="V4" s="2575"/>
      <c r="W4" s="2575"/>
      <c r="X4" s="2575"/>
      <c r="Y4" s="2575"/>
      <c r="Z4" s="2575"/>
      <c r="AA4" s="2575"/>
      <c r="AB4" s="2575"/>
      <c r="AC4" s="2575"/>
      <c r="AD4" s="2575"/>
      <c r="AE4" s="2575"/>
      <c r="AF4" s="2575"/>
      <c r="AG4" s="2575"/>
      <c r="AH4" s="2575"/>
      <c r="AI4" s="2575"/>
      <c r="AJ4" s="2575"/>
      <c r="AK4" s="2575"/>
      <c r="AL4" s="2575"/>
      <c r="AM4" s="2575"/>
      <c r="AN4" s="2575"/>
      <c r="AO4" s="2575"/>
      <c r="AP4" s="2575"/>
      <c r="AQ4" s="2575"/>
      <c r="AR4" s="2575"/>
      <c r="AS4" s="2575"/>
      <c r="AT4" s="2575"/>
    </row>
    <row r="5" spans="1:54">
      <c r="A5" s="2579" t="s">
        <v>2032</v>
      </c>
      <c r="B5" s="2579"/>
      <c r="C5" s="2579"/>
      <c r="D5" s="2579"/>
      <c r="E5" s="2579"/>
      <c r="F5" s="2579"/>
      <c r="G5" s="2579"/>
      <c r="H5" s="2579"/>
      <c r="I5" s="2579"/>
      <c r="J5" s="2579"/>
      <c r="K5" s="2579"/>
      <c r="L5" s="2579"/>
      <c r="M5" s="2579"/>
      <c r="N5" s="2579"/>
      <c r="O5" s="2579"/>
      <c r="P5" s="2579"/>
      <c r="Q5" s="2579"/>
      <c r="R5" s="2579"/>
      <c r="S5" s="2579"/>
      <c r="T5" s="2579"/>
      <c r="U5" s="2579"/>
      <c r="V5" s="2579"/>
      <c r="W5" s="2579"/>
      <c r="X5" s="2579"/>
      <c r="Y5" s="2579"/>
      <c r="Z5" s="2579"/>
      <c r="AA5" s="2579"/>
      <c r="AB5" s="2579"/>
      <c r="AC5" s="2579"/>
      <c r="AD5" s="2579"/>
      <c r="AE5" s="2579"/>
      <c r="AF5" s="2579"/>
      <c r="AG5" s="2579"/>
      <c r="AH5" s="2579"/>
      <c r="AI5" s="2579"/>
      <c r="AJ5" s="2579"/>
      <c r="AK5" s="2579"/>
      <c r="AL5" s="2579"/>
      <c r="AM5" s="2579"/>
      <c r="AN5" s="2579"/>
      <c r="AO5" s="2579"/>
      <c r="AP5" s="2579"/>
      <c r="AQ5" s="2579"/>
      <c r="AR5" s="2579"/>
      <c r="AS5" s="2579"/>
      <c r="AT5" s="2579"/>
    </row>
    <row r="6" spans="1:54">
      <c r="A6" s="805" t="s">
        <v>2033</v>
      </c>
      <c r="B6" s="805" t="s">
        <v>1932</v>
      </c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805"/>
      <c r="AC6" s="805"/>
      <c r="AD6" s="805"/>
      <c r="AE6" s="805"/>
      <c r="AF6" s="805"/>
      <c r="AG6" s="805"/>
      <c r="AH6" s="805"/>
      <c r="AI6" s="805"/>
      <c r="AJ6" s="2580" t="s">
        <v>2034</v>
      </c>
      <c r="AK6" s="2580"/>
      <c r="AL6" s="2580"/>
      <c r="AM6" s="2580"/>
      <c r="AN6" s="832"/>
      <c r="AO6" s="832"/>
      <c r="AP6" s="832"/>
      <c r="AQ6" s="832"/>
      <c r="AR6" s="832"/>
      <c r="AS6" s="832"/>
      <c r="AT6" s="805">
        <v>40</v>
      </c>
    </row>
    <row r="7" spans="1:54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805"/>
      <c r="AC7" s="805"/>
      <c r="AD7" s="805"/>
      <c r="AE7" s="805"/>
      <c r="AF7" s="805"/>
      <c r="AG7" s="805"/>
      <c r="AH7" s="805"/>
      <c r="AI7" s="805"/>
      <c r="AJ7" s="2580" t="s">
        <v>2035</v>
      </c>
      <c r="AK7" s="2580"/>
      <c r="AL7" s="2580"/>
      <c r="AM7" s="2580"/>
      <c r="AN7" s="832"/>
      <c r="AO7" s="832"/>
      <c r="AP7" s="832"/>
      <c r="AQ7" s="832"/>
      <c r="AR7" s="832"/>
      <c r="AS7" s="832"/>
      <c r="AT7" s="805">
        <v>50</v>
      </c>
      <c r="AV7" s="833">
        <f>AV9/AV8</f>
        <v>0.42315993931490503</v>
      </c>
    </row>
    <row r="8" spans="1:54" ht="36" customHeight="1">
      <c r="A8" s="2578" t="s">
        <v>6</v>
      </c>
      <c r="B8" s="806"/>
      <c r="C8" s="2578" t="s">
        <v>2036</v>
      </c>
      <c r="D8" s="2578" t="s">
        <v>9</v>
      </c>
      <c r="E8" s="2588"/>
      <c r="F8" s="2589"/>
      <c r="G8" s="2589"/>
      <c r="H8" s="2589"/>
      <c r="I8" s="2589"/>
      <c r="J8" s="2589"/>
      <c r="K8" s="2589"/>
      <c r="L8" s="2589"/>
      <c r="M8" s="2590"/>
      <c r="N8" s="827">
        <v>0.16666666666666699</v>
      </c>
      <c r="O8" s="827">
        <v>0.15625</v>
      </c>
      <c r="P8" s="827">
        <v>0.125</v>
      </c>
      <c r="Q8" s="827">
        <v>0.25</v>
      </c>
      <c r="R8" s="827">
        <f>1/2</f>
        <v>0.5</v>
      </c>
      <c r="S8" s="827">
        <v>0.5</v>
      </c>
      <c r="T8" s="827">
        <v>1</v>
      </c>
      <c r="U8" s="827">
        <v>1</v>
      </c>
      <c r="V8" s="827">
        <v>1</v>
      </c>
      <c r="W8" s="827"/>
      <c r="X8" s="827"/>
      <c r="Y8" s="827"/>
      <c r="Z8" s="827"/>
      <c r="AA8" s="827"/>
      <c r="AB8" s="827"/>
      <c r="AC8" s="827"/>
      <c r="AD8" s="827"/>
      <c r="AE8" s="827"/>
      <c r="AF8" s="827"/>
      <c r="AG8" s="827"/>
      <c r="AH8" s="827"/>
      <c r="AI8" s="827"/>
      <c r="AJ8" s="827"/>
      <c r="AK8" s="827"/>
      <c r="AL8" s="827"/>
      <c r="AM8" s="827"/>
      <c r="AN8" s="827"/>
      <c r="AO8" s="827"/>
      <c r="AP8" s="827"/>
      <c r="AQ8" s="827"/>
      <c r="AR8" s="827"/>
      <c r="AS8" s="827"/>
      <c r="AT8" s="827"/>
      <c r="AU8" s="575" t="s">
        <v>2037</v>
      </c>
      <c r="AV8" s="576">
        <v>562576</v>
      </c>
      <c r="AX8" s="799" t="s">
        <v>2038</v>
      </c>
      <c r="AZ8" s="799" t="s">
        <v>2039</v>
      </c>
    </row>
    <row r="9" spans="1:54" s="798" customFormat="1" ht="63.75">
      <c r="A9" s="2578"/>
      <c r="B9" s="807" t="s">
        <v>1932</v>
      </c>
      <c r="C9" s="2578"/>
      <c r="D9" s="2578"/>
      <c r="E9" s="544" t="s">
        <v>2119</v>
      </c>
      <c r="F9" s="544" t="s">
        <v>2120</v>
      </c>
      <c r="G9" s="544" t="s">
        <v>2121</v>
      </c>
      <c r="H9" s="544" t="s">
        <v>2041</v>
      </c>
      <c r="I9" s="544" t="s">
        <v>2122</v>
      </c>
      <c r="J9" s="544" t="s">
        <v>2123</v>
      </c>
      <c r="K9" s="544" t="s">
        <v>2124</v>
      </c>
      <c r="L9" s="544" t="s">
        <v>2125</v>
      </c>
      <c r="M9" s="544" t="s">
        <v>2126</v>
      </c>
      <c r="N9" s="544" t="s">
        <v>2119</v>
      </c>
      <c r="O9" s="544" t="s">
        <v>2120</v>
      </c>
      <c r="P9" s="544" t="s">
        <v>2121</v>
      </c>
      <c r="Q9" s="544" t="s">
        <v>2041</v>
      </c>
      <c r="R9" s="544" t="s">
        <v>2122</v>
      </c>
      <c r="S9" s="544" t="s">
        <v>2123</v>
      </c>
      <c r="T9" s="544" t="s">
        <v>2124</v>
      </c>
      <c r="U9" s="544" t="s">
        <v>2125</v>
      </c>
      <c r="V9" s="544" t="s">
        <v>2126</v>
      </c>
      <c r="W9" s="544"/>
      <c r="X9" s="544"/>
      <c r="Y9" s="544"/>
      <c r="Z9" s="544"/>
      <c r="AA9" s="544" t="s">
        <v>2053</v>
      </c>
      <c r="AB9" s="544" t="s">
        <v>2054</v>
      </c>
      <c r="AC9" s="544" t="s">
        <v>2055</v>
      </c>
      <c r="AD9" s="544" t="s">
        <v>2056</v>
      </c>
      <c r="AE9" s="544" t="s">
        <v>2057</v>
      </c>
      <c r="AF9" s="544" t="s">
        <v>2058</v>
      </c>
      <c r="AG9" s="544" t="s">
        <v>2059</v>
      </c>
      <c r="AH9" s="544" t="s">
        <v>2060</v>
      </c>
      <c r="AI9" s="544" t="s">
        <v>2061</v>
      </c>
      <c r="AJ9" s="544" t="s">
        <v>2062</v>
      </c>
      <c r="AK9" s="544" t="s">
        <v>2063</v>
      </c>
      <c r="AL9" s="544" t="s">
        <v>2127</v>
      </c>
      <c r="AM9" s="544" t="s">
        <v>2128</v>
      </c>
      <c r="AN9" s="544" t="s">
        <v>369</v>
      </c>
      <c r="AO9" s="544" t="s">
        <v>2066</v>
      </c>
      <c r="AP9" s="544" t="s">
        <v>2067</v>
      </c>
      <c r="AQ9" s="544" t="s">
        <v>2068</v>
      </c>
      <c r="AR9" s="544" t="s">
        <v>370</v>
      </c>
      <c r="AS9" s="544" t="s">
        <v>370</v>
      </c>
      <c r="AT9" s="807" t="s">
        <v>2069</v>
      </c>
      <c r="AU9" s="575" t="s">
        <v>2070</v>
      </c>
      <c r="AV9" s="577">
        <v>238059.626020022</v>
      </c>
      <c r="AX9" s="840"/>
      <c r="AY9" s="840"/>
      <c r="AZ9" s="840"/>
    </row>
    <row r="10" spans="1:54" ht="15.75">
      <c r="A10" s="2582" t="s">
        <v>2071</v>
      </c>
      <c r="B10" s="2582"/>
      <c r="C10" s="2582"/>
      <c r="D10" s="2582"/>
      <c r="E10" s="808" t="e">
        <f>+E381+E302+E219+E114+E56+E11+#REF!</f>
        <v>#REF!</v>
      </c>
      <c r="F10" s="808" t="e">
        <f>+F381+F302+F219+F114+F56+F11+#REF!</f>
        <v>#REF!</v>
      </c>
      <c r="G10" s="808" t="e">
        <f>+G381+G302+G219+G114+G56+G11+#REF!</f>
        <v>#REF!</v>
      </c>
      <c r="H10" s="808" t="e">
        <f>+H381+H302+H219+H114+H56+H11+#REF!</f>
        <v>#REF!</v>
      </c>
      <c r="I10" s="808" t="e">
        <f>+I381+I302+I219+I114+I56+I11+#REF!</f>
        <v>#REF!</v>
      </c>
      <c r="J10" s="808" t="e">
        <f>+J381+J302+J219+J114+J56+J11+#REF!</f>
        <v>#REF!</v>
      </c>
      <c r="K10" s="808" t="e">
        <f>+K381+K302+K219+K114+K56+K11+#REF!</f>
        <v>#REF!</v>
      </c>
      <c r="L10" s="808" t="e">
        <f>+L381+L302+L219+L114+L56+L11+#REF!</f>
        <v>#REF!</v>
      </c>
      <c r="M10" s="808" t="e">
        <f>+M381+M302+M219+M114+M56+M11+#REF!</f>
        <v>#REF!</v>
      </c>
      <c r="N10" s="808" t="e">
        <f>+N381+N302+N219+N114+N56+N11+#REF!</f>
        <v>#REF!</v>
      </c>
      <c r="O10" s="808" t="e">
        <f>+O381+O302+O219+O114+O56+O11+#REF!</f>
        <v>#REF!</v>
      </c>
      <c r="P10" s="808" t="e">
        <f>+P381+P302+P219+P114+P56+P11+#REF!</f>
        <v>#REF!</v>
      </c>
      <c r="Q10" s="808" t="e">
        <f>+Q381+Q302+Q219+Q114+Q56+Q11+#REF!</f>
        <v>#REF!</v>
      </c>
      <c r="R10" s="808" t="e">
        <f>+R381+R302+R219+R114+R56+R11+#REF!</f>
        <v>#REF!</v>
      </c>
      <c r="S10" s="808" t="e">
        <f>+S381+S302+S219+S114+S56+S11+#REF!</f>
        <v>#REF!</v>
      </c>
      <c r="T10" s="808" t="e">
        <f>+T381+T302+T219+T114+T56+T11+#REF!</f>
        <v>#REF!</v>
      </c>
      <c r="U10" s="808" t="e">
        <f>+U381+U302+U219+U114+U56+U11+#REF!</f>
        <v>#REF!</v>
      </c>
      <c r="V10" s="808" t="e">
        <f>+V381+V302+V219+V114+V56+V11+#REF!</f>
        <v>#REF!</v>
      </c>
      <c r="W10" s="808" t="e">
        <f>+W381+W302+W219+W114+W56+W11+#REF!</f>
        <v>#REF!</v>
      </c>
      <c r="X10" s="808" t="e">
        <f>+X381+X302+X219+X114+X56+X11+#REF!</f>
        <v>#REF!</v>
      </c>
      <c r="Y10" s="808" t="e">
        <f>+Y381+Y302+Y219+Y114+Y56+Y11+#REF!</f>
        <v>#REF!</v>
      </c>
      <c r="Z10" s="808" t="e">
        <f>+Z381+Z302+Z219+Z114+Z56+Z11+#REF!</f>
        <v>#REF!</v>
      </c>
      <c r="AA10" s="808" t="e">
        <f>+AA381+AA302+AA219+AA114+AA56+AA11+#REF!</f>
        <v>#REF!</v>
      </c>
      <c r="AB10" s="808" t="e">
        <f>+AB381+AB302+AB219+AB114+AB56+AB11+#REF!</f>
        <v>#N/A</v>
      </c>
      <c r="AC10" s="808" t="e">
        <f>+AC381+AC302+AC219+AC114+AC56+AC11+#REF!</f>
        <v>#REF!</v>
      </c>
      <c r="AD10" s="808" t="e">
        <f>+AD381+AD302+AD219+AD114+AD56+AD11+#REF!</f>
        <v>#N/A</v>
      </c>
      <c r="AE10" s="808" t="e">
        <f>+AE381+AE302+AE219+AE114+AE56+AE11+#REF!</f>
        <v>#N/A</v>
      </c>
      <c r="AF10" s="808" t="e">
        <f>+AF381+AF302+AF219+AF114+AF56+AF11+#REF!</f>
        <v>#REF!</v>
      </c>
      <c r="AG10" s="808" t="e">
        <f>+AG381+AG302+AG219+AG114+AG56+AG11+#REF!</f>
        <v>#REF!</v>
      </c>
      <c r="AH10" s="808" t="e">
        <f>+AH381+AH302+AH219+AH114+AH56+AH11+#REF!</f>
        <v>#N/A</v>
      </c>
      <c r="AI10" s="808" t="e">
        <f>+AI381+AI302+AI219+AI114+AI56+AI11+#REF!</f>
        <v>#N/A</v>
      </c>
      <c r="AJ10" s="808" t="e">
        <f>+AJ381+AJ302+AJ219+AJ114+AJ56+AJ11+#REF!</f>
        <v>#N/A</v>
      </c>
      <c r="AK10" s="808" t="e">
        <f>+AK381+AK302+AK219+AK114+AK56+AK11+#REF!</f>
        <v>#N/A</v>
      </c>
      <c r="AL10" s="808" t="e">
        <f>+AL381+AL302+AL219+AL114+AL56+AL11+#REF!</f>
        <v>#REF!</v>
      </c>
      <c r="AM10" s="808" t="e">
        <f>+AM381+AM302+AM219+AM114+AM56+AM11+#REF!</f>
        <v>#REF!</v>
      </c>
      <c r="AN10" s="808" t="e">
        <f>+AN381+AN302+AN219+AN114+AN56+AN11+#REF!</f>
        <v>#N/A</v>
      </c>
      <c r="AO10" s="808" t="e">
        <f>+AO381+AO302+AO219+AO114+AO56+AO11+#REF!</f>
        <v>#N/A</v>
      </c>
      <c r="AP10" s="808" t="e">
        <f>+AP381+AP302+AP219+AP114+AP56+AP11+#REF!</f>
        <v>#REF!</v>
      </c>
      <c r="AQ10" s="808" t="e">
        <f>+AQ381+AQ302+AQ219+AQ114+AQ56+AQ11+#REF!</f>
        <v>#REF!</v>
      </c>
      <c r="AR10" s="808" t="e">
        <f>+AR381+AR302+AR219+AR114+AR56+AR11+#REF!</f>
        <v>#REF!</v>
      </c>
      <c r="AS10" s="808" t="e">
        <f>+AS381+AS302+AS219+AS114+AS56+AS11+#REF!</f>
        <v>#REF!</v>
      </c>
      <c r="AT10" s="834"/>
      <c r="AU10" s="578" t="s">
        <v>373</v>
      </c>
      <c r="AV10" s="835">
        <v>0.5</v>
      </c>
    </row>
    <row r="11" spans="1:54" ht="15.75">
      <c r="A11" s="809" t="s">
        <v>427</v>
      </c>
      <c r="B11" s="810"/>
      <c r="C11" s="810"/>
      <c r="D11" s="811"/>
      <c r="E11" s="808">
        <f t="shared" ref="E11:AE11" si="0">SUM(E13:E55)</f>
        <v>1</v>
      </c>
      <c r="F11" s="808">
        <f t="shared" si="0"/>
        <v>0</v>
      </c>
      <c r="G11" s="808">
        <f t="shared" si="0"/>
        <v>0</v>
      </c>
      <c r="H11" s="808">
        <f t="shared" si="0"/>
        <v>0</v>
      </c>
      <c r="I11" s="808">
        <f t="shared" si="0"/>
        <v>0</v>
      </c>
      <c r="J11" s="808">
        <f t="shared" si="0"/>
        <v>0</v>
      </c>
      <c r="K11" s="808">
        <f t="shared" si="0"/>
        <v>0</v>
      </c>
      <c r="L11" s="808">
        <f t="shared" si="0"/>
        <v>0</v>
      </c>
      <c r="M11" s="808">
        <f t="shared" si="0"/>
        <v>0</v>
      </c>
      <c r="N11" s="808">
        <f t="shared" si="0"/>
        <v>5.9999999999999885</v>
      </c>
      <c r="O11" s="808">
        <f t="shared" si="0"/>
        <v>0</v>
      </c>
      <c r="P11" s="808">
        <f t="shared" si="0"/>
        <v>0</v>
      </c>
      <c r="Q11" s="808">
        <f t="shared" si="0"/>
        <v>0</v>
      </c>
      <c r="R11" s="808">
        <f t="shared" si="0"/>
        <v>0</v>
      </c>
      <c r="S11" s="808">
        <f t="shared" si="0"/>
        <v>0</v>
      </c>
      <c r="T11" s="808">
        <f t="shared" si="0"/>
        <v>0</v>
      </c>
      <c r="U11" s="808">
        <f t="shared" si="0"/>
        <v>0</v>
      </c>
      <c r="V11" s="808">
        <f t="shared" si="0"/>
        <v>0</v>
      </c>
      <c r="W11" s="808">
        <f t="shared" si="0"/>
        <v>0</v>
      </c>
      <c r="X11" s="808">
        <f t="shared" si="0"/>
        <v>0</v>
      </c>
      <c r="Y11" s="808">
        <f t="shared" si="0"/>
        <v>0</v>
      </c>
      <c r="Z11" s="808">
        <f t="shared" si="0"/>
        <v>0</v>
      </c>
      <c r="AA11" s="808">
        <f t="shared" si="0"/>
        <v>5.9999999999999885</v>
      </c>
      <c r="AB11" s="808">
        <f t="shared" si="0"/>
        <v>0</v>
      </c>
      <c r="AC11" s="808">
        <f t="shared" si="0"/>
        <v>0</v>
      </c>
      <c r="AD11" s="808" t="e">
        <f t="shared" si="0"/>
        <v>#N/A</v>
      </c>
      <c r="AE11" s="808" t="e">
        <f t="shared" si="0"/>
        <v>#N/A</v>
      </c>
      <c r="AF11" s="808"/>
      <c r="AG11" s="808">
        <f t="shared" ref="AG11:AS11" si="1">SUM(AG13:AG55)</f>
        <v>0</v>
      </c>
      <c r="AH11" s="808" t="e">
        <f t="shared" si="1"/>
        <v>#N/A</v>
      </c>
      <c r="AI11" s="808" t="e">
        <f t="shared" si="1"/>
        <v>#N/A</v>
      </c>
      <c r="AJ11" s="808" t="e">
        <f t="shared" si="1"/>
        <v>#N/A</v>
      </c>
      <c r="AK11" s="808" t="e">
        <f t="shared" si="1"/>
        <v>#N/A</v>
      </c>
      <c r="AL11" s="808">
        <f t="shared" si="1"/>
        <v>0</v>
      </c>
      <c r="AM11" s="808">
        <f t="shared" si="1"/>
        <v>0</v>
      </c>
      <c r="AN11" s="808" t="e">
        <f t="shared" si="1"/>
        <v>#N/A</v>
      </c>
      <c r="AO11" s="808" t="e">
        <f t="shared" si="1"/>
        <v>#N/A</v>
      </c>
      <c r="AP11" s="808">
        <f t="shared" si="1"/>
        <v>0</v>
      </c>
      <c r="AQ11" s="808">
        <f t="shared" si="1"/>
        <v>0</v>
      </c>
      <c r="AR11" s="808">
        <f t="shared" si="1"/>
        <v>0</v>
      </c>
      <c r="AS11" s="808">
        <f t="shared" si="1"/>
        <v>0</v>
      </c>
      <c r="AT11" s="834"/>
      <c r="AU11" s="578" t="s">
        <v>2072</v>
      </c>
      <c r="AV11" s="835">
        <v>0.2</v>
      </c>
    </row>
    <row r="12" spans="1:54" ht="15.75">
      <c r="A12" s="809"/>
      <c r="B12" s="810"/>
      <c r="C12" s="810"/>
      <c r="D12" s="811"/>
      <c r="E12" s="808"/>
      <c r="F12" s="808"/>
      <c r="G12" s="808"/>
      <c r="H12" s="808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  <c r="AK12" s="808"/>
      <c r="AL12" s="808"/>
      <c r="AM12" s="808"/>
      <c r="AN12" s="808"/>
      <c r="AO12" s="808"/>
      <c r="AP12" s="808"/>
      <c r="AQ12" s="808"/>
      <c r="AR12" s="808"/>
      <c r="AS12" s="808"/>
      <c r="AT12" s="834"/>
      <c r="AW12" s="70" t="s">
        <v>2073</v>
      </c>
      <c r="AX12" s="70" t="s">
        <v>2074</v>
      </c>
    </row>
    <row r="13" spans="1:54" ht="15.75">
      <c r="A13" s="812">
        <v>1</v>
      </c>
      <c r="B13" s="813" t="str">
        <f>VLOOKUP(C13,'[3]DS CN MOI UP'!$B$10:$C$489,2,0)</f>
        <v>02440</v>
      </c>
      <c r="C13" s="814" t="s">
        <v>357</v>
      </c>
      <c r="D13" s="812" t="s">
        <v>15</v>
      </c>
      <c r="E13" s="815"/>
      <c r="F13" s="815"/>
      <c r="G13" s="815"/>
      <c r="H13" s="815"/>
      <c r="I13" s="815"/>
      <c r="J13" s="815"/>
      <c r="K13" s="815"/>
      <c r="L13" s="815"/>
      <c r="M13" s="815"/>
      <c r="N13" s="815">
        <f t="shared" ref="N13:N55" si="2">E13/$N$8</f>
        <v>0</v>
      </c>
      <c r="O13" s="815">
        <f t="shared" ref="O13:O55" si="3">F13/$O$8</f>
        <v>0</v>
      </c>
      <c r="P13" s="815">
        <f t="shared" ref="P13:P55" si="4">G13/$P$8</f>
        <v>0</v>
      </c>
      <c r="Q13" s="815">
        <f t="shared" ref="Q13:Q55" si="5">H13/$Q$8</f>
        <v>0</v>
      </c>
      <c r="R13" s="815">
        <f t="shared" ref="R13:R55" si="6">I13/$R$8</f>
        <v>0</v>
      </c>
      <c r="S13" s="815">
        <f t="shared" ref="S13:S55" si="7">J13/$S$8</f>
        <v>0</v>
      </c>
      <c r="T13" s="815">
        <f t="shared" ref="T13:T55" si="8">K13/$T$8</f>
        <v>0</v>
      </c>
      <c r="U13" s="815">
        <f t="shared" ref="U13:U55" si="9">L13/$U$8</f>
        <v>0</v>
      </c>
      <c r="V13" s="815">
        <f t="shared" ref="V13:V55" si="10">M13/$V$8</f>
        <v>0</v>
      </c>
      <c r="W13" s="815"/>
      <c r="X13" s="815"/>
      <c r="Y13" s="815"/>
      <c r="Z13" s="815"/>
      <c r="AA13" s="830">
        <f t="shared" ref="AA13:AA55" si="11">SUM(N13:Z13)</f>
        <v>0</v>
      </c>
      <c r="AB13" s="830"/>
      <c r="AC13" s="830"/>
      <c r="AD13" s="830">
        <f>VLOOKUP(C13,'[3]MỦ TẠP'!$D$10:$AM$450,36,0)</f>
        <v>0</v>
      </c>
      <c r="AE13" s="831">
        <f>SUM(AB13:AD13)</f>
        <v>0</v>
      </c>
      <c r="AF13" s="830"/>
      <c r="AG13" s="830"/>
      <c r="AH13" s="830">
        <f t="shared" ref="AH13:AH55" si="12">AE13*$AV$13+AF13*$AV$10</f>
        <v>0</v>
      </c>
      <c r="AI13" s="830">
        <f>VLOOKUP(C13,'[3]CHẤM CÔNG '!$F$10:$AM$451,33,0)</f>
        <v>0</v>
      </c>
      <c r="AJ13" s="830">
        <f>VLOOKUP(C13,'[3]CHẤM CÔNG '!$F$10:$AM$451,34,0)</f>
        <v>0</v>
      </c>
      <c r="AK13" s="830"/>
      <c r="AL13" s="830"/>
      <c r="AM13" s="830"/>
      <c r="AN13" s="830">
        <f>VLOOKUP(C13,'[3]CHẤM CÔNG '!$F$10:$AN$451,35,0)</f>
        <v>0</v>
      </c>
      <c r="AO13" s="830">
        <f>VLOOKUP(C13,'[3]CHẤM CÔNG '!$F$10:$AR$451,36,0)</f>
        <v>0</v>
      </c>
      <c r="AP13" s="830"/>
      <c r="AQ13" s="830"/>
      <c r="AR13" s="830"/>
      <c r="AS13" s="836"/>
      <c r="AT13" s="837">
        <f>VLOOKUP(C13,'[3]MỦ TẠP'!$D$10:$AO$450,38,0)</f>
        <v>0</v>
      </c>
      <c r="AU13" s="582" t="s">
        <v>2013</v>
      </c>
      <c r="AV13" s="838">
        <f>AX13/AW13</f>
        <v>0.41839658958511283</v>
      </c>
      <c r="AW13" s="461">
        <v>29334</v>
      </c>
      <c r="AX13" s="461">
        <v>12273.245558889699</v>
      </c>
      <c r="AY13" s="841">
        <v>41.8396589585114</v>
      </c>
      <c r="AZ13" s="842"/>
      <c r="BA13" s="801">
        <f>+AX13/AW13*100</f>
        <v>41.839658958511286</v>
      </c>
      <c r="BB13" s="801">
        <f>+AY13-BA13</f>
        <v>1.1368683772161603E-13</v>
      </c>
    </row>
    <row r="14" spans="1:54" ht="15.75">
      <c r="A14" s="812">
        <v>2</v>
      </c>
      <c r="B14" s="813" t="str">
        <f>VLOOKUP(C14,'[3]DS CN MOI UP'!$B$10:$C$489,2,0)</f>
        <v>03423</v>
      </c>
      <c r="C14" s="816" t="s">
        <v>358</v>
      </c>
      <c r="D14" s="812" t="s">
        <v>15</v>
      </c>
      <c r="E14" s="815"/>
      <c r="F14" s="815"/>
      <c r="G14" s="815"/>
      <c r="H14" s="815"/>
      <c r="I14" s="815"/>
      <c r="J14" s="815"/>
      <c r="K14" s="815"/>
      <c r="L14" s="815"/>
      <c r="M14" s="815"/>
      <c r="N14" s="815">
        <f t="shared" si="2"/>
        <v>0</v>
      </c>
      <c r="O14" s="815">
        <f t="shared" si="3"/>
        <v>0</v>
      </c>
      <c r="P14" s="815">
        <f t="shared" si="4"/>
        <v>0</v>
      </c>
      <c r="Q14" s="815">
        <f t="shared" si="5"/>
        <v>0</v>
      </c>
      <c r="R14" s="815">
        <f t="shared" si="6"/>
        <v>0</v>
      </c>
      <c r="S14" s="815">
        <f t="shared" si="7"/>
        <v>0</v>
      </c>
      <c r="T14" s="815">
        <f t="shared" si="8"/>
        <v>0</v>
      </c>
      <c r="U14" s="815">
        <f t="shared" si="9"/>
        <v>0</v>
      </c>
      <c r="V14" s="815">
        <f t="shared" si="10"/>
        <v>0</v>
      </c>
      <c r="W14" s="815"/>
      <c r="X14" s="815"/>
      <c r="Y14" s="815"/>
      <c r="Z14" s="815"/>
      <c r="AA14" s="830">
        <f t="shared" si="11"/>
        <v>0</v>
      </c>
      <c r="AB14" s="830"/>
      <c r="AC14" s="830"/>
      <c r="AD14" s="830">
        <f>VLOOKUP(C14,'[3]MỦ TẠP'!$D$10:$AM$450,36,0)</f>
        <v>0</v>
      </c>
      <c r="AE14" s="831">
        <f t="shared" ref="AE14:AE55" si="13">SUM(AB14:AD14)</f>
        <v>0</v>
      </c>
      <c r="AF14" s="830"/>
      <c r="AG14" s="830"/>
      <c r="AH14" s="830">
        <f t="shared" si="12"/>
        <v>0</v>
      </c>
      <c r="AI14" s="830">
        <f>VLOOKUP(C14,'[3]CHẤM CÔNG '!$F$10:$AM$451,33,0)</f>
        <v>0</v>
      </c>
      <c r="AJ14" s="830">
        <f>VLOOKUP(C14,'[3]CHẤM CÔNG '!$F$10:$AM$451,34,0)</f>
        <v>0</v>
      </c>
      <c r="AK14" s="830"/>
      <c r="AL14" s="830"/>
      <c r="AM14" s="830"/>
      <c r="AN14" s="830">
        <f>VLOOKUP(C14,'[3]CHẤM CÔNG '!$F$10:$AN$451,35,0)</f>
        <v>0</v>
      </c>
      <c r="AO14" s="830">
        <f>VLOOKUP(C14,'[3]CHẤM CÔNG '!$F$10:$AR$451,36,0)</f>
        <v>0</v>
      </c>
      <c r="AP14" s="830"/>
      <c r="AQ14" s="830"/>
      <c r="AR14" s="830"/>
      <c r="AS14" s="836"/>
      <c r="AT14" s="837">
        <f>VLOOKUP(C14,'[3]MỦ TẠP'!$D$10:$AO$450,38,0)</f>
        <v>0</v>
      </c>
      <c r="AU14" s="582" t="s">
        <v>2014</v>
      </c>
      <c r="AV14" s="838">
        <f t="shared" ref="AV14:AV21" si="14">AX14/AW14</f>
        <v>0.41431647579105774</v>
      </c>
      <c r="AW14" s="461">
        <v>26604</v>
      </c>
      <c r="AX14" s="461">
        <v>11022.4755219453</v>
      </c>
      <c r="AY14" s="841">
        <v>41.4316475791058</v>
      </c>
      <c r="AZ14" s="842"/>
      <c r="BA14" s="801">
        <f t="shared" ref="BA14:BA21" si="15">+AX14/AW14*100</f>
        <v>41.431647579105771</v>
      </c>
      <c r="BB14" s="801">
        <f t="shared" ref="BB14:BB21" si="16">+AY14-BA14</f>
        <v>0</v>
      </c>
    </row>
    <row r="15" spans="1:54" ht="15.75">
      <c r="A15" s="812">
        <v>3</v>
      </c>
      <c r="B15" s="813" t="str">
        <f>VLOOKUP(C15,'[3]DS CN MOI UP'!$B$10:$C$489,2,0)</f>
        <v>03425</v>
      </c>
      <c r="C15" s="817" t="s">
        <v>385</v>
      </c>
      <c r="D15" s="812" t="s">
        <v>15</v>
      </c>
      <c r="E15" s="815"/>
      <c r="F15" s="815"/>
      <c r="G15" s="815"/>
      <c r="H15" s="815"/>
      <c r="I15" s="815"/>
      <c r="J15" s="815"/>
      <c r="K15" s="815"/>
      <c r="L15" s="815"/>
      <c r="M15" s="815"/>
      <c r="N15" s="815">
        <f t="shared" si="2"/>
        <v>0</v>
      </c>
      <c r="O15" s="815">
        <f t="shared" si="3"/>
        <v>0</v>
      </c>
      <c r="P15" s="815">
        <f t="shared" si="4"/>
        <v>0</v>
      </c>
      <c r="Q15" s="815">
        <f t="shared" si="5"/>
        <v>0</v>
      </c>
      <c r="R15" s="815">
        <f t="shared" si="6"/>
        <v>0</v>
      </c>
      <c r="S15" s="815">
        <f t="shared" si="7"/>
        <v>0</v>
      </c>
      <c r="T15" s="815">
        <f t="shared" si="8"/>
        <v>0</v>
      </c>
      <c r="U15" s="815">
        <f t="shared" si="9"/>
        <v>0</v>
      </c>
      <c r="V15" s="815">
        <f t="shared" si="10"/>
        <v>0</v>
      </c>
      <c r="W15" s="815"/>
      <c r="X15" s="815"/>
      <c r="Y15" s="815"/>
      <c r="Z15" s="815"/>
      <c r="AA15" s="830">
        <f t="shared" si="11"/>
        <v>0</v>
      </c>
      <c r="AB15" s="830"/>
      <c r="AC15" s="830"/>
      <c r="AD15" s="830">
        <f>VLOOKUP(C15,'[3]MỦ TẠP'!$D$10:$AM$450,36,0)</f>
        <v>0</v>
      </c>
      <c r="AE15" s="831">
        <f t="shared" si="13"/>
        <v>0</v>
      </c>
      <c r="AF15" s="830"/>
      <c r="AG15" s="830"/>
      <c r="AH15" s="830">
        <f t="shared" si="12"/>
        <v>0</v>
      </c>
      <c r="AI15" s="830">
        <f>VLOOKUP(C15,'[3]CHẤM CÔNG '!$F$10:$AM$451,33,0)</f>
        <v>0</v>
      </c>
      <c r="AJ15" s="830">
        <f>VLOOKUP(C15,'[3]CHẤM CÔNG '!$F$10:$AM$451,34,0)</f>
        <v>0</v>
      </c>
      <c r="AK15" s="830"/>
      <c r="AL15" s="830"/>
      <c r="AM15" s="830"/>
      <c r="AN15" s="830">
        <f>VLOOKUP(C15,'[3]CHẤM CÔNG '!$F$10:$AN$451,35,0)</f>
        <v>0</v>
      </c>
      <c r="AO15" s="830">
        <f>VLOOKUP(C15,'[3]CHẤM CÔNG '!$F$10:$AR$451,36,0)</f>
        <v>0</v>
      </c>
      <c r="AP15" s="830"/>
      <c r="AQ15" s="830"/>
      <c r="AR15" s="830"/>
      <c r="AS15" s="836"/>
      <c r="AT15" s="837">
        <f>VLOOKUP(C15,'[3]MỦ TẠP'!$D$10:$AO$450,38,0)</f>
        <v>0</v>
      </c>
      <c r="AU15" s="582" t="s">
        <v>2015</v>
      </c>
      <c r="AV15" s="838">
        <f t="shared" si="14"/>
        <v>0.40552284225871116</v>
      </c>
      <c r="AW15" s="461">
        <v>76488</v>
      </c>
      <c r="AX15" s="461">
        <v>31017.6311586843</v>
      </c>
      <c r="AY15" s="841">
        <v>40.552284225871198</v>
      </c>
      <c r="AZ15" s="842"/>
      <c r="BA15" s="801">
        <f t="shared" si="15"/>
        <v>40.552284225871119</v>
      </c>
      <c r="BB15" s="801">
        <f t="shared" si="16"/>
        <v>7.815970093361102E-14</v>
      </c>
    </row>
    <row r="16" spans="1:54" ht="15.75">
      <c r="A16" s="812">
        <v>4</v>
      </c>
      <c r="B16" s="813" t="e">
        <f>VLOOKUP(C16,'[3]DS CN MOI UP'!$B$10:$C$489,2,0)</f>
        <v>#N/A</v>
      </c>
      <c r="C16" s="817" t="s">
        <v>1936</v>
      </c>
      <c r="D16" s="812" t="s">
        <v>15</v>
      </c>
      <c r="E16" s="815"/>
      <c r="F16" s="815"/>
      <c r="G16" s="815"/>
      <c r="H16" s="815"/>
      <c r="I16" s="815"/>
      <c r="J16" s="815"/>
      <c r="K16" s="815"/>
      <c r="L16" s="815"/>
      <c r="M16" s="815"/>
      <c r="N16" s="815">
        <f t="shared" si="2"/>
        <v>0</v>
      </c>
      <c r="O16" s="815">
        <f t="shared" si="3"/>
        <v>0</v>
      </c>
      <c r="P16" s="815">
        <f t="shared" si="4"/>
        <v>0</v>
      </c>
      <c r="Q16" s="815">
        <f t="shared" si="5"/>
        <v>0</v>
      </c>
      <c r="R16" s="815">
        <f t="shared" si="6"/>
        <v>0</v>
      </c>
      <c r="S16" s="815">
        <f t="shared" si="7"/>
        <v>0</v>
      </c>
      <c r="T16" s="815">
        <f t="shared" si="8"/>
        <v>0</v>
      </c>
      <c r="U16" s="815">
        <f t="shared" si="9"/>
        <v>0</v>
      </c>
      <c r="V16" s="815">
        <f t="shared" si="10"/>
        <v>0</v>
      </c>
      <c r="W16" s="815"/>
      <c r="X16" s="815"/>
      <c r="Y16" s="815"/>
      <c r="Z16" s="815"/>
      <c r="AA16" s="830">
        <f t="shared" si="11"/>
        <v>0</v>
      </c>
      <c r="AB16" s="830"/>
      <c r="AC16" s="830"/>
      <c r="AD16" s="830">
        <f>VLOOKUP(C16,'[3]MỦ TẠP'!$D$10:$AM$450,36,0)</f>
        <v>0</v>
      </c>
      <c r="AE16" s="831">
        <f t="shared" si="13"/>
        <v>0</v>
      </c>
      <c r="AF16" s="830"/>
      <c r="AG16" s="830"/>
      <c r="AH16" s="830">
        <f t="shared" si="12"/>
        <v>0</v>
      </c>
      <c r="AI16" s="830">
        <f>VLOOKUP(C16,'[3]CHẤM CÔNG '!$F$10:$AM$451,33,0)</f>
        <v>0</v>
      </c>
      <c r="AJ16" s="830">
        <f>VLOOKUP(C16,'[3]CHẤM CÔNG '!$F$10:$AM$451,34,0)</f>
        <v>0</v>
      </c>
      <c r="AK16" s="830">
        <f>SUM(AI16:AJ16,AN16)</f>
        <v>0</v>
      </c>
      <c r="AL16" s="830"/>
      <c r="AM16" s="830"/>
      <c r="AN16" s="830">
        <f>VLOOKUP(C16,'[3]CHẤM CÔNG '!$F$10:$AN$451,35,0)</f>
        <v>0</v>
      </c>
      <c r="AO16" s="830">
        <f>VLOOKUP(C16,'[3]CHẤM CÔNG '!$F$10:$AR$451,36,0)</f>
        <v>0</v>
      </c>
      <c r="AP16" s="830"/>
      <c r="AQ16" s="830"/>
      <c r="AR16" s="830"/>
      <c r="AS16" s="836"/>
      <c r="AT16" s="837">
        <f>VLOOKUP(C16,'[3]MỦ TẠP'!$D$10:$AO$450,38,0)</f>
        <v>0</v>
      </c>
      <c r="AU16" s="582" t="s">
        <v>2016</v>
      </c>
      <c r="AV16" s="838">
        <f t="shared" si="14"/>
        <v>0.40863996224285043</v>
      </c>
      <c r="AW16" s="461">
        <v>70074</v>
      </c>
      <c r="AX16" s="461">
        <v>28635.0367142055</v>
      </c>
      <c r="AY16" s="841">
        <v>40.863996224285003</v>
      </c>
      <c r="AZ16" s="842"/>
      <c r="BA16" s="801">
        <f t="shared" si="15"/>
        <v>40.863996224285046</v>
      </c>
      <c r="BB16" s="801">
        <f t="shared" si="16"/>
        <v>0</v>
      </c>
    </row>
    <row r="17" spans="1:54" ht="15.75">
      <c r="A17" s="812">
        <v>5</v>
      </c>
      <c r="B17" s="813" t="str">
        <f>VLOOKUP(C17,'[3]DS CN MOI UP'!$B$10:$C$489,2,0)</f>
        <v>03427</v>
      </c>
      <c r="C17" s="818" t="s">
        <v>387</v>
      </c>
      <c r="D17" s="812" t="s">
        <v>15</v>
      </c>
      <c r="E17" s="815"/>
      <c r="F17" s="815"/>
      <c r="G17" s="815"/>
      <c r="H17" s="815"/>
      <c r="I17" s="815"/>
      <c r="J17" s="815"/>
      <c r="K17" s="815"/>
      <c r="L17" s="815"/>
      <c r="M17" s="815"/>
      <c r="N17" s="815">
        <f t="shared" si="2"/>
        <v>0</v>
      </c>
      <c r="O17" s="815">
        <f t="shared" si="3"/>
        <v>0</v>
      </c>
      <c r="P17" s="815">
        <f t="shared" si="4"/>
        <v>0</v>
      </c>
      <c r="Q17" s="815">
        <f t="shared" si="5"/>
        <v>0</v>
      </c>
      <c r="R17" s="815">
        <f t="shared" si="6"/>
        <v>0</v>
      </c>
      <c r="S17" s="815">
        <f t="shared" si="7"/>
        <v>0</v>
      </c>
      <c r="T17" s="815">
        <f t="shared" si="8"/>
        <v>0</v>
      </c>
      <c r="U17" s="815">
        <f t="shared" si="9"/>
        <v>0</v>
      </c>
      <c r="V17" s="815">
        <f t="shared" si="10"/>
        <v>0</v>
      </c>
      <c r="W17" s="815"/>
      <c r="X17" s="815"/>
      <c r="Y17" s="815"/>
      <c r="Z17" s="815"/>
      <c r="AA17" s="830">
        <f t="shared" si="11"/>
        <v>0</v>
      </c>
      <c r="AB17" s="830"/>
      <c r="AC17" s="830"/>
      <c r="AD17" s="830">
        <f>VLOOKUP(C17,'[3]MỦ TẠP'!$D$10:$AM$450,36,0)</f>
        <v>0</v>
      </c>
      <c r="AE17" s="831">
        <f t="shared" si="13"/>
        <v>0</v>
      </c>
      <c r="AF17" s="830"/>
      <c r="AG17" s="830"/>
      <c r="AH17" s="830">
        <f t="shared" si="12"/>
        <v>0</v>
      </c>
      <c r="AI17" s="830">
        <f>VLOOKUP(C17,'[3]CHẤM CÔNG '!$F$10:$AM$451,33,0)</f>
        <v>0</v>
      </c>
      <c r="AJ17" s="830">
        <f>VLOOKUP(C17,'[3]CHẤM CÔNG '!$F$10:$AM$451,34,0)</f>
        <v>0</v>
      </c>
      <c r="AK17" s="830">
        <f t="shared" ref="AK17" si="17">SUM(AI17:AJ17,AN17)</f>
        <v>0</v>
      </c>
      <c r="AL17" s="830"/>
      <c r="AM17" s="830"/>
      <c r="AN17" s="830">
        <f>VLOOKUP(C17,'[3]CHẤM CÔNG '!$F$10:$AN$451,35,0)</f>
        <v>0</v>
      </c>
      <c r="AO17" s="830">
        <f>VLOOKUP(C17,'[3]CHẤM CÔNG '!$F$10:$AR$451,36,0)</f>
        <v>0</v>
      </c>
      <c r="AP17" s="830"/>
      <c r="AQ17" s="830"/>
      <c r="AR17" s="830"/>
      <c r="AS17" s="836"/>
      <c r="AT17" s="837">
        <f>VLOOKUP(C17,'[3]MỦ TẠP'!$D$10:$AO$450,38,0)</f>
        <v>0</v>
      </c>
      <c r="AU17" s="582" t="s">
        <v>2017</v>
      </c>
      <c r="AV17" s="838">
        <f t="shared" si="14"/>
        <v>0.41347439085117216</v>
      </c>
      <c r="AW17" s="302">
        <v>45982</v>
      </c>
      <c r="AX17" s="302">
        <v>19012.379440118599</v>
      </c>
      <c r="AY17" s="841">
        <v>41.347439085117102</v>
      </c>
      <c r="AZ17" s="842"/>
      <c r="BA17" s="801">
        <f t="shared" si="15"/>
        <v>41.347439085117216</v>
      </c>
      <c r="BB17" s="801">
        <f t="shared" si="16"/>
        <v>-1.1368683772161603E-13</v>
      </c>
    </row>
    <row r="18" spans="1:54" ht="15.75">
      <c r="A18" s="812">
        <v>6</v>
      </c>
      <c r="B18" s="813" t="str">
        <f>VLOOKUP(C18,'[3]DS CN MOI UP'!$B$10:$C$489,2,0)</f>
        <v>03428</v>
      </c>
      <c r="C18" s="818" t="s">
        <v>388</v>
      </c>
      <c r="D18" s="812" t="s">
        <v>15</v>
      </c>
      <c r="E18" s="815"/>
      <c r="F18" s="815"/>
      <c r="G18" s="815"/>
      <c r="H18" s="815"/>
      <c r="I18" s="815"/>
      <c r="J18" s="815"/>
      <c r="K18" s="815"/>
      <c r="L18" s="815"/>
      <c r="M18" s="815"/>
      <c r="N18" s="815">
        <f t="shared" si="2"/>
        <v>0</v>
      </c>
      <c r="O18" s="815">
        <f t="shared" si="3"/>
        <v>0</v>
      </c>
      <c r="P18" s="815">
        <f t="shared" si="4"/>
        <v>0</v>
      </c>
      <c r="Q18" s="815">
        <f t="shared" si="5"/>
        <v>0</v>
      </c>
      <c r="R18" s="815">
        <f t="shared" si="6"/>
        <v>0</v>
      </c>
      <c r="S18" s="815">
        <f t="shared" si="7"/>
        <v>0</v>
      </c>
      <c r="T18" s="815">
        <f t="shared" si="8"/>
        <v>0</v>
      </c>
      <c r="U18" s="815">
        <f t="shared" si="9"/>
        <v>0</v>
      </c>
      <c r="V18" s="815">
        <f t="shared" si="10"/>
        <v>0</v>
      </c>
      <c r="W18" s="815"/>
      <c r="X18" s="815"/>
      <c r="Y18" s="815"/>
      <c r="Z18" s="815"/>
      <c r="AA18" s="830">
        <f t="shared" si="11"/>
        <v>0</v>
      </c>
      <c r="AB18" s="830"/>
      <c r="AC18" s="830"/>
      <c r="AD18" s="830">
        <f>VLOOKUP(C18,'[3]MỦ TẠP'!$D$10:$AM$450,36,0)</f>
        <v>0</v>
      </c>
      <c r="AE18" s="831">
        <f t="shared" si="13"/>
        <v>0</v>
      </c>
      <c r="AF18" s="830"/>
      <c r="AG18" s="830"/>
      <c r="AH18" s="830">
        <f t="shared" si="12"/>
        <v>0</v>
      </c>
      <c r="AI18" s="830">
        <f>VLOOKUP(C18,'[3]CHẤM CÔNG '!$F$10:$AM$451,33,0)</f>
        <v>0</v>
      </c>
      <c r="AJ18" s="830">
        <f>VLOOKUP(C18,'[3]CHẤM CÔNG '!$F$10:$AM$451,34,0)</f>
        <v>0</v>
      </c>
      <c r="AK18" s="830"/>
      <c r="AL18" s="830"/>
      <c r="AM18" s="830"/>
      <c r="AN18" s="830">
        <f>VLOOKUP(C18,'[3]CHẤM CÔNG '!$F$10:$AN$451,35,0)</f>
        <v>0</v>
      </c>
      <c r="AO18" s="830">
        <f>VLOOKUP(C18,'[3]CHẤM CÔNG '!$F$10:$AR$451,36,0)</f>
        <v>0</v>
      </c>
      <c r="AP18" s="830"/>
      <c r="AQ18" s="830"/>
      <c r="AR18" s="830"/>
      <c r="AS18" s="836"/>
      <c r="AT18" s="837">
        <f>VLOOKUP(C18,'[3]MỦ TẠP'!$D$10:$AO$450,38,0)</f>
        <v>0</v>
      </c>
      <c r="AU18" s="582" t="s">
        <v>2018</v>
      </c>
      <c r="AV18" s="838">
        <f t="shared" si="14"/>
        <v>0.38791566835342439</v>
      </c>
      <c r="AW18" s="302">
        <v>66625</v>
      </c>
      <c r="AX18" s="302">
        <v>25844.881404046901</v>
      </c>
      <c r="AY18" s="841">
        <v>38.7915668353425</v>
      </c>
      <c r="AZ18" s="842"/>
      <c r="BA18" s="801">
        <f t="shared" si="15"/>
        <v>38.791566835342437</v>
      </c>
      <c r="BB18" s="801">
        <f t="shared" si="16"/>
        <v>6.3948846218409017E-14</v>
      </c>
    </row>
    <row r="19" spans="1:54" ht="15.75">
      <c r="A19" s="812">
        <v>7</v>
      </c>
      <c r="B19" s="813" t="str">
        <f>VLOOKUP(C19,'[3]DS CN MOI UP'!$B$10:$C$489,2,0)</f>
        <v>02441</v>
      </c>
      <c r="C19" s="818" t="s">
        <v>389</v>
      </c>
      <c r="D19" s="812" t="s">
        <v>15</v>
      </c>
      <c r="E19" s="815"/>
      <c r="F19" s="815"/>
      <c r="G19" s="815"/>
      <c r="H19" s="815"/>
      <c r="I19" s="815"/>
      <c r="J19" s="815"/>
      <c r="K19" s="815"/>
      <c r="L19" s="815"/>
      <c r="M19" s="815"/>
      <c r="N19" s="815">
        <f t="shared" si="2"/>
        <v>0</v>
      </c>
      <c r="O19" s="815">
        <f t="shared" si="3"/>
        <v>0</v>
      </c>
      <c r="P19" s="815">
        <f t="shared" si="4"/>
        <v>0</v>
      </c>
      <c r="Q19" s="815">
        <f t="shared" si="5"/>
        <v>0</v>
      </c>
      <c r="R19" s="815">
        <f t="shared" si="6"/>
        <v>0</v>
      </c>
      <c r="S19" s="815">
        <f t="shared" si="7"/>
        <v>0</v>
      </c>
      <c r="T19" s="815">
        <f t="shared" si="8"/>
        <v>0</v>
      </c>
      <c r="U19" s="815">
        <f t="shared" si="9"/>
        <v>0</v>
      </c>
      <c r="V19" s="815">
        <f t="shared" si="10"/>
        <v>0</v>
      </c>
      <c r="W19" s="815"/>
      <c r="X19" s="815"/>
      <c r="Y19" s="815"/>
      <c r="Z19" s="815"/>
      <c r="AA19" s="830">
        <f t="shared" si="11"/>
        <v>0</v>
      </c>
      <c r="AB19" s="830"/>
      <c r="AC19" s="830"/>
      <c r="AD19" s="830">
        <f>VLOOKUP(C19,'[3]MỦ TẠP'!$D$10:$AM$450,36,0)</f>
        <v>0</v>
      </c>
      <c r="AE19" s="831">
        <f t="shared" si="13"/>
        <v>0</v>
      </c>
      <c r="AF19" s="830"/>
      <c r="AG19" s="830"/>
      <c r="AH19" s="830">
        <f t="shared" si="12"/>
        <v>0</v>
      </c>
      <c r="AI19" s="830">
        <f>VLOOKUP(C19,'[3]CHẤM CÔNG '!$F$10:$AM$451,33,0)</f>
        <v>0</v>
      </c>
      <c r="AJ19" s="830">
        <f>VLOOKUP(C19,'[3]CHẤM CÔNG '!$F$10:$AM$451,34,0)</f>
        <v>0</v>
      </c>
      <c r="AK19" s="830"/>
      <c r="AL19" s="830"/>
      <c r="AM19" s="830"/>
      <c r="AN19" s="830">
        <f>VLOOKUP(C19,'[3]CHẤM CÔNG '!$F$10:$AN$451,35,0)</f>
        <v>0</v>
      </c>
      <c r="AO19" s="830">
        <f>VLOOKUP(C19,'[3]CHẤM CÔNG '!$F$10:$AR$451,36,0)</f>
        <v>0</v>
      </c>
      <c r="AP19" s="830"/>
      <c r="AQ19" s="830"/>
      <c r="AR19" s="830"/>
      <c r="AS19" s="836"/>
      <c r="AT19" s="837">
        <f>VLOOKUP(C19,'[3]MỦ TẠP'!$D$10:$AO$450,38,0)</f>
        <v>0</v>
      </c>
      <c r="AU19" s="582" t="s">
        <v>2019</v>
      </c>
      <c r="AV19" s="838">
        <f t="shared" si="14"/>
        <v>0.39934748369769685</v>
      </c>
      <c r="AW19" s="302">
        <v>5054</v>
      </c>
      <c r="AX19" s="302">
        <v>2018.3021826081599</v>
      </c>
      <c r="AY19" s="841">
        <v>39.934748369769601</v>
      </c>
      <c r="AZ19" s="842"/>
      <c r="BA19" s="801">
        <f t="shared" si="15"/>
        <v>39.934748369769686</v>
      </c>
      <c r="BB19" s="801">
        <f t="shared" si="16"/>
        <v>-8.5265128291212022E-14</v>
      </c>
    </row>
    <row r="20" spans="1:54" ht="15.75">
      <c r="A20" s="812">
        <v>8</v>
      </c>
      <c r="B20" s="813" t="e">
        <f>VLOOKUP(C20,'[3]DS CN MOI UP'!$B$10:$C$489,2,0)</f>
        <v>#N/A</v>
      </c>
      <c r="C20" s="818" t="s">
        <v>1937</v>
      </c>
      <c r="D20" s="812" t="s">
        <v>15</v>
      </c>
      <c r="E20" s="815"/>
      <c r="F20" s="815"/>
      <c r="G20" s="815"/>
      <c r="H20" s="815"/>
      <c r="I20" s="815"/>
      <c r="J20" s="815"/>
      <c r="K20" s="815"/>
      <c r="L20" s="815"/>
      <c r="M20" s="815"/>
      <c r="N20" s="815">
        <f t="shared" si="2"/>
        <v>0</v>
      </c>
      <c r="O20" s="815">
        <f t="shared" si="3"/>
        <v>0</v>
      </c>
      <c r="P20" s="815">
        <f t="shared" si="4"/>
        <v>0</v>
      </c>
      <c r="Q20" s="815">
        <f t="shared" si="5"/>
        <v>0</v>
      </c>
      <c r="R20" s="815">
        <f t="shared" si="6"/>
        <v>0</v>
      </c>
      <c r="S20" s="815">
        <f t="shared" si="7"/>
        <v>0</v>
      </c>
      <c r="T20" s="815">
        <f t="shared" si="8"/>
        <v>0</v>
      </c>
      <c r="U20" s="815">
        <f t="shared" si="9"/>
        <v>0</v>
      </c>
      <c r="V20" s="815">
        <f t="shared" si="10"/>
        <v>0</v>
      </c>
      <c r="W20" s="815"/>
      <c r="X20" s="815"/>
      <c r="Y20" s="815"/>
      <c r="Z20" s="815"/>
      <c r="AA20" s="830">
        <f t="shared" si="11"/>
        <v>0</v>
      </c>
      <c r="AB20" s="830"/>
      <c r="AC20" s="830"/>
      <c r="AD20" s="830">
        <f>VLOOKUP(C20,'[3]MỦ TẠP'!$D$10:$AM$450,36,0)</f>
        <v>0</v>
      </c>
      <c r="AE20" s="831">
        <f t="shared" si="13"/>
        <v>0</v>
      </c>
      <c r="AF20" s="830"/>
      <c r="AG20" s="830"/>
      <c r="AH20" s="830">
        <f t="shared" si="12"/>
        <v>0</v>
      </c>
      <c r="AI20" s="830">
        <f>VLOOKUP(C20,'[3]CHẤM CÔNG '!$F$10:$AM$451,33,0)</f>
        <v>0</v>
      </c>
      <c r="AJ20" s="830">
        <f>VLOOKUP(C20,'[3]CHẤM CÔNG '!$F$10:$AM$451,34,0)</f>
        <v>0</v>
      </c>
      <c r="AK20" s="830"/>
      <c r="AL20" s="830"/>
      <c r="AM20" s="830"/>
      <c r="AN20" s="830">
        <f>VLOOKUP(C20,'[3]CHẤM CÔNG '!$F$10:$AN$451,35,0)</f>
        <v>0</v>
      </c>
      <c r="AO20" s="830">
        <f>VLOOKUP(C20,'[3]CHẤM CÔNG '!$F$10:$AR$451,36,0)</f>
        <v>0</v>
      </c>
      <c r="AP20" s="830"/>
      <c r="AQ20" s="830"/>
      <c r="AR20" s="830"/>
      <c r="AS20" s="836"/>
      <c r="AT20" s="837">
        <f>VLOOKUP(C20,'[3]MỦ TẠP'!$D$10:$AO$450,38,0)</f>
        <v>0</v>
      </c>
      <c r="AU20" s="582" t="s">
        <v>2020</v>
      </c>
      <c r="AV20" s="838">
        <f t="shared" si="14"/>
        <v>0.41693531082360369</v>
      </c>
      <c r="AW20" s="843">
        <v>6338</v>
      </c>
      <c r="AX20" s="844">
        <v>2642.5360000000001</v>
      </c>
      <c r="AY20" s="841">
        <v>41.693531082360401</v>
      </c>
      <c r="AZ20" s="842"/>
      <c r="BA20" s="801">
        <f t="shared" si="15"/>
        <v>41.693531082360366</v>
      </c>
      <c r="BB20" s="801">
        <f t="shared" si="16"/>
        <v>0</v>
      </c>
    </row>
    <row r="21" spans="1:54" ht="15.75">
      <c r="A21" s="812">
        <v>9</v>
      </c>
      <c r="B21" s="813" t="str">
        <f>VLOOKUP(C21,'[3]DS CN MOI UP'!$B$10:$C$489,2,0)</f>
        <v>02433</v>
      </c>
      <c r="C21" s="818" t="s">
        <v>391</v>
      </c>
      <c r="D21" s="812" t="s">
        <v>15</v>
      </c>
      <c r="E21" s="815"/>
      <c r="F21" s="815"/>
      <c r="G21" s="815"/>
      <c r="H21" s="815"/>
      <c r="I21" s="815"/>
      <c r="J21" s="815"/>
      <c r="K21" s="815"/>
      <c r="L21" s="815"/>
      <c r="M21" s="815"/>
      <c r="N21" s="815">
        <f t="shared" si="2"/>
        <v>0</v>
      </c>
      <c r="O21" s="815">
        <f t="shared" si="3"/>
        <v>0</v>
      </c>
      <c r="P21" s="815">
        <f t="shared" si="4"/>
        <v>0</v>
      </c>
      <c r="Q21" s="815">
        <f t="shared" si="5"/>
        <v>0</v>
      </c>
      <c r="R21" s="815">
        <f t="shared" si="6"/>
        <v>0</v>
      </c>
      <c r="S21" s="815">
        <f t="shared" si="7"/>
        <v>0</v>
      </c>
      <c r="T21" s="815">
        <f t="shared" si="8"/>
        <v>0</v>
      </c>
      <c r="U21" s="815">
        <f t="shared" si="9"/>
        <v>0</v>
      </c>
      <c r="V21" s="815">
        <f t="shared" si="10"/>
        <v>0</v>
      </c>
      <c r="W21" s="815"/>
      <c r="X21" s="815"/>
      <c r="Y21" s="815"/>
      <c r="Z21" s="815"/>
      <c r="AA21" s="830">
        <f t="shared" si="11"/>
        <v>0</v>
      </c>
      <c r="AB21" s="830"/>
      <c r="AC21" s="830"/>
      <c r="AD21" s="830">
        <f>VLOOKUP(C21,'[3]MỦ TẠP'!$D$10:$AM$450,36,0)</f>
        <v>0</v>
      </c>
      <c r="AE21" s="831">
        <f t="shared" si="13"/>
        <v>0</v>
      </c>
      <c r="AF21" s="830"/>
      <c r="AG21" s="830"/>
      <c r="AH21" s="830">
        <f t="shared" si="12"/>
        <v>0</v>
      </c>
      <c r="AI21" s="830">
        <f>VLOOKUP(C21,'[3]CHẤM CÔNG '!$F$10:$AM$451,33,0)</f>
        <v>0</v>
      </c>
      <c r="AJ21" s="830">
        <f>VLOOKUP(C21,'[3]CHẤM CÔNG '!$F$10:$AM$451,34,0)</f>
        <v>0</v>
      </c>
      <c r="AK21" s="830"/>
      <c r="AL21" s="830"/>
      <c r="AM21" s="830"/>
      <c r="AN21" s="830">
        <f>VLOOKUP(C21,'[3]CHẤM CÔNG '!$F$10:$AN$451,35,0)</f>
        <v>0</v>
      </c>
      <c r="AO21" s="830">
        <f>VLOOKUP(C21,'[3]CHẤM CÔNG '!$F$10:$AR$451,36,0)</f>
        <v>0</v>
      </c>
      <c r="AP21" s="830"/>
      <c r="AQ21" s="830"/>
      <c r="AR21" s="830"/>
      <c r="AS21" s="836"/>
      <c r="AT21" s="837">
        <f>VLOOKUP(C21,'[3]MỦ TẠP'!$D$10:$AO$450,38,0)</f>
        <v>0</v>
      </c>
      <c r="AU21" s="582" t="s">
        <v>2021</v>
      </c>
      <c r="AV21" s="838">
        <f t="shared" si="14"/>
        <v>0.36492869444444448</v>
      </c>
      <c r="AW21" s="302">
        <v>14400</v>
      </c>
      <c r="AX21" s="302">
        <v>5254.9732000000004</v>
      </c>
      <c r="AY21" s="841">
        <v>36.492869444444402</v>
      </c>
      <c r="AZ21" s="842"/>
      <c r="BA21" s="801">
        <f t="shared" si="15"/>
        <v>36.492869444444445</v>
      </c>
      <c r="BB21" s="801">
        <f t="shared" si="16"/>
        <v>0</v>
      </c>
    </row>
    <row r="22" spans="1:54" ht="15.75">
      <c r="A22" s="812">
        <v>10</v>
      </c>
      <c r="B22" s="813" t="str">
        <f>VLOOKUP(C22,'[3]DS CN MOI UP'!$B$10:$C$489,2,0)</f>
        <v>03430</v>
      </c>
      <c r="C22" s="818" t="s">
        <v>392</v>
      </c>
      <c r="D22" s="812" t="s">
        <v>15</v>
      </c>
      <c r="E22" s="815"/>
      <c r="F22" s="815"/>
      <c r="G22" s="815"/>
      <c r="H22" s="815"/>
      <c r="I22" s="815"/>
      <c r="J22" s="815"/>
      <c r="K22" s="815"/>
      <c r="L22" s="815"/>
      <c r="M22" s="815"/>
      <c r="N22" s="815">
        <f t="shared" si="2"/>
        <v>0</v>
      </c>
      <c r="O22" s="815">
        <f t="shared" si="3"/>
        <v>0</v>
      </c>
      <c r="P22" s="815">
        <f t="shared" si="4"/>
        <v>0</v>
      </c>
      <c r="Q22" s="815">
        <f t="shared" si="5"/>
        <v>0</v>
      </c>
      <c r="R22" s="815">
        <f t="shared" si="6"/>
        <v>0</v>
      </c>
      <c r="S22" s="815">
        <f t="shared" si="7"/>
        <v>0</v>
      </c>
      <c r="T22" s="815">
        <f t="shared" si="8"/>
        <v>0</v>
      </c>
      <c r="U22" s="815">
        <f t="shared" si="9"/>
        <v>0</v>
      </c>
      <c r="V22" s="815">
        <f t="shared" si="10"/>
        <v>0</v>
      </c>
      <c r="W22" s="815"/>
      <c r="X22" s="815"/>
      <c r="Y22" s="815"/>
      <c r="Z22" s="815"/>
      <c r="AA22" s="830">
        <f t="shared" si="11"/>
        <v>0</v>
      </c>
      <c r="AB22" s="830"/>
      <c r="AC22" s="830"/>
      <c r="AD22" s="830">
        <f>VLOOKUP(C22,'[3]MỦ TẠP'!$D$10:$AM$450,36,0)</f>
        <v>0</v>
      </c>
      <c r="AE22" s="831">
        <f t="shared" si="13"/>
        <v>0</v>
      </c>
      <c r="AF22" s="830"/>
      <c r="AG22" s="830"/>
      <c r="AH22" s="830">
        <f t="shared" si="12"/>
        <v>0</v>
      </c>
      <c r="AI22" s="830">
        <f>VLOOKUP(C22,'[3]CHẤM CÔNG '!$F$10:$AM$451,33,0)</f>
        <v>0</v>
      </c>
      <c r="AJ22" s="830">
        <f>VLOOKUP(C22,'[3]CHẤM CÔNG '!$F$10:$AM$451,34,0)</f>
        <v>0</v>
      </c>
      <c r="AK22" s="830"/>
      <c r="AL22" s="830"/>
      <c r="AM22" s="830"/>
      <c r="AN22" s="830">
        <f>VLOOKUP(C22,'[3]CHẤM CÔNG '!$F$10:$AN$451,35,0)</f>
        <v>0</v>
      </c>
      <c r="AO22" s="830">
        <f>VLOOKUP(C22,'[3]CHẤM CÔNG '!$F$10:$AR$451,36,0)</f>
        <v>0</v>
      </c>
      <c r="AP22" s="830"/>
      <c r="AQ22" s="830"/>
      <c r="AR22" s="830"/>
      <c r="AS22" s="836"/>
      <c r="AT22" s="837">
        <f>VLOOKUP(C22,'[3]MỦ TẠP'!$D$10:$AO$450,38,0)</f>
        <v>0</v>
      </c>
      <c r="AU22" s="801" t="s">
        <v>2075</v>
      </c>
      <c r="AV22" s="833">
        <f t="shared" ref="AV22:AV24" si="18">AX22</f>
        <v>0.276484848484848</v>
      </c>
      <c r="AW22" s="801">
        <v>27.648484848484799</v>
      </c>
      <c r="AX22" s="799">
        <f>AW22/100</f>
        <v>0.276484848484848</v>
      </c>
    </row>
    <row r="23" spans="1:54" ht="15.75">
      <c r="A23" s="812">
        <v>11</v>
      </c>
      <c r="B23" s="813" t="str">
        <f>VLOOKUP(C23,'[3]DS CN MOI UP'!$B$10:$C$489,2,0)</f>
        <v>03431</v>
      </c>
      <c r="C23" s="818" t="s">
        <v>393</v>
      </c>
      <c r="D23" s="812" t="s">
        <v>15</v>
      </c>
      <c r="E23" s="815"/>
      <c r="F23" s="815"/>
      <c r="G23" s="815"/>
      <c r="H23" s="815"/>
      <c r="I23" s="815"/>
      <c r="J23" s="815"/>
      <c r="K23" s="815"/>
      <c r="L23" s="815"/>
      <c r="M23" s="815"/>
      <c r="N23" s="815">
        <f t="shared" si="2"/>
        <v>0</v>
      </c>
      <c r="O23" s="815">
        <f t="shared" si="3"/>
        <v>0</v>
      </c>
      <c r="P23" s="815">
        <f t="shared" si="4"/>
        <v>0</v>
      </c>
      <c r="Q23" s="815">
        <f t="shared" si="5"/>
        <v>0</v>
      </c>
      <c r="R23" s="815">
        <f t="shared" si="6"/>
        <v>0</v>
      </c>
      <c r="S23" s="815">
        <f t="shared" si="7"/>
        <v>0</v>
      </c>
      <c r="T23" s="815">
        <f t="shared" si="8"/>
        <v>0</v>
      </c>
      <c r="U23" s="815">
        <f t="shared" si="9"/>
        <v>0</v>
      </c>
      <c r="V23" s="815">
        <f t="shared" si="10"/>
        <v>0</v>
      </c>
      <c r="W23" s="815"/>
      <c r="X23" s="815"/>
      <c r="Y23" s="815"/>
      <c r="Z23" s="815"/>
      <c r="AA23" s="830">
        <f t="shared" si="11"/>
        <v>0</v>
      </c>
      <c r="AB23" s="830"/>
      <c r="AC23" s="830"/>
      <c r="AD23" s="830">
        <f>VLOOKUP(C23,'[3]MỦ TẠP'!$D$10:$AM$450,36,0)</f>
        <v>0</v>
      </c>
      <c r="AE23" s="831">
        <f t="shared" si="13"/>
        <v>0</v>
      </c>
      <c r="AF23" s="830"/>
      <c r="AG23" s="830"/>
      <c r="AH23" s="830">
        <f t="shared" si="12"/>
        <v>0</v>
      </c>
      <c r="AI23" s="830">
        <f>VLOOKUP(C23,'[3]CHẤM CÔNG '!$F$10:$AM$451,33,0)</f>
        <v>0</v>
      </c>
      <c r="AJ23" s="830">
        <f>VLOOKUP(C23,'[3]CHẤM CÔNG '!$F$10:$AM$451,34,0)</f>
        <v>0</v>
      </c>
      <c r="AK23" s="830">
        <f>SUM(AI23:AJ23,AN23)</f>
        <v>0</v>
      </c>
      <c r="AL23" s="830"/>
      <c r="AM23" s="830"/>
      <c r="AN23" s="830">
        <f>VLOOKUP(C23,'[3]CHẤM CÔNG '!$F$10:$AN$451,35,0)</f>
        <v>0</v>
      </c>
      <c r="AO23" s="830">
        <f>VLOOKUP(C23,'[3]CHẤM CÔNG '!$F$10:$AR$451,36,0)</f>
        <v>0</v>
      </c>
      <c r="AP23" s="830"/>
      <c r="AQ23" s="830"/>
      <c r="AR23" s="830"/>
      <c r="AS23" s="836"/>
      <c r="AT23" s="837">
        <f>VLOOKUP(C23,'[3]MỦ TẠP'!$D$10:$AO$450,38,0)</f>
        <v>0</v>
      </c>
      <c r="AU23" s="801" t="s">
        <v>2076</v>
      </c>
      <c r="AV23" s="833">
        <f t="shared" si="18"/>
        <v>0</v>
      </c>
      <c r="AX23" s="799">
        <f t="shared" ref="AX23:AX28" si="19">AW23/100</f>
        <v>0</v>
      </c>
    </row>
    <row r="24" spans="1:54" ht="15.75">
      <c r="A24" s="812">
        <v>12</v>
      </c>
      <c r="B24" s="813" t="str">
        <f>VLOOKUP(C24,'[3]DS CN MOI UP'!$B$10:$C$489,2,0)</f>
        <v>03432</v>
      </c>
      <c r="C24" s="818" t="s">
        <v>394</v>
      </c>
      <c r="D24" s="812" t="s">
        <v>15</v>
      </c>
      <c r="E24" s="815"/>
      <c r="F24" s="815"/>
      <c r="G24" s="815"/>
      <c r="H24" s="815"/>
      <c r="I24" s="815"/>
      <c r="J24" s="815"/>
      <c r="K24" s="815"/>
      <c r="L24" s="815"/>
      <c r="M24" s="815"/>
      <c r="N24" s="815">
        <f t="shared" si="2"/>
        <v>0</v>
      </c>
      <c r="O24" s="815">
        <f t="shared" si="3"/>
        <v>0</v>
      </c>
      <c r="P24" s="815">
        <f t="shared" si="4"/>
        <v>0</v>
      </c>
      <c r="Q24" s="815">
        <f t="shared" si="5"/>
        <v>0</v>
      </c>
      <c r="R24" s="815">
        <f t="shared" si="6"/>
        <v>0</v>
      </c>
      <c r="S24" s="815">
        <f t="shared" si="7"/>
        <v>0</v>
      </c>
      <c r="T24" s="815">
        <f t="shared" si="8"/>
        <v>0</v>
      </c>
      <c r="U24" s="815">
        <f t="shared" si="9"/>
        <v>0</v>
      </c>
      <c r="V24" s="815">
        <f t="shared" si="10"/>
        <v>0</v>
      </c>
      <c r="W24" s="815"/>
      <c r="X24" s="815"/>
      <c r="Y24" s="815"/>
      <c r="Z24" s="815"/>
      <c r="AA24" s="830">
        <f t="shared" si="11"/>
        <v>0</v>
      </c>
      <c r="AB24" s="830"/>
      <c r="AC24" s="830"/>
      <c r="AD24" s="830">
        <f>VLOOKUP(C24,'[3]MỦ TẠP'!$D$10:$AM$450,36,0)</f>
        <v>0</v>
      </c>
      <c r="AE24" s="831">
        <f t="shared" si="13"/>
        <v>0</v>
      </c>
      <c r="AF24" s="830"/>
      <c r="AG24" s="830"/>
      <c r="AH24" s="830">
        <f t="shared" si="12"/>
        <v>0</v>
      </c>
      <c r="AI24" s="830">
        <f>VLOOKUP(C24,'[3]CHẤM CÔNG '!$F$10:$AM$451,33,0)</f>
        <v>0</v>
      </c>
      <c r="AJ24" s="830">
        <f>VLOOKUP(C24,'[3]CHẤM CÔNG '!$F$10:$AM$451,34,0)</f>
        <v>0</v>
      </c>
      <c r="AK24" s="830"/>
      <c r="AL24" s="830"/>
      <c r="AM24" s="830"/>
      <c r="AN24" s="830">
        <f>VLOOKUP(C24,'[3]CHẤM CÔNG '!$F$10:$AN$451,35,0)</f>
        <v>0</v>
      </c>
      <c r="AO24" s="830">
        <f>VLOOKUP(C24,'[3]CHẤM CÔNG '!$F$10:$AR$451,36,0)</f>
        <v>0</v>
      </c>
      <c r="AP24" s="830"/>
      <c r="AQ24" s="830"/>
      <c r="AR24" s="830"/>
      <c r="AS24" s="836"/>
      <c r="AT24" s="837">
        <f>VLOOKUP(C24,'[3]MỦ TẠP'!$D$10:$AO$450,38,0)</f>
        <v>0</v>
      </c>
      <c r="AU24" s="801" t="s">
        <v>1961</v>
      </c>
      <c r="AV24" s="833">
        <f t="shared" si="18"/>
        <v>0.20035234474017699</v>
      </c>
      <c r="AW24" s="801">
        <v>20.035234474017699</v>
      </c>
      <c r="AX24" s="799">
        <f t="shared" si="19"/>
        <v>0.20035234474017699</v>
      </c>
    </row>
    <row r="25" spans="1:54" ht="15.75">
      <c r="A25" s="812">
        <v>13</v>
      </c>
      <c r="B25" s="813" t="str">
        <f>VLOOKUP(C25,'[3]DS CN MOI UP'!$B$10:$C$489,2,0)</f>
        <v>03433</v>
      </c>
      <c r="C25" s="818" t="s">
        <v>537</v>
      </c>
      <c r="D25" s="812" t="s">
        <v>15</v>
      </c>
      <c r="E25" s="815"/>
      <c r="F25" s="815"/>
      <c r="G25" s="815"/>
      <c r="H25" s="815"/>
      <c r="I25" s="815"/>
      <c r="J25" s="815"/>
      <c r="K25" s="815"/>
      <c r="L25" s="815"/>
      <c r="M25" s="815"/>
      <c r="N25" s="815">
        <f t="shared" si="2"/>
        <v>0</v>
      </c>
      <c r="O25" s="815">
        <f t="shared" si="3"/>
        <v>0</v>
      </c>
      <c r="P25" s="815">
        <f t="shared" si="4"/>
        <v>0</v>
      </c>
      <c r="Q25" s="815">
        <f t="shared" si="5"/>
        <v>0</v>
      </c>
      <c r="R25" s="815">
        <f t="shared" si="6"/>
        <v>0</v>
      </c>
      <c r="S25" s="815">
        <f t="shared" si="7"/>
        <v>0</v>
      </c>
      <c r="T25" s="815">
        <f t="shared" si="8"/>
        <v>0</v>
      </c>
      <c r="U25" s="815">
        <f t="shared" si="9"/>
        <v>0</v>
      </c>
      <c r="V25" s="815">
        <f t="shared" si="10"/>
        <v>0</v>
      </c>
      <c r="W25" s="815"/>
      <c r="X25" s="815"/>
      <c r="Y25" s="815"/>
      <c r="Z25" s="815"/>
      <c r="AA25" s="830">
        <f t="shared" si="11"/>
        <v>0</v>
      </c>
      <c r="AB25" s="830"/>
      <c r="AC25" s="830"/>
      <c r="AD25" s="830">
        <f>VLOOKUP(C25,'[3]MỦ TẠP'!$D$10:$AM$450,36,0)</f>
        <v>0</v>
      </c>
      <c r="AE25" s="831">
        <f t="shared" si="13"/>
        <v>0</v>
      </c>
      <c r="AF25" s="830"/>
      <c r="AG25" s="830"/>
      <c r="AH25" s="830">
        <f t="shared" si="12"/>
        <v>0</v>
      </c>
      <c r="AI25" s="830">
        <f>VLOOKUP(C25,'[3]CHẤM CÔNG '!$F$10:$AM$451,33,0)</f>
        <v>0</v>
      </c>
      <c r="AJ25" s="830">
        <f>VLOOKUP(C25,'[3]CHẤM CÔNG '!$F$10:$AM$451,34,0)</f>
        <v>0</v>
      </c>
      <c r="AK25" s="830"/>
      <c r="AL25" s="830"/>
      <c r="AM25" s="830"/>
      <c r="AN25" s="830">
        <f>VLOOKUP(C25,'[3]CHẤM CÔNG '!$F$10:$AN$451,35,0)</f>
        <v>0</v>
      </c>
      <c r="AO25" s="830">
        <f>VLOOKUP(C25,'[3]CHẤM CÔNG '!$F$10:$AR$451,36,0)</f>
        <v>0</v>
      </c>
      <c r="AP25" s="830"/>
      <c r="AQ25" s="830"/>
      <c r="AR25" s="830"/>
      <c r="AS25" s="836"/>
      <c r="AT25" s="837">
        <f>VLOOKUP(C25,'[3]MỦ TẠP'!$D$10:$AO$450,38,0)</f>
        <v>0</v>
      </c>
      <c r="AU25" s="801" t="s">
        <v>1962</v>
      </c>
      <c r="AV25" s="833">
        <f t="shared" ref="AV25:AV27" si="20">AX25</f>
        <v>0.40358918918918901</v>
      </c>
      <c r="AW25" s="801">
        <v>40.358918918918903</v>
      </c>
      <c r="AX25" s="799">
        <f t="shared" si="19"/>
        <v>0.40358918918918901</v>
      </c>
    </row>
    <row r="26" spans="1:54" ht="15.75">
      <c r="A26" s="812">
        <v>14</v>
      </c>
      <c r="B26" s="813" t="e">
        <f>VLOOKUP(C26,'[3]DS CN MOI UP'!$B$10:$C$489,2,0)</f>
        <v>#N/A</v>
      </c>
      <c r="C26" s="819" t="s">
        <v>1969</v>
      </c>
      <c r="D26" s="812" t="s">
        <v>15</v>
      </c>
      <c r="E26" s="815"/>
      <c r="F26" s="815"/>
      <c r="G26" s="815"/>
      <c r="H26" s="815"/>
      <c r="I26" s="815"/>
      <c r="J26" s="815"/>
      <c r="K26" s="815"/>
      <c r="L26" s="815"/>
      <c r="M26" s="815"/>
      <c r="N26" s="815">
        <f t="shared" si="2"/>
        <v>0</v>
      </c>
      <c r="O26" s="815">
        <f t="shared" si="3"/>
        <v>0</v>
      </c>
      <c r="P26" s="815">
        <f t="shared" si="4"/>
        <v>0</v>
      </c>
      <c r="Q26" s="815">
        <f t="shared" si="5"/>
        <v>0</v>
      </c>
      <c r="R26" s="815">
        <f t="shared" si="6"/>
        <v>0</v>
      </c>
      <c r="S26" s="815">
        <f t="shared" si="7"/>
        <v>0</v>
      </c>
      <c r="T26" s="815">
        <f t="shared" si="8"/>
        <v>0</v>
      </c>
      <c r="U26" s="815">
        <f t="shared" si="9"/>
        <v>0</v>
      </c>
      <c r="V26" s="815">
        <f t="shared" si="10"/>
        <v>0</v>
      </c>
      <c r="W26" s="815"/>
      <c r="X26" s="815"/>
      <c r="Y26" s="815"/>
      <c r="Z26" s="815"/>
      <c r="AA26" s="830">
        <f t="shared" si="11"/>
        <v>0</v>
      </c>
      <c r="AB26" s="830"/>
      <c r="AC26" s="830"/>
      <c r="AD26" s="830">
        <f>VLOOKUP(C26,'[3]MỦ TẠP'!$D$10:$AM$450,36,0)</f>
        <v>0</v>
      </c>
      <c r="AE26" s="831">
        <f t="shared" si="13"/>
        <v>0</v>
      </c>
      <c r="AF26" s="830"/>
      <c r="AG26" s="830"/>
      <c r="AH26" s="830">
        <f t="shared" si="12"/>
        <v>0</v>
      </c>
      <c r="AI26" s="830">
        <f>VLOOKUP(C26,'[3]CHẤM CÔNG '!$F$10:$AM$451,33,0)</f>
        <v>0</v>
      </c>
      <c r="AJ26" s="830">
        <f>VLOOKUP(C26,'[3]CHẤM CÔNG '!$F$10:$AM$451,34,0)</f>
        <v>0</v>
      </c>
      <c r="AK26" s="830"/>
      <c r="AL26" s="830"/>
      <c r="AM26" s="830"/>
      <c r="AN26" s="830">
        <f>VLOOKUP(C26,'[3]CHẤM CÔNG '!$F$10:$AN$451,35,0)</f>
        <v>0</v>
      </c>
      <c r="AO26" s="830">
        <f>VLOOKUP(C26,'[3]CHẤM CÔNG '!$F$10:$AR$451,36,0)</f>
        <v>0</v>
      </c>
      <c r="AP26" s="830"/>
      <c r="AQ26" s="830"/>
      <c r="AR26" s="830"/>
      <c r="AS26" s="836"/>
      <c r="AT26" s="837">
        <f>VLOOKUP(C26,'[3]MỦ TẠP'!$D$10:$AO$450,38,0)</f>
        <v>0</v>
      </c>
      <c r="AU26" s="801" t="s">
        <v>1963</v>
      </c>
      <c r="AV26" s="833">
        <f t="shared" si="20"/>
        <v>0.51981754385964896</v>
      </c>
      <c r="AW26" s="801">
        <v>51.981754385964898</v>
      </c>
      <c r="AX26" s="799">
        <f t="shared" si="19"/>
        <v>0.51981754385964896</v>
      </c>
    </row>
    <row r="27" spans="1:54" ht="15.75">
      <c r="A27" s="812">
        <v>15</v>
      </c>
      <c r="B27" s="813" t="str">
        <f>VLOOKUP(C27,'[3]DS CN MOI UP'!$B$10:$C$489,2,0)</f>
        <v>03435</v>
      </c>
      <c r="C27" s="818" t="s">
        <v>397</v>
      </c>
      <c r="D27" s="812" t="s">
        <v>15</v>
      </c>
      <c r="E27" s="815"/>
      <c r="F27" s="815"/>
      <c r="G27" s="815"/>
      <c r="H27" s="815"/>
      <c r="I27" s="815"/>
      <c r="J27" s="815"/>
      <c r="K27" s="815"/>
      <c r="L27" s="815"/>
      <c r="M27" s="815"/>
      <c r="N27" s="815">
        <f t="shared" si="2"/>
        <v>0</v>
      </c>
      <c r="O27" s="815">
        <f t="shared" si="3"/>
        <v>0</v>
      </c>
      <c r="P27" s="815">
        <f t="shared" si="4"/>
        <v>0</v>
      </c>
      <c r="Q27" s="815">
        <f t="shared" si="5"/>
        <v>0</v>
      </c>
      <c r="R27" s="815">
        <f t="shared" si="6"/>
        <v>0</v>
      </c>
      <c r="S27" s="815">
        <f t="shared" si="7"/>
        <v>0</v>
      </c>
      <c r="T27" s="815">
        <f t="shared" si="8"/>
        <v>0</v>
      </c>
      <c r="U27" s="815">
        <f t="shared" si="9"/>
        <v>0</v>
      </c>
      <c r="V27" s="815">
        <f t="shared" si="10"/>
        <v>0</v>
      </c>
      <c r="W27" s="815"/>
      <c r="X27" s="815"/>
      <c r="Y27" s="815"/>
      <c r="Z27" s="815"/>
      <c r="AA27" s="830">
        <f t="shared" si="11"/>
        <v>0</v>
      </c>
      <c r="AB27" s="830"/>
      <c r="AC27" s="830"/>
      <c r="AD27" s="830">
        <f>VLOOKUP(C27,'[3]MỦ TẠP'!$D$10:$AM$450,36,0)</f>
        <v>0</v>
      </c>
      <c r="AE27" s="831">
        <f t="shared" si="13"/>
        <v>0</v>
      </c>
      <c r="AF27" s="830"/>
      <c r="AG27" s="830"/>
      <c r="AH27" s="830">
        <f t="shared" si="12"/>
        <v>0</v>
      </c>
      <c r="AI27" s="830">
        <f>VLOOKUP(C27,'[3]CHẤM CÔNG '!$F$10:$AM$451,33,0)</f>
        <v>0</v>
      </c>
      <c r="AJ27" s="830">
        <f>VLOOKUP(C27,'[3]CHẤM CÔNG '!$F$10:$AM$451,34,0)</f>
        <v>0</v>
      </c>
      <c r="AK27" s="830"/>
      <c r="AL27" s="830"/>
      <c r="AM27" s="830"/>
      <c r="AN27" s="830">
        <f>VLOOKUP(C27,'[3]CHẤM CÔNG '!$F$10:$AN$451,35,0)</f>
        <v>0</v>
      </c>
      <c r="AO27" s="830">
        <f>VLOOKUP(C27,'[3]CHẤM CÔNG '!$F$10:$AR$451,36,0)</f>
        <v>0</v>
      </c>
      <c r="AP27" s="830"/>
      <c r="AQ27" s="830"/>
      <c r="AR27" s="830"/>
      <c r="AS27" s="836"/>
      <c r="AT27" s="837">
        <f>VLOOKUP(C27,'[3]MỦ TẠP'!$D$10:$AO$450,38,0)</f>
        <v>0</v>
      </c>
      <c r="AU27" s="801" t="s">
        <v>2077</v>
      </c>
      <c r="AV27" s="833">
        <f t="shared" si="20"/>
        <v>0</v>
      </c>
      <c r="AX27" s="799">
        <f t="shared" si="19"/>
        <v>0</v>
      </c>
    </row>
    <row r="28" spans="1:54" ht="15.75">
      <c r="A28" s="812">
        <v>16</v>
      </c>
      <c r="B28" s="813" t="e">
        <f>VLOOKUP(C28,'[3]DS CN MOI UP'!$B$10:$C$489,2,0)</f>
        <v>#N/A</v>
      </c>
      <c r="C28" s="818" t="s">
        <v>1938</v>
      </c>
      <c r="D28" s="812" t="s">
        <v>15</v>
      </c>
      <c r="E28" s="815"/>
      <c r="F28" s="815"/>
      <c r="G28" s="815"/>
      <c r="H28" s="815"/>
      <c r="I28" s="815"/>
      <c r="J28" s="815"/>
      <c r="K28" s="815"/>
      <c r="L28" s="815"/>
      <c r="M28" s="815"/>
      <c r="N28" s="815">
        <f t="shared" si="2"/>
        <v>0</v>
      </c>
      <c r="O28" s="815">
        <f t="shared" si="3"/>
        <v>0</v>
      </c>
      <c r="P28" s="815">
        <f t="shared" si="4"/>
        <v>0</v>
      </c>
      <c r="Q28" s="815">
        <f t="shared" si="5"/>
        <v>0</v>
      </c>
      <c r="R28" s="815">
        <f t="shared" si="6"/>
        <v>0</v>
      </c>
      <c r="S28" s="815">
        <f t="shared" si="7"/>
        <v>0</v>
      </c>
      <c r="T28" s="815">
        <f t="shared" si="8"/>
        <v>0</v>
      </c>
      <c r="U28" s="815">
        <f t="shared" si="9"/>
        <v>0</v>
      </c>
      <c r="V28" s="815">
        <f t="shared" si="10"/>
        <v>0</v>
      </c>
      <c r="W28" s="815"/>
      <c r="X28" s="815"/>
      <c r="Y28" s="815"/>
      <c r="Z28" s="815"/>
      <c r="AA28" s="830">
        <f t="shared" si="11"/>
        <v>0</v>
      </c>
      <c r="AB28" s="830"/>
      <c r="AC28" s="830"/>
      <c r="AD28" s="830">
        <f>VLOOKUP(C28,'[3]MỦ TẠP'!$D$10:$AM$450,36,0)</f>
        <v>0</v>
      </c>
      <c r="AE28" s="831">
        <f t="shared" si="13"/>
        <v>0</v>
      </c>
      <c r="AF28" s="830"/>
      <c r="AG28" s="830"/>
      <c r="AH28" s="830">
        <f t="shared" si="12"/>
        <v>0</v>
      </c>
      <c r="AI28" s="830">
        <f>VLOOKUP(C28,'[3]CHẤM CÔNG '!$F$10:$AM$451,33,0)</f>
        <v>0</v>
      </c>
      <c r="AJ28" s="830">
        <f>VLOOKUP(C28,'[3]CHẤM CÔNG '!$F$10:$AM$451,34,0)</f>
        <v>0</v>
      </c>
      <c r="AK28" s="830"/>
      <c r="AL28" s="830"/>
      <c r="AM28" s="830"/>
      <c r="AN28" s="830">
        <f>VLOOKUP(C28,'[3]CHẤM CÔNG '!$F$10:$AN$451,35,0)</f>
        <v>0</v>
      </c>
      <c r="AO28" s="830">
        <f>VLOOKUP(C28,'[3]CHẤM CÔNG '!$F$10:$AR$451,36,0)</f>
        <v>0</v>
      </c>
      <c r="AP28" s="830"/>
      <c r="AQ28" s="830"/>
      <c r="AR28" s="830"/>
      <c r="AS28" s="836"/>
      <c r="AT28" s="837">
        <f>VLOOKUP(C28,'[3]MỦ TẠP'!$D$10:$AO$450,38,0)</f>
        <v>0</v>
      </c>
      <c r="AX28" s="799">
        <f t="shared" si="19"/>
        <v>0</v>
      </c>
    </row>
    <row r="29" spans="1:54" ht="15.75">
      <c r="A29" s="812">
        <v>17</v>
      </c>
      <c r="B29" s="813" t="str">
        <f>VLOOKUP(C29,'[3]DS CN MOI UP'!$B$10:$C$489,2,0)</f>
        <v>03437</v>
      </c>
      <c r="C29" s="818" t="s">
        <v>399</v>
      </c>
      <c r="D29" s="812" t="s">
        <v>15</v>
      </c>
      <c r="E29" s="815"/>
      <c r="F29" s="815"/>
      <c r="G29" s="815"/>
      <c r="H29" s="815"/>
      <c r="I29" s="815"/>
      <c r="J29" s="815"/>
      <c r="K29" s="815"/>
      <c r="L29" s="815"/>
      <c r="M29" s="815"/>
      <c r="N29" s="815">
        <f t="shared" si="2"/>
        <v>0</v>
      </c>
      <c r="O29" s="815">
        <f t="shared" si="3"/>
        <v>0</v>
      </c>
      <c r="P29" s="815">
        <f t="shared" si="4"/>
        <v>0</v>
      </c>
      <c r="Q29" s="815">
        <f t="shared" si="5"/>
        <v>0</v>
      </c>
      <c r="R29" s="815">
        <f t="shared" si="6"/>
        <v>0</v>
      </c>
      <c r="S29" s="815">
        <f t="shared" si="7"/>
        <v>0</v>
      </c>
      <c r="T29" s="815">
        <f t="shared" si="8"/>
        <v>0</v>
      </c>
      <c r="U29" s="815">
        <f t="shared" si="9"/>
        <v>0</v>
      </c>
      <c r="V29" s="815">
        <f t="shared" si="10"/>
        <v>0</v>
      </c>
      <c r="W29" s="815"/>
      <c r="X29" s="815"/>
      <c r="Y29" s="815"/>
      <c r="Z29" s="815"/>
      <c r="AA29" s="830">
        <f t="shared" si="11"/>
        <v>0</v>
      </c>
      <c r="AB29" s="830"/>
      <c r="AC29" s="830"/>
      <c r="AD29" s="830">
        <f>VLOOKUP(C29,'[3]MỦ TẠP'!$D$10:$AM$450,36,0)</f>
        <v>0</v>
      </c>
      <c r="AE29" s="831">
        <f t="shared" si="13"/>
        <v>0</v>
      </c>
      <c r="AF29" s="830"/>
      <c r="AG29" s="830"/>
      <c r="AH29" s="830">
        <f t="shared" si="12"/>
        <v>0</v>
      </c>
      <c r="AI29" s="830">
        <f>VLOOKUP(C29,'[3]CHẤM CÔNG '!$F$10:$AM$451,33,0)</f>
        <v>0</v>
      </c>
      <c r="AJ29" s="830">
        <f>VLOOKUP(C29,'[3]CHẤM CÔNG '!$F$10:$AM$451,34,0)</f>
        <v>0</v>
      </c>
      <c r="AK29" s="830"/>
      <c r="AL29" s="830"/>
      <c r="AM29" s="830"/>
      <c r="AN29" s="830">
        <f>VLOOKUP(C29,'[3]CHẤM CÔNG '!$F$10:$AN$451,35,0)</f>
        <v>0</v>
      </c>
      <c r="AO29" s="830">
        <f>VLOOKUP(C29,'[3]CHẤM CÔNG '!$F$10:$AR$451,36,0)</f>
        <v>0</v>
      </c>
      <c r="AP29" s="830"/>
      <c r="AQ29" s="830"/>
      <c r="AR29" s="830"/>
      <c r="AS29" s="836"/>
      <c r="AT29" s="837">
        <f>VLOOKUP(C29,'[3]MỦ TẠP'!$D$10:$AO$450,38,0)</f>
        <v>0</v>
      </c>
    </row>
    <row r="30" spans="1:54" ht="15.75">
      <c r="A30" s="812">
        <v>18</v>
      </c>
      <c r="B30" s="813" t="str">
        <f>VLOOKUP(C30,'[3]DS CN MOI UP'!$B$10:$C$489,2,0)</f>
        <v>03438</v>
      </c>
      <c r="C30" s="819" t="s">
        <v>400</v>
      </c>
      <c r="D30" s="812" t="s">
        <v>15</v>
      </c>
      <c r="E30" s="815">
        <v>1</v>
      </c>
      <c r="F30" s="815"/>
      <c r="G30" s="815"/>
      <c r="H30" s="815"/>
      <c r="I30" s="815"/>
      <c r="J30" s="815"/>
      <c r="K30" s="815"/>
      <c r="L30" s="815"/>
      <c r="M30" s="815"/>
      <c r="N30" s="815">
        <f t="shared" si="2"/>
        <v>5.9999999999999885</v>
      </c>
      <c r="O30" s="815">
        <f t="shared" si="3"/>
        <v>0</v>
      </c>
      <c r="P30" s="815">
        <f t="shared" si="4"/>
        <v>0</v>
      </c>
      <c r="Q30" s="815">
        <f t="shared" si="5"/>
        <v>0</v>
      </c>
      <c r="R30" s="815">
        <f t="shared" si="6"/>
        <v>0</v>
      </c>
      <c r="S30" s="815">
        <f t="shared" si="7"/>
        <v>0</v>
      </c>
      <c r="T30" s="815">
        <f t="shared" si="8"/>
        <v>0</v>
      </c>
      <c r="U30" s="815">
        <f t="shared" si="9"/>
        <v>0</v>
      </c>
      <c r="V30" s="815">
        <f t="shared" si="10"/>
        <v>0</v>
      </c>
      <c r="W30" s="815"/>
      <c r="X30" s="815"/>
      <c r="Y30" s="815"/>
      <c r="Z30" s="815"/>
      <c r="AA30" s="830">
        <f t="shared" si="11"/>
        <v>5.9999999999999885</v>
      </c>
      <c r="AB30" s="830"/>
      <c r="AC30" s="830"/>
      <c r="AD30" s="830">
        <f>VLOOKUP(C30,'[3]MỦ TẠP'!$D$10:$AM$450,36,0)</f>
        <v>0</v>
      </c>
      <c r="AE30" s="831">
        <f t="shared" si="13"/>
        <v>0</v>
      </c>
      <c r="AF30" s="830"/>
      <c r="AG30" s="830"/>
      <c r="AH30" s="830">
        <f t="shared" si="12"/>
        <v>0</v>
      </c>
      <c r="AI30" s="830">
        <f>VLOOKUP(C30,'[3]CHẤM CÔNG '!$F$10:$AM$451,33,0)</f>
        <v>0</v>
      </c>
      <c r="AJ30" s="830">
        <f>VLOOKUP(C30,'[3]CHẤM CÔNG '!$F$10:$AM$451,34,0)</f>
        <v>0</v>
      </c>
      <c r="AK30" s="830"/>
      <c r="AL30" s="830"/>
      <c r="AM30" s="830"/>
      <c r="AN30" s="830">
        <f>VLOOKUP(C30,'[3]CHẤM CÔNG '!$F$10:$AN$451,35,0)</f>
        <v>0</v>
      </c>
      <c r="AO30" s="830">
        <f>VLOOKUP(C30,'[3]CHẤM CÔNG '!$F$10:$AR$451,36,0)</f>
        <v>0</v>
      </c>
      <c r="AP30" s="830"/>
      <c r="AQ30" s="830"/>
      <c r="AR30" s="830"/>
      <c r="AS30" s="836"/>
      <c r="AT30" s="837">
        <f>VLOOKUP(C30,'[3]MỦ TẠP'!$D$10:$AO$450,38,0)</f>
        <v>0</v>
      </c>
    </row>
    <row r="31" spans="1:54" ht="15.75">
      <c r="A31" s="812">
        <v>19</v>
      </c>
      <c r="B31" s="813" t="str">
        <f>VLOOKUP(C31,'[3]DS CN MOI UP'!$B$10:$C$489,2,0)</f>
        <v>03439</v>
      </c>
      <c r="C31" s="819" t="s">
        <v>401</v>
      </c>
      <c r="D31" s="812" t="s">
        <v>15</v>
      </c>
      <c r="E31" s="815"/>
      <c r="F31" s="815"/>
      <c r="G31" s="815"/>
      <c r="H31" s="815"/>
      <c r="I31" s="815"/>
      <c r="J31" s="815"/>
      <c r="K31" s="815"/>
      <c r="L31" s="815"/>
      <c r="M31" s="815"/>
      <c r="N31" s="815">
        <f t="shared" si="2"/>
        <v>0</v>
      </c>
      <c r="O31" s="815">
        <f t="shared" si="3"/>
        <v>0</v>
      </c>
      <c r="P31" s="815">
        <f t="shared" si="4"/>
        <v>0</v>
      </c>
      <c r="Q31" s="815">
        <f t="shared" si="5"/>
        <v>0</v>
      </c>
      <c r="R31" s="815">
        <f t="shared" si="6"/>
        <v>0</v>
      </c>
      <c r="S31" s="815">
        <f t="shared" si="7"/>
        <v>0</v>
      </c>
      <c r="T31" s="815">
        <f t="shared" si="8"/>
        <v>0</v>
      </c>
      <c r="U31" s="815">
        <f t="shared" si="9"/>
        <v>0</v>
      </c>
      <c r="V31" s="815">
        <f t="shared" si="10"/>
        <v>0</v>
      </c>
      <c r="W31" s="815"/>
      <c r="X31" s="815"/>
      <c r="Y31" s="815"/>
      <c r="Z31" s="815"/>
      <c r="AA31" s="830">
        <f t="shared" si="11"/>
        <v>0</v>
      </c>
      <c r="AB31" s="830"/>
      <c r="AC31" s="830"/>
      <c r="AD31" s="830">
        <f>VLOOKUP(C31,'[3]MỦ TẠP'!$D$10:$AM$450,36,0)</f>
        <v>0</v>
      </c>
      <c r="AE31" s="831">
        <f t="shared" si="13"/>
        <v>0</v>
      </c>
      <c r="AF31" s="830"/>
      <c r="AG31" s="830"/>
      <c r="AH31" s="830">
        <f t="shared" si="12"/>
        <v>0</v>
      </c>
      <c r="AI31" s="830">
        <f>VLOOKUP(C31,'[3]CHẤM CÔNG '!$F$10:$AM$451,33,0)</f>
        <v>0</v>
      </c>
      <c r="AJ31" s="830">
        <f>VLOOKUP(C31,'[3]CHẤM CÔNG '!$F$10:$AM$451,34,0)</f>
        <v>0</v>
      </c>
      <c r="AK31" s="830"/>
      <c r="AL31" s="830"/>
      <c r="AM31" s="830"/>
      <c r="AN31" s="830">
        <f>VLOOKUP(C31,'[3]CHẤM CÔNG '!$F$10:$AN$451,35,0)</f>
        <v>0</v>
      </c>
      <c r="AO31" s="830">
        <f>VLOOKUP(C31,'[3]CHẤM CÔNG '!$F$10:$AR$451,36,0)</f>
        <v>0</v>
      </c>
      <c r="AP31" s="830"/>
      <c r="AQ31" s="830"/>
      <c r="AR31" s="830"/>
      <c r="AS31" s="836"/>
      <c r="AT31" s="837">
        <f>VLOOKUP(C31,'[3]MỦ TẠP'!$D$10:$AO$450,38,0)</f>
        <v>0</v>
      </c>
    </row>
    <row r="32" spans="1:54" ht="15.75">
      <c r="A32" s="812">
        <v>20</v>
      </c>
      <c r="B32" s="813" t="str">
        <f>VLOOKUP(C32,'[3]DS CN MOI UP'!$B$10:$C$489,2,0)</f>
        <v>02429</v>
      </c>
      <c r="C32" s="819" t="s">
        <v>402</v>
      </c>
      <c r="D32" s="812" t="s">
        <v>15</v>
      </c>
      <c r="E32" s="815"/>
      <c r="F32" s="815"/>
      <c r="G32" s="815"/>
      <c r="H32" s="815"/>
      <c r="I32" s="815"/>
      <c r="J32" s="815"/>
      <c r="K32" s="815"/>
      <c r="L32" s="815"/>
      <c r="M32" s="815"/>
      <c r="N32" s="815">
        <f t="shared" si="2"/>
        <v>0</v>
      </c>
      <c r="O32" s="815">
        <f t="shared" si="3"/>
        <v>0</v>
      </c>
      <c r="P32" s="815">
        <f t="shared" si="4"/>
        <v>0</v>
      </c>
      <c r="Q32" s="815">
        <f t="shared" si="5"/>
        <v>0</v>
      </c>
      <c r="R32" s="815">
        <f t="shared" si="6"/>
        <v>0</v>
      </c>
      <c r="S32" s="815">
        <f t="shared" si="7"/>
        <v>0</v>
      </c>
      <c r="T32" s="815">
        <f t="shared" si="8"/>
        <v>0</v>
      </c>
      <c r="U32" s="815">
        <f t="shared" si="9"/>
        <v>0</v>
      </c>
      <c r="V32" s="815">
        <f t="shared" si="10"/>
        <v>0</v>
      </c>
      <c r="W32" s="815"/>
      <c r="X32" s="815"/>
      <c r="Y32" s="815"/>
      <c r="Z32" s="815"/>
      <c r="AA32" s="830">
        <f t="shared" si="11"/>
        <v>0</v>
      </c>
      <c r="AB32" s="830"/>
      <c r="AC32" s="830"/>
      <c r="AD32" s="830">
        <f>VLOOKUP(C32,'[3]MỦ TẠP'!$D$10:$AM$450,36,0)</f>
        <v>0</v>
      </c>
      <c r="AE32" s="831">
        <f t="shared" si="13"/>
        <v>0</v>
      </c>
      <c r="AF32" s="830"/>
      <c r="AG32" s="830"/>
      <c r="AH32" s="830">
        <f t="shared" si="12"/>
        <v>0</v>
      </c>
      <c r="AI32" s="830">
        <f>VLOOKUP(C32,'[3]CHẤM CÔNG '!$F$10:$AM$451,33,0)</f>
        <v>0</v>
      </c>
      <c r="AJ32" s="830">
        <f>VLOOKUP(C32,'[3]CHẤM CÔNG '!$F$10:$AM$451,34,0)</f>
        <v>0</v>
      </c>
      <c r="AK32" s="830"/>
      <c r="AL32" s="830"/>
      <c r="AM32" s="830"/>
      <c r="AN32" s="830">
        <f>VLOOKUP(C32,'[3]CHẤM CÔNG '!$F$10:$AN$451,35,0)</f>
        <v>0</v>
      </c>
      <c r="AO32" s="830">
        <f>VLOOKUP(C32,'[3]CHẤM CÔNG '!$F$10:$AR$451,36,0)</f>
        <v>0</v>
      </c>
      <c r="AP32" s="830"/>
      <c r="AQ32" s="830"/>
      <c r="AR32" s="830"/>
      <c r="AS32" s="836"/>
      <c r="AT32" s="837">
        <f>VLOOKUP(C32,'[3]MỦ TẠP'!$D$10:$AO$450,38,0)</f>
        <v>0</v>
      </c>
    </row>
    <row r="33" spans="1:47" ht="15.75">
      <c r="A33" s="812">
        <v>21</v>
      </c>
      <c r="B33" s="813" t="e">
        <f>VLOOKUP(C33,'[3]DS CN MOI UP'!$B$10:$C$489,2,0)</f>
        <v>#N/A</v>
      </c>
      <c r="C33" s="819" t="s">
        <v>1970</v>
      </c>
      <c r="D33" s="812" t="s">
        <v>15</v>
      </c>
      <c r="E33" s="815"/>
      <c r="F33" s="815"/>
      <c r="G33" s="815"/>
      <c r="H33" s="815"/>
      <c r="I33" s="815"/>
      <c r="J33" s="815"/>
      <c r="K33" s="815"/>
      <c r="L33" s="815"/>
      <c r="M33" s="815"/>
      <c r="N33" s="815">
        <f t="shared" si="2"/>
        <v>0</v>
      </c>
      <c r="O33" s="815">
        <f t="shared" si="3"/>
        <v>0</v>
      </c>
      <c r="P33" s="815">
        <f t="shared" si="4"/>
        <v>0</v>
      </c>
      <c r="Q33" s="815">
        <f t="shared" si="5"/>
        <v>0</v>
      </c>
      <c r="R33" s="815">
        <f t="shared" si="6"/>
        <v>0</v>
      </c>
      <c r="S33" s="815">
        <f t="shared" si="7"/>
        <v>0</v>
      </c>
      <c r="T33" s="815">
        <f t="shared" si="8"/>
        <v>0</v>
      </c>
      <c r="U33" s="815">
        <f t="shared" si="9"/>
        <v>0</v>
      </c>
      <c r="V33" s="815">
        <f t="shared" si="10"/>
        <v>0</v>
      </c>
      <c r="W33" s="815"/>
      <c r="X33" s="815"/>
      <c r="Y33" s="815"/>
      <c r="Z33" s="815"/>
      <c r="AA33" s="830">
        <f t="shared" si="11"/>
        <v>0</v>
      </c>
      <c r="AB33" s="830"/>
      <c r="AC33" s="830"/>
      <c r="AD33" s="830">
        <f>VLOOKUP(C33,'[3]MỦ TẠP'!$D$10:$AM$450,36,0)</f>
        <v>0</v>
      </c>
      <c r="AE33" s="831">
        <f t="shared" si="13"/>
        <v>0</v>
      </c>
      <c r="AF33" s="830"/>
      <c r="AG33" s="830"/>
      <c r="AH33" s="830">
        <f t="shared" si="12"/>
        <v>0</v>
      </c>
      <c r="AI33" s="830">
        <f>VLOOKUP(C33,'[3]CHẤM CÔNG '!$F$10:$AM$451,33,0)</f>
        <v>0</v>
      </c>
      <c r="AJ33" s="830">
        <f>VLOOKUP(C33,'[3]CHẤM CÔNG '!$F$10:$AM$451,34,0)</f>
        <v>0</v>
      </c>
      <c r="AK33" s="830"/>
      <c r="AL33" s="830"/>
      <c r="AM33" s="830"/>
      <c r="AN33" s="830">
        <f>VLOOKUP(C33,'[3]CHẤM CÔNG '!$F$10:$AN$451,35,0)</f>
        <v>0</v>
      </c>
      <c r="AO33" s="830">
        <f>VLOOKUP(C33,'[3]CHẤM CÔNG '!$F$10:$AR$451,36,0)</f>
        <v>0</v>
      </c>
      <c r="AP33" s="830"/>
      <c r="AQ33" s="830"/>
      <c r="AR33" s="830"/>
      <c r="AS33" s="836"/>
      <c r="AT33" s="837">
        <f>VLOOKUP(C33,'[3]MỦ TẠP'!$D$10:$AO$450,38,0)</f>
        <v>0</v>
      </c>
    </row>
    <row r="34" spans="1:47" ht="15.75">
      <c r="A34" s="812">
        <v>22</v>
      </c>
      <c r="B34" s="813" t="str">
        <f>VLOOKUP(C34,'[3]DS CN MOI UP'!$B$10:$C$489,2,0)</f>
        <v>03441</v>
      </c>
      <c r="C34" s="819" t="s">
        <v>404</v>
      </c>
      <c r="D34" s="812" t="s">
        <v>15</v>
      </c>
      <c r="E34" s="815"/>
      <c r="F34" s="815"/>
      <c r="G34" s="815"/>
      <c r="H34" s="815"/>
      <c r="I34" s="815"/>
      <c r="J34" s="815"/>
      <c r="K34" s="815"/>
      <c r="L34" s="815"/>
      <c r="M34" s="815"/>
      <c r="N34" s="815">
        <f t="shared" si="2"/>
        <v>0</v>
      </c>
      <c r="O34" s="815">
        <f t="shared" si="3"/>
        <v>0</v>
      </c>
      <c r="P34" s="815">
        <f t="shared" si="4"/>
        <v>0</v>
      </c>
      <c r="Q34" s="815">
        <f t="shared" si="5"/>
        <v>0</v>
      </c>
      <c r="R34" s="815">
        <f t="shared" si="6"/>
        <v>0</v>
      </c>
      <c r="S34" s="815">
        <f t="shared" si="7"/>
        <v>0</v>
      </c>
      <c r="T34" s="815">
        <f t="shared" si="8"/>
        <v>0</v>
      </c>
      <c r="U34" s="815">
        <f t="shared" si="9"/>
        <v>0</v>
      </c>
      <c r="V34" s="815">
        <f t="shared" si="10"/>
        <v>0</v>
      </c>
      <c r="W34" s="815"/>
      <c r="X34" s="815"/>
      <c r="Y34" s="815"/>
      <c r="Z34" s="815"/>
      <c r="AA34" s="830">
        <f t="shared" si="11"/>
        <v>0</v>
      </c>
      <c r="AB34" s="830"/>
      <c r="AC34" s="830"/>
      <c r="AD34" s="830">
        <f>VLOOKUP(C34,'[3]MỦ TẠP'!$D$10:$AM$450,36,0)</f>
        <v>0</v>
      </c>
      <c r="AE34" s="831">
        <f t="shared" si="13"/>
        <v>0</v>
      </c>
      <c r="AF34" s="830"/>
      <c r="AG34" s="830"/>
      <c r="AH34" s="830">
        <f t="shared" si="12"/>
        <v>0</v>
      </c>
      <c r="AI34" s="830">
        <f>VLOOKUP(C34,'[3]CHẤM CÔNG '!$F$10:$AM$451,33,0)</f>
        <v>0</v>
      </c>
      <c r="AJ34" s="830">
        <f>VLOOKUP(C34,'[3]CHẤM CÔNG '!$F$10:$AM$451,34,0)</f>
        <v>0</v>
      </c>
      <c r="AK34" s="830"/>
      <c r="AL34" s="830"/>
      <c r="AM34" s="830"/>
      <c r="AN34" s="830">
        <f>VLOOKUP(C34,'[3]CHẤM CÔNG '!$F$10:$AN$451,35,0)</f>
        <v>0</v>
      </c>
      <c r="AO34" s="830">
        <f>VLOOKUP(C34,'[3]CHẤM CÔNG '!$F$10:$AR$451,36,0)</f>
        <v>0</v>
      </c>
      <c r="AP34" s="830"/>
      <c r="AQ34" s="830"/>
      <c r="AR34" s="830"/>
      <c r="AS34" s="836"/>
      <c r="AT34" s="837">
        <f>VLOOKUP(C34,'[3]MỦ TẠP'!$D$10:$AO$450,38,0)</f>
        <v>0</v>
      </c>
    </row>
    <row r="35" spans="1:47" ht="15.75">
      <c r="A35" s="812">
        <v>23</v>
      </c>
      <c r="B35" s="813" t="s">
        <v>2078</v>
      </c>
      <c r="C35" s="819" t="s">
        <v>664</v>
      </c>
      <c r="D35" s="812" t="s">
        <v>15</v>
      </c>
      <c r="E35" s="815"/>
      <c r="F35" s="815"/>
      <c r="G35" s="815"/>
      <c r="H35" s="815"/>
      <c r="I35" s="815"/>
      <c r="J35" s="815"/>
      <c r="K35" s="815"/>
      <c r="L35" s="815"/>
      <c r="M35" s="815"/>
      <c r="N35" s="815">
        <f t="shared" si="2"/>
        <v>0</v>
      </c>
      <c r="O35" s="815">
        <f t="shared" si="3"/>
        <v>0</v>
      </c>
      <c r="P35" s="815">
        <f t="shared" si="4"/>
        <v>0</v>
      </c>
      <c r="Q35" s="815">
        <f t="shared" si="5"/>
        <v>0</v>
      </c>
      <c r="R35" s="815">
        <f t="shared" si="6"/>
        <v>0</v>
      </c>
      <c r="S35" s="815">
        <f t="shared" si="7"/>
        <v>0</v>
      </c>
      <c r="T35" s="815">
        <f t="shared" si="8"/>
        <v>0</v>
      </c>
      <c r="U35" s="815">
        <f t="shared" si="9"/>
        <v>0</v>
      </c>
      <c r="V35" s="815">
        <f t="shared" si="10"/>
        <v>0</v>
      </c>
      <c r="W35" s="815"/>
      <c r="X35" s="815"/>
      <c r="Y35" s="815"/>
      <c r="Z35" s="815"/>
      <c r="AA35" s="830">
        <f t="shared" si="11"/>
        <v>0</v>
      </c>
      <c r="AB35" s="830"/>
      <c r="AC35" s="830"/>
      <c r="AD35" s="830">
        <f>VLOOKUP(C35,'[3]MỦ TẠP'!$D$10:$AM$450,36,0)</f>
        <v>0</v>
      </c>
      <c r="AE35" s="831">
        <f t="shared" si="13"/>
        <v>0</v>
      </c>
      <c r="AF35" s="830"/>
      <c r="AG35" s="830"/>
      <c r="AH35" s="830">
        <f t="shared" si="12"/>
        <v>0</v>
      </c>
      <c r="AI35" s="830">
        <f>VLOOKUP(C35,'[3]CHẤM CÔNG '!$F$10:$AM$451,33,0)</f>
        <v>0</v>
      </c>
      <c r="AJ35" s="830">
        <f>VLOOKUP(C35,'[3]CHẤM CÔNG '!$F$10:$AM$451,34,0)</f>
        <v>0</v>
      </c>
      <c r="AK35" s="830">
        <f>SUM(AI35:AJ35,AN35)</f>
        <v>0</v>
      </c>
      <c r="AL35" s="830"/>
      <c r="AM35" s="830"/>
      <c r="AN35" s="830">
        <f>VLOOKUP(C35,'[3]CHẤM CÔNG '!$F$10:$AN$451,35,0)</f>
        <v>0</v>
      </c>
      <c r="AO35" s="830">
        <f>VLOOKUP(C35,'[3]CHẤM CÔNG '!$F$10:$AR$451,36,0)</f>
        <v>0</v>
      </c>
      <c r="AP35" s="830"/>
      <c r="AQ35" s="830"/>
      <c r="AR35" s="830"/>
      <c r="AS35" s="836"/>
      <c r="AT35" s="837">
        <f>VLOOKUP(C35,'[3]MỦ TẠP'!$D$10:$AO$450,38,0)</f>
        <v>0</v>
      </c>
    </row>
    <row r="36" spans="1:47" ht="15.75">
      <c r="A36" s="812">
        <v>24</v>
      </c>
      <c r="B36" s="813" t="str">
        <f>VLOOKUP(C36,'[3]DS CN MOI UP'!$B$10:$C$489,2,0)</f>
        <v>03442</v>
      </c>
      <c r="C36" s="819" t="s">
        <v>406</v>
      </c>
      <c r="D36" s="812" t="s">
        <v>15</v>
      </c>
      <c r="E36" s="815"/>
      <c r="F36" s="815"/>
      <c r="G36" s="815"/>
      <c r="H36" s="815"/>
      <c r="I36" s="815"/>
      <c r="J36" s="815"/>
      <c r="K36" s="815"/>
      <c r="L36" s="815"/>
      <c r="M36" s="815"/>
      <c r="N36" s="815">
        <f t="shared" si="2"/>
        <v>0</v>
      </c>
      <c r="O36" s="815">
        <f t="shared" si="3"/>
        <v>0</v>
      </c>
      <c r="P36" s="815">
        <f t="shared" si="4"/>
        <v>0</v>
      </c>
      <c r="Q36" s="815">
        <f t="shared" si="5"/>
        <v>0</v>
      </c>
      <c r="R36" s="815">
        <f t="shared" si="6"/>
        <v>0</v>
      </c>
      <c r="S36" s="815">
        <f t="shared" si="7"/>
        <v>0</v>
      </c>
      <c r="T36" s="815">
        <f t="shared" si="8"/>
        <v>0</v>
      </c>
      <c r="U36" s="815">
        <f t="shared" si="9"/>
        <v>0</v>
      </c>
      <c r="V36" s="815">
        <f t="shared" si="10"/>
        <v>0</v>
      </c>
      <c r="W36" s="815"/>
      <c r="X36" s="815"/>
      <c r="Y36" s="815"/>
      <c r="Z36" s="815"/>
      <c r="AA36" s="830">
        <f t="shared" si="11"/>
        <v>0</v>
      </c>
      <c r="AB36" s="830"/>
      <c r="AC36" s="830"/>
      <c r="AD36" s="830">
        <f>VLOOKUP(C36,'[3]MỦ TẠP'!$D$10:$AM$450,36,0)</f>
        <v>0</v>
      </c>
      <c r="AE36" s="831">
        <f t="shared" si="13"/>
        <v>0</v>
      </c>
      <c r="AF36" s="830"/>
      <c r="AG36" s="830"/>
      <c r="AH36" s="830">
        <f t="shared" si="12"/>
        <v>0</v>
      </c>
      <c r="AI36" s="830">
        <f>VLOOKUP(C36,'[3]CHẤM CÔNG '!$F$10:$AM$451,33,0)</f>
        <v>0</v>
      </c>
      <c r="AJ36" s="830">
        <f>VLOOKUP(C36,'[3]CHẤM CÔNG '!$F$10:$AM$451,34,0)</f>
        <v>0</v>
      </c>
      <c r="AK36" s="830"/>
      <c r="AL36" s="830"/>
      <c r="AM36" s="830"/>
      <c r="AN36" s="830">
        <f>VLOOKUP(C36,'[3]CHẤM CÔNG '!$F$10:$AN$451,35,0)</f>
        <v>0</v>
      </c>
      <c r="AO36" s="830">
        <f>VLOOKUP(C36,'[3]CHẤM CÔNG '!$F$10:$AR$451,36,0)</f>
        <v>0</v>
      </c>
      <c r="AP36" s="830"/>
      <c r="AQ36" s="830"/>
      <c r="AR36" s="830"/>
      <c r="AS36" s="836"/>
      <c r="AT36" s="837">
        <f>VLOOKUP(C36,'[3]MỦ TẠP'!$D$10:$AO$450,38,0)</f>
        <v>0</v>
      </c>
    </row>
    <row r="37" spans="1:47" ht="15.75">
      <c r="A37" s="812">
        <v>25</v>
      </c>
      <c r="B37" s="813" t="str">
        <f>VLOOKUP(C37,'[3]DS CN MOI UP'!$B$10:$C$489,2,0)</f>
        <v>03443</v>
      </c>
      <c r="C37" s="819" t="s">
        <v>407</v>
      </c>
      <c r="D37" s="812" t="s">
        <v>15</v>
      </c>
      <c r="E37" s="815"/>
      <c r="F37" s="815"/>
      <c r="G37" s="815"/>
      <c r="H37" s="815"/>
      <c r="I37" s="815"/>
      <c r="J37" s="815"/>
      <c r="K37" s="815"/>
      <c r="L37" s="815"/>
      <c r="M37" s="815"/>
      <c r="N37" s="815">
        <f t="shared" si="2"/>
        <v>0</v>
      </c>
      <c r="O37" s="815">
        <f t="shared" si="3"/>
        <v>0</v>
      </c>
      <c r="P37" s="815">
        <f t="shared" si="4"/>
        <v>0</v>
      </c>
      <c r="Q37" s="815">
        <f t="shared" si="5"/>
        <v>0</v>
      </c>
      <c r="R37" s="815">
        <f t="shared" si="6"/>
        <v>0</v>
      </c>
      <c r="S37" s="815">
        <f t="shared" si="7"/>
        <v>0</v>
      </c>
      <c r="T37" s="815">
        <f t="shared" si="8"/>
        <v>0</v>
      </c>
      <c r="U37" s="815">
        <f t="shared" si="9"/>
        <v>0</v>
      </c>
      <c r="V37" s="815">
        <f t="shared" si="10"/>
        <v>0</v>
      </c>
      <c r="W37" s="815"/>
      <c r="X37" s="815"/>
      <c r="Y37" s="815"/>
      <c r="Z37" s="815"/>
      <c r="AA37" s="830">
        <f t="shared" si="11"/>
        <v>0</v>
      </c>
      <c r="AB37" s="830"/>
      <c r="AC37" s="830"/>
      <c r="AD37" s="830">
        <f>VLOOKUP(C37,'[3]MỦ TẠP'!$D$10:$AM$450,36,0)</f>
        <v>0</v>
      </c>
      <c r="AE37" s="831">
        <f t="shared" si="13"/>
        <v>0</v>
      </c>
      <c r="AF37" s="830"/>
      <c r="AG37" s="830"/>
      <c r="AH37" s="830">
        <f t="shared" si="12"/>
        <v>0</v>
      </c>
      <c r="AI37" s="830">
        <f>VLOOKUP(C37,'[3]CHẤM CÔNG '!$F$10:$AM$451,33,0)</f>
        <v>0</v>
      </c>
      <c r="AJ37" s="830">
        <f>VLOOKUP(C37,'[3]CHẤM CÔNG '!$F$10:$AM$451,34,0)</f>
        <v>0</v>
      </c>
      <c r="AK37" s="830"/>
      <c r="AL37" s="830"/>
      <c r="AM37" s="830"/>
      <c r="AN37" s="830">
        <f>VLOOKUP(C37,'[3]CHẤM CÔNG '!$F$10:$AN$451,35,0)</f>
        <v>0</v>
      </c>
      <c r="AO37" s="830">
        <f>VLOOKUP(C37,'[3]CHẤM CÔNG '!$F$10:$AR$451,36,0)</f>
        <v>0</v>
      </c>
      <c r="AP37" s="830"/>
      <c r="AQ37" s="830"/>
      <c r="AR37" s="830"/>
      <c r="AS37" s="836"/>
      <c r="AT37" s="837">
        <f>VLOOKUP(C37,'[3]MỦ TẠP'!$D$10:$AO$450,38,0)</f>
        <v>0</v>
      </c>
    </row>
    <row r="38" spans="1:47" ht="15.75">
      <c r="A38" s="812">
        <v>26</v>
      </c>
      <c r="B38" s="813" t="str">
        <f>VLOOKUP(C38,'[3]DS CN MOI UP'!$B$10:$C$489,2,0)</f>
        <v>03444</v>
      </c>
      <c r="C38" s="819" t="s">
        <v>408</v>
      </c>
      <c r="D38" s="812" t="s">
        <v>15</v>
      </c>
      <c r="E38" s="815"/>
      <c r="F38" s="815"/>
      <c r="G38" s="815"/>
      <c r="H38" s="815"/>
      <c r="I38" s="815"/>
      <c r="J38" s="815"/>
      <c r="K38" s="815"/>
      <c r="L38" s="815"/>
      <c r="M38" s="815"/>
      <c r="N38" s="815">
        <f t="shared" si="2"/>
        <v>0</v>
      </c>
      <c r="O38" s="815">
        <f t="shared" si="3"/>
        <v>0</v>
      </c>
      <c r="P38" s="815">
        <f t="shared" si="4"/>
        <v>0</v>
      </c>
      <c r="Q38" s="815">
        <f t="shared" si="5"/>
        <v>0</v>
      </c>
      <c r="R38" s="815">
        <f t="shared" si="6"/>
        <v>0</v>
      </c>
      <c r="S38" s="815">
        <f t="shared" si="7"/>
        <v>0</v>
      </c>
      <c r="T38" s="815">
        <f t="shared" si="8"/>
        <v>0</v>
      </c>
      <c r="U38" s="815">
        <f t="shared" si="9"/>
        <v>0</v>
      </c>
      <c r="V38" s="815">
        <f t="shared" si="10"/>
        <v>0</v>
      </c>
      <c r="W38" s="815"/>
      <c r="X38" s="815"/>
      <c r="Y38" s="815"/>
      <c r="Z38" s="815"/>
      <c r="AA38" s="830">
        <f t="shared" si="11"/>
        <v>0</v>
      </c>
      <c r="AB38" s="830"/>
      <c r="AC38" s="830"/>
      <c r="AD38" s="830">
        <f>VLOOKUP(C38,'[3]MỦ TẠP'!$D$10:$AM$450,36,0)</f>
        <v>0</v>
      </c>
      <c r="AE38" s="831">
        <f t="shared" si="13"/>
        <v>0</v>
      </c>
      <c r="AF38" s="830"/>
      <c r="AG38" s="830"/>
      <c r="AH38" s="830">
        <f t="shared" si="12"/>
        <v>0</v>
      </c>
      <c r="AI38" s="830">
        <f>VLOOKUP(C38,'[3]CHẤM CÔNG '!$F$10:$AM$451,33,0)</f>
        <v>0</v>
      </c>
      <c r="AJ38" s="830">
        <f>VLOOKUP(C38,'[3]CHẤM CÔNG '!$F$10:$AM$451,34,0)</f>
        <v>0</v>
      </c>
      <c r="AK38" s="830"/>
      <c r="AL38" s="830"/>
      <c r="AM38" s="830"/>
      <c r="AN38" s="830">
        <f>VLOOKUP(C38,'[3]CHẤM CÔNG '!$F$10:$AN$451,35,0)</f>
        <v>0</v>
      </c>
      <c r="AO38" s="830">
        <f>VLOOKUP(C38,'[3]CHẤM CÔNG '!$F$10:$AR$451,36,0)</f>
        <v>0</v>
      </c>
      <c r="AP38" s="830"/>
      <c r="AQ38" s="830"/>
      <c r="AR38" s="830"/>
      <c r="AS38" s="836"/>
      <c r="AT38" s="837">
        <f>VLOOKUP(C38,'[3]MỦ TẠP'!$D$10:$AO$450,38,0)</f>
        <v>0</v>
      </c>
    </row>
    <row r="39" spans="1:47" ht="15.75">
      <c r="A39" s="812">
        <v>27</v>
      </c>
      <c r="B39" s="813" t="e">
        <f>VLOOKUP(C39,'[3]DS CN MOI UP'!$B$10:$C$489,2,0)</f>
        <v>#N/A</v>
      </c>
      <c r="C39" s="819" t="s">
        <v>1939</v>
      </c>
      <c r="D39" s="812" t="s">
        <v>15</v>
      </c>
      <c r="E39" s="815"/>
      <c r="F39" s="815"/>
      <c r="G39" s="815"/>
      <c r="H39" s="815"/>
      <c r="I39" s="815"/>
      <c r="J39" s="815"/>
      <c r="K39" s="815"/>
      <c r="L39" s="815"/>
      <c r="M39" s="815"/>
      <c r="N39" s="815">
        <f t="shared" si="2"/>
        <v>0</v>
      </c>
      <c r="O39" s="815">
        <f t="shared" si="3"/>
        <v>0</v>
      </c>
      <c r="P39" s="815">
        <f t="shared" si="4"/>
        <v>0</v>
      </c>
      <c r="Q39" s="815">
        <f t="shared" si="5"/>
        <v>0</v>
      </c>
      <c r="R39" s="815">
        <f t="shared" si="6"/>
        <v>0</v>
      </c>
      <c r="S39" s="815">
        <f t="shared" si="7"/>
        <v>0</v>
      </c>
      <c r="T39" s="815">
        <f t="shared" si="8"/>
        <v>0</v>
      </c>
      <c r="U39" s="815">
        <f t="shared" si="9"/>
        <v>0</v>
      </c>
      <c r="V39" s="815">
        <f t="shared" si="10"/>
        <v>0</v>
      </c>
      <c r="W39" s="815"/>
      <c r="X39" s="815"/>
      <c r="Y39" s="815"/>
      <c r="Z39" s="815"/>
      <c r="AA39" s="830">
        <f t="shared" si="11"/>
        <v>0</v>
      </c>
      <c r="AB39" s="830"/>
      <c r="AC39" s="830"/>
      <c r="AD39" s="830">
        <f>VLOOKUP(C39,'[3]MỦ TẠP'!$D$10:$AM$450,36,0)</f>
        <v>0</v>
      </c>
      <c r="AE39" s="831">
        <f t="shared" si="13"/>
        <v>0</v>
      </c>
      <c r="AF39" s="830"/>
      <c r="AG39" s="830"/>
      <c r="AH39" s="830">
        <f t="shared" si="12"/>
        <v>0</v>
      </c>
      <c r="AI39" s="830">
        <f>VLOOKUP(C39,'[3]CHẤM CÔNG '!$F$10:$AM$451,33,0)</f>
        <v>0</v>
      </c>
      <c r="AJ39" s="830">
        <f>VLOOKUP(C39,'[3]CHẤM CÔNG '!$F$10:$AM$451,34,0)</f>
        <v>0</v>
      </c>
      <c r="AK39" s="830"/>
      <c r="AL39" s="830"/>
      <c r="AM39" s="830"/>
      <c r="AN39" s="830">
        <f>VLOOKUP(C39,'[3]CHẤM CÔNG '!$F$10:$AN$451,35,0)</f>
        <v>0</v>
      </c>
      <c r="AO39" s="830">
        <f>VLOOKUP(C39,'[3]CHẤM CÔNG '!$F$10:$AR$451,36,0)</f>
        <v>0</v>
      </c>
      <c r="AP39" s="830"/>
      <c r="AQ39" s="830"/>
      <c r="AR39" s="830"/>
      <c r="AS39" s="836"/>
      <c r="AT39" s="837">
        <f>VLOOKUP(C39,'[3]MỦ TẠP'!$D$10:$AO$450,38,0)</f>
        <v>0</v>
      </c>
    </row>
    <row r="40" spans="1:47" ht="15.75">
      <c r="A40" s="812">
        <v>28</v>
      </c>
      <c r="B40" s="813" t="str">
        <f>VLOOKUP(C40,'[3]DS CN MOI UP'!$B$10:$C$489,2,0)</f>
        <v>03454</v>
      </c>
      <c r="C40" s="819" t="s">
        <v>424</v>
      </c>
      <c r="D40" s="812" t="s">
        <v>15</v>
      </c>
      <c r="E40" s="815"/>
      <c r="F40" s="815"/>
      <c r="G40" s="815"/>
      <c r="H40" s="815"/>
      <c r="I40" s="815"/>
      <c r="J40" s="815"/>
      <c r="K40" s="815"/>
      <c r="L40" s="815"/>
      <c r="M40" s="815"/>
      <c r="N40" s="815">
        <f t="shared" si="2"/>
        <v>0</v>
      </c>
      <c r="O40" s="815">
        <f t="shared" si="3"/>
        <v>0</v>
      </c>
      <c r="P40" s="815">
        <f t="shared" si="4"/>
        <v>0</v>
      </c>
      <c r="Q40" s="815">
        <f t="shared" si="5"/>
        <v>0</v>
      </c>
      <c r="R40" s="815">
        <f t="shared" si="6"/>
        <v>0</v>
      </c>
      <c r="S40" s="815">
        <f t="shared" si="7"/>
        <v>0</v>
      </c>
      <c r="T40" s="815">
        <f t="shared" si="8"/>
        <v>0</v>
      </c>
      <c r="U40" s="815">
        <f t="shared" si="9"/>
        <v>0</v>
      </c>
      <c r="V40" s="815">
        <f t="shared" si="10"/>
        <v>0</v>
      </c>
      <c r="W40" s="815"/>
      <c r="X40" s="815"/>
      <c r="Y40" s="815"/>
      <c r="Z40" s="815"/>
      <c r="AA40" s="830">
        <f t="shared" si="11"/>
        <v>0</v>
      </c>
      <c r="AB40" s="830"/>
      <c r="AC40" s="830"/>
      <c r="AD40" s="830">
        <f>VLOOKUP(C40,'[3]MỦ TẠP'!$D$10:$AM$450,36,0)</f>
        <v>0</v>
      </c>
      <c r="AE40" s="831">
        <f t="shared" si="13"/>
        <v>0</v>
      </c>
      <c r="AF40" s="830"/>
      <c r="AG40" s="830"/>
      <c r="AH40" s="830">
        <f t="shared" si="12"/>
        <v>0</v>
      </c>
      <c r="AI40" s="830">
        <f>VLOOKUP(C40,'[3]CHẤM CÔNG '!$F$10:$AM$451,33,0)</f>
        <v>0</v>
      </c>
      <c r="AJ40" s="830">
        <f>VLOOKUP(C40,'[3]CHẤM CÔNG '!$F$10:$AM$451,34,0)</f>
        <v>0</v>
      </c>
      <c r="AK40" s="830"/>
      <c r="AL40" s="830"/>
      <c r="AM40" s="830"/>
      <c r="AN40" s="830">
        <f>VLOOKUP(C40,'[3]CHẤM CÔNG '!$F$10:$AN$451,35,0)</f>
        <v>0</v>
      </c>
      <c r="AO40" s="830">
        <f>VLOOKUP(C40,'[3]CHẤM CÔNG '!$F$10:$AR$451,36,0)</f>
        <v>0</v>
      </c>
      <c r="AP40" s="830"/>
      <c r="AQ40" s="830"/>
      <c r="AR40" s="830"/>
      <c r="AS40" s="836"/>
      <c r="AT40" s="837">
        <f>VLOOKUP(C40,'[3]MỦ TẠP'!$D$10:$AO$450,38,0)</f>
        <v>0</v>
      </c>
      <c r="AU40" s="839"/>
    </row>
    <row r="41" spans="1:47" ht="15.75">
      <c r="A41" s="812">
        <v>29</v>
      </c>
      <c r="B41" s="813" t="str">
        <f>VLOOKUP(C41,'[3]DS CN MOI UP'!$B$10:$C$489,2,0)</f>
        <v>03445</v>
      </c>
      <c r="C41" s="819" t="s">
        <v>411</v>
      </c>
      <c r="D41" s="812" t="s">
        <v>15</v>
      </c>
      <c r="E41" s="815"/>
      <c r="F41" s="815"/>
      <c r="G41" s="815"/>
      <c r="H41" s="815"/>
      <c r="I41" s="815"/>
      <c r="J41" s="815"/>
      <c r="K41" s="815"/>
      <c r="L41" s="815"/>
      <c r="M41" s="815"/>
      <c r="N41" s="815">
        <f t="shared" si="2"/>
        <v>0</v>
      </c>
      <c r="O41" s="815">
        <f t="shared" si="3"/>
        <v>0</v>
      </c>
      <c r="P41" s="815">
        <f t="shared" si="4"/>
        <v>0</v>
      </c>
      <c r="Q41" s="815">
        <f t="shared" si="5"/>
        <v>0</v>
      </c>
      <c r="R41" s="815">
        <f t="shared" si="6"/>
        <v>0</v>
      </c>
      <c r="S41" s="815">
        <f t="shared" si="7"/>
        <v>0</v>
      </c>
      <c r="T41" s="815">
        <f t="shared" si="8"/>
        <v>0</v>
      </c>
      <c r="U41" s="815">
        <f t="shared" si="9"/>
        <v>0</v>
      </c>
      <c r="V41" s="815">
        <f t="shared" si="10"/>
        <v>0</v>
      </c>
      <c r="W41" s="815"/>
      <c r="X41" s="815"/>
      <c r="Y41" s="815"/>
      <c r="Z41" s="815"/>
      <c r="AA41" s="830">
        <f t="shared" si="11"/>
        <v>0</v>
      </c>
      <c r="AB41" s="830"/>
      <c r="AC41" s="830"/>
      <c r="AD41" s="830">
        <f>VLOOKUP(C41,'[3]MỦ TẠP'!$D$10:$AM$450,36,0)</f>
        <v>0</v>
      </c>
      <c r="AE41" s="831">
        <f t="shared" si="13"/>
        <v>0</v>
      </c>
      <c r="AF41" s="830"/>
      <c r="AG41" s="830"/>
      <c r="AH41" s="830">
        <f t="shared" si="12"/>
        <v>0</v>
      </c>
      <c r="AI41" s="830">
        <f>VLOOKUP(C41,'[3]CHẤM CÔNG '!$F$10:$AM$451,33,0)</f>
        <v>0</v>
      </c>
      <c r="AJ41" s="830">
        <f>VLOOKUP(C41,'[3]CHẤM CÔNG '!$F$10:$AM$451,34,0)</f>
        <v>0</v>
      </c>
      <c r="AK41" s="830"/>
      <c r="AL41" s="830"/>
      <c r="AM41" s="830"/>
      <c r="AN41" s="830">
        <f>VLOOKUP(C41,'[3]CHẤM CÔNG '!$F$10:$AN$451,35,0)</f>
        <v>0</v>
      </c>
      <c r="AO41" s="830">
        <f>VLOOKUP(C41,'[3]CHẤM CÔNG '!$F$10:$AR$451,36,0)</f>
        <v>0</v>
      </c>
      <c r="AP41" s="830"/>
      <c r="AQ41" s="830"/>
      <c r="AR41" s="830"/>
      <c r="AS41" s="836"/>
      <c r="AT41" s="837">
        <f>VLOOKUP(C41,'[3]MỦ TẠP'!$D$10:$AO$450,38,0)</f>
        <v>0</v>
      </c>
    </row>
    <row r="42" spans="1:47" ht="15.75">
      <c r="A42" s="812">
        <v>30</v>
      </c>
      <c r="B42" s="813" t="str">
        <f>VLOOKUP(C42,'[3]DS CN MOI UP'!$B$10:$C$489,2,0)</f>
        <v>03446</v>
      </c>
      <c r="C42" s="819" t="s">
        <v>412</v>
      </c>
      <c r="D42" s="812" t="s">
        <v>15</v>
      </c>
      <c r="E42" s="815"/>
      <c r="F42" s="815"/>
      <c r="G42" s="815"/>
      <c r="H42" s="815"/>
      <c r="I42" s="815"/>
      <c r="J42" s="815"/>
      <c r="K42" s="815"/>
      <c r="L42" s="815"/>
      <c r="M42" s="815"/>
      <c r="N42" s="815">
        <f t="shared" si="2"/>
        <v>0</v>
      </c>
      <c r="O42" s="815">
        <f t="shared" si="3"/>
        <v>0</v>
      </c>
      <c r="P42" s="815">
        <f t="shared" si="4"/>
        <v>0</v>
      </c>
      <c r="Q42" s="815">
        <f t="shared" si="5"/>
        <v>0</v>
      </c>
      <c r="R42" s="815">
        <f t="shared" si="6"/>
        <v>0</v>
      </c>
      <c r="S42" s="815">
        <f t="shared" si="7"/>
        <v>0</v>
      </c>
      <c r="T42" s="815">
        <f t="shared" si="8"/>
        <v>0</v>
      </c>
      <c r="U42" s="815">
        <f t="shared" si="9"/>
        <v>0</v>
      </c>
      <c r="V42" s="815">
        <f t="shared" si="10"/>
        <v>0</v>
      </c>
      <c r="W42" s="815"/>
      <c r="X42" s="815"/>
      <c r="Y42" s="815"/>
      <c r="Z42" s="815"/>
      <c r="AA42" s="830">
        <f t="shared" si="11"/>
        <v>0</v>
      </c>
      <c r="AB42" s="830"/>
      <c r="AC42" s="830"/>
      <c r="AD42" s="830">
        <f>VLOOKUP(C42,'[3]MỦ TẠP'!$D$10:$AM$450,36,0)</f>
        <v>0</v>
      </c>
      <c r="AE42" s="831">
        <f t="shared" si="13"/>
        <v>0</v>
      </c>
      <c r="AF42" s="830"/>
      <c r="AG42" s="830"/>
      <c r="AH42" s="830">
        <f t="shared" si="12"/>
        <v>0</v>
      </c>
      <c r="AI42" s="830">
        <f>VLOOKUP(C42,'[3]CHẤM CÔNG '!$F$10:$AM$451,33,0)</f>
        <v>0</v>
      </c>
      <c r="AJ42" s="830">
        <f>VLOOKUP(C42,'[3]CHẤM CÔNG '!$F$10:$AM$451,34,0)</f>
        <v>0</v>
      </c>
      <c r="AK42" s="830"/>
      <c r="AL42" s="830"/>
      <c r="AM42" s="830"/>
      <c r="AN42" s="830">
        <f>VLOOKUP(C42,'[3]CHẤM CÔNG '!$F$10:$AN$451,35,0)</f>
        <v>0</v>
      </c>
      <c r="AO42" s="830">
        <f>VLOOKUP(C42,'[3]CHẤM CÔNG '!$F$10:$AR$451,36,0)</f>
        <v>0</v>
      </c>
      <c r="AP42" s="830"/>
      <c r="AQ42" s="830"/>
      <c r="AR42" s="830"/>
      <c r="AS42" s="836"/>
      <c r="AT42" s="837">
        <f>VLOOKUP(C42,'[3]MỦ TẠP'!$D$10:$AO$450,38,0)</f>
        <v>0</v>
      </c>
    </row>
    <row r="43" spans="1:47" ht="15.75">
      <c r="A43" s="812">
        <v>31</v>
      </c>
      <c r="B43" s="813" t="str">
        <f>VLOOKUP(C43,'[3]DS CN MOI UP'!$B$10:$C$489,2,0)</f>
        <v>03447</v>
      </c>
      <c r="C43" s="819" t="s">
        <v>413</v>
      </c>
      <c r="D43" s="812" t="s">
        <v>15</v>
      </c>
      <c r="E43" s="815"/>
      <c r="F43" s="815"/>
      <c r="G43" s="815"/>
      <c r="H43" s="815"/>
      <c r="I43" s="815"/>
      <c r="J43" s="815"/>
      <c r="K43" s="815"/>
      <c r="L43" s="815"/>
      <c r="M43" s="815"/>
      <c r="N43" s="815">
        <f t="shared" si="2"/>
        <v>0</v>
      </c>
      <c r="O43" s="815">
        <f t="shared" si="3"/>
        <v>0</v>
      </c>
      <c r="P43" s="815">
        <f t="shared" si="4"/>
        <v>0</v>
      </c>
      <c r="Q43" s="815">
        <f t="shared" si="5"/>
        <v>0</v>
      </c>
      <c r="R43" s="815">
        <f t="shared" si="6"/>
        <v>0</v>
      </c>
      <c r="S43" s="815">
        <f t="shared" si="7"/>
        <v>0</v>
      </c>
      <c r="T43" s="815">
        <f t="shared" si="8"/>
        <v>0</v>
      </c>
      <c r="U43" s="815">
        <f t="shared" si="9"/>
        <v>0</v>
      </c>
      <c r="V43" s="815">
        <f t="shared" si="10"/>
        <v>0</v>
      </c>
      <c r="W43" s="815"/>
      <c r="X43" s="815"/>
      <c r="Y43" s="815"/>
      <c r="Z43" s="815"/>
      <c r="AA43" s="830">
        <f t="shared" si="11"/>
        <v>0</v>
      </c>
      <c r="AB43" s="830"/>
      <c r="AC43" s="830"/>
      <c r="AD43" s="830">
        <f>VLOOKUP(C43,'[3]MỦ TẠP'!$D$10:$AM$450,36,0)</f>
        <v>0</v>
      </c>
      <c r="AE43" s="831">
        <f t="shared" si="13"/>
        <v>0</v>
      </c>
      <c r="AF43" s="830"/>
      <c r="AG43" s="830"/>
      <c r="AH43" s="830">
        <f t="shared" si="12"/>
        <v>0</v>
      </c>
      <c r="AI43" s="830">
        <f>VLOOKUP(C43,'[3]CHẤM CÔNG '!$F$10:$AM$451,33,0)</f>
        <v>0</v>
      </c>
      <c r="AJ43" s="830">
        <f>VLOOKUP(C43,'[3]CHẤM CÔNG '!$F$10:$AM$451,34,0)</f>
        <v>0</v>
      </c>
      <c r="AK43" s="830"/>
      <c r="AL43" s="830"/>
      <c r="AM43" s="830"/>
      <c r="AN43" s="830">
        <f>VLOOKUP(C43,'[3]CHẤM CÔNG '!$F$10:$AN$451,35,0)</f>
        <v>0</v>
      </c>
      <c r="AO43" s="830">
        <f>VLOOKUP(C43,'[3]CHẤM CÔNG '!$F$10:$AR$451,36,0)</f>
        <v>0</v>
      </c>
      <c r="AP43" s="830"/>
      <c r="AQ43" s="830"/>
      <c r="AR43" s="830"/>
      <c r="AS43" s="836"/>
      <c r="AT43" s="837">
        <f>VLOOKUP(C43,'[3]MỦ TẠP'!$D$10:$AO$450,38,0)</f>
        <v>0</v>
      </c>
    </row>
    <row r="44" spans="1:47" ht="15.75">
      <c r="A44" s="812">
        <v>32</v>
      </c>
      <c r="B44" s="813" t="e">
        <f>VLOOKUP(C44,'[3]DS CN MOI UP'!$B$10:$C$489,2,0)</f>
        <v>#N/A</v>
      </c>
      <c r="C44" s="819" t="s">
        <v>414</v>
      </c>
      <c r="D44" s="812" t="s">
        <v>15</v>
      </c>
      <c r="E44" s="815"/>
      <c r="F44" s="815"/>
      <c r="G44" s="815"/>
      <c r="H44" s="815"/>
      <c r="I44" s="815"/>
      <c r="J44" s="815"/>
      <c r="K44" s="815"/>
      <c r="L44" s="815"/>
      <c r="M44" s="815"/>
      <c r="N44" s="815">
        <f t="shared" si="2"/>
        <v>0</v>
      </c>
      <c r="O44" s="815">
        <f t="shared" si="3"/>
        <v>0</v>
      </c>
      <c r="P44" s="815">
        <f t="shared" si="4"/>
        <v>0</v>
      </c>
      <c r="Q44" s="815">
        <f t="shared" si="5"/>
        <v>0</v>
      </c>
      <c r="R44" s="815">
        <f t="shared" si="6"/>
        <v>0</v>
      </c>
      <c r="S44" s="815">
        <f t="shared" si="7"/>
        <v>0</v>
      </c>
      <c r="T44" s="815">
        <f t="shared" si="8"/>
        <v>0</v>
      </c>
      <c r="U44" s="815">
        <f t="shared" si="9"/>
        <v>0</v>
      </c>
      <c r="V44" s="815">
        <f t="shared" si="10"/>
        <v>0</v>
      </c>
      <c r="W44" s="815"/>
      <c r="X44" s="815"/>
      <c r="Y44" s="815"/>
      <c r="Z44" s="815"/>
      <c r="AA44" s="830">
        <f t="shared" si="11"/>
        <v>0</v>
      </c>
      <c r="AB44" s="830"/>
      <c r="AC44" s="830"/>
      <c r="AD44" s="830" t="e">
        <f>VLOOKUP(C44,'[3]MỦ TẠP'!$D$10:$AM$450,36,0)</f>
        <v>#N/A</v>
      </c>
      <c r="AE44" s="831" t="e">
        <f t="shared" si="13"/>
        <v>#N/A</v>
      </c>
      <c r="AF44" s="830"/>
      <c r="AG44" s="830"/>
      <c r="AH44" s="830" t="e">
        <f t="shared" si="12"/>
        <v>#N/A</v>
      </c>
      <c r="AI44" s="830" t="e">
        <f>VLOOKUP(C44,'[3]CHẤM CÔNG '!$F$10:$AM$451,33,0)</f>
        <v>#N/A</v>
      </c>
      <c r="AJ44" s="830" t="e">
        <f>VLOOKUP(C44,'[3]CHẤM CÔNG '!$F$10:$AM$451,34,0)</f>
        <v>#N/A</v>
      </c>
      <c r="AK44" s="830" t="e">
        <f>SUM(AI44:AJ44,AN44)</f>
        <v>#N/A</v>
      </c>
      <c r="AL44" s="830"/>
      <c r="AM44" s="830"/>
      <c r="AN44" s="830" t="e">
        <f>VLOOKUP(C44,'[3]CHẤM CÔNG '!$F$10:$AN$451,35,0)</f>
        <v>#N/A</v>
      </c>
      <c r="AO44" s="830" t="e">
        <f>VLOOKUP(C44,'[3]CHẤM CÔNG '!$F$10:$AR$451,36,0)</f>
        <v>#N/A</v>
      </c>
      <c r="AP44" s="830"/>
      <c r="AQ44" s="830"/>
      <c r="AR44" s="830"/>
      <c r="AS44" s="836"/>
      <c r="AT44" s="837" t="e">
        <f>VLOOKUP(C44,'[3]MỦ TẠP'!$D$10:$AO$450,38,0)</f>
        <v>#N/A</v>
      </c>
    </row>
    <row r="45" spans="1:47" ht="15.75">
      <c r="A45" s="812">
        <v>33</v>
      </c>
      <c r="B45" s="813" t="str">
        <f>VLOOKUP(C45,'[3]DS CN MOI UP'!$B$10:$C$489,2,0)</f>
        <v>02439</v>
      </c>
      <c r="C45" s="819" t="s">
        <v>415</v>
      </c>
      <c r="D45" s="812" t="s">
        <v>15</v>
      </c>
      <c r="E45" s="815"/>
      <c r="F45" s="815"/>
      <c r="G45" s="815"/>
      <c r="H45" s="815"/>
      <c r="I45" s="815"/>
      <c r="J45" s="815"/>
      <c r="K45" s="815"/>
      <c r="L45" s="815"/>
      <c r="M45" s="815"/>
      <c r="N45" s="815">
        <f t="shared" si="2"/>
        <v>0</v>
      </c>
      <c r="O45" s="815">
        <f t="shared" si="3"/>
        <v>0</v>
      </c>
      <c r="P45" s="815">
        <f t="shared" si="4"/>
        <v>0</v>
      </c>
      <c r="Q45" s="815">
        <f t="shared" si="5"/>
        <v>0</v>
      </c>
      <c r="R45" s="815">
        <f t="shared" si="6"/>
        <v>0</v>
      </c>
      <c r="S45" s="815">
        <f t="shared" si="7"/>
        <v>0</v>
      </c>
      <c r="T45" s="815">
        <f t="shared" si="8"/>
        <v>0</v>
      </c>
      <c r="U45" s="815">
        <f t="shared" si="9"/>
        <v>0</v>
      </c>
      <c r="V45" s="815">
        <f t="shared" si="10"/>
        <v>0</v>
      </c>
      <c r="W45" s="815"/>
      <c r="X45" s="815"/>
      <c r="Y45" s="815"/>
      <c r="Z45" s="815"/>
      <c r="AA45" s="830">
        <f t="shared" si="11"/>
        <v>0</v>
      </c>
      <c r="AB45" s="830"/>
      <c r="AC45" s="830"/>
      <c r="AD45" s="830">
        <f>VLOOKUP(C45,'[3]MỦ TẠP'!$D$10:$AM$450,36,0)</f>
        <v>0</v>
      </c>
      <c r="AE45" s="831">
        <f t="shared" si="13"/>
        <v>0</v>
      </c>
      <c r="AF45" s="830"/>
      <c r="AG45" s="830"/>
      <c r="AH45" s="830">
        <f t="shared" si="12"/>
        <v>0</v>
      </c>
      <c r="AI45" s="830">
        <f>VLOOKUP(C45,'[3]CHẤM CÔNG '!$F$10:$AM$451,33,0)</f>
        <v>0</v>
      </c>
      <c r="AJ45" s="830">
        <f>VLOOKUP(C45,'[3]CHẤM CÔNG '!$F$10:$AM$451,34,0)</f>
        <v>0</v>
      </c>
      <c r="AK45" s="830"/>
      <c r="AL45" s="830"/>
      <c r="AM45" s="830"/>
      <c r="AN45" s="830">
        <f>VLOOKUP(C45,'[3]CHẤM CÔNG '!$F$10:$AN$451,35,0)</f>
        <v>0</v>
      </c>
      <c r="AO45" s="830">
        <f>VLOOKUP(C45,'[3]CHẤM CÔNG '!$F$10:$AR$451,36,0)</f>
        <v>0</v>
      </c>
      <c r="AP45" s="830"/>
      <c r="AQ45" s="830"/>
      <c r="AR45" s="830"/>
      <c r="AS45" s="836"/>
      <c r="AT45" s="837">
        <f>VLOOKUP(C45,'[3]MỦ TẠP'!$D$10:$AO$450,38,0)</f>
        <v>0</v>
      </c>
    </row>
    <row r="46" spans="1:47" ht="15.75">
      <c r="A46" s="812">
        <v>34</v>
      </c>
      <c r="B46" s="813" t="e">
        <f>VLOOKUP(C46,'[3]DS CN MOI UP'!$B$10:$C$489,2,0)</f>
        <v>#N/A</v>
      </c>
      <c r="C46" s="819" t="s">
        <v>1940</v>
      </c>
      <c r="D46" s="812" t="s">
        <v>15</v>
      </c>
      <c r="E46" s="815"/>
      <c r="F46" s="815"/>
      <c r="G46" s="815"/>
      <c r="H46" s="815"/>
      <c r="I46" s="815"/>
      <c r="J46" s="815"/>
      <c r="K46" s="815"/>
      <c r="L46" s="815"/>
      <c r="M46" s="815"/>
      <c r="N46" s="815">
        <f t="shared" si="2"/>
        <v>0</v>
      </c>
      <c r="O46" s="815">
        <f t="shared" si="3"/>
        <v>0</v>
      </c>
      <c r="P46" s="815">
        <f t="shared" si="4"/>
        <v>0</v>
      </c>
      <c r="Q46" s="815">
        <f t="shared" si="5"/>
        <v>0</v>
      </c>
      <c r="R46" s="815">
        <f t="shared" si="6"/>
        <v>0</v>
      </c>
      <c r="S46" s="815">
        <f t="shared" si="7"/>
        <v>0</v>
      </c>
      <c r="T46" s="815">
        <f t="shared" si="8"/>
        <v>0</v>
      </c>
      <c r="U46" s="815">
        <f t="shared" si="9"/>
        <v>0</v>
      </c>
      <c r="V46" s="815">
        <f t="shared" si="10"/>
        <v>0</v>
      </c>
      <c r="W46" s="815"/>
      <c r="X46" s="815"/>
      <c r="Y46" s="815"/>
      <c r="Z46" s="815"/>
      <c r="AA46" s="830">
        <f t="shared" si="11"/>
        <v>0</v>
      </c>
      <c r="AB46" s="830"/>
      <c r="AC46" s="830"/>
      <c r="AD46" s="830">
        <f>VLOOKUP(C46,'[3]MỦ TẠP'!$D$10:$AM$450,36,0)</f>
        <v>0</v>
      </c>
      <c r="AE46" s="831">
        <f t="shared" si="13"/>
        <v>0</v>
      </c>
      <c r="AF46" s="830"/>
      <c r="AG46" s="830"/>
      <c r="AH46" s="830">
        <f t="shared" si="12"/>
        <v>0</v>
      </c>
      <c r="AI46" s="830">
        <f>VLOOKUP(C46,'[3]CHẤM CÔNG '!$F$10:$AM$451,33,0)</f>
        <v>0</v>
      </c>
      <c r="AJ46" s="830">
        <f>VLOOKUP(C46,'[3]CHẤM CÔNG '!$F$10:$AM$451,34,0)</f>
        <v>0</v>
      </c>
      <c r="AK46" s="830"/>
      <c r="AL46" s="830"/>
      <c r="AM46" s="830"/>
      <c r="AN46" s="830">
        <f>VLOOKUP(C46,'[3]CHẤM CÔNG '!$F$10:$AN$451,35,0)</f>
        <v>0</v>
      </c>
      <c r="AO46" s="830">
        <f>VLOOKUP(C46,'[3]CHẤM CÔNG '!$F$10:$AR$451,36,0)</f>
        <v>0</v>
      </c>
      <c r="AP46" s="830"/>
      <c r="AQ46" s="830"/>
      <c r="AR46" s="830"/>
      <c r="AS46" s="836"/>
      <c r="AT46" s="837">
        <f>VLOOKUP(C46,'[3]MỦ TẠP'!$D$10:$AO$450,38,0)</f>
        <v>0</v>
      </c>
    </row>
    <row r="47" spans="1:47" ht="15.75">
      <c r="A47" s="812">
        <v>35</v>
      </c>
      <c r="B47" s="813" t="str">
        <f>VLOOKUP(C47,'[3]DS CN MOI UP'!$B$10:$C$489,2,0)</f>
        <v>03450</v>
      </c>
      <c r="C47" s="819" t="s">
        <v>417</v>
      </c>
      <c r="D47" s="812" t="s">
        <v>15</v>
      </c>
      <c r="E47" s="815"/>
      <c r="F47" s="815"/>
      <c r="G47" s="815"/>
      <c r="H47" s="815"/>
      <c r="I47" s="815"/>
      <c r="J47" s="815"/>
      <c r="K47" s="815"/>
      <c r="L47" s="815"/>
      <c r="M47" s="815"/>
      <c r="N47" s="815">
        <f t="shared" si="2"/>
        <v>0</v>
      </c>
      <c r="O47" s="815">
        <f t="shared" si="3"/>
        <v>0</v>
      </c>
      <c r="P47" s="815">
        <f t="shared" si="4"/>
        <v>0</v>
      </c>
      <c r="Q47" s="815">
        <f t="shared" si="5"/>
        <v>0</v>
      </c>
      <c r="R47" s="815">
        <f t="shared" si="6"/>
        <v>0</v>
      </c>
      <c r="S47" s="815">
        <f t="shared" si="7"/>
        <v>0</v>
      </c>
      <c r="T47" s="815">
        <f t="shared" si="8"/>
        <v>0</v>
      </c>
      <c r="U47" s="815">
        <f t="shared" si="9"/>
        <v>0</v>
      </c>
      <c r="V47" s="815">
        <f t="shared" si="10"/>
        <v>0</v>
      </c>
      <c r="W47" s="815"/>
      <c r="X47" s="815"/>
      <c r="Y47" s="815"/>
      <c r="Z47" s="815"/>
      <c r="AA47" s="830">
        <f t="shared" si="11"/>
        <v>0</v>
      </c>
      <c r="AB47" s="830"/>
      <c r="AC47" s="830"/>
      <c r="AD47" s="830">
        <f>VLOOKUP(C47,'[3]MỦ TẠP'!$D$10:$AM$450,36,0)</f>
        <v>0</v>
      </c>
      <c r="AE47" s="831">
        <f t="shared" si="13"/>
        <v>0</v>
      </c>
      <c r="AF47" s="830"/>
      <c r="AG47" s="830"/>
      <c r="AH47" s="830">
        <f t="shared" si="12"/>
        <v>0</v>
      </c>
      <c r="AI47" s="830">
        <f>VLOOKUP(C47,'[3]CHẤM CÔNG '!$F$10:$AM$451,33,0)</f>
        <v>0</v>
      </c>
      <c r="AJ47" s="830">
        <f>VLOOKUP(C47,'[3]CHẤM CÔNG '!$F$10:$AM$451,34,0)</f>
        <v>0</v>
      </c>
      <c r="AK47" s="830"/>
      <c r="AL47" s="830"/>
      <c r="AM47" s="830"/>
      <c r="AN47" s="830">
        <f>VLOOKUP(C47,'[3]CHẤM CÔNG '!$F$10:$AN$451,35,0)</f>
        <v>0</v>
      </c>
      <c r="AO47" s="830">
        <f>VLOOKUP(C47,'[3]CHẤM CÔNG '!$F$10:$AR$451,36,0)</f>
        <v>0</v>
      </c>
      <c r="AP47" s="830"/>
      <c r="AQ47" s="830"/>
      <c r="AR47" s="830"/>
      <c r="AS47" s="836"/>
      <c r="AT47" s="837">
        <f>VLOOKUP(C47,'[3]MỦ TẠP'!$D$10:$AO$450,38,0)</f>
        <v>0</v>
      </c>
    </row>
    <row r="48" spans="1:47" ht="15.75">
      <c r="A48" s="812">
        <v>36</v>
      </c>
      <c r="B48" s="813" t="str">
        <f>VLOOKUP(C48,'[3]DS CN MOI UP'!$B$10:$C$489,2,0)</f>
        <v>03451</v>
      </c>
      <c r="C48" s="819" t="s">
        <v>418</v>
      </c>
      <c r="D48" s="812" t="s">
        <v>15</v>
      </c>
      <c r="E48" s="815"/>
      <c r="F48" s="815"/>
      <c r="G48" s="815"/>
      <c r="H48" s="815"/>
      <c r="I48" s="815"/>
      <c r="J48" s="815"/>
      <c r="K48" s="815"/>
      <c r="L48" s="815"/>
      <c r="M48" s="815"/>
      <c r="N48" s="815">
        <f t="shared" si="2"/>
        <v>0</v>
      </c>
      <c r="O48" s="815">
        <f t="shared" si="3"/>
        <v>0</v>
      </c>
      <c r="P48" s="815">
        <f t="shared" si="4"/>
        <v>0</v>
      </c>
      <c r="Q48" s="815">
        <f t="shared" si="5"/>
        <v>0</v>
      </c>
      <c r="R48" s="815">
        <f t="shared" si="6"/>
        <v>0</v>
      </c>
      <c r="S48" s="815">
        <f t="shared" si="7"/>
        <v>0</v>
      </c>
      <c r="T48" s="815">
        <f t="shared" si="8"/>
        <v>0</v>
      </c>
      <c r="U48" s="815">
        <f t="shared" si="9"/>
        <v>0</v>
      </c>
      <c r="V48" s="815">
        <f t="shared" si="10"/>
        <v>0</v>
      </c>
      <c r="W48" s="815"/>
      <c r="X48" s="815"/>
      <c r="Y48" s="815"/>
      <c r="Z48" s="815"/>
      <c r="AA48" s="830">
        <f t="shared" si="11"/>
        <v>0</v>
      </c>
      <c r="AB48" s="830"/>
      <c r="AC48" s="830"/>
      <c r="AD48" s="830">
        <f>VLOOKUP(C48,'[3]MỦ TẠP'!$D$10:$AM$450,36,0)</f>
        <v>0</v>
      </c>
      <c r="AE48" s="831">
        <f t="shared" si="13"/>
        <v>0</v>
      </c>
      <c r="AF48" s="830"/>
      <c r="AG48" s="830"/>
      <c r="AH48" s="830">
        <f t="shared" si="12"/>
        <v>0</v>
      </c>
      <c r="AI48" s="830">
        <f>VLOOKUP(C48,'[3]CHẤM CÔNG '!$F$10:$AM$451,33,0)</f>
        <v>0</v>
      </c>
      <c r="AJ48" s="830">
        <f>VLOOKUP(C48,'[3]CHẤM CÔNG '!$F$10:$AM$451,34,0)</f>
        <v>0</v>
      </c>
      <c r="AK48" s="830"/>
      <c r="AL48" s="830"/>
      <c r="AM48" s="830"/>
      <c r="AN48" s="830">
        <f>VLOOKUP(C48,'[3]CHẤM CÔNG '!$F$10:$AN$451,35,0)</f>
        <v>0</v>
      </c>
      <c r="AO48" s="830">
        <f>VLOOKUP(C48,'[3]CHẤM CÔNG '!$F$10:$AR$451,36,0)</f>
        <v>0</v>
      </c>
      <c r="AP48" s="830"/>
      <c r="AQ48" s="830"/>
      <c r="AR48" s="830"/>
      <c r="AS48" s="836"/>
      <c r="AT48" s="837">
        <f>VLOOKUP(C48,'[3]MỦ TẠP'!$D$10:$AO$450,38,0)</f>
        <v>0</v>
      </c>
    </row>
    <row r="49" spans="1:46" ht="15.75">
      <c r="A49" s="812">
        <v>37</v>
      </c>
      <c r="B49" s="813" t="str">
        <f>VLOOKUP(C49,'[3]DS CN MOI UP'!$B$10:$C$489,2,0)</f>
        <v>02438</v>
      </c>
      <c r="C49" s="819" t="s">
        <v>419</v>
      </c>
      <c r="D49" s="812" t="s">
        <v>15</v>
      </c>
      <c r="E49" s="815"/>
      <c r="F49" s="815"/>
      <c r="G49" s="815"/>
      <c r="H49" s="815"/>
      <c r="I49" s="815"/>
      <c r="J49" s="815"/>
      <c r="K49" s="815"/>
      <c r="L49" s="815"/>
      <c r="M49" s="815"/>
      <c r="N49" s="815">
        <f t="shared" si="2"/>
        <v>0</v>
      </c>
      <c r="O49" s="815">
        <f t="shared" si="3"/>
        <v>0</v>
      </c>
      <c r="P49" s="815">
        <f t="shared" si="4"/>
        <v>0</v>
      </c>
      <c r="Q49" s="815">
        <f t="shared" si="5"/>
        <v>0</v>
      </c>
      <c r="R49" s="815">
        <f t="shared" si="6"/>
        <v>0</v>
      </c>
      <c r="S49" s="815">
        <f t="shared" si="7"/>
        <v>0</v>
      </c>
      <c r="T49" s="815">
        <f t="shared" si="8"/>
        <v>0</v>
      </c>
      <c r="U49" s="815">
        <f t="shared" si="9"/>
        <v>0</v>
      </c>
      <c r="V49" s="815">
        <f t="shared" si="10"/>
        <v>0</v>
      </c>
      <c r="W49" s="815"/>
      <c r="X49" s="815"/>
      <c r="Y49" s="815"/>
      <c r="Z49" s="815"/>
      <c r="AA49" s="830">
        <f t="shared" si="11"/>
        <v>0</v>
      </c>
      <c r="AB49" s="830"/>
      <c r="AC49" s="830"/>
      <c r="AD49" s="830">
        <f>VLOOKUP(C49,'[3]MỦ TẠP'!$D$10:$AM$450,36,0)</f>
        <v>0</v>
      </c>
      <c r="AE49" s="831">
        <f t="shared" si="13"/>
        <v>0</v>
      </c>
      <c r="AF49" s="830"/>
      <c r="AG49" s="830"/>
      <c r="AH49" s="830">
        <f t="shared" si="12"/>
        <v>0</v>
      </c>
      <c r="AI49" s="830">
        <f>VLOOKUP(C49,'[3]CHẤM CÔNG '!$F$10:$AM$451,33,0)</f>
        <v>0</v>
      </c>
      <c r="AJ49" s="830">
        <f>VLOOKUP(C49,'[3]CHẤM CÔNG '!$F$10:$AM$451,34,0)</f>
        <v>0</v>
      </c>
      <c r="AK49" s="830"/>
      <c r="AL49" s="830"/>
      <c r="AM49" s="830"/>
      <c r="AN49" s="830">
        <f>VLOOKUP(C49,'[3]CHẤM CÔNG '!$F$10:$AN$451,35,0)</f>
        <v>0</v>
      </c>
      <c r="AO49" s="830">
        <f>VLOOKUP(C49,'[3]CHẤM CÔNG '!$F$10:$AR$451,36,0)</f>
        <v>0</v>
      </c>
      <c r="AP49" s="830"/>
      <c r="AQ49" s="830"/>
      <c r="AR49" s="830"/>
      <c r="AS49" s="836"/>
      <c r="AT49" s="837">
        <f>VLOOKUP(C49,'[3]MỦ TẠP'!$D$10:$AO$450,38,0)</f>
        <v>0</v>
      </c>
    </row>
    <row r="50" spans="1:46" ht="15.75">
      <c r="A50" s="812">
        <v>38</v>
      </c>
      <c r="B50" s="813" t="str">
        <f>VLOOKUP(C50,'[3]DS CN MOI UP'!$B$10:$C$489,2,0)</f>
        <v>02442</v>
      </c>
      <c r="C50" s="819" t="s">
        <v>420</v>
      </c>
      <c r="D50" s="812" t="s">
        <v>15</v>
      </c>
      <c r="E50" s="815"/>
      <c r="F50" s="815"/>
      <c r="G50" s="815"/>
      <c r="H50" s="815"/>
      <c r="I50" s="815"/>
      <c r="J50" s="815"/>
      <c r="K50" s="815"/>
      <c r="L50" s="815"/>
      <c r="M50" s="815"/>
      <c r="N50" s="815">
        <f t="shared" si="2"/>
        <v>0</v>
      </c>
      <c r="O50" s="815">
        <f t="shared" si="3"/>
        <v>0</v>
      </c>
      <c r="P50" s="815">
        <f t="shared" si="4"/>
        <v>0</v>
      </c>
      <c r="Q50" s="815">
        <f t="shared" si="5"/>
        <v>0</v>
      </c>
      <c r="R50" s="815">
        <f t="shared" si="6"/>
        <v>0</v>
      </c>
      <c r="S50" s="815">
        <f t="shared" si="7"/>
        <v>0</v>
      </c>
      <c r="T50" s="815">
        <f t="shared" si="8"/>
        <v>0</v>
      </c>
      <c r="U50" s="815">
        <f t="shared" si="9"/>
        <v>0</v>
      </c>
      <c r="V50" s="815">
        <f t="shared" si="10"/>
        <v>0</v>
      </c>
      <c r="W50" s="815"/>
      <c r="X50" s="815"/>
      <c r="Y50" s="815"/>
      <c r="Z50" s="815"/>
      <c r="AA50" s="830">
        <f t="shared" si="11"/>
        <v>0</v>
      </c>
      <c r="AB50" s="830"/>
      <c r="AC50" s="830"/>
      <c r="AD50" s="830">
        <f>VLOOKUP(C50,'[3]MỦ TẠP'!$D$10:$AM$450,36,0)</f>
        <v>0</v>
      </c>
      <c r="AE50" s="831">
        <f t="shared" si="13"/>
        <v>0</v>
      </c>
      <c r="AF50" s="830"/>
      <c r="AG50" s="830"/>
      <c r="AH50" s="830">
        <f t="shared" si="12"/>
        <v>0</v>
      </c>
      <c r="AI50" s="830">
        <f>VLOOKUP(C50,'[3]CHẤM CÔNG '!$F$10:$AM$451,33,0)</f>
        <v>0</v>
      </c>
      <c r="AJ50" s="830">
        <f>VLOOKUP(C50,'[3]CHẤM CÔNG '!$F$10:$AM$451,34,0)</f>
        <v>0</v>
      </c>
      <c r="AK50" s="830"/>
      <c r="AL50" s="830"/>
      <c r="AM50" s="830"/>
      <c r="AN50" s="830">
        <f>VLOOKUP(C50,'[3]CHẤM CÔNG '!$F$10:$AN$451,35,0)</f>
        <v>0</v>
      </c>
      <c r="AO50" s="830">
        <f>VLOOKUP(C50,'[3]CHẤM CÔNG '!$F$10:$AR$451,36,0)</f>
        <v>0</v>
      </c>
      <c r="AP50" s="830"/>
      <c r="AQ50" s="830"/>
      <c r="AR50" s="830"/>
      <c r="AS50" s="836"/>
      <c r="AT50" s="837">
        <f>VLOOKUP(C50,'[3]MỦ TẠP'!$D$10:$AO$450,38,0)</f>
        <v>0</v>
      </c>
    </row>
    <row r="51" spans="1:46" ht="15.75">
      <c r="A51" s="812">
        <v>39</v>
      </c>
      <c r="B51" s="813" t="str">
        <f>VLOOKUP(C51,'[3]DS CN MOI UP'!$B$10:$C$489,2,0)</f>
        <v>02427</v>
      </c>
      <c r="C51" s="819" t="s">
        <v>421</v>
      </c>
      <c r="D51" s="812" t="s">
        <v>15</v>
      </c>
      <c r="E51" s="815"/>
      <c r="F51" s="815"/>
      <c r="G51" s="815"/>
      <c r="H51" s="815"/>
      <c r="I51" s="815"/>
      <c r="J51" s="815"/>
      <c r="K51" s="815"/>
      <c r="L51" s="815"/>
      <c r="M51" s="815"/>
      <c r="N51" s="815">
        <f t="shared" si="2"/>
        <v>0</v>
      </c>
      <c r="O51" s="815">
        <f t="shared" si="3"/>
        <v>0</v>
      </c>
      <c r="P51" s="815">
        <f t="shared" si="4"/>
        <v>0</v>
      </c>
      <c r="Q51" s="815">
        <f t="shared" si="5"/>
        <v>0</v>
      </c>
      <c r="R51" s="815">
        <f t="shared" si="6"/>
        <v>0</v>
      </c>
      <c r="S51" s="815">
        <f t="shared" si="7"/>
        <v>0</v>
      </c>
      <c r="T51" s="815">
        <f t="shared" si="8"/>
        <v>0</v>
      </c>
      <c r="U51" s="815">
        <f t="shared" si="9"/>
        <v>0</v>
      </c>
      <c r="V51" s="815">
        <f t="shared" si="10"/>
        <v>0</v>
      </c>
      <c r="W51" s="815"/>
      <c r="X51" s="815"/>
      <c r="Y51" s="815"/>
      <c r="Z51" s="815"/>
      <c r="AA51" s="830">
        <f t="shared" si="11"/>
        <v>0</v>
      </c>
      <c r="AB51" s="830"/>
      <c r="AC51" s="830"/>
      <c r="AD51" s="830">
        <f>VLOOKUP(C51,'[3]MỦ TẠP'!$D$10:$AM$450,36,0)</f>
        <v>0</v>
      </c>
      <c r="AE51" s="831">
        <f t="shared" si="13"/>
        <v>0</v>
      </c>
      <c r="AF51" s="830"/>
      <c r="AG51" s="830"/>
      <c r="AH51" s="830">
        <f t="shared" si="12"/>
        <v>0</v>
      </c>
      <c r="AI51" s="830">
        <f>VLOOKUP(C51,'[3]CHẤM CÔNG '!$F$10:$AM$451,33,0)</f>
        <v>0</v>
      </c>
      <c r="AJ51" s="830">
        <f>VLOOKUP(C51,'[3]CHẤM CÔNG '!$F$10:$AM$451,34,0)</f>
        <v>0</v>
      </c>
      <c r="AK51" s="830">
        <f>SUM(AI51:AJ51,AN51)</f>
        <v>0</v>
      </c>
      <c r="AL51" s="830"/>
      <c r="AM51" s="830"/>
      <c r="AN51" s="830">
        <f>VLOOKUP(C51,'[3]CHẤM CÔNG '!$F$10:$AN$451,35,0)</f>
        <v>0</v>
      </c>
      <c r="AO51" s="830">
        <f>VLOOKUP(C51,'[3]CHẤM CÔNG '!$F$10:$AR$451,36,0)</f>
        <v>0</v>
      </c>
      <c r="AP51" s="830"/>
      <c r="AQ51" s="830"/>
      <c r="AR51" s="830"/>
      <c r="AS51" s="836"/>
      <c r="AT51" s="837">
        <f>VLOOKUP(C51,'[3]MỦ TẠP'!$D$10:$AO$450,38,0)</f>
        <v>0</v>
      </c>
    </row>
    <row r="52" spans="1:46" ht="15.75">
      <c r="A52" s="812">
        <v>40</v>
      </c>
      <c r="B52" s="813" t="str">
        <f>VLOOKUP(C52,'[3]DS CN MOI UP'!$B$10:$C$489,2,0)</f>
        <v>03452</v>
      </c>
      <c r="C52" s="819" t="s">
        <v>422</v>
      </c>
      <c r="D52" s="812" t="s">
        <v>15</v>
      </c>
      <c r="E52" s="815"/>
      <c r="F52" s="815"/>
      <c r="G52" s="815"/>
      <c r="H52" s="815"/>
      <c r="I52" s="815"/>
      <c r="J52" s="815"/>
      <c r="K52" s="815"/>
      <c r="L52" s="815"/>
      <c r="M52" s="815"/>
      <c r="N52" s="815">
        <f t="shared" si="2"/>
        <v>0</v>
      </c>
      <c r="O52" s="815">
        <f t="shared" si="3"/>
        <v>0</v>
      </c>
      <c r="P52" s="815">
        <f t="shared" si="4"/>
        <v>0</v>
      </c>
      <c r="Q52" s="815">
        <f t="shared" si="5"/>
        <v>0</v>
      </c>
      <c r="R52" s="815">
        <f t="shared" si="6"/>
        <v>0</v>
      </c>
      <c r="S52" s="815">
        <f t="shared" si="7"/>
        <v>0</v>
      </c>
      <c r="T52" s="815">
        <f t="shared" si="8"/>
        <v>0</v>
      </c>
      <c r="U52" s="815">
        <f t="shared" si="9"/>
        <v>0</v>
      </c>
      <c r="V52" s="815">
        <f t="shared" si="10"/>
        <v>0</v>
      </c>
      <c r="W52" s="815"/>
      <c r="X52" s="815"/>
      <c r="Y52" s="815"/>
      <c r="Z52" s="815"/>
      <c r="AA52" s="830">
        <f t="shared" si="11"/>
        <v>0</v>
      </c>
      <c r="AB52" s="830"/>
      <c r="AC52" s="830"/>
      <c r="AD52" s="830">
        <f>VLOOKUP(C52,'[3]MỦ TẠP'!$D$10:$AM$450,36,0)</f>
        <v>0</v>
      </c>
      <c r="AE52" s="831">
        <f t="shared" si="13"/>
        <v>0</v>
      </c>
      <c r="AF52" s="830"/>
      <c r="AG52" s="830"/>
      <c r="AH52" s="830">
        <f t="shared" si="12"/>
        <v>0</v>
      </c>
      <c r="AI52" s="830">
        <f>VLOOKUP(C52,'[3]CHẤM CÔNG '!$F$10:$AM$451,33,0)</f>
        <v>0</v>
      </c>
      <c r="AJ52" s="830">
        <f>VLOOKUP(C52,'[3]CHẤM CÔNG '!$F$10:$AM$451,34,0)</f>
        <v>0</v>
      </c>
      <c r="AK52" s="830"/>
      <c r="AL52" s="830"/>
      <c r="AM52" s="830"/>
      <c r="AN52" s="830">
        <f>VLOOKUP(C52,'[3]CHẤM CÔNG '!$F$10:$AN$451,35,0)</f>
        <v>0</v>
      </c>
      <c r="AO52" s="830">
        <f>VLOOKUP(C52,'[3]CHẤM CÔNG '!$F$10:$AR$451,36,0)</f>
        <v>0</v>
      </c>
      <c r="AP52" s="830"/>
      <c r="AQ52" s="830"/>
      <c r="AR52" s="830"/>
      <c r="AS52" s="836"/>
      <c r="AT52" s="837">
        <f>VLOOKUP(C52,'[3]MỦ TẠP'!$D$10:$AO$450,38,0)</f>
        <v>0</v>
      </c>
    </row>
    <row r="53" spans="1:46" ht="15.75">
      <c r="A53" s="812">
        <v>41</v>
      </c>
      <c r="B53" s="813" t="str">
        <f>VLOOKUP(C53,'[3]DS CN MOI UP'!$B$10:$C$489,2,0)</f>
        <v>03453</v>
      </c>
      <c r="C53" s="819" t="s">
        <v>423</v>
      </c>
      <c r="D53" s="812" t="s">
        <v>15</v>
      </c>
      <c r="E53" s="815"/>
      <c r="F53" s="815"/>
      <c r="G53" s="815"/>
      <c r="H53" s="815"/>
      <c r="I53" s="815"/>
      <c r="J53" s="815"/>
      <c r="K53" s="815"/>
      <c r="L53" s="815"/>
      <c r="M53" s="815"/>
      <c r="N53" s="815">
        <f t="shared" si="2"/>
        <v>0</v>
      </c>
      <c r="O53" s="815">
        <f t="shared" si="3"/>
        <v>0</v>
      </c>
      <c r="P53" s="815">
        <f t="shared" si="4"/>
        <v>0</v>
      </c>
      <c r="Q53" s="815">
        <f t="shared" si="5"/>
        <v>0</v>
      </c>
      <c r="R53" s="815">
        <f t="shared" si="6"/>
        <v>0</v>
      </c>
      <c r="S53" s="815">
        <f t="shared" si="7"/>
        <v>0</v>
      </c>
      <c r="T53" s="815">
        <f t="shared" si="8"/>
        <v>0</v>
      </c>
      <c r="U53" s="815">
        <f t="shared" si="9"/>
        <v>0</v>
      </c>
      <c r="V53" s="815">
        <f t="shared" si="10"/>
        <v>0</v>
      </c>
      <c r="W53" s="815"/>
      <c r="X53" s="815"/>
      <c r="Y53" s="815"/>
      <c r="Z53" s="815"/>
      <c r="AA53" s="830">
        <f t="shared" si="11"/>
        <v>0</v>
      </c>
      <c r="AB53" s="830"/>
      <c r="AC53" s="830"/>
      <c r="AD53" s="830">
        <f>VLOOKUP(C53,'[3]MỦ TẠP'!$D$10:$AM$450,36,0)</f>
        <v>0</v>
      </c>
      <c r="AE53" s="831">
        <f t="shared" si="13"/>
        <v>0</v>
      </c>
      <c r="AF53" s="830"/>
      <c r="AG53" s="830"/>
      <c r="AH53" s="830">
        <f t="shared" si="12"/>
        <v>0</v>
      </c>
      <c r="AI53" s="830">
        <f>VLOOKUP(C53,'[3]CHẤM CÔNG '!$F$10:$AM$451,33,0)</f>
        <v>0</v>
      </c>
      <c r="AJ53" s="830">
        <f>VLOOKUP(C53,'[3]CHẤM CÔNG '!$F$10:$AM$451,34,0)</f>
        <v>0</v>
      </c>
      <c r="AK53" s="830"/>
      <c r="AL53" s="830"/>
      <c r="AM53" s="830"/>
      <c r="AN53" s="830">
        <f>VLOOKUP(C53,'[3]CHẤM CÔNG '!$F$10:$AN$451,35,0)</f>
        <v>0</v>
      </c>
      <c r="AO53" s="830">
        <f>VLOOKUP(C53,'[3]CHẤM CÔNG '!$F$10:$AR$451,36,0)</f>
        <v>0</v>
      </c>
      <c r="AP53" s="830"/>
      <c r="AQ53" s="830"/>
      <c r="AR53" s="830"/>
      <c r="AS53" s="836"/>
      <c r="AT53" s="837">
        <f>VLOOKUP(C53,'[3]MỦ TẠP'!$D$10:$AO$450,38,0)</f>
        <v>0</v>
      </c>
    </row>
    <row r="54" spans="1:46" ht="15.75">
      <c r="A54" s="812">
        <v>42</v>
      </c>
      <c r="B54" s="813" t="e">
        <f>VLOOKUP(C54,'[3]DS CN MOI UP'!$B$10:$C$489,2,0)</f>
        <v>#N/A</v>
      </c>
      <c r="C54" s="819" t="s">
        <v>1971</v>
      </c>
      <c r="D54" s="812" t="s">
        <v>15</v>
      </c>
      <c r="E54" s="815"/>
      <c r="F54" s="815"/>
      <c r="G54" s="815"/>
      <c r="H54" s="815"/>
      <c r="I54" s="815"/>
      <c r="J54" s="815"/>
      <c r="K54" s="815"/>
      <c r="L54" s="815"/>
      <c r="M54" s="815"/>
      <c r="N54" s="815">
        <f t="shared" si="2"/>
        <v>0</v>
      </c>
      <c r="O54" s="815">
        <f t="shared" si="3"/>
        <v>0</v>
      </c>
      <c r="P54" s="815">
        <f t="shared" si="4"/>
        <v>0</v>
      </c>
      <c r="Q54" s="815">
        <f t="shared" si="5"/>
        <v>0</v>
      </c>
      <c r="R54" s="815">
        <f t="shared" si="6"/>
        <v>0</v>
      </c>
      <c r="S54" s="815">
        <f t="shared" si="7"/>
        <v>0</v>
      </c>
      <c r="T54" s="815">
        <f t="shared" si="8"/>
        <v>0</v>
      </c>
      <c r="U54" s="815">
        <f t="shared" si="9"/>
        <v>0</v>
      </c>
      <c r="V54" s="815">
        <f t="shared" si="10"/>
        <v>0</v>
      </c>
      <c r="W54" s="815"/>
      <c r="X54" s="815"/>
      <c r="Y54" s="815"/>
      <c r="Z54" s="815"/>
      <c r="AA54" s="830">
        <f t="shared" si="11"/>
        <v>0</v>
      </c>
      <c r="AB54" s="830"/>
      <c r="AC54" s="830"/>
      <c r="AD54" s="830">
        <f>VLOOKUP(C54,'[3]MỦ TẠP'!$D$10:$AM$450,36,0)</f>
        <v>0</v>
      </c>
      <c r="AE54" s="831">
        <f t="shared" si="13"/>
        <v>0</v>
      </c>
      <c r="AF54" s="830"/>
      <c r="AG54" s="830"/>
      <c r="AH54" s="830">
        <f t="shared" si="12"/>
        <v>0</v>
      </c>
      <c r="AI54" s="830">
        <f>VLOOKUP(C54,'[3]CHẤM CÔNG '!$F$10:$AM$451,33,0)</f>
        <v>0</v>
      </c>
      <c r="AJ54" s="830">
        <f>VLOOKUP(C54,'[3]CHẤM CÔNG '!$F$10:$AM$451,34,0)</f>
        <v>0</v>
      </c>
      <c r="AK54" s="830"/>
      <c r="AL54" s="830"/>
      <c r="AM54" s="830"/>
      <c r="AN54" s="830">
        <f>VLOOKUP(C54,'[3]CHẤM CÔNG '!$F$10:$AN$451,35,0)</f>
        <v>0</v>
      </c>
      <c r="AO54" s="830">
        <f>VLOOKUP(C54,'[3]CHẤM CÔNG '!$F$10:$AR$451,36,0)</f>
        <v>0</v>
      </c>
      <c r="AP54" s="830"/>
      <c r="AQ54" s="830"/>
      <c r="AR54" s="830"/>
      <c r="AS54" s="836"/>
      <c r="AT54" s="837">
        <f>VLOOKUP(C54,'[3]MỦ TẠP'!$D$10:$AO$450,38,0)</f>
        <v>0</v>
      </c>
    </row>
    <row r="55" spans="1:46" ht="15.75">
      <c r="A55" s="812">
        <v>43</v>
      </c>
      <c r="B55" s="813" t="str">
        <f>VLOOKUP(C55,'[3]DS CN MOI UP'!$B$10:$C$489,2,0)</f>
        <v>03455</v>
      </c>
      <c r="C55" s="819" t="s">
        <v>425</v>
      </c>
      <c r="D55" s="812" t="s">
        <v>15</v>
      </c>
      <c r="E55" s="815"/>
      <c r="F55" s="815"/>
      <c r="G55" s="815"/>
      <c r="H55" s="815"/>
      <c r="I55" s="815"/>
      <c r="J55" s="815"/>
      <c r="K55" s="815"/>
      <c r="L55" s="815"/>
      <c r="M55" s="815"/>
      <c r="N55" s="815">
        <f t="shared" si="2"/>
        <v>0</v>
      </c>
      <c r="O55" s="815">
        <f t="shared" si="3"/>
        <v>0</v>
      </c>
      <c r="P55" s="815">
        <f t="shared" si="4"/>
        <v>0</v>
      </c>
      <c r="Q55" s="815">
        <f t="shared" si="5"/>
        <v>0</v>
      </c>
      <c r="R55" s="815">
        <f t="shared" si="6"/>
        <v>0</v>
      </c>
      <c r="S55" s="815">
        <f t="shared" si="7"/>
        <v>0</v>
      </c>
      <c r="T55" s="815">
        <f t="shared" si="8"/>
        <v>0</v>
      </c>
      <c r="U55" s="815">
        <f t="shared" si="9"/>
        <v>0</v>
      </c>
      <c r="V55" s="815">
        <f t="shared" si="10"/>
        <v>0</v>
      </c>
      <c r="W55" s="815"/>
      <c r="X55" s="815"/>
      <c r="Y55" s="815"/>
      <c r="Z55" s="815"/>
      <c r="AA55" s="830">
        <f t="shared" si="11"/>
        <v>0</v>
      </c>
      <c r="AB55" s="830"/>
      <c r="AC55" s="830"/>
      <c r="AD55" s="830">
        <f>VLOOKUP(C55,'[3]MỦ TẠP'!$D$10:$AM$450,36,0)</f>
        <v>0</v>
      </c>
      <c r="AE55" s="831">
        <f t="shared" si="13"/>
        <v>0</v>
      </c>
      <c r="AF55" s="830"/>
      <c r="AG55" s="830"/>
      <c r="AH55" s="830">
        <f t="shared" si="12"/>
        <v>0</v>
      </c>
      <c r="AI55" s="830">
        <f>VLOOKUP(C55,'[3]CHẤM CÔNG '!$F$10:$AM$451,33,0)</f>
        <v>0</v>
      </c>
      <c r="AJ55" s="830">
        <f>VLOOKUP(C55,'[3]CHẤM CÔNG '!$F$10:$AM$451,34,0)</f>
        <v>0</v>
      </c>
      <c r="AK55" s="830">
        <f>SUM(AI55:AJ55,AN55)</f>
        <v>0</v>
      </c>
      <c r="AL55" s="830"/>
      <c r="AM55" s="830"/>
      <c r="AN55" s="830">
        <f>VLOOKUP(C55,'[3]CHẤM CÔNG '!$F$10:$AN$451,35,0)</f>
        <v>0</v>
      </c>
      <c r="AO55" s="830">
        <f>VLOOKUP(C55,'[3]CHẤM CÔNG '!$F$10:$AR$451,36,0)</f>
        <v>0</v>
      </c>
      <c r="AP55" s="830"/>
      <c r="AQ55" s="830"/>
      <c r="AR55" s="830"/>
      <c r="AS55" s="836"/>
      <c r="AT55" s="837">
        <f>VLOOKUP(C55,'[3]MỦ TẠP'!$D$10:$AO$450,38,0)</f>
        <v>0</v>
      </c>
    </row>
    <row r="56" spans="1:46">
      <c r="A56" s="820" t="s">
        <v>520</v>
      </c>
      <c r="B56" s="813"/>
      <c r="C56" s="821"/>
      <c r="D56" s="822"/>
      <c r="E56" s="823">
        <f t="shared" ref="E56:AE56" si="21">SUM(E57:E113)</f>
        <v>0</v>
      </c>
      <c r="F56" s="823">
        <f t="shared" si="21"/>
        <v>0</v>
      </c>
      <c r="G56" s="823">
        <f t="shared" si="21"/>
        <v>0</v>
      </c>
      <c r="H56" s="823">
        <f t="shared" si="21"/>
        <v>0</v>
      </c>
      <c r="I56" s="823">
        <f t="shared" si="21"/>
        <v>0</v>
      </c>
      <c r="J56" s="823">
        <f t="shared" si="21"/>
        <v>0</v>
      </c>
      <c r="K56" s="823">
        <f t="shared" si="21"/>
        <v>0</v>
      </c>
      <c r="L56" s="823">
        <f t="shared" si="21"/>
        <v>0</v>
      </c>
      <c r="M56" s="823">
        <f t="shared" si="21"/>
        <v>0</v>
      </c>
      <c r="N56" s="823">
        <f t="shared" si="21"/>
        <v>0</v>
      </c>
      <c r="O56" s="823">
        <f t="shared" si="21"/>
        <v>0</v>
      </c>
      <c r="P56" s="823">
        <f t="shared" si="21"/>
        <v>0</v>
      </c>
      <c r="Q56" s="823">
        <f t="shared" si="21"/>
        <v>0</v>
      </c>
      <c r="R56" s="823">
        <f t="shared" si="21"/>
        <v>0</v>
      </c>
      <c r="S56" s="823">
        <f t="shared" si="21"/>
        <v>0</v>
      </c>
      <c r="T56" s="823">
        <f t="shared" si="21"/>
        <v>0</v>
      </c>
      <c r="U56" s="823">
        <f t="shared" si="21"/>
        <v>0</v>
      </c>
      <c r="V56" s="823">
        <f t="shared" si="21"/>
        <v>0</v>
      </c>
      <c r="W56" s="823">
        <f t="shared" si="21"/>
        <v>0</v>
      </c>
      <c r="X56" s="823">
        <f t="shared" si="21"/>
        <v>0</v>
      </c>
      <c r="Y56" s="823">
        <f t="shared" si="21"/>
        <v>0</v>
      </c>
      <c r="Z56" s="823">
        <f t="shared" si="21"/>
        <v>0</v>
      </c>
      <c r="AA56" s="823">
        <f t="shared" si="21"/>
        <v>0</v>
      </c>
      <c r="AB56" s="823">
        <f t="shared" si="21"/>
        <v>0</v>
      </c>
      <c r="AC56" s="823">
        <f t="shared" si="21"/>
        <v>0</v>
      </c>
      <c r="AD56" s="823">
        <f t="shared" si="21"/>
        <v>0</v>
      </c>
      <c r="AE56" s="823">
        <f t="shared" si="21"/>
        <v>0</v>
      </c>
      <c r="AF56" s="823"/>
      <c r="AG56" s="823">
        <f>SUM(AG57:AG113)</f>
        <v>0</v>
      </c>
      <c r="AH56" s="823">
        <f>SUM(AH57:AH113)</f>
        <v>0</v>
      </c>
      <c r="AI56" s="823">
        <f>SUM(AI57:AI113)</f>
        <v>0</v>
      </c>
      <c r="AJ56" s="823">
        <f>SUM(AJ57:AJ113)</f>
        <v>0</v>
      </c>
      <c r="AK56" s="823">
        <f>SUM(AK57:AK113)</f>
        <v>0</v>
      </c>
      <c r="AL56" s="823"/>
      <c r="AM56" s="823">
        <f t="shared" ref="AM56:AT56" si="22">SUM(AM57:AM113)</f>
        <v>0</v>
      </c>
      <c r="AN56" s="823">
        <f t="shared" si="22"/>
        <v>0</v>
      </c>
      <c r="AO56" s="823">
        <f t="shared" si="22"/>
        <v>0</v>
      </c>
      <c r="AP56" s="823">
        <f t="shared" si="22"/>
        <v>0</v>
      </c>
      <c r="AQ56" s="823">
        <f t="shared" si="22"/>
        <v>0</v>
      </c>
      <c r="AR56" s="823">
        <f t="shared" si="22"/>
        <v>0</v>
      </c>
      <c r="AS56" s="823">
        <f t="shared" si="22"/>
        <v>0</v>
      </c>
      <c r="AT56" s="823">
        <f t="shared" si="22"/>
        <v>0</v>
      </c>
    </row>
    <row r="57" spans="1:46" ht="15.75">
      <c r="A57" s="824">
        <v>1</v>
      </c>
      <c r="B57" s="813" t="e">
        <f>VLOOKUP(C57,'[3]DS CN MOI UP'!$B$10:$C$489,2,0)</f>
        <v>#N/A</v>
      </c>
      <c r="C57" s="825" t="s">
        <v>1972</v>
      </c>
      <c r="D57" s="826" t="s">
        <v>15</v>
      </c>
      <c r="E57" s="815"/>
      <c r="F57" s="815"/>
      <c r="G57" s="815"/>
      <c r="H57" s="815"/>
      <c r="I57" s="815"/>
      <c r="J57" s="815"/>
      <c r="K57" s="815"/>
      <c r="L57" s="815"/>
      <c r="M57" s="815"/>
      <c r="N57" s="815">
        <f t="shared" ref="N57:N113" si="23">E57/$N$8</f>
        <v>0</v>
      </c>
      <c r="O57" s="815">
        <f t="shared" ref="O57:O113" si="24">F57/$O$8</f>
        <v>0</v>
      </c>
      <c r="P57" s="815">
        <f t="shared" ref="P57:P113" si="25">G57/$P$8</f>
        <v>0</v>
      </c>
      <c r="Q57" s="815">
        <f t="shared" ref="Q57:Q113" si="26">H57/$Q$8</f>
        <v>0</v>
      </c>
      <c r="R57" s="815">
        <f t="shared" ref="R57:R113" si="27">I57/$R$8</f>
        <v>0</v>
      </c>
      <c r="S57" s="815">
        <f t="shared" ref="S57:S113" si="28">J57/$S$8</f>
        <v>0</v>
      </c>
      <c r="T57" s="815">
        <f t="shared" ref="T57:T113" si="29">K57/$T$8</f>
        <v>0</v>
      </c>
      <c r="U57" s="815">
        <f t="shared" ref="U57:U113" si="30">L57/$U$8</f>
        <v>0</v>
      </c>
      <c r="V57" s="815">
        <f t="shared" ref="V57:V113" si="31">M57/$V$8</f>
        <v>0</v>
      </c>
      <c r="W57" s="815"/>
      <c r="X57" s="815"/>
      <c r="Y57" s="815"/>
      <c r="Z57" s="815"/>
      <c r="AA57" s="830">
        <f t="shared" ref="AA57:AA113" si="32">SUM(N57:Z57)</f>
        <v>0</v>
      </c>
      <c r="AB57" s="830">
        <f>VLOOKUP(C57,'[3]MỦ TẠP'!$D$10:$AM$450,33,0)</f>
        <v>0</v>
      </c>
      <c r="AC57" s="830">
        <f>VLOOKUP(C57,'[3]MỦ TẠP'!$D$10:$AM$450,34,0)</f>
        <v>0</v>
      </c>
      <c r="AD57" s="830">
        <f>VLOOKUP(C57,'[3]MỦ TẠP'!$D$10:$AM$450,35,0)</f>
        <v>0</v>
      </c>
      <c r="AE57" s="830">
        <f>SUM(AB57:AD57)</f>
        <v>0</v>
      </c>
      <c r="AF57" s="830"/>
      <c r="AG57" s="830"/>
      <c r="AH57" s="830">
        <f t="shared" ref="AH57:AH113" si="33">AE57*$AV$14+AF57*$AV$10</f>
        <v>0</v>
      </c>
      <c r="AI57" s="830">
        <f>VLOOKUP(C57,'[3]CHẤM CÔNG '!$F$10:$AM$451,33,0)</f>
        <v>0</v>
      </c>
      <c r="AJ57" s="830">
        <f>VLOOKUP(C57,'[3]CHẤM CÔNG '!$F$10:$AM$451,34,0)</f>
        <v>0</v>
      </c>
      <c r="AK57" s="830"/>
      <c r="AL57" s="830"/>
      <c r="AM57" s="830"/>
      <c r="AN57" s="830">
        <f>VLOOKUP(C57,'[3]CHẤM CÔNG '!$F$10:$AN$451,35,0)</f>
        <v>0</v>
      </c>
      <c r="AO57" s="830">
        <f>VLOOKUP(C57,'[3]CHẤM CÔNG '!$F$10:$AR$451,36,0)</f>
        <v>0</v>
      </c>
      <c r="AP57" s="830"/>
      <c r="AQ57" s="830"/>
      <c r="AR57" s="830"/>
      <c r="AS57" s="836"/>
      <c r="AT57" s="837">
        <f>VLOOKUP(C57,'[3]MỦ TẠP'!$D$10:$AO$450,38,0)</f>
        <v>0</v>
      </c>
    </row>
    <row r="58" spans="1:46" ht="15.75">
      <c r="A58" s="824">
        <v>2</v>
      </c>
      <c r="B58" s="813" t="e">
        <f>VLOOKUP(C58,'[3]DS CN MOI UP'!$B$10:$C$489,2,0)</f>
        <v>#N/A</v>
      </c>
      <c r="C58" s="825" t="s">
        <v>1050</v>
      </c>
      <c r="D58" s="826" t="s">
        <v>15</v>
      </c>
      <c r="E58" s="815"/>
      <c r="F58" s="815"/>
      <c r="G58" s="815"/>
      <c r="H58" s="815"/>
      <c r="I58" s="815"/>
      <c r="J58" s="815"/>
      <c r="K58" s="815"/>
      <c r="L58" s="815"/>
      <c r="M58" s="815"/>
      <c r="N58" s="815">
        <f t="shared" si="23"/>
        <v>0</v>
      </c>
      <c r="O58" s="815">
        <f t="shared" si="24"/>
        <v>0</v>
      </c>
      <c r="P58" s="815">
        <f t="shared" si="25"/>
        <v>0</v>
      </c>
      <c r="Q58" s="815">
        <f t="shared" si="26"/>
        <v>0</v>
      </c>
      <c r="R58" s="815">
        <f t="shared" si="27"/>
        <v>0</v>
      </c>
      <c r="S58" s="815">
        <f t="shared" si="28"/>
        <v>0</v>
      </c>
      <c r="T58" s="815">
        <f t="shared" si="29"/>
        <v>0</v>
      </c>
      <c r="U58" s="815">
        <f t="shared" si="30"/>
        <v>0</v>
      </c>
      <c r="V58" s="815">
        <f t="shared" si="31"/>
        <v>0</v>
      </c>
      <c r="W58" s="815"/>
      <c r="X58" s="815"/>
      <c r="Y58" s="815"/>
      <c r="Z58" s="815"/>
      <c r="AA58" s="830">
        <f t="shared" si="32"/>
        <v>0</v>
      </c>
      <c r="AB58" s="830">
        <f>VLOOKUP(C58,'[3]MỦ TẠP'!$D$10:$AM$450,33,0)</f>
        <v>0</v>
      </c>
      <c r="AC58" s="830">
        <f>VLOOKUP(C58,'[3]MỦ TẠP'!$D$10:$AM$450,34,0)</f>
        <v>0</v>
      </c>
      <c r="AD58" s="830">
        <f>VLOOKUP(C58,'[3]MỦ TẠP'!$D$10:$AM$450,35,0)</f>
        <v>0</v>
      </c>
      <c r="AE58" s="830">
        <f t="shared" ref="AE58:AE113" si="34">SUM(AB58:AD58)</f>
        <v>0</v>
      </c>
      <c r="AF58" s="830"/>
      <c r="AG58" s="830"/>
      <c r="AH58" s="830">
        <f t="shared" si="33"/>
        <v>0</v>
      </c>
      <c r="AI58" s="830">
        <f>VLOOKUP(C58,'[3]CHẤM CÔNG '!$F$10:$AM$451,33,0)</f>
        <v>0</v>
      </c>
      <c r="AJ58" s="830">
        <f>VLOOKUP(C58,'[3]CHẤM CÔNG '!$F$10:$AM$451,34,0)</f>
        <v>0</v>
      </c>
      <c r="AK58" s="830"/>
      <c r="AL58" s="830"/>
      <c r="AM58" s="830"/>
      <c r="AN58" s="830">
        <f>VLOOKUP(C58,'[3]CHẤM CÔNG '!$F$10:$AN$451,35,0)</f>
        <v>0</v>
      </c>
      <c r="AO58" s="830">
        <f>VLOOKUP(C58,'[3]CHẤM CÔNG '!$F$10:$AR$451,36,0)</f>
        <v>0</v>
      </c>
      <c r="AP58" s="830"/>
      <c r="AQ58" s="830"/>
      <c r="AR58" s="830"/>
      <c r="AS58" s="836"/>
      <c r="AT58" s="837">
        <f>VLOOKUP(C58,'[3]MỦ TẠP'!$D$10:$AO$450,38,0)</f>
        <v>0</v>
      </c>
    </row>
    <row r="59" spans="1:46" ht="15.75">
      <c r="A59" s="824">
        <v>3</v>
      </c>
      <c r="B59" s="813" t="str">
        <f>VLOOKUP(C59,'[3]DS CN MOI UP'!$B$10:$C$489,2,0)</f>
        <v>03273</v>
      </c>
      <c r="C59" s="825" t="s">
        <v>432</v>
      </c>
      <c r="D59" s="826" t="s">
        <v>15</v>
      </c>
      <c r="E59" s="815"/>
      <c r="F59" s="815"/>
      <c r="G59" s="815"/>
      <c r="H59" s="815"/>
      <c r="I59" s="815"/>
      <c r="J59" s="815"/>
      <c r="K59" s="815"/>
      <c r="L59" s="815"/>
      <c r="M59" s="815"/>
      <c r="N59" s="815">
        <f t="shared" si="23"/>
        <v>0</v>
      </c>
      <c r="O59" s="815">
        <f t="shared" si="24"/>
        <v>0</v>
      </c>
      <c r="P59" s="815">
        <f t="shared" si="25"/>
        <v>0</v>
      </c>
      <c r="Q59" s="815">
        <f t="shared" si="26"/>
        <v>0</v>
      </c>
      <c r="R59" s="815">
        <f t="shared" si="27"/>
        <v>0</v>
      </c>
      <c r="S59" s="815">
        <f t="shared" si="28"/>
        <v>0</v>
      </c>
      <c r="T59" s="815">
        <f t="shared" si="29"/>
        <v>0</v>
      </c>
      <c r="U59" s="815">
        <f t="shared" si="30"/>
        <v>0</v>
      </c>
      <c r="V59" s="815">
        <f t="shared" si="31"/>
        <v>0</v>
      </c>
      <c r="W59" s="815"/>
      <c r="X59" s="815"/>
      <c r="Y59" s="815"/>
      <c r="Z59" s="815"/>
      <c r="AA59" s="830">
        <f t="shared" si="32"/>
        <v>0</v>
      </c>
      <c r="AB59" s="830">
        <f>VLOOKUP(C59,'[3]MỦ TẠP'!$D$10:$AM$450,33,0)</f>
        <v>0</v>
      </c>
      <c r="AC59" s="830">
        <f>VLOOKUP(C59,'[3]MỦ TẠP'!$D$10:$AM$450,34,0)</f>
        <v>0</v>
      </c>
      <c r="AD59" s="830">
        <f>VLOOKUP(C59,'[3]MỦ TẠP'!$D$10:$AM$450,35,0)</f>
        <v>0</v>
      </c>
      <c r="AE59" s="830">
        <f t="shared" si="34"/>
        <v>0</v>
      </c>
      <c r="AF59" s="830"/>
      <c r="AG59" s="830"/>
      <c r="AH59" s="830">
        <f t="shared" si="33"/>
        <v>0</v>
      </c>
      <c r="AI59" s="830">
        <f>VLOOKUP(C59,'[3]CHẤM CÔNG '!$F$10:$AM$451,33,0)</f>
        <v>0</v>
      </c>
      <c r="AJ59" s="830">
        <f>VLOOKUP(C59,'[3]CHẤM CÔNG '!$F$10:$AM$451,34,0)</f>
        <v>0</v>
      </c>
      <c r="AK59" s="830"/>
      <c r="AL59" s="830"/>
      <c r="AM59" s="830"/>
      <c r="AN59" s="830">
        <f>VLOOKUP(C59,'[3]CHẤM CÔNG '!$F$10:$AN$451,35,0)</f>
        <v>0</v>
      </c>
      <c r="AO59" s="830">
        <f>VLOOKUP(C59,'[3]CHẤM CÔNG '!$F$10:$AR$451,36,0)</f>
        <v>0</v>
      </c>
      <c r="AP59" s="830"/>
      <c r="AQ59" s="830"/>
      <c r="AR59" s="830"/>
      <c r="AS59" s="836"/>
      <c r="AT59" s="837">
        <f>VLOOKUP(C59,'[3]MỦ TẠP'!$D$10:$AO$450,38,0)</f>
        <v>0</v>
      </c>
    </row>
    <row r="60" spans="1:46" ht="15.75">
      <c r="A60" s="824">
        <v>4</v>
      </c>
      <c r="B60" s="813" t="str">
        <f>VLOOKUP(C60,'[3]DS CN MOI UP'!$B$10:$C$489,2,0)</f>
        <v>03274</v>
      </c>
      <c r="C60" s="825" t="s">
        <v>433</v>
      </c>
      <c r="D60" s="826" t="s">
        <v>15</v>
      </c>
      <c r="E60" s="815"/>
      <c r="F60" s="815"/>
      <c r="G60" s="815"/>
      <c r="H60" s="815"/>
      <c r="I60" s="815"/>
      <c r="J60" s="815"/>
      <c r="K60" s="815"/>
      <c r="L60" s="815"/>
      <c r="M60" s="815"/>
      <c r="N60" s="815">
        <f t="shared" si="23"/>
        <v>0</v>
      </c>
      <c r="O60" s="815">
        <f t="shared" si="24"/>
        <v>0</v>
      </c>
      <c r="P60" s="815">
        <f t="shared" si="25"/>
        <v>0</v>
      </c>
      <c r="Q60" s="815">
        <f t="shared" si="26"/>
        <v>0</v>
      </c>
      <c r="R60" s="815">
        <f t="shared" si="27"/>
        <v>0</v>
      </c>
      <c r="S60" s="815">
        <f t="shared" si="28"/>
        <v>0</v>
      </c>
      <c r="T60" s="815">
        <f t="shared" si="29"/>
        <v>0</v>
      </c>
      <c r="U60" s="815">
        <f t="shared" si="30"/>
        <v>0</v>
      </c>
      <c r="V60" s="815">
        <f t="shared" si="31"/>
        <v>0</v>
      </c>
      <c r="W60" s="815"/>
      <c r="X60" s="815"/>
      <c r="Y60" s="815"/>
      <c r="Z60" s="815"/>
      <c r="AA60" s="830">
        <f t="shared" si="32"/>
        <v>0</v>
      </c>
      <c r="AB60" s="830">
        <f>VLOOKUP(C60,'[3]MỦ TẠP'!$D$10:$AM$450,33,0)</f>
        <v>0</v>
      </c>
      <c r="AC60" s="830">
        <f>VLOOKUP(C60,'[3]MỦ TẠP'!$D$10:$AM$450,34,0)</f>
        <v>0</v>
      </c>
      <c r="AD60" s="830">
        <f>VLOOKUP(C60,'[3]MỦ TẠP'!$D$10:$AM$450,35,0)</f>
        <v>0</v>
      </c>
      <c r="AE60" s="830">
        <f t="shared" si="34"/>
        <v>0</v>
      </c>
      <c r="AF60" s="830"/>
      <c r="AG60" s="830"/>
      <c r="AH60" s="830">
        <f t="shared" si="33"/>
        <v>0</v>
      </c>
      <c r="AI60" s="830">
        <f>VLOOKUP(C60,'[3]CHẤM CÔNG '!$F$10:$AM$451,33,0)</f>
        <v>0</v>
      </c>
      <c r="AJ60" s="830">
        <f>VLOOKUP(C60,'[3]CHẤM CÔNG '!$F$10:$AM$451,34,0)</f>
        <v>0</v>
      </c>
      <c r="AK60" s="830"/>
      <c r="AL60" s="830"/>
      <c r="AM60" s="830"/>
      <c r="AN60" s="830">
        <f>VLOOKUP(C60,'[3]CHẤM CÔNG '!$F$10:$AN$451,35,0)</f>
        <v>0</v>
      </c>
      <c r="AO60" s="830">
        <f>VLOOKUP(C60,'[3]CHẤM CÔNG '!$F$10:$AR$451,36,0)</f>
        <v>0</v>
      </c>
      <c r="AP60" s="830"/>
      <c r="AQ60" s="830"/>
      <c r="AR60" s="830"/>
      <c r="AS60" s="836"/>
      <c r="AT60" s="837">
        <f>VLOOKUP(C60,'[3]MỦ TẠP'!$D$10:$AO$450,38,0)</f>
        <v>0</v>
      </c>
    </row>
    <row r="61" spans="1:46" ht="15.75">
      <c r="A61" s="824">
        <v>5</v>
      </c>
      <c r="B61" s="813" t="str">
        <f>VLOOKUP(C61,'[3]DS CN MOI UP'!$B$10:$C$489,2,0)</f>
        <v>03275</v>
      </c>
      <c r="C61" s="825" t="s">
        <v>434</v>
      </c>
      <c r="D61" s="826" t="s">
        <v>15</v>
      </c>
      <c r="E61" s="815"/>
      <c r="F61" s="815"/>
      <c r="G61" s="815"/>
      <c r="H61" s="815"/>
      <c r="I61" s="815"/>
      <c r="J61" s="815"/>
      <c r="K61" s="815"/>
      <c r="L61" s="815"/>
      <c r="M61" s="815"/>
      <c r="N61" s="815">
        <f t="shared" si="23"/>
        <v>0</v>
      </c>
      <c r="O61" s="815">
        <f t="shared" si="24"/>
        <v>0</v>
      </c>
      <c r="P61" s="815">
        <f t="shared" si="25"/>
        <v>0</v>
      </c>
      <c r="Q61" s="815">
        <f t="shared" si="26"/>
        <v>0</v>
      </c>
      <c r="R61" s="815">
        <f t="shared" si="27"/>
        <v>0</v>
      </c>
      <c r="S61" s="815">
        <f t="shared" si="28"/>
        <v>0</v>
      </c>
      <c r="T61" s="815">
        <f t="shared" si="29"/>
        <v>0</v>
      </c>
      <c r="U61" s="815">
        <f t="shared" si="30"/>
        <v>0</v>
      </c>
      <c r="V61" s="815">
        <f t="shared" si="31"/>
        <v>0</v>
      </c>
      <c r="W61" s="815"/>
      <c r="X61" s="815"/>
      <c r="Y61" s="815"/>
      <c r="Z61" s="815"/>
      <c r="AA61" s="830">
        <f t="shared" si="32"/>
        <v>0</v>
      </c>
      <c r="AB61" s="830">
        <f>VLOOKUP(C61,'[3]MỦ TẠP'!$D$10:$AM$450,33,0)</f>
        <v>0</v>
      </c>
      <c r="AC61" s="830">
        <f>VLOOKUP(C61,'[3]MỦ TẠP'!$D$10:$AM$450,34,0)</f>
        <v>0</v>
      </c>
      <c r="AD61" s="830">
        <f>VLOOKUP(C61,'[3]MỦ TẠP'!$D$10:$AM$450,35,0)</f>
        <v>0</v>
      </c>
      <c r="AE61" s="830">
        <f t="shared" si="34"/>
        <v>0</v>
      </c>
      <c r="AF61" s="830"/>
      <c r="AG61" s="830"/>
      <c r="AH61" s="830">
        <f t="shared" si="33"/>
        <v>0</v>
      </c>
      <c r="AI61" s="830">
        <f>VLOOKUP(C61,'[3]CHẤM CÔNG '!$F$10:$AM$451,33,0)</f>
        <v>0</v>
      </c>
      <c r="AJ61" s="830">
        <f>VLOOKUP(C61,'[3]CHẤM CÔNG '!$F$10:$AM$451,34,0)</f>
        <v>0</v>
      </c>
      <c r="AK61" s="830"/>
      <c r="AL61" s="830"/>
      <c r="AM61" s="830"/>
      <c r="AN61" s="830">
        <f>VLOOKUP(C61,'[3]CHẤM CÔNG '!$F$10:$AN$451,35,0)</f>
        <v>0</v>
      </c>
      <c r="AO61" s="830">
        <f>VLOOKUP(C61,'[3]CHẤM CÔNG '!$F$10:$AR$451,36,0)</f>
        <v>0</v>
      </c>
      <c r="AP61" s="830"/>
      <c r="AQ61" s="830"/>
      <c r="AR61" s="830"/>
      <c r="AS61" s="836"/>
      <c r="AT61" s="837">
        <f>VLOOKUP(C61,'[3]MỦ TẠP'!$D$10:$AO$450,38,0)</f>
        <v>0</v>
      </c>
    </row>
    <row r="62" spans="1:46" ht="15.75">
      <c r="A62" s="824">
        <v>6</v>
      </c>
      <c r="B62" s="813" t="str">
        <f>VLOOKUP(C62,'[3]DS CN MOI UP'!$B$10:$C$489,2,0)</f>
        <v>02666</v>
      </c>
      <c r="C62" s="825" t="s">
        <v>435</v>
      </c>
      <c r="D62" s="826" t="s">
        <v>15</v>
      </c>
      <c r="E62" s="815"/>
      <c r="F62" s="815"/>
      <c r="G62" s="815"/>
      <c r="H62" s="815"/>
      <c r="I62" s="815"/>
      <c r="J62" s="815"/>
      <c r="K62" s="815"/>
      <c r="L62" s="815"/>
      <c r="M62" s="815"/>
      <c r="N62" s="815">
        <f t="shared" si="23"/>
        <v>0</v>
      </c>
      <c r="O62" s="815">
        <f t="shared" si="24"/>
        <v>0</v>
      </c>
      <c r="P62" s="815">
        <f t="shared" si="25"/>
        <v>0</v>
      </c>
      <c r="Q62" s="815">
        <f t="shared" si="26"/>
        <v>0</v>
      </c>
      <c r="R62" s="815">
        <f t="shared" si="27"/>
        <v>0</v>
      </c>
      <c r="S62" s="815">
        <f t="shared" si="28"/>
        <v>0</v>
      </c>
      <c r="T62" s="815">
        <f t="shared" si="29"/>
        <v>0</v>
      </c>
      <c r="U62" s="815">
        <f t="shared" si="30"/>
        <v>0</v>
      </c>
      <c r="V62" s="815">
        <f t="shared" si="31"/>
        <v>0</v>
      </c>
      <c r="W62" s="815"/>
      <c r="X62" s="815"/>
      <c r="Y62" s="815"/>
      <c r="Z62" s="815"/>
      <c r="AA62" s="830">
        <f t="shared" si="32"/>
        <v>0</v>
      </c>
      <c r="AB62" s="830">
        <f>VLOOKUP(C62,'[3]MỦ TẠP'!$D$10:$AM$450,33,0)</f>
        <v>0</v>
      </c>
      <c r="AC62" s="830">
        <f>VLOOKUP(C62,'[3]MỦ TẠP'!$D$10:$AM$450,34,0)</f>
        <v>0</v>
      </c>
      <c r="AD62" s="830">
        <f>VLOOKUP(C62,'[3]MỦ TẠP'!$D$10:$AM$450,35,0)</f>
        <v>0</v>
      </c>
      <c r="AE62" s="830">
        <f t="shared" si="34"/>
        <v>0</v>
      </c>
      <c r="AF62" s="830"/>
      <c r="AG62" s="830"/>
      <c r="AH62" s="830">
        <f t="shared" si="33"/>
        <v>0</v>
      </c>
      <c r="AI62" s="830">
        <f>VLOOKUP(C62,'[3]CHẤM CÔNG '!$F$10:$AM$451,33,0)</f>
        <v>0</v>
      </c>
      <c r="AJ62" s="830">
        <f>VLOOKUP(C62,'[3]CHẤM CÔNG '!$F$10:$AM$451,34,0)</f>
        <v>0</v>
      </c>
      <c r="AK62" s="830"/>
      <c r="AL62" s="830"/>
      <c r="AM62" s="830"/>
      <c r="AN62" s="830">
        <f>VLOOKUP(C62,'[3]CHẤM CÔNG '!$F$10:$AN$451,35,0)</f>
        <v>0</v>
      </c>
      <c r="AO62" s="830">
        <f>VLOOKUP(C62,'[3]CHẤM CÔNG '!$F$10:$AR$451,36,0)</f>
        <v>0</v>
      </c>
      <c r="AP62" s="830"/>
      <c r="AQ62" s="830"/>
      <c r="AR62" s="830"/>
      <c r="AS62" s="836"/>
      <c r="AT62" s="837">
        <f>VLOOKUP(C62,'[3]MỦ TẠP'!$D$10:$AO$450,38,0)</f>
        <v>0</v>
      </c>
    </row>
    <row r="63" spans="1:46" ht="15.75">
      <c r="A63" s="824">
        <v>7</v>
      </c>
      <c r="B63" s="813" t="str">
        <f>VLOOKUP(C63,'[3]DS CN MOI UP'!$B$10:$C$489,2,0)</f>
        <v>03276</v>
      </c>
      <c r="C63" s="825" t="s">
        <v>436</v>
      </c>
      <c r="D63" s="826" t="s">
        <v>15</v>
      </c>
      <c r="E63" s="815"/>
      <c r="F63" s="815"/>
      <c r="G63" s="815"/>
      <c r="H63" s="815"/>
      <c r="I63" s="815"/>
      <c r="J63" s="815"/>
      <c r="K63" s="815"/>
      <c r="L63" s="815"/>
      <c r="M63" s="815"/>
      <c r="N63" s="815">
        <f t="shared" si="23"/>
        <v>0</v>
      </c>
      <c r="O63" s="815">
        <f t="shared" si="24"/>
        <v>0</v>
      </c>
      <c r="P63" s="815">
        <f t="shared" si="25"/>
        <v>0</v>
      </c>
      <c r="Q63" s="815">
        <f t="shared" si="26"/>
        <v>0</v>
      </c>
      <c r="R63" s="815">
        <f t="shared" si="27"/>
        <v>0</v>
      </c>
      <c r="S63" s="815">
        <f t="shared" si="28"/>
        <v>0</v>
      </c>
      <c r="T63" s="815">
        <f t="shared" si="29"/>
        <v>0</v>
      </c>
      <c r="U63" s="815">
        <f t="shared" si="30"/>
        <v>0</v>
      </c>
      <c r="V63" s="815">
        <f t="shared" si="31"/>
        <v>0</v>
      </c>
      <c r="W63" s="815"/>
      <c r="X63" s="815"/>
      <c r="Y63" s="815"/>
      <c r="Z63" s="815"/>
      <c r="AA63" s="830">
        <f t="shared" si="32"/>
        <v>0</v>
      </c>
      <c r="AB63" s="830">
        <f>VLOOKUP(C63,'[3]MỦ TẠP'!$D$10:$AM$450,33,0)</f>
        <v>0</v>
      </c>
      <c r="AC63" s="830">
        <f>VLOOKUP(C63,'[3]MỦ TẠP'!$D$10:$AM$450,34,0)</f>
        <v>0</v>
      </c>
      <c r="AD63" s="830">
        <f>VLOOKUP(C63,'[3]MỦ TẠP'!$D$10:$AM$450,35,0)</f>
        <v>0</v>
      </c>
      <c r="AE63" s="830">
        <f t="shared" si="34"/>
        <v>0</v>
      </c>
      <c r="AF63" s="830"/>
      <c r="AG63" s="830"/>
      <c r="AH63" s="830">
        <f t="shared" si="33"/>
        <v>0</v>
      </c>
      <c r="AI63" s="830">
        <f>VLOOKUP(C63,'[3]CHẤM CÔNG '!$F$10:$AM$451,33,0)</f>
        <v>0</v>
      </c>
      <c r="AJ63" s="830">
        <f>VLOOKUP(C63,'[3]CHẤM CÔNG '!$F$10:$AM$451,34,0)</f>
        <v>0</v>
      </c>
      <c r="AK63" s="830"/>
      <c r="AL63" s="830"/>
      <c r="AM63" s="830"/>
      <c r="AN63" s="830">
        <f>VLOOKUP(C63,'[3]CHẤM CÔNG '!$F$10:$AN$451,35,0)</f>
        <v>0</v>
      </c>
      <c r="AO63" s="830">
        <f>VLOOKUP(C63,'[3]CHẤM CÔNG '!$F$10:$AR$451,36,0)</f>
        <v>0</v>
      </c>
      <c r="AP63" s="830"/>
      <c r="AQ63" s="830"/>
      <c r="AR63" s="830"/>
      <c r="AS63" s="836"/>
      <c r="AT63" s="837">
        <f>VLOOKUP(C63,'[3]MỦ TẠP'!$D$10:$AO$450,38,0)</f>
        <v>0</v>
      </c>
    </row>
    <row r="64" spans="1:46" ht="15.75">
      <c r="A64" s="824">
        <v>8</v>
      </c>
      <c r="B64" s="813" t="str">
        <f>VLOOKUP(C64,'[3]DS CN MOI UP'!$B$10:$C$489,2,0)</f>
        <v>03277</v>
      </c>
      <c r="C64" s="825" t="s">
        <v>437</v>
      </c>
      <c r="D64" s="826" t="s">
        <v>15</v>
      </c>
      <c r="E64" s="815"/>
      <c r="F64" s="815"/>
      <c r="G64" s="815"/>
      <c r="H64" s="815"/>
      <c r="I64" s="815"/>
      <c r="J64" s="815"/>
      <c r="K64" s="815"/>
      <c r="L64" s="815"/>
      <c r="M64" s="815"/>
      <c r="N64" s="815">
        <f t="shared" si="23"/>
        <v>0</v>
      </c>
      <c r="O64" s="815">
        <f t="shared" si="24"/>
        <v>0</v>
      </c>
      <c r="P64" s="815">
        <f t="shared" si="25"/>
        <v>0</v>
      </c>
      <c r="Q64" s="815">
        <f t="shared" si="26"/>
        <v>0</v>
      </c>
      <c r="R64" s="815">
        <f t="shared" si="27"/>
        <v>0</v>
      </c>
      <c r="S64" s="815">
        <f t="shared" si="28"/>
        <v>0</v>
      </c>
      <c r="T64" s="815">
        <f t="shared" si="29"/>
        <v>0</v>
      </c>
      <c r="U64" s="815">
        <f t="shared" si="30"/>
        <v>0</v>
      </c>
      <c r="V64" s="815">
        <f t="shared" si="31"/>
        <v>0</v>
      </c>
      <c r="W64" s="815"/>
      <c r="X64" s="815"/>
      <c r="Y64" s="815"/>
      <c r="Z64" s="815"/>
      <c r="AA64" s="830">
        <f t="shared" si="32"/>
        <v>0</v>
      </c>
      <c r="AB64" s="830">
        <f>VLOOKUP(C64,'[3]MỦ TẠP'!$D$10:$AM$450,33,0)</f>
        <v>0</v>
      </c>
      <c r="AC64" s="830">
        <f>VLOOKUP(C64,'[3]MỦ TẠP'!$D$10:$AM$450,34,0)</f>
        <v>0</v>
      </c>
      <c r="AD64" s="830">
        <f>VLOOKUP(C64,'[3]MỦ TẠP'!$D$10:$AM$450,35,0)</f>
        <v>0</v>
      </c>
      <c r="AE64" s="830">
        <f t="shared" si="34"/>
        <v>0</v>
      </c>
      <c r="AF64" s="830"/>
      <c r="AG64" s="830"/>
      <c r="AH64" s="830">
        <f t="shared" si="33"/>
        <v>0</v>
      </c>
      <c r="AI64" s="830">
        <f>VLOOKUP(C64,'[3]CHẤM CÔNG '!$F$10:$AM$451,33,0)</f>
        <v>0</v>
      </c>
      <c r="AJ64" s="830">
        <f>VLOOKUP(C64,'[3]CHẤM CÔNG '!$F$10:$AM$451,34,0)</f>
        <v>0</v>
      </c>
      <c r="AK64" s="830"/>
      <c r="AL64" s="830"/>
      <c r="AM64" s="830"/>
      <c r="AN64" s="830">
        <f>VLOOKUP(C64,'[3]CHẤM CÔNG '!$F$10:$AN$451,35,0)</f>
        <v>0</v>
      </c>
      <c r="AO64" s="830">
        <f>VLOOKUP(C64,'[3]CHẤM CÔNG '!$F$10:$AR$451,36,0)</f>
        <v>0</v>
      </c>
      <c r="AP64" s="830"/>
      <c r="AQ64" s="830"/>
      <c r="AR64" s="830"/>
      <c r="AS64" s="836"/>
      <c r="AT64" s="837">
        <f>VLOOKUP(C64,'[3]MỦ TẠP'!$D$10:$AO$450,38,0)</f>
        <v>0</v>
      </c>
    </row>
    <row r="65" spans="1:46" ht="15.75">
      <c r="A65" s="824">
        <v>9</v>
      </c>
      <c r="B65" s="813" t="str">
        <f>VLOOKUP(C65,'[3]DS CN MOI UP'!$B$10:$C$489,2,0)</f>
        <v>07014</v>
      </c>
      <c r="C65" s="825" t="s">
        <v>1973</v>
      </c>
      <c r="D65" s="826" t="s">
        <v>15</v>
      </c>
      <c r="E65" s="815"/>
      <c r="F65" s="815"/>
      <c r="G65" s="815"/>
      <c r="H65" s="815"/>
      <c r="I65" s="815"/>
      <c r="J65" s="815"/>
      <c r="K65" s="815"/>
      <c r="L65" s="815"/>
      <c r="M65" s="815"/>
      <c r="N65" s="815">
        <f t="shared" si="23"/>
        <v>0</v>
      </c>
      <c r="O65" s="815">
        <f t="shared" si="24"/>
        <v>0</v>
      </c>
      <c r="P65" s="815">
        <f t="shared" si="25"/>
        <v>0</v>
      </c>
      <c r="Q65" s="815">
        <f t="shared" si="26"/>
        <v>0</v>
      </c>
      <c r="R65" s="815">
        <f t="shared" si="27"/>
        <v>0</v>
      </c>
      <c r="S65" s="815">
        <f t="shared" si="28"/>
        <v>0</v>
      </c>
      <c r="T65" s="815">
        <f t="shared" si="29"/>
        <v>0</v>
      </c>
      <c r="U65" s="815">
        <f t="shared" si="30"/>
        <v>0</v>
      </c>
      <c r="V65" s="815">
        <f t="shared" si="31"/>
        <v>0</v>
      </c>
      <c r="W65" s="815"/>
      <c r="X65" s="815"/>
      <c r="Y65" s="815"/>
      <c r="Z65" s="815"/>
      <c r="AA65" s="830">
        <f t="shared" si="32"/>
        <v>0</v>
      </c>
      <c r="AB65" s="830">
        <f>VLOOKUP(C65,'[3]MỦ TẠP'!$D$10:$AM$450,33,0)</f>
        <v>0</v>
      </c>
      <c r="AC65" s="830">
        <f>VLOOKUP(C65,'[3]MỦ TẠP'!$D$10:$AM$450,34,0)</f>
        <v>0</v>
      </c>
      <c r="AD65" s="830">
        <f>VLOOKUP(C65,'[3]MỦ TẠP'!$D$10:$AM$450,35,0)</f>
        <v>0</v>
      </c>
      <c r="AE65" s="830">
        <f t="shared" si="34"/>
        <v>0</v>
      </c>
      <c r="AF65" s="830"/>
      <c r="AG65" s="830"/>
      <c r="AH65" s="830">
        <f t="shared" si="33"/>
        <v>0</v>
      </c>
      <c r="AI65" s="830">
        <f>VLOOKUP(C65,'[3]CHẤM CÔNG '!$F$10:$AM$451,33,0)</f>
        <v>0</v>
      </c>
      <c r="AJ65" s="830">
        <f>VLOOKUP(C65,'[3]CHẤM CÔNG '!$F$10:$AM$451,34,0)</f>
        <v>0</v>
      </c>
      <c r="AK65" s="830"/>
      <c r="AL65" s="830"/>
      <c r="AM65" s="830"/>
      <c r="AN65" s="830">
        <f>VLOOKUP(C65,'[3]CHẤM CÔNG '!$F$10:$AN$451,35,0)</f>
        <v>0</v>
      </c>
      <c r="AO65" s="830">
        <f>VLOOKUP(C65,'[3]CHẤM CÔNG '!$F$10:$AR$451,36,0)</f>
        <v>0</v>
      </c>
      <c r="AP65" s="830"/>
      <c r="AQ65" s="830"/>
      <c r="AR65" s="830"/>
      <c r="AS65" s="836"/>
      <c r="AT65" s="837">
        <f>VLOOKUP(C65,'[3]MỦ TẠP'!$D$10:$AO$450,38,0)</f>
        <v>0</v>
      </c>
    </row>
    <row r="66" spans="1:46" ht="15.75">
      <c r="A66" s="824">
        <v>10</v>
      </c>
      <c r="B66" s="813" t="str">
        <f>VLOOKUP(C66,'[3]DS CN MOI UP'!$B$10:$C$489,2,0)</f>
        <v>03278</v>
      </c>
      <c r="C66" s="825" t="s">
        <v>439</v>
      </c>
      <c r="D66" s="826" t="s">
        <v>15</v>
      </c>
      <c r="E66" s="815"/>
      <c r="F66" s="815"/>
      <c r="G66" s="815"/>
      <c r="H66" s="815"/>
      <c r="I66" s="815"/>
      <c r="J66" s="815"/>
      <c r="K66" s="815"/>
      <c r="L66" s="815"/>
      <c r="M66" s="815"/>
      <c r="N66" s="815">
        <f t="shared" si="23"/>
        <v>0</v>
      </c>
      <c r="O66" s="815">
        <f t="shared" si="24"/>
        <v>0</v>
      </c>
      <c r="P66" s="815">
        <f t="shared" si="25"/>
        <v>0</v>
      </c>
      <c r="Q66" s="815">
        <f t="shared" si="26"/>
        <v>0</v>
      </c>
      <c r="R66" s="815">
        <f t="shared" si="27"/>
        <v>0</v>
      </c>
      <c r="S66" s="815">
        <f t="shared" si="28"/>
        <v>0</v>
      </c>
      <c r="T66" s="815">
        <f t="shared" si="29"/>
        <v>0</v>
      </c>
      <c r="U66" s="815">
        <f t="shared" si="30"/>
        <v>0</v>
      </c>
      <c r="V66" s="815">
        <f t="shared" si="31"/>
        <v>0</v>
      </c>
      <c r="W66" s="815"/>
      <c r="X66" s="815"/>
      <c r="Y66" s="815"/>
      <c r="Z66" s="815"/>
      <c r="AA66" s="830">
        <f t="shared" si="32"/>
        <v>0</v>
      </c>
      <c r="AB66" s="830">
        <f>VLOOKUP(C66,'[3]MỦ TẠP'!$D$10:$AM$450,33,0)</f>
        <v>0</v>
      </c>
      <c r="AC66" s="830">
        <f>VLOOKUP(C66,'[3]MỦ TẠP'!$D$10:$AM$450,34,0)</f>
        <v>0</v>
      </c>
      <c r="AD66" s="830">
        <f>VLOOKUP(C66,'[3]MỦ TẠP'!$D$10:$AM$450,35,0)</f>
        <v>0</v>
      </c>
      <c r="AE66" s="830">
        <f t="shared" si="34"/>
        <v>0</v>
      </c>
      <c r="AF66" s="830"/>
      <c r="AG66" s="830"/>
      <c r="AH66" s="830">
        <f t="shared" si="33"/>
        <v>0</v>
      </c>
      <c r="AI66" s="830">
        <f>VLOOKUP(C66,'[3]CHẤM CÔNG '!$F$10:$AM$451,33,0)</f>
        <v>0</v>
      </c>
      <c r="AJ66" s="830">
        <f>VLOOKUP(C66,'[3]CHẤM CÔNG '!$F$10:$AM$451,34,0)</f>
        <v>0</v>
      </c>
      <c r="AK66" s="830"/>
      <c r="AL66" s="830"/>
      <c r="AM66" s="830"/>
      <c r="AN66" s="830">
        <f>VLOOKUP(C66,'[3]CHẤM CÔNG '!$F$10:$AN$451,35,0)</f>
        <v>0</v>
      </c>
      <c r="AO66" s="830">
        <f>VLOOKUP(C66,'[3]CHẤM CÔNG '!$F$10:$AR$451,36,0)</f>
        <v>0</v>
      </c>
      <c r="AP66" s="830"/>
      <c r="AQ66" s="830"/>
      <c r="AR66" s="830"/>
      <c r="AS66" s="836"/>
      <c r="AT66" s="837">
        <f>VLOOKUP(C66,'[3]MỦ TẠP'!$D$10:$AO$450,38,0)</f>
        <v>0</v>
      </c>
    </row>
    <row r="67" spans="1:46" ht="15.75">
      <c r="A67" s="824">
        <v>11</v>
      </c>
      <c r="B67" s="813" t="str">
        <f>VLOOKUP(C67,'[3]DS CN MOI UP'!$B$10:$C$489,2,0)</f>
        <v>03279</v>
      </c>
      <c r="C67" s="825" t="s">
        <v>440</v>
      </c>
      <c r="D67" s="826" t="s">
        <v>15</v>
      </c>
      <c r="E67" s="815"/>
      <c r="F67" s="815"/>
      <c r="G67" s="815"/>
      <c r="H67" s="815"/>
      <c r="I67" s="815"/>
      <c r="J67" s="815"/>
      <c r="K67" s="815"/>
      <c r="L67" s="815"/>
      <c r="M67" s="815"/>
      <c r="N67" s="815">
        <f t="shared" si="23"/>
        <v>0</v>
      </c>
      <c r="O67" s="815">
        <f t="shared" si="24"/>
        <v>0</v>
      </c>
      <c r="P67" s="815">
        <f t="shared" si="25"/>
        <v>0</v>
      </c>
      <c r="Q67" s="815">
        <f t="shared" si="26"/>
        <v>0</v>
      </c>
      <c r="R67" s="815">
        <f t="shared" si="27"/>
        <v>0</v>
      </c>
      <c r="S67" s="815">
        <f t="shared" si="28"/>
        <v>0</v>
      </c>
      <c r="T67" s="815">
        <f t="shared" si="29"/>
        <v>0</v>
      </c>
      <c r="U67" s="815">
        <f t="shared" si="30"/>
        <v>0</v>
      </c>
      <c r="V67" s="815">
        <f t="shared" si="31"/>
        <v>0</v>
      </c>
      <c r="W67" s="815"/>
      <c r="X67" s="815"/>
      <c r="Y67" s="815"/>
      <c r="Z67" s="815"/>
      <c r="AA67" s="830">
        <f t="shared" si="32"/>
        <v>0</v>
      </c>
      <c r="AB67" s="830">
        <f>VLOOKUP(C67,'[3]MỦ TẠP'!$D$10:$AM$450,33,0)</f>
        <v>0</v>
      </c>
      <c r="AC67" s="830">
        <f>VLOOKUP(C67,'[3]MỦ TẠP'!$D$10:$AM$450,34,0)</f>
        <v>0</v>
      </c>
      <c r="AD67" s="830">
        <f>VLOOKUP(C67,'[3]MỦ TẠP'!$D$10:$AM$450,35,0)</f>
        <v>0</v>
      </c>
      <c r="AE67" s="830">
        <f t="shared" si="34"/>
        <v>0</v>
      </c>
      <c r="AF67" s="830"/>
      <c r="AG67" s="830"/>
      <c r="AH67" s="830">
        <f t="shared" si="33"/>
        <v>0</v>
      </c>
      <c r="AI67" s="830">
        <f>VLOOKUP(C67,'[3]CHẤM CÔNG '!$F$10:$AM$451,33,0)</f>
        <v>0</v>
      </c>
      <c r="AJ67" s="830">
        <f>VLOOKUP(C67,'[3]CHẤM CÔNG '!$F$10:$AM$451,34,0)</f>
        <v>0</v>
      </c>
      <c r="AK67" s="830"/>
      <c r="AL67" s="830"/>
      <c r="AM67" s="830"/>
      <c r="AN67" s="830">
        <f>VLOOKUP(C67,'[3]CHẤM CÔNG '!$F$10:$AN$451,35,0)</f>
        <v>0</v>
      </c>
      <c r="AO67" s="830">
        <f>VLOOKUP(C67,'[3]CHẤM CÔNG '!$F$10:$AR$451,36,0)</f>
        <v>0</v>
      </c>
      <c r="AP67" s="830"/>
      <c r="AQ67" s="830"/>
      <c r="AR67" s="830"/>
      <c r="AS67" s="836"/>
      <c r="AT67" s="837">
        <f>VLOOKUP(C67,'[3]MỦ TẠP'!$D$10:$AO$450,38,0)</f>
        <v>0</v>
      </c>
    </row>
    <row r="68" spans="1:46" ht="15.75">
      <c r="A68" s="824">
        <v>12</v>
      </c>
      <c r="B68" s="813" t="str">
        <f>VLOOKUP(C68,'[3]DS CN MOI UP'!$B$10:$C$489,2,0)</f>
        <v>03280</v>
      </c>
      <c r="C68" s="825" t="s">
        <v>441</v>
      </c>
      <c r="D68" s="826" t="s">
        <v>15</v>
      </c>
      <c r="E68" s="815"/>
      <c r="F68" s="815"/>
      <c r="G68" s="815"/>
      <c r="H68" s="815"/>
      <c r="I68" s="815"/>
      <c r="J68" s="815"/>
      <c r="K68" s="815"/>
      <c r="L68" s="815"/>
      <c r="M68" s="815"/>
      <c r="N68" s="815">
        <f t="shared" si="23"/>
        <v>0</v>
      </c>
      <c r="O68" s="815">
        <f t="shared" si="24"/>
        <v>0</v>
      </c>
      <c r="P68" s="815">
        <f t="shared" si="25"/>
        <v>0</v>
      </c>
      <c r="Q68" s="815">
        <f t="shared" si="26"/>
        <v>0</v>
      </c>
      <c r="R68" s="815">
        <f t="shared" si="27"/>
        <v>0</v>
      </c>
      <c r="S68" s="815">
        <f t="shared" si="28"/>
        <v>0</v>
      </c>
      <c r="T68" s="815">
        <f t="shared" si="29"/>
        <v>0</v>
      </c>
      <c r="U68" s="815">
        <f t="shared" si="30"/>
        <v>0</v>
      </c>
      <c r="V68" s="815">
        <f t="shared" si="31"/>
        <v>0</v>
      </c>
      <c r="W68" s="815"/>
      <c r="X68" s="815"/>
      <c r="Y68" s="815"/>
      <c r="Z68" s="815"/>
      <c r="AA68" s="830">
        <f t="shared" si="32"/>
        <v>0</v>
      </c>
      <c r="AB68" s="830">
        <f>VLOOKUP(C68,'[3]MỦ TẠP'!$D$10:$AM$450,33,0)</f>
        <v>0</v>
      </c>
      <c r="AC68" s="830">
        <f>VLOOKUP(C68,'[3]MỦ TẠP'!$D$10:$AM$450,34,0)</f>
        <v>0</v>
      </c>
      <c r="AD68" s="830">
        <f>VLOOKUP(C68,'[3]MỦ TẠP'!$D$10:$AM$450,35,0)</f>
        <v>0</v>
      </c>
      <c r="AE68" s="830">
        <f t="shared" si="34"/>
        <v>0</v>
      </c>
      <c r="AF68" s="830"/>
      <c r="AG68" s="830"/>
      <c r="AH68" s="830">
        <f t="shared" si="33"/>
        <v>0</v>
      </c>
      <c r="AI68" s="830">
        <f>VLOOKUP(C68,'[3]CHẤM CÔNG '!$F$10:$AM$451,33,0)</f>
        <v>0</v>
      </c>
      <c r="AJ68" s="830">
        <f>VLOOKUP(C68,'[3]CHẤM CÔNG '!$F$10:$AM$451,34,0)</f>
        <v>0</v>
      </c>
      <c r="AK68" s="830"/>
      <c r="AL68" s="830"/>
      <c r="AM68" s="830"/>
      <c r="AN68" s="830">
        <f>VLOOKUP(C68,'[3]CHẤM CÔNG '!$F$10:$AN$451,35,0)</f>
        <v>0</v>
      </c>
      <c r="AO68" s="830">
        <f>VLOOKUP(C68,'[3]CHẤM CÔNG '!$F$10:$AR$451,36,0)</f>
        <v>0</v>
      </c>
      <c r="AP68" s="830"/>
      <c r="AQ68" s="830"/>
      <c r="AR68" s="830"/>
      <c r="AS68" s="836"/>
      <c r="AT68" s="837">
        <f>VLOOKUP(C68,'[3]MỦ TẠP'!$D$10:$AO$450,38,0)</f>
        <v>0</v>
      </c>
    </row>
    <row r="69" spans="1:46" ht="15.75">
      <c r="A69" s="824">
        <v>13</v>
      </c>
      <c r="B69" s="813" t="str">
        <f>VLOOKUP(C69,'[3]DS CN MOI UP'!$B$10:$C$489,2,0)</f>
        <v>03281</v>
      </c>
      <c r="C69" s="825" t="s">
        <v>442</v>
      </c>
      <c r="D69" s="826" t="s">
        <v>15</v>
      </c>
      <c r="E69" s="815"/>
      <c r="F69" s="815"/>
      <c r="G69" s="815"/>
      <c r="H69" s="815"/>
      <c r="I69" s="815"/>
      <c r="J69" s="815"/>
      <c r="K69" s="815"/>
      <c r="L69" s="815"/>
      <c r="M69" s="815"/>
      <c r="N69" s="815">
        <f t="shared" si="23"/>
        <v>0</v>
      </c>
      <c r="O69" s="815">
        <f t="shared" si="24"/>
        <v>0</v>
      </c>
      <c r="P69" s="815">
        <f t="shared" si="25"/>
        <v>0</v>
      </c>
      <c r="Q69" s="815">
        <f t="shared" si="26"/>
        <v>0</v>
      </c>
      <c r="R69" s="815">
        <f t="shared" si="27"/>
        <v>0</v>
      </c>
      <c r="S69" s="815">
        <f t="shared" si="28"/>
        <v>0</v>
      </c>
      <c r="T69" s="815">
        <f t="shared" si="29"/>
        <v>0</v>
      </c>
      <c r="U69" s="815">
        <f t="shared" si="30"/>
        <v>0</v>
      </c>
      <c r="V69" s="815">
        <f t="shared" si="31"/>
        <v>0</v>
      </c>
      <c r="W69" s="815"/>
      <c r="X69" s="815"/>
      <c r="Y69" s="815"/>
      <c r="Z69" s="815"/>
      <c r="AA69" s="830">
        <f t="shared" si="32"/>
        <v>0</v>
      </c>
      <c r="AB69" s="830">
        <f>VLOOKUP(C69,'[3]MỦ TẠP'!$D$10:$AM$450,33,0)</f>
        <v>0</v>
      </c>
      <c r="AC69" s="830">
        <f>VLOOKUP(C69,'[3]MỦ TẠP'!$D$10:$AM$450,34,0)</f>
        <v>0</v>
      </c>
      <c r="AD69" s="830">
        <f>VLOOKUP(C69,'[3]MỦ TẠP'!$D$10:$AM$450,35,0)</f>
        <v>0</v>
      </c>
      <c r="AE69" s="830">
        <f t="shared" si="34"/>
        <v>0</v>
      </c>
      <c r="AF69" s="830"/>
      <c r="AG69" s="830"/>
      <c r="AH69" s="830">
        <f t="shared" si="33"/>
        <v>0</v>
      </c>
      <c r="AI69" s="830">
        <f>VLOOKUP(C69,'[3]CHẤM CÔNG '!$F$10:$AM$451,33,0)</f>
        <v>0</v>
      </c>
      <c r="AJ69" s="830">
        <f>VLOOKUP(C69,'[3]CHẤM CÔNG '!$F$10:$AM$451,34,0)</f>
        <v>0</v>
      </c>
      <c r="AK69" s="830"/>
      <c r="AL69" s="830"/>
      <c r="AM69" s="830"/>
      <c r="AN69" s="830">
        <f>VLOOKUP(C69,'[3]CHẤM CÔNG '!$F$10:$AN$451,35,0)</f>
        <v>0</v>
      </c>
      <c r="AO69" s="830">
        <f>VLOOKUP(C69,'[3]CHẤM CÔNG '!$F$10:$AR$451,36,0)</f>
        <v>0</v>
      </c>
      <c r="AP69" s="830"/>
      <c r="AQ69" s="830"/>
      <c r="AR69" s="830"/>
      <c r="AS69" s="836"/>
      <c r="AT69" s="837">
        <f>VLOOKUP(C69,'[3]MỦ TẠP'!$D$10:$AO$450,38,0)</f>
        <v>0</v>
      </c>
    </row>
    <row r="70" spans="1:46" ht="15.75">
      <c r="A70" s="824">
        <v>14</v>
      </c>
      <c r="B70" s="813" t="str">
        <f>VLOOKUP(C70,'[3]DS CN MOI UP'!$B$10:$C$489,2,0)</f>
        <v>03282</v>
      </c>
      <c r="C70" s="825" t="s">
        <v>443</v>
      </c>
      <c r="D70" s="826" t="s">
        <v>15</v>
      </c>
      <c r="E70" s="815"/>
      <c r="F70" s="815"/>
      <c r="G70" s="815"/>
      <c r="H70" s="815"/>
      <c r="I70" s="815"/>
      <c r="J70" s="815"/>
      <c r="K70" s="815"/>
      <c r="L70" s="815"/>
      <c r="M70" s="815"/>
      <c r="N70" s="815">
        <f t="shared" si="23"/>
        <v>0</v>
      </c>
      <c r="O70" s="815">
        <f t="shared" si="24"/>
        <v>0</v>
      </c>
      <c r="P70" s="815">
        <f t="shared" si="25"/>
        <v>0</v>
      </c>
      <c r="Q70" s="815">
        <f t="shared" si="26"/>
        <v>0</v>
      </c>
      <c r="R70" s="815">
        <f t="shared" si="27"/>
        <v>0</v>
      </c>
      <c r="S70" s="815">
        <f t="shared" si="28"/>
        <v>0</v>
      </c>
      <c r="T70" s="815">
        <f t="shared" si="29"/>
        <v>0</v>
      </c>
      <c r="U70" s="815">
        <f t="shared" si="30"/>
        <v>0</v>
      </c>
      <c r="V70" s="815">
        <f t="shared" si="31"/>
        <v>0</v>
      </c>
      <c r="W70" s="815"/>
      <c r="X70" s="815"/>
      <c r="Y70" s="815"/>
      <c r="Z70" s="815"/>
      <c r="AA70" s="830">
        <f t="shared" si="32"/>
        <v>0</v>
      </c>
      <c r="AB70" s="830">
        <f>VLOOKUP(C70,'[3]MỦ TẠP'!$D$10:$AM$450,33,0)</f>
        <v>0</v>
      </c>
      <c r="AC70" s="830">
        <f>VLOOKUP(C70,'[3]MỦ TẠP'!$D$10:$AM$450,34,0)</f>
        <v>0</v>
      </c>
      <c r="AD70" s="830">
        <f>VLOOKUP(C70,'[3]MỦ TẠP'!$D$10:$AM$450,35,0)</f>
        <v>0</v>
      </c>
      <c r="AE70" s="830">
        <f t="shared" si="34"/>
        <v>0</v>
      </c>
      <c r="AF70" s="830"/>
      <c r="AG70" s="830"/>
      <c r="AH70" s="830">
        <f t="shared" si="33"/>
        <v>0</v>
      </c>
      <c r="AI70" s="830">
        <f>VLOOKUP(C70,'[3]CHẤM CÔNG '!$F$10:$AM$451,33,0)</f>
        <v>0</v>
      </c>
      <c r="AJ70" s="830">
        <f>VLOOKUP(C70,'[3]CHẤM CÔNG '!$F$10:$AM$451,34,0)</f>
        <v>0</v>
      </c>
      <c r="AK70" s="830"/>
      <c r="AL70" s="830"/>
      <c r="AM70" s="830"/>
      <c r="AN70" s="830">
        <f>VLOOKUP(C70,'[3]CHẤM CÔNG '!$F$10:$AN$451,35,0)</f>
        <v>0</v>
      </c>
      <c r="AO70" s="830">
        <f>VLOOKUP(C70,'[3]CHẤM CÔNG '!$F$10:$AR$451,36,0)</f>
        <v>0</v>
      </c>
      <c r="AP70" s="830"/>
      <c r="AQ70" s="830"/>
      <c r="AR70" s="830"/>
      <c r="AS70" s="836"/>
      <c r="AT70" s="837">
        <f>VLOOKUP(C70,'[3]MỦ TẠP'!$D$10:$AO$450,38,0)</f>
        <v>0</v>
      </c>
    </row>
    <row r="71" spans="1:46" ht="15.75">
      <c r="A71" s="824">
        <v>15</v>
      </c>
      <c r="B71" s="813" t="e">
        <f>VLOOKUP(C71,'[3]DS CN MOI UP'!$B$10:$C$489,2,0)</f>
        <v>#N/A</v>
      </c>
      <c r="C71" s="825" t="s">
        <v>1974</v>
      </c>
      <c r="D71" s="826" t="s">
        <v>15</v>
      </c>
      <c r="E71" s="815"/>
      <c r="F71" s="815"/>
      <c r="G71" s="815"/>
      <c r="H71" s="815"/>
      <c r="I71" s="815"/>
      <c r="J71" s="815"/>
      <c r="K71" s="815"/>
      <c r="L71" s="815"/>
      <c r="M71" s="815"/>
      <c r="N71" s="815">
        <f t="shared" si="23"/>
        <v>0</v>
      </c>
      <c r="O71" s="815">
        <f t="shared" si="24"/>
        <v>0</v>
      </c>
      <c r="P71" s="815">
        <f t="shared" si="25"/>
        <v>0</v>
      </c>
      <c r="Q71" s="815">
        <f t="shared" si="26"/>
        <v>0</v>
      </c>
      <c r="R71" s="815">
        <f t="shared" si="27"/>
        <v>0</v>
      </c>
      <c r="S71" s="815">
        <f t="shared" si="28"/>
        <v>0</v>
      </c>
      <c r="T71" s="815">
        <f t="shared" si="29"/>
        <v>0</v>
      </c>
      <c r="U71" s="815">
        <f t="shared" si="30"/>
        <v>0</v>
      </c>
      <c r="V71" s="815">
        <f t="shared" si="31"/>
        <v>0</v>
      </c>
      <c r="W71" s="815"/>
      <c r="X71" s="815"/>
      <c r="Y71" s="815"/>
      <c r="Z71" s="815"/>
      <c r="AA71" s="830">
        <f t="shared" si="32"/>
        <v>0</v>
      </c>
      <c r="AB71" s="830">
        <f>VLOOKUP(C71,'[3]MỦ TẠP'!$D$10:$AM$450,33,0)</f>
        <v>0</v>
      </c>
      <c r="AC71" s="830">
        <f>VLOOKUP(C71,'[3]MỦ TẠP'!$D$10:$AM$450,34,0)</f>
        <v>0</v>
      </c>
      <c r="AD71" s="830">
        <f>VLOOKUP(C71,'[3]MỦ TẠP'!$D$10:$AM$450,35,0)</f>
        <v>0</v>
      </c>
      <c r="AE71" s="830">
        <f t="shared" si="34"/>
        <v>0</v>
      </c>
      <c r="AF71" s="830"/>
      <c r="AG71" s="830"/>
      <c r="AH71" s="830">
        <f t="shared" si="33"/>
        <v>0</v>
      </c>
      <c r="AI71" s="830">
        <f>VLOOKUP(C71,'[3]CHẤM CÔNG '!$F$10:$AM$451,33,0)</f>
        <v>0</v>
      </c>
      <c r="AJ71" s="830">
        <f>VLOOKUP(C71,'[3]CHẤM CÔNG '!$F$10:$AM$451,34,0)</f>
        <v>0</v>
      </c>
      <c r="AK71" s="830"/>
      <c r="AL71" s="830"/>
      <c r="AM71" s="830"/>
      <c r="AN71" s="830">
        <f>VLOOKUP(C71,'[3]CHẤM CÔNG '!$F$10:$AN$451,35,0)</f>
        <v>0</v>
      </c>
      <c r="AO71" s="830">
        <f>VLOOKUP(C71,'[3]CHẤM CÔNG '!$F$10:$AR$451,36,0)</f>
        <v>0</v>
      </c>
      <c r="AP71" s="830"/>
      <c r="AQ71" s="830"/>
      <c r="AR71" s="830"/>
      <c r="AS71" s="836"/>
      <c r="AT71" s="837">
        <f>VLOOKUP(C71,'[3]MỦ TẠP'!$D$10:$AO$450,38,0)</f>
        <v>0</v>
      </c>
    </row>
    <row r="72" spans="1:46" ht="15.75">
      <c r="A72" s="824">
        <v>16</v>
      </c>
      <c r="B72" s="813" t="str">
        <f>VLOOKUP(C72,'[3]DS CN MOI UP'!$B$10:$C$489,2,0)</f>
        <v>03848</v>
      </c>
      <c r="C72" s="825" t="s">
        <v>445</v>
      </c>
      <c r="D72" s="826" t="s">
        <v>15</v>
      </c>
      <c r="E72" s="815"/>
      <c r="F72" s="815"/>
      <c r="G72" s="815"/>
      <c r="H72" s="815"/>
      <c r="I72" s="815"/>
      <c r="J72" s="815"/>
      <c r="K72" s="815"/>
      <c r="L72" s="815"/>
      <c r="M72" s="815"/>
      <c r="N72" s="815">
        <f t="shared" si="23"/>
        <v>0</v>
      </c>
      <c r="O72" s="815">
        <f t="shared" si="24"/>
        <v>0</v>
      </c>
      <c r="P72" s="815">
        <f t="shared" si="25"/>
        <v>0</v>
      </c>
      <c r="Q72" s="815">
        <f t="shared" si="26"/>
        <v>0</v>
      </c>
      <c r="R72" s="815">
        <f t="shared" si="27"/>
        <v>0</v>
      </c>
      <c r="S72" s="815">
        <f t="shared" si="28"/>
        <v>0</v>
      </c>
      <c r="T72" s="815">
        <f t="shared" si="29"/>
        <v>0</v>
      </c>
      <c r="U72" s="815">
        <f t="shared" si="30"/>
        <v>0</v>
      </c>
      <c r="V72" s="815">
        <f t="shared" si="31"/>
        <v>0</v>
      </c>
      <c r="W72" s="815"/>
      <c r="X72" s="815"/>
      <c r="Y72" s="815"/>
      <c r="Z72" s="815"/>
      <c r="AA72" s="830">
        <f t="shared" si="32"/>
        <v>0</v>
      </c>
      <c r="AB72" s="830">
        <f>VLOOKUP(C72,'[3]MỦ TẠP'!$D$10:$AM$450,33,0)</f>
        <v>0</v>
      </c>
      <c r="AC72" s="830">
        <f>VLOOKUP(C72,'[3]MỦ TẠP'!$D$10:$AM$450,34,0)</f>
        <v>0</v>
      </c>
      <c r="AD72" s="830">
        <f>VLOOKUP(C72,'[3]MỦ TẠP'!$D$10:$AM$450,35,0)</f>
        <v>0</v>
      </c>
      <c r="AE72" s="830">
        <f t="shared" si="34"/>
        <v>0</v>
      </c>
      <c r="AF72" s="830"/>
      <c r="AG72" s="830"/>
      <c r="AH72" s="830">
        <f t="shared" si="33"/>
        <v>0</v>
      </c>
      <c r="AI72" s="830">
        <f>VLOOKUP(C72,'[3]CHẤM CÔNG '!$F$10:$AM$451,33,0)</f>
        <v>0</v>
      </c>
      <c r="AJ72" s="830">
        <f>VLOOKUP(C72,'[3]CHẤM CÔNG '!$F$10:$AM$451,34,0)</f>
        <v>0</v>
      </c>
      <c r="AK72" s="830"/>
      <c r="AL72" s="830"/>
      <c r="AM72" s="830"/>
      <c r="AN72" s="830">
        <f>VLOOKUP(C72,'[3]CHẤM CÔNG '!$F$10:$AN$451,35,0)</f>
        <v>0</v>
      </c>
      <c r="AO72" s="830">
        <f>VLOOKUP(C72,'[3]CHẤM CÔNG '!$F$10:$AR$451,36,0)</f>
        <v>0</v>
      </c>
      <c r="AP72" s="830"/>
      <c r="AQ72" s="830"/>
      <c r="AR72" s="830"/>
      <c r="AS72" s="836"/>
      <c r="AT72" s="837">
        <f>VLOOKUP(C72,'[3]MỦ TẠP'!$D$10:$AO$450,38,0)</f>
        <v>0</v>
      </c>
    </row>
    <row r="73" spans="1:46" ht="15.75">
      <c r="A73" s="824">
        <v>17</v>
      </c>
      <c r="B73" s="813" t="e">
        <f>VLOOKUP(C73,'[3]DS CN MOI UP'!$B$10:$C$489,2,0)</f>
        <v>#N/A</v>
      </c>
      <c r="C73" s="825" t="s">
        <v>1975</v>
      </c>
      <c r="D73" s="826" t="s">
        <v>15</v>
      </c>
      <c r="E73" s="815"/>
      <c r="F73" s="815"/>
      <c r="G73" s="815"/>
      <c r="H73" s="815"/>
      <c r="I73" s="815"/>
      <c r="J73" s="815"/>
      <c r="K73" s="815"/>
      <c r="L73" s="815"/>
      <c r="M73" s="815"/>
      <c r="N73" s="815">
        <f t="shared" si="23"/>
        <v>0</v>
      </c>
      <c r="O73" s="815">
        <f t="shared" si="24"/>
        <v>0</v>
      </c>
      <c r="P73" s="815">
        <f t="shared" si="25"/>
        <v>0</v>
      </c>
      <c r="Q73" s="815">
        <f t="shared" si="26"/>
        <v>0</v>
      </c>
      <c r="R73" s="815">
        <f t="shared" si="27"/>
        <v>0</v>
      </c>
      <c r="S73" s="815">
        <f t="shared" si="28"/>
        <v>0</v>
      </c>
      <c r="T73" s="815">
        <f t="shared" si="29"/>
        <v>0</v>
      </c>
      <c r="U73" s="815">
        <f t="shared" si="30"/>
        <v>0</v>
      </c>
      <c r="V73" s="815">
        <f t="shared" si="31"/>
        <v>0</v>
      </c>
      <c r="W73" s="815"/>
      <c r="X73" s="815"/>
      <c r="Y73" s="815"/>
      <c r="Z73" s="815"/>
      <c r="AA73" s="830">
        <f t="shared" si="32"/>
        <v>0</v>
      </c>
      <c r="AB73" s="830">
        <f>VLOOKUP(C73,'[3]MỦ TẠP'!$D$10:$AM$450,33,0)</f>
        <v>0</v>
      </c>
      <c r="AC73" s="830">
        <f>VLOOKUP(C73,'[3]MỦ TẠP'!$D$10:$AM$450,34,0)</f>
        <v>0</v>
      </c>
      <c r="AD73" s="830">
        <f>VLOOKUP(C73,'[3]MỦ TẠP'!$D$10:$AM$450,35,0)</f>
        <v>0</v>
      </c>
      <c r="AE73" s="830">
        <f t="shared" si="34"/>
        <v>0</v>
      </c>
      <c r="AF73" s="830"/>
      <c r="AG73" s="830"/>
      <c r="AH73" s="830">
        <f t="shared" si="33"/>
        <v>0</v>
      </c>
      <c r="AI73" s="830">
        <f>VLOOKUP(C73,'[3]CHẤM CÔNG '!$F$10:$AM$451,33,0)</f>
        <v>0</v>
      </c>
      <c r="AJ73" s="830">
        <f>VLOOKUP(C73,'[3]CHẤM CÔNG '!$F$10:$AM$451,34,0)</f>
        <v>0</v>
      </c>
      <c r="AK73" s="830"/>
      <c r="AL73" s="830"/>
      <c r="AM73" s="830"/>
      <c r="AN73" s="830">
        <f>VLOOKUP(C73,'[3]CHẤM CÔNG '!$F$10:$AN$451,35,0)</f>
        <v>0</v>
      </c>
      <c r="AO73" s="830">
        <f>VLOOKUP(C73,'[3]CHẤM CÔNG '!$F$10:$AR$451,36,0)</f>
        <v>0</v>
      </c>
      <c r="AP73" s="830"/>
      <c r="AQ73" s="830"/>
      <c r="AR73" s="830"/>
      <c r="AS73" s="836"/>
      <c r="AT73" s="837">
        <f>VLOOKUP(C73,'[3]MỦ TẠP'!$D$10:$AO$450,38,0)</f>
        <v>0</v>
      </c>
    </row>
    <row r="74" spans="1:46" ht="15.75">
      <c r="A74" s="824">
        <v>18</v>
      </c>
      <c r="B74" s="813" t="e">
        <f>VLOOKUP(C74,'[3]DS CN MOI UP'!$B$10:$C$489,2,0)</f>
        <v>#N/A</v>
      </c>
      <c r="C74" s="825" t="s">
        <v>1976</v>
      </c>
      <c r="D74" s="826" t="s">
        <v>15</v>
      </c>
      <c r="E74" s="815"/>
      <c r="F74" s="815"/>
      <c r="G74" s="815"/>
      <c r="H74" s="815"/>
      <c r="I74" s="815"/>
      <c r="J74" s="815"/>
      <c r="K74" s="815"/>
      <c r="L74" s="815"/>
      <c r="M74" s="815"/>
      <c r="N74" s="815">
        <f t="shared" si="23"/>
        <v>0</v>
      </c>
      <c r="O74" s="815">
        <f t="shared" si="24"/>
        <v>0</v>
      </c>
      <c r="P74" s="815">
        <f t="shared" si="25"/>
        <v>0</v>
      </c>
      <c r="Q74" s="815">
        <f t="shared" si="26"/>
        <v>0</v>
      </c>
      <c r="R74" s="815">
        <f t="shared" si="27"/>
        <v>0</v>
      </c>
      <c r="S74" s="815">
        <f t="shared" si="28"/>
        <v>0</v>
      </c>
      <c r="T74" s="815">
        <f t="shared" si="29"/>
        <v>0</v>
      </c>
      <c r="U74" s="815">
        <f t="shared" si="30"/>
        <v>0</v>
      </c>
      <c r="V74" s="815">
        <f t="shared" si="31"/>
        <v>0</v>
      </c>
      <c r="W74" s="815"/>
      <c r="X74" s="815"/>
      <c r="Y74" s="815"/>
      <c r="Z74" s="815"/>
      <c r="AA74" s="830">
        <f t="shared" si="32"/>
        <v>0</v>
      </c>
      <c r="AB74" s="830">
        <f>VLOOKUP(C74,'[3]MỦ TẠP'!$D$10:$AM$450,33,0)</f>
        <v>0</v>
      </c>
      <c r="AC74" s="830">
        <f>VLOOKUP(C74,'[3]MỦ TẠP'!$D$10:$AM$450,34,0)</f>
        <v>0</v>
      </c>
      <c r="AD74" s="830">
        <f>VLOOKUP(C74,'[3]MỦ TẠP'!$D$10:$AM$450,35,0)</f>
        <v>0</v>
      </c>
      <c r="AE74" s="830">
        <f t="shared" si="34"/>
        <v>0</v>
      </c>
      <c r="AF74" s="830"/>
      <c r="AG74" s="830"/>
      <c r="AH74" s="830">
        <f t="shared" si="33"/>
        <v>0</v>
      </c>
      <c r="AI74" s="830">
        <f>VLOOKUP(C74,'[3]CHẤM CÔNG '!$F$10:$AM$451,33,0)</f>
        <v>0</v>
      </c>
      <c r="AJ74" s="830">
        <f>VLOOKUP(C74,'[3]CHẤM CÔNG '!$F$10:$AM$451,34,0)</f>
        <v>0</v>
      </c>
      <c r="AK74" s="830"/>
      <c r="AL74" s="830"/>
      <c r="AM74" s="830"/>
      <c r="AN74" s="830">
        <f>VLOOKUP(C74,'[3]CHẤM CÔNG '!$F$10:$AN$451,35,0)</f>
        <v>0</v>
      </c>
      <c r="AO74" s="830">
        <f>VLOOKUP(C74,'[3]CHẤM CÔNG '!$F$10:$AR$451,36,0)</f>
        <v>0</v>
      </c>
      <c r="AP74" s="830"/>
      <c r="AQ74" s="830"/>
      <c r="AR74" s="830"/>
      <c r="AS74" s="836"/>
      <c r="AT74" s="837">
        <f>VLOOKUP(C74,'[3]MỦ TẠP'!$D$10:$AO$450,38,0)</f>
        <v>0</v>
      </c>
    </row>
    <row r="75" spans="1:46" ht="15.75">
      <c r="A75" s="824">
        <v>19</v>
      </c>
      <c r="B75" s="813" t="str">
        <f>VLOOKUP(C75,'[3]DS CN MOI UP'!$B$10:$C$489,2,0)</f>
        <v>03287</v>
      </c>
      <c r="C75" s="825" t="s">
        <v>447</v>
      </c>
      <c r="D75" s="826" t="s">
        <v>15</v>
      </c>
      <c r="E75" s="815"/>
      <c r="F75" s="815"/>
      <c r="G75" s="815"/>
      <c r="H75" s="815"/>
      <c r="I75" s="815"/>
      <c r="J75" s="815"/>
      <c r="K75" s="815"/>
      <c r="L75" s="815"/>
      <c r="M75" s="815"/>
      <c r="N75" s="815">
        <f t="shared" si="23"/>
        <v>0</v>
      </c>
      <c r="O75" s="815">
        <f t="shared" si="24"/>
        <v>0</v>
      </c>
      <c r="P75" s="815">
        <f t="shared" si="25"/>
        <v>0</v>
      </c>
      <c r="Q75" s="815">
        <f t="shared" si="26"/>
        <v>0</v>
      </c>
      <c r="R75" s="815">
        <f t="shared" si="27"/>
        <v>0</v>
      </c>
      <c r="S75" s="815">
        <f t="shared" si="28"/>
        <v>0</v>
      </c>
      <c r="T75" s="815">
        <f t="shared" si="29"/>
        <v>0</v>
      </c>
      <c r="U75" s="815">
        <f t="shared" si="30"/>
        <v>0</v>
      </c>
      <c r="V75" s="815">
        <f t="shared" si="31"/>
        <v>0</v>
      </c>
      <c r="W75" s="815"/>
      <c r="X75" s="815"/>
      <c r="Y75" s="815"/>
      <c r="Z75" s="815"/>
      <c r="AA75" s="830">
        <f t="shared" si="32"/>
        <v>0</v>
      </c>
      <c r="AB75" s="830">
        <f>VLOOKUP(C75,'[3]MỦ TẠP'!$D$10:$AM$450,33,0)</f>
        <v>0</v>
      </c>
      <c r="AC75" s="830">
        <f>VLOOKUP(C75,'[3]MỦ TẠP'!$D$10:$AM$450,34,0)</f>
        <v>0</v>
      </c>
      <c r="AD75" s="830">
        <f>VLOOKUP(C75,'[3]MỦ TẠP'!$D$10:$AM$450,35,0)</f>
        <v>0</v>
      </c>
      <c r="AE75" s="830">
        <f t="shared" si="34"/>
        <v>0</v>
      </c>
      <c r="AF75" s="830"/>
      <c r="AG75" s="830"/>
      <c r="AH75" s="830">
        <f t="shared" si="33"/>
        <v>0</v>
      </c>
      <c r="AI75" s="830">
        <f>VLOOKUP(C75,'[3]CHẤM CÔNG '!$F$10:$AM$451,33,0)</f>
        <v>0</v>
      </c>
      <c r="AJ75" s="830">
        <f>VLOOKUP(C75,'[3]CHẤM CÔNG '!$F$10:$AM$451,34,0)</f>
        <v>0</v>
      </c>
      <c r="AK75" s="830"/>
      <c r="AL75" s="830"/>
      <c r="AM75" s="830"/>
      <c r="AN75" s="830">
        <f>VLOOKUP(C75,'[3]CHẤM CÔNG '!$F$10:$AN$451,35,0)</f>
        <v>0</v>
      </c>
      <c r="AO75" s="830">
        <f>VLOOKUP(C75,'[3]CHẤM CÔNG '!$F$10:$AR$451,36,0)</f>
        <v>0</v>
      </c>
      <c r="AP75" s="830"/>
      <c r="AQ75" s="830"/>
      <c r="AR75" s="830"/>
      <c r="AS75" s="836"/>
      <c r="AT75" s="837">
        <f>VLOOKUP(C75,'[3]MỦ TẠP'!$D$10:$AO$450,38,0)</f>
        <v>0</v>
      </c>
    </row>
    <row r="76" spans="1:46" ht="15.75">
      <c r="A76" s="824">
        <v>20</v>
      </c>
      <c r="B76" s="813" t="e">
        <f>VLOOKUP(C76,'[3]DS CN MOI UP'!$B$10:$C$489,2,0)</f>
        <v>#N/A</v>
      </c>
      <c r="C76" s="825" t="s">
        <v>1977</v>
      </c>
      <c r="D76" s="826" t="s">
        <v>15</v>
      </c>
      <c r="E76" s="815"/>
      <c r="F76" s="815"/>
      <c r="G76" s="815"/>
      <c r="H76" s="815"/>
      <c r="I76" s="815"/>
      <c r="J76" s="815"/>
      <c r="K76" s="815"/>
      <c r="L76" s="815"/>
      <c r="M76" s="815"/>
      <c r="N76" s="815">
        <f t="shared" si="23"/>
        <v>0</v>
      </c>
      <c r="O76" s="815">
        <f t="shared" si="24"/>
        <v>0</v>
      </c>
      <c r="P76" s="815">
        <f t="shared" si="25"/>
        <v>0</v>
      </c>
      <c r="Q76" s="815">
        <f t="shared" si="26"/>
        <v>0</v>
      </c>
      <c r="R76" s="815">
        <f t="shared" si="27"/>
        <v>0</v>
      </c>
      <c r="S76" s="815">
        <f t="shared" si="28"/>
        <v>0</v>
      </c>
      <c r="T76" s="815">
        <f t="shared" si="29"/>
        <v>0</v>
      </c>
      <c r="U76" s="815">
        <f t="shared" si="30"/>
        <v>0</v>
      </c>
      <c r="V76" s="815">
        <f t="shared" si="31"/>
        <v>0</v>
      </c>
      <c r="W76" s="815"/>
      <c r="X76" s="815"/>
      <c r="Y76" s="815"/>
      <c r="Z76" s="815"/>
      <c r="AA76" s="830">
        <f t="shared" si="32"/>
        <v>0</v>
      </c>
      <c r="AB76" s="830">
        <f>VLOOKUP(C76,'[3]MỦ TẠP'!$D$10:$AM$450,33,0)</f>
        <v>0</v>
      </c>
      <c r="AC76" s="830">
        <f>VLOOKUP(C76,'[3]MỦ TẠP'!$D$10:$AM$450,34,0)</f>
        <v>0</v>
      </c>
      <c r="AD76" s="830">
        <f>VLOOKUP(C76,'[3]MỦ TẠP'!$D$10:$AM$450,35,0)</f>
        <v>0</v>
      </c>
      <c r="AE76" s="830">
        <f t="shared" si="34"/>
        <v>0</v>
      </c>
      <c r="AF76" s="830"/>
      <c r="AG76" s="830"/>
      <c r="AH76" s="830">
        <f t="shared" si="33"/>
        <v>0</v>
      </c>
      <c r="AI76" s="830">
        <f>VLOOKUP(C76,'[3]CHẤM CÔNG '!$F$10:$AM$451,33,0)</f>
        <v>0</v>
      </c>
      <c r="AJ76" s="830">
        <f>VLOOKUP(C76,'[3]CHẤM CÔNG '!$F$10:$AM$451,34,0)</f>
        <v>0</v>
      </c>
      <c r="AK76" s="830"/>
      <c r="AL76" s="830"/>
      <c r="AM76" s="830"/>
      <c r="AN76" s="830">
        <f>VLOOKUP(C76,'[3]CHẤM CÔNG '!$F$10:$AN$451,35,0)</f>
        <v>0</v>
      </c>
      <c r="AO76" s="830">
        <f>VLOOKUP(C76,'[3]CHẤM CÔNG '!$F$10:$AR$451,36,0)</f>
        <v>0</v>
      </c>
      <c r="AP76" s="830"/>
      <c r="AQ76" s="830"/>
      <c r="AR76" s="830"/>
      <c r="AS76" s="836"/>
      <c r="AT76" s="837">
        <f>VLOOKUP(C76,'[3]MỦ TẠP'!$D$10:$AO$450,38,0)</f>
        <v>0</v>
      </c>
    </row>
    <row r="77" spans="1:46" ht="15.75">
      <c r="A77" s="824">
        <v>21</v>
      </c>
      <c r="B77" s="813" t="str">
        <f>VLOOKUP(C77,'[3]DS CN MOI UP'!$B$10:$C$489,2,0)</f>
        <v>03306</v>
      </c>
      <c r="C77" s="825" t="s">
        <v>470</v>
      </c>
      <c r="D77" s="826" t="s">
        <v>15</v>
      </c>
      <c r="E77" s="815"/>
      <c r="F77" s="815"/>
      <c r="G77" s="815"/>
      <c r="H77" s="815"/>
      <c r="I77" s="815"/>
      <c r="J77" s="815"/>
      <c r="K77" s="815"/>
      <c r="L77" s="815"/>
      <c r="M77" s="815"/>
      <c r="N77" s="815">
        <f t="shared" si="23"/>
        <v>0</v>
      </c>
      <c r="O77" s="815">
        <f t="shared" si="24"/>
        <v>0</v>
      </c>
      <c r="P77" s="815">
        <f t="shared" si="25"/>
        <v>0</v>
      </c>
      <c r="Q77" s="815">
        <f t="shared" si="26"/>
        <v>0</v>
      </c>
      <c r="R77" s="815">
        <f t="shared" si="27"/>
        <v>0</v>
      </c>
      <c r="S77" s="815">
        <f t="shared" si="28"/>
        <v>0</v>
      </c>
      <c r="T77" s="815">
        <f t="shared" si="29"/>
        <v>0</v>
      </c>
      <c r="U77" s="815">
        <f t="shared" si="30"/>
        <v>0</v>
      </c>
      <c r="V77" s="815">
        <f t="shared" si="31"/>
        <v>0</v>
      </c>
      <c r="W77" s="815"/>
      <c r="X77" s="815"/>
      <c r="Y77" s="815"/>
      <c r="Z77" s="815"/>
      <c r="AA77" s="830">
        <f t="shared" si="32"/>
        <v>0</v>
      </c>
      <c r="AB77" s="830">
        <f>VLOOKUP(C77,'[3]MỦ TẠP'!$D$10:$AM$450,33,0)</f>
        <v>0</v>
      </c>
      <c r="AC77" s="830">
        <f>VLOOKUP(C77,'[3]MỦ TẠP'!$D$10:$AM$450,34,0)</f>
        <v>0</v>
      </c>
      <c r="AD77" s="830">
        <f>VLOOKUP(C77,'[3]MỦ TẠP'!$D$10:$AM$450,35,0)</f>
        <v>0</v>
      </c>
      <c r="AE77" s="830">
        <f t="shared" si="34"/>
        <v>0</v>
      </c>
      <c r="AF77" s="830"/>
      <c r="AG77" s="830"/>
      <c r="AH77" s="830">
        <f t="shared" si="33"/>
        <v>0</v>
      </c>
      <c r="AI77" s="830">
        <f>VLOOKUP(C77,'[3]CHẤM CÔNG '!$F$10:$AM$451,33,0)</f>
        <v>0</v>
      </c>
      <c r="AJ77" s="830">
        <f>VLOOKUP(C77,'[3]CHẤM CÔNG '!$F$10:$AM$451,34,0)</f>
        <v>0</v>
      </c>
      <c r="AK77" s="830"/>
      <c r="AL77" s="830"/>
      <c r="AM77" s="830"/>
      <c r="AN77" s="830">
        <f>VLOOKUP(C77,'[3]CHẤM CÔNG '!$F$10:$AN$451,35,0)</f>
        <v>0</v>
      </c>
      <c r="AO77" s="830">
        <f>VLOOKUP(C77,'[3]CHẤM CÔNG '!$F$10:$AR$451,36,0)</f>
        <v>0</v>
      </c>
      <c r="AP77" s="830"/>
      <c r="AQ77" s="830"/>
      <c r="AR77" s="830"/>
      <c r="AS77" s="836"/>
      <c r="AT77" s="837">
        <f>VLOOKUP(C77,'[3]MỦ TẠP'!$D$10:$AO$450,38,0)</f>
        <v>0</v>
      </c>
    </row>
    <row r="78" spans="1:46" ht="15.75">
      <c r="A78" s="824">
        <v>22</v>
      </c>
      <c r="B78" s="813" t="e">
        <f>VLOOKUP(C78,'[3]DS CN MOI UP'!$B$10:$C$489,2,0)</f>
        <v>#N/A</v>
      </c>
      <c r="C78" s="825" t="s">
        <v>1978</v>
      </c>
      <c r="D78" s="826" t="s">
        <v>15</v>
      </c>
      <c r="E78" s="815"/>
      <c r="F78" s="815"/>
      <c r="G78" s="815"/>
      <c r="H78" s="815"/>
      <c r="I78" s="815"/>
      <c r="J78" s="815"/>
      <c r="K78" s="815"/>
      <c r="L78" s="815"/>
      <c r="M78" s="815"/>
      <c r="N78" s="815">
        <f t="shared" si="23"/>
        <v>0</v>
      </c>
      <c r="O78" s="815">
        <f t="shared" si="24"/>
        <v>0</v>
      </c>
      <c r="P78" s="815">
        <f t="shared" si="25"/>
        <v>0</v>
      </c>
      <c r="Q78" s="815">
        <f t="shared" si="26"/>
        <v>0</v>
      </c>
      <c r="R78" s="815">
        <f t="shared" si="27"/>
        <v>0</v>
      </c>
      <c r="S78" s="815">
        <f t="shared" si="28"/>
        <v>0</v>
      </c>
      <c r="T78" s="815">
        <f t="shared" si="29"/>
        <v>0</v>
      </c>
      <c r="U78" s="815">
        <f t="shared" si="30"/>
        <v>0</v>
      </c>
      <c r="V78" s="815">
        <f t="shared" si="31"/>
        <v>0</v>
      </c>
      <c r="W78" s="815"/>
      <c r="X78" s="815"/>
      <c r="Y78" s="815"/>
      <c r="Z78" s="815"/>
      <c r="AA78" s="830">
        <f t="shared" si="32"/>
        <v>0</v>
      </c>
      <c r="AB78" s="830">
        <f>VLOOKUP(C78,'[3]MỦ TẠP'!$D$10:$AM$450,33,0)</f>
        <v>0</v>
      </c>
      <c r="AC78" s="830">
        <f>VLOOKUP(C78,'[3]MỦ TẠP'!$D$10:$AM$450,34,0)</f>
        <v>0</v>
      </c>
      <c r="AD78" s="830">
        <f>VLOOKUP(C78,'[3]MỦ TẠP'!$D$10:$AM$450,35,0)</f>
        <v>0</v>
      </c>
      <c r="AE78" s="830">
        <f t="shared" si="34"/>
        <v>0</v>
      </c>
      <c r="AF78" s="830"/>
      <c r="AG78" s="830"/>
      <c r="AH78" s="830">
        <f t="shared" si="33"/>
        <v>0</v>
      </c>
      <c r="AI78" s="830">
        <f>VLOOKUP(C78,'[3]CHẤM CÔNG '!$F$10:$AM$451,33,0)</f>
        <v>0</v>
      </c>
      <c r="AJ78" s="830">
        <f>VLOOKUP(C78,'[3]CHẤM CÔNG '!$F$10:$AM$451,34,0)</f>
        <v>0</v>
      </c>
      <c r="AK78" s="830"/>
      <c r="AL78" s="830"/>
      <c r="AM78" s="830"/>
      <c r="AN78" s="830">
        <f>VLOOKUP(C78,'[3]CHẤM CÔNG '!$F$10:$AN$451,35,0)</f>
        <v>0</v>
      </c>
      <c r="AO78" s="830">
        <f>VLOOKUP(C78,'[3]CHẤM CÔNG '!$F$10:$AR$451,36,0)</f>
        <v>0</v>
      </c>
      <c r="AP78" s="830"/>
      <c r="AQ78" s="830"/>
      <c r="AR78" s="830"/>
      <c r="AS78" s="836"/>
      <c r="AT78" s="837">
        <f>VLOOKUP(C78,'[3]MỦ TẠP'!$D$10:$AO$450,38,0)</f>
        <v>0</v>
      </c>
    </row>
    <row r="79" spans="1:46" ht="15.75">
      <c r="A79" s="824">
        <v>23</v>
      </c>
      <c r="B79" s="813" t="str">
        <f>VLOOKUP(C79,'[3]DS CN MOI UP'!$B$10:$C$489,2,0)</f>
        <v>03289</v>
      </c>
      <c r="C79" s="825" t="s">
        <v>451</v>
      </c>
      <c r="D79" s="826" t="s">
        <v>15</v>
      </c>
      <c r="E79" s="815"/>
      <c r="F79" s="815"/>
      <c r="G79" s="815"/>
      <c r="H79" s="815"/>
      <c r="I79" s="815"/>
      <c r="J79" s="815"/>
      <c r="K79" s="815"/>
      <c r="L79" s="815"/>
      <c r="M79" s="815"/>
      <c r="N79" s="815">
        <f t="shared" si="23"/>
        <v>0</v>
      </c>
      <c r="O79" s="815">
        <f t="shared" si="24"/>
        <v>0</v>
      </c>
      <c r="P79" s="815">
        <f t="shared" si="25"/>
        <v>0</v>
      </c>
      <c r="Q79" s="815">
        <f t="shared" si="26"/>
        <v>0</v>
      </c>
      <c r="R79" s="815">
        <f t="shared" si="27"/>
        <v>0</v>
      </c>
      <c r="S79" s="815">
        <f t="shared" si="28"/>
        <v>0</v>
      </c>
      <c r="T79" s="815">
        <f t="shared" si="29"/>
        <v>0</v>
      </c>
      <c r="U79" s="815">
        <f t="shared" si="30"/>
        <v>0</v>
      </c>
      <c r="V79" s="815">
        <f t="shared" si="31"/>
        <v>0</v>
      </c>
      <c r="W79" s="815"/>
      <c r="X79" s="815"/>
      <c r="Y79" s="815"/>
      <c r="Z79" s="815"/>
      <c r="AA79" s="830">
        <f t="shared" si="32"/>
        <v>0</v>
      </c>
      <c r="AB79" s="830">
        <f>VLOOKUP(C79,'[3]MỦ TẠP'!$D$10:$AM$450,33,0)</f>
        <v>0</v>
      </c>
      <c r="AC79" s="830">
        <f>VLOOKUP(C79,'[3]MỦ TẠP'!$D$10:$AM$450,34,0)</f>
        <v>0</v>
      </c>
      <c r="AD79" s="830">
        <f>VLOOKUP(C79,'[3]MỦ TẠP'!$D$10:$AM$450,35,0)</f>
        <v>0</v>
      </c>
      <c r="AE79" s="830">
        <f t="shared" si="34"/>
        <v>0</v>
      </c>
      <c r="AF79" s="830"/>
      <c r="AG79" s="830"/>
      <c r="AH79" s="830">
        <f t="shared" si="33"/>
        <v>0</v>
      </c>
      <c r="AI79" s="830">
        <f>VLOOKUP(C79,'[3]CHẤM CÔNG '!$F$10:$AM$451,33,0)</f>
        <v>0</v>
      </c>
      <c r="AJ79" s="830">
        <f>VLOOKUP(C79,'[3]CHẤM CÔNG '!$F$10:$AM$451,34,0)</f>
        <v>0</v>
      </c>
      <c r="AK79" s="830"/>
      <c r="AL79" s="830"/>
      <c r="AM79" s="830"/>
      <c r="AN79" s="830">
        <f>VLOOKUP(C79,'[3]CHẤM CÔNG '!$F$10:$AN$451,35,0)</f>
        <v>0</v>
      </c>
      <c r="AO79" s="830">
        <f>VLOOKUP(C79,'[3]CHẤM CÔNG '!$F$10:$AR$451,36,0)</f>
        <v>0</v>
      </c>
      <c r="AP79" s="830"/>
      <c r="AQ79" s="830"/>
      <c r="AR79" s="830"/>
      <c r="AS79" s="836"/>
      <c r="AT79" s="837">
        <f>VLOOKUP(C79,'[3]MỦ TẠP'!$D$10:$AO$450,38,0)</f>
        <v>0</v>
      </c>
    </row>
    <row r="80" spans="1:46" ht="15.75">
      <c r="A80" s="824">
        <v>24</v>
      </c>
      <c r="B80" s="813" t="str">
        <f>VLOOKUP(C80,'[3]DS CN MOI UP'!$B$10:$C$489,2,0)</f>
        <v>03290</v>
      </c>
      <c r="C80" s="825" t="s">
        <v>452</v>
      </c>
      <c r="D80" s="826" t="s">
        <v>15</v>
      </c>
      <c r="E80" s="815"/>
      <c r="F80" s="815"/>
      <c r="G80" s="815"/>
      <c r="H80" s="815"/>
      <c r="I80" s="815"/>
      <c r="J80" s="815"/>
      <c r="K80" s="815"/>
      <c r="L80" s="815"/>
      <c r="M80" s="815"/>
      <c r="N80" s="815">
        <f t="shared" si="23"/>
        <v>0</v>
      </c>
      <c r="O80" s="815">
        <f t="shared" si="24"/>
        <v>0</v>
      </c>
      <c r="P80" s="815">
        <f t="shared" si="25"/>
        <v>0</v>
      </c>
      <c r="Q80" s="815">
        <f t="shared" si="26"/>
        <v>0</v>
      </c>
      <c r="R80" s="815">
        <f t="shared" si="27"/>
        <v>0</v>
      </c>
      <c r="S80" s="815">
        <f t="shared" si="28"/>
        <v>0</v>
      </c>
      <c r="T80" s="815">
        <f t="shared" si="29"/>
        <v>0</v>
      </c>
      <c r="U80" s="815">
        <f t="shared" si="30"/>
        <v>0</v>
      </c>
      <c r="V80" s="815">
        <f t="shared" si="31"/>
        <v>0</v>
      </c>
      <c r="W80" s="815"/>
      <c r="X80" s="815"/>
      <c r="Y80" s="815"/>
      <c r="Z80" s="815"/>
      <c r="AA80" s="830">
        <f t="shared" si="32"/>
        <v>0</v>
      </c>
      <c r="AB80" s="830">
        <f>VLOOKUP(C80,'[3]MỦ TẠP'!$D$10:$AM$450,33,0)</f>
        <v>0</v>
      </c>
      <c r="AC80" s="830">
        <f>VLOOKUP(C80,'[3]MỦ TẠP'!$D$10:$AM$450,34,0)</f>
        <v>0</v>
      </c>
      <c r="AD80" s="830">
        <f>VLOOKUP(C80,'[3]MỦ TẠP'!$D$10:$AM$450,35,0)</f>
        <v>0</v>
      </c>
      <c r="AE80" s="830">
        <f t="shared" si="34"/>
        <v>0</v>
      </c>
      <c r="AF80" s="830"/>
      <c r="AG80" s="830"/>
      <c r="AH80" s="830">
        <f t="shared" si="33"/>
        <v>0</v>
      </c>
      <c r="AI80" s="830">
        <f>VLOOKUP(C80,'[3]CHẤM CÔNG '!$F$10:$AM$451,33,0)</f>
        <v>0</v>
      </c>
      <c r="AJ80" s="830">
        <f>VLOOKUP(C80,'[3]CHẤM CÔNG '!$F$10:$AM$451,34,0)</f>
        <v>0</v>
      </c>
      <c r="AK80" s="830"/>
      <c r="AL80" s="830"/>
      <c r="AM80" s="830"/>
      <c r="AN80" s="830">
        <f>VLOOKUP(C80,'[3]CHẤM CÔNG '!$F$10:$AN$451,35,0)</f>
        <v>0</v>
      </c>
      <c r="AO80" s="830">
        <f>VLOOKUP(C80,'[3]CHẤM CÔNG '!$F$10:$AR$451,36,0)</f>
        <v>0</v>
      </c>
      <c r="AP80" s="830"/>
      <c r="AQ80" s="830"/>
      <c r="AR80" s="830"/>
      <c r="AS80" s="836"/>
      <c r="AT80" s="837">
        <f>VLOOKUP(C80,'[3]MỦ TẠP'!$D$10:$AO$450,38,0)</f>
        <v>0</v>
      </c>
    </row>
    <row r="81" spans="1:46" ht="15.75">
      <c r="A81" s="824">
        <v>25</v>
      </c>
      <c r="B81" s="813" t="str">
        <f>VLOOKUP(C81,'[3]DS CN MOI UP'!$B$10:$C$489,2,0)</f>
        <v>02671</v>
      </c>
      <c r="C81" s="825" t="s">
        <v>453</v>
      </c>
      <c r="D81" s="826" t="s">
        <v>15</v>
      </c>
      <c r="E81" s="815"/>
      <c r="F81" s="815"/>
      <c r="G81" s="815"/>
      <c r="H81" s="815"/>
      <c r="I81" s="815"/>
      <c r="J81" s="815"/>
      <c r="K81" s="815"/>
      <c r="L81" s="815"/>
      <c r="M81" s="815"/>
      <c r="N81" s="815">
        <f t="shared" si="23"/>
        <v>0</v>
      </c>
      <c r="O81" s="815">
        <f t="shared" si="24"/>
        <v>0</v>
      </c>
      <c r="P81" s="815">
        <f t="shared" si="25"/>
        <v>0</v>
      </c>
      <c r="Q81" s="815">
        <f t="shared" si="26"/>
        <v>0</v>
      </c>
      <c r="R81" s="815">
        <f t="shared" si="27"/>
        <v>0</v>
      </c>
      <c r="S81" s="815">
        <f t="shared" si="28"/>
        <v>0</v>
      </c>
      <c r="T81" s="815">
        <f t="shared" si="29"/>
        <v>0</v>
      </c>
      <c r="U81" s="815">
        <f t="shared" si="30"/>
        <v>0</v>
      </c>
      <c r="V81" s="815">
        <f t="shared" si="31"/>
        <v>0</v>
      </c>
      <c r="W81" s="815"/>
      <c r="X81" s="815"/>
      <c r="Y81" s="815"/>
      <c r="Z81" s="815"/>
      <c r="AA81" s="830">
        <f t="shared" si="32"/>
        <v>0</v>
      </c>
      <c r="AB81" s="830">
        <f>VLOOKUP(C81,'[3]MỦ TẠP'!$D$10:$AM$450,33,0)</f>
        <v>0</v>
      </c>
      <c r="AC81" s="830">
        <f>VLOOKUP(C81,'[3]MỦ TẠP'!$D$10:$AM$450,34,0)</f>
        <v>0</v>
      </c>
      <c r="AD81" s="830">
        <f>VLOOKUP(C81,'[3]MỦ TẠP'!$D$10:$AM$450,35,0)</f>
        <v>0</v>
      </c>
      <c r="AE81" s="830">
        <f t="shared" si="34"/>
        <v>0</v>
      </c>
      <c r="AF81" s="830"/>
      <c r="AG81" s="830"/>
      <c r="AH81" s="830">
        <f t="shared" si="33"/>
        <v>0</v>
      </c>
      <c r="AI81" s="830">
        <f>VLOOKUP(C81,'[3]CHẤM CÔNG '!$F$10:$AM$451,33,0)</f>
        <v>0</v>
      </c>
      <c r="AJ81" s="830">
        <f>VLOOKUP(C81,'[3]CHẤM CÔNG '!$F$10:$AM$451,34,0)</f>
        <v>0</v>
      </c>
      <c r="AK81" s="830"/>
      <c r="AL81" s="830"/>
      <c r="AM81" s="830"/>
      <c r="AN81" s="830">
        <f>VLOOKUP(C81,'[3]CHẤM CÔNG '!$F$10:$AN$451,35,0)</f>
        <v>0</v>
      </c>
      <c r="AO81" s="830">
        <f>VLOOKUP(C81,'[3]CHẤM CÔNG '!$F$10:$AR$451,36,0)</f>
        <v>0</v>
      </c>
      <c r="AP81" s="830"/>
      <c r="AQ81" s="830"/>
      <c r="AR81" s="830"/>
      <c r="AS81" s="836"/>
      <c r="AT81" s="837">
        <f>VLOOKUP(C81,'[3]MỦ TẠP'!$D$10:$AO$450,38,0)</f>
        <v>0</v>
      </c>
    </row>
    <row r="82" spans="1:46" ht="15.75">
      <c r="A82" s="824">
        <v>26</v>
      </c>
      <c r="B82" s="813" t="str">
        <f>VLOOKUP(C82,'[3]DS CN MOI UP'!$B$10:$C$489,2,0)</f>
        <v>03291</v>
      </c>
      <c r="C82" s="825" t="s">
        <v>454</v>
      </c>
      <c r="D82" s="826" t="s">
        <v>15</v>
      </c>
      <c r="E82" s="815"/>
      <c r="F82" s="815"/>
      <c r="G82" s="815"/>
      <c r="H82" s="815"/>
      <c r="I82" s="815"/>
      <c r="J82" s="815"/>
      <c r="K82" s="815"/>
      <c r="L82" s="815"/>
      <c r="M82" s="815"/>
      <c r="N82" s="815">
        <f t="shared" si="23"/>
        <v>0</v>
      </c>
      <c r="O82" s="815">
        <f t="shared" si="24"/>
        <v>0</v>
      </c>
      <c r="P82" s="815">
        <f t="shared" si="25"/>
        <v>0</v>
      </c>
      <c r="Q82" s="815">
        <f t="shared" si="26"/>
        <v>0</v>
      </c>
      <c r="R82" s="815">
        <f t="shared" si="27"/>
        <v>0</v>
      </c>
      <c r="S82" s="815">
        <f t="shared" si="28"/>
        <v>0</v>
      </c>
      <c r="T82" s="815">
        <f t="shared" si="29"/>
        <v>0</v>
      </c>
      <c r="U82" s="815">
        <f t="shared" si="30"/>
        <v>0</v>
      </c>
      <c r="V82" s="815">
        <f t="shared" si="31"/>
        <v>0</v>
      </c>
      <c r="W82" s="815"/>
      <c r="X82" s="815"/>
      <c r="Y82" s="815"/>
      <c r="Z82" s="815"/>
      <c r="AA82" s="830">
        <f t="shared" si="32"/>
        <v>0</v>
      </c>
      <c r="AB82" s="830">
        <f>VLOOKUP(C82,'[3]MỦ TẠP'!$D$10:$AM$450,33,0)</f>
        <v>0</v>
      </c>
      <c r="AC82" s="830">
        <f>VLOOKUP(C82,'[3]MỦ TẠP'!$D$10:$AM$450,34,0)</f>
        <v>0</v>
      </c>
      <c r="AD82" s="830">
        <f>VLOOKUP(C82,'[3]MỦ TẠP'!$D$10:$AM$450,35,0)</f>
        <v>0</v>
      </c>
      <c r="AE82" s="830">
        <f t="shared" si="34"/>
        <v>0</v>
      </c>
      <c r="AF82" s="830"/>
      <c r="AG82" s="830"/>
      <c r="AH82" s="830">
        <f t="shared" si="33"/>
        <v>0</v>
      </c>
      <c r="AI82" s="830">
        <f>VLOOKUP(C82,'[3]CHẤM CÔNG '!$F$10:$AM$451,33,0)</f>
        <v>0</v>
      </c>
      <c r="AJ82" s="830">
        <f>VLOOKUP(C82,'[3]CHẤM CÔNG '!$F$10:$AM$451,34,0)</f>
        <v>0</v>
      </c>
      <c r="AK82" s="830"/>
      <c r="AL82" s="830"/>
      <c r="AM82" s="830"/>
      <c r="AN82" s="830">
        <f>VLOOKUP(C82,'[3]CHẤM CÔNG '!$F$10:$AN$451,35,0)</f>
        <v>0</v>
      </c>
      <c r="AO82" s="830">
        <f>VLOOKUP(C82,'[3]CHẤM CÔNG '!$F$10:$AR$451,36,0)</f>
        <v>0</v>
      </c>
      <c r="AP82" s="830"/>
      <c r="AQ82" s="830"/>
      <c r="AR82" s="830"/>
      <c r="AS82" s="836"/>
      <c r="AT82" s="837">
        <f>VLOOKUP(C82,'[3]MỦ TẠP'!$D$10:$AO$450,38,0)</f>
        <v>0</v>
      </c>
    </row>
    <row r="83" spans="1:46" ht="15.75">
      <c r="A83" s="824">
        <v>27</v>
      </c>
      <c r="B83" s="813" t="e">
        <f>VLOOKUP(C83,'[3]DS CN MOI UP'!$B$10:$C$489,2,0)</f>
        <v>#N/A</v>
      </c>
      <c r="C83" s="825" t="s">
        <v>911</v>
      </c>
      <c r="D83" s="826" t="s">
        <v>15</v>
      </c>
      <c r="E83" s="815"/>
      <c r="F83" s="815"/>
      <c r="G83" s="815"/>
      <c r="H83" s="815"/>
      <c r="I83" s="815"/>
      <c r="J83" s="815"/>
      <c r="K83" s="815"/>
      <c r="L83" s="815"/>
      <c r="M83" s="815"/>
      <c r="N83" s="815">
        <f t="shared" si="23"/>
        <v>0</v>
      </c>
      <c r="O83" s="815">
        <f t="shared" si="24"/>
        <v>0</v>
      </c>
      <c r="P83" s="815">
        <f t="shared" si="25"/>
        <v>0</v>
      </c>
      <c r="Q83" s="815">
        <f t="shared" si="26"/>
        <v>0</v>
      </c>
      <c r="R83" s="815">
        <f t="shared" si="27"/>
        <v>0</v>
      </c>
      <c r="S83" s="815">
        <f t="shared" si="28"/>
        <v>0</v>
      </c>
      <c r="T83" s="815">
        <f t="shared" si="29"/>
        <v>0</v>
      </c>
      <c r="U83" s="815">
        <f t="shared" si="30"/>
        <v>0</v>
      </c>
      <c r="V83" s="815">
        <f t="shared" si="31"/>
        <v>0</v>
      </c>
      <c r="W83" s="815"/>
      <c r="X83" s="815"/>
      <c r="Y83" s="815"/>
      <c r="Z83" s="815"/>
      <c r="AA83" s="830">
        <f t="shared" si="32"/>
        <v>0</v>
      </c>
      <c r="AB83" s="830">
        <f>VLOOKUP(C83,'[3]MỦ TẠP'!$D$10:$AM$450,33,0)</f>
        <v>0</v>
      </c>
      <c r="AC83" s="830">
        <f>VLOOKUP(C83,'[3]MỦ TẠP'!$D$10:$AM$450,34,0)</f>
        <v>0</v>
      </c>
      <c r="AD83" s="830">
        <f>VLOOKUP(C83,'[3]MỦ TẠP'!$D$10:$AM$450,35,0)</f>
        <v>0</v>
      </c>
      <c r="AE83" s="830">
        <f t="shared" si="34"/>
        <v>0</v>
      </c>
      <c r="AF83" s="830"/>
      <c r="AG83" s="830"/>
      <c r="AH83" s="830">
        <f t="shared" si="33"/>
        <v>0</v>
      </c>
      <c r="AI83" s="830">
        <f>VLOOKUP(C83,'[3]CHẤM CÔNG '!$F$10:$AM$451,33,0)</f>
        <v>0</v>
      </c>
      <c r="AJ83" s="830">
        <f>VLOOKUP(C83,'[3]CHẤM CÔNG '!$F$10:$AM$451,34,0)</f>
        <v>0</v>
      </c>
      <c r="AK83" s="830"/>
      <c r="AL83" s="830"/>
      <c r="AM83" s="830"/>
      <c r="AN83" s="830">
        <f>VLOOKUP(C83,'[3]CHẤM CÔNG '!$F$10:$AN$451,35,0)</f>
        <v>0</v>
      </c>
      <c r="AO83" s="830">
        <f>VLOOKUP(C83,'[3]CHẤM CÔNG '!$F$10:$AR$451,36,0)</f>
        <v>0</v>
      </c>
      <c r="AP83" s="830"/>
      <c r="AQ83" s="830"/>
      <c r="AR83" s="830"/>
      <c r="AS83" s="836"/>
      <c r="AT83" s="837">
        <f>VLOOKUP(C83,'[3]MỦ TẠP'!$D$10:$AO$450,38,0)</f>
        <v>0</v>
      </c>
    </row>
    <row r="84" spans="1:46" ht="15.75">
      <c r="A84" s="824">
        <v>28</v>
      </c>
      <c r="B84" s="813" t="e">
        <f>VLOOKUP(C84,'[3]DS CN MOI UP'!$B$10:$C$489,2,0)</f>
        <v>#N/A</v>
      </c>
      <c r="C84" s="825" t="s">
        <v>1979</v>
      </c>
      <c r="D84" s="826" t="s">
        <v>15</v>
      </c>
      <c r="E84" s="815"/>
      <c r="F84" s="815"/>
      <c r="G84" s="815"/>
      <c r="H84" s="815"/>
      <c r="I84" s="815"/>
      <c r="J84" s="815"/>
      <c r="K84" s="815"/>
      <c r="L84" s="815"/>
      <c r="M84" s="815"/>
      <c r="N84" s="815">
        <f t="shared" si="23"/>
        <v>0</v>
      </c>
      <c r="O84" s="815">
        <f t="shared" si="24"/>
        <v>0</v>
      </c>
      <c r="P84" s="815">
        <f t="shared" si="25"/>
        <v>0</v>
      </c>
      <c r="Q84" s="815">
        <f t="shared" si="26"/>
        <v>0</v>
      </c>
      <c r="R84" s="815">
        <f t="shared" si="27"/>
        <v>0</v>
      </c>
      <c r="S84" s="815">
        <f t="shared" si="28"/>
        <v>0</v>
      </c>
      <c r="T84" s="815">
        <f t="shared" si="29"/>
        <v>0</v>
      </c>
      <c r="U84" s="815">
        <f t="shared" si="30"/>
        <v>0</v>
      </c>
      <c r="V84" s="815">
        <f t="shared" si="31"/>
        <v>0</v>
      </c>
      <c r="W84" s="815"/>
      <c r="X84" s="815"/>
      <c r="Y84" s="815"/>
      <c r="Z84" s="815"/>
      <c r="AA84" s="830">
        <f t="shared" si="32"/>
        <v>0</v>
      </c>
      <c r="AB84" s="830">
        <f>VLOOKUP(C84,'[3]MỦ TẠP'!$D$10:$AM$450,33,0)</f>
        <v>0</v>
      </c>
      <c r="AC84" s="830">
        <f>VLOOKUP(C84,'[3]MỦ TẠP'!$D$10:$AM$450,34,0)</f>
        <v>0</v>
      </c>
      <c r="AD84" s="830">
        <f>VLOOKUP(C84,'[3]MỦ TẠP'!$D$10:$AM$450,35,0)</f>
        <v>0</v>
      </c>
      <c r="AE84" s="830">
        <f t="shared" si="34"/>
        <v>0</v>
      </c>
      <c r="AF84" s="830"/>
      <c r="AG84" s="830"/>
      <c r="AH84" s="830">
        <f t="shared" si="33"/>
        <v>0</v>
      </c>
      <c r="AI84" s="830">
        <f>VLOOKUP(C84,'[3]CHẤM CÔNG '!$F$10:$AM$451,33,0)</f>
        <v>0</v>
      </c>
      <c r="AJ84" s="830">
        <f>VLOOKUP(C84,'[3]CHẤM CÔNG '!$F$10:$AM$451,34,0)</f>
        <v>0</v>
      </c>
      <c r="AK84" s="830"/>
      <c r="AL84" s="830"/>
      <c r="AM84" s="830"/>
      <c r="AN84" s="830">
        <f>VLOOKUP(C84,'[3]CHẤM CÔNG '!$F$10:$AN$451,35,0)</f>
        <v>0</v>
      </c>
      <c r="AO84" s="830">
        <f>VLOOKUP(C84,'[3]CHẤM CÔNG '!$F$10:$AR$451,36,0)</f>
        <v>0</v>
      </c>
      <c r="AP84" s="830"/>
      <c r="AQ84" s="830"/>
      <c r="AR84" s="830"/>
      <c r="AS84" s="836"/>
      <c r="AT84" s="837">
        <f>VLOOKUP(C84,'[3]MỦ TẠP'!$D$10:$AO$450,38,0)</f>
        <v>0</v>
      </c>
    </row>
    <row r="85" spans="1:46" ht="15.75">
      <c r="A85" s="824">
        <v>29</v>
      </c>
      <c r="B85" s="813" t="str">
        <f>VLOOKUP(C85,'[3]DS CN MOI UP'!$B$10:$C$489,2,0)</f>
        <v>03294</v>
      </c>
      <c r="C85" s="825" t="s">
        <v>457</v>
      </c>
      <c r="D85" s="826" t="s">
        <v>15</v>
      </c>
      <c r="E85" s="815"/>
      <c r="F85" s="815"/>
      <c r="G85" s="815"/>
      <c r="H85" s="815"/>
      <c r="I85" s="815"/>
      <c r="J85" s="815"/>
      <c r="K85" s="815"/>
      <c r="L85" s="815"/>
      <c r="M85" s="815"/>
      <c r="N85" s="815">
        <f t="shared" si="23"/>
        <v>0</v>
      </c>
      <c r="O85" s="815">
        <f t="shared" si="24"/>
        <v>0</v>
      </c>
      <c r="P85" s="815">
        <f t="shared" si="25"/>
        <v>0</v>
      </c>
      <c r="Q85" s="815">
        <f t="shared" si="26"/>
        <v>0</v>
      </c>
      <c r="R85" s="815">
        <f t="shared" si="27"/>
        <v>0</v>
      </c>
      <c r="S85" s="815">
        <f t="shared" si="28"/>
        <v>0</v>
      </c>
      <c r="T85" s="815">
        <f t="shared" si="29"/>
        <v>0</v>
      </c>
      <c r="U85" s="815">
        <f t="shared" si="30"/>
        <v>0</v>
      </c>
      <c r="V85" s="815">
        <f t="shared" si="31"/>
        <v>0</v>
      </c>
      <c r="W85" s="815"/>
      <c r="X85" s="815"/>
      <c r="Y85" s="815"/>
      <c r="Z85" s="815"/>
      <c r="AA85" s="830">
        <f t="shared" si="32"/>
        <v>0</v>
      </c>
      <c r="AB85" s="830">
        <f>VLOOKUP(C85,'[3]MỦ TẠP'!$D$10:$AM$450,33,0)</f>
        <v>0</v>
      </c>
      <c r="AC85" s="830">
        <f>VLOOKUP(C85,'[3]MỦ TẠP'!$D$10:$AM$450,34,0)</f>
        <v>0</v>
      </c>
      <c r="AD85" s="830">
        <f>VLOOKUP(C85,'[3]MỦ TẠP'!$D$10:$AM$450,35,0)</f>
        <v>0</v>
      </c>
      <c r="AE85" s="830">
        <f t="shared" si="34"/>
        <v>0</v>
      </c>
      <c r="AF85" s="830"/>
      <c r="AG85" s="830"/>
      <c r="AH85" s="830">
        <f t="shared" si="33"/>
        <v>0</v>
      </c>
      <c r="AI85" s="830">
        <f>VLOOKUP(C85,'[3]CHẤM CÔNG '!$F$10:$AM$451,33,0)</f>
        <v>0</v>
      </c>
      <c r="AJ85" s="830">
        <f>VLOOKUP(C85,'[3]CHẤM CÔNG '!$F$10:$AM$451,34,0)</f>
        <v>0</v>
      </c>
      <c r="AK85" s="830"/>
      <c r="AL85" s="830"/>
      <c r="AM85" s="830"/>
      <c r="AN85" s="830">
        <f>VLOOKUP(C85,'[3]CHẤM CÔNG '!$F$10:$AN$451,35,0)</f>
        <v>0</v>
      </c>
      <c r="AO85" s="830">
        <f>VLOOKUP(C85,'[3]CHẤM CÔNG '!$F$10:$AR$451,36,0)</f>
        <v>0</v>
      </c>
      <c r="AP85" s="830"/>
      <c r="AQ85" s="830"/>
      <c r="AR85" s="830"/>
      <c r="AS85" s="836"/>
      <c r="AT85" s="837">
        <f>VLOOKUP(C85,'[3]MỦ TẠP'!$D$10:$AO$450,38,0)</f>
        <v>0</v>
      </c>
    </row>
    <row r="86" spans="1:46" ht="15.75">
      <c r="A86" s="824">
        <v>30</v>
      </c>
      <c r="B86" s="813" t="str">
        <f>VLOOKUP(C86,'[3]DS CN MOI UP'!$B$10:$C$489,2,0)</f>
        <v>03304</v>
      </c>
      <c r="C86" s="825" t="s">
        <v>467</v>
      </c>
      <c r="D86" s="826" t="s">
        <v>15</v>
      </c>
      <c r="E86" s="815"/>
      <c r="F86" s="815"/>
      <c r="G86" s="815"/>
      <c r="H86" s="815"/>
      <c r="I86" s="815"/>
      <c r="J86" s="815"/>
      <c r="K86" s="815"/>
      <c r="L86" s="815"/>
      <c r="M86" s="815"/>
      <c r="N86" s="815">
        <f t="shared" si="23"/>
        <v>0</v>
      </c>
      <c r="O86" s="815">
        <f t="shared" si="24"/>
        <v>0</v>
      </c>
      <c r="P86" s="815">
        <f t="shared" si="25"/>
        <v>0</v>
      </c>
      <c r="Q86" s="815">
        <f t="shared" si="26"/>
        <v>0</v>
      </c>
      <c r="R86" s="815">
        <f t="shared" si="27"/>
        <v>0</v>
      </c>
      <c r="S86" s="815">
        <f t="shared" si="28"/>
        <v>0</v>
      </c>
      <c r="T86" s="815">
        <f t="shared" si="29"/>
        <v>0</v>
      </c>
      <c r="U86" s="815">
        <f t="shared" si="30"/>
        <v>0</v>
      </c>
      <c r="V86" s="815">
        <f t="shared" si="31"/>
        <v>0</v>
      </c>
      <c r="W86" s="815"/>
      <c r="X86" s="815"/>
      <c r="Y86" s="815"/>
      <c r="Z86" s="815"/>
      <c r="AA86" s="830">
        <f t="shared" si="32"/>
        <v>0</v>
      </c>
      <c r="AB86" s="830">
        <f>VLOOKUP(C86,'[3]MỦ TẠP'!$D$10:$AM$450,33,0)</f>
        <v>0</v>
      </c>
      <c r="AC86" s="830">
        <f>VLOOKUP(C86,'[3]MỦ TẠP'!$D$10:$AM$450,34,0)</f>
        <v>0</v>
      </c>
      <c r="AD86" s="830">
        <f>VLOOKUP(C86,'[3]MỦ TẠP'!$D$10:$AM$450,35,0)</f>
        <v>0</v>
      </c>
      <c r="AE86" s="830">
        <f t="shared" si="34"/>
        <v>0</v>
      </c>
      <c r="AF86" s="830"/>
      <c r="AG86" s="830"/>
      <c r="AH86" s="830">
        <f t="shared" si="33"/>
        <v>0</v>
      </c>
      <c r="AI86" s="830">
        <f>VLOOKUP(C86,'[3]CHẤM CÔNG '!$F$10:$AM$451,33,0)</f>
        <v>0</v>
      </c>
      <c r="AJ86" s="830">
        <f>VLOOKUP(C86,'[3]CHẤM CÔNG '!$F$10:$AM$451,34,0)</f>
        <v>0</v>
      </c>
      <c r="AK86" s="830"/>
      <c r="AL86" s="830"/>
      <c r="AM86" s="830"/>
      <c r="AN86" s="830">
        <f>VLOOKUP(C86,'[3]CHẤM CÔNG '!$F$10:$AN$451,35,0)</f>
        <v>0</v>
      </c>
      <c r="AO86" s="830">
        <f>VLOOKUP(C86,'[3]CHẤM CÔNG '!$F$10:$AR$451,36,0)</f>
        <v>0</v>
      </c>
      <c r="AP86" s="830"/>
      <c r="AQ86" s="830"/>
      <c r="AR86" s="830"/>
      <c r="AS86" s="836"/>
      <c r="AT86" s="837">
        <f>VLOOKUP(C86,'[3]MỦ TẠP'!$D$10:$AO$450,38,0)</f>
        <v>0</v>
      </c>
    </row>
    <row r="87" spans="1:46" ht="15.75">
      <c r="A87" s="824">
        <v>31</v>
      </c>
      <c r="B87" s="813" t="str">
        <f>VLOOKUP(C87,'[3]DS CN MOI UP'!$B$10:$C$489,2,0)</f>
        <v>03296</v>
      </c>
      <c r="C87" s="825" t="s">
        <v>459</v>
      </c>
      <c r="D87" s="826" t="s">
        <v>15</v>
      </c>
      <c r="E87" s="815"/>
      <c r="F87" s="815"/>
      <c r="G87" s="815"/>
      <c r="H87" s="815"/>
      <c r="I87" s="815"/>
      <c r="J87" s="815"/>
      <c r="K87" s="815"/>
      <c r="L87" s="815"/>
      <c r="M87" s="815"/>
      <c r="N87" s="815">
        <f t="shared" si="23"/>
        <v>0</v>
      </c>
      <c r="O87" s="815">
        <f t="shared" si="24"/>
        <v>0</v>
      </c>
      <c r="P87" s="815">
        <f t="shared" si="25"/>
        <v>0</v>
      </c>
      <c r="Q87" s="815">
        <f t="shared" si="26"/>
        <v>0</v>
      </c>
      <c r="R87" s="815">
        <f t="shared" si="27"/>
        <v>0</v>
      </c>
      <c r="S87" s="815">
        <f t="shared" si="28"/>
        <v>0</v>
      </c>
      <c r="T87" s="815">
        <f t="shared" si="29"/>
        <v>0</v>
      </c>
      <c r="U87" s="815">
        <f t="shared" si="30"/>
        <v>0</v>
      </c>
      <c r="V87" s="815">
        <f t="shared" si="31"/>
        <v>0</v>
      </c>
      <c r="W87" s="815"/>
      <c r="X87" s="815"/>
      <c r="Y87" s="815"/>
      <c r="Z87" s="815"/>
      <c r="AA87" s="830">
        <f t="shared" si="32"/>
        <v>0</v>
      </c>
      <c r="AB87" s="830">
        <f>VLOOKUP(C87,'[3]MỦ TẠP'!$D$10:$AM$450,33,0)</f>
        <v>0</v>
      </c>
      <c r="AC87" s="830">
        <f>VLOOKUP(C87,'[3]MỦ TẠP'!$D$10:$AM$450,34,0)</f>
        <v>0</v>
      </c>
      <c r="AD87" s="830">
        <f>VLOOKUP(C87,'[3]MỦ TẠP'!$D$10:$AM$450,35,0)</f>
        <v>0</v>
      </c>
      <c r="AE87" s="830">
        <f t="shared" si="34"/>
        <v>0</v>
      </c>
      <c r="AF87" s="830"/>
      <c r="AG87" s="830"/>
      <c r="AH87" s="830">
        <f t="shared" si="33"/>
        <v>0</v>
      </c>
      <c r="AI87" s="830">
        <f>VLOOKUP(C87,'[3]CHẤM CÔNG '!$F$10:$AM$451,33,0)</f>
        <v>0</v>
      </c>
      <c r="AJ87" s="830">
        <f>VLOOKUP(C87,'[3]CHẤM CÔNG '!$F$10:$AM$451,34,0)</f>
        <v>0</v>
      </c>
      <c r="AK87" s="830"/>
      <c r="AL87" s="830"/>
      <c r="AM87" s="830"/>
      <c r="AN87" s="830">
        <f>VLOOKUP(C87,'[3]CHẤM CÔNG '!$F$10:$AN$451,35,0)</f>
        <v>0</v>
      </c>
      <c r="AO87" s="830">
        <f>VLOOKUP(C87,'[3]CHẤM CÔNG '!$F$10:$AR$451,36,0)</f>
        <v>0</v>
      </c>
      <c r="AP87" s="830"/>
      <c r="AQ87" s="830"/>
      <c r="AR87" s="830"/>
      <c r="AS87" s="836"/>
      <c r="AT87" s="837">
        <f>VLOOKUP(C87,'[3]MỦ TẠP'!$D$10:$AO$450,38,0)</f>
        <v>0</v>
      </c>
    </row>
    <row r="88" spans="1:46" ht="15.75">
      <c r="A88" s="824">
        <v>32</v>
      </c>
      <c r="B88" s="813" t="str">
        <f>VLOOKUP(C88,'[3]DS CN MOI UP'!$B$10:$C$489,2,0)</f>
        <v>03297</v>
      </c>
      <c r="C88" s="825" t="s">
        <v>460</v>
      </c>
      <c r="D88" s="826" t="s">
        <v>15</v>
      </c>
      <c r="E88" s="815"/>
      <c r="F88" s="815"/>
      <c r="G88" s="815"/>
      <c r="H88" s="815"/>
      <c r="I88" s="815"/>
      <c r="J88" s="815"/>
      <c r="K88" s="815"/>
      <c r="L88" s="815"/>
      <c r="M88" s="815"/>
      <c r="N88" s="815">
        <f t="shared" si="23"/>
        <v>0</v>
      </c>
      <c r="O88" s="815">
        <f t="shared" si="24"/>
        <v>0</v>
      </c>
      <c r="P88" s="815">
        <f t="shared" si="25"/>
        <v>0</v>
      </c>
      <c r="Q88" s="815">
        <f t="shared" si="26"/>
        <v>0</v>
      </c>
      <c r="R88" s="815">
        <f t="shared" si="27"/>
        <v>0</v>
      </c>
      <c r="S88" s="815">
        <f t="shared" si="28"/>
        <v>0</v>
      </c>
      <c r="T88" s="815">
        <f t="shared" si="29"/>
        <v>0</v>
      </c>
      <c r="U88" s="815">
        <f t="shared" si="30"/>
        <v>0</v>
      </c>
      <c r="V88" s="815">
        <f t="shared" si="31"/>
        <v>0</v>
      </c>
      <c r="W88" s="815"/>
      <c r="X88" s="815"/>
      <c r="Y88" s="815"/>
      <c r="Z88" s="815"/>
      <c r="AA88" s="830">
        <f t="shared" si="32"/>
        <v>0</v>
      </c>
      <c r="AB88" s="830">
        <f>VLOOKUP(C88,'[3]MỦ TẠP'!$D$10:$AM$450,33,0)</f>
        <v>0</v>
      </c>
      <c r="AC88" s="830">
        <f>VLOOKUP(C88,'[3]MỦ TẠP'!$D$10:$AM$450,34,0)</f>
        <v>0</v>
      </c>
      <c r="AD88" s="830">
        <f>VLOOKUP(C88,'[3]MỦ TẠP'!$D$10:$AM$450,35,0)</f>
        <v>0</v>
      </c>
      <c r="AE88" s="830">
        <f t="shared" si="34"/>
        <v>0</v>
      </c>
      <c r="AF88" s="830"/>
      <c r="AG88" s="830"/>
      <c r="AH88" s="830">
        <f t="shared" si="33"/>
        <v>0</v>
      </c>
      <c r="AI88" s="830">
        <f>VLOOKUP(C88,'[3]CHẤM CÔNG '!$F$10:$AM$451,33,0)</f>
        <v>0</v>
      </c>
      <c r="AJ88" s="830">
        <f>VLOOKUP(C88,'[3]CHẤM CÔNG '!$F$10:$AM$451,34,0)</f>
        <v>0</v>
      </c>
      <c r="AK88" s="830"/>
      <c r="AL88" s="830"/>
      <c r="AM88" s="830"/>
      <c r="AN88" s="830">
        <f>VLOOKUP(C88,'[3]CHẤM CÔNG '!$F$10:$AN$451,35,0)</f>
        <v>0</v>
      </c>
      <c r="AO88" s="830">
        <f>VLOOKUP(C88,'[3]CHẤM CÔNG '!$F$10:$AR$451,36,0)</f>
        <v>0</v>
      </c>
      <c r="AP88" s="830"/>
      <c r="AQ88" s="830"/>
      <c r="AR88" s="830"/>
      <c r="AS88" s="836"/>
      <c r="AT88" s="837">
        <f>VLOOKUP(C88,'[3]MỦ TẠP'!$D$10:$AO$450,38,0)</f>
        <v>0</v>
      </c>
    </row>
    <row r="89" spans="1:46" ht="15.75">
      <c r="A89" s="824">
        <v>33</v>
      </c>
      <c r="B89" s="813" t="str">
        <f>VLOOKUP(C89,'[3]DS CN MOI UP'!$B$10:$C$489,2,0)</f>
        <v>03298</v>
      </c>
      <c r="C89" s="825" t="s">
        <v>461</v>
      </c>
      <c r="D89" s="826" t="s">
        <v>15</v>
      </c>
      <c r="E89" s="815"/>
      <c r="F89" s="815"/>
      <c r="G89" s="815"/>
      <c r="H89" s="815"/>
      <c r="I89" s="815"/>
      <c r="J89" s="815"/>
      <c r="K89" s="815"/>
      <c r="L89" s="815"/>
      <c r="M89" s="815"/>
      <c r="N89" s="815">
        <f t="shared" si="23"/>
        <v>0</v>
      </c>
      <c r="O89" s="815">
        <f t="shared" si="24"/>
        <v>0</v>
      </c>
      <c r="P89" s="815">
        <f t="shared" si="25"/>
        <v>0</v>
      </c>
      <c r="Q89" s="815">
        <f t="shared" si="26"/>
        <v>0</v>
      </c>
      <c r="R89" s="815">
        <f t="shared" si="27"/>
        <v>0</v>
      </c>
      <c r="S89" s="815">
        <f t="shared" si="28"/>
        <v>0</v>
      </c>
      <c r="T89" s="815">
        <f t="shared" si="29"/>
        <v>0</v>
      </c>
      <c r="U89" s="815">
        <f t="shared" si="30"/>
        <v>0</v>
      </c>
      <c r="V89" s="815">
        <f t="shared" si="31"/>
        <v>0</v>
      </c>
      <c r="W89" s="815"/>
      <c r="X89" s="815"/>
      <c r="Y89" s="815"/>
      <c r="Z89" s="815"/>
      <c r="AA89" s="830">
        <f t="shared" si="32"/>
        <v>0</v>
      </c>
      <c r="AB89" s="830">
        <f>VLOOKUP(C89,'[3]MỦ TẠP'!$D$10:$AM$450,33,0)</f>
        <v>0</v>
      </c>
      <c r="AC89" s="830">
        <f>VLOOKUP(C89,'[3]MỦ TẠP'!$D$10:$AM$450,34,0)</f>
        <v>0</v>
      </c>
      <c r="AD89" s="830">
        <f>VLOOKUP(C89,'[3]MỦ TẠP'!$D$10:$AM$450,35,0)</f>
        <v>0</v>
      </c>
      <c r="AE89" s="830">
        <f t="shared" si="34"/>
        <v>0</v>
      </c>
      <c r="AF89" s="830"/>
      <c r="AG89" s="830"/>
      <c r="AH89" s="830">
        <f t="shared" si="33"/>
        <v>0</v>
      </c>
      <c r="AI89" s="830">
        <f>VLOOKUP(C89,'[3]CHẤM CÔNG '!$F$10:$AM$451,33,0)</f>
        <v>0</v>
      </c>
      <c r="AJ89" s="830">
        <f>VLOOKUP(C89,'[3]CHẤM CÔNG '!$F$10:$AM$451,34,0)</f>
        <v>0</v>
      </c>
      <c r="AK89" s="830"/>
      <c r="AL89" s="830"/>
      <c r="AM89" s="830"/>
      <c r="AN89" s="830">
        <f>VLOOKUP(C89,'[3]CHẤM CÔNG '!$F$10:$AN$451,35,0)</f>
        <v>0</v>
      </c>
      <c r="AO89" s="830">
        <f>VLOOKUP(C89,'[3]CHẤM CÔNG '!$F$10:$AR$451,36,0)</f>
        <v>0</v>
      </c>
      <c r="AP89" s="830"/>
      <c r="AQ89" s="830"/>
      <c r="AR89" s="830"/>
      <c r="AS89" s="836"/>
      <c r="AT89" s="837">
        <f>VLOOKUP(C89,'[3]MỦ TẠP'!$D$10:$AO$450,38,0)</f>
        <v>0</v>
      </c>
    </row>
    <row r="90" spans="1:46" ht="15.75">
      <c r="A90" s="824">
        <v>34</v>
      </c>
      <c r="B90" s="813" t="e">
        <f>VLOOKUP(C90,'[3]DS CN MOI UP'!$B$10:$C$489,2,0)</f>
        <v>#N/A</v>
      </c>
      <c r="C90" s="825" t="s">
        <v>1980</v>
      </c>
      <c r="D90" s="826" t="s">
        <v>15</v>
      </c>
      <c r="E90" s="815"/>
      <c r="F90" s="815"/>
      <c r="G90" s="815"/>
      <c r="H90" s="815"/>
      <c r="I90" s="815"/>
      <c r="J90" s="815"/>
      <c r="K90" s="815"/>
      <c r="L90" s="815"/>
      <c r="M90" s="815"/>
      <c r="N90" s="815">
        <f t="shared" si="23"/>
        <v>0</v>
      </c>
      <c r="O90" s="815">
        <f t="shared" si="24"/>
        <v>0</v>
      </c>
      <c r="P90" s="815">
        <f t="shared" si="25"/>
        <v>0</v>
      </c>
      <c r="Q90" s="815">
        <f t="shared" si="26"/>
        <v>0</v>
      </c>
      <c r="R90" s="815">
        <f t="shared" si="27"/>
        <v>0</v>
      </c>
      <c r="S90" s="815">
        <f t="shared" si="28"/>
        <v>0</v>
      </c>
      <c r="T90" s="815">
        <f t="shared" si="29"/>
        <v>0</v>
      </c>
      <c r="U90" s="815">
        <f t="shared" si="30"/>
        <v>0</v>
      </c>
      <c r="V90" s="815">
        <f t="shared" si="31"/>
        <v>0</v>
      </c>
      <c r="W90" s="815"/>
      <c r="X90" s="815"/>
      <c r="Y90" s="815"/>
      <c r="Z90" s="815"/>
      <c r="AA90" s="830">
        <f t="shared" si="32"/>
        <v>0</v>
      </c>
      <c r="AB90" s="830">
        <f>VLOOKUP(C90,'[3]MỦ TẠP'!$D$10:$AM$450,33,0)</f>
        <v>0</v>
      </c>
      <c r="AC90" s="830">
        <f>VLOOKUP(C90,'[3]MỦ TẠP'!$D$10:$AM$450,34,0)</f>
        <v>0</v>
      </c>
      <c r="AD90" s="830">
        <f>VLOOKUP(C90,'[3]MỦ TẠP'!$D$10:$AM$450,35,0)</f>
        <v>0</v>
      </c>
      <c r="AE90" s="830">
        <f t="shared" si="34"/>
        <v>0</v>
      </c>
      <c r="AF90" s="830"/>
      <c r="AG90" s="830"/>
      <c r="AH90" s="830">
        <f t="shared" si="33"/>
        <v>0</v>
      </c>
      <c r="AI90" s="830">
        <f>VLOOKUP(C90,'[3]CHẤM CÔNG '!$F$10:$AM$451,33,0)</f>
        <v>0</v>
      </c>
      <c r="AJ90" s="830">
        <f>VLOOKUP(C90,'[3]CHẤM CÔNG '!$F$10:$AM$451,34,0)</f>
        <v>0</v>
      </c>
      <c r="AK90" s="830"/>
      <c r="AL90" s="830"/>
      <c r="AM90" s="830"/>
      <c r="AN90" s="830">
        <f>VLOOKUP(C90,'[3]CHẤM CÔNG '!$F$10:$AN$451,35,0)</f>
        <v>0</v>
      </c>
      <c r="AO90" s="830">
        <f>VLOOKUP(C90,'[3]CHẤM CÔNG '!$F$10:$AR$451,36,0)</f>
        <v>0</v>
      </c>
      <c r="AP90" s="830"/>
      <c r="AQ90" s="830"/>
      <c r="AR90" s="830"/>
      <c r="AS90" s="836"/>
      <c r="AT90" s="837">
        <f>VLOOKUP(C90,'[3]MỦ TẠP'!$D$10:$AO$450,38,0)</f>
        <v>0</v>
      </c>
    </row>
    <row r="91" spans="1:46" ht="15.75">
      <c r="A91" s="824">
        <v>35</v>
      </c>
      <c r="B91" s="813" t="str">
        <f>VLOOKUP(C91,'[3]DS CN MOI UP'!$B$10:$C$489,2,0)</f>
        <v>03300</v>
      </c>
      <c r="C91" s="825" t="s">
        <v>463</v>
      </c>
      <c r="D91" s="826" t="s">
        <v>15</v>
      </c>
      <c r="E91" s="815"/>
      <c r="F91" s="815"/>
      <c r="G91" s="815"/>
      <c r="H91" s="815"/>
      <c r="I91" s="815"/>
      <c r="J91" s="815"/>
      <c r="K91" s="815"/>
      <c r="L91" s="815"/>
      <c r="M91" s="815"/>
      <c r="N91" s="815">
        <f t="shared" si="23"/>
        <v>0</v>
      </c>
      <c r="O91" s="815">
        <f t="shared" si="24"/>
        <v>0</v>
      </c>
      <c r="P91" s="815">
        <f t="shared" si="25"/>
        <v>0</v>
      </c>
      <c r="Q91" s="815">
        <f t="shared" si="26"/>
        <v>0</v>
      </c>
      <c r="R91" s="815">
        <f t="shared" si="27"/>
        <v>0</v>
      </c>
      <c r="S91" s="815">
        <f t="shared" si="28"/>
        <v>0</v>
      </c>
      <c r="T91" s="815">
        <f t="shared" si="29"/>
        <v>0</v>
      </c>
      <c r="U91" s="815">
        <f t="shared" si="30"/>
        <v>0</v>
      </c>
      <c r="V91" s="815">
        <f t="shared" si="31"/>
        <v>0</v>
      </c>
      <c r="W91" s="815"/>
      <c r="X91" s="815"/>
      <c r="Y91" s="815"/>
      <c r="Z91" s="815"/>
      <c r="AA91" s="830">
        <f t="shared" si="32"/>
        <v>0</v>
      </c>
      <c r="AB91" s="830">
        <f>VLOOKUP(C91,'[3]MỦ TẠP'!$D$10:$AM$450,33,0)</f>
        <v>0</v>
      </c>
      <c r="AC91" s="830">
        <f>VLOOKUP(C91,'[3]MỦ TẠP'!$D$10:$AM$450,34,0)</f>
        <v>0</v>
      </c>
      <c r="AD91" s="830">
        <f>VLOOKUP(C91,'[3]MỦ TẠP'!$D$10:$AM$450,35,0)</f>
        <v>0</v>
      </c>
      <c r="AE91" s="830">
        <f t="shared" si="34"/>
        <v>0</v>
      </c>
      <c r="AF91" s="830"/>
      <c r="AG91" s="830"/>
      <c r="AH91" s="830">
        <f t="shared" si="33"/>
        <v>0</v>
      </c>
      <c r="AI91" s="830">
        <f>VLOOKUP(C91,'[3]CHẤM CÔNG '!$F$10:$AM$451,33,0)</f>
        <v>0</v>
      </c>
      <c r="AJ91" s="830">
        <f>VLOOKUP(C91,'[3]CHẤM CÔNG '!$F$10:$AM$451,34,0)</f>
        <v>0</v>
      </c>
      <c r="AK91" s="830"/>
      <c r="AL91" s="830"/>
      <c r="AM91" s="830"/>
      <c r="AN91" s="830">
        <f>VLOOKUP(C91,'[3]CHẤM CÔNG '!$F$10:$AN$451,35,0)</f>
        <v>0</v>
      </c>
      <c r="AO91" s="830">
        <f>VLOOKUP(C91,'[3]CHẤM CÔNG '!$F$10:$AR$451,36,0)</f>
        <v>0</v>
      </c>
      <c r="AP91" s="830"/>
      <c r="AQ91" s="830"/>
      <c r="AR91" s="830"/>
      <c r="AS91" s="836"/>
      <c r="AT91" s="837">
        <f>VLOOKUP(C91,'[3]MỦ TẠP'!$D$10:$AO$450,38,0)</f>
        <v>0</v>
      </c>
    </row>
    <row r="92" spans="1:46" ht="15.75">
      <c r="A92" s="824">
        <v>36</v>
      </c>
      <c r="B92" s="813" t="str">
        <f>VLOOKUP(C92,'[3]DS CN MOI UP'!$B$10:$C$489,2,0)</f>
        <v>03301</v>
      </c>
      <c r="C92" s="825" t="s">
        <v>464</v>
      </c>
      <c r="D92" s="826" t="s">
        <v>15</v>
      </c>
      <c r="E92" s="815"/>
      <c r="F92" s="815"/>
      <c r="G92" s="815"/>
      <c r="H92" s="815"/>
      <c r="I92" s="815"/>
      <c r="J92" s="815"/>
      <c r="K92" s="815"/>
      <c r="L92" s="815"/>
      <c r="M92" s="815"/>
      <c r="N92" s="815">
        <f t="shared" si="23"/>
        <v>0</v>
      </c>
      <c r="O92" s="815">
        <f t="shared" si="24"/>
        <v>0</v>
      </c>
      <c r="P92" s="815">
        <f t="shared" si="25"/>
        <v>0</v>
      </c>
      <c r="Q92" s="815">
        <f t="shared" si="26"/>
        <v>0</v>
      </c>
      <c r="R92" s="815">
        <f t="shared" si="27"/>
        <v>0</v>
      </c>
      <c r="S92" s="815">
        <f t="shared" si="28"/>
        <v>0</v>
      </c>
      <c r="T92" s="815">
        <f t="shared" si="29"/>
        <v>0</v>
      </c>
      <c r="U92" s="815">
        <f t="shared" si="30"/>
        <v>0</v>
      </c>
      <c r="V92" s="815">
        <f t="shared" si="31"/>
        <v>0</v>
      </c>
      <c r="W92" s="815"/>
      <c r="X92" s="815"/>
      <c r="Y92" s="815"/>
      <c r="Z92" s="815"/>
      <c r="AA92" s="830">
        <f t="shared" si="32"/>
        <v>0</v>
      </c>
      <c r="AB92" s="830">
        <f>VLOOKUP(C92,'[3]MỦ TẠP'!$D$10:$AM$450,33,0)</f>
        <v>0</v>
      </c>
      <c r="AC92" s="830">
        <f>VLOOKUP(C92,'[3]MỦ TẠP'!$D$10:$AM$450,34,0)</f>
        <v>0</v>
      </c>
      <c r="AD92" s="830">
        <f>VLOOKUP(C92,'[3]MỦ TẠP'!$D$10:$AM$450,35,0)</f>
        <v>0</v>
      </c>
      <c r="AE92" s="830">
        <f t="shared" si="34"/>
        <v>0</v>
      </c>
      <c r="AF92" s="830"/>
      <c r="AG92" s="830"/>
      <c r="AH92" s="830">
        <f t="shared" si="33"/>
        <v>0</v>
      </c>
      <c r="AI92" s="830">
        <f>VLOOKUP(C92,'[3]CHẤM CÔNG '!$F$10:$AM$451,33,0)</f>
        <v>0</v>
      </c>
      <c r="AJ92" s="830">
        <f>VLOOKUP(C92,'[3]CHẤM CÔNG '!$F$10:$AM$451,34,0)</f>
        <v>0</v>
      </c>
      <c r="AK92" s="830"/>
      <c r="AL92" s="830"/>
      <c r="AM92" s="830"/>
      <c r="AN92" s="830">
        <f>VLOOKUP(C92,'[3]CHẤM CÔNG '!$F$10:$AN$451,35,0)</f>
        <v>0</v>
      </c>
      <c r="AO92" s="830">
        <f>VLOOKUP(C92,'[3]CHẤM CÔNG '!$F$10:$AR$451,36,0)</f>
        <v>0</v>
      </c>
      <c r="AP92" s="830"/>
      <c r="AQ92" s="830"/>
      <c r="AR92" s="830"/>
      <c r="AS92" s="836"/>
      <c r="AT92" s="837">
        <f>VLOOKUP(C92,'[3]MỦ TẠP'!$D$10:$AO$450,38,0)</f>
        <v>0</v>
      </c>
    </row>
    <row r="93" spans="1:46" ht="15.75">
      <c r="A93" s="824">
        <v>37</v>
      </c>
      <c r="B93" s="813" t="str">
        <f>VLOOKUP(C93,'[3]DS CN MOI UP'!$B$10:$C$489,2,0)</f>
        <v>03302</v>
      </c>
      <c r="C93" s="825" t="s">
        <v>465</v>
      </c>
      <c r="D93" s="826" t="s">
        <v>15</v>
      </c>
      <c r="E93" s="815"/>
      <c r="F93" s="815"/>
      <c r="G93" s="815"/>
      <c r="H93" s="815"/>
      <c r="I93" s="815"/>
      <c r="J93" s="815"/>
      <c r="K93" s="815"/>
      <c r="L93" s="815"/>
      <c r="M93" s="815"/>
      <c r="N93" s="815">
        <f t="shared" si="23"/>
        <v>0</v>
      </c>
      <c r="O93" s="815">
        <f t="shared" si="24"/>
        <v>0</v>
      </c>
      <c r="P93" s="815">
        <f t="shared" si="25"/>
        <v>0</v>
      </c>
      <c r="Q93" s="815">
        <f t="shared" si="26"/>
        <v>0</v>
      </c>
      <c r="R93" s="815">
        <f t="shared" si="27"/>
        <v>0</v>
      </c>
      <c r="S93" s="815">
        <f t="shared" si="28"/>
        <v>0</v>
      </c>
      <c r="T93" s="815">
        <f t="shared" si="29"/>
        <v>0</v>
      </c>
      <c r="U93" s="815">
        <f t="shared" si="30"/>
        <v>0</v>
      </c>
      <c r="V93" s="815">
        <f t="shared" si="31"/>
        <v>0</v>
      </c>
      <c r="W93" s="815"/>
      <c r="X93" s="815"/>
      <c r="Y93" s="815"/>
      <c r="Z93" s="815"/>
      <c r="AA93" s="830">
        <f t="shared" si="32"/>
        <v>0</v>
      </c>
      <c r="AB93" s="830">
        <f>VLOOKUP(C93,'[3]MỦ TẠP'!$D$10:$AM$450,33,0)</f>
        <v>0</v>
      </c>
      <c r="AC93" s="830">
        <f>VLOOKUP(C93,'[3]MỦ TẠP'!$D$10:$AM$450,34,0)</f>
        <v>0</v>
      </c>
      <c r="AD93" s="830">
        <f>VLOOKUP(C93,'[3]MỦ TẠP'!$D$10:$AM$450,35,0)</f>
        <v>0</v>
      </c>
      <c r="AE93" s="830">
        <f t="shared" si="34"/>
        <v>0</v>
      </c>
      <c r="AF93" s="830"/>
      <c r="AG93" s="830"/>
      <c r="AH93" s="830">
        <f t="shared" si="33"/>
        <v>0</v>
      </c>
      <c r="AI93" s="830">
        <f>VLOOKUP(C93,'[3]CHẤM CÔNG '!$F$10:$AM$451,33,0)</f>
        <v>0</v>
      </c>
      <c r="AJ93" s="830">
        <f>VLOOKUP(C93,'[3]CHẤM CÔNG '!$F$10:$AM$451,34,0)</f>
        <v>0</v>
      </c>
      <c r="AK93" s="830"/>
      <c r="AL93" s="830"/>
      <c r="AM93" s="830"/>
      <c r="AN93" s="830">
        <f>VLOOKUP(C93,'[3]CHẤM CÔNG '!$F$10:$AN$451,35,0)</f>
        <v>0</v>
      </c>
      <c r="AO93" s="830">
        <f>VLOOKUP(C93,'[3]CHẤM CÔNG '!$F$10:$AR$451,36,0)</f>
        <v>0</v>
      </c>
      <c r="AP93" s="830"/>
      <c r="AQ93" s="830"/>
      <c r="AR93" s="830"/>
      <c r="AS93" s="836"/>
      <c r="AT93" s="837">
        <f>VLOOKUP(C93,'[3]MỦ TẠP'!$D$10:$AO$450,38,0)</f>
        <v>0</v>
      </c>
    </row>
    <row r="94" spans="1:46" ht="15.75">
      <c r="A94" s="824">
        <v>38</v>
      </c>
      <c r="B94" s="813" t="str">
        <f>VLOOKUP(C94,'[3]DS CN MOI UP'!$B$10:$C$489,2,0)</f>
        <v>03303</v>
      </c>
      <c r="C94" s="845" t="s">
        <v>466</v>
      </c>
      <c r="D94" s="826" t="s">
        <v>15</v>
      </c>
      <c r="E94" s="815"/>
      <c r="F94" s="815"/>
      <c r="G94" s="815"/>
      <c r="H94" s="815"/>
      <c r="I94" s="815"/>
      <c r="J94" s="815"/>
      <c r="K94" s="815"/>
      <c r="L94" s="815"/>
      <c r="M94" s="815"/>
      <c r="N94" s="815">
        <f t="shared" si="23"/>
        <v>0</v>
      </c>
      <c r="O94" s="815">
        <f t="shared" si="24"/>
        <v>0</v>
      </c>
      <c r="P94" s="815">
        <f t="shared" si="25"/>
        <v>0</v>
      </c>
      <c r="Q94" s="815">
        <f t="shared" si="26"/>
        <v>0</v>
      </c>
      <c r="R94" s="815">
        <f t="shared" si="27"/>
        <v>0</v>
      </c>
      <c r="S94" s="815">
        <f t="shared" si="28"/>
        <v>0</v>
      </c>
      <c r="T94" s="815">
        <f t="shared" si="29"/>
        <v>0</v>
      </c>
      <c r="U94" s="815">
        <f t="shared" si="30"/>
        <v>0</v>
      </c>
      <c r="V94" s="815">
        <f t="shared" si="31"/>
        <v>0</v>
      </c>
      <c r="W94" s="815"/>
      <c r="X94" s="815"/>
      <c r="Y94" s="815"/>
      <c r="Z94" s="815"/>
      <c r="AA94" s="830">
        <f t="shared" si="32"/>
        <v>0</v>
      </c>
      <c r="AB94" s="830">
        <f>VLOOKUP(C94,'[3]MỦ TẠP'!$D$10:$AM$450,33,0)</f>
        <v>0</v>
      </c>
      <c r="AC94" s="830">
        <f>VLOOKUP(C94,'[3]MỦ TẠP'!$D$10:$AM$450,34,0)</f>
        <v>0</v>
      </c>
      <c r="AD94" s="830">
        <f>VLOOKUP(C94,'[3]MỦ TẠP'!$D$10:$AM$450,35,0)</f>
        <v>0</v>
      </c>
      <c r="AE94" s="830">
        <f t="shared" si="34"/>
        <v>0</v>
      </c>
      <c r="AF94" s="830"/>
      <c r="AG94" s="830"/>
      <c r="AH94" s="830">
        <f t="shared" si="33"/>
        <v>0</v>
      </c>
      <c r="AI94" s="830">
        <f>VLOOKUP(C94,'[3]CHẤM CÔNG '!$F$10:$AM$451,33,0)</f>
        <v>0</v>
      </c>
      <c r="AJ94" s="830">
        <f>VLOOKUP(C94,'[3]CHẤM CÔNG '!$F$10:$AM$451,34,0)</f>
        <v>0</v>
      </c>
      <c r="AK94" s="830"/>
      <c r="AL94" s="830"/>
      <c r="AM94" s="830"/>
      <c r="AN94" s="830">
        <f>VLOOKUP(C94,'[3]CHẤM CÔNG '!$F$10:$AN$451,35,0)</f>
        <v>0</v>
      </c>
      <c r="AO94" s="830">
        <f>VLOOKUP(C94,'[3]CHẤM CÔNG '!$F$10:$AR$451,36,0)</f>
        <v>0</v>
      </c>
      <c r="AP94" s="830"/>
      <c r="AQ94" s="830"/>
      <c r="AR94" s="830"/>
      <c r="AS94" s="836"/>
      <c r="AT94" s="837">
        <f>VLOOKUP(C94,'[3]MỦ TẠP'!$D$10:$AO$450,38,0)</f>
        <v>0</v>
      </c>
    </row>
    <row r="95" spans="1:46" ht="15.75">
      <c r="A95" s="824">
        <v>39</v>
      </c>
      <c r="B95" s="813" t="e">
        <f>VLOOKUP(C95,'[3]DS CN MOI UP'!$B$10:$C$489,2,0)</f>
        <v>#N/A</v>
      </c>
      <c r="C95" s="825" t="s">
        <v>1981</v>
      </c>
      <c r="D95" s="826" t="s">
        <v>15</v>
      </c>
      <c r="E95" s="815"/>
      <c r="F95" s="815"/>
      <c r="G95" s="815"/>
      <c r="H95" s="815"/>
      <c r="I95" s="815"/>
      <c r="J95" s="815"/>
      <c r="K95" s="815"/>
      <c r="L95" s="815"/>
      <c r="M95" s="815"/>
      <c r="N95" s="815">
        <f t="shared" si="23"/>
        <v>0</v>
      </c>
      <c r="O95" s="815">
        <f t="shared" si="24"/>
        <v>0</v>
      </c>
      <c r="P95" s="815">
        <f t="shared" si="25"/>
        <v>0</v>
      </c>
      <c r="Q95" s="815">
        <f t="shared" si="26"/>
        <v>0</v>
      </c>
      <c r="R95" s="815">
        <f t="shared" si="27"/>
        <v>0</v>
      </c>
      <c r="S95" s="815">
        <f t="shared" si="28"/>
        <v>0</v>
      </c>
      <c r="T95" s="815">
        <f t="shared" si="29"/>
        <v>0</v>
      </c>
      <c r="U95" s="815">
        <f t="shared" si="30"/>
        <v>0</v>
      </c>
      <c r="V95" s="815">
        <f t="shared" si="31"/>
        <v>0</v>
      </c>
      <c r="W95" s="815"/>
      <c r="X95" s="815"/>
      <c r="Y95" s="815"/>
      <c r="Z95" s="815"/>
      <c r="AA95" s="830">
        <f t="shared" si="32"/>
        <v>0</v>
      </c>
      <c r="AB95" s="830">
        <f>VLOOKUP(C95,'[3]MỦ TẠP'!$D$10:$AM$450,33,0)</f>
        <v>0</v>
      </c>
      <c r="AC95" s="830">
        <f>VLOOKUP(C95,'[3]MỦ TẠP'!$D$10:$AM$450,34,0)</f>
        <v>0</v>
      </c>
      <c r="AD95" s="830">
        <f>VLOOKUP(C95,'[3]MỦ TẠP'!$D$10:$AM$450,35,0)</f>
        <v>0</v>
      </c>
      <c r="AE95" s="830">
        <f t="shared" si="34"/>
        <v>0</v>
      </c>
      <c r="AF95" s="830"/>
      <c r="AG95" s="830"/>
      <c r="AH95" s="830">
        <f t="shared" si="33"/>
        <v>0</v>
      </c>
      <c r="AI95" s="830">
        <f>VLOOKUP(C95,'[3]CHẤM CÔNG '!$F$10:$AM$451,33,0)</f>
        <v>0</v>
      </c>
      <c r="AJ95" s="830">
        <f>VLOOKUP(C95,'[3]CHẤM CÔNG '!$F$10:$AM$451,34,0)</f>
        <v>0</v>
      </c>
      <c r="AK95" s="830"/>
      <c r="AL95" s="830"/>
      <c r="AM95" s="830"/>
      <c r="AN95" s="830">
        <f>VLOOKUP(C95,'[3]CHẤM CÔNG '!$F$10:$AN$451,35,0)</f>
        <v>0</v>
      </c>
      <c r="AO95" s="830">
        <f>VLOOKUP(C95,'[3]CHẤM CÔNG '!$F$10:$AR$451,36,0)</f>
        <v>0</v>
      </c>
      <c r="AP95" s="830"/>
      <c r="AQ95" s="830"/>
      <c r="AR95" s="830"/>
      <c r="AS95" s="836"/>
      <c r="AT95" s="837">
        <f>VLOOKUP(C95,'[3]MỦ TẠP'!$D$10:$AO$450,38,0)</f>
        <v>0</v>
      </c>
    </row>
    <row r="96" spans="1:46" ht="15.75">
      <c r="A96" s="824">
        <v>40</v>
      </c>
      <c r="B96" s="813" t="e">
        <f>VLOOKUP(C96,'[3]DS CN MOI UP'!$B$10:$C$489,2,0)</f>
        <v>#N/A</v>
      </c>
      <c r="C96" s="825" t="s">
        <v>1982</v>
      </c>
      <c r="D96" s="826" t="s">
        <v>15</v>
      </c>
      <c r="E96" s="815"/>
      <c r="F96" s="815"/>
      <c r="G96" s="815"/>
      <c r="H96" s="815"/>
      <c r="I96" s="815"/>
      <c r="J96" s="815"/>
      <c r="K96" s="815"/>
      <c r="L96" s="815"/>
      <c r="M96" s="815"/>
      <c r="N96" s="815">
        <f t="shared" si="23"/>
        <v>0</v>
      </c>
      <c r="O96" s="815">
        <f t="shared" si="24"/>
        <v>0</v>
      </c>
      <c r="P96" s="815">
        <f t="shared" si="25"/>
        <v>0</v>
      </c>
      <c r="Q96" s="815">
        <f t="shared" si="26"/>
        <v>0</v>
      </c>
      <c r="R96" s="815">
        <f t="shared" si="27"/>
        <v>0</v>
      </c>
      <c r="S96" s="815">
        <f t="shared" si="28"/>
        <v>0</v>
      </c>
      <c r="T96" s="815">
        <f t="shared" si="29"/>
        <v>0</v>
      </c>
      <c r="U96" s="815">
        <f t="shared" si="30"/>
        <v>0</v>
      </c>
      <c r="V96" s="815">
        <f t="shared" si="31"/>
        <v>0</v>
      </c>
      <c r="W96" s="815"/>
      <c r="X96" s="815"/>
      <c r="Y96" s="815"/>
      <c r="Z96" s="815"/>
      <c r="AA96" s="830">
        <f t="shared" si="32"/>
        <v>0</v>
      </c>
      <c r="AB96" s="830">
        <f>VLOOKUP(C96,'[3]MỦ TẠP'!$D$10:$AM$450,33,0)</f>
        <v>0</v>
      </c>
      <c r="AC96" s="830">
        <f>VLOOKUP(C96,'[3]MỦ TẠP'!$D$10:$AM$450,34,0)</f>
        <v>0</v>
      </c>
      <c r="AD96" s="830">
        <f>VLOOKUP(C96,'[3]MỦ TẠP'!$D$10:$AM$450,35,0)</f>
        <v>0</v>
      </c>
      <c r="AE96" s="830">
        <f t="shared" si="34"/>
        <v>0</v>
      </c>
      <c r="AF96" s="830"/>
      <c r="AG96" s="830"/>
      <c r="AH96" s="830">
        <f t="shared" si="33"/>
        <v>0</v>
      </c>
      <c r="AI96" s="830">
        <f>VLOOKUP(C96,'[3]CHẤM CÔNG '!$F$10:$AM$451,33,0)</f>
        <v>0</v>
      </c>
      <c r="AJ96" s="830">
        <f>VLOOKUP(C96,'[3]CHẤM CÔNG '!$F$10:$AM$451,34,0)</f>
        <v>0</v>
      </c>
      <c r="AK96" s="830"/>
      <c r="AL96" s="830"/>
      <c r="AM96" s="830"/>
      <c r="AN96" s="830">
        <f>VLOOKUP(C96,'[3]CHẤM CÔNG '!$F$10:$AN$451,35,0)</f>
        <v>0</v>
      </c>
      <c r="AO96" s="830">
        <f>VLOOKUP(C96,'[3]CHẤM CÔNG '!$F$10:$AR$451,36,0)</f>
        <v>0</v>
      </c>
      <c r="AP96" s="830"/>
      <c r="AQ96" s="830"/>
      <c r="AR96" s="830"/>
      <c r="AS96" s="836"/>
      <c r="AT96" s="837">
        <f>VLOOKUP(C96,'[3]MỦ TẠP'!$D$10:$AO$450,38,0)</f>
        <v>0</v>
      </c>
    </row>
    <row r="97" spans="1:46" ht="15.75">
      <c r="A97" s="824">
        <v>41</v>
      </c>
      <c r="B97" s="813" t="e">
        <f>VLOOKUP(C97,'[3]DS CN MOI UP'!$B$10:$C$489,2,0)</f>
        <v>#N/A</v>
      </c>
      <c r="C97" s="825" t="s">
        <v>895</v>
      </c>
      <c r="D97" s="826" t="s">
        <v>15</v>
      </c>
      <c r="E97" s="815"/>
      <c r="F97" s="815"/>
      <c r="G97" s="815"/>
      <c r="H97" s="815"/>
      <c r="I97" s="815"/>
      <c r="J97" s="815"/>
      <c r="K97" s="815"/>
      <c r="L97" s="815"/>
      <c r="M97" s="815"/>
      <c r="N97" s="815">
        <f t="shared" si="23"/>
        <v>0</v>
      </c>
      <c r="O97" s="815">
        <f t="shared" si="24"/>
        <v>0</v>
      </c>
      <c r="P97" s="815">
        <f t="shared" si="25"/>
        <v>0</v>
      </c>
      <c r="Q97" s="815">
        <f t="shared" si="26"/>
        <v>0</v>
      </c>
      <c r="R97" s="815">
        <f t="shared" si="27"/>
        <v>0</v>
      </c>
      <c r="S97" s="815">
        <f t="shared" si="28"/>
        <v>0</v>
      </c>
      <c r="T97" s="815">
        <f t="shared" si="29"/>
        <v>0</v>
      </c>
      <c r="U97" s="815">
        <f t="shared" si="30"/>
        <v>0</v>
      </c>
      <c r="V97" s="815">
        <f t="shared" si="31"/>
        <v>0</v>
      </c>
      <c r="W97" s="815"/>
      <c r="X97" s="815"/>
      <c r="Y97" s="815"/>
      <c r="Z97" s="815"/>
      <c r="AA97" s="830">
        <f t="shared" si="32"/>
        <v>0</v>
      </c>
      <c r="AB97" s="830">
        <f>VLOOKUP(C97,'[3]MỦ TẠP'!$D$10:$AM$450,33,0)</f>
        <v>0</v>
      </c>
      <c r="AC97" s="830">
        <f>VLOOKUP(C97,'[3]MỦ TẠP'!$D$10:$AM$450,34,0)</f>
        <v>0</v>
      </c>
      <c r="AD97" s="830">
        <f>VLOOKUP(C97,'[3]MỦ TẠP'!$D$10:$AM$450,35,0)</f>
        <v>0</v>
      </c>
      <c r="AE97" s="830">
        <f t="shared" si="34"/>
        <v>0</v>
      </c>
      <c r="AF97" s="830"/>
      <c r="AG97" s="830"/>
      <c r="AH97" s="830">
        <f t="shared" si="33"/>
        <v>0</v>
      </c>
      <c r="AI97" s="830">
        <f>VLOOKUP(C97,'[3]CHẤM CÔNG '!$F$10:$AM$451,33,0)</f>
        <v>0</v>
      </c>
      <c r="AJ97" s="830">
        <f>VLOOKUP(C97,'[3]CHẤM CÔNG '!$F$10:$AM$451,34,0)</f>
        <v>0</v>
      </c>
      <c r="AK97" s="830"/>
      <c r="AL97" s="830"/>
      <c r="AM97" s="830"/>
      <c r="AN97" s="830">
        <f>VLOOKUP(C97,'[3]CHẤM CÔNG '!$F$10:$AN$451,35,0)</f>
        <v>0</v>
      </c>
      <c r="AO97" s="830">
        <f>VLOOKUP(C97,'[3]CHẤM CÔNG '!$F$10:$AR$451,36,0)</f>
        <v>0</v>
      </c>
      <c r="AP97" s="830"/>
      <c r="AQ97" s="830"/>
      <c r="AR97" s="830"/>
      <c r="AS97" s="836"/>
      <c r="AT97" s="837">
        <f>VLOOKUP(C97,'[3]MỦ TẠP'!$D$10:$AO$450,38,0)</f>
        <v>0</v>
      </c>
    </row>
    <row r="98" spans="1:46" ht="15.75">
      <c r="A98" s="824">
        <v>42</v>
      </c>
      <c r="B98" s="813" t="e">
        <f>VLOOKUP(C98,'[3]DS CN MOI UP'!$B$10:$C$489,2,0)</f>
        <v>#N/A</v>
      </c>
      <c r="C98" s="825" t="s">
        <v>1983</v>
      </c>
      <c r="D98" s="826" t="s">
        <v>15</v>
      </c>
      <c r="E98" s="815"/>
      <c r="F98" s="815"/>
      <c r="G98" s="815"/>
      <c r="H98" s="815"/>
      <c r="I98" s="815"/>
      <c r="J98" s="815"/>
      <c r="K98" s="815"/>
      <c r="L98" s="815"/>
      <c r="M98" s="815"/>
      <c r="N98" s="815">
        <f t="shared" si="23"/>
        <v>0</v>
      </c>
      <c r="O98" s="815">
        <f t="shared" si="24"/>
        <v>0</v>
      </c>
      <c r="P98" s="815">
        <f t="shared" si="25"/>
        <v>0</v>
      </c>
      <c r="Q98" s="815">
        <f t="shared" si="26"/>
        <v>0</v>
      </c>
      <c r="R98" s="815">
        <f t="shared" si="27"/>
        <v>0</v>
      </c>
      <c r="S98" s="815">
        <f t="shared" si="28"/>
        <v>0</v>
      </c>
      <c r="T98" s="815">
        <f t="shared" si="29"/>
        <v>0</v>
      </c>
      <c r="U98" s="815">
        <f t="shared" si="30"/>
        <v>0</v>
      </c>
      <c r="V98" s="815">
        <f t="shared" si="31"/>
        <v>0</v>
      </c>
      <c r="W98" s="815"/>
      <c r="X98" s="815"/>
      <c r="Y98" s="815"/>
      <c r="Z98" s="815"/>
      <c r="AA98" s="830">
        <f t="shared" si="32"/>
        <v>0</v>
      </c>
      <c r="AB98" s="830">
        <f>VLOOKUP(C98,'[3]MỦ TẠP'!$D$10:$AM$450,33,0)</f>
        <v>0</v>
      </c>
      <c r="AC98" s="830">
        <f>VLOOKUP(C98,'[3]MỦ TẠP'!$D$10:$AM$450,34,0)</f>
        <v>0</v>
      </c>
      <c r="AD98" s="830">
        <f>VLOOKUP(C98,'[3]MỦ TẠP'!$D$10:$AM$450,35,0)</f>
        <v>0</v>
      </c>
      <c r="AE98" s="830">
        <f t="shared" si="34"/>
        <v>0</v>
      </c>
      <c r="AF98" s="830"/>
      <c r="AG98" s="830"/>
      <c r="AH98" s="830">
        <f t="shared" si="33"/>
        <v>0</v>
      </c>
      <c r="AI98" s="830">
        <f>VLOOKUP(C98,'[3]CHẤM CÔNG '!$F$10:$AM$451,33,0)</f>
        <v>0</v>
      </c>
      <c r="AJ98" s="830">
        <f>VLOOKUP(C98,'[3]CHẤM CÔNG '!$F$10:$AM$451,34,0)</f>
        <v>0</v>
      </c>
      <c r="AK98" s="830"/>
      <c r="AL98" s="830"/>
      <c r="AM98" s="830"/>
      <c r="AN98" s="830">
        <f>VLOOKUP(C98,'[3]CHẤM CÔNG '!$F$10:$AN$451,35,0)</f>
        <v>0</v>
      </c>
      <c r="AO98" s="830">
        <f>VLOOKUP(C98,'[3]CHẤM CÔNG '!$F$10:$AR$451,36,0)</f>
        <v>0</v>
      </c>
      <c r="AP98" s="830"/>
      <c r="AQ98" s="830"/>
      <c r="AR98" s="830"/>
      <c r="AS98" s="836"/>
      <c r="AT98" s="837">
        <f>VLOOKUP(C98,'[3]MỦ TẠP'!$D$10:$AO$450,38,0)</f>
        <v>0</v>
      </c>
    </row>
    <row r="99" spans="1:46" ht="15.75">
      <c r="A99" s="824">
        <v>43</v>
      </c>
      <c r="B99" s="813" t="e">
        <f>VLOOKUP(C99,'[3]DS CN MOI UP'!$B$10:$C$489,2,0)</f>
        <v>#N/A</v>
      </c>
      <c r="C99" s="825" t="s">
        <v>1984</v>
      </c>
      <c r="D99" s="826" t="s">
        <v>15</v>
      </c>
      <c r="E99" s="815"/>
      <c r="F99" s="815"/>
      <c r="G99" s="815"/>
      <c r="H99" s="815"/>
      <c r="I99" s="815"/>
      <c r="J99" s="815"/>
      <c r="K99" s="815"/>
      <c r="L99" s="815"/>
      <c r="M99" s="815"/>
      <c r="N99" s="815">
        <f t="shared" si="23"/>
        <v>0</v>
      </c>
      <c r="O99" s="815">
        <f t="shared" si="24"/>
        <v>0</v>
      </c>
      <c r="P99" s="815">
        <f t="shared" si="25"/>
        <v>0</v>
      </c>
      <c r="Q99" s="815">
        <f t="shared" si="26"/>
        <v>0</v>
      </c>
      <c r="R99" s="815">
        <f t="shared" si="27"/>
        <v>0</v>
      </c>
      <c r="S99" s="815">
        <f t="shared" si="28"/>
        <v>0</v>
      </c>
      <c r="T99" s="815">
        <f t="shared" si="29"/>
        <v>0</v>
      </c>
      <c r="U99" s="815">
        <f t="shared" si="30"/>
        <v>0</v>
      </c>
      <c r="V99" s="815">
        <f t="shared" si="31"/>
        <v>0</v>
      </c>
      <c r="W99" s="815"/>
      <c r="X99" s="815"/>
      <c r="Y99" s="815"/>
      <c r="Z99" s="815"/>
      <c r="AA99" s="830">
        <f t="shared" si="32"/>
        <v>0</v>
      </c>
      <c r="AB99" s="830">
        <f>VLOOKUP(C99,'[3]MỦ TẠP'!$D$10:$AM$450,33,0)</f>
        <v>0</v>
      </c>
      <c r="AC99" s="830">
        <f>VLOOKUP(C99,'[3]MỦ TẠP'!$D$10:$AM$450,34,0)</f>
        <v>0</v>
      </c>
      <c r="AD99" s="830">
        <f>VLOOKUP(C99,'[3]MỦ TẠP'!$D$10:$AM$450,35,0)</f>
        <v>0</v>
      </c>
      <c r="AE99" s="830">
        <f t="shared" si="34"/>
        <v>0</v>
      </c>
      <c r="AF99" s="830"/>
      <c r="AG99" s="830"/>
      <c r="AH99" s="830">
        <f t="shared" si="33"/>
        <v>0</v>
      </c>
      <c r="AI99" s="830">
        <f>VLOOKUP(C99,'[3]CHẤM CÔNG '!$F$10:$AM$451,33,0)</f>
        <v>0</v>
      </c>
      <c r="AJ99" s="830">
        <f>VLOOKUP(C99,'[3]CHẤM CÔNG '!$F$10:$AM$451,34,0)</f>
        <v>0</v>
      </c>
      <c r="AK99" s="830"/>
      <c r="AL99" s="830"/>
      <c r="AM99" s="830"/>
      <c r="AN99" s="830">
        <f>VLOOKUP(C99,'[3]CHẤM CÔNG '!$F$10:$AN$451,35,0)</f>
        <v>0</v>
      </c>
      <c r="AO99" s="830">
        <f>VLOOKUP(C99,'[3]CHẤM CÔNG '!$F$10:$AR$451,36,0)</f>
        <v>0</v>
      </c>
      <c r="AP99" s="830"/>
      <c r="AQ99" s="830"/>
      <c r="AR99" s="830"/>
      <c r="AS99" s="836"/>
      <c r="AT99" s="837">
        <f>VLOOKUP(C99,'[3]MỦ TẠP'!$D$10:$AO$450,38,0)</f>
        <v>0</v>
      </c>
    </row>
    <row r="100" spans="1:46" ht="15.75">
      <c r="A100" s="824">
        <v>44</v>
      </c>
      <c r="B100" s="813" t="str">
        <f>VLOOKUP(C100,'[3]DS CN MOI UP'!$B$10:$C$489,2,0)</f>
        <v>03308</v>
      </c>
      <c r="C100" s="825" t="s">
        <v>472</v>
      </c>
      <c r="D100" s="826" t="s">
        <v>15</v>
      </c>
      <c r="E100" s="815"/>
      <c r="F100" s="815"/>
      <c r="G100" s="815"/>
      <c r="H100" s="815"/>
      <c r="I100" s="815"/>
      <c r="J100" s="815"/>
      <c r="K100" s="815"/>
      <c r="L100" s="815"/>
      <c r="M100" s="815"/>
      <c r="N100" s="815">
        <f t="shared" si="23"/>
        <v>0</v>
      </c>
      <c r="O100" s="815">
        <f t="shared" si="24"/>
        <v>0</v>
      </c>
      <c r="P100" s="815">
        <f t="shared" si="25"/>
        <v>0</v>
      </c>
      <c r="Q100" s="815">
        <f t="shared" si="26"/>
        <v>0</v>
      </c>
      <c r="R100" s="815">
        <f t="shared" si="27"/>
        <v>0</v>
      </c>
      <c r="S100" s="815">
        <f t="shared" si="28"/>
        <v>0</v>
      </c>
      <c r="T100" s="815">
        <f t="shared" si="29"/>
        <v>0</v>
      </c>
      <c r="U100" s="815">
        <f t="shared" si="30"/>
        <v>0</v>
      </c>
      <c r="V100" s="815">
        <f t="shared" si="31"/>
        <v>0</v>
      </c>
      <c r="W100" s="815"/>
      <c r="X100" s="815"/>
      <c r="Y100" s="815"/>
      <c r="Z100" s="815"/>
      <c r="AA100" s="830">
        <f t="shared" si="32"/>
        <v>0</v>
      </c>
      <c r="AB100" s="830">
        <f>VLOOKUP(C100,'[3]MỦ TẠP'!$D$10:$AM$450,33,0)</f>
        <v>0</v>
      </c>
      <c r="AC100" s="830">
        <f>VLOOKUP(C100,'[3]MỦ TẠP'!$D$10:$AM$450,34,0)</f>
        <v>0</v>
      </c>
      <c r="AD100" s="830">
        <f>VLOOKUP(C100,'[3]MỦ TẠP'!$D$10:$AM$450,35,0)</f>
        <v>0</v>
      </c>
      <c r="AE100" s="830">
        <f t="shared" si="34"/>
        <v>0</v>
      </c>
      <c r="AF100" s="830"/>
      <c r="AG100" s="830"/>
      <c r="AH100" s="830">
        <f t="shared" si="33"/>
        <v>0</v>
      </c>
      <c r="AI100" s="830">
        <f>VLOOKUP(C100,'[3]CHẤM CÔNG '!$F$10:$AM$451,33,0)</f>
        <v>0</v>
      </c>
      <c r="AJ100" s="830">
        <f>VLOOKUP(C100,'[3]CHẤM CÔNG '!$F$10:$AM$451,34,0)</f>
        <v>0</v>
      </c>
      <c r="AK100" s="830"/>
      <c r="AL100" s="830"/>
      <c r="AM100" s="830"/>
      <c r="AN100" s="830">
        <f>VLOOKUP(C100,'[3]CHẤM CÔNG '!$F$10:$AN$451,35,0)</f>
        <v>0</v>
      </c>
      <c r="AO100" s="830">
        <f>VLOOKUP(C100,'[3]CHẤM CÔNG '!$F$10:$AR$451,36,0)</f>
        <v>0</v>
      </c>
      <c r="AP100" s="830"/>
      <c r="AQ100" s="830"/>
      <c r="AR100" s="830"/>
      <c r="AS100" s="836"/>
      <c r="AT100" s="837">
        <f>VLOOKUP(C100,'[3]MỦ TẠP'!$D$10:$AO$450,38,0)</f>
        <v>0</v>
      </c>
    </row>
    <row r="101" spans="1:46" ht="15.75">
      <c r="A101" s="824">
        <v>45</v>
      </c>
      <c r="B101" s="813" t="str">
        <f>VLOOKUP(C101,'[3]DS CN MOI UP'!$B$10:$C$489,2,0)</f>
        <v>03309</v>
      </c>
      <c r="C101" s="825" t="s">
        <v>473</v>
      </c>
      <c r="D101" s="826" t="s">
        <v>15</v>
      </c>
      <c r="E101" s="815"/>
      <c r="F101" s="815"/>
      <c r="G101" s="815"/>
      <c r="H101" s="815"/>
      <c r="I101" s="815"/>
      <c r="J101" s="815"/>
      <c r="K101" s="815"/>
      <c r="L101" s="815"/>
      <c r="M101" s="815"/>
      <c r="N101" s="815">
        <f t="shared" si="23"/>
        <v>0</v>
      </c>
      <c r="O101" s="815">
        <f t="shared" si="24"/>
        <v>0</v>
      </c>
      <c r="P101" s="815">
        <f t="shared" si="25"/>
        <v>0</v>
      </c>
      <c r="Q101" s="815">
        <f t="shared" si="26"/>
        <v>0</v>
      </c>
      <c r="R101" s="815">
        <f t="shared" si="27"/>
        <v>0</v>
      </c>
      <c r="S101" s="815">
        <f t="shared" si="28"/>
        <v>0</v>
      </c>
      <c r="T101" s="815">
        <f t="shared" si="29"/>
        <v>0</v>
      </c>
      <c r="U101" s="815">
        <f t="shared" si="30"/>
        <v>0</v>
      </c>
      <c r="V101" s="815">
        <f t="shared" si="31"/>
        <v>0</v>
      </c>
      <c r="W101" s="815"/>
      <c r="X101" s="815"/>
      <c r="Y101" s="815"/>
      <c r="Z101" s="815"/>
      <c r="AA101" s="830">
        <f t="shared" si="32"/>
        <v>0</v>
      </c>
      <c r="AB101" s="830">
        <f>VLOOKUP(C101,'[3]MỦ TẠP'!$D$10:$AM$450,33,0)</f>
        <v>0</v>
      </c>
      <c r="AC101" s="830">
        <f>VLOOKUP(C101,'[3]MỦ TẠP'!$D$10:$AM$450,34,0)</f>
        <v>0</v>
      </c>
      <c r="AD101" s="830">
        <f>VLOOKUP(C101,'[3]MỦ TẠP'!$D$10:$AM$450,35,0)</f>
        <v>0</v>
      </c>
      <c r="AE101" s="830">
        <f t="shared" si="34"/>
        <v>0</v>
      </c>
      <c r="AF101" s="830"/>
      <c r="AG101" s="830"/>
      <c r="AH101" s="830">
        <f t="shared" si="33"/>
        <v>0</v>
      </c>
      <c r="AI101" s="830">
        <f>VLOOKUP(C101,'[3]CHẤM CÔNG '!$F$10:$AM$451,33,0)</f>
        <v>0</v>
      </c>
      <c r="AJ101" s="830">
        <f>VLOOKUP(C101,'[3]CHẤM CÔNG '!$F$10:$AM$451,34,0)</f>
        <v>0</v>
      </c>
      <c r="AK101" s="830"/>
      <c r="AL101" s="830"/>
      <c r="AM101" s="830"/>
      <c r="AN101" s="830">
        <f>VLOOKUP(C101,'[3]CHẤM CÔNG '!$F$10:$AN$451,35,0)</f>
        <v>0</v>
      </c>
      <c r="AO101" s="830">
        <f>VLOOKUP(C101,'[3]CHẤM CÔNG '!$F$10:$AR$451,36,0)</f>
        <v>0</v>
      </c>
      <c r="AP101" s="830"/>
      <c r="AQ101" s="830"/>
      <c r="AR101" s="830"/>
      <c r="AS101" s="836"/>
      <c r="AT101" s="837">
        <f>VLOOKUP(C101,'[3]MỦ TẠP'!$D$10:$AO$450,38,0)</f>
        <v>0</v>
      </c>
    </row>
    <row r="102" spans="1:46" ht="15.75">
      <c r="A102" s="824">
        <v>46</v>
      </c>
      <c r="B102" s="813" t="e">
        <f>VLOOKUP(C102,'[3]DS CN MOI UP'!$B$10:$C$489,2,0)</f>
        <v>#N/A</v>
      </c>
      <c r="C102" s="825" t="s">
        <v>1985</v>
      </c>
      <c r="D102" s="826" t="s">
        <v>15</v>
      </c>
      <c r="E102" s="815"/>
      <c r="F102" s="815"/>
      <c r="G102" s="815"/>
      <c r="H102" s="815"/>
      <c r="I102" s="815"/>
      <c r="J102" s="815"/>
      <c r="K102" s="815"/>
      <c r="L102" s="815"/>
      <c r="M102" s="815"/>
      <c r="N102" s="815">
        <f t="shared" si="23"/>
        <v>0</v>
      </c>
      <c r="O102" s="815">
        <f t="shared" si="24"/>
        <v>0</v>
      </c>
      <c r="P102" s="815">
        <f t="shared" si="25"/>
        <v>0</v>
      </c>
      <c r="Q102" s="815">
        <f t="shared" si="26"/>
        <v>0</v>
      </c>
      <c r="R102" s="815">
        <f t="shared" si="27"/>
        <v>0</v>
      </c>
      <c r="S102" s="815">
        <f t="shared" si="28"/>
        <v>0</v>
      </c>
      <c r="T102" s="815">
        <f t="shared" si="29"/>
        <v>0</v>
      </c>
      <c r="U102" s="815">
        <f t="shared" si="30"/>
        <v>0</v>
      </c>
      <c r="V102" s="815">
        <f t="shared" si="31"/>
        <v>0</v>
      </c>
      <c r="W102" s="815"/>
      <c r="X102" s="815"/>
      <c r="Y102" s="815"/>
      <c r="Z102" s="815"/>
      <c r="AA102" s="830">
        <f t="shared" si="32"/>
        <v>0</v>
      </c>
      <c r="AB102" s="830">
        <f>VLOOKUP(C102,'[3]MỦ TẠP'!$D$10:$AM$450,33,0)</f>
        <v>0</v>
      </c>
      <c r="AC102" s="830">
        <f>VLOOKUP(C102,'[3]MỦ TẠP'!$D$10:$AM$450,34,0)</f>
        <v>0</v>
      </c>
      <c r="AD102" s="830">
        <f>VLOOKUP(C102,'[3]MỦ TẠP'!$D$10:$AM$450,35,0)</f>
        <v>0</v>
      </c>
      <c r="AE102" s="830">
        <f t="shared" si="34"/>
        <v>0</v>
      </c>
      <c r="AF102" s="830"/>
      <c r="AG102" s="830"/>
      <c r="AH102" s="830">
        <f t="shared" si="33"/>
        <v>0</v>
      </c>
      <c r="AI102" s="830">
        <f>VLOOKUP(C102,'[3]CHẤM CÔNG '!$F$10:$AM$451,33,0)</f>
        <v>0</v>
      </c>
      <c r="AJ102" s="830">
        <f>VLOOKUP(C102,'[3]CHẤM CÔNG '!$F$10:$AM$451,34,0)</f>
        <v>0</v>
      </c>
      <c r="AK102" s="830"/>
      <c r="AL102" s="830"/>
      <c r="AM102" s="830"/>
      <c r="AN102" s="830">
        <f>VLOOKUP(C102,'[3]CHẤM CÔNG '!$F$10:$AN$451,35,0)</f>
        <v>0</v>
      </c>
      <c r="AO102" s="830">
        <f>VLOOKUP(C102,'[3]CHẤM CÔNG '!$F$10:$AR$451,36,0)</f>
        <v>0</v>
      </c>
      <c r="AP102" s="830"/>
      <c r="AQ102" s="830"/>
      <c r="AR102" s="830"/>
      <c r="AS102" s="836"/>
      <c r="AT102" s="837">
        <f>VLOOKUP(C102,'[3]MỦ TẠP'!$D$10:$AO$450,38,0)</f>
        <v>0</v>
      </c>
    </row>
    <row r="103" spans="1:46" ht="15.75">
      <c r="A103" s="824">
        <v>47</v>
      </c>
      <c r="B103" s="813" t="str">
        <f>VLOOKUP(C103,'[3]DS CN MOI UP'!$B$10:$C$489,2,0)</f>
        <v>03311</v>
      </c>
      <c r="C103" s="825" t="s">
        <v>475</v>
      </c>
      <c r="D103" s="826" t="s">
        <v>15</v>
      </c>
      <c r="E103" s="815"/>
      <c r="F103" s="815"/>
      <c r="G103" s="815"/>
      <c r="H103" s="815"/>
      <c r="I103" s="815"/>
      <c r="J103" s="815"/>
      <c r="K103" s="815"/>
      <c r="L103" s="815"/>
      <c r="M103" s="815"/>
      <c r="N103" s="815">
        <f t="shared" si="23"/>
        <v>0</v>
      </c>
      <c r="O103" s="815">
        <f t="shared" si="24"/>
        <v>0</v>
      </c>
      <c r="P103" s="815">
        <f t="shared" si="25"/>
        <v>0</v>
      </c>
      <c r="Q103" s="815">
        <f t="shared" si="26"/>
        <v>0</v>
      </c>
      <c r="R103" s="815">
        <f t="shared" si="27"/>
        <v>0</v>
      </c>
      <c r="S103" s="815">
        <f t="shared" si="28"/>
        <v>0</v>
      </c>
      <c r="T103" s="815">
        <f t="shared" si="29"/>
        <v>0</v>
      </c>
      <c r="U103" s="815">
        <f t="shared" si="30"/>
        <v>0</v>
      </c>
      <c r="V103" s="815">
        <f t="shared" si="31"/>
        <v>0</v>
      </c>
      <c r="W103" s="815"/>
      <c r="X103" s="815"/>
      <c r="Y103" s="815"/>
      <c r="Z103" s="815"/>
      <c r="AA103" s="830">
        <f t="shared" si="32"/>
        <v>0</v>
      </c>
      <c r="AB103" s="830">
        <f>VLOOKUP(C103,'[3]MỦ TẠP'!$D$10:$AM$450,33,0)</f>
        <v>0</v>
      </c>
      <c r="AC103" s="830">
        <f>VLOOKUP(C103,'[3]MỦ TẠP'!$D$10:$AM$450,34,0)</f>
        <v>0</v>
      </c>
      <c r="AD103" s="830">
        <f>VLOOKUP(C103,'[3]MỦ TẠP'!$D$10:$AM$450,35,0)</f>
        <v>0</v>
      </c>
      <c r="AE103" s="830">
        <f t="shared" si="34"/>
        <v>0</v>
      </c>
      <c r="AF103" s="830"/>
      <c r="AG103" s="830"/>
      <c r="AH103" s="830">
        <f t="shared" si="33"/>
        <v>0</v>
      </c>
      <c r="AI103" s="830">
        <f>VLOOKUP(C103,'[3]CHẤM CÔNG '!$F$10:$AM$451,33,0)</f>
        <v>0</v>
      </c>
      <c r="AJ103" s="830">
        <f>VLOOKUP(C103,'[3]CHẤM CÔNG '!$F$10:$AM$451,34,0)</f>
        <v>0</v>
      </c>
      <c r="AK103" s="830"/>
      <c r="AL103" s="830"/>
      <c r="AM103" s="830"/>
      <c r="AN103" s="830">
        <f>VLOOKUP(C103,'[3]CHẤM CÔNG '!$F$10:$AN$451,35,0)</f>
        <v>0</v>
      </c>
      <c r="AO103" s="830">
        <f>VLOOKUP(C103,'[3]CHẤM CÔNG '!$F$10:$AR$451,36,0)</f>
        <v>0</v>
      </c>
      <c r="AP103" s="830"/>
      <c r="AQ103" s="830"/>
      <c r="AR103" s="830"/>
      <c r="AS103" s="836"/>
      <c r="AT103" s="837">
        <f>VLOOKUP(C103,'[3]MỦ TẠP'!$D$10:$AO$450,38,0)</f>
        <v>0</v>
      </c>
    </row>
    <row r="104" spans="1:46" ht="15.75">
      <c r="A104" s="824">
        <v>48</v>
      </c>
      <c r="B104" s="813" t="str">
        <f>VLOOKUP(C104,'[3]DS CN MOI UP'!$B$10:$C$489,2,0)</f>
        <v>03312</v>
      </c>
      <c r="C104" s="845" t="s">
        <v>476</v>
      </c>
      <c r="D104" s="826" t="s">
        <v>15</v>
      </c>
      <c r="E104" s="815"/>
      <c r="F104" s="815"/>
      <c r="G104" s="815"/>
      <c r="H104" s="815"/>
      <c r="I104" s="815"/>
      <c r="J104" s="815"/>
      <c r="K104" s="815"/>
      <c r="L104" s="815"/>
      <c r="M104" s="815"/>
      <c r="N104" s="815">
        <f t="shared" si="23"/>
        <v>0</v>
      </c>
      <c r="O104" s="815">
        <f t="shared" si="24"/>
        <v>0</v>
      </c>
      <c r="P104" s="815">
        <f t="shared" si="25"/>
        <v>0</v>
      </c>
      <c r="Q104" s="815">
        <f t="shared" si="26"/>
        <v>0</v>
      </c>
      <c r="R104" s="815">
        <f t="shared" si="27"/>
        <v>0</v>
      </c>
      <c r="S104" s="815">
        <f t="shared" si="28"/>
        <v>0</v>
      </c>
      <c r="T104" s="815">
        <f t="shared" si="29"/>
        <v>0</v>
      </c>
      <c r="U104" s="815">
        <f t="shared" si="30"/>
        <v>0</v>
      </c>
      <c r="V104" s="815">
        <f t="shared" si="31"/>
        <v>0</v>
      </c>
      <c r="W104" s="815"/>
      <c r="X104" s="815"/>
      <c r="Y104" s="815"/>
      <c r="Z104" s="815"/>
      <c r="AA104" s="830">
        <f t="shared" si="32"/>
        <v>0</v>
      </c>
      <c r="AB104" s="830">
        <f>VLOOKUP(C104,'[3]MỦ TẠP'!$D$10:$AM$450,33,0)</f>
        <v>0</v>
      </c>
      <c r="AC104" s="830">
        <f>VLOOKUP(C104,'[3]MỦ TẠP'!$D$10:$AM$450,34,0)</f>
        <v>0</v>
      </c>
      <c r="AD104" s="830">
        <f>VLOOKUP(C104,'[3]MỦ TẠP'!$D$10:$AM$450,35,0)</f>
        <v>0</v>
      </c>
      <c r="AE104" s="830">
        <f t="shared" si="34"/>
        <v>0</v>
      </c>
      <c r="AF104" s="830"/>
      <c r="AG104" s="830"/>
      <c r="AH104" s="830">
        <f t="shared" si="33"/>
        <v>0</v>
      </c>
      <c r="AI104" s="830">
        <f>VLOOKUP(C104,'[3]CHẤM CÔNG '!$F$10:$AM$451,33,0)</f>
        <v>0</v>
      </c>
      <c r="AJ104" s="830">
        <f>VLOOKUP(C104,'[3]CHẤM CÔNG '!$F$10:$AM$451,34,0)</f>
        <v>0</v>
      </c>
      <c r="AK104" s="830"/>
      <c r="AL104" s="830"/>
      <c r="AM104" s="830"/>
      <c r="AN104" s="830">
        <f>VLOOKUP(C104,'[3]CHẤM CÔNG '!$F$10:$AN$451,35,0)</f>
        <v>0</v>
      </c>
      <c r="AO104" s="830">
        <f>VLOOKUP(C104,'[3]CHẤM CÔNG '!$F$10:$AR$451,36,0)</f>
        <v>0</v>
      </c>
      <c r="AP104" s="830"/>
      <c r="AQ104" s="830"/>
      <c r="AR104" s="830"/>
      <c r="AS104" s="836"/>
      <c r="AT104" s="837">
        <f>VLOOKUP(C104,'[3]MỦ TẠP'!$D$10:$AO$450,38,0)</f>
        <v>0</v>
      </c>
    </row>
    <row r="105" spans="1:46" ht="15.75">
      <c r="A105" s="824">
        <v>49</v>
      </c>
      <c r="B105" s="813" t="e">
        <f>VLOOKUP(C105,'[3]DS CN MOI UP'!$B$10:$C$489,2,0)</f>
        <v>#N/A</v>
      </c>
      <c r="C105" s="825" t="s">
        <v>1986</v>
      </c>
      <c r="D105" s="826" t="s">
        <v>15</v>
      </c>
      <c r="E105" s="815"/>
      <c r="F105" s="815"/>
      <c r="G105" s="815"/>
      <c r="H105" s="815"/>
      <c r="I105" s="815"/>
      <c r="J105" s="815"/>
      <c r="K105" s="815"/>
      <c r="L105" s="815"/>
      <c r="M105" s="815"/>
      <c r="N105" s="815">
        <f t="shared" si="23"/>
        <v>0</v>
      </c>
      <c r="O105" s="815">
        <f t="shared" si="24"/>
        <v>0</v>
      </c>
      <c r="P105" s="815">
        <f t="shared" si="25"/>
        <v>0</v>
      </c>
      <c r="Q105" s="815">
        <f t="shared" si="26"/>
        <v>0</v>
      </c>
      <c r="R105" s="815">
        <f t="shared" si="27"/>
        <v>0</v>
      </c>
      <c r="S105" s="815">
        <f t="shared" si="28"/>
        <v>0</v>
      </c>
      <c r="T105" s="815">
        <f t="shared" si="29"/>
        <v>0</v>
      </c>
      <c r="U105" s="815">
        <f t="shared" si="30"/>
        <v>0</v>
      </c>
      <c r="V105" s="815">
        <f t="shared" si="31"/>
        <v>0</v>
      </c>
      <c r="W105" s="815"/>
      <c r="X105" s="815"/>
      <c r="Y105" s="815"/>
      <c r="Z105" s="815"/>
      <c r="AA105" s="830">
        <f t="shared" si="32"/>
        <v>0</v>
      </c>
      <c r="AB105" s="830">
        <f>VLOOKUP(C105,'[3]MỦ TẠP'!$D$10:$AM$450,33,0)</f>
        <v>0</v>
      </c>
      <c r="AC105" s="830">
        <f>VLOOKUP(C105,'[3]MỦ TẠP'!$D$10:$AM$450,34,0)</f>
        <v>0</v>
      </c>
      <c r="AD105" s="830">
        <f>VLOOKUP(C105,'[3]MỦ TẠP'!$D$10:$AM$450,35,0)</f>
        <v>0</v>
      </c>
      <c r="AE105" s="830">
        <f t="shared" si="34"/>
        <v>0</v>
      </c>
      <c r="AF105" s="830"/>
      <c r="AG105" s="830"/>
      <c r="AH105" s="830">
        <f t="shared" si="33"/>
        <v>0</v>
      </c>
      <c r="AI105" s="830">
        <f>VLOOKUP(C105,'[3]CHẤM CÔNG '!$F$10:$AM$451,33,0)</f>
        <v>0</v>
      </c>
      <c r="AJ105" s="830">
        <f>VLOOKUP(C105,'[3]CHẤM CÔNG '!$F$10:$AM$451,34,0)</f>
        <v>0</v>
      </c>
      <c r="AK105" s="830"/>
      <c r="AL105" s="830"/>
      <c r="AM105" s="830"/>
      <c r="AN105" s="830">
        <f>VLOOKUP(C105,'[3]CHẤM CÔNG '!$F$10:$AN$451,35,0)</f>
        <v>0</v>
      </c>
      <c r="AO105" s="830">
        <f>VLOOKUP(C105,'[3]CHẤM CÔNG '!$F$10:$AR$451,36,0)</f>
        <v>0</v>
      </c>
      <c r="AP105" s="830"/>
      <c r="AQ105" s="830"/>
      <c r="AR105" s="830"/>
      <c r="AS105" s="836"/>
      <c r="AT105" s="837">
        <f>VLOOKUP(C105,'[3]MỦ TẠP'!$D$10:$AO$450,38,0)</f>
        <v>0</v>
      </c>
    </row>
    <row r="106" spans="1:46" ht="15.75">
      <c r="A106" s="824">
        <v>50</v>
      </c>
      <c r="B106" s="813" t="str">
        <f>VLOOKUP(C106,'[3]DS CN MOI UP'!$B$10:$C$489,2,0)</f>
        <v>03314</v>
      </c>
      <c r="C106" s="825" t="s">
        <v>909</v>
      </c>
      <c r="D106" s="826" t="s">
        <v>15</v>
      </c>
      <c r="E106" s="815"/>
      <c r="F106" s="815"/>
      <c r="G106" s="815"/>
      <c r="H106" s="815"/>
      <c r="I106" s="815"/>
      <c r="J106" s="815"/>
      <c r="K106" s="815"/>
      <c r="L106" s="815"/>
      <c r="M106" s="815"/>
      <c r="N106" s="815">
        <f t="shared" si="23"/>
        <v>0</v>
      </c>
      <c r="O106" s="815">
        <f t="shared" si="24"/>
        <v>0</v>
      </c>
      <c r="P106" s="815">
        <f t="shared" si="25"/>
        <v>0</v>
      </c>
      <c r="Q106" s="815">
        <f t="shared" si="26"/>
        <v>0</v>
      </c>
      <c r="R106" s="815">
        <f t="shared" si="27"/>
        <v>0</v>
      </c>
      <c r="S106" s="815">
        <f t="shared" si="28"/>
        <v>0</v>
      </c>
      <c r="T106" s="815">
        <f t="shared" si="29"/>
        <v>0</v>
      </c>
      <c r="U106" s="815">
        <f t="shared" si="30"/>
        <v>0</v>
      </c>
      <c r="V106" s="815">
        <f t="shared" si="31"/>
        <v>0</v>
      </c>
      <c r="W106" s="815"/>
      <c r="X106" s="815"/>
      <c r="Y106" s="815"/>
      <c r="Z106" s="815"/>
      <c r="AA106" s="830">
        <f t="shared" si="32"/>
        <v>0</v>
      </c>
      <c r="AB106" s="830">
        <f>VLOOKUP(C106,'[3]MỦ TẠP'!$D$10:$AM$450,33,0)</f>
        <v>0</v>
      </c>
      <c r="AC106" s="830">
        <f>VLOOKUP(C106,'[3]MỦ TẠP'!$D$10:$AM$450,34,0)</f>
        <v>0</v>
      </c>
      <c r="AD106" s="830">
        <f>VLOOKUP(C106,'[3]MỦ TẠP'!$D$10:$AM$450,35,0)</f>
        <v>0</v>
      </c>
      <c r="AE106" s="830">
        <f t="shared" si="34"/>
        <v>0</v>
      </c>
      <c r="AF106" s="830"/>
      <c r="AG106" s="830"/>
      <c r="AH106" s="830">
        <f t="shared" si="33"/>
        <v>0</v>
      </c>
      <c r="AI106" s="830">
        <f>VLOOKUP(C106,'[3]CHẤM CÔNG '!$F$10:$AM$451,33,0)</f>
        <v>0</v>
      </c>
      <c r="AJ106" s="830">
        <f>VLOOKUP(C106,'[3]CHẤM CÔNG '!$F$10:$AM$451,34,0)</f>
        <v>0</v>
      </c>
      <c r="AK106" s="830"/>
      <c r="AL106" s="830"/>
      <c r="AM106" s="830"/>
      <c r="AN106" s="830">
        <f>VLOOKUP(C106,'[3]CHẤM CÔNG '!$F$10:$AN$451,35,0)</f>
        <v>0</v>
      </c>
      <c r="AO106" s="830">
        <f>VLOOKUP(C106,'[3]CHẤM CÔNG '!$F$10:$AR$451,36,0)</f>
        <v>0</v>
      </c>
      <c r="AP106" s="830"/>
      <c r="AQ106" s="830"/>
      <c r="AR106" s="830"/>
      <c r="AS106" s="836"/>
      <c r="AT106" s="837">
        <f>VLOOKUP(C106,'[3]MỦ TẠP'!$D$10:$AO$450,38,0)</f>
        <v>0</v>
      </c>
    </row>
    <row r="107" spans="1:46" ht="15.75">
      <c r="A107" s="824">
        <v>51</v>
      </c>
      <c r="B107" s="813" t="str">
        <f>VLOOKUP(C107,'[3]DS CN MOI UP'!$B$10:$C$489,2,0)</f>
        <v>03315</v>
      </c>
      <c r="C107" s="825" t="s">
        <v>479</v>
      </c>
      <c r="D107" s="826" t="s">
        <v>15</v>
      </c>
      <c r="E107" s="815"/>
      <c r="F107" s="815"/>
      <c r="G107" s="815"/>
      <c r="H107" s="815"/>
      <c r="I107" s="815"/>
      <c r="J107" s="815"/>
      <c r="K107" s="815"/>
      <c r="L107" s="815"/>
      <c r="M107" s="815"/>
      <c r="N107" s="815">
        <f t="shared" si="23"/>
        <v>0</v>
      </c>
      <c r="O107" s="815">
        <f t="shared" si="24"/>
        <v>0</v>
      </c>
      <c r="P107" s="815">
        <f t="shared" si="25"/>
        <v>0</v>
      </c>
      <c r="Q107" s="815">
        <f t="shared" si="26"/>
        <v>0</v>
      </c>
      <c r="R107" s="815">
        <f t="shared" si="27"/>
        <v>0</v>
      </c>
      <c r="S107" s="815">
        <f t="shared" si="28"/>
        <v>0</v>
      </c>
      <c r="T107" s="815">
        <f t="shared" si="29"/>
        <v>0</v>
      </c>
      <c r="U107" s="815">
        <f t="shared" si="30"/>
        <v>0</v>
      </c>
      <c r="V107" s="815">
        <f t="shared" si="31"/>
        <v>0</v>
      </c>
      <c r="W107" s="815"/>
      <c r="X107" s="815"/>
      <c r="Y107" s="815"/>
      <c r="Z107" s="815"/>
      <c r="AA107" s="830">
        <f t="shared" si="32"/>
        <v>0</v>
      </c>
      <c r="AB107" s="830">
        <f>VLOOKUP(C107,'[3]MỦ TẠP'!$D$10:$AM$450,33,0)</f>
        <v>0</v>
      </c>
      <c r="AC107" s="830">
        <f>VLOOKUP(C107,'[3]MỦ TẠP'!$D$10:$AM$450,34,0)</f>
        <v>0</v>
      </c>
      <c r="AD107" s="830">
        <f>VLOOKUP(C107,'[3]MỦ TẠP'!$D$10:$AM$450,35,0)</f>
        <v>0</v>
      </c>
      <c r="AE107" s="830">
        <f t="shared" si="34"/>
        <v>0</v>
      </c>
      <c r="AF107" s="830"/>
      <c r="AG107" s="830"/>
      <c r="AH107" s="830">
        <f t="shared" si="33"/>
        <v>0</v>
      </c>
      <c r="AI107" s="830">
        <f>VLOOKUP(C107,'[3]CHẤM CÔNG '!$F$10:$AM$451,33,0)</f>
        <v>0</v>
      </c>
      <c r="AJ107" s="830">
        <f>VLOOKUP(C107,'[3]CHẤM CÔNG '!$F$10:$AM$451,34,0)</f>
        <v>0</v>
      </c>
      <c r="AK107" s="830"/>
      <c r="AL107" s="830"/>
      <c r="AM107" s="830"/>
      <c r="AN107" s="830">
        <f>VLOOKUP(C107,'[3]CHẤM CÔNG '!$F$10:$AN$451,35,0)</f>
        <v>0</v>
      </c>
      <c r="AO107" s="830">
        <f>VLOOKUP(C107,'[3]CHẤM CÔNG '!$F$10:$AR$451,36,0)</f>
        <v>0</v>
      </c>
      <c r="AP107" s="830"/>
      <c r="AQ107" s="830"/>
      <c r="AR107" s="830"/>
      <c r="AS107" s="836"/>
      <c r="AT107" s="837">
        <f>VLOOKUP(C107,'[3]MỦ TẠP'!$D$10:$AO$450,38,0)</f>
        <v>0</v>
      </c>
    </row>
    <row r="108" spans="1:46" ht="15.75">
      <c r="A108" s="824">
        <v>52</v>
      </c>
      <c r="B108" s="813" t="e">
        <f>VLOOKUP(C108,'[3]DS CN MOI UP'!$B$10:$C$489,2,0)</f>
        <v>#N/A</v>
      </c>
      <c r="C108" s="825" t="s">
        <v>1987</v>
      </c>
      <c r="D108" s="826" t="s">
        <v>15</v>
      </c>
      <c r="E108" s="815"/>
      <c r="F108" s="815"/>
      <c r="G108" s="815"/>
      <c r="H108" s="815"/>
      <c r="I108" s="815"/>
      <c r="J108" s="815"/>
      <c r="K108" s="815"/>
      <c r="L108" s="815"/>
      <c r="M108" s="815"/>
      <c r="N108" s="815">
        <f t="shared" si="23"/>
        <v>0</v>
      </c>
      <c r="O108" s="815">
        <f t="shared" si="24"/>
        <v>0</v>
      </c>
      <c r="P108" s="815">
        <f t="shared" si="25"/>
        <v>0</v>
      </c>
      <c r="Q108" s="815">
        <f t="shared" si="26"/>
        <v>0</v>
      </c>
      <c r="R108" s="815">
        <f t="shared" si="27"/>
        <v>0</v>
      </c>
      <c r="S108" s="815">
        <f t="shared" si="28"/>
        <v>0</v>
      </c>
      <c r="T108" s="815">
        <f t="shared" si="29"/>
        <v>0</v>
      </c>
      <c r="U108" s="815">
        <f t="shared" si="30"/>
        <v>0</v>
      </c>
      <c r="V108" s="815">
        <f t="shared" si="31"/>
        <v>0</v>
      </c>
      <c r="W108" s="815"/>
      <c r="X108" s="815"/>
      <c r="Y108" s="815"/>
      <c r="Z108" s="815"/>
      <c r="AA108" s="830">
        <f t="shared" si="32"/>
        <v>0</v>
      </c>
      <c r="AB108" s="830">
        <f>VLOOKUP(C108,'[3]MỦ TẠP'!$D$10:$AM$450,33,0)</f>
        <v>0</v>
      </c>
      <c r="AC108" s="830">
        <f>VLOOKUP(C108,'[3]MỦ TẠP'!$D$10:$AM$450,34,0)</f>
        <v>0</v>
      </c>
      <c r="AD108" s="830">
        <f>VLOOKUP(C108,'[3]MỦ TẠP'!$D$10:$AM$450,35,0)</f>
        <v>0</v>
      </c>
      <c r="AE108" s="830">
        <f t="shared" si="34"/>
        <v>0</v>
      </c>
      <c r="AF108" s="830"/>
      <c r="AG108" s="830"/>
      <c r="AH108" s="830">
        <f t="shared" si="33"/>
        <v>0</v>
      </c>
      <c r="AI108" s="830">
        <f>VLOOKUP(C108,'[3]CHẤM CÔNG '!$F$10:$AM$451,33,0)</f>
        <v>0</v>
      </c>
      <c r="AJ108" s="830">
        <f>VLOOKUP(C108,'[3]CHẤM CÔNG '!$F$10:$AM$451,34,0)</f>
        <v>0</v>
      </c>
      <c r="AK108" s="830"/>
      <c r="AL108" s="830"/>
      <c r="AM108" s="830"/>
      <c r="AN108" s="830">
        <f>VLOOKUP(C108,'[3]CHẤM CÔNG '!$F$10:$AN$451,35,0)</f>
        <v>0</v>
      </c>
      <c r="AO108" s="830">
        <f>VLOOKUP(C108,'[3]CHẤM CÔNG '!$F$10:$AR$451,36,0)</f>
        <v>0</v>
      </c>
      <c r="AP108" s="830"/>
      <c r="AQ108" s="830"/>
      <c r="AR108" s="830"/>
      <c r="AS108" s="836"/>
      <c r="AT108" s="837">
        <f>VLOOKUP(C108,'[3]MỦ TẠP'!$D$10:$AO$450,38,0)</f>
        <v>0</v>
      </c>
    </row>
    <row r="109" spans="1:46" ht="15.75">
      <c r="A109" s="824">
        <v>53</v>
      </c>
      <c r="B109" s="813" t="e">
        <f>VLOOKUP(C109,'[3]DS CN MOI UP'!$B$10:$C$489,2,0)</f>
        <v>#N/A</v>
      </c>
      <c r="C109" s="825" t="s">
        <v>1988</v>
      </c>
      <c r="D109" s="826" t="s">
        <v>15</v>
      </c>
      <c r="E109" s="815"/>
      <c r="F109" s="815"/>
      <c r="G109" s="815"/>
      <c r="H109" s="815"/>
      <c r="I109" s="815"/>
      <c r="J109" s="815"/>
      <c r="K109" s="815"/>
      <c r="L109" s="815"/>
      <c r="M109" s="815"/>
      <c r="N109" s="815">
        <f t="shared" si="23"/>
        <v>0</v>
      </c>
      <c r="O109" s="815">
        <f t="shared" si="24"/>
        <v>0</v>
      </c>
      <c r="P109" s="815">
        <f t="shared" si="25"/>
        <v>0</v>
      </c>
      <c r="Q109" s="815">
        <f t="shared" si="26"/>
        <v>0</v>
      </c>
      <c r="R109" s="815">
        <f t="shared" si="27"/>
        <v>0</v>
      </c>
      <c r="S109" s="815">
        <f t="shared" si="28"/>
        <v>0</v>
      </c>
      <c r="T109" s="815">
        <f t="shared" si="29"/>
        <v>0</v>
      </c>
      <c r="U109" s="815">
        <f t="shared" si="30"/>
        <v>0</v>
      </c>
      <c r="V109" s="815">
        <f t="shared" si="31"/>
        <v>0</v>
      </c>
      <c r="W109" s="815"/>
      <c r="X109" s="815"/>
      <c r="Y109" s="815"/>
      <c r="Z109" s="815"/>
      <c r="AA109" s="830">
        <f t="shared" si="32"/>
        <v>0</v>
      </c>
      <c r="AB109" s="830">
        <f>VLOOKUP(C109,'[3]MỦ TẠP'!$D$10:$AM$450,33,0)</f>
        <v>0</v>
      </c>
      <c r="AC109" s="830">
        <f>VLOOKUP(C109,'[3]MỦ TẠP'!$D$10:$AM$450,34,0)</f>
        <v>0</v>
      </c>
      <c r="AD109" s="830">
        <f>VLOOKUP(C109,'[3]MỦ TẠP'!$D$10:$AM$450,35,0)</f>
        <v>0</v>
      </c>
      <c r="AE109" s="830">
        <f t="shared" si="34"/>
        <v>0</v>
      </c>
      <c r="AF109" s="830"/>
      <c r="AG109" s="830"/>
      <c r="AH109" s="830">
        <f t="shared" si="33"/>
        <v>0</v>
      </c>
      <c r="AI109" s="830">
        <f>VLOOKUP(C109,'[3]CHẤM CÔNG '!$F$10:$AM$451,33,0)</f>
        <v>0</v>
      </c>
      <c r="AJ109" s="830">
        <f>VLOOKUP(C109,'[3]CHẤM CÔNG '!$F$10:$AM$451,34,0)</f>
        <v>0</v>
      </c>
      <c r="AK109" s="830"/>
      <c r="AL109" s="830"/>
      <c r="AM109" s="830"/>
      <c r="AN109" s="830">
        <f>VLOOKUP(C109,'[3]CHẤM CÔNG '!$F$10:$AN$451,35,0)</f>
        <v>0</v>
      </c>
      <c r="AO109" s="830">
        <f>VLOOKUP(C109,'[3]CHẤM CÔNG '!$F$10:$AR$451,36,0)</f>
        <v>0</v>
      </c>
      <c r="AP109" s="830"/>
      <c r="AQ109" s="830"/>
      <c r="AR109" s="830"/>
      <c r="AS109" s="836"/>
      <c r="AT109" s="837">
        <f>VLOOKUP(C109,'[3]MỦ TẠP'!$D$10:$AO$450,38,0)</f>
        <v>0</v>
      </c>
    </row>
    <row r="110" spans="1:46" ht="15.75">
      <c r="A110" s="824">
        <v>54</v>
      </c>
      <c r="B110" s="813" t="str">
        <f>VLOOKUP(C110,'[3]DS CN MOI UP'!$B$10:$C$489,2,0)</f>
        <v>02665</v>
      </c>
      <c r="C110" s="825" t="s">
        <v>482</v>
      </c>
      <c r="D110" s="826" t="s">
        <v>15</v>
      </c>
      <c r="E110" s="815"/>
      <c r="F110" s="815"/>
      <c r="G110" s="815"/>
      <c r="H110" s="815"/>
      <c r="I110" s="815"/>
      <c r="J110" s="815"/>
      <c r="K110" s="815"/>
      <c r="L110" s="815"/>
      <c r="M110" s="815"/>
      <c r="N110" s="815">
        <f t="shared" si="23"/>
        <v>0</v>
      </c>
      <c r="O110" s="815">
        <f t="shared" si="24"/>
        <v>0</v>
      </c>
      <c r="P110" s="815">
        <f t="shared" si="25"/>
        <v>0</v>
      </c>
      <c r="Q110" s="815">
        <f t="shared" si="26"/>
        <v>0</v>
      </c>
      <c r="R110" s="815">
        <f t="shared" si="27"/>
        <v>0</v>
      </c>
      <c r="S110" s="815">
        <f t="shared" si="28"/>
        <v>0</v>
      </c>
      <c r="T110" s="815">
        <f t="shared" si="29"/>
        <v>0</v>
      </c>
      <c r="U110" s="815">
        <f t="shared" si="30"/>
        <v>0</v>
      </c>
      <c r="V110" s="815">
        <f t="shared" si="31"/>
        <v>0</v>
      </c>
      <c r="W110" s="815"/>
      <c r="X110" s="815"/>
      <c r="Y110" s="815"/>
      <c r="Z110" s="815"/>
      <c r="AA110" s="830">
        <f t="shared" si="32"/>
        <v>0</v>
      </c>
      <c r="AB110" s="830">
        <f>VLOOKUP(C110,'[3]MỦ TẠP'!$D$10:$AM$450,33,0)</f>
        <v>0</v>
      </c>
      <c r="AC110" s="830">
        <f>VLOOKUP(C110,'[3]MỦ TẠP'!$D$10:$AM$450,34,0)</f>
        <v>0</v>
      </c>
      <c r="AD110" s="830">
        <f>VLOOKUP(C110,'[3]MỦ TẠP'!$D$10:$AM$450,35,0)</f>
        <v>0</v>
      </c>
      <c r="AE110" s="830">
        <f t="shared" si="34"/>
        <v>0</v>
      </c>
      <c r="AF110" s="830"/>
      <c r="AG110" s="830"/>
      <c r="AH110" s="830">
        <f t="shared" si="33"/>
        <v>0</v>
      </c>
      <c r="AI110" s="830">
        <f>VLOOKUP(C110,'[3]CHẤM CÔNG '!$F$10:$AM$451,33,0)</f>
        <v>0</v>
      </c>
      <c r="AJ110" s="830">
        <f>VLOOKUP(C110,'[3]CHẤM CÔNG '!$F$10:$AM$451,34,0)</f>
        <v>0</v>
      </c>
      <c r="AK110" s="830"/>
      <c r="AL110" s="830"/>
      <c r="AM110" s="830"/>
      <c r="AN110" s="830">
        <f>VLOOKUP(C110,'[3]CHẤM CÔNG '!$F$10:$AN$451,35,0)</f>
        <v>0</v>
      </c>
      <c r="AO110" s="830">
        <f>VLOOKUP(C110,'[3]CHẤM CÔNG '!$F$10:$AR$451,36,0)</f>
        <v>0</v>
      </c>
      <c r="AP110" s="830"/>
      <c r="AQ110" s="830"/>
      <c r="AR110" s="830"/>
      <c r="AS110" s="836"/>
      <c r="AT110" s="837">
        <f>VLOOKUP(C110,'[3]MỦ TẠP'!$D$10:$AO$450,38,0)</f>
        <v>0</v>
      </c>
    </row>
    <row r="111" spans="1:46" ht="15.75">
      <c r="A111" s="824">
        <v>55</v>
      </c>
      <c r="B111" s="813" t="str">
        <f>VLOOKUP(C111,'[3]DS CN MOI UP'!$B$10:$C$489,2,0)</f>
        <v>03850</v>
      </c>
      <c r="C111" s="825" t="s">
        <v>449</v>
      </c>
      <c r="D111" s="826" t="s">
        <v>15</v>
      </c>
      <c r="E111" s="815"/>
      <c r="F111" s="815"/>
      <c r="G111" s="815"/>
      <c r="H111" s="815"/>
      <c r="I111" s="815"/>
      <c r="J111" s="815"/>
      <c r="K111" s="815"/>
      <c r="L111" s="815"/>
      <c r="M111" s="815"/>
      <c r="N111" s="815">
        <f t="shared" si="23"/>
        <v>0</v>
      </c>
      <c r="O111" s="815">
        <f t="shared" si="24"/>
        <v>0</v>
      </c>
      <c r="P111" s="815">
        <f t="shared" si="25"/>
        <v>0</v>
      </c>
      <c r="Q111" s="815">
        <f t="shared" si="26"/>
        <v>0</v>
      </c>
      <c r="R111" s="815">
        <f t="shared" si="27"/>
        <v>0</v>
      </c>
      <c r="S111" s="815">
        <f t="shared" si="28"/>
        <v>0</v>
      </c>
      <c r="T111" s="815">
        <f t="shared" si="29"/>
        <v>0</v>
      </c>
      <c r="U111" s="815">
        <f t="shared" si="30"/>
        <v>0</v>
      </c>
      <c r="V111" s="815">
        <f t="shared" si="31"/>
        <v>0</v>
      </c>
      <c r="W111" s="815"/>
      <c r="X111" s="815"/>
      <c r="Y111" s="815"/>
      <c r="Z111" s="815"/>
      <c r="AA111" s="830">
        <f t="shared" si="32"/>
        <v>0</v>
      </c>
      <c r="AB111" s="830">
        <f>VLOOKUP(C111,'[3]MỦ TẠP'!$D$10:$AM$450,33,0)</f>
        <v>0</v>
      </c>
      <c r="AC111" s="830">
        <f>VLOOKUP(C111,'[3]MỦ TẠP'!$D$10:$AM$450,34,0)</f>
        <v>0</v>
      </c>
      <c r="AD111" s="830">
        <f>VLOOKUP(C111,'[3]MỦ TẠP'!$D$10:$AM$450,35,0)</f>
        <v>0</v>
      </c>
      <c r="AE111" s="830">
        <f t="shared" si="34"/>
        <v>0</v>
      </c>
      <c r="AF111" s="830"/>
      <c r="AG111" s="830"/>
      <c r="AH111" s="830">
        <f t="shared" si="33"/>
        <v>0</v>
      </c>
      <c r="AI111" s="830">
        <f>VLOOKUP(C111,'[3]CHẤM CÔNG '!$F$10:$AM$451,33,0)</f>
        <v>0</v>
      </c>
      <c r="AJ111" s="830">
        <f>VLOOKUP(C111,'[3]CHẤM CÔNG '!$F$10:$AM$451,34,0)</f>
        <v>0</v>
      </c>
      <c r="AK111" s="830"/>
      <c r="AL111" s="830"/>
      <c r="AM111" s="830"/>
      <c r="AN111" s="830">
        <f>VLOOKUP(C111,'[3]CHẤM CÔNG '!$F$10:$AN$451,35,0)</f>
        <v>0</v>
      </c>
      <c r="AO111" s="830">
        <f>VLOOKUP(C111,'[3]CHẤM CÔNG '!$F$10:$AR$451,36,0)</f>
        <v>0</v>
      </c>
      <c r="AP111" s="830"/>
      <c r="AQ111" s="830"/>
      <c r="AR111" s="830"/>
      <c r="AS111" s="836"/>
      <c r="AT111" s="837">
        <f>VLOOKUP(C111,'[3]MỦ TẠP'!$D$10:$AO$450,38,0)</f>
        <v>0</v>
      </c>
    </row>
    <row r="112" spans="1:46" ht="15.75">
      <c r="A112" s="824">
        <v>56</v>
      </c>
      <c r="B112" s="813" t="e">
        <f>VLOOKUP(C112,'[3]DS CN MOI UP'!$B$10:$C$489,2,0)</f>
        <v>#N/A</v>
      </c>
      <c r="C112" s="825" t="s">
        <v>1990</v>
      </c>
      <c r="D112" s="826" t="s">
        <v>15</v>
      </c>
      <c r="E112" s="815"/>
      <c r="F112" s="815"/>
      <c r="G112" s="815"/>
      <c r="H112" s="815"/>
      <c r="I112" s="815"/>
      <c r="J112" s="815"/>
      <c r="K112" s="815"/>
      <c r="L112" s="815"/>
      <c r="M112" s="815"/>
      <c r="N112" s="815">
        <f t="shared" si="23"/>
        <v>0</v>
      </c>
      <c r="O112" s="815">
        <f t="shared" si="24"/>
        <v>0</v>
      </c>
      <c r="P112" s="815">
        <f t="shared" si="25"/>
        <v>0</v>
      </c>
      <c r="Q112" s="815">
        <f t="shared" si="26"/>
        <v>0</v>
      </c>
      <c r="R112" s="815">
        <f t="shared" si="27"/>
        <v>0</v>
      </c>
      <c r="S112" s="815">
        <f t="shared" si="28"/>
        <v>0</v>
      </c>
      <c r="T112" s="815">
        <f t="shared" si="29"/>
        <v>0</v>
      </c>
      <c r="U112" s="815">
        <f t="shared" si="30"/>
        <v>0</v>
      </c>
      <c r="V112" s="815">
        <f t="shared" si="31"/>
        <v>0</v>
      </c>
      <c r="W112" s="815"/>
      <c r="X112" s="815"/>
      <c r="Y112" s="815"/>
      <c r="Z112" s="815"/>
      <c r="AA112" s="830">
        <f t="shared" si="32"/>
        <v>0</v>
      </c>
      <c r="AB112" s="830">
        <f>VLOOKUP(C112,'[3]MỦ TẠP'!$D$10:$AM$450,33,0)</f>
        <v>0</v>
      </c>
      <c r="AC112" s="830">
        <f>VLOOKUP(C112,'[3]MỦ TẠP'!$D$10:$AM$450,34,0)</f>
        <v>0</v>
      </c>
      <c r="AD112" s="830">
        <f>VLOOKUP(C112,'[3]MỦ TẠP'!$D$10:$AM$450,35,0)</f>
        <v>0</v>
      </c>
      <c r="AE112" s="830">
        <f t="shared" si="34"/>
        <v>0</v>
      </c>
      <c r="AF112" s="830"/>
      <c r="AG112" s="830"/>
      <c r="AH112" s="830">
        <f t="shared" si="33"/>
        <v>0</v>
      </c>
      <c r="AI112" s="830">
        <f>VLOOKUP(C112,'[3]CHẤM CÔNG '!$F$10:$AM$451,33,0)</f>
        <v>0</v>
      </c>
      <c r="AJ112" s="830">
        <f>VLOOKUP(C112,'[3]CHẤM CÔNG '!$F$10:$AM$451,34,0)</f>
        <v>0</v>
      </c>
      <c r="AK112" s="830"/>
      <c r="AL112" s="830"/>
      <c r="AM112" s="830"/>
      <c r="AN112" s="830">
        <f>VLOOKUP(C112,'[3]CHẤM CÔNG '!$F$10:$AN$451,35,0)</f>
        <v>0</v>
      </c>
      <c r="AO112" s="830">
        <f>VLOOKUP(C112,'[3]CHẤM CÔNG '!$F$10:$AR$451,36,0)</f>
        <v>0</v>
      </c>
      <c r="AP112" s="830"/>
      <c r="AQ112" s="830"/>
      <c r="AR112" s="830"/>
      <c r="AS112" s="836"/>
      <c r="AT112" s="837" t="s">
        <v>1958</v>
      </c>
    </row>
    <row r="113" spans="1:52" ht="15.75">
      <c r="A113" s="824">
        <v>57</v>
      </c>
      <c r="B113" s="813" t="e">
        <f>VLOOKUP(C113,'[3]DS CN MOI UP'!$B$10:$C$489,2,0)</f>
        <v>#N/A</v>
      </c>
      <c r="C113" s="825" t="s">
        <v>1991</v>
      </c>
      <c r="D113" s="826" t="s">
        <v>15</v>
      </c>
      <c r="E113" s="815"/>
      <c r="F113" s="815"/>
      <c r="G113" s="815"/>
      <c r="H113" s="815"/>
      <c r="I113" s="815"/>
      <c r="J113" s="815"/>
      <c r="K113" s="815"/>
      <c r="L113" s="815"/>
      <c r="M113" s="815"/>
      <c r="N113" s="815">
        <f t="shared" si="23"/>
        <v>0</v>
      </c>
      <c r="O113" s="815">
        <f t="shared" si="24"/>
        <v>0</v>
      </c>
      <c r="P113" s="815">
        <f t="shared" si="25"/>
        <v>0</v>
      </c>
      <c r="Q113" s="815">
        <f t="shared" si="26"/>
        <v>0</v>
      </c>
      <c r="R113" s="815">
        <f t="shared" si="27"/>
        <v>0</v>
      </c>
      <c r="S113" s="815">
        <f t="shared" si="28"/>
        <v>0</v>
      </c>
      <c r="T113" s="815">
        <f t="shared" si="29"/>
        <v>0</v>
      </c>
      <c r="U113" s="815">
        <f t="shared" si="30"/>
        <v>0</v>
      </c>
      <c r="V113" s="815">
        <f t="shared" si="31"/>
        <v>0</v>
      </c>
      <c r="W113" s="815"/>
      <c r="X113" s="815"/>
      <c r="Y113" s="815"/>
      <c r="Z113" s="815"/>
      <c r="AA113" s="830">
        <f t="shared" si="32"/>
        <v>0</v>
      </c>
      <c r="AB113" s="830">
        <f>VLOOKUP(C113,'[3]MỦ TẠP'!$D$10:$AM$450,33,0)</f>
        <v>0</v>
      </c>
      <c r="AC113" s="830">
        <f>VLOOKUP(C113,'[3]MỦ TẠP'!$D$10:$AM$450,34,0)</f>
        <v>0</v>
      </c>
      <c r="AD113" s="830">
        <f>VLOOKUP(C113,'[3]MỦ TẠP'!$D$10:$AM$450,35,0)</f>
        <v>0</v>
      </c>
      <c r="AE113" s="830">
        <f t="shared" si="34"/>
        <v>0</v>
      </c>
      <c r="AF113" s="830"/>
      <c r="AG113" s="830"/>
      <c r="AH113" s="830">
        <f t="shared" si="33"/>
        <v>0</v>
      </c>
      <c r="AI113" s="830">
        <f>VLOOKUP(C113,'[3]CHẤM CÔNG '!$F$10:$AM$451,33,0)</f>
        <v>0</v>
      </c>
      <c r="AJ113" s="830">
        <f>VLOOKUP(C113,'[3]CHẤM CÔNG '!$F$10:$AM$451,34,0)</f>
        <v>0</v>
      </c>
      <c r="AK113" s="830"/>
      <c r="AL113" s="830"/>
      <c r="AM113" s="830"/>
      <c r="AN113" s="830">
        <f>VLOOKUP(C113,'[3]CHẤM CÔNG '!$F$10:$AN$451,35,0)</f>
        <v>0</v>
      </c>
      <c r="AO113" s="830">
        <f>VLOOKUP(C113,'[3]CHẤM CÔNG '!$F$10:$AR$451,36,0)</f>
        <v>0</v>
      </c>
      <c r="AP113" s="830"/>
      <c r="AQ113" s="830"/>
      <c r="AR113" s="830"/>
      <c r="AS113" s="836"/>
      <c r="AT113" s="837" t="s">
        <v>1958</v>
      </c>
    </row>
    <row r="114" spans="1:52">
      <c r="A114" s="820" t="s">
        <v>2129</v>
      </c>
      <c r="B114" s="813"/>
      <c r="C114" s="821"/>
      <c r="D114" s="822"/>
      <c r="E114" s="823">
        <f>SUM(E115:E218)</f>
        <v>0</v>
      </c>
      <c r="F114" s="823">
        <f t="shared" ref="F114:AO114" si="35">SUM(F115:F218)</f>
        <v>0</v>
      </c>
      <c r="G114" s="823">
        <f t="shared" si="35"/>
        <v>0</v>
      </c>
      <c r="H114" s="823">
        <f t="shared" si="35"/>
        <v>0</v>
      </c>
      <c r="I114" s="823">
        <f t="shared" si="35"/>
        <v>0</v>
      </c>
      <c r="J114" s="823">
        <f t="shared" si="35"/>
        <v>0</v>
      </c>
      <c r="K114" s="823">
        <f t="shared" si="35"/>
        <v>0</v>
      </c>
      <c r="L114" s="823">
        <f t="shared" si="35"/>
        <v>0</v>
      </c>
      <c r="M114" s="823">
        <f t="shared" si="35"/>
        <v>0</v>
      </c>
      <c r="N114" s="823">
        <f t="shared" si="35"/>
        <v>0</v>
      </c>
      <c r="O114" s="823">
        <f t="shared" si="35"/>
        <v>0</v>
      </c>
      <c r="P114" s="823">
        <f t="shared" si="35"/>
        <v>0</v>
      </c>
      <c r="Q114" s="823">
        <f t="shared" si="35"/>
        <v>0</v>
      </c>
      <c r="R114" s="823">
        <f t="shared" si="35"/>
        <v>0</v>
      </c>
      <c r="S114" s="823">
        <f t="shared" si="35"/>
        <v>0</v>
      </c>
      <c r="T114" s="823">
        <f t="shared" si="35"/>
        <v>0</v>
      </c>
      <c r="U114" s="823">
        <f t="shared" si="35"/>
        <v>0</v>
      </c>
      <c r="V114" s="823">
        <f t="shared" si="35"/>
        <v>0</v>
      </c>
      <c r="W114" s="823">
        <f t="shared" si="35"/>
        <v>0</v>
      </c>
      <c r="X114" s="823">
        <f t="shared" si="35"/>
        <v>0</v>
      </c>
      <c r="Y114" s="823">
        <f t="shared" si="35"/>
        <v>0</v>
      </c>
      <c r="Z114" s="823">
        <f t="shared" si="35"/>
        <v>0</v>
      </c>
      <c r="AA114" s="823">
        <f t="shared" si="35"/>
        <v>0</v>
      </c>
      <c r="AB114" s="823" t="e">
        <f t="shared" si="35"/>
        <v>#N/A</v>
      </c>
      <c r="AC114" s="823">
        <f t="shared" si="35"/>
        <v>0</v>
      </c>
      <c r="AD114" s="823">
        <f t="shared" si="35"/>
        <v>0</v>
      </c>
      <c r="AE114" s="823" t="e">
        <f t="shared" si="35"/>
        <v>#N/A</v>
      </c>
      <c r="AF114" s="823">
        <f t="shared" si="35"/>
        <v>0</v>
      </c>
      <c r="AG114" s="823">
        <f t="shared" si="35"/>
        <v>0</v>
      </c>
      <c r="AH114" s="823" t="e">
        <f t="shared" si="35"/>
        <v>#N/A</v>
      </c>
      <c r="AI114" s="823" t="e">
        <f t="shared" si="35"/>
        <v>#N/A</v>
      </c>
      <c r="AJ114" s="823" t="e">
        <f t="shared" si="35"/>
        <v>#N/A</v>
      </c>
      <c r="AK114" s="823">
        <f t="shared" si="35"/>
        <v>0</v>
      </c>
      <c r="AL114" s="823">
        <f t="shared" si="35"/>
        <v>0</v>
      </c>
      <c r="AM114" s="823">
        <f t="shared" si="35"/>
        <v>0</v>
      </c>
      <c r="AN114" s="823" t="e">
        <f t="shared" si="35"/>
        <v>#N/A</v>
      </c>
      <c r="AO114" s="823" t="e">
        <f t="shared" si="35"/>
        <v>#N/A</v>
      </c>
      <c r="AP114" s="823">
        <f t="shared" ref="AP114:AT114" si="36">SUM(AP115:AP195)</f>
        <v>0</v>
      </c>
      <c r="AQ114" s="823">
        <f t="shared" si="36"/>
        <v>0</v>
      </c>
      <c r="AR114" s="823">
        <f t="shared" si="36"/>
        <v>0</v>
      </c>
      <c r="AS114" s="823">
        <f t="shared" si="36"/>
        <v>0</v>
      </c>
      <c r="AT114" s="823" t="e">
        <f t="shared" si="36"/>
        <v>#N/A</v>
      </c>
    </row>
    <row r="115" spans="1:52" ht="15.75">
      <c r="A115" s="812">
        <v>1</v>
      </c>
      <c r="B115" s="813" t="e">
        <f>VLOOKUP(C115,'[3]DS CN MOI UP'!$B$10:$C$489,2,0)</f>
        <v>#N/A</v>
      </c>
      <c r="C115" s="845" t="s">
        <v>1992</v>
      </c>
      <c r="D115" s="812" t="s">
        <v>15</v>
      </c>
      <c r="E115" s="815"/>
      <c r="F115" s="815"/>
      <c r="G115" s="815"/>
      <c r="H115" s="815"/>
      <c r="I115" s="815"/>
      <c r="J115" s="815"/>
      <c r="K115" s="815"/>
      <c r="L115" s="815"/>
      <c r="M115" s="815"/>
      <c r="N115" s="815">
        <f t="shared" ref="N115:N178" si="37">E115/$N$8</f>
        <v>0</v>
      </c>
      <c r="O115" s="815">
        <f t="shared" ref="O115:O178" si="38">F115/$O$8</f>
        <v>0</v>
      </c>
      <c r="P115" s="815">
        <f t="shared" ref="P115:P178" si="39">G115/$P$8</f>
        <v>0</v>
      </c>
      <c r="Q115" s="815">
        <f t="shared" ref="Q115:Q178" si="40">H115/$Q$8</f>
        <v>0</v>
      </c>
      <c r="R115" s="815">
        <f t="shared" ref="R115:R178" si="41">I115/$R$8</f>
        <v>0</v>
      </c>
      <c r="S115" s="815">
        <f t="shared" ref="S115:S178" si="42">J115/$S$8</f>
        <v>0</v>
      </c>
      <c r="T115" s="815">
        <f t="shared" ref="T115:T178" si="43">K115/$T$8</f>
        <v>0</v>
      </c>
      <c r="U115" s="815">
        <f t="shared" ref="U115:U178" si="44">L115/$U$8</f>
        <v>0</v>
      </c>
      <c r="V115" s="815">
        <f t="shared" ref="V115:V178" si="45">M115/$V$8</f>
        <v>0</v>
      </c>
      <c r="W115" s="815"/>
      <c r="X115" s="815"/>
      <c r="Y115" s="815"/>
      <c r="Z115" s="815"/>
      <c r="AA115" s="830">
        <f t="shared" ref="AA115:AA178" si="46">SUM(N115:Z115)</f>
        <v>0</v>
      </c>
      <c r="AB115" s="830">
        <f>VLOOKUP(C115,'[3]MỦ TẠP'!$D$10:$AM$450,36,0)</f>
        <v>0</v>
      </c>
      <c r="AC115" s="830"/>
      <c r="AD115" s="830"/>
      <c r="AE115" s="830">
        <f>VLOOKUP(C115,'[3]MỦ TẠP'!$D$10:$AM$450,36,0)</f>
        <v>0</v>
      </c>
      <c r="AF115" s="830"/>
      <c r="AG115" s="830"/>
      <c r="AH115" s="830">
        <f t="shared" ref="AH115:AH174" si="47">AE115*$AV$15+AF115*$AV$10</f>
        <v>0</v>
      </c>
      <c r="AI115" s="830">
        <f>VLOOKUP(C115,'[3]CHẤM CÔNG '!$F$10:$AM$451,33,0)</f>
        <v>0</v>
      </c>
      <c r="AJ115" s="830">
        <f>VLOOKUP(C115,'[3]CHẤM CÔNG '!$F$10:$AM$451,34,0)</f>
        <v>0</v>
      </c>
      <c r="AK115" s="830"/>
      <c r="AL115" s="830"/>
      <c r="AM115" s="830"/>
      <c r="AN115" s="830">
        <f>VLOOKUP(C115,'[3]CHẤM CÔNG '!$F$10:$AN$451,35,0)</f>
        <v>0</v>
      </c>
      <c r="AO115" s="830">
        <f>VLOOKUP(C115,'[3]CHẤM CÔNG '!$F$10:$AR$451,36,0)</f>
        <v>0</v>
      </c>
      <c r="AP115" s="830"/>
      <c r="AQ115" s="830"/>
      <c r="AR115" s="830"/>
      <c r="AS115" s="836"/>
      <c r="AT115" s="837">
        <f>VLOOKUP(C115,'[3]MỦ TẠP'!$D$10:$AO$450,38,0)</f>
        <v>0</v>
      </c>
      <c r="AX115" s="799">
        <v>1</v>
      </c>
      <c r="AZ115" s="799">
        <v>2</v>
      </c>
    </row>
    <row r="116" spans="1:52" ht="15.75">
      <c r="A116" s="812">
        <v>2</v>
      </c>
      <c r="B116" s="813" t="str">
        <f>VLOOKUP(C116,'[3]DS CN MOI UP'!$B$10:$C$489,2,0)</f>
        <v>02510</v>
      </c>
      <c r="C116" s="845" t="s">
        <v>43</v>
      </c>
      <c r="D116" s="812" t="s">
        <v>15</v>
      </c>
      <c r="E116" s="815"/>
      <c r="F116" s="815"/>
      <c r="G116" s="815"/>
      <c r="H116" s="815"/>
      <c r="I116" s="815"/>
      <c r="J116" s="815"/>
      <c r="K116" s="815"/>
      <c r="L116" s="815"/>
      <c r="M116" s="815"/>
      <c r="N116" s="815">
        <f t="shared" si="37"/>
        <v>0</v>
      </c>
      <c r="O116" s="815">
        <f t="shared" si="38"/>
        <v>0</v>
      </c>
      <c r="P116" s="815">
        <f t="shared" si="39"/>
        <v>0</v>
      </c>
      <c r="Q116" s="815">
        <f t="shared" si="40"/>
        <v>0</v>
      </c>
      <c r="R116" s="815">
        <f t="shared" si="41"/>
        <v>0</v>
      </c>
      <c r="S116" s="815">
        <f t="shared" si="42"/>
        <v>0</v>
      </c>
      <c r="T116" s="815">
        <f t="shared" si="43"/>
        <v>0</v>
      </c>
      <c r="U116" s="815">
        <f t="shared" si="44"/>
        <v>0</v>
      </c>
      <c r="V116" s="815">
        <f t="shared" si="45"/>
        <v>0</v>
      </c>
      <c r="W116" s="815"/>
      <c r="X116" s="815"/>
      <c r="Y116" s="815"/>
      <c r="Z116" s="815"/>
      <c r="AA116" s="830">
        <f t="shared" si="46"/>
        <v>0</v>
      </c>
      <c r="AB116" s="830">
        <f>VLOOKUP(C116,'[3]MỦ TẠP'!$D$10:$AM$450,36,0)</f>
        <v>0</v>
      </c>
      <c r="AC116" s="830"/>
      <c r="AD116" s="830"/>
      <c r="AE116" s="830">
        <f>VLOOKUP(C116,'[3]MỦ TẠP'!$D$10:$AM$450,36,0)</f>
        <v>0</v>
      </c>
      <c r="AF116" s="830"/>
      <c r="AG116" s="830"/>
      <c r="AH116" s="830">
        <f t="shared" si="47"/>
        <v>0</v>
      </c>
      <c r="AI116" s="830">
        <f>VLOOKUP(C116,'[3]CHẤM CÔNG '!$F$10:$AM$451,33,0)</f>
        <v>0</v>
      </c>
      <c r="AJ116" s="830">
        <f>VLOOKUP(C116,'[3]CHẤM CÔNG '!$F$10:$AM$451,34,0)</f>
        <v>0</v>
      </c>
      <c r="AK116" s="830"/>
      <c r="AL116" s="830"/>
      <c r="AM116" s="830"/>
      <c r="AN116" s="830">
        <f>VLOOKUP(C116,'[3]CHẤM CÔNG '!$F$10:$AN$451,35,0)</f>
        <v>0</v>
      </c>
      <c r="AO116" s="830">
        <f>VLOOKUP(C116,'[3]CHẤM CÔNG '!$F$10:$AR$451,36,0)</f>
        <v>0</v>
      </c>
      <c r="AP116" s="830"/>
      <c r="AQ116" s="830"/>
      <c r="AR116" s="830"/>
      <c r="AS116" s="836"/>
      <c r="AT116" s="837">
        <f>VLOOKUP(C116,'[3]MỦ TẠP'!$D$10:$AO$450,38,0)</f>
        <v>0</v>
      </c>
      <c r="AZ116" s="799">
        <v>3</v>
      </c>
    </row>
    <row r="117" spans="1:52" ht="15.75">
      <c r="A117" s="812">
        <v>3</v>
      </c>
      <c r="B117" s="813" t="str">
        <f>VLOOKUP(C117,'[3]DS CN MOI UP'!$B$10:$C$489,2,0)</f>
        <v>02450</v>
      </c>
      <c r="C117" s="845" t="s">
        <v>70</v>
      </c>
      <c r="D117" s="812" t="s">
        <v>15</v>
      </c>
      <c r="E117" s="815"/>
      <c r="F117" s="815"/>
      <c r="G117" s="815"/>
      <c r="H117" s="815"/>
      <c r="I117" s="815"/>
      <c r="J117" s="815"/>
      <c r="K117" s="815"/>
      <c r="L117" s="815"/>
      <c r="M117" s="815"/>
      <c r="N117" s="815">
        <f t="shared" si="37"/>
        <v>0</v>
      </c>
      <c r="O117" s="815">
        <f t="shared" si="38"/>
        <v>0</v>
      </c>
      <c r="P117" s="815">
        <f t="shared" si="39"/>
        <v>0</v>
      </c>
      <c r="Q117" s="815">
        <f t="shared" si="40"/>
        <v>0</v>
      </c>
      <c r="R117" s="815">
        <f t="shared" si="41"/>
        <v>0</v>
      </c>
      <c r="S117" s="815">
        <f t="shared" si="42"/>
        <v>0</v>
      </c>
      <c r="T117" s="815">
        <f t="shared" si="43"/>
        <v>0</v>
      </c>
      <c r="U117" s="815">
        <f t="shared" si="44"/>
        <v>0</v>
      </c>
      <c r="V117" s="815">
        <f t="shared" si="45"/>
        <v>0</v>
      </c>
      <c r="W117" s="815"/>
      <c r="X117" s="815"/>
      <c r="Y117" s="815"/>
      <c r="Z117" s="815"/>
      <c r="AA117" s="830">
        <f t="shared" si="46"/>
        <v>0</v>
      </c>
      <c r="AB117" s="830">
        <f>VLOOKUP(C117,'[3]MỦ TẠP'!$D$10:$AM$450,36,0)</f>
        <v>0</v>
      </c>
      <c r="AC117" s="830"/>
      <c r="AD117" s="830"/>
      <c r="AE117" s="830">
        <f>VLOOKUP(C117,'[3]MỦ TẠP'!$D$10:$AM$450,36,0)</f>
        <v>0</v>
      </c>
      <c r="AF117" s="830"/>
      <c r="AG117" s="830"/>
      <c r="AH117" s="830">
        <f t="shared" si="47"/>
        <v>0</v>
      </c>
      <c r="AI117" s="830">
        <f>VLOOKUP(C117,'[3]CHẤM CÔNG '!$F$10:$AM$451,33,0)</f>
        <v>0</v>
      </c>
      <c r="AJ117" s="830">
        <f>VLOOKUP(C117,'[3]CHẤM CÔNG '!$F$10:$AM$451,34,0)</f>
        <v>0</v>
      </c>
      <c r="AK117" s="830"/>
      <c r="AL117" s="830"/>
      <c r="AM117" s="830"/>
      <c r="AN117" s="830">
        <f>VLOOKUP(C117,'[3]CHẤM CÔNG '!$F$10:$AN$451,35,0)</f>
        <v>0</v>
      </c>
      <c r="AO117" s="830">
        <f>VLOOKUP(C117,'[3]CHẤM CÔNG '!$F$10:$AR$451,36,0)</f>
        <v>0</v>
      </c>
      <c r="AP117" s="830"/>
      <c r="AQ117" s="830"/>
      <c r="AR117" s="830"/>
      <c r="AS117" s="836"/>
      <c r="AT117" s="837">
        <f>VLOOKUP(C117,'[3]MỦ TẠP'!$D$10:$AO$450,38,0)</f>
        <v>0</v>
      </c>
      <c r="AX117" s="799">
        <v>1</v>
      </c>
      <c r="AZ117" s="799">
        <v>2</v>
      </c>
    </row>
    <row r="118" spans="1:52" ht="15.75">
      <c r="A118" s="812">
        <v>4</v>
      </c>
      <c r="B118" s="813" t="str">
        <f>VLOOKUP(C118,'[3]DS CN MOI UP'!$B$10:$C$489,2,0)</f>
        <v>02454</v>
      </c>
      <c r="C118" s="818" t="s">
        <v>71</v>
      </c>
      <c r="D118" s="812" t="s">
        <v>15</v>
      </c>
      <c r="E118" s="815"/>
      <c r="F118" s="815"/>
      <c r="G118" s="815"/>
      <c r="H118" s="815"/>
      <c r="I118" s="815"/>
      <c r="J118" s="815"/>
      <c r="K118" s="815"/>
      <c r="L118" s="815"/>
      <c r="M118" s="815"/>
      <c r="N118" s="815">
        <f t="shared" si="37"/>
        <v>0</v>
      </c>
      <c r="O118" s="815">
        <f t="shared" si="38"/>
        <v>0</v>
      </c>
      <c r="P118" s="815">
        <f t="shared" si="39"/>
        <v>0</v>
      </c>
      <c r="Q118" s="815">
        <f t="shared" si="40"/>
        <v>0</v>
      </c>
      <c r="R118" s="815">
        <f t="shared" si="41"/>
        <v>0</v>
      </c>
      <c r="S118" s="815">
        <f t="shared" si="42"/>
        <v>0</v>
      </c>
      <c r="T118" s="815">
        <f t="shared" si="43"/>
        <v>0</v>
      </c>
      <c r="U118" s="815">
        <f t="shared" si="44"/>
        <v>0</v>
      </c>
      <c r="V118" s="815">
        <f t="shared" si="45"/>
        <v>0</v>
      </c>
      <c r="W118" s="815"/>
      <c r="X118" s="815"/>
      <c r="Y118" s="815"/>
      <c r="Z118" s="815"/>
      <c r="AA118" s="830">
        <f t="shared" si="46"/>
        <v>0</v>
      </c>
      <c r="AB118" s="830">
        <f>VLOOKUP(C118,'[3]MỦ TẠP'!$D$10:$AM$450,36,0)</f>
        <v>0</v>
      </c>
      <c r="AC118" s="830"/>
      <c r="AD118" s="830"/>
      <c r="AE118" s="830">
        <f>VLOOKUP(C118,'[3]MỦ TẠP'!$D$10:$AM$450,36,0)</f>
        <v>0</v>
      </c>
      <c r="AF118" s="830"/>
      <c r="AG118" s="830"/>
      <c r="AH118" s="830">
        <f t="shared" si="47"/>
        <v>0</v>
      </c>
      <c r="AI118" s="830">
        <f>VLOOKUP(C118,'[3]CHẤM CÔNG '!$F$10:$AM$451,33,0)</f>
        <v>0</v>
      </c>
      <c r="AJ118" s="830">
        <f>VLOOKUP(C118,'[3]CHẤM CÔNG '!$F$10:$AM$451,34,0)</f>
        <v>0</v>
      </c>
      <c r="AK118" s="830"/>
      <c r="AL118" s="830"/>
      <c r="AM118" s="830"/>
      <c r="AN118" s="830">
        <f>VLOOKUP(C118,'[3]CHẤM CÔNG '!$F$10:$AN$451,35,0)</f>
        <v>0</v>
      </c>
      <c r="AO118" s="830">
        <f>VLOOKUP(C118,'[3]CHẤM CÔNG '!$F$10:$AR$451,36,0)</f>
        <v>0</v>
      </c>
      <c r="AP118" s="830"/>
      <c r="AQ118" s="830"/>
      <c r="AR118" s="830"/>
      <c r="AS118" s="836"/>
      <c r="AT118" s="837">
        <f>VLOOKUP(C118,'[3]MỦ TẠP'!$D$10:$AO$450,38,0)</f>
        <v>0</v>
      </c>
      <c r="AX118" s="799">
        <v>1</v>
      </c>
      <c r="AZ118" s="799">
        <v>2</v>
      </c>
    </row>
    <row r="119" spans="1:52" ht="15.75">
      <c r="A119" s="812">
        <v>5</v>
      </c>
      <c r="B119" s="813" t="str">
        <f>VLOOKUP(C119,'[3]DS CN MOI UP'!$B$10:$C$489,2,0)</f>
        <v>03331</v>
      </c>
      <c r="C119" s="845" t="s">
        <v>486</v>
      </c>
      <c r="D119" s="812" t="s">
        <v>15</v>
      </c>
      <c r="E119" s="815"/>
      <c r="F119" s="815"/>
      <c r="G119" s="815"/>
      <c r="H119" s="815"/>
      <c r="I119" s="815"/>
      <c r="J119" s="815"/>
      <c r="K119" s="815"/>
      <c r="L119" s="815"/>
      <c r="M119" s="815"/>
      <c r="N119" s="815">
        <f t="shared" si="37"/>
        <v>0</v>
      </c>
      <c r="O119" s="815">
        <f t="shared" si="38"/>
        <v>0</v>
      </c>
      <c r="P119" s="815">
        <f t="shared" si="39"/>
        <v>0</v>
      </c>
      <c r="Q119" s="815">
        <f t="shared" si="40"/>
        <v>0</v>
      </c>
      <c r="R119" s="815">
        <f t="shared" si="41"/>
        <v>0</v>
      </c>
      <c r="S119" s="815">
        <f t="shared" si="42"/>
        <v>0</v>
      </c>
      <c r="T119" s="815">
        <f t="shared" si="43"/>
        <v>0</v>
      </c>
      <c r="U119" s="815">
        <f t="shared" si="44"/>
        <v>0</v>
      </c>
      <c r="V119" s="815">
        <f t="shared" si="45"/>
        <v>0</v>
      </c>
      <c r="W119" s="815"/>
      <c r="X119" s="815"/>
      <c r="Y119" s="815"/>
      <c r="Z119" s="815"/>
      <c r="AA119" s="830">
        <f t="shared" si="46"/>
        <v>0</v>
      </c>
      <c r="AB119" s="830">
        <f>VLOOKUP(C119,'[3]MỦ TẠP'!$D$10:$AM$450,36,0)</f>
        <v>0</v>
      </c>
      <c r="AC119" s="830"/>
      <c r="AD119" s="830"/>
      <c r="AE119" s="830">
        <f>VLOOKUP(C119,'[3]MỦ TẠP'!$D$10:$AM$450,36,0)</f>
        <v>0</v>
      </c>
      <c r="AF119" s="830"/>
      <c r="AG119" s="830"/>
      <c r="AH119" s="830">
        <f t="shared" si="47"/>
        <v>0</v>
      </c>
      <c r="AI119" s="830">
        <f>VLOOKUP(C119,'[3]CHẤM CÔNG '!$F$10:$AM$451,33,0)</f>
        <v>0</v>
      </c>
      <c r="AJ119" s="830">
        <f>VLOOKUP(C119,'[3]CHẤM CÔNG '!$F$10:$AM$451,34,0)</f>
        <v>0</v>
      </c>
      <c r="AK119" s="830"/>
      <c r="AL119" s="830"/>
      <c r="AM119" s="830"/>
      <c r="AN119" s="830">
        <f>VLOOKUP(C119,'[3]CHẤM CÔNG '!$F$10:$AN$451,35,0)</f>
        <v>0</v>
      </c>
      <c r="AO119" s="830">
        <f>VLOOKUP(C119,'[3]CHẤM CÔNG '!$F$10:$AR$451,36,0)</f>
        <v>0</v>
      </c>
      <c r="AP119" s="830"/>
      <c r="AQ119" s="830"/>
      <c r="AR119" s="830"/>
      <c r="AS119" s="836"/>
      <c r="AT119" s="837">
        <f>VLOOKUP(C119,'[3]MỦ TẠP'!$D$10:$AO$450,38,0)</f>
        <v>0</v>
      </c>
      <c r="AX119" s="799">
        <v>2</v>
      </c>
      <c r="AZ119" s="799">
        <v>1</v>
      </c>
    </row>
    <row r="120" spans="1:52" ht="15.75">
      <c r="A120" s="812">
        <v>6</v>
      </c>
      <c r="B120" s="813" t="str">
        <f>VLOOKUP(C120,'[3]DS CN MOI UP'!$B$10:$C$489,2,0)</f>
        <v>02474</v>
      </c>
      <c r="C120" s="845" t="s">
        <v>57</v>
      </c>
      <c r="D120" s="812" t="s">
        <v>15</v>
      </c>
      <c r="E120" s="815"/>
      <c r="F120" s="815"/>
      <c r="G120" s="815"/>
      <c r="H120" s="815"/>
      <c r="I120" s="815"/>
      <c r="J120" s="815"/>
      <c r="K120" s="815"/>
      <c r="L120" s="815"/>
      <c r="M120" s="815"/>
      <c r="N120" s="815">
        <f t="shared" si="37"/>
        <v>0</v>
      </c>
      <c r="O120" s="815">
        <f t="shared" si="38"/>
        <v>0</v>
      </c>
      <c r="P120" s="815">
        <f t="shared" si="39"/>
        <v>0</v>
      </c>
      <c r="Q120" s="815">
        <f t="shared" si="40"/>
        <v>0</v>
      </c>
      <c r="R120" s="815">
        <f t="shared" si="41"/>
        <v>0</v>
      </c>
      <c r="S120" s="815">
        <f t="shared" si="42"/>
        <v>0</v>
      </c>
      <c r="T120" s="815">
        <f t="shared" si="43"/>
        <v>0</v>
      </c>
      <c r="U120" s="815">
        <f t="shared" si="44"/>
        <v>0</v>
      </c>
      <c r="V120" s="815">
        <f t="shared" si="45"/>
        <v>0</v>
      </c>
      <c r="W120" s="815"/>
      <c r="X120" s="815"/>
      <c r="Y120" s="815"/>
      <c r="Z120" s="815"/>
      <c r="AA120" s="830">
        <f t="shared" si="46"/>
        <v>0</v>
      </c>
      <c r="AB120" s="830">
        <f>VLOOKUP(C120,'[3]MỦ TẠP'!$D$10:$AM$450,36,0)</f>
        <v>0</v>
      </c>
      <c r="AC120" s="830"/>
      <c r="AD120" s="830"/>
      <c r="AE120" s="830">
        <f>VLOOKUP(C120,'[3]MỦ TẠP'!$D$10:$AM$450,36,0)</f>
        <v>0</v>
      </c>
      <c r="AF120" s="830"/>
      <c r="AG120" s="830"/>
      <c r="AH120" s="830">
        <f t="shared" si="47"/>
        <v>0</v>
      </c>
      <c r="AI120" s="830">
        <f>VLOOKUP(C120,'[3]CHẤM CÔNG '!$F$10:$AM$451,33,0)</f>
        <v>0</v>
      </c>
      <c r="AJ120" s="830">
        <f>VLOOKUP(C120,'[3]CHẤM CÔNG '!$F$10:$AM$451,34,0)</f>
        <v>0</v>
      </c>
      <c r="AK120" s="830"/>
      <c r="AL120" s="830"/>
      <c r="AM120" s="830"/>
      <c r="AN120" s="830">
        <f>VLOOKUP(C120,'[3]CHẤM CÔNG '!$F$10:$AN$451,35,0)</f>
        <v>0</v>
      </c>
      <c r="AO120" s="830">
        <f>VLOOKUP(C120,'[3]CHẤM CÔNG '!$F$10:$AR$451,36,0)</f>
        <v>0</v>
      </c>
      <c r="AP120" s="830"/>
      <c r="AQ120" s="830"/>
      <c r="AR120" s="830"/>
      <c r="AS120" s="836"/>
      <c r="AT120" s="837">
        <f>VLOOKUP(C120,'[3]MỦ TẠP'!$D$10:$AO$450,38,0)</f>
        <v>0</v>
      </c>
      <c r="AX120" s="799">
        <v>2</v>
      </c>
      <c r="AZ120" s="799">
        <v>1</v>
      </c>
    </row>
    <row r="121" spans="1:52" ht="15.75">
      <c r="A121" s="812">
        <v>7</v>
      </c>
      <c r="B121" s="813" t="e">
        <f>VLOOKUP(C121,'[3]DS CN MOI UP'!$B$10:$C$489,2,0)</f>
        <v>#N/A</v>
      </c>
      <c r="C121" s="845" t="s">
        <v>1993</v>
      </c>
      <c r="D121" s="812" t="s">
        <v>15</v>
      </c>
      <c r="E121" s="815"/>
      <c r="F121" s="815"/>
      <c r="G121" s="815"/>
      <c r="H121" s="815"/>
      <c r="I121" s="815"/>
      <c r="J121" s="815"/>
      <c r="K121" s="815"/>
      <c r="L121" s="815"/>
      <c r="M121" s="815"/>
      <c r="N121" s="815">
        <f t="shared" si="37"/>
        <v>0</v>
      </c>
      <c r="O121" s="815">
        <f t="shared" si="38"/>
        <v>0</v>
      </c>
      <c r="P121" s="815">
        <f t="shared" si="39"/>
        <v>0</v>
      </c>
      <c r="Q121" s="815">
        <f t="shared" si="40"/>
        <v>0</v>
      </c>
      <c r="R121" s="815">
        <f t="shared" si="41"/>
        <v>0</v>
      </c>
      <c r="S121" s="815">
        <f t="shared" si="42"/>
        <v>0</v>
      </c>
      <c r="T121" s="815">
        <f t="shared" si="43"/>
        <v>0</v>
      </c>
      <c r="U121" s="815">
        <f t="shared" si="44"/>
        <v>0</v>
      </c>
      <c r="V121" s="815">
        <f t="shared" si="45"/>
        <v>0</v>
      </c>
      <c r="W121" s="815"/>
      <c r="X121" s="815"/>
      <c r="Y121" s="815"/>
      <c r="Z121" s="815"/>
      <c r="AA121" s="830">
        <f t="shared" si="46"/>
        <v>0</v>
      </c>
      <c r="AB121" s="830">
        <f>VLOOKUP(C121,'[3]MỦ TẠP'!$D$10:$AM$450,36,0)</f>
        <v>0</v>
      </c>
      <c r="AC121" s="830"/>
      <c r="AD121" s="830"/>
      <c r="AE121" s="830">
        <f>VLOOKUP(C121,'[3]MỦ TẠP'!$D$10:$AM$450,36,0)</f>
        <v>0</v>
      </c>
      <c r="AF121" s="830"/>
      <c r="AG121" s="830"/>
      <c r="AH121" s="830">
        <f t="shared" si="47"/>
        <v>0</v>
      </c>
      <c r="AI121" s="830">
        <f>VLOOKUP(C121,'[3]CHẤM CÔNG '!$F$10:$AM$451,33,0)</f>
        <v>0</v>
      </c>
      <c r="AJ121" s="830">
        <f>VLOOKUP(C121,'[3]CHẤM CÔNG '!$F$10:$AM$451,34,0)</f>
        <v>0</v>
      </c>
      <c r="AK121" s="830"/>
      <c r="AL121" s="830"/>
      <c r="AM121" s="830"/>
      <c r="AN121" s="830">
        <f>VLOOKUP(C121,'[3]CHẤM CÔNG '!$F$10:$AN$451,35,0)</f>
        <v>0</v>
      </c>
      <c r="AO121" s="830">
        <f>VLOOKUP(C121,'[3]CHẤM CÔNG '!$F$10:$AR$451,36,0)</f>
        <v>0</v>
      </c>
      <c r="AP121" s="830"/>
      <c r="AQ121" s="830"/>
      <c r="AR121" s="830"/>
      <c r="AS121" s="836"/>
      <c r="AT121" s="837">
        <f>VLOOKUP(C121,'[3]MỦ TẠP'!$D$10:$AO$450,38,0)</f>
        <v>0</v>
      </c>
      <c r="AX121" s="799">
        <v>1</v>
      </c>
      <c r="AZ121" s="799">
        <v>2</v>
      </c>
    </row>
    <row r="122" spans="1:52" ht="15.75">
      <c r="A122" s="812">
        <v>8</v>
      </c>
      <c r="B122" s="813" t="str">
        <f>VLOOKUP(C122,'[3]DS CN MOI UP'!$B$10:$C$489,2,0)</f>
        <v>02471</v>
      </c>
      <c r="C122" s="845" t="s">
        <v>18</v>
      </c>
      <c r="D122" s="812" t="s">
        <v>15</v>
      </c>
      <c r="E122" s="815"/>
      <c r="F122" s="815"/>
      <c r="G122" s="815"/>
      <c r="H122" s="815"/>
      <c r="I122" s="815"/>
      <c r="J122" s="815"/>
      <c r="K122" s="815"/>
      <c r="L122" s="815"/>
      <c r="M122" s="815"/>
      <c r="N122" s="815">
        <f t="shared" si="37"/>
        <v>0</v>
      </c>
      <c r="O122" s="815">
        <f t="shared" si="38"/>
        <v>0</v>
      </c>
      <c r="P122" s="815">
        <f t="shared" si="39"/>
        <v>0</v>
      </c>
      <c r="Q122" s="815">
        <f t="shared" si="40"/>
        <v>0</v>
      </c>
      <c r="R122" s="815">
        <f t="shared" si="41"/>
        <v>0</v>
      </c>
      <c r="S122" s="815">
        <f t="shared" si="42"/>
        <v>0</v>
      </c>
      <c r="T122" s="815">
        <f t="shared" si="43"/>
        <v>0</v>
      </c>
      <c r="U122" s="815">
        <f t="shared" si="44"/>
        <v>0</v>
      </c>
      <c r="V122" s="815">
        <f t="shared" si="45"/>
        <v>0</v>
      </c>
      <c r="W122" s="815"/>
      <c r="X122" s="815"/>
      <c r="Y122" s="815"/>
      <c r="Z122" s="815"/>
      <c r="AA122" s="830">
        <f t="shared" si="46"/>
        <v>0</v>
      </c>
      <c r="AB122" s="830">
        <f>VLOOKUP(C122,'[3]MỦ TẠP'!$D$10:$AM$450,36,0)</f>
        <v>0</v>
      </c>
      <c r="AC122" s="830"/>
      <c r="AD122" s="830"/>
      <c r="AE122" s="830">
        <f>VLOOKUP(C122,'[3]MỦ TẠP'!$D$10:$AM$450,36,0)</f>
        <v>0</v>
      </c>
      <c r="AF122" s="830"/>
      <c r="AG122" s="830"/>
      <c r="AH122" s="830">
        <f t="shared" si="47"/>
        <v>0</v>
      </c>
      <c r="AI122" s="830">
        <f>VLOOKUP(C122,'[3]CHẤM CÔNG '!$F$10:$AM$451,33,0)</f>
        <v>0</v>
      </c>
      <c r="AJ122" s="830">
        <f>VLOOKUP(C122,'[3]CHẤM CÔNG '!$F$10:$AM$451,34,0)</f>
        <v>0</v>
      </c>
      <c r="AK122" s="830"/>
      <c r="AL122" s="830"/>
      <c r="AM122" s="830"/>
      <c r="AN122" s="830">
        <f>VLOOKUP(C122,'[3]CHẤM CÔNG '!$F$10:$AN$451,35,0)</f>
        <v>0</v>
      </c>
      <c r="AO122" s="830">
        <f>VLOOKUP(C122,'[3]CHẤM CÔNG '!$F$10:$AR$451,36,0)</f>
        <v>0</v>
      </c>
      <c r="AP122" s="830"/>
      <c r="AQ122" s="830"/>
      <c r="AR122" s="830"/>
      <c r="AS122" s="836"/>
      <c r="AT122" s="837">
        <f>VLOOKUP(C122,'[3]MỦ TẠP'!$D$10:$AO$450,38,0)</f>
        <v>0</v>
      </c>
      <c r="AX122" s="799">
        <v>1</v>
      </c>
      <c r="AZ122" s="799">
        <v>2</v>
      </c>
    </row>
    <row r="123" spans="1:52" ht="15.75">
      <c r="A123" s="812">
        <v>9</v>
      </c>
      <c r="B123" s="813" t="str">
        <f>VLOOKUP(C123,'[3]DS CN MOI UP'!$B$10:$C$489,2,0)</f>
        <v>02488</v>
      </c>
      <c r="C123" s="845" t="s">
        <v>35</v>
      </c>
      <c r="D123" s="812" t="s">
        <v>15</v>
      </c>
      <c r="E123" s="815"/>
      <c r="F123" s="815"/>
      <c r="G123" s="815"/>
      <c r="H123" s="815"/>
      <c r="I123" s="815"/>
      <c r="J123" s="815"/>
      <c r="K123" s="815"/>
      <c r="L123" s="815"/>
      <c r="M123" s="815"/>
      <c r="N123" s="815">
        <f t="shared" si="37"/>
        <v>0</v>
      </c>
      <c r="O123" s="815">
        <f t="shared" si="38"/>
        <v>0</v>
      </c>
      <c r="P123" s="815">
        <f t="shared" si="39"/>
        <v>0</v>
      </c>
      <c r="Q123" s="815">
        <f t="shared" si="40"/>
        <v>0</v>
      </c>
      <c r="R123" s="815">
        <f t="shared" si="41"/>
        <v>0</v>
      </c>
      <c r="S123" s="815">
        <f t="shared" si="42"/>
        <v>0</v>
      </c>
      <c r="T123" s="815">
        <f t="shared" si="43"/>
        <v>0</v>
      </c>
      <c r="U123" s="815">
        <f t="shared" si="44"/>
        <v>0</v>
      </c>
      <c r="V123" s="815">
        <f t="shared" si="45"/>
        <v>0</v>
      </c>
      <c r="W123" s="815"/>
      <c r="X123" s="815"/>
      <c r="Y123" s="815"/>
      <c r="Z123" s="815"/>
      <c r="AA123" s="830">
        <f t="shared" si="46"/>
        <v>0</v>
      </c>
      <c r="AB123" s="830">
        <f>VLOOKUP(C123,'[3]MỦ TẠP'!$D$10:$AM$450,36,0)</f>
        <v>0</v>
      </c>
      <c r="AC123" s="830"/>
      <c r="AD123" s="830"/>
      <c r="AE123" s="830">
        <f>VLOOKUP(C123,'[3]MỦ TẠP'!$D$10:$AM$450,36,0)</f>
        <v>0</v>
      </c>
      <c r="AF123" s="830"/>
      <c r="AG123" s="830"/>
      <c r="AH123" s="830">
        <f t="shared" si="47"/>
        <v>0</v>
      </c>
      <c r="AI123" s="830">
        <f>VLOOKUP(C123,'[3]CHẤM CÔNG '!$F$10:$AM$451,33,0)</f>
        <v>0</v>
      </c>
      <c r="AJ123" s="830">
        <f>VLOOKUP(C123,'[3]CHẤM CÔNG '!$F$10:$AM$451,34,0)</f>
        <v>0</v>
      </c>
      <c r="AK123" s="830"/>
      <c r="AL123" s="830"/>
      <c r="AM123" s="830"/>
      <c r="AN123" s="830">
        <f>VLOOKUP(C123,'[3]CHẤM CÔNG '!$F$10:$AN$451,35,0)</f>
        <v>0</v>
      </c>
      <c r="AO123" s="830">
        <f>VLOOKUP(C123,'[3]CHẤM CÔNG '!$F$10:$AR$451,36,0)</f>
        <v>0</v>
      </c>
      <c r="AP123" s="830"/>
      <c r="AQ123" s="830"/>
      <c r="AR123" s="830"/>
      <c r="AS123" s="836"/>
      <c r="AT123" s="837">
        <f>VLOOKUP(C123,'[3]MỦ TẠP'!$D$10:$AO$450,38,0)</f>
        <v>0</v>
      </c>
      <c r="AX123" s="799">
        <v>1</v>
      </c>
      <c r="AZ123" s="799">
        <v>2</v>
      </c>
    </row>
    <row r="124" spans="1:52" ht="15.75">
      <c r="A124" s="812">
        <v>10</v>
      </c>
      <c r="B124" s="813" t="e">
        <f>VLOOKUP(C124,'[3]DS CN MOI UP'!$B$10:$C$489,2,0)</f>
        <v>#N/A</v>
      </c>
      <c r="C124" s="845" t="s">
        <v>1336</v>
      </c>
      <c r="D124" s="812" t="s">
        <v>15</v>
      </c>
      <c r="E124" s="815"/>
      <c r="F124" s="815"/>
      <c r="G124" s="815"/>
      <c r="H124" s="815"/>
      <c r="I124" s="815"/>
      <c r="J124" s="815"/>
      <c r="K124" s="815"/>
      <c r="L124" s="815"/>
      <c r="M124" s="815"/>
      <c r="N124" s="815">
        <f t="shared" si="37"/>
        <v>0</v>
      </c>
      <c r="O124" s="815">
        <f t="shared" si="38"/>
        <v>0</v>
      </c>
      <c r="P124" s="815">
        <f t="shared" si="39"/>
        <v>0</v>
      </c>
      <c r="Q124" s="815">
        <f t="shared" si="40"/>
        <v>0</v>
      </c>
      <c r="R124" s="815">
        <f t="shared" si="41"/>
        <v>0</v>
      </c>
      <c r="S124" s="815">
        <f t="shared" si="42"/>
        <v>0</v>
      </c>
      <c r="T124" s="815">
        <f t="shared" si="43"/>
        <v>0</v>
      </c>
      <c r="U124" s="815">
        <f t="shared" si="44"/>
        <v>0</v>
      </c>
      <c r="V124" s="815">
        <f t="shared" si="45"/>
        <v>0</v>
      </c>
      <c r="W124" s="815"/>
      <c r="X124" s="815"/>
      <c r="Y124" s="815"/>
      <c r="Z124" s="815"/>
      <c r="AA124" s="830">
        <f t="shared" si="46"/>
        <v>0</v>
      </c>
      <c r="AB124" s="830">
        <f>VLOOKUP(C124,'[3]MỦ TẠP'!$D$10:$AM$450,36,0)</f>
        <v>0</v>
      </c>
      <c r="AC124" s="830"/>
      <c r="AD124" s="830"/>
      <c r="AE124" s="830">
        <f>VLOOKUP(C124,'[3]MỦ TẠP'!$D$10:$AM$450,36,0)</f>
        <v>0</v>
      </c>
      <c r="AF124" s="830"/>
      <c r="AG124" s="830"/>
      <c r="AH124" s="830">
        <f t="shared" si="47"/>
        <v>0</v>
      </c>
      <c r="AI124" s="830">
        <f>VLOOKUP(C124,'[3]CHẤM CÔNG '!$F$10:$AM$451,33,0)</f>
        <v>0</v>
      </c>
      <c r="AJ124" s="830">
        <f>VLOOKUP(C124,'[3]CHẤM CÔNG '!$F$10:$AM$451,34,0)</f>
        <v>0</v>
      </c>
      <c r="AK124" s="830"/>
      <c r="AL124" s="830"/>
      <c r="AM124" s="830"/>
      <c r="AN124" s="830">
        <f>VLOOKUP(C124,'[3]CHẤM CÔNG '!$F$10:$AN$451,35,0)</f>
        <v>0</v>
      </c>
      <c r="AO124" s="830">
        <f>VLOOKUP(C124,'[3]CHẤM CÔNG '!$F$10:$AR$451,36,0)</f>
        <v>0</v>
      </c>
      <c r="AP124" s="830"/>
      <c r="AQ124" s="830"/>
      <c r="AR124" s="830"/>
      <c r="AS124" s="836"/>
      <c r="AT124" s="837">
        <f>VLOOKUP(C124,'[3]MỦ TẠP'!$D$10:$AO$450,38,0)</f>
        <v>0</v>
      </c>
      <c r="AX124" s="799">
        <v>1</v>
      </c>
      <c r="AZ124" s="799">
        <v>2</v>
      </c>
    </row>
    <row r="125" spans="1:52" ht="15.75">
      <c r="A125" s="812">
        <v>11</v>
      </c>
      <c r="B125" s="813" t="e">
        <f>VLOOKUP(C125,'[3]DS CN MOI UP'!$B$10:$C$489,2,0)</f>
        <v>#N/A</v>
      </c>
      <c r="C125" s="845" t="s">
        <v>85</v>
      </c>
      <c r="D125" s="812" t="s">
        <v>15</v>
      </c>
      <c r="E125" s="815"/>
      <c r="F125" s="815"/>
      <c r="G125" s="815"/>
      <c r="H125" s="815"/>
      <c r="I125" s="815"/>
      <c r="J125" s="815"/>
      <c r="K125" s="815"/>
      <c r="L125" s="815"/>
      <c r="M125" s="815"/>
      <c r="N125" s="815">
        <f t="shared" si="37"/>
        <v>0</v>
      </c>
      <c r="O125" s="815">
        <f t="shared" si="38"/>
        <v>0</v>
      </c>
      <c r="P125" s="815">
        <f t="shared" si="39"/>
        <v>0</v>
      </c>
      <c r="Q125" s="815">
        <f t="shared" si="40"/>
        <v>0</v>
      </c>
      <c r="R125" s="815">
        <f t="shared" si="41"/>
        <v>0</v>
      </c>
      <c r="S125" s="815">
        <f t="shared" si="42"/>
        <v>0</v>
      </c>
      <c r="T125" s="815">
        <f t="shared" si="43"/>
        <v>0</v>
      </c>
      <c r="U125" s="815">
        <f t="shared" si="44"/>
        <v>0</v>
      </c>
      <c r="V125" s="815">
        <f t="shared" si="45"/>
        <v>0</v>
      </c>
      <c r="W125" s="815"/>
      <c r="X125" s="815"/>
      <c r="Y125" s="815"/>
      <c r="Z125" s="815"/>
      <c r="AA125" s="830">
        <f t="shared" si="46"/>
        <v>0</v>
      </c>
      <c r="AB125" s="830" t="e">
        <f>VLOOKUP(C125,'[3]MỦ TẠP'!$D$10:$AM$450,36,0)</f>
        <v>#N/A</v>
      </c>
      <c r="AC125" s="830"/>
      <c r="AD125" s="830"/>
      <c r="AE125" s="830" t="e">
        <f>VLOOKUP(C125,'[3]MỦ TẠP'!$D$10:$AM$450,36,0)</f>
        <v>#N/A</v>
      </c>
      <c r="AF125" s="830"/>
      <c r="AG125" s="830"/>
      <c r="AH125" s="830" t="e">
        <f t="shared" si="47"/>
        <v>#N/A</v>
      </c>
      <c r="AI125" s="830" t="e">
        <f>VLOOKUP(C125,'[3]CHẤM CÔNG '!$F$10:$AM$451,33,0)</f>
        <v>#N/A</v>
      </c>
      <c r="AJ125" s="830" t="e">
        <f>VLOOKUP(C125,'[3]CHẤM CÔNG '!$F$10:$AM$451,34,0)</f>
        <v>#N/A</v>
      </c>
      <c r="AK125" s="830"/>
      <c r="AL125" s="830"/>
      <c r="AM125" s="830"/>
      <c r="AN125" s="830" t="e">
        <f>VLOOKUP(C125,'[3]CHẤM CÔNG '!$F$10:$AN$451,35,0)</f>
        <v>#N/A</v>
      </c>
      <c r="AO125" s="830" t="e">
        <f>VLOOKUP(C125,'[3]CHẤM CÔNG '!$F$10:$AR$451,36,0)</f>
        <v>#N/A</v>
      </c>
      <c r="AP125" s="830"/>
      <c r="AQ125" s="830"/>
      <c r="AR125" s="830"/>
      <c r="AS125" s="836"/>
      <c r="AT125" s="837" t="e">
        <f>VLOOKUP(C125,'[3]MỦ TẠP'!$D$10:$AO$450,38,0)</f>
        <v>#N/A</v>
      </c>
      <c r="AX125" s="799">
        <v>1</v>
      </c>
      <c r="AZ125" s="799">
        <v>2</v>
      </c>
    </row>
    <row r="126" spans="1:52" ht="15.75">
      <c r="A126" s="812">
        <v>12</v>
      </c>
      <c r="B126" s="813" t="e">
        <f>VLOOKUP(C126,'[3]DS CN MOI UP'!$B$10:$C$489,2,0)</f>
        <v>#N/A</v>
      </c>
      <c r="C126" s="845" t="s">
        <v>556</v>
      </c>
      <c r="D126" s="812" t="s">
        <v>15</v>
      </c>
      <c r="E126" s="815"/>
      <c r="F126" s="815"/>
      <c r="G126" s="815"/>
      <c r="H126" s="815"/>
      <c r="I126" s="815"/>
      <c r="J126" s="815"/>
      <c r="K126" s="815"/>
      <c r="L126" s="815"/>
      <c r="M126" s="815"/>
      <c r="N126" s="815">
        <f t="shared" si="37"/>
        <v>0</v>
      </c>
      <c r="O126" s="815">
        <f t="shared" si="38"/>
        <v>0</v>
      </c>
      <c r="P126" s="815">
        <f t="shared" si="39"/>
        <v>0</v>
      </c>
      <c r="Q126" s="815">
        <f t="shared" si="40"/>
        <v>0</v>
      </c>
      <c r="R126" s="815">
        <f t="shared" si="41"/>
        <v>0</v>
      </c>
      <c r="S126" s="815">
        <f t="shared" si="42"/>
        <v>0</v>
      </c>
      <c r="T126" s="815">
        <f t="shared" si="43"/>
        <v>0</v>
      </c>
      <c r="U126" s="815">
        <f t="shared" si="44"/>
        <v>0</v>
      </c>
      <c r="V126" s="815">
        <f t="shared" si="45"/>
        <v>0</v>
      </c>
      <c r="W126" s="815"/>
      <c r="X126" s="815"/>
      <c r="Y126" s="815"/>
      <c r="Z126" s="815"/>
      <c r="AA126" s="830">
        <f t="shared" si="46"/>
        <v>0</v>
      </c>
      <c r="AB126" s="830">
        <f>VLOOKUP(C126,'[3]MỦ TẠP'!$D$10:$AM$450,36,0)</f>
        <v>0</v>
      </c>
      <c r="AC126" s="830"/>
      <c r="AD126" s="830"/>
      <c r="AE126" s="830">
        <f>VLOOKUP(C126,'[3]MỦ TẠP'!$D$10:$AM$450,36,0)</f>
        <v>0</v>
      </c>
      <c r="AF126" s="830"/>
      <c r="AG126" s="830"/>
      <c r="AH126" s="830">
        <f t="shared" si="47"/>
        <v>0</v>
      </c>
      <c r="AI126" s="830">
        <f>VLOOKUP(C126,'[3]CHẤM CÔNG '!$F$10:$AM$451,33,0)</f>
        <v>0</v>
      </c>
      <c r="AJ126" s="830">
        <f>VLOOKUP(C126,'[3]CHẤM CÔNG '!$F$10:$AM$451,34,0)</f>
        <v>0</v>
      </c>
      <c r="AK126" s="830"/>
      <c r="AL126" s="830"/>
      <c r="AM126" s="830"/>
      <c r="AN126" s="830">
        <f>VLOOKUP(C126,'[3]CHẤM CÔNG '!$F$10:$AN$451,35,0)</f>
        <v>0</v>
      </c>
      <c r="AO126" s="830">
        <f>VLOOKUP(C126,'[3]CHẤM CÔNG '!$F$10:$AR$451,36,0)</f>
        <v>0</v>
      </c>
      <c r="AP126" s="830"/>
      <c r="AQ126" s="830"/>
      <c r="AR126" s="830"/>
      <c r="AS126" s="836"/>
      <c r="AT126" s="837">
        <f>VLOOKUP(C126,'[3]MỦ TẠP'!$D$10:$AO$450,38,0)</f>
        <v>0</v>
      </c>
      <c r="AX126" s="799">
        <v>1</v>
      </c>
      <c r="AZ126" s="799">
        <v>2</v>
      </c>
    </row>
    <row r="127" spans="1:52" ht="15.75">
      <c r="A127" s="812">
        <v>13</v>
      </c>
      <c r="B127" s="813" t="e">
        <f>VLOOKUP(C127,'[3]DS CN MOI UP'!$B$10:$C$489,2,0)</f>
        <v>#N/A</v>
      </c>
      <c r="C127" s="845" t="s">
        <v>1994</v>
      </c>
      <c r="D127" s="812" t="s">
        <v>15</v>
      </c>
      <c r="E127" s="815"/>
      <c r="F127" s="815"/>
      <c r="G127" s="815"/>
      <c r="H127" s="815"/>
      <c r="I127" s="815"/>
      <c r="J127" s="815"/>
      <c r="K127" s="815"/>
      <c r="L127" s="815"/>
      <c r="M127" s="815"/>
      <c r="N127" s="815">
        <f t="shared" si="37"/>
        <v>0</v>
      </c>
      <c r="O127" s="815">
        <f t="shared" si="38"/>
        <v>0</v>
      </c>
      <c r="P127" s="815">
        <f t="shared" si="39"/>
        <v>0</v>
      </c>
      <c r="Q127" s="815">
        <f t="shared" si="40"/>
        <v>0</v>
      </c>
      <c r="R127" s="815">
        <f t="shared" si="41"/>
        <v>0</v>
      </c>
      <c r="S127" s="815">
        <f t="shared" si="42"/>
        <v>0</v>
      </c>
      <c r="T127" s="815">
        <f t="shared" si="43"/>
        <v>0</v>
      </c>
      <c r="U127" s="815">
        <f t="shared" si="44"/>
        <v>0</v>
      </c>
      <c r="V127" s="815">
        <f t="shared" si="45"/>
        <v>0</v>
      </c>
      <c r="W127" s="815"/>
      <c r="X127" s="815"/>
      <c r="Y127" s="815"/>
      <c r="Z127" s="815"/>
      <c r="AA127" s="830">
        <f t="shared" si="46"/>
        <v>0</v>
      </c>
      <c r="AB127" s="830">
        <f>VLOOKUP(C127,'[3]MỦ TẠP'!$D$10:$AM$450,36,0)</f>
        <v>0</v>
      </c>
      <c r="AC127" s="830"/>
      <c r="AD127" s="830"/>
      <c r="AE127" s="830">
        <f>VLOOKUP(C127,'[3]MỦ TẠP'!$D$10:$AM$450,36,0)</f>
        <v>0</v>
      </c>
      <c r="AF127" s="830"/>
      <c r="AG127" s="830"/>
      <c r="AH127" s="830">
        <f t="shared" si="47"/>
        <v>0</v>
      </c>
      <c r="AI127" s="830">
        <f>VLOOKUP(C127,'[3]CHẤM CÔNG '!$F$10:$AM$451,33,0)</f>
        <v>0</v>
      </c>
      <c r="AJ127" s="830">
        <f>VLOOKUP(C127,'[3]CHẤM CÔNG '!$F$10:$AM$451,34,0)</f>
        <v>0</v>
      </c>
      <c r="AK127" s="830"/>
      <c r="AL127" s="830"/>
      <c r="AM127" s="830"/>
      <c r="AN127" s="830">
        <f>VLOOKUP(C127,'[3]CHẤM CÔNG '!$F$10:$AN$451,35,0)</f>
        <v>0</v>
      </c>
      <c r="AO127" s="830">
        <f>VLOOKUP(C127,'[3]CHẤM CÔNG '!$F$10:$AR$451,36,0)</f>
        <v>0</v>
      </c>
      <c r="AP127" s="830"/>
      <c r="AQ127" s="830"/>
      <c r="AR127" s="830"/>
      <c r="AS127" s="836"/>
      <c r="AT127" s="837">
        <f>VLOOKUP(C127,'[3]MỦ TẠP'!$D$10:$AO$450,38,0)</f>
        <v>0</v>
      </c>
      <c r="AX127" s="799">
        <v>1</v>
      </c>
      <c r="AZ127" s="799">
        <v>2</v>
      </c>
    </row>
    <row r="128" spans="1:52" ht="15.75">
      <c r="A128" s="812">
        <v>14</v>
      </c>
      <c r="B128" s="813" t="str">
        <f>VLOOKUP(C128,'[3]DS CN MOI UP'!$B$10:$C$489,2,0)</f>
        <v>02500</v>
      </c>
      <c r="C128" s="845" t="s">
        <v>59</v>
      </c>
      <c r="D128" s="812" t="s">
        <v>15</v>
      </c>
      <c r="E128" s="815"/>
      <c r="F128" s="815"/>
      <c r="G128" s="815"/>
      <c r="H128" s="815"/>
      <c r="I128" s="815"/>
      <c r="J128" s="815"/>
      <c r="K128" s="815"/>
      <c r="L128" s="815"/>
      <c r="M128" s="815"/>
      <c r="N128" s="815">
        <f t="shared" si="37"/>
        <v>0</v>
      </c>
      <c r="O128" s="815">
        <f t="shared" si="38"/>
        <v>0</v>
      </c>
      <c r="P128" s="815">
        <f t="shared" si="39"/>
        <v>0</v>
      </c>
      <c r="Q128" s="815">
        <f t="shared" si="40"/>
        <v>0</v>
      </c>
      <c r="R128" s="815">
        <f t="shared" si="41"/>
        <v>0</v>
      </c>
      <c r="S128" s="815">
        <f t="shared" si="42"/>
        <v>0</v>
      </c>
      <c r="T128" s="815">
        <f t="shared" si="43"/>
        <v>0</v>
      </c>
      <c r="U128" s="815">
        <f t="shared" si="44"/>
        <v>0</v>
      </c>
      <c r="V128" s="815">
        <f t="shared" si="45"/>
        <v>0</v>
      </c>
      <c r="W128" s="815"/>
      <c r="X128" s="815"/>
      <c r="Y128" s="815"/>
      <c r="Z128" s="815"/>
      <c r="AA128" s="830">
        <f t="shared" si="46"/>
        <v>0</v>
      </c>
      <c r="AB128" s="830">
        <f>VLOOKUP(C128,'[3]MỦ TẠP'!$D$10:$AM$450,36,0)</f>
        <v>0</v>
      </c>
      <c r="AC128" s="830"/>
      <c r="AD128" s="830"/>
      <c r="AE128" s="830">
        <f>VLOOKUP(C128,'[3]MỦ TẠP'!$D$10:$AM$450,36,0)</f>
        <v>0</v>
      </c>
      <c r="AF128" s="830"/>
      <c r="AG128" s="830"/>
      <c r="AH128" s="830">
        <f t="shared" si="47"/>
        <v>0</v>
      </c>
      <c r="AI128" s="830">
        <f>VLOOKUP(C128,'[3]CHẤM CÔNG '!$F$10:$AM$451,33,0)</f>
        <v>0</v>
      </c>
      <c r="AJ128" s="830">
        <f>VLOOKUP(C128,'[3]CHẤM CÔNG '!$F$10:$AM$451,34,0)</f>
        <v>0</v>
      </c>
      <c r="AK128" s="830"/>
      <c r="AL128" s="830"/>
      <c r="AM128" s="830"/>
      <c r="AN128" s="830">
        <f>VLOOKUP(C128,'[3]CHẤM CÔNG '!$F$10:$AN$451,35,0)</f>
        <v>0</v>
      </c>
      <c r="AO128" s="830">
        <f>VLOOKUP(C128,'[3]CHẤM CÔNG '!$F$10:$AR$451,36,0)</f>
        <v>0</v>
      </c>
      <c r="AP128" s="830"/>
      <c r="AQ128" s="830"/>
      <c r="AR128" s="830"/>
      <c r="AS128" s="836"/>
      <c r="AT128" s="837">
        <f>VLOOKUP(C128,'[3]MỦ TẠP'!$D$10:$AO$450,38,0)</f>
        <v>0</v>
      </c>
      <c r="AX128" s="799">
        <v>1</v>
      </c>
      <c r="AZ128" s="799">
        <v>2</v>
      </c>
    </row>
    <row r="129" spans="1:52" ht="15.75">
      <c r="A129" s="812">
        <v>15</v>
      </c>
      <c r="B129" s="813" t="str">
        <f>VLOOKUP(C129,'[3]DS CN MOI UP'!$B$10:$C$489,2,0)</f>
        <v>02466</v>
      </c>
      <c r="C129" s="845" t="s">
        <v>25</v>
      </c>
      <c r="D129" s="812" t="s">
        <v>15</v>
      </c>
      <c r="E129" s="815"/>
      <c r="F129" s="815"/>
      <c r="G129" s="815"/>
      <c r="H129" s="815"/>
      <c r="I129" s="815"/>
      <c r="J129" s="815"/>
      <c r="K129" s="815"/>
      <c r="L129" s="815"/>
      <c r="M129" s="815"/>
      <c r="N129" s="815">
        <f t="shared" si="37"/>
        <v>0</v>
      </c>
      <c r="O129" s="815">
        <f t="shared" si="38"/>
        <v>0</v>
      </c>
      <c r="P129" s="815">
        <f t="shared" si="39"/>
        <v>0</v>
      </c>
      <c r="Q129" s="815">
        <f t="shared" si="40"/>
        <v>0</v>
      </c>
      <c r="R129" s="815">
        <f t="shared" si="41"/>
        <v>0</v>
      </c>
      <c r="S129" s="815">
        <f t="shared" si="42"/>
        <v>0</v>
      </c>
      <c r="T129" s="815">
        <f t="shared" si="43"/>
        <v>0</v>
      </c>
      <c r="U129" s="815">
        <f t="shared" si="44"/>
        <v>0</v>
      </c>
      <c r="V129" s="815">
        <f t="shared" si="45"/>
        <v>0</v>
      </c>
      <c r="W129" s="815"/>
      <c r="X129" s="815"/>
      <c r="Y129" s="815"/>
      <c r="Z129" s="815"/>
      <c r="AA129" s="830">
        <f t="shared" si="46"/>
        <v>0</v>
      </c>
      <c r="AB129" s="830">
        <f>VLOOKUP(C129,'[3]MỦ TẠP'!$D$10:$AM$450,36,0)</f>
        <v>0</v>
      </c>
      <c r="AC129" s="830"/>
      <c r="AD129" s="830"/>
      <c r="AE129" s="830">
        <f>VLOOKUP(C129,'[3]MỦ TẠP'!$D$10:$AM$450,36,0)</f>
        <v>0</v>
      </c>
      <c r="AF129" s="830"/>
      <c r="AG129" s="830"/>
      <c r="AH129" s="830">
        <f t="shared" si="47"/>
        <v>0</v>
      </c>
      <c r="AI129" s="830">
        <f>VLOOKUP(C129,'[3]CHẤM CÔNG '!$F$10:$AM$451,33,0)</f>
        <v>0</v>
      </c>
      <c r="AJ129" s="830">
        <f>VLOOKUP(C129,'[3]CHẤM CÔNG '!$F$10:$AM$451,34,0)</f>
        <v>0</v>
      </c>
      <c r="AK129" s="830"/>
      <c r="AL129" s="830"/>
      <c r="AM129" s="830"/>
      <c r="AN129" s="830">
        <f>VLOOKUP(C129,'[3]CHẤM CÔNG '!$F$10:$AN$451,35,0)</f>
        <v>0</v>
      </c>
      <c r="AO129" s="830">
        <f>VLOOKUP(C129,'[3]CHẤM CÔNG '!$F$10:$AR$451,36,0)</f>
        <v>0</v>
      </c>
      <c r="AP129" s="830"/>
      <c r="AQ129" s="830"/>
      <c r="AR129" s="830"/>
      <c r="AS129" s="836"/>
      <c r="AT129" s="837">
        <f>VLOOKUP(C129,'[3]MỦ TẠP'!$D$10:$AO$450,38,0)</f>
        <v>0</v>
      </c>
      <c r="AZ129" s="799">
        <v>3</v>
      </c>
    </row>
    <row r="130" spans="1:52" ht="15.75">
      <c r="A130" s="812">
        <v>16</v>
      </c>
      <c r="B130" s="813" t="str">
        <f>VLOOKUP(C130,'[3]DS CN MOI UP'!$B$10:$C$489,2,0)</f>
        <v>02451</v>
      </c>
      <c r="C130" s="845" t="s">
        <v>60</v>
      </c>
      <c r="D130" s="812" t="s">
        <v>15</v>
      </c>
      <c r="E130" s="815"/>
      <c r="F130" s="815"/>
      <c r="G130" s="815"/>
      <c r="H130" s="815"/>
      <c r="I130" s="815"/>
      <c r="J130" s="815"/>
      <c r="K130" s="815"/>
      <c r="L130" s="815"/>
      <c r="M130" s="815"/>
      <c r="N130" s="815">
        <f t="shared" si="37"/>
        <v>0</v>
      </c>
      <c r="O130" s="815">
        <f t="shared" si="38"/>
        <v>0</v>
      </c>
      <c r="P130" s="815">
        <f t="shared" si="39"/>
        <v>0</v>
      </c>
      <c r="Q130" s="815">
        <f t="shared" si="40"/>
        <v>0</v>
      </c>
      <c r="R130" s="815">
        <f t="shared" si="41"/>
        <v>0</v>
      </c>
      <c r="S130" s="815">
        <f t="shared" si="42"/>
        <v>0</v>
      </c>
      <c r="T130" s="815">
        <f t="shared" si="43"/>
        <v>0</v>
      </c>
      <c r="U130" s="815">
        <f t="shared" si="44"/>
        <v>0</v>
      </c>
      <c r="V130" s="815">
        <f t="shared" si="45"/>
        <v>0</v>
      </c>
      <c r="W130" s="815"/>
      <c r="X130" s="815"/>
      <c r="Y130" s="815"/>
      <c r="Z130" s="815"/>
      <c r="AA130" s="830">
        <f t="shared" si="46"/>
        <v>0</v>
      </c>
      <c r="AB130" s="830">
        <f>VLOOKUP(C130,'[3]MỦ TẠP'!$D$10:$AM$450,36,0)</f>
        <v>0</v>
      </c>
      <c r="AC130" s="830"/>
      <c r="AD130" s="830"/>
      <c r="AE130" s="830">
        <f>VLOOKUP(C130,'[3]MỦ TẠP'!$D$10:$AM$450,36,0)</f>
        <v>0</v>
      </c>
      <c r="AF130" s="830"/>
      <c r="AG130" s="830"/>
      <c r="AH130" s="830">
        <f t="shared" si="47"/>
        <v>0</v>
      </c>
      <c r="AI130" s="830">
        <f>VLOOKUP(C130,'[3]CHẤM CÔNG '!$F$10:$AM$451,33,0)</f>
        <v>0</v>
      </c>
      <c r="AJ130" s="830">
        <f>VLOOKUP(C130,'[3]CHẤM CÔNG '!$F$10:$AM$451,34,0)</f>
        <v>0</v>
      </c>
      <c r="AK130" s="830"/>
      <c r="AL130" s="830"/>
      <c r="AM130" s="830"/>
      <c r="AN130" s="830">
        <f>VLOOKUP(C130,'[3]CHẤM CÔNG '!$F$10:$AN$451,35,0)</f>
        <v>0</v>
      </c>
      <c r="AO130" s="830">
        <f>VLOOKUP(C130,'[3]CHẤM CÔNG '!$F$10:$AR$451,36,0)</f>
        <v>0</v>
      </c>
      <c r="AP130" s="830"/>
      <c r="AQ130" s="830"/>
      <c r="AR130" s="830"/>
      <c r="AS130" s="836"/>
      <c r="AT130" s="837">
        <f>VLOOKUP(C130,'[3]MỦ TẠP'!$D$10:$AO$450,38,0)</f>
        <v>0</v>
      </c>
      <c r="AX130" s="799">
        <v>2</v>
      </c>
      <c r="AZ130" s="799">
        <v>1</v>
      </c>
    </row>
    <row r="131" spans="1:52" ht="15.75">
      <c r="A131" s="812">
        <v>17</v>
      </c>
      <c r="B131" s="813" t="e">
        <f>VLOOKUP(C131,'[3]DS CN MOI UP'!$B$10:$C$489,2,0)</f>
        <v>#N/A</v>
      </c>
      <c r="C131" s="845" t="s">
        <v>1995</v>
      </c>
      <c r="D131" s="812" t="s">
        <v>15</v>
      </c>
      <c r="E131" s="815"/>
      <c r="F131" s="815"/>
      <c r="G131" s="815"/>
      <c r="H131" s="815"/>
      <c r="I131" s="815"/>
      <c r="J131" s="815"/>
      <c r="K131" s="815"/>
      <c r="L131" s="815"/>
      <c r="M131" s="815"/>
      <c r="N131" s="815">
        <f t="shared" si="37"/>
        <v>0</v>
      </c>
      <c r="O131" s="815">
        <f t="shared" si="38"/>
        <v>0</v>
      </c>
      <c r="P131" s="815">
        <f t="shared" si="39"/>
        <v>0</v>
      </c>
      <c r="Q131" s="815">
        <f t="shared" si="40"/>
        <v>0</v>
      </c>
      <c r="R131" s="815">
        <f t="shared" si="41"/>
        <v>0</v>
      </c>
      <c r="S131" s="815">
        <f t="shared" si="42"/>
        <v>0</v>
      </c>
      <c r="T131" s="815">
        <f t="shared" si="43"/>
        <v>0</v>
      </c>
      <c r="U131" s="815">
        <f t="shared" si="44"/>
        <v>0</v>
      </c>
      <c r="V131" s="815">
        <f t="shared" si="45"/>
        <v>0</v>
      </c>
      <c r="W131" s="815"/>
      <c r="X131" s="815"/>
      <c r="Y131" s="815"/>
      <c r="Z131" s="815"/>
      <c r="AA131" s="830">
        <f t="shared" si="46"/>
        <v>0</v>
      </c>
      <c r="AB131" s="830">
        <f>VLOOKUP(C131,'[3]MỦ TẠP'!$D$10:$AM$450,36,0)</f>
        <v>0</v>
      </c>
      <c r="AC131" s="830"/>
      <c r="AD131" s="830"/>
      <c r="AE131" s="830">
        <f>VLOOKUP(C131,'[3]MỦ TẠP'!$D$10:$AM$450,36,0)</f>
        <v>0</v>
      </c>
      <c r="AF131" s="830"/>
      <c r="AG131" s="830"/>
      <c r="AH131" s="830">
        <f t="shared" si="47"/>
        <v>0</v>
      </c>
      <c r="AI131" s="830">
        <f>VLOOKUP(C131,'[3]CHẤM CÔNG '!$F$10:$AM$451,33,0)</f>
        <v>0</v>
      </c>
      <c r="AJ131" s="830">
        <f>VLOOKUP(C131,'[3]CHẤM CÔNG '!$F$10:$AM$451,34,0)</f>
        <v>0</v>
      </c>
      <c r="AK131" s="830"/>
      <c r="AL131" s="830"/>
      <c r="AM131" s="830"/>
      <c r="AN131" s="830">
        <f>VLOOKUP(C131,'[3]CHẤM CÔNG '!$F$10:$AN$451,35,0)</f>
        <v>0</v>
      </c>
      <c r="AO131" s="830">
        <f>VLOOKUP(C131,'[3]CHẤM CÔNG '!$F$10:$AR$451,36,0)</f>
        <v>0</v>
      </c>
      <c r="AP131" s="830"/>
      <c r="AQ131" s="830"/>
      <c r="AR131" s="830"/>
      <c r="AS131" s="836"/>
      <c r="AT131" s="837">
        <f>VLOOKUP(C131,'[3]MỦ TẠP'!$D$10:$AO$450,38,0)</f>
        <v>0</v>
      </c>
      <c r="AX131" s="799">
        <v>1</v>
      </c>
      <c r="AZ131" s="799">
        <v>2</v>
      </c>
    </row>
    <row r="132" spans="1:52" ht="15.75">
      <c r="A132" s="812">
        <v>18</v>
      </c>
      <c r="B132" s="813" t="str">
        <f>VLOOKUP(C132,'[3]DS CN MOI UP'!$B$10:$C$489,2,0)</f>
        <v>02467</v>
      </c>
      <c r="C132" s="845" t="s">
        <v>52</v>
      </c>
      <c r="D132" s="812" t="s">
        <v>15</v>
      </c>
      <c r="E132" s="815"/>
      <c r="F132" s="815"/>
      <c r="G132" s="815"/>
      <c r="H132" s="815"/>
      <c r="I132" s="815"/>
      <c r="J132" s="815"/>
      <c r="K132" s="815"/>
      <c r="L132" s="815"/>
      <c r="M132" s="815"/>
      <c r="N132" s="815">
        <f t="shared" si="37"/>
        <v>0</v>
      </c>
      <c r="O132" s="815">
        <f t="shared" si="38"/>
        <v>0</v>
      </c>
      <c r="P132" s="815">
        <f t="shared" si="39"/>
        <v>0</v>
      </c>
      <c r="Q132" s="815">
        <f t="shared" si="40"/>
        <v>0</v>
      </c>
      <c r="R132" s="815">
        <f t="shared" si="41"/>
        <v>0</v>
      </c>
      <c r="S132" s="815">
        <f t="shared" si="42"/>
        <v>0</v>
      </c>
      <c r="T132" s="815">
        <f t="shared" si="43"/>
        <v>0</v>
      </c>
      <c r="U132" s="815">
        <f t="shared" si="44"/>
        <v>0</v>
      </c>
      <c r="V132" s="815">
        <f t="shared" si="45"/>
        <v>0</v>
      </c>
      <c r="W132" s="815"/>
      <c r="X132" s="815"/>
      <c r="Y132" s="815"/>
      <c r="Z132" s="815"/>
      <c r="AA132" s="830">
        <f t="shared" si="46"/>
        <v>0</v>
      </c>
      <c r="AB132" s="830">
        <f>VLOOKUP(C132,'[3]MỦ TẠP'!$D$10:$AM$450,36,0)</f>
        <v>0</v>
      </c>
      <c r="AC132" s="830"/>
      <c r="AD132" s="830"/>
      <c r="AE132" s="830">
        <f>VLOOKUP(C132,'[3]MỦ TẠP'!$D$10:$AM$450,36,0)</f>
        <v>0</v>
      </c>
      <c r="AF132" s="830"/>
      <c r="AG132" s="830"/>
      <c r="AH132" s="830">
        <f t="shared" si="47"/>
        <v>0</v>
      </c>
      <c r="AI132" s="830">
        <f>VLOOKUP(C132,'[3]CHẤM CÔNG '!$F$10:$AM$451,33,0)</f>
        <v>0</v>
      </c>
      <c r="AJ132" s="830">
        <f>VLOOKUP(C132,'[3]CHẤM CÔNG '!$F$10:$AM$451,34,0)</f>
        <v>0</v>
      </c>
      <c r="AK132" s="830"/>
      <c r="AL132" s="830"/>
      <c r="AM132" s="830"/>
      <c r="AN132" s="830">
        <f>VLOOKUP(C132,'[3]CHẤM CÔNG '!$F$10:$AN$451,35,0)</f>
        <v>0</v>
      </c>
      <c r="AO132" s="830">
        <f>VLOOKUP(C132,'[3]CHẤM CÔNG '!$F$10:$AR$451,36,0)</f>
        <v>0</v>
      </c>
      <c r="AP132" s="830"/>
      <c r="AQ132" s="830"/>
      <c r="AR132" s="830"/>
      <c r="AS132" s="836"/>
      <c r="AT132" s="837">
        <f>VLOOKUP(C132,'[3]MỦ TẠP'!$D$10:$AO$450,38,0)</f>
        <v>0</v>
      </c>
      <c r="AX132" s="799">
        <v>1</v>
      </c>
      <c r="AZ132" s="799">
        <v>2</v>
      </c>
    </row>
    <row r="133" spans="1:52" ht="15.75">
      <c r="A133" s="812">
        <v>19</v>
      </c>
      <c r="B133" s="813" t="str">
        <f>VLOOKUP(C133,'[3]DS CN MOI UP'!$B$10:$C$489,2,0)</f>
        <v>02494</v>
      </c>
      <c r="C133" s="845" t="s">
        <v>96</v>
      </c>
      <c r="D133" s="812" t="s">
        <v>15</v>
      </c>
      <c r="E133" s="815"/>
      <c r="F133" s="815"/>
      <c r="G133" s="815"/>
      <c r="H133" s="815"/>
      <c r="I133" s="815"/>
      <c r="J133" s="815"/>
      <c r="K133" s="815"/>
      <c r="L133" s="815"/>
      <c r="M133" s="815"/>
      <c r="N133" s="815">
        <f t="shared" si="37"/>
        <v>0</v>
      </c>
      <c r="O133" s="815">
        <f t="shared" si="38"/>
        <v>0</v>
      </c>
      <c r="P133" s="815">
        <f t="shared" si="39"/>
        <v>0</v>
      </c>
      <c r="Q133" s="815">
        <f t="shared" si="40"/>
        <v>0</v>
      </c>
      <c r="R133" s="815">
        <f t="shared" si="41"/>
        <v>0</v>
      </c>
      <c r="S133" s="815">
        <f t="shared" si="42"/>
        <v>0</v>
      </c>
      <c r="T133" s="815">
        <f t="shared" si="43"/>
        <v>0</v>
      </c>
      <c r="U133" s="815">
        <f t="shared" si="44"/>
        <v>0</v>
      </c>
      <c r="V133" s="815">
        <f t="shared" si="45"/>
        <v>0</v>
      </c>
      <c r="W133" s="815"/>
      <c r="X133" s="815"/>
      <c r="Y133" s="815"/>
      <c r="Z133" s="815"/>
      <c r="AA133" s="830">
        <f t="shared" si="46"/>
        <v>0</v>
      </c>
      <c r="AB133" s="830">
        <f>VLOOKUP(C133,'[3]MỦ TẠP'!$D$10:$AM$450,36,0)</f>
        <v>0</v>
      </c>
      <c r="AC133" s="830"/>
      <c r="AD133" s="830"/>
      <c r="AE133" s="830">
        <f>VLOOKUP(C133,'[3]MỦ TẠP'!$D$10:$AM$450,36,0)</f>
        <v>0</v>
      </c>
      <c r="AF133" s="830"/>
      <c r="AG133" s="830"/>
      <c r="AH133" s="830">
        <f t="shared" si="47"/>
        <v>0</v>
      </c>
      <c r="AI133" s="830">
        <f>VLOOKUP(C133,'[3]CHẤM CÔNG '!$F$10:$AM$451,33,0)</f>
        <v>0</v>
      </c>
      <c r="AJ133" s="830">
        <f>VLOOKUP(C133,'[3]CHẤM CÔNG '!$F$10:$AM$451,34,0)</f>
        <v>0</v>
      </c>
      <c r="AK133" s="830"/>
      <c r="AL133" s="830"/>
      <c r="AM133" s="830"/>
      <c r="AN133" s="830">
        <f>VLOOKUP(C133,'[3]CHẤM CÔNG '!$F$10:$AN$451,35,0)</f>
        <v>0</v>
      </c>
      <c r="AO133" s="830">
        <f>VLOOKUP(C133,'[3]CHẤM CÔNG '!$F$10:$AR$451,36,0)</f>
        <v>0</v>
      </c>
      <c r="AP133" s="830"/>
      <c r="AQ133" s="830"/>
      <c r="AR133" s="830"/>
      <c r="AS133" s="836"/>
      <c r="AT133" s="837">
        <f>VLOOKUP(C133,'[3]MỦ TẠP'!$D$10:$AO$450,38,0)</f>
        <v>0</v>
      </c>
      <c r="AX133" s="799">
        <v>1</v>
      </c>
      <c r="AZ133" s="799">
        <v>2</v>
      </c>
    </row>
    <row r="134" spans="1:52" ht="15.75">
      <c r="A134" s="812">
        <v>20</v>
      </c>
      <c r="B134" s="813" t="str">
        <f>VLOOKUP(C134,'[3]DS CN MOI UP'!$B$10:$C$489,2,0)</f>
        <v>02476</v>
      </c>
      <c r="C134" s="845" t="s">
        <v>97</v>
      </c>
      <c r="D134" s="812" t="s">
        <v>15</v>
      </c>
      <c r="E134" s="815"/>
      <c r="F134" s="815"/>
      <c r="G134" s="815"/>
      <c r="H134" s="815"/>
      <c r="I134" s="815"/>
      <c r="J134" s="815"/>
      <c r="K134" s="815"/>
      <c r="L134" s="815"/>
      <c r="M134" s="815"/>
      <c r="N134" s="815">
        <f t="shared" si="37"/>
        <v>0</v>
      </c>
      <c r="O134" s="815">
        <f t="shared" si="38"/>
        <v>0</v>
      </c>
      <c r="P134" s="815">
        <f t="shared" si="39"/>
        <v>0</v>
      </c>
      <c r="Q134" s="815">
        <f t="shared" si="40"/>
        <v>0</v>
      </c>
      <c r="R134" s="815">
        <f t="shared" si="41"/>
        <v>0</v>
      </c>
      <c r="S134" s="815">
        <f t="shared" si="42"/>
        <v>0</v>
      </c>
      <c r="T134" s="815">
        <f t="shared" si="43"/>
        <v>0</v>
      </c>
      <c r="U134" s="815">
        <f t="shared" si="44"/>
        <v>0</v>
      </c>
      <c r="V134" s="815">
        <f t="shared" si="45"/>
        <v>0</v>
      </c>
      <c r="W134" s="815"/>
      <c r="X134" s="815"/>
      <c r="Y134" s="815"/>
      <c r="Z134" s="815"/>
      <c r="AA134" s="830">
        <f t="shared" si="46"/>
        <v>0</v>
      </c>
      <c r="AB134" s="830">
        <f>VLOOKUP(C134,'[3]MỦ TẠP'!$D$10:$AM$450,36,0)</f>
        <v>0</v>
      </c>
      <c r="AC134" s="830"/>
      <c r="AD134" s="830"/>
      <c r="AE134" s="830">
        <f>VLOOKUP(C134,'[3]MỦ TẠP'!$D$10:$AM$450,36,0)</f>
        <v>0</v>
      </c>
      <c r="AF134" s="830"/>
      <c r="AG134" s="830"/>
      <c r="AH134" s="830">
        <f t="shared" si="47"/>
        <v>0</v>
      </c>
      <c r="AI134" s="830">
        <f>VLOOKUP(C134,'[3]CHẤM CÔNG '!$F$10:$AM$451,33,0)</f>
        <v>0</v>
      </c>
      <c r="AJ134" s="830">
        <f>VLOOKUP(C134,'[3]CHẤM CÔNG '!$F$10:$AM$451,34,0)</f>
        <v>0</v>
      </c>
      <c r="AK134" s="830"/>
      <c r="AL134" s="830"/>
      <c r="AM134" s="830"/>
      <c r="AN134" s="830">
        <f>VLOOKUP(C134,'[3]CHẤM CÔNG '!$F$10:$AN$451,35,0)</f>
        <v>0</v>
      </c>
      <c r="AO134" s="830">
        <f>VLOOKUP(C134,'[3]CHẤM CÔNG '!$F$10:$AR$451,36,0)</f>
        <v>0</v>
      </c>
      <c r="AP134" s="830"/>
      <c r="AQ134" s="830"/>
      <c r="AR134" s="830"/>
      <c r="AS134" s="836"/>
      <c r="AT134" s="837">
        <f>VLOOKUP(C134,'[3]MỦ TẠP'!$D$10:$AO$450,38,0)</f>
        <v>0</v>
      </c>
      <c r="AX134" s="799">
        <v>2</v>
      </c>
      <c r="AZ134" s="799">
        <v>1</v>
      </c>
    </row>
    <row r="135" spans="1:52" ht="15.75">
      <c r="A135" s="812">
        <v>21</v>
      </c>
      <c r="B135" s="813" t="str">
        <f>VLOOKUP(C135,'[3]DS CN MOI UP'!$B$10:$C$489,2,0)</f>
        <v>02513</v>
      </c>
      <c r="C135" s="845" t="s">
        <v>42</v>
      </c>
      <c r="D135" s="812" t="s">
        <v>15</v>
      </c>
      <c r="E135" s="815"/>
      <c r="F135" s="815"/>
      <c r="G135" s="815"/>
      <c r="H135" s="815"/>
      <c r="I135" s="815"/>
      <c r="J135" s="815"/>
      <c r="K135" s="815"/>
      <c r="L135" s="815"/>
      <c r="M135" s="815"/>
      <c r="N135" s="815">
        <f t="shared" si="37"/>
        <v>0</v>
      </c>
      <c r="O135" s="815">
        <f t="shared" si="38"/>
        <v>0</v>
      </c>
      <c r="P135" s="815">
        <f t="shared" si="39"/>
        <v>0</v>
      </c>
      <c r="Q135" s="815">
        <f t="shared" si="40"/>
        <v>0</v>
      </c>
      <c r="R135" s="815">
        <f t="shared" si="41"/>
        <v>0</v>
      </c>
      <c r="S135" s="815">
        <f t="shared" si="42"/>
        <v>0</v>
      </c>
      <c r="T135" s="815">
        <f t="shared" si="43"/>
        <v>0</v>
      </c>
      <c r="U135" s="815">
        <f t="shared" si="44"/>
        <v>0</v>
      </c>
      <c r="V135" s="815">
        <f t="shared" si="45"/>
        <v>0</v>
      </c>
      <c r="W135" s="815"/>
      <c r="X135" s="815"/>
      <c r="Y135" s="815"/>
      <c r="Z135" s="815"/>
      <c r="AA135" s="830">
        <f t="shared" si="46"/>
        <v>0</v>
      </c>
      <c r="AB135" s="830">
        <f>VLOOKUP(C135,'[3]MỦ TẠP'!$D$10:$AM$450,36,0)</f>
        <v>0</v>
      </c>
      <c r="AC135" s="830"/>
      <c r="AD135" s="830"/>
      <c r="AE135" s="830">
        <f>VLOOKUP(C135,'[3]MỦ TẠP'!$D$10:$AM$450,36,0)</f>
        <v>0</v>
      </c>
      <c r="AF135" s="830"/>
      <c r="AG135" s="830"/>
      <c r="AH135" s="830">
        <f t="shared" si="47"/>
        <v>0</v>
      </c>
      <c r="AI135" s="830">
        <f>VLOOKUP(C135,'[3]CHẤM CÔNG '!$F$10:$AM$451,33,0)</f>
        <v>0</v>
      </c>
      <c r="AJ135" s="830">
        <f>VLOOKUP(C135,'[3]CHẤM CÔNG '!$F$10:$AM$451,34,0)</f>
        <v>0</v>
      </c>
      <c r="AK135" s="830"/>
      <c r="AL135" s="830"/>
      <c r="AM135" s="830"/>
      <c r="AN135" s="830">
        <f>VLOOKUP(C135,'[3]CHẤM CÔNG '!$F$10:$AN$451,35,0)</f>
        <v>0</v>
      </c>
      <c r="AO135" s="830">
        <f>VLOOKUP(C135,'[3]CHẤM CÔNG '!$F$10:$AR$451,36,0)</f>
        <v>0</v>
      </c>
      <c r="AP135" s="830"/>
      <c r="AQ135" s="830"/>
      <c r="AR135" s="830"/>
      <c r="AS135" s="836"/>
      <c r="AT135" s="837">
        <f>VLOOKUP(C135,'[3]MỦ TẠP'!$D$10:$AO$450,38,0)</f>
        <v>0</v>
      </c>
      <c r="AZ135" s="799">
        <v>3</v>
      </c>
    </row>
    <row r="136" spans="1:52" ht="15.75">
      <c r="A136" s="812">
        <v>22</v>
      </c>
      <c r="B136" s="813" t="str">
        <f>VLOOKUP(C136,'[3]DS CN MOI UP'!$B$10:$C$489,2,0)</f>
        <v>02512</v>
      </c>
      <c r="C136" s="845" t="s">
        <v>54</v>
      </c>
      <c r="D136" s="812" t="s">
        <v>15</v>
      </c>
      <c r="E136" s="815"/>
      <c r="F136" s="815"/>
      <c r="G136" s="815"/>
      <c r="H136" s="815"/>
      <c r="I136" s="815"/>
      <c r="J136" s="815"/>
      <c r="K136" s="815"/>
      <c r="L136" s="815"/>
      <c r="M136" s="815"/>
      <c r="N136" s="815">
        <f t="shared" si="37"/>
        <v>0</v>
      </c>
      <c r="O136" s="815">
        <f t="shared" si="38"/>
        <v>0</v>
      </c>
      <c r="P136" s="815">
        <f t="shared" si="39"/>
        <v>0</v>
      </c>
      <c r="Q136" s="815">
        <f t="shared" si="40"/>
        <v>0</v>
      </c>
      <c r="R136" s="815">
        <f t="shared" si="41"/>
        <v>0</v>
      </c>
      <c r="S136" s="815">
        <f t="shared" si="42"/>
        <v>0</v>
      </c>
      <c r="T136" s="815">
        <f t="shared" si="43"/>
        <v>0</v>
      </c>
      <c r="U136" s="815">
        <f t="shared" si="44"/>
        <v>0</v>
      </c>
      <c r="V136" s="815">
        <f t="shared" si="45"/>
        <v>0</v>
      </c>
      <c r="W136" s="815"/>
      <c r="X136" s="815"/>
      <c r="Y136" s="815"/>
      <c r="Z136" s="815"/>
      <c r="AA136" s="830">
        <f t="shared" si="46"/>
        <v>0</v>
      </c>
      <c r="AB136" s="830">
        <f>VLOOKUP(C136,'[3]MỦ TẠP'!$D$10:$AM$450,36,0)</f>
        <v>0</v>
      </c>
      <c r="AC136" s="830"/>
      <c r="AD136" s="830"/>
      <c r="AE136" s="830">
        <f>VLOOKUP(C136,'[3]MỦ TẠP'!$D$10:$AM$450,36,0)</f>
        <v>0</v>
      </c>
      <c r="AF136" s="830"/>
      <c r="AG136" s="830"/>
      <c r="AH136" s="830">
        <f t="shared" si="47"/>
        <v>0</v>
      </c>
      <c r="AI136" s="830">
        <f>VLOOKUP(C136,'[3]CHẤM CÔNG '!$F$10:$AM$451,33,0)</f>
        <v>0</v>
      </c>
      <c r="AJ136" s="830">
        <f>VLOOKUP(C136,'[3]CHẤM CÔNG '!$F$10:$AM$451,34,0)</f>
        <v>0</v>
      </c>
      <c r="AK136" s="830"/>
      <c r="AL136" s="830"/>
      <c r="AM136" s="830"/>
      <c r="AN136" s="830">
        <f>VLOOKUP(C136,'[3]CHẤM CÔNG '!$F$10:$AN$451,35,0)</f>
        <v>0</v>
      </c>
      <c r="AO136" s="830">
        <f>VLOOKUP(C136,'[3]CHẤM CÔNG '!$F$10:$AR$451,36,0)</f>
        <v>0</v>
      </c>
      <c r="AP136" s="830"/>
      <c r="AQ136" s="830"/>
      <c r="AR136" s="830"/>
      <c r="AS136" s="836"/>
      <c r="AT136" s="837">
        <f>VLOOKUP(C136,'[3]MỦ TẠP'!$D$10:$AO$450,38,0)</f>
        <v>0</v>
      </c>
      <c r="AZ136" s="799">
        <v>3</v>
      </c>
    </row>
    <row r="137" spans="1:52" ht="15.75">
      <c r="A137" s="812">
        <v>23</v>
      </c>
      <c r="B137" s="813" t="str">
        <f>VLOOKUP(C137,'[3]DS CN MOI UP'!$B$10:$C$489,2,0)</f>
        <v>03332</v>
      </c>
      <c r="C137" s="845" t="s">
        <v>1996</v>
      </c>
      <c r="D137" s="812" t="s">
        <v>15</v>
      </c>
      <c r="E137" s="815"/>
      <c r="F137" s="815"/>
      <c r="G137" s="815"/>
      <c r="H137" s="815"/>
      <c r="I137" s="815"/>
      <c r="J137" s="815"/>
      <c r="K137" s="815"/>
      <c r="L137" s="815"/>
      <c r="M137" s="815"/>
      <c r="N137" s="815">
        <f t="shared" si="37"/>
        <v>0</v>
      </c>
      <c r="O137" s="815">
        <f t="shared" si="38"/>
        <v>0</v>
      </c>
      <c r="P137" s="815">
        <f t="shared" si="39"/>
        <v>0</v>
      </c>
      <c r="Q137" s="815">
        <f t="shared" si="40"/>
        <v>0</v>
      </c>
      <c r="R137" s="815">
        <f t="shared" si="41"/>
        <v>0</v>
      </c>
      <c r="S137" s="815">
        <f t="shared" si="42"/>
        <v>0</v>
      </c>
      <c r="T137" s="815">
        <f t="shared" si="43"/>
        <v>0</v>
      </c>
      <c r="U137" s="815">
        <f t="shared" si="44"/>
        <v>0</v>
      </c>
      <c r="V137" s="815">
        <f t="shared" si="45"/>
        <v>0</v>
      </c>
      <c r="W137" s="815"/>
      <c r="X137" s="815"/>
      <c r="Y137" s="815"/>
      <c r="Z137" s="815"/>
      <c r="AA137" s="830">
        <f t="shared" si="46"/>
        <v>0</v>
      </c>
      <c r="AB137" s="830">
        <f>VLOOKUP(C137,'[3]MỦ TẠP'!$D$10:$AM$450,36,0)</f>
        <v>0</v>
      </c>
      <c r="AC137" s="830"/>
      <c r="AD137" s="830"/>
      <c r="AE137" s="830">
        <f>VLOOKUP(C137,'[3]MỦ TẠP'!$D$10:$AM$450,36,0)</f>
        <v>0</v>
      </c>
      <c r="AF137" s="830"/>
      <c r="AG137" s="830"/>
      <c r="AH137" s="830">
        <f t="shared" si="47"/>
        <v>0</v>
      </c>
      <c r="AI137" s="830">
        <f>VLOOKUP(C137,'[3]CHẤM CÔNG '!$F$10:$AM$451,33,0)</f>
        <v>0</v>
      </c>
      <c r="AJ137" s="830">
        <f>VLOOKUP(C137,'[3]CHẤM CÔNG '!$F$10:$AM$451,34,0)</f>
        <v>0</v>
      </c>
      <c r="AK137" s="830"/>
      <c r="AL137" s="830"/>
      <c r="AM137" s="830"/>
      <c r="AN137" s="830">
        <f>VLOOKUP(C137,'[3]CHẤM CÔNG '!$F$10:$AN$451,35,0)</f>
        <v>0</v>
      </c>
      <c r="AO137" s="830">
        <f>VLOOKUP(C137,'[3]CHẤM CÔNG '!$F$10:$AR$451,36,0)</f>
        <v>0</v>
      </c>
      <c r="AP137" s="830"/>
      <c r="AQ137" s="830"/>
      <c r="AR137" s="830"/>
      <c r="AS137" s="836"/>
      <c r="AT137" s="837">
        <f>VLOOKUP(C137,'[3]MỦ TẠP'!$D$10:$AO$450,38,0)</f>
        <v>0</v>
      </c>
      <c r="AX137" s="799">
        <v>2</v>
      </c>
      <c r="AZ137" s="799">
        <v>1</v>
      </c>
    </row>
    <row r="138" spans="1:52" ht="15.75">
      <c r="A138" s="812">
        <v>24</v>
      </c>
      <c r="B138" s="813" t="str">
        <f>VLOOKUP(C138,'[3]DS CN MOI UP'!$B$10:$C$489,2,0)</f>
        <v>02509</v>
      </c>
      <c r="C138" s="845" t="s">
        <v>491</v>
      </c>
      <c r="D138" s="812" t="s">
        <v>15</v>
      </c>
      <c r="E138" s="815"/>
      <c r="F138" s="815"/>
      <c r="G138" s="815"/>
      <c r="H138" s="815"/>
      <c r="I138" s="815"/>
      <c r="J138" s="815"/>
      <c r="K138" s="815"/>
      <c r="L138" s="815"/>
      <c r="M138" s="815"/>
      <c r="N138" s="815">
        <f t="shared" si="37"/>
        <v>0</v>
      </c>
      <c r="O138" s="815">
        <f t="shared" si="38"/>
        <v>0</v>
      </c>
      <c r="P138" s="815">
        <f t="shared" si="39"/>
        <v>0</v>
      </c>
      <c r="Q138" s="815">
        <f t="shared" si="40"/>
        <v>0</v>
      </c>
      <c r="R138" s="815">
        <f t="shared" si="41"/>
        <v>0</v>
      </c>
      <c r="S138" s="815">
        <f t="shared" si="42"/>
        <v>0</v>
      </c>
      <c r="T138" s="815">
        <f t="shared" si="43"/>
        <v>0</v>
      </c>
      <c r="U138" s="815">
        <f t="shared" si="44"/>
        <v>0</v>
      </c>
      <c r="V138" s="815">
        <f t="shared" si="45"/>
        <v>0</v>
      </c>
      <c r="W138" s="815"/>
      <c r="X138" s="815"/>
      <c r="Y138" s="815"/>
      <c r="Z138" s="815"/>
      <c r="AA138" s="830">
        <f t="shared" si="46"/>
        <v>0</v>
      </c>
      <c r="AB138" s="830">
        <f>VLOOKUP(C138,'[3]MỦ TẠP'!$D$10:$AM$450,36,0)</f>
        <v>0</v>
      </c>
      <c r="AC138" s="830"/>
      <c r="AD138" s="830"/>
      <c r="AE138" s="830">
        <f>VLOOKUP(C138,'[3]MỦ TẠP'!$D$10:$AM$450,36,0)</f>
        <v>0</v>
      </c>
      <c r="AF138" s="830"/>
      <c r="AG138" s="830"/>
      <c r="AH138" s="830">
        <f t="shared" si="47"/>
        <v>0</v>
      </c>
      <c r="AI138" s="830">
        <f>VLOOKUP(C138,'[3]CHẤM CÔNG '!$F$10:$AM$451,33,0)</f>
        <v>0</v>
      </c>
      <c r="AJ138" s="830">
        <f>VLOOKUP(C138,'[3]CHẤM CÔNG '!$F$10:$AM$451,34,0)</f>
        <v>0</v>
      </c>
      <c r="AK138" s="830"/>
      <c r="AL138" s="830"/>
      <c r="AM138" s="830"/>
      <c r="AN138" s="830">
        <f>VLOOKUP(C138,'[3]CHẤM CÔNG '!$F$10:$AN$451,35,0)</f>
        <v>0</v>
      </c>
      <c r="AO138" s="830">
        <f>VLOOKUP(C138,'[3]CHẤM CÔNG '!$F$10:$AR$451,36,0)</f>
        <v>0</v>
      </c>
      <c r="AP138" s="830"/>
      <c r="AQ138" s="830"/>
      <c r="AR138" s="830"/>
      <c r="AS138" s="836"/>
      <c r="AT138" s="837">
        <f>VLOOKUP(C138,'[3]MỦ TẠP'!$D$10:$AO$450,38,0)</f>
        <v>0</v>
      </c>
      <c r="AX138" s="799">
        <v>2</v>
      </c>
      <c r="AZ138" s="799">
        <v>1</v>
      </c>
    </row>
    <row r="139" spans="1:52" ht="15.75">
      <c r="A139" s="812">
        <v>25</v>
      </c>
      <c r="B139" s="813" t="str">
        <f>VLOOKUP(C139,'[3]DS CN MOI UP'!$B$10:$C$489,2,0)</f>
        <v>03323</v>
      </c>
      <c r="C139" s="845" t="s">
        <v>24</v>
      </c>
      <c r="D139" s="812" t="s">
        <v>15</v>
      </c>
      <c r="E139" s="815"/>
      <c r="F139" s="815"/>
      <c r="G139" s="815"/>
      <c r="H139" s="815"/>
      <c r="I139" s="815"/>
      <c r="J139" s="815"/>
      <c r="K139" s="815"/>
      <c r="L139" s="815"/>
      <c r="M139" s="815"/>
      <c r="N139" s="815">
        <f t="shared" si="37"/>
        <v>0</v>
      </c>
      <c r="O139" s="815">
        <f t="shared" si="38"/>
        <v>0</v>
      </c>
      <c r="P139" s="815">
        <f t="shared" si="39"/>
        <v>0</v>
      </c>
      <c r="Q139" s="815">
        <f t="shared" si="40"/>
        <v>0</v>
      </c>
      <c r="R139" s="815">
        <f t="shared" si="41"/>
        <v>0</v>
      </c>
      <c r="S139" s="815">
        <f t="shared" si="42"/>
        <v>0</v>
      </c>
      <c r="T139" s="815">
        <f t="shared" si="43"/>
        <v>0</v>
      </c>
      <c r="U139" s="815">
        <f t="shared" si="44"/>
        <v>0</v>
      </c>
      <c r="V139" s="815">
        <f t="shared" si="45"/>
        <v>0</v>
      </c>
      <c r="W139" s="815"/>
      <c r="X139" s="815"/>
      <c r="Y139" s="815"/>
      <c r="Z139" s="815"/>
      <c r="AA139" s="830">
        <f t="shared" si="46"/>
        <v>0</v>
      </c>
      <c r="AB139" s="830">
        <f>VLOOKUP(C139,'[3]MỦ TẠP'!$D$10:$AM$450,36,0)</f>
        <v>0</v>
      </c>
      <c r="AC139" s="830"/>
      <c r="AD139" s="830"/>
      <c r="AE139" s="830">
        <f>VLOOKUP(C139,'[3]MỦ TẠP'!$D$10:$AM$450,36,0)</f>
        <v>0</v>
      </c>
      <c r="AF139" s="830"/>
      <c r="AG139" s="830"/>
      <c r="AH139" s="830">
        <f t="shared" si="47"/>
        <v>0</v>
      </c>
      <c r="AI139" s="830">
        <f>VLOOKUP(C139,'[3]CHẤM CÔNG '!$F$10:$AM$451,33,0)</f>
        <v>0</v>
      </c>
      <c r="AJ139" s="830">
        <f>VLOOKUP(C139,'[3]CHẤM CÔNG '!$F$10:$AM$451,34,0)</f>
        <v>0</v>
      </c>
      <c r="AK139" s="830"/>
      <c r="AL139" s="830"/>
      <c r="AM139" s="830"/>
      <c r="AN139" s="830">
        <f>VLOOKUP(C139,'[3]CHẤM CÔNG '!$F$10:$AN$451,35,0)</f>
        <v>0</v>
      </c>
      <c r="AO139" s="830">
        <f>VLOOKUP(C139,'[3]CHẤM CÔNG '!$F$10:$AR$451,36,0)</f>
        <v>0</v>
      </c>
      <c r="AP139" s="830"/>
      <c r="AQ139" s="830"/>
      <c r="AR139" s="830"/>
      <c r="AS139" s="836"/>
      <c r="AT139" s="837">
        <f>VLOOKUP(C139,'[3]MỦ TẠP'!$D$10:$AO$450,38,0)</f>
        <v>0</v>
      </c>
      <c r="AX139" s="799">
        <v>2</v>
      </c>
      <c r="AZ139" s="799">
        <v>1</v>
      </c>
    </row>
    <row r="140" spans="1:52" ht="15.75">
      <c r="A140" s="812">
        <v>26</v>
      </c>
      <c r="B140" s="813" t="str">
        <f>VLOOKUP(C140,'[3]DS CN MOI UP'!$B$10:$C$489,2,0)</f>
        <v>03337</v>
      </c>
      <c r="C140" s="845" t="s">
        <v>1997</v>
      </c>
      <c r="D140" s="812" t="s">
        <v>15</v>
      </c>
      <c r="E140" s="815"/>
      <c r="F140" s="815"/>
      <c r="G140" s="815"/>
      <c r="H140" s="815"/>
      <c r="I140" s="815"/>
      <c r="J140" s="815"/>
      <c r="K140" s="815"/>
      <c r="L140" s="815"/>
      <c r="M140" s="815"/>
      <c r="N140" s="815">
        <f t="shared" si="37"/>
        <v>0</v>
      </c>
      <c r="O140" s="815">
        <f t="shared" si="38"/>
        <v>0</v>
      </c>
      <c r="P140" s="815">
        <f t="shared" si="39"/>
        <v>0</v>
      </c>
      <c r="Q140" s="815">
        <f t="shared" si="40"/>
        <v>0</v>
      </c>
      <c r="R140" s="815">
        <f t="shared" si="41"/>
        <v>0</v>
      </c>
      <c r="S140" s="815">
        <f t="shared" si="42"/>
        <v>0</v>
      </c>
      <c r="T140" s="815">
        <f t="shared" si="43"/>
        <v>0</v>
      </c>
      <c r="U140" s="815">
        <f t="shared" si="44"/>
        <v>0</v>
      </c>
      <c r="V140" s="815">
        <f t="shared" si="45"/>
        <v>0</v>
      </c>
      <c r="W140" s="815"/>
      <c r="X140" s="815"/>
      <c r="Y140" s="815"/>
      <c r="Z140" s="815"/>
      <c r="AA140" s="830">
        <f t="shared" si="46"/>
        <v>0</v>
      </c>
      <c r="AB140" s="830">
        <f>VLOOKUP(C140,'[3]MỦ TẠP'!$D$10:$AM$450,36,0)</f>
        <v>0</v>
      </c>
      <c r="AC140" s="830"/>
      <c r="AD140" s="830"/>
      <c r="AE140" s="830">
        <f>VLOOKUP(C140,'[3]MỦ TẠP'!$D$10:$AM$450,36,0)</f>
        <v>0</v>
      </c>
      <c r="AF140" s="830"/>
      <c r="AG140" s="830"/>
      <c r="AH140" s="830">
        <f t="shared" si="47"/>
        <v>0</v>
      </c>
      <c r="AI140" s="830">
        <f>VLOOKUP(C140,'[3]CHẤM CÔNG '!$F$10:$AM$451,33,0)</f>
        <v>0</v>
      </c>
      <c r="AJ140" s="830">
        <f>VLOOKUP(C140,'[3]CHẤM CÔNG '!$F$10:$AM$451,34,0)</f>
        <v>0</v>
      </c>
      <c r="AK140" s="830"/>
      <c r="AL140" s="830"/>
      <c r="AM140" s="830"/>
      <c r="AN140" s="830">
        <f>VLOOKUP(C140,'[3]CHẤM CÔNG '!$F$10:$AN$451,35,0)</f>
        <v>0</v>
      </c>
      <c r="AO140" s="830">
        <f>VLOOKUP(C140,'[3]CHẤM CÔNG '!$F$10:$AR$451,36,0)</f>
        <v>0</v>
      </c>
      <c r="AP140" s="830"/>
      <c r="AQ140" s="830"/>
      <c r="AR140" s="830"/>
      <c r="AS140" s="836"/>
      <c r="AT140" s="837">
        <f>VLOOKUP(C140,'[3]MỦ TẠP'!$D$10:$AO$450,38,0)</f>
        <v>0</v>
      </c>
      <c r="AX140" s="799">
        <v>2</v>
      </c>
      <c r="AZ140" s="799">
        <v>1</v>
      </c>
    </row>
    <row r="141" spans="1:52" ht="15.75">
      <c r="A141" s="812">
        <v>27</v>
      </c>
      <c r="B141" s="813" t="str">
        <f>VLOOKUP(C141,'[3]DS CN MOI UP'!$B$10:$C$489,2,0)</f>
        <v>02482</v>
      </c>
      <c r="C141" s="845" t="s">
        <v>83</v>
      </c>
      <c r="D141" s="812" t="s">
        <v>15</v>
      </c>
      <c r="E141" s="815"/>
      <c r="F141" s="815"/>
      <c r="G141" s="815"/>
      <c r="H141" s="815"/>
      <c r="I141" s="815"/>
      <c r="J141" s="815"/>
      <c r="K141" s="815"/>
      <c r="L141" s="815"/>
      <c r="M141" s="815"/>
      <c r="N141" s="815">
        <f t="shared" si="37"/>
        <v>0</v>
      </c>
      <c r="O141" s="815">
        <f t="shared" si="38"/>
        <v>0</v>
      </c>
      <c r="P141" s="815">
        <f t="shared" si="39"/>
        <v>0</v>
      </c>
      <c r="Q141" s="815">
        <f t="shared" si="40"/>
        <v>0</v>
      </c>
      <c r="R141" s="815">
        <f t="shared" si="41"/>
        <v>0</v>
      </c>
      <c r="S141" s="815">
        <f t="shared" si="42"/>
        <v>0</v>
      </c>
      <c r="T141" s="815">
        <f t="shared" si="43"/>
        <v>0</v>
      </c>
      <c r="U141" s="815">
        <f t="shared" si="44"/>
        <v>0</v>
      </c>
      <c r="V141" s="815">
        <f t="shared" si="45"/>
        <v>0</v>
      </c>
      <c r="W141" s="815"/>
      <c r="X141" s="815"/>
      <c r="Y141" s="815"/>
      <c r="Z141" s="815"/>
      <c r="AA141" s="830">
        <f t="shared" si="46"/>
        <v>0</v>
      </c>
      <c r="AB141" s="830">
        <f>VLOOKUP(C141,'[3]MỦ TẠP'!$D$10:$AM$450,36,0)</f>
        <v>0</v>
      </c>
      <c r="AC141" s="830"/>
      <c r="AD141" s="830"/>
      <c r="AE141" s="830">
        <f>VLOOKUP(C141,'[3]MỦ TẠP'!$D$10:$AM$450,36,0)</f>
        <v>0</v>
      </c>
      <c r="AF141" s="830"/>
      <c r="AG141" s="830"/>
      <c r="AH141" s="830">
        <f t="shared" si="47"/>
        <v>0</v>
      </c>
      <c r="AI141" s="830">
        <f>VLOOKUP(C141,'[3]CHẤM CÔNG '!$F$10:$AM$451,33,0)</f>
        <v>0</v>
      </c>
      <c r="AJ141" s="830">
        <f>VLOOKUP(C141,'[3]CHẤM CÔNG '!$F$10:$AM$451,34,0)</f>
        <v>0</v>
      </c>
      <c r="AK141" s="830"/>
      <c r="AL141" s="830"/>
      <c r="AM141" s="830"/>
      <c r="AN141" s="830">
        <f>VLOOKUP(C141,'[3]CHẤM CÔNG '!$F$10:$AN$451,35,0)</f>
        <v>0</v>
      </c>
      <c r="AO141" s="830">
        <f>VLOOKUP(C141,'[3]CHẤM CÔNG '!$F$10:$AR$451,36,0)</f>
        <v>0</v>
      </c>
      <c r="AP141" s="830"/>
      <c r="AQ141" s="830"/>
      <c r="AR141" s="830"/>
      <c r="AS141" s="836"/>
      <c r="AT141" s="837">
        <f>VLOOKUP(C141,'[3]MỦ TẠP'!$D$10:$AO$450,38,0)</f>
        <v>0</v>
      </c>
      <c r="AX141" s="799">
        <v>1</v>
      </c>
      <c r="AZ141" s="799">
        <v>2</v>
      </c>
    </row>
    <row r="142" spans="1:52" ht="15.75">
      <c r="A142" s="812">
        <v>28</v>
      </c>
      <c r="B142" s="813" t="str">
        <f>VLOOKUP(C142,'[3]DS CN MOI UP'!$B$10:$C$489,2,0)</f>
        <v>03322</v>
      </c>
      <c r="C142" s="845" t="s">
        <v>21</v>
      </c>
      <c r="D142" s="812" t="s">
        <v>15</v>
      </c>
      <c r="E142" s="815"/>
      <c r="F142" s="815"/>
      <c r="G142" s="815"/>
      <c r="H142" s="815"/>
      <c r="I142" s="815"/>
      <c r="J142" s="815"/>
      <c r="K142" s="815"/>
      <c r="L142" s="815"/>
      <c r="M142" s="815"/>
      <c r="N142" s="815">
        <f t="shared" si="37"/>
        <v>0</v>
      </c>
      <c r="O142" s="815">
        <f t="shared" si="38"/>
        <v>0</v>
      </c>
      <c r="P142" s="815">
        <f t="shared" si="39"/>
        <v>0</v>
      </c>
      <c r="Q142" s="815">
        <f t="shared" si="40"/>
        <v>0</v>
      </c>
      <c r="R142" s="815">
        <f t="shared" si="41"/>
        <v>0</v>
      </c>
      <c r="S142" s="815">
        <f t="shared" si="42"/>
        <v>0</v>
      </c>
      <c r="T142" s="815">
        <f t="shared" si="43"/>
        <v>0</v>
      </c>
      <c r="U142" s="815">
        <f t="shared" si="44"/>
        <v>0</v>
      </c>
      <c r="V142" s="815">
        <f t="shared" si="45"/>
        <v>0</v>
      </c>
      <c r="W142" s="815"/>
      <c r="X142" s="815"/>
      <c r="Y142" s="815"/>
      <c r="Z142" s="815"/>
      <c r="AA142" s="830">
        <f t="shared" si="46"/>
        <v>0</v>
      </c>
      <c r="AB142" s="830">
        <f>VLOOKUP(C142,'[3]MỦ TẠP'!$D$10:$AM$450,36,0)</f>
        <v>0</v>
      </c>
      <c r="AC142" s="830"/>
      <c r="AD142" s="830"/>
      <c r="AE142" s="830">
        <f>VLOOKUP(C142,'[3]MỦ TẠP'!$D$10:$AM$450,36,0)</f>
        <v>0</v>
      </c>
      <c r="AF142" s="830"/>
      <c r="AG142" s="830"/>
      <c r="AH142" s="830">
        <f t="shared" si="47"/>
        <v>0</v>
      </c>
      <c r="AI142" s="830">
        <f>VLOOKUP(C142,'[3]CHẤM CÔNG '!$F$10:$AM$451,33,0)</f>
        <v>0</v>
      </c>
      <c r="AJ142" s="830">
        <f>VLOOKUP(C142,'[3]CHẤM CÔNG '!$F$10:$AM$451,34,0)</f>
        <v>0</v>
      </c>
      <c r="AK142" s="830"/>
      <c r="AL142" s="830"/>
      <c r="AM142" s="830"/>
      <c r="AN142" s="830">
        <f>VLOOKUP(C142,'[3]CHẤM CÔNG '!$F$10:$AN$451,35,0)</f>
        <v>0</v>
      </c>
      <c r="AO142" s="830">
        <f>VLOOKUP(C142,'[3]CHẤM CÔNG '!$F$10:$AR$451,36,0)</f>
        <v>0</v>
      </c>
      <c r="AP142" s="830"/>
      <c r="AQ142" s="830"/>
      <c r="AR142" s="830"/>
      <c r="AS142" s="836"/>
      <c r="AT142" s="837">
        <f>VLOOKUP(C142,'[3]MỦ TẠP'!$D$10:$AO$450,38,0)</f>
        <v>0</v>
      </c>
      <c r="AX142" s="799">
        <v>1</v>
      </c>
      <c r="AZ142" s="799">
        <v>2</v>
      </c>
    </row>
    <row r="143" spans="1:52" ht="15.75">
      <c r="A143" s="812">
        <v>29</v>
      </c>
      <c r="B143" s="813" t="str">
        <f>VLOOKUP(C143,'[3]DS CN MOI UP'!$B$10:$C$489,2,0)</f>
        <v>02483</v>
      </c>
      <c r="C143" s="845" t="s">
        <v>53</v>
      </c>
      <c r="D143" s="812" t="s">
        <v>15</v>
      </c>
      <c r="E143" s="815"/>
      <c r="F143" s="815"/>
      <c r="G143" s="815"/>
      <c r="H143" s="815"/>
      <c r="I143" s="815"/>
      <c r="J143" s="815"/>
      <c r="K143" s="815"/>
      <c r="L143" s="815"/>
      <c r="M143" s="815"/>
      <c r="N143" s="815">
        <f t="shared" si="37"/>
        <v>0</v>
      </c>
      <c r="O143" s="815">
        <f t="shared" si="38"/>
        <v>0</v>
      </c>
      <c r="P143" s="815">
        <f t="shared" si="39"/>
        <v>0</v>
      </c>
      <c r="Q143" s="815">
        <f t="shared" si="40"/>
        <v>0</v>
      </c>
      <c r="R143" s="815">
        <f t="shared" si="41"/>
        <v>0</v>
      </c>
      <c r="S143" s="815">
        <f t="shared" si="42"/>
        <v>0</v>
      </c>
      <c r="T143" s="815">
        <f t="shared" si="43"/>
        <v>0</v>
      </c>
      <c r="U143" s="815">
        <f t="shared" si="44"/>
        <v>0</v>
      </c>
      <c r="V143" s="815">
        <f t="shared" si="45"/>
        <v>0</v>
      </c>
      <c r="W143" s="815"/>
      <c r="X143" s="815"/>
      <c r="Y143" s="815"/>
      <c r="Z143" s="815"/>
      <c r="AA143" s="830">
        <f t="shared" si="46"/>
        <v>0</v>
      </c>
      <c r="AB143" s="830">
        <f>VLOOKUP(C143,'[3]MỦ TẠP'!$D$10:$AM$450,36,0)</f>
        <v>0</v>
      </c>
      <c r="AC143" s="830"/>
      <c r="AD143" s="830"/>
      <c r="AE143" s="830">
        <f>VLOOKUP(C143,'[3]MỦ TẠP'!$D$10:$AM$450,36,0)</f>
        <v>0</v>
      </c>
      <c r="AF143" s="830"/>
      <c r="AG143" s="830"/>
      <c r="AH143" s="830">
        <f t="shared" si="47"/>
        <v>0</v>
      </c>
      <c r="AI143" s="830">
        <f>VLOOKUP(C143,'[3]CHẤM CÔNG '!$F$10:$AM$451,33,0)</f>
        <v>0</v>
      </c>
      <c r="AJ143" s="830">
        <f>VLOOKUP(C143,'[3]CHẤM CÔNG '!$F$10:$AM$451,34,0)</f>
        <v>0</v>
      </c>
      <c r="AK143" s="830"/>
      <c r="AL143" s="830"/>
      <c r="AM143" s="830"/>
      <c r="AN143" s="830">
        <f>VLOOKUP(C143,'[3]CHẤM CÔNG '!$F$10:$AN$451,35,0)</f>
        <v>0</v>
      </c>
      <c r="AO143" s="830">
        <f>VLOOKUP(C143,'[3]CHẤM CÔNG '!$F$10:$AR$451,36,0)</f>
        <v>0</v>
      </c>
      <c r="AP143" s="830"/>
      <c r="AQ143" s="830"/>
      <c r="AR143" s="830"/>
      <c r="AS143" s="836"/>
      <c r="AT143" s="837">
        <f>VLOOKUP(C143,'[3]MỦ TẠP'!$D$10:$AO$450,38,0)</f>
        <v>0</v>
      </c>
      <c r="AX143" s="799">
        <v>2</v>
      </c>
      <c r="AZ143" s="799">
        <v>1</v>
      </c>
    </row>
    <row r="144" spans="1:52" ht="15.75">
      <c r="A144" s="812">
        <v>30</v>
      </c>
      <c r="B144" s="813" t="str">
        <f>VLOOKUP(C144,'[3]DS CN MOI UP'!$B$10:$C$489,2,0)</f>
        <v>02484</v>
      </c>
      <c r="C144" s="845" t="s">
        <v>490</v>
      </c>
      <c r="D144" s="812" t="s">
        <v>15</v>
      </c>
      <c r="E144" s="815"/>
      <c r="F144" s="815"/>
      <c r="G144" s="815"/>
      <c r="H144" s="815"/>
      <c r="I144" s="815"/>
      <c r="J144" s="815"/>
      <c r="K144" s="815"/>
      <c r="L144" s="815"/>
      <c r="M144" s="815"/>
      <c r="N144" s="815">
        <f t="shared" si="37"/>
        <v>0</v>
      </c>
      <c r="O144" s="815">
        <f t="shared" si="38"/>
        <v>0</v>
      </c>
      <c r="P144" s="815">
        <f t="shared" si="39"/>
        <v>0</v>
      </c>
      <c r="Q144" s="815">
        <f t="shared" si="40"/>
        <v>0</v>
      </c>
      <c r="R144" s="815">
        <f t="shared" si="41"/>
        <v>0</v>
      </c>
      <c r="S144" s="815">
        <f t="shared" si="42"/>
        <v>0</v>
      </c>
      <c r="T144" s="815">
        <f t="shared" si="43"/>
        <v>0</v>
      </c>
      <c r="U144" s="815">
        <f t="shared" si="44"/>
        <v>0</v>
      </c>
      <c r="V144" s="815">
        <f t="shared" si="45"/>
        <v>0</v>
      </c>
      <c r="W144" s="815"/>
      <c r="X144" s="815"/>
      <c r="Y144" s="815"/>
      <c r="Z144" s="815"/>
      <c r="AA144" s="830">
        <f t="shared" si="46"/>
        <v>0</v>
      </c>
      <c r="AB144" s="830">
        <f>VLOOKUP(C144,'[3]MỦ TẠP'!$D$10:$AM$450,36,0)</f>
        <v>0</v>
      </c>
      <c r="AC144" s="830"/>
      <c r="AD144" s="830"/>
      <c r="AE144" s="830">
        <f>VLOOKUP(C144,'[3]MỦ TẠP'!$D$10:$AM$450,36,0)</f>
        <v>0</v>
      </c>
      <c r="AF144" s="830"/>
      <c r="AG144" s="830"/>
      <c r="AH144" s="830">
        <f t="shared" si="47"/>
        <v>0</v>
      </c>
      <c r="AI144" s="830">
        <f>VLOOKUP(C144,'[3]CHẤM CÔNG '!$F$10:$AM$451,33,0)</f>
        <v>0</v>
      </c>
      <c r="AJ144" s="830">
        <f>VLOOKUP(C144,'[3]CHẤM CÔNG '!$F$10:$AM$451,34,0)</f>
        <v>0</v>
      </c>
      <c r="AK144" s="830"/>
      <c r="AL144" s="830"/>
      <c r="AM144" s="830"/>
      <c r="AN144" s="830">
        <f>VLOOKUP(C144,'[3]CHẤM CÔNG '!$F$10:$AN$451,35,0)</f>
        <v>0</v>
      </c>
      <c r="AO144" s="830">
        <f>VLOOKUP(C144,'[3]CHẤM CÔNG '!$F$10:$AR$451,36,0)</f>
        <v>0</v>
      </c>
      <c r="AP144" s="830"/>
      <c r="AQ144" s="830"/>
      <c r="AR144" s="830"/>
      <c r="AS144" s="836"/>
      <c r="AT144" s="837">
        <f>VLOOKUP(C144,'[3]MỦ TẠP'!$D$10:$AO$450,38,0)</f>
        <v>0</v>
      </c>
      <c r="AU144" s="801" t="e">
        <f>+AE10*0.4+AF10*0.5+AG10*0.25</f>
        <v>#N/A</v>
      </c>
      <c r="AX144" s="799">
        <v>1</v>
      </c>
      <c r="AZ144" s="799">
        <v>2</v>
      </c>
    </row>
    <row r="145" spans="1:52" ht="15.75">
      <c r="A145" s="812">
        <v>31</v>
      </c>
      <c r="B145" s="813" t="str">
        <f>VLOOKUP(C145,'[3]DS CN MOI UP'!$B$10:$C$489,2,0)</f>
        <v>03341</v>
      </c>
      <c r="C145" s="845" t="s">
        <v>487</v>
      </c>
      <c r="D145" s="812" t="s">
        <v>15</v>
      </c>
      <c r="E145" s="815"/>
      <c r="F145" s="815"/>
      <c r="G145" s="815"/>
      <c r="H145" s="815"/>
      <c r="I145" s="815"/>
      <c r="J145" s="815"/>
      <c r="K145" s="815"/>
      <c r="L145" s="815"/>
      <c r="M145" s="815"/>
      <c r="N145" s="815">
        <f t="shared" si="37"/>
        <v>0</v>
      </c>
      <c r="O145" s="815">
        <f t="shared" si="38"/>
        <v>0</v>
      </c>
      <c r="P145" s="815">
        <f t="shared" si="39"/>
        <v>0</v>
      </c>
      <c r="Q145" s="815">
        <f t="shared" si="40"/>
        <v>0</v>
      </c>
      <c r="R145" s="815">
        <f t="shared" si="41"/>
        <v>0</v>
      </c>
      <c r="S145" s="815">
        <f t="shared" si="42"/>
        <v>0</v>
      </c>
      <c r="T145" s="815">
        <f t="shared" si="43"/>
        <v>0</v>
      </c>
      <c r="U145" s="815">
        <f t="shared" si="44"/>
        <v>0</v>
      </c>
      <c r="V145" s="815">
        <f t="shared" si="45"/>
        <v>0</v>
      </c>
      <c r="W145" s="815"/>
      <c r="X145" s="815"/>
      <c r="Y145" s="815"/>
      <c r="Z145" s="815"/>
      <c r="AA145" s="830">
        <f t="shared" si="46"/>
        <v>0</v>
      </c>
      <c r="AB145" s="830">
        <f>VLOOKUP(C145,'[3]MỦ TẠP'!$D$10:$AM$450,36,0)</f>
        <v>0</v>
      </c>
      <c r="AC145" s="830"/>
      <c r="AD145" s="830"/>
      <c r="AE145" s="830">
        <f>VLOOKUP(C145,'[3]MỦ TẠP'!$D$10:$AM$450,36,0)</f>
        <v>0</v>
      </c>
      <c r="AF145" s="830"/>
      <c r="AG145" s="830"/>
      <c r="AH145" s="830">
        <f t="shared" si="47"/>
        <v>0</v>
      </c>
      <c r="AI145" s="830">
        <f>VLOOKUP(C145,'[3]CHẤM CÔNG '!$F$10:$AM$451,33,0)</f>
        <v>0</v>
      </c>
      <c r="AJ145" s="830">
        <f>VLOOKUP(C145,'[3]CHẤM CÔNG '!$F$10:$AM$451,34,0)</f>
        <v>0</v>
      </c>
      <c r="AK145" s="830"/>
      <c r="AL145" s="830"/>
      <c r="AM145" s="830"/>
      <c r="AN145" s="830">
        <f>VLOOKUP(C145,'[3]CHẤM CÔNG '!$F$10:$AN$451,35,0)</f>
        <v>0</v>
      </c>
      <c r="AO145" s="830">
        <f>VLOOKUP(C145,'[3]CHẤM CÔNG '!$F$10:$AR$451,36,0)</f>
        <v>0</v>
      </c>
      <c r="AP145" s="830"/>
      <c r="AQ145" s="830"/>
      <c r="AR145" s="830"/>
      <c r="AS145" s="836"/>
      <c r="AT145" s="837">
        <f>VLOOKUP(C145,'[3]MỦ TẠP'!$D$10:$AO$450,38,0)</f>
        <v>0</v>
      </c>
      <c r="AX145" s="799">
        <v>2</v>
      </c>
      <c r="AZ145" s="799">
        <v>1</v>
      </c>
    </row>
    <row r="146" spans="1:52" ht="15.75">
      <c r="A146" s="812">
        <v>32</v>
      </c>
      <c r="B146" s="813" t="str">
        <f>VLOOKUP(C146,'[3]DS CN MOI UP'!$B$10:$C$489,2,0)</f>
        <v>02485</v>
      </c>
      <c r="C146" s="845" t="s">
        <v>31</v>
      </c>
      <c r="D146" s="812" t="s">
        <v>15</v>
      </c>
      <c r="E146" s="815"/>
      <c r="F146" s="815"/>
      <c r="G146" s="815"/>
      <c r="H146" s="815"/>
      <c r="I146" s="815"/>
      <c r="J146" s="815"/>
      <c r="K146" s="815"/>
      <c r="L146" s="815"/>
      <c r="M146" s="815"/>
      <c r="N146" s="815">
        <f t="shared" si="37"/>
        <v>0</v>
      </c>
      <c r="O146" s="815">
        <f t="shared" si="38"/>
        <v>0</v>
      </c>
      <c r="P146" s="815">
        <f t="shared" si="39"/>
        <v>0</v>
      </c>
      <c r="Q146" s="815">
        <f t="shared" si="40"/>
        <v>0</v>
      </c>
      <c r="R146" s="815">
        <f t="shared" si="41"/>
        <v>0</v>
      </c>
      <c r="S146" s="815">
        <f t="shared" si="42"/>
        <v>0</v>
      </c>
      <c r="T146" s="815">
        <f t="shared" si="43"/>
        <v>0</v>
      </c>
      <c r="U146" s="815">
        <f t="shared" si="44"/>
        <v>0</v>
      </c>
      <c r="V146" s="815">
        <f t="shared" si="45"/>
        <v>0</v>
      </c>
      <c r="W146" s="815"/>
      <c r="X146" s="815"/>
      <c r="Y146" s="815"/>
      <c r="Z146" s="815"/>
      <c r="AA146" s="830">
        <f t="shared" si="46"/>
        <v>0</v>
      </c>
      <c r="AB146" s="830">
        <f>VLOOKUP(C146,'[3]MỦ TẠP'!$D$10:$AM$450,36,0)</f>
        <v>0</v>
      </c>
      <c r="AC146" s="830"/>
      <c r="AD146" s="830"/>
      <c r="AE146" s="830">
        <f>VLOOKUP(C146,'[3]MỦ TẠP'!$D$10:$AM$450,36,0)</f>
        <v>0</v>
      </c>
      <c r="AF146" s="830"/>
      <c r="AG146" s="830"/>
      <c r="AH146" s="830">
        <f t="shared" si="47"/>
        <v>0</v>
      </c>
      <c r="AI146" s="830">
        <f>VLOOKUP(C146,'[3]CHẤM CÔNG '!$F$10:$AM$451,33,0)</f>
        <v>0</v>
      </c>
      <c r="AJ146" s="830">
        <f>VLOOKUP(C146,'[3]CHẤM CÔNG '!$F$10:$AM$451,34,0)</f>
        <v>0</v>
      </c>
      <c r="AK146" s="830"/>
      <c r="AL146" s="830"/>
      <c r="AM146" s="830"/>
      <c r="AN146" s="830">
        <f>VLOOKUP(C146,'[3]CHẤM CÔNG '!$F$10:$AN$451,35,0)</f>
        <v>0</v>
      </c>
      <c r="AO146" s="830">
        <f>VLOOKUP(C146,'[3]CHẤM CÔNG '!$F$10:$AR$451,36,0)</f>
        <v>0</v>
      </c>
      <c r="AP146" s="830"/>
      <c r="AQ146" s="830"/>
      <c r="AR146" s="830"/>
      <c r="AS146" s="836"/>
      <c r="AT146" s="837">
        <f>VLOOKUP(C146,'[3]MỦ TẠP'!$D$10:$AO$450,38,0)</f>
        <v>0</v>
      </c>
      <c r="AX146" s="799">
        <v>1</v>
      </c>
      <c r="AZ146" s="799">
        <v>2</v>
      </c>
    </row>
    <row r="147" spans="1:52" ht="15.75">
      <c r="A147" s="812">
        <v>33</v>
      </c>
      <c r="B147" s="813" t="str">
        <f>VLOOKUP(C147,'[3]DS CN MOI UP'!$B$10:$C$489,2,0)</f>
        <v>02487</v>
      </c>
      <c r="C147" s="845" t="s">
        <v>32</v>
      </c>
      <c r="D147" s="812" t="s">
        <v>15</v>
      </c>
      <c r="E147" s="815"/>
      <c r="F147" s="815"/>
      <c r="G147" s="815"/>
      <c r="H147" s="815"/>
      <c r="I147" s="815"/>
      <c r="J147" s="815"/>
      <c r="K147" s="815"/>
      <c r="L147" s="815"/>
      <c r="M147" s="815"/>
      <c r="N147" s="815">
        <f t="shared" si="37"/>
        <v>0</v>
      </c>
      <c r="O147" s="815">
        <f t="shared" si="38"/>
        <v>0</v>
      </c>
      <c r="P147" s="815">
        <f t="shared" si="39"/>
        <v>0</v>
      </c>
      <c r="Q147" s="815">
        <f t="shared" si="40"/>
        <v>0</v>
      </c>
      <c r="R147" s="815">
        <f t="shared" si="41"/>
        <v>0</v>
      </c>
      <c r="S147" s="815">
        <f t="shared" si="42"/>
        <v>0</v>
      </c>
      <c r="T147" s="815">
        <f t="shared" si="43"/>
        <v>0</v>
      </c>
      <c r="U147" s="815">
        <f t="shared" si="44"/>
        <v>0</v>
      </c>
      <c r="V147" s="815">
        <f t="shared" si="45"/>
        <v>0</v>
      </c>
      <c r="W147" s="815"/>
      <c r="X147" s="815"/>
      <c r="Y147" s="815"/>
      <c r="Z147" s="815"/>
      <c r="AA147" s="830">
        <f t="shared" si="46"/>
        <v>0</v>
      </c>
      <c r="AB147" s="830">
        <f>VLOOKUP(C147,'[3]MỦ TẠP'!$D$10:$AM$450,36,0)</f>
        <v>0</v>
      </c>
      <c r="AC147" s="830"/>
      <c r="AD147" s="830"/>
      <c r="AE147" s="830">
        <f>VLOOKUP(C147,'[3]MỦ TẠP'!$D$10:$AM$450,36,0)</f>
        <v>0</v>
      </c>
      <c r="AF147" s="830"/>
      <c r="AG147" s="830"/>
      <c r="AH147" s="830">
        <f t="shared" si="47"/>
        <v>0</v>
      </c>
      <c r="AI147" s="830">
        <f>VLOOKUP(C147,'[3]CHẤM CÔNG '!$F$10:$AM$451,33,0)</f>
        <v>0</v>
      </c>
      <c r="AJ147" s="830">
        <f>VLOOKUP(C147,'[3]CHẤM CÔNG '!$F$10:$AM$451,34,0)</f>
        <v>0</v>
      </c>
      <c r="AK147" s="830"/>
      <c r="AL147" s="830"/>
      <c r="AM147" s="830"/>
      <c r="AN147" s="830">
        <f>VLOOKUP(C147,'[3]CHẤM CÔNG '!$F$10:$AN$451,35,0)</f>
        <v>0</v>
      </c>
      <c r="AO147" s="830">
        <f>VLOOKUP(C147,'[3]CHẤM CÔNG '!$F$10:$AR$451,36,0)</f>
        <v>0</v>
      </c>
      <c r="AP147" s="830"/>
      <c r="AQ147" s="830"/>
      <c r="AR147" s="830"/>
      <c r="AS147" s="836"/>
      <c r="AT147" s="837">
        <f>VLOOKUP(C147,'[3]MỦ TẠP'!$D$10:$AO$450,38,0)</f>
        <v>0</v>
      </c>
      <c r="AX147" s="799">
        <v>1</v>
      </c>
      <c r="AZ147" s="799">
        <v>2</v>
      </c>
    </row>
    <row r="148" spans="1:52" ht="15.75">
      <c r="A148" s="812">
        <v>34</v>
      </c>
      <c r="B148" s="813" t="str">
        <f>VLOOKUP(C148,'[3]DS CN MOI UP'!$B$10:$C$489,2,0)</f>
        <v>03319</v>
      </c>
      <c r="C148" s="845" t="s">
        <v>14</v>
      </c>
      <c r="D148" s="812" t="s">
        <v>15</v>
      </c>
      <c r="E148" s="815"/>
      <c r="F148" s="815"/>
      <c r="G148" s="815"/>
      <c r="H148" s="815"/>
      <c r="I148" s="815"/>
      <c r="J148" s="815"/>
      <c r="K148" s="815"/>
      <c r="L148" s="815"/>
      <c r="M148" s="815"/>
      <c r="N148" s="815">
        <f t="shared" si="37"/>
        <v>0</v>
      </c>
      <c r="O148" s="815">
        <f t="shared" si="38"/>
        <v>0</v>
      </c>
      <c r="P148" s="815">
        <f t="shared" si="39"/>
        <v>0</v>
      </c>
      <c r="Q148" s="815">
        <f t="shared" si="40"/>
        <v>0</v>
      </c>
      <c r="R148" s="815">
        <f t="shared" si="41"/>
        <v>0</v>
      </c>
      <c r="S148" s="815">
        <f t="shared" si="42"/>
        <v>0</v>
      </c>
      <c r="T148" s="815">
        <f t="shared" si="43"/>
        <v>0</v>
      </c>
      <c r="U148" s="815">
        <f t="shared" si="44"/>
        <v>0</v>
      </c>
      <c r="V148" s="815">
        <f t="shared" si="45"/>
        <v>0</v>
      </c>
      <c r="W148" s="815"/>
      <c r="X148" s="815"/>
      <c r="Y148" s="815"/>
      <c r="Z148" s="815"/>
      <c r="AA148" s="830">
        <f t="shared" si="46"/>
        <v>0</v>
      </c>
      <c r="AB148" s="830">
        <f>VLOOKUP(C148,'[3]MỦ TẠP'!$D$10:$AM$450,36,0)</f>
        <v>0</v>
      </c>
      <c r="AC148" s="830"/>
      <c r="AD148" s="830"/>
      <c r="AE148" s="830">
        <f>VLOOKUP(C148,'[3]MỦ TẠP'!$D$10:$AM$450,36,0)</f>
        <v>0</v>
      </c>
      <c r="AF148" s="830"/>
      <c r="AG148" s="830"/>
      <c r="AH148" s="830">
        <f t="shared" si="47"/>
        <v>0</v>
      </c>
      <c r="AI148" s="830">
        <f>VLOOKUP(C148,'[3]CHẤM CÔNG '!$F$10:$AM$451,33,0)</f>
        <v>0</v>
      </c>
      <c r="AJ148" s="830">
        <f>VLOOKUP(C148,'[3]CHẤM CÔNG '!$F$10:$AM$451,34,0)</f>
        <v>0</v>
      </c>
      <c r="AK148" s="830"/>
      <c r="AL148" s="830"/>
      <c r="AM148" s="830"/>
      <c r="AN148" s="830">
        <f>VLOOKUP(C148,'[3]CHẤM CÔNG '!$F$10:$AN$451,35,0)</f>
        <v>0</v>
      </c>
      <c r="AO148" s="830">
        <f>VLOOKUP(C148,'[3]CHẤM CÔNG '!$F$10:$AR$451,36,0)</f>
        <v>0</v>
      </c>
      <c r="AP148" s="830"/>
      <c r="AQ148" s="830"/>
      <c r="AR148" s="830"/>
      <c r="AS148" s="836"/>
      <c r="AT148" s="837">
        <f>VLOOKUP(C148,'[3]MỦ TẠP'!$D$10:$AO$450,38,0)</f>
        <v>0</v>
      </c>
      <c r="AX148" s="799">
        <v>2</v>
      </c>
      <c r="AZ148" s="799">
        <v>1</v>
      </c>
    </row>
    <row r="149" spans="1:52" ht="15.75">
      <c r="A149" s="812">
        <v>35</v>
      </c>
      <c r="B149" s="813" t="str">
        <f>VLOOKUP(C149,'[3]DS CN MOI UP'!$B$10:$C$489,2,0)</f>
        <v>02452</v>
      </c>
      <c r="C149" s="845" t="s">
        <v>22</v>
      </c>
      <c r="D149" s="812" t="s">
        <v>15</v>
      </c>
      <c r="E149" s="815"/>
      <c r="F149" s="815"/>
      <c r="G149" s="815"/>
      <c r="H149" s="815"/>
      <c r="I149" s="815"/>
      <c r="J149" s="815"/>
      <c r="K149" s="815"/>
      <c r="L149" s="815"/>
      <c r="M149" s="815"/>
      <c r="N149" s="815">
        <f t="shared" si="37"/>
        <v>0</v>
      </c>
      <c r="O149" s="815">
        <f t="shared" si="38"/>
        <v>0</v>
      </c>
      <c r="P149" s="815">
        <f t="shared" si="39"/>
        <v>0</v>
      </c>
      <c r="Q149" s="815">
        <f t="shared" si="40"/>
        <v>0</v>
      </c>
      <c r="R149" s="815">
        <f t="shared" si="41"/>
        <v>0</v>
      </c>
      <c r="S149" s="815">
        <f t="shared" si="42"/>
        <v>0</v>
      </c>
      <c r="T149" s="815">
        <f t="shared" si="43"/>
        <v>0</v>
      </c>
      <c r="U149" s="815">
        <f t="shared" si="44"/>
        <v>0</v>
      </c>
      <c r="V149" s="815">
        <f t="shared" si="45"/>
        <v>0</v>
      </c>
      <c r="W149" s="815"/>
      <c r="X149" s="815"/>
      <c r="Y149" s="815"/>
      <c r="Z149" s="815"/>
      <c r="AA149" s="830">
        <f t="shared" si="46"/>
        <v>0</v>
      </c>
      <c r="AB149" s="830">
        <f>VLOOKUP(C149,'[3]MỦ TẠP'!$D$10:$AM$450,36,0)</f>
        <v>0</v>
      </c>
      <c r="AC149" s="830"/>
      <c r="AD149" s="830"/>
      <c r="AE149" s="830">
        <f>VLOOKUP(C149,'[3]MỦ TẠP'!$D$10:$AM$450,36,0)</f>
        <v>0</v>
      </c>
      <c r="AF149" s="830"/>
      <c r="AG149" s="830"/>
      <c r="AH149" s="830">
        <f t="shared" si="47"/>
        <v>0</v>
      </c>
      <c r="AI149" s="830">
        <f>VLOOKUP(C149,'[3]CHẤM CÔNG '!$F$10:$AM$451,33,0)</f>
        <v>0</v>
      </c>
      <c r="AJ149" s="830">
        <f>VLOOKUP(C149,'[3]CHẤM CÔNG '!$F$10:$AM$451,34,0)</f>
        <v>0</v>
      </c>
      <c r="AK149" s="830"/>
      <c r="AL149" s="830"/>
      <c r="AM149" s="830"/>
      <c r="AN149" s="830">
        <f>VLOOKUP(C149,'[3]CHẤM CÔNG '!$F$10:$AN$451,35,0)</f>
        <v>0</v>
      </c>
      <c r="AO149" s="830">
        <f>VLOOKUP(C149,'[3]CHẤM CÔNG '!$F$10:$AR$451,36,0)</f>
        <v>0</v>
      </c>
      <c r="AP149" s="830"/>
      <c r="AQ149" s="830"/>
      <c r="AR149" s="830"/>
      <c r="AS149" s="836"/>
      <c r="AT149" s="837">
        <f>VLOOKUP(C149,'[3]MỦ TẠP'!$D$10:$AO$450,38,0)</f>
        <v>0</v>
      </c>
      <c r="AX149" s="799">
        <v>2</v>
      </c>
      <c r="AZ149" s="799">
        <v>1</v>
      </c>
    </row>
    <row r="150" spans="1:52" ht="15.75">
      <c r="A150" s="812">
        <v>36</v>
      </c>
      <c r="B150" s="813" t="str">
        <f>VLOOKUP(C150,'[3]DS CN MOI UP'!$B$10:$C$489,2,0)</f>
        <v>02508</v>
      </c>
      <c r="C150" s="845" t="s">
        <v>23</v>
      </c>
      <c r="D150" s="812" t="s">
        <v>15</v>
      </c>
      <c r="E150" s="815"/>
      <c r="F150" s="815"/>
      <c r="G150" s="815"/>
      <c r="H150" s="815"/>
      <c r="I150" s="815"/>
      <c r="J150" s="815"/>
      <c r="K150" s="815"/>
      <c r="L150" s="815"/>
      <c r="M150" s="815"/>
      <c r="N150" s="815">
        <f t="shared" si="37"/>
        <v>0</v>
      </c>
      <c r="O150" s="815">
        <f t="shared" si="38"/>
        <v>0</v>
      </c>
      <c r="P150" s="815">
        <f t="shared" si="39"/>
        <v>0</v>
      </c>
      <c r="Q150" s="815">
        <f t="shared" si="40"/>
        <v>0</v>
      </c>
      <c r="R150" s="815">
        <f t="shared" si="41"/>
        <v>0</v>
      </c>
      <c r="S150" s="815">
        <f t="shared" si="42"/>
        <v>0</v>
      </c>
      <c r="T150" s="815">
        <f t="shared" si="43"/>
        <v>0</v>
      </c>
      <c r="U150" s="815">
        <f t="shared" si="44"/>
        <v>0</v>
      </c>
      <c r="V150" s="815">
        <f t="shared" si="45"/>
        <v>0</v>
      </c>
      <c r="W150" s="815"/>
      <c r="X150" s="815"/>
      <c r="Y150" s="815"/>
      <c r="Z150" s="815"/>
      <c r="AA150" s="830">
        <f t="shared" si="46"/>
        <v>0</v>
      </c>
      <c r="AB150" s="830">
        <f>VLOOKUP(C150,'[3]MỦ TẠP'!$D$10:$AM$450,36,0)</f>
        <v>0</v>
      </c>
      <c r="AC150" s="830"/>
      <c r="AD150" s="830"/>
      <c r="AE150" s="830">
        <f>VLOOKUP(C150,'[3]MỦ TẠP'!$D$10:$AM$450,36,0)</f>
        <v>0</v>
      </c>
      <c r="AF150" s="830"/>
      <c r="AG150" s="830"/>
      <c r="AH150" s="830">
        <f t="shared" si="47"/>
        <v>0</v>
      </c>
      <c r="AI150" s="830">
        <f>VLOOKUP(C150,'[3]CHẤM CÔNG '!$F$10:$AM$451,33,0)</f>
        <v>0</v>
      </c>
      <c r="AJ150" s="830">
        <f>VLOOKUP(C150,'[3]CHẤM CÔNG '!$F$10:$AM$451,34,0)</f>
        <v>0</v>
      </c>
      <c r="AK150" s="830"/>
      <c r="AL150" s="830"/>
      <c r="AM150" s="830"/>
      <c r="AN150" s="830">
        <f>VLOOKUP(C150,'[3]CHẤM CÔNG '!$F$10:$AN$451,35,0)</f>
        <v>0</v>
      </c>
      <c r="AO150" s="830">
        <f>VLOOKUP(C150,'[3]CHẤM CÔNG '!$F$10:$AR$451,36,0)</f>
        <v>0</v>
      </c>
      <c r="AP150" s="830"/>
      <c r="AQ150" s="830"/>
      <c r="AR150" s="830"/>
      <c r="AS150" s="836"/>
      <c r="AT150" s="837">
        <f>VLOOKUP(C150,'[3]MỦ TẠP'!$D$10:$AO$450,38,0)</f>
        <v>0</v>
      </c>
      <c r="AX150" s="799">
        <v>2</v>
      </c>
      <c r="AZ150" s="799">
        <v>1</v>
      </c>
    </row>
    <row r="151" spans="1:52" ht="15.75">
      <c r="A151" s="812">
        <v>37</v>
      </c>
      <c r="B151" s="813" t="str">
        <f>VLOOKUP(C151,'[3]DS CN MOI UP'!$B$10:$C$489,2,0)</f>
        <v>02679</v>
      </c>
      <c r="C151" s="845" t="s">
        <v>36</v>
      </c>
      <c r="D151" s="812" t="s">
        <v>15</v>
      </c>
      <c r="E151" s="815"/>
      <c r="F151" s="815"/>
      <c r="G151" s="815"/>
      <c r="H151" s="815"/>
      <c r="I151" s="815"/>
      <c r="J151" s="815"/>
      <c r="K151" s="815"/>
      <c r="L151" s="815"/>
      <c r="M151" s="815"/>
      <c r="N151" s="815">
        <f t="shared" si="37"/>
        <v>0</v>
      </c>
      <c r="O151" s="815">
        <f t="shared" si="38"/>
        <v>0</v>
      </c>
      <c r="P151" s="815">
        <f t="shared" si="39"/>
        <v>0</v>
      </c>
      <c r="Q151" s="815">
        <f t="shared" si="40"/>
        <v>0</v>
      </c>
      <c r="R151" s="815">
        <f t="shared" si="41"/>
        <v>0</v>
      </c>
      <c r="S151" s="815">
        <f t="shared" si="42"/>
        <v>0</v>
      </c>
      <c r="T151" s="815">
        <f t="shared" si="43"/>
        <v>0</v>
      </c>
      <c r="U151" s="815">
        <f t="shared" si="44"/>
        <v>0</v>
      </c>
      <c r="V151" s="815">
        <f t="shared" si="45"/>
        <v>0</v>
      </c>
      <c r="W151" s="815"/>
      <c r="X151" s="815"/>
      <c r="Y151" s="815"/>
      <c r="Z151" s="815"/>
      <c r="AA151" s="830">
        <f t="shared" si="46"/>
        <v>0</v>
      </c>
      <c r="AB151" s="830">
        <f>VLOOKUP(C151,'[3]MỦ TẠP'!$D$10:$AM$450,36,0)</f>
        <v>0</v>
      </c>
      <c r="AC151" s="830"/>
      <c r="AD151" s="830"/>
      <c r="AE151" s="830">
        <f>VLOOKUP(C151,'[3]MỦ TẠP'!$D$10:$AM$450,36,0)</f>
        <v>0</v>
      </c>
      <c r="AF151" s="830"/>
      <c r="AG151" s="830"/>
      <c r="AH151" s="830">
        <f t="shared" si="47"/>
        <v>0</v>
      </c>
      <c r="AI151" s="830">
        <f>VLOOKUP(C151,'[3]CHẤM CÔNG '!$F$10:$AM$451,33,0)</f>
        <v>0</v>
      </c>
      <c r="AJ151" s="830">
        <f>VLOOKUP(C151,'[3]CHẤM CÔNG '!$F$10:$AM$451,34,0)</f>
        <v>0</v>
      </c>
      <c r="AK151" s="830"/>
      <c r="AL151" s="830"/>
      <c r="AM151" s="830"/>
      <c r="AN151" s="830">
        <f>VLOOKUP(C151,'[3]CHẤM CÔNG '!$F$10:$AN$451,35,0)</f>
        <v>0</v>
      </c>
      <c r="AO151" s="830">
        <f>VLOOKUP(C151,'[3]CHẤM CÔNG '!$F$10:$AR$451,36,0)</f>
        <v>0</v>
      </c>
      <c r="AP151" s="830"/>
      <c r="AQ151" s="830"/>
      <c r="AR151" s="830"/>
      <c r="AS151" s="836"/>
      <c r="AT151" s="837">
        <f>VLOOKUP(C151,'[3]MỦ TẠP'!$D$10:$AO$450,38,0)</f>
        <v>0</v>
      </c>
      <c r="AZ151" s="799">
        <v>3</v>
      </c>
    </row>
    <row r="152" spans="1:52" ht="15.75">
      <c r="A152" s="812">
        <v>38</v>
      </c>
      <c r="B152" s="813" t="str">
        <f>VLOOKUP(C152,'[3]DS CN MOI UP'!$B$10:$C$489,2,0)</f>
        <v>02457</v>
      </c>
      <c r="C152" s="845" t="s">
        <v>63</v>
      </c>
      <c r="D152" s="812" t="s">
        <v>15</v>
      </c>
      <c r="E152" s="815"/>
      <c r="F152" s="815"/>
      <c r="G152" s="815"/>
      <c r="H152" s="815"/>
      <c r="I152" s="815"/>
      <c r="J152" s="815"/>
      <c r="K152" s="815"/>
      <c r="L152" s="815"/>
      <c r="M152" s="815"/>
      <c r="N152" s="815">
        <f t="shared" si="37"/>
        <v>0</v>
      </c>
      <c r="O152" s="815">
        <f t="shared" si="38"/>
        <v>0</v>
      </c>
      <c r="P152" s="815">
        <f t="shared" si="39"/>
        <v>0</v>
      </c>
      <c r="Q152" s="815">
        <f t="shared" si="40"/>
        <v>0</v>
      </c>
      <c r="R152" s="815">
        <f t="shared" si="41"/>
        <v>0</v>
      </c>
      <c r="S152" s="815">
        <f t="shared" si="42"/>
        <v>0</v>
      </c>
      <c r="T152" s="815">
        <f t="shared" si="43"/>
        <v>0</v>
      </c>
      <c r="U152" s="815">
        <f t="shared" si="44"/>
        <v>0</v>
      </c>
      <c r="V152" s="815">
        <f t="shared" si="45"/>
        <v>0</v>
      </c>
      <c r="W152" s="815"/>
      <c r="X152" s="815"/>
      <c r="Y152" s="815"/>
      <c r="Z152" s="815"/>
      <c r="AA152" s="830">
        <f t="shared" si="46"/>
        <v>0</v>
      </c>
      <c r="AB152" s="830">
        <f>VLOOKUP(C152,'[3]MỦ TẠP'!$D$10:$AM$450,36,0)</f>
        <v>0</v>
      </c>
      <c r="AC152" s="830"/>
      <c r="AD152" s="830"/>
      <c r="AE152" s="830">
        <f>VLOOKUP(C152,'[3]MỦ TẠP'!$D$10:$AM$450,36,0)</f>
        <v>0</v>
      </c>
      <c r="AF152" s="830"/>
      <c r="AG152" s="830"/>
      <c r="AH152" s="830">
        <f t="shared" si="47"/>
        <v>0</v>
      </c>
      <c r="AI152" s="830">
        <f>VLOOKUP(C152,'[3]CHẤM CÔNG '!$F$10:$AM$451,33,0)</f>
        <v>0</v>
      </c>
      <c r="AJ152" s="830">
        <f>VLOOKUP(C152,'[3]CHẤM CÔNG '!$F$10:$AM$451,34,0)</f>
        <v>0</v>
      </c>
      <c r="AK152" s="830"/>
      <c r="AL152" s="830"/>
      <c r="AM152" s="830"/>
      <c r="AN152" s="830">
        <f>VLOOKUP(C152,'[3]CHẤM CÔNG '!$F$10:$AN$451,35,0)</f>
        <v>0</v>
      </c>
      <c r="AO152" s="830">
        <f>VLOOKUP(C152,'[3]CHẤM CÔNG '!$F$10:$AR$451,36,0)</f>
        <v>0</v>
      </c>
      <c r="AP152" s="830"/>
      <c r="AQ152" s="830"/>
      <c r="AR152" s="830"/>
      <c r="AS152" s="836"/>
      <c r="AT152" s="837">
        <f>VLOOKUP(C152,'[3]MỦ TẠP'!$D$10:$AO$450,38,0)</f>
        <v>0</v>
      </c>
      <c r="AX152" s="799">
        <v>1</v>
      </c>
      <c r="AZ152" s="799">
        <v>2</v>
      </c>
    </row>
    <row r="153" spans="1:52" ht="15.75">
      <c r="A153" s="812">
        <v>39</v>
      </c>
      <c r="B153" s="813" t="e">
        <f>VLOOKUP(C153,'[3]DS CN MOI UP'!$B$10:$C$489,2,0)</f>
        <v>#N/A</v>
      </c>
      <c r="C153" s="845" t="s">
        <v>1998</v>
      </c>
      <c r="D153" s="812" t="s">
        <v>15</v>
      </c>
      <c r="E153" s="815"/>
      <c r="F153" s="815"/>
      <c r="G153" s="815"/>
      <c r="H153" s="815"/>
      <c r="I153" s="815"/>
      <c r="J153" s="815"/>
      <c r="K153" s="815"/>
      <c r="L153" s="815"/>
      <c r="M153" s="815"/>
      <c r="N153" s="815">
        <f t="shared" si="37"/>
        <v>0</v>
      </c>
      <c r="O153" s="815">
        <f t="shared" si="38"/>
        <v>0</v>
      </c>
      <c r="P153" s="815">
        <f t="shared" si="39"/>
        <v>0</v>
      </c>
      <c r="Q153" s="815">
        <f t="shared" si="40"/>
        <v>0</v>
      </c>
      <c r="R153" s="815">
        <f t="shared" si="41"/>
        <v>0</v>
      </c>
      <c r="S153" s="815">
        <f t="shared" si="42"/>
        <v>0</v>
      </c>
      <c r="T153" s="815">
        <f t="shared" si="43"/>
        <v>0</v>
      </c>
      <c r="U153" s="815">
        <f t="shared" si="44"/>
        <v>0</v>
      </c>
      <c r="V153" s="815">
        <f t="shared" si="45"/>
        <v>0</v>
      </c>
      <c r="W153" s="815"/>
      <c r="X153" s="815"/>
      <c r="Y153" s="815"/>
      <c r="Z153" s="815"/>
      <c r="AA153" s="830">
        <f t="shared" si="46"/>
        <v>0</v>
      </c>
      <c r="AB153" s="830">
        <f>VLOOKUP(C153,'[3]MỦ TẠP'!$D$10:$AM$450,36,0)</f>
        <v>0</v>
      </c>
      <c r="AC153" s="830"/>
      <c r="AD153" s="830"/>
      <c r="AE153" s="830">
        <f>VLOOKUP(C153,'[3]MỦ TẠP'!$D$10:$AM$450,36,0)</f>
        <v>0</v>
      </c>
      <c r="AF153" s="830"/>
      <c r="AG153" s="830"/>
      <c r="AH153" s="830">
        <f t="shared" si="47"/>
        <v>0</v>
      </c>
      <c r="AI153" s="830">
        <f>VLOOKUP(C153,'[3]CHẤM CÔNG '!$F$10:$AM$451,33,0)</f>
        <v>0</v>
      </c>
      <c r="AJ153" s="830">
        <f>VLOOKUP(C153,'[3]CHẤM CÔNG '!$F$10:$AM$451,34,0)</f>
        <v>0</v>
      </c>
      <c r="AK153" s="830"/>
      <c r="AL153" s="830"/>
      <c r="AM153" s="830"/>
      <c r="AN153" s="830">
        <f>VLOOKUP(C153,'[3]CHẤM CÔNG '!$F$10:$AN$451,35,0)</f>
        <v>0</v>
      </c>
      <c r="AO153" s="830">
        <f>VLOOKUP(C153,'[3]CHẤM CÔNG '!$F$10:$AR$451,36,0)</f>
        <v>0</v>
      </c>
      <c r="AP153" s="830"/>
      <c r="AQ153" s="830"/>
      <c r="AR153" s="830"/>
      <c r="AS153" s="836"/>
      <c r="AT153" s="837">
        <f>VLOOKUP(C153,'[3]MỦ TẠP'!$D$10:$AO$450,38,0)</f>
        <v>0</v>
      </c>
      <c r="AX153" s="799">
        <v>1</v>
      </c>
      <c r="AZ153" s="799">
        <v>2</v>
      </c>
    </row>
    <row r="154" spans="1:52" ht="15.75">
      <c r="A154" s="812">
        <v>40</v>
      </c>
      <c r="B154" s="813" t="str">
        <f>VLOOKUP(C154,'[3]DS CN MOI UP'!$B$10:$C$489,2,0)</f>
        <v>03336</v>
      </c>
      <c r="C154" s="845" t="s">
        <v>81</v>
      </c>
      <c r="D154" s="812" t="s">
        <v>15</v>
      </c>
      <c r="E154" s="815"/>
      <c r="F154" s="815"/>
      <c r="G154" s="815"/>
      <c r="H154" s="815"/>
      <c r="I154" s="815"/>
      <c r="J154" s="815"/>
      <c r="K154" s="815"/>
      <c r="L154" s="815"/>
      <c r="M154" s="815"/>
      <c r="N154" s="815">
        <f t="shared" si="37"/>
        <v>0</v>
      </c>
      <c r="O154" s="815">
        <f t="shared" si="38"/>
        <v>0</v>
      </c>
      <c r="P154" s="815">
        <f t="shared" si="39"/>
        <v>0</v>
      </c>
      <c r="Q154" s="815">
        <f t="shared" si="40"/>
        <v>0</v>
      </c>
      <c r="R154" s="815">
        <f t="shared" si="41"/>
        <v>0</v>
      </c>
      <c r="S154" s="815">
        <f t="shared" si="42"/>
        <v>0</v>
      </c>
      <c r="T154" s="815">
        <f t="shared" si="43"/>
        <v>0</v>
      </c>
      <c r="U154" s="815">
        <f t="shared" si="44"/>
        <v>0</v>
      </c>
      <c r="V154" s="815">
        <f t="shared" si="45"/>
        <v>0</v>
      </c>
      <c r="W154" s="815"/>
      <c r="X154" s="815"/>
      <c r="Y154" s="815"/>
      <c r="Z154" s="815"/>
      <c r="AA154" s="830">
        <f t="shared" si="46"/>
        <v>0</v>
      </c>
      <c r="AB154" s="830">
        <f>VLOOKUP(C154,'[3]MỦ TẠP'!$D$10:$AM$450,36,0)</f>
        <v>0</v>
      </c>
      <c r="AC154" s="830"/>
      <c r="AD154" s="830"/>
      <c r="AE154" s="830">
        <f>VLOOKUP(C154,'[3]MỦ TẠP'!$D$10:$AM$450,36,0)</f>
        <v>0</v>
      </c>
      <c r="AF154" s="830"/>
      <c r="AG154" s="830"/>
      <c r="AH154" s="830">
        <f t="shared" si="47"/>
        <v>0</v>
      </c>
      <c r="AI154" s="830">
        <f>VLOOKUP(C154,'[3]CHẤM CÔNG '!$F$10:$AM$451,33,0)</f>
        <v>0</v>
      </c>
      <c r="AJ154" s="830">
        <f>VLOOKUP(C154,'[3]CHẤM CÔNG '!$F$10:$AM$451,34,0)</f>
        <v>0</v>
      </c>
      <c r="AK154" s="830"/>
      <c r="AL154" s="830"/>
      <c r="AM154" s="830"/>
      <c r="AN154" s="830">
        <f>VLOOKUP(C154,'[3]CHẤM CÔNG '!$F$10:$AN$451,35,0)</f>
        <v>0</v>
      </c>
      <c r="AO154" s="830">
        <f>VLOOKUP(C154,'[3]CHẤM CÔNG '!$F$10:$AR$451,36,0)</f>
        <v>0</v>
      </c>
      <c r="AP154" s="830"/>
      <c r="AQ154" s="830"/>
      <c r="AR154" s="830"/>
      <c r="AS154" s="836"/>
      <c r="AT154" s="837">
        <f>VLOOKUP(C154,'[3]MỦ TẠP'!$D$10:$AO$450,38,0)</f>
        <v>0</v>
      </c>
      <c r="AX154" s="799">
        <v>1</v>
      </c>
      <c r="AZ154" s="799">
        <v>2</v>
      </c>
    </row>
    <row r="155" spans="1:52" ht="15.75">
      <c r="A155" s="812">
        <v>41</v>
      </c>
      <c r="B155" s="813" t="str">
        <f>VLOOKUP(C155,'[3]DS CN MOI UP'!$B$10:$C$489,2,0)</f>
        <v>02682</v>
      </c>
      <c r="C155" s="845" t="s">
        <v>82</v>
      </c>
      <c r="D155" s="812" t="s">
        <v>15</v>
      </c>
      <c r="E155" s="815"/>
      <c r="F155" s="815"/>
      <c r="G155" s="815"/>
      <c r="H155" s="815"/>
      <c r="I155" s="815"/>
      <c r="J155" s="815"/>
      <c r="K155" s="815"/>
      <c r="L155" s="815"/>
      <c r="M155" s="815"/>
      <c r="N155" s="815">
        <f t="shared" si="37"/>
        <v>0</v>
      </c>
      <c r="O155" s="815">
        <f t="shared" si="38"/>
        <v>0</v>
      </c>
      <c r="P155" s="815">
        <f t="shared" si="39"/>
        <v>0</v>
      </c>
      <c r="Q155" s="815">
        <f t="shared" si="40"/>
        <v>0</v>
      </c>
      <c r="R155" s="815">
        <f t="shared" si="41"/>
        <v>0</v>
      </c>
      <c r="S155" s="815">
        <f t="shared" si="42"/>
        <v>0</v>
      </c>
      <c r="T155" s="815">
        <f t="shared" si="43"/>
        <v>0</v>
      </c>
      <c r="U155" s="815">
        <f t="shared" si="44"/>
        <v>0</v>
      </c>
      <c r="V155" s="815">
        <f t="shared" si="45"/>
        <v>0</v>
      </c>
      <c r="W155" s="815"/>
      <c r="X155" s="815"/>
      <c r="Y155" s="815"/>
      <c r="Z155" s="815"/>
      <c r="AA155" s="830">
        <f t="shared" si="46"/>
        <v>0</v>
      </c>
      <c r="AB155" s="830">
        <f>VLOOKUP(C155,'[3]MỦ TẠP'!$D$10:$AM$450,36,0)</f>
        <v>0</v>
      </c>
      <c r="AC155" s="830"/>
      <c r="AD155" s="830"/>
      <c r="AE155" s="830">
        <f>VLOOKUP(C155,'[3]MỦ TẠP'!$D$10:$AM$450,36,0)</f>
        <v>0</v>
      </c>
      <c r="AF155" s="830"/>
      <c r="AG155" s="830"/>
      <c r="AH155" s="830">
        <f t="shared" si="47"/>
        <v>0</v>
      </c>
      <c r="AI155" s="830">
        <f>VLOOKUP(C155,'[3]CHẤM CÔNG '!$F$10:$AM$451,33,0)</f>
        <v>0</v>
      </c>
      <c r="AJ155" s="830">
        <f>VLOOKUP(C155,'[3]CHẤM CÔNG '!$F$10:$AM$451,34,0)</f>
        <v>0</v>
      </c>
      <c r="AK155" s="830"/>
      <c r="AL155" s="830"/>
      <c r="AM155" s="830"/>
      <c r="AN155" s="830">
        <f>VLOOKUP(C155,'[3]CHẤM CÔNG '!$F$10:$AN$451,35,0)</f>
        <v>0</v>
      </c>
      <c r="AO155" s="830">
        <f>VLOOKUP(C155,'[3]CHẤM CÔNG '!$F$10:$AR$451,36,0)</f>
        <v>0</v>
      </c>
      <c r="AP155" s="830"/>
      <c r="AQ155" s="830"/>
      <c r="AR155" s="830"/>
      <c r="AS155" s="836"/>
      <c r="AT155" s="837">
        <f>VLOOKUP(C155,'[3]MỦ TẠP'!$D$10:$AO$450,38,0)</f>
        <v>0</v>
      </c>
      <c r="AX155" s="799">
        <v>2</v>
      </c>
      <c r="AZ155" s="799">
        <v>1</v>
      </c>
    </row>
    <row r="156" spans="1:52" ht="15.75">
      <c r="A156" s="812">
        <v>42</v>
      </c>
      <c r="B156" s="813" t="str">
        <f>VLOOKUP(C156,'[3]DS CN MOI UP'!$B$10:$C$489,2,0)</f>
        <v>02506</v>
      </c>
      <c r="C156" s="845" t="s">
        <v>49</v>
      </c>
      <c r="D156" s="812" t="s">
        <v>15</v>
      </c>
      <c r="E156" s="815"/>
      <c r="F156" s="815"/>
      <c r="G156" s="815"/>
      <c r="H156" s="815"/>
      <c r="I156" s="815"/>
      <c r="J156" s="815"/>
      <c r="K156" s="815"/>
      <c r="L156" s="815"/>
      <c r="M156" s="815"/>
      <c r="N156" s="815">
        <f t="shared" si="37"/>
        <v>0</v>
      </c>
      <c r="O156" s="815">
        <f t="shared" si="38"/>
        <v>0</v>
      </c>
      <c r="P156" s="815">
        <f t="shared" si="39"/>
        <v>0</v>
      </c>
      <c r="Q156" s="815">
        <f t="shared" si="40"/>
        <v>0</v>
      </c>
      <c r="R156" s="815">
        <f t="shared" si="41"/>
        <v>0</v>
      </c>
      <c r="S156" s="815">
        <f t="shared" si="42"/>
        <v>0</v>
      </c>
      <c r="T156" s="815">
        <f t="shared" si="43"/>
        <v>0</v>
      </c>
      <c r="U156" s="815">
        <f t="shared" si="44"/>
        <v>0</v>
      </c>
      <c r="V156" s="815">
        <f t="shared" si="45"/>
        <v>0</v>
      </c>
      <c r="W156" s="815"/>
      <c r="X156" s="815"/>
      <c r="Y156" s="815"/>
      <c r="Z156" s="815"/>
      <c r="AA156" s="830">
        <f t="shared" si="46"/>
        <v>0</v>
      </c>
      <c r="AB156" s="830">
        <f>VLOOKUP(C156,'[3]MỦ TẠP'!$D$10:$AM$450,36,0)</f>
        <v>0</v>
      </c>
      <c r="AC156" s="830"/>
      <c r="AD156" s="830"/>
      <c r="AE156" s="830">
        <f>VLOOKUP(C156,'[3]MỦ TẠP'!$D$10:$AM$450,36,0)</f>
        <v>0</v>
      </c>
      <c r="AF156" s="830"/>
      <c r="AG156" s="830"/>
      <c r="AH156" s="830">
        <f t="shared" si="47"/>
        <v>0</v>
      </c>
      <c r="AI156" s="830">
        <f>VLOOKUP(C156,'[3]CHẤM CÔNG '!$F$10:$AM$451,33,0)</f>
        <v>0</v>
      </c>
      <c r="AJ156" s="830">
        <f>VLOOKUP(C156,'[3]CHẤM CÔNG '!$F$10:$AM$451,34,0)</f>
        <v>0</v>
      </c>
      <c r="AK156" s="830"/>
      <c r="AL156" s="830"/>
      <c r="AM156" s="830"/>
      <c r="AN156" s="830">
        <f>VLOOKUP(C156,'[3]CHẤM CÔNG '!$F$10:$AN$451,35,0)</f>
        <v>0</v>
      </c>
      <c r="AO156" s="830">
        <f>VLOOKUP(C156,'[3]CHẤM CÔNG '!$F$10:$AR$451,36,0)</f>
        <v>0</v>
      </c>
      <c r="AP156" s="830"/>
      <c r="AQ156" s="830"/>
      <c r="AR156" s="830"/>
      <c r="AS156" s="836"/>
      <c r="AT156" s="837">
        <f>VLOOKUP(C156,'[3]MỦ TẠP'!$D$10:$AO$450,38,0)</f>
        <v>0</v>
      </c>
      <c r="AX156" s="799">
        <v>2</v>
      </c>
      <c r="AZ156" s="799">
        <v>1</v>
      </c>
    </row>
    <row r="157" spans="1:52" ht="15.75">
      <c r="A157" s="812">
        <v>43</v>
      </c>
      <c r="B157" s="813" t="str">
        <f>VLOOKUP(C157,'[3]DS CN MOI UP'!$B$10:$C$489,2,0)</f>
        <v>02507</v>
      </c>
      <c r="C157" s="845" t="s">
        <v>50</v>
      </c>
      <c r="D157" s="812" t="s">
        <v>15</v>
      </c>
      <c r="E157" s="815"/>
      <c r="F157" s="815"/>
      <c r="G157" s="815"/>
      <c r="H157" s="815"/>
      <c r="I157" s="815"/>
      <c r="J157" s="815"/>
      <c r="K157" s="815"/>
      <c r="L157" s="815"/>
      <c r="M157" s="815"/>
      <c r="N157" s="815">
        <f t="shared" si="37"/>
        <v>0</v>
      </c>
      <c r="O157" s="815">
        <f t="shared" si="38"/>
        <v>0</v>
      </c>
      <c r="P157" s="815">
        <f t="shared" si="39"/>
        <v>0</v>
      </c>
      <c r="Q157" s="815">
        <f t="shared" si="40"/>
        <v>0</v>
      </c>
      <c r="R157" s="815">
        <f t="shared" si="41"/>
        <v>0</v>
      </c>
      <c r="S157" s="815">
        <f t="shared" si="42"/>
        <v>0</v>
      </c>
      <c r="T157" s="815">
        <f t="shared" si="43"/>
        <v>0</v>
      </c>
      <c r="U157" s="815">
        <f t="shared" si="44"/>
        <v>0</v>
      </c>
      <c r="V157" s="815">
        <f t="shared" si="45"/>
        <v>0</v>
      </c>
      <c r="W157" s="815"/>
      <c r="X157" s="815"/>
      <c r="Y157" s="815"/>
      <c r="Z157" s="815"/>
      <c r="AA157" s="830">
        <f t="shared" si="46"/>
        <v>0</v>
      </c>
      <c r="AB157" s="830">
        <f>VLOOKUP(C157,'[3]MỦ TẠP'!$D$10:$AM$450,36,0)</f>
        <v>0</v>
      </c>
      <c r="AC157" s="830"/>
      <c r="AD157" s="830"/>
      <c r="AE157" s="830">
        <f>VLOOKUP(C157,'[3]MỦ TẠP'!$D$10:$AM$450,36,0)</f>
        <v>0</v>
      </c>
      <c r="AF157" s="830"/>
      <c r="AG157" s="830"/>
      <c r="AH157" s="830">
        <f t="shared" si="47"/>
        <v>0</v>
      </c>
      <c r="AI157" s="830">
        <f>VLOOKUP(C157,'[3]CHẤM CÔNG '!$F$10:$AM$451,33,0)</f>
        <v>0</v>
      </c>
      <c r="AJ157" s="830">
        <f>VLOOKUP(C157,'[3]CHẤM CÔNG '!$F$10:$AM$451,34,0)</f>
        <v>0</v>
      </c>
      <c r="AK157" s="830"/>
      <c r="AL157" s="830"/>
      <c r="AM157" s="830"/>
      <c r="AN157" s="830">
        <f>VLOOKUP(C157,'[3]CHẤM CÔNG '!$F$10:$AN$451,35,0)</f>
        <v>0</v>
      </c>
      <c r="AO157" s="830">
        <f>VLOOKUP(C157,'[3]CHẤM CÔNG '!$F$10:$AR$451,36,0)</f>
        <v>0</v>
      </c>
      <c r="AP157" s="830"/>
      <c r="AQ157" s="830"/>
      <c r="AR157" s="830"/>
      <c r="AS157" s="836"/>
      <c r="AT157" s="837">
        <f>VLOOKUP(C157,'[3]MỦ TẠP'!$D$10:$AO$450,38,0)</f>
        <v>0</v>
      </c>
      <c r="AZ157" s="799">
        <v>3</v>
      </c>
    </row>
    <row r="158" spans="1:52" ht="15.75">
      <c r="A158" s="812">
        <v>44</v>
      </c>
      <c r="B158" s="813" t="str">
        <f>VLOOKUP(C158,'[3]DS CN MOI UP'!$B$10:$C$489,2,0)</f>
        <v>02498</v>
      </c>
      <c r="C158" s="845" t="s">
        <v>68</v>
      </c>
      <c r="D158" s="812" t="s">
        <v>15</v>
      </c>
      <c r="E158" s="815"/>
      <c r="F158" s="815"/>
      <c r="G158" s="815"/>
      <c r="H158" s="815"/>
      <c r="I158" s="815"/>
      <c r="J158" s="815"/>
      <c r="K158" s="815"/>
      <c r="L158" s="815"/>
      <c r="M158" s="815"/>
      <c r="N158" s="815">
        <f t="shared" si="37"/>
        <v>0</v>
      </c>
      <c r="O158" s="815">
        <f t="shared" si="38"/>
        <v>0</v>
      </c>
      <c r="P158" s="815">
        <f t="shared" si="39"/>
        <v>0</v>
      </c>
      <c r="Q158" s="815">
        <f t="shared" si="40"/>
        <v>0</v>
      </c>
      <c r="R158" s="815">
        <f t="shared" si="41"/>
        <v>0</v>
      </c>
      <c r="S158" s="815">
        <f t="shared" si="42"/>
        <v>0</v>
      </c>
      <c r="T158" s="815">
        <f t="shared" si="43"/>
        <v>0</v>
      </c>
      <c r="U158" s="815">
        <f t="shared" si="44"/>
        <v>0</v>
      </c>
      <c r="V158" s="815">
        <f t="shared" si="45"/>
        <v>0</v>
      </c>
      <c r="W158" s="815"/>
      <c r="X158" s="815"/>
      <c r="Y158" s="815"/>
      <c r="Z158" s="815"/>
      <c r="AA158" s="830">
        <f t="shared" si="46"/>
        <v>0</v>
      </c>
      <c r="AB158" s="830">
        <f>VLOOKUP(C158,'[3]MỦ TẠP'!$D$10:$AM$450,36,0)</f>
        <v>0</v>
      </c>
      <c r="AC158" s="830"/>
      <c r="AD158" s="830"/>
      <c r="AE158" s="830">
        <f>VLOOKUP(C158,'[3]MỦ TẠP'!$D$10:$AM$450,36,0)</f>
        <v>0</v>
      </c>
      <c r="AF158" s="830"/>
      <c r="AG158" s="830"/>
      <c r="AH158" s="830">
        <f t="shared" si="47"/>
        <v>0</v>
      </c>
      <c r="AI158" s="830">
        <f>VLOOKUP(C158,'[3]CHẤM CÔNG '!$F$10:$AM$451,33,0)</f>
        <v>0</v>
      </c>
      <c r="AJ158" s="830">
        <f>VLOOKUP(C158,'[3]CHẤM CÔNG '!$F$10:$AM$451,34,0)</f>
        <v>0</v>
      </c>
      <c r="AK158" s="830"/>
      <c r="AL158" s="830"/>
      <c r="AM158" s="830"/>
      <c r="AN158" s="830">
        <f>VLOOKUP(C158,'[3]CHẤM CÔNG '!$F$10:$AN$451,35,0)</f>
        <v>0</v>
      </c>
      <c r="AO158" s="830">
        <f>VLOOKUP(C158,'[3]CHẤM CÔNG '!$F$10:$AR$451,36,0)</f>
        <v>0</v>
      </c>
      <c r="AP158" s="830"/>
      <c r="AQ158" s="830"/>
      <c r="AR158" s="830"/>
      <c r="AS158" s="836"/>
      <c r="AT158" s="837">
        <f>VLOOKUP(C158,'[3]MỦ TẠP'!$D$10:$AO$450,38,0)</f>
        <v>0</v>
      </c>
      <c r="AX158" s="799">
        <v>2</v>
      </c>
      <c r="AZ158" s="799">
        <v>1</v>
      </c>
    </row>
    <row r="159" spans="1:52" ht="15.75">
      <c r="A159" s="812">
        <v>45</v>
      </c>
      <c r="B159" s="813" t="str">
        <f>VLOOKUP(C159,'[3]DS CN MOI UP'!$B$10:$C$489,2,0)</f>
        <v>02685</v>
      </c>
      <c r="C159" s="845" t="s">
        <v>69</v>
      </c>
      <c r="D159" s="812" t="s">
        <v>15</v>
      </c>
      <c r="E159" s="815"/>
      <c r="F159" s="815"/>
      <c r="G159" s="815"/>
      <c r="H159" s="815"/>
      <c r="I159" s="815"/>
      <c r="J159" s="815"/>
      <c r="K159" s="815"/>
      <c r="L159" s="815"/>
      <c r="M159" s="815"/>
      <c r="N159" s="815">
        <f t="shared" si="37"/>
        <v>0</v>
      </c>
      <c r="O159" s="815">
        <f t="shared" si="38"/>
        <v>0</v>
      </c>
      <c r="P159" s="815">
        <f t="shared" si="39"/>
        <v>0</v>
      </c>
      <c r="Q159" s="815">
        <f t="shared" si="40"/>
        <v>0</v>
      </c>
      <c r="R159" s="815">
        <f t="shared" si="41"/>
        <v>0</v>
      </c>
      <c r="S159" s="815">
        <f t="shared" si="42"/>
        <v>0</v>
      </c>
      <c r="T159" s="815">
        <f t="shared" si="43"/>
        <v>0</v>
      </c>
      <c r="U159" s="815">
        <f t="shared" si="44"/>
        <v>0</v>
      </c>
      <c r="V159" s="815">
        <f t="shared" si="45"/>
        <v>0</v>
      </c>
      <c r="W159" s="815"/>
      <c r="X159" s="815"/>
      <c r="Y159" s="815"/>
      <c r="Z159" s="815"/>
      <c r="AA159" s="830">
        <f t="shared" si="46"/>
        <v>0</v>
      </c>
      <c r="AB159" s="830">
        <f>VLOOKUP(C159,'[3]MỦ TẠP'!$D$10:$AM$450,36,0)</f>
        <v>0</v>
      </c>
      <c r="AC159" s="830"/>
      <c r="AD159" s="830"/>
      <c r="AE159" s="830">
        <f>VLOOKUP(C159,'[3]MỦ TẠP'!$D$10:$AM$450,36,0)</f>
        <v>0</v>
      </c>
      <c r="AF159" s="830"/>
      <c r="AG159" s="830"/>
      <c r="AH159" s="830">
        <f t="shared" si="47"/>
        <v>0</v>
      </c>
      <c r="AI159" s="830">
        <f>VLOOKUP(C159,'[3]CHẤM CÔNG '!$F$10:$AM$451,33,0)</f>
        <v>0</v>
      </c>
      <c r="AJ159" s="830">
        <f>VLOOKUP(C159,'[3]CHẤM CÔNG '!$F$10:$AM$451,34,0)</f>
        <v>0</v>
      </c>
      <c r="AK159" s="830"/>
      <c r="AL159" s="830"/>
      <c r="AM159" s="830"/>
      <c r="AN159" s="830">
        <f>VLOOKUP(C159,'[3]CHẤM CÔNG '!$F$10:$AN$451,35,0)</f>
        <v>0</v>
      </c>
      <c r="AO159" s="830">
        <f>VLOOKUP(C159,'[3]CHẤM CÔNG '!$F$10:$AR$451,36,0)</f>
        <v>0</v>
      </c>
      <c r="AP159" s="830"/>
      <c r="AQ159" s="830"/>
      <c r="AR159" s="830"/>
      <c r="AS159" s="836"/>
      <c r="AT159" s="837">
        <f>VLOOKUP(C159,'[3]MỦ TẠP'!$D$10:$AO$450,38,0)</f>
        <v>0</v>
      </c>
      <c r="AX159" s="799">
        <v>2</v>
      </c>
      <c r="AZ159" s="799">
        <v>1</v>
      </c>
    </row>
    <row r="160" spans="1:52" ht="15.75">
      <c r="A160" s="812">
        <v>46</v>
      </c>
      <c r="B160" s="813" t="str">
        <f>VLOOKUP(C160,'[3]DS CN MOI UP'!$B$10:$C$489,2,0)</f>
        <v>02468</v>
      </c>
      <c r="C160" s="845" t="s">
        <v>94</v>
      </c>
      <c r="D160" s="812" t="s">
        <v>15</v>
      </c>
      <c r="E160" s="815"/>
      <c r="F160" s="815"/>
      <c r="G160" s="815"/>
      <c r="H160" s="815"/>
      <c r="I160" s="815"/>
      <c r="J160" s="815"/>
      <c r="K160" s="815"/>
      <c r="L160" s="815"/>
      <c r="M160" s="815"/>
      <c r="N160" s="815">
        <f t="shared" si="37"/>
        <v>0</v>
      </c>
      <c r="O160" s="815">
        <f t="shared" si="38"/>
        <v>0</v>
      </c>
      <c r="P160" s="815">
        <f t="shared" si="39"/>
        <v>0</v>
      </c>
      <c r="Q160" s="815">
        <f t="shared" si="40"/>
        <v>0</v>
      </c>
      <c r="R160" s="815">
        <f t="shared" si="41"/>
        <v>0</v>
      </c>
      <c r="S160" s="815">
        <f t="shared" si="42"/>
        <v>0</v>
      </c>
      <c r="T160" s="815">
        <f t="shared" si="43"/>
        <v>0</v>
      </c>
      <c r="U160" s="815">
        <f t="shared" si="44"/>
        <v>0</v>
      </c>
      <c r="V160" s="815">
        <f t="shared" si="45"/>
        <v>0</v>
      </c>
      <c r="W160" s="815"/>
      <c r="X160" s="815"/>
      <c r="Y160" s="815"/>
      <c r="Z160" s="815"/>
      <c r="AA160" s="830">
        <f t="shared" si="46"/>
        <v>0</v>
      </c>
      <c r="AB160" s="830">
        <f>VLOOKUP(C160,'[3]MỦ TẠP'!$D$10:$AM$450,36,0)</f>
        <v>0</v>
      </c>
      <c r="AC160" s="830"/>
      <c r="AD160" s="830"/>
      <c r="AE160" s="830">
        <f>VLOOKUP(C160,'[3]MỦ TẠP'!$D$10:$AM$450,36,0)</f>
        <v>0</v>
      </c>
      <c r="AF160" s="830"/>
      <c r="AG160" s="830"/>
      <c r="AH160" s="830">
        <f t="shared" si="47"/>
        <v>0</v>
      </c>
      <c r="AI160" s="830">
        <f>VLOOKUP(C160,'[3]CHẤM CÔNG '!$F$10:$AM$451,33,0)</f>
        <v>0</v>
      </c>
      <c r="AJ160" s="830">
        <f>VLOOKUP(C160,'[3]CHẤM CÔNG '!$F$10:$AM$451,34,0)</f>
        <v>0</v>
      </c>
      <c r="AK160" s="830"/>
      <c r="AL160" s="830"/>
      <c r="AM160" s="830"/>
      <c r="AN160" s="830">
        <f>VLOOKUP(C160,'[3]CHẤM CÔNG '!$F$10:$AN$451,35,0)</f>
        <v>0</v>
      </c>
      <c r="AO160" s="830">
        <f>VLOOKUP(C160,'[3]CHẤM CÔNG '!$F$10:$AR$451,36,0)</f>
        <v>0</v>
      </c>
      <c r="AP160" s="830"/>
      <c r="AQ160" s="830"/>
      <c r="AR160" s="830"/>
      <c r="AS160" s="836"/>
      <c r="AT160" s="837">
        <f>VLOOKUP(C160,'[3]MỦ TẠP'!$D$10:$AO$450,38,0)</f>
        <v>0</v>
      </c>
      <c r="AX160" s="799">
        <v>2</v>
      </c>
      <c r="AZ160" s="799">
        <v>1</v>
      </c>
    </row>
    <row r="161" spans="1:52" ht="15.75">
      <c r="A161" s="812">
        <v>47</v>
      </c>
      <c r="B161" s="813" t="str">
        <f>VLOOKUP(C161,'[3]DS CN MOI UP'!$B$10:$C$489,2,0)</f>
        <v>03339</v>
      </c>
      <c r="C161" s="845" t="s">
        <v>95</v>
      </c>
      <c r="D161" s="812" t="s">
        <v>15</v>
      </c>
      <c r="E161" s="815"/>
      <c r="F161" s="815"/>
      <c r="G161" s="815"/>
      <c r="H161" s="815"/>
      <c r="I161" s="815"/>
      <c r="J161" s="815"/>
      <c r="K161" s="815"/>
      <c r="L161" s="815"/>
      <c r="M161" s="815"/>
      <c r="N161" s="815">
        <f t="shared" si="37"/>
        <v>0</v>
      </c>
      <c r="O161" s="815">
        <f t="shared" si="38"/>
        <v>0</v>
      </c>
      <c r="P161" s="815">
        <f t="shared" si="39"/>
        <v>0</v>
      </c>
      <c r="Q161" s="815">
        <f t="shared" si="40"/>
        <v>0</v>
      </c>
      <c r="R161" s="815">
        <f t="shared" si="41"/>
        <v>0</v>
      </c>
      <c r="S161" s="815">
        <f t="shared" si="42"/>
        <v>0</v>
      </c>
      <c r="T161" s="815">
        <f t="shared" si="43"/>
        <v>0</v>
      </c>
      <c r="U161" s="815">
        <f t="shared" si="44"/>
        <v>0</v>
      </c>
      <c r="V161" s="815">
        <f t="shared" si="45"/>
        <v>0</v>
      </c>
      <c r="W161" s="815"/>
      <c r="X161" s="815"/>
      <c r="Y161" s="815"/>
      <c r="Z161" s="815"/>
      <c r="AA161" s="830">
        <f t="shared" si="46"/>
        <v>0</v>
      </c>
      <c r="AB161" s="830">
        <f>VLOOKUP(C161,'[3]MỦ TẠP'!$D$10:$AM$450,36,0)</f>
        <v>0</v>
      </c>
      <c r="AC161" s="830"/>
      <c r="AD161" s="830"/>
      <c r="AE161" s="830">
        <f>VLOOKUP(C161,'[3]MỦ TẠP'!$D$10:$AM$450,36,0)</f>
        <v>0</v>
      </c>
      <c r="AF161" s="830"/>
      <c r="AG161" s="830"/>
      <c r="AH161" s="830">
        <f t="shared" si="47"/>
        <v>0</v>
      </c>
      <c r="AI161" s="830">
        <f>VLOOKUP(C161,'[3]CHẤM CÔNG '!$F$10:$AM$451,33,0)</f>
        <v>0</v>
      </c>
      <c r="AJ161" s="830">
        <f>VLOOKUP(C161,'[3]CHẤM CÔNG '!$F$10:$AM$451,34,0)</f>
        <v>0</v>
      </c>
      <c r="AK161" s="830"/>
      <c r="AL161" s="830"/>
      <c r="AM161" s="830"/>
      <c r="AN161" s="830">
        <f>VLOOKUP(C161,'[3]CHẤM CÔNG '!$F$10:$AN$451,35,0)</f>
        <v>0</v>
      </c>
      <c r="AO161" s="830">
        <f>VLOOKUP(C161,'[3]CHẤM CÔNG '!$F$10:$AR$451,36,0)</f>
        <v>0</v>
      </c>
      <c r="AP161" s="830"/>
      <c r="AQ161" s="830"/>
      <c r="AR161" s="830"/>
      <c r="AS161" s="836"/>
      <c r="AT161" s="837">
        <f>VLOOKUP(C161,'[3]MỦ TẠP'!$D$10:$AO$450,38,0)</f>
        <v>0</v>
      </c>
      <c r="AX161" s="799">
        <v>1</v>
      </c>
      <c r="AZ161" s="799">
        <v>2</v>
      </c>
    </row>
    <row r="162" spans="1:52" ht="15.75">
      <c r="A162" s="812">
        <v>48</v>
      </c>
      <c r="B162" s="813" t="str">
        <f>VLOOKUP(C162,'[3]DS CN MOI UP'!$B$10:$C$489,2,0)</f>
        <v>03320</v>
      </c>
      <c r="C162" s="845" t="s">
        <v>16</v>
      </c>
      <c r="D162" s="812" t="s">
        <v>15</v>
      </c>
      <c r="E162" s="815"/>
      <c r="F162" s="815"/>
      <c r="G162" s="815"/>
      <c r="H162" s="815"/>
      <c r="I162" s="815"/>
      <c r="J162" s="815"/>
      <c r="K162" s="815"/>
      <c r="L162" s="815"/>
      <c r="M162" s="815"/>
      <c r="N162" s="815">
        <f t="shared" si="37"/>
        <v>0</v>
      </c>
      <c r="O162" s="815">
        <f t="shared" si="38"/>
        <v>0</v>
      </c>
      <c r="P162" s="815">
        <f t="shared" si="39"/>
        <v>0</v>
      </c>
      <c r="Q162" s="815">
        <f t="shared" si="40"/>
        <v>0</v>
      </c>
      <c r="R162" s="815">
        <f t="shared" si="41"/>
        <v>0</v>
      </c>
      <c r="S162" s="815">
        <f t="shared" si="42"/>
        <v>0</v>
      </c>
      <c r="T162" s="815">
        <f t="shared" si="43"/>
        <v>0</v>
      </c>
      <c r="U162" s="815">
        <f t="shared" si="44"/>
        <v>0</v>
      </c>
      <c r="V162" s="815">
        <f t="shared" si="45"/>
        <v>0</v>
      </c>
      <c r="W162" s="815"/>
      <c r="X162" s="815"/>
      <c r="Y162" s="815"/>
      <c r="Z162" s="815"/>
      <c r="AA162" s="830">
        <f t="shared" si="46"/>
        <v>0</v>
      </c>
      <c r="AB162" s="830">
        <f>VLOOKUP(C162,'[3]MỦ TẠP'!$D$10:$AM$450,36,0)</f>
        <v>0</v>
      </c>
      <c r="AC162" s="830"/>
      <c r="AD162" s="830"/>
      <c r="AE162" s="830">
        <f>VLOOKUP(C162,'[3]MỦ TẠP'!$D$10:$AM$450,36,0)</f>
        <v>0</v>
      </c>
      <c r="AF162" s="830"/>
      <c r="AG162" s="830"/>
      <c r="AH162" s="830">
        <f t="shared" si="47"/>
        <v>0</v>
      </c>
      <c r="AI162" s="830">
        <f>VLOOKUP(C162,'[3]CHẤM CÔNG '!$F$10:$AM$451,33,0)</f>
        <v>0</v>
      </c>
      <c r="AJ162" s="830">
        <f>VLOOKUP(C162,'[3]CHẤM CÔNG '!$F$10:$AM$451,34,0)</f>
        <v>0</v>
      </c>
      <c r="AK162" s="830"/>
      <c r="AL162" s="830"/>
      <c r="AM162" s="830"/>
      <c r="AN162" s="830">
        <f>VLOOKUP(C162,'[3]CHẤM CÔNG '!$F$10:$AN$451,35,0)</f>
        <v>0</v>
      </c>
      <c r="AO162" s="830">
        <f>VLOOKUP(C162,'[3]CHẤM CÔNG '!$F$10:$AR$451,36,0)</f>
        <v>0</v>
      </c>
      <c r="AP162" s="830"/>
      <c r="AQ162" s="830"/>
      <c r="AR162" s="830"/>
      <c r="AS162" s="836"/>
      <c r="AT162" s="837">
        <f>VLOOKUP(C162,'[3]MỦ TẠP'!$D$10:$AO$450,38,0)</f>
        <v>0</v>
      </c>
      <c r="AX162" s="799">
        <v>1</v>
      </c>
      <c r="AZ162" s="799">
        <v>2</v>
      </c>
    </row>
    <row r="163" spans="1:52" ht="15.75">
      <c r="A163" s="812">
        <v>49</v>
      </c>
      <c r="B163" s="813" t="str">
        <f>VLOOKUP(C163,'[3]DS CN MOI UP'!$B$10:$C$489,2,0)</f>
        <v>02455</v>
      </c>
      <c r="C163" s="845" t="s">
        <v>47</v>
      </c>
      <c r="D163" s="812" t="s">
        <v>15</v>
      </c>
      <c r="E163" s="815"/>
      <c r="F163" s="815"/>
      <c r="G163" s="815"/>
      <c r="H163" s="815"/>
      <c r="I163" s="815"/>
      <c r="J163" s="815"/>
      <c r="K163" s="815"/>
      <c r="L163" s="815"/>
      <c r="M163" s="815"/>
      <c r="N163" s="815">
        <f t="shared" si="37"/>
        <v>0</v>
      </c>
      <c r="O163" s="815">
        <f t="shared" si="38"/>
        <v>0</v>
      </c>
      <c r="P163" s="815">
        <f t="shared" si="39"/>
        <v>0</v>
      </c>
      <c r="Q163" s="815">
        <f t="shared" si="40"/>
        <v>0</v>
      </c>
      <c r="R163" s="815">
        <f t="shared" si="41"/>
        <v>0</v>
      </c>
      <c r="S163" s="815">
        <f t="shared" si="42"/>
        <v>0</v>
      </c>
      <c r="T163" s="815">
        <f t="shared" si="43"/>
        <v>0</v>
      </c>
      <c r="U163" s="815">
        <f t="shared" si="44"/>
        <v>0</v>
      </c>
      <c r="V163" s="815">
        <f t="shared" si="45"/>
        <v>0</v>
      </c>
      <c r="W163" s="815"/>
      <c r="X163" s="815"/>
      <c r="Y163" s="815"/>
      <c r="Z163" s="815"/>
      <c r="AA163" s="830">
        <f t="shared" si="46"/>
        <v>0</v>
      </c>
      <c r="AB163" s="830">
        <f>VLOOKUP(C163,'[3]MỦ TẠP'!$D$10:$AM$450,36,0)</f>
        <v>0</v>
      </c>
      <c r="AC163" s="830"/>
      <c r="AD163" s="830"/>
      <c r="AE163" s="830">
        <f>VLOOKUP(C163,'[3]MỦ TẠP'!$D$10:$AM$450,36,0)</f>
        <v>0</v>
      </c>
      <c r="AF163" s="830"/>
      <c r="AG163" s="830"/>
      <c r="AH163" s="830">
        <f t="shared" si="47"/>
        <v>0</v>
      </c>
      <c r="AI163" s="830">
        <f>VLOOKUP(C163,'[3]CHẤM CÔNG '!$F$10:$AM$451,33,0)</f>
        <v>0</v>
      </c>
      <c r="AJ163" s="830">
        <f>VLOOKUP(C163,'[3]CHẤM CÔNG '!$F$10:$AM$451,34,0)</f>
        <v>0</v>
      </c>
      <c r="AK163" s="830"/>
      <c r="AL163" s="830"/>
      <c r="AM163" s="830"/>
      <c r="AN163" s="830">
        <f>VLOOKUP(C163,'[3]CHẤM CÔNG '!$F$10:$AN$451,35,0)</f>
        <v>0</v>
      </c>
      <c r="AO163" s="830">
        <f>VLOOKUP(C163,'[3]CHẤM CÔNG '!$F$10:$AR$451,36,0)</f>
        <v>0</v>
      </c>
      <c r="AP163" s="830"/>
      <c r="AQ163" s="830"/>
      <c r="AR163" s="830"/>
      <c r="AS163" s="836"/>
      <c r="AT163" s="837">
        <f>VLOOKUP(C163,'[3]MỦ TẠP'!$D$10:$AO$450,38,0)</f>
        <v>0</v>
      </c>
      <c r="AZ163" s="799">
        <v>3</v>
      </c>
    </row>
    <row r="164" spans="1:52" ht="15.75">
      <c r="A164" s="812">
        <v>50</v>
      </c>
      <c r="B164" s="813" t="str">
        <f>VLOOKUP(C164,'[3]DS CN MOI UP'!$B$10:$C$489,2,0)</f>
        <v>02463</v>
      </c>
      <c r="C164" s="845" t="s">
        <v>87</v>
      </c>
      <c r="D164" s="812" t="s">
        <v>15</v>
      </c>
      <c r="E164" s="815"/>
      <c r="F164" s="815"/>
      <c r="G164" s="815"/>
      <c r="H164" s="815"/>
      <c r="I164" s="815"/>
      <c r="J164" s="815"/>
      <c r="K164" s="815"/>
      <c r="L164" s="815"/>
      <c r="M164" s="815"/>
      <c r="N164" s="815">
        <f t="shared" si="37"/>
        <v>0</v>
      </c>
      <c r="O164" s="815">
        <f t="shared" si="38"/>
        <v>0</v>
      </c>
      <c r="P164" s="815">
        <f t="shared" si="39"/>
        <v>0</v>
      </c>
      <c r="Q164" s="815">
        <f t="shared" si="40"/>
        <v>0</v>
      </c>
      <c r="R164" s="815">
        <f t="shared" si="41"/>
        <v>0</v>
      </c>
      <c r="S164" s="815">
        <f t="shared" si="42"/>
        <v>0</v>
      </c>
      <c r="T164" s="815">
        <f t="shared" si="43"/>
        <v>0</v>
      </c>
      <c r="U164" s="815">
        <f t="shared" si="44"/>
        <v>0</v>
      </c>
      <c r="V164" s="815">
        <f t="shared" si="45"/>
        <v>0</v>
      </c>
      <c r="W164" s="815"/>
      <c r="X164" s="815"/>
      <c r="Y164" s="815"/>
      <c r="Z164" s="815"/>
      <c r="AA164" s="830">
        <f t="shared" si="46"/>
        <v>0</v>
      </c>
      <c r="AB164" s="830">
        <f>VLOOKUP(C164,'[3]MỦ TẠP'!$D$10:$AM$450,36,0)</f>
        <v>0</v>
      </c>
      <c r="AC164" s="830"/>
      <c r="AD164" s="830"/>
      <c r="AE164" s="830">
        <f>VLOOKUP(C164,'[3]MỦ TẠP'!$D$10:$AM$450,36,0)</f>
        <v>0</v>
      </c>
      <c r="AF164" s="830"/>
      <c r="AG164" s="830"/>
      <c r="AH164" s="830">
        <f t="shared" si="47"/>
        <v>0</v>
      </c>
      <c r="AI164" s="830">
        <f>VLOOKUP(C164,'[3]CHẤM CÔNG '!$F$10:$AM$451,33,0)</f>
        <v>0</v>
      </c>
      <c r="AJ164" s="830">
        <f>VLOOKUP(C164,'[3]CHẤM CÔNG '!$F$10:$AM$451,34,0)</f>
        <v>0</v>
      </c>
      <c r="AK164" s="830"/>
      <c r="AL164" s="830"/>
      <c r="AM164" s="830"/>
      <c r="AN164" s="830">
        <f>VLOOKUP(C164,'[3]CHẤM CÔNG '!$F$10:$AN$451,35,0)</f>
        <v>0</v>
      </c>
      <c r="AO164" s="830">
        <f>VLOOKUP(C164,'[3]CHẤM CÔNG '!$F$10:$AR$451,36,0)</f>
        <v>0</v>
      </c>
      <c r="AP164" s="830"/>
      <c r="AQ164" s="830"/>
      <c r="AR164" s="830"/>
      <c r="AS164" s="836"/>
      <c r="AT164" s="837">
        <f>VLOOKUP(C164,'[3]MỦ TẠP'!$D$10:$AO$450,38,0)</f>
        <v>0</v>
      </c>
      <c r="AX164" s="799">
        <v>1</v>
      </c>
      <c r="AZ164" s="799">
        <v>2</v>
      </c>
    </row>
    <row r="165" spans="1:52" ht="15.75">
      <c r="A165" s="812">
        <v>51</v>
      </c>
      <c r="B165" s="813" t="str">
        <f>VLOOKUP(C165,'[3]DS CN MOI UP'!$B$10:$C$489,2,0)</f>
        <v>02491</v>
      </c>
      <c r="C165" s="845" t="s">
        <v>62</v>
      </c>
      <c r="D165" s="812" t="s">
        <v>15</v>
      </c>
      <c r="E165" s="815"/>
      <c r="F165" s="815"/>
      <c r="G165" s="815"/>
      <c r="H165" s="815"/>
      <c r="I165" s="815"/>
      <c r="J165" s="815"/>
      <c r="K165" s="815"/>
      <c r="L165" s="815"/>
      <c r="M165" s="815"/>
      <c r="N165" s="815">
        <f t="shared" si="37"/>
        <v>0</v>
      </c>
      <c r="O165" s="815">
        <f t="shared" si="38"/>
        <v>0</v>
      </c>
      <c r="P165" s="815">
        <f t="shared" si="39"/>
        <v>0</v>
      </c>
      <c r="Q165" s="815">
        <f t="shared" si="40"/>
        <v>0</v>
      </c>
      <c r="R165" s="815">
        <f t="shared" si="41"/>
        <v>0</v>
      </c>
      <c r="S165" s="815">
        <f t="shared" si="42"/>
        <v>0</v>
      </c>
      <c r="T165" s="815">
        <f t="shared" si="43"/>
        <v>0</v>
      </c>
      <c r="U165" s="815">
        <f t="shared" si="44"/>
        <v>0</v>
      </c>
      <c r="V165" s="815">
        <f t="shared" si="45"/>
        <v>0</v>
      </c>
      <c r="W165" s="815"/>
      <c r="X165" s="815"/>
      <c r="Y165" s="815"/>
      <c r="Z165" s="815"/>
      <c r="AA165" s="830">
        <f t="shared" si="46"/>
        <v>0</v>
      </c>
      <c r="AB165" s="830">
        <f>VLOOKUP(C165,'[3]MỦ TẠP'!$D$10:$AM$450,36,0)</f>
        <v>0</v>
      </c>
      <c r="AC165" s="830"/>
      <c r="AD165" s="830"/>
      <c r="AE165" s="830">
        <f>VLOOKUP(C165,'[3]MỦ TẠP'!$D$10:$AM$450,36,0)</f>
        <v>0</v>
      </c>
      <c r="AF165" s="830"/>
      <c r="AG165" s="830"/>
      <c r="AH165" s="830">
        <f t="shared" si="47"/>
        <v>0</v>
      </c>
      <c r="AI165" s="830">
        <f>VLOOKUP(C165,'[3]CHẤM CÔNG '!$F$10:$AM$451,33,0)</f>
        <v>0</v>
      </c>
      <c r="AJ165" s="830">
        <f>VLOOKUP(C165,'[3]CHẤM CÔNG '!$F$10:$AM$451,34,0)</f>
        <v>0</v>
      </c>
      <c r="AK165" s="830"/>
      <c r="AL165" s="830"/>
      <c r="AM165" s="830"/>
      <c r="AN165" s="830">
        <f>VLOOKUP(C165,'[3]CHẤM CÔNG '!$F$10:$AN$451,35,0)</f>
        <v>0</v>
      </c>
      <c r="AO165" s="830">
        <f>VLOOKUP(C165,'[3]CHẤM CÔNG '!$F$10:$AR$451,36,0)</f>
        <v>0</v>
      </c>
      <c r="AP165" s="830"/>
      <c r="AQ165" s="830"/>
      <c r="AR165" s="830"/>
      <c r="AS165" s="836"/>
      <c r="AT165" s="837">
        <f>VLOOKUP(C165,'[3]MỦ TẠP'!$D$10:$AO$450,38,0)</f>
        <v>0</v>
      </c>
      <c r="AX165" s="799">
        <v>1</v>
      </c>
      <c r="AZ165" s="799">
        <v>2</v>
      </c>
    </row>
    <row r="166" spans="1:52" ht="15.75">
      <c r="A166" s="812">
        <v>52</v>
      </c>
      <c r="B166" s="813" t="str">
        <f>VLOOKUP(C166,'[3]DS CN MOI UP'!$B$10:$C$489,2,0)</f>
        <v>02478</v>
      </c>
      <c r="C166" s="818" t="s">
        <v>79</v>
      </c>
      <c r="D166" s="812" t="s">
        <v>15</v>
      </c>
      <c r="E166" s="815"/>
      <c r="F166" s="815"/>
      <c r="G166" s="815"/>
      <c r="H166" s="815"/>
      <c r="I166" s="815"/>
      <c r="J166" s="815"/>
      <c r="K166" s="815"/>
      <c r="L166" s="815"/>
      <c r="M166" s="815"/>
      <c r="N166" s="815">
        <f t="shared" si="37"/>
        <v>0</v>
      </c>
      <c r="O166" s="815">
        <f t="shared" si="38"/>
        <v>0</v>
      </c>
      <c r="P166" s="815">
        <f t="shared" si="39"/>
        <v>0</v>
      </c>
      <c r="Q166" s="815">
        <f t="shared" si="40"/>
        <v>0</v>
      </c>
      <c r="R166" s="815">
        <f t="shared" si="41"/>
        <v>0</v>
      </c>
      <c r="S166" s="815">
        <f t="shared" si="42"/>
        <v>0</v>
      </c>
      <c r="T166" s="815">
        <f t="shared" si="43"/>
        <v>0</v>
      </c>
      <c r="U166" s="815">
        <f t="shared" si="44"/>
        <v>0</v>
      </c>
      <c r="V166" s="815">
        <f t="shared" si="45"/>
        <v>0</v>
      </c>
      <c r="W166" s="815"/>
      <c r="X166" s="815"/>
      <c r="Y166" s="815"/>
      <c r="Z166" s="815"/>
      <c r="AA166" s="830">
        <f t="shared" si="46"/>
        <v>0</v>
      </c>
      <c r="AB166" s="830">
        <f>VLOOKUP(C166,'[3]MỦ TẠP'!$D$10:$AM$450,36,0)</f>
        <v>0</v>
      </c>
      <c r="AC166" s="830"/>
      <c r="AD166" s="830"/>
      <c r="AE166" s="830">
        <f>VLOOKUP(C166,'[3]MỦ TẠP'!$D$10:$AM$450,36,0)</f>
        <v>0</v>
      </c>
      <c r="AF166" s="830"/>
      <c r="AG166" s="830"/>
      <c r="AH166" s="830">
        <f t="shared" si="47"/>
        <v>0</v>
      </c>
      <c r="AI166" s="830">
        <f>VLOOKUP(C166,'[3]CHẤM CÔNG '!$F$10:$AM$451,33,0)</f>
        <v>0</v>
      </c>
      <c r="AJ166" s="830">
        <f>VLOOKUP(C166,'[3]CHẤM CÔNG '!$F$10:$AM$451,34,0)</f>
        <v>0</v>
      </c>
      <c r="AK166" s="830"/>
      <c r="AL166" s="830"/>
      <c r="AM166" s="830"/>
      <c r="AN166" s="830">
        <f>VLOOKUP(C166,'[3]CHẤM CÔNG '!$F$10:$AN$451,35,0)</f>
        <v>0</v>
      </c>
      <c r="AO166" s="830">
        <f>VLOOKUP(C166,'[3]CHẤM CÔNG '!$F$10:$AR$451,36,0)</f>
        <v>0</v>
      </c>
      <c r="AP166" s="830"/>
      <c r="AQ166" s="830"/>
      <c r="AR166" s="830"/>
      <c r="AS166" s="836"/>
      <c r="AT166" s="837">
        <f>VLOOKUP(C166,'[3]MỦ TẠP'!$D$10:$AO$450,38,0)</f>
        <v>0</v>
      </c>
      <c r="AX166" s="799">
        <v>1</v>
      </c>
      <c r="AZ166" s="799">
        <v>2</v>
      </c>
    </row>
    <row r="167" spans="1:52" ht="15.75">
      <c r="A167" s="812">
        <v>53</v>
      </c>
      <c r="B167" s="813" t="str">
        <f>VLOOKUP(C167,'[3]DS CN MOI UP'!$B$10:$C$489,2,0)</f>
        <v>03324</v>
      </c>
      <c r="C167" s="818" t="s">
        <v>27</v>
      </c>
      <c r="D167" s="812" t="s">
        <v>15</v>
      </c>
      <c r="E167" s="815"/>
      <c r="F167" s="815"/>
      <c r="G167" s="815"/>
      <c r="H167" s="815"/>
      <c r="I167" s="815"/>
      <c r="J167" s="815"/>
      <c r="K167" s="815"/>
      <c r="L167" s="815"/>
      <c r="M167" s="815"/>
      <c r="N167" s="815">
        <f t="shared" si="37"/>
        <v>0</v>
      </c>
      <c r="O167" s="815">
        <f t="shared" si="38"/>
        <v>0</v>
      </c>
      <c r="P167" s="815">
        <f t="shared" si="39"/>
        <v>0</v>
      </c>
      <c r="Q167" s="815">
        <f t="shared" si="40"/>
        <v>0</v>
      </c>
      <c r="R167" s="815">
        <f t="shared" si="41"/>
        <v>0</v>
      </c>
      <c r="S167" s="815">
        <f t="shared" si="42"/>
        <v>0</v>
      </c>
      <c r="T167" s="815">
        <f t="shared" si="43"/>
        <v>0</v>
      </c>
      <c r="U167" s="815">
        <f t="shared" si="44"/>
        <v>0</v>
      </c>
      <c r="V167" s="815">
        <f t="shared" si="45"/>
        <v>0</v>
      </c>
      <c r="W167" s="815"/>
      <c r="X167" s="815"/>
      <c r="Y167" s="815"/>
      <c r="Z167" s="815"/>
      <c r="AA167" s="830">
        <f t="shared" si="46"/>
        <v>0</v>
      </c>
      <c r="AB167" s="830">
        <f>VLOOKUP(C167,'[3]MỦ TẠP'!$D$10:$AM$450,36,0)</f>
        <v>0</v>
      </c>
      <c r="AC167" s="830"/>
      <c r="AD167" s="830"/>
      <c r="AE167" s="830">
        <f>VLOOKUP(C167,'[3]MỦ TẠP'!$D$10:$AM$450,36,0)</f>
        <v>0</v>
      </c>
      <c r="AF167" s="830"/>
      <c r="AG167" s="830"/>
      <c r="AH167" s="830">
        <f t="shared" si="47"/>
        <v>0</v>
      </c>
      <c r="AI167" s="830">
        <f>VLOOKUP(C167,'[3]CHẤM CÔNG '!$F$10:$AM$451,33,0)</f>
        <v>0</v>
      </c>
      <c r="AJ167" s="830">
        <f>VLOOKUP(C167,'[3]CHẤM CÔNG '!$F$10:$AM$451,34,0)</f>
        <v>0</v>
      </c>
      <c r="AK167" s="830"/>
      <c r="AL167" s="830"/>
      <c r="AM167" s="830"/>
      <c r="AN167" s="830">
        <f>VLOOKUP(C167,'[3]CHẤM CÔNG '!$F$10:$AN$451,35,0)</f>
        <v>0</v>
      </c>
      <c r="AO167" s="830">
        <f>VLOOKUP(C167,'[3]CHẤM CÔNG '!$F$10:$AR$451,36,0)</f>
        <v>0</v>
      </c>
      <c r="AP167" s="830"/>
      <c r="AQ167" s="830"/>
      <c r="AR167" s="830"/>
      <c r="AS167" s="836"/>
      <c r="AT167" s="837">
        <f>VLOOKUP(C167,'[3]MỦ TẠP'!$D$10:$AO$450,38,0)</f>
        <v>0</v>
      </c>
      <c r="AX167" s="799">
        <v>1</v>
      </c>
      <c r="AZ167" s="799">
        <v>2</v>
      </c>
    </row>
    <row r="168" spans="1:52" ht="15.75">
      <c r="A168" s="812">
        <v>54</v>
      </c>
      <c r="B168" s="813" t="str">
        <f>VLOOKUP(C168,'[3]DS CN MOI UP'!$B$10:$C$489,2,0)</f>
        <v>03325</v>
      </c>
      <c r="C168" s="818" t="s">
        <v>28</v>
      </c>
      <c r="D168" s="812" t="s">
        <v>15</v>
      </c>
      <c r="E168" s="815"/>
      <c r="F168" s="815"/>
      <c r="G168" s="815"/>
      <c r="H168" s="815"/>
      <c r="I168" s="815"/>
      <c r="J168" s="815"/>
      <c r="K168" s="815"/>
      <c r="L168" s="815"/>
      <c r="M168" s="815"/>
      <c r="N168" s="815">
        <f t="shared" si="37"/>
        <v>0</v>
      </c>
      <c r="O168" s="815">
        <f t="shared" si="38"/>
        <v>0</v>
      </c>
      <c r="P168" s="815">
        <f t="shared" si="39"/>
        <v>0</v>
      </c>
      <c r="Q168" s="815">
        <f t="shared" si="40"/>
        <v>0</v>
      </c>
      <c r="R168" s="815">
        <f t="shared" si="41"/>
        <v>0</v>
      </c>
      <c r="S168" s="815">
        <f t="shared" si="42"/>
        <v>0</v>
      </c>
      <c r="T168" s="815">
        <f t="shared" si="43"/>
        <v>0</v>
      </c>
      <c r="U168" s="815">
        <f t="shared" si="44"/>
        <v>0</v>
      </c>
      <c r="V168" s="815">
        <f t="shared" si="45"/>
        <v>0</v>
      </c>
      <c r="W168" s="815"/>
      <c r="X168" s="815"/>
      <c r="Y168" s="815"/>
      <c r="Z168" s="815"/>
      <c r="AA168" s="830">
        <f t="shared" si="46"/>
        <v>0</v>
      </c>
      <c r="AB168" s="830">
        <f>VLOOKUP(C168,'[3]MỦ TẠP'!$D$10:$AM$450,36,0)</f>
        <v>0</v>
      </c>
      <c r="AC168" s="830"/>
      <c r="AD168" s="830"/>
      <c r="AE168" s="830">
        <f>VLOOKUP(C168,'[3]MỦ TẠP'!$D$10:$AM$450,36,0)</f>
        <v>0</v>
      </c>
      <c r="AF168" s="830"/>
      <c r="AG168" s="830"/>
      <c r="AH168" s="830">
        <f t="shared" si="47"/>
        <v>0</v>
      </c>
      <c r="AI168" s="830">
        <f>VLOOKUP(C168,'[3]CHẤM CÔNG '!$F$10:$AM$451,33,0)</f>
        <v>0</v>
      </c>
      <c r="AJ168" s="830">
        <f>VLOOKUP(C168,'[3]CHẤM CÔNG '!$F$10:$AM$451,34,0)</f>
        <v>0</v>
      </c>
      <c r="AK168" s="830"/>
      <c r="AL168" s="830"/>
      <c r="AM168" s="830"/>
      <c r="AN168" s="830">
        <f>VLOOKUP(C168,'[3]CHẤM CÔNG '!$F$10:$AN$451,35,0)</f>
        <v>0</v>
      </c>
      <c r="AO168" s="830">
        <f>VLOOKUP(C168,'[3]CHẤM CÔNG '!$F$10:$AR$451,36,0)</f>
        <v>0</v>
      </c>
      <c r="AP168" s="830"/>
      <c r="AQ168" s="830"/>
      <c r="AR168" s="830"/>
      <c r="AS168" s="836"/>
      <c r="AT168" s="837">
        <f>VLOOKUP(C168,'[3]MỦ TẠP'!$D$10:$AO$450,38,0)</f>
        <v>0</v>
      </c>
      <c r="AX168" s="799">
        <v>1</v>
      </c>
      <c r="AZ168" s="799">
        <v>2</v>
      </c>
    </row>
    <row r="169" spans="1:52" ht="15.75">
      <c r="A169" s="812">
        <v>55</v>
      </c>
      <c r="B169" s="813" t="str">
        <f>VLOOKUP(C169,'[3]DS CN MOI UP'!$B$10:$C$489,2,0)</f>
        <v>02510</v>
      </c>
      <c r="C169" s="818" t="s">
        <v>41</v>
      </c>
      <c r="D169" s="812" t="s">
        <v>15</v>
      </c>
      <c r="E169" s="815"/>
      <c r="F169" s="815"/>
      <c r="G169" s="815"/>
      <c r="H169" s="815"/>
      <c r="I169" s="815"/>
      <c r="J169" s="815"/>
      <c r="K169" s="815"/>
      <c r="L169" s="815"/>
      <c r="M169" s="815"/>
      <c r="N169" s="815">
        <f t="shared" si="37"/>
        <v>0</v>
      </c>
      <c r="O169" s="815">
        <f t="shared" si="38"/>
        <v>0</v>
      </c>
      <c r="P169" s="815">
        <f t="shared" si="39"/>
        <v>0</v>
      </c>
      <c r="Q169" s="815">
        <f t="shared" si="40"/>
        <v>0</v>
      </c>
      <c r="R169" s="815">
        <f t="shared" si="41"/>
        <v>0</v>
      </c>
      <c r="S169" s="815">
        <f t="shared" si="42"/>
        <v>0</v>
      </c>
      <c r="T169" s="815">
        <f t="shared" si="43"/>
        <v>0</v>
      </c>
      <c r="U169" s="815">
        <f t="shared" si="44"/>
        <v>0</v>
      </c>
      <c r="V169" s="815">
        <f t="shared" si="45"/>
        <v>0</v>
      </c>
      <c r="W169" s="815"/>
      <c r="X169" s="815"/>
      <c r="Y169" s="815"/>
      <c r="Z169" s="815"/>
      <c r="AA169" s="830">
        <f t="shared" si="46"/>
        <v>0</v>
      </c>
      <c r="AB169" s="830">
        <f>VLOOKUP(C169,'[3]MỦ TẠP'!$D$10:$AM$450,36,0)</f>
        <v>0</v>
      </c>
      <c r="AC169" s="830"/>
      <c r="AD169" s="830"/>
      <c r="AE169" s="830">
        <f>VLOOKUP(C169,'[3]MỦ TẠP'!$D$10:$AM$450,36,0)</f>
        <v>0</v>
      </c>
      <c r="AF169" s="830"/>
      <c r="AG169" s="830"/>
      <c r="AH169" s="830">
        <f t="shared" si="47"/>
        <v>0</v>
      </c>
      <c r="AI169" s="830">
        <f>VLOOKUP(C169,'[3]CHẤM CÔNG '!$F$10:$AM$451,33,0)</f>
        <v>0</v>
      </c>
      <c r="AJ169" s="830">
        <f>VLOOKUP(C169,'[3]CHẤM CÔNG '!$F$10:$AM$451,34,0)</f>
        <v>0</v>
      </c>
      <c r="AK169" s="830"/>
      <c r="AL169" s="830"/>
      <c r="AM169" s="830"/>
      <c r="AN169" s="830">
        <f>VLOOKUP(C169,'[3]CHẤM CÔNG '!$F$10:$AN$451,35,0)</f>
        <v>0</v>
      </c>
      <c r="AO169" s="830">
        <f>VLOOKUP(C169,'[3]CHẤM CÔNG '!$F$10:$AR$451,36,0)</f>
        <v>0</v>
      </c>
      <c r="AP169" s="830"/>
      <c r="AQ169" s="830"/>
      <c r="AR169" s="830"/>
      <c r="AS169" s="836"/>
      <c r="AT169" s="837">
        <f>VLOOKUP(C169,'[3]MỦ TẠP'!$D$10:$AO$450,38,0)</f>
        <v>0</v>
      </c>
      <c r="AX169" s="799">
        <v>1</v>
      </c>
      <c r="AZ169" s="799">
        <v>2</v>
      </c>
    </row>
    <row r="170" spans="1:52" ht="15.75">
      <c r="A170" s="812">
        <v>56</v>
      </c>
      <c r="B170" s="813" t="str">
        <f>VLOOKUP(C170,'[3]DS CN MOI UP'!$B$10:$C$489,2,0)</f>
        <v>02469</v>
      </c>
      <c r="C170" s="818" t="s">
        <v>38</v>
      </c>
      <c r="D170" s="812" t="s">
        <v>15</v>
      </c>
      <c r="E170" s="815"/>
      <c r="F170" s="815"/>
      <c r="G170" s="815"/>
      <c r="H170" s="815"/>
      <c r="I170" s="815"/>
      <c r="J170" s="815"/>
      <c r="K170" s="815"/>
      <c r="L170" s="815"/>
      <c r="M170" s="815"/>
      <c r="N170" s="815">
        <f t="shared" si="37"/>
        <v>0</v>
      </c>
      <c r="O170" s="815">
        <f t="shared" si="38"/>
        <v>0</v>
      </c>
      <c r="P170" s="815">
        <f t="shared" si="39"/>
        <v>0</v>
      </c>
      <c r="Q170" s="815">
        <f t="shared" si="40"/>
        <v>0</v>
      </c>
      <c r="R170" s="815">
        <f t="shared" si="41"/>
        <v>0</v>
      </c>
      <c r="S170" s="815">
        <f t="shared" si="42"/>
        <v>0</v>
      </c>
      <c r="T170" s="815">
        <f t="shared" si="43"/>
        <v>0</v>
      </c>
      <c r="U170" s="815">
        <f t="shared" si="44"/>
        <v>0</v>
      </c>
      <c r="V170" s="815">
        <f t="shared" si="45"/>
        <v>0</v>
      </c>
      <c r="W170" s="815"/>
      <c r="X170" s="815"/>
      <c r="Y170" s="815"/>
      <c r="Z170" s="815"/>
      <c r="AA170" s="830">
        <f t="shared" si="46"/>
        <v>0</v>
      </c>
      <c r="AB170" s="830">
        <f>VLOOKUP(C170,'[3]MỦ TẠP'!$D$10:$AM$450,36,0)</f>
        <v>0</v>
      </c>
      <c r="AC170" s="830"/>
      <c r="AD170" s="830"/>
      <c r="AE170" s="830">
        <f>VLOOKUP(C170,'[3]MỦ TẠP'!$D$10:$AM$450,36,0)</f>
        <v>0</v>
      </c>
      <c r="AF170" s="830"/>
      <c r="AG170" s="830"/>
      <c r="AH170" s="830">
        <f t="shared" si="47"/>
        <v>0</v>
      </c>
      <c r="AI170" s="830">
        <f>VLOOKUP(C170,'[3]CHẤM CÔNG '!$F$10:$AM$451,33,0)</f>
        <v>0</v>
      </c>
      <c r="AJ170" s="830">
        <f>VLOOKUP(C170,'[3]CHẤM CÔNG '!$F$10:$AM$451,34,0)</f>
        <v>0</v>
      </c>
      <c r="AK170" s="830"/>
      <c r="AL170" s="830"/>
      <c r="AM170" s="830"/>
      <c r="AN170" s="830">
        <f>VLOOKUP(C170,'[3]CHẤM CÔNG '!$F$10:$AN$451,35,0)</f>
        <v>0</v>
      </c>
      <c r="AO170" s="830">
        <f>VLOOKUP(C170,'[3]CHẤM CÔNG '!$F$10:$AR$451,36,0)</f>
        <v>0</v>
      </c>
      <c r="AP170" s="830"/>
      <c r="AQ170" s="830"/>
      <c r="AR170" s="830"/>
      <c r="AS170" s="836"/>
      <c r="AT170" s="837">
        <f>VLOOKUP(C170,'[3]MỦ TẠP'!$D$10:$AO$450,38,0)</f>
        <v>0</v>
      </c>
      <c r="AX170" s="799">
        <v>1</v>
      </c>
      <c r="AZ170" s="799">
        <v>2</v>
      </c>
    </row>
    <row r="171" spans="1:52" ht="15.75">
      <c r="A171" s="812">
        <v>57</v>
      </c>
      <c r="B171" s="813" t="str">
        <f>VLOOKUP(C171,'[3]DS CN MOI UP'!$B$10:$C$489,2,0)</f>
        <v>02475</v>
      </c>
      <c r="C171" s="846" t="s">
        <v>39</v>
      </c>
      <c r="D171" s="812" t="s">
        <v>15</v>
      </c>
      <c r="E171" s="815"/>
      <c r="F171" s="815"/>
      <c r="G171" s="815"/>
      <c r="H171" s="815"/>
      <c r="I171" s="815"/>
      <c r="J171" s="815"/>
      <c r="K171" s="815"/>
      <c r="L171" s="815"/>
      <c r="M171" s="815"/>
      <c r="N171" s="815">
        <f t="shared" si="37"/>
        <v>0</v>
      </c>
      <c r="O171" s="815">
        <f t="shared" si="38"/>
        <v>0</v>
      </c>
      <c r="P171" s="815">
        <f t="shared" si="39"/>
        <v>0</v>
      </c>
      <c r="Q171" s="815">
        <f t="shared" si="40"/>
        <v>0</v>
      </c>
      <c r="R171" s="815">
        <f t="shared" si="41"/>
        <v>0</v>
      </c>
      <c r="S171" s="815">
        <f t="shared" si="42"/>
        <v>0</v>
      </c>
      <c r="T171" s="815">
        <f t="shared" si="43"/>
        <v>0</v>
      </c>
      <c r="U171" s="815">
        <f t="shared" si="44"/>
        <v>0</v>
      </c>
      <c r="V171" s="815">
        <f t="shared" si="45"/>
        <v>0</v>
      </c>
      <c r="W171" s="815"/>
      <c r="X171" s="815"/>
      <c r="Y171" s="815"/>
      <c r="Z171" s="815"/>
      <c r="AA171" s="830">
        <f t="shared" si="46"/>
        <v>0</v>
      </c>
      <c r="AB171" s="830">
        <f>VLOOKUP(C171,'[3]MỦ TẠP'!$D$10:$AM$450,36,0)</f>
        <v>0</v>
      </c>
      <c r="AC171" s="830"/>
      <c r="AD171" s="830"/>
      <c r="AE171" s="830">
        <f>VLOOKUP(C171,'[3]MỦ TẠP'!$D$10:$AM$450,36,0)</f>
        <v>0</v>
      </c>
      <c r="AF171" s="830"/>
      <c r="AG171" s="830"/>
      <c r="AH171" s="830">
        <f t="shared" si="47"/>
        <v>0</v>
      </c>
      <c r="AI171" s="830">
        <f>VLOOKUP(C171,'[3]CHẤM CÔNG '!$F$10:$AM$451,33,0)</f>
        <v>0</v>
      </c>
      <c r="AJ171" s="830">
        <f>VLOOKUP(C171,'[3]CHẤM CÔNG '!$F$10:$AM$451,34,0)</f>
        <v>0</v>
      </c>
      <c r="AK171" s="830"/>
      <c r="AL171" s="830"/>
      <c r="AM171" s="830"/>
      <c r="AN171" s="830">
        <f>VLOOKUP(C171,'[3]CHẤM CÔNG '!$F$10:$AN$451,35,0)</f>
        <v>0</v>
      </c>
      <c r="AO171" s="830">
        <f>VLOOKUP(C171,'[3]CHẤM CÔNG '!$F$10:$AR$451,36,0)</f>
        <v>0</v>
      </c>
      <c r="AP171" s="830"/>
      <c r="AQ171" s="830"/>
      <c r="AR171" s="830"/>
      <c r="AS171" s="836"/>
      <c r="AT171" s="837">
        <f>VLOOKUP(C171,'[3]MỦ TẠP'!$D$10:$AO$450,38,0)</f>
        <v>0</v>
      </c>
      <c r="AX171" s="799">
        <v>1</v>
      </c>
      <c r="AZ171" s="799">
        <v>2</v>
      </c>
    </row>
    <row r="172" spans="1:52" ht="15.75">
      <c r="A172" s="812">
        <v>58</v>
      </c>
      <c r="B172" s="813" t="str">
        <f>VLOOKUP(C172,'[3]DS CN MOI UP'!$B$10:$C$489,2,0)</f>
        <v>02496</v>
      </c>
      <c r="C172" s="846" t="s">
        <v>98</v>
      </c>
      <c r="D172" s="812" t="s">
        <v>15</v>
      </c>
      <c r="E172" s="815"/>
      <c r="F172" s="815"/>
      <c r="G172" s="815"/>
      <c r="H172" s="815"/>
      <c r="I172" s="815"/>
      <c r="J172" s="815"/>
      <c r="K172" s="815"/>
      <c r="L172" s="815"/>
      <c r="M172" s="815"/>
      <c r="N172" s="815">
        <f t="shared" si="37"/>
        <v>0</v>
      </c>
      <c r="O172" s="815">
        <f t="shared" si="38"/>
        <v>0</v>
      </c>
      <c r="P172" s="815">
        <f t="shared" si="39"/>
        <v>0</v>
      </c>
      <c r="Q172" s="815">
        <f t="shared" si="40"/>
        <v>0</v>
      </c>
      <c r="R172" s="815">
        <f t="shared" si="41"/>
        <v>0</v>
      </c>
      <c r="S172" s="815">
        <f t="shared" si="42"/>
        <v>0</v>
      </c>
      <c r="T172" s="815">
        <f t="shared" si="43"/>
        <v>0</v>
      </c>
      <c r="U172" s="815">
        <f t="shared" si="44"/>
        <v>0</v>
      </c>
      <c r="V172" s="815">
        <f t="shared" si="45"/>
        <v>0</v>
      </c>
      <c r="W172" s="815"/>
      <c r="X172" s="815"/>
      <c r="Y172" s="815"/>
      <c r="Z172" s="815"/>
      <c r="AA172" s="830">
        <f t="shared" si="46"/>
        <v>0</v>
      </c>
      <c r="AB172" s="830">
        <f>VLOOKUP(C172,'[3]MỦ TẠP'!$D$10:$AM$450,36,0)</f>
        <v>0</v>
      </c>
      <c r="AC172" s="830"/>
      <c r="AD172" s="830"/>
      <c r="AE172" s="830">
        <f>VLOOKUP(C172,'[3]MỦ TẠP'!$D$10:$AM$450,36,0)</f>
        <v>0</v>
      </c>
      <c r="AF172" s="830"/>
      <c r="AG172" s="830"/>
      <c r="AH172" s="830">
        <f t="shared" si="47"/>
        <v>0</v>
      </c>
      <c r="AI172" s="830">
        <f>VLOOKUP(C172,'[3]CHẤM CÔNG '!$F$10:$AM$451,33,0)</f>
        <v>0</v>
      </c>
      <c r="AJ172" s="830">
        <f>VLOOKUP(C172,'[3]CHẤM CÔNG '!$F$10:$AM$451,34,0)</f>
        <v>0</v>
      </c>
      <c r="AK172" s="830"/>
      <c r="AL172" s="830"/>
      <c r="AM172" s="830"/>
      <c r="AN172" s="830">
        <f>VLOOKUP(C172,'[3]CHẤM CÔNG '!$F$10:$AN$451,35,0)</f>
        <v>0</v>
      </c>
      <c r="AO172" s="830">
        <f>VLOOKUP(C172,'[3]CHẤM CÔNG '!$F$10:$AR$451,36,0)</f>
        <v>0</v>
      </c>
      <c r="AP172" s="830"/>
      <c r="AQ172" s="830"/>
      <c r="AR172" s="830"/>
      <c r="AS172" s="836"/>
      <c r="AT172" s="837">
        <f>VLOOKUP(C172,'[3]MỦ TẠP'!$D$10:$AO$450,38,0)</f>
        <v>0</v>
      </c>
      <c r="AX172" s="799">
        <v>1</v>
      </c>
      <c r="AZ172" s="799">
        <v>2</v>
      </c>
    </row>
    <row r="173" spans="1:52" ht="15.75">
      <c r="A173" s="812">
        <v>59</v>
      </c>
      <c r="B173" s="813" t="e">
        <f>VLOOKUP(C173,'[3]DS CN MOI UP'!$B$10:$C$489,2,0)</f>
        <v>#N/A</v>
      </c>
      <c r="C173" s="846" t="s">
        <v>1999</v>
      </c>
      <c r="D173" s="812" t="s">
        <v>15</v>
      </c>
      <c r="E173" s="815"/>
      <c r="F173" s="815"/>
      <c r="G173" s="815"/>
      <c r="H173" s="815"/>
      <c r="I173" s="815"/>
      <c r="J173" s="815"/>
      <c r="K173" s="815"/>
      <c r="L173" s="815"/>
      <c r="M173" s="815"/>
      <c r="N173" s="815">
        <f t="shared" si="37"/>
        <v>0</v>
      </c>
      <c r="O173" s="815">
        <f t="shared" si="38"/>
        <v>0</v>
      </c>
      <c r="P173" s="815">
        <f t="shared" si="39"/>
        <v>0</v>
      </c>
      <c r="Q173" s="815">
        <f t="shared" si="40"/>
        <v>0</v>
      </c>
      <c r="R173" s="815">
        <f t="shared" si="41"/>
        <v>0</v>
      </c>
      <c r="S173" s="815">
        <f t="shared" si="42"/>
        <v>0</v>
      </c>
      <c r="T173" s="815">
        <f t="shared" si="43"/>
        <v>0</v>
      </c>
      <c r="U173" s="815">
        <f t="shared" si="44"/>
        <v>0</v>
      </c>
      <c r="V173" s="815">
        <f t="shared" si="45"/>
        <v>0</v>
      </c>
      <c r="W173" s="815"/>
      <c r="X173" s="815"/>
      <c r="Y173" s="815"/>
      <c r="Z173" s="815"/>
      <c r="AA173" s="830">
        <f t="shared" si="46"/>
        <v>0</v>
      </c>
      <c r="AB173" s="830">
        <f>VLOOKUP(C173,'[3]MỦ TẠP'!$D$10:$AM$450,36,0)</f>
        <v>0</v>
      </c>
      <c r="AC173" s="830"/>
      <c r="AD173" s="830"/>
      <c r="AE173" s="830">
        <f>VLOOKUP(C173,'[3]MỦ TẠP'!$D$10:$AM$450,36,0)</f>
        <v>0</v>
      </c>
      <c r="AF173" s="830"/>
      <c r="AG173" s="830"/>
      <c r="AH173" s="830">
        <f t="shared" si="47"/>
        <v>0</v>
      </c>
      <c r="AI173" s="830">
        <f>VLOOKUP(C173,'[3]CHẤM CÔNG '!$F$10:$AM$451,33,0)</f>
        <v>0</v>
      </c>
      <c r="AJ173" s="830">
        <f>VLOOKUP(C173,'[3]CHẤM CÔNG '!$F$10:$AM$451,34,0)</f>
        <v>0</v>
      </c>
      <c r="AK173" s="830"/>
      <c r="AL173" s="830"/>
      <c r="AM173" s="830"/>
      <c r="AN173" s="830">
        <f>VLOOKUP(C173,'[3]CHẤM CÔNG '!$F$10:$AN$451,35,0)</f>
        <v>0</v>
      </c>
      <c r="AO173" s="830">
        <f>VLOOKUP(C173,'[3]CHẤM CÔNG '!$F$10:$AR$451,36,0)</f>
        <v>0</v>
      </c>
      <c r="AP173" s="830"/>
      <c r="AQ173" s="830"/>
      <c r="AR173" s="830"/>
      <c r="AS173" s="836"/>
      <c r="AT173" s="837">
        <f>VLOOKUP(C173,'[3]MỦ TẠP'!$D$10:$AO$450,38,0)</f>
        <v>0</v>
      </c>
      <c r="AX173" s="799">
        <v>1</v>
      </c>
      <c r="AZ173" s="799">
        <v>2</v>
      </c>
    </row>
    <row r="174" spans="1:52" ht="15.75">
      <c r="A174" s="812">
        <v>60</v>
      </c>
      <c r="B174" s="813" t="str">
        <f>VLOOKUP(C174,'[3]DS CN MOI UP'!$B$10:$C$489,2,0)</f>
        <v>03326</v>
      </c>
      <c r="C174" s="846" t="s">
        <v>29</v>
      </c>
      <c r="D174" s="812" t="s">
        <v>15</v>
      </c>
      <c r="E174" s="815"/>
      <c r="F174" s="815"/>
      <c r="G174" s="815"/>
      <c r="H174" s="815"/>
      <c r="I174" s="815"/>
      <c r="J174" s="815"/>
      <c r="K174" s="815"/>
      <c r="L174" s="815"/>
      <c r="M174" s="815"/>
      <c r="N174" s="815">
        <f t="shared" si="37"/>
        <v>0</v>
      </c>
      <c r="O174" s="815">
        <f t="shared" si="38"/>
        <v>0</v>
      </c>
      <c r="P174" s="815">
        <f t="shared" si="39"/>
        <v>0</v>
      </c>
      <c r="Q174" s="815">
        <f t="shared" si="40"/>
        <v>0</v>
      </c>
      <c r="R174" s="815">
        <f t="shared" si="41"/>
        <v>0</v>
      </c>
      <c r="S174" s="815">
        <f t="shared" si="42"/>
        <v>0</v>
      </c>
      <c r="T174" s="815">
        <f t="shared" si="43"/>
        <v>0</v>
      </c>
      <c r="U174" s="815">
        <f t="shared" si="44"/>
        <v>0</v>
      </c>
      <c r="V174" s="815">
        <f t="shared" si="45"/>
        <v>0</v>
      </c>
      <c r="W174" s="815"/>
      <c r="X174" s="815"/>
      <c r="Y174" s="815"/>
      <c r="Z174" s="815"/>
      <c r="AA174" s="830">
        <f t="shared" si="46"/>
        <v>0</v>
      </c>
      <c r="AB174" s="830">
        <f>VLOOKUP(C174,'[3]MỦ TẠP'!$D$10:$AM$450,36,0)</f>
        <v>0</v>
      </c>
      <c r="AC174" s="830"/>
      <c r="AD174" s="830"/>
      <c r="AE174" s="830">
        <f>VLOOKUP(C174,'[3]MỦ TẠP'!$D$10:$AM$450,36,0)</f>
        <v>0</v>
      </c>
      <c r="AF174" s="830"/>
      <c r="AG174" s="830"/>
      <c r="AH174" s="830">
        <f t="shared" si="47"/>
        <v>0</v>
      </c>
      <c r="AI174" s="830">
        <f>VLOOKUP(C174,'[3]CHẤM CÔNG '!$F$10:$AM$451,33,0)</f>
        <v>0</v>
      </c>
      <c r="AJ174" s="830">
        <f>VLOOKUP(C174,'[3]CHẤM CÔNG '!$F$10:$AM$451,34,0)</f>
        <v>0</v>
      </c>
      <c r="AK174" s="830"/>
      <c r="AL174" s="830"/>
      <c r="AM174" s="830"/>
      <c r="AN174" s="830">
        <f>VLOOKUP(C174,'[3]CHẤM CÔNG '!$F$10:$AN$451,35,0)</f>
        <v>0</v>
      </c>
      <c r="AO174" s="830">
        <f>VLOOKUP(C174,'[3]CHẤM CÔNG '!$F$10:$AR$451,36,0)</f>
        <v>0</v>
      </c>
      <c r="AP174" s="830"/>
      <c r="AQ174" s="830"/>
      <c r="AR174" s="830"/>
      <c r="AS174" s="836"/>
      <c r="AT174" s="837">
        <f>VLOOKUP(C174,'[3]MỦ TẠP'!$D$10:$AO$450,38,0)</f>
        <v>0</v>
      </c>
      <c r="AX174" s="799">
        <v>1</v>
      </c>
      <c r="AZ174" s="799">
        <v>2</v>
      </c>
    </row>
    <row r="175" spans="1:52" ht="15.75">
      <c r="A175" s="812">
        <v>61</v>
      </c>
      <c r="B175" s="813"/>
      <c r="C175" s="846" t="s">
        <v>2000</v>
      </c>
      <c r="D175" s="812" t="s">
        <v>15</v>
      </c>
      <c r="E175" s="815"/>
      <c r="F175" s="815"/>
      <c r="G175" s="815"/>
      <c r="H175" s="815"/>
      <c r="I175" s="815"/>
      <c r="J175" s="815"/>
      <c r="K175" s="815"/>
      <c r="L175" s="815"/>
      <c r="M175" s="815"/>
      <c r="N175" s="815">
        <f t="shared" si="37"/>
        <v>0</v>
      </c>
      <c r="O175" s="815">
        <f t="shared" si="38"/>
        <v>0</v>
      </c>
      <c r="P175" s="815">
        <f t="shared" si="39"/>
        <v>0</v>
      </c>
      <c r="Q175" s="815">
        <f t="shared" si="40"/>
        <v>0</v>
      </c>
      <c r="R175" s="815">
        <f t="shared" si="41"/>
        <v>0</v>
      </c>
      <c r="S175" s="815">
        <f t="shared" si="42"/>
        <v>0</v>
      </c>
      <c r="T175" s="815">
        <f t="shared" si="43"/>
        <v>0</v>
      </c>
      <c r="U175" s="815">
        <f t="shared" si="44"/>
        <v>0</v>
      </c>
      <c r="V175" s="815">
        <f t="shared" si="45"/>
        <v>0</v>
      </c>
      <c r="W175" s="815"/>
      <c r="X175" s="815"/>
      <c r="Y175" s="815"/>
      <c r="Z175" s="815"/>
      <c r="AA175" s="830">
        <f t="shared" si="46"/>
        <v>0</v>
      </c>
      <c r="AB175" s="830"/>
      <c r="AC175" s="830"/>
      <c r="AD175" s="830"/>
      <c r="AE175" s="830"/>
      <c r="AF175" s="830"/>
      <c r="AG175" s="830"/>
      <c r="AH175" s="830"/>
      <c r="AI175" s="830"/>
      <c r="AJ175" s="830"/>
      <c r="AK175" s="830"/>
      <c r="AL175" s="830"/>
      <c r="AM175" s="830"/>
      <c r="AN175" s="830"/>
      <c r="AO175" s="830"/>
      <c r="AP175" s="830"/>
      <c r="AQ175" s="830"/>
      <c r="AR175" s="830"/>
      <c r="AS175" s="836"/>
      <c r="AT175" s="837"/>
    </row>
    <row r="176" spans="1:52" ht="15.75">
      <c r="A176" s="812">
        <v>62</v>
      </c>
      <c r="B176" s="813"/>
      <c r="C176" s="846" t="s">
        <v>100</v>
      </c>
      <c r="D176" s="812" t="s">
        <v>15</v>
      </c>
      <c r="E176" s="815"/>
      <c r="F176" s="815"/>
      <c r="G176" s="815"/>
      <c r="H176" s="815"/>
      <c r="I176" s="815"/>
      <c r="J176" s="815"/>
      <c r="K176" s="815"/>
      <c r="L176" s="815"/>
      <c r="M176" s="815"/>
      <c r="N176" s="815">
        <f t="shared" si="37"/>
        <v>0</v>
      </c>
      <c r="O176" s="815">
        <f t="shared" si="38"/>
        <v>0</v>
      </c>
      <c r="P176" s="815">
        <f t="shared" si="39"/>
        <v>0</v>
      </c>
      <c r="Q176" s="815">
        <f t="shared" si="40"/>
        <v>0</v>
      </c>
      <c r="R176" s="815">
        <f t="shared" si="41"/>
        <v>0</v>
      </c>
      <c r="S176" s="815">
        <f t="shared" si="42"/>
        <v>0</v>
      </c>
      <c r="T176" s="815">
        <f t="shared" si="43"/>
        <v>0</v>
      </c>
      <c r="U176" s="815">
        <f t="shared" si="44"/>
        <v>0</v>
      </c>
      <c r="V176" s="815">
        <f t="shared" si="45"/>
        <v>0</v>
      </c>
      <c r="W176" s="815"/>
      <c r="X176" s="815"/>
      <c r="Y176" s="815"/>
      <c r="Z176" s="815"/>
      <c r="AA176" s="830">
        <f t="shared" si="46"/>
        <v>0</v>
      </c>
      <c r="AB176" s="830"/>
      <c r="AC176" s="830"/>
      <c r="AD176" s="830"/>
      <c r="AE176" s="830"/>
      <c r="AF176" s="830"/>
      <c r="AG176" s="830"/>
      <c r="AH176" s="830"/>
      <c r="AI176" s="830"/>
      <c r="AJ176" s="830"/>
      <c r="AK176" s="830"/>
      <c r="AL176" s="830"/>
      <c r="AM176" s="830"/>
      <c r="AN176" s="830"/>
      <c r="AO176" s="830"/>
      <c r="AP176" s="830"/>
      <c r="AQ176" s="830"/>
      <c r="AR176" s="830"/>
      <c r="AS176" s="836"/>
      <c r="AT176" s="837"/>
    </row>
    <row r="177" spans="1:46" ht="15.75">
      <c r="A177" s="812">
        <v>63</v>
      </c>
      <c r="B177" s="813"/>
      <c r="C177" s="846" t="s">
        <v>92</v>
      </c>
      <c r="D177" s="812" t="s">
        <v>15</v>
      </c>
      <c r="E177" s="815"/>
      <c r="F177" s="815"/>
      <c r="G177" s="815"/>
      <c r="H177" s="815"/>
      <c r="I177" s="815"/>
      <c r="J177" s="815"/>
      <c r="K177" s="815"/>
      <c r="L177" s="815"/>
      <c r="M177" s="815"/>
      <c r="N177" s="815">
        <f t="shared" si="37"/>
        <v>0</v>
      </c>
      <c r="O177" s="815">
        <f t="shared" si="38"/>
        <v>0</v>
      </c>
      <c r="P177" s="815">
        <f t="shared" si="39"/>
        <v>0</v>
      </c>
      <c r="Q177" s="815">
        <f t="shared" si="40"/>
        <v>0</v>
      </c>
      <c r="R177" s="815">
        <f t="shared" si="41"/>
        <v>0</v>
      </c>
      <c r="S177" s="815">
        <f t="shared" si="42"/>
        <v>0</v>
      </c>
      <c r="T177" s="815">
        <f t="shared" si="43"/>
        <v>0</v>
      </c>
      <c r="U177" s="815">
        <f t="shared" si="44"/>
        <v>0</v>
      </c>
      <c r="V177" s="815">
        <f t="shared" si="45"/>
        <v>0</v>
      </c>
      <c r="W177" s="815"/>
      <c r="X177" s="815"/>
      <c r="Y177" s="815"/>
      <c r="Z177" s="815"/>
      <c r="AA177" s="830">
        <f t="shared" si="46"/>
        <v>0</v>
      </c>
      <c r="AB177" s="830"/>
      <c r="AC177" s="830"/>
      <c r="AD177" s="830"/>
      <c r="AE177" s="830"/>
      <c r="AF177" s="830"/>
      <c r="AG177" s="830"/>
      <c r="AH177" s="830"/>
      <c r="AI177" s="830"/>
      <c r="AJ177" s="830"/>
      <c r="AK177" s="830"/>
      <c r="AL177" s="830"/>
      <c r="AM177" s="830"/>
      <c r="AN177" s="830"/>
      <c r="AO177" s="830"/>
      <c r="AP177" s="830"/>
      <c r="AQ177" s="830"/>
      <c r="AR177" s="830"/>
      <c r="AS177" s="836"/>
      <c r="AT177" s="837"/>
    </row>
    <row r="178" spans="1:46" ht="15.75">
      <c r="A178" s="812">
        <v>64</v>
      </c>
      <c r="B178" s="813"/>
      <c r="C178" s="846" t="s">
        <v>165</v>
      </c>
      <c r="D178" s="812" t="s">
        <v>15</v>
      </c>
      <c r="E178" s="815"/>
      <c r="F178" s="815"/>
      <c r="G178" s="815"/>
      <c r="H178" s="815"/>
      <c r="I178" s="815"/>
      <c r="J178" s="815"/>
      <c r="K178" s="815"/>
      <c r="L178" s="815"/>
      <c r="M178" s="815"/>
      <c r="N178" s="815">
        <f t="shared" si="37"/>
        <v>0</v>
      </c>
      <c r="O178" s="815">
        <f t="shared" si="38"/>
        <v>0</v>
      </c>
      <c r="P178" s="815">
        <f t="shared" si="39"/>
        <v>0</v>
      </c>
      <c r="Q178" s="815">
        <f t="shared" si="40"/>
        <v>0</v>
      </c>
      <c r="R178" s="815">
        <f t="shared" si="41"/>
        <v>0</v>
      </c>
      <c r="S178" s="815">
        <f t="shared" si="42"/>
        <v>0</v>
      </c>
      <c r="T178" s="815">
        <f t="shared" si="43"/>
        <v>0</v>
      </c>
      <c r="U178" s="815">
        <f t="shared" si="44"/>
        <v>0</v>
      </c>
      <c r="V178" s="815">
        <f t="shared" si="45"/>
        <v>0</v>
      </c>
      <c r="W178" s="815"/>
      <c r="X178" s="815"/>
      <c r="Y178" s="815"/>
      <c r="Z178" s="815"/>
      <c r="AA178" s="830">
        <f t="shared" si="46"/>
        <v>0</v>
      </c>
      <c r="AB178" s="830"/>
      <c r="AC178" s="830"/>
      <c r="AD178" s="830"/>
      <c r="AE178" s="830"/>
      <c r="AF178" s="830"/>
      <c r="AG178" s="830"/>
      <c r="AH178" s="830"/>
      <c r="AI178" s="830"/>
      <c r="AJ178" s="830"/>
      <c r="AK178" s="830"/>
      <c r="AL178" s="830"/>
      <c r="AM178" s="830"/>
      <c r="AN178" s="830"/>
      <c r="AO178" s="830"/>
      <c r="AP178" s="830"/>
      <c r="AQ178" s="830"/>
      <c r="AR178" s="830"/>
      <c r="AS178" s="836"/>
      <c r="AT178" s="837"/>
    </row>
    <row r="179" spans="1:46" ht="15.75">
      <c r="A179" s="812">
        <v>65</v>
      </c>
      <c r="B179" s="813"/>
      <c r="C179" s="846" t="s">
        <v>75</v>
      </c>
      <c r="D179" s="812" t="s">
        <v>15</v>
      </c>
      <c r="E179" s="815"/>
      <c r="F179" s="815"/>
      <c r="G179" s="815"/>
      <c r="H179" s="815"/>
      <c r="I179" s="815"/>
      <c r="J179" s="815"/>
      <c r="K179" s="815"/>
      <c r="L179" s="815"/>
      <c r="M179" s="815"/>
      <c r="N179" s="815">
        <f t="shared" ref="N179:N195" si="48">E179/$N$8</f>
        <v>0</v>
      </c>
      <c r="O179" s="815">
        <f t="shared" ref="O179:O195" si="49">F179/$O$8</f>
        <v>0</v>
      </c>
      <c r="P179" s="815">
        <f t="shared" ref="P179:P195" si="50">G179/$P$8</f>
        <v>0</v>
      </c>
      <c r="Q179" s="815">
        <f t="shared" ref="Q179:Q195" si="51">H179/$Q$8</f>
        <v>0</v>
      </c>
      <c r="R179" s="815">
        <f t="shared" ref="R179:R195" si="52">I179/$R$8</f>
        <v>0</v>
      </c>
      <c r="S179" s="815">
        <f t="shared" ref="S179:S195" si="53">J179/$S$8</f>
        <v>0</v>
      </c>
      <c r="T179" s="815">
        <f t="shared" ref="T179:T195" si="54">K179/$T$8</f>
        <v>0</v>
      </c>
      <c r="U179" s="815">
        <f t="shared" ref="U179:U195" si="55">L179/$U$8</f>
        <v>0</v>
      </c>
      <c r="V179" s="815">
        <f t="shared" ref="V179:V195" si="56">M179/$V$8</f>
        <v>0</v>
      </c>
      <c r="W179" s="815"/>
      <c r="X179" s="815"/>
      <c r="Y179" s="815"/>
      <c r="Z179" s="815"/>
      <c r="AA179" s="830">
        <f t="shared" ref="AA179:AA195" si="57">SUM(N179:Z179)</f>
        <v>0</v>
      </c>
      <c r="AB179" s="830"/>
      <c r="AC179" s="830"/>
      <c r="AD179" s="830"/>
      <c r="AE179" s="830"/>
      <c r="AF179" s="830"/>
      <c r="AG179" s="830"/>
      <c r="AH179" s="830"/>
      <c r="AI179" s="830"/>
      <c r="AJ179" s="830"/>
      <c r="AK179" s="830"/>
      <c r="AL179" s="830"/>
      <c r="AM179" s="830"/>
      <c r="AN179" s="830"/>
      <c r="AO179" s="830"/>
      <c r="AP179" s="830"/>
      <c r="AQ179" s="830"/>
      <c r="AR179" s="830"/>
      <c r="AS179" s="836"/>
      <c r="AT179" s="837"/>
    </row>
    <row r="180" spans="1:46" ht="15.75">
      <c r="A180" s="812">
        <v>66</v>
      </c>
      <c r="B180" s="813"/>
      <c r="C180" s="846" t="s">
        <v>1276</v>
      </c>
      <c r="D180" s="812" t="s">
        <v>15</v>
      </c>
      <c r="E180" s="815"/>
      <c r="F180" s="815"/>
      <c r="G180" s="815"/>
      <c r="H180" s="815"/>
      <c r="I180" s="815"/>
      <c r="J180" s="815"/>
      <c r="K180" s="815"/>
      <c r="L180" s="815"/>
      <c r="M180" s="815"/>
      <c r="N180" s="815">
        <f t="shared" si="48"/>
        <v>0</v>
      </c>
      <c r="O180" s="815">
        <f t="shared" si="49"/>
        <v>0</v>
      </c>
      <c r="P180" s="815">
        <f t="shared" si="50"/>
        <v>0</v>
      </c>
      <c r="Q180" s="815">
        <f t="shared" si="51"/>
        <v>0</v>
      </c>
      <c r="R180" s="815">
        <f t="shared" si="52"/>
        <v>0</v>
      </c>
      <c r="S180" s="815">
        <f t="shared" si="53"/>
        <v>0</v>
      </c>
      <c r="T180" s="815">
        <f t="shared" si="54"/>
        <v>0</v>
      </c>
      <c r="U180" s="815">
        <f t="shared" si="55"/>
        <v>0</v>
      </c>
      <c r="V180" s="815">
        <f t="shared" si="56"/>
        <v>0</v>
      </c>
      <c r="W180" s="815"/>
      <c r="X180" s="815"/>
      <c r="Y180" s="815"/>
      <c r="Z180" s="815"/>
      <c r="AA180" s="830">
        <f t="shared" si="57"/>
        <v>0</v>
      </c>
      <c r="AB180" s="830"/>
      <c r="AC180" s="830"/>
      <c r="AD180" s="830"/>
      <c r="AE180" s="830"/>
      <c r="AF180" s="830"/>
      <c r="AG180" s="830"/>
      <c r="AH180" s="830"/>
      <c r="AI180" s="830"/>
      <c r="AJ180" s="830"/>
      <c r="AK180" s="830"/>
      <c r="AL180" s="830"/>
      <c r="AM180" s="830"/>
      <c r="AN180" s="830"/>
      <c r="AO180" s="830"/>
      <c r="AP180" s="830"/>
      <c r="AQ180" s="830"/>
      <c r="AR180" s="830"/>
      <c r="AS180" s="836"/>
      <c r="AT180" s="837"/>
    </row>
    <row r="181" spans="1:46" ht="15.75">
      <c r="A181" s="812">
        <v>67</v>
      </c>
      <c r="B181" s="813"/>
      <c r="C181" s="846" t="s">
        <v>56</v>
      </c>
      <c r="D181" s="812" t="s">
        <v>15</v>
      </c>
      <c r="E181" s="815"/>
      <c r="F181" s="815"/>
      <c r="G181" s="815"/>
      <c r="H181" s="815"/>
      <c r="I181" s="815"/>
      <c r="J181" s="815"/>
      <c r="K181" s="815"/>
      <c r="L181" s="815"/>
      <c r="M181" s="815"/>
      <c r="N181" s="815">
        <f t="shared" si="48"/>
        <v>0</v>
      </c>
      <c r="O181" s="815">
        <f t="shared" si="49"/>
        <v>0</v>
      </c>
      <c r="P181" s="815">
        <f t="shared" si="50"/>
        <v>0</v>
      </c>
      <c r="Q181" s="815">
        <f t="shared" si="51"/>
        <v>0</v>
      </c>
      <c r="R181" s="815">
        <f t="shared" si="52"/>
        <v>0</v>
      </c>
      <c r="S181" s="815">
        <f t="shared" si="53"/>
        <v>0</v>
      </c>
      <c r="T181" s="815">
        <f t="shared" si="54"/>
        <v>0</v>
      </c>
      <c r="U181" s="815">
        <f t="shared" si="55"/>
        <v>0</v>
      </c>
      <c r="V181" s="815">
        <f t="shared" si="56"/>
        <v>0</v>
      </c>
      <c r="W181" s="815"/>
      <c r="X181" s="815"/>
      <c r="Y181" s="815"/>
      <c r="Z181" s="815"/>
      <c r="AA181" s="830">
        <f t="shared" si="57"/>
        <v>0</v>
      </c>
      <c r="AB181" s="830"/>
      <c r="AC181" s="830"/>
      <c r="AD181" s="830"/>
      <c r="AE181" s="830"/>
      <c r="AF181" s="830"/>
      <c r="AG181" s="830"/>
      <c r="AH181" s="830"/>
      <c r="AI181" s="830"/>
      <c r="AJ181" s="830"/>
      <c r="AK181" s="830"/>
      <c r="AL181" s="830"/>
      <c r="AM181" s="830"/>
      <c r="AN181" s="830"/>
      <c r="AO181" s="830"/>
      <c r="AP181" s="830"/>
      <c r="AQ181" s="830"/>
      <c r="AR181" s="830"/>
      <c r="AS181" s="836"/>
      <c r="AT181" s="837"/>
    </row>
    <row r="182" spans="1:46" ht="15.75">
      <c r="A182" s="812">
        <v>68</v>
      </c>
      <c r="B182" s="813"/>
      <c r="C182" s="846" t="s">
        <v>78</v>
      </c>
      <c r="D182" s="812" t="s">
        <v>15</v>
      </c>
      <c r="E182" s="815"/>
      <c r="F182" s="815"/>
      <c r="G182" s="815"/>
      <c r="H182" s="815"/>
      <c r="I182" s="815"/>
      <c r="J182" s="815"/>
      <c r="K182" s="815"/>
      <c r="L182" s="815"/>
      <c r="M182" s="815"/>
      <c r="N182" s="815">
        <f t="shared" si="48"/>
        <v>0</v>
      </c>
      <c r="O182" s="815">
        <f t="shared" si="49"/>
        <v>0</v>
      </c>
      <c r="P182" s="815">
        <f t="shared" si="50"/>
        <v>0</v>
      </c>
      <c r="Q182" s="815">
        <f t="shared" si="51"/>
        <v>0</v>
      </c>
      <c r="R182" s="815">
        <f t="shared" si="52"/>
        <v>0</v>
      </c>
      <c r="S182" s="815">
        <f t="shared" si="53"/>
        <v>0</v>
      </c>
      <c r="T182" s="815">
        <f t="shared" si="54"/>
        <v>0</v>
      </c>
      <c r="U182" s="815">
        <f t="shared" si="55"/>
        <v>0</v>
      </c>
      <c r="V182" s="815">
        <f t="shared" si="56"/>
        <v>0</v>
      </c>
      <c r="W182" s="815"/>
      <c r="X182" s="815"/>
      <c r="Y182" s="815"/>
      <c r="Z182" s="815"/>
      <c r="AA182" s="830">
        <f t="shared" si="57"/>
        <v>0</v>
      </c>
      <c r="AB182" s="830"/>
      <c r="AC182" s="830"/>
      <c r="AD182" s="830"/>
      <c r="AE182" s="830"/>
      <c r="AF182" s="830"/>
      <c r="AG182" s="830"/>
      <c r="AH182" s="830"/>
      <c r="AI182" s="830"/>
      <c r="AJ182" s="830"/>
      <c r="AK182" s="830"/>
      <c r="AL182" s="830"/>
      <c r="AM182" s="830"/>
      <c r="AN182" s="830"/>
      <c r="AO182" s="830"/>
      <c r="AP182" s="830"/>
      <c r="AQ182" s="830"/>
      <c r="AR182" s="830"/>
      <c r="AS182" s="836"/>
      <c r="AT182" s="837"/>
    </row>
    <row r="183" spans="1:46" ht="15.75">
      <c r="A183" s="812">
        <v>69</v>
      </c>
      <c r="B183" s="813"/>
      <c r="C183" s="846" t="s">
        <v>2002</v>
      </c>
      <c r="D183" s="812" t="s">
        <v>15</v>
      </c>
      <c r="E183" s="815"/>
      <c r="F183" s="815"/>
      <c r="G183" s="815"/>
      <c r="H183" s="815"/>
      <c r="I183" s="815"/>
      <c r="J183" s="815"/>
      <c r="K183" s="815"/>
      <c r="L183" s="815"/>
      <c r="M183" s="815"/>
      <c r="N183" s="815">
        <f t="shared" si="48"/>
        <v>0</v>
      </c>
      <c r="O183" s="815">
        <f t="shared" si="49"/>
        <v>0</v>
      </c>
      <c r="P183" s="815">
        <f t="shared" si="50"/>
        <v>0</v>
      </c>
      <c r="Q183" s="815">
        <f t="shared" si="51"/>
        <v>0</v>
      </c>
      <c r="R183" s="815">
        <f t="shared" si="52"/>
        <v>0</v>
      </c>
      <c r="S183" s="815">
        <f t="shared" si="53"/>
        <v>0</v>
      </c>
      <c r="T183" s="815">
        <f t="shared" si="54"/>
        <v>0</v>
      </c>
      <c r="U183" s="815">
        <f t="shared" si="55"/>
        <v>0</v>
      </c>
      <c r="V183" s="815">
        <f t="shared" si="56"/>
        <v>0</v>
      </c>
      <c r="W183" s="815"/>
      <c r="X183" s="815"/>
      <c r="Y183" s="815"/>
      <c r="Z183" s="815"/>
      <c r="AA183" s="830">
        <f t="shared" si="57"/>
        <v>0</v>
      </c>
      <c r="AB183" s="830"/>
      <c r="AC183" s="830"/>
      <c r="AD183" s="830"/>
      <c r="AE183" s="830"/>
      <c r="AF183" s="830"/>
      <c r="AG183" s="830"/>
      <c r="AH183" s="830"/>
      <c r="AI183" s="830"/>
      <c r="AJ183" s="830"/>
      <c r="AK183" s="830"/>
      <c r="AL183" s="830"/>
      <c r="AM183" s="830"/>
      <c r="AN183" s="830"/>
      <c r="AO183" s="830"/>
      <c r="AP183" s="830"/>
      <c r="AQ183" s="830"/>
      <c r="AR183" s="830"/>
      <c r="AS183" s="836"/>
      <c r="AT183" s="837"/>
    </row>
    <row r="184" spans="1:46" ht="15.75">
      <c r="A184" s="812">
        <v>70</v>
      </c>
      <c r="B184" s="813"/>
      <c r="C184" s="846" t="s">
        <v>492</v>
      </c>
      <c r="D184" s="812" t="s">
        <v>15</v>
      </c>
      <c r="E184" s="815"/>
      <c r="F184" s="815"/>
      <c r="G184" s="815"/>
      <c r="H184" s="815"/>
      <c r="I184" s="815"/>
      <c r="J184" s="815"/>
      <c r="K184" s="815"/>
      <c r="L184" s="815"/>
      <c r="M184" s="815"/>
      <c r="N184" s="815">
        <f t="shared" si="48"/>
        <v>0</v>
      </c>
      <c r="O184" s="815">
        <f t="shared" si="49"/>
        <v>0</v>
      </c>
      <c r="P184" s="815">
        <f t="shared" si="50"/>
        <v>0</v>
      </c>
      <c r="Q184" s="815">
        <f t="shared" si="51"/>
        <v>0</v>
      </c>
      <c r="R184" s="815">
        <f t="shared" si="52"/>
        <v>0</v>
      </c>
      <c r="S184" s="815">
        <f t="shared" si="53"/>
        <v>0</v>
      </c>
      <c r="T184" s="815">
        <f t="shared" si="54"/>
        <v>0</v>
      </c>
      <c r="U184" s="815">
        <f t="shared" si="55"/>
        <v>0</v>
      </c>
      <c r="V184" s="815">
        <f t="shared" si="56"/>
        <v>0</v>
      </c>
      <c r="W184" s="815"/>
      <c r="X184" s="815"/>
      <c r="Y184" s="815"/>
      <c r="Z184" s="815"/>
      <c r="AA184" s="830">
        <f t="shared" si="57"/>
        <v>0</v>
      </c>
      <c r="AB184" s="830"/>
      <c r="AC184" s="830"/>
      <c r="AD184" s="830"/>
      <c r="AE184" s="830"/>
      <c r="AF184" s="830"/>
      <c r="AG184" s="830"/>
      <c r="AH184" s="830"/>
      <c r="AI184" s="830"/>
      <c r="AJ184" s="830"/>
      <c r="AK184" s="830"/>
      <c r="AL184" s="830"/>
      <c r="AM184" s="830"/>
      <c r="AN184" s="830"/>
      <c r="AO184" s="830"/>
      <c r="AP184" s="830"/>
      <c r="AQ184" s="830"/>
      <c r="AR184" s="830"/>
      <c r="AS184" s="836"/>
      <c r="AT184" s="837"/>
    </row>
    <row r="185" spans="1:46" ht="15.75">
      <c r="A185" s="812">
        <v>71</v>
      </c>
      <c r="B185" s="813"/>
      <c r="C185" s="846" t="s">
        <v>493</v>
      </c>
      <c r="D185" s="812" t="s">
        <v>15</v>
      </c>
      <c r="E185" s="815"/>
      <c r="F185" s="815"/>
      <c r="G185" s="815"/>
      <c r="H185" s="815"/>
      <c r="I185" s="815"/>
      <c r="J185" s="815"/>
      <c r="K185" s="815"/>
      <c r="L185" s="815"/>
      <c r="M185" s="815"/>
      <c r="N185" s="815">
        <f t="shared" si="48"/>
        <v>0</v>
      </c>
      <c r="O185" s="815">
        <f t="shared" si="49"/>
        <v>0</v>
      </c>
      <c r="P185" s="815">
        <f t="shared" si="50"/>
        <v>0</v>
      </c>
      <c r="Q185" s="815">
        <f t="shared" si="51"/>
        <v>0</v>
      </c>
      <c r="R185" s="815">
        <f t="shared" si="52"/>
        <v>0</v>
      </c>
      <c r="S185" s="815">
        <f t="shared" si="53"/>
        <v>0</v>
      </c>
      <c r="T185" s="815">
        <f t="shared" si="54"/>
        <v>0</v>
      </c>
      <c r="U185" s="815">
        <f t="shared" si="55"/>
        <v>0</v>
      </c>
      <c r="V185" s="815">
        <f t="shared" si="56"/>
        <v>0</v>
      </c>
      <c r="W185" s="815"/>
      <c r="X185" s="815"/>
      <c r="Y185" s="815"/>
      <c r="Z185" s="815"/>
      <c r="AA185" s="830">
        <f t="shared" si="57"/>
        <v>0</v>
      </c>
      <c r="AB185" s="830"/>
      <c r="AC185" s="830"/>
      <c r="AD185" s="830"/>
      <c r="AE185" s="830"/>
      <c r="AF185" s="830"/>
      <c r="AG185" s="830"/>
      <c r="AH185" s="830"/>
      <c r="AI185" s="830"/>
      <c r="AJ185" s="830"/>
      <c r="AK185" s="830"/>
      <c r="AL185" s="830"/>
      <c r="AM185" s="830"/>
      <c r="AN185" s="830"/>
      <c r="AO185" s="830"/>
      <c r="AP185" s="830"/>
      <c r="AQ185" s="830"/>
      <c r="AR185" s="830"/>
      <c r="AS185" s="836"/>
      <c r="AT185" s="837"/>
    </row>
    <row r="186" spans="1:46" ht="15.75">
      <c r="A186" s="812">
        <v>72</v>
      </c>
      <c r="B186" s="813"/>
      <c r="C186" s="846" t="s">
        <v>89</v>
      </c>
      <c r="D186" s="812" t="s">
        <v>15</v>
      </c>
      <c r="E186" s="815"/>
      <c r="F186" s="815"/>
      <c r="G186" s="815"/>
      <c r="H186" s="815"/>
      <c r="I186" s="815"/>
      <c r="J186" s="815"/>
      <c r="K186" s="815"/>
      <c r="L186" s="815"/>
      <c r="M186" s="815"/>
      <c r="N186" s="815">
        <f t="shared" si="48"/>
        <v>0</v>
      </c>
      <c r="O186" s="815">
        <f t="shared" si="49"/>
        <v>0</v>
      </c>
      <c r="P186" s="815">
        <f t="shared" si="50"/>
        <v>0</v>
      </c>
      <c r="Q186" s="815">
        <f t="shared" si="51"/>
        <v>0</v>
      </c>
      <c r="R186" s="815">
        <f t="shared" si="52"/>
        <v>0</v>
      </c>
      <c r="S186" s="815">
        <f t="shared" si="53"/>
        <v>0</v>
      </c>
      <c r="T186" s="815">
        <f t="shared" si="54"/>
        <v>0</v>
      </c>
      <c r="U186" s="815">
        <f t="shared" si="55"/>
        <v>0</v>
      </c>
      <c r="V186" s="815">
        <f t="shared" si="56"/>
        <v>0</v>
      </c>
      <c r="W186" s="815"/>
      <c r="X186" s="815"/>
      <c r="Y186" s="815"/>
      <c r="Z186" s="815"/>
      <c r="AA186" s="830">
        <f t="shared" si="57"/>
        <v>0</v>
      </c>
      <c r="AB186" s="830"/>
      <c r="AC186" s="830"/>
      <c r="AD186" s="830"/>
      <c r="AE186" s="830"/>
      <c r="AF186" s="830"/>
      <c r="AG186" s="830"/>
      <c r="AH186" s="830"/>
      <c r="AI186" s="830"/>
      <c r="AJ186" s="830"/>
      <c r="AK186" s="830"/>
      <c r="AL186" s="830"/>
      <c r="AM186" s="830"/>
      <c r="AN186" s="830"/>
      <c r="AO186" s="830"/>
      <c r="AP186" s="830"/>
      <c r="AQ186" s="830"/>
      <c r="AR186" s="830"/>
      <c r="AS186" s="836"/>
      <c r="AT186" s="837"/>
    </row>
    <row r="187" spans="1:46" ht="15.75">
      <c r="A187" s="812">
        <v>73</v>
      </c>
      <c r="B187" s="813"/>
      <c r="C187" s="846" t="s">
        <v>90</v>
      </c>
      <c r="D187" s="812" t="s">
        <v>15</v>
      </c>
      <c r="E187" s="815"/>
      <c r="F187" s="815"/>
      <c r="G187" s="815"/>
      <c r="H187" s="815"/>
      <c r="I187" s="815"/>
      <c r="J187" s="815"/>
      <c r="K187" s="815"/>
      <c r="L187" s="815"/>
      <c r="M187" s="815"/>
      <c r="N187" s="815">
        <f t="shared" si="48"/>
        <v>0</v>
      </c>
      <c r="O187" s="815">
        <f t="shared" si="49"/>
        <v>0</v>
      </c>
      <c r="P187" s="815">
        <f t="shared" si="50"/>
        <v>0</v>
      </c>
      <c r="Q187" s="815">
        <f t="shared" si="51"/>
        <v>0</v>
      </c>
      <c r="R187" s="815">
        <f t="shared" si="52"/>
        <v>0</v>
      </c>
      <c r="S187" s="815">
        <f t="shared" si="53"/>
        <v>0</v>
      </c>
      <c r="T187" s="815">
        <f t="shared" si="54"/>
        <v>0</v>
      </c>
      <c r="U187" s="815">
        <f t="shared" si="55"/>
        <v>0</v>
      </c>
      <c r="V187" s="815">
        <f t="shared" si="56"/>
        <v>0</v>
      </c>
      <c r="W187" s="815"/>
      <c r="X187" s="815"/>
      <c r="Y187" s="815"/>
      <c r="Z187" s="815"/>
      <c r="AA187" s="830">
        <f t="shared" si="57"/>
        <v>0</v>
      </c>
      <c r="AB187" s="830"/>
      <c r="AC187" s="830"/>
      <c r="AD187" s="830"/>
      <c r="AE187" s="830"/>
      <c r="AF187" s="830"/>
      <c r="AG187" s="830"/>
      <c r="AH187" s="830"/>
      <c r="AI187" s="830"/>
      <c r="AJ187" s="830"/>
      <c r="AK187" s="830"/>
      <c r="AL187" s="830"/>
      <c r="AM187" s="830"/>
      <c r="AN187" s="830"/>
      <c r="AO187" s="830"/>
      <c r="AP187" s="830"/>
      <c r="AQ187" s="830"/>
      <c r="AR187" s="830"/>
      <c r="AS187" s="836"/>
      <c r="AT187" s="837"/>
    </row>
    <row r="188" spans="1:46" ht="15.75">
      <c r="A188" s="812">
        <v>74</v>
      </c>
      <c r="B188" s="813"/>
      <c r="C188" s="846" t="s">
        <v>1671</v>
      </c>
      <c r="D188" s="812" t="s">
        <v>15</v>
      </c>
      <c r="E188" s="815"/>
      <c r="F188" s="815"/>
      <c r="G188" s="815"/>
      <c r="H188" s="815"/>
      <c r="I188" s="815"/>
      <c r="J188" s="815"/>
      <c r="K188" s="815"/>
      <c r="L188" s="815"/>
      <c r="M188" s="815"/>
      <c r="N188" s="815">
        <f t="shared" si="48"/>
        <v>0</v>
      </c>
      <c r="O188" s="815">
        <f t="shared" si="49"/>
        <v>0</v>
      </c>
      <c r="P188" s="815">
        <f t="shared" si="50"/>
        <v>0</v>
      </c>
      <c r="Q188" s="815">
        <f t="shared" si="51"/>
        <v>0</v>
      </c>
      <c r="R188" s="815">
        <f t="shared" si="52"/>
        <v>0</v>
      </c>
      <c r="S188" s="815">
        <f t="shared" si="53"/>
        <v>0</v>
      </c>
      <c r="T188" s="815">
        <f t="shared" si="54"/>
        <v>0</v>
      </c>
      <c r="U188" s="815">
        <f t="shared" si="55"/>
        <v>0</v>
      </c>
      <c r="V188" s="815">
        <f t="shared" si="56"/>
        <v>0</v>
      </c>
      <c r="W188" s="815"/>
      <c r="X188" s="815"/>
      <c r="Y188" s="815"/>
      <c r="Z188" s="815"/>
      <c r="AA188" s="830">
        <f t="shared" si="57"/>
        <v>0</v>
      </c>
      <c r="AB188" s="830"/>
      <c r="AC188" s="830"/>
      <c r="AD188" s="830"/>
      <c r="AE188" s="830"/>
      <c r="AF188" s="830"/>
      <c r="AG188" s="830"/>
      <c r="AH188" s="830"/>
      <c r="AI188" s="830"/>
      <c r="AJ188" s="830"/>
      <c r="AK188" s="830"/>
      <c r="AL188" s="830"/>
      <c r="AM188" s="830"/>
      <c r="AN188" s="830"/>
      <c r="AO188" s="830"/>
      <c r="AP188" s="830"/>
      <c r="AQ188" s="830"/>
      <c r="AR188" s="830"/>
      <c r="AS188" s="836"/>
      <c r="AT188" s="837"/>
    </row>
    <row r="189" spans="1:46" ht="15.75">
      <c r="A189" s="812">
        <v>75</v>
      </c>
      <c r="B189" s="813"/>
      <c r="C189" s="846" t="s">
        <v>64</v>
      </c>
      <c r="D189" s="812" t="s">
        <v>15</v>
      </c>
      <c r="E189" s="815"/>
      <c r="F189" s="815"/>
      <c r="G189" s="815"/>
      <c r="H189" s="815"/>
      <c r="I189" s="815"/>
      <c r="J189" s="815"/>
      <c r="K189" s="815"/>
      <c r="L189" s="815"/>
      <c r="M189" s="815"/>
      <c r="N189" s="815">
        <f t="shared" si="48"/>
        <v>0</v>
      </c>
      <c r="O189" s="815">
        <f t="shared" si="49"/>
        <v>0</v>
      </c>
      <c r="P189" s="815">
        <f t="shared" si="50"/>
        <v>0</v>
      </c>
      <c r="Q189" s="815">
        <f t="shared" si="51"/>
        <v>0</v>
      </c>
      <c r="R189" s="815">
        <f t="shared" si="52"/>
        <v>0</v>
      </c>
      <c r="S189" s="815">
        <f t="shared" si="53"/>
        <v>0</v>
      </c>
      <c r="T189" s="815">
        <f t="shared" si="54"/>
        <v>0</v>
      </c>
      <c r="U189" s="815">
        <f t="shared" si="55"/>
        <v>0</v>
      </c>
      <c r="V189" s="815">
        <f t="shared" si="56"/>
        <v>0</v>
      </c>
      <c r="W189" s="815"/>
      <c r="X189" s="815"/>
      <c r="Y189" s="815"/>
      <c r="Z189" s="815"/>
      <c r="AA189" s="830">
        <f t="shared" si="57"/>
        <v>0</v>
      </c>
      <c r="AB189" s="830"/>
      <c r="AC189" s="830"/>
      <c r="AD189" s="830"/>
      <c r="AE189" s="830"/>
      <c r="AF189" s="830"/>
      <c r="AG189" s="830"/>
      <c r="AH189" s="830"/>
      <c r="AI189" s="830"/>
      <c r="AJ189" s="830"/>
      <c r="AK189" s="830"/>
      <c r="AL189" s="830"/>
      <c r="AM189" s="830"/>
      <c r="AN189" s="830"/>
      <c r="AO189" s="830"/>
      <c r="AP189" s="830"/>
      <c r="AQ189" s="830"/>
      <c r="AR189" s="830"/>
      <c r="AS189" s="836"/>
      <c r="AT189" s="837"/>
    </row>
    <row r="190" spans="1:46" ht="15.75">
      <c r="A190" s="812">
        <v>76</v>
      </c>
      <c r="B190" s="813"/>
      <c r="C190" s="846" t="s">
        <v>65</v>
      </c>
      <c r="D190" s="812" t="s">
        <v>15</v>
      </c>
      <c r="E190" s="815"/>
      <c r="F190" s="815"/>
      <c r="G190" s="815"/>
      <c r="H190" s="815"/>
      <c r="I190" s="815"/>
      <c r="J190" s="815"/>
      <c r="K190" s="815"/>
      <c r="L190" s="815"/>
      <c r="M190" s="815"/>
      <c r="N190" s="815">
        <f t="shared" si="48"/>
        <v>0</v>
      </c>
      <c r="O190" s="815">
        <f t="shared" si="49"/>
        <v>0</v>
      </c>
      <c r="P190" s="815">
        <f t="shared" si="50"/>
        <v>0</v>
      </c>
      <c r="Q190" s="815">
        <f t="shared" si="51"/>
        <v>0</v>
      </c>
      <c r="R190" s="815">
        <f t="shared" si="52"/>
        <v>0</v>
      </c>
      <c r="S190" s="815">
        <f t="shared" si="53"/>
        <v>0</v>
      </c>
      <c r="T190" s="815">
        <f t="shared" si="54"/>
        <v>0</v>
      </c>
      <c r="U190" s="815">
        <f t="shared" si="55"/>
        <v>0</v>
      </c>
      <c r="V190" s="815">
        <f t="shared" si="56"/>
        <v>0</v>
      </c>
      <c r="W190" s="815"/>
      <c r="X190" s="815"/>
      <c r="Y190" s="815"/>
      <c r="Z190" s="815"/>
      <c r="AA190" s="830">
        <f t="shared" si="57"/>
        <v>0</v>
      </c>
      <c r="AB190" s="830"/>
      <c r="AC190" s="830"/>
      <c r="AD190" s="830"/>
      <c r="AE190" s="830"/>
      <c r="AF190" s="830"/>
      <c r="AG190" s="830"/>
      <c r="AH190" s="830"/>
      <c r="AI190" s="830"/>
      <c r="AJ190" s="830"/>
      <c r="AK190" s="830"/>
      <c r="AL190" s="830"/>
      <c r="AM190" s="830"/>
      <c r="AN190" s="830"/>
      <c r="AO190" s="830"/>
      <c r="AP190" s="830"/>
      <c r="AQ190" s="830"/>
      <c r="AR190" s="830"/>
      <c r="AS190" s="836"/>
      <c r="AT190" s="837"/>
    </row>
    <row r="191" spans="1:46" ht="15.75">
      <c r="A191" s="812">
        <v>77</v>
      </c>
      <c r="B191" s="813"/>
      <c r="C191" s="846" t="s">
        <v>91</v>
      </c>
      <c r="D191" s="812" t="s">
        <v>15</v>
      </c>
      <c r="E191" s="815"/>
      <c r="F191" s="815"/>
      <c r="G191" s="815"/>
      <c r="H191" s="815"/>
      <c r="I191" s="815"/>
      <c r="J191" s="815"/>
      <c r="K191" s="815"/>
      <c r="L191" s="815"/>
      <c r="M191" s="815"/>
      <c r="N191" s="815">
        <f t="shared" si="48"/>
        <v>0</v>
      </c>
      <c r="O191" s="815">
        <f t="shared" si="49"/>
        <v>0</v>
      </c>
      <c r="P191" s="815">
        <f t="shared" si="50"/>
        <v>0</v>
      </c>
      <c r="Q191" s="815">
        <f t="shared" si="51"/>
        <v>0</v>
      </c>
      <c r="R191" s="815">
        <f t="shared" si="52"/>
        <v>0</v>
      </c>
      <c r="S191" s="815">
        <f t="shared" si="53"/>
        <v>0</v>
      </c>
      <c r="T191" s="815">
        <f t="shared" si="54"/>
        <v>0</v>
      </c>
      <c r="U191" s="815">
        <f t="shared" si="55"/>
        <v>0</v>
      </c>
      <c r="V191" s="815">
        <f t="shared" si="56"/>
        <v>0</v>
      </c>
      <c r="W191" s="815"/>
      <c r="X191" s="815"/>
      <c r="Y191" s="815"/>
      <c r="Z191" s="815"/>
      <c r="AA191" s="830">
        <f t="shared" si="57"/>
        <v>0</v>
      </c>
      <c r="AB191" s="830"/>
      <c r="AC191" s="830"/>
      <c r="AD191" s="830"/>
      <c r="AE191" s="830"/>
      <c r="AF191" s="830"/>
      <c r="AG191" s="830"/>
      <c r="AH191" s="830"/>
      <c r="AI191" s="830"/>
      <c r="AJ191" s="830"/>
      <c r="AK191" s="830"/>
      <c r="AL191" s="830"/>
      <c r="AM191" s="830"/>
      <c r="AN191" s="830"/>
      <c r="AO191" s="830"/>
      <c r="AP191" s="830"/>
      <c r="AQ191" s="830"/>
      <c r="AR191" s="830"/>
      <c r="AS191" s="836"/>
      <c r="AT191" s="837"/>
    </row>
    <row r="192" spans="1:46" ht="15.75">
      <c r="A192" s="812">
        <v>78</v>
      </c>
      <c r="B192" s="813"/>
      <c r="C192" s="846" t="s">
        <v>102</v>
      </c>
      <c r="D192" s="812" t="s">
        <v>15</v>
      </c>
      <c r="E192" s="815"/>
      <c r="F192" s="815"/>
      <c r="G192" s="815"/>
      <c r="H192" s="815"/>
      <c r="I192" s="815"/>
      <c r="J192" s="815"/>
      <c r="K192" s="815"/>
      <c r="L192" s="815"/>
      <c r="M192" s="815"/>
      <c r="N192" s="815">
        <f t="shared" si="48"/>
        <v>0</v>
      </c>
      <c r="O192" s="815">
        <f t="shared" si="49"/>
        <v>0</v>
      </c>
      <c r="P192" s="815">
        <f t="shared" si="50"/>
        <v>0</v>
      </c>
      <c r="Q192" s="815">
        <f t="shared" si="51"/>
        <v>0</v>
      </c>
      <c r="R192" s="815">
        <f t="shared" si="52"/>
        <v>0</v>
      </c>
      <c r="S192" s="815">
        <f t="shared" si="53"/>
        <v>0</v>
      </c>
      <c r="T192" s="815">
        <f t="shared" si="54"/>
        <v>0</v>
      </c>
      <c r="U192" s="815">
        <f t="shared" si="55"/>
        <v>0</v>
      </c>
      <c r="V192" s="815">
        <f t="shared" si="56"/>
        <v>0</v>
      </c>
      <c r="W192" s="815"/>
      <c r="X192" s="815"/>
      <c r="Y192" s="815"/>
      <c r="Z192" s="815"/>
      <c r="AA192" s="830">
        <f t="shared" si="57"/>
        <v>0</v>
      </c>
      <c r="AB192" s="830"/>
      <c r="AC192" s="830"/>
      <c r="AD192" s="830"/>
      <c r="AE192" s="830"/>
      <c r="AF192" s="830"/>
      <c r="AG192" s="830"/>
      <c r="AH192" s="830"/>
      <c r="AI192" s="830"/>
      <c r="AJ192" s="830"/>
      <c r="AK192" s="830"/>
      <c r="AL192" s="830"/>
      <c r="AM192" s="830"/>
      <c r="AN192" s="830"/>
      <c r="AO192" s="830"/>
      <c r="AP192" s="830"/>
      <c r="AQ192" s="830"/>
      <c r="AR192" s="830"/>
      <c r="AS192" s="836"/>
      <c r="AT192" s="837"/>
    </row>
    <row r="193" spans="1:46" ht="15.75">
      <c r="A193" s="812">
        <v>79</v>
      </c>
      <c r="B193" s="813"/>
      <c r="C193" s="846" t="s">
        <v>88</v>
      </c>
      <c r="D193" s="812" t="s">
        <v>15</v>
      </c>
      <c r="E193" s="815"/>
      <c r="F193" s="815"/>
      <c r="G193" s="815"/>
      <c r="H193" s="815"/>
      <c r="I193" s="815"/>
      <c r="J193" s="815"/>
      <c r="K193" s="815"/>
      <c r="L193" s="815"/>
      <c r="M193" s="815"/>
      <c r="N193" s="815">
        <f t="shared" si="48"/>
        <v>0</v>
      </c>
      <c r="O193" s="815">
        <f t="shared" si="49"/>
        <v>0</v>
      </c>
      <c r="P193" s="815">
        <f t="shared" si="50"/>
        <v>0</v>
      </c>
      <c r="Q193" s="815">
        <f t="shared" si="51"/>
        <v>0</v>
      </c>
      <c r="R193" s="815">
        <f t="shared" si="52"/>
        <v>0</v>
      </c>
      <c r="S193" s="815">
        <f t="shared" si="53"/>
        <v>0</v>
      </c>
      <c r="T193" s="815">
        <f t="shared" si="54"/>
        <v>0</v>
      </c>
      <c r="U193" s="815">
        <f t="shared" si="55"/>
        <v>0</v>
      </c>
      <c r="V193" s="815">
        <f t="shared" si="56"/>
        <v>0</v>
      </c>
      <c r="W193" s="815"/>
      <c r="X193" s="815"/>
      <c r="Y193" s="815"/>
      <c r="Z193" s="815"/>
      <c r="AA193" s="830">
        <f t="shared" si="57"/>
        <v>0</v>
      </c>
      <c r="AB193" s="830"/>
      <c r="AC193" s="830"/>
      <c r="AD193" s="830"/>
      <c r="AE193" s="830"/>
      <c r="AF193" s="830"/>
      <c r="AG193" s="830"/>
      <c r="AH193" s="830"/>
      <c r="AI193" s="830"/>
      <c r="AJ193" s="830"/>
      <c r="AK193" s="830"/>
      <c r="AL193" s="830"/>
      <c r="AM193" s="830"/>
      <c r="AN193" s="830"/>
      <c r="AO193" s="830"/>
      <c r="AP193" s="830"/>
      <c r="AQ193" s="830"/>
      <c r="AR193" s="830"/>
      <c r="AS193" s="836"/>
      <c r="AT193" s="837"/>
    </row>
    <row r="194" spans="1:46" ht="15.75">
      <c r="A194" s="812">
        <v>80</v>
      </c>
      <c r="B194" s="813"/>
      <c r="C194" s="846" t="s">
        <v>1292</v>
      </c>
      <c r="D194" s="812" t="s">
        <v>15</v>
      </c>
      <c r="E194" s="815"/>
      <c r="F194" s="815"/>
      <c r="G194" s="815"/>
      <c r="H194" s="815"/>
      <c r="I194" s="815"/>
      <c r="J194" s="815"/>
      <c r="K194" s="815"/>
      <c r="L194" s="815"/>
      <c r="M194" s="815"/>
      <c r="N194" s="815">
        <f t="shared" si="48"/>
        <v>0</v>
      </c>
      <c r="O194" s="815">
        <f t="shared" si="49"/>
        <v>0</v>
      </c>
      <c r="P194" s="815">
        <f t="shared" si="50"/>
        <v>0</v>
      </c>
      <c r="Q194" s="815">
        <f t="shared" si="51"/>
        <v>0</v>
      </c>
      <c r="R194" s="815">
        <f t="shared" si="52"/>
        <v>0</v>
      </c>
      <c r="S194" s="815">
        <f t="shared" si="53"/>
        <v>0</v>
      </c>
      <c r="T194" s="815">
        <f t="shared" si="54"/>
        <v>0</v>
      </c>
      <c r="U194" s="815">
        <f t="shared" si="55"/>
        <v>0</v>
      </c>
      <c r="V194" s="815">
        <f t="shared" si="56"/>
        <v>0</v>
      </c>
      <c r="W194" s="815"/>
      <c r="X194" s="815"/>
      <c r="Y194" s="815"/>
      <c r="Z194" s="815"/>
      <c r="AA194" s="830">
        <f t="shared" si="57"/>
        <v>0</v>
      </c>
      <c r="AB194" s="830"/>
      <c r="AC194" s="830"/>
      <c r="AD194" s="830"/>
      <c r="AE194" s="830"/>
      <c r="AF194" s="830"/>
      <c r="AG194" s="830"/>
      <c r="AH194" s="830"/>
      <c r="AI194" s="830"/>
      <c r="AJ194" s="830"/>
      <c r="AK194" s="830"/>
      <c r="AL194" s="830"/>
      <c r="AM194" s="830"/>
      <c r="AN194" s="830"/>
      <c r="AO194" s="830"/>
      <c r="AP194" s="830"/>
      <c r="AQ194" s="830"/>
      <c r="AR194" s="830"/>
      <c r="AS194" s="836"/>
      <c r="AT194" s="837"/>
    </row>
    <row r="195" spans="1:46" ht="15.75">
      <c r="A195" s="812">
        <v>81</v>
      </c>
      <c r="B195" s="813"/>
      <c r="C195" s="846" t="s">
        <v>74</v>
      </c>
      <c r="D195" s="812" t="s">
        <v>15</v>
      </c>
      <c r="E195" s="815"/>
      <c r="F195" s="815"/>
      <c r="G195" s="815"/>
      <c r="H195" s="815"/>
      <c r="I195" s="815"/>
      <c r="J195" s="815"/>
      <c r="K195" s="815"/>
      <c r="L195" s="815"/>
      <c r="M195" s="815"/>
      <c r="N195" s="815">
        <f t="shared" si="48"/>
        <v>0</v>
      </c>
      <c r="O195" s="815">
        <f t="shared" si="49"/>
        <v>0</v>
      </c>
      <c r="P195" s="815">
        <f t="shared" si="50"/>
        <v>0</v>
      </c>
      <c r="Q195" s="815">
        <f t="shared" si="51"/>
        <v>0</v>
      </c>
      <c r="R195" s="815">
        <f t="shared" si="52"/>
        <v>0</v>
      </c>
      <c r="S195" s="815">
        <f t="shared" si="53"/>
        <v>0</v>
      </c>
      <c r="T195" s="815">
        <f t="shared" si="54"/>
        <v>0</v>
      </c>
      <c r="U195" s="815">
        <f t="shared" si="55"/>
        <v>0</v>
      </c>
      <c r="V195" s="815">
        <f t="shared" si="56"/>
        <v>0</v>
      </c>
      <c r="W195" s="815"/>
      <c r="X195" s="815"/>
      <c r="Y195" s="815"/>
      <c r="Z195" s="815"/>
      <c r="AA195" s="830">
        <f t="shared" si="57"/>
        <v>0</v>
      </c>
      <c r="AB195" s="830"/>
      <c r="AC195" s="830"/>
      <c r="AD195" s="830"/>
      <c r="AE195" s="830"/>
      <c r="AF195" s="830"/>
      <c r="AG195" s="830"/>
      <c r="AH195" s="830"/>
      <c r="AI195" s="830"/>
      <c r="AJ195" s="830"/>
      <c r="AK195" s="830"/>
      <c r="AL195" s="830"/>
      <c r="AM195" s="830"/>
      <c r="AN195" s="830"/>
      <c r="AO195" s="830"/>
      <c r="AP195" s="830"/>
      <c r="AQ195" s="830"/>
      <c r="AR195" s="830"/>
      <c r="AS195" s="836"/>
      <c r="AT195" s="837"/>
    </row>
    <row r="196" spans="1:46" ht="15.75">
      <c r="A196" s="812">
        <v>1</v>
      </c>
      <c r="B196" s="813" t="str">
        <f>VLOOKUP(C196,'[3]DS CN MOI UP'!$B$10:$C$489,2,0)</f>
        <v>02504</v>
      </c>
      <c r="C196" s="846" t="s">
        <v>77</v>
      </c>
      <c r="D196" s="812" t="s">
        <v>15</v>
      </c>
      <c r="E196" s="815"/>
      <c r="F196" s="815"/>
      <c r="G196" s="815"/>
      <c r="H196" s="815"/>
      <c r="I196" s="815"/>
      <c r="J196" s="815"/>
      <c r="K196" s="815"/>
      <c r="L196" s="815"/>
      <c r="M196" s="815"/>
      <c r="N196" s="815">
        <f t="shared" ref="N196:N218" si="58">E196/$N$8</f>
        <v>0</v>
      </c>
      <c r="O196" s="815">
        <f t="shared" ref="O196:O218" si="59">F196/$O$8</f>
        <v>0</v>
      </c>
      <c r="P196" s="815">
        <f t="shared" ref="P196:P218" si="60">G196/$P$8</f>
        <v>0</v>
      </c>
      <c r="Q196" s="815">
        <f t="shared" ref="Q196:Q218" si="61">H196/$Q$8</f>
        <v>0</v>
      </c>
      <c r="R196" s="815">
        <f t="shared" ref="R196:R218" si="62">I196/$R$8</f>
        <v>0</v>
      </c>
      <c r="S196" s="815">
        <f t="shared" ref="S196:S218" si="63">J196/$S$8</f>
        <v>0</v>
      </c>
      <c r="T196" s="815">
        <f t="shared" ref="T196:T218" si="64">K196/$T$8</f>
        <v>0</v>
      </c>
      <c r="U196" s="815">
        <f t="shared" ref="U196:U218" si="65">L196/$U$8</f>
        <v>0</v>
      </c>
      <c r="V196" s="815">
        <f t="shared" ref="V196:V218" si="66">M196/$V$8</f>
        <v>0</v>
      </c>
      <c r="W196" s="815"/>
      <c r="X196" s="815"/>
      <c r="Y196" s="815"/>
      <c r="Z196" s="815"/>
      <c r="AA196" s="830">
        <f t="shared" ref="AA196:AA218" si="67">SUM(N196:Z196)</f>
        <v>0</v>
      </c>
      <c r="AB196" s="830">
        <f>VLOOKUP(C196,'[3]MỦ TẠP'!$D$10:$AM$450,36,0)</f>
        <v>0</v>
      </c>
      <c r="AC196" s="830"/>
      <c r="AD196" s="830"/>
      <c r="AE196" s="831">
        <f>SUM(AB196:AD196)</f>
        <v>0</v>
      </c>
      <c r="AF196" s="830"/>
      <c r="AG196" s="830"/>
      <c r="AH196" s="830">
        <f t="shared" ref="AH196:AH218" si="68">AE196*$AV$20+AF196*$AV$10+$AV$11*AG196</f>
        <v>0</v>
      </c>
      <c r="AI196" s="830">
        <f>VLOOKUP(C196,'[3]CHẤM CÔNG '!$F$10:$AM$451,33,0)</f>
        <v>0</v>
      </c>
      <c r="AJ196" s="830">
        <f>VLOOKUP(C196,'[3]CHẤM CÔNG '!$F$10:$AM$451,34,0)</f>
        <v>0</v>
      </c>
      <c r="AK196" s="830"/>
      <c r="AL196" s="830"/>
      <c r="AM196" s="830"/>
      <c r="AN196" s="830">
        <f>VLOOKUP(C196,'[3]CHẤM CÔNG '!$F$10:$AN$451,35,0)</f>
        <v>0</v>
      </c>
      <c r="AO196" s="830">
        <f>VLOOKUP(C196,'[3]CHẤM CÔNG '!$F$10:$AR$451,36,0)</f>
        <v>0</v>
      </c>
      <c r="AP196" s="830"/>
      <c r="AQ196" s="830"/>
      <c r="AR196" s="830"/>
      <c r="AS196" s="836"/>
      <c r="AT196" s="837">
        <f>VLOOKUP(C196,'[3]MỦ TẠP'!$D$10:$AO$450,38,0)</f>
        <v>0</v>
      </c>
    </row>
    <row r="197" spans="1:46" ht="15.75">
      <c r="A197" s="812">
        <v>2</v>
      </c>
      <c r="B197" s="813" t="str">
        <f>VLOOKUP(C197,'[3]DS CN MOI UP'!$B$10:$C$489,2,0)</f>
        <v>02481</v>
      </c>
      <c r="C197" s="846" t="s">
        <v>86</v>
      </c>
      <c r="D197" s="812" t="s">
        <v>15</v>
      </c>
      <c r="E197" s="815"/>
      <c r="F197" s="815"/>
      <c r="G197" s="815"/>
      <c r="H197" s="815"/>
      <c r="I197" s="815"/>
      <c r="J197" s="815"/>
      <c r="K197" s="815"/>
      <c r="L197" s="815"/>
      <c r="M197" s="815"/>
      <c r="N197" s="815">
        <f t="shared" si="58"/>
        <v>0</v>
      </c>
      <c r="O197" s="815">
        <f t="shared" si="59"/>
        <v>0</v>
      </c>
      <c r="P197" s="815">
        <f t="shared" si="60"/>
        <v>0</v>
      </c>
      <c r="Q197" s="815">
        <f t="shared" si="61"/>
        <v>0</v>
      </c>
      <c r="R197" s="815">
        <f t="shared" si="62"/>
        <v>0</v>
      </c>
      <c r="S197" s="815">
        <f t="shared" si="63"/>
        <v>0</v>
      </c>
      <c r="T197" s="815">
        <f t="shared" si="64"/>
        <v>0</v>
      </c>
      <c r="U197" s="815">
        <f t="shared" si="65"/>
        <v>0</v>
      </c>
      <c r="V197" s="815">
        <f t="shared" si="66"/>
        <v>0</v>
      </c>
      <c r="W197" s="815"/>
      <c r="X197" s="815"/>
      <c r="Y197" s="815"/>
      <c r="Z197" s="815"/>
      <c r="AA197" s="830">
        <f t="shared" si="67"/>
        <v>0</v>
      </c>
      <c r="AB197" s="830">
        <f>VLOOKUP(C197,'[3]MỦ TẠP'!$D$10:$AM$450,36,0)</f>
        <v>0</v>
      </c>
      <c r="AC197" s="830"/>
      <c r="AD197" s="830"/>
      <c r="AE197" s="831">
        <f t="shared" ref="AE197:AE218" si="69">SUM(AB197:AD197)</f>
        <v>0</v>
      </c>
      <c r="AF197" s="830"/>
      <c r="AG197" s="830"/>
      <c r="AH197" s="830">
        <f t="shared" si="68"/>
        <v>0</v>
      </c>
      <c r="AI197" s="830">
        <f>VLOOKUP(C197,'[3]CHẤM CÔNG '!$F$10:$AM$451,33,0)</f>
        <v>0</v>
      </c>
      <c r="AJ197" s="830">
        <f>VLOOKUP(C197,'[3]CHẤM CÔNG '!$F$10:$AM$451,34,0)</f>
        <v>0</v>
      </c>
      <c r="AK197" s="830"/>
      <c r="AL197" s="830"/>
      <c r="AM197" s="830"/>
      <c r="AN197" s="830">
        <f>VLOOKUP(C197,'[3]CHẤM CÔNG '!$F$10:$AN$451,35,0)</f>
        <v>0</v>
      </c>
      <c r="AO197" s="830">
        <f>VLOOKUP(C197,'[3]CHẤM CÔNG '!$F$10:$AR$451,36,0)</f>
        <v>0</v>
      </c>
      <c r="AP197" s="830"/>
      <c r="AQ197" s="830"/>
      <c r="AR197" s="830"/>
      <c r="AS197" s="836"/>
      <c r="AT197" s="837">
        <f>VLOOKUP(C197,'[3]MỦ TẠP'!$D$10:$AO$450,38,0)</f>
        <v>0</v>
      </c>
    </row>
    <row r="198" spans="1:46" ht="15.75">
      <c r="A198" s="812">
        <v>3</v>
      </c>
      <c r="B198" s="813" t="str">
        <f>VLOOKUP(C198,'[3]DS CN MOI UP'!$B$10:$C$489,2,0)</f>
        <v>02492</v>
      </c>
      <c r="C198" s="846" t="s">
        <v>30</v>
      </c>
      <c r="D198" s="812" t="s">
        <v>15</v>
      </c>
      <c r="E198" s="815"/>
      <c r="F198" s="815"/>
      <c r="G198" s="815"/>
      <c r="H198" s="815"/>
      <c r="I198" s="815"/>
      <c r="J198" s="815"/>
      <c r="K198" s="815"/>
      <c r="L198" s="815"/>
      <c r="M198" s="815"/>
      <c r="N198" s="815">
        <f t="shared" si="58"/>
        <v>0</v>
      </c>
      <c r="O198" s="815">
        <f t="shared" si="59"/>
        <v>0</v>
      </c>
      <c r="P198" s="815">
        <f t="shared" si="60"/>
        <v>0</v>
      </c>
      <c r="Q198" s="815">
        <f t="shared" si="61"/>
        <v>0</v>
      </c>
      <c r="R198" s="815">
        <f t="shared" si="62"/>
        <v>0</v>
      </c>
      <c r="S198" s="815">
        <f t="shared" si="63"/>
        <v>0</v>
      </c>
      <c r="T198" s="815">
        <f t="shared" si="64"/>
        <v>0</v>
      </c>
      <c r="U198" s="815">
        <f t="shared" si="65"/>
        <v>0</v>
      </c>
      <c r="V198" s="815">
        <f t="shared" si="66"/>
        <v>0</v>
      </c>
      <c r="W198" s="815"/>
      <c r="X198" s="815"/>
      <c r="Y198" s="815"/>
      <c r="Z198" s="815"/>
      <c r="AA198" s="830">
        <f t="shared" si="67"/>
        <v>0</v>
      </c>
      <c r="AB198" s="830">
        <f>VLOOKUP(C198,'[3]MỦ TẠP'!$D$10:$AM$450,36,0)</f>
        <v>0</v>
      </c>
      <c r="AC198" s="830"/>
      <c r="AD198" s="830"/>
      <c r="AE198" s="831">
        <f t="shared" si="69"/>
        <v>0</v>
      </c>
      <c r="AF198" s="830"/>
      <c r="AG198" s="830"/>
      <c r="AH198" s="830">
        <f t="shared" si="68"/>
        <v>0</v>
      </c>
      <c r="AI198" s="830">
        <f>VLOOKUP(C198,'[3]CHẤM CÔNG '!$F$10:$AM$451,33,0)</f>
        <v>0</v>
      </c>
      <c r="AJ198" s="830">
        <f>VLOOKUP(C198,'[3]CHẤM CÔNG '!$F$10:$AM$451,34,0)</f>
        <v>0</v>
      </c>
      <c r="AK198" s="830"/>
      <c r="AL198" s="830"/>
      <c r="AM198" s="830"/>
      <c r="AN198" s="830">
        <f>VLOOKUP(C198,'[3]CHẤM CÔNG '!$F$10:$AN$451,35,0)</f>
        <v>0</v>
      </c>
      <c r="AO198" s="830">
        <f>VLOOKUP(C198,'[3]CHẤM CÔNG '!$F$10:$AR$451,36,0)</f>
        <v>0</v>
      </c>
      <c r="AP198" s="830"/>
      <c r="AQ198" s="830"/>
      <c r="AR198" s="830"/>
      <c r="AS198" s="836"/>
      <c r="AT198" s="837">
        <f>VLOOKUP(C198,'[3]MỦ TẠP'!$D$10:$AO$450,38,0)</f>
        <v>0</v>
      </c>
    </row>
    <row r="199" spans="1:46" ht="15.75">
      <c r="A199" s="812">
        <v>4</v>
      </c>
      <c r="B199" s="813" t="str">
        <f>VLOOKUP(C199,'[3]DS CN MOI UP'!$B$10:$C$489,2,0)</f>
        <v>02470</v>
      </c>
      <c r="C199" s="846" t="s">
        <v>44</v>
      </c>
      <c r="D199" s="812" t="s">
        <v>15</v>
      </c>
      <c r="E199" s="815"/>
      <c r="F199" s="815"/>
      <c r="G199" s="815"/>
      <c r="H199" s="815"/>
      <c r="I199" s="815"/>
      <c r="J199" s="815"/>
      <c r="K199" s="815"/>
      <c r="L199" s="815"/>
      <c r="M199" s="815"/>
      <c r="N199" s="815">
        <f t="shared" si="58"/>
        <v>0</v>
      </c>
      <c r="O199" s="815">
        <f t="shared" si="59"/>
        <v>0</v>
      </c>
      <c r="P199" s="815">
        <f t="shared" si="60"/>
        <v>0</v>
      </c>
      <c r="Q199" s="815">
        <f t="shared" si="61"/>
        <v>0</v>
      </c>
      <c r="R199" s="815">
        <f t="shared" si="62"/>
        <v>0</v>
      </c>
      <c r="S199" s="815">
        <f t="shared" si="63"/>
        <v>0</v>
      </c>
      <c r="T199" s="815">
        <f t="shared" si="64"/>
        <v>0</v>
      </c>
      <c r="U199" s="815">
        <f t="shared" si="65"/>
        <v>0</v>
      </c>
      <c r="V199" s="815">
        <f t="shared" si="66"/>
        <v>0</v>
      </c>
      <c r="W199" s="815"/>
      <c r="X199" s="815"/>
      <c r="Y199" s="815"/>
      <c r="Z199" s="815"/>
      <c r="AA199" s="830">
        <f t="shared" si="67"/>
        <v>0</v>
      </c>
      <c r="AB199" s="830">
        <f>VLOOKUP(C199,'[3]MỦ TẠP'!$D$10:$AM$450,36,0)</f>
        <v>0</v>
      </c>
      <c r="AC199" s="830"/>
      <c r="AD199" s="830"/>
      <c r="AE199" s="831">
        <f t="shared" si="69"/>
        <v>0</v>
      </c>
      <c r="AF199" s="830"/>
      <c r="AG199" s="830"/>
      <c r="AH199" s="830">
        <f t="shared" si="68"/>
        <v>0</v>
      </c>
      <c r="AI199" s="830">
        <f>VLOOKUP(C199,'[3]CHẤM CÔNG '!$F$10:$AM$451,33,0)</f>
        <v>0</v>
      </c>
      <c r="AJ199" s="830">
        <f>VLOOKUP(C199,'[3]CHẤM CÔNG '!$F$10:$AM$451,34,0)</f>
        <v>0</v>
      </c>
      <c r="AK199" s="830"/>
      <c r="AL199" s="830"/>
      <c r="AM199" s="830"/>
      <c r="AN199" s="830">
        <f>VLOOKUP(C199,'[3]CHẤM CÔNG '!$F$10:$AN$451,35,0)</f>
        <v>0</v>
      </c>
      <c r="AO199" s="830">
        <f>VLOOKUP(C199,'[3]CHẤM CÔNG '!$F$10:$AR$451,36,0)</f>
        <v>0</v>
      </c>
      <c r="AP199" s="830"/>
      <c r="AQ199" s="830"/>
      <c r="AR199" s="830"/>
      <c r="AS199" s="836"/>
      <c r="AT199" s="837">
        <f>VLOOKUP(C199,'[3]MỦ TẠP'!$D$10:$AO$450,38,0)</f>
        <v>0</v>
      </c>
    </row>
    <row r="200" spans="1:46" ht="15.75">
      <c r="A200" s="812">
        <v>5</v>
      </c>
      <c r="B200" s="813" t="str">
        <f>VLOOKUP(C200,'[3]DS CN MOI UP'!$B$10:$C$489,2,0)</f>
        <v>03330</v>
      </c>
      <c r="C200" s="846" t="s">
        <v>46</v>
      </c>
      <c r="D200" s="812" t="s">
        <v>15</v>
      </c>
      <c r="E200" s="815"/>
      <c r="F200" s="815"/>
      <c r="G200" s="815"/>
      <c r="H200" s="815"/>
      <c r="I200" s="815"/>
      <c r="J200" s="815"/>
      <c r="K200" s="815"/>
      <c r="L200" s="815"/>
      <c r="M200" s="815"/>
      <c r="N200" s="815">
        <f t="shared" si="58"/>
        <v>0</v>
      </c>
      <c r="O200" s="815">
        <f t="shared" si="59"/>
        <v>0</v>
      </c>
      <c r="P200" s="815">
        <f t="shared" si="60"/>
        <v>0</v>
      </c>
      <c r="Q200" s="815">
        <f t="shared" si="61"/>
        <v>0</v>
      </c>
      <c r="R200" s="815">
        <f t="shared" si="62"/>
        <v>0</v>
      </c>
      <c r="S200" s="815">
        <f t="shared" si="63"/>
        <v>0</v>
      </c>
      <c r="T200" s="815">
        <f t="shared" si="64"/>
        <v>0</v>
      </c>
      <c r="U200" s="815">
        <f t="shared" si="65"/>
        <v>0</v>
      </c>
      <c r="V200" s="815">
        <f t="shared" si="66"/>
        <v>0</v>
      </c>
      <c r="W200" s="815"/>
      <c r="X200" s="815"/>
      <c r="Y200" s="815"/>
      <c r="Z200" s="815"/>
      <c r="AA200" s="830">
        <f t="shared" si="67"/>
        <v>0</v>
      </c>
      <c r="AB200" s="830">
        <f>VLOOKUP(C200,'[3]MỦ TẠP'!$D$10:$AM$450,36,0)</f>
        <v>0</v>
      </c>
      <c r="AC200" s="830"/>
      <c r="AD200" s="830"/>
      <c r="AE200" s="831">
        <f t="shared" si="69"/>
        <v>0</v>
      </c>
      <c r="AF200" s="830"/>
      <c r="AG200" s="830"/>
      <c r="AH200" s="830">
        <f t="shared" si="68"/>
        <v>0</v>
      </c>
      <c r="AI200" s="830">
        <f>VLOOKUP(C200,'[3]CHẤM CÔNG '!$F$10:$AM$451,33,0)</f>
        <v>0</v>
      </c>
      <c r="AJ200" s="830">
        <f>VLOOKUP(C200,'[3]CHẤM CÔNG '!$F$10:$AM$451,34,0)</f>
        <v>0</v>
      </c>
      <c r="AK200" s="830"/>
      <c r="AL200" s="830"/>
      <c r="AM200" s="830"/>
      <c r="AN200" s="830">
        <f>VLOOKUP(C200,'[3]CHẤM CÔNG '!$F$10:$AN$451,35,0)</f>
        <v>0</v>
      </c>
      <c r="AO200" s="830">
        <f>VLOOKUP(C200,'[3]CHẤM CÔNG '!$F$10:$AR$451,36,0)</f>
        <v>0</v>
      </c>
      <c r="AP200" s="830"/>
      <c r="AQ200" s="830"/>
      <c r="AR200" s="830"/>
      <c r="AS200" s="836"/>
      <c r="AT200" s="837">
        <f>VLOOKUP(C200,'[3]MỦ TẠP'!$D$10:$AO$450,38,0)</f>
        <v>0</v>
      </c>
    </row>
    <row r="201" spans="1:46" ht="15.75">
      <c r="A201" s="812">
        <v>6</v>
      </c>
      <c r="B201" s="813" t="e">
        <f>VLOOKUP(C201,'[3]DS CN MOI UP'!$B$10:$C$489,2,0)</f>
        <v>#N/A</v>
      </c>
      <c r="C201" s="846" t="s">
        <v>104</v>
      </c>
      <c r="D201" s="812" t="s">
        <v>15</v>
      </c>
      <c r="E201" s="815"/>
      <c r="F201" s="815"/>
      <c r="G201" s="815"/>
      <c r="H201" s="815"/>
      <c r="I201" s="815"/>
      <c r="J201" s="815"/>
      <c r="K201" s="815"/>
      <c r="L201" s="815"/>
      <c r="M201" s="815"/>
      <c r="N201" s="815">
        <f t="shared" si="58"/>
        <v>0</v>
      </c>
      <c r="O201" s="815">
        <f t="shared" si="59"/>
        <v>0</v>
      </c>
      <c r="P201" s="815">
        <f t="shared" si="60"/>
        <v>0</v>
      </c>
      <c r="Q201" s="815">
        <f t="shared" si="61"/>
        <v>0</v>
      </c>
      <c r="R201" s="815">
        <f t="shared" si="62"/>
        <v>0</v>
      </c>
      <c r="S201" s="815">
        <f t="shared" si="63"/>
        <v>0</v>
      </c>
      <c r="T201" s="815">
        <f t="shared" si="64"/>
        <v>0</v>
      </c>
      <c r="U201" s="815">
        <f t="shared" si="65"/>
        <v>0</v>
      </c>
      <c r="V201" s="815">
        <f t="shared" si="66"/>
        <v>0</v>
      </c>
      <c r="W201" s="815"/>
      <c r="X201" s="815"/>
      <c r="Y201" s="815"/>
      <c r="Z201" s="815"/>
      <c r="AA201" s="830">
        <f t="shared" si="67"/>
        <v>0</v>
      </c>
      <c r="AB201" s="830" t="e">
        <f>VLOOKUP(C201,'[3]MỦ TẠP'!$D$10:$AM$450,36,0)</f>
        <v>#N/A</v>
      </c>
      <c r="AC201" s="830"/>
      <c r="AD201" s="830"/>
      <c r="AE201" s="831" t="e">
        <f t="shared" si="69"/>
        <v>#N/A</v>
      </c>
      <c r="AF201" s="830"/>
      <c r="AG201" s="830"/>
      <c r="AH201" s="830" t="e">
        <f t="shared" si="68"/>
        <v>#N/A</v>
      </c>
      <c r="AI201" s="830" t="e">
        <f>VLOOKUP(C201,'[3]CHẤM CÔNG '!$F$10:$AM$451,33,0)</f>
        <v>#N/A</v>
      </c>
      <c r="AJ201" s="830" t="e">
        <f>VLOOKUP(C201,'[3]CHẤM CÔNG '!$F$10:$AM$451,34,0)</f>
        <v>#N/A</v>
      </c>
      <c r="AK201" s="830"/>
      <c r="AL201" s="830"/>
      <c r="AM201" s="830"/>
      <c r="AN201" s="830" t="e">
        <f>VLOOKUP(C201,'[3]CHẤM CÔNG '!$F$10:$AN$451,35,0)</f>
        <v>#N/A</v>
      </c>
      <c r="AO201" s="830" t="e">
        <f>VLOOKUP(C201,'[3]CHẤM CÔNG '!$F$10:$AR$451,36,0)</f>
        <v>#N/A</v>
      </c>
      <c r="AP201" s="830"/>
      <c r="AQ201" s="830"/>
      <c r="AR201" s="830"/>
      <c r="AS201" s="836"/>
      <c r="AT201" s="837" t="e">
        <f>VLOOKUP(C201,'[3]MỦ TẠP'!$D$10:$AO$450,38,0)</f>
        <v>#N/A</v>
      </c>
    </row>
    <row r="202" spans="1:46" ht="15.75">
      <c r="A202" s="812">
        <v>7</v>
      </c>
      <c r="B202" s="813" t="str">
        <f>VLOOKUP(C202,'[3]DS CN MOI UP'!$B$10:$C$489,2,0)</f>
        <v>02444</v>
      </c>
      <c r="C202" s="846" t="s">
        <v>105</v>
      </c>
      <c r="D202" s="812" t="s">
        <v>15</v>
      </c>
      <c r="E202" s="815"/>
      <c r="F202" s="815"/>
      <c r="G202" s="815"/>
      <c r="H202" s="815"/>
      <c r="I202" s="815"/>
      <c r="J202" s="815"/>
      <c r="K202" s="815"/>
      <c r="L202" s="815"/>
      <c r="M202" s="815"/>
      <c r="N202" s="815">
        <f t="shared" si="58"/>
        <v>0</v>
      </c>
      <c r="O202" s="815">
        <f t="shared" si="59"/>
        <v>0</v>
      </c>
      <c r="P202" s="815">
        <f t="shared" si="60"/>
        <v>0</v>
      </c>
      <c r="Q202" s="815">
        <f t="shared" si="61"/>
        <v>0</v>
      </c>
      <c r="R202" s="815">
        <f t="shared" si="62"/>
        <v>0</v>
      </c>
      <c r="S202" s="815">
        <f t="shared" si="63"/>
        <v>0</v>
      </c>
      <c r="T202" s="815">
        <f t="shared" si="64"/>
        <v>0</v>
      </c>
      <c r="U202" s="815">
        <f t="shared" si="65"/>
        <v>0</v>
      </c>
      <c r="V202" s="815">
        <f t="shared" si="66"/>
        <v>0</v>
      </c>
      <c r="W202" s="815"/>
      <c r="X202" s="815"/>
      <c r="Y202" s="815"/>
      <c r="Z202" s="815"/>
      <c r="AA202" s="830">
        <f t="shared" si="67"/>
        <v>0</v>
      </c>
      <c r="AB202" s="830">
        <f>VLOOKUP(C202,'[3]MỦ TẠP'!$D$10:$AM$450,36,0)</f>
        <v>0</v>
      </c>
      <c r="AC202" s="830"/>
      <c r="AD202" s="830"/>
      <c r="AE202" s="831">
        <f t="shared" si="69"/>
        <v>0</v>
      </c>
      <c r="AF202" s="830"/>
      <c r="AG202" s="830"/>
      <c r="AH202" s="830">
        <f t="shared" si="68"/>
        <v>0</v>
      </c>
      <c r="AI202" s="830">
        <f>VLOOKUP(C202,'[3]CHẤM CÔNG '!$F$10:$AM$451,33,0)</f>
        <v>0</v>
      </c>
      <c r="AJ202" s="830">
        <f>VLOOKUP(C202,'[3]CHẤM CÔNG '!$F$10:$AM$451,34,0)</f>
        <v>0</v>
      </c>
      <c r="AK202" s="830"/>
      <c r="AL202" s="830"/>
      <c r="AM202" s="830"/>
      <c r="AN202" s="830">
        <f>VLOOKUP(C202,'[3]CHẤM CÔNG '!$F$10:$AN$451,35,0)</f>
        <v>0</v>
      </c>
      <c r="AO202" s="830">
        <f>VLOOKUP(C202,'[3]CHẤM CÔNG '!$F$10:$AR$451,36,0)</f>
        <v>0</v>
      </c>
      <c r="AP202" s="830"/>
      <c r="AQ202" s="830"/>
      <c r="AR202" s="830"/>
      <c r="AS202" s="836"/>
      <c r="AT202" s="837">
        <f>VLOOKUP(C202,'[3]MỦ TẠP'!$D$10:$AO$450,38,0)</f>
        <v>0</v>
      </c>
    </row>
    <row r="203" spans="1:46" ht="15.75">
      <c r="A203" s="812">
        <v>8</v>
      </c>
      <c r="B203" s="813" t="e">
        <f>VLOOKUP(C203,'[3]DS CN MOI UP'!$B$10:$C$489,2,0)</f>
        <v>#N/A</v>
      </c>
      <c r="C203" s="846" t="s">
        <v>106</v>
      </c>
      <c r="D203" s="812" t="s">
        <v>15</v>
      </c>
      <c r="E203" s="815"/>
      <c r="F203" s="815"/>
      <c r="G203" s="815"/>
      <c r="H203" s="815"/>
      <c r="I203" s="815"/>
      <c r="J203" s="815"/>
      <c r="K203" s="815"/>
      <c r="L203" s="815"/>
      <c r="M203" s="815"/>
      <c r="N203" s="815">
        <f t="shared" si="58"/>
        <v>0</v>
      </c>
      <c r="O203" s="815">
        <f t="shared" si="59"/>
        <v>0</v>
      </c>
      <c r="P203" s="815">
        <f t="shared" si="60"/>
        <v>0</v>
      </c>
      <c r="Q203" s="815">
        <f t="shared" si="61"/>
        <v>0</v>
      </c>
      <c r="R203" s="815">
        <f t="shared" si="62"/>
        <v>0</v>
      </c>
      <c r="S203" s="815">
        <f t="shared" si="63"/>
        <v>0</v>
      </c>
      <c r="T203" s="815">
        <f t="shared" si="64"/>
        <v>0</v>
      </c>
      <c r="U203" s="815">
        <f t="shared" si="65"/>
        <v>0</v>
      </c>
      <c r="V203" s="815">
        <f t="shared" si="66"/>
        <v>0</v>
      </c>
      <c r="W203" s="815"/>
      <c r="X203" s="815"/>
      <c r="Y203" s="815"/>
      <c r="Z203" s="815"/>
      <c r="AA203" s="830">
        <f t="shared" si="67"/>
        <v>0</v>
      </c>
      <c r="AB203" s="830">
        <f>VLOOKUP(C203,'[3]MỦ TẠP'!$D$10:$AM$450,36,0)</f>
        <v>0</v>
      </c>
      <c r="AC203" s="830"/>
      <c r="AD203" s="830"/>
      <c r="AE203" s="831">
        <f t="shared" si="69"/>
        <v>0</v>
      </c>
      <c r="AF203" s="830"/>
      <c r="AG203" s="830"/>
      <c r="AH203" s="830">
        <f t="shared" si="68"/>
        <v>0</v>
      </c>
      <c r="AI203" s="830">
        <f>VLOOKUP(C203,'[3]CHẤM CÔNG '!$F$10:$AM$451,33,0)</f>
        <v>0</v>
      </c>
      <c r="AJ203" s="830">
        <f>VLOOKUP(C203,'[3]CHẤM CÔNG '!$F$10:$AM$451,34,0)</f>
        <v>0</v>
      </c>
      <c r="AK203" s="830"/>
      <c r="AL203" s="830"/>
      <c r="AM203" s="830"/>
      <c r="AN203" s="830">
        <f>VLOOKUP(C203,'[3]CHẤM CÔNG '!$F$10:$AN$451,35,0)</f>
        <v>0</v>
      </c>
      <c r="AO203" s="830">
        <f>VLOOKUP(C203,'[3]CHẤM CÔNG '!$F$10:$AR$451,36,0)</f>
        <v>0</v>
      </c>
      <c r="AP203" s="830"/>
      <c r="AQ203" s="830"/>
      <c r="AR203" s="830"/>
      <c r="AS203" s="836"/>
      <c r="AT203" s="837">
        <f>VLOOKUP(C203,'[3]MỦ TẠP'!$D$10:$AO$450,38,0)</f>
        <v>0</v>
      </c>
    </row>
    <row r="204" spans="1:46" ht="15.75">
      <c r="A204" s="812">
        <v>9</v>
      </c>
      <c r="B204" s="813" t="e">
        <f>VLOOKUP(C204,'[3]DS CN MOI UP'!$B$10:$C$489,2,0)</f>
        <v>#N/A</v>
      </c>
      <c r="C204" s="846" t="s">
        <v>107</v>
      </c>
      <c r="D204" s="812" t="s">
        <v>15</v>
      </c>
      <c r="E204" s="815"/>
      <c r="F204" s="815"/>
      <c r="G204" s="815"/>
      <c r="H204" s="815"/>
      <c r="I204" s="815"/>
      <c r="J204" s="815"/>
      <c r="K204" s="815"/>
      <c r="L204" s="815"/>
      <c r="M204" s="815"/>
      <c r="N204" s="815">
        <f t="shared" si="58"/>
        <v>0</v>
      </c>
      <c r="O204" s="815">
        <f t="shared" si="59"/>
        <v>0</v>
      </c>
      <c r="P204" s="815">
        <f t="shared" si="60"/>
        <v>0</v>
      </c>
      <c r="Q204" s="815">
        <f t="shared" si="61"/>
        <v>0</v>
      </c>
      <c r="R204" s="815">
        <f t="shared" si="62"/>
        <v>0</v>
      </c>
      <c r="S204" s="815">
        <f t="shared" si="63"/>
        <v>0</v>
      </c>
      <c r="T204" s="815">
        <f t="shared" si="64"/>
        <v>0</v>
      </c>
      <c r="U204" s="815">
        <f t="shared" si="65"/>
        <v>0</v>
      </c>
      <c r="V204" s="815">
        <f t="shared" si="66"/>
        <v>0</v>
      </c>
      <c r="W204" s="815"/>
      <c r="X204" s="815"/>
      <c r="Y204" s="815"/>
      <c r="Z204" s="815"/>
      <c r="AA204" s="830">
        <f t="shared" si="67"/>
        <v>0</v>
      </c>
      <c r="AB204" s="830" t="e">
        <f>VLOOKUP(C204,'[3]MỦ TẠP'!$D$10:$AM$450,36,0)</f>
        <v>#N/A</v>
      </c>
      <c r="AC204" s="830"/>
      <c r="AD204" s="830"/>
      <c r="AE204" s="831" t="e">
        <f t="shared" si="69"/>
        <v>#N/A</v>
      </c>
      <c r="AF204" s="830"/>
      <c r="AG204" s="830"/>
      <c r="AH204" s="830" t="e">
        <f t="shared" si="68"/>
        <v>#N/A</v>
      </c>
      <c r="AI204" s="830">
        <f>VLOOKUP(C204,'[3]CHẤM CÔNG '!$F$10:$AM$451,33,0)</f>
        <v>0</v>
      </c>
      <c r="AJ204" s="830">
        <f>VLOOKUP(C204,'[3]CHẤM CÔNG '!$F$10:$AM$451,34,0)</f>
        <v>0</v>
      </c>
      <c r="AK204" s="830"/>
      <c r="AL204" s="830"/>
      <c r="AM204" s="830"/>
      <c r="AN204" s="830">
        <f>VLOOKUP(C204,'[3]CHẤM CÔNG '!$F$10:$AN$451,35,0)</f>
        <v>0</v>
      </c>
      <c r="AO204" s="830">
        <f>VLOOKUP(C204,'[3]CHẤM CÔNG '!$F$10:$AR$451,36,0)</f>
        <v>0</v>
      </c>
      <c r="AP204" s="830"/>
      <c r="AQ204" s="830"/>
      <c r="AR204" s="830"/>
      <c r="AS204" s="836"/>
      <c r="AT204" s="837" t="e">
        <f>VLOOKUP(C204,'[3]MỦ TẠP'!$D$10:$AO$450,38,0)</f>
        <v>#N/A</v>
      </c>
    </row>
    <row r="205" spans="1:46" ht="15.75">
      <c r="A205" s="812">
        <v>10</v>
      </c>
      <c r="B205" s="813" t="str">
        <f>VLOOKUP(C205,'[3]DS CN MOI UP'!$B$10:$C$489,2,0)</f>
        <v>02449</v>
      </c>
      <c r="C205" s="846" t="s">
        <v>108</v>
      </c>
      <c r="D205" s="812" t="s">
        <v>15</v>
      </c>
      <c r="E205" s="815"/>
      <c r="F205" s="815"/>
      <c r="G205" s="815"/>
      <c r="H205" s="815"/>
      <c r="I205" s="815"/>
      <c r="J205" s="815"/>
      <c r="K205" s="815"/>
      <c r="L205" s="815"/>
      <c r="M205" s="815"/>
      <c r="N205" s="815">
        <f t="shared" si="58"/>
        <v>0</v>
      </c>
      <c r="O205" s="815">
        <f t="shared" si="59"/>
        <v>0</v>
      </c>
      <c r="P205" s="815">
        <f t="shared" si="60"/>
        <v>0</v>
      </c>
      <c r="Q205" s="815">
        <f t="shared" si="61"/>
        <v>0</v>
      </c>
      <c r="R205" s="815">
        <f t="shared" si="62"/>
        <v>0</v>
      </c>
      <c r="S205" s="815">
        <f t="shared" si="63"/>
        <v>0</v>
      </c>
      <c r="T205" s="815">
        <f t="shared" si="64"/>
        <v>0</v>
      </c>
      <c r="U205" s="815">
        <f t="shared" si="65"/>
        <v>0</v>
      </c>
      <c r="V205" s="815">
        <f t="shared" si="66"/>
        <v>0</v>
      </c>
      <c r="W205" s="815"/>
      <c r="X205" s="815"/>
      <c r="Y205" s="815"/>
      <c r="Z205" s="815"/>
      <c r="AA205" s="830">
        <f t="shared" si="67"/>
        <v>0</v>
      </c>
      <c r="AB205" s="830"/>
      <c r="AC205" s="830"/>
      <c r="AD205" s="830"/>
      <c r="AE205" s="831">
        <f t="shared" si="69"/>
        <v>0</v>
      </c>
      <c r="AF205" s="830"/>
      <c r="AG205" s="830"/>
      <c r="AH205" s="830">
        <f t="shared" si="68"/>
        <v>0</v>
      </c>
      <c r="AI205" s="830">
        <f>VLOOKUP(C205,'[3]CHẤM CÔNG '!$F$10:$AM$451,33,0)</f>
        <v>0</v>
      </c>
      <c r="AJ205" s="830">
        <f>VLOOKUP(C205,'[3]CHẤM CÔNG '!$F$10:$AM$451,34,0)</f>
        <v>0</v>
      </c>
      <c r="AK205" s="830"/>
      <c r="AL205" s="830"/>
      <c r="AM205" s="830"/>
      <c r="AN205" s="830">
        <f>VLOOKUP(C205,'[3]CHẤM CÔNG '!$F$10:$AN$451,35,0)</f>
        <v>0</v>
      </c>
      <c r="AO205" s="830">
        <f>VLOOKUP(C205,'[3]CHẤM CÔNG '!$F$10:$AR$451,36,0)</f>
        <v>0</v>
      </c>
      <c r="AP205" s="830"/>
      <c r="AQ205" s="830"/>
      <c r="AR205" s="830"/>
      <c r="AS205" s="836"/>
      <c r="AT205" s="837">
        <f>VLOOKUP(C205,'[3]MỦ TẠP'!$D$10:$AO$450,38,0)</f>
        <v>0</v>
      </c>
    </row>
    <row r="206" spans="1:46" ht="15.75">
      <c r="A206" s="812">
        <v>11</v>
      </c>
      <c r="B206" s="813" t="str">
        <f>VLOOKUP(C206,'[3]DS CN MOI UP'!$B$10:$C$489,2,0)</f>
        <v>02445</v>
      </c>
      <c r="C206" s="846" t="s">
        <v>109</v>
      </c>
      <c r="D206" s="812" t="s">
        <v>15</v>
      </c>
      <c r="E206" s="815"/>
      <c r="F206" s="815"/>
      <c r="G206" s="815"/>
      <c r="H206" s="815"/>
      <c r="I206" s="815"/>
      <c r="J206" s="815"/>
      <c r="K206" s="815"/>
      <c r="L206" s="815"/>
      <c r="M206" s="815"/>
      <c r="N206" s="815">
        <f t="shared" si="58"/>
        <v>0</v>
      </c>
      <c r="O206" s="815">
        <f t="shared" si="59"/>
        <v>0</v>
      </c>
      <c r="P206" s="815">
        <f t="shared" si="60"/>
        <v>0</v>
      </c>
      <c r="Q206" s="815">
        <f t="shared" si="61"/>
        <v>0</v>
      </c>
      <c r="R206" s="815">
        <f t="shared" si="62"/>
        <v>0</v>
      </c>
      <c r="S206" s="815">
        <f t="shared" si="63"/>
        <v>0</v>
      </c>
      <c r="T206" s="815">
        <f t="shared" si="64"/>
        <v>0</v>
      </c>
      <c r="U206" s="815">
        <f t="shared" si="65"/>
        <v>0</v>
      </c>
      <c r="V206" s="815">
        <f t="shared" si="66"/>
        <v>0</v>
      </c>
      <c r="W206" s="815"/>
      <c r="X206" s="815"/>
      <c r="Y206" s="815"/>
      <c r="Z206" s="815"/>
      <c r="AA206" s="830">
        <f t="shared" si="67"/>
        <v>0</v>
      </c>
      <c r="AB206" s="830"/>
      <c r="AC206" s="830"/>
      <c r="AD206" s="830"/>
      <c r="AE206" s="831">
        <f t="shared" si="69"/>
        <v>0</v>
      </c>
      <c r="AF206" s="830"/>
      <c r="AG206" s="830"/>
      <c r="AH206" s="830">
        <f t="shared" si="68"/>
        <v>0</v>
      </c>
      <c r="AI206" s="830">
        <f>VLOOKUP(C206,'[3]CHẤM CÔNG '!$F$10:$AM$451,33,0)</f>
        <v>0</v>
      </c>
      <c r="AJ206" s="830">
        <f>VLOOKUP(C206,'[3]CHẤM CÔNG '!$F$10:$AM$451,34,0)</f>
        <v>0</v>
      </c>
      <c r="AK206" s="830"/>
      <c r="AL206" s="830"/>
      <c r="AM206" s="830"/>
      <c r="AN206" s="830">
        <f>VLOOKUP(C206,'[3]CHẤM CÔNG '!$F$10:$AN$451,35,0)</f>
        <v>0</v>
      </c>
      <c r="AO206" s="830">
        <f>VLOOKUP(C206,'[3]CHẤM CÔNG '!$F$10:$AR$451,36,0)</f>
        <v>0</v>
      </c>
      <c r="AP206" s="830"/>
      <c r="AQ206" s="830"/>
      <c r="AR206" s="830"/>
      <c r="AS206" s="836"/>
      <c r="AT206" s="837">
        <f>VLOOKUP(C206,'[3]MỦ TẠP'!$D$10:$AO$450,38,0)</f>
        <v>0</v>
      </c>
    </row>
    <row r="207" spans="1:46" ht="15.75">
      <c r="A207" s="812">
        <v>12</v>
      </c>
      <c r="B207" s="813" t="str">
        <f>VLOOKUP(C207,'[3]DS CN MOI UP'!$B$10:$C$489,2,0)</f>
        <v>02446</v>
      </c>
      <c r="C207" s="846" t="s">
        <v>110</v>
      </c>
      <c r="D207" s="812" t="s">
        <v>15</v>
      </c>
      <c r="E207" s="815"/>
      <c r="F207" s="815"/>
      <c r="G207" s="815"/>
      <c r="H207" s="815"/>
      <c r="I207" s="815"/>
      <c r="J207" s="815"/>
      <c r="K207" s="815"/>
      <c r="L207" s="815"/>
      <c r="M207" s="815"/>
      <c r="N207" s="815">
        <f t="shared" si="58"/>
        <v>0</v>
      </c>
      <c r="O207" s="815">
        <f t="shared" si="59"/>
        <v>0</v>
      </c>
      <c r="P207" s="815">
        <f t="shared" si="60"/>
        <v>0</v>
      </c>
      <c r="Q207" s="815">
        <f t="shared" si="61"/>
        <v>0</v>
      </c>
      <c r="R207" s="815">
        <f t="shared" si="62"/>
        <v>0</v>
      </c>
      <c r="S207" s="815">
        <f t="shared" si="63"/>
        <v>0</v>
      </c>
      <c r="T207" s="815">
        <f t="shared" si="64"/>
        <v>0</v>
      </c>
      <c r="U207" s="815">
        <f t="shared" si="65"/>
        <v>0</v>
      </c>
      <c r="V207" s="815">
        <f t="shared" si="66"/>
        <v>0</v>
      </c>
      <c r="W207" s="815"/>
      <c r="X207" s="815"/>
      <c r="Y207" s="815"/>
      <c r="Z207" s="815"/>
      <c r="AA207" s="830">
        <f t="shared" si="67"/>
        <v>0</v>
      </c>
      <c r="AB207" s="830">
        <f>VLOOKUP(C207,'[3]MỦ TẠP'!$D$10:$AM$450,36,0)</f>
        <v>0</v>
      </c>
      <c r="AC207" s="830"/>
      <c r="AD207" s="830"/>
      <c r="AE207" s="831">
        <f t="shared" si="69"/>
        <v>0</v>
      </c>
      <c r="AF207" s="830"/>
      <c r="AG207" s="830"/>
      <c r="AH207" s="830">
        <f t="shared" si="68"/>
        <v>0</v>
      </c>
      <c r="AI207" s="830">
        <f>VLOOKUP(C207,'[3]CHẤM CÔNG '!$F$10:$AM$451,33,0)</f>
        <v>0</v>
      </c>
      <c r="AJ207" s="830">
        <f>VLOOKUP(C207,'[3]CHẤM CÔNG '!$F$10:$AM$451,34,0)</f>
        <v>0</v>
      </c>
      <c r="AK207" s="830"/>
      <c r="AL207" s="830"/>
      <c r="AM207" s="830"/>
      <c r="AN207" s="830">
        <f>VLOOKUP(C207,'[3]CHẤM CÔNG '!$F$10:$AN$451,35,0)</f>
        <v>0</v>
      </c>
      <c r="AO207" s="830">
        <f>VLOOKUP(C207,'[3]CHẤM CÔNG '!$F$10:$AR$451,36,0)</f>
        <v>0</v>
      </c>
      <c r="AP207" s="830"/>
      <c r="AQ207" s="830"/>
      <c r="AR207" s="830"/>
      <c r="AS207" s="836"/>
      <c r="AT207" s="837">
        <f>VLOOKUP(C207,'[3]MỦ TẠP'!$D$10:$AO$450,38,0)</f>
        <v>0</v>
      </c>
    </row>
    <row r="208" spans="1:46" ht="15.75">
      <c r="A208" s="812">
        <v>13</v>
      </c>
      <c r="B208" s="813" t="str">
        <f>VLOOKUP(C208,'[3]DS CN MOI UP'!$B$10:$C$489,2,0)</f>
        <v>03345</v>
      </c>
      <c r="C208" s="846" t="s">
        <v>111</v>
      </c>
      <c r="D208" s="812" t="s">
        <v>15</v>
      </c>
      <c r="E208" s="815"/>
      <c r="F208" s="815"/>
      <c r="G208" s="815"/>
      <c r="H208" s="815"/>
      <c r="I208" s="815"/>
      <c r="J208" s="815"/>
      <c r="K208" s="815"/>
      <c r="L208" s="815"/>
      <c r="M208" s="815"/>
      <c r="N208" s="815">
        <f t="shared" si="58"/>
        <v>0</v>
      </c>
      <c r="O208" s="815">
        <f t="shared" si="59"/>
        <v>0</v>
      </c>
      <c r="P208" s="815">
        <f t="shared" si="60"/>
        <v>0</v>
      </c>
      <c r="Q208" s="815">
        <f t="shared" si="61"/>
        <v>0</v>
      </c>
      <c r="R208" s="815">
        <f t="shared" si="62"/>
        <v>0</v>
      </c>
      <c r="S208" s="815">
        <f t="shared" si="63"/>
        <v>0</v>
      </c>
      <c r="T208" s="815">
        <f t="shared" si="64"/>
        <v>0</v>
      </c>
      <c r="U208" s="815">
        <f t="shared" si="65"/>
        <v>0</v>
      </c>
      <c r="V208" s="815">
        <f t="shared" si="66"/>
        <v>0</v>
      </c>
      <c r="W208" s="815"/>
      <c r="X208" s="815"/>
      <c r="Y208" s="815"/>
      <c r="Z208" s="815"/>
      <c r="AA208" s="830">
        <f t="shared" si="67"/>
        <v>0</v>
      </c>
      <c r="AB208" s="830">
        <f>VLOOKUP(C208,'[3]MỦ TẠP'!$D$10:$AM$450,36,0)</f>
        <v>0</v>
      </c>
      <c r="AC208" s="830"/>
      <c r="AD208" s="830"/>
      <c r="AE208" s="831">
        <f t="shared" si="69"/>
        <v>0</v>
      </c>
      <c r="AF208" s="830"/>
      <c r="AG208" s="830"/>
      <c r="AH208" s="830">
        <f t="shared" si="68"/>
        <v>0</v>
      </c>
      <c r="AI208" s="830">
        <f>VLOOKUP(C208,'[3]CHẤM CÔNG '!$F$10:$AM$451,33,0)</f>
        <v>0</v>
      </c>
      <c r="AJ208" s="830">
        <f>VLOOKUP(C208,'[3]CHẤM CÔNG '!$F$10:$AM$451,34,0)</f>
        <v>0</v>
      </c>
      <c r="AK208" s="830"/>
      <c r="AL208" s="830"/>
      <c r="AM208" s="830"/>
      <c r="AN208" s="830">
        <f>VLOOKUP(C208,'[3]CHẤM CÔNG '!$F$10:$AN$451,35,0)</f>
        <v>0</v>
      </c>
      <c r="AO208" s="830">
        <f>VLOOKUP(C208,'[3]CHẤM CÔNG '!$F$10:$AR$451,36,0)</f>
        <v>0</v>
      </c>
      <c r="AP208" s="830"/>
      <c r="AQ208" s="830"/>
      <c r="AR208" s="830"/>
      <c r="AS208" s="836"/>
      <c r="AT208" s="837">
        <f>VLOOKUP(C208,'[3]MỦ TẠP'!$D$10:$AO$450,38,0)</f>
        <v>0</v>
      </c>
    </row>
    <row r="209" spans="1:52" ht="15.75">
      <c r="A209" s="812">
        <v>14</v>
      </c>
      <c r="B209" s="813" t="str">
        <f>VLOOKUP(C209,'[3]DS CN MOI UP'!$B$10:$C$489,2,0)</f>
        <v>03854</v>
      </c>
      <c r="C209" s="846" t="s">
        <v>112</v>
      </c>
      <c r="D209" s="812" t="s">
        <v>15</v>
      </c>
      <c r="E209" s="815"/>
      <c r="F209" s="815"/>
      <c r="G209" s="815"/>
      <c r="H209" s="815"/>
      <c r="I209" s="815"/>
      <c r="J209" s="815"/>
      <c r="K209" s="815"/>
      <c r="L209" s="815"/>
      <c r="M209" s="815"/>
      <c r="N209" s="815">
        <f t="shared" si="58"/>
        <v>0</v>
      </c>
      <c r="O209" s="815">
        <f t="shared" si="59"/>
        <v>0</v>
      </c>
      <c r="P209" s="815">
        <f t="shared" si="60"/>
        <v>0</v>
      </c>
      <c r="Q209" s="815">
        <f t="shared" si="61"/>
        <v>0</v>
      </c>
      <c r="R209" s="815">
        <f t="shared" si="62"/>
        <v>0</v>
      </c>
      <c r="S209" s="815">
        <f t="shared" si="63"/>
        <v>0</v>
      </c>
      <c r="T209" s="815">
        <f t="shared" si="64"/>
        <v>0</v>
      </c>
      <c r="U209" s="815">
        <f t="shared" si="65"/>
        <v>0</v>
      </c>
      <c r="V209" s="815">
        <f t="shared" si="66"/>
        <v>0</v>
      </c>
      <c r="W209" s="815"/>
      <c r="X209" s="815"/>
      <c r="Y209" s="815"/>
      <c r="Z209" s="815"/>
      <c r="AA209" s="830">
        <f t="shared" si="67"/>
        <v>0</v>
      </c>
      <c r="AB209" s="830">
        <f>VLOOKUP(C209,'[3]MỦ TẠP'!$D$10:$AM$450,36,0)</f>
        <v>0</v>
      </c>
      <c r="AC209" s="830"/>
      <c r="AD209" s="830"/>
      <c r="AE209" s="831">
        <f t="shared" si="69"/>
        <v>0</v>
      </c>
      <c r="AF209" s="830"/>
      <c r="AG209" s="830"/>
      <c r="AH209" s="830">
        <f t="shared" si="68"/>
        <v>0</v>
      </c>
      <c r="AI209" s="830">
        <f>VLOOKUP(C209,'[3]CHẤM CÔNG '!$F$10:$AM$451,33,0)</f>
        <v>0</v>
      </c>
      <c r="AJ209" s="830">
        <f>VLOOKUP(C209,'[3]CHẤM CÔNG '!$F$10:$AM$451,34,0)</f>
        <v>0</v>
      </c>
      <c r="AK209" s="830"/>
      <c r="AL209" s="830"/>
      <c r="AM209" s="830"/>
      <c r="AN209" s="830">
        <f>VLOOKUP(C209,'[3]CHẤM CÔNG '!$F$10:$AN$451,35,0)</f>
        <v>0</v>
      </c>
      <c r="AO209" s="830">
        <f>VLOOKUP(C209,'[3]CHẤM CÔNG '!$F$10:$AR$451,36,0)</f>
        <v>0</v>
      </c>
      <c r="AP209" s="830"/>
      <c r="AQ209" s="830"/>
      <c r="AR209" s="830"/>
      <c r="AS209" s="836"/>
      <c r="AT209" s="837">
        <f>VLOOKUP(C209,'[3]MỦ TẠP'!$D$10:$AO$450,38,0)</f>
        <v>0</v>
      </c>
    </row>
    <row r="210" spans="1:52" ht="15.75">
      <c r="A210" s="812">
        <v>15</v>
      </c>
      <c r="B210" s="813" t="str">
        <f>VLOOKUP(C210,'[3]DS CN MOI UP'!$B$10:$C$489,2,0)</f>
        <v>03855</v>
      </c>
      <c r="C210" s="846" t="s">
        <v>113</v>
      </c>
      <c r="D210" s="812" t="s">
        <v>15</v>
      </c>
      <c r="E210" s="815"/>
      <c r="F210" s="815"/>
      <c r="G210" s="815"/>
      <c r="H210" s="815"/>
      <c r="I210" s="815"/>
      <c r="J210" s="815"/>
      <c r="K210" s="815"/>
      <c r="L210" s="815"/>
      <c r="M210" s="815"/>
      <c r="N210" s="815">
        <f t="shared" si="58"/>
        <v>0</v>
      </c>
      <c r="O210" s="815">
        <f t="shared" si="59"/>
        <v>0</v>
      </c>
      <c r="P210" s="815">
        <f t="shared" si="60"/>
        <v>0</v>
      </c>
      <c r="Q210" s="815">
        <f t="shared" si="61"/>
        <v>0</v>
      </c>
      <c r="R210" s="815">
        <f t="shared" si="62"/>
        <v>0</v>
      </c>
      <c r="S210" s="815">
        <f t="shared" si="63"/>
        <v>0</v>
      </c>
      <c r="T210" s="815">
        <f t="shared" si="64"/>
        <v>0</v>
      </c>
      <c r="U210" s="815">
        <f t="shared" si="65"/>
        <v>0</v>
      </c>
      <c r="V210" s="815">
        <f t="shared" si="66"/>
        <v>0</v>
      </c>
      <c r="W210" s="815"/>
      <c r="X210" s="815"/>
      <c r="Y210" s="815"/>
      <c r="Z210" s="815"/>
      <c r="AA210" s="830">
        <f t="shared" si="67"/>
        <v>0</v>
      </c>
      <c r="AB210" s="830">
        <f>VLOOKUP(C210,'[3]MỦ TẠP'!$D$10:$AM$450,36,0)</f>
        <v>0</v>
      </c>
      <c r="AC210" s="830"/>
      <c r="AD210" s="830"/>
      <c r="AE210" s="831">
        <f t="shared" si="69"/>
        <v>0</v>
      </c>
      <c r="AF210" s="830"/>
      <c r="AG210" s="830"/>
      <c r="AH210" s="830">
        <f t="shared" si="68"/>
        <v>0</v>
      </c>
      <c r="AI210" s="830">
        <f>VLOOKUP(C210,'[3]CHẤM CÔNG '!$F$10:$AM$451,33,0)</f>
        <v>0</v>
      </c>
      <c r="AJ210" s="830">
        <f>VLOOKUP(C210,'[3]CHẤM CÔNG '!$F$10:$AM$451,34,0)</f>
        <v>0</v>
      </c>
      <c r="AK210" s="830"/>
      <c r="AL210" s="830"/>
      <c r="AM210" s="830"/>
      <c r="AN210" s="830">
        <f>VLOOKUP(C210,'[3]CHẤM CÔNG '!$F$10:$AN$451,35,0)</f>
        <v>0</v>
      </c>
      <c r="AO210" s="830">
        <f>VLOOKUP(C210,'[3]CHẤM CÔNG '!$F$10:$AR$451,36,0)</f>
        <v>0</v>
      </c>
      <c r="AP210" s="830"/>
      <c r="AQ210" s="830"/>
      <c r="AR210" s="830"/>
      <c r="AS210" s="836"/>
      <c r="AT210" s="837">
        <f>VLOOKUP(C210,'[3]MỦ TẠP'!$D$10:$AO$450,38,0)</f>
        <v>0</v>
      </c>
    </row>
    <row r="211" spans="1:52" ht="15.75">
      <c r="A211" s="812">
        <v>16</v>
      </c>
      <c r="B211" s="813" t="e">
        <f>VLOOKUP(C211,'[3]DS CN MOI UP'!$B$10:$C$489,2,0)</f>
        <v>#N/A</v>
      </c>
      <c r="C211" s="846" t="s">
        <v>114</v>
      </c>
      <c r="D211" s="812" t="s">
        <v>15</v>
      </c>
      <c r="E211" s="815"/>
      <c r="F211" s="815"/>
      <c r="G211" s="815"/>
      <c r="H211" s="815"/>
      <c r="I211" s="815"/>
      <c r="J211" s="815"/>
      <c r="K211" s="815"/>
      <c r="L211" s="815"/>
      <c r="M211" s="815"/>
      <c r="N211" s="815">
        <f t="shared" si="58"/>
        <v>0</v>
      </c>
      <c r="O211" s="815">
        <f t="shared" si="59"/>
        <v>0</v>
      </c>
      <c r="P211" s="815">
        <f t="shared" si="60"/>
        <v>0</v>
      </c>
      <c r="Q211" s="815">
        <f t="shared" si="61"/>
        <v>0</v>
      </c>
      <c r="R211" s="815">
        <f t="shared" si="62"/>
        <v>0</v>
      </c>
      <c r="S211" s="815">
        <f t="shared" si="63"/>
        <v>0</v>
      </c>
      <c r="T211" s="815">
        <f t="shared" si="64"/>
        <v>0</v>
      </c>
      <c r="U211" s="815">
        <f t="shared" si="65"/>
        <v>0</v>
      </c>
      <c r="V211" s="815">
        <f t="shared" si="66"/>
        <v>0</v>
      </c>
      <c r="W211" s="815"/>
      <c r="X211" s="815"/>
      <c r="Y211" s="815"/>
      <c r="Z211" s="815"/>
      <c r="AA211" s="830">
        <f t="shared" si="67"/>
        <v>0</v>
      </c>
      <c r="AB211" s="830">
        <f>VLOOKUP(C211,'[3]MỦ TẠP'!$D$10:$AM$450,36,0)</f>
        <v>0</v>
      </c>
      <c r="AC211" s="830"/>
      <c r="AD211" s="830"/>
      <c r="AE211" s="831">
        <f t="shared" si="69"/>
        <v>0</v>
      </c>
      <c r="AF211" s="830"/>
      <c r="AG211" s="830"/>
      <c r="AH211" s="830">
        <f t="shared" si="68"/>
        <v>0</v>
      </c>
      <c r="AI211" s="830">
        <f>VLOOKUP(C211,'[3]CHẤM CÔNG '!$F$10:$AM$451,33,0)</f>
        <v>0</v>
      </c>
      <c r="AJ211" s="830">
        <f>VLOOKUP(C211,'[3]CHẤM CÔNG '!$F$10:$AM$451,34,0)</f>
        <v>0</v>
      </c>
      <c r="AK211" s="830"/>
      <c r="AL211" s="830"/>
      <c r="AM211" s="830"/>
      <c r="AN211" s="830">
        <f>VLOOKUP(C211,'[3]CHẤM CÔNG '!$F$10:$AN$451,35,0)</f>
        <v>0</v>
      </c>
      <c r="AO211" s="830">
        <f>VLOOKUP(C211,'[3]CHẤM CÔNG '!$F$10:$AR$451,36,0)</f>
        <v>0</v>
      </c>
      <c r="AP211" s="830"/>
      <c r="AQ211" s="830"/>
      <c r="AR211" s="830"/>
      <c r="AS211" s="836"/>
      <c r="AT211" s="837">
        <f>VLOOKUP(C211,'[3]MỦ TẠP'!$D$10:$AO$450,38,0)</f>
        <v>0</v>
      </c>
    </row>
    <row r="212" spans="1:52" ht="15.75">
      <c r="A212" s="812">
        <v>17</v>
      </c>
      <c r="B212" s="813" t="e">
        <f>VLOOKUP(C212,'[3]DS CN MOI UP'!$B$10:$C$489,2,0)</f>
        <v>#N/A</v>
      </c>
      <c r="C212" s="846" t="s">
        <v>116</v>
      </c>
      <c r="D212" s="812" t="s">
        <v>15</v>
      </c>
      <c r="E212" s="815"/>
      <c r="F212" s="815"/>
      <c r="G212" s="815"/>
      <c r="H212" s="815"/>
      <c r="I212" s="815"/>
      <c r="J212" s="815"/>
      <c r="K212" s="815"/>
      <c r="L212" s="815"/>
      <c r="M212" s="815"/>
      <c r="N212" s="815">
        <f t="shared" si="58"/>
        <v>0</v>
      </c>
      <c r="O212" s="815">
        <f t="shared" si="59"/>
        <v>0</v>
      </c>
      <c r="P212" s="815">
        <f t="shared" si="60"/>
        <v>0</v>
      </c>
      <c r="Q212" s="815">
        <f t="shared" si="61"/>
        <v>0</v>
      </c>
      <c r="R212" s="815">
        <f t="shared" si="62"/>
        <v>0</v>
      </c>
      <c r="S212" s="815">
        <f t="shared" si="63"/>
        <v>0</v>
      </c>
      <c r="T212" s="815">
        <f t="shared" si="64"/>
        <v>0</v>
      </c>
      <c r="U212" s="815">
        <f t="shared" si="65"/>
        <v>0</v>
      </c>
      <c r="V212" s="815">
        <f t="shared" si="66"/>
        <v>0</v>
      </c>
      <c r="W212" s="815"/>
      <c r="X212" s="815"/>
      <c r="Y212" s="815"/>
      <c r="Z212" s="815"/>
      <c r="AA212" s="830">
        <f t="shared" si="67"/>
        <v>0</v>
      </c>
      <c r="AB212" s="830">
        <f>VLOOKUP(C212,'[3]MỦ TẠP'!$D$10:$AM$450,36,0)</f>
        <v>0</v>
      </c>
      <c r="AC212" s="830"/>
      <c r="AD212" s="830"/>
      <c r="AE212" s="831">
        <f t="shared" si="69"/>
        <v>0</v>
      </c>
      <c r="AF212" s="830"/>
      <c r="AG212" s="830"/>
      <c r="AH212" s="830">
        <f t="shared" si="68"/>
        <v>0</v>
      </c>
      <c r="AI212" s="830">
        <f>VLOOKUP(C212,'[3]CHẤM CÔNG '!$F$10:$AM$451,33,0)</f>
        <v>0</v>
      </c>
      <c r="AJ212" s="830">
        <f>VLOOKUP(C212,'[3]CHẤM CÔNG '!$F$10:$AM$451,34,0)</f>
        <v>0</v>
      </c>
      <c r="AK212" s="830"/>
      <c r="AL212" s="830"/>
      <c r="AM212" s="830"/>
      <c r="AN212" s="830">
        <f>VLOOKUP(C212,'[3]CHẤM CÔNG '!$F$10:$AN$451,35,0)</f>
        <v>0</v>
      </c>
      <c r="AO212" s="830">
        <f>VLOOKUP(C212,'[3]CHẤM CÔNG '!$F$10:$AR$451,36,0)</f>
        <v>0</v>
      </c>
      <c r="AP212" s="830"/>
      <c r="AQ212" s="830"/>
      <c r="AR212" s="830"/>
      <c r="AS212" s="836"/>
      <c r="AT212" s="837">
        <f>VLOOKUP(C212,'[3]MỦ TẠP'!$D$10:$AO$450,38,0)</f>
        <v>0</v>
      </c>
    </row>
    <row r="213" spans="1:52" ht="15.75">
      <c r="A213" s="812">
        <v>18</v>
      </c>
      <c r="B213" s="813" t="str">
        <f>VLOOKUP(C213,'[3]DS CN MOI UP'!$B$10:$C$489,2,0)</f>
        <v>02505</v>
      </c>
      <c r="C213" s="846" t="s">
        <v>117</v>
      </c>
      <c r="D213" s="812" t="s">
        <v>15</v>
      </c>
      <c r="E213" s="815"/>
      <c r="F213" s="815"/>
      <c r="G213" s="815"/>
      <c r="H213" s="815"/>
      <c r="I213" s="815"/>
      <c r="J213" s="815"/>
      <c r="K213" s="815"/>
      <c r="L213" s="815"/>
      <c r="M213" s="815"/>
      <c r="N213" s="815">
        <f t="shared" si="58"/>
        <v>0</v>
      </c>
      <c r="O213" s="815">
        <f t="shared" si="59"/>
        <v>0</v>
      </c>
      <c r="P213" s="815">
        <f t="shared" si="60"/>
        <v>0</v>
      </c>
      <c r="Q213" s="815">
        <f t="shared" si="61"/>
        <v>0</v>
      </c>
      <c r="R213" s="815">
        <f t="shared" si="62"/>
        <v>0</v>
      </c>
      <c r="S213" s="815">
        <f t="shared" si="63"/>
        <v>0</v>
      </c>
      <c r="T213" s="815">
        <f t="shared" si="64"/>
        <v>0</v>
      </c>
      <c r="U213" s="815">
        <f t="shared" si="65"/>
        <v>0</v>
      </c>
      <c r="V213" s="815">
        <f t="shared" si="66"/>
        <v>0</v>
      </c>
      <c r="W213" s="815"/>
      <c r="X213" s="815"/>
      <c r="Y213" s="815"/>
      <c r="Z213" s="815"/>
      <c r="AA213" s="830">
        <f t="shared" si="67"/>
        <v>0</v>
      </c>
      <c r="AB213" s="830">
        <f>VLOOKUP(C213,'[3]MỦ TẠP'!$D$10:$AM$450,36,0)</f>
        <v>0</v>
      </c>
      <c r="AC213" s="830"/>
      <c r="AD213" s="830"/>
      <c r="AE213" s="831">
        <f t="shared" si="69"/>
        <v>0</v>
      </c>
      <c r="AF213" s="830"/>
      <c r="AG213" s="830"/>
      <c r="AH213" s="830">
        <f t="shared" si="68"/>
        <v>0</v>
      </c>
      <c r="AI213" s="830">
        <f>VLOOKUP(C213,'[3]CHẤM CÔNG '!$F$10:$AM$451,33,0)</f>
        <v>0</v>
      </c>
      <c r="AJ213" s="830">
        <f>VLOOKUP(C213,'[3]CHẤM CÔNG '!$F$10:$AM$451,34,0)</f>
        <v>0</v>
      </c>
      <c r="AK213" s="830"/>
      <c r="AL213" s="830"/>
      <c r="AM213" s="830"/>
      <c r="AN213" s="830">
        <f>VLOOKUP(C213,'[3]CHẤM CÔNG '!$F$10:$AN$451,35,0)</f>
        <v>0</v>
      </c>
      <c r="AO213" s="830">
        <f>VLOOKUP(C213,'[3]CHẤM CÔNG '!$F$10:$AR$451,36,0)</f>
        <v>0</v>
      </c>
      <c r="AP213" s="830"/>
      <c r="AQ213" s="830"/>
      <c r="AR213" s="830"/>
      <c r="AS213" s="836"/>
      <c r="AT213" s="837">
        <f>VLOOKUP(C213,'[3]MỦ TẠP'!$D$10:$AO$450,38,0)</f>
        <v>0</v>
      </c>
    </row>
    <row r="214" spans="1:52" ht="15.75">
      <c r="A214" s="812">
        <v>19</v>
      </c>
      <c r="B214" s="813" t="e">
        <f>VLOOKUP(C214,'[3]DS CN MOI UP'!$B$10:$C$489,2,0)</f>
        <v>#N/A</v>
      </c>
      <c r="C214" s="846" t="s">
        <v>118</v>
      </c>
      <c r="D214" s="812" t="s">
        <v>15</v>
      </c>
      <c r="E214" s="815"/>
      <c r="F214" s="815"/>
      <c r="G214" s="815"/>
      <c r="H214" s="815"/>
      <c r="I214" s="815"/>
      <c r="J214" s="815"/>
      <c r="K214" s="815"/>
      <c r="L214" s="815"/>
      <c r="M214" s="815"/>
      <c r="N214" s="815">
        <f t="shared" si="58"/>
        <v>0</v>
      </c>
      <c r="O214" s="815">
        <f t="shared" si="59"/>
        <v>0</v>
      </c>
      <c r="P214" s="815">
        <f t="shared" si="60"/>
        <v>0</v>
      </c>
      <c r="Q214" s="815">
        <f t="shared" si="61"/>
        <v>0</v>
      </c>
      <c r="R214" s="815">
        <f t="shared" si="62"/>
        <v>0</v>
      </c>
      <c r="S214" s="815">
        <f t="shared" si="63"/>
        <v>0</v>
      </c>
      <c r="T214" s="815">
        <f t="shared" si="64"/>
        <v>0</v>
      </c>
      <c r="U214" s="815">
        <f t="shared" si="65"/>
        <v>0</v>
      </c>
      <c r="V214" s="815">
        <f t="shared" si="66"/>
        <v>0</v>
      </c>
      <c r="W214" s="815"/>
      <c r="X214" s="815"/>
      <c r="Y214" s="815"/>
      <c r="Z214" s="815"/>
      <c r="AA214" s="830">
        <f t="shared" si="67"/>
        <v>0</v>
      </c>
      <c r="AB214" s="830"/>
      <c r="AC214" s="830"/>
      <c r="AD214" s="830"/>
      <c r="AE214" s="831">
        <f t="shared" si="69"/>
        <v>0</v>
      </c>
      <c r="AF214" s="830"/>
      <c r="AG214" s="830"/>
      <c r="AH214" s="830">
        <f t="shared" si="68"/>
        <v>0</v>
      </c>
      <c r="AI214" s="830" t="e">
        <f>VLOOKUP(C214,'[3]CHẤM CÔNG '!$F$10:$AM$451,33,0)</f>
        <v>#N/A</v>
      </c>
      <c r="AJ214" s="830" t="e">
        <f>VLOOKUP(C214,'[3]CHẤM CÔNG '!$F$10:$AM$451,34,0)</f>
        <v>#N/A</v>
      </c>
      <c r="AK214" s="830"/>
      <c r="AL214" s="830"/>
      <c r="AM214" s="830"/>
      <c r="AN214" s="830" t="e">
        <f>VLOOKUP(C214,'[3]CHẤM CÔNG '!$F$10:$AN$451,35,0)</f>
        <v>#N/A</v>
      </c>
      <c r="AO214" s="830" t="e">
        <f>VLOOKUP(C214,'[3]CHẤM CÔNG '!$F$10:$AR$451,36,0)</f>
        <v>#N/A</v>
      </c>
      <c r="AP214" s="830"/>
      <c r="AQ214" s="830"/>
      <c r="AR214" s="830"/>
      <c r="AS214" s="836"/>
      <c r="AT214" s="837" t="e">
        <f>VLOOKUP(C214,'[3]MỦ TẠP'!$D$10:$AO$450,38,0)</f>
        <v>#N/A</v>
      </c>
    </row>
    <row r="215" spans="1:52" ht="15.75">
      <c r="A215" s="812">
        <v>20</v>
      </c>
      <c r="B215" s="813" t="str">
        <f>VLOOKUP(C215,'[3]DS CN MOI UP'!$B$10:$C$489,2,0)</f>
        <v>02477</v>
      </c>
      <c r="C215" s="846" t="s">
        <v>119</v>
      </c>
      <c r="D215" s="812" t="s">
        <v>15</v>
      </c>
      <c r="E215" s="815"/>
      <c r="F215" s="815"/>
      <c r="G215" s="815"/>
      <c r="H215" s="815"/>
      <c r="I215" s="815"/>
      <c r="J215" s="815"/>
      <c r="K215" s="815"/>
      <c r="L215" s="815"/>
      <c r="M215" s="815"/>
      <c r="N215" s="815">
        <f t="shared" si="58"/>
        <v>0</v>
      </c>
      <c r="O215" s="815">
        <f t="shared" si="59"/>
        <v>0</v>
      </c>
      <c r="P215" s="815">
        <f t="shared" si="60"/>
        <v>0</v>
      </c>
      <c r="Q215" s="815">
        <f t="shared" si="61"/>
        <v>0</v>
      </c>
      <c r="R215" s="815">
        <f t="shared" si="62"/>
        <v>0</v>
      </c>
      <c r="S215" s="815">
        <f t="shared" si="63"/>
        <v>0</v>
      </c>
      <c r="T215" s="815">
        <f t="shared" si="64"/>
        <v>0</v>
      </c>
      <c r="U215" s="815">
        <f t="shared" si="65"/>
        <v>0</v>
      </c>
      <c r="V215" s="815">
        <f t="shared" si="66"/>
        <v>0</v>
      </c>
      <c r="W215" s="815"/>
      <c r="X215" s="815"/>
      <c r="Y215" s="815"/>
      <c r="Z215" s="815"/>
      <c r="AA215" s="830">
        <f t="shared" si="67"/>
        <v>0</v>
      </c>
      <c r="AB215" s="830"/>
      <c r="AC215" s="830"/>
      <c r="AD215" s="830"/>
      <c r="AE215" s="831">
        <f t="shared" si="69"/>
        <v>0</v>
      </c>
      <c r="AF215" s="830"/>
      <c r="AG215" s="830"/>
      <c r="AH215" s="830">
        <f t="shared" si="68"/>
        <v>0</v>
      </c>
      <c r="AI215" s="830">
        <f>VLOOKUP(C215,'[3]CHẤM CÔNG '!$F$10:$AM$451,33,0)</f>
        <v>0</v>
      </c>
      <c r="AJ215" s="830">
        <f>VLOOKUP(C215,'[3]CHẤM CÔNG '!$F$10:$AM$451,34,0)</f>
        <v>0</v>
      </c>
      <c r="AK215" s="830"/>
      <c r="AL215" s="830"/>
      <c r="AM215" s="830"/>
      <c r="AN215" s="830">
        <f>VLOOKUP(C215,'[3]CHẤM CÔNG '!$F$10:$AN$451,35,0)</f>
        <v>0</v>
      </c>
      <c r="AO215" s="830">
        <f>VLOOKUP(C215,'[3]CHẤM CÔNG '!$F$10:$AR$451,36,0)</f>
        <v>0</v>
      </c>
      <c r="AP215" s="830"/>
      <c r="AQ215" s="830"/>
      <c r="AR215" s="830"/>
      <c r="AS215" s="836"/>
      <c r="AT215" s="837">
        <f>VLOOKUP(C215,'[3]MỦ TẠP'!$D$10:$AO$450,38,0)</f>
        <v>0</v>
      </c>
    </row>
    <row r="216" spans="1:52" ht="15.75">
      <c r="A216" s="812">
        <v>21</v>
      </c>
      <c r="B216" s="813" t="str">
        <f>VLOOKUP(C216,'[3]DS CN MOI UP'!$B$10:$C$489,2,0)</f>
        <v>02495</v>
      </c>
      <c r="C216" s="846" t="s">
        <v>120</v>
      </c>
      <c r="D216" s="812" t="s">
        <v>15</v>
      </c>
      <c r="E216" s="815"/>
      <c r="F216" s="815"/>
      <c r="G216" s="815"/>
      <c r="H216" s="815"/>
      <c r="I216" s="815"/>
      <c r="J216" s="815"/>
      <c r="K216" s="815"/>
      <c r="L216" s="815"/>
      <c r="M216" s="815"/>
      <c r="N216" s="815">
        <f t="shared" si="58"/>
        <v>0</v>
      </c>
      <c r="O216" s="815">
        <f t="shared" si="59"/>
        <v>0</v>
      </c>
      <c r="P216" s="815">
        <f t="shared" si="60"/>
        <v>0</v>
      </c>
      <c r="Q216" s="815">
        <f t="shared" si="61"/>
        <v>0</v>
      </c>
      <c r="R216" s="815">
        <f t="shared" si="62"/>
        <v>0</v>
      </c>
      <c r="S216" s="815">
        <f t="shared" si="63"/>
        <v>0</v>
      </c>
      <c r="T216" s="815">
        <f t="shared" si="64"/>
        <v>0</v>
      </c>
      <c r="U216" s="815">
        <f t="shared" si="65"/>
        <v>0</v>
      </c>
      <c r="V216" s="815">
        <f t="shared" si="66"/>
        <v>0</v>
      </c>
      <c r="W216" s="815"/>
      <c r="X216" s="815"/>
      <c r="Y216" s="815"/>
      <c r="Z216" s="815"/>
      <c r="AA216" s="830">
        <f t="shared" si="67"/>
        <v>0</v>
      </c>
      <c r="AB216" s="830">
        <f>VLOOKUP(C216,'[3]MỦ TẠP'!$D$10:$AM$450,36,0)</f>
        <v>0</v>
      </c>
      <c r="AC216" s="830"/>
      <c r="AD216" s="830"/>
      <c r="AE216" s="831">
        <f t="shared" si="69"/>
        <v>0</v>
      </c>
      <c r="AF216" s="830"/>
      <c r="AG216" s="830"/>
      <c r="AH216" s="830">
        <f t="shared" si="68"/>
        <v>0</v>
      </c>
      <c r="AI216" s="830">
        <f>VLOOKUP(C216,'[3]CHẤM CÔNG '!$F$10:$AM$451,33,0)</f>
        <v>0</v>
      </c>
      <c r="AJ216" s="830">
        <f>VLOOKUP(C216,'[3]CHẤM CÔNG '!$F$10:$AM$451,34,0)</f>
        <v>0</v>
      </c>
      <c r="AK216" s="830"/>
      <c r="AL216" s="830"/>
      <c r="AM216" s="830"/>
      <c r="AN216" s="830">
        <f>VLOOKUP(C216,'[3]CHẤM CÔNG '!$F$10:$AN$451,35,0)</f>
        <v>0</v>
      </c>
      <c r="AO216" s="830">
        <f>VLOOKUP(C216,'[3]CHẤM CÔNG '!$F$10:$AR$451,36,0)</f>
        <v>0</v>
      </c>
      <c r="AP216" s="830"/>
      <c r="AQ216" s="830"/>
      <c r="AR216" s="830"/>
      <c r="AS216" s="836"/>
      <c r="AT216" s="837">
        <f>VLOOKUP(C216,'[3]MỦ TẠP'!$D$10:$AO$450,38,0)</f>
        <v>0</v>
      </c>
    </row>
    <row r="217" spans="1:52" ht="15.75">
      <c r="A217" s="812">
        <v>22</v>
      </c>
      <c r="B217" s="813" t="str">
        <f>VLOOKUP(C217,'[3]DS CN MOI UP'!$B$10:$C$489,2,0)</f>
        <v>03347</v>
      </c>
      <c r="C217" s="846" t="s">
        <v>121</v>
      </c>
      <c r="D217" s="812" t="s">
        <v>15</v>
      </c>
      <c r="E217" s="815"/>
      <c r="F217" s="815"/>
      <c r="G217" s="815"/>
      <c r="H217" s="815"/>
      <c r="I217" s="815"/>
      <c r="J217" s="815"/>
      <c r="K217" s="815"/>
      <c r="L217" s="815"/>
      <c r="M217" s="815"/>
      <c r="N217" s="815">
        <f t="shared" si="58"/>
        <v>0</v>
      </c>
      <c r="O217" s="815">
        <f t="shared" si="59"/>
        <v>0</v>
      </c>
      <c r="P217" s="815">
        <f t="shared" si="60"/>
        <v>0</v>
      </c>
      <c r="Q217" s="815">
        <f t="shared" si="61"/>
        <v>0</v>
      </c>
      <c r="R217" s="815">
        <f t="shared" si="62"/>
        <v>0</v>
      </c>
      <c r="S217" s="815">
        <f t="shared" si="63"/>
        <v>0</v>
      </c>
      <c r="T217" s="815">
        <f t="shared" si="64"/>
        <v>0</v>
      </c>
      <c r="U217" s="815">
        <f t="shared" si="65"/>
        <v>0</v>
      </c>
      <c r="V217" s="815">
        <f t="shared" si="66"/>
        <v>0</v>
      </c>
      <c r="W217" s="815"/>
      <c r="X217" s="815"/>
      <c r="Y217" s="815"/>
      <c r="Z217" s="815"/>
      <c r="AA217" s="830">
        <f t="shared" si="67"/>
        <v>0</v>
      </c>
      <c r="AB217" s="830">
        <f>VLOOKUP(C217,'[3]MỦ TẠP'!$D$10:$AM$450,36,0)</f>
        <v>0</v>
      </c>
      <c r="AC217" s="830"/>
      <c r="AD217" s="830"/>
      <c r="AE217" s="831">
        <f t="shared" si="69"/>
        <v>0</v>
      </c>
      <c r="AF217" s="830"/>
      <c r="AG217" s="830"/>
      <c r="AH217" s="830">
        <f t="shared" si="68"/>
        <v>0</v>
      </c>
      <c r="AI217" s="830">
        <f>VLOOKUP(C217,'[3]CHẤM CÔNG '!$F$10:$AM$451,33,0)</f>
        <v>0</v>
      </c>
      <c r="AJ217" s="830">
        <f>VLOOKUP(C217,'[3]CHẤM CÔNG '!$F$10:$AM$451,34,0)</f>
        <v>0</v>
      </c>
      <c r="AK217" s="830"/>
      <c r="AL217" s="830"/>
      <c r="AM217" s="830"/>
      <c r="AN217" s="830">
        <f>VLOOKUP(C217,'[3]CHẤM CÔNG '!$F$10:$AN$451,35,0)</f>
        <v>0</v>
      </c>
      <c r="AO217" s="830">
        <f>VLOOKUP(C217,'[3]CHẤM CÔNG '!$F$10:$AR$451,36,0)</f>
        <v>0</v>
      </c>
      <c r="AP217" s="830"/>
      <c r="AQ217" s="830"/>
      <c r="AR217" s="830"/>
      <c r="AS217" s="836"/>
      <c r="AT217" s="837">
        <f>VLOOKUP(C217,'[3]MỦ TẠP'!$D$10:$AO$450,38,0)</f>
        <v>0</v>
      </c>
    </row>
    <row r="218" spans="1:52" ht="15.75">
      <c r="A218" s="812">
        <v>23</v>
      </c>
      <c r="B218" s="813" t="str">
        <f>VLOOKUP(C218,'[3]DS CN MOI UP'!$B$10:$C$489,2,0)</f>
        <v>02516</v>
      </c>
      <c r="C218" s="846" t="s">
        <v>122</v>
      </c>
      <c r="D218" s="812" t="s">
        <v>15</v>
      </c>
      <c r="E218" s="815"/>
      <c r="F218" s="815"/>
      <c r="G218" s="815"/>
      <c r="H218" s="815"/>
      <c r="I218" s="815"/>
      <c r="J218" s="815"/>
      <c r="K218" s="815"/>
      <c r="L218" s="815"/>
      <c r="M218" s="815"/>
      <c r="N218" s="815">
        <f t="shared" si="58"/>
        <v>0</v>
      </c>
      <c r="O218" s="815">
        <f t="shared" si="59"/>
        <v>0</v>
      </c>
      <c r="P218" s="815">
        <f t="shared" si="60"/>
        <v>0</v>
      </c>
      <c r="Q218" s="815">
        <f t="shared" si="61"/>
        <v>0</v>
      </c>
      <c r="R218" s="815">
        <f t="shared" si="62"/>
        <v>0</v>
      </c>
      <c r="S218" s="815">
        <f t="shared" si="63"/>
        <v>0</v>
      </c>
      <c r="T218" s="815">
        <f t="shared" si="64"/>
        <v>0</v>
      </c>
      <c r="U218" s="815">
        <f t="shared" si="65"/>
        <v>0</v>
      </c>
      <c r="V218" s="815">
        <f t="shared" si="66"/>
        <v>0</v>
      </c>
      <c r="W218" s="815"/>
      <c r="X218" s="815"/>
      <c r="Y218" s="815"/>
      <c r="Z218" s="815"/>
      <c r="AA218" s="830">
        <f t="shared" si="67"/>
        <v>0</v>
      </c>
      <c r="AB218" s="830">
        <f>VLOOKUP(C218,'[3]MỦ TẠP'!$D$10:$AM$450,36,0)</f>
        <v>0</v>
      </c>
      <c r="AC218" s="830"/>
      <c r="AD218" s="830"/>
      <c r="AE218" s="831">
        <f t="shared" si="69"/>
        <v>0</v>
      </c>
      <c r="AF218" s="830"/>
      <c r="AG218" s="830"/>
      <c r="AH218" s="830">
        <f t="shared" si="68"/>
        <v>0</v>
      </c>
      <c r="AI218" s="830">
        <f>VLOOKUP(C218,'[3]CHẤM CÔNG '!$F$10:$AM$451,33,0)</f>
        <v>0</v>
      </c>
      <c r="AJ218" s="830">
        <f>VLOOKUP(C218,'[3]CHẤM CÔNG '!$F$10:$AM$451,34,0)</f>
        <v>0</v>
      </c>
      <c r="AK218" s="830"/>
      <c r="AL218" s="830"/>
      <c r="AM218" s="830"/>
      <c r="AN218" s="830">
        <f>VLOOKUP(C218,'[3]CHẤM CÔNG '!$F$10:$AN$451,35,0)</f>
        <v>0</v>
      </c>
      <c r="AO218" s="830">
        <f>VLOOKUP(C218,'[3]CHẤM CÔNG '!$F$10:$AR$451,36,0)</f>
        <v>0</v>
      </c>
      <c r="AP218" s="830"/>
      <c r="AQ218" s="830"/>
      <c r="AR218" s="830"/>
      <c r="AS218" s="836"/>
      <c r="AT218" s="837">
        <f>VLOOKUP(C218,'[3]MỦ TẠP'!$D$10:$AO$450,38,0)</f>
        <v>0</v>
      </c>
    </row>
    <row r="219" spans="1:52">
      <c r="A219" s="847" t="s">
        <v>123</v>
      </c>
      <c r="B219" s="813"/>
      <c r="C219" s="848"/>
      <c r="D219" s="849"/>
      <c r="E219" s="823">
        <f>SUM(E220:E301)</f>
        <v>0</v>
      </c>
      <c r="F219" s="823">
        <f>SUM(F220:F301)</f>
        <v>0</v>
      </c>
      <c r="G219" s="823">
        <f>SUM(G220:G301)</f>
        <v>0</v>
      </c>
      <c r="H219" s="823">
        <f>SUM(H220:H301)</f>
        <v>0</v>
      </c>
      <c r="I219" s="823"/>
      <c r="J219" s="823">
        <f t="shared" ref="J219:AE219" si="70">SUM(J220:J301)</f>
        <v>0</v>
      </c>
      <c r="K219" s="823">
        <f t="shared" si="70"/>
        <v>0</v>
      </c>
      <c r="L219" s="823">
        <f t="shared" si="70"/>
        <v>0</v>
      </c>
      <c r="M219" s="823">
        <f t="shared" si="70"/>
        <v>0</v>
      </c>
      <c r="N219" s="823">
        <f t="shared" si="70"/>
        <v>0</v>
      </c>
      <c r="O219" s="823">
        <f t="shared" si="70"/>
        <v>0</v>
      </c>
      <c r="P219" s="823">
        <f t="shared" si="70"/>
        <v>0</v>
      </c>
      <c r="Q219" s="823">
        <f t="shared" si="70"/>
        <v>0</v>
      </c>
      <c r="R219" s="823">
        <f t="shared" si="70"/>
        <v>0</v>
      </c>
      <c r="S219" s="823">
        <f t="shared" si="70"/>
        <v>0</v>
      </c>
      <c r="T219" s="823">
        <f t="shared" si="70"/>
        <v>0</v>
      </c>
      <c r="U219" s="823">
        <f t="shared" si="70"/>
        <v>0</v>
      </c>
      <c r="V219" s="823">
        <f t="shared" si="70"/>
        <v>0</v>
      </c>
      <c r="W219" s="823">
        <f t="shared" si="70"/>
        <v>0</v>
      </c>
      <c r="X219" s="823">
        <f t="shared" si="70"/>
        <v>0</v>
      </c>
      <c r="Y219" s="823">
        <f t="shared" si="70"/>
        <v>0</v>
      </c>
      <c r="Z219" s="823">
        <f t="shared" si="70"/>
        <v>0</v>
      </c>
      <c r="AA219" s="823">
        <f t="shared" si="70"/>
        <v>0</v>
      </c>
      <c r="AB219" s="823" t="e">
        <f t="shared" si="70"/>
        <v>#N/A</v>
      </c>
      <c r="AC219" s="823">
        <f t="shared" si="70"/>
        <v>0</v>
      </c>
      <c r="AD219" s="823">
        <f t="shared" si="70"/>
        <v>0</v>
      </c>
      <c r="AE219" s="823" t="e">
        <f t="shared" si="70"/>
        <v>#N/A</v>
      </c>
      <c r="AF219" s="823"/>
      <c r="AG219" s="823">
        <f>SUM(AG220:AG301)</f>
        <v>0</v>
      </c>
      <c r="AH219" s="823" t="e">
        <f>SUM(AH220:AH301)</f>
        <v>#N/A</v>
      </c>
      <c r="AI219" s="823" t="e">
        <f>SUM(AI220:AI301)</f>
        <v>#N/A</v>
      </c>
      <c r="AJ219" s="823" t="e">
        <f>SUM(AJ220:AJ301)</f>
        <v>#N/A</v>
      </c>
      <c r="AK219" s="823">
        <f>SUM(AK220:AK301)</f>
        <v>0</v>
      </c>
      <c r="AL219" s="823"/>
      <c r="AM219" s="823">
        <f t="shared" ref="AM219:AZ219" si="71">SUM(AM220:AM301)</f>
        <v>0</v>
      </c>
      <c r="AN219" s="823" t="e">
        <f t="shared" si="71"/>
        <v>#N/A</v>
      </c>
      <c r="AO219" s="823" t="e">
        <f t="shared" si="71"/>
        <v>#N/A</v>
      </c>
      <c r="AP219" s="823">
        <f t="shared" si="71"/>
        <v>0</v>
      </c>
      <c r="AQ219" s="823">
        <f t="shared" si="71"/>
        <v>0</v>
      </c>
      <c r="AR219" s="823">
        <f t="shared" si="71"/>
        <v>0</v>
      </c>
      <c r="AS219" s="823">
        <f t="shared" si="71"/>
        <v>0</v>
      </c>
      <c r="AT219" s="823" t="e">
        <f t="shared" si="71"/>
        <v>#N/A</v>
      </c>
      <c r="AU219" s="823">
        <f t="shared" si="71"/>
        <v>127951</v>
      </c>
      <c r="AV219" s="823" t="e">
        <f t="shared" si="71"/>
        <v>#N/A</v>
      </c>
      <c r="AW219" s="823">
        <f t="shared" si="71"/>
        <v>0</v>
      </c>
      <c r="AX219" s="823">
        <f t="shared" si="71"/>
        <v>194</v>
      </c>
      <c r="AY219" s="823">
        <f t="shared" si="71"/>
        <v>0</v>
      </c>
      <c r="AZ219" s="823">
        <f t="shared" si="71"/>
        <v>52</v>
      </c>
    </row>
    <row r="220" spans="1:52" ht="15.75">
      <c r="A220" s="850">
        <v>1</v>
      </c>
      <c r="B220" s="813" t="str">
        <f>VLOOKUP(C220,'[3]DS CN MOI UP'!$B$10:$C$489,2,0)</f>
        <v>03348</v>
      </c>
      <c r="C220" s="818" t="s">
        <v>124</v>
      </c>
      <c r="D220" s="851" t="s">
        <v>15</v>
      </c>
      <c r="E220" s="815"/>
      <c r="F220" s="815"/>
      <c r="G220" s="815"/>
      <c r="H220" s="815"/>
      <c r="I220" s="815"/>
      <c r="J220" s="815"/>
      <c r="K220" s="815"/>
      <c r="L220" s="815"/>
      <c r="M220" s="815"/>
      <c r="N220" s="815">
        <f t="shared" ref="N220:N283" si="72">E220/$N$8</f>
        <v>0</v>
      </c>
      <c r="O220" s="815">
        <f t="shared" ref="O220:O283" si="73">F220/$O$8</f>
        <v>0</v>
      </c>
      <c r="P220" s="815">
        <f t="shared" ref="P220:P283" si="74">G220/$P$8</f>
        <v>0</v>
      </c>
      <c r="Q220" s="815">
        <f t="shared" ref="Q220:Q283" si="75">H220/$Q$8</f>
        <v>0</v>
      </c>
      <c r="R220" s="815">
        <f t="shared" ref="R220:R283" si="76">I220/$R$8</f>
        <v>0</v>
      </c>
      <c r="S220" s="815">
        <f t="shared" ref="S220:S283" si="77">J220/$S$8</f>
        <v>0</v>
      </c>
      <c r="T220" s="815">
        <f t="shared" ref="T220:T283" si="78">K220/$T$8</f>
        <v>0</v>
      </c>
      <c r="U220" s="815">
        <f t="shared" ref="U220:U283" si="79">L220/$U$8</f>
        <v>0</v>
      </c>
      <c r="V220" s="815">
        <f t="shared" ref="V220:V283" si="80">M220/$V$8</f>
        <v>0</v>
      </c>
      <c r="W220" s="815"/>
      <c r="X220" s="815"/>
      <c r="Y220" s="815"/>
      <c r="Z220" s="815"/>
      <c r="AA220" s="830">
        <f t="shared" ref="AA220:AA283" si="81">SUM(N220:Z220)</f>
        <v>0</v>
      </c>
      <c r="AB220" s="830">
        <f>VLOOKUP(C220,'[3]MỦ TẠP'!$D$10:$AM$450,36,0)</f>
        <v>0</v>
      </c>
      <c r="AC220" s="830"/>
      <c r="AD220" s="830"/>
      <c r="AE220" s="830">
        <f>VLOOKUP(C220,'[3]MỦ TẠP'!$D$10:$AM$450,36,0)</f>
        <v>0</v>
      </c>
      <c r="AF220" s="830"/>
      <c r="AG220" s="830"/>
      <c r="AH220" s="830">
        <f t="shared" ref="AH220:AH283" si="82">AE220*$AV$16+AF220*$AV$10+$AV$11*AG220</f>
        <v>0</v>
      </c>
      <c r="AI220" s="830">
        <f>VLOOKUP(C220,'[3]CHẤM CÔNG '!$F$10:$AM$451,33,0)</f>
        <v>0</v>
      </c>
      <c r="AJ220" s="830">
        <f>VLOOKUP(C220,'[3]CHẤM CÔNG '!$F$10:$AM$451,34,0)</f>
        <v>0</v>
      </c>
      <c r="AK220" s="830"/>
      <c r="AL220" s="830"/>
      <c r="AM220" s="830"/>
      <c r="AN220" s="830">
        <f>VLOOKUP(C220,'[3]CHẤM CÔNG '!$F$10:$AN$451,35,0)</f>
        <v>0</v>
      </c>
      <c r="AO220" s="830">
        <f>VLOOKUP(C220,'[3]CHẤM CÔNG '!$F$10:$AR$451,36,0)</f>
        <v>0</v>
      </c>
      <c r="AP220" s="830"/>
      <c r="AQ220" s="830"/>
      <c r="AR220" s="830"/>
      <c r="AS220" s="836"/>
      <c r="AT220" s="837">
        <f>VLOOKUP(C220,'[3]MỦ TẠP'!$D$10:$AO$450,38,0)</f>
        <v>0</v>
      </c>
      <c r="AU220" s="801">
        <v>1478</v>
      </c>
      <c r="AV220" s="831">
        <f t="shared" ref="AV220:AV283" si="83">+AE220-AU220</f>
        <v>-1478</v>
      </c>
      <c r="AX220" s="799">
        <f>3-AZ220</f>
        <v>3</v>
      </c>
    </row>
    <row r="221" spans="1:52" ht="15.75">
      <c r="A221" s="850">
        <v>2</v>
      </c>
      <c r="B221" s="813" t="str">
        <f>VLOOKUP(C221,'[3]DS CN MOI UP'!$B$10:$C$489,2,0)</f>
        <v>03349</v>
      </c>
      <c r="C221" s="818" t="s">
        <v>125</v>
      </c>
      <c r="D221" s="851" t="s">
        <v>15</v>
      </c>
      <c r="E221" s="815"/>
      <c r="F221" s="815"/>
      <c r="G221" s="815"/>
      <c r="H221" s="815"/>
      <c r="I221" s="815"/>
      <c r="J221" s="815"/>
      <c r="K221" s="815"/>
      <c r="L221" s="815"/>
      <c r="M221" s="815"/>
      <c r="N221" s="815">
        <f t="shared" si="72"/>
        <v>0</v>
      </c>
      <c r="O221" s="815">
        <f t="shared" si="73"/>
        <v>0</v>
      </c>
      <c r="P221" s="815">
        <f t="shared" si="74"/>
        <v>0</v>
      </c>
      <c r="Q221" s="815">
        <f t="shared" si="75"/>
        <v>0</v>
      </c>
      <c r="R221" s="815">
        <f t="shared" si="76"/>
        <v>0</v>
      </c>
      <c r="S221" s="815">
        <f t="shared" si="77"/>
        <v>0</v>
      </c>
      <c r="T221" s="815">
        <f t="shared" si="78"/>
        <v>0</v>
      </c>
      <c r="U221" s="815">
        <f t="shared" si="79"/>
        <v>0</v>
      </c>
      <c r="V221" s="815">
        <f t="shared" si="80"/>
        <v>0</v>
      </c>
      <c r="W221" s="815"/>
      <c r="X221" s="815"/>
      <c r="Y221" s="815"/>
      <c r="Z221" s="815"/>
      <c r="AA221" s="830">
        <f t="shared" si="81"/>
        <v>0</v>
      </c>
      <c r="AB221" s="830">
        <f>VLOOKUP(C221,'[3]MỦ TẠP'!$D$10:$AM$450,36,0)</f>
        <v>0</v>
      </c>
      <c r="AC221" s="830"/>
      <c r="AD221" s="830"/>
      <c r="AE221" s="830">
        <f>VLOOKUP(C221,'[3]MỦ TẠP'!$D$10:$AM$450,36,0)</f>
        <v>0</v>
      </c>
      <c r="AF221" s="830"/>
      <c r="AG221" s="830"/>
      <c r="AH221" s="830">
        <f t="shared" si="82"/>
        <v>0</v>
      </c>
      <c r="AI221" s="830">
        <f>VLOOKUP(C221,'[3]CHẤM CÔNG '!$F$10:$AM$451,33,0)</f>
        <v>0</v>
      </c>
      <c r="AJ221" s="830">
        <f>VLOOKUP(C221,'[3]CHẤM CÔNG '!$F$10:$AM$451,34,0)</f>
        <v>0</v>
      </c>
      <c r="AK221" s="830"/>
      <c r="AL221" s="830"/>
      <c r="AM221" s="830"/>
      <c r="AN221" s="830">
        <f>VLOOKUP(C221,'[3]CHẤM CÔNG '!$F$10:$AN$451,35,0)</f>
        <v>0</v>
      </c>
      <c r="AO221" s="830">
        <f>VLOOKUP(C221,'[3]CHẤM CÔNG '!$F$10:$AR$451,36,0)</f>
        <v>0</v>
      </c>
      <c r="AP221" s="830"/>
      <c r="AQ221" s="830"/>
      <c r="AR221" s="830"/>
      <c r="AS221" s="836"/>
      <c r="AT221" s="837">
        <f>VLOOKUP(C221,'[3]MỦ TẠP'!$D$10:$AO$450,38,0)</f>
        <v>0</v>
      </c>
      <c r="AU221" s="801">
        <v>1129</v>
      </c>
      <c r="AV221" s="831">
        <f t="shared" si="83"/>
        <v>-1129</v>
      </c>
      <c r="AX221" s="799">
        <f t="shared" ref="AX221:AX284" si="84">3-AZ221</f>
        <v>3</v>
      </c>
    </row>
    <row r="222" spans="1:52" ht="15.75">
      <c r="A222" s="850">
        <v>3</v>
      </c>
      <c r="B222" s="813" t="str">
        <f>VLOOKUP(C222,'[3]DS CN MOI UP'!$B$10:$C$489,2,0)</f>
        <v>02545</v>
      </c>
      <c r="C222" s="818" t="s">
        <v>126</v>
      </c>
      <c r="D222" s="851" t="s">
        <v>15</v>
      </c>
      <c r="E222" s="815"/>
      <c r="F222" s="815"/>
      <c r="G222" s="815"/>
      <c r="H222" s="815"/>
      <c r="I222" s="815"/>
      <c r="J222" s="815"/>
      <c r="K222" s="815"/>
      <c r="L222" s="815"/>
      <c r="M222" s="815"/>
      <c r="N222" s="815">
        <f t="shared" si="72"/>
        <v>0</v>
      </c>
      <c r="O222" s="815">
        <f t="shared" si="73"/>
        <v>0</v>
      </c>
      <c r="P222" s="815">
        <f t="shared" si="74"/>
        <v>0</v>
      </c>
      <c r="Q222" s="815">
        <f t="shared" si="75"/>
        <v>0</v>
      </c>
      <c r="R222" s="815">
        <f t="shared" si="76"/>
        <v>0</v>
      </c>
      <c r="S222" s="815">
        <f t="shared" si="77"/>
        <v>0</v>
      </c>
      <c r="T222" s="815">
        <f t="shared" si="78"/>
        <v>0</v>
      </c>
      <c r="U222" s="815">
        <f t="shared" si="79"/>
        <v>0</v>
      </c>
      <c r="V222" s="815">
        <f t="shared" si="80"/>
        <v>0</v>
      </c>
      <c r="W222" s="815"/>
      <c r="X222" s="815"/>
      <c r="Y222" s="815"/>
      <c r="Z222" s="815"/>
      <c r="AA222" s="830">
        <f t="shared" si="81"/>
        <v>0</v>
      </c>
      <c r="AB222" s="830">
        <f>VLOOKUP(C222,'[3]MỦ TẠP'!$D$10:$AM$450,36,0)</f>
        <v>0</v>
      </c>
      <c r="AC222" s="830"/>
      <c r="AD222" s="830"/>
      <c r="AE222" s="830">
        <f>VLOOKUP(C222,'[3]MỦ TẠP'!$D$10:$AM$450,36,0)</f>
        <v>0</v>
      </c>
      <c r="AF222" s="830"/>
      <c r="AG222" s="830"/>
      <c r="AH222" s="830">
        <f t="shared" si="82"/>
        <v>0</v>
      </c>
      <c r="AI222" s="830">
        <f>VLOOKUP(C222,'[3]CHẤM CÔNG '!$F$10:$AM$451,33,0)</f>
        <v>0</v>
      </c>
      <c r="AJ222" s="830">
        <f>VLOOKUP(C222,'[3]CHẤM CÔNG '!$F$10:$AM$451,34,0)</f>
        <v>0</v>
      </c>
      <c r="AK222" s="830"/>
      <c r="AL222" s="830"/>
      <c r="AM222" s="830"/>
      <c r="AN222" s="830">
        <f>VLOOKUP(C222,'[3]CHẤM CÔNG '!$F$10:$AN$451,35,0)</f>
        <v>0</v>
      </c>
      <c r="AO222" s="830">
        <f>VLOOKUP(C222,'[3]CHẤM CÔNG '!$F$10:$AR$451,36,0)</f>
        <v>0</v>
      </c>
      <c r="AP222" s="830"/>
      <c r="AQ222" s="830"/>
      <c r="AR222" s="830"/>
      <c r="AS222" s="836"/>
      <c r="AT222" s="837">
        <f>VLOOKUP(C222,'[3]MỦ TẠP'!$D$10:$AO$450,38,0)</f>
        <v>0</v>
      </c>
      <c r="AU222" s="801">
        <v>1255</v>
      </c>
      <c r="AV222" s="831">
        <f t="shared" si="83"/>
        <v>-1255</v>
      </c>
      <c r="AX222" s="799">
        <f t="shared" si="84"/>
        <v>3</v>
      </c>
    </row>
    <row r="223" spans="1:52" ht="15.75">
      <c r="A223" s="850">
        <v>4</v>
      </c>
      <c r="B223" s="813" t="str">
        <f>VLOOKUP(C223,'[3]DS CN MOI UP'!$B$10:$C$489,2,0)</f>
        <v>02693</v>
      </c>
      <c r="C223" s="818" t="s">
        <v>127</v>
      </c>
      <c r="D223" s="851" t="s">
        <v>15</v>
      </c>
      <c r="E223" s="815"/>
      <c r="F223" s="815"/>
      <c r="G223" s="815"/>
      <c r="H223" s="815"/>
      <c r="I223" s="815"/>
      <c r="J223" s="815"/>
      <c r="K223" s="815"/>
      <c r="L223" s="815"/>
      <c r="M223" s="815"/>
      <c r="N223" s="815">
        <f t="shared" si="72"/>
        <v>0</v>
      </c>
      <c r="O223" s="815">
        <f t="shared" si="73"/>
        <v>0</v>
      </c>
      <c r="P223" s="815">
        <f t="shared" si="74"/>
        <v>0</v>
      </c>
      <c r="Q223" s="815">
        <f t="shared" si="75"/>
        <v>0</v>
      </c>
      <c r="R223" s="815">
        <f t="shared" si="76"/>
        <v>0</v>
      </c>
      <c r="S223" s="815">
        <f t="shared" si="77"/>
        <v>0</v>
      </c>
      <c r="T223" s="815">
        <f t="shared" si="78"/>
        <v>0</v>
      </c>
      <c r="U223" s="815">
        <f t="shared" si="79"/>
        <v>0</v>
      </c>
      <c r="V223" s="815">
        <f t="shared" si="80"/>
        <v>0</v>
      </c>
      <c r="W223" s="815"/>
      <c r="X223" s="815"/>
      <c r="Y223" s="815"/>
      <c r="Z223" s="815"/>
      <c r="AA223" s="830">
        <f t="shared" si="81"/>
        <v>0</v>
      </c>
      <c r="AB223" s="830">
        <f>VLOOKUP(C223,'[3]MỦ TẠP'!$D$10:$AM$450,36,0)</f>
        <v>0</v>
      </c>
      <c r="AC223" s="830"/>
      <c r="AD223" s="830"/>
      <c r="AE223" s="830">
        <f>VLOOKUP(C223,'[3]MỦ TẠP'!$D$10:$AM$450,36,0)</f>
        <v>0</v>
      </c>
      <c r="AF223" s="830"/>
      <c r="AG223" s="830"/>
      <c r="AH223" s="830">
        <f t="shared" si="82"/>
        <v>0</v>
      </c>
      <c r="AI223" s="830">
        <f>VLOOKUP(C223,'[3]CHẤM CÔNG '!$F$10:$AM$451,33,0)</f>
        <v>0</v>
      </c>
      <c r="AJ223" s="830">
        <f>VLOOKUP(C223,'[3]CHẤM CÔNG '!$F$10:$AM$451,34,0)</f>
        <v>0</v>
      </c>
      <c r="AK223" s="830"/>
      <c r="AL223" s="830"/>
      <c r="AM223" s="830"/>
      <c r="AN223" s="830">
        <f>VLOOKUP(C223,'[3]CHẤM CÔNG '!$F$10:$AN$451,35,0)</f>
        <v>0</v>
      </c>
      <c r="AO223" s="830">
        <f>VLOOKUP(C223,'[3]CHẤM CÔNG '!$F$10:$AR$451,36,0)</f>
        <v>0</v>
      </c>
      <c r="AP223" s="830"/>
      <c r="AQ223" s="830"/>
      <c r="AR223" s="830"/>
      <c r="AS223" s="836"/>
      <c r="AT223" s="837">
        <f>VLOOKUP(C223,'[3]MỦ TẠP'!$D$10:$AO$450,38,0)</f>
        <v>0</v>
      </c>
      <c r="AU223" s="801">
        <v>1574</v>
      </c>
      <c r="AV223" s="831">
        <f t="shared" si="83"/>
        <v>-1574</v>
      </c>
      <c r="AX223" s="799">
        <f t="shared" si="84"/>
        <v>3</v>
      </c>
    </row>
    <row r="224" spans="1:52" ht="15.75">
      <c r="A224" s="850">
        <v>5</v>
      </c>
      <c r="B224" s="813" t="str">
        <f>VLOOKUP(C224,'[3]DS CN MOI UP'!$B$10:$C$489,2,0)</f>
        <v>03350</v>
      </c>
      <c r="C224" s="818" t="s">
        <v>128</v>
      </c>
      <c r="D224" s="851" t="s">
        <v>15</v>
      </c>
      <c r="E224" s="815"/>
      <c r="F224" s="815"/>
      <c r="G224" s="815"/>
      <c r="H224" s="815"/>
      <c r="I224" s="815"/>
      <c r="J224" s="815"/>
      <c r="K224" s="815"/>
      <c r="L224" s="815"/>
      <c r="M224" s="815"/>
      <c r="N224" s="815">
        <f t="shared" si="72"/>
        <v>0</v>
      </c>
      <c r="O224" s="815">
        <f t="shared" si="73"/>
        <v>0</v>
      </c>
      <c r="P224" s="815">
        <f t="shared" si="74"/>
        <v>0</v>
      </c>
      <c r="Q224" s="815">
        <f t="shared" si="75"/>
        <v>0</v>
      </c>
      <c r="R224" s="815">
        <f t="shared" si="76"/>
        <v>0</v>
      </c>
      <c r="S224" s="815">
        <f t="shared" si="77"/>
        <v>0</v>
      </c>
      <c r="T224" s="815">
        <f t="shared" si="78"/>
        <v>0</v>
      </c>
      <c r="U224" s="815">
        <f t="shared" si="79"/>
        <v>0</v>
      </c>
      <c r="V224" s="815">
        <f t="shared" si="80"/>
        <v>0</v>
      </c>
      <c r="W224" s="815"/>
      <c r="X224" s="815"/>
      <c r="Y224" s="815"/>
      <c r="Z224" s="815"/>
      <c r="AA224" s="830">
        <f t="shared" si="81"/>
        <v>0</v>
      </c>
      <c r="AB224" s="830">
        <f>VLOOKUP(C224,'[3]MỦ TẠP'!$D$10:$AM$450,36,0)</f>
        <v>0</v>
      </c>
      <c r="AC224" s="830"/>
      <c r="AD224" s="830"/>
      <c r="AE224" s="830">
        <f>VLOOKUP(C224,'[3]MỦ TẠP'!$D$10:$AM$450,36,0)</f>
        <v>0</v>
      </c>
      <c r="AF224" s="830"/>
      <c r="AG224" s="830"/>
      <c r="AH224" s="830">
        <f t="shared" si="82"/>
        <v>0</v>
      </c>
      <c r="AI224" s="830">
        <f>VLOOKUP(C224,'[3]CHẤM CÔNG '!$F$10:$AM$451,33,0)</f>
        <v>0</v>
      </c>
      <c r="AJ224" s="830">
        <f>VLOOKUP(C224,'[3]CHẤM CÔNG '!$F$10:$AM$451,34,0)</f>
        <v>0</v>
      </c>
      <c r="AK224" s="830"/>
      <c r="AL224" s="830"/>
      <c r="AM224" s="830"/>
      <c r="AN224" s="830">
        <f>VLOOKUP(C224,'[3]CHẤM CÔNG '!$F$10:$AN$451,35,0)</f>
        <v>0</v>
      </c>
      <c r="AO224" s="830">
        <f>VLOOKUP(C224,'[3]CHẤM CÔNG '!$F$10:$AR$451,36,0)</f>
        <v>0</v>
      </c>
      <c r="AP224" s="830"/>
      <c r="AQ224" s="830"/>
      <c r="AR224" s="830"/>
      <c r="AS224" s="836"/>
      <c r="AT224" s="837">
        <f>VLOOKUP(C224,'[3]MỦ TẠP'!$D$10:$AO$450,38,0)</f>
        <v>0</v>
      </c>
      <c r="AU224" s="801">
        <v>1198</v>
      </c>
      <c r="AV224" s="831">
        <f t="shared" si="83"/>
        <v>-1198</v>
      </c>
      <c r="AX224" s="799">
        <f t="shared" si="84"/>
        <v>3</v>
      </c>
    </row>
    <row r="225" spans="1:52" ht="15.75">
      <c r="A225" s="850">
        <v>6</v>
      </c>
      <c r="B225" s="813" t="str">
        <f>VLOOKUP(C225,'[3]DS CN MOI UP'!$B$10:$C$489,2,0)</f>
        <v>02526</v>
      </c>
      <c r="C225" s="818" t="s">
        <v>129</v>
      </c>
      <c r="D225" s="851" t="s">
        <v>15</v>
      </c>
      <c r="E225" s="815"/>
      <c r="F225" s="815"/>
      <c r="G225" s="815"/>
      <c r="H225" s="815"/>
      <c r="I225" s="815"/>
      <c r="J225" s="815"/>
      <c r="K225" s="815"/>
      <c r="L225" s="815"/>
      <c r="M225" s="815"/>
      <c r="N225" s="815">
        <f t="shared" si="72"/>
        <v>0</v>
      </c>
      <c r="O225" s="815">
        <f t="shared" si="73"/>
        <v>0</v>
      </c>
      <c r="P225" s="815">
        <f t="shared" si="74"/>
        <v>0</v>
      </c>
      <c r="Q225" s="815">
        <f t="shared" si="75"/>
        <v>0</v>
      </c>
      <c r="R225" s="815">
        <f t="shared" si="76"/>
        <v>0</v>
      </c>
      <c r="S225" s="815">
        <f t="shared" si="77"/>
        <v>0</v>
      </c>
      <c r="T225" s="815">
        <f t="shared" si="78"/>
        <v>0</v>
      </c>
      <c r="U225" s="815">
        <f t="shared" si="79"/>
        <v>0</v>
      </c>
      <c r="V225" s="815">
        <f t="shared" si="80"/>
        <v>0</v>
      </c>
      <c r="W225" s="815"/>
      <c r="X225" s="815"/>
      <c r="Y225" s="815"/>
      <c r="Z225" s="815"/>
      <c r="AA225" s="830">
        <f t="shared" si="81"/>
        <v>0</v>
      </c>
      <c r="AB225" s="830">
        <f>VLOOKUP(C225,'[3]MỦ TẠP'!$D$10:$AM$450,36,0)</f>
        <v>0</v>
      </c>
      <c r="AC225" s="830"/>
      <c r="AD225" s="830"/>
      <c r="AE225" s="830">
        <f>VLOOKUP(C225,'[3]MỦ TẠP'!$D$10:$AM$450,36,0)</f>
        <v>0</v>
      </c>
      <c r="AF225" s="830"/>
      <c r="AG225" s="830"/>
      <c r="AH225" s="830">
        <f t="shared" si="82"/>
        <v>0</v>
      </c>
      <c r="AI225" s="830">
        <f>VLOOKUP(C225,'[3]CHẤM CÔNG '!$F$10:$AM$451,33,0)</f>
        <v>0</v>
      </c>
      <c r="AJ225" s="830">
        <f>VLOOKUP(C225,'[3]CHẤM CÔNG '!$F$10:$AM$451,34,0)</f>
        <v>0</v>
      </c>
      <c r="AK225" s="830"/>
      <c r="AL225" s="830"/>
      <c r="AM225" s="830"/>
      <c r="AN225" s="830">
        <f>VLOOKUP(C225,'[3]CHẤM CÔNG '!$F$10:$AN$451,35,0)</f>
        <v>0</v>
      </c>
      <c r="AO225" s="830">
        <f>VLOOKUP(C225,'[3]CHẤM CÔNG '!$F$10:$AR$451,36,0)</f>
        <v>0</v>
      </c>
      <c r="AP225" s="830"/>
      <c r="AQ225" s="830"/>
      <c r="AR225" s="830"/>
      <c r="AS225" s="836"/>
      <c r="AT225" s="837">
        <f>VLOOKUP(C225,'[3]MỦ TẠP'!$D$10:$AO$450,38,0)</f>
        <v>0</v>
      </c>
      <c r="AU225" s="801">
        <v>1241</v>
      </c>
      <c r="AV225" s="831">
        <f t="shared" si="83"/>
        <v>-1241</v>
      </c>
      <c r="AX225" s="799">
        <f t="shared" si="84"/>
        <v>2</v>
      </c>
      <c r="AZ225" s="799">
        <v>1</v>
      </c>
    </row>
    <row r="226" spans="1:52" ht="15.75">
      <c r="A226" s="850">
        <v>7</v>
      </c>
      <c r="B226" s="813" t="str">
        <f>VLOOKUP(C226,'[3]DS CN MOI UP'!$B$10:$C$489,2,0)</f>
        <v>03351</v>
      </c>
      <c r="C226" s="818" t="s">
        <v>130</v>
      </c>
      <c r="D226" s="851" t="s">
        <v>15</v>
      </c>
      <c r="E226" s="815"/>
      <c r="F226" s="815"/>
      <c r="G226" s="815"/>
      <c r="H226" s="815"/>
      <c r="I226" s="815"/>
      <c r="J226" s="815"/>
      <c r="K226" s="815"/>
      <c r="L226" s="815"/>
      <c r="M226" s="815"/>
      <c r="N226" s="815">
        <f t="shared" si="72"/>
        <v>0</v>
      </c>
      <c r="O226" s="815">
        <f t="shared" si="73"/>
        <v>0</v>
      </c>
      <c r="P226" s="815">
        <f t="shared" si="74"/>
        <v>0</v>
      </c>
      <c r="Q226" s="815">
        <f t="shared" si="75"/>
        <v>0</v>
      </c>
      <c r="R226" s="815">
        <f t="shared" si="76"/>
        <v>0</v>
      </c>
      <c r="S226" s="815">
        <f t="shared" si="77"/>
        <v>0</v>
      </c>
      <c r="T226" s="815">
        <f t="shared" si="78"/>
        <v>0</v>
      </c>
      <c r="U226" s="815">
        <f t="shared" si="79"/>
        <v>0</v>
      </c>
      <c r="V226" s="815">
        <f t="shared" si="80"/>
        <v>0</v>
      </c>
      <c r="W226" s="815"/>
      <c r="X226" s="815"/>
      <c r="Y226" s="815"/>
      <c r="Z226" s="815"/>
      <c r="AA226" s="830">
        <f t="shared" si="81"/>
        <v>0</v>
      </c>
      <c r="AB226" s="830">
        <f>VLOOKUP(C226,'[3]MỦ TẠP'!$D$10:$AM$450,36,0)</f>
        <v>0</v>
      </c>
      <c r="AC226" s="830"/>
      <c r="AD226" s="830"/>
      <c r="AE226" s="830">
        <f>VLOOKUP(C226,'[3]MỦ TẠP'!$D$10:$AM$450,36,0)</f>
        <v>0</v>
      </c>
      <c r="AF226" s="830"/>
      <c r="AG226" s="830"/>
      <c r="AH226" s="830">
        <f t="shared" si="82"/>
        <v>0</v>
      </c>
      <c r="AI226" s="830">
        <f>VLOOKUP(C226,'[3]CHẤM CÔNG '!$F$10:$AM$451,33,0)</f>
        <v>0</v>
      </c>
      <c r="AJ226" s="830">
        <f>VLOOKUP(C226,'[3]CHẤM CÔNG '!$F$10:$AM$451,34,0)</f>
        <v>0</v>
      </c>
      <c r="AK226" s="830"/>
      <c r="AL226" s="830"/>
      <c r="AM226" s="830"/>
      <c r="AN226" s="830">
        <f>VLOOKUP(C226,'[3]CHẤM CÔNG '!$F$10:$AN$451,35,0)</f>
        <v>0</v>
      </c>
      <c r="AO226" s="830">
        <f>VLOOKUP(C226,'[3]CHẤM CÔNG '!$F$10:$AR$451,36,0)</f>
        <v>0</v>
      </c>
      <c r="AP226" s="830"/>
      <c r="AQ226" s="830"/>
      <c r="AR226" s="830"/>
      <c r="AS226" s="836"/>
      <c r="AT226" s="837">
        <f>VLOOKUP(C226,'[3]MỦ TẠP'!$D$10:$AO$450,38,0)</f>
        <v>0</v>
      </c>
      <c r="AU226" s="801">
        <v>2064</v>
      </c>
      <c r="AV226" s="831">
        <f t="shared" si="83"/>
        <v>-2064</v>
      </c>
      <c r="AX226" s="799">
        <f t="shared" si="84"/>
        <v>2</v>
      </c>
      <c r="AZ226" s="799">
        <v>1</v>
      </c>
    </row>
    <row r="227" spans="1:52" ht="15.75">
      <c r="A227" s="850">
        <v>8</v>
      </c>
      <c r="B227" s="813" t="str">
        <f>VLOOKUP(C227,'[3]DS CN MOI UP'!$B$10:$C$489,2,0)</f>
        <v>03352</v>
      </c>
      <c r="C227" s="818" t="s">
        <v>131</v>
      </c>
      <c r="D227" s="851" t="s">
        <v>15</v>
      </c>
      <c r="E227" s="815"/>
      <c r="F227" s="815"/>
      <c r="G227" s="815"/>
      <c r="H227" s="815"/>
      <c r="I227" s="815"/>
      <c r="J227" s="815"/>
      <c r="K227" s="815"/>
      <c r="L227" s="815"/>
      <c r="M227" s="815"/>
      <c r="N227" s="815">
        <f t="shared" si="72"/>
        <v>0</v>
      </c>
      <c r="O227" s="815">
        <f t="shared" si="73"/>
        <v>0</v>
      </c>
      <c r="P227" s="815">
        <f t="shared" si="74"/>
        <v>0</v>
      </c>
      <c r="Q227" s="815">
        <f t="shared" si="75"/>
        <v>0</v>
      </c>
      <c r="R227" s="815">
        <f t="shared" si="76"/>
        <v>0</v>
      </c>
      <c r="S227" s="815">
        <f t="shared" si="77"/>
        <v>0</v>
      </c>
      <c r="T227" s="815">
        <f t="shared" si="78"/>
        <v>0</v>
      </c>
      <c r="U227" s="815">
        <f t="shared" si="79"/>
        <v>0</v>
      </c>
      <c r="V227" s="815">
        <f t="shared" si="80"/>
        <v>0</v>
      </c>
      <c r="W227" s="815"/>
      <c r="X227" s="815"/>
      <c r="Y227" s="815"/>
      <c r="Z227" s="815"/>
      <c r="AA227" s="830">
        <f t="shared" si="81"/>
        <v>0</v>
      </c>
      <c r="AB227" s="830">
        <f>VLOOKUP(C227,'[3]MỦ TẠP'!$D$10:$AM$450,36,0)</f>
        <v>0</v>
      </c>
      <c r="AC227" s="830"/>
      <c r="AD227" s="830"/>
      <c r="AE227" s="830">
        <f>VLOOKUP(C227,'[3]MỦ TẠP'!$D$10:$AM$450,36,0)</f>
        <v>0</v>
      </c>
      <c r="AF227" s="830"/>
      <c r="AG227" s="830"/>
      <c r="AH227" s="830">
        <f t="shared" si="82"/>
        <v>0</v>
      </c>
      <c r="AI227" s="830">
        <f>VLOOKUP(C227,'[3]CHẤM CÔNG '!$F$10:$AM$451,33,0)</f>
        <v>0</v>
      </c>
      <c r="AJ227" s="830">
        <f>VLOOKUP(C227,'[3]CHẤM CÔNG '!$F$10:$AM$451,34,0)</f>
        <v>0</v>
      </c>
      <c r="AK227" s="830"/>
      <c r="AL227" s="830"/>
      <c r="AM227" s="830"/>
      <c r="AN227" s="830">
        <f>VLOOKUP(C227,'[3]CHẤM CÔNG '!$F$10:$AN$451,35,0)</f>
        <v>0</v>
      </c>
      <c r="AO227" s="830">
        <f>VLOOKUP(C227,'[3]CHẤM CÔNG '!$F$10:$AR$451,36,0)</f>
        <v>0</v>
      </c>
      <c r="AP227" s="830"/>
      <c r="AQ227" s="830"/>
      <c r="AR227" s="830"/>
      <c r="AS227" s="836"/>
      <c r="AT227" s="837">
        <f>VLOOKUP(C227,'[3]MỦ TẠP'!$D$10:$AO$450,38,0)</f>
        <v>0</v>
      </c>
      <c r="AU227" s="801">
        <v>2408</v>
      </c>
      <c r="AV227" s="831">
        <f t="shared" si="83"/>
        <v>-2408</v>
      </c>
      <c r="AX227" s="799">
        <f t="shared" si="84"/>
        <v>2</v>
      </c>
      <c r="AZ227" s="799">
        <v>1</v>
      </c>
    </row>
    <row r="228" spans="1:52" ht="15.75">
      <c r="A228" s="850">
        <v>9</v>
      </c>
      <c r="B228" s="813" t="str">
        <f>VLOOKUP(C228,'[3]DS CN MOI UP'!$B$10:$C$489,2,0)</f>
        <v>02567</v>
      </c>
      <c r="C228" s="818" t="s">
        <v>132</v>
      </c>
      <c r="D228" s="851" t="s">
        <v>15</v>
      </c>
      <c r="E228" s="815"/>
      <c r="F228" s="815"/>
      <c r="G228" s="815"/>
      <c r="H228" s="815"/>
      <c r="I228" s="815"/>
      <c r="J228" s="815"/>
      <c r="K228" s="815"/>
      <c r="L228" s="815"/>
      <c r="M228" s="815"/>
      <c r="N228" s="815">
        <f t="shared" si="72"/>
        <v>0</v>
      </c>
      <c r="O228" s="815">
        <f t="shared" si="73"/>
        <v>0</v>
      </c>
      <c r="P228" s="815">
        <f t="shared" si="74"/>
        <v>0</v>
      </c>
      <c r="Q228" s="815">
        <f t="shared" si="75"/>
        <v>0</v>
      </c>
      <c r="R228" s="815">
        <f t="shared" si="76"/>
        <v>0</v>
      </c>
      <c r="S228" s="815">
        <f t="shared" si="77"/>
        <v>0</v>
      </c>
      <c r="T228" s="815">
        <f t="shared" si="78"/>
        <v>0</v>
      </c>
      <c r="U228" s="815">
        <f t="shared" si="79"/>
        <v>0</v>
      </c>
      <c r="V228" s="815">
        <f t="shared" si="80"/>
        <v>0</v>
      </c>
      <c r="W228" s="815"/>
      <c r="X228" s="815"/>
      <c r="Y228" s="815"/>
      <c r="Z228" s="815"/>
      <c r="AA228" s="830">
        <f t="shared" si="81"/>
        <v>0</v>
      </c>
      <c r="AB228" s="830">
        <f>VLOOKUP(C228,'[3]MỦ TẠP'!$D$10:$AM$450,36,0)</f>
        <v>0</v>
      </c>
      <c r="AC228" s="830"/>
      <c r="AD228" s="830"/>
      <c r="AE228" s="830">
        <f>VLOOKUP(C228,'[3]MỦ TẠP'!$D$10:$AM$450,36,0)</f>
        <v>0</v>
      </c>
      <c r="AF228" s="830"/>
      <c r="AG228" s="830"/>
      <c r="AH228" s="830">
        <f t="shared" si="82"/>
        <v>0</v>
      </c>
      <c r="AI228" s="830">
        <f>VLOOKUP(C228,'[3]CHẤM CÔNG '!$F$10:$AM$451,33,0)</f>
        <v>0</v>
      </c>
      <c r="AJ228" s="830">
        <f>VLOOKUP(C228,'[3]CHẤM CÔNG '!$F$10:$AM$451,34,0)</f>
        <v>0</v>
      </c>
      <c r="AK228" s="830"/>
      <c r="AL228" s="830"/>
      <c r="AM228" s="830"/>
      <c r="AN228" s="830">
        <f>VLOOKUP(C228,'[3]CHẤM CÔNG '!$F$10:$AN$451,35,0)</f>
        <v>0</v>
      </c>
      <c r="AO228" s="830">
        <f>VLOOKUP(C228,'[3]CHẤM CÔNG '!$F$10:$AR$451,36,0)</f>
        <v>0</v>
      </c>
      <c r="AP228" s="830"/>
      <c r="AQ228" s="830"/>
      <c r="AR228" s="830"/>
      <c r="AS228" s="836"/>
      <c r="AT228" s="837">
        <f>VLOOKUP(C228,'[3]MỦ TẠP'!$D$10:$AO$450,38,0)</f>
        <v>0</v>
      </c>
      <c r="AU228" s="801">
        <v>1648</v>
      </c>
      <c r="AV228" s="831">
        <f t="shared" si="83"/>
        <v>-1648</v>
      </c>
      <c r="AX228" s="799">
        <f t="shared" si="84"/>
        <v>2</v>
      </c>
      <c r="AZ228" s="799">
        <v>1</v>
      </c>
    </row>
    <row r="229" spans="1:52" ht="15.75">
      <c r="A229" s="850">
        <v>10</v>
      </c>
      <c r="B229" s="813" t="str">
        <f>VLOOKUP(C229,'[3]DS CN MOI UP'!$B$10:$C$489,2,0)</f>
        <v>02564</v>
      </c>
      <c r="C229" s="818" t="s">
        <v>133</v>
      </c>
      <c r="D229" s="851" t="s">
        <v>15</v>
      </c>
      <c r="E229" s="815"/>
      <c r="F229" s="815"/>
      <c r="G229" s="815"/>
      <c r="H229" s="815"/>
      <c r="I229" s="815"/>
      <c r="J229" s="815"/>
      <c r="K229" s="815"/>
      <c r="L229" s="815"/>
      <c r="M229" s="815"/>
      <c r="N229" s="815">
        <f t="shared" si="72"/>
        <v>0</v>
      </c>
      <c r="O229" s="815">
        <f t="shared" si="73"/>
        <v>0</v>
      </c>
      <c r="P229" s="815">
        <f t="shared" si="74"/>
        <v>0</v>
      </c>
      <c r="Q229" s="815">
        <f t="shared" si="75"/>
        <v>0</v>
      </c>
      <c r="R229" s="815">
        <f t="shared" si="76"/>
        <v>0</v>
      </c>
      <c r="S229" s="815">
        <f t="shared" si="77"/>
        <v>0</v>
      </c>
      <c r="T229" s="815">
        <f t="shared" si="78"/>
        <v>0</v>
      </c>
      <c r="U229" s="815">
        <f t="shared" si="79"/>
        <v>0</v>
      </c>
      <c r="V229" s="815">
        <f t="shared" si="80"/>
        <v>0</v>
      </c>
      <c r="W229" s="815"/>
      <c r="X229" s="815"/>
      <c r="Y229" s="815"/>
      <c r="Z229" s="815"/>
      <c r="AA229" s="830">
        <f t="shared" si="81"/>
        <v>0</v>
      </c>
      <c r="AB229" s="830">
        <f>VLOOKUP(C229,'[3]MỦ TẠP'!$D$10:$AM$450,36,0)</f>
        <v>0</v>
      </c>
      <c r="AC229" s="830"/>
      <c r="AD229" s="830"/>
      <c r="AE229" s="830">
        <f>VLOOKUP(C229,'[3]MỦ TẠP'!$D$10:$AM$450,36,0)</f>
        <v>0</v>
      </c>
      <c r="AF229" s="830"/>
      <c r="AG229" s="830"/>
      <c r="AH229" s="830">
        <f t="shared" si="82"/>
        <v>0</v>
      </c>
      <c r="AI229" s="830">
        <f>VLOOKUP(C229,'[3]CHẤM CÔNG '!$F$10:$AM$451,33,0)</f>
        <v>0</v>
      </c>
      <c r="AJ229" s="830">
        <f>VLOOKUP(C229,'[3]CHẤM CÔNG '!$F$10:$AM$451,34,0)</f>
        <v>0</v>
      </c>
      <c r="AK229" s="830"/>
      <c r="AL229" s="830"/>
      <c r="AM229" s="830"/>
      <c r="AN229" s="830">
        <f>VLOOKUP(C229,'[3]CHẤM CÔNG '!$F$10:$AN$451,35,0)</f>
        <v>0</v>
      </c>
      <c r="AO229" s="830">
        <f>VLOOKUP(C229,'[3]CHẤM CÔNG '!$F$10:$AR$451,36,0)</f>
        <v>0</v>
      </c>
      <c r="AP229" s="830"/>
      <c r="AQ229" s="830"/>
      <c r="AR229" s="830"/>
      <c r="AS229" s="836"/>
      <c r="AT229" s="837">
        <f>VLOOKUP(C229,'[3]MỦ TẠP'!$D$10:$AO$450,38,0)</f>
        <v>0</v>
      </c>
      <c r="AU229" s="801">
        <v>1746</v>
      </c>
      <c r="AV229" s="831">
        <f t="shared" si="83"/>
        <v>-1746</v>
      </c>
      <c r="AX229" s="799">
        <f t="shared" si="84"/>
        <v>2</v>
      </c>
      <c r="AZ229" s="799">
        <v>1</v>
      </c>
    </row>
    <row r="230" spans="1:52" ht="15.75">
      <c r="A230" s="850">
        <v>11</v>
      </c>
      <c r="B230" s="813" t="str">
        <f>VLOOKUP(C230,'[3]DS CN MOI UP'!$B$10:$C$489,2,0)</f>
        <v>03353</v>
      </c>
      <c r="C230" s="818" t="s">
        <v>134</v>
      </c>
      <c r="D230" s="851" t="s">
        <v>15</v>
      </c>
      <c r="E230" s="815"/>
      <c r="F230" s="815"/>
      <c r="G230" s="815"/>
      <c r="H230" s="815"/>
      <c r="I230" s="815"/>
      <c r="J230" s="815"/>
      <c r="K230" s="815"/>
      <c r="L230" s="815"/>
      <c r="M230" s="815"/>
      <c r="N230" s="815">
        <f t="shared" si="72"/>
        <v>0</v>
      </c>
      <c r="O230" s="815">
        <f t="shared" si="73"/>
        <v>0</v>
      </c>
      <c r="P230" s="815">
        <f t="shared" si="74"/>
        <v>0</v>
      </c>
      <c r="Q230" s="815">
        <f t="shared" si="75"/>
        <v>0</v>
      </c>
      <c r="R230" s="815">
        <f t="shared" si="76"/>
        <v>0</v>
      </c>
      <c r="S230" s="815">
        <f t="shared" si="77"/>
        <v>0</v>
      </c>
      <c r="T230" s="815">
        <f t="shared" si="78"/>
        <v>0</v>
      </c>
      <c r="U230" s="815">
        <f t="shared" si="79"/>
        <v>0</v>
      </c>
      <c r="V230" s="815">
        <f t="shared" si="80"/>
        <v>0</v>
      </c>
      <c r="W230" s="815"/>
      <c r="X230" s="815"/>
      <c r="Y230" s="815"/>
      <c r="Z230" s="815"/>
      <c r="AA230" s="830">
        <f t="shared" si="81"/>
        <v>0</v>
      </c>
      <c r="AB230" s="830">
        <f>VLOOKUP(C230,'[3]MỦ TẠP'!$D$10:$AM$450,36,0)</f>
        <v>0</v>
      </c>
      <c r="AC230" s="830"/>
      <c r="AD230" s="830"/>
      <c r="AE230" s="830">
        <f>VLOOKUP(C230,'[3]MỦ TẠP'!$D$10:$AM$450,36,0)</f>
        <v>0</v>
      </c>
      <c r="AF230" s="830"/>
      <c r="AG230" s="830"/>
      <c r="AH230" s="830">
        <f t="shared" si="82"/>
        <v>0</v>
      </c>
      <c r="AI230" s="830">
        <f>VLOOKUP(C230,'[3]CHẤM CÔNG '!$F$10:$AM$451,33,0)</f>
        <v>0</v>
      </c>
      <c r="AJ230" s="830">
        <f>VLOOKUP(C230,'[3]CHẤM CÔNG '!$F$10:$AM$451,34,0)</f>
        <v>0</v>
      </c>
      <c r="AK230" s="830"/>
      <c r="AL230" s="830"/>
      <c r="AM230" s="830"/>
      <c r="AN230" s="830">
        <f>VLOOKUP(C230,'[3]CHẤM CÔNG '!$F$10:$AN$451,35,0)</f>
        <v>0</v>
      </c>
      <c r="AO230" s="830">
        <f>VLOOKUP(C230,'[3]CHẤM CÔNG '!$F$10:$AR$451,36,0)</f>
        <v>0</v>
      </c>
      <c r="AP230" s="830"/>
      <c r="AQ230" s="830"/>
      <c r="AR230" s="830"/>
      <c r="AS230" s="836"/>
      <c r="AT230" s="837">
        <f>VLOOKUP(C230,'[3]MỦ TẠP'!$D$10:$AO$450,38,0)</f>
        <v>0</v>
      </c>
      <c r="AU230" s="801">
        <v>1937</v>
      </c>
      <c r="AV230" s="831">
        <f t="shared" si="83"/>
        <v>-1937</v>
      </c>
      <c r="AX230" s="799">
        <f t="shared" si="84"/>
        <v>2</v>
      </c>
      <c r="AZ230" s="799">
        <v>1</v>
      </c>
    </row>
    <row r="231" spans="1:52" ht="15.75">
      <c r="A231" s="850">
        <v>12</v>
      </c>
      <c r="B231" s="813" t="str">
        <f>VLOOKUP(C231,'[3]DS CN MOI UP'!$B$10:$C$489,2,0)</f>
        <v>02518</v>
      </c>
      <c r="C231" s="818" t="s">
        <v>135</v>
      </c>
      <c r="D231" s="851" t="s">
        <v>15</v>
      </c>
      <c r="E231" s="815"/>
      <c r="F231" s="815"/>
      <c r="G231" s="815"/>
      <c r="H231" s="815"/>
      <c r="I231" s="815"/>
      <c r="J231" s="815"/>
      <c r="K231" s="815"/>
      <c r="L231" s="815"/>
      <c r="M231" s="815"/>
      <c r="N231" s="815">
        <f t="shared" si="72"/>
        <v>0</v>
      </c>
      <c r="O231" s="815">
        <f t="shared" si="73"/>
        <v>0</v>
      </c>
      <c r="P231" s="815">
        <f t="shared" si="74"/>
        <v>0</v>
      </c>
      <c r="Q231" s="815">
        <f t="shared" si="75"/>
        <v>0</v>
      </c>
      <c r="R231" s="815">
        <f t="shared" si="76"/>
        <v>0</v>
      </c>
      <c r="S231" s="815">
        <f t="shared" si="77"/>
        <v>0</v>
      </c>
      <c r="T231" s="815">
        <f t="shared" si="78"/>
        <v>0</v>
      </c>
      <c r="U231" s="815">
        <f t="shared" si="79"/>
        <v>0</v>
      </c>
      <c r="V231" s="815">
        <f t="shared" si="80"/>
        <v>0</v>
      </c>
      <c r="W231" s="815"/>
      <c r="X231" s="815"/>
      <c r="Y231" s="815"/>
      <c r="Z231" s="815"/>
      <c r="AA231" s="830">
        <f t="shared" si="81"/>
        <v>0</v>
      </c>
      <c r="AB231" s="830">
        <f>VLOOKUP(C231,'[3]MỦ TẠP'!$D$10:$AM$450,36,0)</f>
        <v>0</v>
      </c>
      <c r="AC231" s="830"/>
      <c r="AD231" s="830"/>
      <c r="AE231" s="830">
        <f>VLOOKUP(C231,'[3]MỦ TẠP'!$D$10:$AM$450,36,0)</f>
        <v>0</v>
      </c>
      <c r="AF231" s="830"/>
      <c r="AG231" s="830"/>
      <c r="AH231" s="830">
        <f t="shared" si="82"/>
        <v>0</v>
      </c>
      <c r="AI231" s="830">
        <f>VLOOKUP(C231,'[3]CHẤM CÔNG '!$F$10:$AM$451,33,0)</f>
        <v>0</v>
      </c>
      <c r="AJ231" s="830">
        <f>VLOOKUP(C231,'[3]CHẤM CÔNG '!$F$10:$AM$451,34,0)</f>
        <v>0</v>
      </c>
      <c r="AK231" s="830"/>
      <c r="AL231" s="830"/>
      <c r="AM231" s="830"/>
      <c r="AN231" s="830">
        <f>VLOOKUP(C231,'[3]CHẤM CÔNG '!$F$10:$AN$451,35,0)</f>
        <v>0</v>
      </c>
      <c r="AO231" s="830">
        <f>VLOOKUP(C231,'[3]CHẤM CÔNG '!$F$10:$AR$451,36,0)</f>
        <v>0</v>
      </c>
      <c r="AP231" s="830"/>
      <c r="AQ231" s="830"/>
      <c r="AR231" s="830"/>
      <c r="AS231" s="836"/>
      <c r="AT231" s="837">
        <f>VLOOKUP(C231,'[3]MỦ TẠP'!$D$10:$AO$450,38,0)</f>
        <v>0</v>
      </c>
      <c r="AU231" s="801">
        <v>1832</v>
      </c>
      <c r="AV231" s="831">
        <f t="shared" si="83"/>
        <v>-1832</v>
      </c>
      <c r="AX231" s="799">
        <f t="shared" si="84"/>
        <v>2</v>
      </c>
      <c r="AZ231" s="799">
        <v>1</v>
      </c>
    </row>
    <row r="232" spans="1:52" ht="15.75">
      <c r="A232" s="850">
        <v>13</v>
      </c>
      <c r="B232" s="813" t="str">
        <f>VLOOKUP(C232,'[3]DS CN MOI UP'!$B$10:$C$489,2,0)</f>
        <v>03355</v>
      </c>
      <c r="C232" s="818" t="s">
        <v>136</v>
      </c>
      <c r="D232" s="851" t="s">
        <v>15</v>
      </c>
      <c r="E232" s="815"/>
      <c r="F232" s="815"/>
      <c r="G232" s="815"/>
      <c r="H232" s="815"/>
      <c r="I232" s="815"/>
      <c r="J232" s="815"/>
      <c r="K232" s="815"/>
      <c r="L232" s="815"/>
      <c r="M232" s="815"/>
      <c r="N232" s="815">
        <f t="shared" si="72"/>
        <v>0</v>
      </c>
      <c r="O232" s="815">
        <f t="shared" si="73"/>
        <v>0</v>
      </c>
      <c r="P232" s="815">
        <f t="shared" si="74"/>
        <v>0</v>
      </c>
      <c r="Q232" s="815">
        <f t="shared" si="75"/>
        <v>0</v>
      </c>
      <c r="R232" s="815">
        <f t="shared" si="76"/>
        <v>0</v>
      </c>
      <c r="S232" s="815">
        <f t="shared" si="77"/>
        <v>0</v>
      </c>
      <c r="T232" s="815">
        <f t="shared" si="78"/>
        <v>0</v>
      </c>
      <c r="U232" s="815">
        <f t="shared" si="79"/>
        <v>0</v>
      </c>
      <c r="V232" s="815">
        <f t="shared" si="80"/>
        <v>0</v>
      </c>
      <c r="W232" s="815"/>
      <c r="X232" s="815"/>
      <c r="Y232" s="815"/>
      <c r="Z232" s="815"/>
      <c r="AA232" s="830">
        <f t="shared" si="81"/>
        <v>0</v>
      </c>
      <c r="AB232" s="830">
        <f>VLOOKUP(C232,'[3]MỦ TẠP'!$D$10:$AM$450,36,0)</f>
        <v>0</v>
      </c>
      <c r="AC232" s="830"/>
      <c r="AD232" s="830"/>
      <c r="AE232" s="830">
        <f>VLOOKUP(C232,'[3]MỦ TẠP'!$D$10:$AM$450,36,0)</f>
        <v>0</v>
      </c>
      <c r="AF232" s="830"/>
      <c r="AG232" s="830"/>
      <c r="AH232" s="830">
        <f t="shared" si="82"/>
        <v>0</v>
      </c>
      <c r="AI232" s="830">
        <f>VLOOKUP(C232,'[3]CHẤM CÔNG '!$F$10:$AM$451,33,0)</f>
        <v>0</v>
      </c>
      <c r="AJ232" s="830">
        <f>VLOOKUP(C232,'[3]CHẤM CÔNG '!$F$10:$AM$451,34,0)</f>
        <v>0</v>
      </c>
      <c r="AK232" s="830"/>
      <c r="AL232" s="830"/>
      <c r="AM232" s="830"/>
      <c r="AN232" s="830">
        <f>VLOOKUP(C232,'[3]CHẤM CÔNG '!$F$10:$AN$451,35,0)</f>
        <v>0</v>
      </c>
      <c r="AO232" s="830">
        <f>VLOOKUP(C232,'[3]CHẤM CÔNG '!$F$10:$AR$451,36,0)</f>
        <v>0</v>
      </c>
      <c r="AP232" s="830"/>
      <c r="AQ232" s="830"/>
      <c r="AR232" s="830"/>
      <c r="AS232" s="836"/>
      <c r="AT232" s="837">
        <f>VLOOKUP(C232,'[3]MỦ TẠP'!$D$10:$AO$450,38,0)</f>
        <v>0</v>
      </c>
      <c r="AU232" s="801">
        <v>1305</v>
      </c>
      <c r="AV232" s="831">
        <f t="shared" si="83"/>
        <v>-1305</v>
      </c>
      <c r="AX232" s="799">
        <f t="shared" si="84"/>
        <v>2</v>
      </c>
      <c r="AZ232" s="799">
        <v>1</v>
      </c>
    </row>
    <row r="233" spans="1:52" ht="15.75">
      <c r="A233" s="850">
        <v>14</v>
      </c>
      <c r="B233" s="813" t="str">
        <f>VLOOKUP(C233,'[3]DS CN MOI UP'!$B$10:$C$489,2,0)</f>
        <v>02521</v>
      </c>
      <c r="C233" s="818" t="s">
        <v>137</v>
      </c>
      <c r="D233" s="851" t="s">
        <v>15</v>
      </c>
      <c r="E233" s="815"/>
      <c r="F233" s="815"/>
      <c r="G233" s="815"/>
      <c r="H233" s="815"/>
      <c r="I233" s="815"/>
      <c r="J233" s="815"/>
      <c r="K233" s="815"/>
      <c r="L233" s="815"/>
      <c r="M233" s="815"/>
      <c r="N233" s="815">
        <f t="shared" si="72"/>
        <v>0</v>
      </c>
      <c r="O233" s="815">
        <f t="shared" si="73"/>
        <v>0</v>
      </c>
      <c r="P233" s="815">
        <f t="shared" si="74"/>
        <v>0</v>
      </c>
      <c r="Q233" s="815">
        <f t="shared" si="75"/>
        <v>0</v>
      </c>
      <c r="R233" s="815">
        <f t="shared" si="76"/>
        <v>0</v>
      </c>
      <c r="S233" s="815">
        <f t="shared" si="77"/>
        <v>0</v>
      </c>
      <c r="T233" s="815">
        <f t="shared" si="78"/>
        <v>0</v>
      </c>
      <c r="U233" s="815">
        <f t="shared" si="79"/>
        <v>0</v>
      </c>
      <c r="V233" s="815">
        <f t="shared" si="80"/>
        <v>0</v>
      </c>
      <c r="W233" s="815"/>
      <c r="X233" s="815"/>
      <c r="Y233" s="815"/>
      <c r="Z233" s="815"/>
      <c r="AA233" s="830">
        <f t="shared" si="81"/>
        <v>0</v>
      </c>
      <c r="AB233" s="830">
        <f>VLOOKUP(C233,'[3]MỦ TẠP'!$D$10:$AM$450,36,0)</f>
        <v>0</v>
      </c>
      <c r="AC233" s="830"/>
      <c r="AD233" s="830"/>
      <c r="AE233" s="830">
        <f>VLOOKUP(C233,'[3]MỦ TẠP'!$D$10:$AM$450,36,0)</f>
        <v>0</v>
      </c>
      <c r="AF233" s="830"/>
      <c r="AG233" s="830"/>
      <c r="AH233" s="830">
        <f t="shared" si="82"/>
        <v>0</v>
      </c>
      <c r="AI233" s="830">
        <f>VLOOKUP(C233,'[3]CHẤM CÔNG '!$F$10:$AM$451,33,0)</f>
        <v>0</v>
      </c>
      <c r="AJ233" s="830">
        <f>VLOOKUP(C233,'[3]CHẤM CÔNG '!$F$10:$AM$451,34,0)</f>
        <v>0</v>
      </c>
      <c r="AK233" s="830"/>
      <c r="AL233" s="830"/>
      <c r="AM233" s="830"/>
      <c r="AN233" s="830">
        <f>VLOOKUP(C233,'[3]CHẤM CÔNG '!$F$10:$AN$451,35,0)</f>
        <v>0</v>
      </c>
      <c r="AO233" s="830">
        <f>VLOOKUP(C233,'[3]CHẤM CÔNG '!$F$10:$AR$451,36,0)</f>
        <v>0</v>
      </c>
      <c r="AP233" s="830"/>
      <c r="AQ233" s="830"/>
      <c r="AR233" s="830"/>
      <c r="AS233" s="836"/>
      <c r="AT233" s="837">
        <f>VLOOKUP(C233,'[3]MỦ TẠP'!$D$10:$AO$450,38,0)</f>
        <v>0</v>
      </c>
      <c r="AU233" s="801">
        <v>1722</v>
      </c>
      <c r="AV233" s="831">
        <f t="shared" si="83"/>
        <v>-1722</v>
      </c>
      <c r="AX233" s="799">
        <f t="shared" si="84"/>
        <v>2</v>
      </c>
      <c r="AZ233" s="799">
        <v>1</v>
      </c>
    </row>
    <row r="234" spans="1:52" ht="15.75">
      <c r="A234" s="850">
        <v>15</v>
      </c>
      <c r="B234" s="813" t="str">
        <f>VLOOKUP(C234,'[3]DS CN MOI UP'!$B$10:$C$489,2,0)</f>
        <v>03356</v>
      </c>
      <c r="C234" s="818" t="s">
        <v>138</v>
      </c>
      <c r="D234" s="851" t="s">
        <v>15</v>
      </c>
      <c r="E234" s="815"/>
      <c r="F234" s="815"/>
      <c r="G234" s="815"/>
      <c r="H234" s="815"/>
      <c r="I234" s="815"/>
      <c r="J234" s="815"/>
      <c r="K234" s="815"/>
      <c r="L234" s="815"/>
      <c r="M234" s="815"/>
      <c r="N234" s="815">
        <f t="shared" si="72"/>
        <v>0</v>
      </c>
      <c r="O234" s="815">
        <f t="shared" si="73"/>
        <v>0</v>
      </c>
      <c r="P234" s="815">
        <f t="shared" si="74"/>
        <v>0</v>
      </c>
      <c r="Q234" s="815">
        <f t="shared" si="75"/>
        <v>0</v>
      </c>
      <c r="R234" s="815">
        <f t="shared" si="76"/>
        <v>0</v>
      </c>
      <c r="S234" s="815">
        <f t="shared" si="77"/>
        <v>0</v>
      </c>
      <c r="T234" s="815">
        <f t="shared" si="78"/>
        <v>0</v>
      </c>
      <c r="U234" s="815">
        <f t="shared" si="79"/>
        <v>0</v>
      </c>
      <c r="V234" s="815">
        <f t="shared" si="80"/>
        <v>0</v>
      </c>
      <c r="W234" s="815"/>
      <c r="X234" s="815"/>
      <c r="Y234" s="815"/>
      <c r="Z234" s="815"/>
      <c r="AA234" s="830">
        <f t="shared" si="81"/>
        <v>0</v>
      </c>
      <c r="AB234" s="830">
        <f>VLOOKUP(C234,'[3]MỦ TẠP'!$D$10:$AM$450,36,0)</f>
        <v>0</v>
      </c>
      <c r="AC234" s="830"/>
      <c r="AD234" s="830"/>
      <c r="AE234" s="830">
        <f>VLOOKUP(C234,'[3]MỦ TẠP'!$D$10:$AM$450,36,0)</f>
        <v>0</v>
      </c>
      <c r="AF234" s="830"/>
      <c r="AG234" s="830"/>
      <c r="AH234" s="830">
        <f t="shared" si="82"/>
        <v>0</v>
      </c>
      <c r="AI234" s="830">
        <f>VLOOKUP(C234,'[3]CHẤM CÔNG '!$F$10:$AM$451,33,0)</f>
        <v>0</v>
      </c>
      <c r="AJ234" s="830">
        <f>VLOOKUP(C234,'[3]CHẤM CÔNG '!$F$10:$AM$451,34,0)</f>
        <v>0</v>
      </c>
      <c r="AK234" s="830"/>
      <c r="AL234" s="830"/>
      <c r="AM234" s="830"/>
      <c r="AN234" s="830">
        <f>VLOOKUP(C234,'[3]CHẤM CÔNG '!$F$10:$AN$451,35,0)</f>
        <v>0</v>
      </c>
      <c r="AO234" s="830">
        <f>VLOOKUP(C234,'[3]CHẤM CÔNG '!$F$10:$AR$451,36,0)</f>
        <v>0</v>
      </c>
      <c r="AP234" s="830"/>
      <c r="AQ234" s="830"/>
      <c r="AR234" s="830"/>
      <c r="AS234" s="836"/>
      <c r="AT234" s="837">
        <f>VLOOKUP(C234,'[3]MỦ TẠP'!$D$10:$AO$450,38,0)</f>
        <v>0</v>
      </c>
      <c r="AU234" s="801">
        <v>1304</v>
      </c>
      <c r="AV234" s="831">
        <f t="shared" si="83"/>
        <v>-1304</v>
      </c>
      <c r="AX234" s="799">
        <f t="shared" si="84"/>
        <v>2</v>
      </c>
      <c r="AZ234" s="799">
        <v>1</v>
      </c>
    </row>
    <row r="235" spans="1:52" ht="15.75">
      <c r="A235" s="850">
        <v>16</v>
      </c>
      <c r="B235" s="813" t="str">
        <f>VLOOKUP(C235,'[3]DS CN MOI UP'!$B$10:$C$489,2,0)</f>
        <v>02524</v>
      </c>
      <c r="C235" s="818" t="s">
        <v>139</v>
      </c>
      <c r="D235" s="851" t="s">
        <v>15</v>
      </c>
      <c r="E235" s="815"/>
      <c r="F235" s="815"/>
      <c r="G235" s="815"/>
      <c r="H235" s="815"/>
      <c r="I235" s="815"/>
      <c r="J235" s="815"/>
      <c r="K235" s="815"/>
      <c r="L235" s="815"/>
      <c r="M235" s="815"/>
      <c r="N235" s="815">
        <f t="shared" si="72"/>
        <v>0</v>
      </c>
      <c r="O235" s="815">
        <f t="shared" si="73"/>
        <v>0</v>
      </c>
      <c r="P235" s="815">
        <f t="shared" si="74"/>
        <v>0</v>
      </c>
      <c r="Q235" s="815">
        <f t="shared" si="75"/>
        <v>0</v>
      </c>
      <c r="R235" s="815">
        <f t="shared" si="76"/>
        <v>0</v>
      </c>
      <c r="S235" s="815">
        <f t="shared" si="77"/>
        <v>0</v>
      </c>
      <c r="T235" s="815">
        <f t="shared" si="78"/>
        <v>0</v>
      </c>
      <c r="U235" s="815">
        <f t="shared" si="79"/>
        <v>0</v>
      </c>
      <c r="V235" s="815">
        <f t="shared" si="80"/>
        <v>0</v>
      </c>
      <c r="W235" s="815"/>
      <c r="X235" s="815"/>
      <c r="Y235" s="815"/>
      <c r="Z235" s="815"/>
      <c r="AA235" s="830">
        <f t="shared" si="81"/>
        <v>0</v>
      </c>
      <c r="AB235" s="830">
        <f>VLOOKUP(C235,'[3]MỦ TẠP'!$D$10:$AM$450,36,0)</f>
        <v>0</v>
      </c>
      <c r="AC235" s="830"/>
      <c r="AD235" s="830"/>
      <c r="AE235" s="830">
        <f>VLOOKUP(C235,'[3]MỦ TẠP'!$D$10:$AM$450,36,0)</f>
        <v>0</v>
      </c>
      <c r="AF235" s="830"/>
      <c r="AG235" s="830"/>
      <c r="AH235" s="830">
        <f t="shared" si="82"/>
        <v>0</v>
      </c>
      <c r="AI235" s="830">
        <f>VLOOKUP(C235,'[3]CHẤM CÔNG '!$F$10:$AM$451,33,0)</f>
        <v>0</v>
      </c>
      <c r="AJ235" s="830">
        <f>VLOOKUP(C235,'[3]CHẤM CÔNG '!$F$10:$AM$451,34,0)</f>
        <v>0</v>
      </c>
      <c r="AK235" s="830"/>
      <c r="AL235" s="830"/>
      <c r="AM235" s="830"/>
      <c r="AN235" s="830">
        <f>VLOOKUP(C235,'[3]CHẤM CÔNG '!$F$10:$AN$451,35,0)</f>
        <v>0</v>
      </c>
      <c r="AO235" s="830">
        <f>VLOOKUP(C235,'[3]CHẤM CÔNG '!$F$10:$AR$451,36,0)</f>
        <v>0</v>
      </c>
      <c r="AP235" s="830"/>
      <c r="AQ235" s="830"/>
      <c r="AR235" s="830"/>
      <c r="AS235" s="836"/>
      <c r="AT235" s="837">
        <f>VLOOKUP(C235,'[3]MỦ TẠP'!$D$10:$AO$450,38,0)</f>
        <v>0</v>
      </c>
      <c r="AU235" s="801">
        <v>2276</v>
      </c>
      <c r="AV235" s="831">
        <f t="shared" si="83"/>
        <v>-2276</v>
      </c>
      <c r="AX235" s="799">
        <f t="shared" si="84"/>
        <v>2</v>
      </c>
      <c r="AZ235" s="799">
        <v>1</v>
      </c>
    </row>
    <row r="236" spans="1:52" ht="15.75">
      <c r="A236" s="850">
        <v>17</v>
      </c>
      <c r="B236" s="813" t="str">
        <f>VLOOKUP(C236,'[3]DS CN MOI UP'!$B$10:$C$489,2,0)</f>
        <v>03357</v>
      </c>
      <c r="C236" s="818" t="s">
        <v>140</v>
      </c>
      <c r="D236" s="851" t="s">
        <v>15</v>
      </c>
      <c r="E236" s="815"/>
      <c r="F236" s="815"/>
      <c r="G236" s="815"/>
      <c r="H236" s="815"/>
      <c r="I236" s="815"/>
      <c r="J236" s="815"/>
      <c r="K236" s="815"/>
      <c r="L236" s="815"/>
      <c r="M236" s="815"/>
      <c r="N236" s="815">
        <f t="shared" si="72"/>
        <v>0</v>
      </c>
      <c r="O236" s="815">
        <f t="shared" si="73"/>
        <v>0</v>
      </c>
      <c r="P236" s="815">
        <f t="shared" si="74"/>
        <v>0</v>
      </c>
      <c r="Q236" s="815">
        <f t="shared" si="75"/>
        <v>0</v>
      </c>
      <c r="R236" s="815">
        <f t="shared" si="76"/>
        <v>0</v>
      </c>
      <c r="S236" s="815">
        <f t="shared" si="77"/>
        <v>0</v>
      </c>
      <c r="T236" s="815">
        <f t="shared" si="78"/>
        <v>0</v>
      </c>
      <c r="U236" s="815">
        <f t="shared" si="79"/>
        <v>0</v>
      </c>
      <c r="V236" s="815">
        <f t="shared" si="80"/>
        <v>0</v>
      </c>
      <c r="W236" s="815"/>
      <c r="X236" s="815"/>
      <c r="Y236" s="815"/>
      <c r="Z236" s="815"/>
      <c r="AA236" s="830">
        <f t="shared" si="81"/>
        <v>0</v>
      </c>
      <c r="AB236" s="830">
        <f>VLOOKUP(C236,'[3]MỦ TẠP'!$D$10:$AM$450,36,0)</f>
        <v>0</v>
      </c>
      <c r="AC236" s="830"/>
      <c r="AD236" s="830"/>
      <c r="AE236" s="830">
        <f>VLOOKUP(C236,'[3]MỦ TẠP'!$D$10:$AM$450,36,0)</f>
        <v>0</v>
      </c>
      <c r="AF236" s="830"/>
      <c r="AG236" s="830"/>
      <c r="AH236" s="830">
        <f t="shared" si="82"/>
        <v>0</v>
      </c>
      <c r="AI236" s="830">
        <f>VLOOKUP(C236,'[3]CHẤM CÔNG '!$F$10:$AM$451,33,0)</f>
        <v>0</v>
      </c>
      <c r="AJ236" s="830">
        <f>VLOOKUP(C236,'[3]CHẤM CÔNG '!$F$10:$AM$451,34,0)</f>
        <v>0</v>
      </c>
      <c r="AK236" s="830"/>
      <c r="AL236" s="830"/>
      <c r="AM236" s="830"/>
      <c r="AN236" s="830">
        <f>VLOOKUP(C236,'[3]CHẤM CÔNG '!$F$10:$AN$451,35,0)</f>
        <v>0</v>
      </c>
      <c r="AO236" s="830">
        <f>VLOOKUP(C236,'[3]CHẤM CÔNG '!$F$10:$AR$451,36,0)</f>
        <v>0</v>
      </c>
      <c r="AP236" s="830"/>
      <c r="AQ236" s="830"/>
      <c r="AR236" s="830"/>
      <c r="AS236" s="836"/>
      <c r="AT236" s="837">
        <f>VLOOKUP(C236,'[3]MỦ TẠP'!$D$10:$AO$450,38,0)</f>
        <v>0</v>
      </c>
      <c r="AU236" s="801">
        <v>2274</v>
      </c>
      <c r="AV236" s="831">
        <f t="shared" si="83"/>
        <v>-2274</v>
      </c>
      <c r="AX236" s="799">
        <f t="shared" si="84"/>
        <v>2</v>
      </c>
      <c r="AZ236" s="799">
        <v>1</v>
      </c>
    </row>
    <row r="237" spans="1:52" ht="15.75">
      <c r="A237" s="850">
        <v>18</v>
      </c>
      <c r="B237" s="813" t="str">
        <f>VLOOKUP(C237,'[3]DS CN MOI UP'!$B$10:$C$489,2,0)</f>
        <v>03358</v>
      </c>
      <c r="C237" s="818" t="s">
        <v>141</v>
      </c>
      <c r="D237" s="851" t="s">
        <v>15</v>
      </c>
      <c r="E237" s="815"/>
      <c r="F237" s="815"/>
      <c r="G237" s="815"/>
      <c r="H237" s="815"/>
      <c r="I237" s="815"/>
      <c r="J237" s="815"/>
      <c r="K237" s="815"/>
      <c r="L237" s="815"/>
      <c r="M237" s="815"/>
      <c r="N237" s="815">
        <f t="shared" si="72"/>
        <v>0</v>
      </c>
      <c r="O237" s="815">
        <f t="shared" si="73"/>
        <v>0</v>
      </c>
      <c r="P237" s="815">
        <f t="shared" si="74"/>
        <v>0</v>
      </c>
      <c r="Q237" s="815">
        <f t="shared" si="75"/>
        <v>0</v>
      </c>
      <c r="R237" s="815">
        <f t="shared" si="76"/>
        <v>0</v>
      </c>
      <c r="S237" s="815">
        <f t="shared" si="77"/>
        <v>0</v>
      </c>
      <c r="T237" s="815">
        <f t="shared" si="78"/>
        <v>0</v>
      </c>
      <c r="U237" s="815">
        <f t="shared" si="79"/>
        <v>0</v>
      </c>
      <c r="V237" s="815">
        <f t="shared" si="80"/>
        <v>0</v>
      </c>
      <c r="W237" s="815"/>
      <c r="X237" s="815"/>
      <c r="Y237" s="815"/>
      <c r="Z237" s="815"/>
      <c r="AA237" s="830">
        <f t="shared" si="81"/>
        <v>0</v>
      </c>
      <c r="AB237" s="830">
        <f>VLOOKUP(C237,'[3]MỦ TẠP'!$D$10:$AM$450,36,0)</f>
        <v>0</v>
      </c>
      <c r="AC237" s="830"/>
      <c r="AD237" s="830"/>
      <c r="AE237" s="830">
        <f>VLOOKUP(C237,'[3]MỦ TẠP'!$D$10:$AM$450,36,0)</f>
        <v>0</v>
      </c>
      <c r="AF237" s="830"/>
      <c r="AG237" s="830"/>
      <c r="AH237" s="830">
        <f t="shared" si="82"/>
        <v>0</v>
      </c>
      <c r="AI237" s="830">
        <f>VLOOKUP(C237,'[3]CHẤM CÔNG '!$F$10:$AM$451,33,0)</f>
        <v>0</v>
      </c>
      <c r="AJ237" s="830">
        <f>VLOOKUP(C237,'[3]CHẤM CÔNG '!$F$10:$AM$451,34,0)</f>
        <v>0</v>
      </c>
      <c r="AK237" s="830"/>
      <c r="AL237" s="830"/>
      <c r="AM237" s="830"/>
      <c r="AN237" s="830">
        <f>VLOOKUP(C237,'[3]CHẤM CÔNG '!$F$10:$AN$451,35,0)</f>
        <v>0</v>
      </c>
      <c r="AO237" s="830">
        <f>VLOOKUP(C237,'[3]CHẤM CÔNG '!$F$10:$AR$451,36,0)</f>
        <v>0</v>
      </c>
      <c r="AP237" s="830"/>
      <c r="AQ237" s="830"/>
      <c r="AR237" s="830"/>
      <c r="AS237" s="836"/>
      <c r="AT237" s="837">
        <f>VLOOKUP(C237,'[3]MỦ TẠP'!$D$10:$AO$450,38,0)</f>
        <v>0</v>
      </c>
      <c r="AU237" s="801">
        <v>1965</v>
      </c>
      <c r="AV237" s="831">
        <f t="shared" si="83"/>
        <v>-1965</v>
      </c>
      <c r="AX237" s="799">
        <f t="shared" si="84"/>
        <v>3</v>
      </c>
    </row>
    <row r="238" spans="1:52" ht="15.75">
      <c r="A238" s="850">
        <v>19</v>
      </c>
      <c r="B238" s="813" t="str">
        <f>VLOOKUP(C238,'[3]DS CN MOI UP'!$B$10:$C$489,2,0)</f>
        <v>02556</v>
      </c>
      <c r="C238" s="818" t="s">
        <v>142</v>
      </c>
      <c r="D238" s="851" t="s">
        <v>15</v>
      </c>
      <c r="E238" s="815"/>
      <c r="F238" s="815"/>
      <c r="G238" s="815"/>
      <c r="H238" s="815"/>
      <c r="I238" s="815"/>
      <c r="J238" s="815"/>
      <c r="K238" s="815"/>
      <c r="L238" s="815"/>
      <c r="M238" s="815"/>
      <c r="N238" s="815">
        <f t="shared" si="72"/>
        <v>0</v>
      </c>
      <c r="O238" s="815">
        <f t="shared" si="73"/>
        <v>0</v>
      </c>
      <c r="P238" s="815">
        <f t="shared" si="74"/>
        <v>0</v>
      </c>
      <c r="Q238" s="815">
        <f t="shared" si="75"/>
        <v>0</v>
      </c>
      <c r="R238" s="815">
        <f t="shared" si="76"/>
        <v>0</v>
      </c>
      <c r="S238" s="815">
        <f t="shared" si="77"/>
        <v>0</v>
      </c>
      <c r="T238" s="815">
        <f t="shared" si="78"/>
        <v>0</v>
      </c>
      <c r="U238" s="815">
        <f t="shared" si="79"/>
        <v>0</v>
      </c>
      <c r="V238" s="815">
        <f t="shared" si="80"/>
        <v>0</v>
      </c>
      <c r="W238" s="815"/>
      <c r="X238" s="815"/>
      <c r="Y238" s="815"/>
      <c r="Z238" s="815"/>
      <c r="AA238" s="830">
        <f t="shared" si="81"/>
        <v>0</v>
      </c>
      <c r="AB238" s="830">
        <f>VLOOKUP(C238,'[3]MỦ TẠP'!$D$10:$AM$450,36,0)</f>
        <v>0</v>
      </c>
      <c r="AC238" s="830"/>
      <c r="AD238" s="830"/>
      <c r="AE238" s="830">
        <f>VLOOKUP(C238,'[3]MỦ TẠP'!$D$10:$AM$450,36,0)</f>
        <v>0</v>
      </c>
      <c r="AF238" s="830"/>
      <c r="AG238" s="830"/>
      <c r="AH238" s="830">
        <f t="shared" si="82"/>
        <v>0</v>
      </c>
      <c r="AI238" s="830">
        <f>VLOOKUP(C238,'[3]CHẤM CÔNG '!$F$10:$AM$451,33,0)</f>
        <v>0</v>
      </c>
      <c r="AJ238" s="830">
        <f>VLOOKUP(C238,'[3]CHẤM CÔNG '!$F$10:$AM$451,34,0)</f>
        <v>0</v>
      </c>
      <c r="AK238" s="830"/>
      <c r="AL238" s="830"/>
      <c r="AM238" s="830"/>
      <c r="AN238" s="830">
        <f>VLOOKUP(C238,'[3]CHẤM CÔNG '!$F$10:$AN$451,35,0)</f>
        <v>0</v>
      </c>
      <c r="AO238" s="830">
        <f>VLOOKUP(C238,'[3]CHẤM CÔNG '!$F$10:$AR$451,36,0)</f>
        <v>0</v>
      </c>
      <c r="AP238" s="830"/>
      <c r="AQ238" s="830"/>
      <c r="AR238" s="830"/>
      <c r="AS238" s="836"/>
      <c r="AT238" s="837">
        <f>VLOOKUP(C238,'[3]MỦ TẠP'!$D$10:$AO$450,38,0)</f>
        <v>0</v>
      </c>
      <c r="AU238" s="801">
        <v>797</v>
      </c>
      <c r="AV238" s="831">
        <f t="shared" si="83"/>
        <v>-797</v>
      </c>
      <c r="AX238" s="799">
        <f t="shared" si="84"/>
        <v>3</v>
      </c>
    </row>
    <row r="239" spans="1:52" ht="15.75">
      <c r="A239" s="850">
        <v>20</v>
      </c>
      <c r="B239" s="813" t="e">
        <f>VLOOKUP(C239,'[3]DS CN MOI UP'!$B$10:$C$489,2,0)</f>
        <v>#N/A</v>
      </c>
      <c r="C239" s="818" t="s">
        <v>143</v>
      </c>
      <c r="D239" s="851" t="s">
        <v>15</v>
      </c>
      <c r="E239" s="815"/>
      <c r="F239" s="815"/>
      <c r="G239" s="815"/>
      <c r="H239" s="815"/>
      <c r="I239" s="815"/>
      <c r="J239" s="815"/>
      <c r="K239" s="815"/>
      <c r="L239" s="815"/>
      <c r="M239" s="815"/>
      <c r="N239" s="815">
        <f t="shared" si="72"/>
        <v>0</v>
      </c>
      <c r="O239" s="815">
        <f t="shared" si="73"/>
        <v>0</v>
      </c>
      <c r="P239" s="815">
        <f t="shared" si="74"/>
        <v>0</v>
      </c>
      <c r="Q239" s="815">
        <f t="shared" si="75"/>
        <v>0</v>
      </c>
      <c r="R239" s="815">
        <f t="shared" si="76"/>
        <v>0</v>
      </c>
      <c r="S239" s="815">
        <f t="shared" si="77"/>
        <v>0</v>
      </c>
      <c r="T239" s="815">
        <f t="shared" si="78"/>
        <v>0</v>
      </c>
      <c r="U239" s="815">
        <f t="shared" si="79"/>
        <v>0</v>
      </c>
      <c r="V239" s="815">
        <f t="shared" si="80"/>
        <v>0</v>
      </c>
      <c r="W239" s="815"/>
      <c r="X239" s="815"/>
      <c r="Y239" s="815"/>
      <c r="Z239" s="815"/>
      <c r="AA239" s="830">
        <f t="shared" si="81"/>
        <v>0</v>
      </c>
      <c r="AB239" s="830" t="e">
        <f>VLOOKUP(C239,'[3]MỦ TẠP'!$D$10:$AM$450,36,0)</f>
        <v>#N/A</v>
      </c>
      <c r="AC239" s="830"/>
      <c r="AD239" s="830"/>
      <c r="AE239" s="830" t="e">
        <f>VLOOKUP(C239,'[3]MỦ TẠP'!$D$10:$AM$450,36,0)</f>
        <v>#N/A</v>
      </c>
      <c r="AF239" s="830"/>
      <c r="AG239" s="830"/>
      <c r="AH239" s="830" t="e">
        <f t="shared" si="82"/>
        <v>#N/A</v>
      </c>
      <c r="AI239" s="830" t="e">
        <f>VLOOKUP(C239,'[3]CHẤM CÔNG '!$F$10:$AM$451,33,0)</f>
        <v>#N/A</v>
      </c>
      <c r="AJ239" s="830" t="e">
        <f>VLOOKUP(C239,'[3]CHẤM CÔNG '!$F$10:$AM$451,34,0)</f>
        <v>#N/A</v>
      </c>
      <c r="AK239" s="830"/>
      <c r="AL239" s="830"/>
      <c r="AM239" s="830"/>
      <c r="AN239" s="830" t="e">
        <f>VLOOKUP(C239,'[3]CHẤM CÔNG '!$F$10:$AN$451,35,0)</f>
        <v>#N/A</v>
      </c>
      <c r="AO239" s="830" t="e">
        <f>VLOOKUP(C239,'[3]CHẤM CÔNG '!$F$10:$AR$451,36,0)</f>
        <v>#N/A</v>
      </c>
      <c r="AP239" s="830"/>
      <c r="AQ239" s="830"/>
      <c r="AR239" s="830"/>
      <c r="AS239" s="836"/>
      <c r="AT239" s="837" t="e">
        <f>VLOOKUP(C239,'[3]MỦ TẠP'!$D$10:$AO$450,38,0)</f>
        <v>#N/A</v>
      </c>
      <c r="AU239" s="801">
        <v>1518</v>
      </c>
      <c r="AV239" s="831" t="e">
        <f t="shared" si="83"/>
        <v>#N/A</v>
      </c>
      <c r="AX239" s="799">
        <f t="shared" si="84"/>
        <v>3</v>
      </c>
    </row>
    <row r="240" spans="1:52" ht="15.75">
      <c r="A240" s="850">
        <v>21</v>
      </c>
      <c r="B240" s="813" t="str">
        <f>VLOOKUP(C240,'[3]DS CN MOI UP'!$B$10:$C$489,2,0)</f>
        <v>03359</v>
      </c>
      <c r="C240" s="818" t="s">
        <v>144</v>
      </c>
      <c r="D240" s="851" t="s">
        <v>15</v>
      </c>
      <c r="E240" s="815"/>
      <c r="F240" s="815"/>
      <c r="G240" s="815"/>
      <c r="H240" s="815"/>
      <c r="I240" s="815"/>
      <c r="J240" s="815"/>
      <c r="K240" s="815"/>
      <c r="L240" s="815"/>
      <c r="M240" s="815"/>
      <c r="N240" s="815">
        <f t="shared" si="72"/>
        <v>0</v>
      </c>
      <c r="O240" s="815">
        <f t="shared" si="73"/>
        <v>0</v>
      </c>
      <c r="P240" s="815">
        <f t="shared" si="74"/>
        <v>0</v>
      </c>
      <c r="Q240" s="815">
        <f t="shared" si="75"/>
        <v>0</v>
      </c>
      <c r="R240" s="815">
        <f t="shared" si="76"/>
        <v>0</v>
      </c>
      <c r="S240" s="815">
        <f t="shared" si="77"/>
        <v>0</v>
      </c>
      <c r="T240" s="815">
        <f t="shared" si="78"/>
        <v>0</v>
      </c>
      <c r="U240" s="815">
        <f t="shared" si="79"/>
        <v>0</v>
      </c>
      <c r="V240" s="815">
        <f t="shared" si="80"/>
        <v>0</v>
      </c>
      <c r="W240" s="815"/>
      <c r="X240" s="815"/>
      <c r="Y240" s="815"/>
      <c r="Z240" s="815"/>
      <c r="AA240" s="830">
        <f t="shared" si="81"/>
        <v>0</v>
      </c>
      <c r="AB240" s="830">
        <f>VLOOKUP(C240,'[3]MỦ TẠP'!$D$10:$AM$450,36,0)</f>
        <v>0</v>
      </c>
      <c r="AC240" s="830"/>
      <c r="AD240" s="830"/>
      <c r="AE240" s="830">
        <f>VLOOKUP(C240,'[3]MỦ TẠP'!$D$10:$AM$450,36,0)</f>
        <v>0</v>
      </c>
      <c r="AF240" s="830"/>
      <c r="AG240" s="830"/>
      <c r="AH240" s="830">
        <f t="shared" si="82"/>
        <v>0</v>
      </c>
      <c r="AI240" s="830">
        <f>VLOOKUP(C240,'[3]CHẤM CÔNG '!$F$10:$AM$451,33,0)</f>
        <v>0</v>
      </c>
      <c r="AJ240" s="830">
        <f>VLOOKUP(C240,'[3]CHẤM CÔNG '!$F$10:$AM$451,34,0)</f>
        <v>0</v>
      </c>
      <c r="AK240" s="830"/>
      <c r="AL240" s="830"/>
      <c r="AM240" s="830"/>
      <c r="AN240" s="830">
        <f>VLOOKUP(C240,'[3]CHẤM CÔNG '!$F$10:$AN$451,35,0)</f>
        <v>0</v>
      </c>
      <c r="AO240" s="830">
        <f>VLOOKUP(C240,'[3]CHẤM CÔNG '!$F$10:$AR$451,36,0)</f>
        <v>0</v>
      </c>
      <c r="AP240" s="830"/>
      <c r="AQ240" s="830"/>
      <c r="AR240" s="830"/>
      <c r="AS240" s="836"/>
      <c r="AT240" s="837">
        <f>VLOOKUP(C240,'[3]MỦ TẠP'!$D$10:$AO$450,38,0)</f>
        <v>0</v>
      </c>
      <c r="AU240" s="801">
        <v>1263</v>
      </c>
      <c r="AV240" s="831">
        <f t="shared" si="83"/>
        <v>-1263</v>
      </c>
      <c r="AX240" s="799">
        <f t="shared" si="84"/>
        <v>3</v>
      </c>
    </row>
    <row r="241" spans="1:52" ht="15.75">
      <c r="A241" s="850">
        <v>22</v>
      </c>
      <c r="B241" s="813" t="str">
        <f>VLOOKUP(C241,'[3]DS CN MOI UP'!$B$10:$C$489,2,0)</f>
        <v>03360</v>
      </c>
      <c r="C241" s="818" t="s">
        <v>145</v>
      </c>
      <c r="D241" s="851" t="s">
        <v>15</v>
      </c>
      <c r="E241" s="815"/>
      <c r="F241" s="815"/>
      <c r="G241" s="815"/>
      <c r="H241" s="815"/>
      <c r="I241" s="815"/>
      <c r="J241" s="815"/>
      <c r="K241" s="815"/>
      <c r="L241" s="815"/>
      <c r="M241" s="815"/>
      <c r="N241" s="815">
        <f t="shared" si="72"/>
        <v>0</v>
      </c>
      <c r="O241" s="815">
        <f t="shared" si="73"/>
        <v>0</v>
      </c>
      <c r="P241" s="815">
        <f t="shared" si="74"/>
        <v>0</v>
      </c>
      <c r="Q241" s="815">
        <f t="shared" si="75"/>
        <v>0</v>
      </c>
      <c r="R241" s="815">
        <f t="shared" si="76"/>
        <v>0</v>
      </c>
      <c r="S241" s="815">
        <f t="shared" si="77"/>
        <v>0</v>
      </c>
      <c r="T241" s="815">
        <f t="shared" si="78"/>
        <v>0</v>
      </c>
      <c r="U241" s="815">
        <f t="shared" si="79"/>
        <v>0</v>
      </c>
      <c r="V241" s="815">
        <f t="shared" si="80"/>
        <v>0</v>
      </c>
      <c r="W241" s="815"/>
      <c r="X241" s="815"/>
      <c r="Y241" s="815"/>
      <c r="Z241" s="815"/>
      <c r="AA241" s="830">
        <f t="shared" si="81"/>
        <v>0</v>
      </c>
      <c r="AB241" s="830">
        <f>VLOOKUP(C241,'[3]MỦ TẠP'!$D$10:$AM$450,36,0)</f>
        <v>0</v>
      </c>
      <c r="AC241" s="830"/>
      <c r="AD241" s="830"/>
      <c r="AE241" s="830">
        <f>VLOOKUP(C241,'[3]MỦ TẠP'!$D$10:$AM$450,36,0)</f>
        <v>0</v>
      </c>
      <c r="AF241" s="830"/>
      <c r="AG241" s="830"/>
      <c r="AH241" s="830">
        <f t="shared" si="82"/>
        <v>0</v>
      </c>
      <c r="AI241" s="830">
        <f>VLOOKUP(C241,'[3]CHẤM CÔNG '!$F$10:$AM$451,33,0)</f>
        <v>0</v>
      </c>
      <c r="AJ241" s="830">
        <f>VLOOKUP(C241,'[3]CHẤM CÔNG '!$F$10:$AM$451,34,0)</f>
        <v>0</v>
      </c>
      <c r="AK241" s="830"/>
      <c r="AL241" s="830"/>
      <c r="AM241" s="830"/>
      <c r="AN241" s="830">
        <f>VLOOKUP(C241,'[3]CHẤM CÔNG '!$F$10:$AN$451,35,0)</f>
        <v>0</v>
      </c>
      <c r="AO241" s="830">
        <f>VLOOKUP(C241,'[3]CHẤM CÔNG '!$F$10:$AR$451,36,0)</f>
        <v>0</v>
      </c>
      <c r="AP241" s="830"/>
      <c r="AQ241" s="830"/>
      <c r="AR241" s="830"/>
      <c r="AS241" s="836"/>
      <c r="AT241" s="837">
        <f>VLOOKUP(C241,'[3]MỦ TẠP'!$D$10:$AO$450,38,0)</f>
        <v>0</v>
      </c>
      <c r="AU241" s="801">
        <v>1497</v>
      </c>
      <c r="AV241" s="831">
        <f t="shared" si="83"/>
        <v>-1497</v>
      </c>
      <c r="AX241" s="799">
        <f t="shared" si="84"/>
        <v>3</v>
      </c>
    </row>
    <row r="242" spans="1:52" ht="15.75">
      <c r="A242" s="850">
        <v>23</v>
      </c>
      <c r="B242" s="813" t="str">
        <f>VLOOKUP(C242,'[3]DS CN MOI UP'!$B$10:$C$489,2,0)</f>
        <v>03413</v>
      </c>
      <c r="C242" s="818" t="s">
        <v>146</v>
      </c>
      <c r="D242" s="851" t="s">
        <v>15</v>
      </c>
      <c r="E242" s="815"/>
      <c r="F242" s="815"/>
      <c r="G242" s="815"/>
      <c r="H242" s="815"/>
      <c r="I242" s="815"/>
      <c r="J242" s="815"/>
      <c r="K242" s="815"/>
      <c r="L242" s="815"/>
      <c r="M242" s="815"/>
      <c r="N242" s="815">
        <f t="shared" si="72"/>
        <v>0</v>
      </c>
      <c r="O242" s="815">
        <f t="shared" si="73"/>
        <v>0</v>
      </c>
      <c r="P242" s="815">
        <f t="shared" si="74"/>
        <v>0</v>
      </c>
      <c r="Q242" s="815">
        <f t="shared" si="75"/>
        <v>0</v>
      </c>
      <c r="R242" s="815">
        <f t="shared" si="76"/>
        <v>0</v>
      </c>
      <c r="S242" s="815">
        <f t="shared" si="77"/>
        <v>0</v>
      </c>
      <c r="T242" s="815">
        <f t="shared" si="78"/>
        <v>0</v>
      </c>
      <c r="U242" s="815">
        <f t="shared" si="79"/>
        <v>0</v>
      </c>
      <c r="V242" s="815">
        <f t="shared" si="80"/>
        <v>0</v>
      </c>
      <c r="W242" s="815"/>
      <c r="X242" s="815"/>
      <c r="Y242" s="815"/>
      <c r="Z242" s="815"/>
      <c r="AA242" s="830">
        <f t="shared" si="81"/>
        <v>0</v>
      </c>
      <c r="AB242" s="830">
        <f>VLOOKUP(C242,'[3]MỦ TẠP'!$D$10:$AM$450,36,0)</f>
        <v>0</v>
      </c>
      <c r="AC242" s="830"/>
      <c r="AD242" s="830"/>
      <c r="AE242" s="830">
        <f>VLOOKUP(C242,'[3]MỦ TẠP'!$D$10:$AM$450,36,0)</f>
        <v>0</v>
      </c>
      <c r="AF242" s="830"/>
      <c r="AG242" s="830"/>
      <c r="AH242" s="830">
        <f t="shared" si="82"/>
        <v>0</v>
      </c>
      <c r="AI242" s="830">
        <f>VLOOKUP(C242,'[3]CHẤM CÔNG '!$F$10:$AM$451,33,0)</f>
        <v>0</v>
      </c>
      <c r="AJ242" s="830">
        <f>VLOOKUP(C242,'[3]CHẤM CÔNG '!$F$10:$AM$451,34,0)</f>
        <v>0</v>
      </c>
      <c r="AK242" s="830"/>
      <c r="AL242" s="830"/>
      <c r="AM242" s="830"/>
      <c r="AN242" s="830">
        <f>VLOOKUP(C242,'[3]CHẤM CÔNG '!$F$10:$AN$451,35,0)</f>
        <v>0</v>
      </c>
      <c r="AO242" s="830">
        <f>VLOOKUP(C242,'[3]CHẤM CÔNG '!$F$10:$AR$451,36,0)</f>
        <v>0</v>
      </c>
      <c r="AP242" s="830"/>
      <c r="AQ242" s="830"/>
      <c r="AR242" s="830"/>
      <c r="AS242" s="836"/>
      <c r="AT242" s="837">
        <f>VLOOKUP(C242,'[3]MỦ TẠP'!$D$10:$AO$450,38,0)</f>
        <v>0</v>
      </c>
      <c r="AU242" s="801">
        <v>836</v>
      </c>
      <c r="AV242" s="831">
        <f t="shared" si="83"/>
        <v>-836</v>
      </c>
      <c r="AX242" s="799">
        <f t="shared" si="84"/>
        <v>3</v>
      </c>
    </row>
    <row r="243" spans="1:52" ht="15.75">
      <c r="A243" s="850">
        <v>24</v>
      </c>
      <c r="B243" s="813" t="str">
        <f>VLOOKUP(C243,'[3]DS CN MOI UP'!$B$10:$C$489,2,0)</f>
        <v>03361</v>
      </c>
      <c r="C243" s="818" t="s">
        <v>147</v>
      </c>
      <c r="D243" s="851" t="s">
        <v>15</v>
      </c>
      <c r="E243" s="815"/>
      <c r="F243" s="815"/>
      <c r="G243" s="815"/>
      <c r="H243" s="815"/>
      <c r="I243" s="815"/>
      <c r="J243" s="815"/>
      <c r="K243" s="815"/>
      <c r="L243" s="815"/>
      <c r="M243" s="815"/>
      <c r="N243" s="815">
        <f t="shared" si="72"/>
        <v>0</v>
      </c>
      <c r="O243" s="815">
        <f t="shared" si="73"/>
        <v>0</v>
      </c>
      <c r="P243" s="815">
        <f t="shared" si="74"/>
        <v>0</v>
      </c>
      <c r="Q243" s="815">
        <f t="shared" si="75"/>
        <v>0</v>
      </c>
      <c r="R243" s="815">
        <f t="shared" si="76"/>
        <v>0</v>
      </c>
      <c r="S243" s="815">
        <f t="shared" si="77"/>
        <v>0</v>
      </c>
      <c r="T243" s="815">
        <f t="shared" si="78"/>
        <v>0</v>
      </c>
      <c r="U243" s="815">
        <f t="shared" si="79"/>
        <v>0</v>
      </c>
      <c r="V243" s="815">
        <f t="shared" si="80"/>
        <v>0</v>
      </c>
      <c r="W243" s="815"/>
      <c r="X243" s="815"/>
      <c r="Y243" s="815"/>
      <c r="Z243" s="815"/>
      <c r="AA243" s="830">
        <f t="shared" si="81"/>
        <v>0</v>
      </c>
      <c r="AB243" s="830">
        <f>VLOOKUP(C243,'[3]MỦ TẠP'!$D$10:$AM$450,36,0)</f>
        <v>0</v>
      </c>
      <c r="AC243" s="830"/>
      <c r="AD243" s="830"/>
      <c r="AE243" s="830">
        <f>VLOOKUP(C243,'[3]MỦ TẠP'!$D$10:$AM$450,36,0)</f>
        <v>0</v>
      </c>
      <c r="AF243" s="830"/>
      <c r="AG243" s="830"/>
      <c r="AH243" s="830">
        <f t="shared" si="82"/>
        <v>0</v>
      </c>
      <c r="AI243" s="830">
        <f>VLOOKUP(C243,'[3]CHẤM CÔNG '!$F$10:$AM$451,33,0)</f>
        <v>0</v>
      </c>
      <c r="AJ243" s="830">
        <f>VLOOKUP(C243,'[3]CHẤM CÔNG '!$F$10:$AM$451,34,0)</f>
        <v>0</v>
      </c>
      <c r="AK243" s="830"/>
      <c r="AL243" s="830"/>
      <c r="AM243" s="830"/>
      <c r="AN243" s="830">
        <f>VLOOKUP(C243,'[3]CHẤM CÔNG '!$F$10:$AN$451,35,0)</f>
        <v>0</v>
      </c>
      <c r="AO243" s="830">
        <f>VLOOKUP(C243,'[3]CHẤM CÔNG '!$F$10:$AR$451,36,0)</f>
        <v>0</v>
      </c>
      <c r="AP243" s="830"/>
      <c r="AQ243" s="830"/>
      <c r="AR243" s="830"/>
      <c r="AS243" s="836"/>
      <c r="AT243" s="837">
        <f>VLOOKUP(C243,'[3]MỦ TẠP'!$D$10:$AO$450,38,0)</f>
        <v>0</v>
      </c>
      <c r="AU243" s="801">
        <v>2568</v>
      </c>
      <c r="AV243" s="831">
        <f t="shared" si="83"/>
        <v>-2568</v>
      </c>
      <c r="AX243" s="799">
        <f t="shared" si="84"/>
        <v>3</v>
      </c>
    </row>
    <row r="244" spans="1:52" ht="15.75">
      <c r="A244" s="850">
        <v>25</v>
      </c>
      <c r="B244" s="813" t="str">
        <f>VLOOKUP(C244,'[3]DS CN MOI UP'!$B$10:$C$489,2,0)</f>
        <v>02554</v>
      </c>
      <c r="C244" s="818" t="s">
        <v>148</v>
      </c>
      <c r="D244" s="851" t="s">
        <v>15</v>
      </c>
      <c r="E244" s="815"/>
      <c r="F244" s="815"/>
      <c r="G244" s="815"/>
      <c r="H244" s="815"/>
      <c r="I244" s="815"/>
      <c r="J244" s="815"/>
      <c r="K244" s="815"/>
      <c r="L244" s="815"/>
      <c r="M244" s="815"/>
      <c r="N244" s="815">
        <f t="shared" si="72"/>
        <v>0</v>
      </c>
      <c r="O244" s="815">
        <f t="shared" si="73"/>
        <v>0</v>
      </c>
      <c r="P244" s="815">
        <f t="shared" si="74"/>
        <v>0</v>
      </c>
      <c r="Q244" s="815">
        <f t="shared" si="75"/>
        <v>0</v>
      </c>
      <c r="R244" s="815">
        <f t="shared" si="76"/>
        <v>0</v>
      </c>
      <c r="S244" s="815">
        <f t="shared" si="77"/>
        <v>0</v>
      </c>
      <c r="T244" s="815">
        <f t="shared" si="78"/>
        <v>0</v>
      </c>
      <c r="U244" s="815">
        <f t="shared" si="79"/>
        <v>0</v>
      </c>
      <c r="V244" s="815">
        <f t="shared" si="80"/>
        <v>0</v>
      </c>
      <c r="W244" s="815"/>
      <c r="X244" s="815"/>
      <c r="Y244" s="815"/>
      <c r="Z244" s="815"/>
      <c r="AA244" s="830">
        <f t="shared" si="81"/>
        <v>0</v>
      </c>
      <c r="AB244" s="830">
        <f>VLOOKUP(C244,'[3]MỦ TẠP'!$D$10:$AM$450,36,0)</f>
        <v>0</v>
      </c>
      <c r="AC244" s="830"/>
      <c r="AD244" s="830"/>
      <c r="AE244" s="830">
        <f>VLOOKUP(C244,'[3]MỦ TẠP'!$D$10:$AM$450,36,0)</f>
        <v>0</v>
      </c>
      <c r="AF244" s="830"/>
      <c r="AG244" s="830"/>
      <c r="AH244" s="830">
        <f t="shared" si="82"/>
        <v>0</v>
      </c>
      <c r="AI244" s="830">
        <f>VLOOKUP(C244,'[3]CHẤM CÔNG '!$F$10:$AM$451,33,0)</f>
        <v>0</v>
      </c>
      <c r="AJ244" s="830">
        <f>VLOOKUP(C244,'[3]CHẤM CÔNG '!$F$10:$AM$451,34,0)</f>
        <v>0</v>
      </c>
      <c r="AK244" s="830"/>
      <c r="AL244" s="830"/>
      <c r="AM244" s="830"/>
      <c r="AN244" s="830">
        <f>VLOOKUP(C244,'[3]CHẤM CÔNG '!$F$10:$AN$451,35,0)</f>
        <v>0</v>
      </c>
      <c r="AO244" s="830">
        <f>VLOOKUP(C244,'[3]CHẤM CÔNG '!$F$10:$AR$451,36,0)</f>
        <v>0</v>
      </c>
      <c r="AP244" s="830"/>
      <c r="AQ244" s="830"/>
      <c r="AR244" s="830"/>
      <c r="AS244" s="836"/>
      <c r="AT244" s="837">
        <f>VLOOKUP(C244,'[3]MỦ TẠP'!$D$10:$AO$450,38,0)</f>
        <v>0</v>
      </c>
      <c r="AU244" s="801">
        <v>1275</v>
      </c>
      <c r="AV244" s="831">
        <f t="shared" si="83"/>
        <v>-1275</v>
      </c>
      <c r="AX244" s="799">
        <f t="shared" si="84"/>
        <v>3</v>
      </c>
    </row>
    <row r="245" spans="1:52" ht="15.75">
      <c r="A245" s="850">
        <v>26</v>
      </c>
      <c r="B245" s="813" t="str">
        <f>VLOOKUP(C245,'[3]DS CN MOI UP'!$B$10:$C$489,2,0)</f>
        <v>02534</v>
      </c>
      <c r="C245" s="818" t="s">
        <v>149</v>
      </c>
      <c r="D245" s="851" t="s">
        <v>15</v>
      </c>
      <c r="E245" s="815"/>
      <c r="F245" s="815"/>
      <c r="G245" s="815"/>
      <c r="H245" s="815"/>
      <c r="I245" s="815"/>
      <c r="J245" s="815"/>
      <c r="K245" s="815"/>
      <c r="L245" s="815"/>
      <c r="M245" s="815"/>
      <c r="N245" s="815">
        <f t="shared" si="72"/>
        <v>0</v>
      </c>
      <c r="O245" s="815">
        <f t="shared" si="73"/>
        <v>0</v>
      </c>
      <c r="P245" s="815">
        <f t="shared" si="74"/>
        <v>0</v>
      </c>
      <c r="Q245" s="815">
        <f t="shared" si="75"/>
        <v>0</v>
      </c>
      <c r="R245" s="815">
        <f t="shared" si="76"/>
        <v>0</v>
      </c>
      <c r="S245" s="815">
        <f t="shared" si="77"/>
        <v>0</v>
      </c>
      <c r="T245" s="815">
        <f t="shared" si="78"/>
        <v>0</v>
      </c>
      <c r="U245" s="815">
        <f t="shared" si="79"/>
        <v>0</v>
      </c>
      <c r="V245" s="815">
        <f t="shared" si="80"/>
        <v>0</v>
      </c>
      <c r="W245" s="815"/>
      <c r="X245" s="815"/>
      <c r="Y245" s="815"/>
      <c r="Z245" s="815"/>
      <c r="AA245" s="830">
        <f t="shared" si="81"/>
        <v>0</v>
      </c>
      <c r="AB245" s="830">
        <f>VLOOKUP(C245,'[3]MỦ TẠP'!$D$10:$AM$450,36,0)</f>
        <v>0</v>
      </c>
      <c r="AC245" s="830"/>
      <c r="AD245" s="830"/>
      <c r="AE245" s="830">
        <f>VLOOKUP(C245,'[3]MỦ TẠP'!$D$10:$AM$450,36,0)</f>
        <v>0</v>
      </c>
      <c r="AF245" s="830"/>
      <c r="AG245" s="830"/>
      <c r="AH245" s="830">
        <f t="shared" si="82"/>
        <v>0</v>
      </c>
      <c r="AI245" s="830">
        <f>VLOOKUP(C245,'[3]CHẤM CÔNG '!$F$10:$AM$451,33,0)</f>
        <v>0</v>
      </c>
      <c r="AJ245" s="830">
        <f>VLOOKUP(C245,'[3]CHẤM CÔNG '!$F$10:$AM$451,34,0)</f>
        <v>0</v>
      </c>
      <c r="AK245" s="830"/>
      <c r="AL245" s="830"/>
      <c r="AM245" s="830"/>
      <c r="AN245" s="830">
        <f>VLOOKUP(C245,'[3]CHẤM CÔNG '!$F$10:$AN$451,35,0)</f>
        <v>0</v>
      </c>
      <c r="AO245" s="830">
        <f>VLOOKUP(C245,'[3]CHẤM CÔNG '!$F$10:$AR$451,36,0)</f>
        <v>0</v>
      </c>
      <c r="AP245" s="830"/>
      <c r="AQ245" s="830"/>
      <c r="AR245" s="830"/>
      <c r="AS245" s="836"/>
      <c r="AT245" s="837">
        <f>VLOOKUP(C245,'[3]MỦ TẠP'!$D$10:$AO$450,38,0)</f>
        <v>0</v>
      </c>
      <c r="AU245" s="801">
        <v>2116</v>
      </c>
      <c r="AV245" s="831">
        <f t="shared" si="83"/>
        <v>-2116</v>
      </c>
      <c r="AX245" s="799">
        <f t="shared" si="84"/>
        <v>3</v>
      </c>
    </row>
    <row r="246" spans="1:52" ht="15.75">
      <c r="A246" s="850">
        <v>27</v>
      </c>
      <c r="B246" s="813" t="str">
        <f>VLOOKUP(C246,'[3]DS CN MOI UP'!$B$10:$C$489,2,0)</f>
        <v>02538</v>
      </c>
      <c r="C246" s="818" t="s">
        <v>150</v>
      </c>
      <c r="D246" s="851" t="s">
        <v>15</v>
      </c>
      <c r="E246" s="815"/>
      <c r="F246" s="815"/>
      <c r="G246" s="815"/>
      <c r="H246" s="815"/>
      <c r="I246" s="815"/>
      <c r="J246" s="815"/>
      <c r="K246" s="815"/>
      <c r="L246" s="815"/>
      <c r="M246" s="815"/>
      <c r="N246" s="815">
        <f t="shared" si="72"/>
        <v>0</v>
      </c>
      <c r="O246" s="815">
        <f t="shared" si="73"/>
        <v>0</v>
      </c>
      <c r="P246" s="815">
        <f t="shared" si="74"/>
        <v>0</v>
      </c>
      <c r="Q246" s="815">
        <f t="shared" si="75"/>
        <v>0</v>
      </c>
      <c r="R246" s="815">
        <f t="shared" si="76"/>
        <v>0</v>
      </c>
      <c r="S246" s="815">
        <f t="shared" si="77"/>
        <v>0</v>
      </c>
      <c r="T246" s="815">
        <f t="shared" si="78"/>
        <v>0</v>
      </c>
      <c r="U246" s="815">
        <f t="shared" si="79"/>
        <v>0</v>
      </c>
      <c r="V246" s="815">
        <f t="shared" si="80"/>
        <v>0</v>
      </c>
      <c r="W246" s="815"/>
      <c r="X246" s="815"/>
      <c r="Y246" s="815"/>
      <c r="Z246" s="815"/>
      <c r="AA246" s="830">
        <f t="shared" si="81"/>
        <v>0</v>
      </c>
      <c r="AB246" s="830">
        <f>VLOOKUP(C246,'[3]MỦ TẠP'!$D$10:$AM$450,36,0)</f>
        <v>0</v>
      </c>
      <c r="AC246" s="830"/>
      <c r="AD246" s="830"/>
      <c r="AE246" s="830">
        <f>VLOOKUP(C246,'[3]MỦ TẠP'!$D$10:$AM$450,36,0)</f>
        <v>0</v>
      </c>
      <c r="AF246" s="830"/>
      <c r="AG246" s="830"/>
      <c r="AH246" s="830">
        <f t="shared" si="82"/>
        <v>0</v>
      </c>
      <c r="AI246" s="830">
        <f>VLOOKUP(C246,'[3]CHẤM CÔNG '!$F$10:$AM$451,33,0)</f>
        <v>0</v>
      </c>
      <c r="AJ246" s="830">
        <f>VLOOKUP(C246,'[3]CHẤM CÔNG '!$F$10:$AM$451,34,0)</f>
        <v>0</v>
      </c>
      <c r="AK246" s="830"/>
      <c r="AL246" s="830"/>
      <c r="AM246" s="830"/>
      <c r="AN246" s="830">
        <f>VLOOKUP(C246,'[3]CHẤM CÔNG '!$F$10:$AN$451,35,0)</f>
        <v>0</v>
      </c>
      <c r="AO246" s="830">
        <f>VLOOKUP(C246,'[3]CHẤM CÔNG '!$F$10:$AR$451,36,0)</f>
        <v>0</v>
      </c>
      <c r="AP246" s="830"/>
      <c r="AQ246" s="830"/>
      <c r="AR246" s="830"/>
      <c r="AS246" s="836"/>
      <c r="AT246" s="837">
        <f>VLOOKUP(C246,'[3]MỦ TẠP'!$D$10:$AO$450,38,0)</f>
        <v>0</v>
      </c>
      <c r="AU246" s="801">
        <v>1599</v>
      </c>
      <c r="AV246" s="831">
        <f t="shared" si="83"/>
        <v>-1599</v>
      </c>
      <c r="AX246" s="799">
        <f t="shared" si="84"/>
        <v>3</v>
      </c>
    </row>
    <row r="247" spans="1:52" ht="15.75">
      <c r="A247" s="850">
        <v>28</v>
      </c>
      <c r="B247" s="813" t="str">
        <f>VLOOKUP(C247,'[3]DS CN MOI UP'!$B$10:$C$489,2,0)</f>
        <v>03362</v>
      </c>
      <c r="C247" s="818" t="s">
        <v>151</v>
      </c>
      <c r="D247" s="851" t="s">
        <v>15</v>
      </c>
      <c r="E247" s="815"/>
      <c r="F247" s="815"/>
      <c r="G247" s="815"/>
      <c r="H247" s="815"/>
      <c r="I247" s="815"/>
      <c r="J247" s="815"/>
      <c r="K247" s="815"/>
      <c r="L247" s="815"/>
      <c r="M247" s="815"/>
      <c r="N247" s="815">
        <f t="shared" si="72"/>
        <v>0</v>
      </c>
      <c r="O247" s="815">
        <f t="shared" si="73"/>
        <v>0</v>
      </c>
      <c r="P247" s="815">
        <f t="shared" si="74"/>
        <v>0</v>
      </c>
      <c r="Q247" s="815">
        <f t="shared" si="75"/>
        <v>0</v>
      </c>
      <c r="R247" s="815">
        <f t="shared" si="76"/>
        <v>0</v>
      </c>
      <c r="S247" s="815">
        <f t="shared" si="77"/>
        <v>0</v>
      </c>
      <c r="T247" s="815">
        <f t="shared" si="78"/>
        <v>0</v>
      </c>
      <c r="U247" s="815">
        <f t="shared" si="79"/>
        <v>0</v>
      </c>
      <c r="V247" s="815">
        <f t="shared" si="80"/>
        <v>0</v>
      </c>
      <c r="W247" s="815"/>
      <c r="X247" s="815"/>
      <c r="Y247" s="815"/>
      <c r="Z247" s="815"/>
      <c r="AA247" s="830">
        <f t="shared" si="81"/>
        <v>0</v>
      </c>
      <c r="AB247" s="830">
        <f>VLOOKUP(C247,'[3]MỦ TẠP'!$D$10:$AM$450,36,0)</f>
        <v>0</v>
      </c>
      <c r="AC247" s="830"/>
      <c r="AD247" s="830"/>
      <c r="AE247" s="830">
        <f>VLOOKUP(C247,'[3]MỦ TẠP'!$D$10:$AM$450,36,0)</f>
        <v>0</v>
      </c>
      <c r="AF247" s="830"/>
      <c r="AG247" s="830"/>
      <c r="AH247" s="830">
        <f t="shared" si="82"/>
        <v>0</v>
      </c>
      <c r="AI247" s="830">
        <f>VLOOKUP(C247,'[3]CHẤM CÔNG '!$F$10:$AM$451,33,0)</f>
        <v>0</v>
      </c>
      <c r="AJ247" s="830">
        <f>VLOOKUP(C247,'[3]CHẤM CÔNG '!$F$10:$AM$451,34,0)</f>
        <v>0</v>
      </c>
      <c r="AK247" s="830"/>
      <c r="AL247" s="830"/>
      <c r="AM247" s="830"/>
      <c r="AN247" s="830">
        <f>VLOOKUP(C247,'[3]CHẤM CÔNG '!$F$10:$AN$451,35,0)</f>
        <v>0</v>
      </c>
      <c r="AO247" s="830">
        <f>VLOOKUP(C247,'[3]CHẤM CÔNG '!$F$10:$AR$451,36,0)</f>
        <v>0</v>
      </c>
      <c r="AP247" s="830"/>
      <c r="AQ247" s="830"/>
      <c r="AR247" s="830"/>
      <c r="AS247" s="836"/>
      <c r="AT247" s="837">
        <f>VLOOKUP(C247,'[3]MỦ TẠP'!$D$10:$AO$450,38,0)</f>
        <v>0</v>
      </c>
      <c r="AU247" s="801">
        <v>1622</v>
      </c>
      <c r="AV247" s="831">
        <f t="shared" si="83"/>
        <v>-1622</v>
      </c>
      <c r="AX247" s="799">
        <f t="shared" si="84"/>
        <v>3</v>
      </c>
    </row>
    <row r="248" spans="1:52" ht="15.75">
      <c r="A248" s="850">
        <v>29</v>
      </c>
      <c r="B248" s="813" t="str">
        <f>VLOOKUP(C248,'[3]DS CN MOI UP'!$B$10:$C$489,2,0)</f>
        <v>02530</v>
      </c>
      <c r="C248" s="818" t="s">
        <v>152</v>
      </c>
      <c r="D248" s="851" t="s">
        <v>15</v>
      </c>
      <c r="E248" s="815"/>
      <c r="F248" s="815"/>
      <c r="G248" s="815"/>
      <c r="H248" s="815"/>
      <c r="I248" s="815"/>
      <c r="J248" s="815"/>
      <c r="K248" s="815"/>
      <c r="L248" s="815"/>
      <c r="M248" s="815"/>
      <c r="N248" s="815">
        <f t="shared" si="72"/>
        <v>0</v>
      </c>
      <c r="O248" s="815">
        <f t="shared" si="73"/>
        <v>0</v>
      </c>
      <c r="P248" s="815">
        <f t="shared" si="74"/>
        <v>0</v>
      </c>
      <c r="Q248" s="815">
        <f t="shared" si="75"/>
        <v>0</v>
      </c>
      <c r="R248" s="815">
        <f t="shared" si="76"/>
        <v>0</v>
      </c>
      <c r="S248" s="815">
        <f t="shared" si="77"/>
        <v>0</v>
      </c>
      <c r="T248" s="815">
        <f t="shared" si="78"/>
        <v>0</v>
      </c>
      <c r="U248" s="815">
        <f t="shared" si="79"/>
        <v>0</v>
      </c>
      <c r="V248" s="815">
        <f t="shared" si="80"/>
        <v>0</v>
      </c>
      <c r="W248" s="815"/>
      <c r="X248" s="815"/>
      <c r="Y248" s="815"/>
      <c r="Z248" s="815"/>
      <c r="AA248" s="830">
        <f t="shared" si="81"/>
        <v>0</v>
      </c>
      <c r="AB248" s="830">
        <f>VLOOKUP(C248,'[3]MỦ TẠP'!$D$10:$AM$450,36,0)</f>
        <v>0</v>
      </c>
      <c r="AC248" s="830"/>
      <c r="AD248" s="830"/>
      <c r="AE248" s="830">
        <f>VLOOKUP(C248,'[3]MỦ TẠP'!$D$10:$AM$450,36,0)</f>
        <v>0</v>
      </c>
      <c r="AF248" s="830"/>
      <c r="AG248" s="830"/>
      <c r="AH248" s="830">
        <f t="shared" si="82"/>
        <v>0</v>
      </c>
      <c r="AI248" s="830">
        <f>VLOOKUP(C248,'[3]CHẤM CÔNG '!$F$10:$AM$451,33,0)</f>
        <v>0</v>
      </c>
      <c r="AJ248" s="830">
        <f>VLOOKUP(C248,'[3]CHẤM CÔNG '!$F$10:$AM$451,34,0)</f>
        <v>0</v>
      </c>
      <c r="AK248" s="830"/>
      <c r="AL248" s="830"/>
      <c r="AM248" s="830"/>
      <c r="AN248" s="830">
        <f>VLOOKUP(C248,'[3]CHẤM CÔNG '!$F$10:$AN$451,35,0)</f>
        <v>0</v>
      </c>
      <c r="AO248" s="830">
        <f>VLOOKUP(C248,'[3]CHẤM CÔNG '!$F$10:$AR$451,36,0)</f>
        <v>0</v>
      </c>
      <c r="AP248" s="830"/>
      <c r="AQ248" s="830"/>
      <c r="AR248" s="830"/>
      <c r="AS248" s="836"/>
      <c r="AT248" s="837">
        <f>VLOOKUP(C248,'[3]MỦ TẠP'!$D$10:$AO$450,38,0)</f>
        <v>0</v>
      </c>
      <c r="AU248" s="801">
        <v>1925</v>
      </c>
      <c r="AV248" s="831">
        <f t="shared" si="83"/>
        <v>-1925</v>
      </c>
      <c r="AX248" s="799">
        <f t="shared" si="84"/>
        <v>3</v>
      </c>
    </row>
    <row r="249" spans="1:52" ht="15.75">
      <c r="A249" s="850">
        <v>30</v>
      </c>
      <c r="B249" s="813" t="str">
        <f>VLOOKUP(C249,'[3]DS CN MOI UP'!$B$10:$C$489,2,0)</f>
        <v>03363</v>
      </c>
      <c r="C249" s="818" t="s">
        <v>153</v>
      </c>
      <c r="D249" s="851" t="s">
        <v>15</v>
      </c>
      <c r="E249" s="815"/>
      <c r="F249" s="815"/>
      <c r="G249" s="815"/>
      <c r="H249" s="815"/>
      <c r="I249" s="815"/>
      <c r="J249" s="815"/>
      <c r="K249" s="815"/>
      <c r="L249" s="815"/>
      <c r="M249" s="815"/>
      <c r="N249" s="815">
        <f t="shared" si="72"/>
        <v>0</v>
      </c>
      <c r="O249" s="815">
        <f t="shared" si="73"/>
        <v>0</v>
      </c>
      <c r="P249" s="815">
        <f t="shared" si="74"/>
        <v>0</v>
      </c>
      <c r="Q249" s="815">
        <f t="shared" si="75"/>
        <v>0</v>
      </c>
      <c r="R249" s="815">
        <f t="shared" si="76"/>
        <v>0</v>
      </c>
      <c r="S249" s="815">
        <f t="shared" si="77"/>
        <v>0</v>
      </c>
      <c r="T249" s="815">
        <f t="shared" si="78"/>
        <v>0</v>
      </c>
      <c r="U249" s="815">
        <f t="shared" si="79"/>
        <v>0</v>
      </c>
      <c r="V249" s="815">
        <f t="shared" si="80"/>
        <v>0</v>
      </c>
      <c r="W249" s="815"/>
      <c r="X249" s="815"/>
      <c r="Y249" s="815"/>
      <c r="Z249" s="815"/>
      <c r="AA249" s="830">
        <f t="shared" si="81"/>
        <v>0</v>
      </c>
      <c r="AB249" s="830">
        <f>VLOOKUP(C249,'[3]MỦ TẠP'!$D$10:$AM$450,36,0)</f>
        <v>0</v>
      </c>
      <c r="AC249" s="830"/>
      <c r="AD249" s="830"/>
      <c r="AE249" s="830">
        <f>VLOOKUP(C249,'[3]MỦ TẠP'!$D$10:$AM$450,36,0)</f>
        <v>0</v>
      </c>
      <c r="AF249" s="830"/>
      <c r="AG249" s="830"/>
      <c r="AH249" s="830">
        <f t="shared" si="82"/>
        <v>0</v>
      </c>
      <c r="AI249" s="830">
        <f>VLOOKUP(C249,'[3]CHẤM CÔNG '!$F$10:$AM$451,33,0)</f>
        <v>0</v>
      </c>
      <c r="AJ249" s="830">
        <f>VLOOKUP(C249,'[3]CHẤM CÔNG '!$F$10:$AM$451,34,0)</f>
        <v>0</v>
      </c>
      <c r="AK249" s="830"/>
      <c r="AL249" s="830"/>
      <c r="AM249" s="830"/>
      <c r="AN249" s="830">
        <f>VLOOKUP(C249,'[3]CHẤM CÔNG '!$F$10:$AN$451,35,0)</f>
        <v>0</v>
      </c>
      <c r="AO249" s="830">
        <f>VLOOKUP(C249,'[3]CHẤM CÔNG '!$F$10:$AR$451,36,0)</f>
        <v>0</v>
      </c>
      <c r="AP249" s="830"/>
      <c r="AQ249" s="830"/>
      <c r="AR249" s="830"/>
      <c r="AS249" s="836"/>
      <c r="AT249" s="837">
        <f>VLOOKUP(C249,'[3]MỦ TẠP'!$D$10:$AO$450,38,0)</f>
        <v>0</v>
      </c>
      <c r="AU249" s="801">
        <v>991</v>
      </c>
      <c r="AV249" s="831">
        <f t="shared" si="83"/>
        <v>-991</v>
      </c>
      <c r="AX249" s="799">
        <f t="shared" si="84"/>
        <v>3</v>
      </c>
    </row>
    <row r="250" spans="1:52" ht="15.75">
      <c r="A250" s="850">
        <v>31</v>
      </c>
      <c r="B250" s="813" t="str">
        <f>VLOOKUP(C250,'[3]DS CN MOI UP'!$B$10:$C$489,2,0)</f>
        <v>03364</v>
      </c>
      <c r="C250" s="818" t="s">
        <v>154</v>
      </c>
      <c r="D250" s="851" t="s">
        <v>15</v>
      </c>
      <c r="E250" s="815"/>
      <c r="F250" s="815"/>
      <c r="G250" s="815"/>
      <c r="H250" s="815"/>
      <c r="I250" s="815"/>
      <c r="J250" s="815"/>
      <c r="K250" s="815"/>
      <c r="L250" s="815"/>
      <c r="M250" s="815"/>
      <c r="N250" s="815">
        <f t="shared" si="72"/>
        <v>0</v>
      </c>
      <c r="O250" s="815">
        <f t="shared" si="73"/>
        <v>0</v>
      </c>
      <c r="P250" s="815">
        <f t="shared" si="74"/>
        <v>0</v>
      </c>
      <c r="Q250" s="815">
        <f t="shared" si="75"/>
        <v>0</v>
      </c>
      <c r="R250" s="815">
        <f t="shared" si="76"/>
        <v>0</v>
      </c>
      <c r="S250" s="815">
        <f t="shared" si="77"/>
        <v>0</v>
      </c>
      <c r="T250" s="815">
        <f t="shared" si="78"/>
        <v>0</v>
      </c>
      <c r="U250" s="815">
        <f t="shared" si="79"/>
        <v>0</v>
      </c>
      <c r="V250" s="815">
        <f t="shared" si="80"/>
        <v>0</v>
      </c>
      <c r="W250" s="815"/>
      <c r="X250" s="815"/>
      <c r="Y250" s="815"/>
      <c r="Z250" s="815"/>
      <c r="AA250" s="830">
        <f t="shared" si="81"/>
        <v>0</v>
      </c>
      <c r="AB250" s="830">
        <f>VLOOKUP(C250,'[3]MỦ TẠP'!$D$10:$AM$450,36,0)</f>
        <v>0</v>
      </c>
      <c r="AC250" s="830"/>
      <c r="AD250" s="830"/>
      <c r="AE250" s="830">
        <f>VLOOKUP(C250,'[3]MỦ TẠP'!$D$10:$AM$450,36,0)</f>
        <v>0</v>
      </c>
      <c r="AF250" s="830"/>
      <c r="AG250" s="830"/>
      <c r="AH250" s="830">
        <f t="shared" si="82"/>
        <v>0</v>
      </c>
      <c r="AI250" s="830">
        <f>VLOOKUP(C250,'[3]CHẤM CÔNG '!$F$10:$AM$451,33,0)</f>
        <v>0</v>
      </c>
      <c r="AJ250" s="830">
        <f>VLOOKUP(C250,'[3]CHẤM CÔNG '!$F$10:$AM$451,34,0)</f>
        <v>0</v>
      </c>
      <c r="AK250" s="830"/>
      <c r="AL250" s="830"/>
      <c r="AM250" s="830"/>
      <c r="AN250" s="830">
        <f>VLOOKUP(C250,'[3]CHẤM CÔNG '!$F$10:$AN$451,35,0)</f>
        <v>0</v>
      </c>
      <c r="AO250" s="830">
        <f>VLOOKUP(C250,'[3]CHẤM CÔNG '!$F$10:$AR$451,36,0)</f>
        <v>0</v>
      </c>
      <c r="AP250" s="830"/>
      <c r="AQ250" s="830"/>
      <c r="AR250" s="830"/>
      <c r="AS250" s="836"/>
      <c r="AT250" s="837">
        <f>VLOOKUP(C250,'[3]MỦ TẠP'!$D$10:$AO$450,38,0)</f>
        <v>0</v>
      </c>
      <c r="AU250" s="801">
        <v>2524</v>
      </c>
      <c r="AV250" s="831">
        <f t="shared" si="83"/>
        <v>-2524</v>
      </c>
      <c r="AX250" s="799">
        <f t="shared" si="84"/>
        <v>3</v>
      </c>
    </row>
    <row r="251" spans="1:52" ht="15.75">
      <c r="A251" s="850">
        <v>32</v>
      </c>
      <c r="B251" s="813" t="str">
        <f>VLOOKUP(C251,'[3]DS CN MOI UP'!$B$10:$C$489,2,0)</f>
        <v>02536</v>
      </c>
      <c r="C251" s="818" t="s">
        <v>155</v>
      </c>
      <c r="D251" s="851" t="s">
        <v>15</v>
      </c>
      <c r="E251" s="815"/>
      <c r="F251" s="815"/>
      <c r="G251" s="815"/>
      <c r="H251" s="815"/>
      <c r="I251" s="815"/>
      <c r="J251" s="815"/>
      <c r="K251" s="815"/>
      <c r="L251" s="815"/>
      <c r="M251" s="815"/>
      <c r="N251" s="815">
        <f t="shared" si="72"/>
        <v>0</v>
      </c>
      <c r="O251" s="815">
        <f t="shared" si="73"/>
        <v>0</v>
      </c>
      <c r="P251" s="815">
        <f t="shared" si="74"/>
        <v>0</v>
      </c>
      <c r="Q251" s="815">
        <f t="shared" si="75"/>
        <v>0</v>
      </c>
      <c r="R251" s="815">
        <f t="shared" si="76"/>
        <v>0</v>
      </c>
      <c r="S251" s="815">
        <f t="shared" si="77"/>
        <v>0</v>
      </c>
      <c r="T251" s="815">
        <f t="shared" si="78"/>
        <v>0</v>
      </c>
      <c r="U251" s="815">
        <f t="shared" si="79"/>
        <v>0</v>
      </c>
      <c r="V251" s="815">
        <f t="shared" si="80"/>
        <v>0</v>
      </c>
      <c r="W251" s="815"/>
      <c r="X251" s="815"/>
      <c r="Y251" s="815"/>
      <c r="Z251" s="815"/>
      <c r="AA251" s="830">
        <f t="shared" si="81"/>
        <v>0</v>
      </c>
      <c r="AB251" s="830">
        <f>VLOOKUP(C251,'[3]MỦ TẠP'!$D$10:$AM$450,36,0)</f>
        <v>0</v>
      </c>
      <c r="AC251" s="830"/>
      <c r="AD251" s="830"/>
      <c r="AE251" s="830">
        <f>VLOOKUP(C251,'[3]MỦ TẠP'!$D$10:$AM$450,36,0)</f>
        <v>0</v>
      </c>
      <c r="AF251" s="830"/>
      <c r="AG251" s="830"/>
      <c r="AH251" s="830">
        <f t="shared" si="82"/>
        <v>0</v>
      </c>
      <c r="AI251" s="830">
        <f>VLOOKUP(C251,'[3]CHẤM CÔNG '!$F$10:$AM$451,33,0)</f>
        <v>0</v>
      </c>
      <c r="AJ251" s="830">
        <f>VLOOKUP(C251,'[3]CHẤM CÔNG '!$F$10:$AM$451,34,0)</f>
        <v>0</v>
      </c>
      <c r="AK251" s="830"/>
      <c r="AL251" s="830"/>
      <c r="AM251" s="830"/>
      <c r="AN251" s="830">
        <f>VLOOKUP(C251,'[3]CHẤM CÔNG '!$F$10:$AN$451,35,0)</f>
        <v>0</v>
      </c>
      <c r="AO251" s="830">
        <f>VLOOKUP(C251,'[3]CHẤM CÔNG '!$F$10:$AR$451,36,0)</f>
        <v>0</v>
      </c>
      <c r="AP251" s="830"/>
      <c r="AQ251" s="830"/>
      <c r="AR251" s="830"/>
      <c r="AS251" s="836"/>
      <c r="AT251" s="837">
        <f>VLOOKUP(C251,'[3]MỦ TẠP'!$D$10:$AO$450,38,0)</f>
        <v>0</v>
      </c>
      <c r="AU251" s="801">
        <v>1610</v>
      </c>
      <c r="AV251" s="831">
        <f t="shared" si="83"/>
        <v>-1610</v>
      </c>
      <c r="AX251" s="799">
        <f t="shared" si="84"/>
        <v>3</v>
      </c>
    </row>
    <row r="252" spans="1:52" ht="15.75">
      <c r="A252" s="850">
        <v>33</v>
      </c>
      <c r="B252" s="813" t="str">
        <f>VLOOKUP(C252,'[3]DS CN MOI UP'!$B$10:$C$489,2,0)</f>
        <v>02527</v>
      </c>
      <c r="C252" s="818" t="s">
        <v>156</v>
      </c>
      <c r="D252" s="851" t="s">
        <v>15</v>
      </c>
      <c r="E252" s="815"/>
      <c r="F252" s="815"/>
      <c r="G252" s="815"/>
      <c r="H252" s="815"/>
      <c r="I252" s="815"/>
      <c r="J252" s="815"/>
      <c r="K252" s="815"/>
      <c r="L252" s="815"/>
      <c r="M252" s="815"/>
      <c r="N252" s="815">
        <f t="shared" si="72"/>
        <v>0</v>
      </c>
      <c r="O252" s="815">
        <f t="shared" si="73"/>
        <v>0</v>
      </c>
      <c r="P252" s="815">
        <f t="shared" si="74"/>
        <v>0</v>
      </c>
      <c r="Q252" s="815">
        <f t="shared" si="75"/>
        <v>0</v>
      </c>
      <c r="R252" s="815">
        <f t="shared" si="76"/>
        <v>0</v>
      </c>
      <c r="S252" s="815">
        <f t="shared" si="77"/>
        <v>0</v>
      </c>
      <c r="T252" s="815">
        <f t="shared" si="78"/>
        <v>0</v>
      </c>
      <c r="U252" s="815">
        <f t="shared" si="79"/>
        <v>0</v>
      </c>
      <c r="V252" s="815">
        <f t="shared" si="80"/>
        <v>0</v>
      </c>
      <c r="W252" s="815"/>
      <c r="X252" s="815"/>
      <c r="Y252" s="815"/>
      <c r="Z252" s="815"/>
      <c r="AA252" s="830">
        <f t="shared" si="81"/>
        <v>0</v>
      </c>
      <c r="AB252" s="830">
        <f>VLOOKUP(C252,'[3]MỦ TẠP'!$D$10:$AM$450,36,0)</f>
        <v>0</v>
      </c>
      <c r="AC252" s="830"/>
      <c r="AD252" s="830"/>
      <c r="AE252" s="830">
        <f>VLOOKUP(C252,'[3]MỦ TẠP'!$D$10:$AM$450,36,0)</f>
        <v>0</v>
      </c>
      <c r="AF252" s="830"/>
      <c r="AG252" s="830"/>
      <c r="AH252" s="830">
        <f t="shared" si="82"/>
        <v>0</v>
      </c>
      <c r="AI252" s="830">
        <f>VLOOKUP(C252,'[3]CHẤM CÔNG '!$F$10:$AM$451,33,0)</f>
        <v>0</v>
      </c>
      <c r="AJ252" s="830">
        <f>VLOOKUP(C252,'[3]CHẤM CÔNG '!$F$10:$AM$451,34,0)</f>
        <v>0</v>
      </c>
      <c r="AK252" s="830"/>
      <c r="AL252" s="830"/>
      <c r="AM252" s="830"/>
      <c r="AN252" s="830">
        <f>VLOOKUP(C252,'[3]CHẤM CÔNG '!$F$10:$AN$451,35,0)</f>
        <v>0</v>
      </c>
      <c r="AO252" s="830">
        <f>VLOOKUP(C252,'[3]CHẤM CÔNG '!$F$10:$AR$451,36,0)</f>
        <v>0</v>
      </c>
      <c r="AP252" s="830"/>
      <c r="AQ252" s="830"/>
      <c r="AR252" s="830"/>
      <c r="AS252" s="836"/>
      <c r="AT252" s="837">
        <f>VLOOKUP(C252,'[3]MỦ TẠP'!$D$10:$AO$450,38,0)</f>
        <v>0</v>
      </c>
      <c r="AU252" s="801">
        <v>1710</v>
      </c>
      <c r="AV252" s="831">
        <f t="shared" si="83"/>
        <v>-1710</v>
      </c>
      <c r="AX252" s="799">
        <f t="shared" si="84"/>
        <v>3</v>
      </c>
    </row>
    <row r="253" spans="1:52" ht="15.75">
      <c r="A253" s="850">
        <v>34</v>
      </c>
      <c r="B253" s="813" t="str">
        <f>VLOOKUP(C253,'[3]DS CN MOI UP'!$B$10:$C$489,2,0)</f>
        <v>03366</v>
      </c>
      <c r="C253" s="818" t="s">
        <v>157</v>
      </c>
      <c r="D253" s="851" t="s">
        <v>15</v>
      </c>
      <c r="E253" s="815"/>
      <c r="F253" s="815"/>
      <c r="G253" s="815"/>
      <c r="H253" s="815"/>
      <c r="I253" s="815"/>
      <c r="J253" s="815"/>
      <c r="K253" s="815"/>
      <c r="L253" s="815"/>
      <c r="M253" s="815"/>
      <c r="N253" s="815">
        <f t="shared" si="72"/>
        <v>0</v>
      </c>
      <c r="O253" s="815">
        <f t="shared" si="73"/>
        <v>0</v>
      </c>
      <c r="P253" s="815">
        <f t="shared" si="74"/>
        <v>0</v>
      </c>
      <c r="Q253" s="815">
        <f t="shared" si="75"/>
        <v>0</v>
      </c>
      <c r="R253" s="815">
        <f t="shared" si="76"/>
        <v>0</v>
      </c>
      <c r="S253" s="815">
        <f t="shared" si="77"/>
        <v>0</v>
      </c>
      <c r="T253" s="815">
        <f t="shared" si="78"/>
        <v>0</v>
      </c>
      <c r="U253" s="815">
        <f t="shared" si="79"/>
        <v>0</v>
      </c>
      <c r="V253" s="815">
        <f t="shared" si="80"/>
        <v>0</v>
      </c>
      <c r="W253" s="815"/>
      <c r="X253" s="815"/>
      <c r="Y253" s="815"/>
      <c r="Z253" s="815"/>
      <c r="AA253" s="830">
        <f t="shared" si="81"/>
        <v>0</v>
      </c>
      <c r="AB253" s="830">
        <f>VLOOKUP(C253,'[3]MỦ TẠP'!$D$10:$AM$450,36,0)</f>
        <v>0</v>
      </c>
      <c r="AC253" s="830"/>
      <c r="AD253" s="830"/>
      <c r="AE253" s="830">
        <f>VLOOKUP(C253,'[3]MỦ TẠP'!$D$10:$AM$450,36,0)</f>
        <v>0</v>
      </c>
      <c r="AF253" s="830"/>
      <c r="AG253" s="830"/>
      <c r="AH253" s="830">
        <f t="shared" si="82"/>
        <v>0</v>
      </c>
      <c r="AI253" s="830">
        <f>VLOOKUP(C253,'[3]CHẤM CÔNG '!$F$10:$AM$451,33,0)</f>
        <v>0</v>
      </c>
      <c r="AJ253" s="830">
        <f>VLOOKUP(C253,'[3]CHẤM CÔNG '!$F$10:$AM$451,34,0)</f>
        <v>0</v>
      </c>
      <c r="AK253" s="830"/>
      <c r="AL253" s="830"/>
      <c r="AM253" s="830"/>
      <c r="AN253" s="830">
        <f>VLOOKUP(C253,'[3]CHẤM CÔNG '!$F$10:$AN$451,35,0)</f>
        <v>0</v>
      </c>
      <c r="AO253" s="830">
        <f>VLOOKUP(C253,'[3]CHẤM CÔNG '!$F$10:$AR$451,36,0)</f>
        <v>0</v>
      </c>
      <c r="AP253" s="830"/>
      <c r="AQ253" s="830"/>
      <c r="AR253" s="830"/>
      <c r="AS253" s="836"/>
      <c r="AT253" s="837">
        <f>VLOOKUP(C253,'[3]MỦ TẠP'!$D$10:$AO$450,38,0)</f>
        <v>0</v>
      </c>
      <c r="AU253" s="801">
        <v>1050</v>
      </c>
      <c r="AV253" s="831">
        <f t="shared" si="83"/>
        <v>-1050</v>
      </c>
      <c r="AX253" s="799">
        <f t="shared" si="84"/>
        <v>2</v>
      </c>
      <c r="AZ253" s="799">
        <v>1</v>
      </c>
    </row>
    <row r="254" spans="1:52" ht="15.75">
      <c r="A254" s="850">
        <v>35</v>
      </c>
      <c r="B254" s="813" t="str">
        <f>VLOOKUP(C254,'[3]DS CN MOI UP'!$B$10:$C$489,2,0)</f>
        <v>02532</v>
      </c>
      <c r="C254" s="818" t="s">
        <v>158</v>
      </c>
      <c r="D254" s="851" t="s">
        <v>15</v>
      </c>
      <c r="E254" s="815"/>
      <c r="F254" s="815"/>
      <c r="G254" s="815"/>
      <c r="H254" s="815"/>
      <c r="I254" s="815"/>
      <c r="J254" s="815"/>
      <c r="K254" s="815"/>
      <c r="L254" s="815"/>
      <c r="M254" s="815"/>
      <c r="N254" s="815">
        <f t="shared" si="72"/>
        <v>0</v>
      </c>
      <c r="O254" s="815">
        <f t="shared" si="73"/>
        <v>0</v>
      </c>
      <c r="P254" s="815">
        <f t="shared" si="74"/>
        <v>0</v>
      </c>
      <c r="Q254" s="815">
        <f t="shared" si="75"/>
        <v>0</v>
      </c>
      <c r="R254" s="815">
        <f t="shared" si="76"/>
        <v>0</v>
      </c>
      <c r="S254" s="815">
        <f t="shared" si="77"/>
        <v>0</v>
      </c>
      <c r="T254" s="815">
        <f t="shared" si="78"/>
        <v>0</v>
      </c>
      <c r="U254" s="815">
        <f t="shared" si="79"/>
        <v>0</v>
      </c>
      <c r="V254" s="815">
        <f t="shared" si="80"/>
        <v>0</v>
      </c>
      <c r="W254" s="815"/>
      <c r="X254" s="815"/>
      <c r="Y254" s="815"/>
      <c r="Z254" s="815"/>
      <c r="AA254" s="830">
        <f t="shared" si="81"/>
        <v>0</v>
      </c>
      <c r="AB254" s="830">
        <f>VLOOKUP(C254,'[3]MỦ TẠP'!$D$10:$AM$450,36,0)</f>
        <v>0</v>
      </c>
      <c r="AC254" s="830"/>
      <c r="AD254" s="830"/>
      <c r="AE254" s="830">
        <f>VLOOKUP(C254,'[3]MỦ TẠP'!$D$10:$AM$450,36,0)</f>
        <v>0</v>
      </c>
      <c r="AF254" s="830"/>
      <c r="AG254" s="830"/>
      <c r="AH254" s="830">
        <f t="shared" si="82"/>
        <v>0</v>
      </c>
      <c r="AI254" s="830">
        <f>VLOOKUP(C254,'[3]CHẤM CÔNG '!$F$10:$AM$451,33,0)</f>
        <v>0</v>
      </c>
      <c r="AJ254" s="830">
        <f>VLOOKUP(C254,'[3]CHẤM CÔNG '!$F$10:$AM$451,34,0)</f>
        <v>0</v>
      </c>
      <c r="AK254" s="830"/>
      <c r="AL254" s="830"/>
      <c r="AM254" s="830"/>
      <c r="AN254" s="830">
        <f>VLOOKUP(C254,'[3]CHẤM CÔNG '!$F$10:$AN$451,35,0)</f>
        <v>0</v>
      </c>
      <c r="AO254" s="830">
        <f>VLOOKUP(C254,'[3]CHẤM CÔNG '!$F$10:$AR$451,36,0)</f>
        <v>0</v>
      </c>
      <c r="AP254" s="830"/>
      <c r="AQ254" s="830"/>
      <c r="AR254" s="830"/>
      <c r="AS254" s="836"/>
      <c r="AT254" s="837">
        <f>VLOOKUP(C254,'[3]MỦ TẠP'!$D$10:$AO$450,38,0)</f>
        <v>0</v>
      </c>
      <c r="AU254" s="801">
        <v>1529</v>
      </c>
      <c r="AV254" s="831">
        <f t="shared" si="83"/>
        <v>-1529</v>
      </c>
      <c r="AX254" s="799">
        <f t="shared" si="84"/>
        <v>2</v>
      </c>
      <c r="AZ254" s="799">
        <v>1</v>
      </c>
    </row>
    <row r="255" spans="1:52" ht="15.75">
      <c r="A255" s="850">
        <v>36</v>
      </c>
      <c r="B255" s="813" t="str">
        <f>VLOOKUP(C255,'[3]DS CN MOI UP'!$B$10:$C$489,2,0)</f>
        <v>02528</v>
      </c>
      <c r="C255" s="818" t="s">
        <v>159</v>
      </c>
      <c r="D255" s="851" t="s">
        <v>15</v>
      </c>
      <c r="E255" s="815"/>
      <c r="F255" s="815"/>
      <c r="G255" s="815"/>
      <c r="H255" s="815"/>
      <c r="I255" s="815"/>
      <c r="J255" s="815"/>
      <c r="K255" s="815"/>
      <c r="L255" s="815"/>
      <c r="M255" s="815"/>
      <c r="N255" s="815">
        <f t="shared" si="72"/>
        <v>0</v>
      </c>
      <c r="O255" s="815">
        <f t="shared" si="73"/>
        <v>0</v>
      </c>
      <c r="P255" s="815">
        <f t="shared" si="74"/>
        <v>0</v>
      </c>
      <c r="Q255" s="815">
        <f t="shared" si="75"/>
        <v>0</v>
      </c>
      <c r="R255" s="815">
        <f t="shared" si="76"/>
        <v>0</v>
      </c>
      <c r="S255" s="815">
        <f t="shared" si="77"/>
        <v>0</v>
      </c>
      <c r="T255" s="815">
        <f t="shared" si="78"/>
        <v>0</v>
      </c>
      <c r="U255" s="815">
        <f t="shared" si="79"/>
        <v>0</v>
      </c>
      <c r="V255" s="815">
        <f t="shared" si="80"/>
        <v>0</v>
      </c>
      <c r="W255" s="815"/>
      <c r="X255" s="815"/>
      <c r="Y255" s="815"/>
      <c r="Z255" s="815"/>
      <c r="AA255" s="830">
        <f t="shared" si="81"/>
        <v>0</v>
      </c>
      <c r="AB255" s="830">
        <f>VLOOKUP(C255,'[3]MỦ TẠP'!$D$10:$AM$450,36,0)</f>
        <v>0</v>
      </c>
      <c r="AC255" s="830"/>
      <c r="AD255" s="830"/>
      <c r="AE255" s="830">
        <f>VLOOKUP(C255,'[3]MỦ TẠP'!$D$10:$AM$450,36,0)</f>
        <v>0</v>
      </c>
      <c r="AF255" s="830"/>
      <c r="AG255" s="830"/>
      <c r="AH255" s="830">
        <f t="shared" si="82"/>
        <v>0</v>
      </c>
      <c r="AI255" s="830">
        <f>VLOOKUP(C255,'[3]CHẤM CÔNG '!$F$10:$AM$451,33,0)</f>
        <v>0</v>
      </c>
      <c r="AJ255" s="830">
        <f>VLOOKUP(C255,'[3]CHẤM CÔNG '!$F$10:$AM$451,34,0)</f>
        <v>0</v>
      </c>
      <c r="AK255" s="830"/>
      <c r="AL255" s="830"/>
      <c r="AM255" s="830"/>
      <c r="AN255" s="830">
        <f>VLOOKUP(C255,'[3]CHẤM CÔNG '!$F$10:$AN$451,35,0)</f>
        <v>0</v>
      </c>
      <c r="AO255" s="830">
        <f>VLOOKUP(C255,'[3]CHẤM CÔNG '!$F$10:$AR$451,36,0)</f>
        <v>0</v>
      </c>
      <c r="AP255" s="830"/>
      <c r="AQ255" s="830"/>
      <c r="AR255" s="830"/>
      <c r="AS255" s="836"/>
      <c r="AT255" s="837">
        <f>VLOOKUP(C255,'[3]MỦ TẠP'!$D$10:$AO$450,38,0)</f>
        <v>0</v>
      </c>
      <c r="AU255" s="801">
        <v>1261</v>
      </c>
      <c r="AV255" s="831">
        <f t="shared" si="83"/>
        <v>-1261</v>
      </c>
      <c r="AX255" s="799">
        <f t="shared" si="84"/>
        <v>2</v>
      </c>
      <c r="AZ255" s="799">
        <v>1</v>
      </c>
    </row>
    <row r="256" spans="1:52" ht="15.75">
      <c r="A256" s="850">
        <v>37</v>
      </c>
      <c r="B256" s="813" t="str">
        <f>VLOOKUP(C256,'[3]DS CN MOI UP'!$B$10:$C$489,2,0)</f>
        <v>03367</v>
      </c>
      <c r="C256" s="818" t="s">
        <v>160</v>
      </c>
      <c r="D256" s="851" t="s">
        <v>15</v>
      </c>
      <c r="E256" s="815"/>
      <c r="F256" s="815"/>
      <c r="G256" s="815"/>
      <c r="H256" s="815"/>
      <c r="I256" s="815"/>
      <c r="J256" s="815"/>
      <c r="K256" s="815"/>
      <c r="L256" s="815"/>
      <c r="M256" s="815"/>
      <c r="N256" s="815">
        <f t="shared" si="72"/>
        <v>0</v>
      </c>
      <c r="O256" s="815">
        <f t="shared" si="73"/>
        <v>0</v>
      </c>
      <c r="P256" s="815">
        <f t="shared" si="74"/>
        <v>0</v>
      </c>
      <c r="Q256" s="815">
        <f t="shared" si="75"/>
        <v>0</v>
      </c>
      <c r="R256" s="815">
        <f t="shared" si="76"/>
        <v>0</v>
      </c>
      <c r="S256" s="815">
        <f t="shared" si="77"/>
        <v>0</v>
      </c>
      <c r="T256" s="815">
        <f t="shared" si="78"/>
        <v>0</v>
      </c>
      <c r="U256" s="815">
        <f t="shared" si="79"/>
        <v>0</v>
      </c>
      <c r="V256" s="815">
        <f t="shared" si="80"/>
        <v>0</v>
      </c>
      <c r="W256" s="815"/>
      <c r="X256" s="815"/>
      <c r="Y256" s="815"/>
      <c r="Z256" s="815"/>
      <c r="AA256" s="830">
        <f t="shared" si="81"/>
        <v>0</v>
      </c>
      <c r="AB256" s="830">
        <f>VLOOKUP(C256,'[3]MỦ TẠP'!$D$10:$AM$450,36,0)</f>
        <v>0</v>
      </c>
      <c r="AC256" s="830"/>
      <c r="AD256" s="830"/>
      <c r="AE256" s="830">
        <f>VLOOKUP(C256,'[3]MỦ TẠP'!$D$10:$AM$450,36,0)</f>
        <v>0</v>
      </c>
      <c r="AF256" s="830"/>
      <c r="AG256" s="830"/>
      <c r="AH256" s="830">
        <f t="shared" si="82"/>
        <v>0</v>
      </c>
      <c r="AI256" s="830">
        <f>VLOOKUP(C256,'[3]CHẤM CÔNG '!$F$10:$AM$451,33,0)</f>
        <v>0</v>
      </c>
      <c r="AJ256" s="830">
        <f>VLOOKUP(C256,'[3]CHẤM CÔNG '!$F$10:$AM$451,34,0)</f>
        <v>0</v>
      </c>
      <c r="AK256" s="830"/>
      <c r="AL256" s="830"/>
      <c r="AM256" s="830"/>
      <c r="AN256" s="830">
        <f>VLOOKUP(C256,'[3]CHẤM CÔNG '!$F$10:$AN$451,35,0)</f>
        <v>0</v>
      </c>
      <c r="AO256" s="830">
        <f>VLOOKUP(C256,'[3]CHẤM CÔNG '!$F$10:$AR$451,36,0)</f>
        <v>0</v>
      </c>
      <c r="AP256" s="830"/>
      <c r="AQ256" s="830"/>
      <c r="AR256" s="830"/>
      <c r="AS256" s="836"/>
      <c r="AT256" s="837">
        <f>VLOOKUP(C256,'[3]MỦ TẠP'!$D$10:$AO$450,38,0)</f>
        <v>0</v>
      </c>
      <c r="AU256" s="801">
        <v>1995</v>
      </c>
      <c r="AV256" s="831">
        <f t="shared" si="83"/>
        <v>-1995</v>
      </c>
      <c r="AX256" s="799">
        <f t="shared" si="84"/>
        <v>2</v>
      </c>
      <c r="AZ256" s="799">
        <v>1</v>
      </c>
    </row>
    <row r="257" spans="1:52" ht="15.75">
      <c r="A257" s="850">
        <v>38</v>
      </c>
      <c r="B257" s="813" t="str">
        <f>VLOOKUP(C257,'[3]DS CN MOI UP'!$B$10:$C$489,2,0)</f>
        <v>02517</v>
      </c>
      <c r="C257" s="818" t="s">
        <v>161</v>
      </c>
      <c r="D257" s="851" t="s">
        <v>15</v>
      </c>
      <c r="E257" s="815"/>
      <c r="F257" s="815"/>
      <c r="G257" s="815"/>
      <c r="H257" s="815"/>
      <c r="I257" s="815"/>
      <c r="J257" s="815"/>
      <c r="K257" s="815"/>
      <c r="L257" s="815"/>
      <c r="M257" s="815"/>
      <c r="N257" s="815">
        <f t="shared" si="72"/>
        <v>0</v>
      </c>
      <c r="O257" s="815">
        <f t="shared" si="73"/>
        <v>0</v>
      </c>
      <c r="P257" s="815">
        <f t="shared" si="74"/>
        <v>0</v>
      </c>
      <c r="Q257" s="815">
        <f t="shared" si="75"/>
        <v>0</v>
      </c>
      <c r="R257" s="815">
        <f t="shared" si="76"/>
        <v>0</v>
      </c>
      <c r="S257" s="815">
        <f t="shared" si="77"/>
        <v>0</v>
      </c>
      <c r="T257" s="815">
        <f t="shared" si="78"/>
        <v>0</v>
      </c>
      <c r="U257" s="815">
        <f t="shared" si="79"/>
        <v>0</v>
      </c>
      <c r="V257" s="815">
        <f t="shared" si="80"/>
        <v>0</v>
      </c>
      <c r="W257" s="815"/>
      <c r="X257" s="815"/>
      <c r="Y257" s="815"/>
      <c r="Z257" s="815"/>
      <c r="AA257" s="830">
        <f t="shared" si="81"/>
        <v>0</v>
      </c>
      <c r="AB257" s="830">
        <f>VLOOKUP(C257,'[3]MỦ TẠP'!$D$10:$AM$450,36,0)</f>
        <v>0</v>
      </c>
      <c r="AC257" s="830"/>
      <c r="AD257" s="830"/>
      <c r="AE257" s="830">
        <f>VLOOKUP(C257,'[3]MỦ TẠP'!$D$10:$AM$450,36,0)</f>
        <v>0</v>
      </c>
      <c r="AF257" s="830"/>
      <c r="AG257" s="830"/>
      <c r="AH257" s="830">
        <f t="shared" si="82"/>
        <v>0</v>
      </c>
      <c r="AI257" s="830">
        <f>VLOOKUP(C257,'[3]CHẤM CÔNG '!$F$10:$AM$451,33,0)</f>
        <v>0</v>
      </c>
      <c r="AJ257" s="830">
        <f>VLOOKUP(C257,'[3]CHẤM CÔNG '!$F$10:$AM$451,34,0)</f>
        <v>0</v>
      </c>
      <c r="AK257" s="830"/>
      <c r="AL257" s="830"/>
      <c r="AM257" s="830"/>
      <c r="AN257" s="830">
        <f>VLOOKUP(C257,'[3]CHẤM CÔNG '!$F$10:$AN$451,35,0)</f>
        <v>0</v>
      </c>
      <c r="AO257" s="830">
        <f>VLOOKUP(C257,'[3]CHẤM CÔNG '!$F$10:$AR$451,36,0)</f>
        <v>0</v>
      </c>
      <c r="AP257" s="830"/>
      <c r="AQ257" s="830"/>
      <c r="AR257" s="830"/>
      <c r="AS257" s="836"/>
      <c r="AT257" s="837">
        <f>VLOOKUP(C257,'[3]MỦ TẠP'!$D$10:$AO$450,38,0)</f>
        <v>0</v>
      </c>
      <c r="AU257" s="801">
        <v>994</v>
      </c>
      <c r="AV257" s="831">
        <f t="shared" si="83"/>
        <v>-994</v>
      </c>
      <c r="AX257" s="799">
        <f t="shared" si="84"/>
        <v>2</v>
      </c>
      <c r="AZ257" s="799">
        <v>1</v>
      </c>
    </row>
    <row r="258" spans="1:52" ht="15.75">
      <c r="A258" s="850">
        <v>39</v>
      </c>
      <c r="B258" s="813" t="str">
        <f>VLOOKUP(C258,'[3]DS CN MOI UP'!$B$10:$C$489,2,0)</f>
        <v>02522</v>
      </c>
      <c r="C258" s="818" t="s">
        <v>162</v>
      </c>
      <c r="D258" s="851" t="s">
        <v>15</v>
      </c>
      <c r="E258" s="815"/>
      <c r="F258" s="815"/>
      <c r="G258" s="815"/>
      <c r="H258" s="815"/>
      <c r="I258" s="815"/>
      <c r="J258" s="815"/>
      <c r="K258" s="815"/>
      <c r="L258" s="815"/>
      <c r="M258" s="815"/>
      <c r="N258" s="815">
        <f t="shared" si="72"/>
        <v>0</v>
      </c>
      <c r="O258" s="815">
        <f t="shared" si="73"/>
        <v>0</v>
      </c>
      <c r="P258" s="815">
        <f t="shared" si="74"/>
        <v>0</v>
      </c>
      <c r="Q258" s="815">
        <f t="shared" si="75"/>
        <v>0</v>
      </c>
      <c r="R258" s="815">
        <f t="shared" si="76"/>
        <v>0</v>
      </c>
      <c r="S258" s="815">
        <f t="shared" si="77"/>
        <v>0</v>
      </c>
      <c r="T258" s="815">
        <f t="shared" si="78"/>
        <v>0</v>
      </c>
      <c r="U258" s="815">
        <f t="shared" si="79"/>
        <v>0</v>
      </c>
      <c r="V258" s="815">
        <f t="shared" si="80"/>
        <v>0</v>
      </c>
      <c r="W258" s="815"/>
      <c r="X258" s="815"/>
      <c r="Y258" s="815"/>
      <c r="Z258" s="815"/>
      <c r="AA258" s="830">
        <f t="shared" si="81"/>
        <v>0</v>
      </c>
      <c r="AB258" s="830">
        <f>VLOOKUP(C258,'[3]MỦ TẠP'!$D$10:$AM$450,36,0)</f>
        <v>0</v>
      </c>
      <c r="AC258" s="830"/>
      <c r="AD258" s="830"/>
      <c r="AE258" s="830">
        <f>VLOOKUP(C258,'[3]MỦ TẠP'!$D$10:$AM$450,36,0)</f>
        <v>0</v>
      </c>
      <c r="AF258" s="830"/>
      <c r="AG258" s="830"/>
      <c r="AH258" s="830">
        <f t="shared" si="82"/>
        <v>0</v>
      </c>
      <c r="AI258" s="830">
        <f>VLOOKUP(C258,'[3]CHẤM CÔNG '!$F$10:$AM$451,33,0)</f>
        <v>0</v>
      </c>
      <c r="AJ258" s="830">
        <f>VLOOKUP(C258,'[3]CHẤM CÔNG '!$F$10:$AM$451,34,0)</f>
        <v>0</v>
      </c>
      <c r="AK258" s="830"/>
      <c r="AL258" s="830"/>
      <c r="AM258" s="830"/>
      <c r="AN258" s="830">
        <f>VLOOKUP(C258,'[3]CHẤM CÔNG '!$F$10:$AN$451,35,0)</f>
        <v>0</v>
      </c>
      <c r="AO258" s="830">
        <f>VLOOKUP(C258,'[3]CHẤM CÔNG '!$F$10:$AR$451,36,0)</f>
        <v>0</v>
      </c>
      <c r="AP258" s="830"/>
      <c r="AQ258" s="830"/>
      <c r="AR258" s="830"/>
      <c r="AS258" s="836"/>
      <c r="AT258" s="837">
        <f>VLOOKUP(C258,'[3]MỦ TẠP'!$D$10:$AO$450,38,0)</f>
        <v>0</v>
      </c>
      <c r="AU258" s="801">
        <v>1108</v>
      </c>
      <c r="AV258" s="831">
        <f t="shared" si="83"/>
        <v>-1108</v>
      </c>
      <c r="AX258" s="799">
        <f t="shared" si="84"/>
        <v>2</v>
      </c>
      <c r="AZ258" s="799">
        <v>1</v>
      </c>
    </row>
    <row r="259" spans="1:52" ht="15.75">
      <c r="A259" s="850">
        <v>40</v>
      </c>
      <c r="B259" s="813" t="str">
        <f>VLOOKUP(C259,'[3]DS CN MOI UP'!$B$10:$C$489,2,0)</f>
        <v>02565</v>
      </c>
      <c r="C259" s="818" t="s">
        <v>163</v>
      </c>
      <c r="D259" s="851" t="s">
        <v>15</v>
      </c>
      <c r="E259" s="815"/>
      <c r="F259" s="815"/>
      <c r="G259" s="815"/>
      <c r="H259" s="815"/>
      <c r="I259" s="815"/>
      <c r="J259" s="815"/>
      <c r="K259" s="815"/>
      <c r="L259" s="815"/>
      <c r="M259" s="815"/>
      <c r="N259" s="815">
        <f t="shared" si="72"/>
        <v>0</v>
      </c>
      <c r="O259" s="815">
        <f t="shared" si="73"/>
        <v>0</v>
      </c>
      <c r="P259" s="815">
        <f t="shared" si="74"/>
        <v>0</v>
      </c>
      <c r="Q259" s="815">
        <f t="shared" si="75"/>
        <v>0</v>
      </c>
      <c r="R259" s="815">
        <f t="shared" si="76"/>
        <v>0</v>
      </c>
      <c r="S259" s="815">
        <f t="shared" si="77"/>
        <v>0</v>
      </c>
      <c r="T259" s="815">
        <f t="shared" si="78"/>
        <v>0</v>
      </c>
      <c r="U259" s="815">
        <f t="shared" si="79"/>
        <v>0</v>
      </c>
      <c r="V259" s="815">
        <f t="shared" si="80"/>
        <v>0</v>
      </c>
      <c r="W259" s="815"/>
      <c r="X259" s="815"/>
      <c r="Y259" s="815"/>
      <c r="Z259" s="815"/>
      <c r="AA259" s="830">
        <f t="shared" si="81"/>
        <v>0</v>
      </c>
      <c r="AB259" s="830">
        <f>VLOOKUP(C259,'[3]MỦ TẠP'!$D$10:$AM$450,36,0)</f>
        <v>0</v>
      </c>
      <c r="AC259" s="830"/>
      <c r="AD259" s="830"/>
      <c r="AE259" s="830">
        <f>VLOOKUP(C259,'[3]MỦ TẠP'!$D$10:$AM$450,36,0)</f>
        <v>0</v>
      </c>
      <c r="AF259" s="830"/>
      <c r="AG259" s="830"/>
      <c r="AH259" s="830">
        <f t="shared" si="82"/>
        <v>0</v>
      </c>
      <c r="AI259" s="830">
        <f>VLOOKUP(C259,'[3]CHẤM CÔNG '!$F$10:$AM$451,33,0)</f>
        <v>0</v>
      </c>
      <c r="AJ259" s="830">
        <f>VLOOKUP(C259,'[3]CHẤM CÔNG '!$F$10:$AM$451,34,0)</f>
        <v>0</v>
      </c>
      <c r="AK259" s="830"/>
      <c r="AL259" s="830"/>
      <c r="AM259" s="830"/>
      <c r="AN259" s="830">
        <f>VLOOKUP(C259,'[3]CHẤM CÔNG '!$F$10:$AN$451,35,0)</f>
        <v>0</v>
      </c>
      <c r="AO259" s="830">
        <f>VLOOKUP(C259,'[3]CHẤM CÔNG '!$F$10:$AR$451,36,0)</f>
        <v>0</v>
      </c>
      <c r="AP259" s="830"/>
      <c r="AQ259" s="830"/>
      <c r="AR259" s="830"/>
      <c r="AS259" s="836"/>
      <c r="AT259" s="837">
        <f>VLOOKUP(C259,'[3]MỦ TẠP'!$D$10:$AO$450,38,0)</f>
        <v>0</v>
      </c>
      <c r="AU259" s="801">
        <v>1806</v>
      </c>
      <c r="AV259" s="831">
        <f t="shared" si="83"/>
        <v>-1806</v>
      </c>
      <c r="AX259" s="799">
        <f t="shared" si="84"/>
        <v>2</v>
      </c>
      <c r="AZ259" s="799">
        <v>1</v>
      </c>
    </row>
    <row r="260" spans="1:52" ht="15.75">
      <c r="A260" s="850">
        <v>41</v>
      </c>
      <c r="B260" s="813" t="str">
        <f>VLOOKUP(C260,'[3]DS CN MOI UP'!$B$10:$C$489,2,0)</f>
        <v>03368</v>
      </c>
      <c r="C260" s="818" t="s">
        <v>164</v>
      </c>
      <c r="D260" s="851" t="s">
        <v>15</v>
      </c>
      <c r="E260" s="815"/>
      <c r="F260" s="815"/>
      <c r="G260" s="815"/>
      <c r="H260" s="815"/>
      <c r="I260" s="815"/>
      <c r="J260" s="815"/>
      <c r="K260" s="815"/>
      <c r="L260" s="815"/>
      <c r="M260" s="815"/>
      <c r="N260" s="815">
        <f t="shared" si="72"/>
        <v>0</v>
      </c>
      <c r="O260" s="815">
        <f t="shared" si="73"/>
        <v>0</v>
      </c>
      <c r="P260" s="815">
        <f t="shared" si="74"/>
        <v>0</v>
      </c>
      <c r="Q260" s="815">
        <f t="shared" si="75"/>
        <v>0</v>
      </c>
      <c r="R260" s="815">
        <f t="shared" si="76"/>
        <v>0</v>
      </c>
      <c r="S260" s="815">
        <f t="shared" si="77"/>
        <v>0</v>
      </c>
      <c r="T260" s="815">
        <f t="shared" si="78"/>
        <v>0</v>
      </c>
      <c r="U260" s="815">
        <f t="shared" si="79"/>
        <v>0</v>
      </c>
      <c r="V260" s="815">
        <f t="shared" si="80"/>
        <v>0</v>
      </c>
      <c r="W260" s="815"/>
      <c r="X260" s="815"/>
      <c r="Y260" s="815"/>
      <c r="Z260" s="815"/>
      <c r="AA260" s="830">
        <f t="shared" si="81"/>
        <v>0</v>
      </c>
      <c r="AB260" s="830">
        <f>VLOOKUP(C260,'[3]MỦ TẠP'!$D$10:$AM$450,36,0)</f>
        <v>0</v>
      </c>
      <c r="AC260" s="830"/>
      <c r="AD260" s="830"/>
      <c r="AE260" s="830">
        <f>VLOOKUP(C260,'[3]MỦ TẠP'!$D$10:$AM$450,36,0)</f>
        <v>0</v>
      </c>
      <c r="AF260" s="830"/>
      <c r="AG260" s="830"/>
      <c r="AH260" s="830">
        <f t="shared" si="82"/>
        <v>0</v>
      </c>
      <c r="AI260" s="830">
        <f>VLOOKUP(C260,'[3]CHẤM CÔNG '!$F$10:$AM$451,33,0)</f>
        <v>0</v>
      </c>
      <c r="AJ260" s="830">
        <f>VLOOKUP(C260,'[3]CHẤM CÔNG '!$F$10:$AM$451,34,0)</f>
        <v>0</v>
      </c>
      <c r="AK260" s="830"/>
      <c r="AL260" s="830"/>
      <c r="AM260" s="830"/>
      <c r="AN260" s="830">
        <f>VLOOKUP(C260,'[3]CHẤM CÔNG '!$F$10:$AN$451,35,0)</f>
        <v>0</v>
      </c>
      <c r="AO260" s="830">
        <f>VLOOKUP(C260,'[3]CHẤM CÔNG '!$F$10:$AR$451,36,0)</f>
        <v>0</v>
      </c>
      <c r="AP260" s="830"/>
      <c r="AQ260" s="830"/>
      <c r="AR260" s="830"/>
      <c r="AS260" s="836"/>
      <c r="AT260" s="837">
        <f>VLOOKUP(C260,'[3]MỦ TẠP'!$D$10:$AO$450,38,0)</f>
        <v>0</v>
      </c>
      <c r="AU260" s="801">
        <v>2342</v>
      </c>
      <c r="AV260" s="831">
        <f t="shared" si="83"/>
        <v>-2342</v>
      </c>
      <c r="AX260" s="799">
        <f t="shared" si="84"/>
        <v>2</v>
      </c>
      <c r="AZ260" s="799">
        <v>1</v>
      </c>
    </row>
    <row r="261" spans="1:52" ht="15.75">
      <c r="A261" s="850">
        <v>42</v>
      </c>
      <c r="B261" s="813" t="str">
        <f>VLOOKUP(C261,'[3]DS CN MOI UP'!$B$10:$C$489,2,0)</f>
        <v>02535</v>
      </c>
      <c r="C261" s="818" t="s">
        <v>165</v>
      </c>
      <c r="D261" s="851" t="s">
        <v>15</v>
      </c>
      <c r="E261" s="815"/>
      <c r="F261" s="815"/>
      <c r="G261" s="815"/>
      <c r="H261" s="815"/>
      <c r="I261" s="815"/>
      <c r="J261" s="815"/>
      <c r="K261" s="815"/>
      <c r="L261" s="815"/>
      <c r="M261" s="815"/>
      <c r="N261" s="815">
        <f t="shared" si="72"/>
        <v>0</v>
      </c>
      <c r="O261" s="815">
        <f t="shared" si="73"/>
        <v>0</v>
      </c>
      <c r="P261" s="815">
        <f t="shared" si="74"/>
        <v>0</v>
      </c>
      <c r="Q261" s="815">
        <f t="shared" si="75"/>
        <v>0</v>
      </c>
      <c r="R261" s="815">
        <f t="shared" si="76"/>
        <v>0</v>
      </c>
      <c r="S261" s="815">
        <f t="shared" si="77"/>
        <v>0</v>
      </c>
      <c r="T261" s="815">
        <f t="shared" si="78"/>
        <v>0</v>
      </c>
      <c r="U261" s="815">
        <f t="shared" si="79"/>
        <v>0</v>
      </c>
      <c r="V261" s="815">
        <f t="shared" si="80"/>
        <v>0</v>
      </c>
      <c r="W261" s="815"/>
      <c r="X261" s="815"/>
      <c r="Y261" s="815"/>
      <c r="Z261" s="815"/>
      <c r="AA261" s="830">
        <f t="shared" si="81"/>
        <v>0</v>
      </c>
      <c r="AB261" s="830">
        <f>VLOOKUP(C261,'[3]MỦ TẠP'!$D$10:$AM$450,36,0)</f>
        <v>0</v>
      </c>
      <c r="AC261" s="830"/>
      <c r="AD261" s="830"/>
      <c r="AE261" s="830">
        <f>VLOOKUP(C261,'[3]MỦ TẠP'!$D$10:$AM$450,36,0)</f>
        <v>0</v>
      </c>
      <c r="AF261" s="830"/>
      <c r="AG261" s="830"/>
      <c r="AH261" s="830">
        <f t="shared" si="82"/>
        <v>0</v>
      </c>
      <c r="AI261" s="830">
        <f>VLOOKUP(C261,'[3]CHẤM CÔNG '!$F$10:$AM$451,33,0)</f>
        <v>0</v>
      </c>
      <c r="AJ261" s="830">
        <f>VLOOKUP(C261,'[3]CHẤM CÔNG '!$F$10:$AM$451,34,0)</f>
        <v>0</v>
      </c>
      <c r="AK261" s="830"/>
      <c r="AL261" s="830"/>
      <c r="AM261" s="830"/>
      <c r="AN261" s="830">
        <f>VLOOKUP(C261,'[3]CHẤM CÔNG '!$F$10:$AN$451,35,0)</f>
        <v>0</v>
      </c>
      <c r="AO261" s="830">
        <f>VLOOKUP(C261,'[3]CHẤM CÔNG '!$F$10:$AR$451,36,0)</f>
        <v>0</v>
      </c>
      <c r="AP261" s="830"/>
      <c r="AQ261" s="830"/>
      <c r="AR261" s="830"/>
      <c r="AS261" s="836"/>
      <c r="AT261" s="837">
        <f>VLOOKUP(C261,'[3]MỦ TẠP'!$D$10:$AO$450,38,0)</f>
        <v>0</v>
      </c>
      <c r="AU261" s="801">
        <v>1634</v>
      </c>
      <c r="AV261" s="831">
        <f t="shared" si="83"/>
        <v>-1634</v>
      </c>
      <c r="AX261" s="799">
        <f t="shared" si="84"/>
        <v>2</v>
      </c>
      <c r="AZ261" s="799">
        <v>1</v>
      </c>
    </row>
    <row r="262" spans="1:52" ht="15.75">
      <c r="A262" s="850">
        <v>43</v>
      </c>
      <c r="B262" s="813" t="str">
        <f>VLOOKUP(C262,'[3]DS CN MOI UP'!$B$10:$C$489,2,0)</f>
        <v>02563</v>
      </c>
      <c r="C262" s="845" t="s">
        <v>166</v>
      </c>
      <c r="D262" s="851" t="s">
        <v>15</v>
      </c>
      <c r="E262" s="815"/>
      <c r="F262" s="815"/>
      <c r="G262" s="815"/>
      <c r="H262" s="815"/>
      <c r="I262" s="815"/>
      <c r="J262" s="815"/>
      <c r="K262" s="815"/>
      <c r="L262" s="815"/>
      <c r="M262" s="815"/>
      <c r="N262" s="815">
        <f t="shared" si="72"/>
        <v>0</v>
      </c>
      <c r="O262" s="815">
        <f t="shared" si="73"/>
        <v>0</v>
      </c>
      <c r="P262" s="815">
        <f t="shared" si="74"/>
        <v>0</v>
      </c>
      <c r="Q262" s="815">
        <f t="shared" si="75"/>
        <v>0</v>
      </c>
      <c r="R262" s="815">
        <f t="shared" si="76"/>
        <v>0</v>
      </c>
      <c r="S262" s="815">
        <f t="shared" si="77"/>
        <v>0</v>
      </c>
      <c r="T262" s="815">
        <f t="shared" si="78"/>
        <v>0</v>
      </c>
      <c r="U262" s="815">
        <f t="shared" si="79"/>
        <v>0</v>
      </c>
      <c r="V262" s="815">
        <f t="shared" si="80"/>
        <v>0</v>
      </c>
      <c r="W262" s="815"/>
      <c r="X262" s="815"/>
      <c r="Y262" s="815"/>
      <c r="Z262" s="815"/>
      <c r="AA262" s="830">
        <f t="shared" si="81"/>
        <v>0</v>
      </c>
      <c r="AB262" s="830">
        <f>VLOOKUP(C262,'[3]MỦ TẠP'!$D$10:$AM$450,36,0)</f>
        <v>0</v>
      </c>
      <c r="AC262" s="830"/>
      <c r="AD262" s="830"/>
      <c r="AE262" s="830">
        <f>VLOOKUP(C262,'[3]MỦ TẠP'!$D$10:$AM$450,36,0)</f>
        <v>0</v>
      </c>
      <c r="AF262" s="830"/>
      <c r="AG262" s="830"/>
      <c r="AH262" s="830">
        <f t="shared" si="82"/>
        <v>0</v>
      </c>
      <c r="AI262" s="830">
        <f>VLOOKUP(C262,'[3]CHẤM CÔNG '!$F$10:$AM$451,33,0)</f>
        <v>0</v>
      </c>
      <c r="AJ262" s="830">
        <f>VLOOKUP(C262,'[3]CHẤM CÔNG '!$F$10:$AM$451,34,0)</f>
        <v>0</v>
      </c>
      <c r="AK262" s="830"/>
      <c r="AL262" s="830"/>
      <c r="AM262" s="830"/>
      <c r="AN262" s="830">
        <f>VLOOKUP(C262,'[3]CHẤM CÔNG '!$F$10:$AN$451,35,0)</f>
        <v>0</v>
      </c>
      <c r="AO262" s="830">
        <f>VLOOKUP(C262,'[3]CHẤM CÔNG '!$F$10:$AR$451,36,0)</f>
        <v>0</v>
      </c>
      <c r="AP262" s="830"/>
      <c r="AQ262" s="830"/>
      <c r="AR262" s="830"/>
      <c r="AS262" s="836"/>
      <c r="AT262" s="837">
        <f>VLOOKUP(C262,'[3]MỦ TẠP'!$D$10:$AO$450,38,0)</f>
        <v>0</v>
      </c>
      <c r="AU262" s="801">
        <v>1250</v>
      </c>
      <c r="AV262" s="831">
        <f t="shared" si="83"/>
        <v>-1250</v>
      </c>
      <c r="AX262" s="799">
        <f t="shared" si="84"/>
        <v>2</v>
      </c>
      <c r="AZ262" s="799">
        <v>1</v>
      </c>
    </row>
    <row r="263" spans="1:52" ht="15.75">
      <c r="A263" s="850">
        <v>44</v>
      </c>
      <c r="B263" s="813" t="str">
        <f>VLOOKUP(C263,'[3]DS CN MOI UP'!$B$10:$C$489,2,0)</f>
        <v>02688</v>
      </c>
      <c r="C263" s="845" t="s">
        <v>167</v>
      </c>
      <c r="D263" s="851" t="s">
        <v>15</v>
      </c>
      <c r="E263" s="815"/>
      <c r="F263" s="815"/>
      <c r="G263" s="815"/>
      <c r="H263" s="815"/>
      <c r="I263" s="815"/>
      <c r="J263" s="815"/>
      <c r="K263" s="815"/>
      <c r="L263" s="815"/>
      <c r="M263" s="815"/>
      <c r="N263" s="815">
        <f t="shared" si="72"/>
        <v>0</v>
      </c>
      <c r="O263" s="815">
        <f t="shared" si="73"/>
        <v>0</v>
      </c>
      <c r="P263" s="815">
        <f t="shared" si="74"/>
        <v>0</v>
      </c>
      <c r="Q263" s="815">
        <f t="shared" si="75"/>
        <v>0</v>
      </c>
      <c r="R263" s="815">
        <f t="shared" si="76"/>
        <v>0</v>
      </c>
      <c r="S263" s="815">
        <f t="shared" si="77"/>
        <v>0</v>
      </c>
      <c r="T263" s="815">
        <f t="shared" si="78"/>
        <v>0</v>
      </c>
      <c r="U263" s="815">
        <f t="shared" si="79"/>
        <v>0</v>
      </c>
      <c r="V263" s="815">
        <f t="shared" si="80"/>
        <v>0</v>
      </c>
      <c r="W263" s="815"/>
      <c r="X263" s="815"/>
      <c r="Y263" s="815"/>
      <c r="Z263" s="815"/>
      <c r="AA263" s="830">
        <f t="shared" si="81"/>
        <v>0</v>
      </c>
      <c r="AB263" s="830">
        <f>VLOOKUP(C263,'[3]MỦ TẠP'!$D$10:$AM$450,36,0)</f>
        <v>0</v>
      </c>
      <c r="AC263" s="830"/>
      <c r="AD263" s="830"/>
      <c r="AE263" s="830">
        <f>VLOOKUP(C263,'[3]MỦ TẠP'!$D$10:$AM$450,36,0)</f>
        <v>0</v>
      </c>
      <c r="AF263" s="830"/>
      <c r="AG263" s="830"/>
      <c r="AH263" s="830">
        <f t="shared" si="82"/>
        <v>0</v>
      </c>
      <c r="AI263" s="830">
        <f>VLOOKUP(C263,'[3]CHẤM CÔNG '!$F$10:$AM$451,33,0)</f>
        <v>0</v>
      </c>
      <c r="AJ263" s="830">
        <f>VLOOKUP(C263,'[3]CHẤM CÔNG '!$F$10:$AM$451,34,0)</f>
        <v>0</v>
      </c>
      <c r="AK263" s="830"/>
      <c r="AL263" s="830"/>
      <c r="AM263" s="830"/>
      <c r="AN263" s="830">
        <f>VLOOKUP(C263,'[3]CHẤM CÔNG '!$F$10:$AN$451,35,0)</f>
        <v>0</v>
      </c>
      <c r="AO263" s="830">
        <f>VLOOKUP(C263,'[3]CHẤM CÔNG '!$F$10:$AR$451,36,0)</f>
        <v>0</v>
      </c>
      <c r="AP263" s="830"/>
      <c r="AQ263" s="830"/>
      <c r="AR263" s="830"/>
      <c r="AS263" s="836"/>
      <c r="AT263" s="837">
        <f>VLOOKUP(C263,'[3]MỦ TẠP'!$D$10:$AO$450,38,0)</f>
        <v>0</v>
      </c>
      <c r="AU263" s="801">
        <v>915</v>
      </c>
      <c r="AV263" s="831">
        <f t="shared" si="83"/>
        <v>-915</v>
      </c>
      <c r="AX263" s="799">
        <f t="shared" si="84"/>
        <v>2</v>
      </c>
      <c r="AZ263" s="799">
        <v>1</v>
      </c>
    </row>
    <row r="264" spans="1:52" ht="15.75">
      <c r="A264" s="850">
        <v>45</v>
      </c>
      <c r="B264" s="813" t="str">
        <f>VLOOKUP(C264,'[3]DS CN MOI UP'!$B$10:$C$489,2,0)</f>
        <v>02551</v>
      </c>
      <c r="C264" s="852" t="s">
        <v>168</v>
      </c>
      <c r="D264" s="851" t="s">
        <v>15</v>
      </c>
      <c r="E264" s="815"/>
      <c r="F264" s="815"/>
      <c r="G264" s="815"/>
      <c r="H264" s="815"/>
      <c r="I264" s="815"/>
      <c r="J264" s="815"/>
      <c r="K264" s="815"/>
      <c r="L264" s="815"/>
      <c r="M264" s="815"/>
      <c r="N264" s="815">
        <f t="shared" si="72"/>
        <v>0</v>
      </c>
      <c r="O264" s="815">
        <f t="shared" si="73"/>
        <v>0</v>
      </c>
      <c r="P264" s="815">
        <f t="shared" si="74"/>
        <v>0</v>
      </c>
      <c r="Q264" s="815">
        <f t="shared" si="75"/>
        <v>0</v>
      </c>
      <c r="R264" s="815">
        <f t="shared" si="76"/>
        <v>0</v>
      </c>
      <c r="S264" s="815">
        <f t="shared" si="77"/>
        <v>0</v>
      </c>
      <c r="T264" s="815">
        <f t="shared" si="78"/>
        <v>0</v>
      </c>
      <c r="U264" s="815">
        <f t="shared" si="79"/>
        <v>0</v>
      </c>
      <c r="V264" s="815">
        <f t="shared" si="80"/>
        <v>0</v>
      </c>
      <c r="W264" s="815"/>
      <c r="X264" s="815"/>
      <c r="Y264" s="815"/>
      <c r="Z264" s="815"/>
      <c r="AA264" s="830">
        <f t="shared" si="81"/>
        <v>0</v>
      </c>
      <c r="AB264" s="830">
        <f>VLOOKUP(C264,'[3]MỦ TẠP'!$D$10:$AM$450,36,0)</f>
        <v>0</v>
      </c>
      <c r="AC264" s="830"/>
      <c r="AD264" s="830"/>
      <c r="AE264" s="830">
        <f>VLOOKUP(C264,'[3]MỦ TẠP'!$D$10:$AM$450,36,0)</f>
        <v>0</v>
      </c>
      <c r="AF264" s="830"/>
      <c r="AG264" s="830"/>
      <c r="AH264" s="830">
        <f t="shared" si="82"/>
        <v>0</v>
      </c>
      <c r="AI264" s="830">
        <f>VLOOKUP(C264,'[3]CHẤM CÔNG '!$F$10:$AM$451,33,0)</f>
        <v>0</v>
      </c>
      <c r="AJ264" s="830">
        <f>VLOOKUP(C264,'[3]CHẤM CÔNG '!$F$10:$AM$451,34,0)</f>
        <v>0</v>
      </c>
      <c r="AK264" s="830"/>
      <c r="AL264" s="830"/>
      <c r="AM264" s="830"/>
      <c r="AN264" s="830">
        <f>VLOOKUP(C264,'[3]CHẤM CÔNG '!$F$10:$AN$451,35,0)</f>
        <v>0</v>
      </c>
      <c r="AO264" s="830">
        <f>VLOOKUP(C264,'[3]CHẤM CÔNG '!$F$10:$AR$451,36,0)</f>
        <v>0</v>
      </c>
      <c r="AP264" s="830"/>
      <c r="AQ264" s="830"/>
      <c r="AR264" s="830"/>
      <c r="AS264" s="836"/>
      <c r="AT264" s="837">
        <f>VLOOKUP(C264,'[3]MỦ TẠP'!$D$10:$AO$450,38,0)</f>
        <v>0</v>
      </c>
      <c r="AU264" s="801">
        <v>1376</v>
      </c>
      <c r="AV264" s="831">
        <f t="shared" si="83"/>
        <v>-1376</v>
      </c>
      <c r="AX264" s="799">
        <f t="shared" si="84"/>
        <v>2</v>
      </c>
      <c r="AZ264" s="799">
        <v>1</v>
      </c>
    </row>
    <row r="265" spans="1:52" ht="15.75">
      <c r="A265" s="850">
        <v>46</v>
      </c>
      <c r="B265" s="813" t="str">
        <f>VLOOKUP(C265,'[3]DS CN MOI UP'!$B$10:$C$489,2,0)</f>
        <v>02523</v>
      </c>
      <c r="C265" s="846" t="s">
        <v>169</v>
      </c>
      <c r="D265" s="851" t="s">
        <v>15</v>
      </c>
      <c r="E265" s="815"/>
      <c r="F265" s="815"/>
      <c r="G265" s="815"/>
      <c r="H265" s="815"/>
      <c r="I265" s="815"/>
      <c r="J265" s="815"/>
      <c r="K265" s="815"/>
      <c r="L265" s="815"/>
      <c r="M265" s="815"/>
      <c r="N265" s="815">
        <f t="shared" si="72"/>
        <v>0</v>
      </c>
      <c r="O265" s="815">
        <f t="shared" si="73"/>
        <v>0</v>
      </c>
      <c r="P265" s="815">
        <f t="shared" si="74"/>
        <v>0</v>
      </c>
      <c r="Q265" s="815">
        <f t="shared" si="75"/>
        <v>0</v>
      </c>
      <c r="R265" s="815">
        <f t="shared" si="76"/>
        <v>0</v>
      </c>
      <c r="S265" s="815">
        <f t="shared" si="77"/>
        <v>0</v>
      </c>
      <c r="T265" s="815">
        <f t="shared" si="78"/>
        <v>0</v>
      </c>
      <c r="U265" s="815">
        <f t="shared" si="79"/>
        <v>0</v>
      </c>
      <c r="V265" s="815">
        <f t="shared" si="80"/>
        <v>0</v>
      </c>
      <c r="W265" s="815"/>
      <c r="X265" s="815"/>
      <c r="Y265" s="815"/>
      <c r="Z265" s="815"/>
      <c r="AA265" s="830">
        <f t="shared" si="81"/>
        <v>0</v>
      </c>
      <c r="AB265" s="830">
        <f>VLOOKUP(C265,'[3]MỦ TẠP'!$D$10:$AM$450,36,0)</f>
        <v>0</v>
      </c>
      <c r="AC265" s="830"/>
      <c r="AD265" s="830"/>
      <c r="AE265" s="830">
        <f>VLOOKUP(C265,'[3]MỦ TẠP'!$D$10:$AM$450,36,0)</f>
        <v>0</v>
      </c>
      <c r="AF265" s="830"/>
      <c r="AG265" s="830"/>
      <c r="AH265" s="830">
        <f t="shared" si="82"/>
        <v>0</v>
      </c>
      <c r="AI265" s="830">
        <f>VLOOKUP(C265,'[3]CHẤM CÔNG '!$F$10:$AM$451,33,0)</f>
        <v>0</v>
      </c>
      <c r="AJ265" s="830">
        <f>VLOOKUP(C265,'[3]CHẤM CÔNG '!$F$10:$AM$451,34,0)</f>
        <v>0</v>
      </c>
      <c r="AK265" s="830"/>
      <c r="AL265" s="830"/>
      <c r="AM265" s="830"/>
      <c r="AN265" s="830">
        <f>VLOOKUP(C265,'[3]CHẤM CÔNG '!$F$10:$AN$451,35,0)</f>
        <v>0</v>
      </c>
      <c r="AO265" s="830">
        <f>VLOOKUP(C265,'[3]CHẤM CÔNG '!$F$10:$AR$451,36,0)</f>
        <v>0</v>
      </c>
      <c r="AP265" s="830"/>
      <c r="AQ265" s="830"/>
      <c r="AR265" s="830"/>
      <c r="AS265" s="836"/>
      <c r="AT265" s="837">
        <f>VLOOKUP(C265,'[3]MỦ TẠP'!$D$10:$AO$450,38,0)</f>
        <v>0</v>
      </c>
      <c r="AU265" s="801">
        <v>1452</v>
      </c>
      <c r="AV265" s="831">
        <f t="shared" si="83"/>
        <v>-1452</v>
      </c>
      <c r="AX265" s="799">
        <f t="shared" si="84"/>
        <v>2</v>
      </c>
      <c r="AZ265" s="799">
        <v>1</v>
      </c>
    </row>
    <row r="266" spans="1:52" ht="15.75">
      <c r="A266" s="850">
        <v>47</v>
      </c>
      <c r="B266" s="813" t="str">
        <f>VLOOKUP(C266,'[3]DS CN MOI UP'!$B$10:$C$489,2,0)</f>
        <v>03369</v>
      </c>
      <c r="C266" s="846" t="s">
        <v>170</v>
      </c>
      <c r="D266" s="851" t="s">
        <v>15</v>
      </c>
      <c r="E266" s="815"/>
      <c r="F266" s="815"/>
      <c r="G266" s="815"/>
      <c r="H266" s="815"/>
      <c r="I266" s="815"/>
      <c r="J266" s="815"/>
      <c r="K266" s="815"/>
      <c r="L266" s="815"/>
      <c r="M266" s="815"/>
      <c r="N266" s="815">
        <f t="shared" si="72"/>
        <v>0</v>
      </c>
      <c r="O266" s="815">
        <f t="shared" si="73"/>
        <v>0</v>
      </c>
      <c r="P266" s="815">
        <f t="shared" si="74"/>
        <v>0</v>
      </c>
      <c r="Q266" s="815">
        <f t="shared" si="75"/>
        <v>0</v>
      </c>
      <c r="R266" s="815">
        <f t="shared" si="76"/>
        <v>0</v>
      </c>
      <c r="S266" s="815">
        <f t="shared" si="77"/>
        <v>0</v>
      </c>
      <c r="T266" s="815">
        <f t="shared" si="78"/>
        <v>0</v>
      </c>
      <c r="U266" s="815">
        <f t="shared" si="79"/>
        <v>0</v>
      </c>
      <c r="V266" s="815">
        <f t="shared" si="80"/>
        <v>0</v>
      </c>
      <c r="W266" s="815"/>
      <c r="X266" s="815"/>
      <c r="Y266" s="815"/>
      <c r="Z266" s="815"/>
      <c r="AA266" s="830">
        <f t="shared" si="81"/>
        <v>0</v>
      </c>
      <c r="AB266" s="830">
        <f>VLOOKUP(C266,'[3]MỦ TẠP'!$D$10:$AM$450,36,0)</f>
        <v>0</v>
      </c>
      <c r="AC266" s="830"/>
      <c r="AD266" s="830"/>
      <c r="AE266" s="830">
        <f>VLOOKUP(C266,'[3]MỦ TẠP'!$D$10:$AM$450,36,0)</f>
        <v>0</v>
      </c>
      <c r="AF266" s="830"/>
      <c r="AG266" s="830"/>
      <c r="AH266" s="830">
        <f t="shared" si="82"/>
        <v>0</v>
      </c>
      <c r="AI266" s="830">
        <f>VLOOKUP(C266,'[3]CHẤM CÔNG '!$F$10:$AM$451,33,0)</f>
        <v>0</v>
      </c>
      <c r="AJ266" s="830">
        <f>VLOOKUP(C266,'[3]CHẤM CÔNG '!$F$10:$AM$451,34,0)</f>
        <v>0</v>
      </c>
      <c r="AK266" s="830"/>
      <c r="AL266" s="830"/>
      <c r="AM266" s="830"/>
      <c r="AN266" s="830">
        <f>VLOOKUP(C266,'[3]CHẤM CÔNG '!$F$10:$AN$451,35,0)</f>
        <v>0</v>
      </c>
      <c r="AO266" s="830">
        <f>VLOOKUP(C266,'[3]CHẤM CÔNG '!$F$10:$AR$451,36,0)</f>
        <v>0</v>
      </c>
      <c r="AP266" s="830"/>
      <c r="AQ266" s="830"/>
      <c r="AR266" s="830"/>
      <c r="AS266" s="836"/>
      <c r="AT266" s="837">
        <f>VLOOKUP(C266,'[3]MỦ TẠP'!$D$10:$AO$450,38,0)</f>
        <v>0</v>
      </c>
      <c r="AU266" s="801">
        <v>2448</v>
      </c>
      <c r="AV266" s="831">
        <f t="shared" si="83"/>
        <v>-2448</v>
      </c>
      <c r="AX266" s="799">
        <f t="shared" si="84"/>
        <v>2</v>
      </c>
      <c r="AZ266" s="799">
        <v>1</v>
      </c>
    </row>
    <row r="267" spans="1:52" ht="15.75">
      <c r="A267" s="850">
        <v>48</v>
      </c>
      <c r="B267" s="813" t="str">
        <f>VLOOKUP(C267,'[3]DS CN MOI UP'!$B$10:$C$489,2,0)</f>
        <v>03345</v>
      </c>
      <c r="C267" s="846" t="s">
        <v>171</v>
      </c>
      <c r="D267" s="851" t="s">
        <v>15</v>
      </c>
      <c r="E267" s="815"/>
      <c r="F267" s="815"/>
      <c r="G267" s="815"/>
      <c r="H267" s="815"/>
      <c r="I267" s="815"/>
      <c r="J267" s="815"/>
      <c r="K267" s="815"/>
      <c r="L267" s="815"/>
      <c r="M267" s="815"/>
      <c r="N267" s="815">
        <f t="shared" si="72"/>
        <v>0</v>
      </c>
      <c r="O267" s="815">
        <f t="shared" si="73"/>
        <v>0</v>
      </c>
      <c r="P267" s="815">
        <f t="shared" si="74"/>
        <v>0</v>
      </c>
      <c r="Q267" s="815">
        <f t="shared" si="75"/>
        <v>0</v>
      </c>
      <c r="R267" s="815">
        <f t="shared" si="76"/>
        <v>0</v>
      </c>
      <c r="S267" s="815">
        <f t="shared" si="77"/>
        <v>0</v>
      </c>
      <c r="T267" s="815">
        <f t="shared" si="78"/>
        <v>0</v>
      </c>
      <c r="U267" s="815">
        <f t="shared" si="79"/>
        <v>0</v>
      </c>
      <c r="V267" s="815">
        <f t="shared" si="80"/>
        <v>0</v>
      </c>
      <c r="W267" s="815"/>
      <c r="X267" s="815"/>
      <c r="Y267" s="815"/>
      <c r="Z267" s="815"/>
      <c r="AA267" s="830">
        <f t="shared" si="81"/>
        <v>0</v>
      </c>
      <c r="AB267" s="830">
        <f>VLOOKUP(C267,'[3]MỦ TẠP'!$D$10:$AM$450,36,0)</f>
        <v>0</v>
      </c>
      <c r="AC267" s="830"/>
      <c r="AD267" s="830"/>
      <c r="AE267" s="830">
        <f>VLOOKUP(C267,'[3]MỦ TẠP'!$D$10:$AM$450,36,0)</f>
        <v>0</v>
      </c>
      <c r="AF267" s="830"/>
      <c r="AG267" s="830"/>
      <c r="AH267" s="830">
        <f t="shared" si="82"/>
        <v>0</v>
      </c>
      <c r="AI267" s="830">
        <f>VLOOKUP(C267,'[3]CHẤM CÔNG '!$F$10:$AM$451,33,0)</f>
        <v>0</v>
      </c>
      <c r="AJ267" s="830">
        <f>VLOOKUP(C267,'[3]CHẤM CÔNG '!$F$10:$AM$451,34,0)</f>
        <v>0</v>
      </c>
      <c r="AK267" s="830"/>
      <c r="AL267" s="830"/>
      <c r="AM267" s="830"/>
      <c r="AN267" s="830">
        <f>VLOOKUP(C267,'[3]CHẤM CÔNG '!$F$10:$AN$451,35,0)</f>
        <v>0</v>
      </c>
      <c r="AO267" s="830">
        <f>VLOOKUP(C267,'[3]CHẤM CÔNG '!$F$10:$AR$451,36,0)</f>
        <v>0</v>
      </c>
      <c r="AP267" s="830"/>
      <c r="AQ267" s="830"/>
      <c r="AR267" s="830"/>
      <c r="AS267" s="836"/>
      <c r="AT267" s="837">
        <f>VLOOKUP(C267,'[3]MỦ TẠP'!$D$10:$AO$450,38,0)</f>
        <v>0</v>
      </c>
      <c r="AU267" s="801">
        <v>1884</v>
      </c>
      <c r="AV267" s="831">
        <f t="shared" si="83"/>
        <v>-1884</v>
      </c>
      <c r="AX267" s="799">
        <f t="shared" si="84"/>
        <v>2</v>
      </c>
      <c r="AZ267" s="799">
        <v>1</v>
      </c>
    </row>
    <row r="268" spans="1:52" ht="15.75">
      <c r="A268" s="850">
        <v>49</v>
      </c>
      <c r="B268" s="813" t="str">
        <f>VLOOKUP(C268,'[3]DS CN MOI UP'!$B$10:$C$489,2,0)</f>
        <v>03371</v>
      </c>
      <c r="C268" s="853" t="s">
        <v>172</v>
      </c>
      <c r="D268" s="851" t="s">
        <v>15</v>
      </c>
      <c r="E268" s="815"/>
      <c r="F268" s="815"/>
      <c r="G268" s="815"/>
      <c r="H268" s="815"/>
      <c r="I268" s="815"/>
      <c r="J268" s="815"/>
      <c r="K268" s="815"/>
      <c r="L268" s="815"/>
      <c r="M268" s="815"/>
      <c r="N268" s="815">
        <f t="shared" si="72"/>
        <v>0</v>
      </c>
      <c r="O268" s="815">
        <f t="shared" si="73"/>
        <v>0</v>
      </c>
      <c r="P268" s="815">
        <f t="shared" si="74"/>
        <v>0</v>
      </c>
      <c r="Q268" s="815">
        <f t="shared" si="75"/>
        <v>0</v>
      </c>
      <c r="R268" s="815">
        <f t="shared" si="76"/>
        <v>0</v>
      </c>
      <c r="S268" s="815">
        <f t="shared" si="77"/>
        <v>0</v>
      </c>
      <c r="T268" s="815">
        <f t="shared" si="78"/>
        <v>0</v>
      </c>
      <c r="U268" s="815">
        <f t="shared" si="79"/>
        <v>0</v>
      </c>
      <c r="V268" s="815">
        <f t="shared" si="80"/>
        <v>0</v>
      </c>
      <c r="W268" s="815"/>
      <c r="X268" s="815"/>
      <c r="Y268" s="815"/>
      <c r="Z268" s="815"/>
      <c r="AA268" s="830">
        <f t="shared" si="81"/>
        <v>0</v>
      </c>
      <c r="AB268" s="830">
        <f>VLOOKUP(C268,'[3]MỦ TẠP'!$D$10:$AM$450,36,0)</f>
        <v>0</v>
      </c>
      <c r="AC268" s="830"/>
      <c r="AD268" s="830"/>
      <c r="AE268" s="830">
        <f>VLOOKUP(C268,'[3]MỦ TẠP'!$D$10:$AM$450,36,0)</f>
        <v>0</v>
      </c>
      <c r="AF268" s="830"/>
      <c r="AG268" s="830"/>
      <c r="AH268" s="830">
        <f t="shared" si="82"/>
        <v>0</v>
      </c>
      <c r="AI268" s="830">
        <f>VLOOKUP(C268,'[3]CHẤM CÔNG '!$F$10:$AM$451,33,0)</f>
        <v>0</v>
      </c>
      <c r="AJ268" s="830">
        <f>VLOOKUP(C268,'[3]CHẤM CÔNG '!$F$10:$AM$451,34,0)</f>
        <v>0</v>
      </c>
      <c r="AK268" s="830"/>
      <c r="AL268" s="830"/>
      <c r="AM268" s="830"/>
      <c r="AN268" s="830">
        <f>VLOOKUP(C268,'[3]CHẤM CÔNG '!$F$10:$AN$451,35,0)</f>
        <v>0</v>
      </c>
      <c r="AO268" s="830">
        <f>VLOOKUP(C268,'[3]CHẤM CÔNG '!$F$10:$AR$451,36,0)</f>
        <v>0</v>
      </c>
      <c r="AP268" s="830"/>
      <c r="AQ268" s="830"/>
      <c r="AR268" s="830"/>
      <c r="AS268" s="836"/>
      <c r="AT268" s="837">
        <f>VLOOKUP(C268,'[3]MỦ TẠP'!$D$10:$AO$450,38,0)</f>
        <v>0</v>
      </c>
      <c r="AU268" s="801">
        <v>1797</v>
      </c>
      <c r="AV268" s="831">
        <f t="shared" si="83"/>
        <v>-1797</v>
      </c>
      <c r="AX268" s="799">
        <f t="shared" si="84"/>
        <v>2</v>
      </c>
      <c r="AZ268" s="799">
        <v>1</v>
      </c>
    </row>
    <row r="269" spans="1:52" ht="15.75">
      <c r="A269" s="850">
        <v>50</v>
      </c>
      <c r="B269" s="813" t="str">
        <f>VLOOKUP(C269,'[3]DS CN MOI UP'!$B$10:$C$489,2,0)</f>
        <v>02519</v>
      </c>
      <c r="C269" s="854" t="s">
        <v>173</v>
      </c>
      <c r="D269" s="851" t="s">
        <v>15</v>
      </c>
      <c r="E269" s="815"/>
      <c r="F269" s="815"/>
      <c r="G269" s="815"/>
      <c r="H269" s="815"/>
      <c r="I269" s="815"/>
      <c r="J269" s="815"/>
      <c r="K269" s="815"/>
      <c r="L269" s="815"/>
      <c r="M269" s="815"/>
      <c r="N269" s="815">
        <f t="shared" si="72"/>
        <v>0</v>
      </c>
      <c r="O269" s="815">
        <f t="shared" si="73"/>
        <v>0</v>
      </c>
      <c r="P269" s="815">
        <f t="shared" si="74"/>
        <v>0</v>
      </c>
      <c r="Q269" s="815">
        <f t="shared" si="75"/>
        <v>0</v>
      </c>
      <c r="R269" s="815">
        <f t="shared" si="76"/>
        <v>0</v>
      </c>
      <c r="S269" s="815">
        <f t="shared" si="77"/>
        <v>0</v>
      </c>
      <c r="T269" s="815">
        <f t="shared" si="78"/>
        <v>0</v>
      </c>
      <c r="U269" s="815">
        <f t="shared" si="79"/>
        <v>0</v>
      </c>
      <c r="V269" s="815">
        <f t="shared" si="80"/>
        <v>0</v>
      </c>
      <c r="W269" s="815"/>
      <c r="X269" s="815"/>
      <c r="Y269" s="815"/>
      <c r="Z269" s="815"/>
      <c r="AA269" s="830">
        <f t="shared" si="81"/>
        <v>0</v>
      </c>
      <c r="AB269" s="830">
        <f>VLOOKUP(C269,'[3]MỦ TẠP'!$D$10:$AM$450,36,0)</f>
        <v>0</v>
      </c>
      <c r="AC269" s="830"/>
      <c r="AD269" s="830"/>
      <c r="AE269" s="830">
        <f>VLOOKUP(C269,'[3]MỦ TẠP'!$D$10:$AM$450,36,0)</f>
        <v>0</v>
      </c>
      <c r="AF269" s="830"/>
      <c r="AG269" s="830"/>
      <c r="AH269" s="830">
        <f t="shared" si="82"/>
        <v>0</v>
      </c>
      <c r="AI269" s="830">
        <f>VLOOKUP(C269,'[3]CHẤM CÔNG '!$F$10:$AM$451,33,0)</f>
        <v>0</v>
      </c>
      <c r="AJ269" s="830">
        <f>VLOOKUP(C269,'[3]CHẤM CÔNG '!$F$10:$AM$451,34,0)</f>
        <v>0</v>
      </c>
      <c r="AK269" s="830"/>
      <c r="AL269" s="830"/>
      <c r="AM269" s="830"/>
      <c r="AN269" s="830">
        <f>VLOOKUP(C269,'[3]CHẤM CÔNG '!$F$10:$AN$451,35,0)</f>
        <v>0</v>
      </c>
      <c r="AO269" s="830">
        <f>VLOOKUP(C269,'[3]CHẤM CÔNG '!$F$10:$AR$451,36,0)</f>
        <v>0</v>
      </c>
      <c r="AP269" s="830"/>
      <c r="AQ269" s="830"/>
      <c r="AR269" s="830"/>
      <c r="AS269" s="836"/>
      <c r="AT269" s="837">
        <f>VLOOKUP(C269,'[3]MỦ TẠP'!$D$10:$AO$450,38,0)</f>
        <v>0</v>
      </c>
      <c r="AU269" s="801">
        <v>2261</v>
      </c>
      <c r="AV269" s="831">
        <f t="shared" si="83"/>
        <v>-2261</v>
      </c>
      <c r="AX269" s="799">
        <f t="shared" si="84"/>
        <v>2</v>
      </c>
      <c r="AZ269" s="799">
        <v>1</v>
      </c>
    </row>
    <row r="270" spans="1:52" ht="15.75">
      <c r="A270" s="850">
        <v>51</v>
      </c>
      <c r="B270" s="813" t="str">
        <f>VLOOKUP(C270,'[3]DS CN MOI UP'!$B$10:$C$489,2,0)</f>
        <v>02692</v>
      </c>
      <c r="C270" s="825" t="s">
        <v>174</v>
      </c>
      <c r="D270" s="851" t="s">
        <v>15</v>
      </c>
      <c r="E270" s="815"/>
      <c r="F270" s="815"/>
      <c r="G270" s="815"/>
      <c r="H270" s="815"/>
      <c r="I270" s="815"/>
      <c r="J270" s="815"/>
      <c r="K270" s="815"/>
      <c r="L270" s="815"/>
      <c r="M270" s="815"/>
      <c r="N270" s="815">
        <f t="shared" si="72"/>
        <v>0</v>
      </c>
      <c r="O270" s="815">
        <f t="shared" si="73"/>
        <v>0</v>
      </c>
      <c r="P270" s="815">
        <f t="shared" si="74"/>
        <v>0</v>
      </c>
      <c r="Q270" s="815">
        <f t="shared" si="75"/>
        <v>0</v>
      </c>
      <c r="R270" s="815">
        <f t="shared" si="76"/>
        <v>0</v>
      </c>
      <c r="S270" s="815">
        <f t="shared" si="77"/>
        <v>0</v>
      </c>
      <c r="T270" s="815">
        <f t="shared" si="78"/>
        <v>0</v>
      </c>
      <c r="U270" s="815">
        <f t="shared" si="79"/>
        <v>0</v>
      </c>
      <c r="V270" s="815">
        <f t="shared" si="80"/>
        <v>0</v>
      </c>
      <c r="W270" s="815"/>
      <c r="X270" s="815"/>
      <c r="Y270" s="815"/>
      <c r="Z270" s="815"/>
      <c r="AA270" s="830">
        <f t="shared" si="81"/>
        <v>0</v>
      </c>
      <c r="AB270" s="830">
        <f>VLOOKUP(C270,'[3]MỦ TẠP'!$D$10:$AM$450,36,0)</f>
        <v>0</v>
      </c>
      <c r="AC270" s="830"/>
      <c r="AD270" s="830"/>
      <c r="AE270" s="830">
        <f>VLOOKUP(C270,'[3]MỦ TẠP'!$D$10:$AM$450,36,0)</f>
        <v>0</v>
      </c>
      <c r="AF270" s="830"/>
      <c r="AG270" s="830"/>
      <c r="AH270" s="830">
        <f t="shared" si="82"/>
        <v>0</v>
      </c>
      <c r="AI270" s="830">
        <f>VLOOKUP(C270,'[3]CHẤM CÔNG '!$F$10:$AM$451,33,0)</f>
        <v>0</v>
      </c>
      <c r="AJ270" s="830">
        <f>VLOOKUP(C270,'[3]CHẤM CÔNG '!$F$10:$AM$451,34,0)</f>
        <v>0</v>
      </c>
      <c r="AK270" s="830"/>
      <c r="AL270" s="830"/>
      <c r="AM270" s="830"/>
      <c r="AN270" s="830">
        <f>VLOOKUP(C270,'[3]CHẤM CÔNG '!$F$10:$AN$451,35,0)</f>
        <v>0</v>
      </c>
      <c r="AO270" s="830">
        <f>VLOOKUP(C270,'[3]CHẤM CÔNG '!$F$10:$AR$451,36,0)</f>
        <v>0</v>
      </c>
      <c r="AP270" s="830"/>
      <c r="AQ270" s="830"/>
      <c r="AR270" s="830"/>
      <c r="AS270" s="836"/>
      <c r="AT270" s="837">
        <f>VLOOKUP(C270,'[3]MỦ TẠP'!$D$10:$AO$450,38,0)</f>
        <v>0</v>
      </c>
      <c r="AU270" s="801">
        <v>1682</v>
      </c>
      <c r="AV270" s="831">
        <f t="shared" si="83"/>
        <v>-1682</v>
      </c>
      <c r="AX270" s="799">
        <f t="shared" si="84"/>
        <v>2</v>
      </c>
      <c r="AZ270" s="799">
        <v>1</v>
      </c>
    </row>
    <row r="271" spans="1:52" ht="15.75">
      <c r="A271" s="850">
        <v>52</v>
      </c>
      <c r="B271" s="813" t="str">
        <f>VLOOKUP(C271,'[3]DS CN MOI UP'!$B$10:$C$489,2,0)</f>
        <v>03372</v>
      </c>
      <c r="C271" s="825" t="s">
        <v>175</v>
      </c>
      <c r="D271" s="851" t="s">
        <v>15</v>
      </c>
      <c r="E271" s="815"/>
      <c r="F271" s="815"/>
      <c r="G271" s="815"/>
      <c r="H271" s="815"/>
      <c r="I271" s="815"/>
      <c r="J271" s="815"/>
      <c r="K271" s="815"/>
      <c r="L271" s="815"/>
      <c r="M271" s="815"/>
      <c r="N271" s="815">
        <f t="shared" si="72"/>
        <v>0</v>
      </c>
      <c r="O271" s="815">
        <f t="shared" si="73"/>
        <v>0</v>
      </c>
      <c r="P271" s="815">
        <f t="shared" si="74"/>
        <v>0</v>
      </c>
      <c r="Q271" s="815">
        <f t="shared" si="75"/>
        <v>0</v>
      </c>
      <c r="R271" s="815">
        <f t="shared" si="76"/>
        <v>0</v>
      </c>
      <c r="S271" s="815">
        <f t="shared" si="77"/>
        <v>0</v>
      </c>
      <c r="T271" s="815">
        <f t="shared" si="78"/>
        <v>0</v>
      </c>
      <c r="U271" s="815">
        <f t="shared" si="79"/>
        <v>0</v>
      </c>
      <c r="V271" s="815">
        <f t="shared" si="80"/>
        <v>0</v>
      </c>
      <c r="W271" s="815"/>
      <c r="X271" s="815"/>
      <c r="Y271" s="815"/>
      <c r="Z271" s="815"/>
      <c r="AA271" s="830">
        <f t="shared" si="81"/>
        <v>0</v>
      </c>
      <c r="AB271" s="830">
        <f>VLOOKUP(C271,'[3]MỦ TẠP'!$D$10:$AM$450,36,0)</f>
        <v>0</v>
      </c>
      <c r="AC271" s="830"/>
      <c r="AD271" s="830"/>
      <c r="AE271" s="830">
        <f>VLOOKUP(C271,'[3]MỦ TẠP'!$D$10:$AM$450,36,0)</f>
        <v>0</v>
      </c>
      <c r="AF271" s="830"/>
      <c r="AG271" s="830"/>
      <c r="AH271" s="830">
        <f t="shared" si="82"/>
        <v>0</v>
      </c>
      <c r="AI271" s="830">
        <f>VLOOKUP(C271,'[3]CHẤM CÔNG '!$F$10:$AM$451,33,0)</f>
        <v>0</v>
      </c>
      <c r="AJ271" s="830">
        <f>VLOOKUP(C271,'[3]CHẤM CÔNG '!$F$10:$AM$451,34,0)</f>
        <v>0</v>
      </c>
      <c r="AK271" s="830"/>
      <c r="AL271" s="830"/>
      <c r="AM271" s="830"/>
      <c r="AN271" s="830">
        <f>VLOOKUP(C271,'[3]CHẤM CÔNG '!$F$10:$AN$451,35,0)</f>
        <v>0</v>
      </c>
      <c r="AO271" s="830">
        <f>VLOOKUP(C271,'[3]CHẤM CÔNG '!$F$10:$AR$451,36,0)</f>
        <v>0</v>
      </c>
      <c r="AP271" s="830"/>
      <c r="AQ271" s="830"/>
      <c r="AR271" s="830"/>
      <c r="AS271" s="836"/>
      <c r="AT271" s="837">
        <f>VLOOKUP(C271,'[3]MỦ TẠP'!$D$10:$AO$450,38,0)</f>
        <v>0</v>
      </c>
      <c r="AU271" s="801">
        <v>1211</v>
      </c>
      <c r="AV271" s="831">
        <f t="shared" si="83"/>
        <v>-1211</v>
      </c>
      <c r="AX271" s="799">
        <f t="shared" si="84"/>
        <v>2</v>
      </c>
      <c r="AZ271" s="799">
        <v>1</v>
      </c>
    </row>
    <row r="272" spans="1:52" ht="15.75">
      <c r="A272" s="850">
        <v>53</v>
      </c>
      <c r="B272" s="813" t="str">
        <f>VLOOKUP(C272,'[3]DS CN MOI UP'!$B$10:$C$489,2,0)</f>
        <v>03365</v>
      </c>
      <c r="C272" s="825" t="s">
        <v>176</v>
      </c>
      <c r="D272" s="851" t="s">
        <v>15</v>
      </c>
      <c r="E272" s="815"/>
      <c r="F272" s="815"/>
      <c r="G272" s="815"/>
      <c r="H272" s="815"/>
      <c r="I272" s="815"/>
      <c r="J272" s="815"/>
      <c r="K272" s="815"/>
      <c r="L272" s="815"/>
      <c r="M272" s="815"/>
      <c r="N272" s="815">
        <f t="shared" si="72"/>
        <v>0</v>
      </c>
      <c r="O272" s="815">
        <f t="shared" si="73"/>
        <v>0</v>
      </c>
      <c r="P272" s="815">
        <f t="shared" si="74"/>
        <v>0</v>
      </c>
      <c r="Q272" s="815">
        <f t="shared" si="75"/>
        <v>0</v>
      </c>
      <c r="R272" s="815">
        <f t="shared" si="76"/>
        <v>0</v>
      </c>
      <c r="S272" s="815">
        <f t="shared" si="77"/>
        <v>0</v>
      </c>
      <c r="T272" s="815">
        <f t="shared" si="78"/>
        <v>0</v>
      </c>
      <c r="U272" s="815">
        <f t="shared" si="79"/>
        <v>0</v>
      </c>
      <c r="V272" s="815">
        <f t="shared" si="80"/>
        <v>0</v>
      </c>
      <c r="W272" s="815"/>
      <c r="X272" s="815"/>
      <c r="Y272" s="815"/>
      <c r="Z272" s="815"/>
      <c r="AA272" s="830">
        <f t="shared" si="81"/>
        <v>0</v>
      </c>
      <c r="AB272" s="830">
        <f>VLOOKUP(C272,'[3]MỦ TẠP'!$D$10:$AM$450,36,0)</f>
        <v>0</v>
      </c>
      <c r="AC272" s="830"/>
      <c r="AD272" s="830"/>
      <c r="AE272" s="830">
        <f>VLOOKUP(C272,'[3]MỦ TẠP'!$D$10:$AM$450,36,0)</f>
        <v>0</v>
      </c>
      <c r="AF272" s="830"/>
      <c r="AG272" s="830"/>
      <c r="AH272" s="830">
        <f t="shared" si="82"/>
        <v>0</v>
      </c>
      <c r="AI272" s="830">
        <f>VLOOKUP(C272,'[3]CHẤM CÔNG '!$F$10:$AM$451,33,0)</f>
        <v>0</v>
      </c>
      <c r="AJ272" s="830">
        <f>VLOOKUP(C272,'[3]CHẤM CÔNG '!$F$10:$AM$451,34,0)</f>
        <v>0</v>
      </c>
      <c r="AK272" s="830"/>
      <c r="AL272" s="830"/>
      <c r="AM272" s="830"/>
      <c r="AN272" s="830">
        <f>VLOOKUP(C272,'[3]CHẤM CÔNG '!$F$10:$AN$451,35,0)</f>
        <v>0</v>
      </c>
      <c r="AO272" s="830">
        <f>VLOOKUP(C272,'[3]CHẤM CÔNG '!$F$10:$AR$451,36,0)</f>
        <v>0</v>
      </c>
      <c r="AP272" s="830"/>
      <c r="AQ272" s="830"/>
      <c r="AR272" s="830"/>
      <c r="AS272" s="836"/>
      <c r="AT272" s="837">
        <f>VLOOKUP(C272,'[3]MỦ TẠP'!$D$10:$AO$450,38,0)</f>
        <v>0</v>
      </c>
      <c r="AU272" s="801">
        <v>1239</v>
      </c>
      <c r="AV272" s="831">
        <f t="shared" si="83"/>
        <v>-1239</v>
      </c>
      <c r="AX272" s="799">
        <f t="shared" si="84"/>
        <v>2</v>
      </c>
      <c r="AZ272" s="799">
        <v>1</v>
      </c>
    </row>
    <row r="273" spans="1:52" ht="15.75">
      <c r="A273" s="850">
        <v>54</v>
      </c>
      <c r="B273" s="813" t="str">
        <f>VLOOKUP(C273,'[3]DS CN MOI UP'!$B$10:$C$489,2,0)</f>
        <v>03373</v>
      </c>
      <c r="C273" s="825" t="s">
        <v>177</v>
      </c>
      <c r="D273" s="851" t="s">
        <v>15</v>
      </c>
      <c r="E273" s="815"/>
      <c r="F273" s="815"/>
      <c r="G273" s="815"/>
      <c r="H273" s="815"/>
      <c r="I273" s="815"/>
      <c r="J273" s="815"/>
      <c r="K273" s="815"/>
      <c r="L273" s="815"/>
      <c r="M273" s="815"/>
      <c r="N273" s="815">
        <f t="shared" si="72"/>
        <v>0</v>
      </c>
      <c r="O273" s="815">
        <f t="shared" si="73"/>
        <v>0</v>
      </c>
      <c r="P273" s="815">
        <f t="shared" si="74"/>
        <v>0</v>
      </c>
      <c r="Q273" s="815">
        <f t="shared" si="75"/>
        <v>0</v>
      </c>
      <c r="R273" s="815">
        <f t="shared" si="76"/>
        <v>0</v>
      </c>
      <c r="S273" s="815">
        <f t="shared" si="77"/>
        <v>0</v>
      </c>
      <c r="T273" s="815">
        <f t="shared" si="78"/>
        <v>0</v>
      </c>
      <c r="U273" s="815">
        <f t="shared" si="79"/>
        <v>0</v>
      </c>
      <c r="V273" s="815">
        <f t="shared" si="80"/>
        <v>0</v>
      </c>
      <c r="W273" s="815"/>
      <c r="X273" s="815"/>
      <c r="Y273" s="815"/>
      <c r="Z273" s="815"/>
      <c r="AA273" s="830">
        <f t="shared" si="81"/>
        <v>0</v>
      </c>
      <c r="AB273" s="830">
        <f>VLOOKUP(C273,'[3]MỦ TẠP'!$D$10:$AM$450,36,0)</f>
        <v>0</v>
      </c>
      <c r="AC273" s="830"/>
      <c r="AD273" s="830"/>
      <c r="AE273" s="830">
        <f>VLOOKUP(C273,'[3]MỦ TẠP'!$D$10:$AM$450,36,0)</f>
        <v>0</v>
      </c>
      <c r="AF273" s="830"/>
      <c r="AG273" s="830"/>
      <c r="AH273" s="830">
        <f t="shared" si="82"/>
        <v>0</v>
      </c>
      <c r="AI273" s="830">
        <f>VLOOKUP(C273,'[3]CHẤM CÔNG '!$F$10:$AM$451,33,0)</f>
        <v>0</v>
      </c>
      <c r="AJ273" s="830">
        <f>VLOOKUP(C273,'[3]CHẤM CÔNG '!$F$10:$AM$451,34,0)</f>
        <v>0</v>
      </c>
      <c r="AK273" s="830"/>
      <c r="AL273" s="830"/>
      <c r="AM273" s="830"/>
      <c r="AN273" s="830">
        <f>VLOOKUP(C273,'[3]CHẤM CÔNG '!$F$10:$AN$451,35,0)</f>
        <v>0</v>
      </c>
      <c r="AO273" s="830">
        <f>VLOOKUP(C273,'[3]CHẤM CÔNG '!$F$10:$AR$451,36,0)</f>
        <v>0</v>
      </c>
      <c r="AP273" s="830"/>
      <c r="AQ273" s="830"/>
      <c r="AR273" s="830"/>
      <c r="AS273" s="836"/>
      <c r="AT273" s="837">
        <f>VLOOKUP(C273,'[3]MỦ TẠP'!$D$10:$AO$450,38,0)</f>
        <v>0</v>
      </c>
      <c r="AU273" s="801">
        <v>1196</v>
      </c>
      <c r="AV273" s="831">
        <f t="shared" si="83"/>
        <v>-1196</v>
      </c>
      <c r="AX273" s="799">
        <f t="shared" si="84"/>
        <v>2</v>
      </c>
      <c r="AZ273" s="799">
        <v>1</v>
      </c>
    </row>
    <row r="274" spans="1:52" ht="15.75">
      <c r="A274" s="850">
        <v>55</v>
      </c>
      <c r="B274" s="813" t="str">
        <f>VLOOKUP(C274,'[3]DS CN MOI UP'!$B$10:$C$489,2,0)</f>
        <v>03374</v>
      </c>
      <c r="C274" s="825" t="s">
        <v>178</v>
      </c>
      <c r="D274" s="851" t="s">
        <v>15</v>
      </c>
      <c r="E274" s="815"/>
      <c r="F274" s="815"/>
      <c r="G274" s="815"/>
      <c r="H274" s="815"/>
      <c r="I274" s="815"/>
      <c r="J274" s="815"/>
      <c r="K274" s="815"/>
      <c r="L274" s="815"/>
      <c r="M274" s="815"/>
      <c r="N274" s="815">
        <f t="shared" si="72"/>
        <v>0</v>
      </c>
      <c r="O274" s="815">
        <f t="shared" si="73"/>
        <v>0</v>
      </c>
      <c r="P274" s="815">
        <f t="shared" si="74"/>
        <v>0</v>
      </c>
      <c r="Q274" s="815">
        <f t="shared" si="75"/>
        <v>0</v>
      </c>
      <c r="R274" s="815">
        <f t="shared" si="76"/>
        <v>0</v>
      </c>
      <c r="S274" s="815">
        <f t="shared" si="77"/>
        <v>0</v>
      </c>
      <c r="T274" s="815">
        <f t="shared" si="78"/>
        <v>0</v>
      </c>
      <c r="U274" s="815">
        <f t="shared" si="79"/>
        <v>0</v>
      </c>
      <c r="V274" s="815">
        <f t="shared" si="80"/>
        <v>0</v>
      </c>
      <c r="W274" s="815"/>
      <c r="X274" s="815"/>
      <c r="Y274" s="815"/>
      <c r="Z274" s="815"/>
      <c r="AA274" s="830">
        <f t="shared" si="81"/>
        <v>0</v>
      </c>
      <c r="AB274" s="830">
        <f>VLOOKUP(C274,'[3]MỦ TẠP'!$D$10:$AM$450,36,0)</f>
        <v>0</v>
      </c>
      <c r="AC274" s="830"/>
      <c r="AD274" s="830"/>
      <c r="AE274" s="830">
        <f>VLOOKUP(C274,'[3]MỦ TẠP'!$D$10:$AM$450,36,0)</f>
        <v>0</v>
      </c>
      <c r="AF274" s="830"/>
      <c r="AG274" s="830"/>
      <c r="AH274" s="830">
        <f t="shared" si="82"/>
        <v>0</v>
      </c>
      <c r="AI274" s="830">
        <f>VLOOKUP(C274,'[3]CHẤM CÔNG '!$F$10:$AM$451,33,0)</f>
        <v>0</v>
      </c>
      <c r="AJ274" s="830">
        <f>VLOOKUP(C274,'[3]CHẤM CÔNG '!$F$10:$AM$451,34,0)</f>
        <v>0</v>
      </c>
      <c r="AK274" s="830"/>
      <c r="AL274" s="830"/>
      <c r="AM274" s="830"/>
      <c r="AN274" s="830">
        <f>VLOOKUP(C274,'[3]CHẤM CÔNG '!$F$10:$AN$451,35,0)</f>
        <v>0</v>
      </c>
      <c r="AO274" s="830">
        <f>VLOOKUP(C274,'[3]CHẤM CÔNG '!$F$10:$AR$451,36,0)</f>
        <v>0</v>
      </c>
      <c r="AP274" s="830"/>
      <c r="AQ274" s="830"/>
      <c r="AR274" s="830"/>
      <c r="AS274" s="836"/>
      <c r="AT274" s="837">
        <f>VLOOKUP(C274,'[3]MỦ TẠP'!$D$10:$AO$450,38,0)</f>
        <v>0</v>
      </c>
      <c r="AU274" s="801">
        <v>1120</v>
      </c>
      <c r="AV274" s="831">
        <f t="shared" si="83"/>
        <v>-1120</v>
      </c>
      <c r="AX274" s="799">
        <f t="shared" si="84"/>
        <v>2</v>
      </c>
      <c r="AZ274" s="799">
        <v>1</v>
      </c>
    </row>
    <row r="275" spans="1:52" ht="15.75">
      <c r="A275" s="850">
        <v>56</v>
      </c>
      <c r="B275" s="813" t="str">
        <f>VLOOKUP(C275,'[3]DS CN MOI UP'!$B$10:$C$489,2,0)</f>
        <v>02557</v>
      </c>
      <c r="C275" s="825" t="s">
        <v>179</v>
      </c>
      <c r="D275" s="851" t="s">
        <v>15</v>
      </c>
      <c r="E275" s="815"/>
      <c r="F275" s="815"/>
      <c r="G275" s="815"/>
      <c r="H275" s="815"/>
      <c r="I275" s="815"/>
      <c r="J275" s="815"/>
      <c r="K275" s="815"/>
      <c r="L275" s="815"/>
      <c r="M275" s="815"/>
      <c r="N275" s="815">
        <f t="shared" si="72"/>
        <v>0</v>
      </c>
      <c r="O275" s="815">
        <f t="shared" si="73"/>
        <v>0</v>
      </c>
      <c r="P275" s="815">
        <f t="shared" si="74"/>
        <v>0</v>
      </c>
      <c r="Q275" s="815">
        <f t="shared" si="75"/>
        <v>0</v>
      </c>
      <c r="R275" s="815">
        <f t="shared" si="76"/>
        <v>0</v>
      </c>
      <c r="S275" s="815">
        <f t="shared" si="77"/>
        <v>0</v>
      </c>
      <c r="T275" s="815">
        <f t="shared" si="78"/>
        <v>0</v>
      </c>
      <c r="U275" s="815">
        <f t="shared" si="79"/>
        <v>0</v>
      </c>
      <c r="V275" s="815">
        <f t="shared" si="80"/>
        <v>0</v>
      </c>
      <c r="W275" s="815"/>
      <c r="X275" s="815"/>
      <c r="Y275" s="815"/>
      <c r="Z275" s="815"/>
      <c r="AA275" s="830">
        <f t="shared" si="81"/>
        <v>0</v>
      </c>
      <c r="AB275" s="830">
        <f>VLOOKUP(C275,'[3]MỦ TẠP'!$D$10:$AM$450,36,0)</f>
        <v>0</v>
      </c>
      <c r="AC275" s="830"/>
      <c r="AD275" s="830"/>
      <c r="AE275" s="830">
        <f>VLOOKUP(C275,'[3]MỦ TẠP'!$D$10:$AM$450,36,0)</f>
        <v>0</v>
      </c>
      <c r="AF275" s="830"/>
      <c r="AG275" s="830"/>
      <c r="AH275" s="830">
        <f t="shared" si="82"/>
        <v>0</v>
      </c>
      <c r="AI275" s="830">
        <f>VLOOKUP(C275,'[3]CHẤM CÔNG '!$F$10:$AM$451,33,0)</f>
        <v>0</v>
      </c>
      <c r="AJ275" s="830">
        <f>VLOOKUP(C275,'[3]CHẤM CÔNG '!$F$10:$AM$451,34,0)</f>
        <v>0</v>
      </c>
      <c r="AK275" s="830"/>
      <c r="AL275" s="830"/>
      <c r="AM275" s="830"/>
      <c r="AN275" s="830">
        <f>VLOOKUP(C275,'[3]CHẤM CÔNG '!$F$10:$AN$451,35,0)</f>
        <v>0</v>
      </c>
      <c r="AO275" s="830">
        <f>VLOOKUP(C275,'[3]CHẤM CÔNG '!$F$10:$AR$451,36,0)</f>
        <v>0</v>
      </c>
      <c r="AP275" s="830"/>
      <c r="AQ275" s="830"/>
      <c r="AR275" s="830"/>
      <c r="AS275" s="836"/>
      <c r="AT275" s="837">
        <f>VLOOKUP(C275,'[3]MỦ TẠP'!$D$10:$AO$450,38,0)</f>
        <v>0</v>
      </c>
      <c r="AU275" s="801">
        <v>1471</v>
      </c>
      <c r="AV275" s="831">
        <f t="shared" si="83"/>
        <v>-1471</v>
      </c>
      <c r="AX275" s="799">
        <f t="shared" si="84"/>
        <v>2</v>
      </c>
      <c r="AZ275" s="799">
        <v>1</v>
      </c>
    </row>
    <row r="276" spans="1:52" ht="15.75">
      <c r="A276" s="850">
        <v>57</v>
      </c>
      <c r="B276" s="813" t="str">
        <f>VLOOKUP(C276,'[3]DS CN MOI UP'!$B$10:$C$489,2,0)</f>
        <v>02525</v>
      </c>
      <c r="C276" s="825" t="s">
        <v>180</v>
      </c>
      <c r="D276" s="851" t="s">
        <v>15</v>
      </c>
      <c r="E276" s="815"/>
      <c r="F276" s="815"/>
      <c r="G276" s="815"/>
      <c r="H276" s="815"/>
      <c r="I276" s="815"/>
      <c r="J276" s="815"/>
      <c r="K276" s="815"/>
      <c r="L276" s="815"/>
      <c r="M276" s="815"/>
      <c r="N276" s="815">
        <f t="shared" si="72"/>
        <v>0</v>
      </c>
      <c r="O276" s="815">
        <f t="shared" si="73"/>
        <v>0</v>
      </c>
      <c r="P276" s="815">
        <f t="shared" si="74"/>
        <v>0</v>
      </c>
      <c r="Q276" s="815">
        <f t="shared" si="75"/>
        <v>0</v>
      </c>
      <c r="R276" s="815">
        <f t="shared" si="76"/>
        <v>0</v>
      </c>
      <c r="S276" s="815">
        <f t="shared" si="77"/>
        <v>0</v>
      </c>
      <c r="T276" s="815">
        <f t="shared" si="78"/>
        <v>0</v>
      </c>
      <c r="U276" s="815">
        <f t="shared" si="79"/>
        <v>0</v>
      </c>
      <c r="V276" s="815">
        <f t="shared" si="80"/>
        <v>0</v>
      </c>
      <c r="W276" s="815"/>
      <c r="X276" s="815"/>
      <c r="Y276" s="815"/>
      <c r="Z276" s="815"/>
      <c r="AA276" s="830">
        <f t="shared" si="81"/>
        <v>0</v>
      </c>
      <c r="AB276" s="830">
        <f>VLOOKUP(C276,'[3]MỦ TẠP'!$D$10:$AM$450,36,0)</f>
        <v>0</v>
      </c>
      <c r="AC276" s="830"/>
      <c r="AD276" s="830"/>
      <c r="AE276" s="830">
        <f>VLOOKUP(C276,'[3]MỦ TẠP'!$D$10:$AM$450,36,0)</f>
        <v>0</v>
      </c>
      <c r="AF276" s="830"/>
      <c r="AG276" s="830"/>
      <c r="AH276" s="830">
        <f t="shared" si="82"/>
        <v>0</v>
      </c>
      <c r="AI276" s="830">
        <f>VLOOKUP(C276,'[3]CHẤM CÔNG '!$F$10:$AM$451,33,0)</f>
        <v>0</v>
      </c>
      <c r="AJ276" s="830">
        <f>VLOOKUP(C276,'[3]CHẤM CÔNG '!$F$10:$AM$451,34,0)</f>
        <v>0</v>
      </c>
      <c r="AK276" s="830"/>
      <c r="AL276" s="830"/>
      <c r="AM276" s="830"/>
      <c r="AN276" s="830">
        <f>VLOOKUP(C276,'[3]CHẤM CÔNG '!$F$10:$AN$451,35,0)</f>
        <v>0</v>
      </c>
      <c r="AO276" s="830">
        <f>VLOOKUP(C276,'[3]CHẤM CÔNG '!$F$10:$AR$451,36,0)</f>
        <v>0</v>
      </c>
      <c r="AP276" s="830"/>
      <c r="AQ276" s="830"/>
      <c r="AR276" s="830"/>
      <c r="AS276" s="836"/>
      <c r="AT276" s="837">
        <f>VLOOKUP(C276,'[3]MỦ TẠP'!$D$10:$AO$450,38,0)</f>
        <v>0</v>
      </c>
      <c r="AU276" s="801">
        <v>2106</v>
      </c>
      <c r="AV276" s="831">
        <f t="shared" si="83"/>
        <v>-2106</v>
      </c>
      <c r="AX276" s="799">
        <f t="shared" si="84"/>
        <v>2</v>
      </c>
      <c r="AZ276" s="799">
        <v>1</v>
      </c>
    </row>
    <row r="277" spans="1:52" ht="15.75">
      <c r="A277" s="850">
        <v>58</v>
      </c>
      <c r="B277" s="813" t="str">
        <f>VLOOKUP(C277,'[3]DS CN MOI UP'!$B$10:$C$489,2,0)</f>
        <v>03375</v>
      </c>
      <c r="C277" s="825" t="s">
        <v>181</v>
      </c>
      <c r="D277" s="851" t="s">
        <v>2081</v>
      </c>
      <c r="E277" s="815"/>
      <c r="F277" s="815"/>
      <c r="G277" s="815"/>
      <c r="H277" s="815"/>
      <c r="I277" s="815"/>
      <c r="J277" s="815"/>
      <c r="K277" s="815"/>
      <c r="L277" s="815"/>
      <c r="M277" s="815"/>
      <c r="N277" s="815">
        <f t="shared" si="72"/>
        <v>0</v>
      </c>
      <c r="O277" s="815">
        <f t="shared" si="73"/>
        <v>0</v>
      </c>
      <c r="P277" s="815">
        <f t="shared" si="74"/>
        <v>0</v>
      </c>
      <c r="Q277" s="815">
        <f t="shared" si="75"/>
        <v>0</v>
      </c>
      <c r="R277" s="815">
        <f t="shared" si="76"/>
        <v>0</v>
      </c>
      <c r="S277" s="815">
        <f t="shared" si="77"/>
        <v>0</v>
      </c>
      <c r="T277" s="815">
        <f t="shared" si="78"/>
        <v>0</v>
      </c>
      <c r="U277" s="815">
        <f t="shared" si="79"/>
        <v>0</v>
      </c>
      <c r="V277" s="815">
        <f t="shared" si="80"/>
        <v>0</v>
      </c>
      <c r="W277" s="815"/>
      <c r="X277" s="815"/>
      <c r="Y277" s="815"/>
      <c r="Z277" s="815"/>
      <c r="AA277" s="830">
        <f t="shared" si="81"/>
        <v>0</v>
      </c>
      <c r="AB277" s="830">
        <f>VLOOKUP(C277,'[3]MỦ TẠP'!$D$10:$AM$450,36,0)</f>
        <v>0</v>
      </c>
      <c r="AC277" s="830"/>
      <c r="AD277" s="830"/>
      <c r="AE277" s="830">
        <f>VLOOKUP(C277,'[3]MỦ TẠP'!$D$10:$AM$450,36,0)</f>
        <v>0</v>
      </c>
      <c r="AF277" s="830"/>
      <c r="AG277" s="830"/>
      <c r="AH277" s="830">
        <f t="shared" si="82"/>
        <v>0</v>
      </c>
      <c r="AI277" s="830">
        <f>VLOOKUP(C277,'[3]CHẤM CÔNG '!$F$10:$AM$451,33,0)</f>
        <v>0</v>
      </c>
      <c r="AJ277" s="830">
        <f>VLOOKUP(C277,'[3]CHẤM CÔNG '!$F$10:$AM$451,34,0)</f>
        <v>0</v>
      </c>
      <c r="AK277" s="830"/>
      <c r="AL277" s="830"/>
      <c r="AM277" s="830"/>
      <c r="AN277" s="830">
        <f>VLOOKUP(C277,'[3]CHẤM CÔNG '!$F$10:$AN$451,35,0)</f>
        <v>0</v>
      </c>
      <c r="AO277" s="830">
        <f>VLOOKUP(C277,'[3]CHẤM CÔNG '!$F$10:$AR$451,36,0)</f>
        <v>0</v>
      </c>
      <c r="AP277" s="830"/>
      <c r="AQ277" s="830"/>
      <c r="AR277" s="830"/>
      <c r="AS277" s="836"/>
      <c r="AT277" s="837">
        <f>VLOOKUP(C277,'[3]MỦ TẠP'!$D$10:$AO$450,38,0)</f>
        <v>0</v>
      </c>
      <c r="AU277" s="801">
        <v>1647</v>
      </c>
      <c r="AV277" s="831">
        <f t="shared" si="83"/>
        <v>-1647</v>
      </c>
      <c r="AX277" s="799">
        <f t="shared" si="84"/>
        <v>2</v>
      </c>
      <c r="AZ277" s="799">
        <v>1</v>
      </c>
    </row>
    <row r="278" spans="1:52" ht="15.75">
      <c r="A278" s="850">
        <v>59</v>
      </c>
      <c r="B278" s="813" t="str">
        <f>VLOOKUP(C278,'[3]DS CN MOI UP'!$B$10:$C$489,2,0)</f>
        <v>02691</v>
      </c>
      <c r="C278" s="825" t="s">
        <v>182</v>
      </c>
      <c r="D278" s="851" t="s">
        <v>2081</v>
      </c>
      <c r="E278" s="815"/>
      <c r="F278" s="815"/>
      <c r="G278" s="815"/>
      <c r="H278" s="815"/>
      <c r="I278" s="815"/>
      <c r="J278" s="815"/>
      <c r="K278" s="815"/>
      <c r="L278" s="815"/>
      <c r="M278" s="815"/>
      <c r="N278" s="815">
        <f t="shared" si="72"/>
        <v>0</v>
      </c>
      <c r="O278" s="815">
        <f t="shared" si="73"/>
        <v>0</v>
      </c>
      <c r="P278" s="815">
        <f t="shared" si="74"/>
        <v>0</v>
      </c>
      <c r="Q278" s="815">
        <f t="shared" si="75"/>
        <v>0</v>
      </c>
      <c r="R278" s="815">
        <f t="shared" si="76"/>
        <v>0</v>
      </c>
      <c r="S278" s="815">
        <f t="shared" si="77"/>
        <v>0</v>
      </c>
      <c r="T278" s="815">
        <f t="shared" si="78"/>
        <v>0</v>
      </c>
      <c r="U278" s="815">
        <f t="shared" si="79"/>
        <v>0</v>
      </c>
      <c r="V278" s="815">
        <f t="shared" si="80"/>
        <v>0</v>
      </c>
      <c r="W278" s="815"/>
      <c r="X278" s="815"/>
      <c r="Y278" s="815"/>
      <c r="Z278" s="815"/>
      <c r="AA278" s="830">
        <f t="shared" si="81"/>
        <v>0</v>
      </c>
      <c r="AB278" s="830">
        <f>VLOOKUP(C278,'[3]MỦ TẠP'!$D$10:$AM$450,36,0)</f>
        <v>0</v>
      </c>
      <c r="AC278" s="830"/>
      <c r="AD278" s="830"/>
      <c r="AE278" s="830">
        <f>VLOOKUP(C278,'[3]MỦ TẠP'!$D$10:$AM$450,36,0)</f>
        <v>0</v>
      </c>
      <c r="AF278" s="830"/>
      <c r="AG278" s="830"/>
      <c r="AH278" s="830">
        <f t="shared" si="82"/>
        <v>0</v>
      </c>
      <c r="AI278" s="830">
        <f>VLOOKUP(C278,'[3]CHẤM CÔNG '!$F$10:$AM$451,33,0)</f>
        <v>0</v>
      </c>
      <c r="AJ278" s="830">
        <f>VLOOKUP(C278,'[3]CHẤM CÔNG '!$F$10:$AM$451,34,0)</f>
        <v>0</v>
      </c>
      <c r="AK278" s="830"/>
      <c r="AL278" s="830"/>
      <c r="AM278" s="830"/>
      <c r="AN278" s="830">
        <f>VLOOKUP(C278,'[3]CHẤM CÔNG '!$F$10:$AN$451,35,0)</f>
        <v>0</v>
      </c>
      <c r="AO278" s="830">
        <f>VLOOKUP(C278,'[3]CHẤM CÔNG '!$F$10:$AR$451,36,0)</f>
        <v>0</v>
      </c>
      <c r="AP278" s="830"/>
      <c r="AQ278" s="830"/>
      <c r="AR278" s="830"/>
      <c r="AS278" s="836"/>
      <c r="AT278" s="837">
        <f>VLOOKUP(C278,'[3]MỦ TẠP'!$D$10:$AO$450,38,0)</f>
        <v>0</v>
      </c>
      <c r="AU278" s="801">
        <v>2045</v>
      </c>
      <c r="AV278" s="831">
        <f t="shared" si="83"/>
        <v>-2045</v>
      </c>
      <c r="AX278" s="799">
        <f t="shared" si="84"/>
        <v>2</v>
      </c>
      <c r="AZ278" s="799">
        <v>1</v>
      </c>
    </row>
    <row r="279" spans="1:52" ht="15.75">
      <c r="A279" s="850">
        <v>60</v>
      </c>
      <c r="B279" s="813" t="str">
        <f>VLOOKUP(C279,'[3]DS CN MOI UP'!$B$10:$C$489,2,0)</f>
        <v>03376</v>
      </c>
      <c r="C279" s="825" t="s">
        <v>183</v>
      </c>
      <c r="D279" s="851" t="s">
        <v>15</v>
      </c>
      <c r="E279" s="815"/>
      <c r="F279" s="815"/>
      <c r="G279" s="815"/>
      <c r="H279" s="815"/>
      <c r="I279" s="815"/>
      <c r="J279" s="815"/>
      <c r="K279" s="815"/>
      <c r="L279" s="815"/>
      <c r="M279" s="815"/>
      <c r="N279" s="815">
        <f t="shared" si="72"/>
        <v>0</v>
      </c>
      <c r="O279" s="815">
        <f t="shared" si="73"/>
        <v>0</v>
      </c>
      <c r="P279" s="815">
        <f t="shared" si="74"/>
        <v>0</v>
      </c>
      <c r="Q279" s="815">
        <f t="shared" si="75"/>
        <v>0</v>
      </c>
      <c r="R279" s="815">
        <f t="shared" si="76"/>
        <v>0</v>
      </c>
      <c r="S279" s="815">
        <f t="shared" si="77"/>
        <v>0</v>
      </c>
      <c r="T279" s="815">
        <f t="shared" si="78"/>
        <v>0</v>
      </c>
      <c r="U279" s="815">
        <f t="shared" si="79"/>
        <v>0</v>
      </c>
      <c r="V279" s="815">
        <f t="shared" si="80"/>
        <v>0</v>
      </c>
      <c r="W279" s="815"/>
      <c r="X279" s="815"/>
      <c r="Y279" s="815"/>
      <c r="Z279" s="815"/>
      <c r="AA279" s="830">
        <f t="shared" si="81"/>
        <v>0</v>
      </c>
      <c r="AB279" s="830">
        <f>VLOOKUP(C279,'[3]MỦ TẠP'!$D$10:$AM$450,36,0)</f>
        <v>0</v>
      </c>
      <c r="AC279" s="830"/>
      <c r="AD279" s="830"/>
      <c r="AE279" s="830">
        <f>VLOOKUP(C279,'[3]MỦ TẠP'!$D$10:$AM$450,36,0)</f>
        <v>0</v>
      </c>
      <c r="AF279" s="830"/>
      <c r="AG279" s="830"/>
      <c r="AH279" s="830">
        <f t="shared" si="82"/>
        <v>0</v>
      </c>
      <c r="AI279" s="830">
        <f>VLOOKUP(C279,'[3]CHẤM CÔNG '!$F$10:$AM$451,33,0)</f>
        <v>0</v>
      </c>
      <c r="AJ279" s="830">
        <f>VLOOKUP(C279,'[3]CHẤM CÔNG '!$F$10:$AM$451,34,0)</f>
        <v>0</v>
      </c>
      <c r="AK279" s="830"/>
      <c r="AL279" s="830"/>
      <c r="AM279" s="830"/>
      <c r="AN279" s="830">
        <f>VLOOKUP(C279,'[3]CHẤM CÔNG '!$F$10:$AN$451,35,0)</f>
        <v>0</v>
      </c>
      <c r="AO279" s="830">
        <f>VLOOKUP(C279,'[3]CHẤM CÔNG '!$F$10:$AR$451,36,0)</f>
        <v>0</v>
      </c>
      <c r="AP279" s="830"/>
      <c r="AQ279" s="830"/>
      <c r="AR279" s="830"/>
      <c r="AS279" s="836"/>
      <c r="AT279" s="837">
        <f>VLOOKUP(C279,'[3]MỦ TẠP'!$D$10:$AO$450,38,0)</f>
        <v>0</v>
      </c>
      <c r="AU279" s="801">
        <v>1973</v>
      </c>
      <c r="AV279" s="831">
        <f t="shared" si="83"/>
        <v>-1973</v>
      </c>
      <c r="AX279" s="799">
        <f t="shared" si="84"/>
        <v>2</v>
      </c>
      <c r="AZ279" s="799">
        <v>1</v>
      </c>
    </row>
    <row r="280" spans="1:52" ht="15.75">
      <c r="A280" s="850">
        <v>61</v>
      </c>
      <c r="B280" s="813" t="str">
        <f>VLOOKUP(C280,'[3]DS CN MOI UP'!$B$10:$C$489,2,0)</f>
        <v>03377</v>
      </c>
      <c r="C280" s="825" t="s">
        <v>184</v>
      </c>
      <c r="D280" s="851" t="s">
        <v>15</v>
      </c>
      <c r="E280" s="815"/>
      <c r="F280" s="815"/>
      <c r="G280" s="815"/>
      <c r="H280" s="815"/>
      <c r="I280" s="815"/>
      <c r="J280" s="815"/>
      <c r="K280" s="815"/>
      <c r="L280" s="815"/>
      <c r="M280" s="815"/>
      <c r="N280" s="815">
        <f t="shared" si="72"/>
        <v>0</v>
      </c>
      <c r="O280" s="815">
        <f t="shared" si="73"/>
        <v>0</v>
      </c>
      <c r="P280" s="815">
        <f t="shared" si="74"/>
        <v>0</v>
      </c>
      <c r="Q280" s="815">
        <f t="shared" si="75"/>
        <v>0</v>
      </c>
      <c r="R280" s="815">
        <f t="shared" si="76"/>
        <v>0</v>
      </c>
      <c r="S280" s="815">
        <f t="shared" si="77"/>
        <v>0</v>
      </c>
      <c r="T280" s="815">
        <f t="shared" si="78"/>
        <v>0</v>
      </c>
      <c r="U280" s="815">
        <f t="shared" si="79"/>
        <v>0</v>
      </c>
      <c r="V280" s="815">
        <f t="shared" si="80"/>
        <v>0</v>
      </c>
      <c r="W280" s="815"/>
      <c r="X280" s="815"/>
      <c r="Y280" s="815"/>
      <c r="Z280" s="815"/>
      <c r="AA280" s="830">
        <f t="shared" si="81"/>
        <v>0</v>
      </c>
      <c r="AB280" s="830">
        <f>VLOOKUP(C280,'[3]MỦ TẠP'!$D$10:$AM$450,36,0)</f>
        <v>0</v>
      </c>
      <c r="AC280" s="830"/>
      <c r="AD280" s="830"/>
      <c r="AE280" s="830">
        <f>VLOOKUP(C280,'[3]MỦ TẠP'!$D$10:$AM$450,36,0)</f>
        <v>0</v>
      </c>
      <c r="AF280" s="830"/>
      <c r="AG280" s="830"/>
      <c r="AH280" s="830">
        <f t="shared" si="82"/>
        <v>0</v>
      </c>
      <c r="AI280" s="830">
        <f>VLOOKUP(C280,'[3]CHẤM CÔNG '!$F$10:$AM$451,33,0)</f>
        <v>0</v>
      </c>
      <c r="AJ280" s="830">
        <f>VLOOKUP(C280,'[3]CHẤM CÔNG '!$F$10:$AM$451,34,0)</f>
        <v>0</v>
      </c>
      <c r="AK280" s="830"/>
      <c r="AL280" s="830"/>
      <c r="AM280" s="830"/>
      <c r="AN280" s="830">
        <f>VLOOKUP(C280,'[3]CHẤM CÔNG '!$F$10:$AN$451,35,0)</f>
        <v>0</v>
      </c>
      <c r="AO280" s="830">
        <f>VLOOKUP(C280,'[3]CHẤM CÔNG '!$F$10:$AR$451,36,0)</f>
        <v>0</v>
      </c>
      <c r="AP280" s="830"/>
      <c r="AQ280" s="830"/>
      <c r="AR280" s="830"/>
      <c r="AS280" s="836"/>
      <c r="AT280" s="837">
        <f>VLOOKUP(C280,'[3]MỦ TẠP'!$D$10:$AO$450,38,0)</f>
        <v>0</v>
      </c>
      <c r="AU280" s="801">
        <v>1648</v>
      </c>
      <c r="AV280" s="831">
        <f t="shared" si="83"/>
        <v>-1648</v>
      </c>
      <c r="AX280" s="799">
        <f t="shared" si="84"/>
        <v>2</v>
      </c>
      <c r="AZ280" s="799">
        <v>1</v>
      </c>
    </row>
    <row r="281" spans="1:52" ht="15.75">
      <c r="A281" s="850">
        <v>62</v>
      </c>
      <c r="B281" s="813" t="str">
        <f>VLOOKUP(C281,'[3]DS CN MOI UP'!$B$10:$C$489,2,0)</f>
        <v>02541</v>
      </c>
      <c r="C281" s="825" t="s">
        <v>185</v>
      </c>
      <c r="D281" s="851" t="s">
        <v>15</v>
      </c>
      <c r="E281" s="815"/>
      <c r="F281" s="815"/>
      <c r="G281" s="815"/>
      <c r="H281" s="815"/>
      <c r="I281" s="815"/>
      <c r="J281" s="815"/>
      <c r="K281" s="815"/>
      <c r="L281" s="815"/>
      <c r="M281" s="815"/>
      <c r="N281" s="815">
        <f t="shared" si="72"/>
        <v>0</v>
      </c>
      <c r="O281" s="815">
        <f t="shared" si="73"/>
        <v>0</v>
      </c>
      <c r="P281" s="815">
        <f t="shared" si="74"/>
        <v>0</v>
      </c>
      <c r="Q281" s="815">
        <f t="shared" si="75"/>
        <v>0</v>
      </c>
      <c r="R281" s="815">
        <f t="shared" si="76"/>
        <v>0</v>
      </c>
      <c r="S281" s="815">
        <f t="shared" si="77"/>
        <v>0</v>
      </c>
      <c r="T281" s="815">
        <f t="shared" si="78"/>
        <v>0</v>
      </c>
      <c r="U281" s="815">
        <f t="shared" si="79"/>
        <v>0</v>
      </c>
      <c r="V281" s="815">
        <f t="shared" si="80"/>
        <v>0</v>
      </c>
      <c r="W281" s="815"/>
      <c r="X281" s="815"/>
      <c r="Y281" s="815"/>
      <c r="Z281" s="815"/>
      <c r="AA281" s="830">
        <f t="shared" si="81"/>
        <v>0</v>
      </c>
      <c r="AB281" s="830">
        <f>VLOOKUP(C281,'[3]MỦ TẠP'!$D$10:$AM$450,36,0)</f>
        <v>0</v>
      </c>
      <c r="AC281" s="830"/>
      <c r="AD281" s="830"/>
      <c r="AE281" s="830">
        <f>VLOOKUP(C281,'[3]MỦ TẠP'!$D$10:$AM$450,36,0)</f>
        <v>0</v>
      </c>
      <c r="AF281" s="830"/>
      <c r="AG281" s="830"/>
      <c r="AH281" s="830">
        <f t="shared" si="82"/>
        <v>0</v>
      </c>
      <c r="AI281" s="830">
        <f>VLOOKUP(C281,'[3]CHẤM CÔNG '!$F$10:$AM$451,33,0)</f>
        <v>0</v>
      </c>
      <c r="AJ281" s="830">
        <f>VLOOKUP(C281,'[3]CHẤM CÔNG '!$F$10:$AM$451,34,0)</f>
        <v>0</v>
      </c>
      <c r="AK281" s="830"/>
      <c r="AL281" s="830"/>
      <c r="AM281" s="830"/>
      <c r="AN281" s="830">
        <f>VLOOKUP(C281,'[3]CHẤM CÔNG '!$F$10:$AN$451,35,0)</f>
        <v>0</v>
      </c>
      <c r="AO281" s="830">
        <f>VLOOKUP(C281,'[3]CHẤM CÔNG '!$F$10:$AR$451,36,0)</f>
        <v>0</v>
      </c>
      <c r="AP281" s="830"/>
      <c r="AQ281" s="830"/>
      <c r="AR281" s="830"/>
      <c r="AS281" s="836"/>
      <c r="AT281" s="837">
        <f>VLOOKUP(C281,'[3]MỦ TẠP'!$D$10:$AO$450,38,0)</f>
        <v>0</v>
      </c>
      <c r="AU281" s="801">
        <v>979</v>
      </c>
      <c r="AV281" s="831">
        <f t="shared" si="83"/>
        <v>-979</v>
      </c>
      <c r="AX281" s="799">
        <f t="shared" si="84"/>
        <v>2</v>
      </c>
      <c r="AZ281" s="799">
        <v>1</v>
      </c>
    </row>
    <row r="282" spans="1:52" ht="15.75">
      <c r="A282" s="850">
        <v>63</v>
      </c>
      <c r="B282" s="813" t="str">
        <f>VLOOKUP(C282,'[3]DS CN MOI UP'!$B$10:$C$489,2,0)</f>
        <v>02690</v>
      </c>
      <c r="C282" s="825" t="s">
        <v>186</v>
      </c>
      <c r="D282" s="851" t="s">
        <v>15</v>
      </c>
      <c r="E282" s="815"/>
      <c r="F282" s="815"/>
      <c r="G282" s="815"/>
      <c r="H282" s="815"/>
      <c r="I282" s="815"/>
      <c r="J282" s="815"/>
      <c r="K282" s="815"/>
      <c r="L282" s="815"/>
      <c r="M282" s="815"/>
      <c r="N282" s="815">
        <f t="shared" si="72"/>
        <v>0</v>
      </c>
      <c r="O282" s="815">
        <f t="shared" si="73"/>
        <v>0</v>
      </c>
      <c r="P282" s="815">
        <f t="shared" si="74"/>
        <v>0</v>
      </c>
      <c r="Q282" s="815">
        <f t="shared" si="75"/>
        <v>0</v>
      </c>
      <c r="R282" s="815">
        <f t="shared" si="76"/>
        <v>0</v>
      </c>
      <c r="S282" s="815">
        <f t="shared" si="77"/>
        <v>0</v>
      </c>
      <c r="T282" s="815">
        <f t="shared" si="78"/>
        <v>0</v>
      </c>
      <c r="U282" s="815">
        <f t="shared" si="79"/>
        <v>0</v>
      </c>
      <c r="V282" s="815">
        <f t="shared" si="80"/>
        <v>0</v>
      </c>
      <c r="W282" s="815"/>
      <c r="X282" s="815"/>
      <c r="Y282" s="815"/>
      <c r="Z282" s="815"/>
      <c r="AA282" s="830">
        <f t="shared" si="81"/>
        <v>0</v>
      </c>
      <c r="AB282" s="830">
        <f>VLOOKUP(C282,'[3]MỦ TẠP'!$D$10:$AM$450,36,0)</f>
        <v>0</v>
      </c>
      <c r="AC282" s="830"/>
      <c r="AD282" s="830"/>
      <c r="AE282" s="830">
        <f>VLOOKUP(C282,'[3]MỦ TẠP'!$D$10:$AM$450,36,0)</f>
        <v>0</v>
      </c>
      <c r="AF282" s="830"/>
      <c r="AG282" s="830"/>
      <c r="AH282" s="830">
        <f t="shared" si="82"/>
        <v>0</v>
      </c>
      <c r="AI282" s="830">
        <f>VLOOKUP(C282,'[3]CHẤM CÔNG '!$F$10:$AM$451,33,0)</f>
        <v>0</v>
      </c>
      <c r="AJ282" s="830">
        <f>VLOOKUP(C282,'[3]CHẤM CÔNG '!$F$10:$AM$451,34,0)</f>
        <v>0</v>
      </c>
      <c r="AK282" s="830"/>
      <c r="AL282" s="830"/>
      <c r="AM282" s="830"/>
      <c r="AN282" s="830">
        <f>VLOOKUP(C282,'[3]CHẤM CÔNG '!$F$10:$AN$451,35,0)</f>
        <v>0</v>
      </c>
      <c r="AO282" s="830">
        <f>VLOOKUP(C282,'[3]CHẤM CÔNG '!$F$10:$AR$451,36,0)</f>
        <v>0</v>
      </c>
      <c r="AP282" s="830"/>
      <c r="AQ282" s="830"/>
      <c r="AR282" s="830"/>
      <c r="AS282" s="836"/>
      <c r="AT282" s="837">
        <f>VLOOKUP(C282,'[3]MỦ TẠP'!$D$10:$AO$450,38,0)</f>
        <v>0</v>
      </c>
      <c r="AU282" s="801">
        <v>1455</v>
      </c>
      <c r="AV282" s="831">
        <f t="shared" si="83"/>
        <v>-1455</v>
      </c>
      <c r="AX282" s="799">
        <f t="shared" si="84"/>
        <v>2</v>
      </c>
      <c r="AZ282" s="799">
        <v>1</v>
      </c>
    </row>
    <row r="283" spans="1:52" ht="15.75">
      <c r="A283" s="850">
        <v>64</v>
      </c>
      <c r="B283" s="813" t="str">
        <f>VLOOKUP(C283,'[3]DS CN MOI UP'!$B$10:$C$489,2,0)</f>
        <v>03378</v>
      </c>
      <c r="C283" s="825" t="s">
        <v>187</v>
      </c>
      <c r="D283" s="851" t="s">
        <v>15</v>
      </c>
      <c r="E283" s="815"/>
      <c r="F283" s="815"/>
      <c r="G283" s="815"/>
      <c r="H283" s="815"/>
      <c r="I283" s="815"/>
      <c r="J283" s="815"/>
      <c r="K283" s="815"/>
      <c r="L283" s="815"/>
      <c r="M283" s="815"/>
      <c r="N283" s="815">
        <f t="shared" si="72"/>
        <v>0</v>
      </c>
      <c r="O283" s="815">
        <f t="shared" si="73"/>
        <v>0</v>
      </c>
      <c r="P283" s="815">
        <f t="shared" si="74"/>
        <v>0</v>
      </c>
      <c r="Q283" s="815">
        <f t="shared" si="75"/>
        <v>0</v>
      </c>
      <c r="R283" s="815">
        <f t="shared" si="76"/>
        <v>0</v>
      </c>
      <c r="S283" s="815">
        <f t="shared" si="77"/>
        <v>0</v>
      </c>
      <c r="T283" s="815">
        <f t="shared" si="78"/>
        <v>0</v>
      </c>
      <c r="U283" s="815">
        <f t="shared" si="79"/>
        <v>0</v>
      </c>
      <c r="V283" s="815">
        <f t="shared" si="80"/>
        <v>0</v>
      </c>
      <c r="W283" s="815"/>
      <c r="X283" s="815"/>
      <c r="Y283" s="815"/>
      <c r="Z283" s="815"/>
      <c r="AA283" s="830">
        <f t="shared" si="81"/>
        <v>0</v>
      </c>
      <c r="AB283" s="830">
        <f>VLOOKUP(C283,'[3]MỦ TẠP'!$D$10:$AM$450,36,0)</f>
        <v>0</v>
      </c>
      <c r="AC283" s="830"/>
      <c r="AD283" s="830"/>
      <c r="AE283" s="830">
        <f>VLOOKUP(C283,'[3]MỦ TẠP'!$D$10:$AM$450,36,0)</f>
        <v>0</v>
      </c>
      <c r="AF283" s="830"/>
      <c r="AG283" s="830"/>
      <c r="AH283" s="830">
        <f t="shared" si="82"/>
        <v>0</v>
      </c>
      <c r="AI283" s="830">
        <f>VLOOKUP(C283,'[3]CHẤM CÔNG '!$F$10:$AM$451,33,0)</f>
        <v>0</v>
      </c>
      <c r="AJ283" s="830">
        <f>VLOOKUP(C283,'[3]CHẤM CÔNG '!$F$10:$AM$451,34,0)</f>
        <v>0</v>
      </c>
      <c r="AK283" s="830"/>
      <c r="AL283" s="830"/>
      <c r="AM283" s="830"/>
      <c r="AN283" s="830">
        <f>VLOOKUP(C283,'[3]CHẤM CÔNG '!$F$10:$AN$451,35,0)</f>
        <v>0</v>
      </c>
      <c r="AO283" s="830">
        <f>VLOOKUP(C283,'[3]CHẤM CÔNG '!$F$10:$AR$451,36,0)</f>
        <v>0</v>
      </c>
      <c r="AP283" s="830"/>
      <c r="AQ283" s="830"/>
      <c r="AR283" s="830"/>
      <c r="AS283" s="836"/>
      <c r="AT283" s="837">
        <f>VLOOKUP(C283,'[3]MỦ TẠP'!$D$10:$AO$450,38,0)</f>
        <v>0</v>
      </c>
      <c r="AU283" s="801">
        <v>1428</v>
      </c>
      <c r="AV283" s="831">
        <f t="shared" si="83"/>
        <v>-1428</v>
      </c>
      <c r="AX283" s="799">
        <f t="shared" si="84"/>
        <v>2</v>
      </c>
      <c r="AZ283" s="799">
        <v>1</v>
      </c>
    </row>
    <row r="284" spans="1:52" ht="15.75">
      <c r="A284" s="850">
        <v>65</v>
      </c>
      <c r="B284" s="813" t="str">
        <f>VLOOKUP(C284,'[3]DS CN MOI UP'!$B$10:$C$489,2,0)</f>
        <v>02520</v>
      </c>
      <c r="C284" s="825" t="s">
        <v>188</v>
      </c>
      <c r="D284" s="851" t="s">
        <v>15</v>
      </c>
      <c r="E284" s="815"/>
      <c r="F284" s="815"/>
      <c r="G284" s="815"/>
      <c r="H284" s="815"/>
      <c r="I284" s="815"/>
      <c r="J284" s="815"/>
      <c r="K284" s="815"/>
      <c r="L284" s="815"/>
      <c r="M284" s="815"/>
      <c r="N284" s="815">
        <f t="shared" ref="N284:N301" si="85">E284/$N$8</f>
        <v>0</v>
      </c>
      <c r="O284" s="815">
        <f t="shared" ref="O284:O301" si="86">F284/$O$8</f>
        <v>0</v>
      </c>
      <c r="P284" s="815">
        <f t="shared" ref="P284:P301" si="87">G284/$P$8</f>
        <v>0</v>
      </c>
      <c r="Q284" s="815">
        <f t="shared" ref="Q284:Q301" si="88">H284/$Q$8</f>
        <v>0</v>
      </c>
      <c r="R284" s="815">
        <f t="shared" ref="R284:R301" si="89">I284/$R$8</f>
        <v>0</v>
      </c>
      <c r="S284" s="815">
        <f t="shared" ref="S284:S301" si="90">J284/$S$8</f>
        <v>0</v>
      </c>
      <c r="T284" s="815">
        <f t="shared" ref="T284:T301" si="91">K284/$T$8</f>
        <v>0</v>
      </c>
      <c r="U284" s="815">
        <f t="shared" ref="U284:U301" si="92">L284/$U$8</f>
        <v>0</v>
      </c>
      <c r="V284" s="815">
        <f t="shared" ref="V284:V301" si="93">M284/$V$8</f>
        <v>0</v>
      </c>
      <c r="W284" s="815"/>
      <c r="X284" s="815"/>
      <c r="Y284" s="815"/>
      <c r="Z284" s="815"/>
      <c r="AA284" s="830">
        <f t="shared" ref="AA284:AA301" si="94">SUM(N284:Z284)</f>
        <v>0</v>
      </c>
      <c r="AB284" s="830">
        <f>VLOOKUP(C284,'[3]MỦ TẠP'!$D$10:$AM$450,36,0)</f>
        <v>0</v>
      </c>
      <c r="AC284" s="830"/>
      <c r="AD284" s="830"/>
      <c r="AE284" s="830">
        <f>VLOOKUP(C284,'[3]MỦ TẠP'!$D$10:$AM$450,36,0)</f>
        <v>0</v>
      </c>
      <c r="AF284" s="830"/>
      <c r="AG284" s="830"/>
      <c r="AH284" s="830">
        <f t="shared" ref="AH284:AH301" si="95">AE284*$AV$16+AF284*$AV$10+$AV$11*AG284</f>
        <v>0</v>
      </c>
      <c r="AI284" s="830">
        <f>VLOOKUP(C284,'[3]CHẤM CÔNG '!$F$10:$AM$451,33,0)</f>
        <v>0</v>
      </c>
      <c r="AJ284" s="830">
        <f>VLOOKUP(C284,'[3]CHẤM CÔNG '!$F$10:$AM$451,34,0)</f>
        <v>0</v>
      </c>
      <c r="AK284" s="830"/>
      <c r="AL284" s="830"/>
      <c r="AM284" s="830"/>
      <c r="AN284" s="830">
        <f>VLOOKUP(C284,'[3]CHẤM CÔNG '!$F$10:$AN$451,35,0)</f>
        <v>0</v>
      </c>
      <c r="AO284" s="830">
        <f>VLOOKUP(C284,'[3]CHẤM CÔNG '!$F$10:$AR$451,36,0)</f>
        <v>0</v>
      </c>
      <c r="AP284" s="830"/>
      <c r="AQ284" s="830"/>
      <c r="AR284" s="830"/>
      <c r="AS284" s="836"/>
      <c r="AT284" s="837">
        <f>VLOOKUP(C284,'[3]MỦ TẠP'!$D$10:$AO$450,38,0)</f>
        <v>0</v>
      </c>
      <c r="AU284" s="801">
        <v>1508</v>
      </c>
      <c r="AV284" s="831">
        <f t="shared" ref="AV284:AV301" si="96">+AE284-AU284</f>
        <v>-1508</v>
      </c>
      <c r="AX284" s="799">
        <f t="shared" si="84"/>
        <v>2</v>
      </c>
      <c r="AZ284" s="799">
        <v>1</v>
      </c>
    </row>
    <row r="285" spans="1:52" ht="15.75">
      <c r="A285" s="850">
        <v>66</v>
      </c>
      <c r="B285" s="813" t="str">
        <f>VLOOKUP(C285,'[3]DS CN MOI UP'!$B$10:$C$489,2,0)</f>
        <v>02543</v>
      </c>
      <c r="C285" s="825" t="s">
        <v>189</v>
      </c>
      <c r="D285" s="851" t="s">
        <v>15</v>
      </c>
      <c r="E285" s="815"/>
      <c r="F285" s="815"/>
      <c r="G285" s="815"/>
      <c r="H285" s="815"/>
      <c r="I285" s="815"/>
      <c r="J285" s="815"/>
      <c r="K285" s="815"/>
      <c r="L285" s="815"/>
      <c r="M285" s="815"/>
      <c r="N285" s="815">
        <f t="shared" si="85"/>
        <v>0</v>
      </c>
      <c r="O285" s="815">
        <f t="shared" si="86"/>
        <v>0</v>
      </c>
      <c r="P285" s="815">
        <f t="shared" si="87"/>
        <v>0</v>
      </c>
      <c r="Q285" s="815">
        <f t="shared" si="88"/>
        <v>0</v>
      </c>
      <c r="R285" s="815">
        <f t="shared" si="89"/>
        <v>0</v>
      </c>
      <c r="S285" s="815">
        <f t="shared" si="90"/>
        <v>0</v>
      </c>
      <c r="T285" s="815">
        <f t="shared" si="91"/>
        <v>0</v>
      </c>
      <c r="U285" s="815">
        <f t="shared" si="92"/>
        <v>0</v>
      </c>
      <c r="V285" s="815">
        <f t="shared" si="93"/>
        <v>0</v>
      </c>
      <c r="W285" s="815"/>
      <c r="X285" s="815"/>
      <c r="Y285" s="815"/>
      <c r="Z285" s="815"/>
      <c r="AA285" s="830">
        <f t="shared" si="94"/>
        <v>0</v>
      </c>
      <c r="AB285" s="830">
        <f>VLOOKUP(C285,'[3]MỦ TẠP'!$D$10:$AM$450,36,0)</f>
        <v>0</v>
      </c>
      <c r="AC285" s="830"/>
      <c r="AD285" s="830"/>
      <c r="AE285" s="830">
        <f>VLOOKUP(C285,'[3]MỦ TẠP'!$D$10:$AM$450,36,0)</f>
        <v>0</v>
      </c>
      <c r="AF285" s="830"/>
      <c r="AG285" s="830"/>
      <c r="AH285" s="830">
        <f t="shared" si="95"/>
        <v>0</v>
      </c>
      <c r="AI285" s="830">
        <f>VLOOKUP(C285,'[3]CHẤM CÔNG '!$F$10:$AM$451,33,0)</f>
        <v>0</v>
      </c>
      <c r="AJ285" s="830">
        <f>VLOOKUP(C285,'[3]CHẤM CÔNG '!$F$10:$AM$451,34,0)</f>
        <v>0</v>
      </c>
      <c r="AK285" s="830"/>
      <c r="AL285" s="830"/>
      <c r="AM285" s="830"/>
      <c r="AN285" s="830">
        <f>VLOOKUP(C285,'[3]CHẤM CÔNG '!$F$10:$AN$451,35,0)</f>
        <v>0</v>
      </c>
      <c r="AO285" s="830">
        <f>VLOOKUP(C285,'[3]CHẤM CÔNG '!$F$10:$AR$451,36,0)</f>
        <v>0</v>
      </c>
      <c r="AP285" s="830"/>
      <c r="AQ285" s="830"/>
      <c r="AR285" s="830"/>
      <c r="AS285" s="836"/>
      <c r="AT285" s="837">
        <f>VLOOKUP(C285,'[3]MỦ TẠP'!$D$10:$AO$450,38,0)</f>
        <v>0</v>
      </c>
      <c r="AU285" s="801">
        <v>1464</v>
      </c>
      <c r="AV285" s="831">
        <f t="shared" si="96"/>
        <v>-1464</v>
      </c>
      <c r="AX285" s="799">
        <f t="shared" ref="AX285:AX301" si="97">3-AZ285</f>
        <v>2</v>
      </c>
      <c r="AZ285" s="799">
        <v>1</v>
      </c>
    </row>
    <row r="286" spans="1:52" ht="15.75">
      <c r="A286" s="850">
        <v>67</v>
      </c>
      <c r="B286" s="813" t="str">
        <f>VLOOKUP(C286,'[3]DS CN MOI UP'!$B$10:$C$489,2,0)</f>
        <v>03379</v>
      </c>
      <c r="C286" s="825" t="s">
        <v>190</v>
      </c>
      <c r="D286" s="851" t="s">
        <v>15</v>
      </c>
      <c r="E286" s="815"/>
      <c r="F286" s="815"/>
      <c r="G286" s="815"/>
      <c r="H286" s="815"/>
      <c r="I286" s="815"/>
      <c r="J286" s="815"/>
      <c r="K286" s="815"/>
      <c r="L286" s="815"/>
      <c r="M286" s="815"/>
      <c r="N286" s="815">
        <f t="shared" si="85"/>
        <v>0</v>
      </c>
      <c r="O286" s="815">
        <f t="shared" si="86"/>
        <v>0</v>
      </c>
      <c r="P286" s="815">
        <f t="shared" si="87"/>
        <v>0</v>
      </c>
      <c r="Q286" s="815">
        <f t="shared" si="88"/>
        <v>0</v>
      </c>
      <c r="R286" s="815">
        <f t="shared" si="89"/>
        <v>0</v>
      </c>
      <c r="S286" s="815">
        <f t="shared" si="90"/>
        <v>0</v>
      </c>
      <c r="T286" s="815">
        <f t="shared" si="91"/>
        <v>0</v>
      </c>
      <c r="U286" s="815">
        <f t="shared" si="92"/>
        <v>0</v>
      </c>
      <c r="V286" s="815">
        <f t="shared" si="93"/>
        <v>0</v>
      </c>
      <c r="W286" s="815"/>
      <c r="X286" s="815"/>
      <c r="Y286" s="815"/>
      <c r="Z286" s="815"/>
      <c r="AA286" s="830">
        <f t="shared" si="94"/>
        <v>0</v>
      </c>
      <c r="AB286" s="830">
        <f>VLOOKUP(C286,'[3]MỦ TẠP'!$D$10:$AM$450,36,0)</f>
        <v>0</v>
      </c>
      <c r="AC286" s="830"/>
      <c r="AD286" s="830"/>
      <c r="AE286" s="830">
        <f>VLOOKUP(C286,'[3]MỦ TẠP'!$D$10:$AM$450,36,0)</f>
        <v>0</v>
      </c>
      <c r="AF286" s="830"/>
      <c r="AG286" s="830"/>
      <c r="AH286" s="830">
        <f t="shared" si="95"/>
        <v>0</v>
      </c>
      <c r="AI286" s="830">
        <f>VLOOKUP(C286,'[3]CHẤM CÔNG '!$F$10:$AM$451,33,0)</f>
        <v>0</v>
      </c>
      <c r="AJ286" s="830">
        <f>VLOOKUP(C286,'[3]CHẤM CÔNG '!$F$10:$AM$451,34,0)</f>
        <v>0</v>
      </c>
      <c r="AK286" s="830"/>
      <c r="AL286" s="830"/>
      <c r="AM286" s="830"/>
      <c r="AN286" s="830">
        <f>VLOOKUP(C286,'[3]CHẤM CÔNG '!$F$10:$AN$451,35,0)</f>
        <v>0</v>
      </c>
      <c r="AO286" s="830">
        <f>VLOOKUP(C286,'[3]CHẤM CÔNG '!$F$10:$AR$451,36,0)</f>
        <v>0</v>
      </c>
      <c r="AP286" s="830"/>
      <c r="AQ286" s="830"/>
      <c r="AR286" s="830"/>
      <c r="AS286" s="836"/>
      <c r="AT286" s="837">
        <f>VLOOKUP(C286,'[3]MỦ TẠP'!$D$10:$AO$450,38,0)</f>
        <v>0</v>
      </c>
      <c r="AU286" s="801">
        <v>1416</v>
      </c>
      <c r="AV286" s="831">
        <f t="shared" si="96"/>
        <v>-1416</v>
      </c>
      <c r="AX286" s="799">
        <f t="shared" si="97"/>
        <v>2</v>
      </c>
      <c r="AZ286" s="799">
        <v>1</v>
      </c>
    </row>
    <row r="287" spans="1:52" ht="15.75">
      <c r="A287" s="850">
        <v>68</v>
      </c>
      <c r="B287" s="813" t="str">
        <f>VLOOKUP(C287,'[3]DS CN MOI UP'!$B$10:$C$489,2,0)</f>
        <v>03354</v>
      </c>
      <c r="C287" s="825" t="s">
        <v>191</v>
      </c>
      <c r="D287" s="851" t="s">
        <v>15</v>
      </c>
      <c r="E287" s="815"/>
      <c r="F287" s="815"/>
      <c r="G287" s="815"/>
      <c r="H287" s="815"/>
      <c r="I287" s="815"/>
      <c r="J287" s="815"/>
      <c r="K287" s="815"/>
      <c r="L287" s="815"/>
      <c r="M287" s="815"/>
      <c r="N287" s="815">
        <f t="shared" si="85"/>
        <v>0</v>
      </c>
      <c r="O287" s="815">
        <f t="shared" si="86"/>
        <v>0</v>
      </c>
      <c r="P287" s="815">
        <f t="shared" si="87"/>
        <v>0</v>
      </c>
      <c r="Q287" s="815">
        <f t="shared" si="88"/>
        <v>0</v>
      </c>
      <c r="R287" s="815">
        <f t="shared" si="89"/>
        <v>0</v>
      </c>
      <c r="S287" s="815">
        <f t="shared" si="90"/>
        <v>0</v>
      </c>
      <c r="T287" s="815">
        <f t="shared" si="91"/>
        <v>0</v>
      </c>
      <c r="U287" s="815">
        <f t="shared" si="92"/>
        <v>0</v>
      </c>
      <c r="V287" s="815">
        <f t="shared" si="93"/>
        <v>0</v>
      </c>
      <c r="W287" s="815"/>
      <c r="X287" s="815"/>
      <c r="Y287" s="815"/>
      <c r="Z287" s="815"/>
      <c r="AA287" s="830">
        <f t="shared" si="94"/>
        <v>0</v>
      </c>
      <c r="AB287" s="830">
        <f>VLOOKUP(C287,'[3]MỦ TẠP'!$D$10:$AM$450,36,0)</f>
        <v>0</v>
      </c>
      <c r="AC287" s="830"/>
      <c r="AD287" s="830"/>
      <c r="AE287" s="830">
        <f>VLOOKUP(C287,'[3]MỦ TẠP'!$D$10:$AM$450,36,0)</f>
        <v>0</v>
      </c>
      <c r="AF287" s="830"/>
      <c r="AG287" s="830"/>
      <c r="AH287" s="830">
        <f t="shared" si="95"/>
        <v>0</v>
      </c>
      <c r="AI287" s="830">
        <f>VLOOKUP(C287,'[3]CHẤM CÔNG '!$F$10:$AM$451,33,0)</f>
        <v>0</v>
      </c>
      <c r="AJ287" s="830">
        <f>VLOOKUP(C287,'[3]CHẤM CÔNG '!$F$10:$AM$451,34,0)</f>
        <v>0</v>
      </c>
      <c r="AK287" s="830"/>
      <c r="AL287" s="830"/>
      <c r="AM287" s="830"/>
      <c r="AN287" s="830">
        <f>VLOOKUP(C287,'[3]CHẤM CÔNG '!$F$10:$AN$451,35,0)</f>
        <v>0</v>
      </c>
      <c r="AO287" s="830">
        <f>VLOOKUP(C287,'[3]CHẤM CÔNG '!$F$10:$AR$451,36,0)</f>
        <v>0</v>
      </c>
      <c r="AP287" s="830"/>
      <c r="AQ287" s="830"/>
      <c r="AR287" s="830"/>
      <c r="AS287" s="836"/>
      <c r="AT287" s="837">
        <f>VLOOKUP(C287,'[3]MỦ TẠP'!$D$10:$AO$450,38,0)</f>
        <v>0</v>
      </c>
      <c r="AU287" s="801">
        <v>1417</v>
      </c>
      <c r="AV287" s="831">
        <f t="shared" si="96"/>
        <v>-1417</v>
      </c>
      <c r="AX287" s="799">
        <f t="shared" si="97"/>
        <v>2</v>
      </c>
      <c r="AZ287" s="799">
        <v>1</v>
      </c>
    </row>
    <row r="288" spans="1:52" ht="15.75">
      <c r="A288" s="850">
        <v>69</v>
      </c>
      <c r="B288" s="813" t="e">
        <f>VLOOKUP(C288,'[3]DS CN MOI UP'!$B$10:$C$489,2,0)</f>
        <v>#N/A</v>
      </c>
      <c r="C288" s="825" t="s">
        <v>192</v>
      </c>
      <c r="D288" s="851" t="s">
        <v>15</v>
      </c>
      <c r="E288" s="815"/>
      <c r="F288" s="815"/>
      <c r="G288" s="815"/>
      <c r="H288" s="815"/>
      <c r="I288" s="815"/>
      <c r="J288" s="815"/>
      <c r="K288" s="815"/>
      <c r="L288" s="815"/>
      <c r="M288" s="815"/>
      <c r="N288" s="815">
        <f t="shared" si="85"/>
        <v>0</v>
      </c>
      <c r="O288" s="815">
        <f t="shared" si="86"/>
        <v>0</v>
      </c>
      <c r="P288" s="815">
        <f t="shared" si="87"/>
        <v>0</v>
      </c>
      <c r="Q288" s="815">
        <f t="shared" si="88"/>
        <v>0</v>
      </c>
      <c r="R288" s="815">
        <f t="shared" si="89"/>
        <v>0</v>
      </c>
      <c r="S288" s="815">
        <f t="shared" si="90"/>
        <v>0</v>
      </c>
      <c r="T288" s="815">
        <f t="shared" si="91"/>
        <v>0</v>
      </c>
      <c r="U288" s="815">
        <f t="shared" si="92"/>
        <v>0</v>
      </c>
      <c r="V288" s="815">
        <f t="shared" si="93"/>
        <v>0</v>
      </c>
      <c r="W288" s="815"/>
      <c r="X288" s="815"/>
      <c r="Y288" s="815"/>
      <c r="Z288" s="815"/>
      <c r="AA288" s="830">
        <f t="shared" si="94"/>
        <v>0</v>
      </c>
      <c r="AB288" s="830">
        <f>VLOOKUP(C288,'[3]MỦ TẠP'!$D$10:$AM$450,36,0)</f>
        <v>0</v>
      </c>
      <c r="AC288" s="830"/>
      <c r="AD288" s="830"/>
      <c r="AE288" s="830">
        <f>VLOOKUP(C288,'[3]MỦ TẠP'!$D$10:$AM$450,36,0)</f>
        <v>0</v>
      </c>
      <c r="AF288" s="830"/>
      <c r="AG288" s="830"/>
      <c r="AH288" s="830">
        <f t="shared" si="95"/>
        <v>0</v>
      </c>
      <c r="AI288" s="830">
        <f>VLOOKUP(C288,'[3]CHẤM CÔNG '!$F$10:$AM$451,33,0)</f>
        <v>0</v>
      </c>
      <c r="AJ288" s="830">
        <f>VLOOKUP(C288,'[3]CHẤM CÔNG '!$F$10:$AM$451,34,0)</f>
        <v>0</v>
      </c>
      <c r="AK288" s="830"/>
      <c r="AL288" s="830"/>
      <c r="AM288" s="830"/>
      <c r="AN288" s="830">
        <f>VLOOKUP(C288,'[3]CHẤM CÔNG '!$F$10:$AN$451,35,0)</f>
        <v>0</v>
      </c>
      <c r="AO288" s="830">
        <f>VLOOKUP(C288,'[3]CHẤM CÔNG '!$F$10:$AR$451,36,0)</f>
        <v>0</v>
      </c>
      <c r="AP288" s="830"/>
      <c r="AQ288" s="830"/>
      <c r="AR288" s="830"/>
      <c r="AS288" s="836"/>
      <c r="AT288" s="837">
        <f>VLOOKUP(C288,'[3]MỦ TẠP'!$D$10:$AO$450,38,0)</f>
        <v>0</v>
      </c>
      <c r="AU288" s="801">
        <v>1442</v>
      </c>
      <c r="AV288" s="831">
        <f t="shared" si="96"/>
        <v>-1442</v>
      </c>
      <c r="AX288" s="799">
        <f t="shared" si="97"/>
        <v>2</v>
      </c>
      <c r="AZ288" s="799">
        <v>1</v>
      </c>
    </row>
    <row r="289" spans="1:52" ht="15.75">
      <c r="A289" s="850">
        <v>70</v>
      </c>
      <c r="B289" s="813" t="str">
        <f>VLOOKUP(C289,'[3]DS CN MOI UP'!$B$10:$C$489,2,0)</f>
        <v>02529</v>
      </c>
      <c r="C289" s="825" t="s">
        <v>193</v>
      </c>
      <c r="D289" s="851" t="s">
        <v>15</v>
      </c>
      <c r="E289" s="815"/>
      <c r="F289" s="815"/>
      <c r="G289" s="815"/>
      <c r="H289" s="815"/>
      <c r="I289" s="815"/>
      <c r="J289" s="815"/>
      <c r="K289" s="815"/>
      <c r="L289" s="815"/>
      <c r="M289" s="815"/>
      <c r="N289" s="815">
        <f t="shared" si="85"/>
        <v>0</v>
      </c>
      <c r="O289" s="815">
        <f t="shared" si="86"/>
        <v>0</v>
      </c>
      <c r="P289" s="815">
        <f t="shared" si="87"/>
        <v>0</v>
      </c>
      <c r="Q289" s="815">
        <f t="shared" si="88"/>
        <v>0</v>
      </c>
      <c r="R289" s="815">
        <f t="shared" si="89"/>
        <v>0</v>
      </c>
      <c r="S289" s="815">
        <f t="shared" si="90"/>
        <v>0</v>
      </c>
      <c r="T289" s="815">
        <f t="shared" si="91"/>
        <v>0</v>
      </c>
      <c r="U289" s="815">
        <f t="shared" si="92"/>
        <v>0</v>
      </c>
      <c r="V289" s="815">
        <f t="shared" si="93"/>
        <v>0</v>
      </c>
      <c r="W289" s="815"/>
      <c r="X289" s="815"/>
      <c r="Y289" s="815"/>
      <c r="Z289" s="815"/>
      <c r="AA289" s="830">
        <f t="shared" si="94"/>
        <v>0</v>
      </c>
      <c r="AB289" s="830">
        <f>VLOOKUP(C289,'[3]MỦ TẠP'!$D$10:$AM$450,36,0)</f>
        <v>0</v>
      </c>
      <c r="AC289" s="830"/>
      <c r="AD289" s="830"/>
      <c r="AE289" s="830">
        <f>VLOOKUP(C289,'[3]MỦ TẠP'!$D$10:$AM$450,36,0)</f>
        <v>0</v>
      </c>
      <c r="AF289" s="830"/>
      <c r="AG289" s="830"/>
      <c r="AH289" s="830">
        <f t="shared" si="95"/>
        <v>0</v>
      </c>
      <c r="AI289" s="830">
        <f>VLOOKUP(C289,'[3]CHẤM CÔNG '!$F$10:$AM$451,33,0)</f>
        <v>0</v>
      </c>
      <c r="AJ289" s="830">
        <f>VLOOKUP(C289,'[3]CHẤM CÔNG '!$F$10:$AM$451,34,0)</f>
        <v>0</v>
      </c>
      <c r="AK289" s="830"/>
      <c r="AL289" s="830"/>
      <c r="AM289" s="830"/>
      <c r="AN289" s="830">
        <f>VLOOKUP(C289,'[3]CHẤM CÔNG '!$F$10:$AN$451,35,0)</f>
        <v>0</v>
      </c>
      <c r="AO289" s="830">
        <f>VLOOKUP(C289,'[3]CHẤM CÔNG '!$F$10:$AR$451,36,0)</f>
        <v>0</v>
      </c>
      <c r="AP289" s="830"/>
      <c r="AQ289" s="830"/>
      <c r="AR289" s="830"/>
      <c r="AS289" s="836"/>
      <c r="AT289" s="837">
        <f>VLOOKUP(C289,'[3]MỦ TẠP'!$D$10:$AO$450,38,0)</f>
        <v>0</v>
      </c>
      <c r="AU289" s="801">
        <v>1476</v>
      </c>
      <c r="AV289" s="831">
        <f t="shared" si="96"/>
        <v>-1476</v>
      </c>
      <c r="AX289" s="799">
        <f t="shared" si="97"/>
        <v>2</v>
      </c>
      <c r="AZ289" s="799">
        <v>1</v>
      </c>
    </row>
    <row r="290" spans="1:52" ht="15.75">
      <c r="A290" s="850">
        <v>71</v>
      </c>
      <c r="B290" s="813" t="str">
        <f>VLOOKUP(C290,'[3]DS CN MOI UP'!$B$10:$C$489,2,0)</f>
        <v>02531</v>
      </c>
      <c r="C290" s="825" t="s">
        <v>194</v>
      </c>
      <c r="D290" s="851" t="s">
        <v>15</v>
      </c>
      <c r="E290" s="815"/>
      <c r="F290" s="815"/>
      <c r="G290" s="815"/>
      <c r="H290" s="815"/>
      <c r="I290" s="815"/>
      <c r="J290" s="815"/>
      <c r="K290" s="815"/>
      <c r="L290" s="815"/>
      <c r="M290" s="815"/>
      <c r="N290" s="815">
        <f t="shared" si="85"/>
        <v>0</v>
      </c>
      <c r="O290" s="815">
        <f t="shared" si="86"/>
        <v>0</v>
      </c>
      <c r="P290" s="815">
        <f t="shared" si="87"/>
        <v>0</v>
      </c>
      <c r="Q290" s="815">
        <f t="shared" si="88"/>
        <v>0</v>
      </c>
      <c r="R290" s="815">
        <f t="shared" si="89"/>
        <v>0</v>
      </c>
      <c r="S290" s="815">
        <f t="shared" si="90"/>
        <v>0</v>
      </c>
      <c r="T290" s="815">
        <f t="shared" si="91"/>
        <v>0</v>
      </c>
      <c r="U290" s="815">
        <f t="shared" si="92"/>
        <v>0</v>
      </c>
      <c r="V290" s="815">
        <f t="shared" si="93"/>
        <v>0</v>
      </c>
      <c r="W290" s="815"/>
      <c r="X290" s="815"/>
      <c r="Y290" s="815"/>
      <c r="Z290" s="815"/>
      <c r="AA290" s="830">
        <f t="shared" si="94"/>
        <v>0</v>
      </c>
      <c r="AB290" s="830">
        <f>VLOOKUP(C290,'[3]MỦ TẠP'!$D$10:$AM$450,36,0)</f>
        <v>0</v>
      </c>
      <c r="AC290" s="830"/>
      <c r="AD290" s="830"/>
      <c r="AE290" s="830">
        <f>VLOOKUP(C290,'[3]MỦ TẠP'!$D$10:$AM$450,36,0)</f>
        <v>0</v>
      </c>
      <c r="AF290" s="830"/>
      <c r="AG290" s="830"/>
      <c r="AH290" s="830">
        <f t="shared" si="95"/>
        <v>0</v>
      </c>
      <c r="AI290" s="830">
        <f>VLOOKUP(C290,'[3]CHẤM CÔNG '!$F$10:$AM$451,33,0)</f>
        <v>0</v>
      </c>
      <c r="AJ290" s="830">
        <f>VLOOKUP(C290,'[3]CHẤM CÔNG '!$F$10:$AM$451,34,0)</f>
        <v>0</v>
      </c>
      <c r="AK290" s="830"/>
      <c r="AL290" s="830"/>
      <c r="AM290" s="830"/>
      <c r="AN290" s="830">
        <f>VLOOKUP(C290,'[3]CHẤM CÔNG '!$F$10:$AN$451,35,0)</f>
        <v>0</v>
      </c>
      <c r="AO290" s="830">
        <f>VLOOKUP(C290,'[3]CHẤM CÔNG '!$F$10:$AR$451,36,0)</f>
        <v>0</v>
      </c>
      <c r="AP290" s="830"/>
      <c r="AQ290" s="830"/>
      <c r="AR290" s="830"/>
      <c r="AS290" s="836"/>
      <c r="AT290" s="837">
        <f>VLOOKUP(C290,'[3]MỦ TẠP'!$D$10:$AO$450,38,0)</f>
        <v>0</v>
      </c>
      <c r="AU290" s="801">
        <v>1366</v>
      </c>
      <c r="AV290" s="831">
        <f t="shared" si="96"/>
        <v>-1366</v>
      </c>
      <c r="AX290" s="799">
        <f t="shared" si="97"/>
        <v>2</v>
      </c>
      <c r="AZ290" s="799">
        <v>1</v>
      </c>
    </row>
    <row r="291" spans="1:52" ht="15.75">
      <c r="A291" s="850">
        <v>72</v>
      </c>
      <c r="B291" s="813" t="str">
        <f>VLOOKUP(C291,'[3]DS CN MOI UP'!$B$10:$C$489,2,0)</f>
        <v>02539</v>
      </c>
      <c r="C291" s="825" t="s">
        <v>195</v>
      </c>
      <c r="D291" s="851" t="s">
        <v>15</v>
      </c>
      <c r="E291" s="815"/>
      <c r="F291" s="815"/>
      <c r="G291" s="815"/>
      <c r="H291" s="815"/>
      <c r="I291" s="815"/>
      <c r="J291" s="815"/>
      <c r="K291" s="815"/>
      <c r="L291" s="815"/>
      <c r="M291" s="815"/>
      <c r="N291" s="815">
        <f t="shared" si="85"/>
        <v>0</v>
      </c>
      <c r="O291" s="815">
        <f t="shared" si="86"/>
        <v>0</v>
      </c>
      <c r="P291" s="815">
        <f t="shared" si="87"/>
        <v>0</v>
      </c>
      <c r="Q291" s="815">
        <f t="shared" si="88"/>
        <v>0</v>
      </c>
      <c r="R291" s="815">
        <f t="shared" si="89"/>
        <v>0</v>
      </c>
      <c r="S291" s="815">
        <f t="shared" si="90"/>
        <v>0</v>
      </c>
      <c r="T291" s="815">
        <f t="shared" si="91"/>
        <v>0</v>
      </c>
      <c r="U291" s="815">
        <f t="shared" si="92"/>
        <v>0</v>
      </c>
      <c r="V291" s="815">
        <f t="shared" si="93"/>
        <v>0</v>
      </c>
      <c r="W291" s="815"/>
      <c r="X291" s="815"/>
      <c r="Y291" s="815"/>
      <c r="Z291" s="815"/>
      <c r="AA291" s="830">
        <f t="shared" si="94"/>
        <v>0</v>
      </c>
      <c r="AB291" s="830">
        <f>VLOOKUP(C291,'[3]MỦ TẠP'!$D$10:$AM$450,36,0)</f>
        <v>0</v>
      </c>
      <c r="AC291" s="830"/>
      <c r="AD291" s="830"/>
      <c r="AE291" s="830">
        <f>VLOOKUP(C291,'[3]MỦ TẠP'!$D$10:$AM$450,36,0)</f>
        <v>0</v>
      </c>
      <c r="AF291" s="830"/>
      <c r="AG291" s="830"/>
      <c r="AH291" s="830">
        <f t="shared" si="95"/>
        <v>0</v>
      </c>
      <c r="AI291" s="830">
        <f>VLOOKUP(C291,'[3]CHẤM CÔNG '!$F$10:$AM$451,33,0)</f>
        <v>0</v>
      </c>
      <c r="AJ291" s="830">
        <f>VLOOKUP(C291,'[3]CHẤM CÔNG '!$F$10:$AM$451,34,0)</f>
        <v>0</v>
      </c>
      <c r="AK291" s="830"/>
      <c r="AL291" s="830"/>
      <c r="AM291" s="830"/>
      <c r="AN291" s="830">
        <f>VLOOKUP(C291,'[3]CHẤM CÔNG '!$F$10:$AN$451,35,0)</f>
        <v>0</v>
      </c>
      <c r="AO291" s="830">
        <f>VLOOKUP(C291,'[3]CHẤM CÔNG '!$F$10:$AR$451,36,0)</f>
        <v>0</v>
      </c>
      <c r="AP291" s="830"/>
      <c r="AQ291" s="830"/>
      <c r="AR291" s="830"/>
      <c r="AS291" s="836"/>
      <c r="AT291" s="837">
        <f>VLOOKUP(C291,'[3]MỦ TẠP'!$D$10:$AO$450,38,0)</f>
        <v>0</v>
      </c>
      <c r="AU291" s="801">
        <v>1500</v>
      </c>
      <c r="AV291" s="831">
        <f t="shared" si="96"/>
        <v>-1500</v>
      </c>
      <c r="AX291" s="799">
        <f t="shared" si="97"/>
        <v>2</v>
      </c>
      <c r="AZ291" s="799">
        <v>1</v>
      </c>
    </row>
    <row r="292" spans="1:52" ht="15.75">
      <c r="A292" s="850">
        <v>73</v>
      </c>
      <c r="B292" s="813" t="str">
        <f>VLOOKUP(C292,'[3]DS CN MOI UP'!$B$10:$C$489,2,0)</f>
        <v>03380</v>
      </c>
      <c r="C292" s="825" t="s">
        <v>196</v>
      </c>
      <c r="D292" s="851" t="s">
        <v>15</v>
      </c>
      <c r="E292" s="815"/>
      <c r="F292" s="815"/>
      <c r="G292" s="815"/>
      <c r="H292" s="815"/>
      <c r="I292" s="815"/>
      <c r="J292" s="815"/>
      <c r="K292" s="815"/>
      <c r="L292" s="815"/>
      <c r="M292" s="815"/>
      <c r="N292" s="815">
        <f t="shared" si="85"/>
        <v>0</v>
      </c>
      <c r="O292" s="815">
        <f t="shared" si="86"/>
        <v>0</v>
      </c>
      <c r="P292" s="815">
        <f t="shared" si="87"/>
        <v>0</v>
      </c>
      <c r="Q292" s="815">
        <f t="shared" si="88"/>
        <v>0</v>
      </c>
      <c r="R292" s="815">
        <f t="shared" si="89"/>
        <v>0</v>
      </c>
      <c r="S292" s="815">
        <f t="shared" si="90"/>
        <v>0</v>
      </c>
      <c r="T292" s="815">
        <f t="shared" si="91"/>
        <v>0</v>
      </c>
      <c r="U292" s="815">
        <f t="shared" si="92"/>
        <v>0</v>
      </c>
      <c r="V292" s="815">
        <f t="shared" si="93"/>
        <v>0</v>
      </c>
      <c r="W292" s="815"/>
      <c r="X292" s="815"/>
      <c r="Y292" s="815"/>
      <c r="Z292" s="815"/>
      <c r="AA292" s="830">
        <f t="shared" si="94"/>
        <v>0</v>
      </c>
      <c r="AB292" s="830">
        <f>VLOOKUP(C292,'[3]MỦ TẠP'!$D$10:$AM$450,36,0)</f>
        <v>0</v>
      </c>
      <c r="AC292" s="830"/>
      <c r="AD292" s="830"/>
      <c r="AE292" s="830">
        <f>VLOOKUP(C292,'[3]MỦ TẠP'!$D$10:$AM$450,36,0)</f>
        <v>0</v>
      </c>
      <c r="AF292" s="830"/>
      <c r="AG292" s="830"/>
      <c r="AH292" s="830">
        <f t="shared" si="95"/>
        <v>0</v>
      </c>
      <c r="AI292" s="830">
        <f>VLOOKUP(C292,'[3]CHẤM CÔNG '!$F$10:$AM$451,33,0)</f>
        <v>0</v>
      </c>
      <c r="AJ292" s="830">
        <f>VLOOKUP(C292,'[3]CHẤM CÔNG '!$F$10:$AM$451,34,0)</f>
        <v>0</v>
      </c>
      <c r="AK292" s="830"/>
      <c r="AL292" s="830"/>
      <c r="AM292" s="830"/>
      <c r="AN292" s="830">
        <f>VLOOKUP(C292,'[3]CHẤM CÔNG '!$F$10:$AN$451,35,0)</f>
        <v>0</v>
      </c>
      <c r="AO292" s="830">
        <f>VLOOKUP(C292,'[3]CHẤM CÔNG '!$F$10:$AR$451,36,0)</f>
        <v>0</v>
      </c>
      <c r="AP292" s="830"/>
      <c r="AQ292" s="830"/>
      <c r="AR292" s="830"/>
      <c r="AS292" s="836"/>
      <c r="AT292" s="837">
        <f>VLOOKUP(C292,'[3]MỦ TẠP'!$D$10:$AO$450,38,0)</f>
        <v>0</v>
      </c>
      <c r="AU292" s="801">
        <v>914</v>
      </c>
      <c r="AV292" s="831">
        <f t="shared" si="96"/>
        <v>-914</v>
      </c>
      <c r="AX292" s="799">
        <f t="shared" si="97"/>
        <v>2</v>
      </c>
      <c r="AZ292" s="799">
        <v>1</v>
      </c>
    </row>
    <row r="293" spans="1:52" ht="15.75">
      <c r="A293" s="850">
        <v>74</v>
      </c>
      <c r="B293" s="813" t="str">
        <f>VLOOKUP(C293,'[3]DS CN MOI UP'!$B$10:$C$489,2,0)</f>
        <v>02561</v>
      </c>
      <c r="C293" s="825" t="s">
        <v>197</v>
      </c>
      <c r="D293" s="851" t="s">
        <v>15</v>
      </c>
      <c r="E293" s="815"/>
      <c r="F293" s="815"/>
      <c r="G293" s="815"/>
      <c r="H293" s="815"/>
      <c r="I293" s="815"/>
      <c r="J293" s="815"/>
      <c r="K293" s="815"/>
      <c r="L293" s="815"/>
      <c r="M293" s="815"/>
      <c r="N293" s="815">
        <f t="shared" si="85"/>
        <v>0</v>
      </c>
      <c r="O293" s="815">
        <f t="shared" si="86"/>
        <v>0</v>
      </c>
      <c r="P293" s="815">
        <f t="shared" si="87"/>
        <v>0</v>
      </c>
      <c r="Q293" s="815">
        <f t="shared" si="88"/>
        <v>0</v>
      </c>
      <c r="R293" s="815">
        <f t="shared" si="89"/>
        <v>0</v>
      </c>
      <c r="S293" s="815">
        <f t="shared" si="90"/>
        <v>0</v>
      </c>
      <c r="T293" s="815">
        <f t="shared" si="91"/>
        <v>0</v>
      </c>
      <c r="U293" s="815">
        <f t="shared" si="92"/>
        <v>0</v>
      </c>
      <c r="V293" s="815">
        <f t="shared" si="93"/>
        <v>0</v>
      </c>
      <c r="W293" s="815"/>
      <c r="X293" s="815"/>
      <c r="Y293" s="815"/>
      <c r="Z293" s="815"/>
      <c r="AA293" s="830">
        <f t="shared" si="94"/>
        <v>0</v>
      </c>
      <c r="AB293" s="830">
        <f>VLOOKUP(C293,'[3]MỦ TẠP'!$D$10:$AM$450,36,0)</f>
        <v>0</v>
      </c>
      <c r="AC293" s="830"/>
      <c r="AD293" s="830"/>
      <c r="AE293" s="830">
        <f>VLOOKUP(C293,'[3]MỦ TẠP'!$D$10:$AM$450,36,0)</f>
        <v>0</v>
      </c>
      <c r="AF293" s="830"/>
      <c r="AG293" s="830"/>
      <c r="AH293" s="830">
        <f t="shared" si="95"/>
        <v>0</v>
      </c>
      <c r="AI293" s="830">
        <f>VLOOKUP(C293,'[3]CHẤM CÔNG '!$F$10:$AM$451,33,0)</f>
        <v>0</v>
      </c>
      <c r="AJ293" s="830">
        <f>VLOOKUP(C293,'[3]CHẤM CÔNG '!$F$10:$AM$451,34,0)</f>
        <v>0</v>
      </c>
      <c r="AK293" s="830"/>
      <c r="AL293" s="830"/>
      <c r="AM293" s="830"/>
      <c r="AN293" s="830">
        <f>VLOOKUP(C293,'[3]CHẤM CÔNG '!$F$10:$AN$451,35,0)</f>
        <v>0</v>
      </c>
      <c r="AO293" s="830">
        <f>VLOOKUP(C293,'[3]CHẤM CÔNG '!$F$10:$AR$451,36,0)</f>
        <v>0</v>
      </c>
      <c r="AP293" s="830"/>
      <c r="AQ293" s="830"/>
      <c r="AR293" s="830"/>
      <c r="AS293" s="836"/>
      <c r="AT293" s="837">
        <f>VLOOKUP(C293,'[3]MỦ TẠP'!$D$10:$AO$450,38,0)</f>
        <v>0</v>
      </c>
      <c r="AU293" s="801">
        <v>1563</v>
      </c>
      <c r="AV293" s="831">
        <f t="shared" si="96"/>
        <v>-1563</v>
      </c>
      <c r="AX293" s="799">
        <f t="shared" si="97"/>
        <v>3</v>
      </c>
    </row>
    <row r="294" spans="1:52" ht="15.75">
      <c r="A294" s="850">
        <v>75</v>
      </c>
      <c r="B294" s="813" t="str">
        <f>VLOOKUP(C294,'[3]DS CN MOI UP'!$B$10:$C$489,2,0)</f>
        <v>02533</v>
      </c>
      <c r="C294" s="825" t="s">
        <v>198</v>
      </c>
      <c r="D294" s="851" t="s">
        <v>15</v>
      </c>
      <c r="E294" s="815"/>
      <c r="F294" s="815"/>
      <c r="G294" s="815"/>
      <c r="H294" s="815"/>
      <c r="I294" s="815"/>
      <c r="J294" s="815"/>
      <c r="K294" s="815"/>
      <c r="L294" s="815"/>
      <c r="M294" s="815"/>
      <c r="N294" s="815">
        <f t="shared" si="85"/>
        <v>0</v>
      </c>
      <c r="O294" s="815">
        <f t="shared" si="86"/>
        <v>0</v>
      </c>
      <c r="P294" s="815">
        <f t="shared" si="87"/>
        <v>0</v>
      </c>
      <c r="Q294" s="815">
        <f t="shared" si="88"/>
        <v>0</v>
      </c>
      <c r="R294" s="815">
        <f t="shared" si="89"/>
        <v>0</v>
      </c>
      <c r="S294" s="815">
        <f t="shared" si="90"/>
        <v>0</v>
      </c>
      <c r="T294" s="815">
        <f t="shared" si="91"/>
        <v>0</v>
      </c>
      <c r="U294" s="815">
        <f t="shared" si="92"/>
        <v>0</v>
      </c>
      <c r="V294" s="815">
        <f t="shared" si="93"/>
        <v>0</v>
      </c>
      <c r="W294" s="815"/>
      <c r="X294" s="815"/>
      <c r="Y294" s="815"/>
      <c r="Z294" s="815"/>
      <c r="AA294" s="830">
        <f t="shared" si="94"/>
        <v>0</v>
      </c>
      <c r="AB294" s="830">
        <f>VLOOKUP(C294,'[3]MỦ TẠP'!$D$10:$AM$450,36,0)</f>
        <v>0</v>
      </c>
      <c r="AC294" s="830"/>
      <c r="AD294" s="830"/>
      <c r="AE294" s="830">
        <f>VLOOKUP(C294,'[3]MỦ TẠP'!$D$10:$AM$450,36,0)</f>
        <v>0</v>
      </c>
      <c r="AF294" s="830"/>
      <c r="AG294" s="830"/>
      <c r="AH294" s="830">
        <f t="shared" si="95"/>
        <v>0</v>
      </c>
      <c r="AI294" s="830">
        <f>VLOOKUP(C294,'[3]CHẤM CÔNG '!$F$10:$AM$451,33,0)</f>
        <v>0</v>
      </c>
      <c r="AJ294" s="830">
        <f>VLOOKUP(C294,'[3]CHẤM CÔNG '!$F$10:$AM$451,34,0)</f>
        <v>0</v>
      </c>
      <c r="AK294" s="830"/>
      <c r="AL294" s="830"/>
      <c r="AM294" s="830"/>
      <c r="AN294" s="830">
        <f>VLOOKUP(C294,'[3]CHẤM CÔNG '!$F$10:$AN$451,35,0)</f>
        <v>0</v>
      </c>
      <c r="AO294" s="830">
        <f>VLOOKUP(C294,'[3]CHẤM CÔNG '!$F$10:$AR$451,36,0)</f>
        <v>0</v>
      </c>
      <c r="AP294" s="830"/>
      <c r="AQ294" s="830"/>
      <c r="AR294" s="830"/>
      <c r="AS294" s="836"/>
      <c r="AT294" s="837">
        <f>VLOOKUP(C294,'[3]MỦ TẠP'!$D$10:$AO$450,38,0)</f>
        <v>0</v>
      </c>
      <c r="AU294" s="801">
        <v>1431</v>
      </c>
      <c r="AV294" s="831">
        <f t="shared" si="96"/>
        <v>-1431</v>
      </c>
      <c r="AX294" s="799">
        <f t="shared" si="97"/>
        <v>3</v>
      </c>
    </row>
    <row r="295" spans="1:52" ht="15.75">
      <c r="A295" s="850">
        <v>76</v>
      </c>
      <c r="B295" s="813" t="str">
        <f>VLOOKUP(C295,'[3]DS CN MOI UP'!$B$10:$C$489,2,0)</f>
        <v>02547</v>
      </c>
      <c r="C295" s="825" t="s">
        <v>199</v>
      </c>
      <c r="D295" s="851" t="s">
        <v>15</v>
      </c>
      <c r="E295" s="815"/>
      <c r="F295" s="815"/>
      <c r="G295" s="815"/>
      <c r="H295" s="815"/>
      <c r="I295" s="815"/>
      <c r="J295" s="815"/>
      <c r="K295" s="815"/>
      <c r="L295" s="815"/>
      <c r="M295" s="815"/>
      <c r="N295" s="815">
        <f t="shared" si="85"/>
        <v>0</v>
      </c>
      <c r="O295" s="815">
        <f t="shared" si="86"/>
        <v>0</v>
      </c>
      <c r="P295" s="815">
        <f t="shared" si="87"/>
        <v>0</v>
      </c>
      <c r="Q295" s="815">
        <f t="shared" si="88"/>
        <v>0</v>
      </c>
      <c r="R295" s="815">
        <f t="shared" si="89"/>
        <v>0</v>
      </c>
      <c r="S295" s="815">
        <f t="shared" si="90"/>
        <v>0</v>
      </c>
      <c r="T295" s="815">
        <f t="shared" si="91"/>
        <v>0</v>
      </c>
      <c r="U295" s="815">
        <f t="shared" si="92"/>
        <v>0</v>
      </c>
      <c r="V295" s="815">
        <f t="shared" si="93"/>
        <v>0</v>
      </c>
      <c r="W295" s="815"/>
      <c r="X295" s="815"/>
      <c r="Y295" s="815"/>
      <c r="Z295" s="815"/>
      <c r="AA295" s="830">
        <f t="shared" si="94"/>
        <v>0</v>
      </c>
      <c r="AB295" s="830">
        <f>VLOOKUP(C295,'[3]MỦ TẠP'!$D$10:$AM$450,36,0)</f>
        <v>0</v>
      </c>
      <c r="AC295" s="830"/>
      <c r="AD295" s="830"/>
      <c r="AE295" s="830">
        <f>VLOOKUP(C295,'[3]MỦ TẠP'!$D$10:$AM$450,36,0)</f>
        <v>0</v>
      </c>
      <c r="AF295" s="830"/>
      <c r="AG295" s="830"/>
      <c r="AH295" s="830">
        <f t="shared" si="95"/>
        <v>0</v>
      </c>
      <c r="AI295" s="830">
        <f>VLOOKUP(C295,'[3]CHẤM CÔNG '!$F$10:$AM$451,33,0)</f>
        <v>0</v>
      </c>
      <c r="AJ295" s="830">
        <f>VLOOKUP(C295,'[3]CHẤM CÔNG '!$F$10:$AM$451,34,0)</f>
        <v>0</v>
      </c>
      <c r="AK295" s="830"/>
      <c r="AL295" s="830"/>
      <c r="AM295" s="830"/>
      <c r="AN295" s="830">
        <f>VLOOKUP(C295,'[3]CHẤM CÔNG '!$F$10:$AN$451,35,0)</f>
        <v>0</v>
      </c>
      <c r="AO295" s="830">
        <f>VLOOKUP(C295,'[3]CHẤM CÔNG '!$F$10:$AR$451,36,0)</f>
        <v>0</v>
      </c>
      <c r="AP295" s="830"/>
      <c r="AQ295" s="830"/>
      <c r="AR295" s="830"/>
      <c r="AS295" s="836"/>
      <c r="AT295" s="837">
        <f>VLOOKUP(C295,'[3]MỦ TẠP'!$D$10:$AO$450,38,0)</f>
        <v>0</v>
      </c>
      <c r="AU295" s="801">
        <v>1355</v>
      </c>
      <c r="AV295" s="831">
        <f t="shared" si="96"/>
        <v>-1355</v>
      </c>
      <c r="AX295" s="799">
        <f t="shared" si="97"/>
        <v>3</v>
      </c>
    </row>
    <row r="296" spans="1:52" ht="15.75">
      <c r="A296" s="850">
        <v>77</v>
      </c>
      <c r="B296" s="813" t="str">
        <f>VLOOKUP(C296,'[3]DS CN MOI UP'!$B$10:$C$489,2,0)</f>
        <v>02550</v>
      </c>
      <c r="C296" s="825" t="s">
        <v>200</v>
      </c>
      <c r="D296" s="851" t="s">
        <v>15</v>
      </c>
      <c r="E296" s="815"/>
      <c r="F296" s="815"/>
      <c r="G296" s="815"/>
      <c r="H296" s="815"/>
      <c r="I296" s="815"/>
      <c r="J296" s="815"/>
      <c r="K296" s="815"/>
      <c r="L296" s="815"/>
      <c r="M296" s="815"/>
      <c r="N296" s="815">
        <f t="shared" si="85"/>
        <v>0</v>
      </c>
      <c r="O296" s="815">
        <f t="shared" si="86"/>
        <v>0</v>
      </c>
      <c r="P296" s="815">
        <f t="shared" si="87"/>
        <v>0</v>
      </c>
      <c r="Q296" s="815">
        <f t="shared" si="88"/>
        <v>0</v>
      </c>
      <c r="R296" s="815">
        <f t="shared" si="89"/>
        <v>0</v>
      </c>
      <c r="S296" s="815">
        <f t="shared" si="90"/>
        <v>0</v>
      </c>
      <c r="T296" s="815">
        <f t="shared" si="91"/>
        <v>0</v>
      </c>
      <c r="U296" s="815">
        <f t="shared" si="92"/>
        <v>0</v>
      </c>
      <c r="V296" s="815">
        <f t="shared" si="93"/>
        <v>0</v>
      </c>
      <c r="W296" s="815"/>
      <c r="X296" s="815"/>
      <c r="Y296" s="815"/>
      <c r="Z296" s="815"/>
      <c r="AA296" s="830">
        <f t="shared" si="94"/>
        <v>0</v>
      </c>
      <c r="AB296" s="830">
        <f>VLOOKUP(C296,'[3]MỦ TẠP'!$D$10:$AM$450,36,0)</f>
        <v>0</v>
      </c>
      <c r="AC296" s="830"/>
      <c r="AD296" s="830"/>
      <c r="AE296" s="830">
        <f>VLOOKUP(C296,'[3]MỦ TẠP'!$D$10:$AM$450,36,0)</f>
        <v>0</v>
      </c>
      <c r="AF296" s="830"/>
      <c r="AG296" s="830"/>
      <c r="AH296" s="830">
        <f t="shared" si="95"/>
        <v>0</v>
      </c>
      <c r="AI296" s="830">
        <f>VLOOKUP(C296,'[3]CHẤM CÔNG '!$F$10:$AM$451,33,0)</f>
        <v>0</v>
      </c>
      <c r="AJ296" s="830">
        <f>VLOOKUP(C296,'[3]CHẤM CÔNG '!$F$10:$AM$451,34,0)</f>
        <v>0</v>
      </c>
      <c r="AK296" s="830"/>
      <c r="AL296" s="830"/>
      <c r="AM296" s="830"/>
      <c r="AN296" s="830">
        <f>VLOOKUP(C296,'[3]CHẤM CÔNG '!$F$10:$AN$451,35,0)</f>
        <v>0</v>
      </c>
      <c r="AO296" s="830">
        <f>VLOOKUP(C296,'[3]CHẤM CÔNG '!$F$10:$AR$451,36,0)</f>
        <v>0</v>
      </c>
      <c r="AP296" s="830"/>
      <c r="AQ296" s="830"/>
      <c r="AR296" s="830"/>
      <c r="AS296" s="836"/>
      <c r="AT296" s="837">
        <f>VLOOKUP(C296,'[3]MỦ TẠP'!$D$10:$AO$450,38,0)</f>
        <v>0</v>
      </c>
      <c r="AU296" s="801">
        <v>1915</v>
      </c>
      <c r="AV296" s="831">
        <f t="shared" si="96"/>
        <v>-1915</v>
      </c>
      <c r="AX296" s="799">
        <f t="shared" si="97"/>
        <v>3</v>
      </c>
    </row>
    <row r="297" spans="1:52" ht="15.75">
      <c r="A297" s="850">
        <v>78</v>
      </c>
      <c r="B297" s="813" t="str">
        <f>VLOOKUP(C297,'[3]DS CN MOI UP'!$B$10:$C$489,2,0)</f>
        <v>02566</v>
      </c>
      <c r="C297" s="825" t="s">
        <v>201</v>
      </c>
      <c r="D297" s="851" t="s">
        <v>15</v>
      </c>
      <c r="E297" s="815"/>
      <c r="F297" s="815"/>
      <c r="G297" s="815"/>
      <c r="H297" s="815"/>
      <c r="I297" s="815"/>
      <c r="J297" s="815"/>
      <c r="K297" s="815"/>
      <c r="L297" s="815"/>
      <c r="M297" s="815"/>
      <c r="N297" s="815">
        <f t="shared" si="85"/>
        <v>0</v>
      </c>
      <c r="O297" s="815">
        <f t="shared" si="86"/>
        <v>0</v>
      </c>
      <c r="P297" s="815">
        <f t="shared" si="87"/>
        <v>0</v>
      </c>
      <c r="Q297" s="815">
        <f t="shared" si="88"/>
        <v>0</v>
      </c>
      <c r="R297" s="815">
        <f t="shared" si="89"/>
        <v>0</v>
      </c>
      <c r="S297" s="815">
        <f t="shared" si="90"/>
        <v>0</v>
      </c>
      <c r="T297" s="815">
        <f t="shared" si="91"/>
        <v>0</v>
      </c>
      <c r="U297" s="815">
        <f t="shared" si="92"/>
        <v>0</v>
      </c>
      <c r="V297" s="815">
        <f t="shared" si="93"/>
        <v>0</v>
      </c>
      <c r="W297" s="815"/>
      <c r="X297" s="815"/>
      <c r="Y297" s="815"/>
      <c r="Z297" s="815"/>
      <c r="AA297" s="830">
        <f t="shared" si="94"/>
        <v>0</v>
      </c>
      <c r="AB297" s="830">
        <f>VLOOKUP(C297,'[3]MỦ TẠP'!$D$10:$AM$450,36,0)</f>
        <v>0</v>
      </c>
      <c r="AC297" s="830"/>
      <c r="AD297" s="830"/>
      <c r="AE297" s="830">
        <f>VLOOKUP(C297,'[3]MỦ TẠP'!$D$10:$AM$450,36,0)</f>
        <v>0</v>
      </c>
      <c r="AF297" s="830"/>
      <c r="AG297" s="830"/>
      <c r="AH297" s="830">
        <f t="shared" si="95"/>
        <v>0</v>
      </c>
      <c r="AI297" s="830">
        <f>VLOOKUP(C297,'[3]CHẤM CÔNG '!$F$10:$AM$451,33,0)</f>
        <v>0</v>
      </c>
      <c r="AJ297" s="830">
        <f>VLOOKUP(C297,'[3]CHẤM CÔNG '!$F$10:$AM$451,34,0)</f>
        <v>0</v>
      </c>
      <c r="AK297" s="830"/>
      <c r="AL297" s="830"/>
      <c r="AM297" s="830"/>
      <c r="AN297" s="830">
        <f>VLOOKUP(C297,'[3]CHẤM CÔNG '!$F$10:$AN$451,35,0)</f>
        <v>0</v>
      </c>
      <c r="AO297" s="830">
        <f>VLOOKUP(C297,'[3]CHẤM CÔNG '!$F$10:$AR$451,36,0)</f>
        <v>0</v>
      </c>
      <c r="AP297" s="830"/>
      <c r="AQ297" s="830"/>
      <c r="AR297" s="830"/>
      <c r="AS297" s="836"/>
      <c r="AT297" s="837">
        <f>VLOOKUP(C297,'[3]MỦ TẠP'!$D$10:$AO$450,38,0)</f>
        <v>0</v>
      </c>
      <c r="AU297" s="801">
        <v>1006</v>
      </c>
      <c r="AV297" s="831">
        <f t="shared" si="96"/>
        <v>-1006</v>
      </c>
      <c r="AX297" s="799">
        <f t="shared" si="97"/>
        <v>3</v>
      </c>
    </row>
    <row r="298" spans="1:52" ht="15.75">
      <c r="A298" s="850">
        <v>79</v>
      </c>
      <c r="B298" s="813" t="str">
        <f>VLOOKUP(C298,'[3]DS CN MOI UP'!$B$10:$C$489,2,0)</f>
        <v>03381</v>
      </c>
      <c r="C298" s="825" t="s">
        <v>202</v>
      </c>
      <c r="D298" s="851" t="s">
        <v>15</v>
      </c>
      <c r="E298" s="815"/>
      <c r="F298" s="815"/>
      <c r="G298" s="815"/>
      <c r="H298" s="815"/>
      <c r="I298" s="815"/>
      <c r="J298" s="815"/>
      <c r="K298" s="815"/>
      <c r="L298" s="815"/>
      <c r="M298" s="815"/>
      <c r="N298" s="815">
        <f t="shared" si="85"/>
        <v>0</v>
      </c>
      <c r="O298" s="815">
        <f t="shared" si="86"/>
        <v>0</v>
      </c>
      <c r="P298" s="815">
        <f t="shared" si="87"/>
        <v>0</v>
      </c>
      <c r="Q298" s="815">
        <f t="shared" si="88"/>
        <v>0</v>
      </c>
      <c r="R298" s="815">
        <f t="shared" si="89"/>
        <v>0</v>
      </c>
      <c r="S298" s="815">
        <f t="shared" si="90"/>
        <v>0</v>
      </c>
      <c r="T298" s="815">
        <f t="shared" si="91"/>
        <v>0</v>
      </c>
      <c r="U298" s="815">
        <f t="shared" si="92"/>
        <v>0</v>
      </c>
      <c r="V298" s="815">
        <f t="shared" si="93"/>
        <v>0</v>
      </c>
      <c r="W298" s="815"/>
      <c r="X298" s="815"/>
      <c r="Y298" s="815"/>
      <c r="Z298" s="815"/>
      <c r="AA298" s="830">
        <f t="shared" si="94"/>
        <v>0</v>
      </c>
      <c r="AB298" s="830">
        <f>VLOOKUP(C298,'[3]MỦ TẠP'!$D$10:$AM$450,36,0)</f>
        <v>0</v>
      </c>
      <c r="AC298" s="830"/>
      <c r="AD298" s="830"/>
      <c r="AE298" s="830">
        <f>VLOOKUP(C298,'[3]MỦ TẠP'!$D$10:$AM$450,36,0)</f>
        <v>0</v>
      </c>
      <c r="AF298" s="830"/>
      <c r="AG298" s="830"/>
      <c r="AH298" s="830">
        <f t="shared" si="95"/>
        <v>0</v>
      </c>
      <c r="AI298" s="830">
        <f>VLOOKUP(C298,'[3]CHẤM CÔNG '!$F$10:$AM$451,33,0)</f>
        <v>0</v>
      </c>
      <c r="AJ298" s="830">
        <f>VLOOKUP(C298,'[3]CHẤM CÔNG '!$F$10:$AM$451,34,0)</f>
        <v>0</v>
      </c>
      <c r="AK298" s="830"/>
      <c r="AL298" s="830"/>
      <c r="AM298" s="830"/>
      <c r="AN298" s="830">
        <f>VLOOKUP(C298,'[3]CHẤM CÔNG '!$F$10:$AN$451,35,0)</f>
        <v>0</v>
      </c>
      <c r="AO298" s="830">
        <f>VLOOKUP(C298,'[3]CHẤM CÔNG '!$F$10:$AR$451,36,0)</f>
        <v>0</v>
      </c>
      <c r="AP298" s="830"/>
      <c r="AQ298" s="830"/>
      <c r="AR298" s="830"/>
      <c r="AS298" s="836"/>
      <c r="AT298" s="837">
        <f>VLOOKUP(C298,'[3]MỦ TẠP'!$D$10:$AO$450,38,0)</f>
        <v>0</v>
      </c>
      <c r="AU298" s="801">
        <v>1099</v>
      </c>
      <c r="AV298" s="831">
        <f t="shared" si="96"/>
        <v>-1099</v>
      </c>
      <c r="AX298" s="799">
        <f t="shared" si="97"/>
        <v>3</v>
      </c>
    </row>
    <row r="299" spans="1:52" ht="15.75">
      <c r="A299" s="850">
        <v>80</v>
      </c>
      <c r="B299" s="813" t="str">
        <f>VLOOKUP(C299,'[3]DS CN MOI UP'!$B$10:$C$489,2,0)</f>
        <v>02689</v>
      </c>
      <c r="C299" s="825" t="s">
        <v>203</v>
      </c>
      <c r="D299" s="851" t="s">
        <v>15</v>
      </c>
      <c r="E299" s="815"/>
      <c r="F299" s="815"/>
      <c r="G299" s="815"/>
      <c r="H299" s="815"/>
      <c r="I299" s="815"/>
      <c r="J299" s="815"/>
      <c r="K299" s="815"/>
      <c r="L299" s="815"/>
      <c r="M299" s="815"/>
      <c r="N299" s="815">
        <f t="shared" si="85"/>
        <v>0</v>
      </c>
      <c r="O299" s="815">
        <f t="shared" si="86"/>
        <v>0</v>
      </c>
      <c r="P299" s="815">
        <f t="shared" si="87"/>
        <v>0</v>
      </c>
      <c r="Q299" s="815">
        <f t="shared" si="88"/>
        <v>0</v>
      </c>
      <c r="R299" s="815">
        <f t="shared" si="89"/>
        <v>0</v>
      </c>
      <c r="S299" s="815">
        <f t="shared" si="90"/>
        <v>0</v>
      </c>
      <c r="T299" s="815">
        <f t="shared" si="91"/>
        <v>0</v>
      </c>
      <c r="U299" s="815">
        <f t="shared" si="92"/>
        <v>0</v>
      </c>
      <c r="V299" s="815">
        <f t="shared" si="93"/>
        <v>0</v>
      </c>
      <c r="W299" s="815"/>
      <c r="X299" s="815"/>
      <c r="Y299" s="815"/>
      <c r="Z299" s="815"/>
      <c r="AA299" s="830">
        <f t="shared" si="94"/>
        <v>0</v>
      </c>
      <c r="AB299" s="830">
        <f>VLOOKUP(C299,'[3]MỦ TẠP'!$D$10:$AM$450,36,0)</f>
        <v>0</v>
      </c>
      <c r="AC299" s="830"/>
      <c r="AD299" s="830"/>
      <c r="AE299" s="830">
        <f>VLOOKUP(C299,'[3]MỦ TẠP'!$D$10:$AM$450,36,0)</f>
        <v>0</v>
      </c>
      <c r="AF299" s="830"/>
      <c r="AG299" s="830"/>
      <c r="AH299" s="830">
        <f t="shared" si="95"/>
        <v>0</v>
      </c>
      <c r="AI299" s="830">
        <f>VLOOKUP(C299,'[3]CHẤM CÔNG '!$F$10:$AM$451,33,0)</f>
        <v>0</v>
      </c>
      <c r="AJ299" s="830">
        <f>VLOOKUP(C299,'[3]CHẤM CÔNG '!$F$10:$AM$451,34,0)</f>
        <v>0</v>
      </c>
      <c r="AK299" s="830"/>
      <c r="AL299" s="830"/>
      <c r="AM299" s="830"/>
      <c r="AN299" s="830">
        <f>VLOOKUP(C299,'[3]CHẤM CÔNG '!$F$10:$AN$451,35,0)</f>
        <v>0</v>
      </c>
      <c r="AO299" s="830">
        <f>VLOOKUP(C299,'[3]CHẤM CÔNG '!$F$10:$AR$451,36,0)</f>
        <v>0</v>
      </c>
      <c r="AP299" s="830"/>
      <c r="AQ299" s="830"/>
      <c r="AR299" s="830"/>
      <c r="AS299" s="836"/>
      <c r="AT299" s="837">
        <f>VLOOKUP(C299,'[3]MỦ TẠP'!$D$10:$AO$450,38,0)</f>
        <v>0</v>
      </c>
      <c r="AU299" s="801">
        <v>947</v>
      </c>
      <c r="AV299" s="831">
        <f t="shared" si="96"/>
        <v>-947</v>
      </c>
      <c r="AX299" s="799">
        <f t="shared" si="97"/>
        <v>3</v>
      </c>
    </row>
    <row r="300" spans="1:52" ht="15.75">
      <c r="A300" s="850">
        <v>81</v>
      </c>
      <c r="B300" s="813" t="str">
        <f>VLOOKUP(C300,'[3]DS CN MOI UP'!$B$10:$C$489,2,0)</f>
        <v>02546</v>
      </c>
      <c r="C300" s="825" t="s">
        <v>204</v>
      </c>
      <c r="D300" s="851" t="s">
        <v>15</v>
      </c>
      <c r="E300" s="815"/>
      <c r="F300" s="815"/>
      <c r="G300" s="815"/>
      <c r="H300" s="815"/>
      <c r="I300" s="815"/>
      <c r="J300" s="815"/>
      <c r="K300" s="815"/>
      <c r="L300" s="815"/>
      <c r="M300" s="815"/>
      <c r="N300" s="815">
        <f t="shared" si="85"/>
        <v>0</v>
      </c>
      <c r="O300" s="815">
        <f t="shared" si="86"/>
        <v>0</v>
      </c>
      <c r="P300" s="815">
        <f t="shared" si="87"/>
        <v>0</v>
      </c>
      <c r="Q300" s="815">
        <f t="shared" si="88"/>
        <v>0</v>
      </c>
      <c r="R300" s="815">
        <f t="shared" si="89"/>
        <v>0</v>
      </c>
      <c r="S300" s="815">
        <f t="shared" si="90"/>
        <v>0</v>
      </c>
      <c r="T300" s="815">
        <f t="shared" si="91"/>
        <v>0</v>
      </c>
      <c r="U300" s="815">
        <f t="shared" si="92"/>
        <v>0</v>
      </c>
      <c r="V300" s="815">
        <f t="shared" si="93"/>
        <v>0</v>
      </c>
      <c r="W300" s="815"/>
      <c r="X300" s="815"/>
      <c r="Y300" s="815"/>
      <c r="Z300" s="815"/>
      <c r="AA300" s="830">
        <f t="shared" si="94"/>
        <v>0</v>
      </c>
      <c r="AB300" s="830">
        <f>VLOOKUP(C300,'[3]MỦ TẠP'!$D$10:$AM$450,36,0)</f>
        <v>0</v>
      </c>
      <c r="AC300" s="830"/>
      <c r="AD300" s="830"/>
      <c r="AE300" s="830">
        <f>VLOOKUP(C300,'[3]MỦ TẠP'!$D$10:$AM$450,36,0)</f>
        <v>0</v>
      </c>
      <c r="AF300" s="830"/>
      <c r="AG300" s="830"/>
      <c r="AH300" s="830">
        <f t="shared" si="95"/>
        <v>0</v>
      </c>
      <c r="AI300" s="830">
        <f>VLOOKUP(C300,'[3]CHẤM CÔNG '!$F$10:$AM$451,33,0)</f>
        <v>0</v>
      </c>
      <c r="AJ300" s="830">
        <f>VLOOKUP(C300,'[3]CHẤM CÔNG '!$F$10:$AM$451,34,0)</f>
        <v>0</v>
      </c>
      <c r="AK300" s="830"/>
      <c r="AL300" s="830"/>
      <c r="AM300" s="830"/>
      <c r="AN300" s="830">
        <f>VLOOKUP(C300,'[3]CHẤM CÔNG '!$F$10:$AN$451,35,0)</f>
        <v>0</v>
      </c>
      <c r="AO300" s="830">
        <f>VLOOKUP(C300,'[3]CHẤM CÔNG '!$F$10:$AR$451,36,0)</f>
        <v>0</v>
      </c>
      <c r="AP300" s="830"/>
      <c r="AQ300" s="830"/>
      <c r="AR300" s="830"/>
      <c r="AS300" s="836"/>
      <c r="AT300" s="837">
        <f>VLOOKUP(C300,'[3]MỦ TẠP'!$D$10:$AO$450,38,0)</f>
        <v>0</v>
      </c>
      <c r="AU300" s="801">
        <v>1771</v>
      </c>
      <c r="AV300" s="831">
        <f t="shared" si="96"/>
        <v>-1771</v>
      </c>
      <c r="AX300" s="799">
        <f t="shared" si="97"/>
        <v>3</v>
      </c>
    </row>
    <row r="301" spans="1:52" ht="15.75">
      <c r="A301" s="850">
        <v>82</v>
      </c>
      <c r="B301" s="813" t="str">
        <f>VLOOKUP(C301,'[3]DS CN MOI UP'!$B$10:$C$489,2,0)</f>
        <v>02559</v>
      </c>
      <c r="C301" s="825" t="s">
        <v>205</v>
      </c>
      <c r="D301" s="851" t="s">
        <v>15</v>
      </c>
      <c r="E301" s="815"/>
      <c r="F301" s="815"/>
      <c r="G301" s="815"/>
      <c r="H301" s="815"/>
      <c r="I301" s="815"/>
      <c r="J301" s="815"/>
      <c r="K301" s="815"/>
      <c r="L301" s="815"/>
      <c r="M301" s="815"/>
      <c r="N301" s="815">
        <f t="shared" si="85"/>
        <v>0</v>
      </c>
      <c r="O301" s="815">
        <f t="shared" si="86"/>
        <v>0</v>
      </c>
      <c r="P301" s="815">
        <f t="shared" si="87"/>
        <v>0</v>
      </c>
      <c r="Q301" s="815">
        <f t="shared" si="88"/>
        <v>0</v>
      </c>
      <c r="R301" s="815">
        <f t="shared" si="89"/>
        <v>0</v>
      </c>
      <c r="S301" s="815">
        <f t="shared" si="90"/>
        <v>0</v>
      </c>
      <c r="T301" s="815">
        <f t="shared" si="91"/>
        <v>0</v>
      </c>
      <c r="U301" s="815">
        <f t="shared" si="92"/>
        <v>0</v>
      </c>
      <c r="V301" s="815">
        <f t="shared" si="93"/>
        <v>0</v>
      </c>
      <c r="W301" s="815"/>
      <c r="X301" s="815"/>
      <c r="Y301" s="815"/>
      <c r="Z301" s="815"/>
      <c r="AA301" s="830">
        <f t="shared" si="94"/>
        <v>0</v>
      </c>
      <c r="AB301" s="830">
        <f>VLOOKUP(C301,'[3]MỦ TẠP'!$D$10:$AM$450,36,0)</f>
        <v>0</v>
      </c>
      <c r="AC301" s="830"/>
      <c r="AD301" s="830"/>
      <c r="AE301" s="830">
        <f>VLOOKUP(C301,'[3]MỦ TẠP'!$D$10:$AM$450,36,0)</f>
        <v>0</v>
      </c>
      <c r="AF301" s="830"/>
      <c r="AG301" s="830"/>
      <c r="AH301" s="830">
        <f t="shared" si="95"/>
        <v>0</v>
      </c>
      <c r="AI301" s="830">
        <f>VLOOKUP(C301,'[3]CHẤM CÔNG '!$F$10:$AM$451,33,0)</f>
        <v>0</v>
      </c>
      <c r="AJ301" s="830">
        <f>VLOOKUP(C301,'[3]CHẤM CÔNG '!$F$10:$AM$451,34,0)</f>
        <v>0</v>
      </c>
      <c r="AK301" s="830"/>
      <c r="AL301" s="830"/>
      <c r="AM301" s="830"/>
      <c r="AN301" s="830">
        <f>VLOOKUP(C301,'[3]CHẤM CÔNG '!$F$10:$AN$451,35,0)</f>
        <v>0</v>
      </c>
      <c r="AO301" s="830">
        <f>VLOOKUP(C301,'[3]CHẤM CÔNG '!$F$10:$AR$451,36,0)</f>
        <v>0</v>
      </c>
      <c r="AP301" s="830"/>
      <c r="AQ301" s="830"/>
      <c r="AR301" s="830"/>
      <c r="AS301" s="836"/>
      <c r="AT301" s="837">
        <f>VLOOKUP(C301,'[3]MỦ TẠP'!$D$10:$AO$450,38,0)</f>
        <v>0</v>
      </c>
      <c r="AU301" s="801">
        <v>1852</v>
      </c>
      <c r="AV301" s="831">
        <f t="shared" si="96"/>
        <v>-1852</v>
      </c>
      <c r="AX301" s="799">
        <f t="shared" si="97"/>
        <v>3</v>
      </c>
    </row>
    <row r="302" spans="1:52">
      <c r="A302" s="847" t="s">
        <v>522</v>
      </c>
      <c r="B302" s="813"/>
      <c r="C302" s="848"/>
      <c r="D302" s="849"/>
      <c r="E302" s="823">
        <f t="shared" ref="E302:AE302" si="98">SUM(E303:E380)</f>
        <v>6</v>
      </c>
      <c r="F302" s="823">
        <f t="shared" si="98"/>
        <v>189</v>
      </c>
      <c r="G302" s="823">
        <f t="shared" si="98"/>
        <v>46</v>
      </c>
      <c r="H302" s="823">
        <f t="shared" si="98"/>
        <v>241</v>
      </c>
      <c r="I302" s="823">
        <f t="shared" si="98"/>
        <v>0</v>
      </c>
      <c r="J302" s="823">
        <f t="shared" si="98"/>
        <v>69</v>
      </c>
      <c r="K302" s="823">
        <f t="shared" si="98"/>
        <v>235</v>
      </c>
      <c r="L302" s="823">
        <f t="shared" si="98"/>
        <v>235</v>
      </c>
      <c r="M302" s="823">
        <f t="shared" si="98"/>
        <v>69</v>
      </c>
      <c r="N302" s="823">
        <f t="shared" si="98"/>
        <v>35.999999999999929</v>
      </c>
      <c r="O302" s="823">
        <f t="shared" si="98"/>
        <v>1209.5999999999985</v>
      </c>
      <c r="P302" s="823">
        <f t="shared" si="98"/>
        <v>368</v>
      </c>
      <c r="Q302" s="823">
        <f t="shared" si="98"/>
        <v>964</v>
      </c>
      <c r="R302" s="823">
        <f t="shared" si="98"/>
        <v>0</v>
      </c>
      <c r="S302" s="823">
        <f t="shared" si="98"/>
        <v>138</v>
      </c>
      <c r="T302" s="823">
        <f t="shared" si="98"/>
        <v>235</v>
      </c>
      <c r="U302" s="823">
        <f t="shared" si="98"/>
        <v>235</v>
      </c>
      <c r="V302" s="823">
        <f t="shared" si="98"/>
        <v>69</v>
      </c>
      <c r="W302" s="823">
        <f t="shared" si="98"/>
        <v>0</v>
      </c>
      <c r="X302" s="823">
        <f t="shared" si="98"/>
        <v>0</v>
      </c>
      <c r="Y302" s="823">
        <f t="shared" si="98"/>
        <v>0</v>
      </c>
      <c r="Z302" s="823">
        <f t="shared" si="98"/>
        <v>0</v>
      </c>
      <c r="AA302" s="823">
        <f t="shared" si="98"/>
        <v>3254.6000000000008</v>
      </c>
      <c r="AB302" s="823" t="e">
        <f t="shared" si="98"/>
        <v>#N/A</v>
      </c>
      <c r="AC302" s="823">
        <f t="shared" si="98"/>
        <v>0</v>
      </c>
      <c r="AD302" s="823">
        <f t="shared" si="98"/>
        <v>0</v>
      </c>
      <c r="AE302" s="823" t="e">
        <f t="shared" si="98"/>
        <v>#N/A</v>
      </c>
      <c r="AF302" s="823"/>
      <c r="AG302" s="823">
        <f>SUM(AG303:AG380)</f>
        <v>0</v>
      </c>
      <c r="AH302" s="823" t="e">
        <f>SUM(AH303:AH380)</f>
        <v>#N/A</v>
      </c>
      <c r="AI302" s="823" t="e">
        <f>SUM(AI303:AI380)</f>
        <v>#N/A</v>
      </c>
      <c r="AJ302" s="823" t="e">
        <f>SUM(AJ303:AJ380)</f>
        <v>#N/A</v>
      </c>
      <c r="AK302" s="830"/>
      <c r="AL302" s="823"/>
      <c r="AM302" s="823">
        <f t="shared" ref="AM302:AZ302" si="99">SUM(AM303:AM380)</f>
        <v>0</v>
      </c>
      <c r="AN302" s="823" t="e">
        <f t="shared" si="99"/>
        <v>#N/A</v>
      </c>
      <c r="AO302" s="823" t="e">
        <f t="shared" si="99"/>
        <v>#N/A</v>
      </c>
      <c r="AP302" s="823">
        <f t="shared" si="99"/>
        <v>0</v>
      </c>
      <c r="AQ302" s="823">
        <f t="shared" si="99"/>
        <v>0</v>
      </c>
      <c r="AR302" s="823">
        <f t="shared" si="99"/>
        <v>0</v>
      </c>
      <c r="AS302" s="823">
        <f t="shared" si="99"/>
        <v>0</v>
      </c>
      <c r="AT302" s="823" t="e">
        <f t="shared" si="99"/>
        <v>#N/A</v>
      </c>
      <c r="AU302" s="823" t="e">
        <f t="shared" si="99"/>
        <v>#N/A</v>
      </c>
      <c r="AV302" s="823">
        <f t="shared" si="99"/>
        <v>0</v>
      </c>
      <c r="AW302" s="823" t="e">
        <f t="shared" si="99"/>
        <v>#N/A</v>
      </c>
      <c r="AX302" s="823" t="e">
        <f t="shared" si="99"/>
        <v>#N/A</v>
      </c>
      <c r="AY302" s="823" t="e">
        <f t="shared" si="99"/>
        <v>#N/A</v>
      </c>
      <c r="AZ302" s="823">
        <f t="shared" si="99"/>
        <v>63</v>
      </c>
    </row>
    <row r="303" spans="1:52" ht="15.75">
      <c r="A303" s="850">
        <v>1</v>
      </c>
      <c r="B303" s="813" t="str">
        <f>VLOOKUP(C303,'[3]DS CN MOI UP'!$B$10:$C$489,2,0)</f>
        <v>02615</v>
      </c>
      <c r="C303" s="112" t="s">
        <v>206</v>
      </c>
      <c r="D303" s="855" t="s">
        <v>15</v>
      </c>
      <c r="E303" s="815"/>
      <c r="F303" s="815">
        <v>3</v>
      </c>
      <c r="G303" s="815"/>
      <c r="H303" s="815">
        <v>3</v>
      </c>
      <c r="I303" s="815"/>
      <c r="J303" s="815">
        <v>1</v>
      </c>
      <c r="K303" s="815">
        <v>3</v>
      </c>
      <c r="L303" s="815">
        <v>3</v>
      </c>
      <c r="M303" s="815">
        <v>1</v>
      </c>
      <c r="N303" s="815">
        <f t="shared" ref="N303:N366" si="100">E303/$N$8</f>
        <v>0</v>
      </c>
      <c r="O303" s="815">
        <f t="shared" ref="O303:O366" si="101">F303/$O$8</f>
        <v>19.2</v>
      </c>
      <c r="P303" s="815">
        <f t="shared" ref="P303:P366" si="102">G303/$P$8</f>
        <v>0</v>
      </c>
      <c r="Q303" s="815">
        <f t="shared" ref="Q303:Q366" si="103">H303/$Q$8</f>
        <v>12</v>
      </c>
      <c r="R303" s="815">
        <f t="shared" ref="R303:R366" si="104">I303/$R$8</f>
        <v>0</v>
      </c>
      <c r="S303" s="815">
        <f t="shared" ref="S303:S366" si="105">J303/$S$8</f>
        <v>2</v>
      </c>
      <c r="T303" s="815">
        <f t="shared" ref="T303:T366" si="106">K303/$T$8</f>
        <v>3</v>
      </c>
      <c r="U303" s="815">
        <f t="shared" ref="U303:U366" si="107">L303/$U$8</f>
        <v>3</v>
      </c>
      <c r="V303" s="815">
        <f t="shared" ref="V303:V366" si="108">M303/$V$8</f>
        <v>1</v>
      </c>
      <c r="W303" s="815"/>
      <c r="X303" s="815"/>
      <c r="Y303" s="815"/>
      <c r="Z303" s="815"/>
      <c r="AA303" s="830">
        <f t="shared" ref="AA303:AA366" si="109">SUM(N303:Z303)</f>
        <v>40.200000000000003</v>
      </c>
      <c r="AB303" s="830">
        <f>VLOOKUP(C303,'[3]MỦ TẠP'!$D$10:$AM$450,36,0)</f>
        <v>0</v>
      </c>
      <c r="AC303" s="830"/>
      <c r="AD303" s="830"/>
      <c r="AE303" s="830">
        <f>VLOOKUP(C303,'[3]MỦ TẠP'!$D$10:$AM$450,36,0)</f>
        <v>0</v>
      </c>
      <c r="AF303" s="830"/>
      <c r="AG303" s="830"/>
      <c r="AH303" s="830">
        <f t="shared" ref="AH303:AH366" si="110">AE303*$AV$17+AF303*$AV$10+$AV$11*AG303</f>
        <v>0</v>
      </c>
      <c r="AI303" s="830">
        <f>VLOOKUP(C303,'[3]CHẤM CÔNG '!$F$10:$AM$451,33,0)</f>
        <v>0</v>
      </c>
      <c r="AJ303" s="830">
        <f>VLOOKUP(C303,'[3]CHẤM CÔNG '!$F$10:$AM$451,34,0)</f>
        <v>0</v>
      </c>
      <c r="AK303" s="830"/>
      <c r="AL303" s="830"/>
      <c r="AM303" s="830"/>
      <c r="AN303" s="830">
        <f>VLOOKUP(C303,'[3]CHẤM CÔNG '!$F$10:$AN$451,35,0)</f>
        <v>0</v>
      </c>
      <c r="AO303" s="830">
        <f>VLOOKUP(C303,'[3]CHẤM CÔNG '!$F$10:$AR$451,36,0)</f>
        <v>0</v>
      </c>
      <c r="AP303" s="830"/>
      <c r="AQ303" s="830"/>
      <c r="AR303" s="830"/>
      <c r="AS303" s="836"/>
      <c r="AT303" s="837">
        <f>VLOOKUP(C303,'[3]MỦ TẠP'!$D$10:$AO$450,38,0)</f>
        <v>0</v>
      </c>
      <c r="AU303" s="831" t="e">
        <f>SUM(AE303:AE373)</f>
        <v>#N/A</v>
      </c>
      <c r="AV303" s="831">
        <f>SUM(AF303:AF373)</f>
        <v>0</v>
      </c>
      <c r="AW303" s="831" t="e">
        <f>SUM(AH303:AH373)</f>
        <v>#N/A</v>
      </c>
      <c r="AX303" s="831" t="e">
        <f>SUM(AI303:AI373)</f>
        <v>#N/A</v>
      </c>
      <c r="AY303" s="831" t="e">
        <f>SUM(AJ303:AJ373)</f>
        <v>#N/A</v>
      </c>
      <c r="AZ303" s="831">
        <f>SUM(AK303:AK373)</f>
        <v>0</v>
      </c>
    </row>
    <row r="304" spans="1:52" ht="15.75">
      <c r="A304" s="850">
        <v>2</v>
      </c>
      <c r="B304" s="813" t="str">
        <f>VLOOKUP(C304,'[3]DS CN MOI UP'!$B$10:$C$489,2,0)</f>
        <v>02594</v>
      </c>
      <c r="C304" s="112" t="s">
        <v>207</v>
      </c>
      <c r="D304" s="855" t="s">
        <v>15</v>
      </c>
      <c r="E304" s="815"/>
      <c r="F304" s="815">
        <v>3</v>
      </c>
      <c r="G304" s="815"/>
      <c r="H304" s="815">
        <v>3</v>
      </c>
      <c r="I304" s="815"/>
      <c r="J304" s="815">
        <v>1</v>
      </c>
      <c r="K304" s="815">
        <v>3</v>
      </c>
      <c r="L304" s="815">
        <v>3</v>
      </c>
      <c r="M304" s="815">
        <v>1</v>
      </c>
      <c r="N304" s="815">
        <f t="shared" si="100"/>
        <v>0</v>
      </c>
      <c r="O304" s="815">
        <f t="shared" si="101"/>
        <v>19.2</v>
      </c>
      <c r="P304" s="815">
        <f t="shared" si="102"/>
        <v>0</v>
      </c>
      <c r="Q304" s="815">
        <f t="shared" si="103"/>
        <v>12</v>
      </c>
      <c r="R304" s="815">
        <f t="shared" si="104"/>
        <v>0</v>
      </c>
      <c r="S304" s="815">
        <f t="shared" si="105"/>
        <v>2</v>
      </c>
      <c r="T304" s="815">
        <f t="shared" si="106"/>
        <v>3</v>
      </c>
      <c r="U304" s="815">
        <f t="shared" si="107"/>
        <v>3</v>
      </c>
      <c r="V304" s="815">
        <f t="shared" si="108"/>
        <v>1</v>
      </c>
      <c r="W304" s="815"/>
      <c r="X304" s="815"/>
      <c r="Y304" s="815"/>
      <c r="Z304" s="815"/>
      <c r="AA304" s="830">
        <f t="shared" si="109"/>
        <v>40.200000000000003</v>
      </c>
      <c r="AB304" s="830">
        <f>VLOOKUP(C304,'[3]MỦ TẠP'!$D$10:$AM$450,36,0)</f>
        <v>0</v>
      </c>
      <c r="AC304" s="830"/>
      <c r="AD304" s="830"/>
      <c r="AE304" s="830">
        <f>VLOOKUP(C304,'[3]MỦ TẠP'!$D$10:$AM$450,36,0)</f>
        <v>0</v>
      </c>
      <c r="AF304" s="830"/>
      <c r="AG304" s="830"/>
      <c r="AH304" s="830">
        <f t="shared" si="110"/>
        <v>0</v>
      </c>
      <c r="AI304" s="830">
        <f>VLOOKUP(C304,'[3]CHẤM CÔNG '!$F$10:$AM$451,33,0)</f>
        <v>0</v>
      </c>
      <c r="AJ304" s="830">
        <f>VLOOKUP(C304,'[3]CHẤM CÔNG '!$F$10:$AM$451,34,0)</f>
        <v>0</v>
      </c>
      <c r="AK304" s="830"/>
      <c r="AL304" s="830"/>
      <c r="AM304" s="830"/>
      <c r="AN304" s="830">
        <f>VLOOKUP(C304,'[3]CHẤM CÔNG '!$F$10:$AN$451,35,0)</f>
        <v>0</v>
      </c>
      <c r="AO304" s="830">
        <f>VLOOKUP(C304,'[3]CHẤM CÔNG '!$F$10:$AR$451,36,0)</f>
        <v>0</v>
      </c>
      <c r="AP304" s="830"/>
      <c r="AQ304" s="830"/>
      <c r="AR304" s="830"/>
      <c r="AS304" s="836"/>
      <c r="AT304" s="837">
        <f>VLOOKUP(C304,'[3]MỦ TẠP'!$D$10:$AO$450,38,0)</f>
        <v>0</v>
      </c>
      <c r="AU304" s="831" t="e">
        <f>+AE302-AU303</f>
        <v>#N/A</v>
      </c>
      <c r="AV304" s="831">
        <f>+AF302-AV303</f>
        <v>0</v>
      </c>
      <c r="AW304" s="831" t="e">
        <f>+AH302-AW303</f>
        <v>#N/A</v>
      </c>
      <c r="AX304" s="831" t="e">
        <f>+AI302-AX303</f>
        <v>#N/A</v>
      </c>
      <c r="AY304" s="831" t="e">
        <f>+AJ302-AY303</f>
        <v>#N/A</v>
      </c>
    </row>
    <row r="305" spans="1:52" ht="15.75">
      <c r="A305" s="850">
        <v>3</v>
      </c>
      <c r="B305" s="813" t="str">
        <f>VLOOKUP(C305,'[3]DS CN MOI UP'!$B$10:$C$489,2,0)</f>
        <v>02596</v>
      </c>
      <c r="C305" s="112" t="s">
        <v>208</v>
      </c>
      <c r="D305" s="855" t="s">
        <v>15</v>
      </c>
      <c r="E305" s="815"/>
      <c r="F305" s="815">
        <v>3</v>
      </c>
      <c r="G305" s="815"/>
      <c r="H305" s="815">
        <v>3</v>
      </c>
      <c r="I305" s="815"/>
      <c r="J305" s="815">
        <v>1</v>
      </c>
      <c r="K305" s="815">
        <v>3</v>
      </c>
      <c r="L305" s="815">
        <v>3</v>
      </c>
      <c r="M305" s="815">
        <v>1</v>
      </c>
      <c r="N305" s="815">
        <f t="shared" si="100"/>
        <v>0</v>
      </c>
      <c r="O305" s="815">
        <f t="shared" si="101"/>
        <v>19.2</v>
      </c>
      <c r="P305" s="815">
        <f t="shared" si="102"/>
        <v>0</v>
      </c>
      <c r="Q305" s="815">
        <f t="shared" si="103"/>
        <v>12</v>
      </c>
      <c r="R305" s="815">
        <f t="shared" si="104"/>
        <v>0</v>
      </c>
      <c r="S305" s="815">
        <f t="shared" si="105"/>
        <v>2</v>
      </c>
      <c r="T305" s="815">
        <f t="shared" si="106"/>
        <v>3</v>
      </c>
      <c r="U305" s="815">
        <f t="shared" si="107"/>
        <v>3</v>
      </c>
      <c r="V305" s="815">
        <f t="shared" si="108"/>
        <v>1</v>
      </c>
      <c r="W305" s="815"/>
      <c r="X305" s="815"/>
      <c r="Y305" s="815"/>
      <c r="Z305" s="815"/>
      <c r="AA305" s="830">
        <f t="shared" si="109"/>
        <v>40.200000000000003</v>
      </c>
      <c r="AB305" s="830">
        <f>VLOOKUP(C305,'[3]MỦ TẠP'!$D$10:$AM$450,36,0)</f>
        <v>0</v>
      </c>
      <c r="AC305" s="830"/>
      <c r="AD305" s="830"/>
      <c r="AE305" s="830">
        <f>VLOOKUP(C305,'[3]MỦ TẠP'!$D$10:$AM$450,36,0)</f>
        <v>0</v>
      </c>
      <c r="AF305" s="830"/>
      <c r="AG305" s="830"/>
      <c r="AH305" s="830">
        <f t="shared" si="110"/>
        <v>0</v>
      </c>
      <c r="AI305" s="830">
        <f>VLOOKUP(C305,'[3]CHẤM CÔNG '!$F$10:$AM$451,33,0)</f>
        <v>0</v>
      </c>
      <c r="AJ305" s="830">
        <f>VLOOKUP(C305,'[3]CHẤM CÔNG '!$F$10:$AM$451,34,0)</f>
        <v>0</v>
      </c>
      <c r="AK305" s="830"/>
      <c r="AL305" s="830"/>
      <c r="AM305" s="830"/>
      <c r="AN305" s="830">
        <f>VLOOKUP(C305,'[3]CHẤM CÔNG '!$F$10:$AN$451,35,0)</f>
        <v>0</v>
      </c>
      <c r="AO305" s="830">
        <f>VLOOKUP(C305,'[3]CHẤM CÔNG '!$F$10:$AR$451,36,0)</f>
        <v>0</v>
      </c>
      <c r="AP305" s="830"/>
      <c r="AQ305" s="830"/>
      <c r="AR305" s="830"/>
      <c r="AS305" s="836"/>
      <c r="AT305" s="837">
        <f>VLOOKUP(C305,'[3]MỦ TẠP'!$D$10:$AO$450,38,0)</f>
        <v>0</v>
      </c>
      <c r="AX305" s="799">
        <f t="shared" ref="AX305:AX368" si="111">3-AZ305</f>
        <v>3</v>
      </c>
    </row>
    <row r="306" spans="1:52" ht="15.75">
      <c r="A306" s="850">
        <v>4</v>
      </c>
      <c r="B306" s="813" t="str">
        <f>VLOOKUP(C306,'[3]DS CN MOI UP'!$B$10:$C$489,2,0)</f>
        <v>02601</v>
      </c>
      <c r="C306" s="112" t="s">
        <v>209</v>
      </c>
      <c r="D306" s="855" t="s">
        <v>15</v>
      </c>
      <c r="E306" s="815"/>
      <c r="F306" s="815">
        <v>3</v>
      </c>
      <c r="G306" s="815"/>
      <c r="H306" s="815">
        <v>3</v>
      </c>
      <c r="I306" s="815"/>
      <c r="J306" s="815">
        <v>1</v>
      </c>
      <c r="K306" s="815">
        <v>3</v>
      </c>
      <c r="L306" s="815">
        <v>3</v>
      </c>
      <c r="M306" s="815">
        <v>1</v>
      </c>
      <c r="N306" s="815">
        <f t="shared" si="100"/>
        <v>0</v>
      </c>
      <c r="O306" s="815">
        <f t="shared" si="101"/>
        <v>19.2</v>
      </c>
      <c r="P306" s="815">
        <f t="shared" si="102"/>
        <v>0</v>
      </c>
      <c r="Q306" s="815">
        <f t="shared" si="103"/>
        <v>12</v>
      </c>
      <c r="R306" s="815">
        <f t="shared" si="104"/>
        <v>0</v>
      </c>
      <c r="S306" s="815">
        <f t="shared" si="105"/>
        <v>2</v>
      </c>
      <c r="T306" s="815">
        <f t="shared" si="106"/>
        <v>3</v>
      </c>
      <c r="U306" s="815">
        <f t="shared" si="107"/>
        <v>3</v>
      </c>
      <c r="V306" s="815">
        <f t="shared" si="108"/>
        <v>1</v>
      </c>
      <c r="W306" s="815"/>
      <c r="X306" s="815"/>
      <c r="Y306" s="815"/>
      <c r="Z306" s="815"/>
      <c r="AA306" s="830">
        <f t="shared" si="109"/>
        <v>40.200000000000003</v>
      </c>
      <c r="AB306" s="830">
        <f>VLOOKUP(C306,'[3]MỦ TẠP'!$D$10:$AM$450,36,0)</f>
        <v>0</v>
      </c>
      <c r="AC306" s="830"/>
      <c r="AD306" s="830"/>
      <c r="AE306" s="830">
        <f>VLOOKUP(C306,'[3]MỦ TẠP'!$D$10:$AM$450,36,0)</f>
        <v>0</v>
      </c>
      <c r="AF306" s="830"/>
      <c r="AG306" s="830"/>
      <c r="AH306" s="830">
        <f t="shared" si="110"/>
        <v>0</v>
      </c>
      <c r="AI306" s="830">
        <f>VLOOKUP(C306,'[3]CHẤM CÔNG '!$F$10:$AM$451,33,0)</f>
        <v>0</v>
      </c>
      <c r="AJ306" s="830">
        <f>VLOOKUP(C306,'[3]CHẤM CÔNG '!$F$10:$AM$451,34,0)</f>
        <v>0</v>
      </c>
      <c r="AK306" s="830"/>
      <c r="AL306" s="830"/>
      <c r="AM306" s="830"/>
      <c r="AN306" s="830">
        <f>VLOOKUP(C306,'[3]CHẤM CÔNG '!$F$10:$AN$451,35,0)</f>
        <v>0</v>
      </c>
      <c r="AO306" s="830">
        <f>VLOOKUP(C306,'[3]CHẤM CÔNG '!$F$10:$AR$451,36,0)</f>
        <v>0</v>
      </c>
      <c r="AP306" s="830"/>
      <c r="AQ306" s="830"/>
      <c r="AR306" s="830"/>
      <c r="AS306" s="836"/>
      <c r="AT306" s="837">
        <f>VLOOKUP(C306,'[3]MỦ TẠP'!$D$10:$AO$450,38,0)</f>
        <v>0</v>
      </c>
      <c r="AX306" s="799">
        <f t="shared" si="111"/>
        <v>3</v>
      </c>
    </row>
    <row r="307" spans="1:52" ht="15.75">
      <c r="A307" s="850">
        <v>5</v>
      </c>
      <c r="B307" s="813" t="str">
        <f>VLOOKUP(C307,'[3]DS CN MOI UP'!$B$10:$C$489,2,0)</f>
        <v>02697</v>
      </c>
      <c r="C307" s="112" t="s">
        <v>210</v>
      </c>
      <c r="D307" s="855" t="s">
        <v>15</v>
      </c>
      <c r="E307" s="815"/>
      <c r="F307" s="815">
        <v>3</v>
      </c>
      <c r="G307" s="815"/>
      <c r="H307" s="815">
        <v>3</v>
      </c>
      <c r="I307" s="815"/>
      <c r="J307" s="815">
        <v>1</v>
      </c>
      <c r="K307" s="815">
        <v>3</v>
      </c>
      <c r="L307" s="815">
        <v>3</v>
      </c>
      <c r="M307" s="815">
        <v>1</v>
      </c>
      <c r="N307" s="815">
        <f t="shared" si="100"/>
        <v>0</v>
      </c>
      <c r="O307" s="815">
        <f t="shared" si="101"/>
        <v>19.2</v>
      </c>
      <c r="P307" s="815">
        <f t="shared" si="102"/>
        <v>0</v>
      </c>
      <c r="Q307" s="815">
        <f t="shared" si="103"/>
        <v>12</v>
      </c>
      <c r="R307" s="815">
        <f t="shared" si="104"/>
        <v>0</v>
      </c>
      <c r="S307" s="815">
        <f t="shared" si="105"/>
        <v>2</v>
      </c>
      <c r="T307" s="815">
        <f t="shared" si="106"/>
        <v>3</v>
      </c>
      <c r="U307" s="815">
        <f t="shared" si="107"/>
        <v>3</v>
      </c>
      <c r="V307" s="815">
        <f t="shared" si="108"/>
        <v>1</v>
      </c>
      <c r="W307" s="815"/>
      <c r="X307" s="815"/>
      <c r="Y307" s="815"/>
      <c r="Z307" s="815"/>
      <c r="AA307" s="830">
        <f t="shared" si="109"/>
        <v>40.200000000000003</v>
      </c>
      <c r="AB307" s="830">
        <f>VLOOKUP(C307,'[3]MỦ TẠP'!$D$10:$AM$450,36,0)</f>
        <v>0</v>
      </c>
      <c r="AC307" s="830"/>
      <c r="AD307" s="830"/>
      <c r="AE307" s="830">
        <f>VLOOKUP(C307,'[3]MỦ TẠP'!$D$10:$AM$450,36,0)</f>
        <v>0</v>
      </c>
      <c r="AF307" s="830"/>
      <c r="AG307" s="830"/>
      <c r="AH307" s="830">
        <f t="shared" si="110"/>
        <v>0</v>
      </c>
      <c r="AI307" s="830">
        <f>VLOOKUP(C307,'[3]CHẤM CÔNG '!$F$10:$AM$451,33,0)</f>
        <v>0</v>
      </c>
      <c r="AJ307" s="830">
        <f>VLOOKUP(C307,'[3]CHẤM CÔNG '!$F$10:$AM$451,34,0)</f>
        <v>0</v>
      </c>
      <c r="AK307" s="830"/>
      <c r="AL307" s="830"/>
      <c r="AM307" s="830"/>
      <c r="AN307" s="830">
        <f>VLOOKUP(C307,'[3]CHẤM CÔNG '!$F$10:$AN$451,35,0)</f>
        <v>0</v>
      </c>
      <c r="AO307" s="830">
        <f>VLOOKUP(C307,'[3]CHẤM CÔNG '!$F$10:$AR$451,36,0)</f>
        <v>0</v>
      </c>
      <c r="AP307" s="830"/>
      <c r="AQ307" s="830"/>
      <c r="AR307" s="830"/>
      <c r="AS307" s="836"/>
      <c r="AT307" s="837">
        <f>VLOOKUP(C307,'[3]MỦ TẠP'!$D$10:$AO$450,38,0)</f>
        <v>0</v>
      </c>
      <c r="AX307" s="799">
        <f t="shared" si="111"/>
        <v>3</v>
      </c>
    </row>
    <row r="308" spans="1:52" ht="15.75">
      <c r="A308" s="850">
        <v>6</v>
      </c>
      <c r="B308" s="813" t="str">
        <f>VLOOKUP(C308,'[3]DS CN MOI UP'!$B$10:$C$489,2,0)</f>
        <v>02610</v>
      </c>
      <c r="C308" s="112" t="s">
        <v>211</v>
      </c>
      <c r="D308" s="855" t="s">
        <v>15</v>
      </c>
      <c r="E308" s="815"/>
      <c r="F308" s="815">
        <v>3</v>
      </c>
      <c r="G308" s="815"/>
      <c r="H308" s="815">
        <v>3</v>
      </c>
      <c r="I308" s="815"/>
      <c r="J308" s="815">
        <v>1</v>
      </c>
      <c r="K308" s="815">
        <v>3</v>
      </c>
      <c r="L308" s="815">
        <v>3</v>
      </c>
      <c r="M308" s="815">
        <v>1</v>
      </c>
      <c r="N308" s="815">
        <f t="shared" si="100"/>
        <v>0</v>
      </c>
      <c r="O308" s="815">
        <f t="shared" si="101"/>
        <v>19.2</v>
      </c>
      <c r="P308" s="815">
        <f t="shared" si="102"/>
        <v>0</v>
      </c>
      <c r="Q308" s="815">
        <f t="shared" si="103"/>
        <v>12</v>
      </c>
      <c r="R308" s="815">
        <f t="shared" si="104"/>
        <v>0</v>
      </c>
      <c r="S308" s="815">
        <f t="shared" si="105"/>
        <v>2</v>
      </c>
      <c r="T308" s="815">
        <f t="shared" si="106"/>
        <v>3</v>
      </c>
      <c r="U308" s="815">
        <f t="shared" si="107"/>
        <v>3</v>
      </c>
      <c r="V308" s="815">
        <f t="shared" si="108"/>
        <v>1</v>
      </c>
      <c r="W308" s="815"/>
      <c r="X308" s="815"/>
      <c r="Y308" s="815"/>
      <c r="Z308" s="815"/>
      <c r="AA308" s="830">
        <f t="shared" si="109"/>
        <v>40.200000000000003</v>
      </c>
      <c r="AB308" s="830">
        <f>VLOOKUP(C308,'[3]MỦ TẠP'!$D$10:$AM$450,36,0)</f>
        <v>0</v>
      </c>
      <c r="AC308" s="830"/>
      <c r="AD308" s="830"/>
      <c r="AE308" s="830">
        <f>VLOOKUP(C308,'[3]MỦ TẠP'!$D$10:$AM$450,36,0)</f>
        <v>0</v>
      </c>
      <c r="AF308" s="830"/>
      <c r="AG308" s="830"/>
      <c r="AH308" s="830">
        <f t="shared" si="110"/>
        <v>0</v>
      </c>
      <c r="AI308" s="830">
        <f>VLOOKUP(C308,'[3]CHẤM CÔNG '!$F$10:$AM$451,33,0)</f>
        <v>0</v>
      </c>
      <c r="AJ308" s="830">
        <f>VLOOKUP(C308,'[3]CHẤM CÔNG '!$F$10:$AM$451,34,0)</f>
        <v>0</v>
      </c>
      <c r="AK308" s="830"/>
      <c r="AL308" s="830"/>
      <c r="AM308" s="830"/>
      <c r="AN308" s="830">
        <f>VLOOKUP(C308,'[3]CHẤM CÔNG '!$F$10:$AN$451,35,0)</f>
        <v>0</v>
      </c>
      <c r="AO308" s="830">
        <f>VLOOKUP(C308,'[3]CHẤM CÔNG '!$F$10:$AR$451,36,0)</f>
        <v>0</v>
      </c>
      <c r="AP308" s="830"/>
      <c r="AQ308" s="830"/>
      <c r="AR308" s="830"/>
      <c r="AS308" s="836"/>
      <c r="AT308" s="837">
        <f>VLOOKUP(C308,'[3]MỦ TẠP'!$D$10:$AO$450,38,0)</f>
        <v>0</v>
      </c>
      <c r="AX308" s="799">
        <f t="shared" si="111"/>
        <v>3</v>
      </c>
    </row>
    <row r="309" spans="1:52" ht="15.75">
      <c r="A309" s="850">
        <v>7</v>
      </c>
      <c r="B309" s="813" t="str">
        <f>VLOOKUP(C309,'[3]DS CN MOI UP'!$B$10:$C$489,2,0)</f>
        <v>02611</v>
      </c>
      <c r="C309" s="112" t="s">
        <v>212</v>
      </c>
      <c r="D309" s="855" t="s">
        <v>15</v>
      </c>
      <c r="E309" s="815"/>
      <c r="F309" s="815">
        <v>3</v>
      </c>
      <c r="G309" s="815"/>
      <c r="H309" s="815">
        <v>3</v>
      </c>
      <c r="I309" s="815"/>
      <c r="J309" s="815">
        <v>1</v>
      </c>
      <c r="K309" s="815">
        <v>3</v>
      </c>
      <c r="L309" s="815">
        <v>3</v>
      </c>
      <c r="M309" s="815">
        <v>1</v>
      </c>
      <c r="N309" s="815">
        <f t="shared" si="100"/>
        <v>0</v>
      </c>
      <c r="O309" s="815">
        <f t="shared" si="101"/>
        <v>19.2</v>
      </c>
      <c r="P309" s="815">
        <f t="shared" si="102"/>
        <v>0</v>
      </c>
      <c r="Q309" s="815">
        <f t="shared" si="103"/>
        <v>12</v>
      </c>
      <c r="R309" s="815">
        <f t="shared" si="104"/>
        <v>0</v>
      </c>
      <c r="S309" s="815">
        <f t="shared" si="105"/>
        <v>2</v>
      </c>
      <c r="T309" s="815">
        <f t="shared" si="106"/>
        <v>3</v>
      </c>
      <c r="U309" s="815">
        <f t="shared" si="107"/>
        <v>3</v>
      </c>
      <c r="V309" s="815">
        <f t="shared" si="108"/>
        <v>1</v>
      </c>
      <c r="W309" s="815"/>
      <c r="X309" s="815"/>
      <c r="Y309" s="815"/>
      <c r="Z309" s="815"/>
      <c r="AA309" s="830">
        <f t="shared" si="109"/>
        <v>40.200000000000003</v>
      </c>
      <c r="AB309" s="830">
        <f>VLOOKUP(C309,'[3]MỦ TẠP'!$D$10:$AM$450,36,0)</f>
        <v>0</v>
      </c>
      <c r="AC309" s="830"/>
      <c r="AD309" s="830"/>
      <c r="AE309" s="830">
        <f>VLOOKUP(C309,'[3]MỦ TẠP'!$D$10:$AM$450,36,0)</f>
        <v>0</v>
      </c>
      <c r="AF309" s="830"/>
      <c r="AG309" s="830"/>
      <c r="AH309" s="830">
        <f t="shared" si="110"/>
        <v>0</v>
      </c>
      <c r="AI309" s="830">
        <f>VLOOKUP(C309,'[3]CHẤM CÔNG '!$F$10:$AM$451,33,0)</f>
        <v>0</v>
      </c>
      <c r="AJ309" s="830">
        <f>VLOOKUP(C309,'[3]CHẤM CÔNG '!$F$10:$AM$451,34,0)</f>
        <v>0</v>
      </c>
      <c r="AK309" s="830"/>
      <c r="AL309" s="830"/>
      <c r="AM309" s="830"/>
      <c r="AN309" s="830">
        <f>VLOOKUP(C309,'[3]CHẤM CÔNG '!$F$10:$AN$451,35,0)</f>
        <v>0</v>
      </c>
      <c r="AO309" s="830">
        <f>VLOOKUP(C309,'[3]CHẤM CÔNG '!$F$10:$AR$451,36,0)</f>
        <v>0</v>
      </c>
      <c r="AP309" s="830"/>
      <c r="AQ309" s="830"/>
      <c r="AR309" s="830"/>
      <c r="AS309" s="836"/>
      <c r="AT309" s="837">
        <f>VLOOKUP(C309,'[3]MỦ TẠP'!$D$10:$AO$450,38,0)</f>
        <v>0</v>
      </c>
      <c r="AX309" s="799">
        <f t="shared" si="111"/>
        <v>2</v>
      </c>
      <c r="AZ309" s="799">
        <v>1</v>
      </c>
    </row>
    <row r="310" spans="1:52" ht="15.75">
      <c r="A310" s="850">
        <v>8</v>
      </c>
      <c r="B310" s="813" t="str">
        <f>VLOOKUP(C310,'[3]DS CN MOI UP'!$B$10:$C$489,2,0)</f>
        <v>02602</v>
      </c>
      <c r="C310" s="112" t="s">
        <v>213</v>
      </c>
      <c r="D310" s="855" t="s">
        <v>15</v>
      </c>
      <c r="E310" s="815"/>
      <c r="F310" s="815">
        <v>3</v>
      </c>
      <c r="G310" s="815"/>
      <c r="H310" s="815">
        <v>3</v>
      </c>
      <c r="I310" s="815"/>
      <c r="J310" s="815">
        <v>1</v>
      </c>
      <c r="K310" s="815">
        <v>3</v>
      </c>
      <c r="L310" s="815">
        <v>3</v>
      </c>
      <c r="M310" s="815">
        <v>1</v>
      </c>
      <c r="N310" s="815">
        <f t="shared" si="100"/>
        <v>0</v>
      </c>
      <c r="O310" s="815">
        <f t="shared" si="101"/>
        <v>19.2</v>
      </c>
      <c r="P310" s="815">
        <f t="shared" si="102"/>
        <v>0</v>
      </c>
      <c r="Q310" s="815">
        <f t="shared" si="103"/>
        <v>12</v>
      </c>
      <c r="R310" s="815">
        <f t="shared" si="104"/>
        <v>0</v>
      </c>
      <c r="S310" s="815">
        <f t="shared" si="105"/>
        <v>2</v>
      </c>
      <c r="T310" s="815">
        <f t="shared" si="106"/>
        <v>3</v>
      </c>
      <c r="U310" s="815">
        <f t="shared" si="107"/>
        <v>3</v>
      </c>
      <c r="V310" s="815">
        <f t="shared" si="108"/>
        <v>1</v>
      </c>
      <c r="W310" s="815"/>
      <c r="X310" s="815"/>
      <c r="Y310" s="815"/>
      <c r="Z310" s="815"/>
      <c r="AA310" s="830">
        <f t="shared" si="109"/>
        <v>40.200000000000003</v>
      </c>
      <c r="AB310" s="830">
        <f>VLOOKUP(C310,'[3]MỦ TẠP'!$D$10:$AM$450,36,0)</f>
        <v>0</v>
      </c>
      <c r="AC310" s="830"/>
      <c r="AD310" s="830"/>
      <c r="AE310" s="830">
        <f>VLOOKUP(C310,'[3]MỦ TẠP'!$D$10:$AM$450,36,0)</f>
        <v>0</v>
      </c>
      <c r="AF310" s="830"/>
      <c r="AG310" s="830"/>
      <c r="AH310" s="830">
        <f t="shared" si="110"/>
        <v>0</v>
      </c>
      <c r="AI310" s="830">
        <f>VLOOKUP(C310,'[3]CHẤM CÔNG '!$F$10:$AM$451,33,0)</f>
        <v>0</v>
      </c>
      <c r="AJ310" s="830">
        <f>VLOOKUP(C310,'[3]CHẤM CÔNG '!$F$10:$AM$451,34,0)</f>
        <v>0</v>
      </c>
      <c r="AK310" s="830"/>
      <c r="AL310" s="830"/>
      <c r="AM310" s="830"/>
      <c r="AN310" s="830">
        <f>VLOOKUP(C310,'[3]CHẤM CÔNG '!$F$10:$AN$451,35,0)</f>
        <v>0</v>
      </c>
      <c r="AO310" s="830">
        <f>VLOOKUP(C310,'[3]CHẤM CÔNG '!$F$10:$AR$451,36,0)</f>
        <v>0</v>
      </c>
      <c r="AP310" s="830"/>
      <c r="AQ310" s="830"/>
      <c r="AR310" s="830"/>
      <c r="AS310" s="836"/>
      <c r="AT310" s="837">
        <f>VLOOKUP(C310,'[3]MỦ TẠP'!$D$10:$AO$450,38,0)</f>
        <v>0</v>
      </c>
      <c r="AX310" s="799">
        <f t="shared" si="111"/>
        <v>3</v>
      </c>
    </row>
    <row r="311" spans="1:52" ht="15.75">
      <c r="A311" s="850">
        <v>9</v>
      </c>
      <c r="B311" s="813" t="str">
        <f>VLOOKUP(C311,'[3]DS CN MOI UP'!$B$10:$C$489,2,0)</f>
        <v>02609</v>
      </c>
      <c r="C311" s="112" t="s">
        <v>214</v>
      </c>
      <c r="D311" s="855" t="s">
        <v>15</v>
      </c>
      <c r="E311" s="815"/>
      <c r="F311" s="815">
        <v>3</v>
      </c>
      <c r="G311" s="815"/>
      <c r="H311" s="815">
        <v>3</v>
      </c>
      <c r="I311" s="815"/>
      <c r="J311" s="815">
        <v>1</v>
      </c>
      <c r="K311" s="815">
        <v>3</v>
      </c>
      <c r="L311" s="815">
        <v>3</v>
      </c>
      <c r="M311" s="815">
        <v>1</v>
      </c>
      <c r="N311" s="815">
        <f t="shared" si="100"/>
        <v>0</v>
      </c>
      <c r="O311" s="815">
        <f t="shared" si="101"/>
        <v>19.2</v>
      </c>
      <c r="P311" s="815">
        <f t="shared" si="102"/>
        <v>0</v>
      </c>
      <c r="Q311" s="815">
        <f t="shared" si="103"/>
        <v>12</v>
      </c>
      <c r="R311" s="815">
        <f t="shared" si="104"/>
        <v>0</v>
      </c>
      <c r="S311" s="815">
        <f t="shared" si="105"/>
        <v>2</v>
      </c>
      <c r="T311" s="815">
        <f t="shared" si="106"/>
        <v>3</v>
      </c>
      <c r="U311" s="815">
        <f t="shared" si="107"/>
        <v>3</v>
      </c>
      <c r="V311" s="815">
        <f t="shared" si="108"/>
        <v>1</v>
      </c>
      <c r="W311" s="815"/>
      <c r="X311" s="815"/>
      <c r="Y311" s="815"/>
      <c r="Z311" s="815"/>
      <c r="AA311" s="830">
        <f t="shared" si="109"/>
        <v>40.200000000000003</v>
      </c>
      <c r="AB311" s="830">
        <f>VLOOKUP(C311,'[3]MỦ TẠP'!$D$10:$AM$450,36,0)</f>
        <v>0</v>
      </c>
      <c r="AC311" s="830"/>
      <c r="AD311" s="830"/>
      <c r="AE311" s="830">
        <f>VLOOKUP(C311,'[3]MỦ TẠP'!$D$10:$AM$450,36,0)</f>
        <v>0</v>
      </c>
      <c r="AF311" s="830"/>
      <c r="AG311" s="830"/>
      <c r="AH311" s="830">
        <f t="shared" si="110"/>
        <v>0</v>
      </c>
      <c r="AI311" s="830">
        <f>VLOOKUP(C311,'[3]CHẤM CÔNG '!$F$10:$AM$451,33,0)</f>
        <v>0</v>
      </c>
      <c r="AJ311" s="830">
        <f>VLOOKUP(C311,'[3]CHẤM CÔNG '!$F$10:$AM$451,34,0)</f>
        <v>0</v>
      </c>
      <c r="AK311" s="830"/>
      <c r="AL311" s="830"/>
      <c r="AM311" s="830"/>
      <c r="AN311" s="830">
        <f>VLOOKUP(C311,'[3]CHẤM CÔNG '!$F$10:$AN$451,35,0)</f>
        <v>0</v>
      </c>
      <c r="AO311" s="830">
        <f>VLOOKUP(C311,'[3]CHẤM CÔNG '!$F$10:$AR$451,36,0)</f>
        <v>0</v>
      </c>
      <c r="AP311" s="830"/>
      <c r="AQ311" s="830"/>
      <c r="AR311" s="830"/>
      <c r="AS311" s="836"/>
      <c r="AT311" s="837">
        <f>VLOOKUP(C311,'[3]MỦ TẠP'!$D$10:$AO$450,38,0)</f>
        <v>0</v>
      </c>
      <c r="AX311" s="799">
        <f t="shared" si="111"/>
        <v>3</v>
      </c>
    </row>
    <row r="312" spans="1:52" ht="15.75">
      <c r="A312" s="850">
        <v>10</v>
      </c>
      <c r="B312" s="813" t="str">
        <f>VLOOKUP(C312,'[3]DS CN MOI UP'!$B$10:$C$489,2,0)</f>
        <v>02569</v>
      </c>
      <c r="C312" s="112" t="s">
        <v>215</v>
      </c>
      <c r="D312" s="855" t="s">
        <v>15</v>
      </c>
      <c r="E312" s="815"/>
      <c r="F312" s="815">
        <v>3</v>
      </c>
      <c r="G312" s="815"/>
      <c r="H312" s="815">
        <v>3</v>
      </c>
      <c r="I312" s="815"/>
      <c r="J312" s="815">
        <v>1</v>
      </c>
      <c r="K312" s="815">
        <v>3</v>
      </c>
      <c r="L312" s="815">
        <v>3</v>
      </c>
      <c r="M312" s="815">
        <v>1</v>
      </c>
      <c r="N312" s="815">
        <f t="shared" si="100"/>
        <v>0</v>
      </c>
      <c r="O312" s="815">
        <f t="shared" si="101"/>
        <v>19.2</v>
      </c>
      <c r="P312" s="815">
        <f t="shared" si="102"/>
        <v>0</v>
      </c>
      <c r="Q312" s="815">
        <f t="shared" si="103"/>
        <v>12</v>
      </c>
      <c r="R312" s="815">
        <f t="shared" si="104"/>
        <v>0</v>
      </c>
      <c r="S312" s="815">
        <f t="shared" si="105"/>
        <v>2</v>
      </c>
      <c r="T312" s="815">
        <f t="shared" si="106"/>
        <v>3</v>
      </c>
      <c r="U312" s="815">
        <f t="shared" si="107"/>
        <v>3</v>
      </c>
      <c r="V312" s="815">
        <f t="shared" si="108"/>
        <v>1</v>
      </c>
      <c r="W312" s="815"/>
      <c r="X312" s="815"/>
      <c r="Y312" s="815"/>
      <c r="Z312" s="815"/>
      <c r="AA312" s="830">
        <f t="shared" si="109"/>
        <v>40.200000000000003</v>
      </c>
      <c r="AB312" s="830">
        <f>VLOOKUP(C312,'[3]MỦ TẠP'!$D$10:$AM$450,36,0)</f>
        <v>0</v>
      </c>
      <c r="AC312" s="830"/>
      <c r="AD312" s="830"/>
      <c r="AE312" s="830">
        <f>VLOOKUP(C312,'[3]MỦ TẠP'!$D$10:$AM$450,36,0)</f>
        <v>0</v>
      </c>
      <c r="AF312" s="830"/>
      <c r="AG312" s="830"/>
      <c r="AH312" s="830">
        <f t="shared" si="110"/>
        <v>0</v>
      </c>
      <c r="AI312" s="830">
        <f>VLOOKUP(C312,'[3]CHẤM CÔNG '!$F$10:$AM$451,33,0)</f>
        <v>0</v>
      </c>
      <c r="AJ312" s="830">
        <f>VLOOKUP(C312,'[3]CHẤM CÔNG '!$F$10:$AM$451,34,0)</f>
        <v>0</v>
      </c>
      <c r="AK312" s="830"/>
      <c r="AL312" s="830"/>
      <c r="AM312" s="830"/>
      <c r="AN312" s="830">
        <f>VLOOKUP(C312,'[3]CHẤM CÔNG '!$F$10:$AN$451,35,0)</f>
        <v>0</v>
      </c>
      <c r="AO312" s="830">
        <f>VLOOKUP(C312,'[3]CHẤM CÔNG '!$F$10:$AR$451,36,0)</f>
        <v>0</v>
      </c>
      <c r="AP312" s="830"/>
      <c r="AQ312" s="830"/>
      <c r="AR312" s="830"/>
      <c r="AS312" s="836"/>
      <c r="AT312" s="837">
        <f>VLOOKUP(C312,'[3]MỦ TẠP'!$D$10:$AO$450,38,0)</f>
        <v>0</v>
      </c>
      <c r="AX312" s="799">
        <f t="shared" si="111"/>
        <v>2</v>
      </c>
      <c r="AZ312" s="799">
        <v>1</v>
      </c>
    </row>
    <row r="313" spans="1:52" ht="15.75">
      <c r="A313" s="850">
        <v>11</v>
      </c>
      <c r="B313" s="813" t="e">
        <f>VLOOKUP(C313,'[3]DS CN MOI UP'!$B$10:$C$489,2,0)</f>
        <v>#N/A</v>
      </c>
      <c r="C313" s="112" t="s">
        <v>216</v>
      </c>
      <c r="D313" s="855" t="s">
        <v>15</v>
      </c>
      <c r="E313" s="815"/>
      <c r="F313" s="815">
        <v>3</v>
      </c>
      <c r="G313" s="815"/>
      <c r="H313" s="815">
        <v>3</v>
      </c>
      <c r="I313" s="815"/>
      <c r="J313" s="815">
        <v>1</v>
      </c>
      <c r="K313" s="815">
        <v>3</v>
      </c>
      <c r="L313" s="815">
        <v>3</v>
      </c>
      <c r="M313" s="815">
        <v>1</v>
      </c>
      <c r="N313" s="815">
        <f t="shared" si="100"/>
        <v>0</v>
      </c>
      <c r="O313" s="815">
        <f t="shared" si="101"/>
        <v>19.2</v>
      </c>
      <c r="P313" s="815">
        <f t="shared" si="102"/>
        <v>0</v>
      </c>
      <c r="Q313" s="815">
        <f t="shared" si="103"/>
        <v>12</v>
      </c>
      <c r="R313" s="815">
        <f t="shared" si="104"/>
        <v>0</v>
      </c>
      <c r="S313" s="815">
        <f t="shared" si="105"/>
        <v>2</v>
      </c>
      <c r="T313" s="815">
        <f t="shared" si="106"/>
        <v>3</v>
      </c>
      <c r="U313" s="815">
        <f t="shared" si="107"/>
        <v>3</v>
      </c>
      <c r="V313" s="815">
        <f t="shared" si="108"/>
        <v>1</v>
      </c>
      <c r="W313" s="815"/>
      <c r="X313" s="815"/>
      <c r="Y313" s="815"/>
      <c r="Z313" s="815"/>
      <c r="AA313" s="830">
        <f t="shared" si="109"/>
        <v>40.200000000000003</v>
      </c>
      <c r="AB313" s="830" t="e">
        <f>VLOOKUP(C313,'[3]MỦ TẠP'!$D$10:$AM$450,36,0)</f>
        <v>#N/A</v>
      </c>
      <c r="AC313" s="830"/>
      <c r="AD313" s="830"/>
      <c r="AE313" s="830" t="e">
        <f>VLOOKUP(C313,'[3]MỦ TẠP'!$D$10:$AM$450,36,0)</f>
        <v>#N/A</v>
      </c>
      <c r="AF313" s="830"/>
      <c r="AG313" s="830"/>
      <c r="AH313" s="830" t="e">
        <f t="shared" si="110"/>
        <v>#N/A</v>
      </c>
      <c r="AI313" s="830" t="e">
        <f>VLOOKUP(C313,'[3]CHẤM CÔNG '!$F$10:$AM$451,33,0)</f>
        <v>#N/A</v>
      </c>
      <c r="AJ313" s="830" t="e">
        <f>VLOOKUP(C313,'[3]CHẤM CÔNG '!$F$10:$AM$451,34,0)</f>
        <v>#N/A</v>
      </c>
      <c r="AK313" s="830"/>
      <c r="AL313" s="830"/>
      <c r="AM313" s="830"/>
      <c r="AN313" s="830" t="e">
        <f>VLOOKUP(C313,'[3]CHẤM CÔNG '!$F$10:$AN$451,35,0)</f>
        <v>#N/A</v>
      </c>
      <c r="AO313" s="830" t="e">
        <f>VLOOKUP(C313,'[3]CHẤM CÔNG '!$F$10:$AR$451,36,0)</f>
        <v>#N/A</v>
      </c>
      <c r="AP313" s="830"/>
      <c r="AQ313" s="830"/>
      <c r="AR313" s="830"/>
      <c r="AS313" s="836"/>
      <c r="AT313" s="837" t="e">
        <f>VLOOKUP(C313,'[3]MỦ TẠP'!$D$10:$AO$450,38,0)</f>
        <v>#N/A</v>
      </c>
      <c r="AX313" s="799">
        <f t="shared" si="111"/>
        <v>2</v>
      </c>
      <c r="AZ313" s="799">
        <v>1</v>
      </c>
    </row>
    <row r="314" spans="1:52" ht="15.75">
      <c r="A314" s="850">
        <v>12</v>
      </c>
      <c r="B314" s="813" t="str">
        <f>VLOOKUP(C314,'[3]DS CN MOI UP'!$B$10:$C$489,2,0)</f>
        <v>02604</v>
      </c>
      <c r="C314" s="112" t="s">
        <v>217</v>
      </c>
      <c r="D314" s="855" t="s">
        <v>15</v>
      </c>
      <c r="E314" s="815"/>
      <c r="F314" s="815">
        <v>3</v>
      </c>
      <c r="G314" s="815"/>
      <c r="H314" s="815">
        <v>3</v>
      </c>
      <c r="I314" s="815"/>
      <c r="J314" s="815">
        <v>1</v>
      </c>
      <c r="K314" s="815">
        <v>3</v>
      </c>
      <c r="L314" s="815">
        <v>3</v>
      </c>
      <c r="M314" s="815">
        <v>1</v>
      </c>
      <c r="N314" s="815">
        <f t="shared" si="100"/>
        <v>0</v>
      </c>
      <c r="O314" s="815">
        <f t="shared" si="101"/>
        <v>19.2</v>
      </c>
      <c r="P314" s="815">
        <f t="shared" si="102"/>
        <v>0</v>
      </c>
      <c r="Q314" s="815">
        <f t="shared" si="103"/>
        <v>12</v>
      </c>
      <c r="R314" s="815">
        <f t="shared" si="104"/>
        <v>0</v>
      </c>
      <c r="S314" s="815">
        <f t="shared" si="105"/>
        <v>2</v>
      </c>
      <c r="T314" s="815">
        <f t="shared" si="106"/>
        <v>3</v>
      </c>
      <c r="U314" s="815">
        <f t="shared" si="107"/>
        <v>3</v>
      </c>
      <c r="V314" s="815">
        <f t="shared" si="108"/>
        <v>1</v>
      </c>
      <c r="W314" s="815"/>
      <c r="X314" s="815"/>
      <c r="Y314" s="815"/>
      <c r="Z314" s="815"/>
      <c r="AA314" s="830">
        <f t="shared" si="109"/>
        <v>40.200000000000003</v>
      </c>
      <c r="AB314" s="830">
        <f>VLOOKUP(C314,'[3]MỦ TẠP'!$D$10:$AM$450,36,0)</f>
        <v>0</v>
      </c>
      <c r="AC314" s="830"/>
      <c r="AD314" s="830"/>
      <c r="AE314" s="830">
        <f>VLOOKUP(C314,'[3]MỦ TẠP'!$D$10:$AM$450,36,0)</f>
        <v>0</v>
      </c>
      <c r="AF314" s="830"/>
      <c r="AG314" s="830"/>
      <c r="AH314" s="830">
        <f t="shared" si="110"/>
        <v>0</v>
      </c>
      <c r="AI314" s="830">
        <f>VLOOKUP(C314,'[3]CHẤM CÔNG '!$F$10:$AM$451,33,0)</f>
        <v>0</v>
      </c>
      <c r="AJ314" s="830">
        <f>VLOOKUP(C314,'[3]CHẤM CÔNG '!$F$10:$AM$451,34,0)</f>
        <v>0</v>
      </c>
      <c r="AK314" s="830"/>
      <c r="AL314" s="830"/>
      <c r="AM314" s="830"/>
      <c r="AN314" s="830">
        <f>VLOOKUP(C314,'[3]CHẤM CÔNG '!$F$10:$AN$451,35,0)</f>
        <v>0</v>
      </c>
      <c r="AO314" s="830">
        <f>VLOOKUP(C314,'[3]CHẤM CÔNG '!$F$10:$AR$451,36,0)</f>
        <v>0</v>
      </c>
      <c r="AP314" s="830"/>
      <c r="AQ314" s="830"/>
      <c r="AR314" s="830"/>
      <c r="AS314" s="836"/>
      <c r="AT314" s="837">
        <f>VLOOKUP(C314,'[3]MỦ TẠP'!$D$10:$AO$450,38,0)</f>
        <v>0</v>
      </c>
      <c r="AX314" s="799">
        <f t="shared" si="111"/>
        <v>2</v>
      </c>
      <c r="AZ314" s="799">
        <v>1</v>
      </c>
    </row>
    <row r="315" spans="1:52" ht="15.75">
      <c r="A315" s="850">
        <v>13</v>
      </c>
      <c r="B315" s="813" t="str">
        <f>VLOOKUP(C315,'[3]DS CN MOI UP'!$B$10:$C$489,2,0)</f>
        <v>02600</v>
      </c>
      <c r="C315" s="112" t="s">
        <v>218</v>
      </c>
      <c r="D315" s="855" t="s">
        <v>15</v>
      </c>
      <c r="E315" s="815"/>
      <c r="F315" s="815">
        <v>3</v>
      </c>
      <c r="G315" s="815"/>
      <c r="H315" s="815">
        <v>3</v>
      </c>
      <c r="I315" s="815"/>
      <c r="J315" s="815">
        <v>1</v>
      </c>
      <c r="K315" s="815">
        <v>3</v>
      </c>
      <c r="L315" s="815">
        <v>3</v>
      </c>
      <c r="M315" s="815">
        <v>1</v>
      </c>
      <c r="N315" s="815">
        <f t="shared" si="100"/>
        <v>0</v>
      </c>
      <c r="O315" s="815">
        <f t="shared" si="101"/>
        <v>19.2</v>
      </c>
      <c r="P315" s="815">
        <f t="shared" si="102"/>
        <v>0</v>
      </c>
      <c r="Q315" s="815">
        <f t="shared" si="103"/>
        <v>12</v>
      </c>
      <c r="R315" s="815">
        <f t="shared" si="104"/>
        <v>0</v>
      </c>
      <c r="S315" s="815">
        <f t="shared" si="105"/>
        <v>2</v>
      </c>
      <c r="T315" s="815">
        <f t="shared" si="106"/>
        <v>3</v>
      </c>
      <c r="U315" s="815">
        <f t="shared" si="107"/>
        <v>3</v>
      </c>
      <c r="V315" s="815">
        <f t="shared" si="108"/>
        <v>1</v>
      </c>
      <c r="W315" s="815"/>
      <c r="X315" s="815"/>
      <c r="Y315" s="815"/>
      <c r="Z315" s="815"/>
      <c r="AA315" s="830">
        <f t="shared" si="109"/>
        <v>40.200000000000003</v>
      </c>
      <c r="AB315" s="830">
        <f>VLOOKUP(C315,'[3]MỦ TẠP'!$D$10:$AM$450,36,0)</f>
        <v>0</v>
      </c>
      <c r="AC315" s="830"/>
      <c r="AD315" s="830"/>
      <c r="AE315" s="830">
        <f>VLOOKUP(C315,'[3]MỦ TẠP'!$D$10:$AM$450,36,0)</f>
        <v>0</v>
      </c>
      <c r="AF315" s="830"/>
      <c r="AG315" s="830"/>
      <c r="AH315" s="830">
        <f t="shared" si="110"/>
        <v>0</v>
      </c>
      <c r="AI315" s="830">
        <f>VLOOKUP(C315,'[3]CHẤM CÔNG '!$F$10:$AM$451,33,0)</f>
        <v>0</v>
      </c>
      <c r="AJ315" s="830">
        <f>VLOOKUP(C315,'[3]CHẤM CÔNG '!$F$10:$AM$451,34,0)</f>
        <v>0</v>
      </c>
      <c r="AK315" s="830"/>
      <c r="AL315" s="830"/>
      <c r="AM315" s="830"/>
      <c r="AN315" s="830">
        <f>VLOOKUP(C315,'[3]CHẤM CÔNG '!$F$10:$AN$451,35,0)</f>
        <v>0</v>
      </c>
      <c r="AO315" s="830">
        <f>VLOOKUP(C315,'[3]CHẤM CÔNG '!$F$10:$AR$451,36,0)</f>
        <v>0</v>
      </c>
      <c r="AP315" s="830"/>
      <c r="AQ315" s="830"/>
      <c r="AR315" s="830"/>
      <c r="AS315" s="836"/>
      <c r="AT315" s="837">
        <f>VLOOKUP(C315,'[3]MỦ TẠP'!$D$10:$AO$450,38,0)</f>
        <v>0</v>
      </c>
      <c r="AX315" s="799">
        <f t="shared" si="111"/>
        <v>2</v>
      </c>
      <c r="AZ315" s="799">
        <v>1</v>
      </c>
    </row>
    <row r="316" spans="1:52" ht="15.75">
      <c r="A316" s="850">
        <v>14</v>
      </c>
      <c r="B316" s="813" t="str">
        <f>VLOOKUP(C316,'[3]DS CN MOI UP'!$B$10:$C$489,2,0)</f>
        <v>03382</v>
      </c>
      <c r="C316" s="112" t="s">
        <v>219</v>
      </c>
      <c r="D316" s="855" t="s">
        <v>15</v>
      </c>
      <c r="E316" s="815"/>
      <c r="F316" s="815">
        <v>3</v>
      </c>
      <c r="G316" s="815"/>
      <c r="H316" s="815">
        <v>3</v>
      </c>
      <c r="I316" s="815"/>
      <c r="J316" s="815">
        <v>1</v>
      </c>
      <c r="K316" s="815">
        <v>3</v>
      </c>
      <c r="L316" s="815">
        <v>3</v>
      </c>
      <c r="M316" s="815">
        <v>1</v>
      </c>
      <c r="N316" s="815">
        <f t="shared" si="100"/>
        <v>0</v>
      </c>
      <c r="O316" s="815">
        <f t="shared" si="101"/>
        <v>19.2</v>
      </c>
      <c r="P316" s="815">
        <f t="shared" si="102"/>
        <v>0</v>
      </c>
      <c r="Q316" s="815">
        <f t="shared" si="103"/>
        <v>12</v>
      </c>
      <c r="R316" s="815">
        <f t="shared" si="104"/>
        <v>0</v>
      </c>
      <c r="S316" s="815">
        <f t="shared" si="105"/>
        <v>2</v>
      </c>
      <c r="T316" s="815">
        <f t="shared" si="106"/>
        <v>3</v>
      </c>
      <c r="U316" s="815">
        <f t="shared" si="107"/>
        <v>3</v>
      </c>
      <c r="V316" s="815">
        <f t="shared" si="108"/>
        <v>1</v>
      </c>
      <c r="W316" s="815"/>
      <c r="X316" s="815"/>
      <c r="Y316" s="815"/>
      <c r="Z316" s="815"/>
      <c r="AA316" s="830">
        <f t="shared" si="109"/>
        <v>40.200000000000003</v>
      </c>
      <c r="AB316" s="830">
        <f>VLOOKUP(C316,'[3]MỦ TẠP'!$D$10:$AM$450,36,0)</f>
        <v>0</v>
      </c>
      <c r="AC316" s="830"/>
      <c r="AD316" s="830"/>
      <c r="AE316" s="830">
        <f>VLOOKUP(C316,'[3]MỦ TẠP'!$D$10:$AM$450,36,0)</f>
        <v>0</v>
      </c>
      <c r="AF316" s="830"/>
      <c r="AG316" s="830"/>
      <c r="AH316" s="830">
        <f t="shared" si="110"/>
        <v>0</v>
      </c>
      <c r="AI316" s="830">
        <f>VLOOKUP(C316,'[3]CHẤM CÔNG '!$F$10:$AM$451,33,0)</f>
        <v>0</v>
      </c>
      <c r="AJ316" s="830">
        <f>VLOOKUP(C316,'[3]CHẤM CÔNG '!$F$10:$AM$451,34,0)</f>
        <v>0</v>
      </c>
      <c r="AK316" s="830"/>
      <c r="AL316" s="830"/>
      <c r="AM316" s="830"/>
      <c r="AN316" s="830">
        <f>VLOOKUP(C316,'[3]CHẤM CÔNG '!$F$10:$AN$451,35,0)</f>
        <v>0</v>
      </c>
      <c r="AO316" s="830">
        <f>VLOOKUP(C316,'[3]CHẤM CÔNG '!$F$10:$AR$451,36,0)</f>
        <v>0</v>
      </c>
      <c r="AP316" s="830"/>
      <c r="AQ316" s="830"/>
      <c r="AR316" s="830"/>
      <c r="AS316" s="836"/>
      <c r="AT316" s="837">
        <f>VLOOKUP(C316,'[3]MỦ TẠP'!$D$10:$AO$450,38,0)</f>
        <v>0</v>
      </c>
      <c r="AX316" s="799">
        <f t="shared" si="111"/>
        <v>2</v>
      </c>
      <c r="AZ316" s="799">
        <v>1</v>
      </c>
    </row>
    <row r="317" spans="1:52" ht="15.75">
      <c r="A317" s="850">
        <v>15</v>
      </c>
      <c r="B317" s="813" t="str">
        <f>VLOOKUP(C317,'[3]DS CN MOI UP'!$B$10:$C$489,2,0)</f>
        <v>02571</v>
      </c>
      <c r="C317" s="112" t="s">
        <v>220</v>
      </c>
      <c r="D317" s="855" t="s">
        <v>15</v>
      </c>
      <c r="E317" s="815"/>
      <c r="F317" s="815">
        <v>3</v>
      </c>
      <c r="G317" s="815"/>
      <c r="H317" s="815">
        <v>3</v>
      </c>
      <c r="I317" s="815"/>
      <c r="J317" s="815">
        <v>1</v>
      </c>
      <c r="K317" s="815">
        <v>3</v>
      </c>
      <c r="L317" s="815">
        <v>3</v>
      </c>
      <c r="M317" s="815">
        <v>1</v>
      </c>
      <c r="N317" s="815">
        <f t="shared" si="100"/>
        <v>0</v>
      </c>
      <c r="O317" s="815">
        <f t="shared" si="101"/>
        <v>19.2</v>
      </c>
      <c r="P317" s="815">
        <f t="shared" si="102"/>
        <v>0</v>
      </c>
      <c r="Q317" s="815">
        <f t="shared" si="103"/>
        <v>12</v>
      </c>
      <c r="R317" s="815">
        <f t="shared" si="104"/>
        <v>0</v>
      </c>
      <c r="S317" s="815">
        <f t="shared" si="105"/>
        <v>2</v>
      </c>
      <c r="T317" s="815">
        <f t="shared" si="106"/>
        <v>3</v>
      </c>
      <c r="U317" s="815">
        <f t="shared" si="107"/>
        <v>3</v>
      </c>
      <c r="V317" s="815">
        <f t="shared" si="108"/>
        <v>1</v>
      </c>
      <c r="W317" s="815"/>
      <c r="X317" s="815"/>
      <c r="Y317" s="815"/>
      <c r="Z317" s="815"/>
      <c r="AA317" s="830">
        <f t="shared" si="109"/>
        <v>40.200000000000003</v>
      </c>
      <c r="AB317" s="830">
        <f>VLOOKUP(C317,'[3]MỦ TẠP'!$D$10:$AM$450,36,0)</f>
        <v>0</v>
      </c>
      <c r="AC317" s="830"/>
      <c r="AD317" s="830"/>
      <c r="AE317" s="830">
        <f>VLOOKUP(C317,'[3]MỦ TẠP'!$D$10:$AM$450,36,0)</f>
        <v>0</v>
      </c>
      <c r="AF317" s="830"/>
      <c r="AG317" s="830"/>
      <c r="AH317" s="830">
        <f t="shared" si="110"/>
        <v>0</v>
      </c>
      <c r="AI317" s="830">
        <f>VLOOKUP(C317,'[3]CHẤM CÔNG '!$F$10:$AM$451,33,0)</f>
        <v>0</v>
      </c>
      <c r="AJ317" s="830">
        <f>VLOOKUP(C317,'[3]CHẤM CÔNG '!$F$10:$AM$451,34,0)</f>
        <v>0</v>
      </c>
      <c r="AK317" s="830"/>
      <c r="AL317" s="830"/>
      <c r="AM317" s="830"/>
      <c r="AN317" s="830">
        <f>VLOOKUP(C317,'[3]CHẤM CÔNG '!$F$10:$AN$451,35,0)</f>
        <v>0</v>
      </c>
      <c r="AO317" s="830">
        <f>VLOOKUP(C317,'[3]CHẤM CÔNG '!$F$10:$AR$451,36,0)</f>
        <v>0</v>
      </c>
      <c r="AP317" s="830"/>
      <c r="AQ317" s="830"/>
      <c r="AR317" s="830"/>
      <c r="AS317" s="836"/>
      <c r="AT317" s="837">
        <f>VLOOKUP(C317,'[3]MỦ TẠP'!$D$10:$AO$450,38,0)</f>
        <v>0</v>
      </c>
      <c r="AX317" s="799">
        <f t="shared" si="111"/>
        <v>2</v>
      </c>
      <c r="AZ317" s="799">
        <v>1</v>
      </c>
    </row>
    <row r="318" spans="1:52" ht="15.75">
      <c r="A318" s="850">
        <v>16</v>
      </c>
      <c r="B318" s="813" t="str">
        <f>VLOOKUP(C318,'[3]DS CN MOI UP'!$B$10:$C$489,2,0)</f>
        <v>02570</v>
      </c>
      <c r="C318" s="112" t="s">
        <v>221</v>
      </c>
      <c r="D318" s="855" t="s">
        <v>15</v>
      </c>
      <c r="E318" s="815"/>
      <c r="F318" s="815">
        <v>3</v>
      </c>
      <c r="G318" s="815"/>
      <c r="H318" s="815">
        <v>3</v>
      </c>
      <c r="I318" s="815"/>
      <c r="J318" s="815">
        <v>1</v>
      </c>
      <c r="K318" s="815">
        <v>3</v>
      </c>
      <c r="L318" s="815">
        <v>3</v>
      </c>
      <c r="M318" s="815">
        <v>1</v>
      </c>
      <c r="N318" s="815">
        <f t="shared" si="100"/>
        <v>0</v>
      </c>
      <c r="O318" s="815">
        <f t="shared" si="101"/>
        <v>19.2</v>
      </c>
      <c r="P318" s="815">
        <f t="shared" si="102"/>
        <v>0</v>
      </c>
      <c r="Q318" s="815">
        <f t="shared" si="103"/>
        <v>12</v>
      </c>
      <c r="R318" s="815">
        <f t="shared" si="104"/>
        <v>0</v>
      </c>
      <c r="S318" s="815">
        <f t="shared" si="105"/>
        <v>2</v>
      </c>
      <c r="T318" s="815">
        <f t="shared" si="106"/>
        <v>3</v>
      </c>
      <c r="U318" s="815">
        <f t="shared" si="107"/>
        <v>3</v>
      </c>
      <c r="V318" s="815">
        <f t="shared" si="108"/>
        <v>1</v>
      </c>
      <c r="W318" s="815"/>
      <c r="X318" s="815"/>
      <c r="Y318" s="815"/>
      <c r="Z318" s="815"/>
      <c r="AA318" s="830">
        <f t="shared" si="109"/>
        <v>40.200000000000003</v>
      </c>
      <c r="AB318" s="830">
        <f>VLOOKUP(C318,'[3]MỦ TẠP'!$D$10:$AM$450,36,0)</f>
        <v>0</v>
      </c>
      <c r="AC318" s="830"/>
      <c r="AD318" s="830"/>
      <c r="AE318" s="830">
        <f>VLOOKUP(C318,'[3]MỦ TẠP'!$D$10:$AM$450,36,0)</f>
        <v>0</v>
      </c>
      <c r="AF318" s="830"/>
      <c r="AG318" s="830"/>
      <c r="AH318" s="830">
        <f t="shared" si="110"/>
        <v>0</v>
      </c>
      <c r="AI318" s="830">
        <f>VLOOKUP(C318,'[3]CHẤM CÔNG '!$F$10:$AM$451,33,0)</f>
        <v>0</v>
      </c>
      <c r="AJ318" s="830">
        <f>VLOOKUP(C318,'[3]CHẤM CÔNG '!$F$10:$AM$451,34,0)</f>
        <v>0</v>
      </c>
      <c r="AK318" s="830"/>
      <c r="AL318" s="830"/>
      <c r="AM318" s="830"/>
      <c r="AN318" s="830">
        <f>VLOOKUP(C318,'[3]CHẤM CÔNG '!$F$10:$AN$451,35,0)</f>
        <v>0</v>
      </c>
      <c r="AO318" s="830">
        <f>VLOOKUP(C318,'[3]CHẤM CÔNG '!$F$10:$AR$451,36,0)</f>
        <v>0</v>
      </c>
      <c r="AP318" s="830"/>
      <c r="AQ318" s="830"/>
      <c r="AR318" s="830"/>
      <c r="AS318" s="836"/>
      <c r="AT318" s="837">
        <f>VLOOKUP(C318,'[3]MỦ TẠP'!$D$10:$AO$450,38,0)</f>
        <v>0</v>
      </c>
      <c r="AX318" s="799">
        <f t="shared" si="111"/>
        <v>2</v>
      </c>
      <c r="AZ318" s="799">
        <v>1</v>
      </c>
    </row>
    <row r="319" spans="1:52" ht="15.75">
      <c r="A319" s="850">
        <v>17</v>
      </c>
      <c r="B319" s="813" t="str">
        <f>VLOOKUP(C319,'[3]DS CN MOI UP'!$B$10:$C$489,2,0)</f>
        <v>02573</v>
      </c>
      <c r="C319" s="112" t="s">
        <v>222</v>
      </c>
      <c r="D319" s="855" t="s">
        <v>15</v>
      </c>
      <c r="E319" s="815"/>
      <c r="F319" s="815">
        <v>2</v>
      </c>
      <c r="G319" s="815">
        <v>1</v>
      </c>
      <c r="H319" s="815">
        <v>3</v>
      </c>
      <c r="I319" s="815"/>
      <c r="J319" s="815">
        <v>1</v>
      </c>
      <c r="K319" s="815">
        <v>3</v>
      </c>
      <c r="L319" s="815">
        <v>3</v>
      </c>
      <c r="M319" s="815">
        <v>1</v>
      </c>
      <c r="N319" s="815">
        <f t="shared" si="100"/>
        <v>0</v>
      </c>
      <c r="O319" s="815">
        <f t="shared" si="101"/>
        <v>12.8</v>
      </c>
      <c r="P319" s="815">
        <f t="shared" si="102"/>
        <v>8</v>
      </c>
      <c r="Q319" s="815">
        <f t="shared" si="103"/>
        <v>12</v>
      </c>
      <c r="R319" s="815">
        <f t="shared" si="104"/>
        <v>0</v>
      </c>
      <c r="S319" s="815">
        <f t="shared" si="105"/>
        <v>2</v>
      </c>
      <c r="T319" s="815">
        <f t="shared" si="106"/>
        <v>3</v>
      </c>
      <c r="U319" s="815">
        <f t="shared" si="107"/>
        <v>3</v>
      </c>
      <c r="V319" s="815">
        <f t="shared" si="108"/>
        <v>1</v>
      </c>
      <c r="W319" s="815"/>
      <c r="X319" s="815"/>
      <c r="Y319" s="815"/>
      <c r="Z319" s="815"/>
      <c r="AA319" s="830">
        <f t="shared" si="109"/>
        <v>41.8</v>
      </c>
      <c r="AB319" s="830">
        <f>VLOOKUP(C319,'[3]MỦ TẠP'!$D$10:$AM$450,36,0)</f>
        <v>0</v>
      </c>
      <c r="AC319" s="830"/>
      <c r="AD319" s="830"/>
      <c r="AE319" s="830">
        <f>VLOOKUP(C319,'[3]MỦ TẠP'!$D$10:$AM$450,36,0)</f>
        <v>0</v>
      </c>
      <c r="AF319" s="830"/>
      <c r="AG319" s="830"/>
      <c r="AH319" s="830">
        <f t="shared" si="110"/>
        <v>0</v>
      </c>
      <c r="AI319" s="830">
        <f>VLOOKUP(C319,'[3]CHẤM CÔNG '!$F$10:$AM$451,33,0)</f>
        <v>0</v>
      </c>
      <c r="AJ319" s="830">
        <f>VLOOKUP(C319,'[3]CHẤM CÔNG '!$F$10:$AM$451,34,0)</f>
        <v>0</v>
      </c>
      <c r="AK319" s="830"/>
      <c r="AL319" s="830"/>
      <c r="AM319" s="830"/>
      <c r="AN319" s="830">
        <f>VLOOKUP(C319,'[3]CHẤM CÔNG '!$F$10:$AN$451,35,0)</f>
        <v>0</v>
      </c>
      <c r="AO319" s="830">
        <f>VLOOKUP(C319,'[3]CHẤM CÔNG '!$F$10:$AR$451,36,0)</f>
        <v>0</v>
      </c>
      <c r="AP319" s="830"/>
      <c r="AQ319" s="830"/>
      <c r="AR319" s="830"/>
      <c r="AS319" s="836"/>
      <c r="AT319" s="837">
        <f>VLOOKUP(C319,'[3]MỦ TẠP'!$D$10:$AO$450,38,0)</f>
        <v>0</v>
      </c>
      <c r="AX319" s="799">
        <f t="shared" si="111"/>
        <v>2</v>
      </c>
      <c r="AZ319" s="799">
        <v>1</v>
      </c>
    </row>
    <row r="320" spans="1:52" ht="15.75">
      <c r="A320" s="850">
        <v>18</v>
      </c>
      <c r="B320" s="813" t="str">
        <f>VLOOKUP(C320,'[3]DS CN MOI UP'!$B$10:$C$489,2,0)</f>
        <v>02695</v>
      </c>
      <c r="C320" s="112" t="s">
        <v>223</v>
      </c>
      <c r="D320" s="855" t="s">
        <v>15</v>
      </c>
      <c r="E320" s="815"/>
      <c r="F320" s="815">
        <v>2</v>
      </c>
      <c r="G320" s="815">
        <v>1</v>
      </c>
      <c r="H320" s="815">
        <v>3</v>
      </c>
      <c r="I320" s="815"/>
      <c r="J320" s="815">
        <v>1</v>
      </c>
      <c r="K320" s="815">
        <v>3</v>
      </c>
      <c r="L320" s="815">
        <v>3</v>
      </c>
      <c r="M320" s="815">
        <v>1</v>
      </c>
      <c r="N320" s="815">
        <f t="shared" si="100"/>
        <v>0</v>
      </c>
      <c r="O320" s="815">
        <f t="shared" si="101"/>
        <v>12.8</v>
      </c>
      <c r="P320" s="815">
        <f t="shared" si="102"/>
        <v>8</v>
      </c>
      <c r="Q320" s="815">
        <f t="shared" si="103"/>
        <v>12</v>
      </c>
      <c r="R320" s="815">
        <f t="shared" si="104"/>
        <v>0</v>
      </c>
      <c r="S320" s="815">
        <f t="shared" si="105"/>
        <v>2</v>
      </c>
      <c r="T320" s="815">
        <f t="shared" si="106"/>
        <v>3</v>
      </c>
      <c r="U320" s="815">
        <f t="shared" si="107"/>
        <v>3</v>
      </c>
      <c r="V320" s="815">
        <f t="shared" si="108"/>
        <v>1</v>
      </c>
      <c r="W320" s="815"/>
      <c r="X320" s="815"/>
      <c r="Y320" s="815"/>
      <c r="Z320" s="815"/>
      <c r="AA320" s="830">
        <f t="shared" si="109"/>
        <v>41.8</v>
      </c>
      <c r="AB320" s="830">
        <f>VLOOKUP(C320,'[3]MỦ TẠP'!$D$10:$AM$450,36,0)</f>
        <v>0</v>
      </c>
      <c r="AC320" s="830"/>
      <c r="AD320" s="830"/>
      <c r="AE320" s="830">
        <f>VLOOKUP(C320,'[3]MỦ TẠP'!$D$10:$AM$450,36,0)</f>
        <v>0</v>
      </c>
      <c r="AF320" s="830"/>
      <c r="AG320" s="830"/>
      <c r="AH320" s="830">
        <f t="shared" si="110"/>
        <v>0</v>
      </c>
      <c r="AI320" s="830">
        <f>VLOOKUP(C320,'[3]CHẤM CÔNG '!$F$10:$AM$451,33,0)</f>
        <v>0</v>
      </c>
      <c r="AJ320" s="830">
        <f>VLOOKUP(C320,'[3]CHẤM CÔNG '!$F$10:$AM$451,34,0)</f>
        <v>0</v>
      </c>
      <c r="AK320" s="830"/>
      <c r="AL320" s="830"/>
      <c r="AM320" s="830"/>
      <c r="AN320" s="830">
        <f>VLOOKUP(C320,'[3]CHẤM CÔNG '!$F$10:$AN$451,35,0)</f>
        <v>0</v>
      </c>
      <c r="AO320" s="830">
        <f>VLOOKUP(C320,'[3]CHẤM CÔNG '!$F$10:$AR$451,36,0)</f>
        <v>0</v>
      </c>
      <c r="AP320" s="830"/>
      <c r="AQ320" s="830"/>
      <c r="AR320" s="830"/>
      <c r="AS320" s="836"/>
      <c r="AT320" s="837">
        <f>VLOOKUP(C320,'[3]MỦ TẠP'!$D$10:$AO$450,38,0)</f>
        <v>0</v>
      </c>
      <c r="AX320" s="799">
        <f t="shared" si="111"/>
        <v>2</v>
      </c>
      <c r="AZ320" s="799">
        <v>1</v>
      </c>
    </row>
    <row r="321" spans="1:52" ht="15.75">
      <c r="A321" s="850">
        <v>19</v>
      </c>
      <c r="B321" s="813" t="str">
        <f>VLOOKUP(C321,'[3]DS CN MOI UP'!$B$10:$C$489,2,0)</f>
        <v>02599</v>
      </c>
      <c r="C321" s="112" t="s">
        <v>224</v>
      </c>
      <c r="D321" s="855" t="s">
        <v>15</v>
      </c>
      <c r="E321" s="815"/>
      <c r="F321" s="815">
        <v>2</v>
      </c>
      <c r="G321" s="815">
        <v>1</v>
      </c>
      <c r="H321" s="815">
        <v>3</v>
      </c>
      <c r="I321" s="815"/>
      <c r="J321" s="815">
        <v>1</v>
      </c>
      <c r="K321" s="815">
        <v>3</v>
      </c>
      <c r="L321" s="815">
        <v>3</v>
      </c>
      <c r="M321" s="815">
        <v>1</v>
      </c>
      <c r="N321" s="815">
        <f t="shared" si="100"/>
        <v>0</v>
      </c>
      <c r="O321" s="815">
        <f t="shared" si="101"/>
        <v>12.8</v>
      </c>
      <c r="P321" s="815">
        <f t="shared" si="102"/>
        <v>8</v>
      </c>
      <c r="Q321" s="815">
        <f t="shared" si="103"/>
        <v>12</v>
      </c>
      <c r="R321" s="815">
        <f t="shared" si="104"/>
        <v>0</v>
      </c>
      <c r="S321" s="815">
        <f t="shared" si="105"/>
        <v>2</v>
      </c>
      <c r="T321" s="815">
        <f t="shared" si="106"/>
        <v>3</v>
      </c>
      <c r="U321" s="815">
        <f t="shared" si="107"/>
        <v>3</v>
      </c>
      <c r="V321" s="815">
        <f t="shared" si="108"/>
        <v>1</v>
      </c>
      <c r="W321" s="815"/>
      <c r="X321" s="815"/>
      <c r="Y321" s="815"/>
      <c r="Z321" s="815"/>
      <c r="AA321" s="830">
        <f t="shared" si="109"/>
        <v>41.8</v>
      </c>
      <c r="AB321" s="830">
        <f>VLOOKUP(C321,'[3]MỦ TẠP'!$D$10:$AM$450,36,0)</f>
        <v>0</v>
      </c>
      <c r="AC321" s="830"/>
      <c r="AD321" s="830"/>
      <c r="AE321" s="830">
        <f>VLOOKUP(C321,'[3]MỦ TẠP'!$D$10:$AM$450,36,0)</f>
        <v>0</v>
      </c>
      <c r="AF321" s="830"/>
      <c r="AG321" s="830"/>
      <c r="AH321" s="830">
        <f t="shared" si="110"/>
        <v>0</v>
      </c>
      <c r="AI321" s="830">
        <f>VLOOKUP(C321,'[3]CHẤM CÔNG '!$F$10:$AM$451,33,0)</f>
        <v>0</v>
      </c>
      <c r="AJ321" s="830">
        <f>VLOOKUP(C321,'[3]CHẤM CÔNG '!$F$10:$AM$451,34,0)</f>
        <v>0</v>
      </c>
      <c r="AK321" s="830"/>
      <c r="AL321" s="830"/>
      <c r="AM321" s="830"/>
      <c r="AN321" s="830">
        <f>VLOOKUP(C321,'[3]CHẤM CÔNG '!$F$10:$AN$451,35,0)</f>
        <v>0</v>
      </c>
      <c r="AO321" s="830">
        <f>VLOOKUP(C321,'[3]CHẤM CÔNG '!$F$10:$AR$451,36,0)</f>
        <v>0</v>
      </c>
      <c r="AP321" s="830"/>
      <c r="AQ321" s="830"/>
      <c r="AR321" s="830"/>
      <c r="AS321" s="836"/>
      <c r="AT321" s="837">
        <f>VLOOKUP(C321,'[3]MỦ TẠP'!$D$10:$AO$450,38,0)</f>
        <v>0</v>
      </c>
      <c r="AX321" s="799">
        <f t="shared" si="111"/>
        <v>2</v>
      </c>
      <c r="AZ321" s="799">
        <v>1</v>
      </c>
    </row>
    <row r="322" spans="1:52" ht="15.75">
      <c r="A322" s="850">
        <v>20</v>
      </c>
      <c r="B322" s="813" t="str">
        <f>VLOOKUP(C322,'[3]DS CN MOI UP'!$B$10:$C$489,2,0)</f>
        <v>03383</v>
      </c>
      <c r="C322" s="112" t="s">
        <v>225</v>
      </c>
      <c r="D322" s="855" t="s">
        <v>15</v>
      </c>
      <c r="E322" s="815"/>
      <c r="F322" s="815">
        <v>2</v>
      </c>
      <c r="G322" s="815">
        <v>1</v>
      </c>
      <c r="H322" s="815">
        <v>3</v>
      </c>
      <c r="I322" s="815"/>
      <c r="J322" s="815">
        <v>1</v>
      </c>
      <c r="K322" s="815">
        <v>3</v>
      </c>
      <c r="L322" s="815">
        <v>3</v>
      </c>
      <c r="M322" s="815">
        <v>1</v>
      </c>
      <c r="N322" s="815">
        <f t="shared" si="100"/>
        <v>0</v>
      </c>
      <c r="O322" s="815">
        <f t="shared" si="101"/>
        <v>12.8</v>
      </c>
      <c r="P322" s="815">
        <f t="shared" si="102"/>
        <v>8</v>
      </c>
      <c r="Q322" s="815">
        <f t="shared" si="103"/>
        <v>12</v>
      </c>
      <c r="R322" s="815">
        <f t="shared" si="104"/>
        <v>0</v>
      </c>
      <c r="S322" s="815">
        <f t="shared" si="105"/>
        <v>2</v>
      </c>
      <c r="T322" s="815">
        <f t="shared" si="106"/>
        <v>3</v>
      </c>
      <c r="U322" s="815">
        <f t="shared" si="107"/>
        <v>3</v>
      </c>
      <c r="V322" s="815">
        <f t="shared" si="108"/>
        <v>1</v>
      </c>
      <c r="W322" s="815"/>
      <c r="X322" s="815"/>
      <c r="Y322" s="815"/>
      <c r="Z322" s="815"/>
      <c r="AA322" s="830">
        <f t="shared" si="109"/>
        <v>41.8</v>
      </c>
      <c r="AB322" s="830">
        <f>VLOOKUP(C322,'[3]MỦ TẠP'!$D$10:$AM$450,36,0)</f>
        <v>0</v>
      </c>
      <c r="AC322" s="830"/>
      <c r="AD322" s="830"/>
      <c r="AE322" s="830">
        <f>VLOOKUP(C322,'[3]MỦ TẠP'!$D$10:$AM$450,36,0)</f>
        <v>0</v>
      </c>
      <c r="AF322" s="830"/>
      <c r="AG322" s="830"/>
      <c r="AH322" s="830">
        <f t="shared" si="110"/>
        <v>0</v>
      </c>
      <c r="AI322" s="830">
        <f>VLOOKUP(C322,'[3]CHẤM CÔNG '!$F$10:$AM$451,33,0)</f>
        <v>0</v>
      </c>
      <c r="AJ322" s="830">
        <f>VLOOKUP(C322,'[3]CHẤM CÔNG '!$F$10:$AM$451,34,0)</f>
        <v>0</v>
      </c>
      <c r="AK322" s="830"/>
      <c r="AL322" s="830"/>
      <c r="AM322" s="830"/>
      <c r="AN322" s="830">
        <f>VLOOKUP(C322,'[3]CHẤM CÔNG '!$F$10:$AN$451,35,0)</f>
        <v>0</v>
      </c>
      <c r="AO322" s="830">
        <f>VLOOKUP(C322,'[3]CHẤM CÔNG '!$F$10:$AR$451,36,0)</f>
        <v>0</v>
      </c>
      <c r="AP322" s="830"/>
      <c r="AQ322" s="830"/>
      <c r="AR322" s="830"/>
      <c r="AS322" s="836"/>
      <c r="AT322" s="837">
        <f>VLOOKUP(C322,'[3]MỦ TẠP'!$D$10:$AO$450,38,0)</f>
        <v>0</v>
      </c>
      <c r="AX322" s="799">
        <f t="shared" si="111"/>
        <v>2</v>
      </c>
      <c r="AZ322" s="799">
        <v>1</v>
      </c>
    </row>
    <row r="323" spans="1:52" ht="15.75">
      <c r="A323" s="850">
        <v>21</v>
      </c>
      <c r="B323" s="813" t="str">
        <f>VLOOKUP(C323,'[3]DS CN MOI UP'!$B$10:$C$489,2,0)</f>
        <v>03384</v>
      </c>
      <c r="C323" s="112" t="s">
        <v>226</v>
      </c>
      <c r="D323" s="855" t="s">
        <v>15</v>
      </c>
      <c r="E323" s="815"/>
      <c r="F323" s="815">
        <v>2</v>
      </c>
      <c r="G323" s="815">
        <v>1</v>
      </c>
      <c r="H323" s="815">
        <v>3</v>
      </c>
      <c r="I323" s="815"/>
      <c r="J323" s="815">
        <v>1</v>
      </c>
      <c r="K323" s="815">
        <v>3</v>
      </c>
      <c r="L323" s="815">
        <v>3</v>
      </c>
      <c r="M323" s="815">
        <v>1</v>
      </c>
      <c r="N323" s="815">
        <f t="shared" si="100"/>
        <v>0</v>
      </c>
      <c r="O323" s="815">
        <f t="shared" si="101"/>
        <v>12.8</v>
      </c>
      <c r="P323" s="815">
        <f t="shared" si="102"/>
        <v>8</v>
      </c>
      <c r="Q323" s="815">
        <f t="shared" si="103"/>
        <v>12</v>
      </c>
      <c r="R323" s="815">
        <f t="shared" si="104"/>
        <v>0</v>
      </c>
      <c r="S323" s="815">
        <f t="shared" si="105"/>
        <v>2</v>
      </c>
      <c r="T323" s="815">
        <f t="shared" si="106"/>
        <v>3</v>
      </c>
      <c r="U323" s="815">
        <f t="shared" si="107"/>
        <v>3</v>
      </c>
      <c r="V323" s="815">
        <f t="shared" si="108"/>
        <v>1</v>
      </c>
      <c r="W323" s="815"/>
      <c r="X323" s="815"/>
      <c r="Y323" s="815"/>
      <c r="Z323" s="815"/>
      <c r="AA323" s="830">
        <f t="shared" si="109"/>
        <v>41.8</v>
      </c>
      <c r="AB323" s="830">
        <f>VLOOKUP(C323,'[3]MỦ TẠP'!$D$10:$AM$450,36,0)</f>
        <v>0</v>
      </c>
      <c r="AC323" s="830"/>
      <c r="AD323" s="830"/>
      <c r="AE323" s="830">
        <f>VLOOKUP(C323,'[3]MỦ TẠP'!$D$10:$AM$450,36,0)</f>
        <v>0</v>
      </c>
      <c r="AF323" s="830"/>
      <c r="AG323" s="830"/>
      <c r="AH323" s="830">
        <f t="shared" si="110"/>
        <v>0</v>
      </c>
      <c r="AI323" s="830">
        <f>VLOOKUP(C323,'[3]CHẤM CÔNG '!$F$10:$AM$451,33,0)</f>
        <v>0</v>
      </c>
      <c r="AJ323" s="830">
        <f>VLOOKUP(C323,'[3]CHẤM CÔNG '!$F$10:$AM$451,34,0)</f>
        <v>0</v>
      </c>
      <c r="AK323" s="830"/>
      <c r="AL323" s="830"/>
      <c r="AM323" s="830"/>
      <c r="AN323" s="830">
        <f>VLOOKUP(C323,'[3]CHẤM CÔNG '!$F$10:$AN$451,35,0)</f>
        <v>0</v>
      </c>
      <c r="AO323" s="830">
        <f>VLOOKUP(C323,'[3]CHẤM CÔNG '!$F$10:$AR$451,36,0)</f>
        <v>0</v>
      </c>
      <c r="AP323" s="830"/>
      <c r="AQ323" s="830"/>
      <c r="AR323" s="830"/>
      <c r="AS323" s="836"/>
      <c r="AT323" s="837">
        <f>VLOOKUP(C323,'[3]MỦ TẠP'!$D$10:$AO$450,38,0)</f>
        <v>0</v>
      </c>
      <c r="AX323" s="799">
        <f t="shared" si="111"/>
        <v>2</v>
      </c>
      <c r="AZ323" s="799">
        <v>1</v>
      </c>
    </row>
    <row r="324" spans="1:52" ht="15.75">
      <c r="A324" s="850">
        <v>22</v>
      </c>
      <c r="B324" s="813" t="str">
        <f>VLOOKUP(C324,'[3]DS CN MOI UP'!$B$10:$C$489,2,0)</f>
        <v>02608</v>
      </c>
      <c r="C324" s="112" t="s">
        <v>227</v>
      </c>
      <c r="D324" s="855" t="s">
        <v>15</v>
      </c>
      <c r="E324" s="815"/>
      <c r="F324" s="815">
        <v>2</v>
      </c>
      <c r="G324" s="815">
        <v>1</v>
      </c>
      <c r="H324" s="815">
        <v>3</v>
      </c>
      <c r="I324" s="815"/>
      <c r="J324" s="815">
        <v>1</v>
      </c>
      <c r="K324" s="815">
        <v>3</v>
      </c>
      <c r="L324" s="815">
        <v>3</v>
      </c>
      <c r="M324" s="815">
        <v>1</v>
      </c>
      <c r="N324" s="815">
        <f t="shared" si="100"/>
        <v>0</v>
      </c>
      <c r="O324" s="815">
        <f t="shared" si="101"/>
        <v>12.8</v>
      </c>
      <c r="P324" s="815">
        <f t="shared" si="102"/>
        <v>8</v>
      </c>
      <c r="Q324" s="815">
        <f t="shared" si="103"/>
        <v>12</v>
      </c>
      <c r="R324" s="815">
        <f t="shared" si="104"/>
        <v>0</v>
      </c>
      <c r="S324" s="815">
        <f t="shared" si="105"/>
        <v>2</v>
      </c>
      <c r="T324" s="815">
        <f t="shared" si="106"/>
        <v>3</v>
      </c>
      <c r="U324" s="815">
        <f t="shared" si="107"/>
        <v>3</v>
      </c>
      <c r="V324" s="815">
        <f t="shared" si="108"/>
        <v>1</v>
      </c>
      <c r="W324" s="815"/>
      <c r="X324" s="815"/>
      <c r="Y324" s="815"/>
      <c r="Z324" s="815"/>
      <c r="AA324" s="830">
        <f t="shared" si="109"/>
        <v>41.8</v>
      </c>
      <c r="AB324" s="830">
        <f>VLOOKUP(C324,'[3]MỦ TẠP'!$D$10:$AM$450,36,0)</f>
        <v>0</v>
      </c>
      <c r="AC324" s="830"/>
      <c r="AD324" s="830"/>
      <c r="AE324" s="830">
        <f>VLOOKUP(C324,'[3]MỦ TẠP'!$D$10:$AM$450,36,0)</f>
        <v>0</v>
      </c>
      <c r="AF324" s="830"/>
      <c r="AG324" s="830"/>
      <c r="AH324" s="830">
        <f t="shared" si="110"/>
        <v>0</v>
      </c>
      <c r="AI324" s="830">
        <f>VLOOKUP(C324,'[3]CHẤM CÔNG '!$F$10:$AM$451,33,0)</f>
        <v>0</v>
      </c>
      <c r="AJ324" s="830">
        <f>VLOOKUP(C324,'[3]CHẤM CÔNG '!$F$10:$AM$451,34,0)</f>
        <v>0</v>
      </c>
      <c r="AK324" s="830"/>
      <c r="AL324" s="830"/>
      <c r="AM324" s="830"/>
      <c r="AN324" s="830">
        <f>VLOOKUP(C324,'[3]CHẤM CÔNG '!$F$10:$AN$451,35,0)</f>
        <v>0</v>
      </c>
      <c r="AO324" s="830">
        <f>VLOOKUP(C324,'[3]CHẤM CÔNG '!$F$10:$AR$451,36,0)</f>
        <v>0</v>
      </c>
      <c r="AP324" s="830"/>
      <c r="AQ324" s="830"/>
      <c r="AR324" s="830"/>
      <c r="AS324" s="836"/>
      <c r="AT324" s="837">
        <f>VLOOKUP(C324,'[3]MỦ TẠP'!$D$10:$AO$450,38,0)</f>
        <v>0</v>
      </c>
      <c r="AX324" s="799">
        <f t="shared" si="111"/>
        <v>2</v>
      </c>
      <c r="AZ324" s="799">
        <v>1</v>
      </c>
    </row>
    <row r="325" spans="1:52" ht="15.75">
      <c r="A325" s="850">
        <v>23</v>
      </c>
      <c r="B325" s="813" t="str">
        <f>VLOOKUP(C325,'[3]DS CN MOI UP'!$B$10:$C$489,2,0)</f>
        <v>02603</v>
      </c>
      <c r="C325" s="112" t="s">
        <v>228</v>
      </c>
      <c r="D325" s="855" t="s">
        <v>15</v>
      </c>
      <c r="E325" s="815"/>
      <c r="F325" s="815">
        <v>2</v>
      </c>
      <c r="G325" s="815">
        <v>1</v>
      </c>
      <c r="H325" s="815">
        <v>3</v>
      </c>
      <c r="I325" s="815"/>
      <c r="J325" s="815">
        <v>1</v>
      </c>
      <c r="K325" s="815">
        <v>3</v>
      </c>
      <c r="L325" s="815">
        <v>3</v>
      </c>
      <c r="M325" s="815">
        <v>1</v>
      </c>
      <c r="N325" s="815">
        <f t="shared" si="100"/>
        <v>0</v>
      </c>
      <c r="O325" s="815">
        <f t="shared" si="101"/>
        <v>12.8</v>
      </c>
      <c r="P325" s="815">
        <f t="shared" si="102"/>
        <v>8</v>
      </c>
      <c r="Q325" s="815">
        <f t="shared" si="103"/>
        <v>12</v>
      </c>
      <c r="R325" s="815">
        <f t="shared" si="104"/>
        <v>0</v>
      </c>
      <c r="S325" s="815">
        <f t="shared" si="105"/>
        <v>2</v>
      </c>
      <c r="T325" s="815">
        <f t="shared" si="106"/>
        <v>3</v>
      </c>
      <c r="U325" s="815">
        <f t="shared" si="107"/>
        <v>3</v>
      </c>
      <c r="V325" s="815">
        <f t="shared" si="108"/>
        <v>1</v>
      </c>
      <c r="W325" s="815"/>
      <c r="X325" s="815"/>
      <c r="Y325" s="815"/>
      <c r="Z325" s="815"/>
      <c r="AA325" s="830">
        <f t="shared" si="109"/>
        <v>41.8</v>
      </c>
      <c r="AB325" s="830">
        <f>VLOOKUP(C325,'[3]MỦ TẠP'!$D$10:$AM$450,36,0)</f>
        <v>0</v>
      </c>
      <c r="AC325" s="830"/>
      <c r="AD325" s="830"/>
      <c r="AE325" s="830">
        <f>VLOOKUP(C325,'[3]MỦ TẠP'!$D$10:$AM$450,36,0)</f>
        <v>0</v>
      </c>
      <c r="AF325" s="830"/>
      <c r="AG325" s="830"/>
      <c r="AH325" s="830">
        <f t="shared" si="110"/>
        <v>0</v>
      </c>
      <c r="AI325" s="830">
        <f>VLOOKUP(C325,'[3]CHẤM CÔNG '!$F$10:$AM$451,33,0)</f>
        <v>0</v>
      </c>
      <c r="AJ325" s="830">
        <f>VLOOKUP(C325,'[3]CHẤM CÔNG '!$F$10:$AM$451,34,0)</f>
        <v>0</v>
      </c>
      <c r="AK325" s="830"/>
      <c r="AL325" s="830"/>
      <c r="AM325" s="830"/>
      <c r="AN325" s="830">
        <f>VLOOKUP(C325,'[3]CHẤM CÔNG '!$F$10:$AN$451,35,0)</f>
        <v>0</v>
      </c>
      <c r="AO325" s="830">
        <f>VLOOKUP(C325,'[3]CHẤM CÔNG '!$F$10:$AR$451,36,0)</f>
        <v>0</v>
      </c>
      <c r="AP325" s="830"/>
      <c r="AQ325" s="830"/>
      <c r="AR325" s="830"/>
      <c r="AS325" s="836"/>
      <c r="AT325" s="837">
        <f>VLOOKUP(C325,'[3]MỦ TẠP'!$D$10:$AO$450,38,0)</f>
        <v>0</v>
      </c>
      <c r="AX325" s="799">
        <f t="shared" si="111"/>
        <v>2</v>
      </c>
      <c r="AZ325" s="799">
        <v>1</v>
      </c>
    </row>
    <row r="326" spans="1:52" ht="15.75">
      <c r="A326" s="850">
        <v>24</v>
      </c>
      <c r="B326" s="813" t="str">
        <f>VLOOKUP(C326,'[3]DS CN MOI UP'!$B$10:$C$489,2,0)</f>
        <v>03385</v>
      </c>
      <c r="C326" s="112" t="s">
        <v>229</v>
      </c>
      <c r="D326" s="855" t="s">
        <v>15</v>
      </c>
      <c r="E326" s="815"/>
      <c r="F326" s="815">
        <v>2</v>
      </c>
      <c r="G326" s="815">
        <v>1</v>
      </c>
      <c r="H326" s="815">
        <v>3</v>
      </c>
      <c r="I326" s="815"/>
      <c r="J326" s="815">
        <v>1</v>
      </c>
      <c r="K326" s="815">
        <v>3</v>
      </c>
      <c r="L326" s="815">
        <v>3</v>
      </c>
      <c r="M326" s="815">
        <v>1</v>
      </c>
      <c r="N326" s="815">
        <f t="shared" si="100"/>
        <v>0</v>
      </c>
      <c r="O326" s="815">
        <f t="shared" si="101"/>
        <v>12.8</v>
      </c>
      <c r="P326" s="815">
        <f t="shared" si="102"/>
        <v>8</v>
      </c>
      <c r="Q326" s="815">
        <f t="shared" si="103"/>
        <v>12</v>
      </c>
      <c r="R326" s="815">
        <f t="shared" si="104"/>
        <v>0</v>
      </c>
      <c r="S326" s="815">
        <f t="shared" si="105"/>
        <v>2</v>
      </c>
      <c r="T326" s="815">
        <f t="shared" si="106"/>
        <v>3</v>
      </c>
      <c r="U326" s="815">
        <f t="shared" si="107"/>
        <v>3</v>
      </c>
      <c r="V326" s="815">
        <f t="shared" si="108"/>
        <v>1</v>
      </c>
      <c r="W326" s="815"/>
      <c r="X326" s="815"/>
      <c r="Y326" s="815"/>
      <c r="Z326" s="815"/>
      <c r="AA326" s="830">
        <f t="shared" si="109"/>
        <v>41.8</v>
      </c>
      <c r="AB326" s="830">
        <f>VLOOKUP(C326,'[3]MỦ TẠP'!$D$10:$AM$450,36,0)</f>
        <v>0</v>
      </c>
      <c r="AC326" s="830"/>
      <c r="AD326" s="830"/>
      <c r="AE326" s="830">
        <f>VLOOKUP(C326,'[3]MỦ TẠP'!$D$10:$AM$450,36,0)</f>
        <v>0</v>
      </c>
      <c r="AF326" s="830"/>
      <c r="AG326" s="830"/>
      <c r="AH326" s="830">
        <f t="shared" si="110"/>
        <v>0</v>
      </c>
      <c r="AI326" s="830">
        <f>VLOOKUP(C326,'[3]CHẤM CÔNG '!$F$10:$AM$451,33,0)</f>
        <v>0</v>
      </c>
      <c r="AJ326" s="830">
        <f>VLOOKUP(C326,'[3]CHẤM CÔNG '!$F$10:$AM$451,34,0)</f>
        <v>0</v>
      </c>
      <c r="AK326" s="830"/>
      <c r="AL326" s="830"/>
      <c r="AM326" s="830"/>
      <c r="AN326" s="830">
        <f>VLOOKUP(C326,'[3]CHẤM CÔNG '!$F$10:$AN$451,35,0)</f>
        <v>0</v>
      </c>
      <c r="AO326" s="830">
        <f>VLOOKUP(C326,'[3]CHẤM CÔNG '!$F$10:$AR$451,36,0)</f>
        <v>0</v>
      </c>
      <c r="AP326" s="830"/>
      <c r="AQ326" s="830"/>
      <c r="AR326" s="830"/>
      <c r="AS326" s="836"/>
      <c r="AT326" s="837">
        <f>VLOOKUP(C326,'[3]MỦ TẠP'!$D$10:$AO$450,38,0)</f>
        <v>0</v>
      </c>
      <c r="AX326" s="799">
        <f t="shared" si="111"/>
        <v>2</v>
      </c>
      <c r="AZ326" s="799">
        <v>1</v>
      </c>
    </row>
    <row r="327" spans="1:52" ht="15.75">
      <c r="A327" s="850">
        <v>25</v>
      </c>
      <c r="B327" s="813" t="str">
        <f>VLOOKUP(C327,'[3]DS CN MOI UP'!$B$10:$C$489,2,0)</f>
        <v>02586</v>
      </c>
      <c r="C327" s="112" t="s">
        <v>230</v>
      </c>
      <c r="D327" s="855" t="s">
        <v>15</v>
      </c>
      <c r="E327" s="815"/>
      <c r="F327" s="815">
        <v>2</v>
      </c>
      <c r="G327" s="815">
        <v>1</v>
      </c>
      <c r="H327" s="815">
        <v>3</v>
      </c>
      <c r="I327" s="815"/>
      <c r="J327" s="815">
        <v>1</v>
      </c>
      <c r="K327" s="815">
        <v>3</v>
      </c>
      <c r="L327" s="815">
        <v>3</v>
      </c>
      <c r="M327" s="815">
        <v>1</v>
      </c>
      <c r="N327" s="815">
        <f t="shared" si="100"/>
        <v>0</v>
      </c>
      <c r="O327" s="815">
        <f t="shared" si="101"/>
        <v>12.8</v>
      </c>
      <c r="P327" s="815">
        <f t="shared" si="102"/>
        <v>8</v>
      </c>
      <c r="Q327" s="815">
        <f t="shared" si="103"/>
        <v>12</v>
      </c>
      <c r="R327" s="815">
        <f t="shared" si="104"/>
        <v>0</v>
      </c>
      <c r="S327" s="815">
        <f t="shared" si="105"/>
        <v>2</v>
      </c>
      <c r="T327" s="815">
        <f t="shared" si="106"/>
        <v>3</v>
      </c>
      <c r="U327" s="815">
        <f t="shared" si="107"/>
        <v>3</v>
      </c>
      <c r="V327" s="815">
        <f t="shared" si="108"/>
        <v>1</v>
      </c>
      <c r="W327" s="815"/>
      <c r="X327" s="815"/>
      <c r="Y327" s="815"/>
      <c r="Z327" s="815"/>
      <c r="AA327" s="830">
        <f t="shared" si="109"/>
        <v>41.8</v>
      </c>
      <c r="AB327" s="830">
        <f>VLOOKUP(C327,'[3]MỦ TẠP'!$D$10:$AM$450,36,0)</f>
        <v>0</v>
      </c>
      <c r="AC327" s="830"/>
      <c r="AD327" s="830"/>
      <c r="AE327" s="830">
        <f>VLOOKUP(C327,'[3]MỦ TẠP'!$D$10:$AM$450,36,0)</f>
        <v>0</v>
      </c>
      <c r="AF327" s="830"/>
      <c r="AG327" s="830"/>
      <c r="AH327" s="830">
        <f t="shared" si="110"/>
        <v>0</v>
      </c>
      <c r="AI327" s="830">
        <f>VLOOKUP(C327,'[3]CHẤM CÔNG '!$F$10:$AM$451,33,0)</f>
        <v>0</v>
      </c>
      <c r="AJ327" s="830">
        <f>VLOOKUP(C327,'[3]CHẤM CÔNG '!$F$10:$AM$451,34,0)</f>
        <v>0</v>
      </c>
      <c r="AK327" s="830"/>
      <c r="AL327" s="830"/>
      <c r="AM327" s="830"/>
      <c r="AN327" s="830">
        <f>VLOOKUP(C327,'[3]CHẤM CÔNG '!$F$10:$AN$451,35,0)</f>
        <v>0</v>
      </c>
      <c r="AO327" s="830">
        <f>VLOOKUP(C327,'[3]CHẤM CÔNG '!$F$10:$AR$451,36,0)</f>
        <v>0</v>
      </c>
      <c r="AP327" s="830"/>
      <c r="AQ327" s="830"/>
      <c r="AR327" s="830"/>
      <c r="AS327" s="836"/>
      <c r="AT327" s="837">
        <f>VLOOKUP(C327,'[3]MỦ TẠP'!$D$10:$AO$450,38,0)</f>
        <v>0</v>
      </c>
      <c r="AX327" s="799">
        <f t="shared" si="111"/>
        <v>2</v>
      </c>
      <c r="AZ327" s="799">
        <v>1</v>
      </c>
    </row>
    <row r="328" spans="1:52" ht="15.75">
      <c r="A328" s="850">
        <v>26</v>
      </c>
      <c r="B328" s="813" t="str">
        <f>VLOOKUP(C328,'[3]DS CN MOI UP'!$B$10:$C$489,2,0)</f>
        <v>02614</v>
      </c>
      <c r="C328" s="112" t="s">
        <v>231</v>
      </c>
      <c r="D328" s="855" t="s">
        <v>15</v>
      </c>
      <c r="E328" s="815"/>
      <c r="F328" s="815">
        <v>2</v>
      </c>
      <c r="G328" s="815">
        <v>1</v>
      </c>
      <c r="H328" s="815">
        <v>3</v>
      </c>
      <c r="I328" s="815"/>
      <c r="J328" s="815">
        <v>1</v>
      </c>
      <c r="K328" s="815">
        <v>3</v>
      </c>
      <c r="L328" s="815">
        <v>3</v>
      </c>
      <c r="M328" s="815">
        <v>1</v>
      </c>
      <c r="N328" s="815">
        <f t="shared" si="100"/>
        <v>0</v>
      </c>
      <c r="O328" s="815">
        <f t="shared" si="101"/>
        <v>12.8</v>
      </c>
      <c r="P328" s="815">
        <f t="shared" si="102"/>
        <v>8</v>
      </c>
      <c r="Q328" s="815">
        <f t="shared" si="103"/>
        <v>12</v>
      </c>
      <c r="R328" s="815">
        <f t="shared" si="104"/>
        <v>0</v>
      </c>
      <c r="S328" s="815">
        <f t="shared" si="105"/>
        <v>2</v>
      </c>
      <c r="T328" s="815">
        <f t="shared" si="106"/>
        <v>3</v>
      </c>
      <c r="U328" s="815">
        <f t="shared" si="107"/>
        <v>3</v>
      </c>
      <c r="V328" s="815">
        <f t="shared" si="108"/>
        <v>1</v>
      </c>
      <c r="W328" s="815"/>
      <c r="X328" s="815"/>
      <c r="Y328" s="815"/>
      <c r="Z328" s="815"/>
      <c r="AA328" s="830">
        <f t="shared" si="109"/>
        <v>41.8</v>
      </c>
      <c r="AB328" s="830">
        <f>VLOOKUP(C328,'[3]MỦ TẠP'!$D$10:$AM$450,36,0)</f>
        <v>0</v>
      </c>
      <c r="AC328" s="830"/>
      <c r="AD328" s="830"/>
      <c r="AE328" s="830">
        <f>VLOOKUP(C328,'[3]MỦ TẠP'!$D$10:$AM$450,36,0)</f>
        <v>0</v>
      </c>
      <c r="AF328" s="830"/>
      <c r="AG328" s="830"/>
      <c r="AH328" s="830">
        <f t="shared" si="110"/>
        <v>0</v>
      </c>
      <c r="AI328" s="830">
        <f>VLOOKUP(C328,'[3]CHẤM CÔNG '!$F$10:$AM$451,33,0)</f>
        <v>0</v>
      </c>
      <c r="AJ328" s="830">
        <f>VLOOKUP(C328,'[3]CHẤM CÔNG '!$F$10:$AM$451,34,0)</f>
        <v>0</v>
      </c>
      <c r="AK328" s="830"/>
      <c r="AL328" s="830"/>
      <c r="AM328" s="830"/>
      <c r="AN328" s="830">
        <f>VLOOKUP(C328,'[3]CHẤM CÔNG '!$F$10:$AN$451,35,0)</f>
        <v>0</v>
      </c>
      <c r="AO328" s="830">
        <f>VLOOKUP(C328,'[3]CHẤM CÔNG '!$F$10:$AR$451,36,0)</f>
        <v>0</v>
      </c>
      <c r="AP328" s="830"/>
      <c r="AQ328" s="830"/>
      <c r="AR328" s="830"/>
      <c r="AS328" s="836"/>
      <c r="AT328" s="837">
        <f>VLOOKUP(C328,'[3]MỦ TẠP'!$D$10:$AO$450,38,0)</f>
        <v>0</v>
      </c>
      <c r="AX328" s="799">
        <f t="shared" si="111"/>
        <v>2</v>
      </c>
      <c r="AZ328" s="799">
        <v>1</v>
      </c>
    </row>
    <row r="329" spans="1:52" ht="15.75">
      <c r="A329" s="850">
        <v>27</v>
      </c>
      <c r="B329" s="813" t="str">
        <f>VLOOKUP(C329,'[3]DS CN MOI UP'!$B$10:$C$489,2,0)</f>
        <v>02581</v>
      </c>
      <c r="C329" s="112" t="s">
        <v>232</v>
      </c>
      <c r="D329" s="855" t="s">
        <v>15</v>
      </c>
      <c r="E329" s="815"/>
      <c r="F329" s="815">
        <v>2</v>
      </c>
      <c r="G329" s="815">
        <v>1</v>
      </c>
      <c r="H329" s="815">
        <v>3</v>
      </c>
      <c r="I329" s="815"/>
      <c r="J329" s="815">
        <v>1</v>
      </c>
      <c r="K329" s="815">
        <v>3</v>
      </c>
      <c r="L329" s="815">
        <v>3</v>
      </c>
      <c r="M329" s="815">
        <v>1</v>
      </c>
      <c r="N329" s="815">
        <f t="shared" si="100"/>
        <v>0</v>
      </c>
      <c r="O329" s="815">
        <f t="shared" si="101"/>
        <v>12.8</v>
      </c>
      <c r="P329" s="815">
        <f t="shared" si="102"/>
        <v>8</v>
      </c>
      <c r="Q329" s="815">
        <f t="shared" si="103"/>
        <v>12</v>
      </c>
      <c r="R329" s="815">
        <f t="shared" si="104"/>
        <v>0</v>
      </c>
      <c r="S329" s="815">
        <f t="shared" si="105"/>
        <v>2</v>
      </c>
      <c r="T329" s="815">
        <f t="shared" si="106"/>
        <v>3</v>
      </c>
      <c r="U329" s="815">
        <f t="shared" si="107"/>
        <v>3</v>
      </c>
      <c r="V329" s="815">
        <f t="shared" si="108"/>
        <v>1</v>
      </c>
      <c r="W329" s="815"/>
      <c r="X329" s="815"/>
      <c r="Y329" s="815"/>
      <c r="Z329" s="815"/>
      <c r="AA329" s="830">
        <f t="shared" si="109"/>
        <v>41.8</v>
      </c>
      <c r="AB329" s="830">
        <f>VLOOKUP(C329,'[3]MỦ TẠP'!$D$10:$AM$450,36,0)</f>
        <v>0</v>
      </c>
      <c r="AC329" s="830"/>
      <c r="AD329" s="830"/>
      <c r="AE329" s="830">
        <f>VLOOKUP(C329,'[3]MỦ TẠP'!$D$10:$AM$450,36,0)</f>
        <v>0</v>
      </c>
      <c r="AF329" s="830"/>
      <c r="AG329" s="830"/>
      <c r="AH329" s="830">
        <f t="shared" si="110"/>
        <v>0</v>
      </c>
      <c r="AI329" s="830">
        <f>VLOOKUP(C329,'[3]CHẤM CÔNG '!$F$10:$AM$451,33,0)</f>
        <v>0</v>
      </c>
      <c r="AJ329" s="830">
        <f>VLOOKUP(C329,'[3]CHẤM CÔNG '!$F$10:$AM$451,34,0)</f>
        <v>0</v>
      </c>
      <c r="AK329" s="830"/>
      <c r="AL329" s="830"/>
      <c r="AM329" s="830"/>
      <c r="AN329" s="830">
        <f>VLOOKUP(C329,'[3]CHẤM CÔNG '!$F$10:$AN$451,35,0)</f>
        <v>0</v>
      </c>
      <c r="AO329" s="830">
        <f>VLOOKUP(C329,'[3]CHẤM CÔNG '!$F$10:$AR$451,36,0)</f>
        <v>0</v>
      </c>
      <c r="AP329" s="830"/>
      <c r="AQ329" s="830"/>
      <c r="AR329" s="830"/>
      <c r="AS329" s="836"/>
      <c r="AT329" s="837">
        <f>VLOOKUP(C329,'[3]MỦ TẠP'!$D$10:$AO$450,38,0)</f>
        <v>0</v>
      </c>
      <c r="AX329" s="799">
        <f t="shared" si="111"/>
        <v>2</v>
      </c>
      <c r="AZ329" s="799">
        <v>1</v>
      </c>
    </row>
    <row r="330" spans="1:52" ht="15.75">
      <c r="A330" s="850">
        <v>28</v>
      </c>
      <c r="B330" s="813" t="str">
        <f>VLOOKUP(C330,'[3]DS CN MOI UP'!$B$10:$C$489,2,0)</f>
        <v>02613</v>
      </c>
      <c r="C330" s="112" t="s">
        <v>233</v>
      </c>
      <c r="D330" s="855" t="s">
        <v>15</v>
      </c>
      <c r="E330" s="815"/>
      <c r="F330" s="815">
        <v>2</v>
      </c>
      <c r="G330" s="815">
        <v>1</v>
      </c>
      <c r="H330" s="815">
        <v>3</v>
      </c>
      <c r="I330" s="815"/>
      <c r="J330" s="815">
        <v>1</v>
      </c>
      <c r="K330" s="815">
        <v>3</v>
      </c>
      <c r="L330" s="815">
        <v>3</v>
      </c>
      <c r="M330" s="815">
        <v>1</v>
      </c>
      <c r="N330" s="815">
        <f t="shared" si="100"/>
        <v>0</v>
      </c>
      <c r="O330" s="815">
        <f t="shared" si="101"/>
        <v>12.8</v>
      </c>
      <c r="P330" s="815">
        <f t="shared" si="102"/>
        <v>8</v>
      </c>
      <c r="Q330" s="815">
        <f t="shared" si="103"/>
        <v>12</v>
      </c>
      <c r="R330" s="815">
        <f t="shared" si="104"/>
        <v>0</v>
      </c>
      <c r="S330" s="815">
        <f t="shared" si="105"/>
        <v>2</v>
      </c>
      <c r="T330" s="815">
        <f t="shared" si="106"/>
        <v>3</v>
      </c>
      <c r="U330" s="815">
        <f t="shared" si="107"/>
        <v>3</v>
      </c>
      <c r="V330" s="815">
        <f t="shared" si="108"/>
        <v>1</v>
      </c>
      <c r="W330" s="815"/>
      <c r="X330" s="815"/>
      <c r="Y330" s="815"/>
      <c r="Z330" s="815"/>
      <c r="AA330" s="830">
        <f t="shared" si="109"/>
        <v>41.8</v>
      </c>
      <c r="AB330" s="830">
        <f>VLOOKUP(C330,'[3]MỦ TẠP'!$D$10:$AM$450,36,0)</f>
        <v>0</v>
      </c>
      <c r="AC330" s="830"/>
      <c r="AD330" s="830"/>
      <c r="AE330" s="830">
        <f>VLOOKUP(C330,'[3]MỦ TẠP'!$D$10:$AM$450,36,0)</f>
        <v>0</v>
      </c>
      <c r="AF330" s="830"/>
      <c r="AG330" s="830"/>
      <c r="AH330" s="830">
        <f t="shared" si="110"/>
        <v>0</v>
      </c>
      <c r="AI330" s="830">
        <f>VLOOKUP(C330,'[3]CHẤM CÔNG '!$F$10:$AM$451,33,0)</f>
        <v>0</v>
      </c>
      <c r="AJ330" s="830">
        <f>VLOOKUP(C330,'[3]CHẤM CÔNG '!$F$10:$AM$451,34,0)</f>
        <v>0</v>
      </c>
      <c r="AK330" s="830"/>
      <c r="AL330" s="830"/>
      <c r="AM330" s="830"/>
      <c r="AN330" s="830">
        <f>VLOOKUP(C330,'[3]CHẤM CÔNG '!$F$10:$AN$451,35,0)</f>
        <v>0</v>
      </c>
      <c r="AO330" s="830">
        <f>VLOOKUP(C330,'[3]CHẤM CÔNG '!$F$10:$AR$451,36,0)</f>
        <v>0</v>
      </c>
      <c r="AP330" s="830"/>
      <c r="AQ330" s="830"/>
      <c r="AR330" s="830"/>
      <c r="AS330" s="836"/>
      <c r="AT330" s="837">
        <f>VLOOKUP(C330,'[3]MỦ TẠP'!$D$10:$AO$450,38,0)</f>
        <v>0</v>
      </c>
      <c r="AX330" s="799">
        <f t="shared" si="111"/>
        <v>2</v>
      </c>
      <c r="AZ330" s="799">
        <v>1</v>
      </c>
    </row>
    <row r="331" spans="1:52" ht="15.75">
      <c r="A331" s="850">
        <v>29</v>
      </c>
      <c r="B331" s="813" t="str">
        <f>VLOOKUP(C331,'[3]DS CN MOI UP'!$B$10:$C$489,2,0)</f>
        <v>03386</v>
      </c>
      <c r="C331" s="112" t="s">
        <v>234</v>
      </c>
      <c r="D331" s="855" t="s">
        <v>15</v>
      </c>
      <c r="E331" s="815"/>
      <c r="F331" s="815">
        <v>2</v>
      </c>
      <c r="G331" s="815">
        <v>1</v>
      </c>
      <c r="H331" s="815">
        <v>3</v>
      </c>
      <c r="I331" s="815"/>
      <c r="J331" s="815">
        <v>1</v>
      </c>
      <c r="K331" s="815">
        <v>3</v>
      </c>
      <c r="L331" s="815">
        <v>3</v>
      </c>
      <c r="M331" s="815">
        <v>1</v>
      </c>
      <c r="N331" s="815">
        <f t="shared" si="100"/>
        <v>0</v>
      </c>
      <c r="O331" s="815">
        <f t="shared" si="101"/>
        <v>12.8</v>
      </c>
      <c r="P331" s="815">
        <f t="shared" si="102"/>
        <v>8</v>
      </c>
      <c r="Q331" s="815">
        <f t="shared" si="103"/>
        <v>12</v>
      </c>
      <c r="R331" s="815">
        <f t="shared" si="104"/>
        <v>0</v>
      </c>
      <c r="S331" s="815">
        <f t="shared" si="105"/>
        <v>2</v>
      </c>
      <c r="T331" s="815">
        <f t="shared" si="106"/>
        <v>3</v>
      </c>
      <c r="U331" s="815">
        <f t="shared" si="107"/>
        <v>3</v>
      </c>
      <c r="V331" s="815">
        <f t="shared" si="108"/>
        <v>1</v>
      </c>
      <c r="W331" s="815"/>
      <c r="X331" s="815"/>
      <c r="Y331" s="815"/>
      <c r="Z331" s="815"/>
      <c r="AA331" s="830">
        <f t="shared" si="109"/>
        <v>41.8</v>
      </c>
      <c r="AB331" s="830">
        <f>VLOOKUP(C331,'[3]MỦ TẠP'!$D$10:$AM$450,36,0)</f>
        <v>0</v>
      </c>
      <c r="AC331" s="830"/>
      <c r="AD331" s="830"/>
      <c r="AE331" s="830">
        <f>VLOOKUP(C331,'[3]MỦ TẠP'!$D$10:$AM$450,36,0)</f>
        <v>0</v>
      </c>
      <c r="AF331" s="830"/>
      <c r="AG331" s="830"/>
      <c r="AH331" s="830">
        <f t="shared" si="110"/>
        <v>0</v>
      </c>
      <c r="AI331" s="830">
        <f>VLOOKUP(C331,'[3]CHẤM CÔNG '!$F$10:$AM$451,33,0)</f>
        <v>0</v>
      </c>
      <c r="AJ331" s="830">
        <f>VLOOKUP(C331,'[3]CHẤM CÔNG '!$F$10:$AM$451,34,0)</f>
        <v>0</v>
      </c>
      <c r="AK331" s="830"/>
      <c r="AL331" s="830"/>
      <c r="AM331" s="830"/>
      <c r="AN331" s="830">
        <f>VLOOKUP(C331,'[3]CHẤM CÔNG '!$F$10:$AN$451,35,0)</f>
        <v>0</v>
      </c>
      <c r="AO331" s="830">
        <f>VLOOKUP(C331,'[3]CHẤM CÔNG '!$F$10:$AR$451,36,0)</f>
        <v>0</v>
      </c>
      <c r="AP331" s="830"/>
      <c r="AQ331" s="830"/>
      <c r="AR331" s="830"/>
      <c r="AS331" s="836"/>
      <c r="AT331" s="837">
        <f>VLOOKUP(C331,'[3]MỦ TẠP'!$D$10:$AO$450,38,0)</f>
        <v>0</v>
      </c>
      <c r="AX331" s="799">
        <f t="shared" si="111"/>
        <v>2</v>
      </c>
      <c r="AZ331" s="799">
        <v>1</v>
      </c>
    </row>
    <row r="332" spans="1:52" ht="15.75">
      <c r="A332" s="850">
        <v>30</v>
      </c>
      <c r="B332" s="813" t="str">
        <f>VLOOKUP(C332,'[3]DS CN MOI UP'!$B$10:$C$489,2,0)</f>
        <v>03387</v>
      </c>
      <c r="C332" s="112" t="s">
        <v>235</v>
      </c>
      <c r="D332" s="855" t="s">
        <v>15</v>
      </c>
      <c r="E332" s="815"/>
      <c r="F332" s="815">
        <v>2</v>
      </c>
      <c r="G332" s="815">
        <v>1</v>
      </c>
      <c r="H332" s="815">
        <v>3</v>
      </c>
      <c r="I332" s="815"/>
      <c r="J332" s="815">
        <v>1</v>
      </c>
      <c r="K332" s="815">
        <v>3</v>
      </c>
      <c r="L332" s="815">
        <v>3</v>
      </c>
      <c r="M332" s="815">
        <v>1</v>
      </c>
      <c r="N332" s="815">
        <f t="shared" si="100"/>
        <v>0</v>
      </c>
      <c r="O332" s="815">
        <f t="shared" si="101"/>
        <v>12.8</v>
      </c>
      <c r="P332" s="815">
        <f t="shared" si="102"/>
        <v>8</v>
      </c>
      <c r="Q332" s="815">
        <f t="shared" si="103"/>
        <v>12</v>
      </c>
      <c r="R332" s="815">
        <f t="shared" si="104"/>
        <v>0</v>
      </c>
      <c r="S332" s="815">
        <f t="shared" si="105"/>
        <v>2</v>
      </c>
      <c r="T332" s="815">
        <f t="shared" si="106"/>
        <v>3</v>
      </c>
      <c r="U332" s="815">
        <f t="shared" si="107"/>
        <v>3</v>
      </c>
      <c r="V332" s="815">
        <f t="shared" si="108"/>
        <v>1</v>
      </c>
      <c r="W332" s="815"/>
      <c r="X332" s="815"/>
      <c r="Y332" s="815"/>
      <c r="Z332" s="815"/>
      <c r="AA332" s="830">
        <f t="shared" si="109"/>
        <v>41.8</v>
      </c>
      <c r="AB332" s="830">
        <f>VLOOKUP(C332,'[3]MỦ TẠP'!$D$10:$AM$450,36,0)</f>
        <v>0</v>
      </c>
      <c r="AC332" s="830"/>
      <c r="AD332" s="830"/>
      <c r="AE332" s="830">
        <f>VLOOKUP(C332,'[3]MỦ TẠP'!$D$10:$AM$450,36,0)</f>
        <v>0</v>
      </c>
      <c r="AF332" s="830"/>
      <c r="AG332" s="830"/>
      <c r="AH332" s="830">
        <f t="shared" si="110"/>
        <v>0</v>
      </c>
      <c r="AI332" s="830">
        <f>VLOOKUP(C332,'[3]CHẤM CÔNG '!$F$10:$AM$451,33,0)</f>
        <v>0</v>
      </c>
      <c r="AJ332" s="830">
        <f>VLOOKUP(C332,'[3]CHẤM CÔNG '!$F$10:$AM$451,34,0)</f>
        <v>0</v>
      </c>
      <c r="AK332" s="830"/>
      <c r="AL332" s="830"/>
      <c r="AM332" s="830"/>
      <c r="AN332" s="830">
        <f>VLOOKUP(C332,'[3]CHẤM CÔNG '!$F$10:$AN$451,35,0)</f>
        <v>0</v>
      </c>
      <c r="AO332" s="830">
        <f>VLOOKUP(C332,'[3]CHẤM CÔNG '!$F$10:$AR$451,36,0)</f>
        <v>0</v>
      </c>
      <c r="AP332" s="830"/>
      <c r="AQ332" s="830"/>
      <c r="AR332" s="830"/>
      <c r="AS332" s="836"/>
      <c r="AT332" s="837">
        <f>VLOOKUP(C332,'[3]MỦ TẠP'!$D$10:$AO$450,38,0)</f>
        <v>0</v>
      </c>
      <c r="AX332" s="799">
        <f t="shared" si="111"/>
        <v>2</v>
      </c>
      <c r="AZ332" s="799">
        <v>1</v>
      </c>
    </row>
    <row r="333" spans="1:52" ht="15.75">
      <c r="A333" s="850">
        <v>31</v>
      </c>
      <c r="B333" s="813" t="str">
        <f>VLOOKUP(C333,'[3]DS CN MOI UP'!$B$10:$C$489,2,0)</f>
        <v>03388</v>
      </c>
      <c r="C333" s="112" t="s">
        <v>236</v>
      </c>
      <c r="D333" s="855" t="s">
        <v>15</v>
      </c>
      <c r="E333" s="815"/>
      <c r="F333" s="815">
        <v>2</v>
      </c>
      <c r="G333" s="815">
        <v>1</v>
      </c>
      <c r="H333" s="815">
        <v>3</v>
      </c>
      <c r="I333" s="815"/>
      <c r="J333" s="815">
        <v>1</v>
      </c>
      <c r="K333" s="815">
        <v>3</v>
      </c>
      <c r="L333" s="815">
        <v>3</v>
      </c>
      <c r="M333" s="815">
        <v>1</v>
      </c>
      <c r="N333" s="815">
        <f t="shared" si="100"/>
        <v>0</v>
      </c>
      <c r="O333" s="815">
        <f t="shared" si="101"/>
        <v>12.8</v>
      </c>
      <c r="P333" s="815">
        <f t="shared" si="102"/>
        <v>8</v>
      </c>
      <c r="Q333" s="815">
        <f t="shared" si="103"/>
        <v>12</v>
      </c>
      <c r="R333" s="815">
        <f t="shared" si="104"/>
        <v>0</v>
      </c>
      <c r="S333" s="815">
        <f t="shared" si="105"/>
        <v>2</v>
      </c>
      <c r="T333" s="815">
        <f t="shared" si="106"/>
        <v>3</v>
      </c>
      <c r="U333" s="815">
        <f t="shared" si="107"/>
        <v>3</v>
      </c>
      <c r="V333" s="815">
        <f t="shared" si="108"/>
        <v>1</v>
      </c>
      <c r="W333" s="815"/>
      <c r="X333" s="815"/>
      <c r="Y333" s="815"/>
      <c r="Z333" s="815"/>
      <c r="AA333" s="830">
        <f t="shared" si="109"/>
        <v>41.8</v>
      </c>
      <c r="AB333" s="830">
        <f>VLOOKUP(C333,'[3]MỦ TẠP'!$D$10:$AM$450,36,0)</f>
        <v>0</v>
      </c>
      <c r="AC333" s="830"/>
      <c r="AD333" s="830"/>
      <c r="AE333" s="830">
        <f>VLOOKUP(C333,'[3]MỦ TẠP'!$D$10:$AM$450,36,0)</f>
        <v>0</v>
      </c>
      <c r="AF333" s="830"/>
      <c r="AG333" s="830"/>
      <c r="AH333" s="830">
        <f t="shared" si="110"/>
        <v>0</v>
      </c>
      <c r="AI333" s="830">
        <f>VLOOKUP(C333,'[3]CHẤM CÔNG '!$F$10:$AM$451,33,0)</f>
        <v>0</v>
      </c>
      <c r="AJ333" s="830">
        <f>VLOOKUP(C333,'[3]CHẤM CÔNG '!$F$10:$AM$451,34,0)</f>
        <v>0</v>
      </c>
      <c r="AK333" s="830"/>
      <c r="AL333" s="830"/>
      <c r="AM333" s="830"/>
      <c r="AN333" s="830">
        <f>VLOOKUP(C333,'[3]CHẤM CÔNG '!$F$10:$AN$451,35,0)</f>
        <v>0</v>
      </c>
      <c r="AO333" s="830">
        <f>VLOOKUP(C333,'[3]CHẤM CÔNG '!$F$10:$AR$451,36,0)</f>
        <v>0</v>
      </c>
      <c r="AP333" s="830"/>
      <c r="AQ333" s="830"/>
      <c r="AR333" s="830"/>
      <c r="AS333" s="836"/>
      <c r="AT333" s="837">
        <f>VLOOKUP(C333,'[3]MỦ TẠP'!$D$10:$AO$450,38,0)</f>
        <v>0</v>
      </c>
      <c r="AX333" s="799">
        <f t="shared" si="111"/>
        <v>2</v>
      </c>
      <c r="AZ333" s="799">
        <v>1</v>
      </c>
    </row>
    <row r="334" spans="1:52" ht="15.75">
      <c r="A334" s="850">
        <v>32</v>
      </c>
      <c r="B334" s="813" t="str">
        <f>VLOOKUP(C334,'[3]DS CN MOI UP'!$B$10:$C$489,2,0)</f>
        <v>03389</v>
      </c>
      <c r="C334" s="112" t="s">
        <v>237</v>
      </c>
      <c r="D334" s="855" t="s">
        <v>15</v>
      </c>
      <c r="E334" s="815"/>
      <c r="F334" s="815">
        <v>2</v>
      </c>
      <c r="G334" s="815">
        <v>1</v>
      </c>
      <c r="H334" s="815">
        <v>3</v>
      </c>
      <c r="I334" s="815"/>
      <c r="J334" s="815">
        <v>1</v>
      </c>
      <c r="K334" s="815">
        <v>3</v>
      </c>
      <c r="L334" s="815">
        <v>3</v>
      </c>
      <c r="M334" s="815">
        <v>1</v>
      </c>
      <c r="N334" s="815">
        <f t="shared" si="100"/>
        <v>0</v>
      </c>
      <c r="O334" s="815">
        <f t="shared" si="101"/>
        <v>12.8</v>
      </c>
      <c r="P334" s="815">
        <f t="shared" si="102"/>
        <v>8</v>
      </c>
      <c r="Q334" s="815">
        <f t="shared" si="103"/>
        <v>12</v>
      </c>
      <c r="R334" s="815">
        <f t="shared" si="104"/>
        <v>0</v>
      </c>
      <c r="S334" s="815">
        <f t="shared" si="105"/>
        <v>2</v>
      </c>
      <c r="T334" s="815">
        <f t="shared" si="106"/>
        <v>3</v>
      </c>
      <c r="U334" s="815">
        <f t="shared" si="107"/>
        <v>3</v>
      </c>
      <c r="V334" s="815">
        <f t="shared" si="108"/>
        <v>1</v>
      </c>
      <c r="W334" s="815"/>
      <c r="X334" s="815"/>
      <c r="Y334" s="815"/>
      <c r="Z334" s="815"/>
      <c r="AA334" s="830">
        <f t="shared" si="109"/>
        <v>41.8</v>
      </c>
      <c r="AB334" s="830">
        <f>VLOOKUP(C334,'[3]MỦ TẠP'!$D$10:$AM$450,36,0)</f>
        <v>0</v>
      </c>
      <c r="AC334" s="830"/>
      <c r="AD334" s="830"/>
      <c r="AE334" s="830">
        <f>VLOOKUP(C334,'[3]MỦ TẠP'!$D$10:$AM$450,36,0)</f>
        <v>0</v>
      </c>
      <c r="AF334" s="830"/>
      <c r="AG334" s="830"/>
      <c r="AH334" s="830">
        <f t="shared" si="110"/>
        <v>0</v>
      </c>
      <c r="AI334" s="830">
        <f>VLOOKUP(C334,'[3]CHẤM CÔNG '!$F$10:$AM$451,33,0)</f>
        <v>0</v>
      </c>
      <c r="AJ334" s="830">
        <f>VLOOKUP(C334,'[3]CHẤM CÔNG '!$F$10:$AM$451,34,0)</f>
        <v>0</v>
      </c>
      <c r="AK334" s="830"/>
      <c r="AL334" s="830"/>
      <c r="AM334" s="830"/>
      <c r="AN334" s="830">
        <f>VLOOKUP(C334,'[3]CHẤM CÔNG '!$F$10:$AN$451,35,0)</f>
        <v>0</v>
      </c>
      <c r="AO334" s="830">
        <f>VLOOKUP(C334,'[3]CHẤM CÔNG '!$F$10:$AR$451,36,0)</f>
        <v>0</v>
      </c>
      <c r="AP334" s="830"/>
      <c r="AQ334" s="830"/>
      <c r="AR334" s="830"/>
      <c r="AS334" s="836"/>
      <c r="AT334" s="837">
        <f>VLOOKUP(C334,'[3]MỦ TẠP'!$D$10:$AO$450,38,0)</f>
        <v>0</v>
      </c>
      <c r="AX334" s="799">
        <f t="shared" si="111"/>
        <v>2</v>
      </c>
      <c r="AZ334" s="799">
        <v>1</v>
      </c>
    </row>
    <row r="335" spans="1:52" ht="15.75">
      <c r="A335" s="850">
        <v>33</v>
      </c>
      <c r="B335" s="813" t="str">
        <f>VLOOKUP(C335,'[3]DS CN MOI UP'!$B$10:$C$489,2,0)</f>
        <v>03390</v>
      </c>
      <c r="C335" s="112" t="s">
        <v>238</v>
      </c>
      <c r="D335" s="855" t="s">
        <v>15</v>
      </c>
      <c r="E335" s="815"/>
      <c r="F335" s="815">
        <v>2</v>
      </c>
      <c r="G335" s="815">
        <v>1</v>
      </c>
      <c r="H335" s="815">
        <v>3</v>
      </c>
      <c r="I335" s="815"/>
      <c r="J335" s="815">
        <v>1</v>
      </c>
      <c r="K335" s="815">
        <v>3</v>
      </c>
      <c r="L335" s="815">
        <v>3</v>
      </c>
      <c r="M335" s="815">
        <v>1</v>
      </c>
      <c r="N335" s="815">
        <f t="shared" si="100"/>
        <v>0</v>
      </c>
      <c r="O335" s="815">
        <f t="shared" si="101"/>
        <v>12.8</v>
      </c>
      <c r="P335" s="815">
        <f t="shared" si="102"/>
        <v>8</v>
      </c>
      <c r="Q335" s="815">
        <f t="shared" si="103"/>
        <v>12</v>
      </c>
      <c r="R335" s="815">
        <f t="shared" si="104"/>
        <v>0</v>
      </c>
      <c r="S335" s="815">
        <f t="shared" si="105"/>
        <v>2</v>
      </c>
      <c r="T335" s="815">
        <f t="shared" si="106"/>
        <v>3</v>
      </c>
      <c r="U335" s="815">
        <f t="shared" si="107"/>
        <v>3</v>
      </c>
      <c r="V335" s="815">
        <f t="shared" si="108"/>
        <v>1</v>
      </c>
      <c r="W335" s="815"/>
      <c r="X335" s="815"/>
      <c r="Y335" s="815"/>
      <c r="Z335" s="815"/>
      <c r="AA335" s="830">
        <f t="shared" si="109"/>
        <v>41.8</v>
      </c>
      <c r="AB335" s="830">
        <f>VLOOKUP(C335,'[3]MỦ TẠP'!$D$10:$AM$450,36,0)</f>
        <v>0</v>
      </c>
      <c r="AC335" s="830"/>
      <c r="AD335" s="830"/>
      <c r="AE335" s="830">
        <f>VLOOKUP(C335,'[3]MỦ TẠP'!$D$10:$AM$450,36,0)</f>
        <v>0</v>
      </c>
      <c r="AF335" s="830"/>
      <c r="AG335" s="830"/>
      <c r="AH335" s="830">
        <f t="shared" si="110"/>
        <v>0</v>
      </c>
      <c r="AI335" s="830">
        <f>VLOOKUP(C335,'[3]CHẤM CÔNG '!$F$10:$AM$451,33,0)</f>
        <v>0</v>
      </c>
      <c r="AJ335" s="830">
        <f>VLOOKUP(C335,'[3]CHẤM CÔNG '!$F$10:$AM$451,34,0)</f>
        <v>0</v>
      </c>
      <c r="AK335" s="830"/>
      <c r="AL335" s="830"/>
      <c r="AM335" s="830"/>
      <c r="AN335" s="830">
        <f>VLOOKUP(C335,'[3]CHẤM CÔNG '!$F$10:$AN$451,35,0)</f>
        <v>0</v>
      </c>
      <c r="AO335" s="830">
        <f>VLOOKUP(C335,'[3]CHẤM CÔNG '!$F$10:$AR$451,36,0)</f>
        <v>0</v>
      </c>
      <c r="AP335" s="830"/>
      <c r="AQ335" s="830"/>
      <c r="AR335" s="830"/>
      <c r="AS335" s="836"/>
      <c r="AT335" s="837">
        <f>VLOOKUP(C335,'[3]MỦ TẠP'!$D$10:$AO$450,38,0)</f>
        <v>0</v>
      </c>
      <c r="AX335" s="799">
        <f t="shared" si="111"/>
        <v>2</v>
      </c>
      <c r="AZ335" s="799">
        <v>1</v>
      </c>
    </row>
    <row r="336" spans="1:52" ht="15.75">
      <c r="A336" s="850">
        <v>34</v>
      </c>
      <c r="B336" s="813" t="str">
        <f>VLOOKUP(C336,'[3]DS CN MOI UP'!$B$10:$C$489,2,0)</f>
        <v>03391</v>
      </c>
      <c r="C336" s="112" t="s">
        <v>239</v>
      </c>
      <c r="D336" s="855" t="s">
        <v>15</v>
      </c>
      <c r="E336" s="815"/>
      <c r="F336" s="815">
        <v>2</v>
      </c>
      <c r="G336" s="815">
        <v>1</v>
      </c>
      <c r="H336" s="815">
        <v>3</v>
      </c>
      <c r="I336" s="815"/>
      <c r="J336" s="815">
        <v>1</v>
      </c>
      <c r="K336" s="815">
        <v>3</v>
      </c>
      <c r="L336" s="815">
        <v>3</v>
      </c>
      <c r="M336" s="815">
        <v>1</v>
      </c>
      <c r="N336" s="815">
        <f t="shared" si="100"/>
        <v>0</v>
      </c>
      <c r="O336" s="815">
        <f t="shared" si="101"/>
        <v>12.8</v>
      </c>
      <c r="P336" s="815">
        <f t="shared" si="102"/>
        <v>8</v>
      </c>
      <c r="Q336" s="815">
        <f t="shared" si="103"/>
        <v>12</v>
      </c>
      <c r="R336" s="815">
        <f t="shared" si="104"/>
        <v>0</v>
      </c>
      <c r="S336" s="815">
        <f t="shared" si="105"/>
        <v>2</v>
      </c>
      <c r="T336" s="815">
        <f t="shared" si="106"/>
        <v>3</v>
      </c>
      <c r="U336" s="815">
        <f t="shared" si="107"/>
        <v>3</v>
      </c>
      <c r="V336" s="815">
        <f t="shared" si="108"/>
        <v>1</v>
      </c>
      <c r="W336" s="815"/>
      <c r="X336" s="815"/>
      <c r="Y336" s="815"/>
      <c r="Z336" s="815"/>
      <c r="AA336" s="830">
        <f t="shared" si="109"/>
        <v>41.8</v>
      </c>
      <c r="AB336" s="830">
        <f>VLOOKUP(C336,'[3]MỦ TẠP'!$D$10:$AM$450,36,0)</f>
        <v>0</v>
      </c>
      <c r="AC336" s="830"/>
      <c r="AD336" s="830"/>
      <c r="AE336" s="830">
        <f>VLOOKUP(C336,'[3]MỦ TẠP'!$D$10:$AM$450,36,0)</f>
        <v>0</v>
      </c>
      <c r="AF336" s="830"/>
      <c r="AG336" s="830"/>
      <c r="AH336" s="830">
        <f t="shared" si="110"/>
        <v>0</v>
      </c>
      <c r="AI336" s="830">
        <f>VLOOKUP(C336,'[3]CHẤM CÔNG '!$F$10:$AM$451,33,0)</f>
        <v>0</v>
      </c>
      <c r="AJ336" s="830">
        <f>VLOOKUP(C336,'[3]CHẤM CÔNG '!$F$10:$AM$451,34,0)</f>
        <v>0</v>
      </c>
      <c r="AK336" s="830"/>
      <c r="AL336" s="830"/>
      <c r="AM336" s="830"/>
      <c r="AN336" s="830">
        <f>VLOOKUP(C336,'[3]CHẤM CÔNG '!$F$10:$AN$451,35,0)</f>
        <v>0</v>
      </c>
      <c r="AO336" s="830">
        <f>VLOOKUP(C336,'[3]CHẤM CÔNG '!$F$10:$AR$451,36,0)</f>
        <v>0</v>
      </c>
      <c r="AP336" s="830"/>
      <c r="AQ336" s="830"/>
      <c r="AR336" s="830"/>
      <c r="AS336" s="836"/>
      <c r="AT336" s="837">
        <f>VLOOKUP(C336,'[3]MỦ TẠP'!$D$10:$AO$450,38,0)</f>
        <v>0</v>
      </c>
      <c r="AX336" s="799">
        <f t="shared" si="111"/>
        <v>2</v>
      </c>
      <c r="AZ336" s="799">
        <v>1</v>
      </c>
    </row>
    <row r="337" spans="1:52" ht="15.75">
      <c r="A337" s="850">
        <v>35</v>
      </c>
      <c r="B337" s="813" t="str">
        <f>VLOOKUP(C337,'[3]DS CN MOI UP'!$B$10:$C$489,2,0)</f>
        <v>02589</v>
      </c>
      <c r="C337" s="112" t="s">
        <v>240</v>
      </c>
      <c r="D337" s="855" t="s">
        <v>15</v>
      </c>
      <c r="E337" s="815"/>
      <c r="F337" s="815">
        <v>3</v>
      </c>
      <c r="G337" s="815"/>
      <c r="H337" s="815">
        <v>3</v>
      </c>
      <c r="I337" s="815"/>
      <c r="J337" s="815">
        <v>1</v>
      </c>
      <c r="K337" s="815">
        <v>3</v>
      </c>
      <c r="L337" s="815">
        <v>3</v>
      </c>
      <c r="M337" s="815">
        <v>1</v>
      </c>
      <c r="N337" s="815">
        <f t="shared" si="100"/>
        <v>0</v>
      </c>
      <c r="O337" s="815">
        <f t="shared" si="101"/>
        <v>19.2</v>
      </c>
      <c r="P337" s="815">
        <f t="shared" si="102"/>
        <v>0</v>
      </c>
      <c r="Q337" s="815">
        <f t="shared" si="103"/>
        <v>12</v>
      </c>
      <c r="R337" s="815">
        <f t="shared" si="104"/>
        <v>0</v>
      </c>
      <c r="S337" s="815">
        <f t="shared" si="105"/>
        <v>2</v>
      </c>
      <c r="T337" s="815">
        <f t="shared" si="106"/>
        <v>3</v>
      </c>
      <c r="U337" s="815">
        <f t="shared" si="107"/>
        <v>3</v>
      </c>
      <c r="V337" s="815">
        <f t="shared" si="108"/>
        <v>1</v>
      </c>
      <c r="W337" s="815"/>
      <c r="X337" s="815"/>
      <c r="Y337" s="815"/>
      <c r="Z337" s="815"/>
      <c r="AA337" s="830">
        <f t="shared" si="109"/>
        <v>40.200000000000003</v>
      </c>
      <c r="AB337" s="830">
        <f>VLOOKUP(C337,'[3]MỦ TẠP'!$D$10:$AM$450,36,0)</f>
        <v>0</v>
      </c>
      <c r="AC337" s="830"/>
      <c r="AD337" s="830"/>
      <c r="AE337" s="830">
        <f>VLOOKUP(C337,'[3]MỦ TẠP'!$D$10:$AM$450,36,0)</f>
        <v>0</v>
      </c>
      <c r="AF337" s="830"/>
      <c r="AG337" s="830"/>
      <c r="AH337" s="830">
        <f t="shared" si="110"/>
        <v>0</v>
      </c>
      <c r="AI337" s="830">
        <f>VLOOKUP(C337,'[3]CHẤM CÔNG '!$F$10:$AM$451,33,0)</f>
        <v>0</v>
      </c>
      <c r="AJ337" s="830">
        <f>VLOOKUP(C337,'[3]CHẤM CÔNG '!$F$10:$AM$451,34,0)</f>
        <v>0</v>
      </c>
      <c r="AK337" s="830"/>
      <c r="AL337" s="830"/>
      <c r="AM337" s="830"/>
      <c r="AN337" s="830">
        <f>VLOOKUP(C337,'[3]CHẤM CÔNG '!$F$10:$AN$451,35,0)</f>
        <v>0</v>
      </c>
      <c r="AO337" s="830">
        <f>VLOOKUP(C337,'[3]CHẤM CÔNG '!$F$10:$AR$451,36,0)</f>
        <v>0</v>
      </c>
      <c r="AP337" s="830"/>
      <c r="AQ337" s="830"/>
      <c r="AR337" s="830"/>
      <c r="AS337" s="836"/>
      <c r="AT337" s="837">
        <f>VLOOKUP(C337,'[3]MỦ TẠP'!$D$10:$AO$450,38,0)</f>
        <v>0</v>
      </c>
      <c r="AX337" s="799">
        <f t="shared" si="111"/>
        <v>2</v>
      </c>
      <c r="AZ337" s="799">
        <v>1</v>
      </c>
    </row>
    <row r="338" spans="1:52" ht="15.75">
      <c r="A338" s="850">
        <v>36</v>
      </c>
      <c r="B338" s="813" t="str">
        <f>VLOOKUP(C338,'[3]DS CN MOI UP'!$B$10:$C$489,2,0)</f>
        <v>03392</v>
      </c>
      <c r="C338" s="112" t="s">
        <v>241</v>
      </c>
      <c r="D338" s="855" t="s">
        <v>15</v>
      </c>
      <c r="E338" s="815"/>
      <c r="F338" s="815">
        <v>3</v>
      </c>
      <c r="G338" s="815"/>
      <c r="H338" s="815">
        <v>3</v>
      </c>
      <c r="I338" s="815"/>
      <c r="J338" s="815">
        <v>1</v>
      </c>
      <c r="K338" s="815">
        <v>3</v>
      </c>
      <c r="L338" s="815">
        <v>3</v>
      </c>
      <c r="M338" s="815">
        <v>1</v>
      </c>
      <c r="N338" s="815">
        <f t="shared" si="100"/>
        <v>0</v>
      </c>
      <c r="O338" s="815">
        <f t="shared" si="101"/>
        <v>19.2</v>
      </c>
      <c r="P338" s="815">
        <f t="shared" si="102"/>
        <v>0</v>
      </c>
      <c r="Q338" s="815">
        <f t="shared" si="103"/>
        <v>12</v>
      </c>
      <c r="R338" s="815">
        <f t="shared" si="104"/>
        <v>0</v>
      </c>
      <c r="S338" s="815">
        <f t="shared" si="105"/>
        <v>2</v>
      </c>
      <c r="T338" s="815">
        <f t="shared" si="106"/>
        <v>3</v>
      </c>
      <c r="U338" s="815">
        <f t="shared" si="107"/>
        <v>3</v>
      </c>
      <c r="V338" s="815">
        <f t="shared" si="108"/>
        <v>1</v>
      </c>
      <c r="W338" s="815"/>
      <c r="X338" s="815"/>
      <c r="Y338" s="815"/>
      <c r="Z338" s="815"/>
      <c r="AA338" s="830">
        <f t="shared" si="109"/>
        <v>40.200000000000003</v>
      </c>
      <c r="AB338" s="830">
        <f>VLOOKUP(C338,'[3]MỦ TẠP'!$D$10:$AM$450,36,0)</f>
        <v>0</v>
      </c>
      <c r="AC338" s="830"/>
      <c r="AD338" s="830"/>
      <c r="AE338" s="830">
        <f>VLOOKUP(C338,'[3]MỦ TẠP'!$D$10:$AM$450,36,0)</f>
        <v>0</v>
      </c>
      <c r="AF338" s="830"/>
      <c r="AG338" s="830"/>
      <c r="AH338" s="830">
        <f t="shared" si="110"/>
        <v>0</v>
      </c>
      <c r="AI338" s="830">
        <f>VLOOKUP(C338,'[3]CHẤM CÔNG '!$F$10:$AM$451,33,0)</f>
        <v>0</v>
      </c>
      <c r="AJ338" s="830">
        <f>VLOOKUP(C338,'[3]CHẤM CÔNG '!$F$10:$AM$451,34,0)</f>
        <v>0</v>
      </c>
      <c r="AK338" s="830"/>
      <c r="AL338" s="830"/>
      <c r="AM338" s="830"/>
      <c r="AN338" s="830">
        <f>VLOOKUP(C338,'[3]CHẤM CÔNG '!$F$10:$AN$451,35,0)</f>
        <v>0</v>
      </c>
      <c r="AO338" s="830">
        <f>VLOOKUP(C338,'[3]CHẤM CÔNG '!$F$10:$AR$451,36,0)</f>
        <v>0</v>
      </c>
      <c r="AP338" s="830"/>
      <c r="AQ338" s="830"/>
      <c r="AR338" s="830"/>
      <c r="AS338" s="836"/>
      <c r="AT338" s="837">
        <f>VLOOKUP(C338,'[3]MỦ TẠP'!$D$10:$AO$450,38,0)</f>
        <v>0</v>
      </c>
      <c r="AX338" s="799">
        <f t="shared" si="111"/>
        <v>2</v>
      </c>
      <c r="AZ338" s="799">
        <v>1</v>
      </c>
    </row>
    <row r="339" spans="1:52" ht="15.75">
      <c r="A339" s="850">
        <v>37</v>
      </c>
      <c r="B339" s="813" t="str">
        <f>VLOOKUP(C339,'[3]DS CN MOI UP'!$B$10:$C$489,2,0)</f>
        <v>03393</v>
      </c>
      <c r="C339" s="112" t="s">
        <v>242</v>
      </c>
      <c r="D339" s="855" t="s">
        <v>15</v>
      </c>
      <c r="E339" s="815"/>
      <c r="F339" s="815">
        <v>3</v>
      </c>
      <c r="G339" s="815"/>
      <c r="H339" s="815">
        <v>3</v>
      </c>
      <c r="I339" s="815"/>
      <c r="J339" s="815">
        <v>1</v>
      </c>
      <c r="K339" s="815">
        <v>3</v>
      </c>
      <c r="L339" s="815">
        <v>3</v>
      </c>
      <c r="M339" s="815">
        <v>1</v>
      </c>
      <c r="N339" s="815">
        <f t="shared" si="100"/>
        <v>0</v>
      </c>
      <c r="O339" s="815">
        <f t="shared" si="101"/>
        <v>19.2</v>
      </c>
      <c r="P339" s="815">
        <f t="shared" si="102"/>
        <v>0</v>
      </c>
      <c r="Q339" s="815">
        <f t="shared" si="103"/>
        <v>12</v>
      </c>
      <c r="R339" s="815">
        <f t="shared" si="104"/>
        <v>0</v>
      </c>
      <c r="S339" s="815">
        <f t="shared" si="105"/>
        <v>2</v>
      </c>
      <c r="T339" s="815">
        <f t="shared" si="106"/>
        <v>3</v>
      </c>
      <c r="U339" s="815">
        <f t="shared" si="107"/>
        <v>3</v>
      </c>
      <c r="V339" s="815">
        <f t="shared" si="108"/>
        <v>1</v>
      </c>
      <c r="W339" s="815"/>
      <c r="X339" s="815"/>
      <c r="Y339" s="815"/>
      <c r="Z339" s="815"/>
      <c r="AA339" s="830">
        <f t="shared" si="109"/>
        <v>40.200000000000003</v>
      </c>
      <c r="AB339" s="830">
        <f>VLOOKUP(C339,'[3]MỦ TẠP'!$D$10:$AM$450,36,0)</f>
        <v>0</v>
      </c>
      <c r="AC339" s="830"/>
      <c r="AD339" s="830"/>
      <c r="AE339" s="830">
        <f>VLOOKUP(C339,'[3]MỦ TẠP'!$D$10:$AM$450,36,0)</f>
        <v>0</v>
      </c>
      <c r="AF339" s="830"/>
      <c r="AG339" s="830"/>
      <c r="AH339" s="830">
        <f t="shared" si="110"/>
        <v>0</v>
      </c>
      <c r="AI339" s="830">
        <f>VLOOKUP(C339,'[3]CHẤM CÔNG '!$F$10:$AM$451,33,0)</f>
        <v>0</v>
      </c>
      <c r="AJ339" s="830">
        <f>VLOOKUP(C339,'[3]CHẤM CÔNG '!$F$10:$AM$451,34,0)</f>
        <v>0</v>
      </c>
      <c r="AK339" s="830"/>
      <c r="AL339" s="830"/>
      <c r="AM339" s="830"/>
      <c r="AN339" s="830">
        <f>VLOOKUP(C339,'[3]CHẤM CÔNG '!$F$10:$AN$451,35,0)</f>
        <v>0</v>
      </c>
      <c r="AO339" s="830">
        <f>VLOOKUP(C339,'[3]CHẤM CÔNG '!$F$10:$AR$451,36,0)</f>
        <v>0</v>
      </c>
      <c r="AP339" s="830"/>
      <c r="AQ339" s="830"/>
      <c r="AR339" s="830"/>
      <c r="AS339" s="836"/>
      <c r="AT339" s="837">
        <f>VLOOKUP(C339,'[3]MỦ TẠP'!$D$10:$AO$450,38,0)</f>
        <v>0</v>
      </c>
      <c r="AX339" s="799">
        <f t="shared" si="111"/>
        <v>2</v>
      </c>
      <c r="AZ339" s="799">
        <v>1</v>
      </c>
    </row>
    <row r="340" spans="1:52" ht="15.75">
      <c r="A340" s="850">
        <v>38</v>
      </c>
      <c r="B340" s="813" t="str">
        <f>VLOOKUP(C340,'[3]DS CN MOI UP'!$B$10:$C$489,2,0)</f>
        <v>03394</v>
      </c>
      <c r="C340" s="112" t="s">
        <v>243</v>
      </c>
      <c r="D340" s="855" t="s">
        <v>15</v>
      </c>
      <c r="E340" s="815"/>
      <c r="F340" s="815">
        <v>3</v>
      </c>
      <c r="G340" s="815"/>
      <c r="H340" s="815">
        <v>3</v>
      </c>
      <c r="I340" s="815"/>
      <c r="J340" s="815">
        <v>1</v>
      </c>
      <c r="K340" s="815">
        <v>3</v>
      </c>
      <c r="L340" s="815">
        <v>3</v>
      </c>
      <c r="M340" s="815">
        <v>1</v>
      </c>
      <c r="N340" s="815">
        <f t="shared" si="100"/>
        <v>0</v>
      </c>
      <c r="O340" s="815">
        <f t="shared" si="101"/>
        <v>19.2</v>
      </c>
      <c r="P340" s="815">
        <f t="shared" si="102"/>
        <v>0</v>
      </c>
      <c r="Q340" s="815">
        <f t="shared" si="103"/>
        <v>12</v>
      </c>
      <c r="R340" s="815">
        <f t="shared" si="104"/>
        <v>0</v>
      </c>
      <c r="S340" s="815">
        <f t="shared" si="105"/>
        <v>2</v>
      </c>
      <c r="T340" s="815">
        <f t="shared" si="106"/>
        <v>3</v>
      </c>
      <c r="U340" s="815">
        <f t="shared" si="107"/>
        <v>3</v>
      </c>
      <c r="V340" s="815">
        <f t="shared" si="108"/>
        <v>1</v>
      </c>
      <c r="W340" s="815"/>
      <c r="X340" s="815"/>
      <c r="Y340" s="815"/>
      <c r="Z340" s="815"/>
      <c r="AA340" s="830">
        <f t="shared" si="109"/>
        <v>40.200000000000003</v>
      </c>
      <c r="AB340" s="830">
        <f>VLOOKUP(C340,'[3]MỦ TẠP'!$D$10:$AM$450,36,0)</f>
        <v>0</v>
      </c>
      <c r="AC340" s="830"/>
      <c r="AD340" s="830"/>
      <c r="AE340" s="830">
        <f>VLOOKUP(C340,'[3]MỦ TẠP'!$D$10:$AM$450,36,0)</f>
        <v>0</v>
      </c>
      <c r="AF340" s="830"/>
      <c r="AG340" s="830"/>
      <c r="AH340" s="830">
        <f t="shared" si="110"/>
        <v>0</v>
      </c>
      <c r="AI340" s="830">
        <f>VLOOKUP(C340,'[3]CHẤM CÔNG '!$F$10:$AM$451,33,0)</f>
        <v>0</v>
      </c>
      <c r="AJ340" s="830">
        <f>VLOOKUP(C340,'[3]CHẤM CÔNG '!$F$10:$AM$451,34,0)</f>
        <v>0</v>
      </c>
      <c r="AK340" s="830"/>
      <c r="AL340" s="830"/>
      <c r="AM340" s="830"/>
      <c r="AN340" s="830">
        <f>VLOOKUP(C340,'[3]CHẤM CÔNG '!$F$10:$AN$451,35,0)</f>
        <v>0</v>
      </c>
      <c r="AO340" s="830">
        <f>VLOOKUP(C340,'[3]CHẤM CÔNG '!$F$10:$AR$451,36,0)</f>
        <v>0</v>
      </c>
      <c r="AP340" s="830"/>
      <c r="AQ340" s="830"/>
      <c r="AR340" s="830"/>
      <c r="AS340" s="836"/>
      <c r="AT340" s="837">
        <f>VLOOKUP(C340,'[3]MỦ TẠP'!$D$10:$AO$450,38,0)</f>
        <v>0</v>
      </c>
      <c r="AX340" s="799">
        <f t="shared" si="111"/>
        <v>2</v>
      </c>
      <c r="AZ340" s="799">
        <v>1</v>
      </c>
    </row>
    <row r="341" spans="1:52" ht="15.75">
      <c r="A341" s="850">
        <v>39</v>
      </c>
      <c r="B341" s="813" t="str">
        <f>VLOOKUP(C341,'[3]DS CN MOI UP'!$B$10:$C$489,2,0)</f>
        <v>03395</v>
      </c>
      <c r="C341" s="112" t="s">
        <v>244</v>
      </c>
      <c r="D341" s="855" t="s">
        <v>15</v>
      </c>
      <c r="E341" s="815"/>
      <c r="F341" s="815">
        <v>2</v>
      </c>
      <c r="G341" s="815">
        <v>1</v>
      </c>
      <c r="H341" s="815">
        <v>3</v>
      </c>
      <c r="I341" s="815"/>
      <c r="J341" s="815">
        <v>1</v>
      </c>
      <c r="K341" s="815">
        <v>3</v>
      </c>
      <c r="L341" s="815">
        <v>3</v>
      </c>
      <c r="M341" s="815">
        <v>1</v>
      </c>
      <c r="N341" s="815">
        <f t="shared" si="100"/>
        <v>0</v>
      </c>
      <c r="O341" s="815">
        <f t="shared" si="101"/>
        <v>12.8</v>
      </c>
      <c r="P341" s="815">
        <f t="shared" si="102"/>
        <v>8</v>
      </c>
      <c r="Q341" s="815">
        <f t="shared" si="103"/>
        <v>12</v>
      </c>
      <c r="R341" s="815">
        <f t="shared" si="104"/>
        <v>0</v>
      </c>
      <c r="S341" s="815">
        <f t="shared" si="105"/>
        <v>2</v>
      </c>
      <c r="T341" s="815">
        <f t="shared" si="106"/>
        <v>3</v>
      </c>
      <c r="U341" s="815">
        <f t="shared" si="107"/>
        <v>3</v>
      </c>
      <c r="V341" s="815">
        <f t="shared" si="108"/>
        <v>1</v>
      </c>
      <c r="W341" s="815"/>
      <c r="X341" s="815"/>
      <c r="Y341" s="815"/>
      <c r="Z341" s="815"/>
      <c r="AA341" s="830">
        <f t="shared" si="109"/>
        <v>41.8</v>
      </c>
      <c r="AB341" s="830">
        <f>VLOOKUP(C341,'[3]MỦ TẠP'!$D$10:$AM$450,36,0)</f>
        <v>0</v>
      </c>
      <c r="AC341" s="830"/>
      <c r="AD341" s="830"/>
      <c r="AE341" s="830">
        <f>VLOOKUP(C341,'[3]MỦ TẠP'!$D$10:$AM$450,36,0)</f>
        <v>0</v>
      </c>
      <c r="AF341" s="830"/>
      <c r="AG341" s="830"/>
      <c r="AH341" s="830">
        <f t="shared" si="110"/>
        <v>0</v>
      </c>
      <c r="AI341" s="830">
        <f>VLOOKUP(C341,'[3]CHẤM CÔNG '!$F$10:$AM$451,33,0)</f>
        <v>0</v>
      </c>
      <c r="AJ341" s="830">
        <f>VLOOKUP(C341,'[3]CHẤM CÔNG '!$F$10:$AM$451,34,0)</f>
        <v>0</v>
      </c>
      <c r="AK341" s="830"/>
      <c r="AL341" s="830"/>
      <c r="AM341" s="830"/>
      <c r="AN341" s="830">
        <f>VLOOKUP(C341,'[3]CHẤM CÔNG '!$F$10:$AN$451,35,0)</f>
        <v>0</v>
      </c>
      <c r="AO341" s="830">
        <f>VLOOKUP(C341,'[3]CHẤM CÔNG '!$F$10:$AR$451,36,0)</f>
        <v>0</v>
      </c>
      <c r="AP341" s="830"/>
      <c r="AQ341" s="830"/>
      <c r="AR341" s="830"/>
      <c r="AS341" s="836"/>
      <c r="AT341" s="837">
        <f>VLOOKUP(C341,'[3]MỦ TẠP'!$D$10:$AO$450,38,0)</f>
        <v>0</v>
      </c>
      <c r="AX341" s="799">
        <f t="shared" si="111"/>
        <v>2</v>
      </c>
      <c r="AZ341" s="799">
        <v>1</v>
      </c>
    </row>
    <row r="342" spans="1:52" ht="15.75">
      <c r="A342" s="850">
        <v>40</v>
      </c>
      <c r="B342" s="813" t="str">
        <f>VLOOKUP(C342,'[3]DS CN MOI UP'!$B$10:$C$489,2,0)</f>
        <v>03396</v>
      </c>
      <c r="C342" s="112" t="s">
        <v>245</v>
      </c>
      <c r="D342" s="855" t="s">
        <v>15</v>
      </c>
      <c r="E342" s="815"/>
      <c r="F342" s="815">
        <v>2</v>
      </c>
      <c r="G342" s="815">
        <v>1</v>
      </c>
      <c r="H342" s="815">
        <v>3</v>
      </c>
      <c r="I342" s="815"/>
      <c r="J342" s="815">
        <v>1</v>
      </c>
      <c r="K342" s="815">
        <v>3</v>
      </c>
      <c r="L342" s="815">
        <v>3</v>
      </c>
      <c r="M342" s="815">
        <v>1</v>
      </c>
      <c r="N342" s="815">
        <f t="shared" si="100"/>
        <v>0</v>
      </c>
      <c r="O342" s="815">
        <f t="shared" si="101"/>
        <v>12.8</v>
      </c>
      <c r="P342" s="815">
        <f t="shared" si="102"/>
        <v>8</v>
      </c>
      <c r="Q342" s="815">
        <f t="shared" si="103"/>
        <v>12</v>
      </c>
      <c r="R342" s="815">
        <f t="shared" si="104"/>
        <v>0</v>
      </c>
      <c r="S342" s="815">
        <f t="shared" si="105"/>
        <v>2</v>
      </c>
      <c r="T342" s="815">
        <f t="shared" si="106"/>
        <v>3</v>
      </c>
      <c r="U342" s="815">
        <f t="shared" si="107"/>
        <v>3</v>
      </c>
      <c r="V342" s="815">
        <f t="shared" si="108"/>
        <v>1</v>
      </c>
      <c r="W342" s="815"/>
      <c r="X342" s="815"/>
      <c r="Y342" s="815"/>
      <c r="Z342" s="815"/>
      <c r="AA342" s="830">
        <f t="shared" si="109"/>
        <v>41.8</v>
      </c>
      <c r="AB342" s="830">
        <f>VLOOKUP(C342,'[3]MỦ TẠP'!$D$10:$AM$450,36,0)</f>
        <v>0</v>
      </c>
      <c r="AC342" s="830"/>
      <c r="AD342" s="830"/>
      <c r="AE342" s="830">
        <f>VLOOKUP(C342,'[3]MỦ TẠP'!$D$10:$AM$450,36,0)</f>
        <v>0</v>
      </c>
      <c r="AF342" s="830"/>
      <c r="AG342" s="830"/>
      <c r="AH342" s="830">
        <f t="shared" si="110"/>
        <v>0</v>
      </c>
      <c r="AI342" s="830">
        <f>VLOOKUP(C342,'[3]CHẤM CÔNG '!$F$10:$AM$451,33,0)</f>
        <v>0</v>
      </c>
      <c r="AJ342" s="830">
        <f>VLOOKUP(C342,'[3]CHẤM CÔNG '!$F$10:$AM$451,34,0)</f>
        <v>0</v>
      </c>
      <c r="AK342" s="830"/>
      <c r="AL342" s="830"/>
      <c r="AM342" s="830"/>
      <c r="AN342" s="830">
        <f>VLOOKUP(C342,'[3]CHẤM CÔNG '!$F$10:$AN$451,35,0)</f>
        <v>0</v>
      </c>
      <c r="AO342" s="830">
        <f>VLOOKUP(C342,'[3]CHẤM CÔNG '!$F$10:$AR$451,36,0)</f>
        <v>0</v>
      </c>
      <c r="AP342" s="830"/>
      <c r="AQ342" s="830"/>
      <c r="AR342" s="830"/>
      <c r="AS342" s="836"/>
      <c r="AT342" s="837">
        <f>VLOOKUP(C342,'[3]MỦ TẠP'!$D$10:$AO$450,38,0)</f>
        <v>0</v>
      </c>
      <c r="AX342" s="799">
        <f t="shared" si="111"/>
        <v>2</v>
      </c>
      <c r="AZ342" s="799">
        <v>1</v>
      </c>
    </row>
    <row r="343" spans="1:52" ht="15.75">
      <c r="A343" s="850">
        <v>41</v>
      </c>
      <c r="B343" s="813" t="str">
        <f>VLOOKUP(C343,'[3]DS CN MOI UP'!$B$10:$C$489,2,0)</f>
        <v>02593</v>
      </c>
      <c r="C343" s="112" t="s">
        <v>246</v>
      </c>
      <c r="D343" s="855" t="s">
        <v>15</v>
      </c>
      <c r="E343" s="815"/>
      <c r="F343" s="815">
        <v>2</v>
      </c>
      <c r="G343" s="815">
        <v>1</v>
      </c>
      <c r="H343" s="815">
        <v>3</v>
      </c>
      <c r="I343" s="815"/>
      <c r="J343" s="815">
        <v>1</v>
      </c>
      <c r="K343" s="815">
        <v>3</v>
      </c>
      <c r="L343" s="815">
        <v>3</v>
      </c>
      <c r="M343" s="815">
        <v>1</v>
      </c>
      <c r="N343" s="815">
        <f t="shared" si="100"/>
        <v>0</v>
      </c>
      <c r="O343" s="815">
        <f t="shared" si="101"/>
        <v>12.8</v>
      </c>
      <c r="P343" s="815">
        <f t="shared" si="102"/>
        <v>8</v>
      </c>
      <c r="Q343" s="815">
        <f t="shared" si="103"/>
        <v>12</v>
      </c>
      <c r="R343" s="815">
        <f t="shared" si="104"/>
        <v>0</v>
      </c>
      <c r="S343" s="815">
        <f t="shared" si="105"/>
        <v>2</v>
      </c>
      <c r="T343" s="815">
        <f t="shared" si="106"/>
        <v>3</v>
      </c>
      <c r="U343" s="815">
        <f t="shared" si="107"/>
        <v>3</v>
      </c>
      <c r="V343" s="815">
        <f t="shared" si="108"/>
        <v>1</v>
      </c>
      <c r="W343" s="815"/>
      <c r="X343" s="815"/>
      <c r="Y343" s="815"/>
      <c r="Z343" s="815"/>
      <c r="AA343" s="830">
        <f t="shared" si="109"/>
        <v>41.8</v>
      </c>
      <c r="AB343" s="830">
        <f>VLOOKUP(C343,'[3]MỦ TẠP'!$D$10:$AM$450,36,0)</f>
        <v>0</v>
      </c>
      <c r="AC343" s="830"/>
      <c r="AD343" s="830"/>
      <c r="AE343" s="830">
        <f>VLOOKUP(C343,'[3]MỦ TẠP'!$D$10:$AM$450,36,0)</f>
        <v>0</v>
      </c>
      <c r="AF343" s="830"/>
      <c r="AG343" s="830"/>
      <c r="AH343" s="830">
        <f t="shared" si="110"/>
        <v>0</v>
      </c>
      <c r="AI343" s="830">
        <f>VLOOKUP(C343,'[3]CHẤM CÔNG '!$F$10:$AM$451,33,0)</f>
        <v>0</v>
      </c>
      <c r="AJ343" s="830">
        <f>VLOOKUP(C343,'[3]CHẤM CÔNG '!$F$10:$AM$451,34,0)</f>
        <v>0</v>
      </c>
      <c r="AK343" s="830"/>
      <c r="AL343" s="830"/>
      <c r="AM343" s="830"/>
      <c r="AN343" s="830">
        <f>VLOOKUP(C343,'[3]CHẤM CÔNG '!$F$10:$AN$451,35,0)</f>
        <v>0</v>
      </c>
      <c r="AO343" s="830">
        <f>VLOOKUP(C343,'[3]CHẤM CÔNG '!$F$10:$AR$451,36,0)</f>
        <v>0</v>
      </c>
      <c r="AP343" s="830"/>
      <c r="AQ343" s="830"/>
      <c r="AR343" s="830"/>
      <c r="AS343" s="836"/>
      <c r="AT343" s="837">
        <f>VLOOKUP(C343,'[3]MỦ TẠP'!$D$10:$AO$450,38,0)</f>
        <v>0</v>
      </c>
      <c r="AX343" s="799">
        <f t="shared" si="111"/>
        <v>2</v>
      </c>
      <c r="AZ343" s="799">
        <v>1</v>
      </c>
    </row>
    <row r="344" spans="1:52" ht="15.75">
      <c r="A344" s="850">
        <v>42</v>
      </c>
      <c r="B344" s="813" t="str">
        <f>VLOOKUP(C344,'[3]DS CN MOI UP'!$B$10:$C$489,2,0)</f>
        <v>02696</v>
      </c>
      <c r="C344" s="112" t="s">
        <v>247</v>
      </c>
      <c r="D344" s="855" t="s">
        <v>15</v>
      </c>
      <c r="E344" s="815"/>
      <c r="F344" s="815">
        <v>2</v>
      </c>
      <c r="G344" s="815">
        <v>1</v>
      </c>
      <c r="H344" s="815">
        <v>3</v>
      </c>
      <c r="I344" s="815"/>
      <c r="J344" s="815">
        <v>1</v>
      </c>
      <c r="K344" s="815">
        <v>3</v>
      </c>
      <c r="L344" s="815">
        <v>3</v>
      </c>
      <c r="M344" s="815">
        <v>1</v>
      </c>
      <c r="N344" s="815">
        <f t="shared" si="100"/>
        <v>0</v>
      </c>
      <c r="O344" s="815">
        <f t="shared" si="101"/>
        <v>12.8</v>
      </c>
      <c r="P344" s="815">
        <f t="shared" si="102"/>
        <v>8</v>
      </c>
      <c r="Q344" s="815">
        <f t="shared" si="103"/>
        <v>12</v>
      </c>
      <c r="R344" s="815">
        <f t="shared" si="104"/>
        <v>0</v>
      </c>
      <c r="S344" s="815">
        <f t="shared" si="105"/>
        <v>2</v>
      </c>
      <c r="T344" s="815">
        <f t="shared" si="106"/>
        <v>3</v>
      </c>
      <c r="U344" s="815">
        <f t="shared" si="107"/>
        <v>3</v>
      </c>
      <c r="V344" s="815">
        <f t="shared" si="108"/>
        <v>1</v>
      </c>
      <c r="W344" s="815"/>
      <c r="X344" s="815"/>
      <c r="Y344" s="815"/>
      <c r="Z344" s="815"/>
      <c r="AA344" s="830">
        <f t="shared" si="109"/>
        <v>41.8</v>
      </c>
      <c r="AB344" s="830">
        <f>VLOOKUP(C344,'[3]MỦ TẠP'!$D$10:$AM$450,36,0)</f>
        <v>0</v>
      </c>
      <c r="AC344" s="830"/>
      <c r="AD344" s="830"/>
      <c r="AE344" s="830">
        <f>VLOOKUP(C344,'[3]MỦ TẠP'!$D$10:$AM$450,36,0)</f>
        <v>0</v>
      </c>
      <c r="AF344" s="830"/>
      <c r="AG344" s="830"/>
      <c r="AH344" s="830">
        <f t="shared" si="110"/>
        <v>0</v>
      </c>
      <c r="AI344" s="830">
        <f>VLOOKUP(C344,'[3]CHẤM CÔNG '!$F$10:$AM$451,33,0)</f>
        <v>0</v>
      </c>
      <c r="AJ344" s="830">
        <f>VLOOKUP(C344,'[3]CHẤM CÔNG '!$F$10:$AM$451,34,0)</f>
        <v>0</v>
      </c>
      <c r="AK344" s="830"/>
      <c r="AL344" s="830"/>
      <c r="AM344" s="830"/>
      <c r="AN344" s="830">
        <f>VLOOKUP(C344,'[3]CHẤM CÔNG '!$F$10:$AN$451,35,0)</f>
        <v>0</v>
      </c>
      <c r="AO344" s="830">
        <f>VLOOKUP(C344,'[3]CHẤM CÔNG '!$F$10:$AR$451,36,0)</f>
        <v>0</v>
      </c>
      <c r="AP344" s="830"/>
      <c r="AQ344" s="830"/>
      <c r="AR344" s="830"/>
      <c r="AS344" s="836"/>
      <c r="AT344" s="837">
        <f>VLOOKUP(C344,'[3]MỦ TẠP'!$D$10:$AO$450,38,0)</f>
        <v>0</v>
      </c>
      <c r="AX344" s="799">
        <f t="shared" si="111"/>
        <v>2</v>
      </c>
      <c r="AZ344" s="799">
        <v>1</v>
      </c>
    </row>
    <row r="345" spans="1:52" ht="15.75">
      <c r="A345" s="850">
        <v>43</v>
      </c>
      <c r="B345" s="813" t="str">
        <f>VLOOKUP(C345,'[3]DS CN MOI UP'!$B$10:$C$489,2,0)</f>
        <v>03397</v>
      </c>
      <c r="C345" s="112" t="s">
        <v>248</v>
      </c>
      <c r="D345" s="855" t="s">
        <v>15</v>
      </c>
      <c r="E345" s="815"/>
      <c r="F345" s="815">
        <v>2</v>
      </c>
      <c r="G345" s="815">
        <v>1</v>
      </c>
      <c r="H345" s="815">
        <v>3</v>
      </c>
      <c r="I345" s="815"/>
      <c r="J345" s="815">
        <v>1</v>
      </c>
      <c r="K345" s="815">
        <v>3</v>
      </c>
      <c r="L345" s="815">
        <v>3</v>
      </c>
      <c r="M345" s="815">
        <v>1</v>
      </c>
      <c r="N345" s="815">
        <f t="shared" si="100"/>
        <v>0</v>
      </c>
      <c r="O345" s="815">
        <f t="shared" si="101"/>
        <v>12.8</v>
      </c>
      <c r="P345" s="815">
        <f t="shared" si="102"/>
        <v>8</v>
      </c>
      <c r="Q345" s="815">
        <f t="shared" si="103"/>
        <v>12</v>
      </c>
      <c r="R345" s="815">
        <f t="shared" si="104"/>
        <v>0</v>
      </c>
      <c r="S345" s="815">
        <f t="shared" si="105"/>
        <v>2</v>
      </c>
      <c r="T345" s="815">
        <f t="shared" si="106"/>
        <v>3</v>
      </c>
      <c r="U345" s="815">
        <f t="shared" si="107"/>
        <v>3</v>
      </c>
      <c r="V345" s="815">
        <f t="shared" si="108"/>
        <v>1</v>
      </c>
      <c r="W345" s="815"/>
      <c r="X345" s="815"/>
      <c r="Y345" s="815"/>
      <c r="Z345" s="815"/>
      <c r="AA345" s="830">
        <f t="shared" si="109"/>
        <v>41.8</v>
      </c>
      <c r="AB345" s="830">
        <f>VLOOKUP(C345,'[3]MỦ TẠP'!$D$10:$AM$450,36,0)</f>
        <v>0</v>
      </c>
      <c r="AC345" s="830"/>
      <c r="AD345" s="830"/>
      <c r="AE345" s="830">
        <f>VLOOKUP(C345,'[3]MỦ TẠP'!$D$10:$AM$450,36,0)</f>
        <v>0</v>
      </c>
      <c r="AF345" s="830"/>
      <c r="AG345" s="830"/>
      <c r="AH345" s="830">
        <f t="shared" si="110"/>
        <v>0</v>
      </c>
      <c r="AI345" s="830">
        <f>VLOOKUP(C345,'[3]CHẤM CÔNG '!$F$10:$AM$451,33,0)</f>
        <v>0</v>
      </c>
      <c r="AJ345" s="830">
        <f>VLOOKUP(C345,'[3]CHẤM CÔNG '!$F$10:$AM$451,34,0)</f>
        <v>0</v>
      </c>
      <c r="AK345" s="830"/>
      <c r="AL345" s="830"/>
      <c r="AM345" s="830"/>
      <c r="AN345" s="830">
        <f>VLOOKUP(C345,'[3]CHẤM CÔNG '!$F$10:$AN$451,35,0)</f>
        <v>0</v>
      </c>
      <c r="AO345" s="830">
        <f>VLOOKUP(C345,'[3]CHẤM CÔNG '!$F$10:$AR$451,36,0)</f>
        <v>0</v>
      </c>
      <c r="AP345" s="830"/>
      <c r="AQ345" s="830"/>
      <c r="AR345" s="830"/>
      <c r="AS345" s="836"/>
      <c r="AT345" s="837">
        <f>VLOOKUP(C345,'[3]MỦ TẠP'!$D$10:$AO$450,38,0)</f>
        <v>0</v>
      </c>
      <c r="AX345" s="799">
        <f t="shared" si="111"/>
        <v>2</v>
      </c>
      <c r="AZ345" s="799">
        <v>1</v>
      </c>
    </row>
    <row r="346" spans="1:52" ht="15.75">
      <c r="A346" s="850">
        <v>44</v>
      </c>
      <c r="B346" s="813" t="str">
        <f>VLOOKUP(C346,'[3]DS CN MOI UP'!$B$10:$C$489,2,0)</f>
        <v>03398</v>
      </c>
      <c r="C346" s="112" t="s">
        <v>249</v>
      </c>
      <c r="D346" s="855" t="s">
        <v>15</v>
      </c>
      <c r="E346" s="815"/>
      <c r="F346" s="815">
        <v>2</v>
      </c>
      <c r="G346" s="815">
        <v>1</v>
      </c>
      <c r="H346" s="815">
        <v>3</v>
      </c>
      <c r="I346" s="815"/>
      <c r="J346" s="815">
        <v>1</v>
      </c>
      <c r="K346" s="815">
        <v>3</v>
      </c>
      <c r="L346" s="815">
        <v>3</v>
      </c>
      <c r="M346" s="815">
        <v>1</v>
      </c>
      <c r="N346" s="815">
        <f t="shared" si="100"/>
        <v>0</v>
      </c>
      <c r="O346" s="815">
        <f t="shared" si="101"/>
        <v>12.8</v>
      </c>
      <c r="P346" s="815">
        <f t="shared" si="102"/>
        <v>8</v>
      </c>
      <c r="Q346" s="815">
        <f t="shared" si="103"/>
        <v>12</v>
      </c>
      <c r="R346" s="815">
        <f t="shared" si="104"/>
        <v>0</v>
      </c>
      <c r="S346" s="815">
        <f t="shared" si="105"/>
        <v>2</v>
      </c>
      <c r="T346" s="815">
        <f t="shared" si="106"/>
        <v>3</v>
      </c>
      <c r="U346" s="815">
        <f t="shared" si="107"/>
        <v>3</v>
      </c>
      <c r="V346" s="815">
        <f t="shared" si="108"/>
        <v>1</v>
      </c>
      <c r="W346" s="815"/>
      <c r="X346" s="815"/>
      <c r="Y346" s="815"/>
      <c r="Z346" s="815"/>
      <c r="AA346" s="830">
        <f t="shared" si="109"/>
        <v>41.8</v>
      </c>
      <c r="AB346" s="830">
        <f>VLOOKUP(C346,'[3]MỦ TẠP'!$D$10:$AM$450,36,0)</f>
        <v>0</v>
      </c>
      <c r="AC346" s="830"/>
      <c r="AD346" s="830"/>
      <c r="AE346" s="830">
        <f>VLOOKUP(C346,'[3]MỦ TẠP'!$D$10:$AM$450,36,0)</f>
        <v>0</v>
      </c>
      <c r="AF346" s="830"/>
      <c r="AG346" s="830"/>
      <c r="AH346" s="830">
        <f t="shared" si="110"/>
        <v>0</v>
      </c>
      <c r="AI346" s="830">
        <f>VLOOKUP(C346,'[3]CHẤM CÔNG '!$F$10:$AM$451,33,0)</f>
        <v>0</v>
      </c>
      <c r="AJ346" s="830">
        <f>VLOOKUP(C346,'[3]CHẤM CÔNG '!$F$10:$AM$451,34,0)</f>
        <v>0</v>
      </c>
      <c r="AK346" s="830"/>
      <c r="AL346" s="830"/>
      <c r="AM346" s="830"/>
      <c r="AN346" s="830">
        <f>VLOOKUP(C346,'[3]CHẤM CÔNG '!$F$10:$AN$451,35,0)</f>
        <v>0</v>
      </c>
      <c r="AO346" s="830">
        <f>VLOOKUP(C346,'[3]CHẤM CÔNG '!$F$10:$AR$451,36,0)</f>
        <v>0</v>
      </c>
      <c r="AP346" s="830"/>
      <c r="AQ346" s="830"/>
      <c r="AR346" s="830"/>
      <c r="AS346" s="836"/>
      <c r="AT346" s="837">
        <f>VLOOKUP(C346,'[3]MỦ TẠP'!$D$10:$AO$450,38,0)</f>
        <v>0</v>
      </c>
      <c r="AX346" s="799">
        <f t="shared" si="111"/>
        <v>2</v>
      </c>
      <c r="AZ346" s="799">
        <v>1</v>
      </c>
    </row>
    <row r="347" spans="1:52" ht="15.75">
      <c r="A347" s="850">
        <v>45</v>
      </c>
      <c r="B347" s="813" t="str">
        <f>VLOOKUP(C347,'[3]DS CN MOI UP'!$B$10:$C$489,2,0)</f>
        <v>02592</v>
      </c>
      <c r="C347" s="112" t="s">
        <v>250</v>
      </c>
      <c r="D347" s="855" t="s">
        <v>15</v>
      </c>
      <c r="E347" s="815"/>
      <c r="F347" s="815">
        <v>2</v>
      </c>
      <c r="G347" s="815">
        <v>1</v>
      </c>
      <c r="H347" s="815">
        <v>3</v>
      </c>
      <c r="I347" s="815"/>
      <c r="J347" s="815">
        <v>1</v>
      </c>
      <c r="K347" s="815">
        <v>3</v>
      </c>
      <c r="L347" s="815">
        <v>3</v>
      </c>
      <c r="M347" s="815">
        <v>1</v>
      </c>
      <c r="N347" s="815">
        <f t="shared" si="100"/>
        <v>0</v>
      </c>
      <c r="O347" s="815">
        <f t="shared" si="101"/>
        <v>12.8</v>
      </c>
      <c r="P347" s="815">
        <f t="shared" si="102"/>
        <v>8</v>
      </c>
      <c r="Q347" s="815">
        <f t="shared" si="103"/>
        <v>12</v>
      </c>
      <c r="R347" s="815">
        <f t="shared" si="104"/>
        <v>0</v>
      </c>
      <c r="S347" s="815">
        <f t="shared" si="105"/>
        <v>2</v>
      </c>
      <c r="T347" s="815">
        <f t="shared" si="106"/>
        <v>3</v>
      </c>
      <c r="U347" s="815">
        <f t="shared" si="107"/>
        <v>3</v>
      </c>
      <c r="V347" s="815">
        <f t="shared" si="108"/>
        <v>1</v>
      </c>
      <c r="W347" s="815"/>
      <c r="X347" s="815"/>
      <c r="Y347" s="815"/>
      <c r="Z347" s="815"/>
      <c r="AA347" s="830">
        <f t="shared" si="109"/>
        <v>41.8</v>
      </c>
      <c r="AB347" s="830">
        <f>VLOOKUP(C347,'[3]MỦ TẠP'!$D$10:$AM$450,36,0)</f>
        <v>0</v>
      </c>
      <c r="AC347" s="830"/>
      <c r="AD347" s="830"/>
      <c r="AE347" s="830">
        <f>VLOOKUP(C347,'[3]MỦ TẠP'!$D$10:$AM$450,36,0)</f>
        <v>0</v>
      </c>
      <c r="AF347" s="830"/>
      <c r="AG347" s="830"/>
      <c r="AH347" s="830">
        <f t="shared" si="110"/>
        <v>0</v>
      </c>
      <c r="AI347" s="830">
        <f>VLOOKUP(C347,'[3]CHẤM CÔNG '!$F$10:$AM$451,33,0)</f>
        <v>0</v>
      </c>
      <c r="AJ347" s="830">
        <f>VLOOKUP(C347,'[3]CHẤM CÔNG '!$F$10:$AM$451,34,0)</f>
        <v>0</v>
      </c>
      <c r="AK347" s="830"/>
      <c r="AL347" s="830"/>
      <c r="AM347" s="830"/>
      <c r="AN347" s="830">
        <f>VLOOKUP(C347,'[3]CHẤM CÔNG '!$F$10:$AN$451,35,0)</f>
        <v>0</v>
      </c>
      <c r="AO347" s="830">
        <f>VLOOKUP(C347,'[3]CHẤM CÔNG '!$F$10:$AR$451,36,0)</f>
        <v>0</v>
      </c>
      <c r="AP347" s="830"/>
      <c r="AQ347" s="830"/>
      <c r="AR347" s="830"/>
      <c r="AS347" s="836"/>
      <c r="AT347" s="837">
        <f>VLOOKUP(C347,'[3]MỦ TẠP'!$D$10:$AO$450,38,0)</f>
        <v>0</v>
      </c>
      <c r="AX347" s="799">
        <f t="shared" si="111"/>
        <v>2</v>
      </c>
      <c r="AZ347" s="799">
        <v>1</v>
      </c>
    </row>
    <row r="348" spans="1:52" ht="15.75">
      <c r="A348" s="850">
        <v>46</v>
      </c>
      <c r="B348" s="813" t="str">
        <f>VLOOKUP(C348,'[3]DS CN MOI UP'!$B$10:$C$489,2,0)</f>
        <v>02598</v>
      </c>
      <c r="C348" s="112" t="s">
        <v>251</v>
      </c>
      <c r="D348" s="855" t="s">
        <v>15</v>
      </c>
      <c r="E348" s="815"/>
      <c r="F348" s="815">
        <v>2</v>
      </c>
      <c r="G348" s="815">
        <v>1</v>
      </c>
      <c r="H348" s="815">
        <v>3</v>
      </c>
      <c r="I348" s="815"/>
      <c r="J348" s="815">
        <v>1</v>
      </c>
      <c r="K348" s="815">
        <v>3</v>
      </c>
      <c r="L348" s="815">
        <v>3</v>
      </c>
      <c r="M348" s="815">
        <v>1</v>
      </c>
      <c r="N348" s="815">
        <f t="shared" si="100"/>
        <v>0</v>
      </c>
      <c r="O348" s="815">
        <f t="shared" si="101"/>
        <v>12.8</v>
      </c>
      <c r="P348" s="815">
        <f t="shared" si="102"/>
        <v>8</v>
      </c>
      <c r="Q348" s="815">
        <f t="shared" si="103"/>
        <v>12</v>
      </c>
      <c r="R348" s="815">
        <f t="shared" si="104"/>
        <v>0</v>
      </c>
      <c r="S348" s="815">
        <f t="shared" si="105"/>
        <v>2</v>
      </c>
      <c r="T348" s="815">
        <f t="shared" si="106"/>
        <v>3</v>
      </c>
      <c r="U348" s="815">
        <f t="shared" si="107"/>
        <v>3</v>
      </c>
      <c r="V348" s="815">
        <f t="shared" si="108"/>
        <v>1</v>
      </c>
      <c r="W348" s="815"/>
      <c r="X348" s="815"/>
      <c r="Y348" s="815"/>
      <c r="Z348" s="815"/>
      <c r="AA348" s="830">
        <f t="shared" si="109"/>
        <v>41.8</v>
      </c>
      <c r="AB348" s="830">
        <f>VLOOKUP(C348,'[3]MỦ TẠP'!$D$10:$AM$450,36,0)</f>
        <v>0</v>
      </c>
      <c r="AC348" s="830"/>
      <c r="AD348" s="830"/>
      <c r="AE348" s="830">
        <f>VLOOKUP(C348,'[3]MỦ TẠP'!$D$10:$AM$450,36,0)</f>
        <v>0</v>
      </c>
      <c r="AF348" s="830"/>
      <c r="AG348" s="830"/>
      <c r="AH348" s="830">
        <f t="shared" si="110"/>
        <v>0</v>
      </c>
      <c r="AI348" s="830">
        <f>VLOOKUP(C348,'[3]CHẤM CÔNG '!$F$10:$AM$451,33,0)</f>
        <v>0</v>
      </c>
      <c r="AJ348" s="830">
        <f>VLOOKUP(C348,'[3]CHẤM CÔNG '!$F$10:$AM$451,34,0)</f>
        <v>0</v>
      </c>
      <c r="AK348" s="830"/>
      <c r="AL348" s="830"/>
      <c r="AM348" s="830"/>
      <c r="AN348" s="830">
        <f>VLOOKUP(C348,'[3]CHẤM CÔNG '!$F$10:$AN$451,35,0)</f>
        <v>0</v>
      </c>
      <c r="AO348" s="830">
        <f>VLOOKUP(C348,'[3]CHẤM CÔNG '!$F$10:$AR$451,36,0)</f>
        <v>0</v>
      </c>
      <c r="AP348" s="830"/>
      <c r="AQ348" s="830"/>
      <c r="AR348" s="830"/>
      <c r="AS348" s="836"/>
      <c r="AT348" s="837">
        <f>VLOOKUP(C348,'[3]MỦ TẠP'!$D$10:$AO$450,38,0)</f>
        <v>0</v>
      </c>
      <c r="AX348" s="799">
        <f t="shared" si="111"/>
        <v>2</v>
      </c>
      <c r="AZ348" s="799">
        <v>1</v>
      </c>
    </row>
    <row r="349" spans="1:52" ht="15.75">
      <c r="A349" s="850">
        <v>47</v>
      </c>
      <c r="B349" s="813" t="str">
        <f>VLOOKUP(C349,'[3]DS CN MOI UP'!$B$10:$C$489,2,0)</f>
        <v>02575</v>
      </c>
      <c r="C349" s="112" t="s">
        <v>252</v>
      </c>
      <c r="D349" s="855" t="s">
        <v>15</v>
      </c>
      <c r="E349" s="815"/>
      <c r="F349" s="815">
        <v>2</v>
      </c>
      <c r="G349" s="815">
        <v>1</v>
      </c>
      <c r="H349" s="815">
        <v>3</v>
      </c>
      <c r="I349" s="815"/>
      <c r="J349" s="815">
        <v>1</v>
      </c>
      <c r="K349" s="815">
        <v>3</v>
      </c>
      <c r="L349" s="815">
        <v>3</v>
      </c>
      <c r="M349" s="815">
        <v>1</v>
      </c>
      <c r="N349" s="815">
        <f t="shared" si="100"/>
        <v>0</v>
      </c>
      <c r="O349" s="815">
        <f t="shared" si="101"/>
        <v>12.8</v>
      </c>
      <c r="P349" s="815">
        <f t="shared" si="102"/>
        <v>8</v>
      </c>
      <c r="Q349" s="815">
        <f t="shared" si="103"/>
        <v>12</v>
      </c>
      <c r="R349" s="815">
        <f t="shared" si="104"/>
        <v>0</v>
      </c>
      <c r="S349" s="815">
        <f t="shared" si="105"/>
        <v>2</v>
      </c>
      <c r="T349" s="815">
        <f t="shared" si="106"/>
        <v>3</v>
      </c>
      <c r="U349" s="815">
        <f t="shared" si="107"/>
        <v>3</v>
      </c>
      <c r="V349" s="815">
        <f t="shared" si="108"/>
        <v>1</v>
      </c>
      <c r="W349" s="815"/>
      <c r="X349" s="815"/>
      <c r="Y349" s="815"/>
      <c r="Z349" s="815"/>
      <c r="AA349" s="830">
        <f t="shared" si="109"/>
        <v>41.8</v>
      </c>
      <c r="AB349" s="830">
        <f>VLOOKUP(C349,'[3]MỦ TẠP'!$D$10:$AM$450,36,0)</f>
        <v>0</v>
      </c>
      <c r="AC349" s="830"/>
      <c r="AD349" s="830"/>
      <c r="AE349" s="830">
        <f>VLOOKUP(C349,'[3]MỦ TẠP'!$D$10:$AM$450,36,0)</f>
        <v>0</v>
      </c>
      <c r="AF349" s="830"/>
      <c r="AG349" s="830"/>
      <c r="AH349" s="830">
        <f t="shared" si="110"/>
        <v>0</v>
      </c>
      <c r="AI349" s="830">
        <f>VLOOKUP(C349,'[3]CHẤM CÔNG '!$F$10:$AM$451,33,0)</f>
        <v>0</v>
      </c>
      <c r="AJ349" s="830">
        <f>VLOOKUP(C349,'[3]CHẤM CÔNG '!$F$10:$AM$451,34,0)</f>
        <v>0</v>
      </c>
      <c r="AK349" s="830"/>
      <c r="AL349" s="830"/>
      <c r="AM349" s="830"/>
      <c r="AN349" s="830">
        <f>VLOOKUP(C349,'[3]CHẤM CÔNG '!$F$10:$AN$451,35,0)</f>
        <v>0</v>
      </c>
      <c r="AO349" s="830">
        <f>VLOOKUP(C349,'[3]CHẤM CÔNG '!$F$10:$AR$451,36,0)</f>
        <v>0</v>
      </c>
      <c r="AP349" s="830"/>
      <c r="AQ349" s="830"/>
      <c r="AR349" s="830"/>
      <c r="AS349" s="836"/>
      <c r="AT349" s="837">
        <f>VLOOKUP(C349,'[3]MỦ TẠP'!$D$10:$AO$450,38,0)</f>
        <v>0</v>
      </c>
      <c r="AX349" s="799">
        <f t="shared" si="111"/>
        <v>2</v>
      </c>
      <c r="AZ349" s="799">
        <v>1</v>
      </c>
    </row>
    <row r="350" spans="1:52" ht="15.75">
      <c r="A350" s="850">
        <v>48</v>
      </c>
      <c r="B350" s="813" t="str">
        <f>VLOOKUP(C350,'[3]DS CN MOI UP'!$B$10:$C$489,2,0)</f>
        <v>02606</v>
      </c>
      <c r="C350" s="112" t="s">
        <v>253</v>
      </c>
      <c r="D350" s="855" t="s">
        <v>15</v>
      </c>
      <c r="E350" s="815"/>
      <c r="F350" s="815">
        <v>2</v>
      </c>
      <c r="G350" s="815">
        <v>1</v>
      </c>
      <c r="H350" s="815">
        <v>3</v>
      </c>
      <c r="I350" s="815"/>
      <c r="J350" s="815">
        <v>1</v>
      </c>
      <c r="K350" s="815">
        <v>3</v>
      </c>
      <c r="L350" s="815">
        <v>3</v>
      </c>
      <c r="M350" s="815">
        <v>1</v>
      </c>
      <c r="N350" s="815">
        <f t="shared" si="100"/>
        <v>0</v>
      </c>
      <c r="O350" s="815">
        <f t="shared" si="101"/>
        <v>12.8</v>
      </c>
      <c r="P350" s="815">
        <f t="shared" si="102"/>
        <v>8</v>
      </c>
      <c r="Q350" s="815">
        <f t="shared" si="103"/>
        <v>12</v>
      </c>
      <c r="R350" s="815">
        <f t="shared" si="104"/>
        <v>0</v>
      </c>
      <c r="S350" s="815">
        <f t="shared" si="105"/>
        <v>2</v>
      </c>
      <c r="T350" s="815">
        <f t="shared" si="106"/>
        <v>3</v>
      </c>
      <c r="U350" s="815">
        <f t="shared" si="107"/>
        <v>3</v>
      </c>
      <c r="V350" s="815">
        <f t="shared" si="108"/>
        <v>1</v>
      </c>
      <c r="W350" s="815"/>
      <c r="X350" s="815"/>
      <c r="Y350" s="815"/>
      <c r="Z350" s="815"/>
      <c r="AA350" s="830">
        <f t="shared" si="109"/>
        <v>41.8</v>
      </c>
      <c r="AB350" s="830">
        <f>VLOOKUP(C350,'[3]MỦ TẠP'!$D$10:$AM$450,36,0)</f>
        <v>0</v>
      </c>
      <c r="AC350" s="830"/>
      <c r="AD350" s="830"/>
      <c r="AE350" s="830">
        <f>VLOOKUP(C350,'[3]MỦ TẠP'!$D$10:$AM$450,36,0)</f>
        <v>0</v>
      </c>
      <c r="AF350" s="830"/>
      <c r="AG350" s="830"/>
      <c r="AH350" s="830">
        <f t="shared" si="110"/>
        <v>0</v>
      </c>
      <c r="AI350" s="830">
        <f>VLOOKUP(C350,'[3]CHẤM CÔNG '!$F$10:$AM$451,33,0)</f>
        <v>0</v>
      </c>
      <c r="AJ350" s="830">
        <f>VLOOKUP(C350,'[3]CHẤM CÔNG '!$F$10:$AM$451,34,0)</f>
        <v>0</v>
      </c>
      <c r="AK350" s="830"/>
      <c r="AL350" s="830"/>
      <c r="AM350" s="830"/>
      <c r="AN350" s="830">
        <f>VLOOKUP(C350,'[3]CHẤM CÔNG '!$F$10:$AN$451,35,0)</f>
        <v>0</v>
      </c>
      <c r="AO350" s="830">
        <f>VLOOKUP(C350,'[3]CHẤM CÔNG '!$F$10:$AR$451,36,0)</f>
        <v>0</v>
      </c>
      <c r="AP350" s="830"/>
      <c r="AQ350" s="830"/>
      <c r="AR350" s="830"/>
      <c r="AS350" s="836"/>
      <c r="AT350" s="837">
        <f>VLOOKUP(C350,'[3]MỦ TẠP'!$D$10:$AO$450,38,0)</f>
        <v>0</v>
      </c>
      <c r="AX350" s="799">
        <f t="shared" si="111"/>
        <v>2</v>
      </c>
      <c r="AZ350" s="799">
        <v>1</v>
      </c>
    </row>
    <row r="351" spans="1:52" ht="15.75">
      <c r="A351" s="850">
        <v>49</v>
      </c>
      <c r="B351" s="813" t="str">
        <f>VLOOKUP(C351,'[3]DS CN MOI UP'!$B$10:$C$489,2,0)</f>
        <v>02607</v>
      </c>
      <c r="C351" s="112" t="s">
        <v>254</v>
      </c>
      <c r="D351" s="855" t="s">
        <v>15</v>
      </c>
      <c r="E351" s="815"/>
      <c r="F351" s="815">
        <v>2</v>
      </c>
      <c r="G351" s="815">
        <v>1</v>
      </c>
      <c r="H351" s="815">
        <v>3</v>
      </c>
      <c r="I351" s="815"/>
      <c r="J351" s="815">
        <v>1</v>
      </c>
      <c r="K351" s="815">
        <v>3</v>
      </c>
      <c r="L351" s="815">
        <v>3</v>
      </c>
      <c r="M351" s="815">
        <v>1</v>
      </c>
      <c r="N351" s="815">
        <f t="shared" si="100"/>
        <v>0</v>
      </c>
      <c r="O351" s="815">
        <f t="shared" si="101"/>
        <v>12.8</v>
      </c>
      <c r="P351" s="815">
        <f t="shared" si="102"/>
        <v>8</v>
      </c>
      <c r="Q351" s="815">
        <f t="shared" si="103"/>
        <v>12</v>
      </c>
      <c r="R351" s="815">
        <f t="shared" si="104"/>
        <v>0</v>
      </c>
      <c r="S351" s="815">
        <f t="shared" si="105"/>
        <v>2</v>
      </c>
      <c r="T351" s="815">
        <f t="shared" si="106"/>
        <v>3</v>
      </c>
      <c r="U351" s="815">
        <f t="shared" si="107"/>
        <v>3</v>
      </c>
      <c r="V351" s="815">
        <f t="shared" si="108"/>
        <v>1</v>
      </c>
      <c r="W351" s="815"/>
      <c r="X351" s="815"/>
      <c r="Y351" s="815"/>
      <c r="Z351" s="815"/>
      <c r="AA351" s="830">
        <f t="shared" si="109"/>
        <v>41.8</v>
      </c>
      <c r="AB351" s="830">
        <f>VLOOKUP(C351,'[3]MỦ TẠP'!$D$10:$AM$450,36,0)</f>
        <v>0</v>
      </c>
      <c r="AC351" s="830"/>
      <c r="AD351" s="830"/>
      <c r="AE351" s="830">
        <f>VLOOKUP(C351,'[3]MỦ TẠP'!$D$10:$AM$450,36,0)</f>
        <v>0</v>
      </c>
      <c r="AF351" s="830"/>
      <c r="AG351" s="830"/>
      <c r="AH351" s="830">
        <f t="shared" si="110"/>
        <v>0</v>
      </c>
      <c r="AI351" s="830">
        <f>VLOOKUP(C351,'[3]CHẤM CÔNG '!$F$10:$AM$451,33,0)</f>
        <v>0</v>
      </c>
      <c r="AJ351" s="830">
        <f>VLOOKUP(C351,'[3]CHẤM CÔNG '!$F$10:$AM$451,34,0)</f>
        <v>0</v>
      </c>
      <c r="AK351" s="830"/>
      <c r="AL351" s="830"/>
      <c r="AM351" s="830"/>
      <c r="AN351" s="830">
        <f>VLOOKUP(C351,'[3]CHẤM CÔNG '!$F$10:$AN$451,35,0)</f>
        <v>0</v>
      </c>
      <c r="AO351" s="830">
        <f>VLOOKUP(C351,'[3]CHẤM CÔNG '!$F$10:$AR$451,36,0)</f>
        <v>0</v>
      </c>
      <c r="AP351" s="830"/>
      <c r="AQ351" s="830"/>
      <c r="AR351" s="830"/>
      <c r="AS351" s="836"/>
      <c r="AT351" s="837">
        <f>VLOOKUP(C351,'[3]MỦ TẠP'!$D$10:$AO$450,38,0)</f>
        <v>0</v>
      </c>
      <c r="AX351" s="799">
        <f t="shared" si="111"/>
        <v>2</v>
      </c>
      <c r="AZ351" s="799">
        <v>1</v>
      </c>
    </row>
    <row r="352" spans="1:52" ht="15.75">
      <c r="A352" s="850">
        <v>50</v>
      </c>
      <c r="B352" s="813" t="str">
        <f>VLOOKUP(C352,'[3]DS CN MOI UP'!$B$10:$C$489,2,0)</f>
        <v>02612</v>
      </c>
      <c r="C352" s="112" t="s">
        <v>255</v>
      </c>
      <c r="D352" s="855" t="s">
        <v>15</v>
      </c>
      <c r="E352" s="815"/>
      <c r="F352" s="815">
        <v>3</v>
      </c>
      <c r="G352" s="815"/>
      <c r="H352" s="815">
        <v>3</v>
      </c>
      <c r="I352" s="815"/>
      <c r="J352" s="815">
        <v>1</v>
      </c>
      <c r="K352" s="815">
        <v>3</v>
      </c>
      <c r="L352" s="815">
        <v>3</v>
      </c>
      <c r="M352" s="815">
        <v>1</v>
      </c>
      <c r="N352" s="815">
        <f t="shared" si="100"/>
        <v>0</v>
      </c>
      <c r="O352" s="815">
        <f t="shared" si="101"/>
        <v>19.2</v>
      </c>
      <c r="P352" s="815">
        <f t="shared" si="102"/>
        <v>0</v>
      </c>
      <c r="Q352" s="815">
        <f t="shared" si="103"/>
        <v>12</v>
      </c>
      <c r="R352" s="815">
        <f t="shared" si="104"/>
        <v>0</v>
      </c>
      <c r="S352" s="815">
        <f t="shared" si="105"/>
        <v>2</v>
      </c>
      <c r="T352" s="815">
        <f t="shared" si="106"/>
        <v>3</v>
      </c>
      <c r="U352" s="815">
        <f t="shared" si="107"/>
        <v>3</v>
      </c>
      <c r="V352" s="815">
        <f t="shared" si="108"/>
        <v>1</v>
      </c>
      <c r="W352" s="815"/>
      <c r="X352" s="815"/>
      <c r="Y352" s="815"/>
      <c r="Z352" s="815"/>
      <c r="AA352" s="830">
        <f t="shared" si="109"/>
        <v>40.200000000000003</v>
      </c>
      <c r="AB352" s="830">
        <f>VLOOKUP(C352,'[3]MỦ TẠP'!$D$10:$AM$450,36,0)</f>
        <v>0</v>
      </c>
      <c r="AC352" s="830"/>
      <c r="AD352" s="830"/>
      <c r="AE352" s="830">
        <f>VLOOKUP(C352,'[3]MỦ TẠP'!$D$10:$AM$450,36,0)</f>
        <v>0</v>
      </c>
      <c r="AF352" s="830"/>
      <c r="AG352" s="830"/>
      <c r="AH352" s="830">
        <f t="shared" si="110"/>
        <v>0</v>
      </c>
      <c r="AI352" s="830">
        <f>VLOOKUP(C352,'[3]CHẤM CÔNG '!$F$10:$AM$451,33,0)</f>
        <v>0</v>
      </c>
      <c r="AJ352" s="830">
        <f>VLOOKUP(C352,'[3]CHẤM CÔNG '!$F$10:$AM$451,34,0)</f>
        <v>0</v>
      </c>
      <c r="AK352" s="830"/>
      <c r="AL352" s="830"/>
      <c r="AM352" s="830"/>
      <c r="AN352" s="830">
        <f>VLOOKUP(C352,'[3]CHẤM CÔNG '!$F$10:$AN$451,35,0)</f>
        <v>0</v>
      </c>
      <c r="AO352" s="830">
        <f>VLOOKUP(C352,'[3]CHẤM CÔNG '!$F$10:$AR$451,36,0)</f>
        <v>0</v>
      </c>
      <c r="AP352" s="830"/>
      <c r="AQ352" s="830"/>
      <c r="AR352" s="830"/>
      <c r="AS352" s="836"/>
      <c r="AT352" s="837">
        <f>VLOOKUP(C352,'[3]MỦ TẠP'!$D$10:$AO$450,38,0)</f>
        <v>0</v>
      </c>
      <c r="AX352" s="799">
        <f t="shared" si="111"/>
        <v>2</v>
      </c>
      <c r="AZ352" s="799">
        <v>1</v>
      </c>
    </row>
    <row r="353" spans="1:52" ht="15.75">
      <c r="A353" s="850">
        <v>51</v>
      </c>
      <c r="B353" s="813" t="str">
        <f>VLOOKUP(C353,'[3]DS CN MOI UP'!$B$10:$C$489,2,0)</f>
        <v>02574</v>
      </c>
      <c r="C353" s="112" t="s">
        <v>256</v>
      </c>
      <c r="D353" s="855" t="s">
        <v>15</v>
      </c>
      <c r="E353" s="815"/>
      <c r="F353" s="815">
        <v>2</v>
      </c>
      <c r="G353" s="815">
        <v>1</v>
      </c>
      <c r="H353" s="815">
        <v>3</v>
      </c>
      <c r="I353" s="815"/>
      <c r="J353" s="815">
        <v>1</v>
      </c>
      <c r="K353" s="815">
        <v>3</v>
      </c>
      <c r="L353" s="815">
        <v>3</v>
      </c>
      <c r="M353" s="815">
        <v>1</v>
      </c>
      <c r="N353" s="815">
        <f t="shared" si="100"/>
        <v>0</v>
      </c>
      <c r="O353" s="815">
        <f t="shared" si="101"/>
        <v>12.8</v>
      </c>
      <c r="P353" s="815">
        <f t="shared" si="102"/>
        <v>8</v>
      </c>
      <c r="Q353" s="815">
        <f t="shared" si="103"/>
        <v>12</v>
      </c>
      <c r="R353" s="815">
        <f t="shared" si="104"/>
        <v>0</v>
      </c>
      <c r="S353" s="815">
        <f t="shared" si="105"/>
        <v>2</v>
      </c>
      <c r="T353" s="815">
        <f t="shared" si="106"/>
        <v>3</v>
      </c>
      <c r="U353" s="815">
        <f t="shared" si="107"/>
        <v>3</v>
      </c>
      <c r="V353" s="815">
        <f t="shared" si="108"/>
        <v>1</v>
      </c>
      <c r="W353" s="815"/>
      <c r="X353" s="815"/>
      <c r="Y353" s="815"/>
      <c r="Z353" s="815"/>
      <c r="AA353" s="830">
        <f t="shared" si="109"/>
        <v>41.8</v>
      </c>
      <c r="AB353" s="830">
        <f>VLOOKUP(C353,'[3]MỦ TẠP'!$D$10:$AM$450,36,0)</f>
        <v>0</v>
      </c>
      <c r="AC353" s="830"/>
      <c r="AD353" s="830"/>
      <c r="AE353" s="830">
        <f>VLOOKUP(C353,'[3]MỦ TẠP'!$D$10:$AM$450,36,0)</f>
        <v>0</v>
      </c>
      <c r="AF353" s="830"/>
      <c r="AG353" s="830"/>
      <c r="AH353" s="830">
        <f t="shared" si="110"/>
        <v>0</v>
      </c>
      <c r="AI353" s="830">
        <f>VLOOKUP(C353,'[3]CHẤM CÔNG '!$F$10:$AM$451,33,0)</f>
        <v>0</v>
      </c>
      <c r="AJ353" s="830">
        <f>VLOOKUP(C353,'[3]CHẤM CÔNG '!$F$10:$AM$451,34,0)</f>
        <v>0</v>
      </c>
      <c r="AK353" s="830"/>
      <c r="AL353" s="830"/>
      <c r="AM353" s="830"/>
      <c r="AN353" s="830">
        <f>VLOOKUP(C353,'[3]CHẤM CÔNG '!$F$10:$AN$451,35,0)</f>
        <v>0</v>
      </c>
      <c r="AO353" s="830">
        <f>VLOOKUP(C353,'[3]CHẤM CÔNG '!$F$10:$AR$451,36,0)</f>
        <v>0</v>
      </c>
      <c r="AP353" s="830"/>
      <c r="AQ353" s="830"/>
      <c r="AR353" s="830"/>
      <c r="AS353" s="836"/>
      <c r="AT353" s="837">
        <f>VLOOKUP(C353,'[3]MỦ TẠP'!$D$10:$AO$450,38,0)</f>
        <v>0</v>
      </c>
      <c r="AX353" s="799">
        <f t="shared" si="111"/>
        <v>2</v>
      </c>
      <c r="AZ353" s="799">
        <v>1</v>
      </c>
    </row>
    <row r="354" spans="1:52" ht="15.75">
      <c r="A354" s="850">
        <v>52</v>
      </c>
      <c r="B354" s="813" t="str">
        <f>VLOOKUP(C354,'[3]DS CN MOI UP'!$B$10:$C$489,2,0)</f>
        <v>02577</v>
      </c>
      <c r="C354" s="112" t="s">
        <v>257</v>
      </c>
      <c r="D354" s="855" t="s">
        <v>15</v>
      </c>
      <c r="E354" s="815"/>
      <c r="F354" s="815">
        <v>2</v>
      </c>
      <c r="G354" s="815">
        <v>1</v>
      </c>
      <c r="H354" s="815">
        <v>3</v>
      </c>
      <c r="I354" s="815"/>
      <c r="J354" s="815">
        <v>1</v>
      </c>
      <c r="K354" s="815">
        <v>3</v>
      </c>
      <c r="L354" s="815">
        <v>3</v>
      </c>
      <c r="M354" s="815">
        <v>1</v>
      </c>
      <c r="N354" s="815">
        <f t="shared" si="100"/>
        <v>0</v>
      </c>
      <c r="O354" s="815">
        <f t="shared" si="101"/>
        <v>12.8</v>
      </c>
      <c r="P354" s="815">
        <f t="shared" si="102"/>
        <v>8</v>
      </c>
      <c r="Q354" s="815">
        <f t="shared" si="103"/>
        <v>12</v>
      </c>
      <c r="R354" s="815">
        <f t="shared" si="104"/>
        <v>0</v>
      </c>
      <c r="S354" s="815">
        <f t="shared" si="105"/>
        <v>2</v>
      </c>
      <c r="T354" s="815">
        <f t="shared" si="106"/>
        <v>3</v>
      </c>
      <c r="U354" s="815">
        <f t="shared" si="107"/>
        <v>3</v>
      </c>
      <c r="V354" s="815">
        <f t="shared" si="108"/>
        <v>1</v>
      </c>
      <c r="W354" s="815"/>
      <c r="X354" s="815"/>
      <c r="Y354" s="815"/>
      <c r="Z354" s="815"/>
      <c r="AA354" s="830">
        <f t="shared" si="109"/>
        <v>41.8</v>
      </c>
      <c r="AB354" s="830">
        <f>VLOOKUP(C354,'[3]MỦ TẠP'!$D$10:$AM$450,36,0)</f>
        <v>0</v>
      </c>
      <c r="AC354" s="830"/>
      <c r="AD354" s="830"/>
      <c r="AE354" s="830">
        <f>VLOOKUP(C354,'[3]MỦ TẠP'!$D$10:$AM$450,36,0)</f>
        <v>0</v>
      </c>
      <c r="AF354" s="830"/>
      <c r="AG354" s="830"/>
      <c r="AH354" s="830">
        <f t="shared" si="110"/>
        <v>0</v>
      </c>
      <c r="AI354" s="830">
        <f>VLOOKUP(C354,'[3]CHẤM CÔNG '!$F$10:$AM$451,33,0)</f>
        <v>0</v>
      </c>
      <c r="AJ354" s="830">
        <f>VLOOKUP(C354,'[3]CHẤM CÔNG '!$F$10:$AM$451,34,0)</f>
        <v>0</v>
      </c>
      <c r="AK354" s="830"/>
      <c r="AL354" s="830"/>
      <c r="AM354" s="830"/>
      <c r="AN354" s="830">
        <f>VLOOKUP(C354,'[3]CHẤM CÔNG '!$F$10:$AN$451,35,0)</f>
        <v>0</v>
      </c>
      <c r="AO354" s="830">
        <f>VLOOKUP(C354,'[3]CHẤM CÔNG '!$F$10:$AR$451,36,0)</f>
        <v>0</v>
      </c>
      <c r="AP354" s="830"/>
      <c r="AQ354" s="830"/>
      <c r="AR354" s="830"/>
      <c r="AS354" s="836"/>
      <c r="AT354" s="837">
        <f>VLOOKUP(C354,'[3]MỦ TẠP'!$D$10:$AO$450,38,0)</f>
        <v>0</v>
      </c>
      <c r="AX354" s="799">
        <f t="shared" si="111"/>
        <v>2</v>
      </c>
      <c r="AZ354" s="799">
        <v>1</v>
      </c>
    </row>
    <row r="355" spans="1:52" ht="15.75">
      <c r="A355" s="850">
        <v>53</v>
      </c>
      <c r="B355" s="813" t="str">
        <f>VLOOKUP(C355,'[3]DS CN MOI UP'!$B$10:$C$489,2,0)</f>
        <v>02605</v>
      </c>
      <c r="C355" s="112" t="s">
        <v>258</v>
      </c>
      <c r="D355" s="855" t="s">
        <v>15</v>
      </c>
      <c r="E355" s="815"/>
      <c r="F355" s="815">
        <v>2</v>
      </c>
      <c r="G355" s="815">
        <v>1</v>
      </c>
      <c r="H355" s="815">
        <v>3</v>
      </c>
      <c r="I355" s="815"/>
      <c r="J355" s="815">
        <v>1</v>
      </c>
      <c r="K355" s="815">
        <v>3</v>
      </c>
      <c r="L355" s="815">
        <v>3</v>
      </c>
      <c r="M355" s="815">
        <v>1</v>
      </c>
      <c r="N355" s="815">
        <f t="shared" si="100"/>
        <v>0</v>
      </c>
      <c r="O355" s="815">
        <f t="shared" si="101"/>
        <v>12.8</v>
      </c>
      <c r="P355" s="815">
        <f t="shared" si="102"/>
        <v>8</v>
      </c>
      <c r="Q355" s="815">
        <f t="shared" si="103"/>
        <v>12</v>
      </c>
      <c r="R355" s="815">
        <f t="shared" si="104"/>
        <v>0</v>
      </c>
      <c r="S355" s="815">
        <f t="shared" si="105"/>
        <v>2</v>
      </c>
      <c r="T355" s="815">
        <f t="shared" si="106"/>
        <v>3</v>
      </c>
      <c r="U355" s="815">
        <f t="shared" si="107"/>
        <v>3</v>
      </c>
      <c r="V355" s="815">
        <f t="shared" si="108"/>
        <v>1</v>
      </c>
      <c r="W355" s="815"/>
      <c r="X355" s="815"/>
      <c r="Y355" s="815"/>
      <c r="Z355" s="815"/>
      <c r="AA355" s="830">
        <f t="shared" si="109"/>
        <v>41.8</v>
      </c>
      <c r="AB355" s="830">
        <f>VLOOKUP(C355,'[3]MỦ TẠP'!$D$10:$AM$450,36,0)</f>
        <v>0</v>
      </c>
      <c r="AC355" s="830"/>
      <c r="AD355" s="830"/>
      <c r="AE355" s="830">
        <f>VLOOKUP(C355,'[3]MỦ TẠP'!$D$10:$AM$450,36,0)</f>
        <v>0</v>
      </c>
      <c r="AF355" s="830"/>
      <c r="AG355" s="830"/>
      <c r="AH355" s="830">
        <f t="shared" si="110"/>
        <v>0</v>
      </c>
      <c r="AI355" s="830">
        <f>VLOOKUP(C355,'[3]CHẤM CÔNG '!$F$10:$AM$451,33,0)</f>
        <v>0</v>
      </c>
      <c r="AJ355" s="830">
        <f>VLOOKUP(C355,'[3]CHẤM CÔNG '!$F$10:$AM$451,34,0)</f>
        <v>0</v>
      </c>
      <c r="AK355" s="830"/>
      <c r="AL355" s="830"/>
      <c r="AM355" s="830"/>
      <c r="AN355" s="830">
        <f>VLOOKUP(C355,'[3]CHẤM CÔNG '!$F$10:$AN$451,35,0)</f>
        <v>0</v>
      </c>
      <c r="AO355" s="830">
        <f>VLOOKUP(C355,'[3]CHẤM CÔNG '!$F$10:$AR$451,36,0)</f>
        <v>0</v>
      </c>
      <c r="AP355" s="830"/>
      <c r="AQ355" s="830"/>
      <c r="AR355" s="830"/>
      <c r="AS355" s="836"/>
      <c r="AT355" s="837">
        <f>VLOOKUP(C355,'[3]MỦ TẠP'!$D$10:$AO$450,38,0)</f>
        <v>0</v>
      </c>
      <c r="AX355" s="799">
        <f t="shared" si="111"/>
        <v>2</v>
      </c>
      <c r="AZ355" s="799">
        <v>1</v>
      </c>
    </row>
    <row r="356" spans="1:52" ht="15.75">
      <c r="A356" s="850">
        <v>54</v>
      </c>
      <c r="B356" s="813" t="str">
        <f>VLOOKUP(C356,'[3]DS CN MOI UP'!$B$10:$C$489,2,0)</f>
        <v>02588</v>
      </c>
      <c r="C356" s="112" t="s">
        <v>259</v>
      </c>
      <c r="D356" s="855" t="s">
        <v>15</v>
      </c>
      <c r="E356" s="815"/>
      <c r="F356" s="815">
        <v>3</v>
      </c>
      <c r="G356" s="815"/>
      <c r="H356" s="815">
        <v>3</v>
      </c>
      <c r="I356" s="815"/>
      <c r="J356" s="815">
        <v>1</v>
      </c>
      <c r="K356" s="815">
        <v>3</v>
      </c>
      <c r="L356" s="815">
        <v>3</v>
      </c>
      <c r="M356" s="815">
        <v>1</v>
      </c>
      <c r="N356" s="815">
        <f t="shared" si="100"/>
        <v>0</v>
      </c>
      <c r="O356" s="815">
        <f t="shared" si="101"/>
        <v>19.2</v>
      </c>
      <c r="P356" s="815">
        <f t="shared" si="102"/>
        <v>0</v>
      </c>
      <c r="Q356" s="815">
        <f t="shared" si="103"/>
        <v>12</v>
      </c>
      <c r="R356" s="815">
        <f t="shared" si="104"/>
        <v>0</v>
      </c>
      <c r="S356" s="815">
        <f t="shared" si="105"/>
        <v>2</v>
      </c>
      <c r="T356" s="815">
        <f t="shared" si="106"/>
        <v>3</v>
      </c>
      <c r="U356" s="815">
        <f t="shared" si="107"/>
        <v>3</v>
      </c>
      <c r="V356" s="815">
        <f t="shared" si="108"/>
        <v>1</v>
      </c>
      <c r="W356" s="815"/>
      <c r="X356" s="815"/>
      <c r="Y356" s="815"/>
      <c r="Z356" s="815"/>
      <c r="AA356" s="830">
        <f t="shared" si="109"/>
        <v>40.200000000000003</v>
      </c>
      <c r="AB356" s="830">
        <f>VLOOKUP(C356,'[3]MỦ TẠP'!$D$10:$AM$450,36,0)</f>
        <v>0</v>
      </c>
      <c r="AC356" s="830"/>
      <c r="AD356" s="830"/>
      <c r="AE356" s="830">
        <f>VLOOKUP(C356,'[3]MỦ TẠP'!$D$10:$AM$450,36,0)</f>
        <v>0</v>
      </c>
      <c r="AF356" s="830"/>
      <c r="AG356" s="830"/>
      <c r="AH356" s="830">
        <f t="shared" si="110"/>
        <v>0</v>
      </c>
      <c r="AI356" s="830">
        <f>VLOOKUP(C356,'[3]CHẤM CÔNG '!$F$10:$AM$451,33,0)</f>
        <v>0</v>
      </c>
      <c r="AJ356" s="830">
        <f>VLOOKUP(C356,'[3]CHẤM CÔNG '!$F$10:$AM$451,34,0)</f>
        <v>0</v>
      </c>
      <c r="AK356" s="830"/>
      <c r="AL356" s="830"/>
      <c r="AM356" s="830"/>
      <c r="AN356" s="830">
        <f>VLOOKUP(C356,'[3]CHẤM CÔNG '!$F$10:$AN$451,35,0)</f>
        <v>0</v>
      </c>
      <c r="AO356" s="830">
        <f>VLOOKUP(C356,'[3]CHẤM CÔNG '!$F$10:$AR$451,36,0)</f>
        <v>0</v>
      </c>
      <c r="AP356" s="830"/>
      <c r="AQ356" s="830"/>
      <c r="AR356" s="830"/>
      <c r="AS356" s="836"/>
      <c r="AT356" s="837">
        <f>VLOOKUP(C356,'[3]MỦ TẠP'!$D$10:$AO$450,38,0)</f>
        <v>0</v>
      </c>
      <c r="AX356" s="799">
        <f t="shared" si="111"/>
        <v>2</v>
      </c>
      <c r="AZ356" s="799">
        <v>1</v>
      </c>
    </row>
    <row r="357" spans="1:52" ht="15.75">
      <c r="A357" s="850">
        <v>55</v>
      </c>
      <c r="B357" s="813" t="str">
        <f>VLOOKUP(C357,'[3]DS CN MOI UP'!$B$10:$C$489,2,0)</f>
        <v>03857</v>
      </c>
      <c r="C357" s="112" t="s">
        <v>260</v>
      </c>
      <c r="D357" s="855" t="s">
        <v>15</v>
      </c>
      <c r="E357" s="815"/>
      <c r="F357" s="815">
        <v>3</v>
      </c>
      <c r="G357" s="815"/>
      <c r="H357" s="815">
        <v>3</v>
      </c>
      <c r="I357" s="815"/>
      <c r="J357" s="815">
        <v>1</v>
      </c>
      <c r="K357" s="815">
        <v>3</v>
      </c>
      <c r="L357" s="815">
        <v>3</v>
      </c>
      <c r="M357" s="815">
        <v>1</v>
      </c>
      <c r="N357" s="815">
        <f t="shared" si="100"/>
        <v>0</v>
      </c>
      <c r="O357" s="815">
        <f t="shared" si="101"/>
        <v>19.2</v>
      </c>
      <c r="P357" s="815">
        <f t="shared" si="102"/>
        <v>0</v>
      </c>
      <c r="Q357" s="815">
        <f t="shared" si="103"/>
        <v>12</v>
      </c>
      <c r="R357" s="815">
        <f t="shared" si="104"/>
        <v>0</v>
      </c>
      <c r="S357" s="815">
        <f t="shared" si="105"/>
        <v>2</v>
      </c>
      <c r="T357" s="815">
        <f t="shared" si="106"/>
        <v>3</v>
      </c>
      <c r="U357" s="815">
        <f t="shared" si="107"/>
        <v>3</v>
      </c>
      <c r="V357" s="815">
        <f t="shared" si="108"/>
        <v>1</v>
      </c>
      <c r="W357" s="815"/>
      <c r="X357" s="815"/>
      <c r="Y357" s="815"/>
      <c r="Z357" s="815"/>
      <c r="AA357" s="830">
        <f t="shared" si="109"/>
        <v>40.200000000000003</v>
      </c>
      <c r="AB357" s="830">
        <f>VLOOKUP(C357,'[3]MỦ TẠP'!$D$10:$AM$450,36,0)</f>
        <v>0</v>
      </c>
      <c r="AC357" s="830"/>
      <c r="AD357" s="830"/>
      <c r="AE357" s="830">
        <f>VLOOKUP(C357,'[3]MỦ TẠP'!$D$10:$AM$450,36,0)</f>
        <v>0</v>
      </c>
      <c r="AF357" s="830"/>
      <c r="AG357" s="830"/>
      <c r="AH357" s="830">
        <f t="shared" si="110"/>
        <v>0</v>
      </c>
      <c r="AI357" s="830">
        <f>VLOOKUP(C357,'[3]CHẤM CÔNG '!$F$10:$AM$451,33,0)</f>
        <v>0</v>
      </c>
      <c r="AJ357" s="830">
        <f>VLOOKUP(C357,'[3]CHẤM CÔNG '!$F$10:$AM$451,34,0)</f>
        <v>0</v>
      </c>
      <c r="AK357" s="830"/>
      <c r="AL357" s="830"/>
      <c r="AM357" s="830"/>
      <c r="AN357" s="830">
        <f>VLOOKUP(C357,'[3]CHẤM CÔNG '!$F$10:$AN$451,35,0)</f>
        <v>0</v>
      </c>
      <c r="AO357" s="830">
        <f>VLOOKUP(C357,'[3]CHẤM CÔNG '!$F$10:$AR$451,36,0)</f>
        <v>0</v>
      </c>
      <c r="AP357" s="830"/>
      <c r="AQ357" s="830"/>
      <c r="AR357" s="830"/>
      <c r="AS357" s="836"/>
      <c r="AT357" s="837">
        <f>VLOOKUP(C357,'[3]MỦ TẠP'!$D$10:$AO$450,38,0)</f>
        <v>0</v>
      </c>
      <c r="AX357" s="799">
        <f t="shared" si="111"/>
        <v>2</v>
      </c>
      <c r="AZ357" s="799">
        <v>1</v>
      </c>
    </row>
    <row r="358" spans="1:52" ht="15.75">
      <c r="A358" s="850">
        <v>56</v>
      </c>
      <c r="B358" s="813" t="str">
        <f>VLOOKUP(C358,'[3]DS CN MOI UP'!$B$10:$C$489,2,0)</f>
        <v>02597</v>
      </c>
      <c r="C358" s="112" t="s">
        <v>261</v>
      </c>
      <c r="D358" s="855" t="s">
        <v>15</v>
      </c>
      <c r="E358" s="815"/>
      <c r="F358" s="815">
        <v>2</v>
      </c>
      <c r="G358" s="815">
        <v>1</v>
      </c>
      <c r="H358" s="815">
        <v>3</v>
      </c>
      <c r="I358" s="815"/>
      <c r="J358" s="815">
        <v>1</v>
      </c>
      <c r="K358" s="815">
        <v>3</v>
      </c>
      <c r="L358" s="815">
        <v>3</v>
      </c>
      <c r="M358" s="815">
        <v>1</v>
      </c>
      <c r="N358" s="815">
        <f t="shared" si="100"/>
        <v>0</v>
      </c>
      <c r="O358" s="815">
        <f t="shared" si="101"/>
        <v>12.8</v>
      </c>
      <c r="P358" s="815">
        <f t="shared" si="102"/>
        <v>8</v>
      </c>
      <c r="Q358" s="815">
        <f t="shared" si="103"/>
        <v>12</v>
      </c>
      <c r="R358" s="815">
        <f t="shared" si="104"/>
        <v>0</v>
      </c>
      <c r="S358" s="815">
        <f t="shared" si="105"/>
        <v>2</v>
      </c>
      <c r="T358" s="815">
        <f t="shared" si="106"/>
        <v>3</v>
      </c>
      <c r="U358" s="815">
        <f t="shared" si="107"/>
        <v>3</v>
      </c>
      <c r="V358" s="815">
        <f t="shared" si="108"/>
        <v>1</v>
      </c>
      <c r="W358" s="815"/>
      <c r="X358" s="815"/>
      <c r="Y358" s="815"/>
      <c r="Z358" s="815"/>
      <c r="AA358" s="830">
        <f t="shared" si="109"/>
        <v>41.8</v>
      </c>
      <c r="AB358" s="830">
        <f>VLOOKUP(C358,'[3]MỦ TẠP'!$D$10:$AM$450,36,0)</f>
        <v>0</v>
      </c>
      <c r="AC358" s="830"/>
      <c r="AD358" s="830"/>
      <c r="AE358" s="830">
        <f>VLOOKUP(C358,'[3]MỦ TẠP'!$D$10:$AM$450,36,0)</f>
        <v>0</v>
      </c>
      <c r="AF358" s="830"/>
      <c r="AG358" s="830"/>
      <c r="AH358" s="830">
        <f t="shared" si="110"/>
        <v>0</v>
      </c>
      <c r="AI358" s="830">
        <f>VLOOKUP(C358,'[3]CHẤM CÔNG '!$F$10:$AM$451,33,0)</f>
        <v>0</v>
      </c>
      <c r="AJ358" s="830">
        <f>VLOOKUP(C358,'[3]CHẤM CÔNG '!$F$10:$AM$451,34,0)</f>
        <v>0</v>
      </c>
      <c r="AK358" s="830"/>
      <c r="AL358" s="830"/>
      <c r="AM358" s="830"/>
      <c r="AN358" s="830">
        <f>VLOOKUP(C358,'[3]CHẤM CÔNG '!$F$10:$AN$451,35,0)</f>
        <v>0</v>
      </c>
      <c r="AO358" s="830">
        <f>VLOOKUP(C358,'[3]CHẤM CÔNG '!$F$10:$AR$451,36,0)</f>
        <v>0</v>
      </c>
      <c r="AP358" s="830"/>
      <c r="AQ358" s="830"/>
      <c r="AR358" s="830"/>
      <c r="AS358" s="836"/>
      <c r="AT358" s="837">
        <f>VLOOKUP(C358,'[3]MỦ TẠP'!$D$10:$AO$450,38,0)</f>
        <v>0</v>
      </c>
      <c r="AX358" s="799">
        <f t="shared" si="111"/>
        <v>2</v>
      </c>
      <c r="AZ358" s="799">
        <v>1</v>
      </c>
    </row>
    <row r="359" spans="1:52" ht="15.75">
      <c r="A359" s="850">
        <v>57</v>
      </c>
      <c r="B359" s="813" t="str">
        <f>VLOOKUP(C359,'[3]DS CN MOI UP'!$B$10:$C$489,2,0)</f>
        <v>02590</v>
      </c>
      <c r="C359" s="112" t="s">
        <v>262</v>
      </c>
      <c r="D359" s="855" t="s">
        <v>15</v>
      </c>
      <c r="E359" s="815"/>
      <c r="F359" s="815">
        <v>2</v>
      </c>
      <c r="G359" s="815">
        <v>1</v>
      </c>
      <c r="H359" s="815">
        <v>3</v>
      </c>
      <c r="I359" s="815"/>
      <c r="J359" s="815">
        <v>1</v>
      </c>
      <c r="K359" s="815">
        <v>3</v>
      </c>
      <c r="L359" s="815">
        <v>3</v>
      </c>
      <c r="M359" s="815">
        <v>1</v>
      </c>
      <c r="N359" s="815">
        <f t="shared" si="100"/>
        <v>0</v>
      </c>
      <c r="O359" s="815">
        <f t="shared" si="101"/>
        <v>12.8</v>
      </c>
      <c r="P359" s="815">
        <f t="shared" si="102"/>
        <v>8</v>
      </c>
      <c r="Q359" s="815">
        <f t="shared" si="103"/>
        <v>12</v>
      </c>
      <c r="R359" s="815">
        <f t="shared" si="104"/>
        <v>0</v>
      </c>
      <c r="S359" s="815">
        <f t="shared" si="105"/>
        <v>2</v>
      </c>
      <c r="T359" s="815">
        <f t="shared" si="106"/>
        <v>3</v>
      </c>
      <c r="U359" s="815">
        <f t="shared" si="107"/>
        <v>3</v>
      </c>
      <c r="V359" s="815">
        <f t="shared" si="108"/>
        <v>1</v>
      </c>
      <c r="W359" s="815"/>
      <c r="X359" s="815"/>
      <c r="Y359" s="815"/>
      <c r="Z359" s="815"/>
      <c r="AA359" s="830">
        <f t="shared" si="109"/>
        <v>41.8</v>
      </c>
      <c r="AB359" s="830">
        <f>VLOOKUP(C359,'[3]MỦ TẠP'!$D$10:$AM$450,36,0)</f>
        <v>0</v>
      </c>
      <c r="AC359" s="830"/>
      <c r="AD359" s="830"/>
      <c r="AE359" s="830">
        <f>VLOOKUP(C359,'[3]MỦ TẠP'!$D$10:$AM$450,36,0)</f>
        <v>0</v>
      </c>
      <c r="AF359" s="830"/>
      <c r="AG359" s="830"/>
      <c r="AH359" s="830">
        <f t="shared" si="110"/>
        <v>0</v>
      </c>
      <c r="AI359" s="830">
        <f>VLOOKUP(C359,'[3]CHẤM CÔNG '!$F$10:$AM$451,33,0)</f>
        <v>0</v>
      </c>
      <c r="AJ359" s="830">
        <f>VLOOKUP(C359,'[3]CHẤM CÔNG '!$F$10:$AM$451,34,0)</f>
        <v>0</v>
      </c>
      <c r="AK359" s="830"/>
      <c r="AL359" s="830"/>
      <c r="AM359" s="830"/>
      <c r="AN359" s="830">
        <f>VLOOKUP(C359,'[3]CHẤM CÔNG '!$F$10:$AN$451,35,0)</f>
        <v>0</v>
      </c>
      <c r="AO359" s="830">
        <f>VLOOKUP(C359,'[3]CHẤM CÔNG '!$F$10:$AR$451,36,0)</f>
        <v>0</v>
      </c>
      <c r="AP359" s="830"/>
      <c r="AQ359" s="830"/>
      <c r="AR359" s="830"/>
      <c r="AS359" s="836"/>
      <c r="AT359" s="837">
        <f>VLOOKUP(C359,'[3]MỦ TẠP'!$D$10:$AO$450,38,0)</f>
        <v>0</v>
      </c>
      <c r="AX359" s="799">
        <f t="shared" si="111"/>
        <v>2</v>
      </c>
      <c r="AZ359" s="799">
        <v>1</v>
      </c>
    </row>
    <row r="360" spans="1:52" ht="15.75">
      <c r="A360" s="850">
        <v>58</v>
      </c>
      <c r="B360" s="813" t="str">
        <f>VLOOKUP(C360,'[3]DS CN MOI UP'!$B$10:$C$489,2,0)</f>
        <v>02585</v>
      </c>
      <c r="C360" s="112" t="s">
        <v>263</v>
      </c>
      <c r="D360" s="855" t="s">
        <v>15</v>
      </c>
      <c r="E360" s="815"/>
      <c r="F360" s="815">
        <v>2</v>
      </c>
      <c r="G360" s="815">
        <v>1</v>
      </c>
      <c r="H360" s="815">
        <v>3</v>
      </c>
      <c r="I360" s="815"/>
      <c r="J360" s="815">
        <v>1</v>
      </c>
      <c r="K360" s="815">
        <v>3</v>
      </c>
      <c r="L360" s="815">
        <v>3</v>
      </c>
      <c r="M360" s="815">
        <v>1</v>
      </c>
      <c r="N360" s="815">
        <f t="shared" si="100"/>
        <v>0</v>
      </c>
      <c r="O360" s="815">
        <f t="shared" si="101"/>
        <v>12.8</v>
      </c>
      <c r="P360" s="815">
        <f t="shared" si="102"/>
        <v>8</v>
      </c>
      <c r="Q360" s="815">
        <f t="shared" si="103"/>
        <v>12</v>
      </c>
      <c r="R360" s="815">
        <f t="shared" si="104"/>
        <v>0</v>
      </c>
      <c r="S360" s="815">
        <f t="shared" si="105"/>
        <v>2</v>
      </c>
      <c r="T360" s="815">
        <f t="shared" si="106"/>
        <v>3</v>
      </c>
      <c r="U360" s="815">
        <f t="shared" si="107"/>
        <v>3</v>
      </c>
      <c r="V360" s="815">
        <f t="shared" si="108"/>
        <v>1</v>
      </c>
      <c r="W360" s="815"/>
      <c r="X360" s="815"/>
      <c r="Y360" s="815"/>
      <c r="Z360" s="815"/>
      <c r="AA360" s="830">
        <f t="shared" si="109"/>
        <v>41.8</v>
      </c>
      <c r="AB360" s="830">
        <f>VLOOKUP(C360,'[3]MỦ TẠP'!$D$10:$AM$450,36,0)</f>
        <v>0</v>
      </c>
      <c r="AC360" s="830"/>
      <c r="AD360" s="830"/>
      <c r="AE360" s="830">
        <f>VLOOKUP(C360,'[3]MỦ TẠP'!$D$10:$AM$450,36,0)</f>
        <v>0</v>
      </c>
      <c r="AF360" s="830"/>
      <c r="AG360" s="830"/>
      <c r="AH360" s="830">
        <f t="shared" si="110"/>
        <v>0</v>
      </c>
      <c r="AI360" s="830">
        <f>VLOOKUP(C360,'[3]CHẤM CÔNG '!$F$10:$AM$451,33,0)</f>
        <v>0</v>
      </c>
      <c r="AJ360" s="830">
        <f>VLOOKUP(C360,'[3]CHẤM CÔNG '!$F$10:$AM$451,34,0)</f>
        <v>0</v>
      </c>
      <c r="AK360" s="830"/>
      <c r="AL360" s="830"/>
      <c r="AM360" s="830"/>
      <c r="AN360" s="830">
        <f>VLOOKUP(C360,'[3]CHẤM CÔNG '!$F$10:$AN$451,35,0)</f>
        <v>0</v>
      </c>
      <c r="AO360" s="830">
        <f>VLOOKUP(C360,'[3]CHẤM CÔNG '!$F$10:$AR$451,36,0)</f>
        <v>0</v>
      </c>
      <c r="AP360" s="830"/>
      <c r="AQ360" s="830"/>
      <c r="AR360" s="830"/>
      <c r="AS360" s="836"/>
      <c r="AT360" s="837">
        <f>VLOOKUP(C360,'[3]MỦ TẠP'!$D$10:$AO$450,38,0)</f>
        <v>0</v>
      </c>
      <c r="AX360" s="799">
        <f t="shared" si="111"/>
        <v>2</v>
      </c>
      <c r="AZ360" s="799">
        <v>1</v>
      </c>
    </row>
    <row r="361" spans="1:52" ht="15.75">
      <c r="A361" s="850">
        <v>59</v>
      </c>
      <c r="B361" s="813" t="str">
        <f>VLOOKUP(C361,'[3]DS CN MOI UP'!$B$10:$C$489,2,0)</f>
        <v>03399</v>
      </c>
      <c r="C361" s="112" t="s">
        <v>264</v>
      </c>
      <c r="D361" s="855" t="s">
        <v>15</v>
      </c>
      <c r="E361" s="815"/>
      <c r="F361" s="815">
        <v>2</v>
      </c>
      <c r="G361" s="815">
        <v>1</v>
      </c>
      <c r="H361" s="815">
        <v>3</v>
      </c>
      <c r="I361" s="815"/>
      <c r="J361" s="815">
        <v>1</v>
      </c>
      <c r="K361" s="815">
        <v>3</v>
      </c>
      <c r="L361" s="815">
        <v>3</v>
      </c>
      <c r="M361" s="815">
        <v>1</v>
      </c>
      <c r="N361" s="815">
        <f t="shared" si="100"/>
        <v>0</v>
      </c>
      <c r="O361" s="815">
        <f t="shared" si="101"/>
        <v>12.8</v>
      </c>
      <c r="P361" s="815">
        <f t="shared" si="102"/>
        <v>8</v>
      </c>
      <c r="Q361" s="815">
        <f t="shared" si="103"/>
        <v>12</v>
      </c>
      <c r="R361" s="815">
        <f t="shared" si="104"/>
        <v>0</v>
      </c>
      <c r="S361" s="815">
        <f t="shared" si="105"/>
        <v>2</v>
      </c>
      <c r="T361" s="815">
        <f t="shared" si="106"/>
        <v>3</v>
      </c>
      <c r="U361" s="815">
        <f t="shared" si="107"/>
        <v>3</v>
      </c>
      <c r="V361" s="815">
        <f t="shared" si="108"/>
        <v>1</v>
      </c>
      <c r="W361" s="815"/>
      <c r="X361" s="815"/>
      <c r="Y361" s="815"/>
      <c r="Z361" s="815"/>
      <c r="AA361" s="830">
        <f t="shared" si="109"/>
        <v>41.8</v>
      </c>
      <c r="AB361" s="830">
        <f>VLOOKUP(C361,'[3]MỦ TẠP'!$D$10:$AM$450,36,0)</f>
        <v>0</v>
      </c>
      <c r="AC361" s="830"/>
      <c r="AD361" s="830"/>
      <c r="AE361" s="830">
        <f>VLOOKUP(C361,'[3]MỦ TẠP'!$D$10:$AM$450,36,0)</f>
        <v>0</v>
      </c>
      <c r="AF361" s="830"/>
      <c r="AG361" s="830"/>
      <c r="AH361" s="830">
        <f t="shared" si="110"/>
        <v>0</v>
      </c>
      <c r="AI361" s="830">
        <f>VLOOKUP(C361,'[3]CHẤM CÔNG '!$F$10:$AM$451,33,0)</f>
        <v>0</v>
      </c>
      <c r="AJ361" s="830">
        <f>VLOOKUP(C361,'[3]CHẤM CÔNG '!$F$10:$AM$451,34,0)</f>
        <v>0</v>
      </c>
      <c r="AK361" s="830"/>
      <c r="AL361" s="830"/>
      <c r="AM361" s="830"/>
      <c r="AN361" s="830">
        <f>VLOOKUP(C361,'[3]CHẤM CÔNG '!$F$10:$AN$451,35,0)</f>
        <v>0</v>
      </c>
      <c r="AO361" s="830">
        <f>VLOOKUP(C361,'[3]CHẤM CÔNG '!$F$10:$AR$451,36,0)</f>
        <v>0</v>
      </c>
      <c r="AP361" s="830"/>
      <c r="AQ361" s="830"/>
      <c r="AR361" s="830"/>
      <c r="AS361" s="836"/>
      <c r="AT361" s="837">
        <f>VLOOKUP(C361,'[3]MỦ TẠP'!$D$10:$AO$450,38,0)</f>
        <v>0</v>
      </c>
      <c r="AX361" s="799">
        <f t="shared" si="111"/>
        <v>2</v>
      </c>
      <c r="AZ361" s="799">
        <v>1</v>
      </c>
    </row>
    <row r="362" spans="1:52" ht="15.75">
      <c r="A362" s="850">
        <v>60</v>
      </c>
      <c r="B362" s="813" t="str">
        <f>VLOOKUP(C362,'[3]DS CN MOI UP'!$B$10:$C$489,2,0)</f>
        <v>02584</v>
      </c>
      <c r="C362" s="112" t="s">
        <v>265</v>
      </c>
      <c r="D362" s="855" t="s">
        <v>15</v>
      </c>
      <c r="E362" s="815"/>
      <c r="F362" s="815">
        <v>2</v>
      </c>
      <c r="G362" s="815">
        <v>1</v>
      </c>
      <c r="H362" s="815">
        <v>3</v>
      </c>
      <c r="I362" s="815"/>
      <c r="J362" s="815">
        <v>1</v>
      </c>
      <c r="K362" s="815">
        <v>3</v>
      </c>
      <c r="L362" s="815">
        <v>3</v>
      </c>
      <c r="M362" s="815">
        <v>1</v>
      </c>
      <c r="N362" s="815">
        <f t="shared" si="100"/>
        <v>0</v>
      </c>
      <c r="O362" s="815">
        <f t="shared" si="101"/>
        <v>12.8</v>
      </c>
      <c r="P362" s="815">
        <f t="shared" si="102"/>
        <v>8</v>
      </c>
      <c r="Q362" s="815">
        <f t="shared" si="103"/>
        <v>12</v>
      </c>
      <c r="R362" s="815">
        <f t="shared" si="104"/>
        <v>0</v>
      </c>
      <c r="S362" s="815">
        <f t="shared" si="105"/>
        <v>2</v>
      </c>
      <c r="T362" s="815">
        <f t="shared" si="106"/>
        <v>3</v>
      </c>
      <c r="U362" s="815">
        <f t="shared" si="107"/>
        <v>3</v>
      </c>
      <c r="V362" s="815">
        <f t="shared" si="108"/>
        <v>1</v>
      </c>
      <c r="W362" s="815"/>
      <c r="X362" s="815"/>
      <c r="Y362" s="815"/>
      <c r="Z362" s="815"/>
      <c r="AA362" s="830">
        <f t="shared" si="109"/>
        <v>41.8</v>
      </c>
      <c r="AB362" s="830">
        <f>VLOOKUP(C362,'[3]MỦ TẠP'!$D$10:$AM$450,36,0)</f>
        <v>0</v>
      </c>
      <c r="AC362" s="830"/>
      <c r="AD362" s="830"/>
      <c r="AE362" s="830">
        <f>VLOOKUP(C362,'[3]MỦ TẠP'!$D$10:$AM$450,36,0)</f>
        <v>0</v>
      </c>
      <c r="AF362" s="830"/>
      <c r="AG362" s="830"/>
      <c r="AH362" s="830">
        <f t="shared" si="110"/>
        <v>0</v>
      </c>
      <c r="AI362" s="830">
        <f>VLOOKUP(C362,'[3]CHẤM CÔNG '!$F$10:$AM$451,33,0)</f>
        <v>0</v>
      </c>
      <c r="AJ362" s="830">
        <f>VLOOKUP(C362,'[3]CHẤM CÔNG '!$F$10:$AM$451,34,0)</f>
        <v>0</v>
      </c>
      <c r="AK362" s="830"/>
      <c r="AL362" s="830"/>
      <c r="AM362" s="830"/>
      <c r="AN362" s="830">
        <f>VLOOKUP(C362,'[3]CHẤM CÔNG '!$F$10:$AN$451,35,0)</f>
        <v>0</v>
      </c>
      <c r="AO362" s="830">
        <f>VLOOKUP(C362,'[3]CHẤM CÔNG '!$F$10:$AR$451,36,0)</f>
        <v>0</v>
      </c>
      <c r="AP362" s="830"/>
      <c r="AQ362" s="830"/>
      <c r="AR362" s="830"/>
      <c r="AS362" s="836"/>
      <c r="AT362" s="837">
        <f>VLOOKUP(C362,'[3]MỦ TẠP'!$D$10:$AO$450,38,0)</f>
        <v>0</v>
      </c>
      <c r="AX362" s="799">
        <f t="shared" si="111"/>
        <v>2</v>
      </c>
      <c r="AZ362" s="799">
        <v>1</v>
      </c>
    </row>
    <row r="363" spans="1:52" ht="15.75">
      <c r="A363" s="850">
        <v>61</v>
      </c>
      <c r="B363" s="813" t="str">
        <f>VLOOKUP(C363,'[3]DS CN MOI UP'!$B$10:$C$489,2,0)</f>
        <v>02698</v>
      </c>
      <c r="C363" s="112" t="s">
        <v>266</v>
      </c>
      <c r="D363" s="855" t="s">
        <v>15</v>
      </c>
      <c r="E363" s="815"/>
      <c r="F363" s="815">
        <v>2</v>
      </c>
      <c r="G363" s="815">
        <v>1</v>
      </c>
      <c r="H363" s="815">
        <v>3</v>
      </c>
      <c r="I363" s="815"/>
      <c r="J363" s="815">
        <v>1</v>
      </c>
      <c r="K363" s="815">
        <v>3</v>
      </c>
      <c r="L363" s="815">
        <v>3</v>
      </c>
      <c r="M363" s="815">
        <v>1</v>
      </c>
      <c r="N363" s="815">
        <f t="shared" si="100"/>
        <v>0</v>
      </c>
      <c r="O363" s="815">
        <f t="shared" si="101"/>
        <v>12.8</v>
      </c>
      <c r="P363" s="815">
        <f t="shared" si="102"/>
        <v>8</v>
      </c>
      <c r="Q363" s="815">
        <f t="shared" si="103"/>
        <v>12</v>
      </c>
      <c r="R363" s="815">
        <f t="shared" si="104"/>
        <v>0</v>
      </c>
      <c r="S363" s="815">
        <f t="shared" si="105"/>
        <v>2</v>
      </c>
      <c r="T363" s="815">
        <f t="shared" si="106"/>
        <v>3</v>
      </c>
      <c r="U363" s="815">
        <f t="shared" si="107"/>
        <v>3</v>
      </c>
      <c r="V363" s="815">
        <f t="shared" si="108"/>
        <v>1</v>
      </c>
      <c r="W363" s="815"/>
      <c r="X363" s="815"/>
      <c r="Y363" s="815"/>
      <c r="Z363" s="815"/>
      <c r="AA363" s="830">
        <f t="shared" si="109"/>
        <v>41.8</v>
      </c>
      <c r="AB363" s="830">
        <f>VLOOKUP(C363,'[3]MỦ TẠP'!$D$10:$AM$450,36,0)</f>
        <v>0</v>
      </c>
      <c r="AC363" s="830"/>
      <c r="AD363" s="830"/>
      <c r="AE363" s="830">
        <f>VLOOKUP(C363,'[3]MỦ TẠP'!$D$10:$AM$450,36,0)</f>
        <v>0</v>
      </c>
      <c r="AF363" s="830"/>
      <c r="AG363" s="830"/>
      <c r="AH363" s="830">
        <f t="shared" si="110"/>
        <v>0</v>
      </c>
      <c r="AI363" s="830">
        <f>VLOOKUP(C363,'[3]CHẤM CÔNG '!$F$10:$AM$451,33,0)</f>
        <v>0</v>
      </c>
      <c r="AJ363" s="830">
        <f>VLOOKUP(C363,'[3]CHẤM CÔNG '!$F$10:$AM$451,34,0)</f>
        <v>0</v>
      </c>
      <c r="AK363" s="830"/>
      <c r="AL363" s="830"/>
      <c r="AM363" s="830"/>
      <c r="AN363" s="830">
        <f>VLOOKUP(C363,'[3]CHẤM CÔNG '!$F$10:$AN$451,35,0)</f>
        <v>0</v>
      </c>
      <c r="AO363" s="830">
        <f>VLOOKUP(C363,'[3]CHẤM CÔNG '!$F$10:$AR$451,36,0)</f>
        <v>0</v>
      </c>
      <c r="AP363" s="830"/>
      <c r="AQ363" s="830"/>
      <c r="AR363" s="830"/>
      <c r="AS363" s="836"/>
      <c r="AT363" s="837">
        <f>VLOOKUP(C363,'[3]MỦ TẠP'!$D$10:$AO$450,38,0)</f>
        <v>0</v>
      </c>
      <c r="AX363" s="799">
        <f t="shared" si="111"/>
        <v>2</v>
      </c>
      <c r="AZ363" s="799">
        <v>1</v>
      </c>
    </row>
    <row r="364" spans="1:52" ht="15.75">
      <c r="A364" s="850">
        <v>62</v>
      </c>
      <c r="B364" s="813" t="str">
        <f>VLOOKUP(C364,'[3]DS CN MOI UP'!$B$10:$C$489,2,0)</f>
        <v>03858</v>
      </c>
      <c r="C364" s="112" t="s">
        <v>267</v>
      </c>
      <c r="D364" s="855" t="s">
        <v>15</v>
      </c>
      <c r="E364" s="815"/>
      <c r="F364" s="815">
        <v>2</v>
      </c>
      <c r="G364" s="815">
        <v>1</v>
      </c>
      <c r="H364" s="815">
        <v>3</v>
      </c>
      <c r="I364" s="815"/>
      <c r="J364" s="815">
        <v>1</v>
      </c>
      <c r="K364" s="815">
        <v>3</v>
      </c>
      <c r="L364" s="815">
        <v>3</v>
      </c>
      <c r="M364" s="815">
        <v>1</v>
      </c>
      <c r="N364" s="815">
        <f t="shared" si="100"/>
        <v>0</v>
      </c>
      <c r="O364" s="815">
        <f t="shared" si="101"/>
        <v>12.8</v>
      </c>
      <c r="P364" s="815">
        <f t="shared" si="102"/>
        <v>8</v>
      </c>
      <c r="Q364" s="815">
        <f t="shared" si="103"/>
        <v>12</v>
      </c>
      <c r="R364" s="815">
        <f t="shared" si="104"/>
        <v>0</v>
      </c>
      <c r="S364" s="815">
        <f t="shared" si="105"/>
        <v>2</v>
      </c>
      <c r="T364" s="815">
        <f t="shared" si="106"/>
        <v>3</v>
      </c>
      <c r="U364" s="815">
        <f t="shared" si="107"/>
        <v>3</v>
      </c>
      <c r="V364" s="815">
        <f t="shared" si="108"/>
        <v>1</v>
      </c>
      <c r="W364" s="815"/>
      <c r="X364" s="815"/>
      <c r="Y364" s="815"/>
      <c r="Z364" s="815"/>
      <c r="AA364" s="830">
        <f t="shared" si="109"/>
        <v>41.8</v>
      </c>
      <c r="AB364" s="830">
        <f>VLOOKUP(C364,'[3]MỦ TẠP'!$D$10:$AM$450,36,0)</f>
        <v>0</v>
      </c>
      <c r="AC364" s="830"/>
      <c r="AD364" s="830"/>
      <c r="AE364" s="830">
        <f>VLOOKUP(C364,'[3]MỦ TẠP'!$D$10:$AM$450,36,0)</f>
        <v>0</v>
      </c>
      <c r="AF364" s="830"/>
      <c r="AG364" s="830"/>
      <c r="AH364" s="830">
        <f t="shared" si="110"/>
        <v>0</v>
      </c>
      <c r="AI364" s="830">
        <f>VLOOKUP(C364,'[3]CHẤM CÔNG '!$F$10:$AM$451,33,0)</f>
        <v>0</v>
      </c>
      <c r="AJ364" s="830">
        <f>VLOOKUP(C364,'[3]CHẤM CÔNG '!$F$10:$AM$451,34,0)</f>
        <v>0</v>
      </c>
      <c r="AK364" s="830"/>
      <c r="AL364" s="830"/>
      <c r="AM364" s="830"/>
      <c r="AN364" s="830">
        <f>VLOOKUP(C364,'[3]CHẤM CÔNG '!$F$10:$AN$451,35,0)</f>
        <v>0</v>
      </c>
      <c r="AO364" s="830">
        <f>VLOOKUP(C364,'[3]CHẤM CÔNG '!$F$10:$AR$451,36,0)</f>
        <v>0</v>
      </c>
      <c r="AP364" s="830"/>
      <c r="AQ364" s="830"/>
      <c r="AR364" s="830"/>
      <c r="AS364" s="836"/>
      <c r="AT364" s="837">
        <f>VLOOKUP(C364,'[3]MỦ TẠP'!$D$10:$AO$450,38,0)</f>
        <v>0</v>
      </c>
      <c r="AX364" s="799">
        <f t="shared" si="111"/>
        <v>2</v>
      </c>
      <c r="AZ364" s="799">
        <v>1</v>
      </c>
    </row>
    <row r="365" spans="1:52" ht="15.75">
      <c r="A365" s="850">
        <v>63</v>
      </c>
      <c r="B365" s="813" t="str">
        <f>VLOOKUP(C365,'[3]DS CN MOI UP'!$B$10:$C$489,2,0)</f>
        <v>02591</v>
      </c>
      <c r="C365" s="112" t="s">
        <v>268</v>
      </c>
      <c r="D365" s="855" t="s">
        <v>15</v>
      </c>
      <c r="E365" s="815"/>
      <c r="F365" s="815">
        <v>2</v>
      </c>
      <c r="G365" s="815">
        <v>1</v>
      </c>
      <c r="H365" s="815">
        <v>3</v>
      </c>
      <c r="I365" s="815"/>
      <c r="J365" s="815">
        <v>1</v>
      </c>
      <c r="K365" s="815">
        <v>3</v>
      </c>
      <c r="L365" s="815">
        <v>3</v>
      </c>
      <c r="M365" s="815">
        <v>1</v>
      </c>
      <c r="N365" s="815">
        <f t="shared" si="100"/>
        <v>0</v>
      </c>
      <c r="O365" s="815">
        <f t="shared" si="101"/>
        <v>12.8</v>
      </c>
      <c r="P365" s="815">
        <f t="shared" si="102"/>
        <v>8</v>
      </c>
      <c r="Q365" s="815">
        <f t="shared" si="103"/>
        <v>12</v>
      </c>
      <c r="R365" s="815">
        <f t="shared" si="104"/>
        <v>0</v>
      </c>
      <c r="S365" s="815">
        <f t="shared" si="105"/>
        <v>2</v>
      </c>
      <c r="T365" s="815">
        <f t="shared" si="106"/>
        <v>3</v>
      </c>
      <c r="U365" s="815">
        <f t="shared" si="107"/>
        <v>3</v>
      </c>
      <c r="V365" s="815">
        <f t="shared" si="108"/>
        <v>1</v>
      </c>
      <c r="W365" s="815"/>
      <c r="X365" s="815"/>
      <c r="Y365" s="815"/>
      <c r="Z365" s="815"/>
      <c r="AA365" s="830">
        <f t="shared" si="109"/>
        <v>41.8</v>
      </c>
      <c r="AB365" s="830">
        <f>VLOOKUP(C365,'[3]MỦ TẠP'!$D$10:$AM$450,36,0)</f>
        <v>0</v>
      </c>
      <c r="AC365" s="830"/>
      <c r="AD365" s="830"/>
      <c r="AE365" s="830">
        <f>VLOOKUP(C365,'[3]MỦ TẠP'!$D$10:$AM$450,36,0)</f>
        <v>0</v>
      </c>
      <c r="AF365" s="830"/>
      <c r="AG365" s="830"/>
      <c r="AH365" s="830">
        <f t="shared" si="110"/>
        <v>0</v>
      </c>
      <c r="AI365" s="830">
        <f>VLOOKUP(C365,'[3]CHẤM CÔNG '!$F$10:$AM$451,33,0)</f>
        <v>0</v>
      </c>
      <c r="AJ365" s="830">
        <f>VLOOKUP(C365,'[3]CHẤM CÔNG '!$F$10:$AM$451,34,0)</f>
        <v>0</v>
      </c>
      <c r="AK365" s="830"/>
      <c r="AL365" s="830"/>
      <c r="AM365" s="830"/>
      <c r="AN365" s="830">
        <f>VLOOKUP(C365,'[3]CHẤM CÔNG '!$F$10:$AN$451,35,0)</f>
        <v>0</v>
      </c>
      <c r="AO365" s="830">
        <f>VLOOKUP(C365,'[3]CHẤM CÔNG '!$F$10:$AR$451,36,0)</f>
        <v>0</v>
      </c>
      <c r="AP365" s="830"/>
      <c r="AQ365" s="830"/>
      <c r="AR365" s="830"/>
      <c r="AS365" s="836"/>
      <c r="AT365" s="837">
        <f>VLOOKUP(C365,'[3]MỦ TẠP'!$D$10:$AO$450,38,0)</f>
        <v>0</v>
      </c>
      <c r="AX365" s="799">
        <f t="shared" si="111"/>
        <v>2</v>
      </c>
      <c r="AZ365" s="799">
        <v>1</v>
      </c>
    </row>
    <row r="366" spans="1:52" ht="15.75">
      <c r="A366" s="850">
        <v>64</v>
      </c>
      <c r="B366" s="813" t="str">
        <f>VLOOKUP(C366,'[3]DS CN MOI UP'!$B$10:$C$489,2,0)</f>
        <v>02595</v>
      </c>
      <c r="C366" s="112" t="s">
        <v>269</v>
      </c>
      <c r="D366" s="855" t="s">
        <v>15</v>
      </c>
      <c r="E366" s="815"/>
      <c r="F366" s="815">
        <v>2</v>
      </c>
      <c r="G366" s="815">
        <v>1</v>
      </c>
      <c r="H366" s="815">
        <v>3</v>
      </c>
      <c r="I366" s="815"/>
      <c r="J366" s="815">
        <v>1</v>
      </c>
      <c r="K366" s="815">
        <v>3</v>
      </c>
      <c r="L366" s="815">
        <v>3</v>
      </c>
      <c r="M366" s="815">
        <v>1</v>
      </c>
      <c r="N366" s="815">
        <f t="shared" si="100"/>
        <v>0</v>
      </c>
      <c r="O366" s="815">
        <f t="shared" si="101"/>
        <v>12.8</v>
      </c>
      <c r="P366" s="815">
        <f t="shared" si="102"/>
        <v>8</v>
      </c>
      <c r="Q366" s="815">
        <f t="shared" si="103"/>
        <v>12</v>
      </c>
      <c r="R366" s="815">
        <f t="shared" si="104"/>
        <v>0</v>
      </c>
      <c r="S366" s="815">
        <f t="shared" si="105"/>
        <v>2</v>
      </c>
      <c r="T366" s="815">
        <f t="shared" si="106"/>
        <v>3</v>
      </c>
      <c r="U366" s="815">
        <f t="shared" si="107"/>
        <v>3</v>
      </c>
      <c r="V366" s="815">
        <f t="shared" si="108"/>
        <v>1</v>
      </c>
      <c r="W366" s="815"/>
      <c r="X366" s="815"/>
      <c r="Y366" s="815"/>
      <c r="Z366" s="815"/>
      <c r="AA366" s="830">
        <f t="shared" si="109"/>
        <v>41.8</v>
      </c>
      <c r="AB366" s="830">
        <f>VLOOKUP(C366,'[3]MỦ TẠP'!$D$10:$AM$450,36,0)</f>
        <v>0</v>
      </c>
      <c r="AC366" s="830"/>
      <c r="AD366" s="830"/>
      <c r="AE366" s="830">
        <f>VLOOKUP(C366,'[3]MỦ TẠP'!$D$10:$AM$450,36,0)</f>
        <v>0</v>
      </c>
      <c r="AF366" s="830"/>
      <c r="AG366" s="830"/>
      <c r="AH366" s="830">
        <f t="shared" si="110"/>
        <v>0</v>
      </c>
      <c r="AI366" s="830">
        <f>VLOOKUP(C366,'[3]CHẤM CÔNG '!$F$10:$AM$451,33,0)</f>
        <v>0</v>
      </c>
      <c r="AJ366" s="830">
        <f>VLOOKUP(C366,'[3]CHẤM CÔNG '!$F$10:$AM$451,34,0)</f>
        <v>0</v>
      </c>
      <c r="AK366" s="830"/>
      <c r="AL366" s="830"/>
      <c r="AM366" s="830"/>
      <c r="AN366" s="830">
        <f>VLOOKUP(C366,'[3]CHẤM CÔNG '!$F$10:$AN$451,35,0)</f>
        <v>0</v>
      </c>
      <c r="AO366" s="830">
        <f>VLOOKUP(C366,'[3]CHẤM CÔNG '!$F$10:$AR$451,36,0)</f>
        <v>0</v>
      </c>
      <c r="AP366" s="830"/>
      <c r="AQ366" s="830"/>
      <c r="AR366" s="830"/>
      <c r="AS366" s="836"/>
      <c r="AT366" s="837">
        <f>VLOOKUP(C366,'[3]MỦ TẠP'!$D$10:$AO$450,38,0)</f>
        <v>0</v>
      </c>
      <c r="AX366" s="799">
        <f t="shared" si="111"/>
        <v>2</v>
      </c>
      <c r="AZ366" s="799">
        <v>1</v>
      </c>
    </row>
    <row r="367" spans="1:52" ht="15.75">
      <c r="A367" s="850">
        <v>65</v>
      </c>
      <c r="B367" s="813" t="str">
        <f>VLOOKUP(C367,'[3]DS CN MOI UP'!$B$10:$C$489,2,0)</f>
        <v>02582</v>
      </c>
      <c r="C367" s="112" t="s">
        <v>270</v>
      </c>
      <c r="D367" s="855" t="s">
        <v>15</v>
      </c>
      <c r="E367" s="815"/>
      <c r="F367" s="815">
        <v>2</v>
      </c>
      <c r="G367" s="815">
        <v>1</v>
      </c>
      <c r="H367" s="815">
        <v>3</v>
      </c>
      <c r="I367" s="815"/>
      <c r="J367" s="815">
        <v>1</v>
      </c>
      <c r="K367" s="815">
        <v>3</v>
      </c>
      <c r="L367" s="815">
        <v>3</v>
      </c>
      <c r="M367" s="815">
        <v>1</v>
      </c>
      <c r="N367" s="815">
        <f t="shared" ref="N367:N380" si="112">E367/$N$8</f>
        <v>0</v>
      </c>
      <c r="O367" s="815">
        <f t="shared" ref="O367:O380" si="113">F367/$O$8</f>
        <v>12.8</v>
      </c>
      <c r="P367" s="815">
        <f t="shared" ref="P367:P380" si="114">G367/$P$8</f>
        <v>8</v>
      </c>
      <c r="Q367" s="815">
        <f t="shared" ref="Q367:Q380" si="115">H367/$Q$8</f>
        <v>12</v>
      </c>
      <c r="R367" s="815">
        <f t="shared" ref="R367:R380" si="116">I367/$R$8</f>
        <v>0</v>
      </c>
      <c r="S367" s="815">
        <f t="shared" ref="S367:S380" si="117">J367/$S$8</f>
        <v>2</v>
      </c>
      <c r="T367" s="815">
        <f t="shared" ref="T367:T380" si="118">K367/$T$8</f>
        <v>3</v>
      </c>
      <c r="U367" s="815">
        <f t="shared" ref="U367:U380" si="119">L367/$U$8</f>
        <v>3</v>
      </c>
      <c r="V367" s="815">
        <f t="shared" ref="V367:V380" si="120">M367/$V$8</f>
        <v>1</v>
      </c>
      <c r="W367" s="815"/>
      <c r="X367" s="815"/>
      <c r="Y367" s="815"/>
      <c r="Z367" s="815"/>
      <c r="AA367" s="830">
        <f t="shared" ref="AA367:AA380" si="121">SUM(N367:Z367)</f>
        <v>41.8</v>
      </c>
      <c r="AB367" s="830">
        <f>VLOOKUP(C367,'[3]MỦ TẠP'!$D$10:$AM$450,36,0)</f>
        <v>0</v>
      </c>
      <c r="AC367" s="830"/>
      <c r="AD367" s="830"/>
      <c r="AE367" s="830">
        <f>VLOOKUP(C367,'[3]MỦ TẠP'!$D$10:$AM$450,36,0)</f>
        <v>0</v>
      </c>
      <c r="AF367" s="830"/>
      <c r="AG367" s="830"/>
      <c r="AH367" s="830">
        <f t="shared" ref="AH367:AH371" si="122">AE367*$AV$17+AF367*$AV$10+$AV$11*AG367</f>
        <v>0</v>
      </c>
      <c r="AI367" s="830">
        <f>VLOOKUP(C367,'[3]CHẤM CÔNG '!$F$10:$AM$451,33,0)</f>
        <v>0</v>
      </c>
      <c r="AJ367" s="830">
        <f>VLOOKUP(C367,'[3]CHẤM CÔNG '!$F$10:$AM$451,34,0)</f>
        <v>0</v>
      </c>
      <c r="AK367" s="830"/>
      <c r="AL367" s="830"/>
      <c r="AM367" s="830"/>
      <c r="AN367" s="830">
        <f>VLOOKUP(C367,'[3]CHẤM CÔNG '!$F$10:$AN$451,35,0)</f>
        <v>0</v>
      </c>
      <c r="AO367" s="830">
        <f>VLOOKUP(C367,'[3]CHẤM CÔNG '!$F$10:$AR$451,36,0)</f>
        <v>0</v>
      </c>
      <c r="AP367" s="830"/>
      <c r="AQ367" s="830"/>
      <c r="AR367" s="830"/>
      <c r="AS367" s="836"/>
      <c r="AT367" s="837">
        <f>VLOOKUP(C367,'[3]MỦ TẠP'!$D$10:$AO$450,38,0)</f>
        <v>0</v>
      </c>
      <c r="AX367" s="799">
        <f t="shared" si="111"/>
        <v>2</v>
      </c>
      <c r="AZ367" s="799">
        <v>1</v>
      </c>
    </row>
    <row r="368" spans="1:52" ht="15.75">
      <c r="A368" s="850">
        <v>66</v>
      </c>
      <c r="B368" s="813" t="str">
        <f>VLOOKUP(C368,'[3]DS CN MOI UP'!$B$10:$C$489,2,0)</f>
        <v>02572</v>
      </c>
      <c r="C368" s="112" t="s">
        <v>271</v>
      </c>
      <c r="D368" s="855" t="s">
        <v>15</v>
      </c>
      <c r="E368" s="815"/>
      <c r="F368" s="815">
        <v>2</v>
      </c>
      <c r="G368" s="815">
        <v>1</v>
      </c>
      <c r="H368" s="815">
        <v>3</v>
      </c>
      <c r="I368" s="815"/>
      <c r="J368" s="815">
        <v>1</v>
      </c>
      <c r="K368" s="815">
        <v>3</v>
      </c>
      <c r="L368" s="815">
        <v>3</v>
      </c>
      <c r="M368" s="815">
        <v>1</v>
      </c>
      <c r="N368" s="815">
        <f t="shared" si="112"/>
        <v>0</v>
      </c>
      <c r="O368" s="815">
        <f t="shared" si="113"/>
        <v>12.8</v>
      </c>
      <c r="P368" s="815">
        <f t="shared" si="114"/>
        <v>8</v>
      </c>
      <c r="Q368" s="815">
        <f t="shared" si="115"/>
        <v>12</v>
      </c>
      <c r="R368" s="815">
        <f t="shared" si="116"/>
        <v>0</v>
      </c>
      <c r="S368" s="815">
        <f t="shared" si="117"/>
        <v>2</v>
      </c>
      <c r="T368" s="815">
        <f t="shared" si="118"/>
        <v>3</v>
      </c>
      <c r="U368" s="815">
        <f t="shared" si="119"/>
        <v>3</v>
      </c>
      <c r="V368" s="815">
        <f t="shared" si="120"/>
        <v>1</v>
      </c>
      <c r="W368" s="815"/>
      <c r="X368" s="815"/>
      <c r="Y368" s="815"/>
      <c r="Z368" s="815"/>
      <c r="AA368" s="830">
        <f t="shared" si="121"/>
        <v>41.8</v>
      </c>
      <c r="AB368" s="830">
        <f>VLOOKUP(C368,'[3]MỦ TẠP'!$D$10:$AM$450,36,0)</f>
        <v>0</v>
      </c>
      <c r="AC368" s="830"/>
      <c r="AD368" s="830"/>
      <c r="AE368" s="830">
        <f>VLOOKUP(C368,'[3]MỦ TẠP'!$D$10:$AM$450,36,0)</f>
        <v>0</v>
      </c>
      <c r="AF368" s="830"/>
      <c r="AG368" s="830"/>
      <c r="AH368" s="830">
        <f t="shared" si="122"/>
        <v>0</v>
      </c>
      <c r="AI368" s="830">
        <f>VLOOKUP(C368,'[3]CHẤM CÔNG '!$F$10:$AM$451,33,0)</f>
        <v>0</v>
      </c>
      <c r="AJ368" s="830">
        <f>VLOOKUP(C368,'[3]CHẤM CÔNG '!$F$10:$AM$451,34,0)</f>
        <v>0</v>
      </c>
      <c r="AK368" s="830"/>
      <c r="AL368" s="830"/>
      <c r="AM368" s="830"/>
      <c r="AN368" s="830">
        <f>VLOOKUP(C368,'[3]CHẤM CÔNG '!$F$10:$AN$451,35,0)</f>
        <v>0</v>
      </c>
      <c r="AO368" s="830">
        <f>VLOOKUP(C368,'[3]CHẤM CÔNG '!$F$10:$AR$451,36,0)</f>
        <v>0</v>
      </c>
      <c r="AP368" s="830"/>
      <c r="AQ368" s="830"/>
      <c r="AR368" s="830"/>
      <c r="AS368" s="836"/>
      <c r="AT368" s="837">
        <f>VLOOKUP(C368,'[3]MỦ TẠP'!$D$10:$AO$450,38,0)</f>
        <v>0</v>
      </c>
      <c r="AX368" s="799">
        <f t="shared" si="111"/>
        <v>2</v>
      </c>
      <c r="AZ368" s="799">
        <v>1</v>
      </c>
    </row>
    <row r="369" spans="1:52" ht="15.75">
      <c r="A369" s="850">
        <v>67</v>
      </c>
      <c r="B369" s="813" t="str">
        <f>VLOOKUP(C369,'[3]DS CN MOI UP'!$B$10:$C$489,2,0)</f>
        <v>02694</v>
      </c>
      <c r="C369" s="112" t="s">
        <v>272</v>
      </c>
      <c r="D369" s="855" t="s">
        <v>15</v>
      </c>
      <c r="E369" s="815"/>
      <c r="F369" s="815">
        <v>2</v>
      </c>
      <c r="G369" s="815">
        <v>1</v>
      </c>
      <c r="H369" s="815">
        <v>3</v>
      </c>
      <c r="I369" s="815"/>
      <c r="J369" s="815">
        <v>1</v>
      </c>
      <c r="K369" s="815">
        <v>3</v>
      </c>
      <c r="L369" s="815">
        <v>3</v>
      </c>
      <c r="M369" s="815">
        <v>1</v>
      </c>
      <c r="N369" s="815">
        <f t="shared" si="112"/>
        <v>0</v>
      </c>
      <c r="O369" s="815">
        <f t="shared" si="113"/>
        <v>12.8</v>
      </c>
      <c r="P369" s="815">
        <f t="shared" si="114"/>
        <v>8</v>
      </c>
      <c r="Q369" s="815">
        <f t="shared" si="115"/>
        <v>12</v>
      </c>
      <c r="R369" s="815">
        <f t="shared" si="116"/>
        <v>0</v>
      </c>
      <c r="S369" s="815">
        <f t="shared" si="117"/>
        <v>2</v>
      </c>
      <c r="T369" s="815">
        <f t="shared" si="118"/>
        <v>3</v>
      </c>
      <c r="U369" s="815">
        <f t="shared" si="119"/>
        <v>3</v>
      </c>
      <c r="V369" s="815">
        <f t="shared" si="120"/>
        <v>1</v>
      </c>
      <c r="W369" s="815"/>
      <c r="X369" s="815"/>
      <c r="Y369" s="815"/>
      <c r="Z369" s="815"/>
      <c r="AA369" s="830">
        <f t="shared" si="121"/>
        <v>41.8</v>
      </c>
      <c r="AB369" s="830">
        <f>VLOOKUP(C369,'[3]MỦ TẠP'!$D$10:$AM$450,36,0)</f>
        <v>0</v>
      </c>
      <c r="AC369" s="830"/>
      <c r="AD369" s="830"/>
      <c r="AE369" s="830">
        <f>VLOOKUP(C369,'[3]MỦ TẠP'!$D$10:$AM$450,36,0)</f>
        <v>0</v>
      </c>
      <c r="AF369" s="830"/>
      <c r="AG369" s="830"/>
      <c r="AH369" s="830">
        <f t="shared" si="122"/>
        <v>0</v>
      </c>
      <c r="AI369" s="830">
        <f>VLOOKUP(C369,'[3]CHẤM CÔNG '!$F$10:$AM$451,33,0)</f>
        <v>0</v>
      </c>
      <c r="AJ369" s="830">
        <f>VLOOKUP(C369,'[3]CHẤM CÔNG '!$F$10:$AM$451,34,0)</f>
        <v>0</v>
      </c>
      <c r="AK369" s="830"/>
      <c r="AL369" s="830"/>
      <c r="AM369" s="830"/>
      <c r="AN369" s="830">
        <f>VLOOKUP(C369,'[3]CHẤM CÔNG '!$F$10:$AN$451,35,0)</f>
        <v>0</v>
      </c>
      <c r="AO369" s="830">
        <f>VLOOKUP(C369,'[3]CHẤM CÔNG '!$F$10:$AR$451,36,0)</f>
        <v>0</v>
      </c>
      <c r="AP369" s="830"/>
      <c r="AQ369" s="830"/>
      <c r="AR369" s="830"/>
      <c r="AS369" s="836"/>
      <c r="AT369" s="837">
        <f>VLOOKUP(C369,'[3]MỦ TẠP'!$D$10:$AO$450,38,0)</f>
        <v>0</v>
      </c>
      <c r="AX369" s="799">
        <f t="shared" ref="AX369:AX373" si="123">3-AZ369</f>
        <v>2</v>
      </c>
      <c r="AZ369" s="799">
        <v>1</v>
      </c>
    </row>
    <row r="370" spans="1:52" ht="15.75">
      <c r="A370" s="850">
        <v>68</v>
      </c>
      <c r="B370" s="813" t="str">
        <f>VLOOKUP(C370,'[3]DS CN MOI UP'!$B$10:$C$489,2,0)</f>
        <v>02699</v>
      </c>
      <c r="C370" s="112" t="s">
        <v>273</v>
      </c>
      <c r="D370" s="855" t="s">
        <v>15</v>
      </c>
      <c r="E370" s="815"/>
      <c r="F370" s="815">
        <v>2</v>
      </c>
      <c r="G370" s="815">
        <v>1</v>
      </c>
      <c r="H370" s="815">
        <v>3</v>
      </c>
      <c r="I370" s="815"/>
      <c r="J370" s="815">
        <v>1</v>
      </c>
      <c r="K370" s="815">
        <v>3</v>
      </c>
      <c r="L370" s="815">
        <v>3</v>
      </c>
      <c r="M370" s="815">
        <v>1</v>
      </c>
      <c r="N370" s="815">
        <f t="shared" si="112"/>
        <v>0</v>
      </c>
      <c r="O370" s="815">
        <f t="shared" si="113"/>
        <v>12.8</v>
      </c>
      <c r="P370" s="815">
        <f t="shared" si="114"/>
        <v>8</v>
      </c>
      <c r="Q370" s="815">
        <f t="shared" si="115"/>
        <v>12</v>
      </c>
      <c r="R370" s="815">
        <f t="shared" si="116"/>
        <v>0</v>
      </c>
      <c r="S370" s="815">
        <f t="shared" si="117"/>
        <v>2</v>
      </c>
      <c r="T370" s="815">
        <f t="shared" si="118"/>
        <v>3</v>
      </c>
      <c r="U370" s="815">
        <f t="shared" si="119"/>
        <v>3</v>
      </c>
      <c r="V370" s="815">
        <f t="shared" si="120"/>
        <v>1</v>
      </c>
      <c r="W370" s="815"/>
      <c r="X370" s="815"/>
      <c r="Y370" s="815"/>
      <c r="Z370" s="815"/>
      <c r="AA370" s="830">
        <f t="shared" si="121"/>
        <v>41.8</v>
      </c>
      <c r="AB370" s="830">
        <f>VLOOKUP(C370,'[3]MỦ TẠP'!$D$10:$AM$450,36,0)</f>
        <v>0</v>
      </c>
      <c r="AC370" s="830"/>
      <c r="AD370" s="830"/>
      <c r="AE370" s="830">
        <f>VLOOKUP(C370,'[3]MỦ TẠP'!$D$10:$AM$450,36,0)</f>
        <v>0</v>
      </c>
      <c r="AF370" s="830"/>
      <c r="AG370" s="830"/>
      <c r="AH370" s="830">
        <f t="shared" si="122"/>
        <v>0</v>
      </c>
      <c r="AI370" s="830">
        <f>VLOOKUP(C370,'[3]CHẤM CÔNG '!$F$10:$AM$451,33,0)</f>
        <v>0</v>
      </c>
      <c r="AJ370" s="830">
        <f>VLOOKUP(C370,'[3]CHẤM CÔNG '!$F$10:$AM$451,34,0)</f>
        <v>0</v>
      </c>
      <c r="AK370" s="830"/>
      <c r="AL370" s="830"/>
      <c r="AM370" s="830"/>
      <c r="AN370" s="830">
        <f>VLOOKUP(C370,'[3]CHẤM CÔNG '!$F$10:$AN$451,35,0)</f>
        <v>0</v>
      </c>
      <c r="AO370" s="830">
        <f>VLOOKUP(C370,'[3]CHẤM CÔNG '!$F$10:$AR$451,36,0)</f>
        <v>0</v>
      </c>
      <c r="AP370" s="830"/>
      <c r="AQ370" s="830"/>
      <c r="AR370" s="830"/>
      <c r="AS370" s="836"/>
      <c r="AT370" s="837">
        <f>VLOOKUP(C370,'[3]MỦ TẠP'!$D$10:$AO$450,38,0)</f>
        <v>0</v>
      </c>
      <c r="AX370" s="799">
        <f t="shared" si="123"/>
        <v>2</v>
      </c>
      <c r="AZ370" s="799">
        <v>1</v>
      </c>
    </row>
    <row r="371" spans="1:52" ht="15.75">
      <c r="A371" s="850">
        <v>69</v>
      </c>
      <c r="B371" s="813" t="str">
        <f>VLOOKUP(C371,'[3]DS CN MOI UP'!$B$10:$C$489,2,0)</f>
        <v>03400</v>
      </c>
      <c r="C371" s="112" t="s">
        <v>274</v>
      </c>
      <c r="D371" s="855" t="s">
        <v>15</v>
      </c>
      <c r="E371" s="815"/>
      <c r="F371" s="815">
        <v>2</v>
      </c>
      <c r="G371" s="815">
        <v>1</v>
      </c>
      <c r="H371" s="815">
        <v>3</v>
      </c>
      <c r="I371" s="815"/>
      <c r="J371" s="815">
        <v>1</v>
      </c>
      <c r="K371" s="815">
        <v>3</v>
      </c>
      <c r="L371" s="815">
        <v>3</v>
      </c>
      <c r="M371" s="815">
        <v>1</v>
      </c>
      <c r="N371" s="815">
        <f t="shared" si="112"/>
        <v>0</v>
      </c>
      <c r="O371" s="815">
        <f t="shared" si="113"/>
        <v>12.8</v>
      </c>
      <c r="P371" s="815">
        <f t="shared" si="114"/>
        <v>8</v>
      </c>
      <c r="Q371" s="815">
        <f t="shared" si="115"/>
        <v>12</v>
      </c>
      <c r="R371" s="815">
        <f t="shared" si="116"/>
        <v>0</v>
      </c>
      <c r="S371" s="815">
        <f t="shared" si="117"/>
        <v>2</v>
      </c>
      <c r="T371" s="815">
        <f t="shared" si="118"/>
        <v>3</v>
      </c>
      <c r="U371" s="815">
        <f t="shared" si="119"/>
        <v>3</v>
      </c>
      <c r="V371" s="815">
        <f t="shared" si="120"/>
        <v>1</v>
      </c>
      <c r="W371" s="815"/>
      <c r="X371" s="815"/>
      <c r="Y371" s="815"/>
      <c r="Z371" s="815"/>
      <c r="AA371" s="830">
        <f t="shared" si="121"/>
        <v>41.8</v>
      </c>
      <c r="AB371" s="830">
        <f>VLOOKUP(C371,'[3]MỦ TẠP'!$D$10:$AM$450,36,0)</f>
        <v>0</v>
      </c>
      <c r="AC371" s="830"/>
      <c r="AD371" s="830"/>
      <c r="AE371" s="830">
        <f>VLOOKUP(C371,'[3]MỦ TẠP'!$D$10:$AM$450,36,0)</f>
        <v>0</v>
      </c>
      <c r="AF371" s="830"/>
      <c r="AG371" s="830"/>
      <c r="AH371" s="830">
        <f t="shared" si="122"/>
        <v>0</v>
      </c>
      <c r="AI371" s="830">
        <f>VLOOKUP(C371,'[3]CHẤM CÔNG '!$F$10:$AM$451,33,0)</f>
        <v>0</v>
      </c>
      <c r="AJ371" s="830">
        <f>VLOOKUP(C371,'[3]CHẤM CÔNG '!$F$10:$AM$451,34,0)</f>
        <v>0</v>
      </c>
      <c r="AK371" s="830"/>
      <c r="AL371" s="830"/>
      <c r="AM371" s="830"/>
      <c r="AN371" s="830">
        <f>VLOOKUP(C371,'[3]CHẤM CÔNG '!$F$10:$AN$451,35,0)</f>
        <v>0</v>
      </c>
      <c r="AO371" s="830">
        <f>VLOOKUP(C371,'[3]CHẤM CÔNG '!$F$10:$AR$451,36,0)</f>
        <v>0</v>
      </c>
      <c r="AP371" s="830"/>
      <c r="AQ371" s="830"/>
      <c r="AR371" s="830"/>
      <c r="AS371" s="836"/>
      <c r="AT371" s="837">
        <f>VLOOKUP(C371,'[3]MỦ TẠP'!$D$10:$AO$450,38,0)</f>
        <v>0</v>
      </c>
      <c r="AX371" s="799">
        <f t="shared" si="123"/>
        <v>2</v>
      </c>
      <c r="AZ371" s="799">
        <v>1</v>
      </c>
    </row>
    <row r="372" spans="1:52" ht="15.75">
      <c r="A372" s="850">
        <v>70</v>
      </c>
      <c r="B372" s="813" t="e">
        <f>VLOOKUP(C372,'[3]DS CN MOI UP'!$B$10:$C$489,2,0)</f>
        <v>#N/A</v>
      </c>
      <c r="C372" s="112" t="s">
        <v>275</v>
      </c>
      <c r="D372" s="855" t="s">
        <v>15</v>
      </c>
      <c r="E372" s="815">
        <v>3</v>
      </c>
      <c r="F372" s="815"/>
      <c r="G372" s="815"/>
      <c r="H372" s="815">
        <v>3</v>
      </c>
      <c r="I372" s="815"/>
      <c r="J372" s="815"/>
      <c r="K372" s="815"/>
      <c r="L372" s="815"/>
      <c r="M372" s="815"/>
      <c r="N372" s="815">
        <f t="shared" si="112"/>
        <v>17.999999999999964</v>
      </c>
      <c r="O372" s="815">
        <f t="shared" si="113"/>
        <v>0</v>
      </c>
      <c r="P372" s="815">
        <f t="shared" si="114"/>
        <v>0</v>
      </c>
      <c r="Q372" s="815">
        <f t="shared" si="115"/>
        <v>12</v>
      </c>
      <c r="R372" s="815">
        <f t="shared" si="116"/>
        <v>0</v>
      </c>
      <c r="S372" s="815">
        <f t="shared" si="117"/>
        <v>0</v>
      </c>
      <c r="T372" s="815">
        <f t="shared" si="118"/>
        <v>0</v>
      </c>
      <c r="U372" s="815">
        <f t="shared" si="119"/>
        <v>0</v>
      </c>
      <c r="V372" s="815">
        <f t="shared" si="120"/>
        <v>0</v>
      </c>
      <c r="W372" s="815"/>
      <c r="X372" s="815"/>
      <c r="Y372" s="815"/>
      <c r="Z372" s="815"/>
      <c r="AA372" s="830">
        <f t="shared" si="121"/>
        <v>29.999999999999964</v>
      </c>
      <c r="AB372" s="830">
        <f>VLOOKUP(C372,'[3]MỦ TẠP'!$D$10:$AM$450,36,0)</f>
        <v>0</v>
      </c>
      <c r="AC372" s="830"/>
      <c r="AD372" s="830"/>
      <c r="AE372" s="830">
        <f>VLOOKUP(C372,'[3]MỦ TẠP'!$D$10:$AM$450,36,0)</f>
        <v>0</v>
      </c>
      <c r="AF372" s="830"/>
      <c r="AG372" s="830"/>
      <c r="AH372" s="830">
        <f>AE372*$AV$9/$AV$8+AF372*$AV$10+$AV$11*AG372</f>
        <v>0</v>
      </c>
      <c r="AI372" s="830">
        <f>VLOOKUP(C372,'[3]CHẤM CÔNG '!$F$10:$AM$451,33,0)</f>
        <v>0</v>
      </c>
      <c r="AJ372" s="830">
        <f>VLOOKUP(C372,'[3]CHẤM CÔNG '!$F$10:$AM$451,34,0)</f>
        <v>0</v>
      </c>
      <c r="AK372" s="830"/>
      <c r="AL372" s="830"/>
      <c r="AM372" s="830"/>
      <c r="AN372" s="830">
        <f>VLOOKUP(C372,'[3]CHẤM CÔNG '!$F$10:$AN$451,35,0)</f>
        <v>0</v>
      </c>
      <c r="AO372" s="830">
        <f>VLOOKUP(C372,'[3]CHẤM CÔNG '!$F$10:$AR$451,36,0)</f>
        <v>0</v>
      </c>
      <c r="AP372" s="830"/>
      <c r="AQ372" s="830"/>
      <c r="AR372" s="830"/>
      <c r="AS372" s="836"/>
      <c r="AT372" s="837">
        <f>VLOOKUP(C372,'[3]MỦ TẠP'!$D$10:$AO$450,38,0)</f>
        <v>0</v>
      </c>
      <c r="AX372" s="799">
        <f t="shared" si="123"/>
        <v>2</v>
      </c>
      <c r="AZ372" s="799">
        <v>1</v>
      </c>
    </row>
    <row r="373" spans="1:52" ht="15.75">
      <c r="A373" s="850">
        <v>71</v>
      </c>
      <c r="B373" s="813" t="e">
        <f>VLOOKUP(C373,'[3]DS CN MOI UP'!$B$10:$C$489,2,0)</f>
        <v>#N/A</v>
      </c>
      <c r="C373" s="112" t="s">
        <v>276</v>
      </c>
      <c r="D373" s="855" t="s">
        <v>15</v>
      </c>
      <c r="E373" s="815">
        <v>3</v>
      </c>
      <c r="F373" s="815"/>
      <c r="G373" s="815"/>
      <c r="H373" s="815">
        <v>3</v>
      </c>
      <c r="I373" s="815"/>
      <c r="J373" s="815"/>
      <c r="K373" s="815"/>
      <c r="L373" s="815"/>
      <c r="M373" s="815"/>
      <c r="N373" s="815">
        <f t="shared" si="112"/>
        <v>17.999999999999964</v>
      </c>
      <c r="O373" s="815">
        <f t="shared" si="113"/>
        <v>0</v>
      </c>
      <c r="P373" s="815">
        <f t="shared" si="114"/>
        <v>0</v>
      </c>
      <c r="Q373" s="815">
        <f t="shared" si="115"/>
        <v>12</v>
      </c>
      <c r="R373" s="815">
        <f t="shared" si="116"/>
        <v>0</v>
      </c>
      <c r="S373" s="815">
        <f t="shared" si="117"/>
        <v>0</v>
      </c>
      <c r="T373" s="815">
        <f t="shared" si="118"/>
        <v>0</v>
      </c>
      <c r="U373" s="815">
        <f t="shared" si="119"/>
        <v>0</v>
      </c>
      <c r="V373" s="815">
        <f t="shared" si="120"/>
        <v>0</v>
      </c>
      <c r="W373" s="815"/>
      <c r="X373" s="815"/>
      <c r="Y373" s="815"/>
      <c r="Z373" s="815"/>
      <c r="AA373" s="830">
        <f t="shared" si="121"/>
        <v>29.999999999999964</v>
      </c>
      <c r="AB373" s="830">
        <f>VLOOKUP(C373,'[3]MỦ TẠP'!$D$10:$AM$450,36,0)</f>
        <v>0</v>
      </c>
      <c r="AC373" s="830"/>
      <c r="AD373" s="830"/>
      <c r="AE373" s="830">
        <f>VLOOKUP(C373,'[3]MỦ TẠP'!$D$10:$AM$450,36,0)</f>
        <v>0</v>
      </c>
      <c r="AF373" s="830"/>
      <c r="AG373" s="830"/>
      <c r="AH373" s="830">
        <f>AE373*$AV$9/$AV$8+AF373*$AV$10+$AV$11*AG373</f>
        <v>0</v>
      </c>
      <c r="AI373" s="830">
        <f>VLOOKUP(C373,'[3]CHẤM CÔNG '!$F$10:$AM$451,33,0)</f>
        <v>0</v>
      </c>
      <c r="AJ373" s="830">
        <f>VLOOKUP(C373,'[3]CHẤM CÔNG '!$F$10:$AM$451,34,0)</f>
        <v>0</v>
      </c>
      <c r="AK373" s="830"/>
      <c r="AL373" s="830"/>
      <c r="AM373" s="830"/>
      <c r="AN373" s="830">
        <f>VLOOKUP(C373,'[3]CHẤM CÔNG '!$F$10:$AN$451,35,0)</f>
        <v>0</v>
      </c>
      <c r="AO373" s="830">
        <f>VLOOKUP(C373,'[3]CHẤM CÔNG '!$F$10:$AR$451,36,0)</f>
        <v>0</v>
      </c>
      <c r="AP373" s="830"/>
      <c r="AQ373" s="830"/>
      <c r="AR373" s="830"/>
      <c r="AS373" s="836"/>
      <c r="AT373" s="837">
        <f>VLOOKUP(C373,'[3]MỦ TẠP'!$D$10:$AO$450,38,0)</f>
        <v>0</v>
      </c>
      <c r="AX373" s="799">
        <f t="shared" si="123"/>
        <v>2</v>
      </c>
      <c r="AZ373" s="799">
        <v>1</v>
      </c>
    </row>
    <row r="374" spans="1:52" ht="15.75">
      <c r="A374" s="850">
        <v>72</v>
      </c>
      <c r="B374" s="813" t="str">
        <f>VLOOKUP(C374,'[3]DS CN MOI UP'!$B$10:$C$489,2,0)</f>
        <v>02658</v>
      </c>
      <c r="C374" s="846" t="s">
        <v>278</v>
      </c>
      <c r="D374" s="855" t="s">
        <v>15</v>
      </c>
      <c r="E374" s="815"/>
      <c r="F374" s="815">
        <v>4</v>
      </c>
      <c r="G374" s="815"/>
      <c r="H374" s="815">
        <v>4</v>
      </c>
      <c r="I374" s="815"/>
      <c r="J374" s="815"/>
      <c r="K374" s="815">
        <v>4</v>
      </c>
      <c r="L374" s="815">
        <v>4</v>
      </c>
      <c r="M374" s="815"/>
      <c r="N374" s="815">
        <f t="shared" si="112"/>
        <v>0</v>
      </c>
      <c r="O374" s="815">
        <f t="shared" si="113"/>
        <v>25.6</v>
      </c>
      <c r="P374" s="815">
        <f t="shared" si="114"/>
        <v>0</v>
      </c>
      <c r="Q374" s="815">
        <f t="shared" si="115"/>
        <v>16</v>
      </c>
      <c r="R374" s="815">
        <f t="shared" si="116"/>
        <v>0</v>
      </c>
      <c r="S374" s="815">
        <f t="shared" si="117"/>
        <v>0</v>
      </c>
      <c r="T374" s="815">
        <f t="shared" si="118"/>
        <v>4</v>
      </c>
      <c r="U374" s="815">
        <f t="shared" si="119"/>
        <v>4</v>
      </c>
      <c r="V374" s="815">
        <f t="shared" si="120"/>
        <v>0</v>
      </c>
      <c r="W374" s="815"/>
      <c r="X374" s="815"/>
      <c r="Y374" s="815"/>
      <c r="Z374" s="815"/>
      <c r="AA374" s="830">
        <f t="shared" si="121"/>
        <v>49.6</v>
      </c>
      <c r="AB374" s="830">
        <f>VLOOKUP(C374,'[3]MỦ TẠP'!$D$10:$AM$450,36,0)</f>
        <v>0</v>
      </c>
      <c r="AC374" s="830"/>
      <c r="AD374" s="830"/>
      <c r="AE374" s="830">
        <f>VLOOKUP(C374,'[3]MỦ TẠP'!$D$10:$AM$450,36,0)</f>
        <v>0</v>
      </c>
      <c r="AF374" s="830"/>
      <c r="AG374" s="830"/>
      <c r="AH374" s="830">
        <f t="shared" ref="AH374:AH380" si="124">AE374*$AV$21+AF374*$AV$10+$AV$11*AG374</f>
        <v>0</v>
      </c>
      <c r="AI374" s="830">
        <f>VLOOKUP(C374,'[3]CHẤM CÔNG '!$F$10:$AM$451,33,0)</f>
        <v>0</v>
      </c>
      <c r="AJ374" s="830">
        <f>VLOOKUP(C374,'[3]CHẤM CÔNG '!$F$10:$AM$451,34,0)</f>
        <v>0</v>
      </c>
      <c r="AK374" s="830"/>
      <c r="AL374" s="830"/>
      <c r="AM374" s="830"/>
      <c r="AN374" s="830">
        <f>VLOOKUP(C374,'[3]CHẤM CÔNG '!$F$10:$AN$451,35,0)</f>
        <v>0</v>
      </c>
      <c r="AO374" s="830">
        <f>VLOOKUP(C374,'[3]CHẤM CÔNG '!$F$10:$AR$451,36,0)</f>
        <v>0</v>
      </c>
      <c r="AP374" s="830"/>
      <c r="AQ374" s="830"/>
      <c r="AR374" s="830"/>
      <c r="AS374" s="836"/>
      <c r="AT374" s="837">
        <f>VLOOKUP(C374,'[3]MỦ TẠP'!$D$10:$AO$450,38,0)</f>
        <v>0</v>
      </c>
      <c r="AX374" s="799">
        <v>4</v>
      </c>
    </row>
    <row r="375" spans="1:52" ht="15.75">
      <c r="A375" s="850">
        <v>73</v>
      </c>
      <c r="B375" s="813" t="str">
        <f>VLOOKUP(C375,'[3]DS CN MOI UP'!$B$10:$C$489,2,0)</f>
        <v>02705</v>
      </c>
      <c r="C375" s="846" t="s">
        <v>279</v>
      </c>
      <c r="D375" s="855" t="s">
        <v>15</v>
      </c>
      <c r="E375" s="815"/>
      <c r="F375" s="815">
        <v>4</v>
      </c>
      <c r="G375" s="815"/>
      <c r="H375" s="815">
        <v>4</v>
      </c>
      <c r="I375" s="815"/>
      <c r="J375" s="815"/>
      <c r="K375" s="815">
        <v>4</v>
      </c>
      <c r="L375" s="815">
        <v>4</v>
      </c>
      <c r="M375" s="815"/>
      <c r="N375" s="815">
        <f t="shared" si="112"/>
        <v>0</v>
      </c>
      <c r="O375" s="815">
        <f t="shared" si="113"/>
        <v>25.6</v>
      </c>
      <c r="P375" s="815">
        <f t="shared" si="114"/>
        <v>0</v>
      </c>
      <c r="Q375" s="815">
        <f t="shared" si="115"/>
        <v>16</v>
      </c>
      <c r="R375" s="815">
        <f t="shared" si="116"/>
        <v>0</v>
      </c>
      <c r="S375" s="815">
        <f t="shared" si="117"/>
        <v>0</v>
      </c>
      <c r="T375" s="815">
        <f t="shared" si="118"/>
        <v>4</v>
      </c>
      <c r="U375" s="815">
        <f t="shared" si="119"/>
        <v>4</v>
      </c>
      <c r="V375" s="815">
        <f t="shared" si="120"/>
        <v>0</v>
      </c>
      <c r="W375" s="815"/>
      <c r="X375" s="815"/>
      <c r="Y375" s="815"/>
      <c r="Z375" s="815"/>
      <c r="AA375" s="830">
        <f t="shared" si="121"/>
        <v>49.6</v>
      </c>
      <c r="AB375" s="830">
        <f>VLOOKUP(C375,'[3]MỦ TẠP'!$D$10:$AM$450,36,0)</f>
        <v>0</v>
      </c>
      <c r="AC375" s="830"/>
      <c r="AD375" s="830"/>
      <c r="AE375" s="830">
        <f>VLOOKUP(C375,'[3]MỦ TẠP'!$D$10:$AM$450,36,0)</f>
        <v>0</v>
      </c>
      <c r="AF375" s="830"/>
      <c r="AG375" s="830"/>
      <c r="AH375" s="830">
        <f t="shared" si="124"/>
        <v>0</v>
      </c>
      <c r="AI375" s="830">
        <f>VLOOKUP(C375,'[3]CHẤM CÔNG '!$F$10:$AM$451,33,0)</f>
        <v>0</v>
      </c>
      <c r="AJ375" s="830">
        <f>VLOOKUP(C375,'[3]CHẤM CÔNG '!$F$10:$AM$451,34,0)</f>
        <v>0</v>
      </c>
      <c r="AK375" s="830"/>
      <c r="AL375" s="830"/>
      <c r="AM375" s="830"/>
      <c r="AN375" s="830">
        <f>VLOOKUP(C375,'[3]CHẤM CÔNG '!$F$10:$AN$451,35,0)</f>
        <v>0</v>
      </c>
      <c r="AO375" s="830">
        <f>VLOOKUP(C375,'[3]CHẤM CÔNG '!$F$10:$AR$451,36,0)</f>
        <v>0</v>
      </c>
      <c r="AP375" s="830"/>
      <c r="AQ375" s="830"/>
      <c r="AR375" s="830"/>
      <c r="AS375" s="836"/>
      <c r="AT375" s="837">
        <f>VLOOKUP(C375,'[3]MỦ TẠP'!$D$10:$AO$450,38,0)</f>
        <v>0</v>
      </c>
      <c r="AX375" s="799">
        <v>4</v>
      </c>
    </row>
    <row r="376" spans="1:52" ht="15.75">
      <c r="A376" s="850">
        <v>74</v>
      </c>
      <c r="B376" s="813" t="str">
        <f>VLOOKUP(C376,'[3]DS CN MOI UP'!$B$10:$C$489,2,0)</f>
        <v>02659</v>
      </c>
      <c r="C376" s="846" t="s">
        <v>280</v>
      </c>
      <c r="D376" s="855" t="s">
        <v>15</v>
      </c>
      <c r="E376" s="815"/>
      <c r="F376" s="815">
        <v>4</v>
      </c>
      <c r="G376" s="815"/>
      <c r="H376" s="815">
        <v>4</v>
      </c>
      <c r="I376" s="815"/>
      <c r="J376" s="815"/>
      <c r="K376" s="815">
        <v>4</v>
      </c>
      <c r="L376" s="815">
        <v>4</v>
      </c>
      <c r="M376" s="815"/>
      <c r="N376" s="815">
        <f t="shared" si="112"/>
        <v>0</v>
      </c>
      <c r="O376" s="815">
        <f t="shared" si="113"/>
        <v>25.6</v>
      </c>
      <c r="P376" s="815">
        <f t="shared" si="114"/>
        <v>0</v>
      </c>
      <c r="Q376" s="815">
        <f t="shared" si="115"/>
        <v>16</v>
      </c>
      <c r="R376" s="815">
        <f t="shared" si="116"/>
        <v>0</v>
      </c>
      <c r="S376" s="815">
        <f t="shared" si="117"/>
        <v>0</v>
      </c>
      <c r="T376" s="815">
        <f t="shared" si="118"/>
        <v>4</v>
      </c>
      <c r="U376" s="815">
        <f t="shared" si="119"/>
        <v>4</v>
      </c>
      <c r="V376" s="815">
        <f t="shared" si="120"/>
        <v>0</v>
      </c>
      <c r="W376" s="815"/>
      <c r="X376" s="815"/>
      <c r="Y376" s="815"/>
      <c r="Z376" s="815"/>
      <c r="AA376" s="830">
        <f t="shared" si="121"/>
        <v>49.6</v>
      </c>
      <c r="AB376" s="830">
        <f>VLOOKUP(C376,'[3]MỦ TẠP'!$D$10:$AM$450,36,0)</f>
        <v>0</v>
      </c>
      <c r="AC376" s="830"/>
      <c r="AD376" s="830"/>
      <c r="AE376" s="830">
        <f>VLOOKUP(C376,'[3]MỦ TẠP'!$D$10:$AM$450,36,0)</f>
        <v>0</v>
      </c>
      <c r="AF376" s="830"/>
      <c r="AG376" s="830"/>
      <c r="AH376" s="830">
        <f t="shared" si="124"/>
        <v>0</v>
      </c>
      <c r="AI376" s="830">
        <f>VLOOKUP(C376,'[3]CHẤM CÔNG '!$F$10:$AM$451,33,0)</f>
        <v>0</v>
      </c>
      <c r="AJ376" s="830">
        <f>VLOOKUP(C376,'[3]CHẤM CÔNG '!$F$10:$AM$451,34,0)</f>
        <v>0</v>
      </c>
      <c r="AK376" s="830"/>
      <c r="AL376" s="830"/>
      <c r="AM376" s="830"/>
      <c r="AN376" s="830">
        <f>VLOOKUP(C376,'[3]CHẤM CÔNG '!$F$10:$AN$451,35,0)</f>
        <v>0</v>
      </c>
      <c r="AO376" s="830">
        <f>VLOOKUP(C376,'[3]CHẤM CÔNG '!$F$10:$AR$451,36,0)</f>
        <v>0</v>
      </c>
      <c r="AP376" s="830"/>
      <c r="AQ376" s="830"/>
      <c r="AR376" s="830"/>
      <c r="AS376" s="836"/>
      <c r="AT376" s="837">
        <f>VLOOKUP(C376,'[3]MỦ TẠP'!$D$10:$AO$450,38,0)</f>
        <v>0</v>
      </c>
      <c r="AX376" s="799">
        <v>4</v>
      </c>
    </row>
    <row r="377" spans="1:52" ht="15.75">
      <c r="A377" s="850">
        <v>75</v>
      </c>
      <c r="B377" s="813" t="str">
        <f>VLOOKUP(C377,'[3]DS CN MOI UP'!$B$10:$C$489,2,0)</f>
        <v>02660</v>
      </c>
      <c r="C377" s="846" t="s">
        <v>281</v>
      </c>
      <c r="D377" s="855" t="s">
        <v>15</v>
      </c>
      <c r="E377" s="815"/>
      <c r="F377" s="815">
        <v>4</v>
      </c>
      <c r="G377" s="815"/>
      <c r="H377" s="815">
        <v>4</v>
      </c>
      <c r="I377" s="815"/>
      <c r="J377" s="815"/>
      <c r="K377" s="815">
        <v>4</v>
      </c>
      <c r="L377" s="815">
        <v>4</v>
      </c>
      <c r="M377" s="815"/>
      <c r="N377" s="815">
        <f t="shared" si="112"/>
        <v>0</v>
      </c>
      <c r="O377" s="815">
        <f t="shared" si="113"/>
        <v>25.6</v>
      </c>
      <c r="P377" s="815">
        <f t="shared" si="114"/>
        <v>0</v>
      </c>
      <c r="Q377" s="815">
        <f t="shared" si="115"/>
        <v>16</v>
      </c>
      <c r="R377" s="815">
        <f t="shared" si="116"/>
        <v>0</v>
      </c>
      <c r="S377" s="815">
        <f t="shared" si="117"/>
        <v>0</v>
      </c>
      <c r="T377" s="815">
        <f t="shared" si="118"/>
        <v>4</v>
      </c>
      <c r="U377" s="815">
        <f t="shared" si="119"/>
        <v>4</v>
      </c>
      <c r="V377" s="815">
        <f t="shared" si="120"/>
        <v>0</v>
      </c>
      <c r="W377" s="815"/>
      <c r="X377" s="815"/>
      <c r="Y377" s="815"/>
      <c r="Z377" s="815"/>
      <c r="AA377" s="830">
        <f t="shared" si="121"/>
        <v>49.6</v>
      </c>
      <c r="AB377" s="830">
        <f>VLOOKUP(C377,'[3]MỦ TẠP'!$D$10:$AM$450,36,0)</f>
        <v>0</v>
      </c>
      <c r="AC377" s="830"/>
      <c r="AD377" s="830"/>
      <c r="AE377" s="830">
        <f>VLOOKUP(C377,'[3]MỦ TẠP'!$D$10:$AM$450,36,0)</f>
        <v>0</v>
      </c>
      <c r="AF377" s="830"/>
      <c r="AG377" s="830"/>
      <c r="AH377" s="830">
        <f t="shared" si="124"/>
        <v>0</v>
      </c>
      <c r="AI377" s="830">
        <f>VLOOKUP(C377,'[3]CHẤM CÔNG '!$F$10:$AM$451,33,0)</f>
        <v>0</v>
      </c>
      <c r="AJ377" s="830">
        <f>VLOOKUP(C377,'[3]CHẤM CÔNG '!$F$10:$AM$451,34,0)</f>
        <v>0</v>
      </c>
      <c r="AK377" s="830"/>
      <c r="AL377" s="830"/>
      <c r="AM377" s="830"/>
      <c r="AN377" s="830">
        <f>VLOOKUP(C377,'[3]CHẤM CÔNG '!$F$10:$AN$451,35,0)</f>
        <v>0</v>
      </c>
      <c r="AO377" s="830">
        <f>VLOOKUP(C377,'[3]CHẤM CÔNG '!$F$10:$AR$451,36,0)</f>
        <v>0</v>
      </c>
      <c r="AP377" s="830"/>
      <c r="AQ377" s="830"/>
      <c r="AR377" s="830"/>
      <c r="AS377" s="836"/>
      <c r="AT377" s="837">
        <f>VLOOKUP(C377,'[3]MỦ TẠP'!$D$10:$AO$450,38,0)</f>
        <v>0</v>
      </c>
      <c r="AX377" s="799">
        <v>4</v>
      </c>
    </row>
    <row r="378" spans="1:52" ht="15.75">
      <c r="A378" s="850">
        <v>76</v>
      </c>
      <c r="B378" s="813" t="str">
        <f>VLOOKUP(C378,'[3]DS CN MOI UP'!$B$10:$C$489,2,0)</f>
        <v>02662</v>
      </c>
      <c r="C378" s="846" t="s">
        <v>282</v>
      </c>
      <c r="D378" s="855" t="s">
        <v>15</v>
      </c>
      <c r="E378" s="815"/>
      <c r="F378" s="815">
        <v>4</v>
      </c>
      <c r="G378" s="815"/>
      <c r="H378" s="815">
        <v>4</v>
      </c>
      <c r="I378" s="815"/>
      <c r="J378" s="815"/>
      <c r="K378" s="815">
        <v>4</v>
      </c>
      <c r="L378" s="815">
        <v>4</v>
      </c>
      <c r="M378" s="815"/>
      <c r="N378" s="815">
        <f t="shared" si="112"/>
        <v>0</v>
      </c>
      <c r="O378" s="815">
        <f t="shared" si="113"/>
        <v>25.6</v>
      </c>
      <c r="P378" s="815">
        <f t="shared" si="114"/>
        <v>0</v>
      </c>
      <c r="Q378" s="815">
        <f t="shared" si="115"/>
        <v>16</v>
      </c>
      <c r="R378" s="815">
        <f t="shared" si="116"/>
        <v>0</v>
      </c>
      <c r="S378" s="815">
        <f t="shared" si="117"/>
        <v>0</v>
      </c>
      <c r="T378" s="815">
        <f t="shared" si="118"/>
        <v>4</v>
      </c>
      <c r="U378" s="815">
        <f t="shared" si="119"/>
        <v>4</v>
      </c>
      <c r="V378" s="815">
        <f t="shared" si="120"/>
        <v>0</v>
      </c>
      <c r="W378" s="815"/>
      <c r="X378" s="815"/>
      <c r="Y378" s="815"/>
      <c r="Z378" s="815"/>
      <c r="AA378" s="830">
        <f t="shared" si="121"/>
        <v>49.6</v>
      </c>
      <c r="AB378" s="830">
        <f>VLOOKUP(C378,'[3]MỦ TẠP'!$D$10:$AM$450,36,0)</f>
        <v>0</v>
      </c>
      <c r="AC378" s="830"/>
      <c r="AD378" s="830"/>
      <c r="AE378" s="830">
        <f>VLOOKUP(C378,'[3]MỦ TẠP'!$D$10:$AM$450,36,0)</f>
        <v>0</v>
      </c>
      <c r="AF378" s="830"/>
      <c r="AG378" s="830"/>
      <c r="AH378" s="830">
        <f t="shared" si="124"/>
        <v>0</v>
      </c>
      <c r="AI378" s="830">
        <f>VLOOKUP(C378,'[3]CHẤM CÔNG '!$F$10:$AM$451,33,0)</f>
        <v>0</v>
      </c>
      <c r="AJ378" s="830">
        <f>VLOOKUP(C378,'[3]CHẤM CÔNG '!$F$10:$AM$451,34,0)</f>
        <v>0</v>
      </c>
      <c r="AK378" s="830"/>
      <c r="AL378" s="830"/>
      <c r="AM378" s="830"/>
      <c r="AN378" s="830">
        <f>VLOOKUP(C378,'[3]CHẤM CÔNG '!$F$10:$AN$451,35,0)</f>
        <v>0</v>
      </c>
      <c r="AO378" s="830">
        <f>VLOOKUP(C378,'[3]CHẤM CÔNG '!$F$10:$AR$451,36,0)</f>
        <v>0</v>
      </c>
      <c r="AP378" s="830"/>
      <c r="AQ378" s="830"/>
      <c r="AR378" s="830"/>
      <c r="AS378" s="836"/>
      <c r="AT378" s="837">
        <f>VLOOKUP(C378,'[3]MỦ TẠP'!$D$10:$AO$450,38,0)</f>
        <v>0</v>
      </c>
      <c r="AX378" s="799">
        <v>4</v>
      </c>
    </row>
    <row r="379" spans="1:52" ht="15.75">
      <c r="A379" s="850">
        <v>77</v>
      </c>
      <c r="B379" s="813" t="str">
        <f>VLOOKUP(C379,'[3]DS CN MOI UP'!$B$10:$C$489,2,0)</f>
        <v>02657</v>
      </c>
      <c r="C379" s="846" t="s">
        <v>283</v>
      </c>
      <c r="D379" s="855" t="s">
        <v>15</v>
      </c>
      <c r="E379" s="815"/>
      <c r="F379" s="815">
        <v>4</v>
      </c>
      <c r="G379" s="815"/>
      <c r="H379" s="815">
        <v>4</v>
      </c>
      <c r="I379" s="815"/>
      <c r="J379" s="815"/>
      <c r="K379" s="815">
        <v>4</v>
      </c>
      <c r="L379" s="815">
        <v>4</v>
      </c>
      <c r="M379" s="815"/>
      <c r="N379" s="815">
        <f t="shared" si="112"/>
        <v>0</v>
      </c>
      <c r="O379" s="815">
        <f t="shared" si="113"/>
        <v>25.6</v>
      </c>
      <c r="P379" s="815">
        <f t="shared" si="114"/>
        <v>0</v>
      </c>
      <c r="Q379" s="815">
        <f t="shared" si="115"/>
        <v>16</v>
      </c>
      <c r="R379" s="815">
        <f t="shared" si="116"/>
        <v>0</v>
      </c>
      <c r="S379" s="815">
        <f t="shared" si="117"/>
        <v>0</v>
      </c>
      <c r="T379" s="815">
        <f t="shared" si="118"/>
        <v>4</v>
      </c>
      <c r="U379" s="815">
        <f t="shared" si="119"/>
        <v>4</v>
      </c>
      <c r="V379" s="815">
        <f t="shared" si="120"/>
        <v>0</v>
      </c>
      <c r="W379" s="815"/>
      <c r="X379" s="815"/>
      <c r="Y379" s="815"/>
      <c r="Z379" s="815"/>
      <c r="AA379" s="830">
        <f t="shared" si="121"/>
        <v>49.6</v>
      </c>
      <c r="AB379" s="830">
        <f>VLOOKUP(C379,'[3]MỦ TẠP'!$D$10:$AM$450,36,0)</f>
        <v>0</v>
      </c>
      <c r="AC379" s="830"/>
      <c r="AD379" s="830"/>
      <c r="AE379" s="830">
        <f>VLOOKUP(C379,'[3]MỦ TẠP'!$D$10:$AM$450,36,0)</f>
        <v>0</v>
      </c>
      <c r="AF379" s="830"/>
      <c r="AG379" s="830"/>
      <c r="AH379" s="830">
        <f t="shared" si="124"/>
        <v>0</v>
      </c>
      <c r="AI379" s="830">
        <f>VLOOKUP(C379,'[3]CHẤM CÔNG '!$F$10:$AM$451,33,0)</f>
        <v>0</v>
      </c>
      <c r="AJ379" s="830">
        <f>VLOOKUP(C379,'[3]CHẤM CÔNG '!$F$10:$AM$451,34,0)</f>
        <v>0</v>
      </c>
      <c r="AK379" s="830"/>
      <c r="AL379" s="830"/>
      <c r="AM379" s="830"/>
      <c r="AN379" s="830">
        <f>VLOOKUP(C379,'[3]CHẤM CÔNG '!$F$10:$AN$451,35,0)</f>
        <v>0</v>
      </c>
      <c r="AO379" s="830">
        <f>VLOOKUP(C379,'[3]CHẤM CÔNG '!$F$10:$AR$451,36,0)</f>
        <v>0</v>
      </c>
      <c r="AP379" s="830"/>
      <c r="AQ379" s="830"/>
      <c r="AR379" s="830"/>
      <c r="AS379" s="836"/>
      <c r="AT379" s="837">
        <f>VLOOKUP(C379,'[3]MỦ TẠP'!$D$10:$AO$450,38,0)</f>
        <v>0</v>
      </c>
      <c r="AX379" s="799">
        <v>4</v>
      </c>
    </row>
    <row r="380" spans="1:52" ht="15.75">
      <c r="A380" s="850">
        <v>78</v>
      </c>
      <c r="B380" s="813" t="str">
        <f>VLOOKUP(C380,'[3]DS CN MOI UP'!$B$10:$C$489,2,0)</f>
        <v>02661</v>
      </c>
      <c r="C380" s="846" t="s">
        <v>284</v>
      </c>
      <c r="D380" s="855" t="s">
        <v>15</v>
      </c>
      <c r="E380" s="815"/>
      <c r="F380" s="815">
        <v>4</v>
      </c>
      <c r="G380" s="815"/>
      <c r="H380" s="815">
        <v>4</v>
      </c>
      <c r="I380" s="815"/>
      <c r="J380" s="815"/>
      <c r="K380" s="815">
        <v>4</v>
      </c>
      <c r="L380" s="815">
        <v>4</v>
      </c>
      <c r="M380" s="815"/>
      <c r="N380" s="815">
        <f t="shared" si="112"/>
        <v>0</v>
      </c>
      <c r="O380" s="815">
        <f t="shared" si="113"/>
        <v>25.6</v>
      </c>
      <c r="P380" s="815">
        <f t="shared" si="114"/>
        <v>0</v>
      </c>
      <c r="Q380" s="815">
        <f t="shared" si="115"/>
        <v>16</v>
      </c>
      <c r="R380" s="815">
        <f t="shared" si="116"/>
        <v>0</v>
      </c>
      <c r="S380" s="815">
        <f t="shared" si="117"/>
        <v>0</v>
      </c>
      <c r="T380" s="815">
        <f t="shared" si="118"/>
        <v>4</v>
      </c>
      <c r="U380" s="815">
        <f t="shared" si="119"/>
        <v>4</v>
      </c>
      <c r="V380" s="815">
        <f t="shared" si="120"/>
        <v>0</v>
      </c>
      <c r="W380" s="815"/>
      <c r="X380" s="815"/>
      <c r="Y380" s="815"/>
      <c r="Z380" s="815"/>
      <c r="AA380" s="830">
        <f t="shared" si="121"/>
        <v>49.6</v>
      </c>
      <c r="AB380" s="830">
        <f>VLOOKUP(C380,'[3]MỦ TẠP'!$D$10:$AM$450,36,0)</f>
        <v>0</v>
      </c>
      <c r="AC380" s="830"/>
      <c r="AD380" s="830"/>
      <c r="AE380" s="830">
        <f>VLOOKUP(C380,'[3]MỦ TẠP'!$D$10:$AM$450,36,0)</f>
        <v>0</v>
      </c>
      <c r="AF380" s="830"/>
      <c r="AG380" s="830"/>
      <c r="AH380" s="830">
        <f t="shared" si="124"/>
        <v>0</v>
      </c>
      <c r="AI380" s="830">
        <f>VLOOKUP(C380,'[3]CHẤM CÔNG '!$F$10:$AM$451,33,0)</f>
        <v>0</v>
      </c>
      <c r="AJ380" s="830">
        <f>VLOOKUP(C380,'[3]CHẤM CÔNG '!$F$10:$AM$451,34,0)</f>
        <v>0</v>
      </c>
      <c r="AK380" s="830"/>
      <c r="AL380" s="830"/>
      <c r="AM380" s="830"/>
      <c r="AN380" s="830">
        <f>VLOOKUP(C380,'[3]CHẤM CÔNG '!$F$10:$AN$451,35,0)</f>
        <v>0</v>
      </c>
      <c r="AO380" s="830">
        <f>VLOOKUP(C380,'[3]CHẤM CÔNG '!$F$10:$AR$451,36,0)</f>
        <v>0</v>
      </c>
      <c r="AP380" s="830"/>
      <c r="AQ380" s="830"/>
      <c r="AR380" s="830"/>
      <c r="AS380" s="836"/>
      <c r="AT380" s="837">
        <f>VLOOKUP(C380,'[3]MỦ TẠP'!$D$10:$AO$450,38,0)</f>
        <v>0</v>
      </c>
      <c r="AX380" s="799">
        <v>4</v>
      </c>
    </row>
    <row r="381" spans="1:52" s="798" customFormat="1">
      <c r="A381" s="809" t="s">
        <v>285</v>
      </c>
      <c r="B381" s="813"/>
      <c r="C381" s="810"/>
      <c r="D381" s="811"/>
      <c r="E381" s="856">
        <f t="shared" ref="E381:Z381" si="125">SUM(E382:E444)</f>
        <v>252</v>
      </c>
      <c r="F381" s="856">
        <f t="shared" si="125"/>
        <v>0</v>
      </c>
      <c r="G381" s="856">
        <f t="shared" si="125"/>
        <v>0</v>
      </c>
      <c r="H381" s="856">
        <f t="shared" si="125"/>
        <v>252</v>
      </c>
      <c r="I381" s="856">
        <f t="shared" si="125"/>
        <v>0</v>
      </c>
      <c r="J381" s="856">
        <f t="shared" si="125"/>
        <v>236</v>
      </c>
      <c r="K381" s="856">
        <f t="shared" si="125"/>
        <v>236</v>
      </c>
      <c r="L381" s="856">
        <f t="shared" si="125"/>
        <v>236</v>
      </c>
      <c r="M381" s="856">
        <f t="shared" si="125"/>
        <v>0</v>
      </c>
      <c r="N381" s="856">
        <f t="shared" si="125"/>
        <v>1511.9999999999989</v>
      </c>
      <c r="O381" s="856">
        <f t="shared" si="125"/>
        <v>0</v>
      </c>
      <c r="P381" s="856">
        <f t="shared" si="125"/>
        <v>0</v>
      </c>
      <c r="Q381" s="856">
        <f t="shared" si="125"/>
        <v>1008</v>
      </c>
      <c r="R381" s="856">
        <f t="shared" si="125"/>
        <v>0</v>
      </c>
      <c r="S381" s="856">
        <f t="shared" si="125"/>
        <v>472</v>
      </c>
      <c r="T381" s="856">
        <f t="shared" si="125"/>
        <v>236</v>
      </c>
      <c r="U381" s="856">
        <f t="shared" si="125"/>
        <v>236</v>
      </c>
      <c r="V381" s="856">
        <f t="shared" si="125"/>
        <v>0</v>
      </c>
      <c r="W381" s="856">
        <f t="shared" si="125"/>
        <v>0</v>
      </c>
      <c r="X381" s="856">
        <f t="shared" si="125"/>
        <v>0</v>
      </c>
      <c r="Y381" s="856">
        <f t="shared" si="125"/>
        <v>0</v>
      </c>
      <c r="Z381" s="856">
        <f t="shared" si="125"/>
        <v>0</v>
      </c>
      <c r="AA381" s="856">
        <f>+SUM(AA382:AA444)</f>
        <v>3463.9999999999995</v>
      </c>
      <c r="AB381" s="856" t="e">
        <f>+SUM(AB382:AB444)</f>
        <v>#N/A</v>
      </c>
      <c r="AC381" s="856">
        <f>+SUM(AC382:AC444)</f>
        <v>0</v>
      </c>
      <c r="AD381" s="856">
        <f>+SUM(AD382:AD444)</f>
        <v>0</v>
      </c>
      <c r="AE381" s="856" t="e">
        <f>+SUM(AE382:AE444)</f>
        <v>#N/A</v>
      </c>
      <c r="AF381" s="856"/>
      <c r="AG381" s="856">
        <f>+SUM(AG382:AG444)</f>
        <v>0</v>
      </c>
      <c r="AH381" s="856" t="e">
        <f>+SUM(AH382:AH444)</f>
        <v>#N/A</v>
      </c>
      <c r="AI381" s="856" t="e">
        <f>+SUM(AI382:AI444)</f>
        <v>#N/A</v>
      </c>
      <c r="AJ381" s="856" t="e">
        <f>+SUM(AJ382:AJ444)</f>
        <v>#N/A</v>
      </c>
      <c r="AK381" s="856">
        <f>+SUM(AK382:AK444)</f>
        <v>0</v>
      </c>
      <c r="AL381" s="856"/>
      <c r="AM381" s="856">
        <f t="shared" ref="AM381:AS381" si="126">+SUM(AM382:AM444)</f>
        <v>0</v>
      </c>
      <c r="AN381" s="856" t="e">
        <f t="shared" si="126"/>
        <v>#N/A</v>
      </c>
      <c r="AO381" s="856" t="e">
        <f t="shared" si="126"/>
        <v>#N/A</v>
      </c>
      <c r="AP381" s="856">
        <f t="shared" si="126"/>
        <v>0</v>
      </c>
      <c r="AQ381" s="856">
        <f t="shared" si="126"/>
        <v>0</v>
      </c>
      <c r="AR381" s="856">
        <f t="shared" si="126"/>
        <v>0</v>
      </c>
      <c r="AS381" s="856">
        <f t="shared" si="126"/>
        <v>0</v>
      </c>
      <c r="AT381" s="837"/>
      <c r="AX381" s="840"/>
      <c r="AY381" s="840"/>
      <c r="AZ381" s="840"/>
    </row>
    <row r="382" spans="1:52" ht="15.75">
      <c r="A382" s="812">
        <v>1</v>
      </c>
      <c r="B382" s="813" t="e">
        <f>VLOOKUP(C382,'[3]DS CN MOI UP'!$B$10:$C$489,2,0)</f>
        <v>#N/A</v>
      </c>
      <c r="C382" s="846" t="s">
        <v>286</v>
      </c>
      <c r="D382" s="812" t="s">
        <v>15</v>
      </c>
      <c r="E382" s="815">
        <v>4</v>
      </c>
      <c r="F382" s="815"/>
      <c r="G382" s="815"/>
      <c r="H382" s="815">
        <v>4</v>
      </c>
      <c r="I382" s="815"/>
      <c r="J382" s="815">
        <v>4</v>
      </c>
      <c r="K382" s="815">
        <v>4</v>
      </c>
      <c r="L382" s="815">
        <v>4</v>
      </c>
      <c r="M382" s="815"/>
      <c r="N382" s="815">
        <f t="shared" ref="N382:N444" si="127">E382/$N$8</f>
        <v>23.999999999999954</v>
      </c>
      <c r="O382" s="815">
        <f t="shared" ref="O382:O444" si="128">F382/$O$8</f>
        <v>0</v>
      </c>
      <c r="P382" s="815">
        <f t="shared" ref="P382:P444" si="129">G382/$P$8</f>
        <v>0</v>
      </c>
      <c r="Q382" s="815">
        <f t="shared" ref="Q382:Q444" si="130">H382/$Q$8</f>
        <v>16</v>
      </c>
      <c r="R382" s="815">
        <f t="shared" ref="R382:R444" si="131">I382/$R$8</f>
        <v>0</v>
      </c>
      <c r="S382" s="815">
        <f t="shared" ref="S382:S444" si="132">J382/$S$8</f>
        <v>8</v>
      </c>
      <c r="T382" s="815">
        <f t="shared" ref="T382:T444" si="133">K382/$T$8</f>
        <v>4</v>
      </c>
      <c r="U382" s="815">
        <f t="shared" ref="U382:U444" si="134">L382/$U$8</f>
        <v>4</v>
      </c>
      <c r="V382" s="815">
        <f t="shared" ref="V382:V444" si="135">M382/$V$8</f>
        <v>0</v>
      </c>
      <c r="W382" s="815"/>
      <c r="X382" s="815"/>
      <c r="Y382" s="815"/>
      <c r="Z382" s="815"/>
      <c r="AA382" s="830">
        <f>SUM(N382:Z382)</f>
        <v>55.999999999999957</v>
      </c>
      <c r="AB382" s="830">
        <f>VLOOKUP(C382,'[3]MỦ TẠP'!$D$10:$AM$450,36,0)</f>
        <v>0</v>
      </c>
      <c r="AC382" s="830"/>
      <c r="AD382" s="830"/>
      <c r="AE382" s="831">
        <f t="shared" ref="AE382:AE444" si="136">SUM(AB382:AD382)</f>
        <v>0</v>
      </c>
      <c r="AF382" s="830"/>
      <c r="AG382" s="830"/>
      <c r="AH382" s="830">
        <f t="shared" ref="AH382:AH444" si="137">AE382*$AV$18+AF382*$AV$10+$AV$11*AG382</f>
        <v>0</v>
      </c>
      <c r="AI382" s="830">
        <f>VLOOKUP(C382,'[3]CHẤM CÔNG '!$F$10:$AM$451,33,0)</f>
        <v>0</v>
      </c>
      <c r="AJ382" s="830">
        <f>VLOOKUP(C382,'[3]CHẤM CÔNG '!$F$10:$AM$451,34,0)</f>
        <v>0</v>
      </c>
      <c r="AK382" s="830"/>
      <c r="AL382" s="830"/>
      <c r="AM382" s="830"/>
      <c r="AN382" s="830">
        <f>VLOOKUP(C382,'[3]CHẤM CÔNG '!$F$10:$AN$451,35,0)</f>
        <v>0</v>
      </c>
      <c r="AO382" s="830">
        <f>VLOOKUP(C382,'[3]CHẤM CÔNG '!$F$10:$AR$451,36,0)</f>
        <v>0</v>
      </c>
      <c r="AP382" s="830"/>
      <c r="AQ382" s="830"/>
      <c r="AR382" s="830"/>
      <c r="AS382" s="836"/>
      <c r="AT382" s="837">
        <f>VLOOKUP(C382,'[3]MỦ TẠP'!$D$10:$AO$450,38,0)</f>
        <v>0</v>
      </c>
    </row>
    <row r="383" spans="1:52" ht="15.75">
      <c r="A383" s="812">
        <v>2</v>
      </c>
      <c r="B383" s="813" t="str">
        <f>VLOOKUP(C383,'[3]DS CN MOI UP'!$B$10:$C$489,2,0)</f>
        <v>02637</v>
      </c>
      <c r="C383" s="846" t="s">
        <v>287</v>
      </c>
      <c r="D383" s="812" t="s">
        <v>15</v>
      </c>
      <c r="E383" s="815">
        <v>4</v>
      </c>
      <c r="F383" s="815"/>
      <c r="G383" s="815"/>
      <c r="H383" s="815">
        <v>4</v>
      </c>
      <c r="I383" s="815"/>
      <c r="J383" s="815">
        <v>4</v>
      </c>
      <c r="K383" s="815">
        <v>4</v>
      </c>
      <c r="L383" s="815">
        <v>4</v>
      </c>
      <c r="M383" s="815"/>
      <c r="N383" s="815">
        <f t="shared" si="127"/>
        <v>23.999999999999954</v>
      </c>
      <c r="O383" s="815">
        <f t="shared" si="128"/>
        <v>0</v>
      </c>
      <c r="P383" s="815">
        <f t="shared" si="129"/>
        <v>0</v>
      </c>
      <c r="Q383" s="815">
        <f t="shared" si="130"/>
        <v>16</v>
      </c>
      <c r="R383" s="815">
        <f t="shared" si="131"/>
        <v>0</v>
      </c>
      <c r="S383" s="815">
        <f t="shared" si="132"/>
        <v>8</v>
      </c>
      <c r="T383" s="815">
        <f t="shared" si="133"/>
        <v>4</v>
      </c>
      <c r="U383" s="815">
        <f t="shared" si="134"/>
        <v>4</v>
      </c>
      <c r="V383" s="815">
        <f t="shared" si="135"/>
        <v>0</v>
      </c>
      <c r="W383" s="815"/>
      <c r="X383" s="815"/>
      <c r="Y383" s="815"/>
      <c r="Z383" s="815"/>
      <c r="AA383" s="830">
        <f t="shared" ref="AA383:AA444" si="138">SUM(N383:Z383)</f>
        <v>55.999999999999957</v>
      </c>
      <c r="AB383" s="830">
        <f>VLOOKUP(C383,'[3]MỦ TẠP'!$D$10:$AM$450,36,0)</f>
        <v>0</v>
      </c>
      <c r="AC383" s="830"/>
      <c r="AD383" s="830"/>
      <c r="AE383" s="831">
        <f t="shared" si="136"/>
        <v>0</v>
      </c>
      <c r="AF383" s="830"/>
      <c r="AG383" s="830"/>
      <c r="AH383" s="830">
        <f t="shared" si="137"/>
        <v>0</v>
      </c>
      <c r="AI383" s="830">
        <f>VLOOKUP(C383,'[3]CHẤM CÔNG '!$F$10:$AM$451,33,0)</f>
        <v>0</v>
      </c>
      <c r="AJ383" s="830">
        <f>VLOOKUP(C383,'[3]CHẤM CÔNG '!$F$10:$AM$451,34,0)</f>
        <v>0</v>
      </c>
      <c r="AK383" s="830"/>
      <c r="AL383" s="830"/>
      <c r="AM383" s="830"/>
      <c r="AN383" s="830">
        <f>VLOOKUP(C383,'[3]CHẤM CÔNG '!$F$10:$AN$451,35,0)</f>
        <v>0</v>
      </c>
      <c r="AO383" s="830">
        <f>VLOOKUP(C383,'[3]CHẤM CÔNG '!$F$10:$AR$451,36,0)</f>
        <v>0</v>
      </c>
      <c r="AP383" s="830"/>
      <c r="AQ383" s="830"/>
      <c r="AR383" s="830"/>
      <c r="AS383" s="836"/>
      <c r="AT383" s="837">
        <f>VLOOKUP(C383,'[3]MỦ TẠP'!$D$10:$AO$450,38,0)</f>
        <v>0</v>
      </c>
    </row>
    <row r="384" spans="1:52" ht="15.75">
      <c r="A384" s="812">
        <v>3</v>
      </c>
      <c r="B384" s="813" t="e">
        <f>VLOOKUP(C384,'[3]DS CN MOI UP'!$B$10:$C$489,2,0)</f>
        <v>#N/A</v>
      </c>
      <c r="C384" s="846" t="s">
        <v>288</v>
      </c>
      <c r="D384" s="812" t="s">
        <v>15</v>
      </c>
      <c r="E384" s="815">
        <v>4</v>
      </c>
      <c r="F384" s="815"/>
      <c r="G384" s="815"/>
      <c r="H384" s="815">
        <v>4</v>
      </c>
      <c r="I384" s="815"/>
      <c r="J384" s="815">
        <v>4</v>
      </c>
      <c r="K384" s="815">
        <v>4</v>
      </c>
      <c r="L384" s="815">
        <v>4</v>
      </c>
      <c r="M384" s="815"/>
      <c r="N384" s="815">
        <f t="shared" si="127"/>
        <v>23.999999999999954</v>
      </c>
      <c r="O384" s="815">
        <f t="shared" si="128"/>
        <v>0</v>
      </c>
      <c r="P384" s="815">
        <f t="shared" si="129"/>
        <v>0</v>
      </c>
      <c r="Q384" s="815">
        <f t="shared" si="130"/>
        <v>16</v>
      </c>
      <c r="R384" s="815">
        <f t="shared" si="131"/>
        <v>0</v>
      </c>
      <c r="S384" s="815">
        <f t="shared" si="132"/>
        <v>8</v>
      </c>
      <c r="T384" s="815">
        <f t="shared" si="133"/>
        <v>4</v>
      </c>
      <c r="U384" s="815">
        <f t="shared" si="134"/>
        <v>4</v>
      </c>
      <c r="V384" s="815">
        <f t="shared" si="135"/>
        <v>0</v>
      </c>
      <c r="W384" s="815"/>
      <c r="X384" s="815"/>
      <c r="Y384" s="815"/>
      <c r="Z384" s="815"/>
      <c r="AA384" s="830">
        <f t="shared" si="138"/>
        <v>55.999999999999957</v>
      </c>
      <c r="AB384" s="830" t="e">
        <f>VLOOKUP(C384,'[3]MỦ TẠP'!$D$10:$AM$450,36,0)</f>
        <v>#N/A</v>
      </c>
      <c r="AC384" s="830"/>
      <c r="AD384" s="830"/>
      <c r="AE384" s="831" t="e">
        <f t="shared" si="136"/>
        <v>#N/A</v>
      </c>
      <c r="AF384" s="830"/>
      <c r="AG384" s="830"/>
      <c r="AH384" s="830" t="e">
        <f t="shared" si="137"/>
        <v>#N/A</v>
      </c>
      <c r="AI384" s="830" t="e">
        <f>VLOOKUP(C384,'[3]CHẤM CÔNG '!$F$10:$AM$451,33,0)</f>
        <v>#N/A</v>
      </c>
      <c r="AJ384" s="830" t="e">
        <f>VLOOKUP(C384,'[3]CHẤM CÔNG '!$F$10:$AM$451,34,0)</f>
        <v>#N/A</v>
      </c>
      <c r="AK384" s="830"/>
      <c r="AL384" s="830"/>
      <c r="AM384" s="830"/>
      <c r="AN384" s="830" t="e">
        <f>VLOOKUP(C384,'[3]CHẤM CÔNG '!$F$10:$AN$451,35,0)</f>
        <v>#N/A</v>
      </c>
      <c r="AO384" s="830" t="e">
        <f>VLOOKUP(C384,'[3]CHẤM CÔNG '!$F$10:$AR$451,36,0)</f>
        <v>#N/A</v>
      </c>
      <c r="AP384" s="830"/>
      <c r="AQ384" s="830"/>
      <c r="AR384" s="830"/>
      <c r="AS384" s="836"/>
      <c r="AT384" s="837" t="e">
        <f>VLOOKUP(C384,'[3]MỦ TẠP'!$D$10:$AO$450,38,0)</f>
        <v>#N/A</v>
      </c>
    </row>
    <row r="385" spans="1:46" ht="15.75">
      <c r="A385" s="812">
        <v>4</v>
      </c>
      <c r="B385" s="813" t="str">
        <f>VLOOKUP(C385,'[3]DS CN MOI UP'!$B$10:$C$489,2,0)</f>
        <v>02639</v>
      </c>
      <c r="C385" s="846" t="s">
        <v>289</v>
      </c>
      <c r="D385" s="812" t="s">
        <v>15</v>
      </c>
      <c r="E385" s="815">
        <v>4</v>
      </c>
      <c r="F385" s="815"/>
      <c r="G385" s="815"/>
      <c r="H385" s="815">
        <v>4</v>
      </c>
      <c r="I385" s="815"/>
      <c r="J385" s="815">
        <v>4</v>
      </c>
      <c r="K385" s="815">
        <v>4</v>
      </c>
      <c r="L385" s="815">
        <v>4</v>
      </c>
      <c r="M385" s="815"/>
      <c r="N385" s="815">
        <f t="shared" si="127"/>
        <v>23.999999999999954</v>
      </c>
      <c r="O385" s="815">
        <f t="shared" si="128"/>
        <v>0</v>
      </c>
      <c r="P385" s="815">
        <f t="shared" si="129"/>
        <v>0</v>
      </c>
      <c r="Q385" s="815">
        <f t="shared" si="130"/>
        <v>16</v>
      </c>
      <c r="R385" s="815">
        <f t="shared" si="131"/>
        <v>0</v>
      </c>
      <c r="S385" s="815">
        <f t="shared" si="132"/>
        <v>8</v>
      </c>
      <c r="T385" s="815">
        <f t="shared" si="133"/>
        <v>4</v>
      </c>
      <c r="U385" s="815">
        <f t="shared" si="134"/>
        <v>4</v>
      </c>
      <c r="V385" s="815">
        <f t="shared" si="135"/>
        <v>0</v>
      </c>
      <c r="W385" s="815"/>
      <c r="X385" s="815"/>
      <c r="Y385" s="815"/>
      <c r="Z385" s="815"/>
      <c r="AA385" s="830">
        <f t="shared" si="138"/>
        <v>55.999999999999957</v>
      </c>
      <c r="AB385" s="830">
        <f>VLOOKUP(C385,'[3]MỦ TẠP'!$D$10:$AM$450,36,0)</f>
        <v>0</v>
      </c>
      <c r="AC385" s="830"/>
      <c r="AD385" s="830"/>
      <c r="AE385" s="831">
        <f t="shared" si="136"/>
        <v>0</v>
      </c>
      <c r="AF385" s="830"/>
      <c r="AG385" s="830"/>
      <c r="AH385" s="830">
        <f t="shared" si="137"/>
        <v>0</v>
      </c>
      <c r="AI385" s="830">
        <f>VLOOKUP(C385,'[3]CHẤM CÔNG '!$F$10:$AM$451,33,0)</f>
        <v>0</v>
      </c>
      <c r="AJ385" s="830">
        <f>VLOOKUP(C385,'[3]CHẤM CÔNG '!$F$10:$AM$451,34,0)</f>
        <v>0</v>
      </c>
      <c r="AK385" s="830"/>
      <c r="AL385" s="830"/>
      <c r="AM385" s="830"/>
      <c r="AN385" s="830">
        <f>VLOOKUP(C385,'[3]CHẤM CÔNG '!$F$10:$AN$451,35,0)</f>
        <v>0</v>
      </c>
      <c r="AO385" s="830">
        <f>VLOOKUP(C385,'[3]CHẤM CÔNG '!$F$10:$AR$451,36,0)</f>
        <v>0</v>
      </c>
      <c r="AP385" s="830"/>
      <c r="AQ385" s="830"/>
      <c r="AR385" s="830"/>
      <c r="AS385" s="836"/>
      <c r="AT385" s="837">
        <f>VLOOKUP(C385,'[3]MỦ TẠP'!$D$10:$AO$450,38,0)</f>
        <v>0</v>
      </c>
    </row>
    <row r="386" spans="1:46" ht="15.75">
      <c r="A386" s="812">
        <v>5</v>
      </c>
      <c r="B386" s="813" t="e">
        <f>VLOOKUP(C386,'[3]DS CN MOI UP'!$B$10:$C$489,2,0)</f>
        <v>#N/A</v>
      </c>
      <c r="C386" s="846" t="s">
        <v>290</v>
      </c>
      <c r="D386" s="812" t="s">
        <v>15</v>
      </c>
      <c r="E386" s="815">
        <v>4</v>
      </c>
      <c r="F386" s="815"/>
      <c r="G386" s="815"/>
      <c r="H386" s="815">
        <v>4</v>
      </c>
      <c r="I386" s="815"/>
      <c r="J386" s="815">
        <v>4</v>
      </c>
      <c r="K386" s="815">
        <v>4</v>
      </c>
      <c r="L386" s="815">
        <v>4</v>
      </c>
      <c r="M386" s="815"/>
      <c r="N386" s="815">
        <f t="shared" si="127"/>
        <v>23.999999999999954</v>
      </c>
      <c r="O386" s="815">
        <f t="shared" si="128"/>
        <v>0</v>
      </c>
      <c r="P386" s="815">
        <f t="shared" si="129"/>
        <v>0</v>
      </c>
      <c r="Q386" s="815">
        <f t="shared" si="130"/>
        <v>16</v>
      </c>
      <c r="R386" s="815">
        <f t="shared" si="131"/>
        <v>0</v>
      </c>
      <c r="S386" s="815">
        <f t="shared" si="132"/>
        <v>8</v>
      </c>
      <c r="T386" s="815">
        <f t="shared" si="133"/>
        <v>4</v>
      </c>
      <c r="U386" s="815">
        <f t="shared" si="134"/>
        <v>4</v>
      </c>
      <c r="V386" s="815">
        <f t="shared" si="135"/>
        <v>0</v>
      </c>
      <c r="W386" s="815"/>
      <c r="X386" s="815"/>
      <c r="Y386" s="815"/>
      <c r="Z386" s="815"/>
      <c r="AA386" s="830">
        <f t="shared" si="138"/>
        <v>55.999999999999957</v>
      </c>
      <c r="AB386" s="830">
        <f>VLOOKUP(C386,'[3]MỦ TẠP'!$D$10:$AM$450,36,0)</f>
        <v>0</v>
      </c>
      <c r="AC386" s="830"/>
      <c r="AD386" s="830"/>
      <c r="AE386" s="831">
        <f t="shared" si="136"/>
        <v>0</v>
      </c>
      <c r="AF386" s="830"/>
      <c r="AG386" s="830"/>
      <c r="AH386" s="830">
        <f t="shared" si="137"/>
        <v>0</v>
      </c>
      <c r="AI386" s="830">
        <f>VLOOKUP(C386,'[3]CHẤM CÔNG '!$F$10:$AM$451,33,0)</f>
        <v>0</v>
      </c>
      <c r="AJ386" s="830">
        <f>VLOOKUP(C386,'[3]CHẤM CÔNG '!$F$10:$AM$451,34,0)</f>
        <v>0</v>
      </c>
      <c r="AK386" s="830"/>
      <c r="AL386" s="830"/>
      <c r="AM386" s="830"/>
      <c r="AN386" s="830">
        <f>VLOOKUP(C386,'[3]CHẤM CÔNG '!$F$10:$AN$451,35,0)</f>
        <v>0</v>
      </c>
      <c r="AO386" s="830">
        <f>VLOOKUP(C386,'[3]CHẤM CÔNG '!$F$10:$AR$451,36,0)</f>
        <v>0</v>
      </c>
      <c r="AP386" s="830"/>
      <c r="AQ386" s="830"/>
      <c r="AR386" s="830"/>
      <c r="AS386" s="836"/>
      <c r="AT386" s="837">
        <f>VLOOKUP(C386,'[3]MỦ TẠP'!$D$10:$AO$450,38,0)</f>
        <v>0</v>
      </c>
    </row>
    <row r="387" spans="1:46" ht="15.75">
      <c r="A387" s="812">
        <v>6</v>
      </c>
      <c r="B387" s="813" t="str">
        <f>VLOOKUP(C387,'[3]DS CN MOI UP'!$B$10:$C$489,2,0)</f>
        <v>02641</v>
      </c>
      <c r="C387" s="846" t="s">
        <v>291</v>
      </c>
      <c r="D387" s="812" t="s">
        <v>15</v>
      </c>
      <c r="E387" s="815">
        <v>4</v>
      </c>
      <c r="F387" s="815"/>
      <c r="G387" s="815"/>
      <c r="H387" s="815">
        <v>4</v>
      </c>
      <c r="I387" s="815"/>
      <c r="J387" s="815">
        <v>4</v>
      </c>
      <c r="K387" s="815">
        <v>4</v>
      </c>
      <c r="L387" s="815">
        <v>4</v>
      </c>
      <c r="M387" s="815"/>
      <c r="N387" s="815">
        <f t="shared" si="127"/>
        <v>23.999999999999954</v>
      </c>
      <c r="O387" s="815">
        <f t="shared" si="128"/>
        <v>0</v>
      </c>
      <c r="P387" s="815">
        <f t="shared" si="129"/>
        <v>0</v>
      </c>
      <c r="Q387" s="815">
        <f t="shared" si="130"/>
        <v>16</v>
      </c>
      <c r="R387" s="815">
        <f t="shared" si="131"/>
        <v>0</v>
      </c>
      <c r="S387" s="815">
        <f t="shared" si="132"/>
        <v>8</v>
      </c>
      <c r="T387" s="815">
        <f t="shared" si="133"/>
        <v>4</v>
      </c>
      <c r="U387" s="815">
        <f t="shared" si="134"/>
        <v>4</v>
      </c>
      <c r="V387" s="815">
        <f t="shared" si="135"/>
        <v>0</v>
      </c>
      <c r="W387" s="815"/>
      <c r="X387" s="815"/>
      <c r="Y387" s="815"/>
      <c r="Z387" s="815"/>
      <c r="AA387" s="830">
        <f t="shared" si="138"/>
        <v>55.999999999999957</v>
      </c>
      <c r="AB387" s="830">
        <f>VLOOKUP(C387,'[3]MỦ TẠP'!$D$10:$AM$450,36,0)</f>
        <v>0</v>
      </c>
      <c r="AC387" s="830"/>
      <c r="AD387" s="830"/>
      <c r="AE387" s="831">
        <f t="shared" si="136"/>
        <v>0</v>
      </c>
      <c r="AF387" s="830"/>
      <c r="AG387" s="830"/>
      <c r="AH387" s="830">
        <f t="shared" si="137"/>
        <v>0</v>
      </c>
      <c r="AI387" s="830">
        <f>VLOOKUP(C387,'[3]CHẤM CÔNG '!$F$10:$AM$451,33,0)</f>
        <v>0</v>
      </c>
      <c r="AJ387" s="830">
        <f>VLOOKUP(C387,'[3]CHẤM CÔNG '!$F$10:$AM$451,34,0)</f>
        <v>0</v>
      </c>
      <c r="AK387" s="830"/>
      <c r="AL387" s="830"/>
      <c r="AM387" s="830"/>
      <c r="AN387" s="830">
        <f>VLOOKUP(C387,'[3]CHẤM CÔNG '!$F$10:$AN$451,35,0)</f>
        <v>0</v>
      </c>
      <c r="AO387" s="830">
        <f>VLOOKUP(C387,'[3]CHẤM CÔNG '!$F$10:$AR$451,36,0)</f>
        <v>0</v>
      </c>
      <c r="AP387" s="830"/>
      <c r="AQ387" s="830"/>
      <c r="AR387" s="830"/>
      <c r="AS387" s="836"/>
      <c r="AT387" s="837">
        <f>VLOOKUP(C387,'[3]MỦ TẠP'!$D$10:$AO$450,38,0)</f>
        <v>0</v>
      </c>
    </row>
    <row r="388" spans="1:46" ht="15.75">
      <c r="A388" s="812">
        <v>7</v>
      </c>
      <c r="B388" s="813" t="str">
        <f>VLOOKUP(C388,'[3]DS CN MOI UP'!$B$10:$C$489,2,0)</f>
        <v>03406</v>
      </c>
      <c r="C388" s="846" t="s">
        <v>292</v>
      </c>
      <c r="D388" s="812" t="s">
        <v>15</v>
      </c>
      <c r="E388" s="815">
        <v>4</v>
      </c>
      <c r="F388" s="815"/>
      <c r="G388" s="815"/>
      <c r="H388" s="815">
        <v>4</v>
      </c>
      <c r="I388" s="815"/>
      <c r="J388" s="815">
        <v>4</v>
      </c>
      <c r="K388" s="815">
        <v>4</v>
      </c>
      <c r="L388" s="815">
        <v>4</v>
      </c>
      <c r="M388" s="815"/>
      <c r="N388" s="815">
        <f t="shared" si="127"/>
        <v>23.999999999999954</v>
      </c>
      <c r="O388" s="815">
        <f t="shared" si="128"/>
        <v>0</v>
      </c>
      <c r="P388" s="815">
        <f t="shared" si="129"/>
        <v>0</v>
      </c>
      <c r="Q388" s="815">
        <f t="shared" si="130"/>
        <v>16</v>
      </c>
      <c r="R388" s="815">
        <f t="shared" si="131"/>
        <v>0</v>
      </c>
      <c r="S388" s="815">
        <f t="shared" si="132"/>
        <v>8</v>
      </c>
      <c r="T388" s="815">
        <f t="shared" si="133"/>
        <v>4</v>
      </c>
      <c r="U388" s="815">
        <f t="shared" si="134"/>
        <v>4</v>
      </c>
      <c r="V388" s="815">
        <f t="shared" si="135"/>
        <v>0</v>
      </c>
      <c r="W388" s="815"/>
      <c r="X388" s="815"/>
      <c r="Y388" s="815"/>
      <c r="Z388" s="815"/>
      <c r="AA388" s="830">
        <f t="shared" si="138"/>
        <v>55.999999999999957</v>
      </c>
      <c r="AB388" s="830">
        <f>VLOOKUP(C388,'[3]MỦ TẠP'!$D$10:$AM$450,36,0)</f>
        <v>0</v>
      </c>
      <c r="AC388" s="830"/>
      <c r="AD388" s="830"/>
      <c r="AE388" s="831">
        <f t="shared" si="136"/>
        <v>0</v>
      </c>
      <c r="AF388" s="830"/>
      <c r="AG388" s="830"/>
      <c r="AH388" s="830">
        <f t="shared" si="137"/>
        <v>0</v>
      </c>
      <c r="AI388" s="830">
        <f>VLOOKUP(C388,'[3]CHẤM CÔNG '!$F$10:$AM$451,33,0)</f>
        <v>0</v>
      </c>
      <c r="AJ388" s="830">
        <f>VLOOKUP(C388,'[3]CHẤM CÔNG '!$F$10:$AM$451,34,0)</f>
        <v>0</v>
      </c>
      <c r="AK388" s="830"/>
      <c r="AL388" s="830"/>
      <c r="AM388" s="830"/>
      <c r="AN388" s="830">
        <f>VLOOKUP(C388,'[3]CHẤM CÔNG '!$F$10:$AN$451,35,0)</f>
        <v>0</v>
      </c>
      <c r="AO388" s="830">
        <f>VLOOKUP(C388,'[3]CHẤM CÔNG '!$F$10:$AR$451,36,0)</f>
        <v>0</v>
      </c>
      <c r="AP388" s="830"/>
      <c r="AQ388" s="830"/>
      <c r="AR388" s="830"/>
      <c r="AS388" s="836"/>
      <c r="AT388" s="837">
        <f>VLOOKUP(C388,'[3]MỦ TẠP'!$D$10:$AO$450,38,0)</f>
        <v>0</v>
      </c>
    </row>
    <row r="389" spans="1:46" ht="15.75">
      <c r="A389" s="812">
        <v>8</v>
      </c>
      <c r="B389" s="813" t="str">
        <f>VLOOKUP(C389,'[3]DS CN MOI UP'!$B$10:$C$489,2,0)</f>
        <v>02643</v>
      </c>
      <c r="C389" s="846" t="s">
        <v>293</v>
      </c>
      <c r="D389" s="812" t="s">
        <v>15</v>
      </c>
      <c r="E389" s="815">
        <v>4</v>
      </c>
      <c r="F389" s="815"/>
      <c r="G389" s="815"/>
      <c r="H389" s="815">
        <v>4</v>
      </c>
      <c r="I389" s="815"/>
      <c r="J389" s="815">
        <v>4</v>
      </c>
      <c r="K389" s="815">
        <v>4</v>
      </c>
      <c r="L389" s="815">
        <v>4</v>
      </c>
      <c r="M389" s="815"/>
      <c r="N389" s="815">
        <f t="shared" si="127"/>
        <v>23.999999999999954</v>
      </c>
      <c r="O389" s="815">
        <f t="shared" si="128"/>
        <v>0</v>
      </c>
      <c r="P389" s="815">
        <f t="shared" si="129"/>
        <v>0</v>
      </c>
      <c r="Q389" s="815">
        <f t="shared" si="130"/>
        <v>16</v>
      </c>
      <c r="R389" s="815">
        <f t="shared" si="131"/>
        <v>0</v>
      </c>
      <c r="S389" s="815">
        <f t="shared" si="132"/>
        <v>8</v>
      </c>
      <c r="T389" s="815">
        <f t="shared" si="133"/>
        <v>4</v>
      </c>
      <c r="U389" s="815">
        <f t="shared" si="134"/>
        <v>4</v>
      </c>
      <c r="V389" s="815">
        <f t="shared" si="135"/>
        <v>0</v>
      </c>
      <c r="W389" s="815"/>
      <c r="X389" s="815"/>
      <c r="Y389" s="815"/>
      <c r="Z389" s="815"/>
      <c r="AA389" s="830">
        <f t="shared" si="138"/>
        <v>55.999999999999957</v>
      </c>
      <c r="AB389" s="830">
        <f>VLOOKUP(C389,'[3]MỦ TẠP'!$D$10:$AM$450,36,0)</f>
        <v>0</v>
      </c>
      <c r="AC389" s="830"/>
      <c r="AD389" s="830"/>
      <c r="AE389" s="831">
        <f t="shared" si="136"/>
        <v>0</v>
      </c>
      <c r="AF389" s="830"/>
      <c r="AG389" s="830"/>
      <c r="AH389" s="830">
        <f t="shared" si="137"/>
        <v>0</v>
      </c>
      <c r="AI389" s="830">
        <f>VLOOKUP(C389,'[3]CHẤM CÔNG '!$F$10:$AM$451,33,0)</f>
        <v>0</v>
      </c>
      <c r="AJ389" s="830">
        <f>VLOOKUP(C389,'[3]CHẤM CÔNG '!$F$10:$AM$451,34,0)</f>
        <v>0</v>
      </c>
      <c r="AK389" s="830"/>
      <c r="AL389" s="830"/>
      <c r="AM389" s="830"/>
      <c r="AN389" s="830">
        <f>VLOOKUP(C389,'[3]CHẤM CÔNG '!$F$10:$AN$451,35,0)</f>
        <v>0</v>
      </c>
      <c r="AO389" s="830">
        <f>VLOOKUP(C389,'[3]CHẤM CÔNG '!$F$10:$AR$451,36,0)</f>
        <v>0</v>
      </c>
      <c r="AP389" s="830"/>
      <c r="AQ389" s="830"/>
      <c r="AR389" s="830"/>
      <c r="AS389" s="836"/>
      <c r="AT389" s="837">
        <f>VLOOKUP(C389,'[3]MỦ TẠP'!$D$10:$AO$450,38,0)</f>
        <v>0</v>
      </c>
    </row>
    <row r="390" spans="1:46" ht="15.75">
      <c r="A390" s="812">
        <v>9</v>
      </c>
      <c r="B390" s="813" t="str">
        <f>VLOOKUP(C390,'[3]DS CN MOI UP'!$B$10:$C$489,2,0)</f>
        <v>03407</v>
      </c>
      <c r="C390" s="846" t="s">
        <v>294</v>
      </c>
      <c r="D390" s="812" t="s">
        <v>15</v>
      </c>
      <c r="E390" s="815">
        <v>4</v>
      </c>
      <c r="F390" s="815"/>
      <c r="G390" s="815"/>
      <c r="H390" s="815">
        <v>4</v>
      </c>
      <c r="I390" s="815"/>
      <c r="J390" s="815">
        <v>4</v>
      </c>
      <c r="K390" s="815">
        <v>4</v>
      </c>
      <c r="L390" s="815">
        <v>4</v>
      </c>
      <c r="M390" s="815"/>
      <c r="N390" s="815">
        <f t="shared" si="127"/>
        <v>23.999999999999954</v>
      </c>
      <c r="O390" s="815">
        <f t="shared" si="128"/>
        <v>0</v>
      </c>
      <c r="P390" s="815">
        <f t="shared" si="129"/>
        <v>0</v>
      </c>
      <c r="Q390" s="815">
        <f t="shared" si="130"/>
        <v>16</v>
      </c>
      <c r="R390" s="815">
        <f t="shared" si="131"/>
        <v>0</v>
      </c>
      <c r="S390" s="815">
        <f t="shared" si="132"/>
        <v>8</v>
      </c>
      <c r="T390" s="815">
        <f t="shared" si="133"/>
        <v>4</v>
      </c>
      <c r="U390" s="815">
        <f t="shared" si="134"/>
        <v>4</v>
      </c>
      <c r="V390" s="815">
        <f t="shared" si="135"/>
        <v>0</v>
      </c>
      <c r="W390" s="815"/>
      <c r="X390" s="815"/>
      <c r="Y390" s="815"/>
      <c r="Z390" s="815"/>
      <c r="AA390" s="830">
        <f t="shared" si="138"/>
        <v>55.999999999999957</v>
      </c>
      <c r="AB390" s="830">
        <f>VLOOKUP(C390,'[3]MỦ TẠP'!$D$10:$AM$450,36,0)</f>
        <v>0</v>
      </c>
      <c r="AC390" s="830"/>
      <c r="AD390" s="830"/>
      <c r="AE390" s="831">
        <f t="shared" si="136"/>
        <v>0</v>
      </c>
      <c r="AF390" s="830"/>
      <c r="AG390" s="830"/>
      <c r="AH390" s="830">
        <f t="shared" si="137"/>
        <v>0</v>
      </c>
      <c r="AI390" s="830">
        <f>VLOOKUP(C390,'[3]CHẤM CÔNG '!$F$10:$AM$451,33,0)</f>
        <v>0</v>
      </c>
      <c r="AJ390" s="830">
        <f>VLOOKUP(C390,'[3]CHẤM CÔNG '!$F$10:$AM$451,34,0)</f>
        <v>0</v>
      </c>
      <c r="AK390" s="830"/>
      <c r="AL390" s="830"/>
      <c r="AM390" s="830"/>
      <c r="AN390" s="830">
        <f>VLOOKUP(C390,'[3]CHẤM CÔNG '!$F$10:$AN$451,35,0)</f>
        <v>0</v>
      </c>
      <c r="AO390" s="830">
        <f>VLOOKUP(C390,'[3]CHẤM CÔNG '!$F$10:$AR$451,36,0)</f>
        <v>0</v>
      </c>
      <c r="AP390" s="830"/>
      <c r="AQ390" s="830"/>
      <c r="AR390" s="830"/>
      <c r="AS390" s="836"/>
      <c r="AT390" s="837">
        <f>VLOOKUP(C390,'[3]MỦ TẠP'!$D$10:$AO$450,38,0)</f>
        <v>0</v>
      </c>
    </row>
    <row r="391" spans="1:46" ht="15.75">
      <c r="A391" s="812">
        <v>10</v>
      </c>
      <c r="B391" s="813" t="str">
        <f>VLOOKUP(C391,'[3]DS CN MOI UP'!$B$10:$C$489,2,0)</f>
        <v>03408</v>
      </c>
      <c r="C391" s="846" t="s">
        <v>295</v>
      </c>
      <c r="D391" s="812" t="s">
        <v>15</v>
      </c>
      <c r="E391" s="815">
        <v>4</v>
      </c>
      <c r="F391" s="815"/>
      <c r="G391" s="815"/>
      <c r="H391" s="815">
        <v>4</v>
      </c>
      <c r="I391" s="815"/>
      <c r="J391" s="815">
        <v>4</v>
      </c>
      <c r="K391" s="815">
        <v>4</v>
      </c>
      <c r="L391" s="815">
        <v>4</v>
      </c>
      <c r="M391" s="815"/>
      <c r="N391" s="815">
        <f t="shared" si="127"/>
        <v>23.999999999999954</v>
      </c>
      <c r="O391" s="815">
        <f t="shared" si="128"/>
        <v>0</v>
      </c>
      <c r="P391" s="815">
        <f t="shared" si="129"/>
        <v>0</v>
      </c>
      <c r="Q391" s="815">
        <f t="shared" si="130"/>
        <v>16</v>
      </c>
      <c r="R391" s="815">
        <f t="shared" si="131"/>
        <v>0</v>
      </c>
      <c r="S391" s="815">
        <f t="shared" si="132"/>
        <v>8</v>
      </c>
      <c r="T391" s="815">
        <f t="shared" si="133"/>
        <v>4</v>
      </c>
      <c r="U391" s="815">
        <f t="shared" si="134"/>
        <v>4</v>
      </c>
      <c r="V391" s="815">
        <f t="shared" si="135"/>
        <v>0</v>
      </c>
      <c r="W391" s="815"/>
      <c r="X391" s="815"/>
      <c r="Y391" s="815"/>
      <c r="Z391" s="815"/>
      <c r="AA391" s="830">
        <f t="shared" si="138"/>
        <v>55.999999999999957</v>
      </c>
      <c r="AB391" s="830">
        <f>VLOOKUP(C391,'[3]MỦ TẠP'!$D$10:$AM$450,36,0)</f>
        <v>0</v>
      </c>
      <c r="AC391" s="830"/>
      <c r="AD391" s="830"/>
      <c r="AE391" s="831">
        <f t="shared" si="136"/>
        <v>0</v>
      </c>
      <c r="AF391" s="830"/>
      <c r="AG391" s="830"/>
      <c r="AH391" s="830">
        <f t="shared" si="137"/>
        <v>0</v>
      </c>
      <c r="AI391" s="830">
        <f>VLOOKUP(C391,'[3]CHẤM CÔNG '!$F$10:$AM$451,33,0)</f>
        <v>0</v>
      </c>
      <c r="AJ391" s="830">
        <f>VLOOKUP(C391,'[3]CHẤM CÔNG '!$F$10:$AM$451,34,0)</f>
        <v>0</v>
      </c>
      <c r="AK391" s="830"/>
      <c r="AL391" s="830"/>
      <c r="AM391" s="830"/>
      <c r="AN391" s="830">
        <f>VLOOKUP(C391,'[3]CHẤM CÔNG '!$F$10:$AN$451,35,0)</f>
        <v>0</v>
      </c>
      <c r="AO391" s="830">
        <f>VLOOKUP(C391,'[3]CHẤM CÔNG '!$F$10:$AR$451,36,0)</f>
        <v>0</v>
      </c>
      <c r="AP391" s="830"/>
      <c r="AQ391" s="830"/>
      <c r="AR391" s="830"/>
      <c r="AS391" s="836"/>
      <c r="AT391" s="837">
        <f>VLOOKUP(C391,'[3]MỦ TẠP'!$D$10:$AO$450,38,0)</f>
        <v>0</v>
      </c>
    </row>
    <row r="392" spans="1:46" ht="15.75">
      <c r="A392" s="812">
        <v>11</v>
      </c>
      <c r="B392" s="813" t="str">
        <f>VLOOKUP(C392,'[3]DS CN MOI UP'!$B$10:$C$489,2,0)</f>
        <v>02646</v>
      </c>
      <c r="C392" s="846" t="s">
        <v>296</v>
      </c>
      <c r="D392" s="812" t="s">
        <v>15</v>
      </c>
      <c r="E392" s="815">
        <v>4</v>
      </c>
      <c r="F392" s="815"/>
      <c r="G392" s="815"/>
      <c r="H392" s="815">
        <v>4</v>
      </c>
      <c r="I392" s="815"/>
      <c r="J392" s="815">
        <v>4</v>
      </c>
      <c r="K392" s="815">
        <v>4</v>
      </c>
      <c r="L392" s="815">
        <v>4</v>
      </c>
      <c r="M392" s="815"/>
      <c r="N392" s="815">
        <f t="shared" si="127"/>
        <v>23.999999999999954</v>
      </c>
      <c r="O392" s="815">
        <f t="shared" si="128"/>
        <v>0</v>
      </c>
      <c r="P392" s="815">
        <f t="shared" si="129"/>
        <v>0</v>
      </c>
      <c r="Q392" s="815">
        <f t="shared" si="130"/>
        <v>16</v>
      </c>
      <c r="R392" s="815">
        <f t="shared" si="131"/>
        <v>0</v>
      </c>
      <c r="S392" s="815">
        <f t="shared" si="132"/>
        <v>8</v>
      </c>
      <c r="T392" s="815">
        <f t="shared" si="133"/>
        <v>4</v>
      </c>
      <c r="U392" s="815">
        <f t="shared" si="134"/>
        <v>4</v>
      </c>
      <c r="V392" s="815">
        <f t="shared" si="135"/>
        <v>0</v>
      </c>
      <c r="W392" s="815"/>
      <c r="X392" s="815"/>
      <c r="Y392" s="815"/>
      <c r="Z392" s="815"/>
      <c r="AA392" s="830">
        <f t="shared" si="138"/>
        <v>55.999999999999957</v>
      </c>
      <c r="AB392" s="830">
        <f>VLOOKUP(C392,'[3]MỦ TẠP'!$D$10:$AM$450,36,0)</f>
        <v>0</v>
      </c>
      <c r="AC392" s="830"/>
      <c r="AD392" s="830"/>
      <c r="AE392" s="831">
        <f t="shared" si="136"/>
        <v>0</v>
      </c>
      <c r="AF392" s="830"/>
      <c r="AG392" s="830"/>
      <c r="AH392" s="830">
        <f t="shared" si="137"/>
        <v>0</v>
      </c>
      <c r="AI392" s="830">
        <f>VLOOKUP(C392,'[3]CHẤM CÔNG '!$F$10:$AM$451,33,0)</f>
        <v>0</v>
      </c>
      <c r="AJ392" s="830">
        <f>VLOOKUP(C392,'[3]CHẤM CÔNG '!$F$10:$AM$451,34,0)</f>
        <v>0</v>
      </c>
      <c r="AK392" s="830"/>
      <c r="AL392" s="830"/>
      <c r="AM392" s="830"/>
      <c r="AN392" s="830">
        <f>VLOOKUP(C392,'[3]CHẤM CÔNG '!$F$10:$AN$451,35,0)</f>
        <v>0</v>
      </c>
      <c r="AO392" s="830">
        <f>VLOOKUP(C392,'[3]CHẤM CÔNG '!$F$10:$AR$451,36,0)</f>
        <v>0</v>
      </c>
      <c r="AP392" s="830"/>
      <c r="AQ392" s="830"/>
      <c r="AR392" s="830"/>
      <c r="AS392" s="836"/>
      <c r="AT392" s="837">
        <f>VLOOKUP(C392,'[3]MỦ TẠP'!$D$10:$AO$450,38,0)</f>
        <v>0</v>
      </c>
    </row>
    <row r="393" spans="1:46" ht="15.75">
      <c r="A393" s="812">
        <v>12</v>
      </c>
      <c r="B393" s="813" t="e">
        <f>VLOOKUP(C393,'[3]DS CN MOI UP'!$B$10:$C$489,2,0)</f>
        <v>#N/A</v>
      </c>
      <c r="C393" s="846" t="s">
        <v>297</v>
      </c>
      <c r="D393" s="812" t="s">
        <v>15</v>
      </c>
      <c r="E393" s="815">
        <v>4</v>
      </c>
      <c r="F393" s="815"/>
      <c r="G393" s="815"/>
      <c r="H393" s="815">
        <v>4</v>
      </c>
      <c r="I393" s="815"/>
      <c r="J393" s="815">
        <v>4</v>
      </c>
      <c r="K393" s="815">
        <v>4</v>
      </c>
      <c r="L393" s="815">
        <v>4</v>
      </c>
      <c r="M393" s="815"/>
      <c r="N393" s="815">
        <f t="shared" si="127"/>
        <v>23.999999999999954</v>
      </c>
      <c r="O393" s="815">
        <f t="shared" si="128"/>
        <v>0</v>
      </c>
      <c r="P393" s="815">
        <f t="shared" si="129"/>
        <v>0</v>
      </c>
      <c r="Q393" s="815">
        <f t="shared" si="130"/>
        <v>16</v>
      </c>
      <c r="R393" s="815">
        <f t="shared" si="131"/>
        <v>0</v>
      </c>
      <c r="S393" s="815">
        <f t="shared" si="132"/>
        <v>8</v>
      </c>
      <c r="T393" s="815">
        <f t="shared" si="133"/>
        <v>4</v>
      </c>
      <c r="U393" s="815">
        <f t="shared" si="134"/>
        <v>4</v>
      </c>
      <c r="V393" s="815">
        <f t="shared" si="135"/>
        <v>0</v>
      </c>
      <c r="W393" s="815"/>
      <c r="X393" s="815"/>
      <c r="Y393" s="815"/>
      <c r="Z393" s="815"/>
      <c r="AA393" s="830">
        <f t="shared" si="138"/>
        <v>55.999999999999957</v>
      </c>
      <c r="AB393" s="830" t="e">
        <f>VLOOKUP(C393,'[3]MỦ TẠP'!$D$10:$AM$450,36,0)</f>
        <v>#N/A</v>
      </c>
      <c r="AC393" s="830"/>
      <c r="AD393" s="830"/>
      <c r="AE393" s="831" t="e">
        <f t="shared" si="136"/>
        <v>#N/A</v>
      </c>
      <c r="AF393" s="830"/>
      <c r="AG393" s="830"/>
      <c r="AH393" s="830" t="e">
        <f t="shared" si="137"/>
        <v>#N/A</v>
      </c>
      <c r="AI393" s="830" t="e">
        <f>VLOOKUP(C393,'[3]CHẤM CÔNG '!$F$10:$AM$451,33,0)</f>
        <v>#N/A</v>
      </c>
      <c r="AJ393" s="830" t="e">
        <f>VLOOKUP(C393,'[3]CHẤM CÔNG '!$F$10:$AM$451,34,0)</f>
        <v>#N/A</v>
      </c>
      <c r="AK393" s="830"/>
      <c r="AL393" s="830"/>
      <c r="AM393" s="830"/>
      <c r="AN393" s="830" t="e">
        <f>VLOOKUP(C393,'[3]CHẤM CÔNG '!$F$10:$AN$451,35,0)</f>
        <v>#N/A</v>
      </c>
      <c r="AO393" s="830" t="e">
        <f>VLOOKUP(C393,'[3]CHẤM CÔNG '!$F$10:$AR$451,36,0)</f>
        <v>#N/A</v>
      </c>
      <c r="AP393" s="830"/>
      <c r="AQ393" s="830"/>
      <c r="AR393" s="830"/>
      <c r="AS393" s="836"/>
      <c r="AT393" s="837" t="e">
        <f>VLOOKUP(C393,'[3]MỦ TẠP'!$D$10:$AO$450,38,0)</f>
        <v>#N/A</v>
      </c>
    </row>
    <row r="394" spans="1:46" ht="15.75">
      <c r="A394" s="812">
        <v>13</v>
      </c>
      <c r="B394" s="813" t="str">
        <f>VLOOKUP(C394,'[3]DS CN MOI UP'!$B$10:$C$489,2,0)</f>
        <v>02648</v>
      </c>
      <c r="C394" s="846" t="s">
        <v>298</v>
      </c>
      <c r="D394" s="812" t="s">
        <v>15</v>
      </c>
      <c r="E394" s="815">
        <v>4</v>
      </c>
      <c r="F394" s="815"/>
      <c r="G394" s="815"/>
      <c r="H394" s="815">
        <v>4</v>
      </c>
      <c r="I394" s="815"/>
      <c r="J394" s="815">
        <v>4</v>
      </c>
      <c r="K394" s="815">
        <v>4</v>
      </c>
      <c r="L394" s="815">
        <v>4</v>
      </c>
      <c r="M394" s="815"/>
      <c r="N394" s="815">
        <f t="shared" si="127"/>
        <v>23.999999999999954</v>
      </c>
      <c r="O394" s="815">
        <f t="shared" si="128"/>
        <v>0</v>
      </c>
      <c r="P394" s="815">
        <f t="shared" si="129"/>
        <v>0</v>
      </c>
      <c r="Q394" s="815">
        <f t="shared" si="130"/>
        <v>16</v>
      </c>
      <c r="R394" s="815">
        <f t="shared" si="131"/>
        <v>0</v>
      </c>
      <c r="S394" s="815">
        <f t="shared" si="132"/>
        <v>8</v>
      </c>
      <c r="T394" s="815">
        <f t="shared" si="133"/>
        <v>4</v>
      </c>
      <c r="U394" s="815">
        <f t="shared" si="134"/>
        <v>4</v>
      </c>
      <c r="V394" s="815">
        <f t="shared" si="135"/>
        <v>0</v>
      </c>
      <c r="W394" s="815"/>
      <c r="X394" s="815"/>
      <c r="Y394" s="815"/>
      <c r="Z394" s="815"/>
      <c r="AA394" s="830">
        <f t="shared" si="138"/>
        <v>55.999999999999957</v>
      </c>
      <c r="AB394" s="830">
        <f>VLOOKUP(C394,'[3]MỦ TẠP'!$D$10:$AM$450,36,0)</f>
        <v>0</v>
      </c>
      <c r="AC394" s="830"/>
      <c r="AD394" s="830"/>
      <c r="AE394" s="831">
        <f t="shared" si="136"/>
        <v>0</v>
      </c>
      <c r="AF394" s="830"/>
      <c r="AG394" s="830"/>
      <c r="AH394" s="830">
        <f t="shared" si="137"/>
        <v>0</v>
      </c>
      <c r="AI394" s="830">
        <f>VLOOKUP(C394,'[3]CHẤM CÔNG '!$F$10:$AM$451,33,0)</f>
        <v>0</v>
      </c>
      <c r="AJ394" s="830">
        <f>VLOOKUP(C394,'[3]CHẤM CÔNG '!$F$10:$AM$451,34,0)</f>
        <v>0</v>
      </c>
      <c r="AK394" s="830"/>
      <c r="AL394" s="830"/>
      <c r="AM394" s="830"/>
      <c r="AN394" s="830">
        <f>VLOOKUP(C394,'[3]CHẤM CÔNG '!$F$10:$AN$451,35,0)</f>
        <v>0</v>
      </c>
      <c r="AO394" s="830">
        <f>VLOOKUP(C394,'[3]CHẤM CÔNG '!$F$10:$AR$451,36,0)</f>
        <v>0</v>
      </c>
      <c r="AP394" s="830"/>
      <c r="AQ394" s="830"/>
      <c r="AR394" s="830"/>
      <c r="AS394" s="836"/>
      <c r="AT394" s="837">
        <f>VLOOKUP(C394,'[3]MỦ TẠP'!$D$10:$AO$450,38,0)</f>
        <v>0</v>
      </c>
    </row>
    <row r="395" spans="1:46" ht="15.75">
      <c r="A395" s="812">
        <v>14</v>
      </c>
      <c r="B395" s="813" t="e">
        <f>VLOOKUP(C395,'[3]DS CN MOI UP'!$B$10:$C$489,2,0)</f>
        <v>#N/A</v>
      </c>
      <c r="C395" s="846" t="s">
        <v>299</v>
      </c>
      <c r="D395" s="812" t="s">
        <v>15</v>
      </c>
      <c r="E395" s="815">
        <v>4</v>
      </c>
      <c r="F395" s="815"/>
      <c r="G395" s="815"/>
      <c r="H395" s="815">
        <v>4</v>
      </c>
      <c r="I395" s="815"/>
      <c r="J395" s="815">
        <v>4</v>
      </c>
      <c r="K395" s="815">
        <v>4</v>
      </c>
      <c r="L395" s="815">
        <v>4</v>
      </c>
      <c r="M395" s="815"/>
      <c r="N395" s="815">
        <f t="shared" si="127"/>
        <v>23.999999999999954</v>
      </c>
      <c r="O395" s="815">
        <f t="shared" si="128"/>
        <v>0</v>
      </c>
      <c r="P395" s="815">
        <f t="shared" si="129"/>
        <v>0</v>
      </c>
      <c r="Q395" s="815">
        <f t="shared" si="130"/>
        <v>16</v>
      </c>
      <c r="R395" s="815">
        <f t="shared" si="131"/>
        <v>0</v>
      </c>
      <c r="S395" s="815">
        <f t="shared" si="132"/>
        <v>8</v>
      </c>
      <c r="T395" s="815">
        <f t="shared" si="133"/>
        <v>4</v>
      </c>
      <c r="U395" s="815">
        <f t="shared" si="134"/>
        <v>4</v>
      </c>
      <c r="V395" s="815">
        <f t="shared" si="135"/>
        <v>0</v>
      </c>
      <c r="W395" s="815"/>
      <c r="X395" s="815"/>
      <c r="Y395" s="815"/>
      <c r="Z395" s="815"/>
      <c r="AA395" s="830">
        <f t="shared" si="138"/>
        <v>55.999999999999957</v>
      </c>
      <c r="AB395" s="830" t="e">
        <f>VLOOKUP(C395,'[3]MỦ TẠP'!$D$10:$AM$450,36,0)</f>
        <v>#N/A</v>
      </c>
      <c r="AC395" s="830"/>
      <c r="AD395" s="830"/>
      <c r="AE395" s="831" t="e">
        <f t="shared" si="136"/>
        <v>#N/A</v>
      </c>
      <c r="AF395" s="830"/>
      <c r="AG395" s="830"/>
      <c r="AH395" s="830" t="e">
        <f t="shared" si="137"/>
        <v>#N/A</v>
      </c>
      <c r="AI395" s="830" t="e">
        <f>VLOOKUP(C395,'[3]CHẤM CÔNG '!$F$10:$AM$451,33,0)</f>
        <v>#N/A</v>
      </c>
      <c r="AJ395" s="830" t="e">
        <f>VLOOKUP(C395,'[3]CHẤM CÔNG '!$F$10:$AM$451,34,0)</f>
        <v>#N/A</v>
      </c>
      <c r="AK395" s="830"/>
      <c r="AL395" s="830"/>
      <c r="AM395" s="830"/>
      <c r="AN395" s="830" t="e">
        <f>VLOOKUP(C395,'[3]CHẤM CÔNG '!$F$10:$AN$451,35,0)</f>
        <v>#N/A</v>
      </c>
      <c r="AO395" s="830" t="e">
        <f>VLOOKUP(C395,'[3]CHẤM CÔNG '!$F$10:$AR$451,36,0)</f>
        <v>#N/A</v>
      </c>
      <c r="AP395" s="830"/>
      <c r="AQ395" s="830"/>
      <c r="AR395" s="830"/>
      <c r="AS395" s="836"/>
      <c r="AT395" s="837" t="e">
        <f>VLOOKUP(C395,'[3]MỦ TẠP'!$D$10:$AO$450,38,0)</f>
        <v>#N/A</v>
      </c>
    </row>
    <row r="396" spans="1:46" ht="15.75">
      <c r="A396" s="812">
        <v>15</v>
      </c>
      <c r="B396" s="813" t="str">
        <f>VLOOKUP(C396,'[3]DS CN MOI UP'!$B$10:$C$489,2,0)</f>
        <v>02650</v>
      </c>
      <c r="C396" s="846" t="s">
        <v>300</v>
      </c>
      <c r="D396" s="812" t="s">
        <v>15</v>
      </c>
      <c r="E396" s="815">
        <v>4</v>
      </c>
      <c r="F396" s="815"/>
      <c r="G396" s="815"/>
      <c r="H396" s="815">
        <v>4</v>
      </c>
      <c r="I396" s="815"/>
      <c r="J396" s="815">
        <v>4</v>
      </c>
      <c r="K396" s="815">
        <v>4</v>
      </c>
      <c r="L396" s="815">
        <v>4</v>
      </c>
      <c r="M396" s="815"/>
      <c r="N396" s="815">
        <f t="shared" si="127"/>
        <v>23.999999999999954</v>
      </c>
      <c r="O396" s="815">
        <f t="shared" si="128"/>
        <v>0</v>
      </c>
      <c r="P396" s="815">
        <f t="shared" si="129"/>
        <v>0</v>
      </c>
      <c r="Q396" s="815">
        <f t="shared" si="130"/>
        <v>16</v>
      </c>
      <c r="R396" s="815">
        <f t="shared" si="131"/>
        <v>0</v>
      </c>
      <c r="S396" s="815">
        <f t="shared" si="132"/>
        <v>8</v>
      </c>
      <c r="T396" s="815">
        <f t="shared" si="133"/>
        <v>4</v>
      </c>
      <c r="U396" s="815">
        <f t="shared" si="134"/>
        <v>4</v>
      </c>
      <c r="V396" s="815">
        <f t="shared" si="135"/>
        <v>0</v>
      </c>
      <c r="W396" s="815"/>
      <c r="X396" s="815"/>
      <c r="Y396" s="815"/>
      <c r="Z396" s="815"/>
      <c r="AA396" s="830">
        <f t="shared" si="138"/>
        <v>55.999999999999957</v>
      </c>
      <c r="AB396" s="830">
        <f>VLOOKUP(C396,'[3]MỦ TẠP'!$D$10:$AM$450,36,0)</f>
        <v>0</v>
      </c>
      <c r="AC396" s="830"/>
      <c r="AD396" s="830"/>
      <c r="AE396" s="831">
        <f t="shared" si="136"/>
        <v>0</v>
      </c>
      <c r="AF396" s="830"/>
      <c r="AG396" s="830"/>
      <c r="AH396" s="830">
        <f t="shared" si="137"/>
        <v>0</v>
      </c>
      <c r="AI396" s="830">
        <f>VLOOKUP(C396,'[3]CHẤM CÔNG '!$F$10:$AM$451,33,0)</f>
        <v>0</v>
      </c>
      <c r="AJ396" s="830">
        <f>VLOOKUP(C396,'[3]CHẤM CÔNG '!$F$10:$AM$451,34,0)</f>
        <v>0</v>
      </c>
      <c r="AK396" s="830"/>
      <c r="AL396" s="830"/>
      <c r="AM396" s="830"/>
      <c r="AN396" s="830">
        <f>VLOOKUP(C396,'[3]CHẤM CÔNG '!$F$10:$AN$451,35,0)</f>
        <v>0</v>
      </c>
      <c r="AO396" s="830">
        <f>VLOOKUP(C396,'[3]CHẤM CÔNG '!$F$10:$AR$451,36,0)</f>
        <v>0</v>
      </c>
      <c r="AP396" s="830"/>
      <c r="AQ396" s="830"/>
      <c r="AR396" s="830"/>
      <c r="AS396" s="836"/>
      <c r="AT396" s="837">
        <f>VLOOKUP(C396,'[3]MỦ TẠP'!$D$10:$AO$450,38,0)</f>
        <v>0</v>
      </c>
    </row>
    <row r="397" spans="1:46" ht="15.75">
      <c r="A397" s="812">
        <v>16</v>
      </c>
      <c r="B397" s="813" t="str">
        <f>VLOOKUP(C397,'[3]DS CN MOI UP'!$B$10:$C$489,2,0)</f>
        <v>02651</v>
      </c>
      <c r="C397" s="846" t="s">
        <v>301</v>
      </c>
      <c r="D397" s="812" t="s">
        <v>15</v>
      </c>
      <c r="E397" s="815">
        <v>4</v>
      </c>
      <c r="F397" s="815"/>
      <c r="G397" s="815"/>
      <c r="H397" s="815">
        <v>4</v>
      </c>
      <c r="I397" s="815"/>
      <c r="J397" s="815">
        <v>4</v>
      </c>
      <c r="K397" s="815">
        <v>4</v>
      </c>
      <c r="L397" s="815">
        <v>4</v>
      </c>
      <c r="M397" s="815"/>
      <c r="N397" s="815">
        <f t="shared" si="127"/>
        <v>23.999999999999954</v>
      </c>
      <c r="O397" s="815">
        <f t="shared" si="128"/>
        <v>0</v>
      </c>
      <c r="P397" s="815">
        <f t="shared" si="129"/>
        <v>0</v>
      </c>
      <c r="Q397" s="815">
        <f t="shared" si="130"/>
        <v>16</v>
      </c>
      <c r="R397" s="815">
        <f t="shared" si="131"/>
        <v>0</v>
      </c>
      <c r="S397" s="815">
        <f t="shared" si="132"/>
        <v>8</v>
      </c>
      <c r="T397" s="815">
        <f t="shared" si="133"/>
        <v>4</v>
      </c>
      <c r="U397" s="815">
        <f t="shared" si="134"/>
        <v>4</v>
      </c>
      <c r="V397" s="815">
        <f t="shared" si="135"/>
        <v>0</v>
      </c>
      <c r="W397" s="815"/>
      <c r="X397" s="815"/>
      <c r="Y397" s="815"/>
      <c r="Z397" s="815"/>
      <c r="AA397" s="830">
        <f t="shared" si="138"/>
        <v>55.999999999999957</v>
      </c>
      <c r="AB397" s="830">
        <f>VLOOKUP(C397,'[3]MỦ TẠP'!$D$10:$AM$450,36,0)</f>
        <v>0</v>
      </c>
      <c r="AC397" s="830"/>
      <c r="AD397" s="830"/>
      <c r="AE397" s="831">
        <f t="shared" si="136"/>
        <v>0</v>
      </c>
      <c r="AF397" s="830"/>
      <c r="AG397" s="830"/>
      <c r="AH397" s="830">
        <f t="shared" si="137"/>
        <v>0</v>
      </c>
      <c r="AI397" s="830">
        <f>VLOOKUP(C397,'[3]CHẤM CÔNG '!$F$10:$AM$451,33,0)</f>
        <v>0</v>
      </c>
      <c r="AJ397" s="830">
        <f>VLOOKUP(C397,'[3]CHẤM CÔNG '!$F$10:$AM$451,34,0)</f>
        <v>0</v>
      </c>
      <c r="AK397" s="830"/>
      <c r="AL397" s="830"/>
      <c r="AM397" s="830"/>
      <c r="AN397" s="830">
        <f>VLOOKUP(C397,'[3]CHẤM CÔNG '!$F$10:$AN$451,35,0)</f>
        <v>0</v>
      </c>
      <c r="AO397" s="830">
        <f>VLOOKUP(C397,'[3]CHẤM CÔNG '!$F$10:$AR$451,36,0)</f>
        <v>0</v>
      </c>
      <c r="AP397" s="830"/>
      <c r="AQ397" s="830"/>
      <c r="AR397" s="830"/>
      <c r="AS397" s="836"/>
      <c r="AT397" s="837">
        <f>VLOOKUP(C397,'[3]MỦ TẠP'!$D$10:$AO$450,38,0)</f>
        <v>0</v>
      </c>
    </row>
    <row r="398" spans="1:46" ht="15.75">
      <c r="A398" s="812">
        <v>17</v>
      </c>
      <c r="B398" s="813" t="str">
        <f>VLOOKUP(C398,'[3]DS CN MOI UP'!$B$10:$C$489,2,0)</f>
        <v>02652</v>
      </c>
      <c r="C398" s="846" t="s">
        <v>302</v>
      </c>
      <c r="D398" s="812" t="s">
        <v>15</v>
      </c>
      <c r="E398" s="815">
        <v>4</v>
      </c>
      <c r="F398" s="815"/>
      <c r="G398" s="815"/>
      <c r="H398" s="815">
        <v>4</v>
      </c>
      <c r="I398" s="815"/>
      <c r="J398" s="815">
        <v>4</v>
      </c>
      <c r="K398" s="815">
        <v>4</v>
      </c>
      <c r="L398" s="815">
        <v>4</v>
      </c>
      <c r="M398" s="815"/>
      <c r="N398" s="815">
        <f t="shared" si="127"/>
        <v>23.999999999999954</v>
      </c>
      <c r="O398" s="815">
        <f t="shared" si="128"/>
        <v>0</v>
      </c>
      <c r="P398" s="815">
        <f t="shared" si="129"/>
        <v>0</v>
      </c>
      <c r="Q398" s="815">
        <f t="shared" si="130"/>
        <v>16</v>
      </c>
      <c r="R398" s="815">
        <f t="shared" si="131"/>
        <v>0</v>
      </c>
      <c r="S398" s="815">
        <f t="shared" si="132"/>
        <v>8</v>
      </c>
      <c r="T398" s="815">
        <f t="shared" si="133"/>
        <v>4</v>
      </c>
      <c r="U398" s="815">
        <f t="shared" si="134"/>
        <v>4</v>
      </c>
      <c r="V398" s="815">
        <f t="shared" si="135"/>
        <v>0</v>
      </c>
      <c r="W398" s="815"/>
      <c r="X398" s="815"/>
      <c r="Y398" s="815"/>
      <c r="Z398" s="815"/>
      <c r="AA398" s="830">
        <f t="shared" si="138"/>
        <v>55.999999999999957</v>
      </c>
      <c r="AB398" s="830">
        <f>VLOOKUP(C398,'[3]MỦ TẠP'!$D$10:$AM$450,36,0)</f>
        <v>0</v>
      </c>
      <c r="AC398" s="830"/>
      <c r="AD398" s="830"/>
      <c r="AE398" s="831">
        <f t="shared" si="136"/>
        <v>0</v>
      </c>
      <c r="AF398" s="830"/>
      <c r="AG398" s="830"/>
      <c r="AH398" s="830">
        <f t="shared" si="137"/>
        <v>0</v>
      </c>
      <c r="AI398" s="830">
        <f>VLOOKUP(C398,'[3]CHẤM CÔNG '!$F$10:$AM$451,33,0)</f>
        <v>0</v>
      </c>
      <c r="AJ398" s="830">
        <f>VLOOKUP(C398,'[3]CHẤM CÔNG '!$F$10:$AM$451,34,0)</f>
        <v>0</v>
      </c>
      <c r="AK398" s="830"/>
      <c r="AL398" s="830"/>
      <c r="AM398" s="830"/>
      <c r="AN398" s="830">
        <f>VLOOKUP(C398,'[3]CHẤM CÔNG '!$F$10:$AN$451,35,0)</f>
        <v>0</v>
      </c>
      <c r="AO398" s="830">
        <f>VLOOKUP(C398,'[3]CHẤM CÔNG '!$F$10:$AR$451,36,0)</f>
        <v>0</v>
      </c>
      <c r="AP398" s="830"/>
      <c r="AQ398" s="830"/>
      <c r="AR398" s="830"/>
      <c r="AS398" s="836"/>
      <c r="AT398" s="837">
        <f>VLOOKUP(C398,'[3]MỦ TẠP'!$D$10:$AO$450,38,0)</f>
        <v>0</v>
      </c>
    </row>
    <row r="399" spans="1:46" ht="15.75">
      <c r="A399" s="812">
        <v>18</v>
      </c>
      <c r="B399" s="813" t="e">
        <f>VLOOKUP(C399,'[3]DS CN MOI UP'!$B$10:$C$489,2,0)</f>
        <v>#N/A</v>
      </c>
      <c r="C399" s="846" t="s">
        <v>303</v>
      </c>
      <c r="D399" s="812" t="s">
        <v>15</v>
      </c>
      <c r="E399" s="815">
        <v>4</v>
      </c>
      <c r="F399" s="815"/>
      <c r="G399" s="815"/>
      <c r="H399" s="815">
        <v>4</v>
      </c>
      <c r="I399" s="815"/>
      <c r="J399" s="815">
        <v>4</v>
      </c>
      <c r="K399" s="815">
        <v>4</v>
      </c>
      <c r="L399" s="815">
        <v>4</v>
      </c>
      <c r="M399" s="815"/>
      <c r="N399" s="815">
        <f t="shared" si="127"/>
        <v>23.999999999999954</v>
      </c>
      <c r="O399" s="815">
        <f t="shared" si="128"/>
        <v>0</v>
      </c>
      <c r="P399" s="815">
        <f t="shared" si="129"/>
        <v>0</v>
      </c>
      <c r="Q399" s="815">
        <f t="shared" si="130"/>
        <v>16</v>
      </c>
      <c r="R399" s="815">
        <f t="shared" si="131"/>
        <v>0</v>
      </c>
      <c r="S399" s="815">
        <f t="shared" si="132"/>
        <v>8</v>
      </c>
      <c r="T399" s="815">
        <f t="shared" si="133"/>
        <v>4</v>
      </c>
      <c r="U399" s="815">
        <f t="shared" si="134"/>
        <v>4</v>
      </c>
      <c r="V399" s="815">
        <f t="shared" si="135"/>
        <v>0</v>
      </c>
      <c r="W399" s="815"/>
      <c r="X399" s="815"/>
      <c r="Y399" s="815"/>
      <c r="Z399" s="815"/>
      <c r="AA399" s="830">
        <f t="shared" si="138"/>
        <v>55.999999999999957</v>
      </c>
      <c r="AB399" s="830">
        <f>VLOOKUP(C399,'[3]MỦ TẠP'!$D$10:$AM$450,36,0)</f>
        <v>0</v>
      </c>
      <c r="AC399" s="830"/>
      <c r="AD399" s="830"/>
      <c r="AE399" s="831">
        <f t="shared" si="136"/>
        <v>0</v>
      </c>
      <c r="AF399" s="830"/>
      <c r="AG399" s="830"/>
      <c r="AH399" s="830">
        <f t="shared" si="137"/>
        <v>0</v>
      </c>
      <c r="AI399" s="830">
        <f>VLOOKUP(C399,'[3]CHẤM CÔNG '!$F$10:$AM$451,33,0)</f>
        <v>0</v>
      </c>
      <c r="AJ399" s="830">
        <f>VLOOKUP(C399,'[3]CHẤM CÔNG '!$F$10:$AM$451,34,0)</f>
        <v>0</v>
      </c>
      <c r="AK399" s="830"/>
      <c r="AL399" s="830"/>
      <c r="AM399" s="830"/>
      <c r="AN399" s="830">
        <f>VLOOKUP(C399,'[3]CHẤM CÔNG '!$F$10:$AN$451,35,0)</f>
        <v>0</v>
      </c>
      <c r="AO399" s="830">
        <f>VLOOKUP(C399,'[3]CHẤM CÔNG '!$F$10:$AR$451,36,0)</f>
        <v>0</v>
      </c>
      <c r="AP399" s="830"/>
      <c r="AQ399" s="830"/>
      <c r="AR399" s="830"/>
      <c r="AS399" s="836"/>
      <c r="AT399" s="837">
        <f>VLOOKUP(C399,'[3]MỦ TẠP'!$D$10:$AO$450,38,0)</f>
        <v>0</v>
      </c>
    </row>
    <row r="400" spans="1:46" ht="15.75">
      <c r="A400" s="812">
        <v>19</v>
      </c>
      <c r="B400" s="813" t="str">
        <f>VLOOKUP(C400,'[3]DS CN MOI UP'!$B$10:$C$489,2,0)</f>
        <v>02654</v>
      </c>
      <c r="C400" s="846" t="s">
        <v>304</v>
      </c>
      <c r="D400" s="812" t="s">
        <v>15</v>
      </c>
      <c r="E400" s="815">
        <v>4</v>
      </c>
      <c r="F400" s="815"/>
      <c r="G400" s="815"/>
      <c r="H400" s="815">
        <v>4</v>
      </c>
      <c r="I400" s="815"/>
      <c r="J400" s="815">
        <v>4</v>
      </c>
      <c r="K400" s="815">
        <v>4</v>
      </c>
      <c r="L400" s="815">
        <v>4</v>
      </c>
      <c r="M400" s="815"/>
      <c r="N400" s="815">
        <f t="shared" si="127"/>
        <v>23.999999999999954</v>
      </c>
      <c r="O400" s="815">
        <f t="shared" si="128"/>
        <v>0</v>
      </c>
      <c r="P400" s="815">
        <f t="shared" si="129"/>
        <v>0</v>
      </c>
      <c r="Q400" s="815">
        <f t="shared" si="130"/>
        <v>16</v>
      </c>
      <c r="R400" s="815">
        <f t="shared" si="131"/>
        <v>0</v>
      </c>
      <c r="S400" s="815">
        <f t="shared" si="132"/>
        <v>8</v>
      </c>
      <c r="T400" s="815">
        <f t="shared" si="133"/>
        <v>4</v>
      </c>
      <c r="U400" s="815">
        <f t="shared" si="134"/>
        <v>4</v>
      </c>
      <c r="V400" s="815">
        <f t="shared" si="135"/>
        <v>0</v>
      </c>
      <c r="W400" s="815"/>
      <c r="X400" s="815"/>
      <c r="Y400" s="815"/>
      <c r="Z400" s="815"/>
      <c r="AA400" s="830">
        <f t="shared" si="138"/>
        <v>55.999999999999957</v>
      </c>
      <c r="AB400" s="830">
        <f>VLOOKUP(C400,'[3]MỦ TẠP'!$D$10:$AM$450,36,0)</f>
        <v>0</v>
      </c>
      <c r="AC400" s="830"/>
      <c r="AD400" s="830"/>
      <c r="AE400" s="831">
        <f t="shared" si="136"/>
        <v>0</v>
      </c>
      <c r="AF400" s="830"/>
      <c r="AG400" s="830"/>
      <c r="AH400" s="830">
        <f t="shared" si="137"/>
        <v>0</v>
      </c>
      <c r="AI400" s="830">
        <f>VLOOKUP(C400,'[3]CHẤM CÔNG '!$F$10:$AM$451,33,0)</f>
        <v>0</v>
      </c>
      <c r="AJ400" s="830">
        <f>VLOOKUP(C400,'[3]CHẤM CÔNG '!$F$10:$AM$451,34,0)</f>
        <v>0</v>
      </c>
      <c r="AK400" s="830"/>
      <c r="AL400" s="830"/>
      <c r="AM400" s="830"/>
      <c r="AN400" s="830">
        <f>VLOOKUP(C400,'[3]CHẤM CÔNG '!$F$10:$AN$451,35,0)</f>
        <v>0</v>
      </c>
      <c r="AO400" s="830">
        <f>VLOOKUP(C400,'[3]CHẤM CÔNG '!$F$10:$AR$451,36,0)</f>
        <v>0</v>
      </c>
      <c r="AP400" s="830"/>
      <c r="AQ400" s="830"/>
      <c r="AR400" s="830"/>
      <c r="AS400" s="836"/>
      <c r="AT400" s="837">
        <f>VLOOKUP(C400,'[3]MỦ TẠP'!$D$10:$AO$450,38,0)</f>
        <v>0</v>
      </c>
    </row>
    <row r="401" spans="1:46" ht="15.75">
      <c r="A401" s="812">
        <v>20</v>
      </c>
      <c r="B401" s="813" t="str">
        <f>VLOOKUP(C401,'[3]DS CN MOI UP'!$B$10:$C$489,2,0)</f>
        <v>03861</v>
      </c>
      <c r="C401" s="846" t="s">
        <v>305</v>
      </c>
      <c r="D401" s="812" t="s">
        <v>15</v>
      </c>
      <c r="E401" s="815">
        <v>4</v>
      </c>
      <c r="F401" s="815"/>
      <c r="G401" s="815"/>
      <c r="H401" s="815">
        <v>4</v>
      </c>
      <c r="I401" s="815"/>
      <c r="J401" s="815">
        <v>4</v>
      </c>
      <c r="K401" s="815">
        <v>4</v>
      </c>
      <c r="L401" s="815">
        <v>4</v>
      </c>
      <c r="M401" s="815"/>
      <c r="N401" s="815">
        <f t="shared" si="127"/>
        <v>23.999999999999954</v>
      </c>
      <c r="O401" s="815">
        <f t="shared" si="128"/>
        <v>0</v>
      </c>
      <c r="P401" s="815">
        <f t="shared" si="129"/>
        <v>0</v>
      </c>
      <c r="Q401" s="815">
        <f t="shared" si="130"/>
        <v>16</v>
      </c>
      <c r="R401" s="815">
        <f t="shared" si="131"/>
        <v>0</v>
      </c>
      <c r="S401" s="815">
        <f t="shared" si="132"/>
        <v>8</v>
      </c>
      <c r="T401" s="815">
        <f t="shared" si="133"/>
        <v>4</v>
      </c>
      <c r="U401" s="815">
        <f t="shared" si="134"/>
        <v>4</v>
      </c>
      <c r="V401" s="815">
        <f t="shared" si="135"/>
        <v>0</v>
      </c>
      <c r="W401" s="815"/>
      <c r="X401" s="815"/>
      <c r="Y401" s="815"/>
      <c r="Z401" s="815"/>
      <c r="AA401" s="830">
        <f t="shared" si="138"/>
        <v>55.999999999999957</v>
      </c>
      <c r="AB401" s="830">
        <f>VLOOKUP(C401,'[3]MỦ TẠP'!$D$10:$AM$450,36,0)</f>
        <v>0</v>
      </c>
      <c r="AC401" s="830"/>
      <c r="AD401" s="830"/>
      <c r="AE401" s="831">
        <f t="shared" si="136"/>
        <v>0</v>
      </c>
      <c r="AF401" s="830"/>
      <c r="AG401" s="830"/>
      <c r="AH401" s="830">
        <f t="shared" si="137"/>
        <v>0</v>
      </c>
      <c r="AI401" s="830">
        <f>VLOOKUP(C401,'[3]CHẤM CÔNG '!$F$10:$AM$451,33,0)</f>
        <v>0</v>
      </c>
      <c r="AJ401" s="830">
        <f>VLOOKUP(C401,'[3]CHẤM CÔNG '!$F$10:$AM$451,34,0)</f>
        <v>0</v>
      </c>
      <c r="AK401" s="830"/>
      <c r="AL401" s="830"/>
      <c r="AM401" s="830"/>
      <c r="AN401" s="830">
        <f>VLOOKUP(C401,'[3]CHẤM CÔNG '!$F$10:$AN$451,35,0)</f>
        <v>0</v>
      </c>
      <c r="AO401" s="830">
        <f>VLOOKUP(C401,'[3]CHẤM CÔNG '!$F$10:$AR$451,36,0)</f>
        <v>0</v>
      </c>
      <c r="AP401" s="830"/>
      <c r="AQ401" s="830"/>
      <c r="AR401" s="830"/>
      <c r="AS401" s="836"/>
      <c r="AT401" s="837">
        <f>VLOOKUP(C401,'[3]MỦ TẠP'!$D$10:$AO$450,38,0)</f>
        <v>0</v>
      </c>
    </row>
    <row r="402" spans="1:46" ht="15.75">
      <c r="A402" s="812">
        <v>21</v>
      </c>
      <c r="B402" s="813" t="e">
        <f>VLOOKUP(C402,'[3]DS CN MOI UP'!$B$10:$C$489,2,0)</f>
        <v>#N/A</v>
      </c>
      <c r="C402" s="846" t="s">
        <v>306</v>
      </c>
      <c r="D402" s="812" t="s">
        <v>15</v>
      </c>
      <c r="E402" s="815">
        <v>4</v>
      </c>
      <c r="F402" s="815"/>
      <c r="G402" s="815"/>
      <c r="H402" s="815">
        <v>4</v>
      </c>
      <c r="I402" s="815"/>
      <c r="J402" s="815"/>
      <c r="K402" s="815"/>
      <c r="L402" s="815"/>
      <c r="M402" s="815"/>
      <c r="N402" s="815">
        <f t="shared" si="127"/>
        <v>23.999999999999954</v>
      </c>
      <c r="O402" s="815">
        <f t="shared" si="128"/>
        <v>0</v>
      </c>
      <c r="P402" s="815">
        <f t="shared" si="129"/>
        <v>0</v>
      </c>
      <c r="Q402" s="815">
        <f t="shared" si="130"/>
        <v>16</v>
      </c>
      <c r="R402" s="815">
        <f t="shared" si="131"/>
        <v>0</v>
      </c>
      <c r="S402" s="815">
        <f t="shared" si="132"/>
        <v>0</v>
      </c>
      <c r="T402" s="815">
        <f t="shared" si="133"/>
        <v>0</v>
      </c>
      <c r="U402" s="815">
        <f t="shared" si="134"/>
        <v>0</v>
      </c>
      <c r="V402" s="815">
        <f t="shared" si="135"/>
        <v>0</v>
      </c>
      <c r="W402" s="815"/>
      <c r="X402" s="815"/>
      <c r="Y402" s="815"/>
      <c r="Z402" s="815"/>
      <c r="AA402" s="830">
        <f t="shared" si="138"/>
        <v>39.999999999999957</v>
      </c>
      <c r="AB402" s="830">
        <f>VLOOKUP(C402,'[3]MỦ TẠP'!$D$10:$AM$450,36,0)</f>
        <v>0</v>
      </c>
      <c r="AC402" s="830"/>
      <c r="AD402" s="830"/>
      <c r="AE402" s="831">
        <f t="shared" si="136"/>
        <v>0</v>
      </c>
      <c r="AF402" s="830"/>
      <c r="AG402" s="830"/>
      <c r="AH402" s="830">
        <f t="shared" si="137"/>
        <v>0</v>
      </c>
      <c r="AI402" s="830">
        <f>VLOOKUP(C402,'[3]CHẤM CÔNG '!$F$10:$AM$451,33,0)</f>
        <v>0</v>
      </c>
      <c r="AJ402" s="830">
        <f>VLOOKUP(C402,'[3]CHẤM CÔNG '!$F$10:$AM$451,34,0)</f>
        <v>0</v>
      </c>
      <c r="AK402" s="830"/>
      <c r="AL402" s="830"/>
      <c r="AM402" s="830"/>
      <c r="AN402" s="830">
        <f>VLOOKUP(C402,'[3]CHẤM CÔNG '!$F$10:$AN$451,35,0)</f>
        <v>0</v>
      </c>
      <c r="AO402" s="830">
        <f>VLOOKUP(C402,'[3]CHẤM CÔNG '!$F$10:$AR$451,36,0)</f>
        <v>0</v>
      </c>
      <c r="AP402" s="830"/>
      <c r="AQ402" s="830"/>
      <c r="AR402" s="830"/>
      <c r="AS402" s="836"/>
      <c r="AT402" s="837">
        <f>VLOOKUP(C402,'[3]MỦ TẠP'!$D$10:$AO$450,38,0)</f>
        <v>0</v>
      </c>
    </row>
    <row r="403" spans="1:46" ht="15.75">
      <c r="A403" s="812">
        <v>22</v>
      </c>
      <c r="B403" s="813" t="e">
        <f>VLOOKUP(C403,'[3]DS CN MOI UP'!$B$10:$C$489,2,0)</f>
        <v>#N/A</v>
      </c>
      <c r="C403" s="846" t="s">
        <v>307</v>
      </c>
      <c r="D403" s="812" t="s">
        <v>15</v>
      </c>
      <c r="E403" s="815">
        <v>4</v>
      </c>
      <c r="F403" s="815"/>
      <c r="G403" s="815"/>
      <c r="H403" s="815">
        <v>4</v>
      </c>
      <c r="I403" s="815"/>
      <c r="J403" s="815">
        <v>4</v>
      </c>
      <c r="K403" s="815">
        <v>4</v>
      </c>
      <c r="L403" s="815">
        <v>4</v>
      </c>
      <c r="M403" s="815"/>
      <c r="N403" s="815">
        <f t="shared" si="127"/>
        <v>23.999999999999954</v>
      </c>
      <c r="O403" s="815">
        <f t="shared" si="128"/>
        <v>0</v>
      </c>
      <c r="P403" s="815">
        <f t="shared" si="129"/>
        <v>0</v>
      </c>
      <c r="Q403" s="815">
        <f t="shared" si="130"/>
        <v>16</v>
      </c>
      <c r="R403" s="815">
        <f t="shared" si="131"/>
        <v>0</v>
      </c>
      <c r="S403" s="815">
        <f t="shared" si="132"/>
        <v>8</v>
      </c>
      <c r="T403" s="815">
        <f t="shared" si="133"/>
        <v>4</v>
      </c>
      <c r="U403" s="815">
        <f t="shared" si="134"/>
        <v>4</v>
      </c>
      <c r="V403" s="815">
        <f t="shared" si="135"/>
        <v>0</v>
      </c>
      <c r="W403" s="815"/>
      <c r="X403" s="815"/>
      <c r="Y403" s="815"/>
      <c r="Z403" s="815"/>
      <c r="AA403" s="830">
        <f t="shared" si="138"/>
        <v>55.999999999999957</v>
      </c>
      <c r="AB403" s="830" t="e">
        <f>VLOOKUP(C403,'[3]MỦ TẠP'!$D$10:$AM$450,36,0)</f>
        <v>#N/A</v>
      </c>
      <c r="AC403" s="830"/>
      <c r="AD403" s="830"/>
      <c r="AE403" s="831" t="e">
        <f t="shared" si="136"/>
        <v>#N/A</v>
      </c>
      <c r="AF403" s="830"/>
      <c r="AG403" s="830"/>
      <c r="AH403" s="830" t="e">
        <f t="shared" si="137"/>
        <v>#N/A</v>
      </c>
      <c r="AI403" s="830">
        <f>VLOOKUP(C403,'[3]CHẤM CÔNG '!$F$10:$AM$451,33,0)</f>
        <v>0</v>
      </c>
      <c r="AJ403" s="830">
        <f>VLOOKUP(C403,'[3]CHẤM CÔNG '!$F$10:$AM$451,34,0)</f>
        <v>0</v>
      </c>
      <c r="AK403" s="830"/>
      <c r="AL403" s="830"/>
      <c r="AM403" s="830"/>
      <c r="AN403" s="830">
        <f>VLOOKUP(C403,'[3]CHẤM CÔNG '!$F$10:$AN$451,35,0)</f>
        <v>0</v>
      </c>
      <c r="AO403" s="830">
        <f>VLOOKUP(C403,'[3]CHẤM CÔNG '!$F$10:$AR$451,36,0)</f>
        <v>0</v>
      </c>
      <c r="AP403" s="830"/>
      <c r="AQ403" s="830"/>
      <c r="AR403" s="830"/>
      <c r="AS403" s="836"/>
      <c r="AT403" s="837" t="e">
        <f>VLOOKUP(C403,'[3]MỦ TẠP'!$D$10:$AO$450,38,0)</f>
        <v>#N/A</v>
      </c>
    </row>
    <row r="404" spans="1:46" ht="15.75">
      <c r="A404" s="812">
        <v>23</v>
      </c>
      <c r="B404" s="813" t="str">
        <f>VLOOKUP(C404,'[3]DS CN MOI UP'!$B$10:$C$489,2,0)</f>
        <v>02616</v>
      </c>
      <c r="C404" s="846" t="s">
        <v>308</v>
      </c>
      <c r="D404" s="812" t="s">
        <v>15</v>
      </c>
      <c r="E404" s="815">
        <v>4</v>
      </c>
      <c r="F404" s="815"/>
      <c r="G404" s="815"/>
      <c r="H404" s="815">
        <v>4</v>
      </c>
      <c r="I404" s="815"/>
      <c r="J404" s="815">
        <v>4</v>
      </c>
      <c r="K404" s="815">
        <v>4</v>
      </c>
      <c r="L404" s="815">
        <v>4</v>
      </c>
      <c r="M404" s="815"/>
      <c r="N404" s="815">
        <f t="shared" si="127"/>
        <v>23.999999999999954</v>
      </c>
      <c r="O404" s="815">
        <f t="shared" si="128"/>
        <v>0</v>
      </c>
      <c r="P404" s="815">
        <f t="shared" si="129"/>
        <v>0</v>
      </c>
      <c r="Q404" s="815">
        <f t="shared" si="130"/>
        <v>16</v>
      </c>
      <c r="R404" s="815">
        <f t="shared" si="131"/>
        <v>0</v>
      </c>
      <c r="S404" s="815">
        <f t="shared" si="132"/>
        <v>8</v>
      </c>
      <c r="T404" s="815">
        <f t="shared" si="133"/>
        <v>4</v>
      </c>
      <c r="U404" s="815">
        <f t="shared" si="134"/>
        <v>4</v>
      </c>
      <c r="V404" s="815">
        <f t="shared" si="135"/>
        <v>0</v>
      </c>
      <c r="W404" s="815"/>
      <c r="X404" s="815"/>
      <c r="Y404" s="815"/>
      <c r="Z404" s="815"/>
      <c r="AA404" s="830">
        <f t="shared" si="138"/>
        <v>55.999999999999957</v>
      </c>
      <c r="AB404" s="830">
        <f>VLOOKUP(C404,'[3]MỦ TẠP'!$D$10:$AM$450,36,0)</f>
        <v>0</v>
      </c>
      <c r="AC404" s="830"/>
      <c r="AD404" s="830"/>
      <c r="AE404" s="831">
        <f t="shared" si="136"/>
        <v>0</v>
      </c>
      <c r="AF404" s="830"/>
      <c r="AG404" s="830"/>
      <c r="AH404" s="830">
        <f t="shared" si="137"/>
        <v>0</v>
      </c>
      <c r="AI404" s="830">
        <f>VLOOKUP(C404,'[3]CHẤM CÔNG '!$F$10:$AM$451,33,0)</f>
        <v>0</v>
      </c>
      <c r="AJ404" s="830">
        <f>VLOOKUP(C404,'[3]CHẤM CÔNG '!$F$10:$AM$451,34,0)</f>
        <v>0</v>
      </c>
      <c r="AK404" s="830"/>
      <c r="AL404" s="830"/>
      <c r="AM404" s="830"/>
      <c r="AN404" s="830">
        <f>VLOOKUP(C404,'[3]CHẤM CÔNG '!$F$10:$AN$451,35,0)</f>
        <v>0</v>
      </c>
      <c r="AO404" s="830">
        <f>VLOOKUP(C404,'[3]CHẤM CÔNG '!$F$10:$AR$451,36,0)</f>
        <v>0</v>
      </c>
      <c r="AP404" s="830"/>
      <c r="AQ404" s="830"/>
      <c r="AR404" s="830"/>
      <c r="AS404" s="836"/>
      <c r="AT404" s="837">
        <f>VLOOKUP(C404,'[3]MỦ TẠP'!$D$10:$AO$450,38,0)</f>
        <v>0</v>
      </c>
    </row>
    <row r="405" spans="1:46" ht="15.75">
      <c r="A405" s="812">
        <v>24</v>
      </c>
      <c r="B405" s="813" t="str">
        <f>VLOOKUP(C405,'[3]DS CN MOI UP'!$B$10:$C$489,2,0)</f>
        <v>02617</v>
      </c>
      <c r="C405" s="846" t="s">
        <v>309</v>
      </c>
      <c r="D405" s="812" t="s">
        <v>15</v>
      </c>
      <c r="E405" s="815">
        <v>4</v>
      </c>
      <c r="F405" s="815"/>
      <c r="G405" s="815"/>
      <c r="H405" s="815">
        <v>4</v>
      </c>
      <c r="I405" s="815"/>
      <c r="J405" s="815">
        <v>4</v>
      </c>
      <c r="K405" s="815">
        <v>4</v>
      </c>
      <c r="L405" s="815">
        <v>4</v>
      </c>
      <c r="M405" s="815"/>
      <c r="N405" s="815">
        <f t="shared" si="127"/>
        <v>23.999999999999954</v>
      </c>
      <c r="O405" s="815">
        <f t="shared" si="128"/>
        <v>0</v>
      </c>
      <c r="P405" s="815">
        <f t="shared" si="129"/>
        <v>0</v>
      </c>
      <c r="Q405" s="815">
        <f t="shared" si="130"/>
        <v>16</v>
      </c>
      <c r="R405" s="815">
        <f t="shared" si="131"/>
        <v>0</v>
      </c>
      <c r="S405" s="815">
        <f t="shared" si="132"/>
        <v>8</v>
      </c>
      <c r="T405" s="815">
        <f t="shared" si="133"/>
        <v>4</v>
      </c>
      <c r="U405" s="815">
        <f t="shared" si="134"/>
        <v>4</v>
      </c>
      <c r="V405" s="815">
        <f t="shared" si="135"/>
        <v>0</v>
      </c>
      <c r="W405" s="815"/>
      <c r="X405" s="815"/>
      <c r="Y405" s="815"/>
      <c r="Z405" s="815"/>
      <c r="AA405" s="830">
        <f t="shared" si="138"/>
        <v>55.999999999999957</v>
      </c>
      <c r="AB405" s="830">
        <f>VLOOKUP(C405,'[3]MỦ TẠP'!$D$10:$AM$450,36,0)</f>
        <v>0</v>
      </c>
      <c r="AC405" s="830"/>
      <c r="AD405" s="830"/>
      <c r="AE405" s="831">
        <f t="shared" si="136"/>
        <v>0</v>
      </c>
      <c r="AF405" s="830"/>
      <c r="AG405" s="830"/>
      <c r="AH405" s="830">
        <f t="shared" si="137"/>
        <v>0</v>
      </c>
      <c r="AI405" s="830">
        <f>VLOOKUP(C405,'[3]CHẤM CÔNG '!$F$10:$AM$451,33,0)</f>
        <v>0</v>
      </c>
      <c r="AJ405" s="830">
        <f>VLOOKUP(C405,'[3]CHẤM CÔNG '!$F$10:$AM$451,34,0)</f>
        <v>0</v>
      </c>
      <c r="AK405" s="830"/>
      <c r="AL405" s="830"/>
      <c r="AM405" s="830"/>
      <c r="AN405" s="830">
        <f>VLOOKUP(C405,'[3]CHẤM CÔNG '!$F$10:$AN$451,35,0)</f>
        <v>0</v>
      </c>
      <c r="AO405" s="830">
        <f>VLOOKUP(C405,'[3]CHẤM CÔNG '!$F$10:$AR$451,36,0)</f>
        <v>0</v>
      </c>
      <c r="AP405" s="830"/>
      <c r="AQ405" s="830"/>
      <c r="AR405" s="830"/>
      <c r="AS405" s="836"/>
      <c r="AT405" s="837">
        <f>VLOOKUP(C405,'[3]MỦ TẠP'!$D$10:$AO$450,38,0)</f>
        <v>0</v>
      </c>
    </row>
    <row r="406" spans="1:46" ht="15.75">
      <c r="A406" s="812">
        <v>25</v>
      </c>
      <c r="B406" s="813" t="str">
        <f>VLOOKUP(C406,'[3]DS CN MOI UP'!$B$10:$C$489,2,0)</f>
        <v>02618</v>
      </c>
      <c r="C406" s="846" t="s">
        <v>310</v>
      </c>
      <c r="D406" s="812" t="s">
        <v>15</v>
      </c>
      <c r="E406" s="815">
        <v>4</v>
      </c>
      <c r="F406" s="815"/>
      <c r="G406" s="815"/>
      <c r="H406" s="815">
        <v>4</v>
      </c>
      <c r="I406" s="815"/>
      <c r="J406" s="815">
        <v>4</v>
      </c>
      <c r="K406" s="815">
        <v>4</v>
      </c>
      <c r="L406" s="815">
        <v>4</v>
      </c>
      <c r="M406" s="815"/>
      <c r="N406" s="815">
        <f t="shared" si="127"/>
        <v>23.999999999999954</v>
      </c>
      <c r="O406" s="815">
        <f t="shared" si="128"/>
        <v>0</v>
      </c>
      <c r="P406" s="815">
        <f t="shared" si="129"/>
        <v>0</v>
      </c>
      <c r="Q406" s="815">
        <f t="shared" si="130"/>
        <v>16</v>
      </c>
      <c r="R406" s="815">
        <f t="shared" si="131"/>
        <v>0</v>
      </c>
      <c r="S406" s="815">
        <f t="shared" si="132"/>
        <v>8</v>
      </c>
      <c r="T406" s="815">
        <f t="shared" si="133"/>
        <v>4</v>
      </c>
      <c r="U406" s="815">
        <f t="shared" si="134"/>
        <v>4</v>
      </c>
      <c r="V406" s="815">
        <f t="shared" si="135"/>
        <v>0</v>
      </c>
      <c r="W406" s="815"/>
      <c r="X406" s="815"/>
      <c r="Y406" s="815"/>
      <c r="Z406" s="815"/>
      <c r="AA406" s="830">
        <f t="shared" si="138"/>
        <v>55.999999999999957</v>
      </c>
      <c r="AB406" s="830">
        <f>VLOOKUP(C406,'[3]MỦ TẠP'!$D$10:$AM$450,36,0)</f>
        <v>0</v>
      </c>
      <c r="AC406" s="830"/>
      <c r="AD406" s="830"/>
      <c r="AE406" s="831">
        <f t="shared" si="136"/>
        <v>0</v>
      </c>
      <c r="AF406" s="830"/>
      <c r="AG406" s="830"/>
      <c r="AH406" s="830">
        <f t="shared" si="137"/>
        <v>0</v>
      </c>
      <c r="AI406" s="830">
        <f>VLOOKUP(C406,'[3]CHẤM CÔNG '!$F$10:$AM$451,33,0)</f>
        <v>0</v>
      </c>
      <c r="AJ406" s="830">
        <f>VLOOKUP(C406,'[3]CHẤM CÔNG '!$F$10:$AM$451,34,0)</f>
        <v>0</v>
      </c>
      <c r="AK406" s="830"/>
      <c r="AL406" s="830"/>
      <c r="AM406" s="830"/>
      <c r="AN406" s="830">
        <f>VLOOKUP(C406,'[3]CHẤM CÔNG '!$F$10:$AN$451,35,0)</f>
        <v>0</v>
      </c>
      <c r="AO406" s="830">
        <f>VLOOKUP(C406,'[3]CHẤM CÔNG '!$F$10:$AR$451,36,0)</f>
        <v>0</v>
      </c>
      <c r="AP406" s="830"/>
      <c r="AQ406" s="830"/>
      <c r="AR406" s="830"/>
      <c r="AS406" s="836"/>
      <c r="AT406" s="837">
        <f>VLOOKUP(C406,'[3]MỦ TẠP'!$D$10:$AO$450,38,0)</f>
        <v>0</v>
      </c>
    </row>
    <row r="407" spans="1:46" ht="15.75">
      <c r="A407" s="812">
        <v>26</v>
      </c>
      <c r="B407" s="813" t="str">
        <f>VLOOKUP(C407,'[3]DS CN MOI UP'!$B$10:$C$489,2,0)</f>
        <v>03401</v>
      </c>
      <c r="C407" s="846" t="s">
        <v>311</v>
      </c>
      <c r="D407" s="812" t="s">
        <v>15</v>
      </c>
      <c r="E407" s="815">
        <v>4</v>
      </c>
      <c r="F407" s="815"/>
      <c r="G407" s="815"/>
      <c r="H407" s="815">
        <v>4</v>
      </c>
      <c r="I407" s="815"/>
      <c r="J407" s="815">
        <v>4</v>
      </c>
      <c r="K407" s="815">
        <v>4</v>
      </c>
      <c r="L407" s="815">
        <v>4</v>
      </c>
      <c r="M407" s="815"/>
      <c r="N407" s="815">
        <f t="shared" si="127"/>
        <v>23.999999999999954</v>
      </c>
      <c r="O407" s="815">
        <f t="shared" si="128"/>
        <v>0</v>
      </c>
      <c r="P407" s="815">
        <f t="shared" si="129"/>
        <v>0</v>
      </c>
      <c r="Q407" s="815">
        <f t="shared" si="130"/>
        <v>16</v>
      </c>
      <c r="R407" s="815">
        <f t="shared" si="131"/>
        <v>0</v>
      </c>
      <c r="S407" s="815">
        <f t="shared" si="132"/>
        <v>8</v>
      </c>
      <c r="T407" s="815">
        <f t="shared" si="133"/>
        <v>4</v>
      </c>
      <c r="U407" s="815">
        <f t="shared" si="134"/>
        <v>4</v>
      </c>
      <c r="V407" s="815">
        <f t="shared" si="135"/>
        <v>0</v>
      </c>
      <c r="W407" s="815"/>
      <c r="X407" s="815"/>
      <c r="Y407" s="815"/>
      <c r="Z407" s="815"/>
      <c r="AA407" s="830">
        <f t="shared" si="138"/>
        <v>55.999999999999957</v>
      </c>
      <c r="AB407" s="830">
        <f>VLOOKUP(C407,'[3]MỦ TẠP'!$D$10:$AM$450,36,0)</f>
        <v>0</v>
      </c>
      <c r="AC407" s="830"/>
      <c r="AD407" s="830"/>
      <c r="AE407" s="831">
        <f t="shared" si="136"/>
        <v>0</v>
      </c>
      <c r="AF407" s="830"/>
      <c r="AG407" s="830"/>
      <c r="AH407" s="830">
        <f t="shared" si="137"/>
        <v>0</v>
      </c>
      <c r="AI407" s="830">
        <f>VLOOKUP(C407,'[3]CHẤM CÔNG '!$F$10:$AM$451,33,0)</f>
        <v>0</v>
      </c>
      <c r="AJ407" s="830">
        <f>VLOOKUP(C407,'[3]CHẤM CÔNG '!$F$10:$AM$451,34,0)</f>
        <v>0</v>
      </c>
      <c r="AK407" s="830"/>
      <c r="AL407" s="830"/>
      <c r="AM407" s="830"/>
      <c r="AN407" s="830">
        <f>VLOOKUP(C407,'[3]CHẤM CÔNG '!$F$10:$AN$451,35,0)</f>
        <v>0</v>
      </c>
      <c r="AO407" s="830">
        <f>VLOOKUP(C407,'[3]CHẤM CÔNG '!$F$10:$AR$451,36,0)</f>
        <v>0</v>
      </c>
      <c r="AP407" s="830"/>
      <c r="AQ407" s="830"/>
      <c r="AR407" s="830"/>
      <c r="AS407" s="836"/>
      <c r="AT407" s="837">
        <f>VLOOKUP(C407,'[3]MỦ TẠP'!$D$10:$AO$450,38,0)</f>
        <v>0</v>
      </c>
    </row>
    <row r="408" spans="1:46" ht="15.75">
      <c r="A408" s="812">
        <v>27</v>
      </c>
      <c r="B408" s="813" t="str">
        <f>VLOOKUP(C408,'[3]DS CN MOI UP'!$B$10:$C$489,2,0)</f>
        <v>03402</v>
      </c>
      <c r="C408" s="846" t="s">
        <v>312</v>
      </c>
      <c r="D408" s="812" t="s">
        <v>15</v>
      </c>
      <c r="E408" s="815">
        <v>4</v>
      </c>
      <c r="F408" s="815"/>
      <c r="G408" s="815"/>
      <c r="H408" s="815">
        <v>4</v>
      </c>
      <c r="I408" s="815"/>
      <c r="J408" s="815">
        <v>4</v>
      </c>
      <c r="K408" s="815">
        <v>4</v>
      </c>
      <c r="L408" s="815">
        <v>4</v>
      </c>
      <c r="M408" s="815"/>
      <c r="N408" s="815">
        <f t="shared" si="127"/>
        <v>23.999999999999954</v>
      </c>
      <c r="O408" s="815">
        <f t="shared" si="128"/>
        <v>0</v>
      </c>
      <c r="P408" s="815">
        <f t="shared" si="129"/>
        <v>0</v>
      </c>
      <c r="Q408" s="815">
        <f t="shared" si="130"/>
        <v>16</v>
      </c>
      <c r="R408" s="815">
        <f t="shared" si="131"/>
        <v>0</v>
      </c>
      <c r="S408" s="815">
        <f t="shared" si="132"/>
        <v>8</v>
      </c>
      <c r="T408" s="815">
        <f t="shared" si="133"/>
        <v>4</v>
      </c>
      <c r="U408" s="815">
        <f t="shared" si="134"/>
        <v>4</v>
      </c>
      <c r="V408" s="815">
        <f t="shared" si="135"/>
        <v>0</v>
      </c>
      <c r="W408" s="815"/>
      <c r="X408" s="815"/>
      <c r="Y408" s="815"/>
      <c r="Z408" s="815"/>
      <c r="AA408" s="830">
        <f t="shared" si="138"/>
        <v>55.999999999999957</v>
      </c>
      <c r="AB408" s="830">
        <f>VLOOKUP(C408,'[3]MỦ TẠP'!$D$10:$AM$450,36,0)</f>
        <v>0</v>
      </c>
      <c r="AC408" s="830"/>
      <c r="AD408" s="830"/>
      <c r="AE408" s="831">
        <f t="shared" si="136"/>
        <v>0</v>
      </c>
      <c r="AF408" s="830"/>
      <c r="AG408" s="830"/>
      <c r="AH408" s="830">
        <f t="shared" si="137"/>
        <v>0</v>
      </c>
      <c r="AI408" s="830">
        <f>VLOOKUP(C408,'[3]CHẤM CÔNG '!$F$10:$AM$451,33,0)</f>
        <v>0</v>
      </c>
      <c r="AJ408" s="830">
        <f>VLOOKUP(C408,'[3]CHẤM CÔNG '!$F$10:$AM$451,34,0)</f>
        <v>0</v>
      </c>
      <c r="AK408" s="830"/>
      <c r="AL408" s="830"/>
      <c r="AM408" s="830"/>
      <c r="AN408" s="830">
        <f>VLOOKUP(C408,'[3]CHẤM CÔNG '!$F$10:$AN$451,35,0)</f>
        <v>0</v>
      </c>
      <c r="AO408" s="830">
        <f>VLOOKUP(C408,'[3]CHẤM CÔNG '!$F$10:$AR$451,36,0)</f>
        <v>0</v>
      </c>
      <c r="AP408" s="830"/>
      <c r="AQ408" s="830"/>
      <c r="AR408" s="830"/>
      <c r="AS408" s="836"/>
      <c r="AT408" s="837">
        <f>VLOOKUP(C408,'[3]MỦ TẠP'!$D$10:$AO$450,38,0)</f>
        <v>0</v>
      </c>
    </row>
    <row r="409" spans="1:46" ht="15.75">
      <c r="A409" s="812">
        <v>28</v>
      </c>
      <c r="B409" s="813" t="str">
        <f>VLOOKUP(C409,'[3]DS CN MOI UP'!$B$10:$C$489,2,0)</f>
        <v>02621</v>
      </c>
      <c r="C409" s="846" t="s">
        <v>313</v>
      </c>
      <c r="D409" s="812" t="s">
        <v>15</v>
      </c>
      <c r="E409" s="815">
        <v>4</v>
      </c>
      <c r="F409" s="815"/>
      <c r="G409" s="815"/>
      <c r="H409" s="815">
        <v>4</v>
      </c>
      <c r="I409" s="815"/>
      <c r="J409" s="815">
        <v>4</v>
      </c>
      <c r="K409" s="815">
        <v>4</v>
      </c>
      <c r="L409" s="815">
        <v>4</v>
      </c>
      <c r="M409" s="815"/>
      <c r="N409" s="815">
        <f t="shared" si="127"/>
        <v>23.999999999999954</v>
      </c>
      <c r="O409" s="815">
        <f t="shared" si="128"/>
        <v>0</v>
      </c>
      <c r="P409" s="815">
        <f t="shared" si="129"/>
        <v>0</v>
      </c>
      <c r="Q409" s="815">
        <f t="shared" si="130"/>
        <v>16</v>
      </c>
      <c r="R409" s="815">
        <f t="shared" si="131"/>
        <v>0</v>
      </c>
      <c r="S409" s="815">
        <f t="shared" si="132"/>
        <v>8</v>
      </c>
      <c r="T409" s="815">
        <f t="shared" si="133"/>
        <v>4</v>
      </c>
      <c r="U409" s="815">
        <f t="shared" si="134"/>
        <v>4</v>
      </c>
      <c r="V409" s="815">
        <f t="shared" si="135"/>
        <v>0</v>
      </c>
      <c r="W409" s="815"/>
      <c r="X409" s="815"/>
      <c r="Y409" s="815"/>
      <c r="Z409" s="815"/>
      <c r="AA409" s="830">
        <f t="shared" si="138"/>
        <v>55.999999999999957</v>
      </c>
      <c r="AB409" s="830">
        <f>VLOOKUP(C409,'[3]MỦ TẠP'!$D$10:$AM$450,36,0)</f>
        <v>0</v>
      </c>
      <c r="AC409" s="830"/>
      <c r="AD409" s="830"/>
      <c r="AE409" s="831">
        <f t="shared" si="136"/>
        <v>0</v>
      </c>
      <c r="AF409" s="830"/>
      <c r="AG409" s="830"/>
      <c r="AH409" s="830">
        <f t="shared" si="137"/>
        <v>0</v>
      </c>
      <c r="AI409" s="830">
        <f>VLOOKUP(C409,'[3]CHẤM CÔNG '!$F$10:$AM$451,33,0)</f>
        <v>0</v>
      </c>
      <c r="AJ409" s="830">
        <f>VLOOKUP(C409,'[3]CHẤM CÔNG '!$F$10:$AM$451,34,0)</f>
        <v>0</v>
      </c>
      <c r="AK409" s="830"/>
      <c r="AL409" s="830"/>
      <c r="AM409" s="830"/>
      <c r="AN409" s="830">
        <f>VLOOKUP(C409,'[3]CHẤM CÔNG '!$F$10:$AN$451,35,0)</f>
        <v>0</v>
      </c>
      <c r="AO409" s="830">
        <f>VLOOKUP(C409,'[3]CHẤM CÔNG '!$F$10:$AR$451,36,0)</f>
        <v>0</v>
      </c>
      <c r="AP409" s="830"/>
      <c r="AQ409" s="830"/>
      <c r="AR409" s="830"/>
      <c r="AS409" s="836"/>
      <c r="AT409" s="837">
        <f>VLOOKUP(C409,'[3]MỦ TẠP'!$D$10:$AO$450,38,0)</f>
        <v>0</v>
      </c>
    </row>
    <row r="410" spans="1:46" ht="15.75">
      <c r="A410" s="812">
        <v>29</v>
      </c>
      <c r="B410" s="813" t="str">
        <f>VLOOKUP(C410,'[3]DS CN MOI UP'!$B$10:$C$489,2,0)</f>
        <v>02622</v>
      </c>
      <c r="C410" s="846" t="s">
        <v>314</v>
      </c>
      <c r="D410" s="812" t="s">
        <v>15</v>
      </c>
      <c r="E410" s="815">
        <v>4</v>
      </c>
      <c r="F410" s="815"/>
      <c r="G410" s="815"/>
      <c r="H410" s="815">
        <v>4</v>
      </c>
      <c r="I410" s="815"/>
      <c r="J410" s="815">
        <v>4</v>
      </c>
      <c r="K410" s="815">
        <v>4</v>
      </c>
      <c r="L410" s="815">
        <v>4</v>
      </c>
      <c r="M410" s="815"/>
      <c r="N410" s="815">
        <f t="shared" si="127"/>
        <v>23.999999999999954</v>
      </c>
      <c r="O410" s="815">
        <f t="shared" si="128"/>
        <v>0</v>
      </c>
      <c r="P410" s="815">
        <f t="shared" si="129"/>
        <v>0</v>
      </c>
      <c r="Q410" s="815">
        <f t="shared" si="130"/>
        <v>16</v>
      </c>
      <c r="R410" s="815">
        <f t="shared" si="131"/>
        <v>0</v>
      </c>
      <c r="S410" s="815">
        <f t="shared" si="132"/>
        <v>8</v>
      </c>
      <c r="T410" s="815">
        <f t="shared" si="133"/>
        <v>4</v>
      </c>
      <c r="U410" s="815">
        <f t="shared" si="134"/>
        <v>4</v>
      </c>
      <c r="V410" s="815">
        <f t="shared" si="135"/>
        <v>0</v>
      </c>
      <c r="W410" s="815"/>
      <c r="X410" s="815"/>
      <c r="Y410" s="815"/>
      <c r="Z410" s="815"/>
      <c r="AA410" s="830">
        <f t="shared" si="138"/>
        <v>55.999999999999957</v>
      </c>
      <c r="AB410" s="830">
        <f>VLOOKUP(C410,'[3]MỦ TẠP'!$D$10:$AM$450,36,0)</f>
        <v>0</v>
      </c>
      <c r="AC410" s="830"/>
      <c r="AD410" s="830"/>
      <c r="AE410" s="831">
        <f t="shared" si="136"/>
        <v>0</v>
      </c>
      <c r="AF410" s="830"/>
      <c r="AG410" s="830"/>
      <c r="AH410" s="830">
        <f t="shared" si="137"/>
        <v>0</v>
      </c>
      <c r="AI410" s="830">
        <f>VLOOKUP(C410,'[3]CHẤM CÔNG '!$F$10:$AM$451,33,0)</f>
        <v>0</v>
      </c>
      <c r="AJ410" s="830">
        <f>VLOOKUP(C410,'[3]CHẤM CÔNG '!$F$10:$AM$451,34,0)</f>
        <v>0</v>
      </c>
      <c r="AK410" s="830"/>
      <c r="AL410" s="830"/>
      <c r="AM410" s="830"/>
      <c r="AN410" s="830">
        <f>VLOOKUP(C410,'[3]CHẤM CÔNG '!$F$10:$AN$451,35,0)</f>
        <v>0</v>
      </c>
      <c r="AO410" s="830">
        <f>VLOOKUP(C410,'[3]CHẤM CÔNG '!$F$10:$AR$451,36,0)</f>
        <v>0</v>
      </c>
      <c r="AP410" s="830"/>
      <c r="AQ410" s="830"/>
      <c r="AR410" s="830"/>
      <c r="AS410" s="836"/>
      <c r="AT410" s="837">
        <f>VLOOKUP(C410,'[3]MỦ TẠP'!$D$10:$AO$450,38,0)</f>
        <v>0</v>
      </c>
    </row>
    <row r="411" spans="1:46" ht="15.75">
      <c r="A411" s="812">
        <v>30</v>
      </c>
      <c r="B411" s="813" t="e">
        <f>VLOOKUP(C411,'[3]DS CN MOI UP'!$B$10:$C$489,2,0)</f>
        <v>#N/A</v>
      </c>
      <c r="C411" s="846" t="s">
        <v>315</v>
      </c>
      <c r="D411" s="812" t="s">
        <v>15</v>
      </c>
      <c r="E411" s="815">
        <v>4</v>
      </c>
      <c r="F411" s="815"/>
      <c r="G411" s="815"/>
      <c r="H411" s="815">
        <v>4</v>
      </c>
      <c r="I411" s="815"/>
      <c r="J411" s="815">
        <v>4</v>
      </c>
      <c r="K411" s="815">
        <v>4</v>
      </c>
      <c r="L411" s="815">
        <v>4</v>
      </c>
      <c r="M411" s="815"/>
      <c r="N411" s="815">
        <f t="shared" si="127"/>
        <v>23.999999999999954</v>
      </c>
      <c r="O411" s="815">
        <f t="shared" si="128"/>
        <v>0</v>
      </c>
      <c r="P411" s="815">
        <f t="shared" si="129"/>
        <v>0</v>
      </c>
      <c r="Q411" s="815">
        <f t="shared" si="130"/>
        <v>16</v>
      </c>
      <c r="R411" s="815">
        <f t="shared" si="131"/>
        <v>0</v>
      </c>
      <c r="S411" s="815">
        <f t="shared" si="132"/>
        <v>8</v>
      </c>
      <c r="T411" s="815">
        <f t="shared" si="133"/>
        <v>4</v>
      </c>
      <c r="U411" s="815">
        <f t="shared" si="134"/>
        <v>4</v>
      </c>
      <c r="V411" s="815">
        <f t="shared" si="135"/>
        <v>0</v>
      </c>
      <c r="W411" s="815"/>
      <c r="X411" s="815"/>
      <c r="Y411" s="815"/>
      <c r="Z411" s="815"/>
      <c r="AA411" s="830">
        <f t="shared" si="138"/>
        <v>55.999999999999957</v>
      </c>
      <c r="AB411" s="830">
        <f>VLOOKUP(C411,'[3]MỦ TẠP'!$D$10:$AM$450,36,0)</f>
        <v>0</v>
      </c>
      <c r="AC411" s="830"/>
      <c r="AD411" s="830"/>
      <c r="AE411" s="831">
        <f t="shared" si="136"/>
        <v>0</v>
      </c>
      <c r="AF411" s="830"/>
      <c r="AG411" s="830"/>
      <c r="AH411" s="830">
        <f t="shared" si="137"/>
        <v>0</v>
      </c>
      <c r="AI411" s="830">
        <f>VLOOKUP(C411,'[3]CHẤM CÔNG '!$F$10:$AM$451,33,0)</f>
        <v>0</v>
      </c>
      <c r="AJ411" s="830">
        <f>VLOOKUP(C411,'[3]CHẤM CÔNG '!$F$10:$AM$451,34,0)</f>
        <v>0</v>
      </c>
      <c r="AK411" s="830"/>
      <c r="AL411" s="830"/>
      <c r="AM411" s="830"/>
      <c r="AN411" s="830">
        <f>VLOOKUP(C411,'[3]CHẤM CÔNG '!$F$10:$AN$451,35,0)</f>
        <v>0</v>
      </c>
      <c r="AO411" s="830">
        <f>VLOOKUP(C411,'[3]CHẤM CÔNG '!$F$10:$AR$451,36,0)</f>
        <v>0</v>
      </c>
      <c r="AP411" s="830"/>
      <c r="AQ411" s="830"/>
      <c r="AR411" s="830"/>
      <c r="AS411" s="836"/>
      <c r="AT411" s="837">
        <f>VLOOKUP(C411,'[3]MỦ TẠP'!$D$10:$AO$450,38,0)</f>
        <v>0</v>
      </c>
    </row>
    <row r="412" spans="1:46" ht="15.75">
      <c r="A412" s="812">
        <v>31</v>
      </c>
      <c r="B412" s="813" t="str">
        <f>VLOOKUP(C412,'[3]DS CN MOI UP'!$B$10:$C$489,2,0)</f>
        <v>02623</v>
      </c>
      <c r="C412" s="846" t="s">
        <v>316</v>
      </c>
      <c r="D412" s="812" t="s">
        <v>15</v>
      </c>
      <c r="E412" s="815">
        <v>4</v>
      </c>
      <c r="F412" s="815"/>
      <c r="G412" s="815"/>
      <c r="H412" s="815">
        <v>4</v>
      </c>
      <c r="I412" s="815"/>
      <c r="J412" s="815">
        <v>4</v>
      </c>
      <c r="K412" s="815">
        <v>4</v>
      </c>
      <c r="L412" s="815">
        <v>4</v>
      </c>
      <c r="M412" s="815"/>
      <c r="N412" s="815">
        <f t="shared" si="127"/>
        <v>23.999999999999954</v>
      </c>
      <c r="O412" s="815">
        <f t="shared" si="128"/>
        <v>0</v>
      </c>
      <c r="P412" s="815">
        <f t="shared" si="129"/>
        <v>0</v>
      </c>
      <c r="Q412" s="815">
        <f t="shared" si="130"/>
        <v>16</v>
      </c>
      <c r="R412" s="815">
        <f t="shared" si="131"/>
        <v>0</v>
      </c>
      <c r="S412" s="815">
        <f t="shared" si="132"/>
        <v>8</v>
      </c>
      <c r="T412" s="815">
        <f t="shared" si="133"/>
        <v>4</v>
      </c>
      <c r="U412" s="815">
        <f t="shared" si="134"/>
        <v>4</v>
      </c>
      <c r="V412" s="815">
        <f t="shared" si="135"/>
        <v>0</v>
      </c>
      <c r="W412" s="815"/>
      <c r="X412" s="815"/>
      <c r="Y412" s="815"/>
      <c r="Z412" s="815"/>
      <c r="AA412" s="830">
        <f t="shared" si="138"/>
        <v>55.999999999999957</v>
      </c>
      <c r="AB412" s="830">
        <f>VLOOKUP(C412,'[3]MỦ TẠP'!$D$10:$AM$450,36,0)</f>
        <v>0</v>
      </c>
      <c r="AC412" s="830"/>
      <c r="AD412" s="830"/>
      <c r="AE412" s="831">
        <f t="shared" si="136"/>
        <v>0</v>
      </c>
      <c r="AF412" s="830"/>
      <c r="AG412" s="830"/>
      <c r="AH412" s="830">
        <f t="shared" si="137"/>
        <v>0</v>
      </c>
      <c r="AI412" s="830">
        <f>VLOOKUP(C412,'[3]CHẤM CÔNG '!$F$10:$AM$451,33,0)</f>
        <v>0</v>
      </c>
      <c r="AJ412" s="830">
        <f>VLOOKUP(C412,'[3]CHẤM CÔNG '!$F$10:$AM$451,34,0)</f>
        <v>0</v>
      </c>
      <c r="AK412" s="830"/>
      <c r="AL412" s="830"/>
      <c r="AM412" s="830"/>
      <c r="AN412" s="830">
        <f>VLOOKUP(C412,'[3]CHẤM CÔNG '!$F$10:$AN$451,35,0)</f>
        <v>0</v>
      </c>
      <c r="AO412" s="830">
        <f>VLOOKUP(C412,'[3]CHẤM CÔNG '!$F$10:$AR$451,36,0)</f>
        <v>0</v>
      </c>
      <c r="AP412" s="830"/>
      <c r="AQ412" s="830"/>
      <c r="AR412" s="830"/>
      <c r="AS412" s="836"/>
      <c r="AT412" s="837">
        <f>VLOOKUP(C412,'[3]MỦ TẠP'!$D$10:$AO$450,38,0)</f>
        <v>0</v>
      </c>
    </row>
    <row r="413" spans="1:46" ht="15.75">
      <c r="A413" s="812">
        <v>32</v>
      </c>
      <c r="B413" s="813" t="str">
        <f>VLOOKUP(C413,'[3]DS CN MOI UP'!$B$10:$C$489,2,0)</f>
        <v>02624</v>
      </c>
      <c r="C413" s="846" t="s">
        <v>317</v>
      </c>
      <c r="D413" s="812" t="s">
        <v>15</v>
      </c>
      <c r="E413" s="815">
        <v>4</v>
      </c>
      <c r="F413" s="815"/>
      <c r="G413" s="815"/>
      <c r="H413" s="815">
        <v>4</v>
      </c>
      <c r="I413" s="815"/>
      <c r="J413" s="815">
        <v>4</v>
      </c>
      <c r="K413" s="815">
        <v>4</v>
      </c>
      <c r="L413" s="815">
        <v>4</v>
      </c>
      <c r="M413" s="815"/>
      <c r="N413" s="815">
        <f t="shared" si="127"/>
        <v>23.999999999999954</v>
      </c>
      <c r="O413" s="815">
        <f t="shared" si="128"/>
        <v>0</v>
      </c>
      <c r="P413" s="815">
        <f t="shared" si="129"/>
        <v>0</v>
      </c>
      <c r="Q413" s="815">
        <f t="shared" si="130"/>
        <v>16</v>
      </c>
      <c r="R413" s="815">
        <f t="shared" si="131"/>
        <v>0</v>
      </c>
      <c r="S413" s="815">
        <f t="shared" si="132"/>
        <v>8</v>
      </c>
      <c r="T413" s="815">
        <f t="shared" si="133"/>
        <v>4</v>
      </c>
      <c r="U413" s="815">
        <f t="shared" si="134"/>
        <v>4</v>
      </c>
      <c r="V413" s="815">
        <f t="shared" si="135"/>
        <v>0</v>
      </c>
      <c r="W413" s="815"/>
      <c r="X413" s="815"/>
      <c r="Y413" s="815"/>
      <c r="Z413" s="815"/>
      <c r="AA413" s="830">
        <f t="shared" si="138"/>
        <v>55.999999999999957</v>
      </c>
      <c r="AB413" s="830">
        <f>VLOOKUP(C413,'[3]MỦ TẠP'!$D$10:$AM$450,36,0)</f>
        <v>0</v>
      </c>
      <c r="AC413" s="830"/>
      <c r="AD413" s="830"/>
      <c r="AE413" s="831">
        <f t="shared" si="136"/>
        <v>0</v>
      </c>
      <c r="AF413" s="830"/>
      <c r="AG413" s="830"/>
      <c r="AH413" s="830">
        <f t="shared" si="137"/>
        <v>0</v>
      </c>
      <c r="AI413" s="830">
        <f>VLOOKUP(C413,'[3]CHẤM CÔNG '!$F$10:$AM$451,33,0)</f>
        <v>0</v>
      </c>
      <c r="AJ413" s="830">
        <f>VLOOKUP(C413,'[3]CHẤM CÔNG '!$F$10:$AM$451,34,0)</f>
        <v>0</v>
      </c>
      <c r="AK413" s="830"/>
      <c r="AL413" s="830"/>
      <c r="AM413" s="830"/>
      <c r="AN413" s="830">
        <f>VLOOKUP(C413,'[3]CHẤM CÔNG '!$F$10:$AN$451,35,0)</f>
        <v>0</v>
      </c>
      <c r="AO413" s="830">
        <f>VLOOKUP(C413,'[3]CHẤM CÔNG '!$F$10:$AR$451,36,0)</f>
        <v>0</v>
      </c>
      <c r="AP413" s="830"/>
      <c r="AQ413" s="830"/>
      <c r="AR413" s="830"/>
      <c r="AS413" s="836"/>
      <c r="AT413" s="837">
        <f>VLOOKUP(C413,'[3]MỦ TẠP'!$D$10:$AO$450,38,0)</f>
        <v>0</v>
      </c>
    </row>
    <row r="414" spans="1:46" ht="15.75">
      <c r="A414" s="812">
        <v>33</v>
      </c>
      <c r="B414" s="813" t="str">
        <f>VLOOKUP(C414,'[3]DS CN MOI UP'!$B$10:$C$489,2,0)</f>
        <v>03404</v>
      </c>
      <c r="C414" s="846" t="s">
        <v>318</v>
      </c>
      <c r="D414" s="812" t="s">
        <v>15</v>
      </c>
      <c r="E414" s="815">
        <v>4</v>
      </c>
      <c r="F414" s="815"/>
      <c r="G414" s="815"/>
      <c r="H414" s="815">
        <v>4</v>
      </c>
      <c r="I414" s="815"/>
      <c r="J414" s="815">
        <v>4</v>
      </c>
      <c r="K414" s="815">
        <v>4</v>
      </c>
      <c r="L414" s="815">
        <v>4</v>
      </c>
      <c r="M414" s="815"/>
      <c r="N414" s="815">
        <f t="shared" si="127"/>
        <v>23.999999999999954</v>
      </c>
      <c r="O414" s="815">
        <f t="shared" si="128"/>
        <v>0</v>
      </c>
      <c r="P414" s="815">
        <f t="shared" si="129"/>
        <v>0</v>
      </c>
      <c r="Q414" s="815">
        <f t="shared" si="130"/>
        <v>16</v>
      </c>
      <c r="R414" s="815">
        <f t="shared" si="131"/>
        <v>0</v>
      </c>
      <c r="S414" s="815">
        <f t="shared" si="132"/>
        <v>8</v>
      </c>
      <c r="T414" s="815">
        <f t="shared" si="133"/>
        <v>4</v>
      </c>
      <c r="U414" s="815">
        <f t="shared" si="134"/>
        <v>4</v>
      </c>
      <c r="V414" s="815">
        <f t="shared" si="135"/>
        <v>0</v>
      </c>
      <c r="W414" s="815"/>
      <c r="X414" s="815"/>
      <c r="Y414" s="815"/>
      <c r="Z414" s="815"/>
      <c r="AA414" s="830">
        <f t="shared" si="138"/>
        <v>55.999999999999957</v>
      </c>
      <c r="AB414" s="830">
        <f>VLOOKUP(C414,'[3]MỦ TẠP'!$D$10:$AM$450,36,0)</f>
        <v>0</v>
      </c>
      <c r="AC414" s="830"/>
      <c r="AD414" s="830"/>
      <c r="AE414" s="831">
        <f t="shared" si="136"/>
        <v>0</v>
      </c>
      <c r="AF414" s="830"/>
      <c r="AG414" s="830"/>
      <c r="AH414" s="830">
        <f t="shared" si="137"/>
        <v>0</v>
      </c>
      <c r="AI414" s="830">
        <f>VLOOKUP(C414,'[3]CHẤM CÔNG '!$F$10:$AM$451,33,0)</f>
        <v>0</v>
      </c>
      <c r="AJ414" s="830">
        <f>VLOOKUP(C414,'[3]CHẤM CÔNG '!$F$10:$AM$451,34,0)</f>
        <v>0</v>
      </c>
      <c r="AK414" s="830"/>
      <c r="AL414" s="830"/>
      <c r="AM414" s="830"/>
      <c r="AN414" s="830">
        <f>VLOOKUP(C414,'[3]CHẤM CÔNG '!$F$10:$AN$451,35,0)</f>
        <v>0</v>
      </c>
      <c r="AO414" s="830">
        <f>VLOOKUP(C414,'[3]CHẤM CÔNG '!$F$10:$AR$451,36,0)</f>
        <v>0</v>
      </c>
      <c r="AP414" s="830"/>
      <c r="AQ414" s="830"/>
      <c r="AR414" s="830"/>
      <c r="AS414" s="836"/>
      <c r="AT414" s="837">
        <f>VLOOKUP(C414,'[3]MỦ TẠP'!$D$10:$AO$450,38,0)</f>
        <v>0</v>
      </c>
    </row>
    <row r="415" spans="1:46" ht="15.75">
      <c r="A415" s="812">
        <v>34</v>
      </c>
      <c r="B415" s="813" t="str">
        <f>VLOOKUP(C415,'[3]DS CN MOI UP'!$B$10:$C$489,2,0)</f>
        <v>02626</v>
      </c>
      <c r="C415" s="846" t="s">
        <v>319</v>
      </c>
      <c r="D415" s="812" t="s">
        <v>15</v>
      </c>
      <c r="E415" s="815">
        <v>4</v>
      </c>
      <c r="F415" s="815"/>
      <c r="G415" s="815"/>
      <c r="H415" s="815">
        <v>4</v>
      </c>
      <c r="I415" s="815"/>
      <c r="J415" s="815">
        <v>4</v>
      </c>
      <c r="K415" s="815">
        <v>4</v>
      </c>
      <c r="L415" s="815">
        <v>4</v>
      </c>
      <c r="M415" s="815"/>
      <c r="N415" s="815">
        <f t="shared" si="127"/>
        <v>23.999999999999954</v>
      </c>
      <c r="O415" s="815">
        <f t="shared" si="128"/>
        <v>0</v>
      </c>
      <c r="P415" s="815">
        <f t="shared" si="129"/>
        <v>0</v>
      </c>
      <c r="Q415" s="815">
        <f t="shared" si="130"/>
        <v>16</v>
      </c>
      <c r="R415" s="815">
        <f t="shared" si="131"/>
        <v>0</v>
      </c>
      <c r="S415" s="815">
        <f t="shared" si="132"/>
        <v>8</v>
      </c>
      <c r="T415" s="815">
        <f t="shared" si="133"/>
        <v>4</v>
      </c>
      <c r="U415" s="815">
        <f t="shared" si="134"/>
        <v>4</v>
      </c>
      <c r="V415" s="815">
        <f t="shared" si="135"/>
        <v>0</v>
      </c>
      <c r="W415" s="815"/>
      <c r="X415" s="815"/>
      <c r="Y415" s="815"/>
      <c r="Z415" s="815"/>
      <c r="AA415" s="830">
        <f t="shared" si="138"/>
        <v>55.999999999999957</v>
      </c>
      <c r="AB415" s="830">
        <f>VLOOKUP(C415,'[3]MỦ TẠP'!$D$10:$AM$450,36,0)</f>
        <v>0</v>
      </c>
      <c r="AC415" s="830"/>
      <c r="AD415" s="830"/>
      <c r="AE415" s="831">
        <f t="shared" si="136"/>
        <v>0</v>
      </c>
      <c r="AF415" s="830"/>
      <c r="AG415" s="830"/>
      <c r="AH415" s="830">
        <f t="shared" si="137"/>
        <v>0</v>
      </c>
      <c r="AI415" s="830">
        <f>VLOOKUP(C415,'[3]CHẤM CÔNG '!$F$10:$AM$451,33,0)</f>
        <v>0</v>
      </c>
      <c r="AJ415" s="830">
        <f>VLOOKUP(C415,'[3]CHẤM CÔNG '!$F$10:$AM$451,34,0)</f>
        <v>0</v>
      </c>
      <c r="AK415" s="830"/>
      <c r="AL415" s="830"/>
      <c r="AM415" s="830"/>
      <c r="AN415" s="830">
        <f>VLOOKUP(C415,'[3]CHẤM CÔNG '!$F$10:$AN$451,35,0)</f>
        <v>0</v>
      </c>
      <c r="AO415" s="830">
        <f>VLOOKUP(C415,'[3]CHẤM CÔNG '!$F$10:$AR$451,36,0)</f>
        <v>0</v>
      </c>
      <c r="AP415" s="830"/>
      <c r="AQ415" s="830"/>
      <c r="AR415" s="830"/>
      <c r="AS415" s="836"/>
      <c r="AT415" s="837">
        <f>VLOOKUP(C415,'[3]MỦ TẠP'!$D$10:$AO$450,38,0)</f>
        <v>0</v>
      </c>
    </row>
    <row r="416" spans="1:46" ht="15.75">
      <c r="A416" s="812">
        <v>35</v>
      </c>
      <c r="B416" s="813" t="str">
        <f>VLOOKUP(C416,'[3]DS CN MOI UP'!$B$10:$C$489,2,0)</f>
        <v>02627</v>
      </c>
      <c r="C416" s="846" t="s">
        <v>320</v>
      </c>
      <c r="D416" s="812" t="s">
        <v>15</v>
      </c>
      <c r="E416" s="815">
        <v>4</v>
      </c>
      <c r="F416" s="815"/>
      <c r="G416" s="815"/>
      <c r="H416" s="815">
        <v>4</v>
      </c>
      <c r="I416" s="815"/>
      <c r="J416" s="815">
        <v>4</v>
      </c>
      <c r="K416" s="815">
        <v>4</v>
      </c>
      <c r="L416" s="815">
        <v>4</v>
      </c>
      <c r="M416" s="815"/>
      <c r="N416" s="815">
        <f t="shared" si="127"/>
        <v>23.999999999999954</v>
      </c>
      <c r="O416" s="815">
        <f t="shared" si="128"/>
        <v>0</v>
      </c>
      <c r="P416" s="815">
        <f t="shared" si="129"/>
        <v>0</v>
      </c>
      <c r="Q416" s="815">
        <f t="shared" si="130"/>
        <v>16</v>
      </c>
      <c r="R416" s="815">
        <f t="shared" si="131"/>
        <v>0</v>
      </c>
      <c r="S416" s="815">
        <f t="shared" si="132"/>
        <v>8</v>
      </c>
      <c r="T416" s="815">
        <f t="shared" si="133"/>
        <v>4</v>
      </c>
      <c r="U416" s="815">
        <f t="shared" si="134"/>
        <v>4</v>
      </c>
      <c r="V416" s="815">
        <f t="shared" si="135"/>
        <v>0</v>
      </c>
      <c r="W416" s="815"/>
      <c r="X416" s="815"/>
      <c r="Y416" s="815"/>
      <c r="Z416" s="815"/>
      <c r="AA416" s="830">
        <f t="shared" si="138"/>
        <v>55.999999999999957</v>
      </c>
      <c r="AB416" s="830">
        <f>VLOOKUP(C416,'[3]MỦ TẠP'!$D$10:$AM$450,36,0)</f>
        <v>0</v>
      </c>
      <c r="AC416" s="830"/>
      <c r="AD416" s="830"/>
      <c r="AE416" s="831">
        <f t="shared" si="136"/>
        <v>0</v>
      </c>
      <c r="AF416" s="830"/>
      <c r="AG416" s="830"/>
      <c r="AH416" s="830">
        <f t="shared" si="137"/>
        <v>0</v>
      </c>
      <c r="AI416" s="830">
        <f>VLOOKUP(C416,'[3]CHẤM CÔNG '!$F$10:$AM$451,33,0)</f>
        <v>0</v>
      </c>
      <c r="AJ416" s="830">
        <f>VLOOKUP(C416,'[3]CHẤM CÔNG '!$F$10:$AM$451,34,0)</f>
        <v>0</v>
      </c>
      <c r="AK416" s="830"/>
      <c r="AL416" s="830"/>
      <c r="AM416" s="830"/>
      <c r="AN416" s="830">
        <f>VLOOKUP(C416,'[3]CHẤM CÔNG '!$F$10:$AN$451,35,0)</f>
        <v>0</v>
      </c>
      <c r="AO416" s="830">
        <f>VLOOKUP(C416,'[3]CHẤM CÔNG '!$F$10:$AR$451,36,0)</f>
        <v>0</v>
      </c>
      <c r="AP416" s="830"/>
      <c r="AQ416" s="830"/>
      <c r="AR416" s="830"/>
      <c r="AS416" s="836"/>
      <c r="AT416" s="837">
        <f>VLOOKUP(C416,'[3]MỦ TẠP'!$D$10:$AO$450,38,0)</f>
        <v>0</v>
      </c>
    </row>
    <row r="417" spans="1:46" ht="15.75">
      <c r="A417" s="812">
        <v>36</v>
      </c>
      <c r="B417" s="813" t="str">
        <f>VLOOKUP(C417,'[3]DS CN MOI UP'!$B$10:$C$489,2,0)</f>
        <v>02628</v>
      </c>
      <c r="C417" s="846" t="s">
        <v>321</v>
      </c>
      <c r="D417" s="812" t="s">
        <v>15</v>
      </c>
      <c r="E417" s="815">
        <v>4</v>
      </c>
      <c r="F417" s="815"/>
      <c r="G417" s="815"/>
      <c r="H417" s="815">
        <v>4</v>
      </c>
      <c r="I417" s="815"/>
      <c r="J417" s="815">
        <v>4</v>
      </c>
      <c r="K417" s="815">
        <v>4</v>
      </c>
      <c r="L417" s="815">
        <v>4</v>
      </c>
      <c r="M417" s="815"/>
      <c r="N417" s="815">
        <f t="shared" si="127"/>
        <v>23.999999999999954</v>
      </c>
      <c r="O417" s="815">
        <f t="shared" si="128"/>
        <v>0</v>
      </c>
      <c r="P417" s="815">
        <f t="shared" si="129"/>
        <v>0</v>
      </c>
      <c r="Q417" s="815">
        <f t="shared" si="130"/>
        <v>16</v>
      </c>
      <c r="R417" s="815">
        <f t="shared" si="131"/>
        <v>0</v>
      </c>
      <c r="S417" s="815">
        <f t="shared" si="132"/>
        <v>8</v>
      </c>
      <c r="T417" s="815">
        <f t="shared" si="133"/>
        <v>4</v>
      </c>
      <c r="U417" s="815">
        <f t="shared" si="134"/>
        <v>4</v>
      </c>
      <c r="V417" s="815">
        <f t="shared" si="135"/>
        <v>0</v>
      </c>
      <c r="W417" s="815"/>
      <c r="X417" s="815"/>
      <c r="Y417" s="815"/>
      <c r="Z417" s="815"/>
      <c r="AA417" s="830">
        <f t="shared" si="138"/>
        <v>55.999999999999957</v>
      </c>
      <c r="AB417" s="830">
        <f>VLOOKUP(C417,'[3]MỦ TẠP'!$D$10:$AM$450,36,0)</f>
        <v>0</v>
      </c>
      <c r="AC417" s="830"/>
      <c r="AD417" s="830"/>
      <c r="AE417" s="831">
        <f t="shared" si="136"/>
        <v>0</v>
      </c>
      <c r="AF417" s="830"/>
      <c r="AG417" s="830"/>
      <c r="AH417" s="830">
        <f t="shared" si="137"/>
        <v>0</v>
      </c>
      <c r="AI417" s="830">
        <f>VLOOKUP(C417,'[3]CHẤM CÔNG '!$F$10:$AM$451,33,0)</f>
        <v>0</v>
      </c>
      <c r="AJ417" s="830">
        <f>VLOOKUP(C417,'[3]CHẤM CÔNG '!$F$10:$AM$451,34,0)</f>
        <v>0</v>
      </c>
      <c r="AK417" s="830"/>
      <c r="AL417" s="830"/>
      <c r="AM417" s="830"/>
      <c r="AN417" s="830">
        <f>VLOOKUP(C417,'[3]CHẤM CÔNG '!$F$10:$AN$451,35,0)</f>
        <v>0</v>
      </c>
      <c r="AO417" s="830">
        <f>VLOOKUP(C417,'[3]CHẤM CÔNG '!$F$10:$AR$451,36,0)</f>
        <v>0</v>
      </c>
      <c r="AP417" s="830"/>
      <c r="AQ417" s="830"/>
      <c r="AR417" s="830"/>
      <c r="AS417" s="836"/>
      <c r="AT417" s="837">
        <f>VLOOKUP(C417,'[3]MỦ TẠP'!$D$10:$AO$450,38,0)</f>
        <v>0</v>
      </c>
    </row>
    <row r="418" spans="1:46" ht="15.75">
      <c r="A418" s="812">
        <v>37</v>
      </c>
      <c r="B418" s="813" t="str">
        <f>VLOOKUP(C418,'[3]DS CN MOI UP'!$B$10:$C$489,2,0)</f>
        <v>03405</v>
      </c>
      <c r="C418" s="846" t="s">
        <v>322</v>
      </c>
      <c r="D418" s="812" t="s">
        <v>15</v>
      </c>
      <c r="E418" s="815">
        <v>4</v>
      </c>
      <c r="F418" s="815"/>
      <c r="G418" s="815"/>
      <c r="H418" s="815">
        <v>4</v>
      </c>
      <c r="I418" s="815"/>
      <c r="J418" s="815">
        <v>4</v>
      </c>
      <c r="K418" s="815">
        <v>4</v>
      </c>
      <c r="L418" s="815">
        <v>4</v>
      </c>
      <c r="M418" s="815"/>
      <c r="N418" s="815">
        <f t="shared" si="127"/>
        <v>23.999999999999954</v>
      </c>
      <c r="O418" s="815">
        <f t="shared" si="128"/>
        <v>0</v>
      </c>
      <c r="P418" s="815">
        <f t="shared" si="129"/>
        <v>0</v>
      </c>
      <c r="Q418" s="815">
        <f t="shared" si="130"/>
        <v>16</v>
      </c>
      <c r="R418" s="815">
        <f t="shared" si="131"/>
        <v>0</v>
      </c>
      <c r="S418" s="815">
        <f t="shared" si="132"/>
        <v>8</v>
      </c>
      <c r="T418" s="815">
        <f t="shared" si="133"/>
        <v>4</v>
      </c>
      <c r="U418" s="815">
        <f t="shared" si="134"/>
        <v>4</v>
      </c>
      <c r="V418" s="815">
        <f t="shared" si="135"/>
        <v>0</v>
      </c>
      <c r="W418" s="815"/>
      <c r="X418" s="815"/>
      <c r="Y418" s="815"/>
      <c r="Z418" s="815"/>
      <c r="AA418" s="830">
        <f t="shared" si="138"/>
        <v>55.999999999999957</v>
      </c>
      <c r="AB418" s="830">
        <f>VLOOKUP(C418,'[3]MỦ TẠP'!$D$10:$AM$450,36,0)</f>
        <v>0</v>
      </c>
      <c r="AC418" s="830"/>
      <c r="AD418" s="830"/>
      <c r="AE418" s="831">
        <f t="shared" si="136"/>
        <v>0</v>
      </c>
      <c r="AF418" s="830"/>
      <c r="AG418" s="830"/>
      <c r="AH418" s="830">
        <f t="shared" si="137"/>
        <v>0</v>
      </c>
      <c r="AI418" s="830">
        <f>VLOOKUP(C418,'[3]CHẤM CÔNG '!$F$10:$AM$451,33,0)</f>
        <v>0</v>
      </c>
      <c r="AJ418" s="830">
        <f>VLOOKUP(C418,'[3]CHẤM CÔNG '!$F$10:$AM$451,34,0)</f>
        <v>0</v>
      </c>
      <c r="AK418" s="830"/>
      <c r="AL418" s="830"/>
      <c r="AM418" s="830"/>
      <c r="AN418" s="830">
        <f>VLOOKUP(C418,'[3]CHẤM CÔNG '!$F$10:$AN$451,35,0)</f>
        <v>0</v>
      </c>
      <c r="AO418" s="830">
        <f>VLOOKUP(C418,'[3]CHẤM CÔNG '!$F$10:$AR$451,36,0)</f>
        <v>0</v>
      </c>
      <c r="AP418" s="830"/>
      <c r="AQ418" s="830"/>
      <c r="AR418" s="830"/>
      <c r="AS418" s="836"/>
      <c r="AT418" s="837">
        <f>VLOOKUP(C418,'[3]MỦ TẠP'!$D$10:$AO$450,38,0)</f>
        <v>0</v>
      </c>
    </row>
    <row r="419" spans="1:46" ht="15.75">
      <c r="A419" s="812">
        <v>38</v>
      </c>
      <c r="B419" s="813" t="str">
        <f>VLOOKUP(C419,'[3]DS CN MOI UP'!$B$10:$C$489,2,0)</f>
        <v>02629</v>
      </c>
      <c r="C419" s="846" t="s">
        <v>323</v>
      </c>
      <c r="D419" s="812" t="s">
        <v>15</v>
      </c>
      <c r="E419" s="815">
        <v>4</v>
      </c>
      <c r="F419" s="815"/>
      <c r="G419" s="815"/>
      <c r="H419" s="815">
        <v>4</v>
      </c>
      <c r="I419" s="815"/>
      <c r="J419" s="815">
        <v>4</v>
      </c>
      <c r="K419" s="815">
        <v>4</v>
      </c>
      <c r="L419" s="815">
        <v>4</v>
      </c>
      <c r="M419" s="815"/>
      <c r="N419" s="815">
        <f t="shared" si="127"/>
        <v>23.999999999999954</v>
      </c>
      <c r="O419" s="815">
        <f t="shared" si="128"/>
        <v>0</v>
      </c>
      <c r="P419" s="815">
        <f t="shared" si="129"/>
        <v>0</v>
      </c>
      <c r="Q419" s="815">
        <f t="shared" si="130"/>
        <v>16</v>
      </c>
      <c r="R419" s="815">
        <f t="shared" si="131"/>
        <v>0</v>
      </c>
      <c r="S419" s="815">
        <f t="shared" si="132"/>
        <v>8</v>
      </c>
      <c r="T419" s="815">
        <f t="shared" si="133"/>
        <v>4</v>
      </c>
      <c r="U419" s="815">
        <f t="shared" si="134"/>
        <v>4</v>
      </c>
      <c r="V419" s="815">
        <f t="shared" si="135"/>
        <v>0</v>
      </c>
      <c r="W419" s="815"/>
      <c r="X419" s="815"/>
      <c r="Y419" s="815"/>
      <c r="Z419" s="815"/>
      <c r="AA419" s="830">
        <f t="shared" si="138"/>
        <v>55.999999999999957</v>
      </c>
      <c r="AB419" s="830">
        <f>VLOOKUP(C419,'[3]MỦ TẠP'!$D$10:$AM$450,36,0)</f>
        <v>0</v>
      </c>
      <c r="AC419" s="830"/>
      <c r="AD419" s="830"/>
      <c r="AE419" s="831">
        <f t="shared" si="136"/>
        <v>0</v>
      </c>
      <c r="AF419" s="830"/>
      <c r="AG419" s="830"/>
      <c r="AH419" s="830">
        <f t="shared" si="137"/>
        <v>0</v>
      </c>
      <c r="AI419" s="830">
        <f>VLOOKUP(C419,'[3]CHẤM CÔNG '!$F$10:$AM$451,33,0)</f>
        <v>0</v>
      </c>
      <c r="AJ419" s="830">
        <f>VLOOKUP(C419,'[3]CHẤM CÔNG '!$F$10:$AM$451,34,0)</f>
        <v>0</v>
      </c>
      <c r="AK419" s="830"/>
      <c r="AL419" s="830"/>
      <c r="AM419" s="830"/>
      <c r="AN419" s="830">
        <f>VLOOKUP(C419,'[3]CHẤM CÔNG '!$F$10:$AN$451,35,0)</f>
        <v>0</v>
      </c>
      <c r="AO419" s="830">
        <f>VLOOKUP(C419,'[3]CHẤM CÔNG '!$F$10:$AR$451,36,0)</f>
        <v>0</v>
      </c>
      <c r="AP419" s="830"/>
      <c r="AQ419" s="830"/>
      <c r="AR419" s="830"/>
      <c r="AS419" s="836"/>
      <c r="AT419" s="837">
        <f>VLOOKUP(C419,'[3]MỦ TẠP'!$D$10:$AO$450,38,0)</f>
        <v>0</v>
      </c>
    </row>
    <row r="420" spans="1:46" ht="15.75">
      <c r="A420" s="812">
        <v>39</v>
      </c>
      <c r="B420" s="813" t="str">
        <f>VLOOKUP(C420,'[3]DS CN MOI UP'!$B$10:$C$489,2,0)</f>
        <v>02630</v>
      </c>
      <c r="C420" s="846" t="s">
        <v>324</v>
      </c>
      <c r="D420" s="812" t="s">
        <v>15</v>
      </c>
      <c r="E420" s="815">
        <v>4</v>
      </c>
      <c r="F420" s="815"/>
      <c r="G420" s="815"/>
      <c r="H420" s="815">
        <v>4</v>
      </c>
      <c r="I420" s="815"/>
      <c r="J420" s="815">
        <v>4</v>
      </c>
      <c r="K420" s="815">
        <v>4</v>
      </c>
      <c r="L420" s="815">
        <v>4</v>
      </c>
      <c r="M420" s="815"/>
      <c r="N420" s="815">
        <f t="shared" si="127"/>
        <v>23.999999999999954</v>
      </c>
      <c r="O420" s="815">
        <f t="shared" si="128"/>
        <v>0</v>
      </c>
      <c r="P420" s="815">
        <f t="shared" si="129"/>
        <v>0</v>
      </c>
      <c r="Q420" s="815">
        <f t="shared" si="130"/>
        <v>16</v>
      </c>
      <c r="R420" s="815">
        <f t="shared" si="131"/>
        <v>0</v>
      </c>
      <c r="S420" s="815">
        <f t="shared" si="132"/>
        <v>8</v>
      </c>
      <c r="T420" s="815">
        <f t="shared" si="133"/>
        <v>4</v>
      </c>
      <c r="U420" s="815">
        <f t="shared" si="134"/>
        <v>4</v>
      </c>
      <c r="V420" s="815">
        <f t="shared" si="135"/>
        <v>0</v>
      </c>
      <c r="W420" s="815"/>
      <c r="X420" s="815"/>
      <c r="Y420" s="815"/>
      <c r="Z420" s="815"/>
      <c r="AA420" s="830">
        <f t="shared" si="138"/>
        <v>55.999999999999957</v>
      </c>
      <c r="AB420" s="830">
        <f>VLOOKUP(C420,'[3]MỦ TẠP'!$D$10:$AM$450,36,0)</f>
        <v>0</v>
      </c>
      <c r="AC420" s="830"/>
      <c r="AD420" s="830"/>
      <c r="AE420" s="831">
        <f t="shared" si="136"/>
        <v>0</v>
      </c>
      <c r="AF420" s="830"/>
      <c r="AG420" s="830"/>
      <c r="AH420" s="830">
        <f t="shared" si="137"/>
        <v>0</v>
      </c>
      <c r="AI420" s="830">
        <f>VLOOKUP(C420,'[3]CHẤM CÔNG '!$F$10:$AM$451,33,0)</f>
        <v>0</v>
      </c>
      <c r="AJ420" s="830">
        <f>VLOOKUP(C420,'[3]CHẤM CÔNG '!$F$10:$AM$451,34,0)</f>
        <v>0</v>
      </c>
      <c r="AK420" s="830"/>
      <c r="AL420" s="830"/>
      <c r="AM420" s="830"/>
      <c r="AN420" s="830">
        <f>VLOOKUP(C420,'[3]CHẤM CÔNG '!$F$10:$AN$451,35,0)</f>
        <v>0</v>
      </c>
      <c r="AO420" s="830">
        <f>VLOOKUP(C420,'[3]CHẤM CÔNG '!$F$10:$AR$451,36,0)</f>
        <v>0</v>
      </c>
      <c r="AP420" s="830"/>
      <c r="AQ420" s="830"/>
      <c r="AR420" s="830"/>
      <c r="AS420" s="836"/>
      <c r="AT420" s="837">
        <f>VLOOKUP(C420,'[3]MỦ TẠP'!$D$10:$AO$450,38,0)</f>
        <v>0</v>
      </c>
    </row>
    <row r="421" spans="1:46" ht="15.75">
      <c r="A421" s="812">
        <v>40</v>
      </c>
      <c r="B421" s="813" t="str">
        <f>VLOOKUP(C421,'[3]DS CN MOI UP'!$B$10:$C$489,2,0)</f>
        <v>02631</v>
      </c>
      <c r="C421" s="846" t="s">
        <v>325</v>
      </c>
      <c r="D421" s="812" t="s">
        <v>15</v>
      </c>
      <c r="E421" s="815">
        <v>4</v>
      </c>
      <c r="F421" s="815"/>
      <c r="G421" s="815"/>
      <c r="H421" s="815">
        <v>4</v>
      </c>
      <c r="I421" s="815"/>
      <c r="J421" s="815">
        <v>4</v>
      </c>
      <c r="K421" s="815">
        <v>4</v>
      </c>
      <c r="L421" s="815">
        <v>4</v>
      </c>
      <c r="M421" s="815"/>
      <c r="N421" s="815">
        <f t="shared" si="127"/>
        <v>23.999999999999954</v>
      </c>
      <c r="O421" s="815">
        <f t="shared" si="128"/>
        <v>0</v>
      </c>
      <c r="P421" s="815">
        <f t="shared" si="129"/>
        <v>0</v>
      </c>
      <c r="Q421" s="815">
        <f t="shared" si="130"/>
        <v>16</v>
      </c>
      <c r="R421" s="815">
        <f t="shared" si="131"/>
        <v>0</v>
      </c>
      <c r="S421" s="815">
        <f t="shared" si="132"/>
        <v>8</v>
      </c>
      <c r="T421" s="815">
        <f t="shared" si="133"/>
        <v>4</v>
      </c>
      <c r="U421" s="815">
        <f t="shared" si="134"/>
        <v>4</v>
      </c>
      <c r="V421" s="815">
        <f t="shared" si="135"/>
        <v>0</v>
      </c>
      <c r="W421" s="815"/>
      <c r="X421" s="815"/>
      <c r="Y421" s="815"/>
      <c r="Z421" s="815"/>
      <c r="AA421" s="830">
        <f t="shared" si="138"/>
        <v>55.999999999999957</v>
      </c>
      <c r="AB421" s="830">
        <f>VLOOKUP(C421,'[3]MỦ TẠP'!$D$10:$AM$450,36,0)</f>
        <v>0</v>
      </c>
      <c r="AC421" s="830"/>
      <c r="AD421" s="830"/>
      <c r="AE421" s="831">
        <f t="shared" si="136"/>
        <v>0</v>
      </c>
      <c r="AF421" s="830"/>
      <c r="AG421" s="830"/>
      <c r="AH421" s="830">
        <f t="shared" si="137"/>
        <v>0</v>
      </c>
      <c r="AI421" s="830">
        <f>VLOOKUP(C421,'[3]CHẤM CÔNG '!$F$10:$AM$451,33,0)</f>
        <v>0</v>
      </c>
      <c r="AJ421" s="830">
        <f>VLOOKUP(C421,'[3]CHẤM CÔNG '!$F$10:$AM$451,34,0)</f>
        <v>0</v>
      </c>
      <c r="AK421" s="830"/>
      <c r="AL421" s="830"/>
      <c r="AM421" s="830"/>
      <c r="AN421" s="830">
        <f>VLOOKUP(C421,'[3]CHẤM CÔNG '!$F$10:$AN$451,35,0)</f>
        <v>0</v>
      </c>
      <c r="AO421" s="830">
        <f>VLOOKUP(C421,'[3]CHẤM CÔNG '!$F$10:$AR$451,36,0)</f>
        <v>0</v>
      </c>
      <c r="AP421" s="830"/>
      <c r="AQ421" s="830"/>
      <c r="AR421" s="830"/>
      <c r="AS421" s="836"/>
      <c r="AT421" s="837">
        <f>VLOOKUP(C421,'[3]MỦ TẠP'!$D$10:$AO$450,38,0)</f>
        <v>0</v>
      </c>
    </row>
    <row r="422" spans="1:46" ht="15.75">
      <c r="A422" s="812">
        <v>41</v>
      </c>
      <c r="B422" s="813" t="str">
        <f>VLOOKUP(C422,'[3]DS CN MOI UP'!$B$10:$C$489,2,0)</f>
        <v>02632</v>
      </c>
      <c r="C422" s="846" t="s">
        <v>326</v>
      </c>
      <c r="D422" s="812" t="s">
        <v>15</v>
      </c>
      <c r="E422" s="815">
        <v>4</v>
      </c>
      <c r="F422" s="815"/>
      <c r="G422" s="815"/>
      <c r="H422" s="815">
        <v>4</v>
      </c>
      <c r="I422" s="815"/>
      <c r="J422" s="815">
        <v>4</v>
      </c>
      <c r="K422" s="815">
        <v>4</v>
      </c>
      <c r="L422" s="815">
        <v>4</v>
      </c>
      <c r="M422" s="815"/>
      <c r="N422" s="815">
        <f t="shared" si="127"/>
        <v>23.999999999999954</v>
      </c>
      <c r="O422" s="815">
        <f t="shared" si="128"/>
        <v>0</v>
      </c>
      <c r="P422" s="815">
        <f t="shared" si="129"/>
        <v>0</v>
      </c>
      <c r="Q422" s="815">
        <f t="shared" si="130"/>
        <v>16</v>
      </c>
      <c r="R422" s="815">
        <f t="shared" si="131"/>
        <v>0</v>
      </c>
      <c r="S422" s="815">
        <f t="shared" si="132"/>
        <v>8</v>
      </c>
      <c r="T422" s="815">
        <f t="shared" si="133"/>
        <v>4</v>
      </c>
      <c r="U422" s="815">
        <f t="shared" si="134"/>
        <v>4</v>
      </c>
      <c r="V422" s="815">
        <f t="shared" si="135"/>
        <v>0</v>
      </c>
      <c r="W422" s="815"/>
      <c r="X422" s="815"/>
      <c r="Y422" s="815"/>
      <c r="Z422" s="815"/>
      <c r="AA422" s="830">
        <f t="shared" si="138"/>
        <v>55.999999999999957</v>
      </c>
      <c r="AB422" s="830">
        <f>VLOOKUP(C422,'[3]MỦ TẠP'!$D$10:$AM$450,36,0)</f>
        <v>0</v>
      </c>
      <c r="AC422" s="830"/>
      <c r="AD422" s="830"/>
      <c r="AE422" s="831">
        <f t="shared" si="136"/>
        <v>0</v>
      </c>
      <c r="AF422" s="830"/>
      <c r="AG422" s="830"/>
      <c r="AH422" s="830">
        <f t="shared" si="137"/>
        <v>0</v>
      </c>
      <c r="AI422" s="830">
        <f>VLOOKUP(C422,'[3]CHẤM CÔNG '!$F$10:$AM$451,33,0)</f>
        <v>0</v>
      </c>
      <c r="AJ422" s="830">
        <f>VLOOKUP(C422,'[3]CHẤM CÔNG '!$F$10:$AM$451,34,0)</f>
        <v>0</v>
      </c>
      <c r="AK422" s="830"/>
      <c r="AL422" s="830"/>
      <c r="AM422" s="830"/>
      <c r="AN422" s="830">
        <f>VLOOKUP(C422,'[3]CHẤM CÔNG '!$F$10:$AN$451,35,0)</f>
        <v>0</v>
      </c>
      <c r="AO422" s="830">
        <f>VLOOKUP(C422,'[3]CHẤM CÔNG '!$F$10:$AR$451,36,0)</f>
        <v>0</v>
      </c>
      <c r="AP422" s="830"/>
      <c r="AQ422" s="830"/>
      <c r="AR422" s="830"/>
      <c r="AS422" s="836"/>
      <c r="AT422" s="837">
        <f>VLOOKUP(C422,'[3]MỦ TẠP'!$D$10:$AO$450,38,0)</f>
        <v>0</v>
      </c>
    </row>
    <row r="423" spans="1:46" ht="15.75">
      <c r="A423" s="812">
        <v>42</v>
      </c>
      <c r="B423" s="813" t="str">
        <f>VLOOKUP(C423,'[3]DS CN MOI UP'!$B$10:$C$489,2,0)</f>
        <v>02633</v>
      </c>
      <c r="C423" s="846" t="s">
        <v>327</v>
      </c>
      <c r="D423" s="812" t="s">
        <v>15</v>
      </c>
      <c r="E423" s="815">
        <v>4</v>
      </c>
      <c r="F423" s="815"/>
      <c r="G423" s="815"/>
      <c r="H423" s="815">
        <v>4</v>
      </c>
      <c r="I423" s="815"/>
      <c r="J423" s="815">
        <v>4</v>
      </c>
      <c r="K423" s="815">
        <v>4</v>
      </c>
      <c r="L423" s="815">
        <v>4</v>
      </c>
      <c r="M423" s="815"/>
      <c r="N423" s="815">
        <f t="shared" si="127"/>
        <v>23.999999999999954</v>
      </c>
      <c r="O423" s="815">
        <f t="shared" si="128"/>
        <v>0</v>
      </c>
      <c r="P423" s="815">
        <f t="shared" si="129"/>
        <v>0</v>
      </c>
      <c r="Q423" s="815">
        <f t="shared" si="130"/>
        <v>16</v>
      </c>
      <c r="R423" s="815">
        <f t="shared" si="131"/>
        <v>0</v>
      </c>
      <c r="S423" s="815">
        <f t="shared" si="132"/>
        <v>8</v>
      </c>
      <c r="T423" s="815">
        <f t="shared" si="133"/>
        <v>4</v>
      </c>
      <c r="U423" s="815">
        <f t="shared" si="134"/>
        <v>4</v>
      </c>
      <c r="V423" s="815">
        <f t="shared" si="135"/>
        <v>0</v>
      </c>
      <c r="W423" s="815"/>
      <c r="X423" s="815"/>
      <c r="Y423" s="815"/>
      <c r="Z423" s="815"/>
      <c r="AA423" s="830">
        <f t="shared" si="138"/>
        <v>55.999999999999957</v>
      </c>
      <c r="AB423" s="830">
        <f>VLOOKUP(C423,'[3]MỦ TẠP'!$D$10:$AM$450,36,0)</f>
        <v>0</v>
      </c>
      <c r="AC423" s="830"/>
      <c r="AD423" s="830"/>
      <c r="AE423" s="831">
        <f t="shared" si="136"/>
        <v>0</v>
      </c>
      <c r="AF423" s="830"/>
      <c r="AG423" s="830"/>
      <c r="AH423" s="830">
        <f t="shared" si="137"/>
        <v>0</v>
      </c>
      <c r="AI423" s="830">
        <f>VLOOKUP(C423,'[3]CHẤM CÔNG '!$F$10:$AM$451,33,0)</f>
        <v>0</v>
      </c>
      <c r="AJ423" s="830">
        <f>VLOOKUP(C423,'[3]CHẤM CÔNG '!$F$10:$AM$451,34,0)</f>
        <v>0</v>
      </c>
      <c r="AK423" s="830"/>
      <c r="AL423" s="830"/>
      <c r="AM423" s="830"/>
      <c r="AN423" s="830">
        <f>VLOOKUP(C423,'[3]CHẤM CÔNG '!$F$10:$AN$451,35,0)</f>
        <v>0</v>
      </c>
      <c r="AO423" s="830">
        <f>VLOOKUP(C423,'[3]CHẤM CÔNG '!$F$10:$AR$451,36,0)</f>
        <v>0</v>
      </c>
      <c r="AP423" s="830"/>
      <c r="AQ423" s="830"/>
      <c r="AR423" s="830"/>
      <c r="AS423" s="836"/>
      <c r="AT423" s="837">
        <f>VLOOKUP(C423,'[3]MỦ TẠP'!$D$10:$AO$450,38,0)</f>
        <v>0</v>
      </c>
    </row>
    <row r="424" spans="1:46" ht="15.75">
      <c r="A424" s="812">
        <v>43</v>
      </c>
      <c r="B424" s="813">
        <f>VLOOKUP(C424,'[3]DS CN MOI UP'!$B$10:$C$489,2,0)</f>
        <v>3863</v>
      </c>
      <c r="C424" s="846" t="s">
        <v>328</v>
      </c>
      <c r="D424" s="812" t="s">
        <v>15</v>
      </c>
      <c r="E424" s="815">
        <v>4</v>
      </c>
      <c r="F424" s="815"/>
      <c r="G424" s="815"/>
      <c r="H424" s="815">
        <v>4</v>
      </c>
      <c r="I424" s="815"/>
      <c r="J424" s="815">
        <v>4</v>
      </c>
      <c r="K424" s="815">
        <v>4</v>
      </c>
      <c r="L424" s="815">
        <v>4</v>
      </c>
      <c r="M424" s="815"/>
      <c r="N424" s="815">
        <f t="shared" si="127"/>
        <v>23.999999999999954</v>
      </c>
      <c r="O424" s="815">
        <f t="shared" si="128"/>
        <v>0</v>
      </c>
      <c r="P424" s="815">
        <f t="shared" si="129"/>
        <v>0</v>
      </c>
      <c r="Q424" s="815">
        <f t="shared" si="130"/>
        <v>16</v>
      </c>
      <c r="R424" s="815">
        <f t="shared" si="131"/>
        <v>0</v>
      </c>
      <c r="S424" s="815">
        <f t="shared" si="132"/>
        <v>8</v>
      </c>
      <c r="T424" s="815">
        <f t="shared" si="133"/>
        <v>4</v>
      </c>
      <c r="U424" s="815">
        <f t="shared" si="134"/>
        <v>4</v>
      </c>
      <c r="V424" s="815">
        <f t="shared" si="135"/>
        <v>0</v>
      </c>
      <c r="W424" s="815"/>
      <c r="X424" s="815"/>
      <c r="Y424" s="815"/>
      <c r="Z424" s="815"/>
      <c r="AA424" s="830">
        <f t="shared" si="138"/>
        <v>55.999999999999957</v>
      </c>
      <c r="AB424" s="830">
        <f>VLOOKUP(C424,'[3]MỦ TẠP'!$D$10:$AM$450,36,0)</f>
        <v>0</v>
      </c>
      <c r="AC424" s="830"/>
      <c r="AD424" s="830"/>
      <c r="AE424" s="831">
        <f t="shared" si="136"/>
        <v>0</v>
      </c>
      <c r="AF424" s="830"/>
      <c r="AG424" s="830"/>
      <c r="AH424" s="830">
        <f t="shared" si="137"/>
        <v>0</v>
      </c>
      <c r="AI424" s="830">
        <f>VLOOKUP(C424,'[3]CHẤM CÔNG '!$F$10:$AM$451,33,0)</f>
        <v>0</v>
      </c>
      <c r="AJ424" s="830">
        <f>VLOOKUP(C424,'[3]CHẤM CÔNG '!$F$10:$AM$451,34,0)</f>
        <v>0</v>
      </c>
      <c r="AK424" s="830"/>
      <c r="AL424" s="830"/>
      <c r="AM424" s="830"/>
      <c r="AN424" s="830">
        <f>VLOOKUP(C424,'[3]CHẤM CÔNG '!$F$10:$AN$451,35,0)</f>
        <v>0</v>
      </c>
      <c r="AO424" s="830">
        <f>VLOOKUP(C424,'[3]CHẤM CÔNG '!$F$10:$AR$451,36,0)</f>
        <v>0</v>
      </c>
      <c r="AP424" s="830"/>
      <c r="AQ424" s="830"/>
      <c r="AR424" s="830"/>
      <c r="AS424" s="836"/>
      <c r="AT424" s="837">
        <f>VLOOKUP(C424,'[3]MỦ TẠP'!$D$10:$AO$450,38,0)</f>
        <v>0</v>
      </c>
    </row>
    <row r="425" spans="1:46" ht="15.75">
      <c r="A425" s="812">
        <v>44</v>
      </c>
      <c r="B425" s="813" t="str">
        <f>VLOOKUP(C425,'[3]DS CN MOI UP'!$B$10:$C$489,2,0)</f>
        <v>02635</v>
      </c>
      <c r="C425" s="846" t="s">
        <v>329</v>
      </c>
      <c r="D425" s="812" t="s">
        <v>15</v>
      </c>
      <c r="E425" s="815">
        <v>4</v>
      </c>
      <c r="F425" s="815"/>
      <c r="G425" s="815"/>
      <c r="H425" s="815">
        <v>4</v>
      </c>
      <c r="I425" s="815"/>
      <c r="J425" s="815"/>
      <c r="K425" s="815"/>
      <c r="L425" s="815"/>
      <c r="M425" s="815"/>
      <c r="N425" s="815">
        <f t="shared" si="127"/>
        <v>23.999999999999954</v>
      </c>
      <c r="O425" s="815">
        <f t="shared" si="128"/>
        <v>0</v>
      </c>
      <c r="P425" s="815">
        <f t="shared" si="129"/>
        <v>0</v>
      </c>
      <c r="Q425" s="815">
        <f t="shared" si="130"/>
        <v>16</v>
      </c>
      <c r="R425" s="815">
        <f t="shared" si="131"/>
        <v>0</v>
      </c>
      <c r="S425" s="815">
        <f t="shared" si="132"/>
        <v>0</v>
      </c>
      <c r="T425" s="815">
        <f t="shared" si="133"/>
        <v>0</v>
      </c>
      <c r="U425" s="815">
        <f t="shared" si="134"/>
        <v>0</v>
      </c>
      <c r="V425" s="815">
        <f t="shared" si="135"/>
        <v>0</v>
      </c>
      <c r="W425" s="815"/>
      <c r="X425" s="815"/>
      <c r="Y425" s="815"/>
      <c r="Z425" s="815"/>
      <c r="AA425" s="830">
        <f t="shared" si="138"/>
        <v>39.999999999999957</v>
      </c>
      <c r="AB425" s="830">
        <f>VLOOKUP(C425,'[3]MỦ TẠP'!$D$10:$AM$450,36,0)</f>
        <v>0</v>
      </c>
      <c r="AC425" s="830"/>
      <c r="AD425" s="830"/>
      <c r="AE425" s="831">
        <f t="shared" si="136"/>
        <v>0</v>
      </c>
      <c r="AF425" s="830"/>
      <c r="AG425" s="830"/>
      <c r="AH425" s="830">
        <f t="shared" si="137"/>
        <v>0</v>
      </c>
      <c r="AI425" s="830">
        <f>VLOOKUP(C425,'[3]CHẤM CÔNG '!$F$10:$AM$451,33,0)</f>
        <v>0</v>
      </c>
      <c r="AJ425" s="830">
        <f>VLOOKUP(C425,'[3]CHẤM CÔNG '!$F$10:$AM$451,34,0)</f>
        <v>0</v>
      </c>
      <c r="AK425" s="830"/>
      <c r="AL425" s="830"/>
      <c r="AM425" s="830"/>
      <c r="AN425" s="830">
        <f>VLOOKUP(C425,'[3]CHẤM CÔNG '!$F$10:$AN$451,35,0)</f>
        <v>0</v>
      </c>
      <c r="AO425" s="830">
        <f>VLOOKUP(C425,'[3]CHẤM CÔNG '!$F$10:$AR$451,36,0)</f>
        <v>0</v>
      </c>
      <c r="AP425" s="830"/>
      <c r="AQ425" s="830"/>
      <c r="AR425" s="830"/>
      <c r="AS425" s="836"/>
      <c r="AT425" s="837">
        <f>VLOOKUP(C425,'[3]MỦ TẠP'!$D$10:$AO$450,38,0)</f>
        <v>0</v>
      </c>
    </row>
    <row r="426" spans="1:46" ht="15.75">
      <c r="A426" s="812">
        <v>45</v>
      </c>
      <c r="B426" s="813" t="str">
        <f>VLOOKUP(C426,'[3]DS CN MOI UP'!$B$10:$C$489,2,0)</f>
        <v>07002</v>
      </c>
      <c r="C426" s="846" t="s">
        <v>330</v>
      </c>
      <c r="D426" s="812" t="s">
        <v>15</v>
      </c>
      <c r="E426" s="815">
        <v>4</v>
      </c>
      <c r="F426" s="815"/>
      <c r="G426" s="815"/>
      <c r="H426" s="815">
        <v>4</v>
      </c>
      <c r="I426" s="815"/>
      <c r="J426" s="815">
        <v>4</v>
      </c>
      <c r="K426" s="815">
        <v>4</v>
      </c>
      <c r="L426" s="815">
        <v>4</v>
      </c>
      <c r="M426" s="815"/>
      <c r="N426" s="815">
        <f t="shared" si="127"/>
        <v>23.999999999999954</v>
      </c>
      <c r="O426" s="815">
        <f t="shared" si="128"/>
        <v>0</v>
      </c>
      <c r="P426" s="815">
        <f t="shared" si="129"/>
        <v>0</v>
      </c>
      <c r="Q426" s="815">
        <f t="shared" si="130"/>
        <v>16</v>
      </c>
      <c r="R426" s="815">
        <f t="shared" si="131"/>
        <v>0</v>
      </c>
      <c r="S426" s="815">
        <f t="shared" si="132"/>
        <v>8</v>
      </c>
      <c r="T426" s="815">
        <f t="shared" si="133"/>
        <v>4</v>
      </c>
      <c r="U426" s="815">
        <f t="shared" si="134"/>
        <v>4</v>
      </c>
      <c r="V426" s="815">
        <f t="shared" si="135"/>
        <v>0</v>
      </c>
      <c r="W426" s="815"/>
      <c r="X426" s="815"/>
      <c r="Y426" s="815"/>
      <c r="Z426" s="815"/>
      <c r="AA426" s="830">
        <f t="shared" si="138"/>
        <v>55.999999999999957</v>
      </c>
      <c r="AB426" s="830">
        <f>VLOOKUP(C426,'[3]MỦ TẠP'!$D$10:$AM$450,36,0)</f>
        <v>0</v>
      </c>
      <c r="AC426" s="830"/>
      <c r="AD426" s="830"/>
      <c r="AE426" s="831">
        <f t="shared" si="136"/>
        <v>0</v>
      </c>
      <c r="AF426" s="830"/>
      <c r="AG426" s="830"/>
      <c r="AH426" s="830">
        <f t="shared" si="137"/>
        <v>0</v>
      </c>
      <c r="AI426" s="830">
        <f>VLOOKUP(C426,'[3]CHẤM CÔNG '!$F$10:$AM$451,33,0)</f>
        <v>0</v>
      </c>
      <c r="AJ426" s="830">
        <f>VLOOKUP(C426,'[3]CHẤM CÔNG '!$F$10:$AM$451,34,0)</f>
        <v>0</v>
      </c>
      <c r="AK426" s="830"/>
      <c r="AL426" s="830"/>
      <c r="AM426" s="830"/>
      <c r="AN426" s="830">
        <f>VLOOKUP(C426,'[3]CHẤM CÔNG '!$F$10:$AN$451,35,0)</f>
        <v>0</v>
      </c>
      <c r="AO426" s="830">
        <f>VLOOKUP(C426,'[3]CHẤM CÔNG '!$F$10:$AR$451,36,0)</f>
        <v>0</v>
      </c>
      <c r="AP426" s="830"/>
      <c r="AQ426" s="830"/>
      <c r="AR426" s="830"/>
      <c r="AS426" s="836"/>
      <c r="AT426" s="837">
        <f>VLOOKUP(C426,'[3]MỦ TẠP'!$D$10:$AO$450,38,0)</f>
        <v>0</v>
      </c>
    </row>
    <row r="427" spans="1:46" ht="15.75">
      <c r="A427" s="812">
        <v>46</v>
      </c>
      <c r="B427" s="813" t="str">
        <f>VLOOKUP(C427,'[3]DS CN MOI UP'!$B$10:$C$489,2,0)</f>
        <v>03859</v>
      </c>
      <c r="C427" s="846" t="s">
        <v>331</v>
      </c>
      <c r="D427" s="812" t="s">
        <v>15</v>
      </c>
      <c r="E427" s="815">
        <v>4</v>
      </c>
      <c r="F427" s="815"/>
      <c r="G427" s="815"/>
      <c r="H427" s="815">
        <v>4</v>
      </c>
      <c r="I427" s="815"/>
      <c r="J427" s="815">
        <v>4</v>
      </c>
      <c r="K427" s="815">
        <v>4</v>
      </c>
      <c r="L427" s="815">
        <v>4</v>
      </c>
      <c r="M427" s="815"/>
      <c r="N427" s="815">
        <f t="shared" si="127"/>
        <v>23.999999999999954</v>
      </c>
      <c r="O427" s="815">
        <f t="shared" si="128"/>
        <v>0</v>
      </c>
      <c r="P427" s="815">
        <f t="shared" si="129"/>
        <v>0</v>
      </c>
      <c r="Q427" s="815">
        <f t="shared" si="130"/>
        <v>16</v>
      </c>
      <c r="R427" s="815">
        <f t="shared" si="131"/>
        <v>0</v>
      </c>
      <c r="S427" s="815">
        <f t="shared" si="132"/>
        <v>8</v>
      </c>
      <c r="T427" s="815">
        <f t="shared" si="133"/>
        <v>4</v>
      </c>
      <c r="U427" s="815">
        <f t="shared" si="134"/>
        <v>4</v>
      </c>
      <c r="V427" s="815">
        <f t="shared" si="135"/>
        <v>0</v>
      </c>
      <c r="W427" s="815"/>
      <c r="X427" s="815"/>
      <c r="Y427" s="815"/>
      <c r="Z427" s="815"/>
      <c r="AA427" s="830">
        <f t="shared" si="138"/>
        <v>55.999999999999957</v>
      </c>
      <c r="AB427" s="830">
        <f>VLOOKUP(C427,'[3]MỦ TẠP'!$D$10:$AM$450,36,0)</f>
        <v>0</v>
      </c>
      <c r="AC427" s="830"/>
      <c r="AD427" s="830"/>
      <c r="AE427" s="831">
        <f t="shared" si="136"/>
        <v>0</v>
      </c>
      <c r="AF427" s="830"/>
      <c r="AG427" s="830"/>
      <c r="AH427" s="830">
        <f t="shared" si="137"/>
        <v>0</v>
      </c>
      <c r="AI427" s="830">
        <f>VLOOKUP(C427,'[3]CHẤM CÔNG '!$F$10:$AM$451,33,0)</f>
        <v>0</v>
      </c>
      <c r="AJ427" s="830">
        <f>VLOOKUP(C427,'[3]CHẤM CÔNG '!$F$10:$AM$451,34,0)</f>
        <v>0</v>
      </c>
      <c r="AK427" s="830"/>
      <c r="AL427" s="830"/>
      <c r="AM427" s="830"/>
      <c r="AN427" s="830">
        <f>VLOOKUP(C427,'[3]CHẤM CÔNG '!$F$10:$AN$451,35,0)</f>
        <v>0</v>
      </c>
      <c r="AO427" s="830">
        <f>VLOOKUP(C427,'[3]CHẤM CÔNG '!$F$10:$AR$451,36,0)</f>
        <v>0</v>
      </c>
      <c r="AP427" s="830"/>
      <c r="AQ427" s="830"/>
      <c r="AR427" s="830"/>
      <c r="AS427" s="836"/>
      <c r="AT427" s="837">
        <f>VLOOKUP(C427,'[3]MỦ TẠP'!$D$10:$AO$450,38,0)</f>
        <v>0</v>
      </c>
    </row>
    <row r="428" spans="1:46" ht="15.75">
      <c r="A428" s="812">
        <v>47</v>
      </c>
      <c r="B428" s="813" t="str">
        <f>VLOOKUP(C428,'[3]DS CN MOI UP'!$B$10:$C$489,2,0)</f>
        <v>03411</v>
      </c>
      <c r="C428" s="846" t="s">
        <v>332</v>
      </c>
      <c r="D428" s="812" t="s">
        <v>15</v>
      </c>
      <c r="E428" s="815">
        <v>4</v>
      </c>
      <c r="F428" s="815"/>
      <c r="G428" s="815"/>
      <c r="H428" s="815">
        <v>4</v>
      </c>
      <c r="I428" s="815"/>
      <c r="J428" s="815">
        <v>4</v>
      </c>
      <c r="K428" s="815">
        <v>4</v>
      </c>
      <c r="L428" s="815">
        <v>4</v>
      </c>
      <c r="M428" s="815"/>
      <c r="N428" s="815">
        <f t="shared" si="127"/>
        <v>23.999999999999954</v>
      </c>
      <c r="O428" s="815">
        <f t="shared" si="128"/>
        <v>0</v>
      </c>
      <c r="P428" s="815">
        <f t="shared" si="129"/>
        <v>0</v>
      </c>
      <c r="Q428" s="815">
        <f t="shared" si="130"/>
        <v>16</v>
      </c>
      <c r="R428" s="815">
        <f t="shared" si="131"/>
        <v>0</v>
      </c>
      <c r="S428" s="815">
        <f t="shared" si="132"/>
        <v>8</v>
      </c>
      <c r="T428" s="815">
        <f t="shared" si="133"/>
        <v>4</v>
      </c>
      <c r="U428" s="815">
        <f t="shared" si="134"/>
        <v>4</v>
      </c>
      <c r="V428" s="815">
        <f t="shared" si="135"/>
        <v>0</v>
      </c>
      <c r="W428" s="815"/>
      <c r="X428" s="815"/>
      <c r="Y428" s="815"/>
      <c r="Z428" s="815"/>
      <c r="AA428" s="830">
        <f t="shared" si="138"/>
        <v>55.999999999999957</v>
      </c>
      <c r="AB428" s="830">
        <f>VLOOKUP(C428,'[3]MỦ TẠP'!$D$10:$AM$450,36,0)</f>
        <v>0</v>
      </c>
      <c r="AC428" s="830"/>
      <c r="AD428" s="830"/>
      <c r="AE428" s="831">
        <f t="shared" si="136"/>
        <v>0</v>
      </c>
      <c r="AF428" s="830"/>
      <c r="AG428" s="830"/>
      <c r="AH428" s="830">
        <f t="shared" si="137"/>
        <v>0</v>
      </c>
      <c r="AI428" s="830">
        <f>VLOOKUP(C428,'[3]CHẤM CÔNG '!$F$10:$AM$451,33,0)</f>
        <v>0</v>
      </c>
      <c r="AJ428" s="830">
        <f>VLOOKUP(C428,'[3]CHẤM CÔNG '!$F$10:$AM$451,34,0)</f>
        <v>0</v>
      </c>
      <c r="AK428" s="830"/>
      <c r="AL428" s="830"/>
      <c r="AM428" s="830"/>
      <c r="AN428" s="830">
        <f>VLOOKUP(C428,'[3]CHẤM CÔNG '!$F$10:$AN$451,35,0)</f>
        <v>0</v>
      </c>
      <c r="AO428" s="830">
        <f>VLOOKUP(C428,'[3]CHẤM CÔNG '!$F$10:$AR$451,36,0)</f>
        <v>0</v>
      </c>
      <c r="AP428" s="830"/>
      <c r="AQ428" s="830"/>
      <c r="AR428" s="830"/>
      <c r="AS428" s="836"/>
      <c r="AT428" s="837">
        <f>VLOOKUP(C428,'[3]MỦ TẠP'!$D$10:$AO$450,38,0)</f>
        <v>0</v>
      </c>
    </row>
    <row r="429" spans="1:46" ht="15.75">
      <c r="A429" s="812">
        <v>48</v>
      </c>
      <c r="B429" s="813" t="e">
        <f>VLOOKUP(C429,'[3]DS CN MOI UP'!$B$10:$C$489,2,0)</f>
        <v>#N/A</v>
      </c>
      <c r="C429" s="846" t="s">
        <v>333</v>
      </c>
      <c r="D429" s="812" t="s">
        <v>15</v>
      </c>
      <c r="E429" s="815">
        <v>4</v>
      </c>
      <c r="F429" s="815"/>
      <c r="G429" s="815"/>
      <c r="H429" s="815">
        <v>4</v>
      </c>
      <c r="I429" s="815"/>
      <c r="J429" s="815">
        <v>4</v>
      </c>
      <c r="K429" s="815">
        <v>4</v>
      </c>
      <c r="L429" s="815">
        <v>4</v>
      </c>
      <c r="M429" s="815"/>
      <c r="N429" s="815">
        <f t="shared" si="127"/>
        <v>23.999999999999954</v>
      </c>
      <c r="O429" s="815">
        <f t="shared" si="128"/>
        <v>0</v>
      </c>
      <c r="P429" s="815">
        <f t="shared" si="129"/>
        <v>0</v>
      </c>
      <c r="Q429" s="815">
        <f t="shared" si="130"/>
        <v>16</v>
      </c>
      <c r="R429" s="815">
        <f t="shared" si="131"/>
        <v>0</v>
      </c>
      <c r="S429" s="815">
        <f t="shared" si="132"/>
        <v>8</v>
      </c>
      <c r="T429" s="815">
        <f t="shared" si="133"/>
        <v>4</v>
      </c>
      <c r="U429" s="815">
        <f t="shared" si="134"/>
        <v>4</v>
      </c>
      <c r="V429" s="815">
        <f t="shared" si="135"/>
        <v>0</v>
      </c>
      <c r="W429" s="815"/>
      <c r="X429" s="815"/>
      <c r="Y429" s="815"/>
      <c r="Z429" s="815"/>
      <c r="AA429" s="830">
        <f t="shared" si="138"/>
        <v>55.999999999999957</v>
      </c>
      <c r="AB429" s="830">
        <f>VLOOKUP(C429,'[3]MỦ TẠP'!$D$10:$AM$450,36,0)</f>
        <v>0</v>
      </c>
      <c r="AC429" s="830"/>
      <c r="AD429" s="830"/>
      <c r="AE429" s="831">
        <f t="shared" si="136"/>
        <v>0</v>
      </c>
      <c r="AF429" s="830"/>
      <c r="AG429" s="830"/>
      <c r="AH429" s="830">
        <f t="shared" si="137"/>
        <v>0</v>
      </c>
      <c r="AI429" s="830">
        <f>VLOOKUP(C429,'[3]CHẤM CÔNG '!$F$10:$AM$451,33,0)</f>
        <v>0</v>
      </c>
      <c r="AJ429" s="830">
        <f>VLOOKUP(C429,'[3]CHẤM CÔNG '!$F$10:$AM$451,34,0)</f>
        <v>0</v>
      </c>
      <c r="AK429" s="830"/>
      <c r="AL429" s="830"/>
      <c r="AM429" s="830"/>
      <c r="AN429" s="830">
        <f>VLOOKUP(C429,'[3]CHẤM CÔNG '!$F$10:$AN$451,35,0)</f>
        <v>0</v>
      </c>
      <c r="AO429" s="830">
        <f>VLOOKUP(C429,'[3]CHẤM CÔNG '!$F$10:$AR$451,36,0)</f>
        <v>0</v>
      </c>
      <c r="AP429" s="830"/>
      <c r="AQ429" s="830"/>
      <c r="AR429" s="830"/>
      <c r="AS429" s="836"/>
      <c r="AT429" s="837">
        <f>VLOOKUP(C429,'[3]MỦ TẠP'!$D$10:$AO$450,38,0)</f>
        <v>0</v>
      </c>
    </row>
    <row r="430" spans="1:46" ht="15.75">
      <c r="A430" s="812">
        <v>49</v>
      </c>
      <c r="B430" s="813" t="str">
        <f>VLOOKUP(C430,'[3]DS CN MOI UP'!$B$10:$C$489,2,0)</f>
        <v>02625</v>
      </c>
      <c r="C430" s="846" t="s">
        <v>334</v>
      </c>
      <c r="D430" s="812" t="s">
        <v>15</v>
      </c>
      <c r="E430" s="815">
        <v>4</v>
      </c>
      <c r="F430" s="815"/>
      <c r="G430" s="815"/>
      <c r="H430" s="815">
        <v>4</v>
      </c>
      <c r="I430" s="815"/>
      <c r="J430" s="815">
        <v>4</v>
      </c>
      <c r="K430" s="815">
        <v>4</v>
      </c>
      <c r="L430" s="815">
        <v>4</v>
      </c>
      <c r="M430" s="815"/>
      <c r="N430" s="815">
        <f t="shared" si="127"/>
        <v>23.999999999999954</v>
      </c>
      <c r="O430" s="815">
        <f t="shared" si="128"/>
        <v>0</v>
      </c>
      <c r="P430" s="815">
        <f t="shared" si="129"/>
        <v>0</v>
      </c>
      <c r="Q430" s="815">
        <f t="shared" si="130"/>
        <v>16</v>
      </c>
      <c r="R430" s="815">
        <f t="shared" si="131"/>
        <v>0</v>
      </c>
      <c r="S430" s="815">
        <f t="shared" si="132"/>
        <v>8</v>
      </c>
      <c r="T430" s="815">
        <f t="shared" si="133"/>
        <v>4</v>
      </c>
      <c r="U430" s="815">
        <f t="shared" si="134"/>
        <v>4</v>
      </c>
      <c r="V430" s="815">
        <f t="shared" si="135"/>
        <v>0</v>
      </c>
      <c r="W430" s="815"/>
      <c r="X430" s="815"/>
      <c r="Y430" s="815"/>
      <c r="Z430" s="815"/>
      <c r="AA430" s="830">
        <f t="shared" si="138"/>
        <v>55.999999999999957</v>
      </c>
      <c r="AB430" s="830">
        <f>VLOOKUP(C430,'[3]MỦ TẠP'!$D$10:$AM$450,36,0)</f>
        <v>0</v>
      </c>
      <c r="AC430" s="830"/>
      <c r="AD430" s="830"/>
      <c r="AE430" s="831">
        <f t="shared" si="136"/>
        <v>0</v>
      </c>
      <c r="AF430" s="830"/>
      <c r="AG430" s="830"/>
      <c r="AH430" s="830">
        <f t="shared" si="137"/>
        <v>0</v>
      </c>
      <c r="AI430" s="830">
        <f>VLOOKUP(C430,'[3]CHẤM CÔNG '!$F$10:$AM$451,33,0)</f>
        <v>0</v>
      </c>
      <c r="AJ430" s="830">
        <f>VLOOKUP(C430,'[3]CHẤM CÔNG '!$F$10:$AM$451,34,0)</f>
        <v>0</v>
      </c>
      <c r="AK430" s="830"/>
      <c r="AL430" s="830"/>
      <c r="AM430" s="830"/>
      <c r="AN430" s="830">
        <f>VLOOKUP(C430,'[3]CHẤM CÔNG '!$F$10:$AN$451,35,0)</f>
        <v>0</v>
      </c>
      <c r="AO430" s="830">
        <f>VLOOKUP(C430,'[3]CHẤM CÔNG '!$F$10:$AR$451,36,0)</f>
        <v>0</v>
      </c>
      <c r="AP430" s="830"/>
      <c r="AQ430" s="830"/>
      <c r="AR430" s="830"/>
      <c r="AS430" s="836"/>
      <c r="AT430" s="837">
        <f>VLOOKUP(C430,'[3]MỦ TẠP'!$D$10:$AO$450,38,0)</f>
        <v>0</v>
      </c>
    </row>
    <row r="431" spans="1:46" ht="15.75">
      <c r="A431" s="812">
        <v>50</v>
      </c>
      <c r="B431" s="813" t="str">
        <f>VLOOKUP(C431,'[3]DS CN MOI UP'!$B$10:$C$489,2,0)</f>
        <v>03862</v>
      </c>
      <c r="C431" s="846" t="s">
        <v>335</v>
      </c>
      <c r="D431" s="812" t="s">
        <v>15</v>
      </c>
      <c r="E431" s="815">
        <v>4</v>
      </c>
      <c r="F431" s="815"/>
      <c r="G431" s="815"/>
      <c r="H431" s="815">
        <v>4</v>
      </c>
      <c r="I431" s="815"/>
      <c r="J431" s="815">
        <v>4</v>
      </c>
      <c r="K431" s="815">
        <v>4</v>
      </c>
      <c r="L431" s="815">
        <v>4</v>
      </c>
      <c r="M431" s="815"/>
      <c r="N431" s="815">
        <f t="shared" si="127"/>
        <v>23.999999999999954</v>
      </c>
      <c r="O431" s="815">
        <f t="shared" si="128"/>
        <v>0</v>
      </c>
      <c r="P431" s="815">
        <f t="shared" si="129"/>
        <v>0</v>
      </c>
      <c r="Q431" s="815">
        <f t="shared" si="130"/>
        <v>16</v>
      </c>
      <c r="R431" s="815">
        <f t="shared" si="131"/>
        <v>0</v>
      </c>
      <c r="S431" s="815">
        <f t="shared" si="132"/>
        <v>8</v>
      </c>
      <c r="T431" s="815">
        <f t="shared" si="133"/>
        <v>4</v>
      </c>
      <c r="U431" s="815">
        <f t="shared" si="134"/>
        <v>4</v>
      </c>
      <c r="V431" s="815">
        <f t="shared" si="135"/>
        <v>0</v>
      </c>
      <c r="W431" s="815"/>
      <c r="X431" s="815"/>
      <c r="Y431" s="815"/>
      <c r="Z431" s="815"/>
      <c r="AA431" s="830">
        <f t="shared" si="138"/>
        <v>55.999999999999957</v>
      </c>
      <c r="AB431" s="830">
        <f>VLOOKUP(C431,'[3]MỦ TẠP'!$D$10:$AM$450,36,0)</f>
        <v>0</v>
      </c>
      <c r="AC431" s="830"/>
      <c r="AD431" s="830"/>
      <c r="AE431" s="831">
        <f t="shared" si="136"/>
        <v>0</v>
      </c>
      <c r="AF431" s="830"/>
      <c r="AG431" s="830"/>
      <c r="AH431" s="830">
        <f t="shared" si="137"/>
        <v>0</v>
      </c>
      <c r="AI431" s="830">
        <f>VLOOKUP(C431,'[3]CHẤM CÔNG '!$F$10:$AM$451,33,0)</f>
        <v>0</v>
      </c>
      <c r="AJ431" s="830">
        <f>VLOOKUP(C431,'[3]CHẤM CÔNG '!$F$10:$AM$451,34,0)</f>
        <v>0</v>
      </c>
      <c r="AK431" s="830"/>
      <c r="AL431" s="830"/>
      <c r="AM431" s="830"/>
      <c r="AN431" s="830">
        <f>VLOOKUP(C431,'[3]CHẤM CÔNG '!$F$10:$AN$451,35,0)</f>
        <v>0</v>
      </c>
      <c r="AO431" s="830">
        <f>VLOOKUP(C431,'[3]CHẤM CÔNG '!$F$10:$AR$451,36,0)</f>
        <v>0</v>
      </c>
      <c r="AP431" s="830"/>
      <c r="AQ431" s="830"/>
      <c r="AR431" s="830"/>
      <c r="AS431" s="836"/>
      <c r="AT431" s="837">
        <f>VLOOKUP(C431,'[3]MỦ TẠP'!$D$10:$AO$450,38,0)</f>
        <v>0</v>
      </c>
    </row>
    <row r="432" spans="1:46" ht="15.75">
      <c r="A432" s="812">
        <v>51</v>
      </c>
      <c r="B432" s="813" t="str">
        <f>VLOOKUP(C432,'[3]DS CN MOI UP'!$B$10:$C$489,2,0)</f>
        <v>03413</v>
      </c>
      <c r="C432" s="846" t="s">
        <v>336</v>
      </c>
      <c r="D432" s="812" t="s">
        <v>15</v>
      </c>
      <c r="E432" s="815">
        <v>4</v>
      </c>
      <c r="F432" s="815"/>
      <c r="G432" s="815"/>
      <c r="H432" s="815">
        <v>4</v>
      </c>
      <c r="I432" s="815"/>
      <c r="J432" s="815">
        <v>4</v>
      </c>
      <c r="K432" s="815">
        <v>4</v>
      </c>
      <c r="L432" s="815">
        <v>4</v>
      </c>
      <c r="M432" s="815"/>
      <c r="N432" s="815">
        <f t="shared" si="127"/>
        <v>23.999999999999954</v>
      </c>
      <c r="O432" s="815">
        <f t="shared" si="128"/>
        <v>0</v>
      </c>
      <c r="P432" s="815">
        <f t="shared" si="129"/>
        <v>0</v>
      </c>
      <c r="Q432" s="815">
        <f t="shared" si="130"/>
        <v>16</v>
      </c>
      <c r="R432" s="815">
        <f t="shared" si="131"/>
        <v>0</v>
      </c>
      <c r="S432" s="815">
        <f t="shared" si="132"/>
        <v>8</v>
      </c>
      <c r="T432" s="815">
        <f t="shared" si="133"/>
        <v>4</v>
      </c>
      <c r="U432" s="815">
        <f t="shared" si="134"/>
        <v>4</v>
      </c>
      <c r="V432" s="815">
        <f t="shared" si="135"/>
        <v>0</v>
      </c>
      <c r="W432" s="815"/>
      <c r="X432" s="815"/>
      <c r="Y432" s="815"/>
      <c r="Z432" s="815"/>
      <c r="AA432" s="830">
        <f t="shared" si="138"/>
        <v>55.999999999999957</v>
      </c>
      <c r="AB432" s="830">
        <f>VLOOKUP(C432,'[3]MỦ TẠP'!$D$10:$AM$450,36,0)</f>
        <v>0</v>
      </c>
      <c r="AC432" s="830"/>
      <c r="AD432" s="830"/>
      <c r="AE432" s="831">
        <f t="shared" si="136"/>
        <v>0</v>
      </c>
      <c r="AF432" s="830"/>
      <c r="AG432" s="830"/>
      <c r="AH432" s="830">
        <f t="shared" si="137"/>
        <v>0</v>
      </c>
      <c r="AI432" s="830">
        <f>VLOOKUP(C432,'[3]CHẤM CÔNG '!$F$10:$AM$451,33,0)</f>
        <v>0</v>
      </c>
      <c r="AJ432" s="830">
        <f>VLOOKUP(C432,'[3]CHẤM CÔNG '!$F$10:$AM$451,34,0)</f>
        <v>0</v>
      </c>
      <c r="AK432" s="830"/>
      <c r="AL432" s="830"/>
      <c r="AM432" s="830"/>
      <c r="AN432" s="830">
        <f>VLOOKUP(C432,'[3]CHẤM CÔNG '!$F$10:$AN$451,35,0)</f>
        <v>0</v>
      </c>
      <c r="AO432" s="830">
        <f>VLOOKUP(C432,'[3]CHẤM CÔNG '!$F$10:$AR$451,36,0)</f>
        <v>0</v>
      </c>
      <c r="AP432" s="830"/>
      <c r="AQ432" s="830"/>
      <c r="AR432" s="830"/>
      <c r="AS432" s="836"/>
      <c r="AT432" s="837">
        <f>VLOOKUP(C432,'[3]MỦ TẠP'!$D$10:$AO$450,38,0)</f>
        <v>0</v>
      </c>
    </row>
    <row r="433" spans="1:52" ht="15.75">
      <c r="A433" s="812">
        <v>52</v>
      </c>
      <c r="B433" s="813" t="str">
        <f>VLOOKUP(C433,'[3]DS CN MOI UP'!$B$10:$C$489,2,0)</f>
        <v>03414</v>
      </c>
      <c r="C433" s="846" t="s">
        <v>337</v>
      </c>
      <c r="D433" s="812" t="s">
        <v>15</v>
      </c>
      <c r="E433" s="815">
        <v>4</v>
      </c>
      <c r="F433" s="815"/>
      <c r="G433" s="815"/>
      <c r="H433" s="815">
        <v>4</v>
      </c>
      <c r="I433" s="815"/>
      <c r="J433" s="815">
        <v>4</v>
      </c>
      <c r="K433" s="815">
        <v>4</v>
      </c>
      <c r="L433" s="815">
        <v>4</v>
      </c>
      <c r="M433" s="815"/>
      <c r="N433" s="815">
        <f t="shared" si="127"/>
        <v>23.999999999999954</v>
      </c>
      <c r="O433" s="815">
        <f t="shared" si="128"/>
        <v>0</v>
      </c>
      <c r="P433" s="815">
        <f t="shared" si="129"/>
        <v>0</v>
      </c>
      <c r="Q433" s="815">
        <f t="shared" si="130"/>
        <v>16</v>
      </c>
      <c r="R433" s="815">
        <f t="shared" si="131"/>
        <v>0</v>
      </c>
      <c r="S433" s="815">
        <f t="shared" si="132"/>
        <v>8</v>
      </c>
      <c r="T433" s="815">
        <f t="shared" si="133"/>
        <v>4</v>
      </c>
      <c r="U433" s="815">
        <f t="shared" si="134"/>
        <v>4</v>
      </c>
      <c r="V433" s="815">
        <f t="shared" si="135"/>
        <v>0</v>
      </c>
      <c r="W433" s="815"/>
      <c r="X433" s="815"/>
      <c r="Y433" s="815"/>
      <c r="Z433" s="815"/>
      <c r="AA433" s="830">
        <f t="shared" si="138"/>
        <v>55.999999999999957</v>
      </c>
      <c r="AB433" s="830">
        <f>VLOOKUP(C433,'[3]MỦ TẠP'!$D$10:$AM$450,36,0)</f>
        <v>0</v>
      </c>
      <c r="AC433" s="830"/>
      <c r="AD433" s="830"/>
      <c r="AE433" s="831">
        <f t="shared" si="136"/>
        <v>0</v>
      </c>
      <c r="AF433" s="830"/>
      <c r="AG433" s="830"/>
      <c r="AH433" s="830">
        <f t="shared" si="137"/>
        <v>0</v>
      </c>
      <c r="AI433" s="830">
        <f>VLOOKUP(C433,'[3]CHẤM CÔNG '!$F$10:$AM$451,33,0)</f>
        <v>0</v>
      </c>
      <c r="AJ433" s="830">
        <f>VLOOKUP(C433,'[3]CHẤM CÔNG '!$F$10:$AM$451,34,0)</f>
        <v>0</v>
      </c>
      <c r="AK433" s="830"/>
      <c r="AL433" s="830"/>
      <c r="AM433" s="830"/>
      <c r="AN433" s="830">
        <f>VLOOKUP(C433,'[3]CHẤM CÔNG '!$F$10:$AN$451,35,0)</f>
        <v>0</v>
      </c>
      <c r="AO433" s="830">
        <f>VLOOKUP(C433,'[3]CHẤM CÔNG '!$F$10:$AR$451,36,0)</f>
        <v>0</v>
      </c>
      <c r="AP433" s="830"/>
      <c r="AQ433" s="830"/>
      <c r="AR433" s="830"/>
      <c r="AS433" s="836"/>
      <c r="AT433" s="837">
        <f>VLOOKUP(C433,'[3]MỦ TẠP'!$D$10:$AO$450,38,0)</f>
        <v>0</v>
      </c>
    </row>
    <row r="434" spans="1:52" ht="15.75">
      <c r="A434" s="812">
        <v>53</v>
      </c>
      <c r="B434" s="813" t="str">
        <f>VLOOKUP(C434,'[3]DS CN MOI UP'!$B$10:$C$489,2,0)</f>
        <v>03415</v>
      </c>
      <c r="C434" s="846" t="s">
        <v>338</v>
      </c>
      <c r="D434" s="812" t="s">
        <v>15</v>
      </c>
      <c r="E434" s="815">
        <v>4</v>
      </c>
      <c r="F434" s="815"/>
      <c r="G434" s="815"/>
      <c r="H434" s="815">
        <v>4</v>
      </c>
      <c r="I434" s="815"/>
      <c r="J434" s="815">
        <v>4</v>
      </c>
      <c r="K434" s="815">
        <v>4</v>
      </c>
      <c r="L434" s="815">
        <v>4</v>
      </c>
      <c r="M434" s="815"/>
      <c r="N434" s="815">
        <f t="shared" si="127"/>
        <v>23.999999999999954</v>
      </c>
      <c r="O434" s="815">
        <f t="shared" si="128"/>
        <v>0</v>
      </c>
      <c r="P434" s="815">
        <f t="shared" si="129"/>
        <v>0</v>
      </c>
      <c r="Q434" s="815">
        <f t="shared" si="130"/>
        <v>16</v>
      </c>
      <c r="R434" s="815">
        <f t="shared" si="131"/>
        <v>0</v>
      </c>
      <c r="S434" s="815">
        <f t="shared" si="132"/>
        <v>8</v>
      </c>
      <c r="T434" s="815">
        <f t="shared" si="133"/>
        <v>4</v>
      </c>
      <c r="U434" s="815">
        <f t="shared" si="134"/>
        <v>4</v>
      </c>
      <c r="V434" s="815">
        <f t="shared" si="135"/>
        <v>0</v>
      </c>
      <c r="W434" s="815"/>
      <c r="X434" s="815"/>
      <c r="Y434" s="815"/>
      <c r="Z434" s="815"/>
      <c r="AA434" s="830">
        <f t="shared" si="138"/>
        <v>55.999999999999957</v>
      </c>
      <c r="AB434" s="830">
        <f>VLOOKUP(C434,'[3]MỦ TẠP'!$D$10:$AM$450,36,0)</f>
        <v>0</v>
      </c>
      <c r="AC434" s="830"/>
      <c r="AD434" s="830"/>
      <c r="AE434" s="831">
        <f t="shared" si="136"/>
        <v>0</v>
      </c>
      <c r="AF434" s="830"/>
      <c r="AG434" s="830"/>
      <c r="AH434" s="830">
        <f t="shared" si="137"/>
        <v>0</v>
      </c>
      <c r="AI434" s="830">
        <f>VLOOKUP(C434,'[3]CHẤM CÔNG '!$F$10:$AM$451,33,0)</f>
        <v>0</v>
      </c>
      <c r="AJ434" s="830">
        <f>VLOOKUP(C434,'[3]CHẤM CÔNG '!$F$10:$AM$451,34,0)</f>
        <v>0</v>
      </c>
      <c r="AK434" s="830"/>
      <c r="AL434" s="830"/>
      <c r="AM434" s="830"/>
      <c r="AN434" s="830">
        <f>VLOOKUP(C434,'[3]CHẤM CÔNG '!$F$10:$AN$451,35,0)</f>
        <v>0</v>
      </c>
      <c r="AO434" s="830">
        <f>VLOOKUP(C434,'[3]CHẤM CÔNG '!$F$10:$AR$451,36,0)</f>
        <v>0</v>
      </c>
      <c r="AP434" s="830"/>
      <c r="AQ434" s="830"/>
      <c r="AR434" s="830"/>
      <c r="AS434" s="836"/>
      <c r="AT434" s="837">
        <f>VLOOKUP(C434,'[3]MỦ TẠP'!$D$10:$AO$450,38,0)</f>
        <v>0</v>
      </c>
    </row>
    <row r="435" spans="1:52" ht="15.75">
      <c r="A435" s="812">
        <v>54</v>
      </c>
      <c r="B435" s="813" t="e">
        <f>VLOOKUP(C435,'[3]DS CN MOI UP'!$B$10:$C$489,2,0)</f>
        <v>#N/A</v>
      </c>
      <c r="C435" s="846" t="s">
        <v>339</v>
      </c>
      <c r="D435" s="812" t="s">
        <v>15</v>
      </c>
      <c r="E435" s="815">
        <v>4</v>
      </c>
      <c r="F435" s="815"/>
      <c r="G435" s="815"/>
      <c r="H435" s="815">
        <v>4</v>
      </c>
      <c r="I435" s="815"/>
      <c r="J435" s="815">
        <v>4</v>
      </c>
      <c r="K435" s="815">
        <v>4</v>
      </c>
      <c r="L435" s="815">
        <v>4</v>
      </c>
      <c r="M435" s="815"/>
      <c r="N435" s="815">
        <f t="shared" si="127"/>
        <v>23.999999999999954</v>
      </c>
      <c r="O435" s="815">
        <f t="shared" si="128"/>
        <v>0</v>
      </c>
      <c r="P435" s="815">
        <f t="shared" si="129"/>
        <v>0</v>
      </c>
      <c r="Q435" s="815">
        <f t="shared" si="130"/>
        <v>16</v>
      </c>
      <c r="R435" s="815">
        <f t="shared" si="131"/>
        <v>0</v>
      </c>
      <c r="S435" s="815">
        <f t="shared" si="132"/>
        <v>8</v>
      </c>
      <c r="T435" s="815">
        <f t="shared" si="133"/>
        <v>4</v>
      </c>
      <c r="U435" s="815">
        <f t="shared" si="134"/>
        <v>4</v>
      </c>
      <c r="V435" s="815">
        <f t="shared" si="135"/>
        <v>0</v>
      </c>
      <c r="W435" s="815"/>
      <c r="X435" s="815"/>
      <c r="Y435" s="815"/>
      <c r="Z435" s="815"/>
      <c r="AA435" s="830">
        <f t="shared" si="138"/>
        <v>55.999999999999957</v>
      </c>
      <c r="AB435" s="830">
        <f>VLOOKUP(C435,'[3]MỦ TẠP'!$D$10:$AM$450,36,0)</f>
        <v>0</v>
      </c>
      <c r="AC435" s="830"/>
      <c r="AD435" s="830"/>
      <c r="AE435" s="831">
        <f t="shared" si="136"/>
        <v>0</v>
      </c>
      <c r="AF435" s="830"/>
      <c r="AG435" s="830"/>
      <c r="AH435" s="830">
        <f t="shared" si="137"/>
        <v>0</v>
      </c>
      <c r="AI435" s="830">
        <f>VLOOKUP(C435,'[3]CHẤM CÔNG '!$F$10:$AM$451,33,0)</f>
        <v>0</v>
      </c>
      <c r="AJ435" s="830">
        <f>VLOOKUP(C435,'[3]CHẤM CÔNG '!$F$10:$AM$451,34,0)</f>
        <v>0</v>
      </c>
      <c r="AK435" s="830"/>
      <c r="AL435" s="830"/>
      <c r="AM435" s="830"/>
      <c r="AN435" s="830">
        <f>VLOOKUP(C435,'[3]CHẤM CÔNG '!$F$10:$AN$451,35,0)</f>
        <v>0</v>
      </c>
      <c r="AO435" s="830">
        <f>VLOOKUP(C435,'[3]CHẤM CÔNG '!$F$10:$AR$451,36,0)</f>
        <v>0</v>
      </c>
      <c r="AP435" s="830"/>
      <c r="AQ435" s="830"/>
      <c r="AR435" s="830"/>
      <c r="AS435" s="836"/>
      <c r="AT435" s="837">
        <f>VLOOKUP(C435,'[3]MỦ TẠP'!$D$10:$AO$450,38,0)</f>
        <v>0</v>
      </c>
    </row>
    <row r="436" spans="1:52" ht="15.75">
      <c r="A436" s="812">
        <v>55</v>
      </c>
      <c r="B436" s="813" t="str">
        <f>VLOOKUP(C436,'[3]DS CN MOI UP'!$B$10:$C$489,2,0)</f>
        <v>03417</v>
      </c>
      <c r="C436" s="846" t="s">
        <v>340</v>
      </c>
      <c r="D436" s="812" t="s">
        <v>15</v>
      </c>
      <c r="E436" s="815">
        <v>4</v>
      </c>
      <c r="F436" s="815"/>
      <c r="G436" s="815"/>
      <c r="H436" s="815">
        <v>4</v>
      </c>
      <c r="I436" s="815"/>
      <c r="J436" s="815">
        <v>4</v>
      </c>
      <c r="K436" s="815">
        <v>4</v>
      </c>
      <c r="L436" s="815">
        <v>4</v>
      </c>
      <c r="M436" s="815"/>
      <c r="N436" s="815">
        <f t="shared" si="127"/>
        <v>23.999999999999954</v>
      </c>
      <c r="O436" s="815">
        <f t="shared" si="128"/>
        <v>0</v>
      </c>
      <c r="P436" s="815">
        <f t="shared" si="129"/>
        <v>0</v>
      </c>
      <c r="Q436" s="815">
        <f t="shared" si="130"/>
        <v>16</v>
      </c>
      <c r="R436" s="815">
        <f t="shared" si="131"/>
        <v>0</v>
      </c>
      <c r="S436" s="815">
        <f t="shared" si="132"/>
        <v>8</v>
      </c>
      <c r="T436" s="815">
        <f t="shared" si="133"/>
        <v>4</v>
      </c>
      <c r="U436" s="815">
        <f t="shared" si="134"/>
        <v>4</v>
      </c>
      <c r="V436" s="815">
        <f t="shared" si="135"/>
        <v>0</v>
      </c>
      <c r="W436" s="815"/>
      <c r="X436" s="815"/>
      <c r="Y436" s="815"/>
      <c r="Z436" s="815"/>
      <c r="AA436" s="830">
        <f t="shared" si="138"/>
        <v>55.999999999999957</v>
      </c>
      <c r="AB436" s="830">
        <f>VLOOKUP(C436,'[3]MỦ TẠP'!$D$10:$AM$450,36,0)</f>
        <v>0</v>
      </c>
      <c r="AC436" s="830"/>
      <c r="AD436" s="830"/>
      <c r="AE436" s="831">
        <f t="shared" si="136"/>
        <v>0</v>
      </c>
      <c r="AF436" s="830"/>
      <c r="AG436" s="830"/>
      <c r="AH436" s="830">
        <f t="shared" si="137"/>
        <v>0</v>
      </c>
      <c r="AI436" s="830">
        <f>VLOOKUP(C436,'[3]CHẤM CÔNG '!$F$10:$AM$451,33,0)</f>
        <v>0</v>
      </c>
      <c r="AJ436" s="830">
        <f>VLOOKUP(C436,'[3]CHẤM CÔNG '!$F$10:$AM$451,34,0)</f>
        <v>0</v>
      </c>
      <c r="AK436" s="830"/>
      <c r="AL436" s="830"/>
      <c r="AM436" s="830"/>
      <c r="AN436" s="830">
        <f>VLOOKUP(C436,'[3]CHẤM CÔNG '!$F$10:$AN$451,35,0)</f>
        <v>0</v>
      </c>
      <c r="AO436" s="830">
        <f>VLOOKUP(C436,'[3]CHẤM CÔNG '!$F$10:$AR$451,36,0)</f>
        <v>0</v>
      </c>
      <c r="AP436" s="830"/>
      <c r="AQ436" s="830"/>
      <c r="AR436" s="830"/>
      <c r="AS436" s="836"/>
      <c r="AT436" s="837">
        <f>VLOOKUP(C436,'[3]MỦ TẠP'!$D$10:$AO$450,38,0)</f>
        <v>0</v>
      </c>
    </row>
    <row r="437" spans="1:52" ht="15.75">
      <c r="A437" s="812">
        <v>56</v>
      </c>
      <c r="B437" s="813" t="str">
        <f>VLOOKUP(C437,'[3]DS CN MOI UP'!$B$10:$C$489,2,0)</f>
        <v>03418</v>
      </c>
      <c r="C437" s="846" t="s">
        <v>341</v>
      </c>
      <c r="D437" s="812" t="s">
        <v>15</v>
      </c>
      <c r="E437" s="815">
        <v>4</v>
      </c>
      <c r="F437" s="815"/>
      <c r="G437" s="815"/>
      <c r="H437" s="815">
        <v>4</v>
      </c>
      <c r="I437" s="815"/>
      <c r="J437" s="815">
        <v>4</v>
      </c>
      <c r="K437" s="815">
        <v>4</v>
      </c>
      <c r="L437" s="815">
        <v>4</v>
      </c>
      <c r="M437" s="815"/>
      <c r="N437" s="815">
        <f t="shared" si="127"/>
        <v>23.999999999999954</v>
      </c>
      <c r="O437" s="815">
        <f t="shared" si="128"/>
        <v>0</v>
      </c>
      <c r="P437" s="815">
        <f t="shared" si="129"/>
        <v>0</v>
      </c>
      <c r="Q437" s="815">
        <f t="shared" si="130"/>
        <v>16</v>
      </c>
      <c r="R437" s="815">
        <f t="shared" si="131"/>
        <v>0</v>
      </c>
      <c r="S437" s="815">
        <f t="shared" si="132"/>
        <v>8</v>
      </c>
      <c r="T437" s="815">
        <f t="shared" si="133"/>
        <v>4</v>
      </c>
      <c r="U437" s="815">
        <f t="shared" si="134"/>
        <v>4</v>
      </c>
      <c r="V437" s="815">
        <f t="shared" si="135"/>
        <v>0</v>
      </c>
      <c r="W437" s="815"/>
      <c r="X437" s="815"/>
      <c r="Y437" s="815"/>
      <c r="Z437" s="815"/>
      <c r="AA437" s="830">
        <f t="shared" si="138"/>
        <v>55.999999999999957</v>
      </c>
      <c r="AB437" s="830">
        <f>VLOOKUP(C437,'[3]MỦ TẠP'!$D$10:$AM$450,36,0)</f>
        <v>0</v>
      </c>
      <c r="AC437" s="830"/>
      <c r="AD437" s="830"/>
      <c r="AE437" s="831">
        <f t="shared" si="136"/>
        <v>0</v>
      </c>
      <c r="AF437" s="830"/>
      <c r="AG437" s="830"/>
      <c r="AH437" s="830">
        <f t="shared" si="137"/>
        <v>0</v>
      </c>
      <c r="AI437" s="830">
        <f>VLOOKUP(C437,'[3]CHẤM CÔNG '!$F$10:$AM$451,33,0)</f>
        <v>0</v>
      </c>
      <c r="AJ437" s="830">
        <f>VLOOKUP(C437,'[3]CHẤM CÔNG '!$F$10:$AM$451,34,0)</f>
        <v>0</v>
      </c>
      <c r="AK437" s="830"/>
      <c r="AL437" s="830"/>
      <c r="AM437" s="830"/>
      <c r="AN437" s="830">
        <f>VLOOKUP(C437,'[3]CHẤM CÔNG '!$F$10:$AN$451,35,0)</f>
        <v>0</v>
      </c>
      <c r="AO437" s="830">
        <f>VLOOKUP(C437,'[3]CHẤM CÔNG '!$F$10:$AR$451,36,0)</f>
        <v>0</v>
      </c>
      <c r="AP437" s="830"/>
      <c r="AQ437" s="830"/>
      <c r="AR437" s="830"/>
      <c r="AS437" s="836"/>
      <c r="AT437" s="837">
        <f>VLOOKUP(C437,'[3]MỦ TẠP'!$D$10:$AO$450,38,0)</f>
        <v>0</v>
      </c>
    </row>
    <row r="438" spans="1:52" ht="15.75">
      <c r="A438" s="812">
        <v>57</v>
      </c>
      <c r="B438" s="813" t="str">
        <f>VLOOKUP(C438,'[3]DS CN MOI UP'!$B$10:$C$489,2,0)</f>
        <v>03419</v>
      </c>
      <c r="C438" s="846" t="s">
        <v>342</v>
      </c>
      <c r="D438" s="812" t="s">
        <v>15</v>
      </c>
      <c r="E438" s="815">
        <v>4</v>
      </c>
      <c r="F438" s="815"/>
      <c r="G438" s="815"/>
      <c r="H438" s="815">
        <v>4</v>
      </c>
      <c r="I438" s="815"/>
      <c r="J438" s="815">
        <v>4</v>
      </c>
      <c r="K438" s="815">
        <v>4</v>
      </c>
      <c r="L438" s="815">
        <v>4</v>
      </c>
      <c r="M438" s="815"/>
      <c r="N438" s="815">
        <f t="shared" si="127"/>
        <v>23.999999999999954</v>
      </c>
      <c r="O438" s="815">
        <f t="shared" si="128"/>
        <v>0</v>
      </c>
      <c r="P438" s="815">
        <f t="shared" si="129"/>
        <v>0</v>
      </c>
      <c r="Q438" s="815">
        <f t="shared" si="130"/>
        <v>16</v>
      </c>
      <c r="R438" s="815">
        <f t="shared" si="131"/>
        <v>0</v>
      </c>
      <c r="S438" s="815">
        <f t="shared" si="132"/>
        <v>8</v>
      </c>
      <c r="T438" s="815">
        <f t="shared" si="133"/>
        <v>4</v>
      </c>
      <c r="U438" s="815">
        <f t="shared" si="134"/>
        <v>4</v>
      </c>
      <c r="V438" s="815">
        <f t="shared" si="135"/>
        <v>0</v>
      </c>
      <c r="W438" s="815"/>
      <c r="X438" s="815"/>
      <c r="Y438" s="815"/>
      <c r="Z438" s="815"/>
      <c r="AA438" s="830">
        <f t="shared" si="138"/>
        <v>55.999999999999957</v>
      </c>
      <c r="AB438" s="830">
        <f>VLOOKUP(C438,'[3]MỦ TẠP'!$D$10:$AM$450,36,0)</f>
        <v>0</v>
      </c>
      <c r="AC438" s="830"/>
      <c r="AD438" s="830"/>
      <c r="AE438" s="831">
        <f t="shared" si="136"/>
        <v>0</v>
      </c>
      <c r="AF438" s="830"/>
      <c r="AG438" s="830"/>
      <c r="AH438" s="830">
        <f t="shared" si="137"/>
        <v>0</v>
      </c>
      <c r="AI438" s="830">
        <f>VLOOKUP(C438,'[3]CHẤM CÔNG '!$F$10:$AM$451,33,0)</f>
        <v>0</v>
      </c>
      <c r="AJ438" s="830">
        <f>VLOOKUP(C438,'[3]CHẤM CÔNG '!$F$10:$AM$451,34,0)</f>
        <v>0</v>
      </c>
      <c r="AK438" s="830"/>
      <c r="AL438" s="830"/>
      <c r="AM438" s="830"/>
      <c r="AN438" s="830">
        <f>VLOOKUP(C438,'[3]CHẤM CÔNG '!$F$10:$AN$451,35,0)</f>
        <v>0</v>
      </c>
      <c r="AO438" s="830">
        <f>VLOOKUP(C438,'[3]CHẤM CÔNG '!$F$10:$AR$451,36,0)</f>
        <v>0</v>
      </c>
      <c r="AP438" s="830"/>
      <c r="AQ438" s="830"/>
      <c r="AR438" s="830"/>
      <c r="AS438" s="836"/>
      <c r="AT438" s="837">
        <f>VLOOKUP(C438,'[3]MỦ TẠP'!$D$10:$AO$450,38,0)</f>
        <v>0</v>
      </c>
    </row>
    <row r="439" spans="1:52" ht="15.75">
      <c r="A439" s="812">
        <v>58</v>
      </c>
      <c r="B439" s="813" t="str">
        <f>VLOOKUP(C439,'[3]DS CN MOI UP'!$B$10:$C$489,2,0)</f>
        <v>03420</v>
      </c>
      <c r="C439" s="846" t="s">
        <v>343</v>
      </c>
      <c r="D439" s="812" t="s">
        <v>15</v>
      </c>
      <c r="E439" s="815">
        <v>4</v>
      </c>
      <c r="F439" s="815"/>
      <c r="G439" s="815"/>
      <c r="H439" s="815">
        <v>4</v>
      </c>
      <c r="I439" s="815"/>
      <c r="J439" s="815">
        <v>4</v>
      </c>
      <c r="K439" s="815">
        <v>4</v>
      </c>
      <c r="L439" s="815">
        <v>4</v>
      </c>
      <c r="M439" s="815"/>
      <c r="N439" s="815">
        <f t="shared" si="127"/>
        <v>23.999999999999954</v>
      </c>
      <c r="O439" s="815">
        <f t="shared" si="128"/>
        <v>0</v>
      </c>
      <c r="P439" s="815">
        <f t="shared" si="129"/>
        <v>0</v>
      </c>
      <c r="Q439" s="815">
        <f t="shared" si="130"/>
        <v>16</v>
      </c>
      <c r="R439" s="815">
        <f t="shared" si="131"/>
        <v>0</v>
      </c>
      <c r="S439" s="815">
        <f t="shared" si="132"/>
        <v>8</v>
      </c>
      <c r="T439" s="815">
        <f t="shared" si="133"/>
        <v>4</v>
      </c>
      <c r="U439" s="815">
        <f t="shared" si="134"/>
        <v>4</v>
      </c>
      <c r="V439" s="815">
        <f t="shared" si="135"/>
        <v>0</v>
      </c>
      <c r="W439" s="815"/>
      <c r="X439" s="815"/>
      <c r="Y439" s="815"/>
      <c r="Z439" s="815"/>
      <c r="AA439" s="830">
        <f t="shared" si="138"/>
        <v>55.999999999999957</v>
      </c>
      <c r="AB439" s="830">
        <f>VLOOKUP(C439,'[3]MỦ TẠP'!$D$10:$AM$450,36,0)</f>
        <v>0</v>
      </c>
      <c r="AC439" s="830"/>
      <c r="AD439" s="830"/>
      <c r="AE439" s="831">
        <f t="shared" si="136"/>
        <v>0</v>
      </c>
      <c r="AF439" s="830"/>
      <c r="AG439" s="830"/>
      <c r="AH439" s="830">
        <f t="shared" si="137"/>
        <v>0</v>
      </c>
      <c r="AI439" s="830">
        <f>VLOOKUP(C439,'[3]CHẤM CÔNG '!$F$10:$AM$451,33,0)</f>
        <v>0</v>
      </c>
      <c r="AJ439" s="830">
        <f>VLOOKUP(C439,'[3]CHẤM CÔNG '!$F$10:$AM$451,34,0)</f>
        <v>0</v>
      </c>
      <c r="AK439" s="830"/>
      <c r="AL439" s="830"/>
      <c r="AM439" s="830"/>
      <c r="AN439" s="830">
        <f>VLOOKUP(C439,'[3]CHẤM CÔNG '!$F$10:$AN$451,35,0)</f>
        <v>0</v>
      </c>
      <c r="AO439" s="830">
        <f>VLOOKUP(C439,'[3]CHẤM CÔNG '!$F$10:$AR$451,36,0)</f>
        <v>0</v>
      </c>
      <c r="AP439" s="830"/>
      <c r="AQ439" s="830"/>
      <c r="AR439" s="830"/>
      <c r="AS439" s="836"/>
      <c r="AT439" s="837">
        <f>VLOOKUP(C439,'[3]MỦ TẠP'!$D$10:$AO$450,38,0)</f>
        <v>0</v>
      </c>
    </row>
    <row r="440" spans="1:52" ht="15.75">
      <c r="A440" s="812">
        <v>59</v>
      </c>
      <c r="B440" s="813" t="str">
        <f>VLOOKUP(C440,'[3]DS CN MOI UP'!$B$10:$C$489,2,0)</f>
        <v>03385</v>
      </c>
      <c r="C440" s="846" t="s">
        <v>344</v>
      </c>
      <c r="D440" s="812" t="s">
        <v>15</v>
      </c>
      <c r="E440" s="815">
        <v>4</v>
      </c>
      <c r="F440" s="815"/>
      <c r="G440" s="815"/>
      <c r="H440" s="815">
        <v>4</v>
      </c>
      <c r="I440" s="815"/>
      <c r="J440" s="815">
        <v>4</v>
      </c>
      <c r="K440" s="815">
        <v>4</v>
      </c>
      <c r="L440" s="815">
        <v>4</v>
      </c>
      <c r="M440" s="815"/>
      <c r="N440" s="815">
        <f t="shared" si="127"/>
        <v>23.999999999999954</v>
      </c>
      <c r="O440" s="815">
        <f t="shared" si="128"/>
        <v>0</v>
      </c>
      <c r="P440" s="815">
        <f t="shared" si="129"/>
        <v>0</v>
      </c>
      <c r="Q440" s="815">
        <f t="shared" si="130"/>
        <v>16</v>
      </c>
      <c r="R440" s="815">
        <f t="shared" si="131"/>
        <v>0</v>
      </c>
      <c r="S440" s="815">
        <f t="shared" si="132"/>
        <v>8</v>
      </c>
      <c r="T440" s="815">
        <f t="shared" si="133"/>
        <v>4</v>
      </c>
      <c r="U440" s="815">
        <f t="shared" si="134"/>
        <v>4</v>
      </c>
      <c r="V440" s="815">
        <f t="shared" si="135"/>
        <v>0</v>
      </c>
      <c r="W440" s="815"/>
      <c r="X440" s="815"/>
      <c r="Y440" s="815"/>
      <c r="Z440" s="815"/>
      <c r="AA440" s="830">
        <f t="shared" si="138"/>
        <v>55.999999999999957</v>
      </c>
      <c r="AB440" s="830"/>
      <c r="AC440" s="830"/>
      <c r="AD440" s="830"/>
      <c r="AE440" s="831">
        <f t="shared" si="136"/>
        <v>0</v>
      </c>
      <c r="AF440" s="830"/>
      <c r="AG440" s="830"/>
      <c r="AH440" s="830">
        <f t="shared" si="137"/>
        <v>0</v>
      </c>
      <c r="AI440" s="830">
        <f>VLOOKUP(C440,'[3]CHẤM CÔNG '!$F$10:$AM$451,33,0)</f>
        <v>0</v>
      </c>
      <c r="AJ440" s="830">
        <f>VLOOKUP(C440,'[3]CHẤM CÔNG '!$F$10:$AM$451,34,0)</f>
        <v>0</v>
      </c>
      <c r="AK440" s="830"/>
      <c r="AL440" s="830"/>
      <c r="AM440" s="830"/>
      <c r="AN440" s="830">
        <f>VLOOKUP(C440,'[3]CHẤM CÔNG '!$F$10:$AN$451,35,0)</f>
        <v>0</v>
      </c>
      <c r="AO440" s="830">
        <f>VLOOKUP(C440,'[3]CHẤM CÔNG '!$F$10:$AR$451,36,0)</f>
        <v>0</v>
      </c>
      <c r="AP440" s="830"/>
      <c r="AQ440" s="830"/>
      <c r="AR440" s="830"/>
      <c r="AS440" s="836"/>
      <c r="AT440" s="837"/>
    </row>
    <row r="441" spans="1:52" ht="15.75">
      <c r="A441" s="812">
        <v>60</v>
      </c>
      <c r="B441" s="813" t="str">
        <f>VLOOKUP(C441,'[3]DS CN MOI UP'!$B$10:$C$489,2,0)</f>
        <v>03422</v>
      </c>
      <c r="C441" s="846" t="s">
        <v>345</v>
      </c>
      <c r="D441" s="812" t="s">
        <v>15</v>
      </c>
      <c r="E441" s="815">
        <v>4</v>
      </c>
      <c r="F441" s="815"/>
      <c r="G441" s="815"/>
      <c r="H441" s="815">
        <v>4</v>
      </c>
      <c r="I441" s="815"/>
      <c r="J441" s="815">
        <v>4</v>
      </c>
      <c r="K441" s="815">
        <v>4</v>
      </c>
      <c r="L441" s="815">
        <v>4</v>
      </c>
      <c r="M441" s="815"/>
      <c r="N441" s="815">
        <f t="shared" ref="N441:N443" si="139">E441/$N$8</f>
        <v>23.999999999999954</v>
      </c>
      <c r="O441" s="815">
        <f t="shared" ref="O441:O443" si="140">F441/$O$8</f>
        <v>0</v>
      </c>
      <c r="P441" s="815">
        <f t="shared" ref="P441:P443" si="141">G441/$P$8</f>
        <v>0</v>
      </c>
      <c r="Q441" s="815">
        <f t="shared" ref="Q441:Q443" si="142">H441/$Q$8</f>
        <v>16</v>
      </c>
      <c r="R441" s="815">
        <f t="shared" ref="R441:R443" si="143">I441/$R$8</f>
        <v>0</v>
      </c>
      <c r="S441" s="815">
        <f t="shared" ref="S441:S443" si="144">J441/$S$8</f>
        <v>8</v>
      </c>
      <c r="T441" s="815">
        <f t="shared" ref="T441:T443" si="145">K441/$T$8</f>
        <v>4</v>
      </c>
      <c r="U441" s="815">
        <f t="shared" ref="U441:U443" si="146">L441/$U$8</f>
        <v>4</v>
      </c>
      <c r="V441" s="815">
        <f t="shared" ref="V441:V443" si="147">M441/$V$8</f>
        <v>0</v>
      </c>
      <c r="W441" s="815"/>
      <c r="X441" s="815"/>
      <c r="Y441" s="815"/>
      <c r="Z441" s="815"/>
      <c r="AA441" s="830">
        <f t="shared" ref="AA441:AA443" si="148">SUM(N441:Z441)</f>
        <v>55.999999999999957</v>
      </c>
      <c r="AB441" s="830"/>
      <c r="AC441" s="830"/>
      <c r="AD441" s="830"/>
      <c r="AE441" s="831">
        <f t="shared" ref="AE441:AE443" si="149">SUM(AB441:AD441)</f>
        <v>0</v>
      </c>
      <c r="AF441" s="830"/>
      <c r="AG441" s="830"/>
      <c r="AH441" s="830">
        <f t="shared" ref="AH441:AH443" si="150">AE441*$AV$18+AF441*$AV$10+$AV$11*AG441</f>
        <v>0</v>
      </c>
      <c r="AI441" s="830">
        <f>VLOOKUP(C441,'[3]CHẤM CÔNG '!$F$10:$AM$451,33,0)</f>
        <v>0</v>
      </c>
      <c r="AJ441" s="830">
        <f>VLOOKUP(C441,'[3]CHẤM CÔNG '!$F$10:$AM$451,34,0)</f>
        <v>0</v>
      </c>
      <c r="AK441" s="830"/>
      <c r="AL441" s="830"/>
      <c r="AM441" s="830"/>
      <c r="AN441" s="830">
        <f>VLOOKUP(C441,'[3]CHẤM CÔNG '!$F$10:$AN$451,35,0)</f>
        <v>0</v>
      </c>
      <c r="AO441" s="830">
        <f>VLOOKUP(C441,'[3]CHẤM CÔNG '!$F$10:$AR$451,36,0)</f>
        <v>0</v>
      </c>
      <c r="AP441" s="830"/>
      <c r="AQ441" s="830"/>
      <c r="AR441" s="830"/>
      <c r="AS441" s="836"/>
      <c r="AT441" s="837"/>
    </row>
    <row r="442" spans="1:52" ht="15.75">
      <c r="A442" s="812">
        <v>61</v>
      </c>
      <c r="B442" s="813" t="e">
        <f>VLOOKUP(C442,'[3]DS CN MOI UP'!$B$10:$C$489,2,0)</f>
        <v>#N/A</v>
      </c>
      <c r="C442" s="846" t="s">
        <v>346</v>
      </c>
      <c r="D442" s="812" t="s">
        <v>15</v>
      </c>
      <c r="E442" s="815">
        <v>4</v>
      </c>
      <c r="F442" s="815"/>
      <c r="G442" s="815"/>
      <c r="H442" s="815">
        <v>4</v>
      </c>
      <c r="I442" s="815"/>
      <c r="J442" s="815"/>
      <c r="K442" s="815"/>
      <c r="L442" s="815"/>
      <c r="M442" s="815"/>
      <c r="N442" s="815">
        <f t="shared" si="139"/>
        <v>23.999999999999954</v>
      </c>
      <c r="O442" s="815">
        <f t="shared" si="140"/>
        <v>0</v>
      </c>
      <c r="P442" s="815">
        <f t="shared" si="141"/>
        <v>0</v>
      </c>
      <c r="Q442" s="815">
        <f t="shared" si="142"/>
        <v>16</v>
      </c>
      <c r="R442" s="815">
        <f t="shared" si="143"/>
        <v>0</v>
      </c>
      <c r="S442" s="815">
        <f t="shared" si="144"/>
        <v>0</v>
      </c>
      <c r="T442" s="815">
        <f t="shared" si="145"/>
        <v>0</v>
      </c>
      <c r="U442" s="815">
        <f t="shared" si="146"/>
        <v>0</v>
      </c>
      <c r="V442" s="815">
        <f t="shared" si="147"/>
        <v>0</v>
      </c>
      <c r="W442" s="815"/>
      <c r="X442" s="815"/>
      <c r="Y442" s="815"/>
      <c r="Z442" s="815"/>
      <c r="AA442" s="830">
        <f t="shared" si="148"/>
        <v>39.999999999999957</v>
      </c>
      <c r="AB442" s="830"/>
      <c r="AC442" s="830"/>
      <c r="AD442" s="830"/>
      <c r="AE442" s="831">
        <f t="shared" si="149"/>
        <v>0</v>
      </c>
      <c r="AF442" s="830"/>
      <c r="AG442" s="830"/>
      <c r="AH442" s="830">
        <f t="shared" si="150"/>
        <v>0</v>
      </c>
      <c r="AI442" s="830">
        <f>VLOOKUP(C442,'[3]CHẤM CÔNG '!$F$10:$AM$451,33,0)</f>
        <v>0</v>
      </c>
      <c r="AJ442" s="830">
        <f>VLOOKUP(C442,'[3]CHẤM CÔNG '!$F$10:$AM$451,34,0)</f>
        <v>0</v>
      </c>
      <c r="AK442" s="830"/>
      <c r="AL442" s="830"/>
      <c r="AM442" s="830"/>
      <c r="AN442" s="830">
        <f>VLOOKUP(C442,'[3]CHẤM CÔNG '!$F$10:$AN$451,35,0)</f>
        <v>0</v>
      </c>
      <c r="AO442" s="830">
        <f>VLOOKUP(C442,'[3]CHẤM CÔNG '!$F$10:$AR$451,36,0)</f>
        <v>0</v>
      </c>
      <c r="AP442" s="830"/>
      <c r="AQ442" s="830"/>
      <c r="AR442" s="830"/>
      <c r="AS442" s="836"/>
      <c r="AT442" s="837"/>
    </row>
    <row r="443" spans="1:52" ht="15.75">
      <c r="A443" s="812">
        <v>62</v>
      </c>
      <c r="B443" s="813" t="e">
        <f>VLOOKUP(C443,'[3]DS CN MOI UP'!$B$10:$C$489,2,0)</f>
        <v>#N/A</v>
      </c>
      <c r="C443" s="846" t="s">
        <v>347</v>
      </c>
      <c r="D443" s="812" t="s">
        <v>15</v>
      </c>
      <c r="E443" s="815">
        <v>4</v>
      </c>
      <c r="F443" s="815"/>
      <c r="G443" s="815"/>
      <c r="H443" s="815">
        <v>4</v>
      </c>
      <c r="I443" s="815"/>
      <c r="J443" s="815"/>
      <c r="K443" s="815"/>
      <c r="L443" s="815"/>
      <c r="M443" s="815"/>
      <c r="N443" s="815">
        <f t="shared" si="139"/>
        <v>23.999999999999954</v>
      </c>
      <c r="O443" s="815">
        <f t="shared" si="140"/>
        <v>0</v>
      </c>
      <c r="P443" s="815">
        <f t="shared" si="141"/>
        <v>0</v>
      </c>
      <c r="Q443" s="815">
        <f t="shared" si="142"/>
        <v>16</v>
      </c>
      <c r="R443" s="815">
        <f t="shared" si="143"/>
        <v>0</v>
      </c>
      <c r="S443" s="815">
        <f t="shared" si="144"/>
        <v>0</v>
      </c>
      <c r="T443" s="815">
        <f t="shared" si="145"/>
        <v>0</v>
      </c>
      <c r="U443" s="815">
        <f t="shared" si="146"/>
        <v>0</v>
      </c>
      <c r="V443" s="815">
        <f t="shared" si="147"/>
        <v>0</v>
      </c>
      <c r="W443" s="815"/>
      <c r="X443" s="815"/>
      <c r="Y443" s="815"/>
      <c r="Z443" s="815"/>
      <c r="AA443" s="830">
        <f t="shared" si="148"/>
        <v>39.999999999999957</v>
      </c>
      <c r="AB443" s="830"/>
      <c r="AC443" s="830"/>
      <c r="AD443" s="830"/>
      <c r="AE443" s="831">
        <f t="shared" si="149"/>
        <v>0</v>
      </c>
      <c r="AF443" s="830"/>
      <c r="AG443" s="830"/>
      <c r="AH443" s="830">
        <f t="shared" si="150"/>
        <v>0</v>
      </c>
      <c r="AI443" s="830">
        <f>VLOOKUP(C443,'[3]CHẤM CÔNG '!$F$10:$AM$451,33,0)</f>
        <v>0</v>
      </c>
      <c r="AJ443" s="830">
        <f>VLOOKUP(C443,'[3]CHẤM CÔNG '!$F$10:$AM$451,34,0)</f>
        <v>0</v>
      </c>
      <c r="AK443" s="830"/>
      <c r="AL443" s="830"/>
      <c r="AM443" s="830"/>
      <c r="AN443" s="830">
        <f>VLOOKUP(C443,'[3]CHẤM CÔNG '!$F$10:$AN$451,35,0)</f>
        <v>0</v>
      </c>
      <c r="AO443" s="830">
        <f>VLOOKUP(C443,'[3]CHẤM CÔNG '!$F$10:$AR$451,36,0)</f>
        <v>0</v>
      </c>
      <c r="AP443" s="830"/>
      <c r="AQ443" s="830"/>
      <c r="AR443" s="830"/>
      <c r="AS443" s="836"/>
      <c r="AT443" s="837"/>
    </row>
    <row r="444" spans="1:52" ht="15.75">
      <c r="A444" s="812">
        <v>60</v>
      </c>
      <c r="B444" s="813" t="str">
        <f>VLOOKUP(C444,'[3]DS CN MOI UP'!$B$10:$C$489,2,0)</f>
        <v>03849</v>
      </c>
      <c r="C444" s="846" t="s">
        <v>348</v>
      </c>
      <c r="D444" s="812" t="s">
        <v>15</v>
      </c>
      <c r="E444" s="815">
        <v>4</v>
      </c>
      <c r="F444" s="815"/>
      <c r="G444" s="815"/>
      <c r="H444" s="815">
        <v>4</v>
      </c>
      <c r="I444" s="815"/>
      <c r="J444" s="815">
        <v>4</v>
      </c>
      <c r="K444" s="815">
        <v>4</v>
      </c>
      <c r="L444" s="815">
        <v>4</v>
      </c>
      <c r="M444" s="815"/>
      <c r="N444" s="815">
        <f t="shared" si="127"/>
        <v>23.999999999999954</v>
      </c>
      <c r="O444" s="815">
        <f t="shared" si="128"/>
        <v>0</v>
      </c>
      <c r="P444" s="815">
        <f t="shared" si="129"/>
        <v>0</v>
      </c>
      <c r="Q444" s="815">
        <f t="shared" si="130"/>
        <v>16</v>
      </c>
      <c r="R444" s="815">
        <f t="shared" si="131"/>
        <v>0</v>
      </c>
      <c r="S444" s="815">
        <f t="shared" si="132"/>
        <v>8</v>
      </c>
      <c r="T444" s="815">
        <f t="shared" si="133"/>
        <v>4</v>
      </c>
      <c r="U444" s="815">
        <f t="shared" si="134"/>
        <v>4</v>
      </c>
      <c r="V444" s="815">
        <f t="shared" si="135"/>
        <v>0</v>
      </c>
      <c r="W444" s="815"/>
      <c r="X444" s="815"/>
      <c r="Y444" s="815"/>
      <c r="Z444" s="815"/>
      <c r="AA444" s="830">
        <f t="shared" si="138"/>
        <v>55.999999999999957</v>
      </c>
      <c r="AB444" s="830"/>
      <c r="AC444" s="830"/>
      <c r="AD444" s="830"/>
      <c r="AE444" s="831">
        <f t="shared" si="136"/>
        <v>0</v>
      </c>
      <c r="AF444" s="830"/>
      <c r="AG444" s="830"/>
      <c r="AH444" s="830">
        <f t="shared" si="137"/>
        <v>0</v>
      </c>
      <c r="AI444" s="830">
        <f>VLOOKUP(C444,'[3]CHẤM CÔNG '!$F$10:$AM$451,33,0)</f>
        <v>0</v>
      </c>
      <c r="AJ444" s="830">
        <f>VLOOKUP(C444,'[3]CHẤM CÔNG '!$F$10:$AM$451,34,0)</f>
        <v>0</v>
      </c>
      <c r="AK444" s="830"/>
      <c r="AL444" s="830"/>
      <c r="AM444" s="830"/>
      <c r="AN444" s="830">
        <f>VLOOKUP(C444,'[3]CHẤM CÔNG '!$F$10:$AN$451,35,0)</f>
        <v>0</v>
      </c>
      <c r="AO444" s="830">
        <f>VLOOKUP(C444,'[3]CHẤM CÔNG '!$F$10:$AR$451,36,0)</f>
        <v>0</v>
      </c>
      <c r="AP444" s="830"/>
      <c r="AQ444" s="830"/>
      <c r="AR444" s="830"/>
      <c r="AS444" s="836"/>
      <c r="AT444" s="837"/>
    </row>
    <row r="445" spans="1:52">
      <c r="A445" s="2574" t="s">
        <v>349</v>
      </c>
      <c r="B445" s="2574"/>
      <c r="C445" s="2574"/>
      <c r="D445" s="2574"/>
      <c r="E445" s="857" t="e">
        <f t="shared" ref="E445:AS445" si="151">+E10</f>
        <v>#REF!</v>
      </c>
      <c r="F445" s="858" t="e">
        <f t="shared" si="151"/>
        <v>#REF!</v>
      </c>
      <c r="G445" s="858" t="e">
        <f t="shared" si="151"/>
        <v>#REF!</v>
      </c>
      <c r="H445" s="858" t="e">
        <f t="shared" si="151"/>
        <v>#REF!</v>
      </c>
      <c r="I445" s="857" t="e">
        <f t="shared" si="151"/>
        <v>#REF!</v>
      </c>
      <c r="J445" s="858" t="e">
        <f t="shared" si="151"/>
        <v>#REF!</v>
      </c>
      <c r="K445" s="858" t="e">
        <f t="shared" si="151"/>
        <v>#REF!</v>
      </c>
      <c r="L445" s="858" t="e">
        <f t="shared" si="151"/>
        <v>#REF!</v>
      </c>
      <c r="M445" s="858" t="e">
        <f t="shared" si="151"/>
        <v>#REF!</v>
      </c>
      <c r="N445" s="858" t="e">
        <f t="shared" si="151"/>
        <v>#REF!</v>
      </c>
      <c r="O445" s="858" t="e">
        <f t="shared" si="151"/>
        <v>#REF!</v>
      </c>
      <c r="P445" s="858" t="e">
        <f t="shared" si="151"/>
        <v>#REF!</v>
      </c>
      <c r="Q445" s="858" t="e">
        <f t="shared" si="151"/>
        <v>#REF!</v>
      </c>
      <c r="R445" s="858" t="e">
        <f t="shared" si="151"/>
        <v>#REF!</v>
      </c>
      <c r="S445" s="858" t="e">
        <f t="shared" si="151"/>
        <v>#REF!</v>
      </c>
      <c r="T445" s="858" t="e">
        <f t="shared" si="151"/>
        <v>#REF!</v>
      </c>
      <c r="U445" s="858" t="e">
        <f t="shared" si="151"/>
        <v>#REF!</v>
      </c>
      <c r="V445" s="858" t="e">
        <f t="shared" si="151"/>
        <v>#REF!</v>
      </c>
      <c r="W445" s="858" t="e">
        <f t="shared" si="151"/>
        <v>#REF!</v>
      </c>
      <c r="X445" s="858" t="e">
        <f t="shared" si="151"/>
        <v>#REF!</v>
      </c>
      <c r="Y445" s="858" t="e">
        <f t="shared" si="151"/>
        <v>#REF!</v>
      </c>
      <c r="Z445" s="858" t="e">
        <f t="shared" si="151"/>
        <v>#REF!</v>
      </c>
      <c r="AA445" s="858" t="e">
        <f t="shared" si="151"/>
        <v>#REF!</v>
      </c>
      <c r="AB445" s="858" t="e">
        <f t="shared" si="151"/>
        <v>#N/A</v>
      </c>
      <c r="AC445" s="858" t="e">
        <f t="shared" si="151"/>
        <v>#REF!</v>
      </c>
      <c r="AD445" s="858" t="e">
        <f t="shared" si="151"/>
        <v>#N/A</v>
      </c>
      <c r="AE445" s="868" t="e">
        <f t="shared" si="151"/>
        <v>#N/A</v>
      </c>
      <c r="AF445" s="858" t="e">
        <f t="shared" si="151"/>
        <v>#REF!</v>
      </c>
      <c r="AG445" s="858" t="e">
        <f t="shared" si="151"/>
        <v>#REF!</v>
      </c>
      <c r="AH445" s="858" t="e">
        <f t="shared" si="151"/>
        <v>#N/A</v>
      </c>
      <c r="AI445" s="858" t="e">
        <f t="shared" si="151"/>
        <v>#N/A</v>
      </c>
      <c r="AJ445" s="858" t="e">
        <f t="shared" si="151"/>
        <v>#N/A</v>
      </c>
      <c r="AK445" s="858" t="e">
        <f t="shared" si="151"/>
        <v>#N/A</v>
      </c>
      <c r="AL445" s="858" t="e">
        <f t="shared" si="151"/>
        <v>#REF!</v>
      </c>
      <c r="AM445" s="858" t="e">
        <f t="shared" si="151"/>
        <v>#REF!</v>
      </c>
      <c r="AN445" s="858" t="e">
        <f t="shared" si="151"/>
        <v>#N/A</v>
      </c>
      <c r="AO445" s="858" t="e">
        <f t="shared" si="151"/>
        <v>#N/A</v>
      </c>
      <c r="AP445" s="858" t="e">
        <f t="shared" si="151"/>
        <v>#REF!</v>
      </c>
      <c r="AQ445" s="858" t="e">
        <f t="shared" si="151"/>
        <v>#REF!</v>
      </c>
      <c r="AR445" s="858" t="e">
        <f t="shared" si="151"/>
        <v>#REF!</v>
      </c>
      <c r="AS445" s="858" t="e">
        <f t="shared" si="151"/>
        <v>#REF!</v>
      </c>
      <c r="AT445" s="874"/>
      <c r="AU445" s="831" t="e">
        <f>SUM(#REF!,AE372:AE373,#REF!,#REF!,#REF!)</f>
        <v>#REF!</v>
      </c>
      <c r="AV445" s="831" t="e">
        <f>SUM(#REF!,AF372:AF373,#REF!,#REF!,#REF!)</f>
        <v>#REF!</v>
      </c>
    </row>
    <row r="446" spans="1:52">
      <c r="G446" s="859"/>
      <c r="J446" s="865"/>
      <c r="M446" s="866"/>
      <c r="N446" s="866"/>
      <c r="O446" s="866"/>
      <c r="P446" s="866"/>
      <c r="Q446" s="866"/>
      <c r="R446" s="866"/>
      <c r="S446" s="866"/>
      <c r="T446" s="866"/>
      <c r="U446" s="866"/>
      <c r="AA446" s="869"/>
      <c r="AB446" s="869"/>
      <c r="AC446" s="869"/>
      <c r="AD446" s="869"/>
      <c r="AE446" s="869"/>
      <c r="AF446" s="870"/>
      <c r="AG446" s="870"/>
      <c r="AX446" s="875"/>
      <c r="AY446" s="875"/>
      <c r="AZ446" s="875"/>
    </row>
    <row r="447" spans="1:52" s="799" customFormat="1" ht="15" customHeight="1">
      <c r="A447" s="860"/>
      <c r="B447" s="860"/>
      <c r="C447" s="840"/>
      <c r="D447" s="840"/>
      <c r="E447" s="861"/>
      <c r="F447" s="861"/>
      <c r="G447" s="862"/>
      <c r="H447" s="831"/>
      <c r="I447" s="831"/>
      <c r="J447" s="859"/>
      <c r="K447" s="859"/>
      <c r="L447" s="859"/>
      <c r="M447" s="859"/>
      <c r="N447" s="859"/>
      <c r="O447" s="859"/>
      <c r="P447" s="859"/>
      <c r="Q447" s="859"/>
      <c r="R447" s="859"/>
      <c r="S447" s="859"/>
      <c r="T447" s="859"/>
      <c r="U447" s="859"/>
      <c r="V447" s="801"/>
      <c r="W447" s="867"/>
      <c r="X447" s="867"/>
      <c r="Y447" s="867"/>
      <c r="Z447" s="867"/>
      <c r="AA447" s="867"/>
      <c r="AB447" s="871"/>
      <c r="AC447" s="871"/>
      <c r="AD447" s="871"/>
      <c r="AE447" s="872"/>
      <c r="AF447" s="872"/>
      <c r="AG447" s="872"/>
      <c r="AH447" s="872"/>
      <c r="AI447" s="872"/>
      <c r="AJ447" s="872"/>
      <c r="AK447" s="872"/>
      <c r="AL447" s="872"/>
      <c r="AM447" s="872"/>
      <c r="AN447" s="872"/>
      <c r="AO447" s="872"/>
      <c r="AP447" s="872"/>
      <c r="AQ447" s="872"/>
      <c r="AR447" s="872"/>
      <c r="AS447" s="872"/>
      <c r="AT447" s="872"/>
    </row>
    <row r="448" spans="1:52" ht="15" customHeight="1">
      <c r="C448" s="798"/>
      <c r="D448" s="798"/>
      <c r="E448" s="863">
        <v>15</v>
      </c>
      <c r="F448" s="864">
        <v>372</v>
      </c>
      <c r="G448" s="864">
        <v>93</v>
      </c>
      <c r="H448" s="863">
        <v>15</v>
      </c>
      <c r="I448" s="864">
        <v>172</v>
      </c>
      <c r="J448" s="863">
        <v>156</v>
      </c>
      <c r="K448" s="863">
        <v>156</v>
      </c>
      <c r="L448" s="863">
        <v>156</v>
      </c>
      <c r="M448" s="864">
        <v>104</v>
      </c>
      <c r="N448" s="863"/>
      <c r="O448" s="863"/>
      <c r="P448" s="863"/>
      <c r="Q448" s="863"/>
      <c r="R448" s="863"/>
      <c r="S448" s="863"/>
      <c r="T448" s="863"/>
      <c r="U448" s="863"/>
      <c r="V448" s="863"/>
      <c r="W448" s="863"/>
      <c r="X448" s="863"/>
      <c r="Y448" s="863"/>
      <c r="Z448" s="863"/>
      <c r="AA448" s="863"/>
      <c r="AB448" s="873"/>
      <c r="AC448" s="873"/>
      <c r="AD448" s="873"/>
      <c r="AE448" s="2575"/>
      <c r="AF448" s="2575"/>
      <c r="AG448" s="2575"/>
      <c r="AH448" s="2575"/>
      <c r="AI448" s="2575"/>
      <c r="AJ448" s="2575"/>
      <c r="AK448" s="2575"/>
      <c r="AL448" s="2575"/>
      <c r="AM448" s="2575"/>
      <c r="AN448" s="2575"/>
      <c r="AO448" s="2575"/>
      <c r="AP448" s="2575"/>
      <c r="AQ448" s="2575"/>
      <c r="AR448" s="2575"/>
      <c r="AS448" s="2575"/>
      <c r="AT448" s="2575"/>
      <c r="AX448" s="876"/>
      <c r="AY448" s="876"/>
      <c r="AZ448" s="876"/>
    </row>
    <row r="449" spans="3:52" ht="15" customHeight="1">
      <c r="E449" s="863">
        <v>164</v>
      </c>
      <c r="F449" s="863">
        <v>401</v>
      </c>
      <c r="G449" s="863">
        <v>50</v>
      </c>
      <c r="H449" s="863">
        <v>164</v>
      </c>
      <c r="I449" s="863"/>
      <c r="J449" s="863">
        <v>32</v>
      </c>
      <c r="K449" s="863">
        <v>32</v>
      </c>
      <c r="L449" s="863">
        <v>32</v>
      </c>
      <c r="M449" s="863">
        <v>100</v>
      </c>
      <c r="N449" s="863"/>
      <c r="O449" s="863"/>
      <c r="P449" s="863"/>
      <c r="Q449" s="863"/>
      <c r="R449" s="863"/>
      <c r="S449" s="863"/>
      <c r="T449" s="863"/>
      <c r="U449" s="863"/>
      <c r="V449" s="863"/>
      <c r="W449" s="863"/>
      <c r="X449" s="863"/>
      <c r="Y449" s="863"/>
      <c r="Z449" s="863"/>
      <c r="AA449" s="863"/>
      <c r="AB449" s="880"/>
      <c r="AC449" s="880"/>
      <c r="AD449" s="880"/>
      <c r="AE449" s="881"/>
      <c r="AF449" s="831"/>
      <c r="AG449" s="831"/>
      <c r="AH449" s="831"/>
      <c r="AM449" s="892"/>
      <c r="AO449" s="892"/>
      <c r="AP449" s="892"/>
      <c r="AQ449" s="892"/>
      <c r="AR449" s="892"/>
      <c r="AS449" s="892"/>
    </row>
    <row r="450" spans="3:52">
      <c r="E450" s="863">
        <v>36</v>
      </c>
      <c r="F450" s="863">
        <v>168</v>
      </c>
      <c r="G450" s="863">
        <v>46</v>
      </c>
      <c r="H450" s="863">
        <v>36</v>
      </c>
      <c r="I450" s="863"/>
      <c r="J450" s="863">
        <v>44</v>
      </c>
      <c r="K450" s="863">
        <v>44</v>
      </c>
      <c r="L450" s="863">
        <v>44</v>
      </c>
      <c r="M450" s="863">
        <v>80</v>
      </c>
      <c r="N450" s="863"/>
      <c r="O450" s="863"/>
      <c r="P450" s="863"/>
      <c r="Q450" s="863"/>
      <c r="R450" s="863"/>
      <c r="S450" s="863"/>
      <c r="T450" s="863"/>
      <c r="U450" s="863"/>
      <c r="V450" s="863"/>
      <c r="W450" s="863"/>
      <c r="X450" s="863"/>
      <c r="Y450" s="863"/>
      <c r="Z450" s="863"/>
      <c r="AA450" s="863"/>
      <c r="AB450" s="880"/>
      <c r="AC450" s="880"/>
      <c r="AD450" s="880"/>
      <c r="AE450" s="831"/>
      <c r="AH450" s="833"/>
      <c r="AI450" s="882"/>
      <c r="AJ450" s="882"/>
      <c r="AK450" s="882"/>
      <c r="AL450" s="882"/>
      <c r="AM450" s="882"/>
      <c r="AN450" s="882"/>
      <c r="AO450" s="882"/>
      <c r="AP450" s="882"/>
      <c r="AQ450" s="882"/>
      <c r="AR450" s="882"/>
      <c r="AS450" s="882"/>
    </row>
    <row r="451" spans="3:52">
      <c r="C451" s="866"/>
      <c r="E451" s="863">
        <v>46</v>
      </c>
      <c r="F451" s="863"/>
      <c r="G451" s="863"/>
      <c r="H451" s="863">
        <v>46</v>
      </c>
      <c r="I451" s="863"/>
      <c r="J451" s="864">
        <v>81</v>
      </c>
      <c r="K451" s="864">
        <v>567</v>
      </c>
      <c r="L451" s="864">
        <v>471</v>
      </c>
      <c r="M451" s="863"/>
      <c r="N451" s="863"/>
      <c r="O451" s="863"/>
      <c r="P451" s="863"/>
      <c r="Q451" s="863"/>
      <c r="R451" s="863"/>
      <c r="S451" s="863"/>
      <c r="T451" s="863"/>
      <c r="U451" s="863"/>
      <c r="V451" s="863"/>
      <c r="W451" s="863"/>
      <c r="X451" s="863"/>
      <c r="Y451" s="863"/>
      <c r="Z451" s="863"/>
      <c r="AA451" s="863"/>
      <c r="AB451" s="880"/>
      <c r="AC451" s="880"/>
      <c r="AD451" s="880"/>
      <c r="AE451" s="882"/>
      <c r="AF451" s="831"/>
      <c r="AG451" s="831"/>
    </row>
    <row r="452" spans="3:52">
      <c r="E452" s="863"/>
      <c r="F452" s="863"/>
      <c r="G452" s="863"/>
      <c r="H452" s="864">
        <v>293</v>
      </c>
      <c r="I452" s="863"/>
      <c r="J452" s="863">
        <v>100</v>
      </c>
      <c r="K452" s="863">
        <v>561</v>
      </c>
      <c r="L452" s="863">
        <v>466</v>
      </c>
      <c r="M452" s="863"/>
      <c r="N452" s="863"/>
      <c r="O452" s="863"/>
      <c r="P452" s="863"/>
      <c r="Q452" s="863"/>
      <c r="R452" s="863"/>
      <c r="S452" s="863"/>
      <c r="T452" s="863"/>
      <c r="U452" s="863"/>
      <c r="V452" s="863"/>
      <c r="W452" s="863"/>
      <c r="X452" s="863"/>
      <c r="Y452" s="863"/>
      <c r="Z452" s="863"/>
      <c r="AA452" s="863"/>
      <c r="AB452" s="859"/>
      <c r="AC452" s="859"/>
      <c r="AD452" s="859"/>
      <c r="AE452" s="883"/>
      <c r="AF452" s="831"/>
      <c r="AG452" s="831"/>
      <c r="AH452" s="859"/>
    </row>
    <row r="453" spans="3:52">
      <c r="E453" s="863"/>
      <c r="F453" s="863"/>
      <c r="G453" s="863"/>
      <c r="H453" s="863">
        <v>451</v>
      </c>
      <c r="I453" s="863"/>
      <c r="J453" s="863">
        <v>80</v>
      </c>
      <c r="K453" s="863">
        <v>308</v>
      </c>
      <c r="L453" s="863">
        <v>214</v>
      </c>
      <c r="M453" s="863"/>
      <c r="N453" s="863"/>
      <c r="O453" s="863"/>
      <c r="P453" s="863"/>
      <c r="Q453" s="863"/>
      <c r="R453" s="863"/>
      <c r="S453" s="863"/>
      <c r="T453" s="863"/>
      <c r="U453" s="863"/>
      <c r="V453" s="863"/>
      <c r="W453" s="863"/>
      <c r="X453" s="863"/>
      <c r="Y453" s="863"/>
      <c r="Z453" s="863"/>
      <c r="AA453" s="863"/>
      <c r="AB453" s="865"/>
      <c r="AC453" s="865"/>
      <c r="AD453" s="865"/>
      <c r="AE453" s="884"/>
      <c r="AF453" s="884"/>
      <c r="AG453" s="884"/>
      <c r="AI453" s="798"/>
      <c r="AJ453" s="798"/>
      <c r="AK453" s="798"/>
      <c r="AL453" s="798"/>
      <c r="AM453" s="798"/>
      <c r="AN453" s="798"/>
      <c r="AO453" s="798"/>
      <c r="AP453" s="798"/>
      <c r="AQ453" s="798"/>
      <c r="AR453" s="798"/>
      <c r="AS453" s="798"/>
      <c r="AT453" s="798"/>
    </row>
    <row r="454" spans="3:52">
      <c r="C454" s="632"/>
      <c r="D454" s="632"/>
      <c r="E454" s="863"/>
      <c r="F454" s="863"/>
      <c r="G454" s="863"/>
      <c r="H454" s="863">
        <v>214</v>
      </c>
      <c r="I454" s="863"/>
      <c r="J454" s="863"/>
      <c r="K454" s="863"/>
      <c r="L454" s="863"/>
      <c r="M454" s="863"/>
      <c r="N454" s="863"/>
      <c r="O454" s="863"/>
      <c r="P454" s="863"/>
      <c r="Q454" s="863"/>
      <c r="R454" s="863"/>
      <c r="S454" s="863"/>
      <c r="T454" s="863"/>
      <c r="U454" s="863"/>
      <c r="V454" s="863"/>
      <c r="W454" s="863"/>
      <c r="X454" s="863"/>
      <c r="Y454" s="863"/>
      <c r="Z454" s="863"/>
      <c r="AA454" s="863"/>
      <c r="AB454" s="865"/>
      <c r="AC454" s="865"/>
      <c r="AD454" s="885"/>
      <c r="AE454" s="886"/>
      <c r="AF454" s="887"/>
      <c r="AG454" s="890"/>
      <c r="AH454" s="632"/>
      <c r="AI454" s="632"/>
      <c r="AJ454" s="893"/>
      <c r="AK454" s="632"/>
      <c r="AL454" s="632"/>
      <c r="AM454" s="632"/>
      <c r="AN454" s="632"/>
      <c r="AO454" s="632"/>
      <c r="AP454" s="632"/>
      <c r="AQ454" s="632"/>
      <c r="AR454" s="632"/>
      <c r="AS454" s="632"/>
      <c r="AT454" s="632"/>
    </row>
    <row r="455" spans="3:52">
      <c r="E455" s="863">
        <f>SUM(E448:E454)</f>
        <v>261</v>
      </c>
      <c r="F455" s="863">
        <f t="shared" ref="F455:M455" si="152">SUM(F448:F454)</f>
        <v>941</v>
      </c>
      <c r="G455" s="863">
        <f t="shared" si="152"/>
        <v>189</v>
      </c>
      <c r="H455" s="863">
        <f t="shared" si="152"/>
        <v>1219</v>
      </c>
      <c r="I455" s="863">
        <f t="shared" si="152"/>
        <v>172</v>
      </c>
      <c r="J455" s="863">
        <f t="shared" si="152"/>
        <v>493</v>
      </c>
      <c r="K455" s="863">
        <f t="shared" si="152"/>
        <v>1668</v>
      </c>
      <c r="L455" s="863">
        <f t="shared" si="152"/>
        <v>1383</v>
      </c>
      <c r="M455" s="863">
        <f t="shared" si="152"/>
        <v>284</v>
      </c>
      <c r="N455" s="863"/>
      <c r="O455" s="863"/>
      <c r="P455" s="863"/>
      <c r="Q455" s="863"/>
      <c r="R455" s="863"/>
      <c r="S455" s="863"/>
      <c r="T455" s="863"/>
      <c r="U455" s="863"/>
      <c r="V455" s="863"/>
      <c r="W455" s="863"/>
      <c r="X455" s="863"/>
      <c r="Y455" s="863"/>
      <c r="Z455" s="863"/>
      <c r="AA455" s="863"/>
      <c r="AB455" s="859"/>
      <c r="AC455" s="859"/>
      <c r="AD455" s="885"/>
      <c r="AE455" s="888"/>
      <c r="AF455" s="889"/>
      <c r="AG455" s="894"/>
    </row>
    <row r="456" spans="3:52">
      <c r="E456" s="863" t="e">
        <f>+E445-E455</f>
        <v>#REF!</v>
      </c>
      <c r="F456" s="863" t="e">
        <f t="shared" ref="F456:M456" si="153">+F445-F455</f>
        <v>#REF!</v>
      </c>
      <c r="G456" s="863" t="e">
        <f t="shared" si="153"/>
        <v>#REF!</v>
      </c>
      <c r="H456" s="863" t="e">
        <f t="shared" si="153"/>
        <v>#REF!</v>
      </c>
      <c r="I456" s="863" t="e">
        <f t="shared" si="153"/>
        <v>#REF!</v>
      </c>
      <c r="J456" s="863" t="e">
        <f t="shared" si="153"/>
        <v>#REF!</v>
      </c>
      <c r="K456" s="863" t="e">
        <f t="shared" si="153"/>
        <v>#REF!</v>
      </c>
      <c r="L456" s="863" t="e">
        <f t="shared" si="153"/>
        <v>#REF!</v>
      </c>
      <c r="M456" s="863" t="e">
        <f t="shared" si="153"/>
        <v>#REF!</v>
      </c>
      <c r="N456" s="863"/>
      <c r="O456" s="863"/>
      <c r="P456" s="863"/>
      <c r="Q456" s="863"/>
      <c r="R456" s="863"/>
      <c r="S456" s="863"/>
      <c r="T456" s="863"/>
      <c r="U456" s="863"/>
      <c r="V456" s="863"/>
      <c r="W456" s="863"/>
      <c r="X456" s="863"/>
      <c r="Y456" s="863"/>
      <c r="Z456" s="863"/>
      <c r="AA456" s="863"/>
      <c r="AB456" s="859"/>
      <c r="AC456" s="859"/>
      <c r="AD456" s="885"/>
      <c r="AE456" s="888"/>
      <c r="AF456" s="889"/>
      <c r="AG456" s="894"/>
    </row>
    <row r="457" spans="3:52">
      <c r="D457" s="805">
        <v>1</v>
      </c>
      <c r="E457" s="863">
        <v>1</v>
      </c>
      <c r="F457" s="863">
        <v>172</v>
      </c>
      <c r="G457" s="863"/>
      <c r="H457" s="863">
        <v>1</v>
      </c>
      <c r="I457" s="863">
        <v>172</v>
      </c>
      <c r="J457" s="863">
        <v>1</v>
      </c>
      <c r="K457" s="863">
        <v>173</v>
      </c>
      <c r="L457" s="863">
        <f>43*4</f>
        <v>172</v>
      </c>
      <c r="M457" s="863"/>
      <c r="N457" s="863"/>
      <c r="O457" s="863"/>
      <c r="P457" s="863"/>
      <c r="Q457" s="863"/>
      <c r="R457" s="863"/>
      <c r="S457" s="863"/>
      <c r="T457" s="863"/>
      <c r="U457" s="863"/>
      <c r="V457" s="863"/>
      <c r="W457" s="863"/>
      <c r="X457" s="863"/>
      <c r="Y457" s="863"/>
      <c r="Z457" s="863"/>
      <c r="AA457" s="863"/>
      <c r="AB457" s="859"/>
      <c r="AC457" s="859"/>
      <c r="AD457" s="859"/>
      <c r="AF457" s="890"/>
      <c r="AG457" s="890"/>
      <c r="AI457" s="831"/>
      <c r="AJ457" s="831"/>
    </row>
    <row r="458" spans="3:52" s="800" customFormat="1">
      <c r="D458" s="877">
        <v>2</v>
      </c>
      <c r="E458" s="878">
        <v>6</v>
      </c>
      <c r="F458" s="878">
        <v>165</v>
      </c>
      <c r="G458" s="878"/>
      <c r="H458" s="878">
        <f>6+165</f>
        <v>171</v>
      </c>
      <c r="I458" s="878"/>
      <c r="J458" s="878">
        <v>20</v>
      </c>
      <c r="K458" s="878">
        <f>165+22</f>
        <v>187</v>
      </c>
      <c r="L458" s="878">
        <v>165</v>
      </c>
      <c r="M458" s="878">
        <v>22</v>
      </c>
      <c r="N458" s="878"/>
      <c r="O458" s="878"/>
      <c r="P458" s="878"/>
      <c r="Q458" s="878"/>
      <c r="R458" s="878"/>
      <c r="S458" s="878"/>
      <c r="T458" s="878"/>
      <c r="U458" s="878"/>
      <c r="V458" s="878"/>
      <c r="W458" s="878"/>
      <c r="X458" s="878"/>
      <c r="Y458" s="878"/>
      <c r="Z458" s="878"/>
      <c r="AA458" s="878"/>
      <c r="AB458" s="891"/>
      <c r="AC458" s="891"/>
      <c r="AD458" s="891"/>
      <c r="AG458" s="895"/>
      <c r="AX458" s="896"/>
      <c r="AY458" s="896"/>
      <c r="AZ458" s="896"/>
    </row>
    <row r="459" spans="3:52">
      <c r="D459" s="1203" t="s">
        <v>2130</v>
      </c>
      <c r="E459" s="863"/>
      <c r="F459" s="863">
        <f>240-21</f>
        <v>219</v>
      </c>
      <c r="G459" s="863">
        <f>72+21</f>
        <v>93</v>
      </c>
      <c r="H459" s="863">
        <v>312</v>
      </c>
      <c r="I459" s="863"/>
      <c r="J459" s="863">
        <v>71</v>
      </c>
      <c r="K459" s="863">
        <f>279+111</f>
        <v>390</v>
      </c>
      <c r="L459" s="863">
        <v>279</v>
      </c>
      <c r="M459" s="863">
        <v>93</v>
      </c>
      <c r="N459" s="863"/>
      <c r="O459" s="863"/>
      <c r="P459" s="863"/>
      <c r="Q459" s="863"/>
      <c r="R459" s="863"/>
      <c r="S459" s="863"/>
      <c r="T459" s="863"/>
      <c r="U459" s="863"/>
      <c r="V459" s="863"/>
      <c r="W459" s="863"/>
      <c r="X459" s="863"/>
      <c r="Y459" s="863"/>
      <c r="Z459" s="863"/>
      <c r="AA459" s="863"/>
      <c r="AB459" s="859"/>
      <c r="AC459" s="859"/>
      <c r="AD459" s="859"/>
      <c r="AF459" s="890"/>
      <c r="AG459" s="890"/>
      <c r="AH459" s="859"/>
    </row>
    <row r="460" spans="3:52">
      <c r="D460" s="1203" t="s">
        <v>2131</v>
      </c>
      <c r="E460" s="863"/>
      <c r="F460" s="863"/>
      <c r="G460" s="863"/>
      <c r="H460" s="863"/>
      <c r="I460" s="863"/>
      <c r="J460" s="863">
        <v>11</v>
      </c>
      <c r="K460" s="863">
        <v>33</v>
      </c>
      <c r="L460" s="863">
        <v>33</v>
      </c>
      <c r="M460" s="863">
        <v>11</v>
      </c>
      <c r="N460" s="863"/>
      <c r="O460" s="863"/>
      <c r="P460" s="863"/>
      <c r="Q460" s="863"/>
      <c r="R460" s="863"/>
      <c r="S460" s="863"/>
      <c r="T460" s="863"/>
      <c r="U460" s="863"/>
      <c r="V460" s="863"/>
      <c r="W460" s="863"/>
      <c r="X460" s="863"/>
      <c r="Y460" s="863"/>
      <c r="Z460" s="863"/>
      <c r="AA460" s="863"/>
      <c r="AB460" s="859"/>
      <c r="AC460" s="859"/>
      <c r="AD460" s="859"/>
      <c r="AF460" s="859"/>
      <c r="AG460" s="859"/>
    </row>
    <row r="461" spans="3:52">
      <c r="D461" s="879"/>
      <c r="E461" s="863"/>
      <c r="F461" s="863"/>
      <c r="G461" s="863"/>
      <c r="H461" s="863"/>
      <c r="I461" s="863"/>
      <c r="J461" s="863">
        <v>7</v>
      </c>
      <c r="K461" s="863">
        <v>21</v>
      </c>
      <c r="L461" s="863">
        <v>21</v>
      </c>
      <c r="M461" s="863">
        <v>7</v>
      </c>
      <c r="N461" s="863"/>
      <c r="O461" s="863"/>
      <c r="P461" s="863"/>
      <c r="Q461" s="863"/>
      <c r="R461" s="863"/>
      <c r="S461" s="863"/>
      <c r="T461" s="863"/>
      <c r="U461" s="863"/>
      <c r="V461" s="863"/>
      <c r="W461" s="863"/>
      <c r="X461" s="863"/>
      <c r="Y461" s="863"/>
      <c r="Z461" s="863"/>
      <c r="AA461" s="863"/>
      <c r="AB461" s="859"/>
      <c r="AC461" s="859"/>
      <c r="AD461" s="859"/>
      <c r="AF461" s="859"/>
      <c r="AG461" s="859"/>
    </row>
    <row r="462" spans="3:52">
      <c r="D462" s="805">
        <v>4</v>
      </c>
      <c r="E462" s="863"/>
      <c r="F462" s="863">
        <v>196</v>
      </c>
      <c r="G462" s="863">
        <v>50</v>
      </c>
      <c r="H462" s="863">
        <v>246</v>
      </c>
      <c r="I462" s="863"/>
      <c r="J462" s="863">
        <v>82</v>
      </c>
      <c r="K462" s="863">
        <f>82+246</f>
        <v>328</v>
      </c>
      <c r="L462" s="863">
        <v>246</v>
      </c>
      <c r="M462" s="863">
        <v>82</v>
      </c>
      <c r="N462" s="863"/>
      <c r="O462" s="863"/>
      <c r="P462" s="863"/>
      <c r="Q462" s="863"/>
      <c r="R462" s="863"/>
      <c r="S462" s="863"/>
      <c r="T462" s="863"/>
      <c r="U462" s="863"/>
      <c r="V462" s="863"/>
      <c r="W462" s="863"/>
      <c r="X462" s="863"/>
      <c r="Y462" s="863"/>
      <c r="Z462" s="863"/>
      <c r="AA462" s="863"/>
    </row>
    <row r="463" spans="3:52">
      <c r="D463" s="805">
        <v>5</v>
      </c>
      <c r="E463" s="801">
        <v>6</v>
      </c>
      <c r="F463" s="801">
        <v>161</v>
      </c>
      <c r="G463" s="866">
        <v>46</v>
      </c>
      <c r="H463" s="801">
        <v>213</v>
      </c>
      <c r="J463" s="801">
        <v>69</v>
      </c>
      <c r="K463" s="801">
        <v>276</v>
      </c>
      <c r="L463" s="801">
        <v>207</v>
      </c>
      <c r="M463" s="801">
        <v>69</v>
      </c>
      <c r="W463" s="831">
        <f>+E448-17477.12</f>
        <v>-17462.12</v>
      </c>
    </row>
    <row r="464" spans="3:52">
      <c r="D464" s="805">
        <v>6</v>
      </c>
      <c r="E464" s="801">
        <v>248</v>
      </c>
      <c r="H464" s="801">
        <v>248</v>
      </c>
      <c r="J464" s="801">
        <v>232</v>
      </c>
      <c r="K464" s="801">
        <v>232</v>
      </c>
      <c r="L464" s="801">
        <v>232</v>
      </c>
    </row>
    <row r="465" spans="3:34">
      <c r="D465" s="805" t="s">
        <v>2132</v>
      </c>
      <c r="F465" s="801">
        <v>28</v>
      </c>
      <c r="H465" s="801">
        <v>28</v>
      </c>
      <c r="K465" s="801">
        <v>28</v>
      </c>
      <c r="L465" s="801">
        <v>28</v>
      </c>
    </row>
    <row r="466" spans="3:34">
      <c r="E466" s="831">
        <f t="shared" ref="E466:M466" si="154">SUM(E457:E465)</f>
        <v>261</v>
      </c>
      <c r="F466" s="831">
        <f t="shared" si="154"/>
        <v>941</v>
      </c>
      <c r="G466" s="831">
        <f t="shared" si="154"/>
        <v>189</v>
      </c>
      <c r="H466" s="831">
        <f t="shared" si="154"/>
        <v>1219</v>
      </c>
      <c r="I466" s="831">
        <f t="shared" si="154"/>
        <v>172</v>
      </c>
      <c r="J466" s="831">
        <f t="shared" si="154"/>
        <v>493</v>
      </c>
      <c r="K466" s="831">
        <f t="shared" si="154"/>
        <v>1668</v>
      </c>
      <c r="L466" s="831">
        <f t="shared" si="154"/>
        <v>1383</v>
      </c>
      <c r="M466" s="831">
        <f t="shared" si="154"/>
        <v>284</v>
      </c>
    </row>
    <row r="467" spans="3:34" ht="15" customHeight="1">
      <c r="C467" s="2579" t="s">
        <v>2133</v>
      </c>
      <c r="D467" s="2579"/>
      <c r="E467" s="831">
        <f>+E466-E455</f>
        <v>0</v>
      </c>
      <c r="F467" s="831">
        <f t="shared" ref="F467:M467" si="155">+F466-F455</f>
        <v>0</v>
      </c>
      <c r="G467" s="831">
        <f t="shared" si="155"/>
        <v>0</v>
      </c>
      <c r="H467" s="831">
        <f t="shared" si="155"/>
        <v>0</v>
      </c>
      <c r="I467" s="831">
        <f t="shared" si="155"/>
        <v>0</v>
      </c>
      <c r="J467" s="831">
        <f t="shared" si="155"/>
        <v>0</v>
      </c>
      <c r="K467" s="831">
        <f t="shared" si="155"/>
        <v>0</v>
      </c>
      <c r="L467" s="831">
        <f t="shared" si="155"/>
        <v>0</v>
      </c>
      <c r="M467" s="831">
        <f t="shared" si="155"/>
        <v>0</v>
      </c>
    </row>
    <row r="469" spans="3:34">
      <c r="E469" s="801">
        <v>0.16666666666666699</v>
      </c>
      <c r="F469" s="801">
        <v>0.15625</v>
      </c>
      <c r="G469" s="801">
        <v>0.125</v>
      </c>
      <c r="H469" s="801">
        <v>0.25</v>
      </c>
      <c r="I469" s="801">
        <v>0.5</v>
      </c>
      <c r="J469" s="801">
        <v>0.5</v>
      </c>
      <c r="K469" s="801">
        <v>1</v>
      </c>
      <c r="L469" s="801">
        <v>1</v>
      </c>
      <c r="M469" s="801">
        <v>1</v>
      </c>
    </row>
    <row r="470" spans="3:34">
      <c r="E470" s="801">
        <f>E466/E469</f>
        <v>1565.999999999997</v>
      </c>
      <c r="F470" s="801">
        <f t="shared" ref="F470:M470" si="156">F466/F469</f>
        <v>6022.4</v>
      </c>
      <c r="G470" s="801">
        <f t="shared" si="156"/>
        <v>1512</v>
      </c>
      <c r="H470" s="801">
        <f t="shared" si="156"/>
        <v>4876</v>
      </c>
      <c r="I470" s="801">
        <f t="shared" si="156"/>
        <v>344</v>
      </c>
      <c r="J470" s="801">
        <f t="shared" si="156"/>
        <v>986</v>
      </c>
      <c r="K470" s="801">
        <f t="shared" si="156"/>
        <v>1668</v>
      </c>
      <c r="L470" s="801">
        <f t="shared" si="156"/>
        <v>1383</v>
      </c>
      <c r="M470" s="801">
        <f t="shared" si="156"/>
        <v>284</v>
      </c>
      <c r="N470" s="801">
        <f>SUM(E470:M470)</f>
        <v>18641.399999999998</v>
      </c>
    </row>
    <row r="473" spans="3:34">
      <c r="AH473" s="846" t="s">
        <v>331</v>
      </c>
    </row>
    <row r="474" spans="3:34">
      <c r="AH474" s="846" t="s">
        <v>332</v>
      </c>
    </row>
    <row r="475" spans="3:34">
      <c r="AH475" s="846" t="s">
        <v>333</v>
      </c>
    </row>
    <row r="476" spans="3:34">
      <c r="AH476" s="846" t="s">
        <v>334</v>
      </c>
    </row>
    <row r="477" spans="3:34">
      <c r="AH477" s="846" t="s">
        <v>335</v>
      </c>
    </row>
    <row r="478" spans="3:34">
      <c r="AH478" s="846" t="s">
        <v>336</v>
      </c>
    </row>
    <row r="479" spans="3:34">
      <c r="AH479" s="846" t="s">
        <v>337</v>
      </c>
    </row>
    <row r="480" spans="3:34">
      <c r="AH480" s="846" t="s">
        <v>338</v>
      </c>
    </row>
    <row r="481" spans="31:34">
      <c r="AH481" s="846" t="s">
        <v>339</v>
      </c>
    </row>
    <row r="482" spans="31:34">
      <c r="AH482" s="846" t="s">
        <v>340</v>
      </c>
    </row>
    <row r="483" spans="31:34">
      <c r="AH483" s="846" t="s">
        <v>341</v>
      </c>
    </row>
    <row r="484" spans="31:34">
      <c r="AE484" s="866"/>
      <c r="AH484" s="846" t="s">
        <v>342</v>
      </c>
    </row>
    <row r="485" spans="31:34">
      <c r="AH485" s="846" t="s">
        <v>343</v>
      </c>
    </row>
    <row r="486" spans="31:34">
      <c r="AH486" s="846" t="s">
        <v>344</v>
      </c>
    </row>
    <row r="487" spans="31:34">
      <c r="AH487" s="846" t="s">
        <v>345</v>
      </c>
    </row>
    <row r="488" spans="31:34">
      <c r="AH488" s="801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I160"/>
  <sheetViews>
    <sheetView showZeros="0" topLeftCell="A5" zoomScale="90" zoomScaleNormal="90" workbookViewId="0">
      <selection activeCell="F15" sqref="F15:F10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1" customWidth="1"/>
    <col min="7" max="7" width="14.42578125" style="246" customWidth="1"/>
    <col min="8" max="8" width="10.28515625" style="538" customWidth="1"/>
    <col min="9" max="9" width="6.5703125" style="539" customWidth="1"/>
    <col min="10" max="12" width="10.5703125" style="539" customWidth="1"/>
    <col min="13" max="13" width="6.28515625" style="540" customWidth="1"/>
    <col min="14" max="14" width="15" style="541" customWidth="1"/>
    <col min="15" max="15" width="9.42578125" style="246" customWidth="1"/>
    <col min="16" max="16" width="7.140625" style="246" customWidth="1"/>
    <col min="17" max="22" width="8.85546875" style="246" hidden="1" customWidth="1"/>
    <col min="23" max="23" width="6.28515625" style="246" hidden="1" customWidth="1"/>
    <col min="24" max="24" width="6.85546875" style="246" hidden="1" customWidth="1"/>
    <col min="25" max="25" width="6.28515625" style="246" hidden="1" customWidth="1"/>
    <col min="26" max="27" width="12.28515625" style="246" customWidth="1"/>
    <col min="28" max="28" width="14.28515625" style="246" customWidth="1"/>
    <col min="29" max="29" width="13.28515625" style="246" hidden="1" customWidth="1"/>
    <col min="30" max="30" width="1.42578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1.75" customHeight="1">
      <c r="B1" s="2377" t="s">
        <v>0</v>
      </c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</row>
    <row r="2" spans="1:35" s="299" customFormat="1" ht="16.5">
      <c r="B2" s="2377" t="s">
        <v>2030</v>
      </c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</row>
    <row r="3" spans="1:35" s="299" customFormat="1" ht="16.5">
      <c r="C3" s="2615" t="s">
        <v>619</v>
      </c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</row>
    <row r="4" spans="1:35" s="299" customFormat="1" ht="21" customHeight="1">
      <c r="A4" s="2616" t="s">
        <v>3244</v>
      </c>
      <c r="B4" s="2616"/>
      <c r="C4" s="2616"/>
      <c r="D4" s="2616"/>
      <c r="E4" s="2616"/>
      <c r="F4" s="2616"/>
      <c r="G4" s="2616"/>
      <c r="H4" s="2616"/>
      <c r="I4" s="1448"/>
      <c r="J4" s="1448"/>
      <c r="K4" s="1448"/>
      <c r="L4" s="1448"/>
      <c r="M4" s="2290"/>
      <c r="N4" s="2290"/>
      <c r="O4" s="2290"/>
      <c r="P4" s="2290"/>
      <c r="Q4" s="2290"/>
      <c r="R4" s="2290"/>
      <c r="S4" s="2290"/>
      <c r="T4" s="2290"/>
      <c r="U4" s="2290"/>
      <c r="V4" s="2290"/>
      <c r="W4" s="2290"/>
      <c r="X4" s="2290"/>
      <c r="Y4" s="2290"/>
      <c r="Z4" s="2290"/>
    </row>
    <row r="5" spans="1:35" s="1250" customFormat="1" ht="21" customHeight="1">
      <c r="A5" s="2618" t="s">
        <v>3234</v>
      </c>
      <c r="B5" s="2618"/>
      <c r="C5" s="2618"/>
      <c r="D5" s="2618"/>
      <c r="E5" s="2618"/>
      <c r="F5" s="2618"/>
      <c r="G5" s="2618"/>
      <c r="H5" s="2618"/>
      <c r="I5" s="1449"/>
      <c r="J5" s="1450"/>
      <c r="K5" s="1450"/>
      <c r="L5" s="1450"/>
      <c r="M5" s="1451"/>
      <c r="O5" s="1452"/>
      <c r="P5" s="1452"/>
      <c r="Q5" s="1452"/>
      <c r="R5" s="1452"/>
      <c r="S5" s="1453"/>
      <c r="Z5" s="1454"/>
    </row>
    <row r="6" spans="1:35" ht="15.75">
      <c r="A6" s="2293"/>
      <c r="B6" s="2293"/>
      <c r="C6" s="2293"/>
      <c r="D6" s="2293"/>
      <c r="E6" s="2293"/>
      <c r="F6" s="1237"/>
      <c r="G6" s="2293"/>
      <c r="H6" s="555"/>
      <c r="I6" s="556"/>
      <c r="J6" s="556"/>
      <c r="K6" s="556"/>
      <c r="L6" s="556"/>
      <c r="M6" s="557"/>
      <c r="N6" s="558"/>
      <c r="O6" s="2293"/>
      <c r="P6" s="2293"/>
      <c r="Q6" s="2293"/>
      <c r="R6" s="2293"/>
      <c r="S6" s="2293"/>
      <c r="T6" s="2293"/>
      <c r="U6" s="2293"/>
      <c r="V6" s="2293"/>
      <c r="W6" s="2293"/>
      <c r="X6" s="2293"/>
      <c r="Y6" s="2293"/>
      <c r="Z6" s="2293"/>
      <c r="AA6" s="2293"/>
      <c r="AB6" s="2293"/>
      <c r="AC6" s="71"/>
      <c r="AE6" s="632" t="s">
        <v>1952</v>
      </c>
      <c r="AF6" s="486">
        <f>AF8/AF7</f>
        <v>0.42502770075994289</v>
      </c>
    </row>
    <row r="7" spans="1:35" s="71" customFormat="1" ht="27" customHeight="1">
      <c r="A7" s="2617" t="s">
        <v>3455</v>
      </c>
      <c r="B7" s="2617"/>
      <c r="C7" s="2617"/>
      <c r="D7" s="2617"/>
      <c r="E7" s="2617"/>
      <c r="F7" s="2617"/>
      <c r="G7" s="2617"/>
      <c r="H7" s="2617"/>
      <c r="I7" s="2617"/>
      <c r="J7" s="2617"/>
      <c r="K7" s="2617"/>
      <c r="L7" s="2617"/>
      <c r="M7" s="2617"/>
      <c r="N7" s="2617"/>
      <c r="O7" s="2617"/>
      <c r="P7" s="2617"/>
      <c r="Q7" s="2617"/>
      <c r="R7" s="2617"/>
      <c r="S7" s="2617"/>
      <c r="T7" s="2617"/>
      <c r="U7" s="2617"/>
      <c r="V7" s="2617"/>
      <c r="W7" s="2617"/>
      <c r="X7" s="2617"/>
      <c r="Y7" s="2617"/>
      <c r="Z7" s="2617"/>
      <c r="AA7" s="2617"/>
      <c r="AB7" s="2617"/>
      <c r="AC7" s="2617"/>
      <c r="AD7" s="274"/>
      <c r="AE7" s="575" t="s">
        <v>2037</v>
      </c>
      <c r="AF7" s="797">
        <f>'sản lượng'!AK12</f>
        <v>336903</v>
      </c>
      <c r="AG7" s="461"/>
    </row>
    <row r="8" spans="1:35" s="1443" customFormat="1" ht="24.6" hidden="1" customHeight="1">
      <c r="A8" s="2620" t="s">
        <v>2135</v>
      </c>
      <c r="B8" s="2620"/>
      <c r="C8" s="2620"/>
      <c r="D8" s="2620"/>
      <c r="E8" s="2305">
        <f>'LƯƠNG KT'!F8</f>
        <v>600</v>
      </c>
      <c r="F8" s="1443">
        <f>'LƯƠNG KT'!G8</f>
        <v>667.96</v>
      </c>
      <c r="G8" s="2292"/>
      <c r="H8" s="2292"/>
      <c r="I8" s="1444"/>
      <c r="J8" s="1444"/>
      <c r="K8" s="1444"/>
      <c r="L8" s="1444"/>
      <c r="M8" s="2292"/>
      <c r="N8" s="2292"/>
      <c r="O8" s="2292"/>
      <c r="P8" s="2292"/>
      <c r="Q8" s="2292"/>
      <c r="R8" s="2292"/>
      <c r="S8" s="2292"/>
      <c r="T8" s="2292"/>
      <c r="U8" s="2292"/>
      <c r="V8" s="2292"/>
      <c r="W8" s="2292"/>
      <c r="X8" s="2292"/>
      <c r="Y8" s="2292"/>
      <c r="Z8" s="2292"/>
      <c r="AA8" s="2292"/>
      <c r="AB8" s="2292"/>
      <c r="AC8" s="2292"/>
      <c r="AD8" s="1445"/>
      <c r="AE8" s="1446" t="s">
        <v>2070</v>
      </c>
      <c r="AF8" s="1447">
        <f>'sản lượng'!AL12</f>
        <v>143193.10746912705</v>
      </c>
    </row>
    <row r="9" spans="1:35" s="71" customFormat="1" ht="18.75" customHeight="1">
      <c r="A9" s="1885"/>
      <c r="B9" s="1885"/>
      <c r="C9" s="1885"/>
      <c r="D9" s="1885"/>
      <c r="E9" s="1885"/>
      <c r="F9" s="1885"/>
      <c r="G9" s="1885"/>
      <c r="H9" s="1885"/>
      <c r="I9" s="1885"/>
      <c r="J9" s="1885"/>
      <c r="K9" s="1885"/>
      <c r="L9" s="1885"/>
      <c r="M9" s="1885"/>
      <c r="N9" s="1885"/>
      <c r="O9" s="1885"/>
      <c r="P9" s="1885"/>
      <c r="Q9" s="1885"/>
      <c r="R9" s="1885"/>
      <c r="S9" s="1885"/>
      <c r="T9" s="1885"/>
      <c r="U9" s="1885"/>
      <c r="V9" s="1885"/>
      <c r="W9" s="1885"/>
      <c r="X9" s="1885"/>
      <c r="Y9" s="1885"/>
      <c r="Z9" s="1885"/>
      <c r="AC9" s="2293"/>
      <c r="AD9" s="274"/>
      <c r="AE9" s="578" t="s">
        <v>2072</v>
      </c>
      <c r="AF9" s="579">
        <v>0.2</v>
      </c>
    </row>
    <row r="10" spans="1:35" s="2293" customFormat="1" ht="17.25" customHeight="1">
      <c r="A10" s="2603" t="s">
        <v>623</v>
      </c>
      <c r="B10" s="2603" t="s">
        <v>624</v>
      </c>
      <c r="C10" s="2600" t="s">
        <v>356</v>
      </c>
      <c r="D10" s="2603" t="s">
        <v>2136</v>
      </c>
      <c r="E10" s="2605" t="s">
        <v>531</v>
      </c>
      <c r="F10" s="2621" t="s">
        <v>2137</v>
      </c>
      <c r="G10" s="2622"/>
      <c r="H10" s="2622"/>
      <c r="I10" s="2622"/>
      <c r="J10" s="2622"/>
      <c r="K10" s="2623"/>
      <c r="L10" s="2623"/>
      <c r="M10" s="2622"/>
      <c r="N10" s="2622"/>
      <c r="O10" s="2622"/>
      <c r="P10" s="2622"/>
      <c r="Q10" s="2623"/>
      <c r="R10" s="2623"/>
      <c r="S10" s="2622"/>
      <c r="T10" s="2622"/>
      <c r="U10" s="2622"/>
      <c r="V10" s="2622"/>
      <c r="W10" s="2622"/>
      <c r="X10" s="2622"/>
      <c r="Y10" s="2622"/>
      <c r="Z10" s="2624"/>
      <c r="AA10" s="2605" t="s">
        <v>2138</v>
      </c>
      <c r="AB10" s="2605" t="s">
        <v>2139</v>
      </c>
      <c r="AC10" s="2596" t="s">
        <v>2140</v>
      </c>
      <c r="AD10" s="275"/>
      <c r="AH10" s="461"/>
      <c r="AI10" s="461"/>
    </row>
    <row r="11" spans="1:35" s="2293" customFormat="1" ht="28.5" customHeight="1">
      <c r="A11" s="2603"/>
      <c r="B11" s="2603"/>
      <c r="C11" s="2601"/>
      <c r="D11" s="2603"/>
      <c r="E11" s="2605"/>
      <c r="F11" s="2603" t="s">
        <v>2141</v>
      </c>
      <c r="G11" s="2603"/>
      <c r="H11" s="2605" t="s">
        <v>2142</v>
      </c>
      <c r="I11" s="2605"/>
      <c r="J11" s="2605"/>
      <c r="K11" s="2625"/>
      <c r="L11" s="2625"/>
      <c r="M11" s="2605"/>
      <c r="N11" s="2605"/>
      <c r="O11" s="2626" t="s">
        <v>2143</v>
      </c>
      <c r="P11" s="2626"/>
      <c r="Q11" s="2627"/>
      <c r="R11" s="2627"/>
      <c r="S11" s="2626"/>
      <c r="T11" s="2626"/>
      <c r="U11" s="2626"/>
      <c r="V11" s="2626"/>
      <c r="W11" s="2626"/>
      <c r="X11" s="2626"/>
      <c r="Y11" s="2626"/>
      <c r="Z11" s="2626"/>
      <c r="AA11" s="2605"/>
      <c r="AB11" s="2605"/>
      <c r="AC11" s="2597"/>
      <c r="AD11" s="275"/>
      <c r="AF11" s="249"/>
    </row>
    <row r="12" spans="1:35" s="2291" customFormat="1" ht="84.75" customHeight="1">
      <c r="A12" s="2604"/>
      <c r="B12" s="2603"/>
      <c r="C12" s="2602"/>
      <c r="D12" s="2604"/>
      <c r="E12" s="2605"/>
      <c r="F12" s="1402" t="s">
        <v>2061</v>
      </c>
      <c r="G12" s="2295" t="s">
        <v>2144</v>
      </c>
      <c r="H12" s="1389" t="s">
        <v>2145</v>
      </c>
      <c r="I12" s="1390" t="s">
        <v>2147</v>
      </c>
      <c r="J12" s="1390" t="s">
        <v>3474</v>
      </c>
      <c r="K12" s="1390" t="s">
        <v>3475</v>
      </c>
      <c r="L12" s="2264" t="s">
        <v>3421</v>
      </c>
      <c r="M12" s="2297" t="s">
        <v>2994</v>
      </c>
      <c r="N12" s="2297" t="s">
        <v>2150</v>
      </c>
      <c r="O12" s="2302" t="s">
        <v>3008</v>
      </c>
      <c r="P12" s="2302" t="s">
        <v>3232</v>
      </c>
      <c r="Q12" s="2027" t="s">
        <v>3333</v>
      </c>
      <c r="R12" s="2027" t="s">
        <v>3231</v>
      </c>
      <c r="S12" s="2027" t="s">
        <v>3334</v>
      </c>
      <c r="T12" s="2028" t="s">
        <v>3233</v>
      </c>
      <c r="U12" s="2028" t="s">
        <v>3022</v>
      </c>
      <c r="V12" s="2028" t="s">
        <v>3319</v>
      </c>
      <c r="W12" s="1391"/>
      <c r="X12" s="2302"/>
      <c r="Y12" s="1391"/>
      <c r="Z12" s="2297" t="s">
        <v>2156</v>
      </c>
      <c r="AA12" s="2605"/>
      <c r="AB12" s="2605"/>
      <c r="AC12" s="2598"/>
      <c r="AD12" s="1422" t="s">
        <v>2157</v>
      </c>
      <c r="AF12" s="1423"/>
    </row>
    <row r="13" spans="1:35" s="2291" customFormat="1" ht="34.15" hidden="1" customHeight="1">
      <c r="A13" s="1394" t="s">
        <v>636</v>
      </c>
      <c r="B13" s="1394"/>
      <c r="C13" s="2296" t="s">
        <v>638</v>
      </c>
      <c r="D13" s="1394" t="s">
        <v>639</v>
      </c>
      <c r="E13" s="2296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2265"/>
      <c r="L13" s="2265"/>
      <c r="M13" s="1404" t="s">
        <v>2161</v>
      </c>
      <c r="N13" s="1394" t="s">
        <v>2159</v>
      </c>
      <c r="O13" s="1394" t="s">
        <v>2162</v>
      </c>
      <c r="P13" s="1394" t="s">
        <v>2163</v>
      </c>
      <c r="Q13" s="1836"/>
      <c r="R13" s="1836"/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2163</v>
      </c>
      <c r="Y13" s="1394" t="s">
        <v>2163</v>
      </c>
      <c r="Z13" s="1394" t="s">
        <v>2159</v>
      </c>
      <c r="AA13" s="1399" t="s">
        <v>643</v>
      </c>
      <c r="AB13" s="2296" t="s">
        <v>644</v>
      </c>
      <c r="AC13" s="278" t="s">
        <v>2164</v>
      </c>
      <c r="AD13" s="279" t="s">
        <v>2165</v>
      </c>
      <c r="AF13" s="289"/>
    </row>
    <row r="14" spans="1:35" s="2291" customFormat="1" ht="9" hidden="1" customHeight="1">
      <c r="A14" s="1394"/>
      <c r="B14" s="1394"/>
      <c r="C14" s="2296"/>
      <c r="D14" s="1394"/>
      <c r="E14" s="2296"/>
      <c r="F14" s="1403"/>
      <c r="G14" s="1394"/>
      <c r="H14" s="1396"/>
      <c r="I14" s="1397"/>
      <c r="J14" s="1397"/>
      <c r="K14" s="2265"/>
      <c r="L14" s="2265"/>
      <c r="M14" s="1404"/>
      <c r="N14" s="1394"/>
      <c r="O14" s="1394"/>
      <c r="P14" s="1394"/>
      <c r="Q14" s="1836"/>
      <c r="R14" s="1836"/>
      <c r="S14" s="1394"/>
      <c r="T14" s="1394"/>
      <c r="U14" s="1394"/>
      <c r="V14" s="1394"/>
      <c r="W14" s="1394"/>
      <c r="X14" s="1394"/>
      <c r="Y14" s="1394"/>
      <c r="Z14" s="1394"/>
      <c r="AA14" s="1399"/>
      <c r="AB14" s="2296"/>
      <c r="AC14" s="796"/>
      <c r="AD14" s="279"/>
      <c r="AF14" s="289"/>
    </row>
    <row r="15" spans="1:35" s="242" customFormat="1" ht="27.75" customHeight="1">
      <c r="A15" s="1245">
        <v>1</v>
      </c>
      <c r="B15" s="320" t="str">
        <f>TONGHOPCONGDOI!B11</f>
        <v>04086</v>
      </c>
      <c r="C15" s="320" t="str">
        <f>TONGHOPCONGDOI!C11</f>
        <v>T. Lê</v>
      </c>
      <c r="D15" s="1243" t="s">
        <v>15</v>
      </c>
      <c r="E15" s="1416"/>
      <c r="F15" s="1455"/>
      <c r="G15" s="1417">
        <f>F15*25000</f>
        <v>0</v>
      </c>
      <c r="H15" s="1417">
        <f>VLOOKUP(C15,'sản lượng'!$D$14:$AL$169,34,0)</f>
        <v>4716</v>
      </c>
      <c r="I15" s="1418"/>
      <c r="J15" s="1417">
        <f>H15*$AF$6</f>
        <v>2004.4306367838908</v>
      </c>
      <c r="K15" s="1837">
        <f>VLOOKUP($C$15:$C$107,'sản lượng'!D14:AP974,37,0)</f>
        <v>258.44560223458501</v>
      </c>
      <c r="L15" s="1837">
        <f>J15+K15</f>
        <v>2262.8762390184756</v>
      </c>
      <c r="M15" s="1419" t="str">
        <f>VLOOKUP(C15,'sản lượng'!$D$14:$AP$169,39,0)</f>
        <v>B</v>
      </c>
      <c r="N15" s="2266">
        <f>ROUND((IF(M15="A",(L15*6.1),IF(M15="B",(L15*5.8),IF(M15="C",(L15*5.5),IF(M15="D",(L15*5.2),0))))*$E$8),0)</f>
        <v>7874809</v>
      </c>
      <c r="O15" s="1417">
        <f>VLOOKUP(C15,TONGHOPCONGDOI!$C$11:$AA$103,20,0)</f>
        <v>27</v>
      </c>
      <c r="P15" s="1417">
        <f>VLOOKUP(C15,TONGHOPCONGDOI!$C$11:$AA$103,21,0)</f>
        <v>4</v>
      </c>
      <c r="Q15" s="1417">
        <f>VLOOKUP(C15,TONGHOPCONGDOI!$C$11:$AA$103,22,0)</f>
        <v>0</v>
      </c>
      <c r="R15" s="1417">
        <f>VLOOKUP(C15,TONGHOPCONGDOI!$C$11:$AA$103,23,0)</f>
        <v>0</v>
      </c>
      <c r="S15" s="1417">
        <f>Q15+R15</f>
        <v>0</v>
      </c>
      <c r="T15" s="1417">
        <f>VLOOKUP(C15,TONGHOPCONGDOI!$C$11:$AA$103,25,0)</f>
        <v>0</v>
      </c>
      <c r="U15" s="1417"/>
      <c r="V15" s="1417"/>
      <c r="W15" s="1417"/>
      <c r="X15" s="1417"/>
      <c r="Y15" s="1417"/>
      <c r="Z15" s="1881">
        <f>ROUND(((O15*46.1)+(P15*76.9)+(R15*153.8)+(Q15*92.2)+(T15*153.8))*$F$8+(S15*100000)+(U15*25000)+(V15*10000)+(W15*30000),0)</f>
        <v>1036874</v>
      </c>
      <c r="AA15" s="1420">
        <f t="shared" ref="AA15:AA46" si="0">+N15+G15+Z15</f>
        <v>8911683</v>
      </c>
      <c r="AB15" s="1420">
        <f>AA15</f>
        <v>8911683</v>
      </c>
      <c r="AC15" s="791"/>
      <c r="AD15" s="581"/>
      <c r="AF15" s="289"/>
      <c r="AG15" s="593"/>
    </row>
    <row r="16" spans="1:35" s="242" customFormat="1" ht="27.75" customHeight="1">
      <c r="A16" s="1245">
        <v>2</v>
      </c>
      <c r="B16" s="320" t="str">
        <f>TONGHOPCONGDOI!B12</f>
        <v>02735</v>
      </c>
      <c r="C16" s="320" t="str">
        <f>TONGHOPCONGDOI!C12</f>
        <v xml:space="preserve">Nang On Teng </v>
      </c>
      <c r="D16" s="1243" t="s">
        <v>15</v>
      </c>
      <c r="E16" s="1416"/>
      <c r="F16" s="1455"/>
      <c r="G16" s="1417">
        <f t="shared" ref="G16:G107" si="1">F16*25000</f>
        <v>0</v>
      </c>
      <c r="H16" s="1417">
        <f>VLOOKUP(C16,'sản lượng'!$D$14:$AL$169,34,0)</f>
        <v>3810</v>
      </c>
      <c r="I16" s="1418"/>
      <c r="J16" s="1417">
        <f>H16*$AF$6</f>
        <v>1619.3555398953824</v>
      </c>
      <c r="K16" s="1837">
        <f>VLOOKUP($C$15:$C$107,'sản lượng'!D15:AP975,37,0)</f>
        <v>208.79511122005275</v>
      </c>
      <c r="L16" s="1837">
        <f t="shared" ref="L16:L79" si="2">J16+K16</f>
        <v>1828.1506511154353</v>
      </c>
      <c r="M16" s="1419" t="str">
        <f>VLOOKUP(C16,'sản lượng'!$D$14:$AP$169,39,0)</f>
        <v>A</v>
      </c>
      <c r="N16" s="2266">
        <f t="shared" ref="N16:N79" si="3">ROUND((IF(M16="A",(L16*6.1),IF(M16="B",(L16*5.8),IF(M16="C",(L16*5.5),IF(M16="D",(L16*5.2),0))))*$E$8),0)</f>
        <v>6691031</v>
      </c>
      <c r="O16" s="1417">
        <f>VLOOKUP(C16,TONGHOPCONGDOI!$C$11:$AA$103,20,0)</f>
        <v>24</v>
      </c>
      <c r="P16" s="1417">
        <f>VLOOKUP(C16,TONGHOPCONGDOI!$C$11:$AA$103,21,0)</f>
        <v>4</v>
      </c>
      <c r="Q16" s="1417">
        <f>VLOOKUP(C16,TONGHOPCONGDOI!$C$11:$AA$103,22,0)</f>
        <v>0</v>
      </c>
      <c r="R16" s="1417">
        <f>VLOOKUP(C16,TONGHOPCONGDOI!$C$11:$AA$103,23,0)</f>
        <v>0</v>
      </c>
      <c r="S16" s="1417">
        <f t="shared" ref="S16:S79" si="4">Q16+R16</f>
        <v>0</v>
      </c>
      <c r="T16" s="1417">
        <f>VLOOKUP(C16,TONGHOPCONGDOI!$C$11:$AA$103,25,0)</f>
        <v>0</v>
      </c>
      <c r="U16" s="1417"/>
      <c r="V16" s="1417"/>
      <c r="W16" s="1417"/>
      <c r="X16" s="1417"/>
      <c r="Y16" s="1417"/>
      <c r="Z16" s="1881">
        <f t="shared" ref="Z16:Z79" si="5">ROUND(((O16*46.1)+(P16*76.9)+(R16*153.8)+(Q16*92.2)+(T16*153.8))*$F$8+(S16*100000)+(U16*25000)+(V16*10000)+(W16*30000),0)</f>
        <v>944495</v>
      </c>
      <c r="AA16" s="1420">
        <f t="shared" si="0"/>
        <v>7635526</v>
      </c>
      <c r="AB16" s="1420">
        <f t="shared" ref="AB16:AB107" si="6">AA16</f>
        <v>7635526</v>
      </c>
      <c r="AC16" s="789"/>
      <c r="AD16" s="581"/>
      <c r="AF16" s="289"/>
      <c r="AG16" s="593"/>
    </row>
    <row r="17" spans="1:34" s="242" customFormat="1" ht="27.75" customHeight="1">
      <c r="A17" s="1245">
        <v>3</v>
      </c>
      <c r="B17" s="320" t="str">
        <f>TONGHOPCONGDOI!B13</f>
        <v>03518</v>
      </c>
      <c r="C17" s="320" t="str">
        <f>TONGHOPCONGDOI!C13</f>
        <v>T. Đôn Ma</v>
      </c>
      <c r="D17" s="1243" t="s">
        <v>15</v>
      </c>
      <c r="E17" s="1416"/>
      <c r="F17" s="1455"/>
      <c r="G17" s="1417">
        <f t="shared" si="1"/>
        <v>0</v>
      </c>
      <c r="H17" s="1417">
        <f>VLOOKUP(C17,'sản lượng'!$D$14:$AL$169,34,0)</f>
        <v>3818</v>
      </c>
      <c r="I17" s="1418"/>
      <c r="J17" s="1417">
        <f t="shared" ref="J17:J46" si="7">H17*$AF$6</f>
        <v>1622.7557615014621</v>
      </c>
      <c r="K17" s="1837">
        <f>VLOOKUP($C$15:$C$107,'sản lượng'!D16:AP976,37,0)</f>
        <v>209.23352615174841</v>
      </c>
      <c r="L17" s="1837">
        <f t="shared" si="2"/>
        <v>1831.9892876532106</v>
      </c>
      <c r="M17" s="1419" t="str">
        <f>VLOOKUP(C17,'sản lượng'!$D$14:$AP$169,39,0)</f>
        <v>A</v>
      </c>
      <c r="N17" s="2266">
        <f t="shared" si="3"/>
        <v>6705081</v>
      </c>
      <c r="O17" s="1417">
        <f>VLOOKUP(C17,TONGHOPCONGDOI!$C$11:$AA$103,20,0)</f>
        <v>24</v>
      </c>
      <c r="P17" s="1417">
        <f>VLOOKUP(C17,TONGHOPCONGDOI!$C$11:$AA$103,21,0)</f>
        <v>4</v>
      </c>
      <c r="Q17" s="1417">
        <f>VLOOKUP(C17,TONGHOPCONGDOI!$C$11:$AA$103,22,0)</f>
        <v>0</v>
      </c>
      <c r="R17" s="1417">
        <f>VLOOKUP(C17,TONGHOPCONGDOI!$C$11:$AA$103,23,0)</f>
        <v>0</v>
      </c>
      <c r="S17" s="1417">
        <f t="shared" si="4"/>
        <v>0</v>
      </c>
      <c r="T17" s="1417">
        <f>VLOOKUP(C17,TONGHOPCONGDOI!$C$11:$AA$103,25,0)</f>
        <v>0</v>
      </c>
      <c r="U17" s="1417"/>
      <c r="V17" s="1417"/>
      <c r="W17" s="1417"/>
      <c r="X17" s="1417"/>
      <c r="Y17" s="1417"/>
      <c r="Z17" s="1881">
        <f t="shared" si="5"/>
        <v>944495</v>
      </c>
      <c r="AA17" s="1420">
        <f t="shared" si="0"/>
        <v>7649576</v>
      </c>
      <c r="AB17" s="1420">
        <f t="shared" si="6"/>
        <v>7649576</v>
      </c>
      <c r="AC17" s="789"/>
      <c r="AD17" s="581"/>
      <c r="AF17" s="289"/>
      <c r="AG17" s="593"/>
      <c r="AH17" s="593"/>
    </row>
    <row r="18" spans="1:34" s="242" customFormat="1" ht="27.75" customHeight="1">
      <c r="A18" s="1245">
        <v>4</v>
      </c>
      <c r="B18" s="320" t="str">
        <f>TONGHOPCONGDOI!B14</f>
        <v>04087</v>
      </c>
      <c r="C18" s="320" t="str">
        <f>TONGHOPCONGDOI!C14</f>
        <v>N. La Ty</v>
      </c>
      <c r="D18" s="1243" t="s">
        <v>15</v>
      </c>
      <c r="E18" s="1416"/>
      <c r="F18" s="1455"/>
      <c r="G18" s="1417">
        <f t="shared" si="1"/>
        <v>0</v>
      </c>
      <c r="H18" s="1417">
        <f>VLOOKUP(C18,'sản lượng'!$D$14:$AL$169,34,0)</f>
        <v>4505</v>
      </c>
      <c r="I18" s="1418"/>
      <c r="J18" s="1417">
        <f t="shared" si="7"/>
        <v>1914.7497919235427</v>
      </c>
      <c r="K18" s="1837">
        <f>VLOOKUP($C$15:$C$107,'sản lượng'!D17:AP977,37,0)</f>
        <v>246.88240841111224</v>
      </c>
      <c r="L18" s="1837">
        <f t="shared" si="2"/>
        <v>2161.632200334655</v>
      </c>
      <c r="M18" s="1419" t="str">
        <f>VLOOKUP(C18,'sản lượng'!$D$14:$AP$169,39,0)</f>
        <v>A</v>
      </c>
      <c r="N18" s="2266">
        <f t="shared" si="3"/>
        <v>7911574</v>
      </c>
      <c r="O18" s="1417">
        <f>VLOOKUP(C18,TONGHOPCONGDOI!$C$11:$AA$103,20,0)</f>
        <v>27</v>
      </c>
      <c r="P18" s="1417">
        <f>VLOOKUP(C18,TONGHOPCONGDOI!$C$11:$AA$103,21,0)</f>
        <v>4</v>
      </c>
      <c r="Q18" s="1417">
        <f>VLOOKUP(C18,TONGHOPCONGDOI!$C$11:$AA$103,22,0)</f>
        <v>0</v>
      </c>
      <c r="R18" s="1417">
        <f>VLOOKUP(C18,TONGHOPCONGDOI!$C$11:$AA$103,23,0)</f>
        <v>0</v>
      </c>
      <c r="S18" s="1417">
        <f t="shared" si="4"/>
        <v>0</v>
      </c>
      <c r="T18" s="1417">
        <f>VLOOKUP(C18,TONGHOPCONGDOI!$C$11:$AA$103,25,0)</f>
        <v>0</v>
      </c>
      <c r="U18" s="1417"/>
      <c r="V18" s="1417"/>
      <c r="W18" s="1417"/>
      <c r="X18" s="1417"/>
      <c r="Y18" s="1417"/>
      <c r="Z18" s="1881">
        <f t="shared" si="5"/>
        <v>1036874</v>
      </c>
      <c r="AA18" s="1420">
        <f t="shared" si="0"/>
        <v>8948448</v>
      </c>
      <c r="AB18" s="1420">
        <f t="shared" si="6"/>
        <v>8948448</v>
      </c>
      <c r="AC18" s="789"/>
      <c r="AD18" s="581"/>
      <c r="AF18" s="289"/>
      <c r="AG18" s="593"/>
      <c r="AH18" s="593"/>
    </row>
    <row r="19" spans="1:34" s="242" customFormat="1" ht="27.75" customHeight="1">
      <c r="A19" s="1245">
        <v>5</v>
      </c>
      <c r="B19" s="320" t="str">
        <f>TONGHOPCONGDOI!B15</f>
        <v>04088</v>
      </c>
      <c r="C19" s="320" t="str">
        <f>TONGHOPCONGDOI!C15</f>
        <v>Thong Say</v>
      </c>
      <c r="D19" s="1243" t="s">
        <v>15</v>
      </c>
      <c r="E19" s="1416"/>
      <c r="F19" s="1455"/>
      <c r="G19" s="1417">
        <f t="shared" si="1"/>
        <v>0</v>
      </c>
      <c r="H19" s="1417">
        <f>VLOOKUP(C19,'sản lượng'!$D$14:$AL$169,34,0)</f>
        <v>3941</v>
      </c>
      <c r="I19" s="1418"/>
      <c r="J19" s="1417">
        <f t="shared" si="7"/>
        <v>1675.034168694935</v>
      </c>
      <c r="K19" s="1837">
        <f>VLOOKUP($C$15:$C$107,'sản lượng'!D18:AP978,37,0)</f>
        <v>215.97415572656899</v>
      </c>
      <c r="L19" s="1837">
        <f t="shared" si="2"/>
        <v>1891.0083244215041</v>
      </c>
      <c r="M19" s="1419" t="str">
        <f>VLOOKUP(C19,'sản lượng'!$D$14:$AP$169,39,0)</f>
        <v>B</v>
      </c>
      <c r="N19" s="2266">
        <f t="shared" si="3"/>
        <v>6580709</v>
      </c>
      <c r="O19" s="1417">
        <f>VLOOKUP(C19,TONGHOPCONGDOI!$C$11:$AA$103,20,0)</f>
        <v>27</v>
      </c>
      <c r="P19" s="1417">
        <f>VLOOKUP(C19,TONGHOPCONGDOI!$C$11:$AA$103,21,0)</f>
        <v>4</v>
      </c>
      <c r="Q19" s="1417">
        <f>VLOOKUP(C19,TONGHOPCONGDOI!$C$11:$AA$103,22,0)</f>
        <v>0</v>
      </c>
      <c r="R19" s="1417">
        <f>VLOOKUP(C19,TONGHOPCONGDOI!$C$11:$AA$103,23,0)</f>
        <v>0</v>
      </c>
      <c r="S19" s="1417">
        <f t="shared" si="4"/>
        <v>0</v>
      </c>
      <c r="T19" s="1417">
        <f>VLOOKUP(C19,TONGHOPCONGDOI!$C$11:$AA$103,25,0)</f>
        <v>0</v>
      </c>
      <c r="U19" s="1417"/>
      <c r="V19" s="1417"/>
      <c r="W19" s="1417"/>
      <c r="X19" s="1417"/>
      <c r="Y19" s="1417"/>
      <c r="Z19" s="1881">
        <f t="shared" si="5"/>
        <v>1036874</v>
      </c>
      <c r="AA19" s="1420">
        <f t="shared" si="0"/>
        <v>7617583</v>
      </c>
      <c r="AB19" s="1420">
        <f t="shared" si="6"/>
        <v>7617583</v>
      </c>
      <c r="AC19" s="789"/>
      <c r="AD19" s="581"/>
      <c r="AF19" s="289"/>
      <c r="AG19" s="593"/>
    </row>
    <row r="20" spans="1:34" s="242" customFormat="1" ht="27.75" customHeight="1">
      <c r="A20" s="1245">
        <v>6</v>
      </c>
      <c r="B20" s="320" t="str">
        <f>TONGHOPCONGDOI!B16</f>
        <v>03545</v>
      </c>
      <c r="C20" s="320" t="str">
        <f>TONGHOPCONGDOI!C16</f>
        <v>Phon Xa Văn</v>
      </c>
      <c r="D20" s="1243" t="s">
        <v>15</v>
      </c>
      <c r="E20" s="1416"/>
      <c r="F20" s="1455"/>
      <c r="G20" s="1417">
        <f t="shared" si="1"/>
        <v>0</v>
      </c>
      <c r="H20" s="1417">
        <f>VLOOKUP(C20,'sản lượng'!$D$14:$AL$169,34,0)</f>
        <v>4423</v>
      </c>
      <c r="I20" s="1418"/>
      <c r="J20" s="1417">
        <f t="shared" si="7"/>
        <v>1879.8975204612275</v>
      </c>
      <c r="K20" s="1837">
        <f>VLOOKUP($C$15:$C$107,'sản lượng'!D19:AP979,37,0)</f>
        <v>242.38865536123186</v>
      </c>
      <c r="L20" s="1837">
        <f t="shared" si="2"/>
        <v>2122.2861758224594</v>
      </c>
      <c r="M20" s="1419" t="str">
        <f>VLOOKUP(C20,'sản lượng'!$D$14:$AP$169,39,0)</f>
        <v>A</v>
      </c>
      <c r="N20" s="2266">
        <f t="shared" si="3"/>
        <v>7767567</v>
      </c>
      <c r="O20" s="1417">
        <f>VLOOKUP(C20,TONGHOPCONGDOI!$C$11:$AA$103,20,0)</f>
        <v>27</v>
      </c>
      <c r="P20" s="1417">
        <f>VLOOKUP(C20,TONGHOPCONGDOI!$C$11:$AA$103,21,0)</f>
        <v>4</v>
      </c>
      <c r="Q20" s="1417">
        <f>VLOOKUP(C20,TONGHOPCONGDOI!$C$11:$AA$103,22,0)</f>
        <v>0</v>
      </c>
      <c r="R20" s="1417">
        <f>VLOOKUP(C20,TONGHOPCONGDOI!$C$11:$AA$103,23,0)</f>
        <v>0</v>
      </c>
      <c r="S20" s="1417">
        <f t="shared" si="4"/>
        <v>0</v>
      </c>
      <c r="T20" s="1417">
        <f>VLOOKUP(C20,TONGHOPCONGDOI!$C$11:$AA$103,25,0)</f>
        <v>0</v>
      </c>
      <c r="U20" s="1417"/>
      <c r="V20" s="1417"/>
      <c r="W20" s="1417"/>
      <c r="X20" s="1417"/>
      <c r="Y20" s="1417"/>
      <c r="Z20" s="1881">
        <f t="shared" si="5"/>
        <v>1036874</v>
      </c>
      <c r="AA20" s="1420">
        <f t="shared" si="0"/>
        <v>8804441</v>
      </c>
      <c r="AB20" s="1420">
        <f t="shared" si="6"/>
        <v>8804441</v>
      </c>
      <c r="AC20" s="789"/>
      <c r="AD20" s="581"/>
      <c r="AF20" s="289"/>
      <c r="AG20" s="593"/>
    </row>
    <row r="21" spans="1:34" s="242" customFormat="1" ht="27.75" customHeight="1">
      <c r="A21" s="1245">
        <v>7</v>
      </c>
      <c r="B21" s="320" t="str">
        <f>TONGHOPCONGDOI!B17</f>
        <v>04089</v>
      </c>
      <c r="C21" s="320" t="str">
        <f>TONGHOPCONGDOI!C17</f>
        <v>N. Tỏi</v>
      </c>
      <c r="D21" s="1243" t="s">
        <v>15</v>
      </c>
      <c r="E21" s="1416"/>
      <c r="F21" s="1455"/>
      <c r="G21" s="1417">
        <f t="shared" si="1"/>
        <v>0</v>
      </c>
      <c r="H21" s="1417">
        <f>VLOOKUP(C21,'sản lượng'!$D$14:$AL$169,34,0)</f>
        <v>4040</v>
      </c>
      <c r="I21" s="1418"/>
      <c r="J21" s="1417">
        <f t="shared" si="7"/>
        <v>1717.1119110701693</v>
      </c>
      <c r="K21" s="1837">
        <f>VLOOKUP($C$15:$C$107,'sản lượng'!D20:AP980,37,0)</f>
        <v>221.39954050630266</v>
      </c>
      <c r="L21" s="1837">
        <f t="shared" si="2"/>
        <v>1938.5114515764719</v>
      </c>
      <c r="M21" s="1419" t="str">
        <f>VLOOKUP(C21,'sản lượng'!$D$14:$AP$169,39,0)</f>
        <v>A</v>
      </c>
      <c r="N21" s="2266">
        <f t="shared" si="3"/>
        <v>7094952</v>
      </c>
      <c r="O21" s="1417">
        <f>VLOOKUP(C21,TONGHOPCONGDOI!$C$11:$AA$103,20,0)</f>
        <v>25</v>
      </c>
      <c r="P21" s="1417">
        <f>VLOOKUP(C21,TONGHOPCONGDOI!$C$11:$AA$103,21,0)</f>
        <v>4</v>
      </c>
      <c r="Q21" s="1417">
        <f>VLOOKUP(C21,TONGHOPCONGDOI!$C$11:$AA$103,22,0)</f>
        <v>0</v>
      </c>
      <c r="R21" s="1417">
        <f>VLOOKUP(C21,TONGHOPCONGDOI!$C$11:$AA$103,23,0)</f>
        <v>0</v>
      </c>
      <c r="S21" s="1417">
        <f t="shared" si="4"/>
        <v>0</v>
      </c>
      <c r="T21" s="1417">
        <f>VLOOKUP(C21,TONGHOPCONGDOI!$C$11:$AA$103,25,0)</f>
        <v>0</v>
      </c>
      <c r="U21" s="1417"/>
      <c r="V21" s="1417"/>
      <c r="W21" s="1417"/>
      <c r="X21" s="1417"/>
      <c r="Y21" s="1417"/>
      <c r="Z21" s="1881">
        <f t="shared" si="5"/>
        <v>975288</v>
      </c>
      <c r="AA21" s="1420">
        <f t="shared" si="0"/>
        <v>8070240</v>
      </c>
      <c r="AB21" s="1420">
        <f t="shared" si="6"/>
        <v>8070240</v>
      </c>
      <c r="AC21" s="789"/>
      <c r="AD21" s="581"/>
      <c r="AF21" s="289"/>
      <c r="AG21" s="593"/>
    </row>
    <row r="22" spans="1:34" s="242" customFormat="1" ht="27.75" customHeight="1">
      <c r="A22" s="1245">
        <v>8</v>
      </c>
      <c r="B22" s="320">
        <f>TONGHOPCONGDOI!B18</f>
        <v>0</v>
      </c>
      <c r="C22" s="320" t="str">
        <f>TONGHOPCONGDOI!C18</f>
        <v>Na Ly</v>
      </c>
      <c r="D22" s="1243" t="s">
        <v>15</v>
      </c>
      <c r="E22" s="1416"/>
      <c r="F22" s="1455"/>
      <c r="G22" s="1417">
        <f t="shared" si="1"/>
        <v>0</v>
      </c>
      <c r="H22" s="1417">
        <f>VLOOKUP(C22,'sản lượng'!$D$14:$AL$169,34,0)</f>
        <v>4754</v>
      </c>
      <c r="I22" s="1418"/>
      <c r="J22" s="1417">
        <f t="shared" si="7"/>
        <v>2020.5816894127686</v>
      </c>
      <c r="K22" s="1837">
        <f>VLOOKUP($C$15:$C$107,'sản lượng'!D21:AP981,37,0)</f>
        <v>260.52807316013929</v>
      </c>
      <c r="L22" s="1837">
        <f t="shared" si="2"/>
        <v>2281.109762572908</v>
      </c>
      <c r="M22" s="1419" t="str">
        <f>VLOOKUP(C22,'sản lượng'!$D$14:$AP$169,39,0)</f>
        <v>A</v>
      </c>
      <c r="N22" s="2266">
        <f t="shared" si="3"/>
        <v>8348862</v>
      </c>
      <c r="O22" s="1417">
        <f>VLOOKUP(C22,TONGHOPCONGDOI!$C$11:$AA$103,20,0)</f>
        <v>27</v>
      </c>
      <c r="P22" s="1417">
        <f>VLOOKUP(C22,TONGHOPCONGDOI!$C$11:$AA$103,21,0)</f>
        <v>4</v>
      </c>
      <c r="Q22" s="1417">
        <f>VLOOKUP(C22,TONGHOPCONGDOI!$C$11:$AA$103,22,0)</f>
        <v>0</v>
      </c>
      <c r="R22" s="1417">
        <f>VLOOKUP(C22,TONGHOPCONGDOI!$C$11:$AA$103,23,0)</f>
        <v>0</v>
      </c>
      <c r="S22" s="1417">
        <f t="shared" si="4"/>
        <v>0</v>
      </c>
      <c r="T22" s="1417">
        <f>VLOOKUP(C22,TONGHOPCONGDOI!$C$11:$AA$103,25,0)</f>
        <v>0</v>
      </c>
      <c r="U22" s="1417"/>
      <c r="V22" s="1417"/>
      <c r="W22" s="1417"/>
      <c r="X22" s="1417"/>
      <c r="Y22" s="1417"/>
      <c r="Z22" s="1881">
        <f t="shared" si="5"/>
        <v>1036874</v>
      </c>
      <c r="AA22" s="1420">
        <f t="shared" si="0"/>
        <v>9385736</v>
      </c>
      <c r="AB22" s="1420">
        <f t="shared" si="6"/>
        <v>9385736</v>
      </c>
      <c r="AC22" s="789"/>
      <c r="AD22" s="581"/>
      <c r="AF22" s="289"/>
      <c r="AG22" s="593"/>
    </row>
    <row r="23" spans="1:34" s="242" customFormat="1" ht="27.75" customHeight="1">
      <c r="A23" s="1245">
        <v>9</v>
      </c>
      <c r="B23" s="320" t="str">
        <f>TONGHOPCONGDOI!B19</f>
        <v>02739</v>
      </c>
      <c r="C23" s="320" t="str">
        <f>TONGHOPCONGDOI!C19</f>
        <v>Thảo Lẹ</v>
      </c>
      <c r="D23" s="1243" t="s">
        <v>15</v>
      </c>
      <c r="E23" s="1416"/>
      <c r="F23" s="1455"/>
      <c r="G23" s="1417">
        <f t="shared" si="1"/>
        <v>0</v>
      </c>
      <c r="H23" s="1417">
        <f>VLOOKUP(C23,'sản lượng'!$D$14:$AL$169,34,0)</f>
        <v>5387</v>
      </c>
      <c r="I23" s="1418"/>
      <c r="J23" s="1417">
        <f t="shared" si="7"/>
        <v>2289.6242239938124</v>
      </c>
      <c r="K23" s="1837">
        <f>VLOOKUP($C$15:$C$107,'sản lượng'!D22:AP982,37,0)</f>
        <v>295.21765463055755</v>
      </c>
      <c r="L23" s="1837">
        <f t="shared" si="2"/>
        <v>2584.8418786243701</v>
      </c>
      <c r="M23" s="1419" t="str">
        <f>VLOOKUP(C23,'sản lượng'!$D$14:$AP$169,39,0)</f>
        <v>B</v>
      </c>
      <c r="N23" s="2266">
        <f t="shared" si="3"/>
        <v>8995250</v>
      </c>
      <c r="O23" s="1417">
        <f>VLOOKUP(C23,TONGHOPCONGDOI!$C$11:$AA$103,20,0)</f>
        <v>27</v>
      </c>
      <c r="P23" s="1417">
        <f>VLOOKUP(C23,TONGHOPCONGDOI!$C$11:$AA$103,21,0)</f>
        <v>4</v>
      </c>
      <c r="Q23" s="1417">
        <f>VLOOKUP(C23,TONGHOPCONGDOI!$C$11:$AA$103,22,0)</f>
        <v>0</v>
      </c>
      <c r="R23" s="1417">
        <f>VLOOKUP(C23,TONGHOPCONGDOI!$C$11:$AA$103,23,0)</f>
        <v>0</v>
      </c>
      <c r="S23" s="1417">
        <f t="shared" si="4"/>
        <v>0</v>
      </c>
      <c r="T23" s="1417">
        <f>VLOOKUP(C23,TONGHOPCONGDOI!$C$11:$AA$103,25,0)</f>
        <v>0</v>
      </c>
      <c r="U23" s="1417"/>
      <c r="V23" s="1417"/>
      <c r="W23" s="1417"/>
      <c r="X23" s="1417"/>
      <c r="Y23" s="1417"/>
      <c r="Z23" s="1881">
        <f t="shared" si="5"/>
        <v>1036874</v>
      </c>
      <c r="AA23" s="1420">
        <f t="shared" si="0"/>
        <v>10032124</v>
      </c>
      <c r="AB23" s="1420">
        <f t="shared" si="6"/>
        <v>10032124</v>
      </c>
      <c r="AC23" s="789"/>
      <c r="AD23" s="581"/>
      <c r="AF23" s="289"/>
      <c r="AG23" s="593"/>
    </row>
    <row r="24" spans="1:34" s="242" customFormat="1" ht="27.75" customHeight="1">
      <c r="A24" s="1245">
        <v>10</v>
      </c>
      <c r="B24" s="320" t="str">
        <f>TONGHOPCONGDOI!B20</f>
        <v>04090</v>
      </c>
      <c r="C24" s="320" t="str">
        <f>TONGHOPCONGDOI!C20</f>
        <v>N. Đeng (2)</v>
      </c>
      <c r="D24" s="1243" t="s">
        <v>15</v>
      </c>
      <c r="E24" s="1416"/>
      <c r="F24" s="1455"/>
      <c r="G24" s="1417">
        <f t="shared" si="1"/>
        <v>0</v>
      </c>
      <c r="H24" s="1417">
        <f>VLOOKUP(C24,'sản lượng'!$D$14:$AL$169,34,0)</f>
        <v>4359</v>
      </c>
      <c r="I24" s="1418"/>
      <c r="J24" s="1417">
        <f t="shared" si="7"/>
        <v>1852.695747612591</v>
      </c>
      <c r="K24" s="1837">
        <f>VLOOKUP($C$15:$C$107,'sản lượng'!D23:AP983,37,0)</f>
        <v>238.88133590766665</v>
      </c>
      <c r="L24" s="1837">
        <f t="shared" si="2"/>
        <v>2091.5770835202575</v>
      </c>
      <c r="M24" s="1419" t="str">
        <f>VLOOKUP(C24,'sản lượng'!$D$14:$AP$169,39,0)</f>
        <v>B</v>
      </c>
      <c r="N24" s="2266">
        <f t="shared" si="3"/>
        <v>7278688</v>
      </c>
      <c r="O24" s="1417">
        <f>VLOOKUP(C24,TONGHOPCONGDOI!$C$11:$AA$103,20,0)</f>
        <v>27</v>
      </c>
      <c r="P24" s="1417">
        <f>VLOOKUP(C24,TONGHOPCONGDOI!$C$11:$AA$103,21,0)</f>
        <v>4</v>
      </c>
      <c r="Q24" s="1417">
        <f>VLOOKUP(C24,TONGHOPCONGDOI!$C$11:$AA$103,22,0)</f>
        <v>0</v>
      </c>
      <c r="R24" s="1417">
        <f>VLOOKUP(C24,TONGHOPCONGDOI!$C$11:$AA$103,23,0)</f>
        <v>0</v>
      </c>
      <c r="S24" s="1417">
        <f t="shared" si="4"/>
        <v>0</v>
      </c>
      <c r="T24" s="1417">
        <f>VLOOKUP(C24,TONGHOPCONGDOI!$C$11:$AA$103,25,0)</f>
        <v>0</v>
      </c>
      <c r="U24" s="1417"/>
      <c r="V24" s="1417"/>
      <c r="W24" s="1417"/>
      <c r="X24" s="1417"/>
      <c r="Y24" s="1417"/>
      <c r="Z24" s="1881">
        <f t="shared" si="5"/>
        <v>1036874</v>
      </c>
      <c r="AA24" s="1420">
        <f t="shared" si="0"/>
        <v>8315562</v>
      </c>
      <c r="AB24" s="1420">
        <f t="shared" si="6"/>
        <v>8315562</v>
      </c>
      <c r="AC24" s="789"/>
      <c r="AD24" s="581"/>
      <c r="AF24" s="289"/>
      <c r="AG24" s="593"/>
    </row>
    <row r="25" spans="1:34" s="242" customFormat="1" ht="27.75" customHeight="1">
      <c r="A25" s="1245">
        <v>11</v>
      </c>
      <c r="B25" s="320" t="str">
        <f>TONGHOPCONGDOI!B21</f>
        <v>03509</v>
      </c>
      <c r="C25" s="320" t="str">
        <f>TONGHOPCONGDOI!C21</f>
        <v>T. May</v>
      </c>
      <c r="D25" s="1243" t="s">
        <v>15</v>
      </c>
      <c r="E25" s="1416"/>
      <c r="F25" s="1455"/>
      <c r="G25" s="1417">
        <f t="shared" si="1"/>
        <v>0</v>
      </c>
      <c r="H25" s="1417">
        <f>VLOOKUP(C25,'sản lượng'!$D$14:$AL$169,34,0)</f>
        <v>5372</v>
      </c>
      <c r="I25" s="1418"/>
      <c r="J25" s="1417">
        <f t="shared" si="7"/>
        <v>2283.2488084824131</v>
      </c>
      <c r="K25" s="1837">
        <f>VLOOKUP($C$15:$C$107,'sản lượng'!D24:AP984,37,0)</f>
        <v>294.39562663362818</v>
      </c>
      <c r="L25" s="1837">
        <f t="shared" si="2"/>
        <v>2577.6444351160412</v>
      </c>
      <c r="M25" s="1419" t="str">
        <f>VLOOKUP(C25,'sản lượng'!$D$14:$AP$169,39,0)</f>
        <v>A</v>
      </c>
      <c r="N25" s="2266">
        <f t="shared" si="3"/>
        <v>9434179</v>
      </c>
      <c r="O25" s="1417">
        <f>VLOOKUP(C25,TONGHOPCONGDOI!$C$11:$AA$103,20,0)</f>
        <v>27</v>
      </c>
      <c r="P25" s="1417">
        <f>VLOOKUP(C25,TONGHOPCONGDOI!$C$11:$AA$103,21,0)</f>
        <v>4</v>
      </c>
      <c r="Q25" s="1417">
        <f>VLOOKUP(C25,TONGHOPCONGDOI!$C$11:$AA$103,22,0)</f>
        <v>0</v>
      </c>
      <c r="R25" s="1417">
        <f>VLOOKUP(C25,TONGHOPCONGDOI!$C$11:$AA$103,23,0)</f>
        <v>0</v>
      </c>
      <c r="S25" s="1417">
        <f t="shared" si="4"/>
        <v>0</v>
      </c>
      <c r="T25" s="1417">
        <f>VLOOKUP(C25,TONGHOPCONGDOI!$C$11:$AA$103,25,0)</f>
        <v>0</v>
      </c>
      <c r="U25" s="1417"/>
      <c r="V25" s="1417"/>
      <c r="W25" s="1417"/>
      <c r="X25" s="1417"/>
      <c r="Y25" s="1417"/>
      <c r="Z25" s="1881">
        <f t="shared" si="5"/>
        <v>1036874</v>
      </c>
      <c r="AA25" s="1420">
        <f t="shared" si="0"/>
        <v>10471053</v>
      </c>
      <c r="AB25" s="1420">
        <f t="shared" si="6"/>
        <v>10471053</v>
      </c>
      <c r="AC25" s="789"/>
      <c r="AD25" s="581"/>
      <c r="AF25" s="289"/>
      <c r="AG25" s="593"/>
    </row>
    <row r="26" spans="1:34" s="242" customFormat="1" ht="27.75" customHeight="1">
      <c r="A26" s="1245">
        <v>12</v>
      </c>
      <c r="B26" s="320" t="str">
        <f>TONGHOPCONGDOI!B22</f>
        <v>04091</v>
      </c>
      <c r="C26" s="320" t="str">
        <f>TONGHOPCONGDOI!C22</f>
        <v>N. Bay</v>
      </c>
      <c r="D26" s="1243" t="s">
        <v>15</v>
      </c>
      <c r="E26" s="1416"/>
      <c r="F26" s="1455"/>
      <c r="G26" s="1417">
        <f t="shared" si="1"/>
        <v>0</v>
      </c>
      <c r="H26" s="1417">
        <f>VLOOKUP(C26,'sản lượng'!$D$14:$AL$169,34,0)</f>
        <v>3030</v>
      </c>
      <c r="I26" s="1418"/>
      <c r="J26" s="1417">
        <f t="shared" si="7"/>
        <v>1287.833933302627</v>
      </c>
      <c r="K26" s="1837">
        <f>VLOOKUP($C$15:$C$107,'sản lượng'!D25:AP985,37,0)</f>
        <v>166.049655379727</v>
      </c>
      <c r="L26" s="1837">
        <f t="shared" si="2"/>
        <v>1453.883588682354</v>
      </c>
      <c r="M26" s="1419" t="str">
        <f>VLOOKUP(C26,'sản lượng'!$D$14:$AP$169,39,0)</f>
        <v>B</v>
      </c>
      <c r="N26" s="2266">
        <f t="shared" si="3"/>
        <v>5059515</v>
      </c>
      <c r="O26" s="1417">
        <f>VLOOKUP(C26,TONGHOPCONGDOI!$C$11:$AA$103,20,0)</f>
        <v>27</v>
      </c>
      <c r="P26" s="1417">
        <f>VLOOKUP(C26,TONGHOPCONGDOI!$C$11:$AA$103,21,0)</f>
        <v>4</v>
      </c>
      <c r="Q26" s="1417">
        <f>VLOOKUP(C26,TONGHOPCONGDOI!$C$11:$AA$103,22,0)</f>
        <v>0</v>
      </c>
      <c r="R26" s="1417">
        <f>VLOOKUP(C26,TONGHOPCONGDOI!$C$11:$AA$103,23,0)</f>
        <v>0</v>
      </c>
      <c r="S26" s="1417">
        <f t="shared" si="4"/>
        <v>0</v>
      </c>
      <c r="T26" s="1417">
        <f>VLOOKUP(C26,TONGHOPCONGDOI!$C$11:$AA$103,25,0)</f>
        <v>0</v>
      </c>
      <c r="U26" s="1417"/>
      <c r="V26" s="1417"/>
      <c r="W26" s="1417"/>
      <c r="X26" s="1417"/>
      <c r="Y26" s="1417"/>
      <c r="Z26" s="1881">
        <f t="shared" si="5"/>
        <v>1036874</v>
      </c>
      <c r="AA26" s="1420">
        <f t="shared" si="0"/>
        <v>6096389</v>
      </c>
      <c r="AB26" s="1420">
        <f t="shared" si="6"/>
        <v>6096389</v>
      </c>
      <c r="AC26" s="789"/>
      <c r="AD26" s="581"/>
      <c r="AF26" s="289"/>
      <c r="AG26" s="593"/>
    </row>
    <row r="27" spans="1:34" s="242" customFormat="1" ht="27.75" customHeight="1">
      <c r="A27" s="1245">
        <v>13</v>
      </c>
      <c r="B27" s="320" t="str">
        <f>TONGHOPCONGDOI!B23</f>
        <v>03527</v>
      </c>
      <c r="C27" s="320" t="str">
        <f>TONGHOPCONGDOI!C23</f>
        <v>T Núc</v>
      </c>
      <c r="D27" s="1243" t="s">
        <v>15</v>
      </c>
      <c r="E27" s="1416"/>
      <c r="F27" s="1455"/>
      <c r="G27" s="1417">
        <f t="shared" si="1"/>
        <v>0</v>
      </c>
      <c r="H27" s="1417">
        <f>VLOOKUP(C27,'sản lượng'!$D$14:$AL$169,34,0)</f>
        <v>3040</v>
      </c>
      <c r="I27" s="1418"/>
      <c r="J27" s="1417">
        <f t="shared" si="7"/>
        <v>1292.0842103102264</v>
      </c>
      <c r="K27" s="1837">
        <f>VLOOKUP($C$15:$C$107,'sản lượng'!D26:AP986,37,0)</f>
        <v>166.59767404434655</v>
      </c>
      <c r="L27" s="1837">
        <f t="shared" si="2"/>
        <v>1458.681884354573</v>
      </c>
      <c r="M27" s="1419" t="str">
        <f>VLOOKUP(C27,'sản lượng'!$D$14:$AP$169,39,0)</f>
        <v>B</v>
      </c>
      <c r="N27" s="2266">
        <f t="shared" si="3"/>
        <v>5076213</v>
      </c>
      <c r="O27" s="1417">
        <f>VLOOKUP(C27,TONGHOPCONGDOI!$C$11:$AA$103,20,0)</f>
        <v>27</v>
      </c>
      <c r="P27" s="1417">
        <f>VLOOKUP(C27,TONGHOPCONGDOI!$C$11:$AA$103,21,0)</f>
        <v>4</v>
      </c>
      <c r="Q27" s="1417">
        <f>VLOOKUP(C27,TONGHOPCONGDOI!$C$11:$AA$103,22,0)</f>
        <v>0</v>
      </c>
      <c r="R27" s="1417">
        <f>VLOOKUP(C27,TONGHOPCONGDOI!$C$11:$AA$103,23,0)</f>
        <v>0</v>
      </c>
      <c r="S27" s="1417">
        <f t="shared" si="4"/>
        <v>0</v>
      </c>
      <c r="T27" s="1417">
        <f>VLOOKUP(C27,TONGHOPCONGDOI!$C$11:$AA$103,25,0)</f>
        <v>0</v>
      </c>
      <c r="U27" s="1417"/>
      <c r="V27" s="1417"/>
      <c r="W27" s="1417"/>
      <c r="X27" s="1417"/>
      <c r="Y27" s="1417"/>
      <c r="Z27" s="1881">
        <f t="shared" si="5"/>
        <v>1036874</v>
      </c>
      <c r="AA27" s="1420">
        <f t="shared" si="0"/>
        <v>6113087</v>
      </c>
      <c r="AB27" s="1420">
        <f t="shared" si="6"/>
        <v>6113087</v>
      </c>
      <c r="AC27" s="789"/>
      <c r="AD27" s="581"/>
      <c r="AF27" s="289"/>
      <c r="AG27" s="593"/>
    </row>
    <row r="28" spans="1:34" s="242" customFormat="1" ht="27.75" customHeight="1">
      <c r="A28" s="1245">
        <v>14</v>
      </c>
      <c r="B28" s="320" t="str">
        <f>TONGHOPCONGDOI!B24</f>
        <v>03528</v>
      </c>
      <c r="C28" s="320" t="str">
        <f>TONGHOPCONGDOI!C24</f>
        <v>T. Cô</v>
      </c>
      <c r="D28" s="1243" t="s">
        <v>15</v>
      </c>
      <c r="E28" s="1416"/>
      <c r="F28" s="1455"/>
      <c r="G28" s="1417">
        <f t="shared" si="1"/>
        <v>0</v>
      </c>
      <c r="H28" s="1417">
        <f>VLOOKUP(C28,'sản lượng'!$D$14:$AL$169,34,0)</f>
        <v>4399</v>
      </c>
      <c r="I28" s="1418"/>
      <c r="J28" s="1417">
        <f t="shared" si="7"/>
        <v>1869.6968556429888</v>
      </c>
      <c r="K28" s="1837">
        <f>VLOOKUP($C$15:$C$107,'sản lượng'!D27:AP987,37,0)</f>
        <v>241.0734105661449</v>
      </c>
      <c r="L28" s="1837">
        <f t="shared" si="2"/>
        <v>2110.7702662091338</v>
      </c>
      <c r="M28" s="1419" t="str">
        <f>VLOOKUP(C28,'sản lượng'!$D$14:$AP$169,39,0)</f>
        <v>A</v>
      </c>
      <c r="N28" s="2266">
        <f t="shared" si="3"/>
        <v>7725419</v>
      </c>
      <c r="O28" s="1417">
        <f>VLOOKUP(C28,TONGHOPCONGDOI!$C$11:$AA$103,20,0)</f>
        <v>27</v>
      </c>
      <c r="P28" s="1417">
        <f>VLOOKUP(C28,TONGHOPCONGDOI!$C$11:$AA$103,21,0)</f>
        <v>4</v>
      </c>
      <c r="Q28" s="1417">
        <f>VLOOKUP(C28,TONGHOPCONGDOI!$C$11:$AA$103,22,0)</f>
        <v>0</v>
      </c>
      <c r="R28" s="1417">
        <f>VLOOKUP(C28,TONGHOPCONGDOI!$C$11:$AA$103,23,0)</f>
        <v>0</v>
      </c>
      <c r="S28" s="1417">
        <f t="shared" si="4"/>
        <v>0</v>
      </c>
      <c r="T28" s="1417">
        <f>VLOOKUP(C28,TONGHOPCONGDOI!$C$11:$AA$103,25,0)</f>
        <v>0</v>
      </c>
      <c r="U28" s="1417"/>
      <c r="V28" s="1417"/>
      <c r="W28" s="1417"/>
      <c r="X28" s="1417"/>
      <c r="Y28" s="1417"/>
      <c r="Z28" s="1881">
        <f t="shared" si="5"/>
        <v>1036874</v>
      </c>
      <c r="AA28" s="1420">
        <f t="shared" si="0"/>
        <v>8762293</v>
      </c>
      <c r="AB28" s="1420">
        <f t="shared" si="6"/>
        <v>8762293</v>
      </c>
      <c r="AC28" s="789"/>
      <c r="AD28" s="581"/>
      <c r="AF28" s="289"/>
      <c r="AG28" s="593"/>
    </row>
    <row r="29" spans="1:34" s="242" customFormat="1" ht="27.75" customHeight="1">
      <c r="A29" s="1245">
        <v>15</v>
      </c>
      <c r="B29" s="320" t="str">
        <f>TONGHOPCONGDOI!B25</f>
        <v>03524</v>
      </c>
      <c r="C29" s="320" t="str">
        <f>TONGHOPCONGDOI!C25</f>
        <v>T. Nả</v>
      </c>
      <c r="D29" s="1243" t="s">
        <v>15</v>
      </c>
      <c r="E29" s="1416"/>
      <c r="F29" s="1455"/>
      <c r="G29" s="1417">
        <f t="shared" si="1"/>
        <v>0</v>
      </c>
      <c r="H29" s="1417">
        <f>VLOOKUP(C29,'sản lượng'!$D$14:$AL$169,34,0)</f>
        <v>4275</v>
      </c>
      <c r="I29" s="1418"/>
      <c r="J29" s="1417">
        <f t="shared" si="7"/>
        <v>1816.9934207487559</v>
      </c>
      <c r="K29" s="1837">
        <f>VLOOKUP($C$15:$C$107,'sản lượng'!D28:AP988,37,0)</f>
        <v>234.27797912486233</v>
      </c>
      <c r="L29" s="1837">
        <f t="shared" si="2"/>
        <v>2051.2713998736181</v>
      </c>
      <c r="M29" s="1419" t="str">
        <f>VLOOKUP(C29,'sản lượng'!$D$14:$AP$169,39,0)</f>
        <v>B</v>
      </c>
      <c r="N29" s="2266">
        <f t="shared" si="3"/>
        <v>7138424</v>
      </c>
      <c r="O29" s="1417">
        <f>VLOOKUP(C29,TONGHOPCONGDOI!$C$11:$AA$103,20,0)</f>
        <v>27</v>
      </c>
      <c r="P29" s="1417">
        <f>VLOOKUP(C29,TONGHOPCONGDOI!$C$11:$AA$103,21,0)</f>
        <v>4</v>
      </c>
      <c r="Q29" s="1417">
        <f>VLOOKUP(C29,TONGHOPCONGDOI!$C$11:$AA$103,22,0)</f>
        <v>0</v>
      </c>
      <c r="R29" s="1417">
        <f>VLOOKUP(C29,TONGHOPCONGDOI!$C$11:$AA$103,23,0)</f>
        <v>0</v>
      </c>
      <c r="S29" s="1417">
        <f t="shared" si="4"/>
        <v>0</v>
      </c>
      <c r="T29" s="1417">
        <f>VLOOKUP(C29,TONGHOPCONGDOI!$C$11:$AA$103,25,0)</f>
        <v>0</v>
      </c>
      <c r="U29" s="1417"/>
      <c r="V29" s="1417"/>
      <c r="W29" s="1417"/>
      <c r="X29" s="1417"/>
      <c r="Y29" s="1417"/>
      <c r="Z29" s="1881">
        <f t="shared" si="5"/>
        <v>1036874</v>
      </c>
      <c r="AA29" s="1420">
        <f t="shared" si="0"/>
        <v>8175298</v>
      </c>
      <c r="AB29" s="1420">
        <f t="shared" si="6"/>
        <v>8175298</v>
      </c>
      <c r="AC29" s="789"/>
      <c r="AD29" s="581"/>
      <c r="AF29" s="289"/>
      <c r="AG29" s="593"/>
    </row>
    <row r="30" spans="1:34" s="242" customFormat="1" ht="27.75" customHeight="1">
      <c r="A30" s="1245">
        <v>16</v>
      </c>
      <c r="B30" s="320" t="str">
        <f>TONGHOPCONGDOI!B26</f>
        <v>03532</v>
      </c>
      <c r="C30" s="320" t="str">
        <f>TONGHOPCONGDOI!C26</f>
        <v>N. Túc</v>
      </c>
      <c r="D30" s="1243" t="s">
        <v>15</v>
      </c>
      <c r="E30" s="1416"/>
      <c r="F30" s="1455"/>
      <c r="G30" s="1417">
        <f t="shared" si="1"/>
        <v>0</v>
      </c>
      <c r="H30" s="1417">
        <f>VLOOKUP(C30,'sản lượng'!$D$14:$AL$169,34,0)</f>
        <v>4531</v>
      </c>
      <c r="I30" s="1418"/>
      <c r="J30" s="1417">
        <f t="shared" si="7"/>
        <v>1925.8005121433011</v>
      </c>
      <c r="K30" s="1837">
        <f>VLOOKUP($C$15:$C$107,'sản lượng'!D29:AP989,37,0)</f>
        <v>248.30725693912311</v>
      </c>
      <c r="L30" s="1837">
        <f t="shared" si="2"/>
        <v>2174.1077690824241</v>
      </c>
      <c r="M30" s="1419" t="str">
        <f>VLOOKUP(C30,'sản lượng'!$D$14:$AP$169,39,0)</f>
        <v>A</v>
      </c>
      <c r="N30" s="2266">
        <f t="shared" si="3"/>
        <v>7957234</v>
      </c>
      <c r="O30" s="1417">
        <f>VLOOKUP(C30,TONGHOPCONGDOI!$C$11:$AA$103,20,0)</f>
        <v>27</v>
      </c>
      <c r="P30" s="1417">
        <f>VLOOKUP(C30,TONGHOPCONGDOI!$C$11:$AA$103,21,0)</f>
        <v>4</v>
      </c>
      <c r="Q30" s="1417">
        <f>VLOOKUP(C30,TONGHOPCONGDOI!$C$11:$AA$103,22,0)</f>
        <v>0</v>
      </c>
      <c r="R30" s="1417">
        <f>VLOOKUP(C30,TONGHOPCONGDOI!$C$11:$AA$103,23,0)</f>
        <v>0</v>
      </c>
      <c r="S30" s="1417">
        <f t="shared" si="4"/>
        <v>0</v>
      </c>
      <c r="T30" s="1417">
        <f>VLOOKUP(C30,TONGHOPCONGDOI!$C$11:$AA$103,25,0)</f>
        <v>0</v>
      </c>
      <c r="U30" s="1417"/>
      <c r="V30" s="1417"/>
      <c r="W30" s="1417"/>
      <c r="X30" s="1417"/>
      <c r="Y30" s="1417"/>
      <c r="Z30" s="1881">
        <f t="shared" si="5"/>
        <v>1036874</v>
      </c>
      <c r="AA30" s="1420">
        <f t="shared" si="0"/>
        <v>8994108</v>
      </c>
      <c r="AB30" s="1420">
        <f t="shared" si="6"/>
        <v>8994108</v>
      </c>
      <c r="AC30" s="789"/>
      <c r="AD30" s="581"/>
      <c r="AF30" s="289"/>
      <c r="AG30" s="593"/>
    </row>
    <row r="31" spans="1:34" s="242" customFormat="1" ht="27.75" customHeight="1">
      <c r="A31" s="1245">
        <v>17</v>
      </c>
      <c r="B31" s="320">
        <f>TONGHOPCONGDOI!B27</f>
        <v>0</v>
      </c>
      <c r="C31" s="320" t="str">
        <f>TONGHOPCONGDOI!C27</f>
        <v>Thảo Phút</v>
      </c>
      <c r="D31" s="1243" t="s">
        <v>15</v>
      </c>
      <c r="E31" s="1416"/>
      <c r="F31" s="1455"/>
      <c r="G31" s="1417">
        <f t="shared" si="1"/>
        <v>0</v>
      </c>
      <c r="H31" s="1417">
        <f>VLOOKUP(C31,'sản lượng'!$D$14:$AL$169,34,0)</f>
        <v>4468</v>
      </c>
      <c r="I31" s="1418"/>
      <c r="J31" s="1417">
        <f t="shared" si="7"/>
        <v>1899.0237669954249</v>
      </c>
      <c r="K31" s="1837">
        <f>VLOOKUP($C$15:$C$107,'sản lượng'!D30:AP990,37,0)</f>
        <v>244.85473935201986</v>
      </c>
      <c r="L31" s="1837">
        <f t="shared" si="2"/>
        <v>2143.8785063474447</v>
      </c>
      <c r="M31" s="1419" t="str">
        <f>VLOOKUP(C31,'sản lượng'!$D$14:$AP$169,39,0)</f>
        <v>A</v>
      </c>
      <c r="N31" s="2266">
        <f t="shared" si="3"/>
        <v>7846595</v>
      </c>
      <c r="O31" s="1417">
        <f>VLOOKUP(C31,TONGHOPCONGDOI!$C$11:$AA$103,20,0)</f>
        <v>27</v>
      </c>
      <c r="P31" s="1417">
        <f>VLOOKUP(C31,TONGHOPCONGDOI!$C$11:$AA$103,21,0)</f>
        <v>4</v>
      </c>
      <c r="Q31" s="1417">
        <f>VLOOKUP(C31,TONGHOPCONGDOI!$C$11:$AA$103,22,0)</f>
        <v>0</v>
      </c>
      <c r="R31" s="1417">
        <f>VLOOKUP(C31,TONGHOPCONGDOI!$C$11:$AA$103,23,0)</f>
        <v>0</v>
      </c>
      <c r="S31" s="1417">
        <f t="shared" si="4"/>
        <v>0</v>
      </c>
      <c r="T31" s="1417">
        <f>VLOOKUP(C31,TONGHOPCONGDOI!$C$11:$AA$103,25,0)</f>
        <v>0</v>
      </c>
      <c r="U31" s="1417"/>
      <c r="V31" s="1417"/>
      <c r="W31" s="1417"/>
      <c r="X31" s="1417"/>
      <c r="Y31" s="1417"/>
      <c r="Z31" s="1881">
        <f t="shared" si="5"/>
        <v>1036874</v>
      </c>
      <c r="AA31" s="1420">
        <f t="shared" si="0"/>
        <v>8883469</v>
      </c>
      <c r="AB31" s="1420">
        <f t="shared" si="6"/>
        <v>8883469</v>
      </c>
      <c r="AC31" s="789"/>
      <c r="AD31" s="581"/>
      <c r="AF31" s="289"/>
      <c r="AG31" s="593"/>
    </row>
    <row r="32" spans="1:34" s="242" customFormat="1" ht="27.75" customHeight="1">
      <c r="A32" s="1245">
        <v>18</v>
      </c>
      <c r="B32" s="320" t="str">
        <f>TONGHOPCONGDOI!B28</f>
        <v>04093</v>
      </c>
      <c r="C32" s="320" t="str">
        <f>TONGHOPCONGDOI!C28</f>
        <v>T. Lu</v>
      </c>
      <c r="D32" s="1243" t="s">
        <v>15</v>
      </c>
      <c r="E32" s="1416"/>
      <c r="F32" s="1455"/>
      <c r="G32" s="1417">
        <f t="shared" si="1"/>
        <v>0</v>
      </c>
      <c r="H32" s="1417">
        <f>VLOOKUP(C32,'sản lượng'!$D$14:$AL$169,34,0)</f>
        <v>3388</v>
      </c>
      <c r="I32" s="1418"/>
      <c r="J32" s="1417">
        <f t="shared" si="7"/>
        <v>1439.9938501746865</v>
      </c>
      <c r="K32" s="1837">
        <f>VLOOKUP($C$15:$C$107,'sản lượng'!D31:AP991,37,0)</f>
        <v>185.66872357310729</v>
      </c>
      <c r="L32" s="1837">
        <f t="shared" si="2"/>
        <v>1625.6625737477939</v>
      </c>
      <c r="M32" s="1419" t="str">
        <f>VLOOKUP(C32,'sản lượng'!$D$14:$AP$169,39,0)</f>
        <v>B</v>
      </c>
      <c r="N32" s="2266">
        <f t="shared" si="3"/>
        <v>5657306</v>
      </c>
      <c r="O32" s="1417">
        <f>VLOOKUP(C32,TONGHOPCONGDOI!$C$11:$AA$103,20,0)</f>
        <v>24</v>
      </c>
      <c r="P32" s="1417">
        <f>VLOOKUP(C32,TONGHOPCONGDOI!$C$11:$AA$103,21,0)</f>
        <v>4</v>
      </c>
      <c r="Q32" s="1417">
        <f>VLOOKUP(C32,TONGHOPCONGDOI!$C$11:$AA$103,22,0)</f>
        <v>0</v>
      </c>
      <c r="R32" s="1417">
        <f>VLOOKUP(C32,TONGHOPCONGDOI!$C$11:$AA$103,23,0)</f>
        <v>0</v>
      </c>
      <c r="S32" s="1417">
        <f t="shared" si="4"/>
        <v>0</v>
      </c>
      <c r="T32" s="1417">
        <f>VLOOKUP(C32,TONGHOPCONGDOI!$C$11:$AA$103,25,0)</f>
        <v>0</v>
      </c>
      <c r="U32" s="1417"/>
      <c r="V32" s="1417"/>
      <c r="W32" s="1417"/>
      <c r="X32" s="1417"/>
      <c r="Y32" s="1417"/>
      <c r="Z32" s="1881">
        <f t="shared" si="5"/>
        <v>944495</v>
      </c>
      <c r="AA32" s="1420">
        <f t="shared" si="0"/>
        <v>6601801</v>
      </c>
      <c r="AB32" s="1420">
        <f t="shared" si="6"/>
        <v>6601801</v>
      </c>
      <c r="AC32" s="789"/>
      <c r="AD32" s="581"/>
      <c r="AF32" s="289"/>
      <c r="AG32" s="593"/>
    </row>
    <row r="33" spans="1:33" s="242" customFormat="1" ht="27.75" customHeight="1">
      <c r="A33" s="1245">
        <v>19</v>
      </c>
      <c r="B33" s="320" t="str">
        <f>TONGHOPCONGDOI!B29</f>
        <v xml:space="preserve">02709 </v>
      </c>
      <c r="C33" s="320" t="str">
        <f>TONGHOPCONGDOI!C29</f>
        <v>T. Say</v>
      </c>
      <c r="D33" s="1243" t="s">
        <v>15</v>
      </c>
      <c r="E33" s="1416"/>
      <c r="F33" s="1455"/>
      <c r="G33" s="1417">
        <f t="shared" si="1"/>
        <v>0</v>
      </c>
      <c r="H33" s="1417">
        <f>VLOOKUP(C33,'sản lượng'!$D$14:$AL$169,34,0)</f>
        <v>4230</v>
      </c>
      <c r="I33" s="1418"/>
      <c r="J33" s="1417">
        <f t="shared" si="7"/>
        <v>1797.8671742145584</v>
      </c>
      <c r="K33" s="1837">
        <f>VLOOKUP($C$15:$C$107,'sản lượng'!D32:AP992,37,0)</f>
        <v>231.81189513407432</v>
      </c>
      <c r="L33" s="1837">
        <f t="shared" si="2"/>
        <v>2029.6790693486328</v>
      </c>
      <c r="M33" s="1419" t="str">
        <f>VLOOKUP(C33,'sản lượng'!$D$14:$AP$169,39,0)</f>
        <v>A</v>
      </c>
      <c r="N33" s="2266">
        <f t="shared" si="3"/>
        <v>7428625</v>
      </c>
      <c r="O33" s="1417">
        <f>VLOOKUP(C33,TONGHOPCONGDOI!$C$11:$AA$103,20,0)</f>
        <v>27</v>
      </c>
      <c r="P33" s="1417">
        <f>VLOOKUP(C33,TONGHOPCONGDOI!$C$11:$AA$103,21,0)</f>
        <v>4</v>
      </c>
      <c r="Q33" s="1417">
        <f>VLOOKUP(C33,TONGHOPCONGDOI!$C$11:$AA$103,22,0)</f>
        <v>0</v>
      </c>
      <c r="R33" s="1417">
        <f>VLOOKUP(C33,TONGHOPCONGDOI!$C$11:$AA$103,23,0)</f>
        <v>0</v>
      </c>
      <c r="S33" s="1417">
        <f t="shared" si="4"/>
        <v>0</v>
      </c>
      <c r="T33" s="1417">
        <f>VLOOKUP(C33,TONGHOPCONGDOI!$C$11:$AA$103,25,0)</f>
        <v>0</v>
      </c>
      <c r="U33" s="1417"/>
      <c r="V33" s="1417"/>
      <c r="W33" s="1417"/>
      <c r="X33" s="1417"/>
      <c r="Y33" s="1417"/>
      <c r="Z33" s="1881">
        <f t="shared" si="5"/>
        <v>1036874</v>
      </c>
      <c r="AA33" s="1420">
        <f t="shared" si="0"/>
        <v>8465499</v>
      </c>
      <c r="AB33" s="1420">
        <f t="shared" si="6"/>
        <v>8465499</v>
      </c>
      <c r="AC33" s="789"/>
      <c r="AD33" s="581"/>
      <c r="AF33" s="289"/>
      <c r="AG33" s="593"/>
    </row>
    <row r="34" spans="1:33" s="242" customFormat="1" ht="27.75" customHeight="1">
      <c r="A34" s="1245">
        <v>20</v>
      </c>
      <c r="B34" s="320" t="str">
        <f>TONGHOPCONGDOI!B30</f>
        <v>04094</v>
      </c>
      <c r="C34" s="320" t="str">
        <f>TONGHOPCONGDOI!C30</f>
        <v>N. Khun Mi</v>
      </c>
      <c r="D34" s="1243" t="s">
        <v>15</v>
      </c>
      <c r="E34" s="1416"/>
      <c r="F34" s="1455"/>
      <c r="G34" s="1417">
        <f t="shared" si="1"/>
        <v>0</v>
      </c>
      <c r="H34" s="1417">
        <f>VLOOKUP(C34,'sản lượng'!$D$14:$AL$169,34,0)</f>
        <v>3981</v>
      </c>
      <c r="I34" s="1418"/>
      <c r="J34" s="1417">
        <f t="shared" si="7"/>
        <v>1692.0352767253326</v>
      </c>
      <c r="K34" s="1837">
        <f>VLOOKUP($C$15:$C$107,'sản lượng'!D33:AP993,37,0)</f>
        <v>218.16623038504724</v>
      </c>
      <c r="L34" s="1837">
        <f t="shared" si="2"/>
        <v>1910.2015071103797</v>
      </c>
      <c r="M34" s="1419" t="str">
        <f>VLOOKUP(C34,'sản lượng'!$D$14:$AP$169,39,0)</f>
        <v>B</v>
      </c>
      <c r="N34" s="2266">
        <f t="shared" si="3"/>
        <v>6647501</v>
      </c>
      <c r="O34" s="1417">
        <f>VLOOKUP(C34,TONGHOPCONGDOI!$C$11:$AA$103,20,0)</f>
        <v>27</v>
      </c>
      <c r="P34" s="1417">
        <f>VLOOKUP(C34,TONGHOPCONGDOI!$C$11:$AA$103,21,0)</f>
        <v>4</v>
      </c>
      <c r="Q34" s="1417">
        <f>VLOOKUP(C34,TONGHOPCONGDOI!$C$11:$AA$103,22,0)</f>
        <v>0</v>
      </c>
      <c r="R34" s="1417">
        <f>VLOOKUP(C34,TONGHOPCONGDOI!$C$11:$AA$103,23,0)</f>
        <v>0</v>
      </c>
      <c r="S34" s="1417">
        <f t="shared" si="4"/>
        <v>0</v>
      </c>
      <c r="T34" s="1417">
        <f>VLOOKUP(C34,TONGHOPCONGDOI!$C$11:$AA$103,25,0)</f>
        <v>0</v>
      </c>
      <c r="U34" s="1417"/>
      <c r="V34" s="1417"/>
      <c r="W34" s="1417"/>
      <c r="X34" s="1417"/>
      <c r="Y34" s="1417"/>
      <c r="Z34" s="1881">
        <f t="shared" si="5"/>
        <v>1036874</v>
      </c>
      <c r="AA34" s="1420">
        <f t="shared" si="0"/>
        <v>7684375</v>
      </c>
      <c r="AB34" s="1420">
        <f t="shared" si="6"/>
        <v>7684375</v>
      </c>
      <c r="AC34" s="789"/>
      <c r="AD34" s="581"/>
      <c r="AF34" s="289"/>
      <c r="AG34" s="593"/>
    </row>
    <row r="35" spans="1:33" s="242" customFormat="1" ht="27.75" customHeight="1">
      <c r="A35" s="1245">
        <v>21</v>
      </c>
      <c r="B35" s="320" t="str">
        <f>TONGHOPCONGDOI!B31</f>
        <v>03553</v>
      </c>
      <c r="C35" s="320" t="str">
        <f>TONGHOPCONGDOI!C31</f>
        <v>A Tền</v>
      </c>
      <c r="D35" s="1243" t="s">
        <v>15</v>
      </c>
      <c r="E35" s="1416"/>
      <c r="F35" s="1455"/>
      <c r="G35" s="1417">
        <f t="shared" si="1"/>
        <v>0</v>
      </c>
      <c r="H35" s="1417">
        <f>VLOOKUP(C35,'sản lượng'!$D$14:$AL$169,34,0)</f>
        <v>3696</v>
      </c>
      <c r="I35" s="1418"/>
      <c r="J35" s="1417">
        <f t="shared" si="7"/>
        <v>1570.9023820087489</v>
      </c>
      <c r="K35" s="1837">
        <f>VLOOKUP($C$15:$C$107,'sản lượng'!D34:AP994,37,0)</f>
        <v>202.54769844338975</v>
      </c>
      <c r="L35" s="1837">
        <f t="shared" si="2"/>
        <v>1773.4500804521385</v>
      </c>
      <c r="M35" s="1419" t="str">
        <f>VLOOKUP(C35,'sản lượng'!$D$14:$AP$169,39,0)</f>
        <v>B</v>
      </c>
      <c r="N35" s="2266">
        <f t="shared" si="3"/>
        <v>6171606</v>
      </c>
      <c r="O35" s="1417">
        <f>VLOOKUP(C35,TONGHOPCONGDOI!$C$11:$AA$103,20,0)</f>
        <v>27</v>
      </c>
      <c r="P35" s="1417">
        <f>VLOOKUP(C35,TONGHOPCONGDOI!$C$11:$AA$103,21,0)</f>
        <v>4</v>
      </c>
      <c r="Q35" s="1417">
        <f>VLOOKUP(C35,TONGHOPCONGDOI!$C$11:$AA$103,22,0)</f>
        <v>0</v>
      </c>
      <c r="R35" s="1417">
        <f>VLOOKUP(C35,TONGHOPCONGDOI!$C$11:$AA$103,23,0)</f>
        <v>0</v>
      </c>
      <c r="S35" s="1417">
        <f t="shared" si="4"/>
        <v>0</v>
      </c>
      <c r="T35" s="1417">
        <f>VLOOKUP(C35,TONGHOPCONGDOI!$C$11:$AA$103,25,0)</f>
        <v>0</v>
      </c>
      <c r="U35" s="1417"/>
      <c r="V35" s="1417"/>
      <c r="W35" s="1417"/>
      <c r="X35" s="1417"/>
      <c r="Y35" s="1417"/>
      <c r="Z35" s="1881">
        <f t="shared" si="5"/>
        <v>1036874</v>
      </c>
      <c r="AA35" s="1420">
        <f t="shared" si="0"/>
        <v>7208480</v>
      </c>
      <c r="AB35" s="1420">
        <f t="shared" si="6"/>
        <v>7208480</v>
      </c>
      <c r="AC35" s="789"/>
      <c r="AD35" s="581"/>
      <c r="AF35" s="289"/>
      <c r="AG35" s="593"/>
    </row>
    <row r="36" spans="1:33" s="242" customFormat="1" ht="27.75" customHeight="1">
      <c r="A36" s="1245">
        <v>22</v>
      </c>
      <c r="B36" s="320" t="str">
        <f>TONGHOPCONGDOI!B32</f>
        <v>04095</v>
      </c>
      <c r="C36" s="320" t="str">
        <f>TONGHOPCONGDOI!C32</f>
        <v>T. Pon</v>
      </c>
      <c r="D36" s="1243" t="s">
        <v>15</v>
      </c>
      <c r="E36" s="1416"/>
      <c r="F36" s="1455"/>
      <c r="G36" s="1417">
        <f t="shared" si="1"/>
        <v>0</v>
      </c>
      <c r="H36" s="1417">
        <f>VLOOKUP(C36,'sản lượng'!$D$14:$AL$169,34,0)</f>
        <v>4420</v>
      </c>
      <c r="I36" s="1418"/>
      <c r="J36" s="1417">
        <f t="shared" si="7"/>
        <v>1878.6224373589475</v>
      </c>
      <c r="K36" s="1837">
        <f>VLOOKUP($C$15:$C$107,'sản lượng'!D35:AP995,37,0)</f>
        <v>242.22424976184598</v>
      </c>
      <c r="L36" s="1837">
        <f t="shared" si="2"/>
        <v>2120.8466871207934</v>
      </c>
      <c r="M36" s="1419" t="str">
        <f>VLOOKUP(C36,'sản lượng'!$D$14:$AP$169,39,0)</f>
        <v>B</v>
      </c>
      <c r="N36" s="2266">
        <f t="shared" si="3"/>
        <v>7380546</v>
      </c>
      <c r="O36" s="1417">
        <f>VLOOKUP(C36,TONGHOPCONGDOI!$C$11:$AA$103,20,0)</f>
        <v>27</v>
      </c>
      <c r="P36" s="1417">
        <f>VLOOKUP(C36,TONGHOPCONGDOI!$C$11:$AA$103,21,0)</f>
        <v>4</v>
      </c>
      <c r="Q36" s="1417">
        <f>VLOOKUP(C36,TONGHOPCONGDOI!$C$11:$AA$103,22,0)</f>
        <v>0</v>
      </c>
      <c r="R36" s="1417">
        <f>VLOOKUP(C36,TONGHOPCONGDOI!$C$11:$AA$103,23,0)</f>
        <v>0</v>
      </c>
      <c r="S36" s="1417">
        <f t="shared" si="4"/>
        <v>0</v>
      </c>
      <c r="T36" s="1417">
        <f>VLOOKUP(C36,TONGHOPCONGDOI!$C$11:$AA$103,25,0)</f>
        <v>0</v>
      </c>
      <c r="U36" s="1417"/>
      <c r="V36" s="1417"/>
      <c r="W36" s="1417"/>
      <c r="X36" s="1417"/>
      <c r="Y36" s="1417"/>
      <c r="Z36" s="1881">
        <f t="shared" si="5"/>
        <v>1036874</v>
      </c>
      <c r="AA36" s="1420">
        <f t="shared" si="0"/>
        <v>8417420</v>
      </c>
      <c r="AB36" s="1420">
        <f t="shared" si="6"/>
        <v>8417420</v>
      </c>
      <c r="AC36" s="789"/>
      <c r="AD36" s="581"/>
      <c r="AF36" s="289"/>
      <c r="AG36" s="593"/>
    </row>
    <row r="37" spans="1:33" s="242" customFormat="1" ht="27.75" customHeight="1">
      <c r="A37" s="1245">
        <v>23</v>
      </c>
      <c r="B37" s="320" t="str">
        <f>TONGHOPCONGDOI!B33</f>
        <v>04096</v>
      </c>
      <c r="C37" s="320" t="str">
        <f>TONGHOPCONGDOI!C33</f>
        <v>T. Ly</v>
      </c>
      <c r="D37" s="1243" t="s">
        <v>15</v>
      </c>
      <c r="E37" s="1416"/>
      <c r="F37" s="1455"/>
      <c r="G37" s="1417">
        <f t="shared" si="1"/>
        <v>0</v>
      </c>
      <c r="H37" s="1417">
        <f>VLOOKUP(C37,'sản lượng'!$D$14:$AL$169,34,0)</f>
        <v>3414</v>
      </c>
      <c r="I37" s="1418"/>
      <c r="J37" s="1417">
        <f t="shared" si="7"/>
        <v>1451.0445703944451</v>
      </c>
      <c r="K37" s="1837">
        <f>VLOOKUP($C$15:$C$107,'sản lượng'!D36:AP996,37,0)</f>
        <v>187.09357210111813</v>
      </c>
      <c r="L37" s="1837">
        <f t="shared" si="2"/>
        <v>1638.1381424955632</v>
      </c>
      <c r="M37" s="1419" t="str">
        <f>VLOOKUP(C37,'sản lượng'!$D$14:$AP$169,39,0)</f>
        <v>A</v>
      </c>
      <c r="N37" s="2266">
        <f t="shared" si="3"/>
        <v>5995586</v>
      </c>
      <c r="O37" s="1417">
        <f>VLOOKUP(C37,TONGHOPCONGDOI!$C$11:$AA$103,20,0)</f>
        <v>24</v>
      </c>
      <c r="P37" s="1417">
        <f>VLOOKUP(C37,TONGHOPCONGDOI!$C$11:$AA$103,21,0)</f>
        <v>4</v>
      </c>
      <c r="Q37" s="1417">
        <f>VLOOKUP(C37,TONGHOPCONGDOI!$C$11:$AA$103,22,0)</f>
        <v>0</v>
      </c>
      <c r="R37" s="1417">
        <f>VLOOKUP(C37,TONGHOPCONGDOI!$C$11:$AA$103,23,0)</f>
        <v>0</v>
      </c>
      <c r="S37" s="1417">
        <f t="shared" si="4"/>
        <v>0</v>
      </c>
      <c r="T37" s="1417">
        <f>VLOOKUP(C37,TONGHOPCONGDOI!$C$11:$AA$103,25,0)</f>
        <v>0</v>
      </c>
      <c r="U37" s="1417"/>
      <c r="V37" s="1417"/>
      <c r="W37" s="1417"/>
      <c r="X37" s="1417"/>
      <c r="Y37" s="1417"/>
      <c r="Z37" s="1881">
        <f t="shared" si="5"/>
        <v>944495</v>
      </c>
      <c r="AA37" s="1420">
        <f t="shared" si="0"/>
        <v>6940081</v>
      </c>
      <c r="AB37" s="1420">
        <f t="shared" si="6"/>
        <v>6940081</v>
      </c>
      <c r="AC37" s="789"/>
      <c r="AD37" s="581"/>
      <c r="AF37" s="289"/>
      <c r="AG37" s="593"/>
    </row>
    <row r="38" spans="1:33" s="242" customFormat="1" ht="27.75" customHeight="1">
      <c r="A38" s="1245">
        <v>24</v>
      </c>
      <c r="B38" s="320" t="str">
        <f>TONGHOPCONGDOI!B34</f>
        <v>03537</v>
      </c>
      <c r="C38" s="320" t="str">
        <f>TONGHOPCONGDOI!C34</f>
        <v>Văn Đi</v>
      </c>
      <c r="D38" s="1243" t="s">
        <v>15</v>
      </c>
      <c r="E38" s="1416"/>
      <c r="F38" s="1455"/>
      <c r="G38" s="1417">
        <f t="shared" si="1"/>
        <v>0</v>
      </c>
      <c r="H38" s="1417">
        <f>VLOOKUP(C38,'sản lượng'!$D$14:$AL$169,34,0)</f>
        <v>4732</v>
      </c>
      <c r="I38" s="1418"/>
      <c r="J38" s="1417">
        <f t="shared" si="7"/>
        <v>2011.2310799960499</v>
      </c>
      <c r="K38" s="1837">
        <f>VLOOKUP($C$15:$C$107,'sản lượng'!D37:AP997,37,0)</f>
        <v>259.32243209797628</v>
      </c>
      <c r="L38" s="1837">
        <f t="shared" si="2"/>
        <v>2270.5535120940262</v>
      </c>
      <c r="M38" s="1419" t="str">
        <f>VLOOKUP(C38,'sản lượng'!$D$14:$AP$169,39,0)</f>
        <v>A</v>
      </c>
      <c r="N38" s="2266">
        <f t="shared" si="3"/>
        <v>8310226</v>
      </c>
      <c r="O38" s="1417">
        <f>VLOOKUP(C38,TONGHOPCONGDOI!$C$11:$AA$103,20,0)</f>
        <v>27</v>
      </c>
      <c r="P38" s="1417">
        <f>VLOOKUP(C38,TONGHOPCONGDOI!$C$11:$AA$103,21,0)</f>
        <v>4</v>
      </c>
      <c r="Q38" s="1417">
        <f>VLOOKUP(C38,TONGHOPCONGDOI!$C$11:$AA$103,22,0)</f>
        <v>0</v>
      </c>
      <c r="R38" s="1417">
        <f>VLOOKUP(C38,TONGHOPCONGDOI!$C$11:$AA$103,23,0)</f>
        <v>0</v>
      </c>
      <c r="S38" s="1417">
        <f t="shared" si="4"/>
        <v>0</v>
      </c>
      <c r="T38" s="1417">
        <f>VLOOKUP(C38,TONGHOPCONGDOI!$C$11:$AA$103,25,0)</f>
        <v>0</v>
      </c>
      <c r="U38" s="1417"/>
      <c r="V38" s="1417"/>
      <c r="W38" s="1417"/>
      <c r="X38" s="1417"/>
      <c r="Y38" s="1417"/>
      <c r="Z38" s="1881">
        <f t="shared" si="5"/>
        <v>1036874</v>
      </c>
      <c r="AA38" s="1420">
        <f t="shared" si="0"/>
        <v>9347100</v>
      </c>
      <c r="AB38" s="1420">
        <f t="shared" si="6"/>
        <v>9347100</v>
      </c>
      <c r="AC38" s="789"/>
      <c r="AD38" s="581"/>
      <c r="AF38" s="289"/>
      <c r="AG38" s="593"/>
    </row>
    <row r="39" spans="1:33" s="242" customFormat="1" ht="27.75" customHeight="1">
      <c r="A39" s="1245">
        <v>25</v>
      </c>
      <c r="B39" s="320" t="str">
        <f>TONGHOPCONGDOI!B35</f>
        <v>04097</v>
      </c>
      <c r="C39" s="320" t="str">
        <f>TONGHOPCONGDOI!C35</f>
        <v xml:space="preserve">Chày </v>
      </c>
      <c r="D39" s="1243" t="s">
        <v>15</v>
      </c>
      <c r="E39" s="1416"/>
      <c r="F39" s="1455"/>
      <c r="G39" s="1417">
        <f t="shared" si="1"/>
        <v>0</v>
      </c>
      <c r="H39" s="1417">
        <f>VLOOKUP(C39,'sản lượng'!$D$14:$AL$169,34,0)</f>
        <v>5379</v>
      </c>
      <c r="I39" s="1418"/>
      <c r="J39" s="1417">
        <f t="shared" si="7"/>
        <v>2286.224002387733</v>
      </c>
      <c r="K39" s="1837">
        <f>VLOOKUP($C$15:$C$107,'sản lượng'!D38:AP998,37,0)</f>
        <v>294.77923969886189</v>
      </c>
      <c r="L39" s="1837">
        <f t="shared" si="2"/>
        <v>2581.003242086595</v>
      </c>
      <c r="M39" s="1419" t="str">
        <f>VLOOKUP(C39,'sản lượng'!$D$14:$AP$169,39,0)</f>
        <v>A</v>
      </c>
      <c r="N39" s="2266">
        <f t="shared" si="3"/>
        <v>9446472</v>
      </c>
      <c r="O39" s="1417">
        <f>VLOOKUP(C39,TONGHOPCONGDOI!$C$11:$AA$103,20,0)</f>
        <v>27</v>
      </c>
      <c r="P39" s="1417">
        <f>VLOOKUP(C39,TONGHOPCONGDOI!$C$11:$AA$103,21,0)</f>
        <v>4</v>
      </c>
      <c r="Q39" s="1417">
        <f>VLOOKUP(C39,TONGHOPCONGDOI!$C$11:$AA$103,22,0)</f>
        <v>0</v>
      </c>
      <c r="R39" s="1417">
        <f>VLOOKUP(C39,TONGHOPCONGDOI!$C$11:$AA$103,23,0)</f>
        <v>0</v>
      </c>
      <c r="S39" s="1417">
        <f t="shared" si="4"/>
        <v>0</v>
      </c>
      <c r="T39" s="1417">
        <f>VLOOKUP(C39,TONGHOPCONGDOI!$C$11:$AA$103,25,0)</f>
        <v>0</v>
      </c>
      <c r="U39" s="1417"/>
      <c r="V39" s="1417"/>
      <c r="W39" s="1417"/>
      <c r="X39" s="1417"/>
      <c r="Y39" s="1417"/>
      <c r="Z39" s="1881">
        <f t="shared" si="5"/>
        <v>1036874</v>
      </c>
      <c r="AA39" s="1420">
        <f t="shared" si="0"/>
        <v>10483346</v>
      </c>
      <c r="AB39" s="1420">
        <f t="shared" si="6"/>
        <v>10483346</v>
      </c>
      <c r="AC39" s="789"/>
      <c r="AD39" s="581"/>
      <c r="AF39" s="289"/>
      <c r="AG39" s="593"/>
    </row>
    <row r="40" spans="1:33" s="242" customFormat="1" ht="27.75" customHeight="1">
      <c r="A40" s="1245">
        <v>26</v>
      </c>
      <c r="B40" s="320">
        <f>TONGHOPCONGDOI!B36</f>
        <v>0</v>
      </c>
      <c r="C40" s="320" t="str">
        <f>TONGHOPCONGDOI!C36</f>
        <v>Thảo Thủy</v>
      </c>
      <c r="D40" s="1243" t="s">
        <v>15</v>
      </c>
      <c r="E40" s="1416"/>
      <c r="F40" s="1455"/>
      <c r="G40" s="1417">
        <f t="shared" ref="G40:G57" si="8">F40*25000</f>
        <v>0</v>
      </c>
      <c r="H40" s="1417">
        <f>VLOOKUP(C40,'sản lượng'!$D$14:$AL$169,34,0)</f>
        <v>5038</v>
      </c>
      <c r="I40" s="1418"/>
      <c r="J40" s="1417">
        <f t="shared" si="7"/>
        <v>2141.2895564285923</v>
      </c>
      <c r="K40" s="1837">
        <f>VLOOKUP($C$15:$C$107,'sản lượng'!D39:AP999,37,0)</f>
        <v>276.09180323533485</v>
      </c>
      <c r="L40" s="1837">
        <f t="shared" si="2"/>
        <v>2417.381359663927</v>
      </c>
      <c r="M40" s="1419" t="str">
        <f>VLOOKUP(C40,'sản lượng'!$D$14:$AP$169,39,0)</f>
        <v>A</v>
      </c>
      <c r="N40" s="2266">
        <f t="shared" si="3"/>
        <v>8847616</v>
      </c>
      <c r="O40" s="1417">
        <f>VLOOKUP(C40,TONGHOPCONGDOI!$C$11:$AA$103,20,0)</f>
        <v>27</v>
      </c>
      <c r="P40" s="1417">
        <f>VLOOKUP(C40,TONGHOPCONGDOI!$C$11:$AA$103,21,0)</f>
        <v>4</v>
      </c>
      <c r="Q40" s="1417">
        <f>VLOOKUP(C40,TONGHOPCONGDOI!$C$11:$AA$103,22,0)</f>
        <v>0</v>
      </c>
      <c r="R40" s="1417">
        <f>VLOOKUP(C40,TONGHOPCONGDOI!$C$11:$AA$103,23,0)</f>
        <v>0</v>
      </c>
      <c r="S40" s="1417">
        <f t="shared" si="4"/>
        <v>0</v>
      </c>
      <c r="T40" s="1417">
        <f>VLOOKUP(C40,TONGHOPCONGDOI!$C$11:$AA$103,25,0)</f>
        <v>0</v>
      </c>
      <c r="U40" s="1417"/>
      <c r="V40" s="1417"/>
      <c r="W40" s="1417"/>
      <c r="X40" s="1417"/>
      <c r="Y40" s="1417"/>
      <c r="Z40" s="1881">
        <f t="shared" si="5"/>
        <v>1036874</v>
      </c>
      <c r="AA40" s="1420">
        <f t="shared" si="0"/>
        <v>9884490</v>
      </c>
      <c r="AB40" s="1420">
        <f t="shared" ref="AB40:AB57" si="9">AA40</f>
        <v>9884490</v>
      </c>
      <c r="AC40" s="789"/>
      <c r="AD40" s="581"/>
      <c r="AF40" s="289"/>
      <c r="AG40" s="593"/>
    </row>
    <row r="41" spans="1:33" s="242" customFormat="1" ht="27.75" customHeight="1">
      <c r="A41" s="1245">
        <v>27</v>
      </c>
      <c r="B41" s="320">
        <f>TONGHOPCONGDOI!B37</f>
        <v>0</v>
      </c>
      <c r="C41" s="320" t="str">
        <f>TONGHOPCONGDOI!C37</f>
        <v>Thảo Ngân</v>
      </c>
      <c r="D41" s="1243" t="s">
        <v>15</v>
      </c>
      <c r="E41" s="1416"/>
      <c r="F41" s="1455"/>
      <c r="G41" s="1417">
        <f t="shared" si="8"/>
        <v>0</v>
      </c>
      <c r="H41" s="1417">
        <f>VLOOKUP(C41,'sản lượng'!$D$14:$AL$169,34,0)</f>
        <v>4696</v>
      </c>
      <c r="I41" s="1418"/>
      <c r="J41" s="1417">
        <f t="shared" si="7"/>
        <v>1995.9300827686918</v>
      </c>
      <c r="K41" s="1837">
        <f>VLOOKUP($C$15:$C$107,'sản lượng'!D40:AP1000,37,0)</f>
        <v>257.34956490534586</v>
      </c>
      <c r="L41" s="1837">
        <f t="shared" si="2"/>
        <v>2253.2796476740377</v>
      </c>
      <c r="M41" s="1419" t="str">
        <f>VLOOKUP(C41,'sản lượng'!$D$14:$AP$169,39,0)</f>
        <v>A</v>
      </c>
      <c r="N41" s="2266">
        <f t="shared" si="3"/>
        <v>8247004</v>
      </c>
      <c r="O41" s="1417">
        <f>VLOOKUP(C41,TONGHOPCONGDOI!$C$11:$AA$103,20,0)</f>
        <v>27</v>
      </c>
      <c r="P41" s="1417">
        <f>VLOOKUP(C41,TONGHOPCONGDOI!$C$11:$AA$103,21,0)</f>
        <v>4</v>
      </c>
      <c r="Q41" s="1417">
        <f>VLOOKUP(C41,TONGHOPCONGDOI!$C$11:$AA$103,22,0)</f>
        <v>0</v>
      </c>
      <c r="R41" s="1417">
        <f>VLOOKUP(C41,TONGHOPCONGDOI!$C$11:$AA$103,23,0)</f>
        <v>0</v>
      </c>
      <c r="S41" s="1417">
        <f t="shared" si="4"/>
        <v>0</v>
      </c>
      <c r="T41" s="1417">
        <f>VLOOKUP(C41,TONGHOPCONGDOI!$C$11:$AA$103,25,0)</f>
        <v>0</v>
      </c>
      <c r="U41" s="1417"/>
      <c r="V41" s="1417"/>
      <c r="W41" s="1417"/>
      <c r="X41" s="1417"/>
      <c r="Y41" s="1417"/>
      <c r="Z41" s="1881">
        <f t="shared" si="5"/>
        <v>1036874</v>
      </c>
      <c r="AA41" s="1420">
        <f t="shared" si="0"/>
        <v>9283878</v>
      </c>
      <c r="AB41" s="1420">
        <f t="shared" si="9"/>
        <v>9283878</v>
      </c>
      <c r="AC41" s="789"/>
      <c r="AD41" s="581"/>
      <c r="AF41" s="289"/>
      <c r="AG41" s="593"/>
    </row>
    <row r="42" spans="1:33" s="242" customFormat="1" ht="27.75" customHeight="1">
      <c r="A42" s="1245">
        <v>28</v>
      </c>
      <c r="B42" s="320" t="str">
        <f>TONGHOPCONGDOI!B38</f>
        <v>03541</v>
      </c>
      <c r="C42" s="320" t="str">
        <f>TONGHOPCONGDOI!C38</f>
        <v>T Đeng</v>
      </c>
      <c r="D42" s="1243" t="s">
        <v>15</v>
      </c>
      <c r="E42" s="1416"/>
      <c r="F42" s="1455"/>
      <c r="G42" s="1417">
        <f t="shared" si="8"/>
        <v>0</v>
      </c>
      <c r="H42" s="1417">
        <f>VLOOKUP(C42,'sản lượng'!$D$14:$AL$169,34,0)</f>
        <v>5627</v>
      </c>
      <c r="I42" s="1418"/>
      <c r="J42" s="1417">
        <f t="shared" si="7"/>
        <v>2391.6308721761989</v>
      </c>
      <c r="K42" s="1837">
        <f>VLOOKUP($C$15:$C$107,'sản lượng'!D41:AP1001,37,0)</f>
        <v>308.37010258142698</v>
      </c>
      <c r="L42" s="1837">
        <f t="shared" si="2"/>
        <v>2700.000974757626</v>
      </c>
      <c r="M42" s="1419" t="str">
        <f>VLOOKUP(C42,'sản lượng'!$D$14:$AP$169,39,0)</f>
        <v>B</v>
      </c>
      <c r="N42" s="2266">
        <f t="shared" si="3"/>
        <v>9396003</v>
      </c>
      <c r="O42" s="1417">
        <f>VLOOKUP(C42,TONGHOPCONGDOI!$C$11:$AA$103,20,0)</f>
        <v>27</v>
      </c>
      <c r="P42" s="1417">
        <f>VLOOKUP(C42,TONGHOPCONGDOI!$C$11:$AA$103,21,0)</f>
        <v>4</v>
      </c>
      <c r="Q42" s="1417">
        <f>VLOOKUP(C42,TONGHOPCONGDOI!$C$11:$AA$103,22,0)</f>
        <v>0</v>
      </c>
      <c r="R42" s="1417">
        <f>VLOOKUP(C42,TONGHOPCONGDOI!$C$11:$AA$103,23,0)</f>
        <v>0</v>
      </c>
      <c r="S42" s="1417">
        <f t="shared" si="4"/>
        <v>0</v>
      </c>
      <c r="T42" s="1417">
        <f>VLOOKUP(C42,TONGHOPCONGDOI!$C$11:$AA$103,25,0)</f>
        <v>0</v>
      </c>
      <c r="U42" s="1417"/>
      <c r="V42" s="1417"/>
      <c r="W42" s="1417"/>
      <c r="X42" s="1417"/>
      <c r="Y42" s="1417"/>
      <c r="Z42" s="1881">
        <f t="shared" si="5"/>
        <v>1036874</v>
      </c>
      <c r="AA42" s="1420">
        <f t="shared" si="0"/>
        <v>10432877</v>
      </c>
      <c r="AB42" s="1420">
        <f t="shared" si="9"/>
        <v>10432877</v>
      </c>
      <c r="AC42" s="789"/>
      <c r="AD42" s="581"/>
      <c r="AF42" s="289"/>
      <c r="AG42" s="593"/>
    </row>
    <row r="43" spans="1:33" s="242" customFormat="1" ht="27.75" customHeight="1">
      <c r="A43" s="1245">
        <v>29</v>
      </c>
      <c r="B43" s="320">
        <f>TONGHOPCONGDOI!B39</f>
        <v>0</v>
      </c>
      <c r="C43" s="320" t="str">
        <f>TONGHOPCONGDOI!C39</f>
        <v>Thảo Xiều</v>
      </c>
      <c r="D43" s="1243" t="s">
        <v>15</v>
      </c>
      <c r="E43" s="1416"/>
      <c r="F43" s="1455"/>
      <c r="G43" s="1417">
        <f t="shared" si="8"/>
        <v>0</v>
      </c>
      <c r="H43" s="1417">
        <f>VLOOKUP(C43,'sản lượng'!$D$14:$AL$169,34,0)</f>
        <v>4494</v>
      </c>
      <c r="I43" s="1418"/>
      <c r="J43" s="1417">
        <f t="shared" si="7"/>
        <v>1910.0744872151834</v>
      </c>
      <c r="K43" s="1837">
        <f>VLOOKUP($C$15:$C$107,'sản lượng'!D42:AP1002,37,0)</f>
        <v>246.27958788003073</v>
      </c>
      <c r="L43" s="1837">
        <f t="shared" si="2"/>
        <v>2156.3540750952143</v>
      </c>
      <c r="M43" s="1419" t="str">
        <f>VLOOKUP(C43,'sản lượng'!$D$14:$AP$169,39,0)</f>
        <v>A</v>
      </c>
      <c r="N43" s="2266">
        <f t="shared" si="3"/>
        <v>7892256</v>
      </c>
      <c r="O43" s="1417">
        <f>VLOOKUP(C43,TONGHOPCONGDOI!$C$11:$AA$103,20,0)</f>
        <v>27</v>
      </c>
      <c r="P43" s="1417">
        <f>VLOOKUP(C43,TONGHOPCONGDOI!$C$11:$AA$103,21,0)</f>
        <v>4</v>
      </c>
      <c r="Q43" s="1417">
        <f>VLOOKUP(C43,TONGHOPCONGDOI!$C$11:$AA$103,22,0)</f>
        <v>0</v>
      </c>
      <c r="R43" s="1417">
        <f>VLOOKUP(C43,TONGHOPCONGDOI!$C$11:$AA$103,23,0)</f>
        <v>0</v>
      </c>
      <c r="S43" s="1417">
        <f t="shared" si="4"/>
        <v>0</v>
      </c>
      <c r="T43" s="1417">
        <f>VLOOKUP(C43,TONGHOPCONGDOI!$C$11:$AA$103,25,0)</f>
        <v>0</v>
      </c>
      <c r="U43" s="1417"/>
      <c r="V43" s="1417"/>
      <c r="W43" s="1417"/>
      <c r="X43" s="1417"/>
      <c r="Y43" s="1417"/>
      <c r="Z43" s="1881">
        <f t="shared" si="5"/>
        <v>1036874</v>
      </c>
      <c r="AA43" s="1420">
        <f t="shared" si="0"/>
        <v>8929130</v>
      </c>
      <c r="AB43" s="1420">
        <f t="shared" si="9"/>
        <v>8929130</v>
      </c>
      <c r="AC43" s="789"/>
      <c r="AD43" s="581"/>
      <c r="AF43" s="289"/>
      <c r="AG43" s="593"/>
    </row>
    <row r="44" spans="1:33" s="242" customFormat="1" ht="27.75" customHeight="1">
      <c r="A44" s="1245">
        <v>30</v>
      </c>
      <c r="B44" s="320" t="str">
        <f>TONGHOPCONGDOI!B40</f>
        <v>03543</v>
      </c>
      <c r="C44" s="320" t="str">
        <f>TONGHOPCONGDOI!C40</f>
        <v>Văn Na Nọi</v>
      </c>
      <c r="D44" s="1243" t="s">
        <v>15</v>
      </c>
      <c r="E44" s="1416"/>
      <c r="F44" s="1455"/>
      <c r="G44" s="1417">
        <f t="shared" si="8"/>
        <v>0</v>
      </c>
      <c r="H44" s="1417">
        <f>VLOOKUP(C44,'sản lượng'!$D$14:$AL$169,34,0)</f>
        <v>5121</v>
      </c>
      <c r="I44" s="1418"/>
      <c r="J44" s="1417">
        <f t="shared" si="7"/>
        <v>2176.5668555916677</v>
      </c>
      <c r="K44" s="1837">
        <f>VLOOKUP($C$15:$C$107,'sản lượng'!D43:AP1003,37,0)</f>
        <v>280.64035815167722</v>
      </c>
      <c r="L44" s="1837">
        <f t="shared" si="2"/>
        <v>2457.2072137433452</v>
      </c>
      <c r="M44" s="1419" t="str">
        <f>VLOOKUP(C44,'sản lượng'!$D$14:$AP$169,39,0)</f>
        <v>A</v>
      </c>
      <c r="N44" s="2266">
        <f t="shared" si="3"/>
        <v>8993378</v>
      </c>
      <c r="O44" s="1417">
        <f>VLOOKUP(C44,TONGHOPCONGDOI!$C$11:$AA$103,20,0)</f>
        <v>27</v>
      </c>
      <c r="P44" s="1417">
        <f>VLOOKUP(C44,TONGHOPCONGDOI!$C$11:$AA$103,21,0)</f>
        <v>4</v>
      </c>
      <c r="Q44" s="1417">
        <f>VLOOKUP(C44,TONGHOPCONGDOI!$C$11:$AA$103,22,0)</f>
        <v>0</v>
      </c>
      <c r="R44" s="1417">
        <f>VLOOKUP(C44,TONGHOPCONGDOI!$C$11:$AA$103,23,0)</f>
        <v>0</v>
      </c>
      <c r="S44" s="1417">
        <f t="shared" si="4"/>
        <v>0</v>
      </c>
      <c r="T44" s="1417">
        <f>VLOOKUP(C44,TONGHOPCONGDOI!$C$11:$AA$103,25,0)</f>
        <v>0</v>
      </c>
      <c r="U44" s="1417"/>
      <c r="V44" s="1417"/>
      <c r="W44" s="1417"/>
      <c r="X44" s="1417"/>
      <c r="Y44" s="1417"/>
      <c r="Z44" s="1881">
        <f t="shared" si="5"/>
        <v>1036874</v>
      </c>
      <c r="AA44" s="1420">
        <f t="shared" si="0"/>
        <v>10030252</v>
      </c>
      <c r="AB44" s="1420">
        <f t="shared" si="9"/>
        <v>10030252</v>
      </c>
      <c r="AC44" s="789"/>
      <c r="AD44" s="581"/>
      <c r="AF44" s="289"/>
      <c r="AG44" s="593"/>
    </row>
    <row r="45" spans="1:33" s="242" customFormat="1" ht="27.75" customHeight="1">
      <c r="A45" s="1245">
        <v>31</v>
      </c>
      <c r="B45" s="320" t="str">
        <f>TONGHOPCONGDOI!B41</f>
        <v>03544</v>
      </c>
      <c r="C45" s="320" t="str">
        <f>TONGHOPCONGDOI!C41</f>
        <v>T. Ta</v>
      </c>
      <c r="D45" s="1243" t="s">
        <v>15</v>
      </c>
      <c r="E45" s="1416"/>
      <c r="F45" s="1455"/>
      <c r="G45" s="1417">
        <f t="shared" si="8"/>
        <v>0</v>
      </c>
      <c r="H45" s="1417">
        <f>VLOOKUP(C45,'sản lượng'!$D$14:$AL$169,34,0)</f>
        <v>4624</v>
      </c>
      <c r="I45" s="1418"/>
      <c r="J45" s="1417">
        <f t="shared" si="7"/>
        <v>1965.328088313976</v>
      </c>
      <c r="K45" s="1837">
        <f>VLOOKUP($C$15:$C$107,'sản lượng'!D44:AP1004,37,0)</f>
        <v>253.40383052008502</v>
      </c>
      <c r="L45" s="1837">
        <f t="shared" si="2"/>
        <v>2218.7319188340612</v>
      </c>
      <c r="M45" s="1419" t="str">
        <f>VLOOKUP(C45,'sản lượng'!$D$14:$AP$169,39,0)</f>
        <v>A</v>
      </c>
      <c r="N45" s="2266">
        <f t="shared" si="3"/>
        <v>8120559</v>
      </c>
      <c r="O45" s="1417">
        <f>VLOOKUP(C45,TONGHOPCONGDOI!$C$11:$AA$103,20,0)</f>
        <v>27</v>
      </c>
      <c r="P45" s="1417">
        <f>VLOOKUP(C45,TONGHOPCONGDOI!$C$11:$AA$103,21,0)</f>
        <v>4</v>
      </c>
      <c r="Q45" s="1417">
        <f>VLOOKUP(C45,TONGHOPCONGDOI!$C$11:$AA$103,22,0)</f>
        <v>0</v>
      </c>
      <c r="R45" s="1417">
        <f>VLOOKUP(C45,TONGHOPCONGDOI!$C$11:$AA$103,23,0)</f>
        <v>0</v>
      </c>
      <c r="S45" s="1417">
        <f t="shared" si="4"/>
        <v>0</v>
      </c>
      <c r="T45" s="1417">
        <f>VLOOKUP(C45,TONGHOPCONGDOI!$C$11:$AA$103,25,0)</f>
        <v>0</v>
      </c>
      <c r="U45" s="1417"/>
      <c r="V45" s="1417"/>
      <c r="W45" s="1417"/>
      <c r="X45" s="1417"/>
      <c r="Y45" s="1417"/>
      <c r="Z45" s="1881">
        <f t="shared" si="5"/>
        <v>1036874</v>
      </c>
      <c r="AA45" s="1420">
        <f t="shared" si="0"/>
        <v>9157433</v>
      </c>
      <c r="AB45" s="1420">
        <f t="shared" si="9"/>
        <v>9157433</v>
      </c>
      <c r="AC45" s="789"/>
      <c r="AD45" s="581"/>
      <c r="AF45" s="289"/>
      <c r="AG45" s="593"/>
    </row>
    <row r="46" spans="1:33" s="242" customFormat="1" ht="27.75" customHeight="1">
      <c r="A46" s="1245">
        <v>32</v>
      </c>
      <c r="B46" s="320" t="str">
        <f>TONGHOPCONGDOI!B42</f>
        <v>04099</v>
      </c>
      <c r="C46" s="320" t="str">
        <f>TONGHOPCONGDOI!C42</f>
        <v>Phon Xa May</v>
      </c>
      <c r="D46" s="1243" t="s">
        <v>15</v>
      </c>
      <c r="E46" s="1416"/>
      <c r="F46" s="1455"/>
      <c r="G46" s="1417">
        <f t="shared" si="8"/>
        <v>0</v>
      </c>
      <c r="H46" s="1417">
        <f>VLOOKUP(C46,'sản lượng'!$D$14:$AL$169,34,0)</f>
        <v>4637</v>
      </c>
      <c r="I46" s="1418"/>
      <c r="J46" s="1417">
        <f t="shared" si="7"/>
        <v>1970.8534484238553</v>
      </c>
      <c r="K46" s="1837">
        <f>VLOOKUP($C$15:$C$107,'sản lượng'!D45:AP1005,37,0)</f>
        <v>254.11625478409044</v>
      </c>
      <c r="L46" s="1837">
        <f t="shared" si="2"/>
        <v>2224.9697032079457</v>
      </c>
      <c r="M46" s="1419" t="str">
        <f>VLOOKUP(C46,'sản lượng'!$D$14:$AP$169,39,0)</f>
        <v>A</v>
      </c>
      <c r="N46" s="2266">
        <f t="shared" si="3"/>
        <v>8143389</v>
      </c>
      <c r="O46" s="1417">
        <f>VLOOKUP(C46,TONGHOPCONGDOI!$C$11:$AA$103,20,0)</f>
        <v>27</v>
      </c>
      <c r="P46" s="1417">
        <f>VLOOKUP(C46,TONGHOPCONGDOI!$C$11:$AA$103,21,0)</f>
        <v>4</v>
      </c>
      <c r="Q46" s="1417">
        <f>VLOOKUP(C46,TONGHOPCONGDOI!$C$11:$AA$103,22,0)</f>
        <v>0</v>
      </c>
      <c r="R46" s="1417">
        <f>VLOOKUP(C46,TONGHOPCONGDOI!$C$11:$AA$103,23,0)</f>
        <v>0</v>
      </c>
      <c r="S46" s="1417">
        <f t="shared" si="4"/>
        <v>0</v>
      </c>
      <c r="T46" s="1417">
        <f>VLOOKUP(C46,TONGHOPCONGDOI!$C$11:$AA$103,25,0)</f>
        <v>0</v>
      </c>
      <c r="U46" s="1417"/>
      <c r="V46" s="1417"/>
      <c r="W46" s="1417"/>
      <c r="X46" s="1417"/>
      <c r="Y46" s="1417"/>
      <c r="Z46" s="1881">
        <f t="shared" si="5"/>
        <v>1036874</v>
      </c>
      <c r="AA46" s="1420">
        <f t="shared" si="0"/>
        <v>9180263</v>
      </c>
      <c r="AB46" s="1420">
        <f t="shared" si="9"/>
        <v>9180263</v>
      </c>
      <c r="AC46" s="789"/>
      <c r="AD46" s="581"/>
      <c r="AF46" s="289"/>
      <c r="AG46" s="593"/>
    </row>
    <row r="47" spans="1:33" s="242" customFormat="1" ht="27.75" customHeight="1">
      <c r="A47" s="1245">
        <v>33</v>
      </c>
      <c r="B47" s="320" t="str">
        <f>TONGHOPCONGDOI!B43</f>
        <v>04100</v>
      </c>
      <c r="C47" s="320" t="str">
        <f>TONGHOPCONGDOI!C43</f>
        <v>T. Ừm</v>
      </c>
      <c r="D47" s="1243" t="s">
        <v>15</v>
      </c>
      <c r="E47" s="1416"/>
      <c r="F47" s="1455"/>
      <c r="G47" s="1417">
        <f t="shared" si="8"/>
        <v>0</v>
      </c>
      <c r="H47" s="1417">
        <f>VLOOKUP(C47,'sản lượng'!$D$14:$AL$169,34,0)</f>
        <v>3805</v>
      </c>
      <c r="I47" s="1418"/>
      <c r="J47" s="1417">
        <f t="shared" ref="J47:J78" si="10">H47*$AF$6</f>
        <v>1617.2304013915827</v>
      </c>
      <c r="K47" s="1837">
        <f>VLOOKUP($C$15:$C$107,'sản lượng'!D46:AP1006,37,0)</f>
        <v>208.52110188774296</v>
      </c>
      <c r="L47" s="1837">
        <f t="shared" si="2"/>
        <v>1825.7515032793258</v>
      </c>
      <c r="M47" s="1419" t="str">
        <f>VLOOKUP(C47,'sản lượng'!$D$14:$AP$169,39,0)</f>
        <v>B</v>
      </c>
      <c r="N47" s="2266">
        <f t="shared" si="3"/>
        <v>6353615</v>
      </c>
      <c r="O47" s="1417">
        <f>VLOOKUP(C47,TONGHOPCONGDOI!$C$11:$AA$103,20,0)</f>
        <v>27</v>
      </c>
      <c r="P47" s="1417">
        <f>VLOOKUP(C47,TONGHOPCONGDOI!$C$11:$AA$103,21,0)</f>
        <v>4</v>
      </c>
      <c r="Q47" s="1417">
        <f>VLOOKUP(C47,TONGHOPCONGDOI!$C$11:$AA$103,22,0)</f>
        <v>0</v>
      </c>
      <c r="R47" s="1417">
        <f>VLOOKUP(C47,TONGHOPCONGDOI!$C$11:$AA$103,23,0)</f>
        <v>0</v>
      </c>
      <c r="S47" s="1417">
        <f t="shared" si="4"/>
        <v>0</v>
      </c>
      <c r="T47" s="1417">
        <f>VLOOKUP(C47,TONGHOPCONGDOI!$C$11:$AA$103,25,0)</f>
        <v>0</v>
      </c>
      <c r="U47" s="1417"/>
      <c r="V47" s="1417"/>
      <c r="W47" s="1417"/>
      <c r="X47" s="1417"/>
      <c r="Y47" s="1417"/>
      <c r="Z47" s="1881">
        <f t="shared" si="5"/>
        <v>1036874</v>
      </c>
      <c r="AA47" s="1420">
        <f t="shared" ref="AA47:AA78" si="11">+N47+G47+Z47</f>
        <v>7390489</v>
      </c>
      <c r="AB47" s="1420">
        <f t="shared" si="9"/>
        <v>7390489</v>
      </c>
      <c r="AC47" s="789"/>
      <c r="AD47" s="581"/>
      <c r="AF47" s="289"/>
      <c r="AG47" s="593"/>
    </row>
    <row r="48" spans="1:33" s="242" customFormat="1" ht="27.75" customHeight="1">
      <c r="A48" s="1245">
        <v>34</v>
      </c>
      <c r="B48" s="320" t="str">
        <f>TONGHOPCONGDOI!B44</f>
        <v>03557</v>
      </c>
      <c r="C48" s="320" t="str">
        <f>TONGHOPCONGDOI!C44</f>
        <v>T. Phù</v>
      </c>
      <c r="D48" s="1243" t="s">
        <v>15</v>
      </c>
      <c r="E48" s="1416"/>
      <c r="F48" s="1455"/>
      <c r="G48" s="1417">
        <f t="shared" si="8"/>
        <v>0</v>
      </c>
      <c r="H48" s="1417">
        <f>VLOOKUP(C48,'sản lượng'!$D$14:$AL$169,34,0)</f>
        <v>4099</v>
      </c>
      <c r="I48" s="1418"/>
      <c r="J48" s="1417">
        <f t="shared" si="10"/>
        <v>1742.1885454150058</v>
      </c>
      <c r="K48" s="1837">
        <f>VLOOKUP($C$15:$C$107,'sản lượng'!D47:AP1007,37,0)</f>
        <v>224.63285062755807</v>
      </c>
      <c r="L48" s="1837">
        <f t="shared" si="2"/>
        <v>1966.8213960425639</v>
      </c>
      <c r="M48" s="1419" t="str">
        <f>VLOOKUP(C48,'sản lượng'!$D$14:$AP$169,39,0)</f>
        <v>B</v>
      </c>
      <c r="N48" s="2266">
        <f t="shared" si="3"/>
        <v>6844538</v>
      </c>
      <c r="O48" s="1417">
        <f>VLOOKUP(C48,TONGHOPCONGDOI!$C$11:$AA$103,20,0)</f>
        <v>25</v>
      </c>
      <c r="P48" s="1417">
        <f>VLOOKUP(C48,TONGHOPCONGDOI!$C$11:$AA$103,21,0)</f>
        <v>4</v>
      </c>
      <c r="Q48" s="1417">
        <f>VLOOKUP(C48,TONGHOPCONGDOI!$C$11:$AA$103,22,0)</f>
        <v>0</v>
      </c>
      <c r="R48" s="1417">
        <f>VLOOKUP(C48,TONGHOPCONGDOI!$C$11:$AA$103,23,0)</f>
        <v>0</v>
      </c>
      <c r="S48" s="1417">
        <f t="shared" si="4"/>
        <v>0</v>
      </c>
      <c r="T48" s="1417">
        <f>VLOOKUP(C48,TONGHOPCONGDOI!$C$11:$AA$103,25,0)</f>
        <v>0</v>
      </c>
      <c r="U48" s="1417"/>
      <c r="V48" s="1417"/>
      <c r="W48" s="1417"/>
      <c r="X48" s="1417"/>
      <c r="Y48" s="1417"/>
      <c r="Z48" s="1881">
        <f t="shared" si="5"/>
        <v>975288</v>
      </c>
      <c r="AA48" s="1420">
        <f t="shared" si="11"/>
        <v>7819826</v>
      </c>
      <c r="AB48" s="1420">
        <f t="shared" si="9"/>
        <v>7819826</v>
      </c>
      <c r="AC48" s="789"/>
      <c r="AD48" s="581"/>
      <c r="AF48" s="289"/>
      <c r="AG48" s="593"/>
    </row>
    <row r="49" spans="1:33" s="242" customFormat="1" ht="27.75" customHeight="1">
      <c r="A49" s="1245">
        <v>35</v>
      </c>
      <c r="B49" s="320" t="str">
        <f>TONGHOPCONGDOI!B45</f>
        <v>04101</v>
      </c>
      <c r="C49" s="320" t="str">
        <f>TONGHOPCONGDOI!C45</f>
        <v>N. Công Say</v>
      </c>
      <c r="D49" s="1243" t="s">
        <v>15</v>
      </c>
      <c r="E49" s="1416"/>
      <c r="F49" s="1455"/>
      <c r="G49" s="1417">
        <f t="shared" si="8"/>
        <v>0</v>
      </c>
      <c r="H49" s="1417">
        <f>VLOOKUP(C49,'sản lượng'!$D$14:$AL$169,34,0)</f>
        <v>4880</v>
      </c>
      <c r="I49" s="1418"/>
      <c r="J49" s="1417">
        <f t="shared" si="10"/>
        <v>2074.1351797085213</v>
      </c>
      <c r="K49" s="1837">
        <f>VLOOKUP($C$15:$C$107,'sản lượng'!D48:AP1008,37,0)</f>
        <v>267.43310833434577</v>
      </c>
      <c r="L49" s="1837">
        <f t="shared" si="2"/>
        <v>2341.5682880428672</v>
      </c>
      <c r="M49" s="1419" t="str">
        <f>VLOOKUP(C49,'sản lượng'!$D$14:$AP$169,39,0)</f>
        <v>A</v>
      </c>
      <c r="N49" s="2266">
        <f t="shared" si="3"/>
        <v>8570140</v>
      </c>
      <c r="O49" s="1417">
        <f>VLOOKUP(C49,TONGHOPCONGDOI!$C$11:$AA$103,20,0)</f>
        <v>27</v>
      </c>
      <c r="P49" s="1417">
        <f>VLOOKUP(C49,TONGHOPCONGDOI!$C$11:$AA$103,21,0)</f>
        <v>4</v>
      </c>
      <c r="Q49" s="1417">
        <f>VLOOKUP(C49,TONGHOPCONGDOI!$C$11:$AA$103,22,0)</f>
        <v>0</v>
      </c>
      <c r="R49" s="1417">
        <f>VLOOKUP(C49,TONGHOPCONGDOI!$C$11:$AA$103,23,0)</f>
        <v>0</v>
      </c>
      <c r="S49" s="1417">
        <f t="shared" si="4"/>
        <v>0</v>
      </c>
      <c r="T49" s="1417">
        <f>VLOOKUP(C49,TONGHOPCONGDOI!$C$11:$AA$103,25,0)</f>
        <v>0</v>
      </c>
      <c r="U49" s="1417"/>
      <c r="V49" s="1417"/>
      <c r="W49" s="1417"/>
      <c r="X49" s="1417"/>
      <c r="Y49" s="1417"/>
      <c r="Z49" s="1881">
        <f t="shared" si="5"/>
        <v>1036874</v>
      </c>
      <c r="AA49" s="1420">
        <f t="shared" si="11"/>
        <v>9607014</v>
      </c>
      <c r="AB49" s="1420">
        <f t="shared" si="9"/>
        <v>9607014</v>
      </c>
      <c r="AC49" s="789"/>
      <c r="AD49" s="581"/>
      <c r="AF49" s="289"/>
      <c r="AG49" s="593"/>
    </row>
    <row r="50" spans="1:33" s="242" customFormat="1" ht="27.75" customHeight="1">
      <c r="A50" s="1245">
        <v>36</v>
      </c>
      <c r="B50" s="320" t="str">
        <f>TONGHOPCONGDOI!B46</f>
        <v>03549</v>
      </c>
      <c r="C50" s="320" t="str">
        <f>TONGHOPCONGDOI!C46</f>
        <v>N. Xi Xộm</v>
      </c>
      <c r="D50" s="1243" t="s">
        <v>15</v>
      </c>
      <c r="E50" s="1416"/>
      <c r="F50" s="1455"/>
      <c r="G50" s="1417">
        <f t="shared" si="8"/>
        <v>0</v>
      </c>
      <c r="H50" s="1417">
        <f>VLOOKUP(C50,'sản lượng'!$D$14:$AL$169,34,0)</f>
        <v>4745</v>
      </c>
      <c r="I50" s="1418"/>
      <c r="J50" s="1417">
        <f t="shared" si="10"/>
        <v>2016.756440105929</v>
      </c>
      <c r="K50" s="1837">
        <f>VLOOKUP($C$15:$C$107,'sản lượng'!D49:AP1009,37,0)</f>
        <v>260.03485636198172</v>
      </c>
      <c r="L50" s="1837">
        <f t="shared" si="2"/>
        <v>2276.7912964679108</v>
      </c>
      <c r="M50" s="1419" t="str">
        <f>VLOOKUP(C50,'sản lượng'!$D$14:$AP$169,39,0)</f>
        <v>A</v>
      </c>
      <c r="N50" s="2266">
        <f t="shared" si="3"/>
        <v>8333056</v>
      </c>
      <c r="O50" s="1417">
        <f>VLOOKUP(C50,TONGHOPCONGDOI!$C$11:$AA$103,20,0)</f>
        <v>27</v>
      </c>
      <c r="P50" s="1417">
        <f>VLOOKUP(C50,TONGHOPCONGDOI!$C$11:$AA$103,21,0)</f>
        <v>4</v>
      </c>
      <c r="Q50" s="1417">
        <f>VLOOKUP(C50,TONGHOPCONGDOI!$C$11:$AA$103,22,0)</f>
        <v>0</v>
      </c>
      <c r="R50" s="1417">
        <f>VLOOKUP(C50,TONGHOPCONGDOI!$C$11:$AA$103,23,0)</f>
        <v>0</v>
      </c>
      <c r="S50" s="1417">
        <f t="shared" si="4"/>
        <v>0</v>
      </c>
      <c r="T50" s="1417">
        <f>VLOOKUP(C50,TONGHOPCONGDOI!$C$11:$AA$103,25,0)</f>
        <v>0</v>
      </c>
      <c r="U50" s="1417"/>
      <c r="V50" s="1417"/>
      <c r="W50" s="1417"/>
      <c r="X50" s="1417"/>
      <c r="Y50" s="1417"/>
      <c r="Z50" s="1881">
        <f t="shared" si="5"/>
        <v>1036874</v>
      </c>
      <c r="AA50" s="1420">
        <f t="shared" si="11"/>
        <v>9369930</v>
      </c>
      <c r="AB50" s="1420">
        <f t="shared" si="9"/>
        <v>9369930</v>
      </c>
      <c r="AC50" s="789"/>
      <c r="AD50" s="581"/>
      <c r="AF50" s="289"/>
      <c r="AG50" s="593"/>
    </row>
    <row r="51" spans="1:33" s="242" customFormat="1" ht="27.75" customHeight="1">
      <c r="A51" s="1245">
        <v>37</v>
      </c>
      <c r="B51" s="320" t="str">
        <f>TONGHOPCONGDOI!B47</f>
        <v>04102</v>
      </c>
      <c r="C51" s="320" t="str">
        <f>TONGHOPCONGDOI!C47</f>
        <v>Son Xa May</v>
      </c>
      <c r="D51" s="1243" t="s">
        <v>15</v>
      </c>
      <c r="E51" s="1416"/>
      <c r="F51" s="1455"/>
      <c r="G51" s="1417">
        <f t="shared" si="8"/>
        <v>0</v>
      </c>
      <c r="H51" s="1417">
        <f>VLOOKUP(C51,'sản lượng'!$D$14:$AL$169,34,0)</f>
        <v>4198</v>
      </c>
      <c r="I51" s="1418"/>
      <c r="J51" s="1417">
        <f t="shared" si="10"/>
        <v>1784.2662877902403</v>
      </c>
      <c r="K51" s="1837">
        <f>VLOOKUP($C$15:$C$107,'sản lượng'!D50:AP1010,37,0)</f>
        <v>230.05823540729173</v>
      </c>
      <c r="L51" s="1837">
        <f t="shared" si="2"/>
        <v>2014.324523197532</v>
      </c>
      <c r="M51" s="1419" t="str">
        <f>VLOOKUP(C51,'sản lượng'!$D$14:$AP$169,39,0)</f>
        <v>A</v>
      </c>
      <c r="N51" s="2266">
        <f t="shared" si="3"/>
        <v>7372428</v>
      </c>
      <c r="O51" s="1417">
        <f>VLOOKUP(C51,TONGHOPCONGDOI!$C$11:$AA$103,20,0)</f>
        <v>27</v>
      </c>
      <c r="P51" s="1417">
        <f>VLOOKUP(C51,TONGHOPCONGDOI!$C$11:$AA$103,21,0)</f>
        <v>4</v>
      </c>
      <c r="Q51" s="1417">
        <f>VLOOKUP(C51,TONGHOPCONGDOI!$C$11:$AA$103,22,0)</f>
        <v>0</v>
      </c>
      <c r="R51" s="1417">
        <f>VLOOKUP(C51,TONGHOPCONGDOI!$C$11:$AA$103,23,0)</f>
        <v>0</v>
      </c>
      <c r="S51" s="1417">
        <f t="shared" si="4"/>
        <v>0</v>
      </c>
      <c r="T51" s="1417">
        <f>VLOOKUP(C51,TONGHOPCONGDOI!$C$11:$AA$103,25,0)</f>
        <v>0</v>
      </c>
      <c r="U51" s="1417"/>
      <c r="V51" s="1417"/>
      <c r="W51" s="1417"/>
      <c r="X51" s="1417"/>
      <c r="Y51" s="1417"/>
      <c r="Z51" s="1881">
        <f t="shared" si="5"/>
        <v>1036874</v>
      </c>
      <c r="AA51" s="1420">
        <f t="shared" si="11"/>
        <v>8409302</v>
      </c>
      <c r="AB51" s="1420">
        <f t="shared" si="9"/>
        <v>8409302</v>
      </c>
      <c r="AC51" s="789"/>
      <c r="AD51" s="581"/>
      <c r="AF51" s="289"/>
      <c r="AG51" s="593"/>
    </row>
    <row r="52" spans="1:33" s="242" customFormat="1" ht="27.75" customHeight="1">
      <c r="A52" s="1245">
        <v>38</v>
      </c>
      <c r="B52" s="320" t="str">
        <f>TONGHOPCONGDOI!B48</f>
        <v>03551</v>
      </c>
      <c r="C52" s="320" t="str">
        <f>TONGHOPCONGDOI!C48</f>
        <v>T . Pheng</v>
      </c>
      <c r="D52" s="1243" t="s">
        <v>15</v>
      </c>
      <c r="E52" s="1416"/>
      <c r="F52" s="1455"/>
      <c r="G52" s="1417">
        <f t="shared" si="8"/>
        <v>0</v>
      </c>
      <c r="H52" s="1417">
        <f>VLOOKUP(C52,'sản lượng'!$D$14:$AL$169,34,0)</f>
        <v>2698</v>
      </c>
      <c r="I52" s="1418"/>
      <c r="J52" s="1417">
        <f t="shared" si="10"/>
        <v>1146.7247366503259</v>
      </c>
      <c r="K52" s="1837">
        <f>VLOOKUP($C$15:$C$107,'sản lượng'!D51:AP1011,37,0)</f>
        <v>147.85543571435755</v>
      </c>
      <c r="L52" s="1837">
        <f t="shared" si="2"/>
        <v>1294.5801723646834</v>
      </c>
      <c r="M52" s="1419" t="str">
        <f>VLOOKUP(C52,'sản lượng'!$D$14:$AP$169,39,0)</f>
        <v>B</v>
      </c>
      <c r="N52" s="2266">
        <f t="shared" si="3"/>
        <v>4505139</v>
      </c>
      <c r="O52" s="1417">
        <f>VLOOKUP(C52,TONGHOPCONGDOI!$C$11:$AA$103,20,0)</f>
        <v>18</v>
      </c>
      <c r="P52" s="1417">
        <f>VLOOKUP(C52,TONGHOPCONGDOI!$C$11:$AA$103,21,0)</f>
        <v>3</v>
      </c>
      <c r="Q52" s="1417">
        <f>VLOOKUP(C52,TONGHOPCONGDOI!$C$11:$AA$103,22,0)</f>
        <v>0</v>
      </c>
      <c r="R52" s="1417">
        <f>VLOOKUP(C52,TONGHOPCONGDOI!$C$11:$AA$103,23,0)</f>
        <v>0</v>
      </c>
      <c r="S52" s="1417">
        <f t="shared" si="4"/>
        <v>0</v>
      </c>
      <c r="T52" s="1417">
        <f>VLOOKUP(C52,TONGHOPCONGDOI!$C$11:$AA$103,25,0)</f>
        <v>0</v>
      </c>
      <c r="U52" s="1417"/>
      <c r="V52" s="1417"/>
      <c r="W52" s="1417"/>
      <c r="X52" s="1417"/>
      <c r="Y52" s="1417"/>
      <c r="Z52" s="1881">
        <f t="shared" si="5"/>
        <v>708372</v>
      </c>
      <c r="AA52" s="1420">
        <f t="shared" si="11"/>
        <v>5213511</v>
      </c>
      <c r="AB52" s="1420">
        <f t="shared" si="9"/>
        <v>5213511</v>
      </c>
      <c r="AC52" s="789"/>
      <c r="AD52" s="581"/>
      <c r="AF52" s="289"/>
      <c r="AG52" s="593"/>
    </row>
    <row r="53" spans="1:33" s="242" customFormat="1" ht="27.75" customHeight="1">
      <c r="A53" s="1245">
        <v>39</v>
      </c>
      <c r="B53" s="320" t="str">
        <f>TONGHOPCONGDOI!B49</f>
        <v>04103</v>
      </c>
      <c r="C53" s="320" t="str">
        <f>TONGHOPCONGDOI!C49</f>
        <v>T. Nọi Ê</v>
      </c>
      <c r="D53" s="1243" t="s">
        <v>15</v>
      </c>
      <c r="E53" s="1416"/>
      <c r="F53" s="1455"/>
      <c r="G53" s="1417">
        <f t="shared" si="8"/>
        <v>0</v>
      </c>
      <c r="H53" s="1417">
        <f>VLOOKUP(C53,'sản lượng'!$D$14:$AL$169,34,0)</f>
        <v>4888</v>
      </c>
      <c r="I53" s="1418"/>
      <c r="J53" s="1417">
        <f t="shared" si="10"/>
        <v>2077.5354013146007</v>
      </c>
      <c r="K53" s="1837">
        <f>VLOOKUP($C$15:$C$107,'sản lượng'!D52:AP1012,37,0)</f>
        <v>267.87152326604144</v>
      </c>
      <c r="L53" s="1837">
        <f t="shared" si="2"/>
        <v>2345.4069245806422</v>
      </c>
      <c r="M53" s="1419" t="str">
        <f>VLOOKUP(C53,'sản lượng'!$D$14:$AP$169,39,0)</f>
        <v>A</v>
      </c>
      <c r="N53" s="2266">
        <f t="shared" si="3"/>
        <v>8584189</v>
      </c>
      <c r="O53" s="1417">
        <f>VLOOKUP(C53,TONGHOPCONGDOI!$C$11:$AA$103,20,0)</f>
        <v>27</v>
      </c>
      <c r="P53" s="1417">
        <f>VLOOKUP(C53,TONGHOPCONGDOI!$C$11:$AA$103,21,0)</f>
        <v>4</v>
      </c>
      <c r="Q53" s="1417">
        <f>VLOOKUP(C53,TONGHOPCONGDOI!$C$11:$AA$103,22,0)</f>
        <v>0</v>
      </c>
      <c r="R53" s="1417">
        <f>VLOOKUP(C53,TONGHOPCONGDOI!$C$11:$AA$103,23,0)</f>
        <v>0</v>
      </c>
      <c r="S53" s="1417">
        <f t="shared" si="4"/>
        <v>0</v>
      </c>
      <c r="T53" s="1417">
        <f>VLOOKUP(C53,TONGHOPCONGDOI!$C$11:$AA$103,25,0)</f>
        <v>0</v>
      </c>
      <c r="U53" s="1417"/>
      <c r="V53" s="1417"/>
      <c r="W53" s="1417"/>
      <c r="X53" s="1417"/>
      <c r="Y53" s="1417"/>
      <c r="Z53" s="1881">
        <f t="shared" si="5"/>
        <v>1036874</v>
      </c>
      <c r="AA53" s="1420">
        <f t="shared" si="11"/>
        <v>9621063</v>
      </c>
      <c r="AB53" s="1420">
        <f t="shared" si="9"/>
        <v>9621063</v>
      </c>
      <c r="AC53" s="789"/>
      <c r="AD53" s="581"/>
      <c r="AF53" s="289"/>
      <c r="AG53" s="593"/>
    </row>
    <row r="54" spans="1:33" s="242" customFormat="1" ht="27.75" customHeight="1">
      <c r="A54" s="1245">
        <v>40</v>
      </c>
      <c r="B54" s="320" t="str">
        <f>TONGHOPCONGDOI!B50</f>
        <v>03488</v>
      </c>
      <c r="C54" s="320" t="str">
        <f>TONGHOPCONGDOI!C50</f>
        <v>N. Đeng</v>
      </c>
      <c r="D54" s="1243" t="s">
        <v>15</v>
      </c>
      <c r="E54" s="1416"/>
      <c r="F54" s="1455"/>
      <c r="G54" s="1417">
        <f t="shared" si="8"/>
        <v>0</v>
      </c>
      <c r="H54" s="1417">
        <f>VLOOKUP(C54,'sản lượng'!$D$14:$AL$169,34,0)</f>
        <v>4374</v>
      </c>
      <c r="I54" s="1418"/>
      <c r="J54" s="1417">
        <f t="shared" si="10"/>
        <v>1859.0711631239901</v>
      </c>
      <c r="K54" s="1837">
        <f>VLOOKUP($C$15:$C$107,'sản lượng'!D53:AP1013,37,0)</f>
        <v>239.70336390459599</v>
      </c>
      <c r="L54" s="1837">
        <f t="shared" si="2"/>
        <v>2098.7745270285859</v>
      </c>
      <c r="M54" s="1419" t="str">
        <f>VLOOKUP(C54,'sản lượng'!$D$14:$AP$169,39,0)</f>
        <v>A</v>
      </c>
      <c r="N54" s="2266">
        <f t="shared" si="3"/>
        <v>7681515</v>
      </c>
      <c r="O54" s="1417">
        <f>VLOOKUP(C54,TONGHOPCONGDOI!$C$11:$AA$103,20,0)</f>
        <v>27</v>
      </c>
      <c r="P54" s="1417">
        <f>VLOOKUP(C54,TONGHOPCONGDOI!$C$11:$AA$103,21,0)</f>
        <v>4</v>
      </c>
      <c r="Q54" s="1417">
        <f>VLOOKUP(C54,TONGHOPCONGDOI!$C$11:$AA$103,22,0)</f>
        <v>0</v>
      </c>
      <c r="R54" s="1417">
        <f>VLOOKUP(C54,TONGHOPCONGDOI!$C$11:$AA$103,23,0)</f>
        <v>0</v>
      </c>
      <c r="S54" s="1417">
        <f t="shared" si="4"/>
        <v>0</v>
      </c>
      <c r="T54" s="1417">
        <f>VLOOKUP(C54,TONGHOPCONGDOI!$C$11:$AA$103,25,0)</f>
        <v>0</v>
      </c>
      <c r="U54" s="1417"/>
      <c r="V54" s="1417"/>
      <c r="W54" s="1417"/>
      <c r="X54" s="1417"/>
      <c r="Y54" s="1417"/>
      <c r="Z54" s="1881">
        <f t="shared" si="5"/>
        <v>1036874</v>
      </c>
      <c r="AA54" s="1420">
        <f t="shared" si="11"/>
        <v>8718389</v>
      </c>
      <c r="AB54" s="1420">
        <f t="shared" si="9"/>
        <v>8718389</v>
      </c>
      <c r="AC54" s="789"/>
      <c r="AD54" s="581"/>
      <c r="AF54" s="289"/>
      <c r="AG54" s="593"/>
    </row>
    <row r="55" spans="1:33" s="242" customFormat="1" ht="27.75" customHeight="1">
      <c r="A55" s="1245">
        <v>41</v>
      </c>
      <c r="B55" s="320">
        <f>TONGHOPCONGDOI!B51</f>
        <v>0</v>
      </c>
      <c r="C55" s="320" t="str">
        <f>TONGHOPCONGDOI!C51</f>
        <v>Thảo Buồng</v>
      </c>
      <c r="D55" s="1243" t="s">
        <v>15</v>
      </c>
      <c r="E55" s="1416"/>
      <c r="F55" s="1455"/>
      <c r="G55" s="1417">
        <f t="shared" si="8"/>
        <v>0</v>
      </c>
      <c r="H55" s="1417">
        <f>VLOOKUP(C55,'sản lượng'!$D$14:$AL$169,34,0)</f>
        <v>5222</v>
      </c>
      <c r="I55" s="1418"/>
      <c r="J55" s="1417">
        <f t="shared" si="10"/>
        <v>2219.494653368422</v>
      </c>
      <c r="K55" s="1837">
        <f>VLOOKUP($C$15:$C$107,'sản lượng'!D54:AP1014,37,0)</f>
        <v>286.17534666433477</v>
      </c>
      <c r="L55" s="1837">
        <f t="shared" si="2"/>
        <v>2505.6700000327569</v>
      </c>
      <c r="M55" s="1419" t="str">
        <f>VLOOKUP(C55,'sản lượng'!$D$14:$AP$169,39,0)</f>
        <v>A</v>
      </c>
      <c r="N55" s="2266">
        <f t="shared" si="3"/>
        <v>9170752</v>
      </c>
      <c r="O55" s="1417">
        <f>VLOOKUP(C55,TONGHOPCONGDOI!$C$11:$AA$103,20,0)</f>
        <v>27</v>
      </c>
      <c r="P55" s="1417">
        <f>VLOOKUP(C55,TONGHOPCONGDOI!$C$11:$AA$103,21,0)</f>
        <v>4</v>
      </c>
      <c r="Q55" s="1417">
        <f>VLOOKUP(C55,TONGHOPCONGDOI!$C$11:$AA$103,22,0)</f>
        <v>0</v>
      </c>
      <c r="R55" s="1417">
        <f>VLOOKUP(C55,TONGHOPCONGDOI!$C$11:$AA$103,23,0)</f>
        <v>0</v>
      </c>
      <c r="S55" s="1417">
        <f t="shared" si="4"/>
        <v>0</v>
      </c>
      <c r="T55" s="1417">
        <f>VLOOKUP(C55,TONGHOPCONGDOI!$C$11:$AA$103,25,0)</f>
        <v>0</v>
      </c>
      <c r="U55" s="1417"/>
      <c r="V55" s="1417"/>
      <c r="W55" s="1417"/>
      <c r="X55" s="1417"/>
      <c r="Y55" s="1417"/>
      <c r="Z55" s="1881">
        <f t="shared" si="5"/>
        <v>1036874</v>
      </c>
      <c r="AA55" s="1420">
        <f t="shared" si="11"/>
        <v>10207626</v>
      </c>
      <c r="AB55" s="1420">
        <f t="shared" si="9"/>
        <v>10207626</v>
      </c>
      <c r="AC55" s="789"/>
      <c r="AD55" s="581"/>
      <c r="AF55" s="289"/>
      <c r="AG55" s="593"/>
    </row>
    <row r="56" spans="1:33" s="242" customFormat="1" ht="27.75" customHeight="1">
      <c r="A56" s="1245">
        <v>42</v>
      </c>
      <c r="B56" s="320" t="str">
        <f>TONGHOPCONGDOI!B52</f>
        <v>03548</v>
      </c>
      <c r="C56" s="320" t="str">
        <f>TONGHOPCONGDOI!C52</f>
        <v>T. Om</v>
      </c>
      <c r="D56" s="1243" t="s">
        <v>15</v>
      </c>
      <c r="E56" s="1416"/>
      <c r="F56" s="1455"/>
      <c r="G56" s="1417">
        <f t="shared" si="8"/>
        <v>0</v>
      </c>
      <c r="H56" s="1417">
        <f>VLOOKUP(C56,'sản lượng'!$D$14:$AL$169,34,0)</f>
        <v>4657</v>
      </c>
      <c r="I56" s="1418"/>
      <c r="J56" s="1417">
        <f t="shared" si="10"/>
        <v>1979.3540024390541</v>
      </c>
      <c r="K56" s="1837">
        <f>VLOOKUP($C$15:$C$107,'sản lượng'!D55:AP1015,37,0)</f>
        <v>255.21229211332957</v>
      </c>
      <c r="L56" s="1837">
        <f t="shared" si="2"/>
        <v>2234.5662945523836</v>
      </c>
      <c r="M56" s="1419" t="str">
        <f>VLOOKUP(C56,'sản lượng'!$D$14:$AP$169,39,0)</f>
        <v>A</v>
      </c>
      <c r="N56" s="2266">
        <f t="shared" si="3"/>
        <v>8178513</v>
      </c>
      <c r="O56" s="1417">
        <f>VLOOKUP(C56,TONGHOPCONGDOI!$C$11:$AA$103,20,0)</f>
        <v>25</v>
      </c>
      <c r="P56" s="1417">
        <f>VLOOKUP(C56,TONGHOPCONGDOI!$C$11:$AA$103,21,0)</f>
        <v>4</v>
      </c>
      <c r="Q56" s="1417">
        <f>VLOOKUP(C56,TONGHOPCONGDOI!$C$11:$AA$103,22,0)</f>
        <v>0</v>
      </c>
      <c r="R56" s="1417">
        <f>VLOOKUP(C56,TONGHOPCONGDOI!$C$11:$AA$103,23,0)</f>
        <v>0</v>
      </c>
      <c r="S56" s="1417">
        <f t="shared" si="4"/>
        <v>0</v>
      </c>
      <c r="T56" s="1417">
        <f>VLOOKUP(C56,TONGHOPCONGDOI!$C$11:$AA$103,25,0)</f>
        <v>0</v>
      </c>
      <c r="U56" s="1417"/>
      <c r="V56" s="1417"/>
      <c r="W56" s="1417"/>
      <c r="X56" s="1417"/>
      <c r="Y56" s="1417"/>
      <c r="Z56" s="1881">
        <f t="shared" si="5"/>
        <v>975288</v>
      </c>
      <c r="AA56" s="1420">
        <f t="shared" si="11"/>
        <v>9153801</v>
      </c>
      <c r="AB56" s="1420">
        <f t="shared" si="9"/>
        <v>9153801</v>
      </c>
      <c r="AC56" s="789"/>
      <c r="AD56" s="581"/>
      <c r="AF56" s="289"/>
      <c r="AG56" s="593"/>
    </row>
    <row r="57" spans="1:33" s="242" customFormat="1" ht="27.75" customHeight="1">
      <c r="A57" s="1245">
        <v>43</v>
      </c>
      <c r="B57" s="320" t="str">
        <f>TONGHOPCONGDOI!B53</f>
        <v>04105</v>
      </c>
      <c r="C57" s="320" t="str">
        <f>TONGHOPCONGDOI!C53</f>
        <v>T Xinh</v>
      </c>
      <c r="D57" s="1243" t="s">
        <v>15</v>
      </c>
      <c r="E57" s="1416"/>
      <c r="F57" s="1455"/>
      <c r="G57" s="1417">
        <f t="shared" si="8"/>
        <v>0</v>
      </c>
      <c r="H57" s="1417">
        <f>VLOOKUP(C57,'sản lượng'!$D$14:$AL$169,34,0)</f>
        <v>4638</v>
      </c>
      <c r="I57" s="1418"/>
      <c r="J57" s="1417">
        <f t="shared" si="10"/>
        <v>1971.2784761246151</v>
      </c>
      <c r="K57" s="1837">
        <f>VLOOKUP($C$15:$C$107,'sản lượng'!D56:AP1016,37,0)</f>
        <v>254.1710566505524</v>
      </c>
      <c r="L57" s="1837">
        <f t="shared" si="2"/>
        <v>2225.4495327751674</v>
      </c>
      <c r="M57" s="1419" t="str">
        <f>VLOOKUP(C57,'sản lượng'!$D$14:$AP$169,39,0)</f>
        <v>B</v>
      </c>
      <c r="N57" s="2266">
        <f t="shared" si="3"/>
        <v>7744564</v>
      </c>
      <c r="O57" s="1417">
        <f>VLOOKUP(C57,TONGHOPCONGDOI!$C$11:$AA$103,20,0)</f>
        <v>27</v>
      </c>
      <c r="P57" s="1417">
        <f>VLOOKUP(C57,TONGHOPCONGDOI!$C$11:$AA$103,21,0)</f>
        <v>4</v>
      </c>
      <c r="Q57" s="1417">
        <f>VLOOKUP(C57,TONGHOPCONGDOI!$C$11:$AA$103,22,0)</f>
        <v>0</v>
      </c>
      <c r="R57" s="1417">
        <f>VLOOKUP(C57,TONGHOPCONGDOI!$C$11:$AA$103,23,0)</f>
        <v>0</v>
      </c>
      <c r="S57" s="1417">
        <f t="shared" si="4"/>
        <v>0</v>
      </c>
      <c r="T57" s="1417">
        <f>VLOOKUP(C57,TONGHOPCONGDOI!$C$11:$AA$103,25,0)</f>
        <v>0</v>
      </c>
      <c r="U57" s="1417"/>
      <c r="V57" s="1417"/>
      <c r="W57" s="1417"/>
      <c r="X57" s="1417"/>
      <c r="Y57" s="1417"/>
      <c r="Z57" s="1881">
        <f t="shared" si="5"/>
        <v>1036874</v>
      </c>
      <c r="AA57" s="1420">
        <f t="shared" si="11"/>
        <v>8781438</v>
      </c>
      <c r="AB57" s="1420">
        <f t="shared" si="9"/>
        <v>8781438</v>
      </c>
      <c r="AC57" s="789"/>
      <c r="AD57" s="581"/>
      <c r="AF57" s="289"/>
      <c r="AG57" s="593"/>
    </row>
    <row r="58" spans="1:33" s="242" customFormat="1" ht="27.75" customHeight="1">
      <c r="A58" s="1245">
        <v>44</v>
      </c>
      <c r="B58" s="320" t="str">
        <f>TONGHOPCONGDOI!B54</f>
        <v>04106</v>
      </c>
      <c r="C58" s="320" t="str">
        <f>TONGHOPCONGDOI!C54</f>
        <v>T. Thong A</v>
      </c>
      <c r="D58" s="1243" t="s">
        <v>15</v>
      </c>
      <c r="E58" s="1416"/>
      <c r="F58" s="1455"/>
      <c r="G58" s="1417">
        <f t="shared" si="1"/>
        <v>0</v>
      </c>
      <c r="H58" s="1417">
        <f>VLOOKUP(C58,'sản lượng'!$D$14:$AL$169,34,0)</f>
        <v>3808</v>
      </c>
      <c r="I58" s="1418"/>
      <c r="J58" s="1417">
        <f t="shared" si="10"/>
        <v>1618.5054844938625</v>
      </c>
      <c r="K58" s="1837">
        <f>VLOOKUP($C$15:$C$107,'sản lượng'!D57:AP1017,37,0)</f>
        <v>208.68550748712883</v>
      </c>
      <c r="L58" s="1837">
        <f t="shared" si="2"/>
        <v>1827.1909919809914</v>
      </c>
      <c r="M58" s="1419" t="str">
        <f>VLOOKUP(C58,'sản lượng'!$D$14:$AP$169,39,0)</f>
        <v>B</v>
      </c>
      <c r="N58" s="2266">
        <f t="shared" si="3"/>
        <v>6358625</v>
      </c>
      <c r="O58" s="1417">
        <f>VLOOKUP(C58,TONGHOPCONGDOI!$C$11:$AA$103,20,0)</f>
        <v>22</v>
      </c>
      <c r="P58" s="1417">
        <f>VLOOKUP(C58,TONGHOPCONGDOI!$C$11:$AA$103,21,0)</f>
        <v>4</v>
      </c>
      <c r="Q58" s="1417">
        <f>VLOOKUP(C58,TONGHOPCONGDOI!$C$11:$AA$103,22,0)</f>
        <v>0</v>
      </c>
      <c r="R58" s="1417">
        <f>VLOOKUP(C58,TONGHOPCONGDOI!$C$11:$AA$103,23,0)</f>
        <v>0</v>
      </c>
      <c r="S58" s="1417">
        <f t="shared" si="4"/>
        <v>0</v>
      </c>
      <c r="T58" s="1417">
        <f>VLOOKUP(C58,TONGHOPCONGDOI!$C$11:$AA$103,25,0)</f>
        <v>0</v>
      </c>
      <c r="U58" s="1417"/>
      <c r="V58" s="1417"/>
      <c r="W58" s="1417"/>
      <c r="X58" s="1417"/>
      <c r="Y58" s="1417"/>
      <c r="Z58" s="1881">
        <f t="shared" si="5"/>
        <v>882910</v>
      </c>
      <c r="AA58" s="1420">
        <f t="shared" si="11"/>
        <v>7241535</v>
      </c>
      <c r="AB58" s="1420">
        <f t="shared" si="6"/>
        <v>7241535</v>
      </c>
      <c r="AC58" s="789"/>
      <c r="AD58" s="581"/>
      <c r="AF58" s="289"/>
      <c r="AG58" s="593"/>
    </row>
    <row r="59" spans="1:33" s="242" customFormat="1" ht="27.75" customHeight="1">
      <c r="A59" s="1245">
        <v>45</v>
      </c>
      <c r="B59" s="320" t="str">
        <f>TONGHOPCONGDOI!B55</f>
        <v>04107</v>
      </c>
      <c r="C59" s="320" t="str">
        <f>TONGHOPCONGDOI!C55</f>
        <v>N. Đôn</v>
      </c>
      <c r="D59" s="1243" t="s">
        <v>15</v>
      </c>
      <c r="E59" s="1416"/>
      <c r="F59" s="1455"/>
      <c r="G59" s="1417">
        <f t="shared" si="1"/>
        <v>0</v>
      </c>
      <c r="H59" s="1417">
        <f>VLOOKUP(C59,'sản lượng'!$D$14:$AL$169,34,0)</f>
        <v>5118</v>
      </c>
      <c r="I59" s="1418"/>
      <c r="J59" s="1417">
        <f t="shared" si="10"/>
        <v>2175.2917724893878</v>
      </c>
      <c r="K59" s="1837">
        <f>VLOOKUP($C$15:$C$107,'sản lượng'!D58:AP1018,37,0)</f>
        <v>280.47595255229135</v>
      </c>
      <c r="L59" s="1837">
        <f t="shared" si="2"/>
        <v>2455.7677250416791</v>
      </c>
      <c r="M59" s="1419" t="str">
        <f>VLOOKUP(C59,'sản lượng'!$D$14:$AP$169,39,0)</f>
        <v>A</v>
      </c>
      <c r="N59" s="2266">
        <f t="shared" si="3"/>
        <v>8988110</v>
      </c>
      <c r="O59" s="1417">
        <f>VLOOKUP(C59,TONGHOPCONGDOI!$C$11:$AA$103,20,0)</f>
        <v>27</v>
      </c>
      <c r="P59" s="1417">
        <f>VLOOKUP(C59,TONGHOPCONGDOI!$C$11:$AA$103,21,0)</f>
        <v>4</v>
      </c>
      <c r="Q59" s="1417">
        <f>VLOOKUP(C59,TONGHOPCONGDOI!$C$11:$AA$103,22,0)</f>
        <v>0</v>
      </c>
      <c r="R59" s="1417">
        <f>VLOOKUP(C59,TONGHOPCONGDOI!$C$11:$AA$103,23,0)</f>
        <v>0</v>
      </c>
      <c r="S59" s="1417">
        <f t="shared" si="4"/>
        <v>0</v>
      </c>
      <c r="T59" s="1417">
        <f>VLOOKUP(C59,TONGHOPCONGDOI!$C$11:$AA$103,25,0)</f>
        <v>0</v>
      </c>
      <c r="U59" s="1417"/>
      <c r="V59" s="1417"/>
      <c r="W59" s="1417"/>
      <c r="X59" s="1417"/>
      <c r="Y59" s="1417"/>
      <c r="Z59" s="1881">
        <f t="shared" si="5"/>
        <v>1036874</v>
      </c>
      <c r="AA59" s="1420">
        <f t="shared" si="11"/>
        <v>10024984</v>
      </c>
      <c r="AB59" s="1420">
        <f t="shared" si="6"/>
        <v>10024984</v>
      </c>
      <c r="AC59" s="789"/>
      <c r="AD59" s="581"/>
      <c r="AF59" s="289"/>
      <c r="AG59" s="593"/>
    </row>
    <row r="60" spans="1:33" s="242" customFormat="1" ht="27.75" customHeight="1">
      <c r="A60" s="1245">
        <v>46</v>
      </c>
      <c r="B60" s="320" t="str">
        <f>TONGHOPCONGDOI!B56</f>
        <v>03559</v>
      </c>
      <c r="C60" s="320" t="str">
        <f>TONGHOPCONGDOI!C56</f>
        <v>Viêng Khăm</v>
      </c>
      <c r="D60" s="1243" t="s">
        <v>15</v>
      </c>
      <c r="E60" s="1416"/>
      <c r="F60" s="1455"/>
      <c r="G60" s="1417">
        <f t="shared" si="1"/>
        <v>0</v>
      </c>
      <c r="H60" s="1417">
        <f>VLOOKUP(C60,'sản lượng'!$D$14:$AL$169,34,0)</f>
        <v>4021</v>
      </c>
      <c r="I60" s="1418"/>
      <c r="J60" s="1417">
        <f t="shared" si="10"/>
        <v>1709.0363847557303</v>
      </c>
      <c r="K60" s="1837">
        <f>VLOOKUP($C$15:$C$107,'sản lượng'!D59:AP1019,37,0)</f>
        <v>220.35830504352549</v>
      </c>
      <c r="L60" s="1837">
        <f t="shared" si="2"/>
        <v>1929.3946897992557</v>
      </c>
      <c r="M60" s="1419" t="str">
        <f>VLOOKUP(C60,'sản lượng'!$D$14:$AP$169,39,0)</f>
        <v>B</v>
      </c>
      <c r="N60" s="2266">
        <f t="shared" si="3"/>
        <v>6714294</v>
      </c>
      <c r="O60" s="1417">
        <f>VLOOKUP(C60,TONGHOPCONGDOI!$C$11:$AA$103,20,0)</f>
        <v>27</v>
      </c>
      <c r="P60" s="1417">
        <f>VLOOKUP(C60,TONGHOPCONGDOI!$C$11:$AA$103,21,0)</f>
        <v>4</v>
      </c>
      <c r="Q60" s="1417">
        <f>VLOOKUP(C60,TONGHOPCONGDOI!$C$11:$AA$103,22,0)</f>
        <v>0</v>
      </c>
      <c r="R60" s="1417">
        <f>VLOOKUP(C60,TONGHOPCONGDOI!$C$11:$AA$103,23,0)</f>
        <v>0</v>
      </c>
      <c r="S60" s="1417">
        <f t="shared" si="4"/>
        <v>0</v>
      </c>
      <c r="T60" s="1417">
        <f>VLOOKUP(C60,TONGHOPCONGDOI!$C$11:$AA$103,25,0)</f>
        <v>0</v>
      </c>
      <c r="U60" s="1417"/>
      <c r="V60" s="1417"/>
      <c r="W60" s="1417"/>
      <c r="X60" s="1417"/>
      <c r="Y60" s="1417"/>
      <c r="Z60" s="1881">
        <f t="shared" si="5"/>
        <v>1036874</v>
      </c>
      <c r="AA60" s="1420">
        <f t="shared" si="11"/>
        <v>7751168</v>
      </c>
      <c r="AB60" s="1420">
        <f t="shared" si="6"/>
        <v>7751168</v>
      </c>
      <c r="AC60" s="789"/>
      <c r="AD60" s="581"/>
      <c r="AF60" s="289"/>
      <c r="AG60" s="593"/>
    </row>
    <row r="61" spans="1:33" s="242" customFormat="1" ht="27.75" customHeight="1">
      <c r="A61" s="1245">
        <v>47</v>
      </c>
      <c r="B61" s="320" t="str">
        <f>TONGHOPCONGDOI!B57</f>
        <v>03560</v>
      </c>
      <c r="C61" s="320" t="str">
        <f>TONGHOPCONGDOI!C57</f>
        <v>Veo Khăm</v>
      </c>
      <c r="D61" s="1243" t="s">
        <v>15</v>
      </c>
      <c r="E61" s="1416"/>
      <c r="F61" s="1455"/>
      <c r="G61" s="1417">
        <f t="shared" si="1"/>
        <v>0</v>
      </c>
      <c r="H61" s="1417">
        <f>VLOOKUP(C61,'sản lượng'!$D$14:$AL$169,34,0)</f>
        <v>4037</v>
      </c>
      <c r="I61" s="1418"/>
      <c r="J61" s="1417">
        <f t="shared" si="10"/>
        <v>1715.8368279678896</v>
      </c>
      <c r="K61" s="1837">
        <f>VLOOKUP($C$15:$C$107,'sản lượng'!D60:AP1020,37,0)</f>
        <v>221.23513490691678</v>
      </c>
      <c r="L61" s="1837">
        <f t="shared" si="2"/>
        <v>1937.0719628748063</v>
      </c>
      <c r="M61" s="1419" t="str">
        <f>VLOOKUP(C61,'sản lượng'!$D$14:$AP$169,39,0)</f>
        <v>B</v>
      </c>
      <c r="N61" s="2266">
        <f t="shared" si="3"/>
        <v>6741010</v>
      </c>
      <c r="O61" s="1417">
        <f>VLOOKUP(C61,TONGHOPCONGDOI!$C$11:$AA$103,20,0)</f>
        <v>27</v>
      </c>
      <c r="P61" s="1417">
        <f>VLOOKUP(C61,TONGHOPCONGDOI!$C$11:$AA$103,21,0)</f>
        <v>4</v>
      </c>
      <c r="Q61" s="1417">
        <f>VLOOKUP(C61,TONGHOPCONGDOI!$C$11:$AA$103,22,0)</f>
        <v>0</v>
      </c>
      <c r="R61" s="1417">
        <f>VLOOKUP(C61,TONGHOPCONGDOI!$C$11:$AA$103,23,0)</f>
        <v>0</v>
      </c>
      <c r="S61" s="1417">
        <f t="shared" si="4"/>
        <v>0</v>
      </c>
      <c r="T61" s="1417">
        <f>VLOOKUP(C61,TONGHOPCONGDOI!$C$11:$AA$103,25,0)</f>
        <v>0</v>
      </c>
      <c r="U61" s="1417"/>
      <c r="V61" s="1417"/>
      <c r="W61" s="1417"/>
      <c r="X61" s="1417"/>
      <c r="Y61" s="1417"/>
      <c r="Z61" s="1881">
        <f t="shared" si="5"/>
        <v>1036874</v>
      </c>
      <c r="AA61" s="1420">
        <f t="shared" si="11"/>
        <v>7777884</v>
      </c>
      <c r="AB61" s="1420">
        <f t="shared" si="6"/>
        <v>7777884</v>
      </c>
      <c r="AC61" s="789"/>
      <c r="AD61" s="581"/>
      <c r="AF61" s="289"/>
      <c r="AG61" s="593"/>
    </row>
    <row r="62" spans="1:33" s="242" customFormat="1" ht="27.75" customHeight="1">
      <c r="A62" s="1245">
        <v>48</v>
      </c>
      <c r="B62" s="320" t="str">
        <f>TONGHOPCONGDOI!B58</f>
        <v>03581</v>
      </c>
      <c r="C62" s="320" t="str">
        <f>TONGHOPCONGDOI!C58</f>
        <v>Chăn Đen</v>
      </c>
      <c r="D62" s="1243" t="s">
        <v>15</v>
      </c>
      <c r="E62" s="1416"/>
      <c r="F62" s="1455"/>
      <c r="G62" s="1417">
        <f t="shared" si="1"/>
        <v>0</v>
      </c>
      <c r="H62" s="1417">
        <f>VLOOKUP(C62,'sản lượng'!$D$14:$AL$169,34,0)</f>
        <v>3996</v>
      </c>
      <c r="I62" s="1418"/>
      <c r="J62" s="1417">
        <f t="shared" si="10"/>
        <v>1698.4106922367318</v>
      </c>
      <c r="K62" s="1837">
        <f>VLOOKUP($C$15:$C$107,'sản lượng'!D61:AP1021,37,0)</f>
        <v>218.98825838197658</v>
      </c>
      <c r="L62" s="1837">
        <f t="shared" si="2"/>
        <v>1917.3989506187083</v>
      </c>
      <c r="M62" s="1419" t="str">
        <f>VLOOKUP(C62,'sản lượng'!$D$14:$AP$169,39,0)</f>
        <v>B</v>
      </c>
      <c r="N62" s="2266">
        <f t="shared" si="3"/>
        <v>6672548</v>
      </c>
      <c r="O62" s="1417">
        <f>VLOOKUP(C62,TONGHOPCONGDOI!$C$11:$AA$103,20,0)</f>
        <v>22</v>
      </c>
      <c r="P62" s="1417">
        <f>VLOOKUP(C62,TONGHOPCONGDOI!$C$11:$AA$103,21,0)</f>
        <v>3</v>
      </c>
      <c r="Q62" s="1417">
        <f>VLOOKUP(C62,TONGHOPCONGDOI!$C$11:$AA$103,22,0)</f>
        <v>0</v>
      </c>
      <c r="R62" s="1417">
        <f>VLOOKUP(C62,TONGHOPCONGDOI!$C$11:$AA$103,23,0)</f>
        <v>0</v>
      </c>
      <c r="S62" s="1417">
        <f t="shared" si="4"/>
        <v>0</v>
      </c>
      <c r="T62" s="1417">
        <f>VLOOKUP(C62,TONGHOPCONGDOI!$C$11:$AA$103,25,0)</f>
        <v>0</v>
      </c>
      <c r="U62" s="1417"/>
      <c r="V62" s="1417"/>
      <c r="W62" s="1417"/>
      <c r="X62" s="1417"/>
      <c r="Y62" s="1417"/>
      <c r="Z62" s="1881">
        <f t="shared" si="5"/>
        <v>831543</v>
      </c>
      <c r="AA62" s="1420">
        <f t="shared" si="11"/>
        <v>7504091</v>
      </c>
      <c r="AB62" s="1420">
        <f t="shared" si="6"/>
        <v>7504091</v>
      </c>
      <c r="AC62" s="789"/>
      <c r="AD62" s="581"/>
      <c r="AF62" s="289"/>
      <c r="AG62" s="593"/>
    </row>
    <row r="63" spans="1:33" s="242" customFormat="1" ht="27.75" customHeight="1">
      <c r="A63" s="1245">
        <v>49</v>
      </c>
      <c r="B63" s="320" t="str">
        <f>TONGHOPCONGDOI!B59</f>
        <v>03562</v>
      </c>
      <c r="C63" s="320" t="str">
        <f>TONGHOPCONGDOI!C59</f>
        <v>N. Nun</v>
      </c>
      <c r="D63" s="1243" t="s">
        <v>15</v>
      </c>
      <c r="E63" s="1416"/>
      <c r="F63" s="1455"/>
      <c r="G63" s="1417">
        <f t="shared" si="1"/>
        <v>0</v>
      </c>
      <c r="H63" s="1417">
        <f>VLOOKUP(C63,'sản lượng'!$D$14:$AL$169,34,0)</f>
        <v>4440</v>
      </c>
      <c r="I63" s="1418"/>
      <c r="J63" s="1417">
        <f t="shared" si="10"/>
        <v>1887.1229913741465</v>
      </c>
      <c r="K63" s="1837">
        <f>VLOOKUP($C$15:$C$107,'sản lượng'!D62:AP1022,37,0)</f>
        <v>243.32028709108511</v>
      </c>
      <c r="L63" s="1837">
        <f t="shared" si="2"/>
        <v>2130.4432784652317</v>
      </c>
      <c r="M63" s="1419" t="str">
        <f>VLOOKUP(C63,'sản lượng'!$D$14:$AP$169,39,0)</f>
        <v>A</v>
      </c>
      <c r="N63" s="2266">
        <f t="shared" si="3"/>
        <v>7797422</v>
      </c>
      <c r="O63" s="1417">
        <f>VLOOKUP(C63,TONGHOPCONGDOI!$C$11:$AA$103,20,0)</f>
        <v>27</v>
      </c>
      <c r="P63" s="1417">
        <f>VLOOKUP(C63,TONGHOPCONGDOI!$C$11:$AA$103,21,0)</f>
        <v>4</v>
      </c>
      <c r="Q63" s="1417">
        <f>VLOOKUP(C63,TONGHOPCONGDOI!$C$11:$AA$103,22,0)</f>
        <v>0</v>
      </c>
      <c r="R63" s="1417">
        <f>VLOOKUP(C63,TONGHOPCONGDOI!$C$11:$AA$103,23,0)</f>
        <v>0</v>
      </c>
      <c r="S63" s="1417">
        <f t="shared" si="4"/>
        <v>0</v>
      </c>
      <c r="T63" s="1417">
        <f>VLOOKUP(C63,TONGHOPCONGDOI!$C$11:$AA$103,25,0)</f>
        <v>0</v>
      </c>
      <c r="U63" s="1417"/>
      <c r="V63" s="1417"/>
      <c r="W63" s="1417"/>
      <c r="X63" s="1417"/>
      <c r="Y63" s="1417"/>
      <c r="Z63" s="1881">
        <f t="shared" si="5"/>
        <v>1036874</v>
      </c>
      <c r="AA63" s="1420">
        <f t="shared" si="11"/>
        <v>8834296</v>
      </c>
      <c r="AB63" s="1420">
        <f t="shared" si="6"/>
        <v>8834296</v>
      </c>
      <c r="AC63" s="789"/>
      <c r="AD63" s="581"/>
      <c r="AF63" s="289"/>
      <c r="AG63" s="593"/>
    </row>
    <row r="64" spans="1:33" s="242" customFormat="1" ht="27.75" customHeight="1">
      <c r="A64" s="1245">
        <v>50</v>
      </c>
      <c r="B64" s="320" t="str">
        <f>TONGHOPCONGDOI!B60</f>
        <v>03563</v>
      </c>
      <c r="C64" s="320" t="str">
        <f>TONGHOPCONGDOI!C60</f>
        <v>In Pông</v>
      </c>
      <c r="D64" s="1243" t="s">
        <v>15</v>
      </c>
      <c r="E64" s="1416"/>
      <c r="F64" s="1455"/>
      <c r="G64" s="1417">
        <f t="shared" si="1"/>
        <v>0</v>
      </c>
      <c r="H64" s="1417">
        <f>VLOOKUP(C64,'sản lượng'!$D$14:$AL$169,34,0)</f>
        <v>3718</v>
      </c>
      <c r="I64" s="1418"/>
      <c r="J64" s="1417">
        <f t="shared" si="10"/>
        <v>1580.2529914254676</v>
      </c>
      <c r="K64" s="1837">
        <f>VLOOKUP($C$15:$C$107,'sản lượng'!D63:AP1023,37,0)</f>
        <v>203.75333950555279</v>
      </c>
      <c r="L64" s="1837">
        <f t="shared" si="2"/>
        <v>1784.0063309310203</v>
      </c>
      <c r="M64" s="1419" t="str">
        <f>VLOOKUP(C64,'sản lượng'!$D$14:$AP$169,39,0)</f>
        <v>A</v>
      </c>
      <c r="N64" s="2266">
        <f t="shared" si="3"/>
        <v>6529463</v>
      </c>
      <c r="O64" s="1417">
        <f>VLOOKUP(C64,TONGHOPCONGDOI!$C$11:$AA$103,20,0)</f>
        <v>25</v>
      </c>
      <c r="P64" s="1417">
        <f>VLOOKUP(C64,TONGHOPCONGDOI!$C$11:$AA$103,21,0)</f>
        <v>4</v>
      </c>
      <c r="Q64" s="1417">
        <f>VLOOKUP(C64,TONGHOPCONGDOI!$C$11:$AA$103,22,0)</f>
        <v>0</v>
      </c>
      <c r="R64" s="1417">
        <f>VLOOKUP(C64,TONGHOPCONGDOI!$C$11:$AA$103,23,0)</f>
        <v>0</v>
      </c>
      <c r="S64" s="1417">
        <f t="shared" si="4"/>
        <v>0</v>
      </c>
      <c r="T64" s="1417">
        <f>VLOOKUP(C64,TONGHOPCONGDOI!$C$11:$AA$103,25,0)</f>
        <v>0</v>
      </c>
      <c r="U64" s="1417"/>
      <c r="V64" s="1417"/>
      <c r="W64" s="1417"/>
      <c r="X64" s="1417"/>
      <c r="Y64" s="1417"/>
      <c r="Z64" s="1881">
        <f t="shared" si="5"/>
        <v>975288</v>
      </c>
      <c r="AA64" s="1420">
        <f t="shared" si="11"/>
        <v>7504751</v>
      </c>
      <c r="AB64" s="1420">
        <f t="shared" si="6"/>
        <v>7504751</v>
      </c>
      <c r="AC64" s="789"/>
      <c r="AD64" s="581"/>
      <c r="AF64" s="289"/>
      <c r="AG64" s="593"/>
    </row>
    <row r="65" spans="1:33" s="242" customFormat="1" ht="27.75" customHeight="1">
      <c r="A65" s="1245">
        <v>51</v>
      </c>
      <c r="B65" s="320" t="str">
        <f>TONGHOPCONGDOI!B61</f>
        <v>04108</v>
      </c>
      <c r="C65" s="320" t="str">
        <f>TONGHOPCONGDOI!C61</f>
        <v>Pha Đi</v>
      </c>
      <c r="D65" s="1243" t="s">
        <v>15</v>
      </c>
      <c r="E65" s="1416"/>
      <c r="F65" s="1455"/>
      <c r="G65" s="1417">
        <f t="shared" si="1"/>
        <v>0</v>
      </c>
      <c r="H65" s="1417">
        <f>VLOOKUP(C65,'sản lượng'!$D$14:$AL$169,34,0)</f>
        <v>3807</v>
      </c>
      <c r="I65" s="1418"/>
      <c r="J65" s="1417">
        <f t="shared" si="10"/>
        <v>1618.0804567931027</v>
      </c>
      <c r="K65" s="1837">
        <f>VLOOKUP($C$15:$C$107,'sản lượng'!D64:AP1024,37,0)</f>
        <v>208.63070562066687</v>
      </c>
      <c r="L65" s="1837">
        <f t="shared" si="2"/>
        <v>1826.7111624137697</v>
      </c>
      <c r="M65" s="1419" t="str">
        <f>VLOOKUP(C65,'sản lượng'!$D$14:$AP$169,39,0)</f>
        <v>A</v>
      </c>
      <c r="N65" s="2266">
        <f t="shared" si="3"/>
        <v>6685763</v>
      </c>
      <c r="O65" s="1417">
        <f>VLOOKUP(C65,TONGHOPCONGDOI!$C$11:$AA$103,20,0)</f>
        <v>26</v>
      </c>
      <c r="P65" s="1417">
        <f>VLOOKUP(C65,TONGHOPCONGDOI!$C$11:$AA$103,21,0)</f>
        <v>4</v>
      </c>
      <c r="Q65" s="1417">
        <f>VLOOKUP(C65,TONGHOPCONGDOI!$C$11:$AA$103,22,0)</f>
        <v>0</v>
      </c>
      <c r="R65" s="1417">
        <f>VLOOKUP(C65,TONGHOPCONGDOI!$C$11:$AA$103,23,0)</f>
        <v>0</v>
      </c>
      <c r="S65" s="1417">
        <f t="shared" si="4"/>
        <v>0</v>
      </c>
      <c r="T65" s="1417">
        <f>VLOOKUP(C65,TONGHOPCONGDOI!$C$11:$AA$103,25,0)</f>
        <v>0</v>
      </c>
      <c r="U65" s="1417"/>
      <c r="V65" s="1417"/>
      <c r="W65" s="1417"/>
      <c r="X65" s="1417"/>
      <c r="Y65" s="1417"/>
      <c r="Z65" s="1881">
        <f t="shared" si="5"/>
        <v>1006081</v>
      </c>
      <c r="AA65" s="1420">
        <f t="shared" si="11"/>
        <v>7691844</v>
      </c>
      <c r="AB65" s="1420">
        <f t="shared" si="6"/>
        <v>7691844</v>
      </c>
      <c r="AC65" s="789"/>
      <c r="AD65" s="581"/>
      <c r="AF65" s="289"/>
      <c r="AG65" s="593"/>
    </row>
    <row r="66" spans="1:33" s="242" customFormat="1" ht="27.75" customHeight="1">
      <c r="A66" s="1245">
        <v>52</v>
      </c>
      <c r="B66" s="320">
        <f>TONGHOPCONGDOI!B62</f>
        <v>0</v>
      </c>
      <c r="C66" s="320" t="str">
        <f>TONGHOPCONGDOI!C62</f>
        <v>Thảo Nọi B</v>
      </c>
      <c r="D66" s="1243" t="s">
        <v>15</v>
      </c>
      <c r="E66" s="1416"/>
      <c r="F66" s="1455"/>
      <c r="G66" s="1417">
        <f t="shared" si="1"/>
        <v>0</v>
      </c>
      <c r="H66" s="1417">
        <f>VLOOKUP(C66,'sản lượng'!$D$14:$AL$169,34,0)</f>
        <v>4211</v>
      </c>
      <c r="I66" s="1418"/>
      <c r="J66" s="1417">
        <f t="shared" si="10"/>
        <v>1789.7916479001196</v>
      </c>
      <c r="K66" s="1837">
        <f>VLOOKUP($C$15:$C$107,'sản lượng'!D65:AP1025,37,0)</f>
        <v>230.77065967129715</v>
      </c>
      <c r="L66" s="1837">
        <f t="shared" si="2"/>
        <v>2020.5623075714168</v>
      </c>
      <c r="M66" s="1419" t="str">
        <f>VLOOKUP(C66,'sản lượng'!$D$14:$AP$169,39,0)</f>
        <v>B</v>
      </c>
      <c r="N66" s="2266">
        <f t="shared" si="3"/>
        <v>7031557</v>
      </c>
      <c r="O66" s="1417">
        <f>VLOOKUP(C66,TONGHOPCONGDOI!$C$11:$AA$103,20,0)</f>
        <v>27</v>
      </c>
      <c r="P66" s="1417">
        <f>VLOOKUP(C66,TONGHOPCONGDOI!$C$11:$AA$103,21,0)</f>
        <v>4</v>
      </c>
      <c r="Q66" s="1417">
        <f>VLOOKUP(C66,TONGHOPCONGDOI!$C$11:$AA$103,22,0)</f>
        <v>0</v>
      </c>
      <c r="R66" s="1417">
        <f>VLOOKUP(C66,TONGHOPCONGDOI!$C$11:$AA$103,23,0)</f>
        <v>0</v>
      </c>
      <c r="S66" s="1417">
        <f t="shared" si="4"/>
        <v>0</v>
      </c>
      <c r="T66" s="1417">
        <f>VLOOKUP(C66,TONGHOPCONGDOI!$C$11:$AA$103,25,0)</f>
        <v>0</v>
      </c>
      <c r="U66" s="1417"/>
      <c r="V66" s="1417"/>
      <c r="W66" s="1417"/>
      <c r="X66" s="1417"/>
      <c r="Y66" s="1417"/>
      <c r="Z66" s="1881">
        <f t="shared" si="5"/>
        <v>1036874</v>
      </c>
      <c r="AA66" s="1420">
        <f t="shared" si="11"/>
        <v>8068431</v>
      </c>
      <c r="AB66" s="1420">
        <f t="shared" si="6"/>
        <v>8068431</v>
      </c>
      <c r="AC66" s="789"/>
      <c r="AD66" s="581"/>
      <c r="AF66" s="289"/>
      <c r="AG66" s="593"/>
    </row>
    <row r="67" spans="1:33" s="242" customFormat="1" ht="27.75" customHeight="1">
      <c r="A67" s="1245">
        <v>53</v>
      </c>
      <c r="B67" s="320" t="str">
        <f>TONGHOPCONGDOI!B63</f>
        <v>04110</v>
      </c>
      <c r="C67" s="320" t="str">
        <f>TONGHOPCONGDOI!C63</f>
        <v xml:space="preserve">T. Lăm  </v>
      </c>
      <c r="D67" s="1243" t="s">
        <v>15</v>
      </c>
      <c r="E67" s="1416"/>
      <c r="F67" s="1455"/>
      <c r="G67" s="1417">
        <f t="shared" si="1"/>
        <v>0</v>
      </c>
      <c r="H67" s="1417">
        <f>VLOOKUP(C67,'sản lượng'!$D$14:$AL$169,34,0)</f>
        <v>3168</v>
      </c>
      <c r="I67" s="1418"/>
      <c r="J67" s="1417">
        <f t="shared" si="10"/>
        <v>1346.487756007499</v>
      </c>
      <c r="K67" s="1837">
        <f>VLOOKUP($C$15:$C$107,'sản lượng'!D66:AP1026,37,0)</f>
        <v>173.61231295147692</v>
      </c>
      <c r="L67" s="1837">
        <f t="shared" si="2"/>
        <v>1520.100068958976</v>
      </c>
      <c r="M67" s="1419" t="str">
        <f>VLOOKUP(C67,'sản lượng'!$D$14:$AP$169,39,0)</f>
        <v>B</v>
      </c>
      <c r="N67" s="2266">
        <f t="shared" si="3"/>
        <v>5289948</v>
      </c>
      <c r="O67" s="1417">
        <f>VLOOKUP(C67,TONGHOPCONGDOI!$C$11:$AA$103,20,0)</f>
        <v>27</v>
      </c>
      <c r="P67" s="1417">
        <f>VLOOKUP(C67,TONGHOPCONGDOI!$C$11:$AA$103,21,0)</f>
        <v>4</v>
      </c>
      <c r="Q67" s="1417">
        <f>VLOOKUP(C67,TONGHOPCONGDOI!$C$11:$AA$103,22,0)</f>
        <v>0</v>
      </c>
      <c r="R67" s="1417">
        <f>VLOOKUP(C67,TONGHOPCONGDOI!$C$11:$AA$103,23,0)</f>
        <v>0</v>
      </c>
      <c r="S67" s="1417">
        <f t="shared" si="4"/>
        <v>0</v>
      </c>
      <c r="T67" s="1417">
        <f>VLOOKUP(C67,TONGHOPCONGDOI!$C$11:$AA$103,25,0)</f>
        <v>0</v>
      </c>
      <c r="U67" s="1417"/>
      <c r="V67" s="1417"/>
      <c r="W67" s="1417"/>
      <c r="X67" s="1417"/>
      <c r="Y67" s="1417"/>
      <c r="Z67" s="1881">
        <f t="shared" si="5"/>
        <v>1036874</v>
      </c>
      <c r="AA67" s="1420">
        <f t="shared" si="11"/>
        <v>6326822</v>
      </c>
      <c r="AB67" s="1420">
        <f t="shared" si="6"/>
        <v>6326822</v>
      </c>
      <c r="AC67" s="789"/>
      <c r="AD67" s="581"/>
      <c r="AF67" s="289"/>
      <c r="AG67" s="593"/>
    </row>
    <row r="68" spans="1:33" s="242" customFormat="1" ht="27.75" customHeight="1">
      <c r="A68" s="1245">
        <v>54</v>
      </c>
      <c r="B68" s="320" t="str">
        <f>TONGHOPCONGDOI!B64</f>
        <v>03567</v>
      </c>
      <c r="C68" s="320" t="str">
        <f>TONGHOPCONGDOI!C64</f>
        <v>Khăm Phiêng</v>
      </c>
      <c r="D68" s="1243" t="s">
        <v>15</v>
      </c>
      <c r="E68" s="1416"/>
      <c r="F68" s="1455"/>
      <c r="G68" s="1417">
        <f t="shared" si="1"/>
        <v>0</v>
      </c>
      <c r="H68" s="1417">
        <f>VLOOKUP(C68,'sản lượng'!$D$14:$AL$169,34,0)</f>
        <v>4626</v>
      </c>
      <c r="I68" s="1418"/>
      <c r="J68" s="1417">
        <f t="shared" si="10"/>
        <v>1966.1781437154959</v>
      </c>
      <c r="K68" s="1837">
        <f>VLOOKUP($C$15:$C$107,'sản lượng'!D67:AP1027,37,0)</f>
        <v>253.51343425300894</v>
      </c>
      <c r="L68" s="1837">
        <f t="shared" si="2"/>
        <v>2219.691577968505</v>
      </c>
      <c r="M68" s="1419" t="str">
        <f>VLOOKUP(C68,'sản lượng'!$D$14:$AP$169,39,0)</f>
        <v>A</v>
      </c>
      <c r="N68" s="2266">
        <f t="shared" si="3"/>
        <v>8124071</v>
      </c>
      <c r="O68" s="1417">
        <f>VLOOKUP(C68,TONGHOPCONGDOI!$C$11:$AA$103,20,0)</f>
        <v>27</v>
      </c>
      <c r="P68" s="1417">
        <f>VLOOKUP(C68,TONGHOPCONGDOI!$C$11:$AA$103,21,0)</f>
        <v>4</v>
      </c>
      <c r="Q68" s="1417">
        <f>VLOOKUP(C68,TONGHOPCONGDOI!$C$11:$AA$103,22,0)</f>
        <v>0</v>
      </c>
      <c r="R68" s="1417">
        <f>VLOOKUP(C68,TONGHOPCONGDOI!$C$11:$AA$103,23,0)</f>
        <v>0</v>
      </c>
      <c r="S68" s="1417">
        <f t="shared" si="4"/>
        <v>0</v>
      </c>
      <c r="T68" s="1417">
        <f>VLOOKUP(C68,TONGHOPCONGDOI!$C$11:$AA$103,25,0)</f>
        <v>0</v>
      </c>
      <c r="U68" s="1417"/>
      <c r="V68" s="1417"/>
      <c r="W68" s="1417"/>
      <c r="X68" s="1417"/>
      <c r="Y68" s="1417"/>
      <c r="Z68" s="1881">
        <f t="shared" si="5"/>
        <v>1036874</v>
      </c>
      <c r="AA68" s="1420">
        <f t="shared" si="11"/>
        <v>9160945</v>
      </c>
      <c r="AB68" s="1420">
        <f t="shared" si="6"/>
        <v>9160945</v>
      </c>
      <c r="AC68" s="789"/>
      <c r="AD68" s="581"/>
      <c r="AF68" s="289"/>
      <c r="AG68" s="593"/>
    </row>
    <row r="69" spans="1:33" s="242" customFormat="1" ht="27.75" customHeight="1">
      <c r="A69" s="1245">
        <v>55</v>
      </c>
      <c r="B69" s="320" t="str">
        <f>TONGHOPCONGDOI!B65</f>
        <v>03568</v>
      </c>
      <c r="C69" s="320" t="str">
        <f>TONGHOPCONGDOI!C65</f>
        <v>Khiêng Khăm</v>
      </c>
      <c r="D69" s="1243" t="s">
        <v>15</v>
      </c>
      <c r="E69" s="1416"/>
      <c r="F69" s="1455"/>
      <c r="G69" s="1417">
        <f t="shared" si="1"/>
        <v>0</v>
      </c>
      <c r="H69" s="1417">
        <f>VLOOKUP(C69,'sản lượng'!$D$14:$AL$169,34,0)</f>
        <v>4627</v>
      </c>
      <c r="I69" s="1418"/>
      <c r="J69" s="1417">
        <f t="shared" si="10"/>
        <v>1966.6031714162557</v>
      </c>
      <c r="K69" s="1837">
        <f>VLOOKUP($C$15:$C$107,'sản lượng'!D68:AP1028,37,0)</f>
        <v>253.5682361194709</v>
      </c>
      <c r="L69" s="1837">
        <f t="shared" si="2"/>
        <v>2220.1714075357268</v>
      </c>
      <c r="M69" s="1419" t="str">
        <f>VLOOKUP(C69,'sản lượng'!$D$14:$AP$169,39,0)</f>
        <v>A</v>
      </c>
      <c r="N69" s="2266">
        <f t="shared" si="3"/>
        <v>8125827</v>
      </c>
      <c r="O69" s="1417">
        <f>VLOOKUP(C69,TONGHOPCONGDOI!$C$11:$AA$103,20,0)</f>
        <v>27</v>
      </c>
      <c r="P69" s="1417">
        <f>VLOOKUP(C69,TONGHOPCONGDOI!$C$11:$AA$103,21,0)</f>
        <v>4</v>
      </c>
      <c r="Q69" s="1417">
        <f>VLOOKUP(C69,TONGHOPCONGDOI!$C$11:$AA$103,22,0)</f>
        <v>0</v>
      </c>
      <c r="R69" s="1417">
        <f>VLOOKUP(C69,TONGHOPCONGDOI!$C$11:$AA$103,23,0)</f>
        <v>0</v>
      </c>
      <c r="S69" s="1417">
        <f t="shared" si="4"/>
        <v>0</v>
      </c>
      <c r="T69" s="1417">
        <f>VLOOKUP(C69,TONGHOPCONGDOI!$C$11:$AA$103,25,0)</f>
        <v>0</v>
      </c>
      <c r="U69" s="1417"/>
      <c r="V69" s="1417"/>
      <c r="W69" s="1417"/>
      <c r="X69" s="1417"/>
      <c r="Y69" s="1417"/>
      <c r="Z69" s="1881">
        <f t="shared" si="5"/>
        <v>1036874</v>
      </c>
      <c r="AA69" s="1420">
        <f t="shared" si="11"/>
        <v>9162701</v>
      </c>
      <c r="AB69" s="1420">
        <f t="shared" si="6"/>
        <v>9162701</v>
      </c>
      <c r="AC69" s="789"/>
      <c r="AD69" s="581"/>
      <c r="AF69" s="289"/>
      <c r="AG69" s="593"/>
    </row>
    <row r="70" spans="1:33" s="242" customFormat="1" ht="27.75" customHeight="1">
      <c r="A70" s="1245">
        <v>56</v>
      </c>
      <c r="B70" s="320" t="str">
        <f>TONGHOPCONGDOI!B66</f>
        <v>03569</v>
      </c>
      <c r="C70" s="320" t="str">
        <f>TONGHOPCONGDOI!C66</f>
        <v>T. Kỷ</v>
      </c>
      <c r="D70" s="1243" t="s">
        <v>15</v>
      </c>
      <c r="E70" s="1416"/>
      <c r="F70" s="1455"/>
      <c r="G70" s="1417">
        <f t="shared" si="1"/>
        <v>0</v>
      </c>
      <c r="H70" s="1417">
        <f>VLOOKUP(C70,'sản lượng'!$D$14:$AL$169,34,0)</f>
        <v>5101</v>
      </c>
      <c r="I70" s="1418"/>
      <c r="J70" s="1417">
        <f t="shared" si="10"/>
        <v>2168.0663015764685</v>
      </c>
      <c r="K70" s="1837">
        <f>VLOOKUP($C$15:$C$107,'sản lượng'!D69:AP1029,37,0)</f>
        <v>279.54432082243807</v>
      </c>
      <c r="L70" s="1837">
        <f t="shared" si="2"/>
        <v>2447.6106223989063</v>
      </c>
      <c r="M70" s="1419" t="str">
        <f>VLOOKUP(C70,'sản lượng'!$D$14:$AP$169,39,0)</f>
        <v>A</v>
      </c>
      <c r="N70" s="2266">
        <f t="shared" si="3"/>
        <v>8958255</v>
      </c>
      <c r="O70" s="1417">
        <f>VLOOKUP(C70,TONGHOPCONGDOI!$C$11:$AA$103,20,0)</f>
        <v>26</v>
      </c>
      <c r="P70" s="1417">
        <f>VLOOKUP(C70,TONGHOPCONGDOI!$C$11:$AA$103,21,0)</f>
        <v>4</v>
      </c>
      <c r="Q70" s="1417">
        <f>VLOOKUP(C70,TONGHOPCONGDOI!$C$11:$AA$103,22,0)</f>
        <v>0</v>
      </c>
      <c r="R70" s="1417">
        <f>VLOOKUP(C70,TONGHOPCONGDOI!$C$11:$AA$103,23,0)</f>
        <v>0</v>
      </c>
      <c r="S70" s="1417">
        <f t="shared" si="4"/>
        <v>0</v>
      </c>
      <c r="T70" s="1417">
        <f>VLOOKUP(C70,TONGHOPCONGDOI!$C$11:$AA$103,25,0)</f>
        <v>0</v>
      </c>
      <c r="U70" s="1417"/>
      <c r="V70" s="1417"/>
      <c r="W70" s="1417"/>
      <c r="X70" s="1417"/>
      <c r="Y70" s="1417"/>
      <c r="Z70" s="1881">
        <f t="shared" si="5"/>
        <v>1006081</v>
      </c>
      <c r="AA70" s="1420">
        <f t="shared" si="11"/>
        <v>9964336</v>
      </c>
      <c r="AB70" s="1420">
        <f t="shared" si="6"/>
        <v>9964336</v>
      </c>
      <c r="AC70" s="789"/>
      <c r="AD70" s="581"/>
      <c r="AF70" s="289"/>
      <c r="AG70" s="593"/>
    </row>
    <row r="71" spans="1:33" s="242" customFormat="1" ht="27.75" customHeight="1">
      <c r="A71" s="1245">
        <v>57</v>
      </c>
      <c r="B71" s="320" t="str">
        <f>TONGHOPCONGDOI!B67</f>
        <v>03570</v>
      </c>
      <c r="C71" s="320" t="str">
        <f>TONGHOPCONGDOI!C67</f>
        <v>T. Vi Lai Văn</v>
      </c>
      <c r="D71" s="1243" t="s">
        <v>15</v>
      </c>
      <c r="E71" s="1416"/>
      <c r="F71" s="1455"/>
      <c r="G71" s="1417">
        <f t="shared" si="1"/>
        <v>0</v>
      </c>
      <c r="H71" s="1417">
        <f>VLOOKUP(C71,'sản lượng'!$D$14:$AL$169,34,0)</f>
        <v>4444</v>
      </c>
      <c r="I71" s="1418"/>
      <c r="J71" s="1417">
        <f t="shared" si="10"/>
        <v>1888.8231021771862</v>
      </c>
      <c r="K71" s="1837">
        <f>VLOOKUP($C$15:$C$107,'sản lượng'!D70:AP1030,37,0)</f>
        <v>243.53949455693291</v>
      </c>
      <c r="L71" s="1837">
        <f t="shared" si="2"/>
        <v>2132.3625967341191</v>
      </c>
      <c r="M71" s="1419" t="str">
        <f>VLOOKUP(C71,'sản lượng'!$D$14:$AP$169,39,0)</f>
        <v>A</v>
      </c>
      <c r="N71" s="2266">
        <f t="shared" si="3"/>
        <v>7804447</v>
      </c>
      <c r="O71" s="1417">
        <f>VLOOKUP(C71,TONGHOPCONGDOI!$C$11:$AA$103,20,0)</f>
        <v>27</v>
      </c>
      <c r="P71" s="1417">
        <f>VLOOKUP(C71,TONGHOPCONGDOI!$C$11:$AA$103,21,0)</f>
        <v>4</v>
      </c>
      <c r="Q71" s="1417">
        <f>VLOOKUP(C71,TONGHOPCONGDOI!$C$11:$AA$103,22,0)</f>
        <v>0</v>
      </c>
      <c r="R71" s="1417">
        <f>VLOOKUP(C71,TONGHOPCONGDOI!$C$11:$AA$103,23,0)</f>
        <v>0</v>
      </c>
      <c r="S71" s="1417">
        <f t="shared" si="4"/>
        <v>0</v>
      </c>
      <c r="T71" s="1417">
        <f>VLOOKUP(C71,TONGHOPCONGDOI!$C$11:$AA$103,25,0)</f>
        <v>0</v>
      </c>
      <c r="U71" s="1417"/>
      <c r="V71" s="1417"/>
      <c r="W71" s="1417"/>
      <c r="X71" s="1417"/>
      <c r="Y71" s="1417"/>
      <c r="Z71" s="1881">
        <f t="shared" si="5"/>
        <v>1036874</v>
      </c>
      <c r="AA71" s="1420">
        <f t="shared" si="11"/>
        <v>8841321</v>
      </c>
      <c r="AB71" s="1420">
        <f t="shared" si="6"/>
        <v>8841321</v>
      </c>
      <c r="AC71" s="789"/>
      <c r="AD71" s="581"/>
      <c r="AF71" s="289"/>
      <c r="AG71" s="593"/>
    </row>
    <row r="72" spans="1:33" s="242" customFormat="1" ht="27.75" customHeight="1">
      <c r="A72" s="1245">
        <v>58</v>
      </c>
      <c r="B72" s="320" t="str">
        <f>TONGHOPCONGDOI!B68</f>
        <v>03571</v>
      </c>
      <c r="C72" s="320" t="str">
        <f>TONGHOPCONGDOI!C68</f>
        <v>T. Ê</v>
      </c>
      <c r="D72" s="1243" t="s">
        <v>15</v>
      </c>
      <c r="E72" s="1416"/>
      <c r="F72" s="1455"/>
      <c r="G72" s="1417">
        <f t="shared" si="1"/>
        <v>0</v>
      </c>
      <c r="H72" s="1417">
        <f>VLOOKUP(C72,'sản lượng'!$D$14:$AL$169,34,0)</f>
        <v>6175</v>
      </c>
      <c r="I72" s="1418"/>
      <c r="J72" s="1417">
        <f t="shared" si="10"/>
        <v>2624.5460521926475</v>
      </c>
      <c r="K72" s="1837">
        <f>VLOOKUP($C$15:$C$107,'sản lượng'!D71:AP1031,37,0)</f>
        <v>338.40152540257895</v>
      </c>
      <c r="L72" s="1837">
        <f t="shared" si="2"/>
        <v>2962.9475775952264</v>
      </c>
      <c r="M72" s="1419" t="str">
        <f>VLOOKUP(C72,'sản lượng'!$D$14:$AP$169,39,0)</f>
        <v>A</v>
      </c>
      <c r="N72" s="2266">
        <f t="shared" si="3"/>
        <v>10844388</v>
      </c>
      <c r="O72" s="1417">
        <f>VLOOKUP(C72,TONGHOPCONGDOI!$C$11:$AA$103,20,0)</f>
        <v>27</v>
      </c>
      <c r="P72" s="1417">
        <f>VLOOKUP(C72,TONGHOPCONGDOI!$C$11:$AA$103,21,0)</f>
        <v>4</v>
      </c>
      <c r="Q72" s="1417">
        <f>VLOOKUP(C72,TONGHOPCONGDOI!$C$11:$AA$103,22,0)</f>
        <v>0</v>
      </c>
      <c r="R72" s="1417">
        <f>VLOOKUP(C72,TONGHOPCONGDOI!$C$11:$AA$103,23,0)</f>
        <v>0</v>
      </c>
      <c r="S72" s="1417">
        <f t="shared" si="4"/>
        <v>0</v>
      </c>
      <c r="T72" s="1417">
        <f>VLOOKUP(C72,TONGHOPCONGDOI!$C$11:$AA$103,25,0)</f>
        <v>0</v>
      </c>
      <c r="U72" s="1417"/>
      <c r="V72" s="1417"/>
      <c r="W72" s="1417"/>
      <c r="X72" s="1417"/>
      <c r="Y72" s="1417"/>
      <c r="Z72" s="1881">
        <f t="shared" si="5"/>
        <v>1036874</v>
      </c>
      <c r="AA72" s="1420">
        <f t="shared" si="11"/>
        <v>11881262</v>
      </c>
      <c r="AB72" s="1420">
        <f t="shared" si="6"/>
        <v>11881262</v>
      </c>
      <c r="AC72" s="789"/>
      <c r="AD72" s="581"/>
      <c r="AF72" s="289"/>
      <c r="AG72" s="593"/>
    </row>
    <row r="73" spans="1:33" s="242" customFormat="1" ht="27.75" customHeight="1">
      <c r="A73" s="1245">
        <v>59</v>
      </c>
      <c r="B73" s="320" t="str">
        <f>TONGHOPCONGDOI!B69</f>
        <v>03572</v>
      </c>
      <c r="C73" s="320" t="str">
        <f>TONGHOPCONGDOI!C69</f>
        <v>N. Lắt Đa</v>
      </c>
      <c r="D73" s="1243" t="s">
        <v>15</v>
      </c>
      <c r="E73" s="1416"/>
      <c r="F73" s="1455"/>
      <c r="G73" s="1417">
        <f t="shared" si="1"/>
        <v>0</v>
      </c>
      <c r="H73" s="1417">
        <f>VLOOKUP(C73,'sản lượng'!$D$14:$AL$169,34,0)</f>
        <v>6322</v>
      </c>
      <c r="I73" s="1418"/>
      <c r="J73" s="1417">
        <f t="shared" si="10"/>
        <v>2687.0251242043591</v>
      </c>
      <c r="K73" s="1837">
        <f>VLOOKUP($C$15:$C$107,'sản lượng'!D72:AP1032,37,0)</f>
        <v>346.4573997724865</v>
      </c>
      <c r="L73" s="1837">
        <f t="shared" si="2"/>
        <v>3033.4825239768456</v>
      </c>
      <c r="M73" s="1419" t="str">
        <f>VLOOKUP(C73,'sản lượng'!$D$14:$AP$169,39,0)</f>
        <v>A</v>
      </c>
      <c r="N73" s="2266">
        <f t="shared" si="3"/>
        <v>11102546</v>
      </c>
      <c r="O73" s="1417">
        <f>VLOOKUP(C73,TONGHOPCONGDOI!$C$11:$AA$103,20,0)</f>
        <v>27</v>
      </c>
      <c r="P73" s="1417">
        <f>VLOOKUP(C73,TONGHOPCONGDOI!$C$11:$AA$103,21,0)</f>
        <v>4</v>
      </c>
      <c r="Q73" s="1417">
        <f>VLOOKUP(C73,TONGHOPCONGDOI!$C$11:$AA$103,22,0)</f>
        <v>0</v>
      </c>
      <c r="R73" s="1417">
        <f>VLOOKUP(C73,TONGHOPCONGDOI!$C$11:$AA$103,23,0)</f>
        <v>0</v>
      </c>
      <c r="S73" s="1417">
        <f t="shared" si="4"/>
        <v>0</v>
      </c>
      <c r="T73" s="1417">
        <f>VLOOKUP(C73,TONGHOPCONGDOI!$C$11:$AA$103,25,0)</f>
        <v>0</v>
      </c>
      <c r="U73" s="1417"/>
      <c r="V73" s="1417"/>
      <c r="W73" s="1417"/>
      <c r="X73" s="1417"/>
      <c r="Y73" s="1417"/>
      <c r="Z73" s="1881">
        <f t="shared" si="5"/>
        <v>1036874</v>
      </c>
      <c r="AA73" s="1420">
        <f t="shared" si="11"/>
        <v>12139420</v>
      </c>
      <c r="AB73" s="1420">
        <f t="shared" si="6"/>
        <v>12139420</v>
      </c>
      <c r="AC73" s="789"/>
      <c r="AD73" s="581"/>
      <c r="AF73" s="289"/>
      <c r="AG73" s="593"/>
    </row>
    <row r="74" spans="1:33" s="242" customFormat="1" ht="27.75" customHeight="1">
      <c r="A74" s="1245">
        <v>60</v>
      </c>
      <c r="B74" s="320" t="str">
        <f>TONGHOPCONGDOI!B70</f>
        <v>03573</v>
      </c>
      <c r="C74" s="320" t="str">
        <f>TONGHOPCONGDOI!C70</f>
        <v>N. Tieng Na</v>
      </c>
      <c r="D74" s="1243" t="s">
        <v>15</v>
      </c>
      <c r="E74" s="1416"/>
      <c r="F74" s="1455"/>
      <c r="G74" s="1417">
        <f t="shared" si="1"/>
        <v>0</v>
      </c>
      <c r="H74" s="1417">
        <f>VLOOKUP(C74,'sản lượng'!$D$14:$AL$169,34,0)</f>
        <v>4637</v>
      </c>
      <c r="I74" s="1418"/>
      <c r="J74" s="1417">
        <f t="shared" si="10"/>
        <v>1970.8534484238553</v>
      </c>
      <c r="K74" s="1837">
        <f>VLOOKUP($C$15:$C$107,'sản lượng'!D73:AP1033,37,0)</f>
        <v>254.11625478409044</v>
      </c>
      <c r="L74" s="1837">
        <f t="shared" si="2"/>
        <v>2224.9697032079457</v>
      </c>
      <c r="M74" s="1419" t="str">
        <f>VLOOKUP(C74,'sản lượng'!$D$14:$AP$169,39,0)</f>
        <v>A</v>
      </c>
      <c r="N74" s="2266">
        <f t="shared" si="3"/>
        <v>8143389</v>
      </c>
      <c r="O74" s="1417">
        <f>VLOOKUP(C74,TONGHOPCONGDOI!$C$11:$AA$103,20,0)</f>
        <v>27</v>
      </c>
      <c r="P74" s="1417">
        <f>VLOOKUP(C74,TONGHOPCONGDOI!$C$11:$AA$103,21,0)</f>
        <v>4</v>
      </c>
      <c r="Q74" s="1417">
        <f>VLOOKUP(C74,TONGHOPCONGDOI!$C$11:$AA$103,22,0)</f>
        <v>0</v>
      </c>
      <c r="R74" s="1417">
        <f>VLOOKUP(C74,TONGHOPCONGDOI!$C$11:$AA$103,23,0)</f>
        <v>0</v>
      </c>
      <c r="S74" s="1417">
        <f t="shared" si="4"/>
        <v>0</v>
      </c>
      <c r="T74" s="1417">
        <f>VLOOKUP(C74,TONGHOPCONGDOI!$C$11:$AA$103,25,0)</f>
        <v>0</v>
      </c>
      <c r="U74" s="1417"/>
      <c r="V74" s="1417"/>
      <c r="W74" s="1417"/>
      <c r="X74" s="1417"/>
      <c r="Y74" s="1417"/>
      <c r="Z74" s="1881">
        <f t="shared" si="5"/>
        <v>1036874</v>
      </c>
      <c r="AA74" s="1420">
        <f t="shared" si="11"/>
        <v>9180263</v>
      </c>
      <c r="AB74" s="1420">
        <f t="shared" si="6"/>
        <v>9180263</v>
      </c>
      <c r="AC74" s="789"/>
      <c r="AD74" s="581"/>
      <c r="AF74" s="289"/>
      <c r="AG74" s="593"/>
    </row>
    <row r="75" spans="1:33" s="242" customFormat="1" ht="27.75" customHeight="1">
      <c r="A75" s="1245">
        <v>61</v>
      </c>
      <c r="B75" s="320" t="str">
        <f>TONGHOPCONGDOI!B71</f>
        <v>04111</v>
      </c>
      <c r="C75" s="320" t="str">
        <f>TONGHOPCONGDOI!C71</f>
        <v>A Nha</v>
      </c>
      <c r="D75" s="1243" t="s">
        <v>15</v>
      </c>
      <c r="E75" s="1416"/>
      <c r="F75" s="1455"/>
      <c r="G75" s="1417">
        <f t="shared" si="1"/>
        <v>0</v>
      </c>
      <c r="H75" s="1417">
        <f>VLOOKUP(C75,'sản lượng'!$D$14:$AL$169,34,0)</f>
        <v>3097</v>
      </c>
      <c r="I75" s="1418"/>
      <c r="J75" s="1417">
        <f t="shared" si="10"/>
        <v>1316.3107892535431</v>
      </c>
      <c r="K75" s="1837">
        <f>VLOOKUP($C$15:$C$107,'sản lượng'!D74:AP1034,37,0)</f>
        <v>169.72138043267805</v>
      </c>
      <c r="L75" s="1837">
        <f t="shared" si="2"/>
        <v>1486.0321696862211</v>
      </c>
      <c r="M75" s="1419" t="str">
        <f>VLOOKUP(C75,'sản lượng'!$D$14:$AP$169,39,0)</f>
        <v>B</v>
      </c>
      <c r="N75" s="2266">
        <f t="shared" si="3"/>
        <v>5171392</v>
      </c>
      <c r="O75" s="1417">
        <f>VLOOKUP(C75,TONGHOPCONGDOI!$C$11:$AA$103,20,0)</f>
        <v>21</v>
      </c>
      <c r="P75" s="1417">
        <f>VLOOKUP(C75,TONGHOPCONGDOI!$C$11:$AA$103,21,0)</f>
        <v>4</v>
      </c>
      <c r="Q75" s="1417">
        <f>VLOOKUP(C75,TONGHOPCONGDOI!$C$11:$AA$103,22,0)</f>
        <v>0</v>
      </c>
      <c r="R75" s="1417">
        <f>VLOOKUP(C75,TONGHOPCONGDOI!$C$11:$AA$103,23,0)</f>
        <v>0</v>
      </c>
      <c r="S75" s="1417">
        <f t="shared" si="4"/>
        <v>0</v>
      </c>
      <c r="T75" s="1417">
        <f>VLOOKUP(C75,TONGHOPCONGDOI!$C$11:$AA$103,25,0)</f>
        <v>0</v>
      </c>
      <c r="U75" s="1417"/>
      <c r="V75" s="1417"/>
      <c r="W75" s="1417"/>
      <c r="X75" s="1417"/>
      <c r="Y75" s="1417"/>
      <c r="Z75" s="1881">
        <f t="shared" si="5"/>
        <v>852117</v>
      </c>
      <c r="AA75" s="1420">
        <f t="shared" si="11"/>
        <v>6023509</v>
      </c>
      <c r="AB75" s="1420">
        <f t="shared" si="6"/>
        <v>6023509</v>
      </c>
      <c r="AC75" s="789"/>
      <c r="AD75" s="581"/>
      <c r="AF75" s="289"/>
      <c r="AG75" s="593"/>
    </row>
    <row r="76" spans="1:33" s="242" customFormat="1" ht="27.75" customHeight="1">
      <c r="A76" s="1245">
        <v>62</v>
      </c>
      <c r="B76" s="320" t="str">
        <f>TONGHOPCONGDOI!B72</f>
        <v>03534</v>
      </c>
      <c r="C76" s="320" t="str">
        <f>TONGHOPCONGDOI!C72</f>
        <v>T. Un</v>
      </c>
      <c r="D76" s="1243" t="s">
        <v>15</v>
      </c>
      <c r="E76" s="1416"/>
      <c r="F76" s="1455"/>
      <c r="G76" s="1417">
        <f t="shared" ref="G76:G93" si="12">F76*25000</f>
        <v>0</v>
      </c>
      <c r="H76" s="1417">
        <f>VLOOKUP(C76,'sản lượng'!$D$14:$AL$169,34,0)</f>
        <v>5728</v>
      </c>
      <c r="I76" s="1418"/>
      <c r="J76" s="1417">
        <f t="shared" si="10"/>
        <v>2434.5586699529531</v>
      </c>
      <c r="K76" s="1837">
        <f>VLOOKUP($C$15:$C$107,'sản lượng'!D75:AP1035,37,0)</f>
        <v>313.90509109408458</v>
      </c>
      <c r="L76" s="1837">
        <f t="shared" si="2"/>
        <v>2748.4637610470377</v>
      </c>
      <c r="M76" s="1419" t="str">
        <f>VLOOKUP(C76,'sản lượng'!$D$14:$AP$169,39,0)</f>
        <v>B</v>
      </c>
      <c r="N76" s="2266">
        <f t="shared" si="3"/>
        <v>9564654</v>
      </c>
      <c r="O76" s="1417">
        <f>VLOOKUP(C76,TONGHOPCONGDOI!$C$11:$AA$103,20,0)</f>
        <v>27</v>
      </c>
      <c r="P76" s="1417">
        <f>VLOOKUP(C76,TONGHOPCONGDOI!$C$11:$AA$103,21,0)</f>
        <v>4</v>
      </c>
      <c r="Q76" s="1417">
        <f>VLOOKUP(C76,TONGHOPCONGDOI!$C$11:$AA$103,22,0)</f>
        <v>0</v>
      </c>
      <c r="R76" s="1417">
        <f>VLOOKUP(C76,TONGHOPCONGDOI!$C$11:$AA$103,23,0)</f>
        <v>0</v>
      </c>
      <c r="S76" s="1417">
        <f t="shared" si="4"/>
        <v>0</v>
      </c>
      <c r="T76" s="1417">
        <f>VLOOKUP(C76,TONGHOPCONGDOI!$C$11:$AA$103,25,0)</f>
        <v>0</v>
      </c>
      <c r="U76" s="1417"/>
      <c r="V76" s="1417"/>
      <c r="W76" s="1417"/>
      <c r="X76" s="1417"/>
      <c r="Y76" s="1417"/>
      <c r="Z76" s="1881">
        <f t="shared" si="5"/>
        <v>1036874</v>
      </c>
      <c r="AA76" s="1420">
        <f t="shared" si="11"/>
        <v>10601528</v>
      </c>
      <c r="AB76" s="1420">
        <f t="shared" ref="AB76:AB93" si="13">AA76</f>
        <v>10601528</v>
      </c>
      <c r="AC76" s="789"/>
      <c r="AD76" s="581"/>
      <c r="AF76" s="289"/>
      <c r="AG76" s="593"/>
    </row>
    <row r="77" spans="1:33" s="242" customFormat="1" ht="27.75" customHeight="1">
      <c r="A77" s="1245">
        <v>63</v>
      </c>
      <c r="B77" s="320" t="str">
        <f>TONGHOPCONGDOI!B73</f>
        <v>03576</v>
      </c>
      <c r="C77" s="320" t="str">
        <f>TONGHOPCONGDOI!C73</f>
        <v>T. Sinh</v>
      </c>
      <c r="D77" s="1243" t="s">
        <v>15</v>
      </c>
      <c r="E77" s="1416"/>
      <c r="F77" s="1455"/>
      <c r="G77" s="1417">
        <f t="shared" si="12"/>
        <v>0</v>
      </c>
      <c r="H77" s="1417">
        <f>VLOOKUP(C77,'sản lượng'!$D$14:$AL$169,34,0)</f>
        <v>4543</v>
      </c>
      <c r="I77" s="1418"/>
      <c r="J77" s="1417">
        <f t="shared" si="10"/>
        <v>1930.9008445524205</v>
      </c>
      <c r="K77" s="1837">
        <f>VLOOKUP($C$15:$C$107,'sản lượng'!D76:AP1036,37,0)</f>
        <v>248.96487933666657</v>
      </c>
      <c r="L77" s="1837">
        <f t="shared" si="2"/>
        <v>2179.8657238890869</v>
      </c>
      <c r="M77" s="1419" t="str">
        <f>VLOOKUP(C77,'sản lượng'!$D$14:$AP$169,39,0)</f>
        <v>A</v>
      </c>
      <c r="N77" s="2266">
        <f t="shared" si="3"/>
        <v>7978309</v>
      </c>
      <c r="O77" s="1417">
        <f>VLOOKUP(C77,TONGHOPCONGDOI!$C$11:$AA$103,20,0)</f>
        <v>26</v>
      </c>
      <c r="P77" s="1417">
        <f>VLOOKUP(C77,TONGHOPCONGDOI!$C$11:$AA$103,21,0)</f>
        <v>4</v>
      </c>
      <c r="Q77" s="1417">
        <f>VLOOKUP(C77,TONGHOPCONGDOI!$C$11:$AA$103,22,0)</f>
        <v>0</v>
      </c>
      <c r="R77" s="1417">
        <f>VLOOKUP(C77,TONGHOPCONGDOI!$C$11:$AA$103,23,0)</f>
        <v>0</v>
      </c>
      <c r="S77" s="1417">
        <f t="shared" si="4"/>
        <v>0</v>
      </c>
      <c r="T77" s="1417">
        <f>VLOOKUP(C77,TONGHOPCONGDOI!$C$11:$AA$103,25,0)</f>
        <v>0</v>
      </c>
      <c r="U77" s="1417"/>
      <c r="V77" s="1417"/>
      <c r="W77" s="1417"/>
      <c r="X77" s="1417"/>
      <c r="Y77" s="1417"/>
      <c r="Z77" s="1881">
        <f t="shared" si="5"/>
        <v>1006081</v>
      </c>
      <c r="AA77" s="1420">
        <f t="shared" si="11"/>
        <v>8984390</v>
      </c>
      <c r="AB77" s="1420">
        <f t="shared" si="13"/>
        <v>8984390</v>
      </c>
      <c r="AC77" s="789"/>
      <c r="AD77" s="581"/>
      <c r="AF77" s="289"/>
      <c r="AG77" s="593"/>
    </row>
    <row r="78" spans="1:33" s="242" customFormat="1" ht="27.75" customHeight="1">
      <c r="A78" s="1245">
        <v>64</v>
      </c>
      <c r="B78" s="320" t="str">
        <f>TONGHOPCONGDOI!B74</f>
        <v>04112</v>
      </c>
      <c r="C78" s="320" t="str">
        <f>TONGHOPCONGDOI!C74</f>
        <v>T. Khăm Công</v>
      </c>
      <c r="D78" s="1243" t="s">
        <v>15</v>
      </c>
      <c r="E78" s="1416"/>
      <c r="F78" s="1455"/>
      <c r="G78" s="1417">
        <f t="shared" si="12"/>
        <v>0</v>
      </c>
      <c r="H78" s="1417">
        <f>VLOOKUP(C78,'sản lượng'!$D$14:$AL$169,34,0)</f>
        <v>4254</v>
      </c>
      <c r="I78" s="1418"/>
      <c r="J78" s="1417">
        <f t="shared" si="10"/>
        <v>1808.0678390327971</v>
      </c>
      <c r="K78" s="1837">
        <f>VLOOKUP($C$15:$C$107,'sản lượng'!D77:AP1037,37,0)</f>
        <v>233.12713992916127</v>
      </c>
      <c r="L78" s="1837">
        <f t="shared" si="2"/>
        <v>2041.1949789619584</v>
      </c>
      <c r="M78" s="1419" t="str">
        <f>VLOOKUP(C78,'sản lượng'!$D$14:$AP$169,39,0)</f>
        <v>B</v>
      </c>
      <c r="N78" s="2266">
        <f t="shared" si="3"/>
        <v>7103359</v>
      </c>
      <c r="O78" s="1417">
        <f>VLOOKUP(C78,TONGHOPCONGDOI!$C$11:$AA$103,20,0)</f>
        <v>20</v>
      </c>
      <c r="P78" s="1417">
        <f>VLOOKUP(C78,TONGHOPCONGDOI!$C$11:$AA$103,21,0)</f>
        <v>4</v>
      </c>
      <c r="Q78" s="1417">
        <f>VLOOKUP(C78,TONGHOPCONGDOI!$C$11:$AA$103,22,0)</f>
        <v>0</v>
      </c>
      <c r="R78" s="1417">
        <f>VLOOKUP(C78,TONGHOPCONGDOI!$C$11:$AA$103,23,0)</f>
        <v>0</v>
      </c>
      <c r="S78" s="1417">
        <f t="shared" si="4"/>
        <v>0</v>
      </c>
      <c r="T78" s="1417">
        <f>VLOOKUP(C78,TONGHOPCONGDOI!$C$11:$AA$103,25,0)</f>
        <v>0</v>
      </c>
      <c r="U78" s="1417"/>
      <c r="V78" s="1417"/>
      <c r="W78" s="1417"/>
      <c r="X78" s="1417"/>
      <c r="Y78" s="1417"/>
      <c r="Z78" s="1881">
        <f t="shared" si="5"/>
        <v>821324</v>
      </c>
      <c r="AA78" s="1420">
        <f t="shared" si="11"/>
        <v>7924683</v>
      </c>
      <c r="AB78" s="1420">
        <f t="shared" si="13"/>
        <v>7924683</v>
      </c>
      <c r="AC78" s="789"/>
      <c r="AD78" s="581"/>
      <c r="AF78" s="289"/>
      <c r="AG78" s="593"/>
    </row>
    <row r="79" spans="1:33" s="242" customFormat="1" ht="27.75" customHeight="1">
      <c r="A79" s="1245">
        <v>65</v>
      </c>
      <c r="B79" s="320" t="str">
        <f>TONGHOPCONGDOI!B75</f>
        <v>04113</v>
      </c>
      <c r="C79" s="320" t="str">
        <f>TONGHOPCONGDOI!C75</f>
        <v>Un Seng</v>
      </c>
      <c r="D79" s="1243" t="s">
        <v>15</v>
      </c>
      <c r="E79" s="1416"/>
      <c r="F79" s="1455"/>
      <c r="G79" s="1417">
        <f t="shared" si="12"/>
        <v>0</v>
      </c>
      <c r="H79" s="1417">
        <f>VLOOKUP(C79,'sản lượng'!$D$14:$AL$169,34,0)</f>
        <v>3774</v>
      </c>
      <c r="I79" s="1418"/>
      <c r="J79" s="1417">
        <f t="shared" ref="J79:J97" si="14">H79*$AF$6</f>
        <v>1604.0545426680244</v>
      </c>
      <c r="K79" s="1837">
        <f>VLOOKUP($C$15:$C$107,'sản lượng'!D78:AP1038,37,0)</f>
        <v>206.82224402742233</v>
      </c>
      <c r="L79" s="1837">
        <f t="shared" si="2"/>
        <v>1810.8767866954468</v>
      </c>
      <c r="M79" s="1419" t="str">
        <f>VLOOKUP(C79,'sản lượng'!$D$14:$AP$169,39,0)</f>
        <v>B</v>
      </c>
      <c r="N79" s="2266">
        <f t="shared" si="3"/>
        <v>6301851</v>
      </c>
      <c r="O79" s="1417">
        <f>VLOOKUP(C79,TONGHOPCONGDOI!$C$11:$AA$103,20,0)</f>
        <v>26</v>
      </c>
      <c r="P79" s="1417">
        <f>VLOOKUP(C79,TONGHOPCONGDOI!$C$11:$AA$103,21,0)</f>
        <v>4</v>
      </c>
      <c r="Q79" s="1417">
        <f>VLOOKUP(C79,TONGHOPCONGDOI!$C$11:$AA$103,22,0)</f>
        <v>0</v>
      </c>
      <c r="R79" s="1417">
        <f>VLOOKUP(C79,TONGHOPCONGDOI!$C$11:$AA$103,23,0)</f>
        <v>0</v>
      </c>
      <c r="S79" s="1417">
        <f t="shared" si="4"/>
        <v>0</v>
      </c>
      <c r="T79" s="1417">
        <f>VLOOKUP(C79,TONGHOPCONGDOI!$C$11:$AA$103,25,0)</f>
        <v>0</v>
      </c>
      <c r="U79" s="1417"/>
      <c r="V79" s="1417"/>
      <c r="W79" s="1417"/>
      <c r="X79" s="1417"/>
      <c r="Y79" s="1417"/>
      <c r="Z79" s="1881">
        <f t="shared" si="5"/>
        <v>1006081</v>
      </c>
      <c r="AA79" s="1420">
        <f t="shared" ref="AA79:AA107" si="15">+N79+G79+Z79</f>
        <v>7307932</v>
      </c>
      <c r="AB79" s="1420">
        <f t="shared" si="13"/>
        <v>7307932</v>
      </c>
      <c r="AC79" s="789"/>
      <c r="AD79" s="581"/>
      <c r="AF79" s="289"/>
      <c r="AG79" s="593"/>
    </row>
    <row r="80" spans="1:33" s="242" customFormat="1" ht="27.75" customHeight="1">
      <c r="A80" s="1245">
        <v>66</v>
      </c>
      <c r="B80" s="320" t="str">
        <f>TONGHOPCONGDOI!B76</f>
        <v>04114</v>
      </c>
      <c r="C80" s="320" t="str">
        <f>TONGHOPCONGDOI!C76</f>
        <v>N . Lạ</v>
      </c>
      <c r="D80" s="1243" t="s">
        <v>15</v>
      </c>
      <c r="E80" s="1416"/>
      <c r="F80" s="1455"/>
      <c r="G80" s="1417">
        <f t="shared" si="12"/>
        <v>0</v>
      </c>
      <c r="H80" s="1417">
        <f>VLOOKUP(C80,'sản lượng'!$D$14:$AL$169,34,0)</f>
        <v>5017</v>
      </c>
      <c r="I80" s="1418"/>
      <c r="J80" s="1417">
        <f t="shared" si="14"/>
        <v>2132.3639747126335</v>
      </c>
      <c r="K80" s="1837">
        <f>VLOOKUP($C$15:$C$107,'sản lượng'!D79:AP1039,37,0)</f>
        <v>274.94096403963374</v>
      </c>
      <c r="L80" s="1837">
        <f t="shared" ref="L80:L99" si="16">J80+K80</f>
        <v>2407.3049387522674</v>
      </c>
      <c r="M80" s="1419" t="str">
        <f>VLOOKUP(C80,'sản lượng'!$D$14:$AP$169,39,0)</f>
        <v>A</v>
      </c>
      <c r="N80" s="2266">
        <f t="shared" ref="N80:N107" si="17">ROUND((IF(M80="A",(L80*6.1),IF(M80="B",(L80*5.8),IF(M80="C",(L80*5.5),IF(M80="D",(L80*5.2),0))))*$E$8),0)</f>
        <v>8810736</v>
      </c>
      <c r="O80" s="1417">
        <f>VLOOKUP(C80,TONGHOPCONGDOI!$C$11:$AA$103,20,0)</f>
        <v>27</v>
      </c>
      <c r="P80" s="1417">
        <f>VLOOKUP(C80,TONGHOPCONGDOI!$C$11:$AA$103,21,0)</f>
        <v>4</v>
      </c>
      <c r="Q80" s="1417">
        <f>VLOOKUP(C80,TONGHOPCONGDOI!$C$11:$AA$103,22,0)</f>
        <v>0</v>
      </c>
      <c r="R80" s="1417">
        <f>VLOOKUP(C80,TONGHOPCONGDOI!$C$11:$AA$103,23,0)</f>
        <v>0</v>
      </c>
      <c r="S80" s="1417">
        <f t="shared" ref="S80:S107" si="18">Q80+R80</f>
        <v>0</v>
      </c>
      <c r="T80" s="1417">
        <f>VLOOKUP(C80,TONGHOPCONGDOI!$C$11:$AA$103,25,0)</f>
        <v>0</v>
      </c>
      <c r="U80" s="1417"/>
      <c r="V80" s="1417"/>
      <c r="W80" s="1417"/>
      <c r="X80" s="1417"/>
      <c r="Y80" s="1417"/>
      <c r="Z80" s="1881">
        <f t="shared" ref="Z80:Z107" si="19">ROUND(((O80*46.1)+(P80*76.9)+(R80*153.8)+(Q80*92.2)+(T80*153.8))*$F$8+(S80*100000)+(U80*25000)+(V80*10000)+(W80*30000),0)</f>
        <v>1036874</v>
      </c>
      <c r="AA80" s="1420">
        <f t="shared" si="15"/>
        <v>9847610</v>
      </c>
      <c r="AB80" s="1420">
        <f t="shared" si="13"/>
        <v>9847610</v>
      </c>
      <c r="AC80" s="789"/>
      <c r="AD80" s="581"/>
      <c r="AF80" s="289"/>
      <c r="AG80" s="593"/>
    </row>
    <row r="81" spans="1:33" s="242" customFormat="1" ht="27.75" customHeight="1">
      <c r="A81" s="1245">
        <v>67</v>
      </c>
      <c r="B81" s="320" t="str">
        <f>TONGHOPCONGDOI!B77</f>
        <v>04115</v>
      </c>
      <c r="C81" s="320" t="str">
        <f>TONGHOPCONGDOI!C77</f>
        <v>T. Chỏ</v>
      </c>
      <c r="D81" s="1243" t="s">
        <v>15</v>
      </c>
      <c r="E81" s="1416"/>
      <c r="F81" s="1455"/>
      <c r="G81" s="1417">
        <f t="shared" si="12"/>
        <v>0</v>
      </c>
      <c r="H81" s="1417">
        <f>VLOOKUP(C81,'sản lượng'!$D$14:$AL$169,34,0)</f>
        <v>2989</v>
      </c>
      <c r="I81" s="1418"/>
      <c r="J81" s="1417">
        <f t="shared" si="14"/>
        <v>1270.4077975714692</v>
      </c>
      <c r="K81" s="1837">
        <f>VLOOKUP($C$15:$C$107,'sản lượng'!D80:AP1040,37,0)</f>
        <v>163.80277885478679</v>
      </c>
      <c r="L81" s="1837">
        <f t="shared" si="16"/>
        <v>1434.210576426256</v>
      </c>
      <c r="M81" s="1419" t="str">
        <f>VLOOKUP(C81,'sản lượng'!$D$14:$AP$169,39,0)</f>
        <v>B</v>
      </c>
      <c r="N81" s="2266">
        <f t="shared" si="17"/>
        <v>4991053</v>
      </c>
      <c r="O81" s="1417">
        <f>VLOOKUP(C81,TONGHOPCONGDOI!$C$11:$AA$103,20,0)</f>
        <v>21</v>
      </c>
      <c r="P81" s="1417">
        <f>VLOOKUP(C81,TONGHOPCONGDOI!$C$11:$AA$103,21,0)</f>
        <v>4</v>
      </c>
      <c r="Q81" s="1417">
        <f>VLOOKUP(C81,TONGHOPCONGDOI!$C$11:$AA$103,22,0)</f>
        <v>0</v>
      </c>
      <c r="R81" s="1417">
        <f>VLOOKUP(C81,TONGHOPCONGDOI!$C$11:$AA$103,23,0)</f>
        <v>0</v>
      </c>
      <c r="S81" s="1417">
        <f t="shared" si="18"/>
        <v>0</v>
      </c>
      <c r="T81" s="1417">
        <f>VLOOKUP(C81,TONGHOPCONGDOI!$C$11:$AA$103,25,0)</f>
        <v>0</v>
      </c>
      <c r="U81" s="1417"/>
      <c r="V81" s="1417"/>
      <c r="W81" s="1417"/>
      <c r="X81" s="1417"/>
      <c r="Y81" s="1417"/>
      <c r="Z81" s="1881">
        <f t="shared" si="19"/>
        <v>852117</v>
      </c>
      <c r="AA81" s="1420">
        <f t="shared" si="15"/>
        <v>5843170</v>
      </c>
      <c r="AB81" s="1420">
        <f t="shared" si="13"/>
        <v>5843170</v>
      </c>
      <c r="AC81" s="789"/>
      <c r="AD81" s="581"/>
      <c r="AF81" s="289"/>
      <c r="AG81" s="593"/>
    </row>
    <row r="82" spans="1:33" s="242" customFormat="1" ht="27.75" customHeight="1">
      <c r="A82" s="1245">
        <v>68</v>
      </c>
      <c r="B82" s="320" t="str">
        <f>TONGHOPCONGDOI!B78</f>
        <v>04116</v>
      </c>
      <c r="C82" s="320" t="str">
        <f>TONGHOPCONGDOI!C78</f>
        <v>N. Xôm Pheng</v>
      </c>
      <c r="D82" s="1243" t="s">
        <v>15</v>
      </c>
      <c r="E82" s="1416"/>
      <c r="F82" s="1455"/>
      <c r="G82" s="1417">
        <f t="shared" si="12"/>
        <v>0</v>
      </c>
      <c r="H82" s="1417">
        <f>VLOOKUP(C82,'sản lượng'!$D$14:$AL$169,34,0)</f>
        <v>3769</v>
      </c>
      <c r="I82" s="1418"/>
      <c r="J82" s="1417">
        <f t="shared" si="14"/>
        <v>1601.9294041642247</v>
      </c>
      <c r="K82" s="1837">
        <f>VLOOKUP($C$15:$C$107,'sản lượng'!D81:AP1041,37,0)</f>
        <v>206.54823469511254</v>
      </c>
      <c r="L82" s="1837">
        <f t="shared" si="16"/>
        <v>1808.4776388593373</v>
      </c>
      <c r="M82" s="1419" t="str">
        <f>VLOOKUP(C82,'sản lượng'!$D$14:$AP$169,39,0)</f>
        <v>B</v>
      </c>
      <c r="N82" s="2266">
        <f t="shared" si="17"/>
        <v>6293502</v>
      </c>
      <c r="O82" s="1417">
        <f>VLOOKUP(C82,TONGHOPCONGDOI!$C$11:$AA$103,20,0)</f>
        <v>27</v>
      </c>
      <c r="P82" s="1417">
        <f>VLOOKUP(C82,TONGHOPCONGDOI!$C$11:$AA$103,21,0)</f>
        <v>4</v>
      </c>
      <c r="Q82" s="1417">
        <f>VLOOKUP(C82,TONGHOPCONGDOI!$C$11:$AA$103,22,0)</f>
        <v>0</v>
      </c>
      <c r="R82" s="1417">
        <f>VLOOKUP(C82,TONGHOPCONGDOI!$C$11:$AA$103,23,0)</f>
        <v>0</v>
      </c>
      <c r="S82" s="1417">
        <f t="shared" si="18"/>
        <v>0</v>
      </c>
      <c r="T82" s="1417">
        <f>VLOOKUP(C82,TONGHOPCONGDOI!$C$11:$AA$103,25,0)</f>
        <v>0</v>
      </c>
      <c r="U82" s="1417"/>
      <c r="V82" s="1417"/>
      <c r="W82" s="1417"/>
      <c r="X82" s="1417"/>
      <c r="Y82" s="1417"/>
      <c r="Z82" s="1881">
        <f t="shared" si="19"/>
        <v>1036874</v>
      </c>
      <c r="AA82" s="1420">
        <f t="shared" si="15"/>
        <v>7330376</v>
      </c>
      <c r="AB82" s="1420">
        <f t="shared" si="13"/>
        <v>7330376</v>
      </c>
      <c r="AC82" s="789"/>
      <c r="AD82" s="581"/>
      <c r="AF82" s="289"/>
      <c r="AG82" s="593"/>
    </row>
    <row r="83" spans="1:33" s="242" customFormat="1" ht="27.75" customHeight="1">
      <c r="A83" s="1245">
        <v>69</v>
      </c>
      <c r="B83" s="320" t="str">
        <f>TONGHOPCONGDOI!B79</f>
        <v>03456</v>
      </c>
      <c r="C83" s="320" t="str">
        <f>TONGHOPCONGDOI!C79</f>
        <v>T. Vôn</v>
      </c>
      <c r="D83" s="1243" t="s">
        <v>15</v>
      </c>
      <c r="E83" s="1416"/>
      <c r="F83" s="1455"/>
      <c r="G83" s="1417">
        <f t="shared" si="12"/>
        <v>0</v>
      </c>
      <c r="H83" s="1417">
        <f>VLOOKUP(C83,'sản lượng'!$D$14:$AL$169,34,0)</f>
        <v>6236</v>
      </c>
      <c r="I83" s="1418"/>
      <c r="J83" s="1417">
        <f t="shared" si="14"/>
        <v>2650.4727419390038</v>
      </c>
      <c r="K83" s="1837">
        <f>VLOOKUP($C$15:$C$107,'sản lượng'!D82:AP1042,37,0)</f>
        <v>341.74443925675826</v>
      </c>
      <c r="L83" s="1837">
        <f t="shared" si="16"/>
        <v>2992.2171811957619</v>
      </c>
      <c r="M83" s="1419" t="str">
        <f>VLOOKUP(C83,'sản lượng'!$D$14:$AP$169,39,0)</f>
        <v>A</v>
      </c>
      <c r="N83" s="2266">
        <f t="shared" si="17"/>
        <v>10951515</v>
      </c>
      <c r="O83" s="1417">
        <f>VLOOKUP(C83,TONGHOPCONGDOI!$C$11:$AA$103,20,0)</f>
        <v>27</v>
      </c>
      <c r="P83" s="1417">
        <f>VLOOKUP(C83,TONGHOPCONGDOI!$C$11:$AA$103,21,0)</f>
        <v>4</v>
      </c>
      <c r="Q83" s="1417">
        <f>VLOOKUP(C83,TONGHOPCONGDOI!$C$11:$AA$103,22,0)</f>
        <v>0</v>
      </c>
      <c r="R83" s="1417">
        <f>VLOOKUP(C83,TONGHOPCONGDOI!$C$11:$AA$103,23,0)</f>
        <v>0</v>
      </c>
      <c r="S83" s="1417">
        <f t="shared" si="18"/>
        <v>0</v>
      </c>
      <c r="T83" s="1417">
        <f>VLOOKUP(C83,TONGHOPCONGDOI!$C$11:$AA$103,25,0)</f>
        <v>0</v>
      </c>
      <c r="U83" s="1417"/>
      <c r="V83" s="1417"/>
      <c r="W83" s="1417"/>
      <c r="X83" s="1417"/>
      <c r="Y83" s="1417"/>
      <c r="Z83" s="1881">
        <f t="shared" si="19"/>
        <v>1036874</v>
      </c>
      <c r="AA83" s="1420">
        <f t="shared" si="15"/>
        <v>11988389</v>
      </c>
      <c r="AB83" s="1420">
        <f t="shared" si="13"/>
        <v>11988389</v>
      </c>
      <c r="AC83" s="789"/>
      <c r="AD83" s="581"/>
      <c r="AF83" s="289"/>
      <c r="AG83" s="593"/>
    </row>
    <row r="84" spans="1:33" s="242" customFormat="1" ht="27.75" customHeight="1">
      <c r="A84" s="1245">
        <v>70</v>
      </c>
      <c r="B84" s="320" t="str">
        <f>TONGHOPCONGDOI!B80</f>
        <v>03583</v>
      </c>
      <c r="C84" s="320" t="str">
        <f>TONGHOPCONGDOI!C80</f>
        <v>Đa Ly</v>
      </c>
      <c r="D84" s="1243" t="s">
        <v>15</v>
      </c>
      <c r="E84" s="1416"/>
      <c r="F84" s="1455"/>
      <c r="G84" s="1417">
        <f t="shared" si="12"/>
        <v>0</v>
      </c>
      <c r="H84" s="1417">
        <f>VLOOKUP(C84,'sản lượng'!$D$14:$AL$169,34,0)</f>
        <v>6304</v>
      </c>
      <c r="I84" s="1418"/>
      <c r="J84" s="1417">
        <f t="shared" si="14"/>
        <v>2679.3746255906799</v>
      </c>
      <c r="K84" s="1837">
        <f>VLOOKUP($C$15:$C$107,'sản lượng'!D83:AP1043,37,0)</f>
        <v>345.47096617617126</v>
      </c>
      <c r="L84" s="1837">
        <f t="shared" si="16"/>
        <v>3024.8455917668512</v>
      </c>
      <c r="M84" s="1419" t="str">
        <f>VLOOKUP(C84,'sản lượng'!$D$14:$AP$169,39,0)</f>
        <v>A</v>
      </c>
      <c r="N84" s="2266">
        <f t="shared" si="17"/>
        <v>11070935</v>
      </c>
      <c r="O84" s="1417">
        <f>VLOOKUP(C84,TONGHOPCONGDOI!$C$11:$AA$103,20,0)</f>
        <v>27</v>
      </c>
      <c r="P84" s="1417">
        <f>VLOOKUP(C84,TONGHOPCONGDOI!$C$11:$AA$103,21,0)</f>
        <v>4</v>
      </c>
      <c r="Q84" s="1417">
        <f>VLOOKUP(C84,TONGHOPCONGDOI!$C$11:$AA$103,22,0)</f>
        <v>0</v>
      </c>
      <c r="R84" s="1417">
        <f>VLOOKUP(C84,TONGHOPCONGDOI!$C$11:$AA$103,23,0)</f>
        <v>0</v>
      </c>
      <c r="S84" s="1417">
        <f t="shared" si="18"/>
        <v>0</v>
      </c>
      <c r="T84" s="1417">
        <f>VLOOKUP(C84,TONGHOPCONGDOI!$C$11:$AA$103,25,0)</f>
        <v>0</v>
      </c>
      <c r="U84" s="1417"/>
      <c r="V84" s="1417"/>
      <c r="W84" s="1417"/>
      <c r="X84" s="1417"/>
      <c r="Y84" s="1417"/>
      <c r="Z84" s="1881">
        <f t="shared" si="19"/>
        <v>1036874</v>
      </c>
      <c r="AA84" s="1420">
        <f t="shared" si="15"/>
        <v>12107809</v>
      </c>
      <c r="AB84" s="1420">
        <f t="shared" si="13"/>
        <v>12107809</v>
      </c>
      <c r="AC84" s="789"/>
      <c r="AD84" s="581"/>
      <c r="AF84" s="289"/>
      <c r="AG84" s="593"/>
    </row>
    <row r="85" spans="1:33" s="242" customFormat="1" ht="27.75" customHeight="1">
      <c r="A85" s="1245">
        <v>71</v>
      </c>
      <c r="B85" s="320" t="str">
        <f>TONGHOPCONGDOI!B81</f>
        <v>04117</v>
      </c>
      <c r="C85" s="320" t="str">
        <f>TONGHOPCONGDOI!C81</f>
        <v>Khút Thong</v>
      </c>
      <c r="D85" s="1243" t="s">
        <v>15</v>
      </c>
      <c r="E85" s="1416"/>
      <c r="F85" s="1455"/>
      <c r="G85" s="1417">
        <f t="shared" si="12"/>
        <v>0</v>
      </c>
      <c r="H85" s="1417">
        <f>VLOOKUP(C85,'sản lượng'!$D$14:$AL$169,34,0)</f>
        <v>4448</v>
      </c>
      <c r="I85" s="1418"/>
      <c r="J85" s="1417">
        <f t="shared" si="14"/>
        <v>1890.5232129802259</v>
      </c>
      <c r="K85" s="1837">
        <f>VLOOKUP($C$15:$C$107,'sản lượng'!D84:AP1044,37,0)</f>
        <v>243.75870202278074</v>
      </c>
      <c r="L85" s="1837">
        <f t="shared" si="16"/>
        <v>2134.2819150030068</v>
      </c>
      <c r="M85" s="1419" t="str">
        <f>VLOOKUP(C85,'sản lượng'!$D$14:$AP$169,39,0)</f>
        <v>A</v>
      </c>
      <c r="N85" s="2266">
        <f t="shared" si="17"/>
        <v>7811472</v>
      </c>
      <c r="O85" s="1417">
        <f>VLOOKUP(C85,TONGHOPCONGDOI!$C$11:$AA$103,20,0)</f>
        <v>27</v>
      </c>
      <c r="P85" s="1417">
        <f>VLOOKUP(C85,TONGHOPCONGDOI!$C$11:$AA$103,21,0)</f>
        <v>3</v>
      </c>
      <c r="Q85" s="1417">
        <f>VLOOKUP(C85,TONGHOPCONGDOI!$C$11:$AA$103,22,0)</f>
        <v>0</v>
      </c>
      <c r="R85" s="1417">
        <f>VLOOKUP(C85,TONGHOPCONGDOI!$C$11:$AA$103,23,0)</f>
        <v>0</v>
      </c>
      <c r="S85" s="1417">
        <f t="shared" si="18"/>
        <v>0</v>
      </c>
      <c r="T85" s="1417">
        <f>VLOOKUP(C85,TONGHOPCONGDOI!$C$11:$AA$103,25,0)</f>
        <v>0</v>
      </c>
      <c r="U85" s="1417"/>
      <c r="V85" s="1417"/>
      <c r="W85" s="1417"/>
      <c r="X85" s="1417"/>
      <c r="Y85" s="1417"/>
      <c r="Z85" s="1881">
        <f t="shared" si="19"/>
        <v>985508</v>
      </c>
      <c r="AA85" s="1420">
        <f t="shared" si="15"/>
        <v>8796980</v>
      </c>
      <c r="AB85" s="1420">
        <f t="shared" si="13"/>
        <v>8796980</v>
      </c>
      <c r="AC85" s="789"/>
      <c r="AD85" s="581"/>
      <c r="AF85" s="289"/>
      <c r="AG85" s="593"/>
    </row>
    <row r="86" spans="1:33" s="242" customFormat="1" ht="27.75" customHeight="1">
      <c r="A86" s="1245">
        <v>72</v>
      </c>
      <c r="B86" s="320" t="str">
        <f>TONGHOPCONGDOI!B82</f>
        <v>03585</v>
      </c>
      <c r="C86" s="320" t="str">
        <f>TONGHOPCONGDOI!C82</f>
        <v>Lắc Xa Mi</v>
      </c>
      <c r="D86" s="1243" t="s">
        <v>15</v>
      </c>
      <c r="E86" s="1416"/>
      <c r="F86" s="1455"/>
      <c r="G86" s="1417">
        <f t="shared" si="12"/>
        <v>0</v>
      </c>
      <c r="H86" s="1417">
        <f>VLOOKUP(C86,'sản lượng'!$D$14:$AL$169,34,0)</f>
        <v>4210</v>
      </c>
      <c r="I86" s="1418"/>
      <c r="J86" s="1417">
        <f t="shared" si="14"/>
        <v>1789.3666201993597</v>
      </c>
      <c r="K86" s="1837">
        <f>VLOOKUP($C$15:$C$107,'sản lượng'!D85:AP1045,37,0)</f>
        <v>230.7158578048352</v>
      </c>
      <c r="L86" s="1837">
        <f t="shared" si="16"/>
        <v>2020.0824780041949</v>
      </c>
      <c r="M86" s="1419" t="str">
        <f>VLOOKUP(C86,'sản lượng'!$D$14:$AP$169,39,0)</f>
        <v>A</v>
      </c>
      <c r="N86" s="2266">
        <f t="shared" si="17"/>
        <v>7393502</v>
      </c>
      <c r="O86" s="1417">
        <f>VLOOKUP(C86,TONGHOPCONGDOI!$C$11:$AA$103,20,0)</f>
        <v>27</v>
      </c>
      <c r="P86" s="1417">
        <f>VLOOKUP(C86,TONGHOPCONGDOI!$C$11:$AA$103,21,0)</f>
        <v>4</v>
      </c>
      <c r="Q86" s="1417">
        <f>VLOOKUP(C86,TONGHOPCONGDOI!$C$11:$AA$103,22,0)</f>
        <v>0</v>
      </c>
      <c r="R86" s="1417">
        <f>VLOOKUP(C86,TONGHOPCONGDOI!$C$11:$AA$103,23,0)</f>
        <v>0</v>
      </c>
      <c r="S86" s="1417">
        <f t="shared" si="18"/>
        <v>0</v>
      </c>
      <c r="T86" s="1417">
        <f>VLOOKUP(C86,TONGHOPCONGDOI!$C$11:$AA$103,25,0)</f>
        <v>0</v>
      </c>
      <c r="U86" s="1417"/>
      <c r="V86" s="1417"/>
      <c r="W86" s="1417"/>
      <c r="X86" s="1417"/>
      <c r="Y86" s="1417"/>
      <c r="Z86" s="1881">
        <f t="shared" si="19"/>
        <v>1036874</v>
      </c>
      <c r="AA86" s="1420">
        <f t="shared" si="15"/>
        <v>8430376</v>
      </c>
      <c r="AB86" s="1420">
        <f t="shared" si="13"/>
        <v>8430376</v>
      </c>
      <c r="AC86" s="789"/>
      <c r="AD86" s="581"/>
      <c r="AF86" s="289"/>
      <c r="AG86" s="593"/>
    </row>
    <row r="87" spans="1:33" s="242" customFormat="1" ht="27.75" customHeight="1">
      <c r="A87" s="1245">
        <v>73</v>
      </c>
      <c r="B87" s="320" t="str">
        <f>TONGHOPCONGDOI!B83</f>
        <v>04118</v>
      </c>
      <c r="C87" s="320" t="str">
        <f>TONGHOPCONGDOI!C83</f>
        <v>A Xít</v>
      </c>
      <c r="D87" s="1243" t="s">
        <v>15</v>
      </c>
      <c r="E87" s="1416"/>
      <c r="F87" s="1455"/>
      <c r="G87" s="1417">
        <f t="shared" si="12"/>
        <v>0</v>
      </c>
      <c r="H87" s="1417">
        <f>VLOOKUP(C87,'sản lượng'!$D$14:$AL$169,34,0)</f>
        <v>2685</v>
      </c>
      <c r="I87" s="1418"/>
      <c r="J87" s="1417">
        <f t="shared" si="14"/>
        <v>1141.1993765404466</v>
      </c>
      <c r="K87" s="1837">
        <f>VLOOKUP($C$15:$C$107,'sản lượng'!D86:AP1046,37,0)</f>
        <v>147.14301145035213</v>
      </c>
      <c r="L87" s="1837">
        <f t="shared" si="16"/>
        <v>1288.3423879907987</v>
      </c>
      <c r="M87" s="1419" t="str">
        <f>VLOOKUP(C87,'sản lượng'!$D$14:$AP$169,39,0)</f>
        <v>B</v>
      </c>
      <c r="N87" s="2266">
        <f t="shared" si="17"/>
        <v>4483432</v>
      </c>
      <c r="O87" s="1417">
        <f>VLOOKUP(C87,TONGHOPCONGDOI!$C$11:$AA$103,20,0)</f>
        <v>16</v>
      </c>
      <c r="P87" s="1417">
        <f>VLOOKUP(C87,TONGHOPCONGDOI!$C$11:$AA$103,21,0)</f>
        <v>2</v>
      </c>
      <c r="Q87" s="1417">
        <f>VLOOKUP(C87,TONGHOPCONGDOI!$C$11:$AA$103,22,0)</f>
        <v>0</v>
      </c>
      <c r="R87" s="1417">
        <f>VLOOKUP(C87,TONGHOPCONGDOI!$C$11:$AA$103,23,0)</f>
        <v>0</v>
      </c>
      <c r="S87" s="1417">
        <f t="shared" si="18"/>
        <v>0</v>
      </c>
      <c r="T87" s="1417">
        <f>VLOOKUP(C87,TONGHOPCONGDOI!$C$11:$AA$103,25,0)</f>
        <v>0</v>
      </c>
      <c r="U87" s="1417"/>
      <c r="V87" s="1417"/>
      <c r="W87" s="1417"/>
      <c r="X87" s="1417"/>
      <c r="Y87" s="1417"/>
      <c r="Z87" s="1881">
        <f t="shared" si="19"/>
        <v>595420</v>
      </c>
      <c r="AA87" s="1420">
        <f t="shared" si="15"/>
        <v>5078852</v>
      </c>
      <c r="AB87" s="1420">
        <f t="shared" si="13"/>
        <v>5078852</v>
      </c>
      <c r="AC87" s="789"/>
      <c r="AD87" s="581"/>
      <c r="AF87" s="289"/>
      <c r="AG87" s="593"/>
    </row>
    <row r="88" spans="1:33" s="242" customFormat="1" ht="27.75" customHeight="1">
      <c r="A88" s="1245">
        <v>74</v>
      </c>
      <c r="B88" s="320" t="str">
        <f>TONGHOPCONGDOI!B84</f>
        <v>04119</v>
      </c>
      <c r="C88" s="320" t="str">
        <f>TONGHOPCONGDOI!C84</f>
        <v>A. Nóc</v>
      </c>
      <c r="D88" s="1243" t="s">
        <v>15</v>
      </c>
      <c r="E88" s="1416"/>
      <c r="F88" s="1455"/>
      <c r="G88" s="1417">
        <f t="shared" si="12"/>
        <v>0</v>
      </c>
      <c r="H88" s="1417">
        <f>VLOOKUP(C88,'sản lượng'!$D$14:$AL$169,34,0)</f>
        <v>3660</v>
      </c>
      <c r="I88" s="1418"/>
      <c r="J88" s="1417">
        <f t="shared" si="14"/>
        <v>1555.6013847813911</v>
      </c>
      <c r="K88" s="1837">
        <f>VLOOKUP($C$15:$C$107,'sản lượng'!D87:AP1047,37,0)</f>
        <v>200.57483125075933</v>
      </c>
      <c r="L88" s="1837">
        <f t="shared" si="16"/>
        <v>1756.1762160321505</v>
      </c>
      <c r="M88" s="1419" t="str">
        <f>VLOOKUP(C88,'sản lượng'!$D$14:$AP$169,39,0)</f>
        <v>B</v>
      </c>
      <c r="N88" s="2266">
        <f>ROUND((IF(M88="A",(L88*6.1),IF(M88="B",(L88*5.8),IF(M88="C",(L88*5.5),IF(M88="D",(L88*5.2),0))))*$E$8),0)</f>
        <v>6111493</v>
      </c>
      <c r="O88" s="1417">
        <f>VLOOKUP(C88,TONGHOPCONGDOI!$C$11:$AA$103,20,0)</f>
        <v>24</v>
      </c>
      <c r="P88" s="1417">
        <f>VLOOKUP(C88,TONGHOPCONGDOI!$C$11:$AA$103,21,0)</f>
        <v>3</v>
      </c>
      <c r="Q88" s="1417">
        <f>VLOOKUP(C88,TONGHOPCONGDOI!$C$11:$AA$103,22,0)</f>
        <v>0</v>
      </c>
      <c r="R88" s="1417">
        <f>VLOOKUP(C88,TONGHOPCONGDOI!$C$11:$AA$103,23,0)</f>
        <v>0</v>
      </c>
      <c r="S88" s="1417">
        <f t="shared" si="18"/>
        <v>0</v>
      </c>
      <c r="T88" s="1417">
        <f>VLOOKUP(C88,TONGHOPCONGDOI!$C$11:$AA$103,25,0)</f>
        <v>0</v>
      </c>
      <c r="U88" s="1417"/>
      <c r="V88" s="1417"/>
      <c r="W88" s="1417"/>
      <c r="X88" s="1417"/>
      <c r="Y88" s="1417"/>
      <c r="Z88" s="1881">
        <f t="shared" si="19"/>
        <v>893129</v>
      </c>
      <c r="AA88" s="1420">
        <f t="shared" si="15"/>
        <v>7004622</v>
      </c>
      <c r="AB88" s="1420">
        <f t="shared" si="13"/>
        <v>7004622</v>
      </c>
      <c r="AC88" s="789"/>
      <c r="AD88" s="581"/>
      <c r="AF88" s="289"/>
      <c r="AG88" s="593"/>
    </row>
    <row r="89" spans="1:33" s="242" customFormat="1" ht="27.75" customHeight="1">
      <c r="A89" s="1245">
        <v>75</v>
      </c>
      <c r="B89" s="320">
        <f>TONGHOPCONGDOI!B85</f>
        <v>0</v>
      </c>
      <c r="C89" s="320" t="str">
        <f>TONGHOPCONGDOI!C85</f>
        <v>Nàng Keo (63)</v>
      </c>
      <c r="D89" s="1243" t="s">
        <v>15</v>
      </c>
      <c r="E89" s="1416"/>
      <c r="F89" s="1455"/>
      <c r="G89" s="1417">
        <f t="shared" si="12"/>
        <v>0</v>
      </c>
      <c r="H89" s="1417">
        <f>VLOOKUP(C89,'sản lượng'!$D$14:$AL$169,34,0)</f>
        <v>4034</v>
      </c>
      <c r="I89" s="1418"/>
      <c r="J89" s="1417">
        <f t="shared" si="14"/>
        <v>1714.5617448656096</v>
      </c>
      <c r="K89" s="1837">
        <f>VLOOKUP($C$15:$C$107,'sản lượng'!D88:AP1048,37,0)</f>
        <v>221.07072930753091</v>
      </c>
      <c r="L89" s="1837">
        <f t="shared" si="16"/>
        <v>1935.6324741731405</v>
      </c>
      <c r="M89" s="1419" t="str">
        <f>VLOOKUP(C89,'sản lượng'!$D$14:$AP$169,39,0)</f>
        <v>C.</v>
      </c>
      <c r="N89" s="2266">
        <f>ROUND((IF(M89="A",(L89*6.1),IF(M89="B",(L89*5.8),IF(M89="C.",(L89*5.5),IF(M89="D",(L89*5.2),0))))*$E$8),0)</f>
        <v>6387587</v>
      </c>
      <c r="O89" s="1417">
        <f>VLOOKUP(C89,TONGHOPCONGDOI!$C$11:$AA$103,20,0)</f>
        <v>20</v>
      </c>
      <c r="P89" s="1417">
        <f>VLOOKUP(C89,TONGHOPCONGDOI!$C$11:$AA$103,21,0)</f>
        <v>2</v>
      </c>
      <c r="Q89" s="1417">
        <f>VLOOKUP(C89,TONGHOPCONGDOI!$C$11:$AA$103,22,0)</f>
        <v>0</v>
      </c>
      <c r="R89" s="1417">
        <f>VLOOKUP(C89,TONGHOPCONGDOI!$C$11:$AA$103,23,0)</f>
        <v>0</v>
      </c>
      <c r="S89" s="1417">
        <f t="shared" si="18"/>
        <v>0</v>
      </c>
      <c r="T89" s="1417">
        <f>VLOOKUP(C89,TONGHOPCONGDOI!$C$11:$AA$103,25,0)</f>
        <v>0</v>
      </c>
      <c r="U89" s="1417"/>
      <c r="V89" s="1417"/>
      <c r="W89" s="1417"/>
      <c r="X89" s="1417"/>
      <c r="Y89" s="1417"/>
      <c r="Z89" s="1881">
        <f t="shared" si="19"/>
        <v>718591</v>
      </c>
      <c r="AA89" s="1420">
        <f t="shared" si="15"/>
        <v>7106178</v>
      </c>
      <c r="AB89" s="1420">
        <f t="shared" si="13"/>
        <v>7106178</v>
      </c>
      <c r="AC89" s="789"/>
      <c r="AD89" s="581"/>
      <c r="AE89" s="242">
        <v>2174991</v>
      </c>
      <c r="AF89" s="289"/>
      <c r="AG89" s="593"/>
    </row>
    <row r="90" spans="1:33" s="242" customFormat="1" ht="27.75" customHeight="1">
      <c r="A90" s="1245">
        <v>76</v>
      </c>
      <c r="B90" s="320">
        <f>TONGHOPCONGDOI!B86</f>
        <v>0</v>
      </c>
      <c r="C90" s="320" t="str">
        <f>TONGHOPCONGDOI!C86</f>
        <v>avan</v>
      </c>
      <c r="D90" s="1243" t="s">
        <v>15</v>
      </c>
      <c r="E90" s="1416"/>
      <c r="F90" s="1455"/>
      <c r="G90" s="1417">
        <f t="shared" si="12"/>
        <v>0</v>
      </c>
      <c r="H90" s="1417">
        <f>VLOOKUP(C90,'sản lượng'!$D$14:$AL$169,34,0)</f>
        <v>3628</v>
      </c>
      <c r="I90" s="1418"/>
      <c r="J90" s="1417">
        <f t="shared" si="14"/>
        <v>1542.0004983570727</v>
      </c>
      <c r="K90" s="1837">
        <f>VLOOKUP($C$15:$C$107,'sản lượng'!D89:AP1049,37,0)</f>
        <v>198.82117152397674</v>
      </c>
      <c r="L90" s="1837">
        <f t="shared" si="16"/>
        <v>1740.8216698810495</v>
      </c>
      <c r="M90" s="1419" t="str">
        <f>VLOOKUP(C90,'sản lượng'!$D$14:$AP$169,39,0)</f>
        <v>C.</v>
      </c>
      <c r="N90" s="2266">
        <f t="shared" ref="N90:N98" si="20">ROUND((IF(M90="A",(L90*6.1),IF(M90="B",(L90*5.8),IF(M90="C.",(L90*5.5),IF(M90="D",(L90*5.2),0))))*$E$8),0)</f>
        <v>5744712</v>
      </c>
      <c r="O90" s="1417">
        <f>VLOOKUP(C90,TONGHOPCONGDOI!$C$11:$AA$103,20,0)</f>
        <v>18</v>
      </c>
      <c r="P90" s="1417">
        <f>VLOOKUP(C90,TONGHOPCONGDOI!$C$11:$AA$103,21,0)</f>
        <v>1</v>
      </c>
      <c r="Q90" s="1417">
        <f>VLOOKUP(C90,TONGHOPCONGDOI!$C$11:$AA$103,22,0)</f>
        <v>0</v>
      </c>
      <c r="R90" s="1417">
        <f>VLOOKUP(C90,TONGHOPCONGDOI!$C$11:$AA$103,23,0)</f>
        <v>0</v>
      </c>
      <c r="S90" s="1417">
        <f t="shared" si="18"/>
        <v>0</v>
      </c>
      <c r="T90" s="1417">
        <f>VLOOKUP(C90,TONGHOPCONGDOI!$C$11:$AA$103,25,0)</f>
        <v>0</v>
      </c>
      <c r="U90" s="1417"/>
      <c r="V90" s="1417"/>
      <c r="W90" s="1417"/>
      <c r="X90" s="1417"/>
      <c r="Y90" s="1417"/>
      <c r="Z90" s="1881">
        <f t="shared" si="19"/>
        <v>605639</v>
      </c>
      <c r="AA90" s="1420">
        <f t="shared" si="15"/>
        <v>6350351</v>
      </c>
      <c r="AB90" s="1420">
        <f t="shared" si="13"/>
        <v>6350351</v>
      </c>
      <c r="AC90" s="789"/>
      <c r="AD90" s="581"/>
      <c r="AE90" s="242">
        <f>AE89+'TRẠM 2'!AE67</f>
        <v>2612710</v>
      </c>
      <c r="AF90" s="289"/>
      <c r="AG90" s="593"/>
    </row>
    <row r="91" spans="1:33" s="242" customFormat="1" ht="27.75" customHeight="1">
      <c r="A91" s="1245">
        <v>77</v>
      </c>
      <c r="B91" s="320">
        <f>TONGHOPCONGDOI!B87</f>
        <v>0</v>
      </c>
      <c r="C91" s="320" t="str">
        <f>TONGHOPCONGDOI!C87</f>
        <v>A thít</v>
      </c>
      <c r="D91" s="1243" t="s">
        <v>15</v>
      </c>
      <c r="E91" s="1416"/>
      <c r="F91" s="1455"/>
      <c r="G91" s="1417">
        <f t="shared" si="12"/>
        <v>0</v>
      </c>
      <c r="H91" s="1417">
        <f>VLOOKUP(C91,'sản lượng'!$D$14:$AL$169,34,0)</f>
        <v>2204</v>
      </c>
      <c r="I91" s="1418"/>
      <c r="J91" s="1417">
        <f t="shared" si="14"/>
        <v>936.7610524749141</v>
      </c>
      <c r="K91" s="1837">
        <f>VLOOKUP($C$15:$C$107,'sản lượng'!D90:AP1050,37,0)</f>
        <v>120.78331368215125</v>
      </c>
      <c r="L91" s="1837">
        <f t="shared" si="16"/>
        <v>1057.5443661570653</v>
      </c>
      <c r="M91" s="1419" t="str">
        <f>VLOOKUP(C91,'sản lượng'!$D$14:$AP$169,39,0)</f>
        <v>C.</v>
      </c>
      <c r="N91" s="2266">
        <f t="shared" si="20"/>
        <v>3489896</v>
      </c>
      <c r="O91" s="1417">
        <f>VLOOKUP(C91,TONGHOPCONGDOI!$C$11:$AA$103,20,0)</f>
        <v>14</v>
      </c>
      <c r="P91" s="1417">
        <f>VLOOKUP(C91,TONGHOPCONGDOI!$C$11:$AA$103,21,0)</f>
        <v>1</v>
      </c>
      <c r="Q91" s="1417">
        <f>VLOOKUP(C91,TONGHOPCONGDOI!$C$11:$AA$103,22,0)</f>
        <v>0</v>
      </c>
      <c r="R91" s="1417">
        <f>VLOOKUP(C91,TONGHOPCONGDOI!$C$11:$AA$103,23,0)</f>
        <v>0</v>
      </c>
      <c r="S91" s="1417">
        <f t="shared" si="18"/>
        <v>0</v>
      </c>
      <c r="T91" s="1417">
        <f>VLOOKUP(C91,TONGHOPCONGDOI!$C$11:$AA$103,25,0)</f>
        <v>0</v>
      </c>
      <c r="U91" s="1417"/>
      <c r="V91" s="1417"/>
      <c r="W91" s="1417"/>
      <c r="X91" s="1417"/>
      <c r="Y91" s="1417"/>
      <c r="Z91" s="1881">
        <f t="shared" si="19"/>
        <v>482468</v>
      </c>
      <c r="AA91" s="1420">
        <f t="shared" si="15"/>
        <v>3972364</v>
      </c>
      <c r="AB91" s="1420">
        <f t="shared" si="13"/>
        <v>3972364</v>
      </c>
      <c r="AC91" s="789"/>
      <c r="AD91" s="581"/>
      <c r="AF91" s="289"/>
      <c r="AG91" s="593"/>
    </row>
    <row r="92" spans="1:33" s="242" customFormat="1" ht="27.75" customHeight="1">
      <c r="A92" s="1245">
        <v>78</v>
      </c>
      <c r="B92" s="320">
        <f>TONGHOPCONGDOI!B88</f>
        <v>0</v>
      </c>
      <c r="C92" s="320" t="str">
        <f>TONGHOPCONGDOI!C88</f>
        <v>Món</v>
      </c>
      <c r="D92" s="1243" t="s">
        <v>15</v>
      </c>
      <c r="E92" s="1416"/>
      <c r="F92" s="1455"/>
      <c r="G92" s="1417">
        <f t="shared" si="12"/>
        <v>0</v>
      </c>
      <c r="H92" s="1417">
        <f>VLOOKUP(C92,'sản lượng'!$D$14:$AL$169,34,0)</f>
        <v>921</v>
      </c>
      <c r="I92" s="1418"/>
      <c r="J92" s="1417">
        <f t="shared" si="14"/>
        <v>391.45051239990738</v>
      </c>
      <c r="K92" s="1837">
        <f>VLOOKUP($C$15:$C$107,'sản lượng'!D91:AP1051,37,0)</f>
        <v>50.472519011461571</v>
      </c>
      <c r="L92" s="1837">
        <f t="shared" si="16"/>
        <v>441.92303141136892</v>
      </c>
      <c r="M92" s="1419" t="str">
        <f>VLOOKUP(C92,'sản lượng'!$D$14:$AP$169,39,0)</f>
        <v>C.</v>
      </c>
      <c r="N92" s="2266">
        <f t="shared" si="20"/>
        <v>1458346</v>
      </c>
      <c r="O92" s="1417">
        <f>VLOOKUP(C92,TONGHOPCONGDOI!$C$11:$AA$103,20,0)</f>
        <v>9</v>
      </c>
      <c r="P92" s="1417">
        <f>VLOOKUP(C92,TONGHOPCONGDOI!$C$11:$AA$103,21,0)</f>
        <v>2</v>
      </c>
      <c r="Q92" s="1417">
        <f>VLOOKUP(C92,TONGHOPCONGDOI!$C$11:$AA$103,22,0)</f>
        <v>0</v>
      </c>
      <c r="R92" s="1417">
        <f>VLOOKUP(C92,TONGHOPCONGDOI!$C$11:$AA$103,23,0)</f>
        <v>0</v>
      </c>
      <c r="S92" s="1417">
        <f t="shared" si="18"/>
        <v>0</v>
      </c>
      <c r="T92" s="1417">
        <f>VLOOKUP(C92,TONGHOPCONGDOI!$C$11:$AA$103,25,0)</f>
        <v>0</v>
      </c>
      <c r="U92" s="1417"/>
      <c r="V92" s="1417"/>
      <c r="W92" s="1417"/>
      <c r="X92" s="1417"/>
      <c r="Y92" s="1417"/>
      <c r="Z92" s="1881">
        <f t="shared" si="19"/>
        <v>379869</v>
      </c>
      <c r="AA92" s="1420">
        <f t="shared" si="15"/>
        <v>1838215</v>
      </c>
      <c r="AB92" s="1420">
        <f t="shared" si="13"/>
        <v>1838215</v>
      </c>
      <c r="AC92" s="789"/>
      <c r="AD92" s="581"/>
      <c r="AF92" s="289"/>
      <c r="AG92" s="593"/>
    </row>
    <row r="93" spans="1:33" s="242" customFormat="1" ht="27.75" customHeight="1">
      <c r="A93" s="1245">
        <v>79</v>
      </c>
      <c r="B93" s="320">
        <f>TONGHOPCONGDOI!B89</f>
        <v>0</v>
      </c>
      <c r="C93" s="320" t="str">
        <f>TONGHOPCONGDOI!C89</f>
        <v>A tèng</v>
      </c>
      <c r="D93" s="1243" t="s">
        <v>15</v>
      </c>
      <c r="E93" s="1416"/>
      <c r="F93" s="1455"/>
      <c r="G93" s="1417">
        <f t="shared" si="12"/>
        <v>0</v>
      </c>
      <c r="H93" s="1417">
        <f>VLOOKUP(C93,'sản lượng'!$D$14:$AL$169,34,0)</f>
        <v>422</v>
      </c>
      <c r="I93" s="1418"/>
      <c r="J93" s="1417">
        <f t="shared" si="14"/>
        <v>179.36168972069589</v>
      </c>
      <c r="K93" s="1837">
        <f>VLOOKUP($C$15:$C$107,'sản lượng'!D92:AP1052,37,0)</f>
        <v>23.126387646945474</v>
      </c>
      <c r="L93" s="1837">
        <f t="shared" si="16"/>
        <v>202.48807736764138</v>
      </c>
      <c r="M93" s="1419" t="str">
        <f>VLOOKUP(C93,'sản lượng'!$D$14:$AP$169,39,0)</f>
        <v>C.</v>
      </c>
      <c r="N93" s="2266">
        <f t="shared" si="20"/>
        <v>668211</v>
      </c>
      <c r="O93" s="1417">
        <f>VLOOKUP(C93,TONGHOPCONGDOI!$C$11:$AA$103,20,0)</f>
        <v>9</v>
      </c>
      <c r="P93" s="1417">
        <f>VLOOKUP(C93,TONGHOPCONGDOI!$C$11:$AA$103,21,0)</f>
        <v>0</v>
      </c>
      <c r="Q93" s="1417">
        <f>VLOOKUP(C93,TONGHOPCONGDOI!$C$11:$AA$103,22,0)</f>
        <v>0</v>
      </c>
      <c r="R93" s="1417">
        <f>VLOOKUP(C93,TONGHOPCONGDOI!$C$11:$AA$103,23,0)</f>
        <v>0</v>
      </c>
      <c r="S93" s="1417">
        <f t="shared" si="18"/>
        <v>0</v>
      </c>
      <c r="T93" s="1417">
        <f>VLOOKUP(C93,TONGHOPCONGDOI!$C$11:$AA$103,25,0)</f>
        <v>0</v>
      </c>
      <c r="U93" s="1417"/>
      <c r="V93" s="1417"/>
      <c r="W93" s="1417"/>
      <c r="X93" s="1417"/>
      <c r="Y93" s="1417"/>
      <c r="Z93" s="1881">
        <f t="shared" si="19"/>
        <v>277137</v>
      </c>
      <c r="AA93" s="1420">
        <f t="shared" si="15"/>
        <v>945348</v>
      </c>
      <c r="AB93" s="1420">
        <f t="shared" si="13"/>
        <v>945348</v>
      </c>
      <c r="AC93" s="789"/>
      <c r="AD93" s="581"/>
      <c r="AF93" s="289"/>
      <c r="AG93" s="593"/>
    </row>
    <row r="94" spans="1:33" s="242" customFormat="1" ht="27.75" customHeight="1">
      <c r="A94" s="1245">
        <v>80</v>
      </c>
      <c r="B94" s="320">
        <f>TONGHOPCONGDOI!B90</f>
        <v>0</v>
      </c>
      <c r="C94" s="320" t="str">
        <f>TONGHOPCONGDOI!C90</f>
        <v xml:space="preserve">Đao </v>
      </c>
      <c r="D94" s="1243" t="s">
        <v>15</v>
      </c>
      <c r="E94" s="1416"/>
      <c r="F94" s="1455"/>
      <c r="G94" s="1417">
        <f t="shared" si="1"/>
        <v>0</v>
      </c>
      <c r="H94" s="1417">
        <f>VLOOKUP(C94,'sản lượng'!$D$14:$AL$169,34,0)</f>
        <v>175</v>
      </c>
      <c r="I94" s="1418"/>
      <c r="J94" s="1417">
        <f t="shared" si="14"/>
        <v>74.379847632990007</v>
      </c>
      <c r="K94" s="1837">
        <f>VLOOKUP($C$15:$C$107,'sản lượng'!D93:AP1053,37,0)</f>
        <v>9.5903266308423181</v>
      </c>
      <c r="L94" s="1837">
        <f t="shared" si="16"/>
        <v>83.97017426383232</v>
      </c>
      <c r="M94" s="1419" t="str">
        <f>VLOOKUP(C94,'sản lượng'!$D$14:$AP$169,39,0)</f>
        <v>C.</v>
      </c>
      <c r="N94" s="2266">
        <f t="shared" si="20"/>
        <v>277102</v>
      </c>
      <c r="O94" s="1417">
        <f>VLOOKUP(C94,TONGHOPCONGDOI!$C$11:$AA$103,20,0)</f>
        <v>5</v>
      </c>
      <c r="P94" s="1417">
        <f>VLOOKUP(C94,TONGHOPCONGDOI!$C$11:$AA$103,21,0)</f>
        <v>0</v>
      </c>
      <c r="Q94" s="1417">
        <f>VLOOKUP(C94,TONGHOPCONGDOI!$C$11:$AA$103,22,0)</f>
        <v>0</v>
      </c>
      <c r="R94" s="1417">
        <f>VLOOKUP(C94,TONGHOPCONGDOI!$C$11:$AA$103,23,0)</f>
        <v>0</v>
      </c>
      <c r="S94" s="1417">
        <f t="shared" si="18"/>
        <v>0</v>
      </c>
      <c r="T94" s="1417">
        <f>VLOOKUP(C94,TONGHOPCONGDOI!$C$11:$AA$103,25,0)</f>
        <v>0</v>
      </c>
      <c r="U94" s="1417"/>
      <c r="V94" s="1417"/>
      <c r="W94" s="1417"/>
      <c r="X94" s="1417"/>
      <c r="Y94" s="1417"/>
      <c r="Z94" s="1881">
        <f t="shared" si="19"/>
        <v>153965</v>
      </c>
      <c r="AA94" s="1420">
        <f t="shared" si="15"/>
        <v>431067</v>
      </c>
      <c r="AB94" s="1420">
        <f t="shared" si="6"/>
        <v>431067</v>
      </c>
      <c r="AC94" s="789"/>
      <c r="AD94" s="581"/>
      <c r="AF94" s="289"/>
      <c r="AG94" s="593"/>
    </row>
    <row r="95" spans="1:33" s="242" customFormat="1" ht="27.75" customHeight="1">
      <c r="A95" s="1245">
        <v>81</v>
      </c>
      <c r="B95" s="320">
        <f>TONGHOPCONGDOI!B91</f>
        <v>0</v>
      </c>
      <c r="C95" s="320" t="str">
        <f>TONGHOPCONGDOI!C91</f>
        <v>Lôn</v>
      </c>
      <c r="D95" s="1243" t="s">
        <v>15</v>
      </c>
      <c r="E95" s="1416"/>
      <c r="F95" s="1455"/>
      <c r="G95" s="1417">
        <f t="shared" si="1"/>
        <v>0</v>
      </c>
      <c r="H95" s="1417">
        <f>VLOOKUP(C95,'sản lượng'!$D$14:$AL$169,34,0)</f>
        <v>0</v>
      </c>
      <c r="I95" s="1418"/>
      <c r="J95" s="1417">
        <f t="shared" si="14"/>
        <v>0</v>
      </c>
      <c r="K95" s="1837">
        <f>VLOOKUP($C$15:$C$107,'sản lượng'!D94:AP1054,37,0)</f>
        <v>0</v>
      </c>
      <c r="L95" s="1837">
        <f t="shared" si="16"/>
        <v>0</v>
      </c>
      <c r="M95" s="1419">
        <f>VLOOKUP(C95,'sản lượng'!$D$14:$AP$169,39,0)</f>
        <v>0</v>
      </c>
      <c r="N95" s="2266">
        <f t="shared" si="20"/>
        <v>0</v>
      </c>
      <c r="O95" s="1417">
        <f>VLOOKUP(C95,TONGHOPCONGDOI!$C$11:$AA$103,20,0)</f>
        <v>1</v>
      </c>
      <c r="P95" s="1417">
        <f>VLOOKUP(C95,TONGHOPCONGDOI!$C$11:$AA$103,21,0)</f>
        <v>0</v>
      </c>
      <c r="Q95" s="1417">
        <f>VLOOKUP(C95,TONGHOPCONGDOI!$C$11:$AA$103,22,0)</f>
        <v>0</v>
      </c>
      <c r="R95" s="1417">
        <f>VLOOKUP(C95,TONGHOPCONGDOI!$C$11:$AA$103,23,0)</f>
        <v>0</v>
      </c>
      <c r="S95" s="1417">
        <f t="shared" si="18"/>
        <v>0</v>
      </c>
      <c r="T95" s="1417">
        <f>VLOOKUP(C95,TONGHOPCONGDOI!$C$11:$AA$103,25,0)</f>
        <v>0</v>
      </c>
      <c r="U95" s="1417"/>
      <c r="V95" s="1417"/>
      <c r="W95" s="1417"/>
      <c r="X95" s="1417"/>
      <c r="Y95" s="1417"/>
      <c r="Z95" s="1881">
        <f t="shared" si="19"/>
        <v>30793</v>
      </c>
      <c r="AA95" s="1420">
        <f t="shared" si="15"/>
        <v>30793</v>
      </c>
      <c r="AB95" s="1420">
        <f t="shared" si="6"/>
        <v>30793</v>
      </c>
      <c r="AC95" s="789"/>
      <c r="AD95" s="581"/>
      <c r="AF95" s="289"/>
      <c r="AG95" s="593"/>
    </row>
    <row r="96" spans="1:33" s="242" customFormat="1" ht="27.75" hidden="1" customHeight="1">
      <c r="A96" s="1245">
        <v>82</v>
      </c>
      <c r="B96" s="320">
        <f>TONGHOPCONGDOI!B92</f>
        <v>0</v>
      </c>
      <c r="C96" s="320" t="str">
        <f>TONGHOPCONGDOI!C92</f>
        <v>Phay A</v>
      </c>
      <c r="D96" s="1243" t="s">
        <v>15</v>
      </c>
      <c r="E96" s="1416"/>
      <c r="F96" s="1455"/>
      <c r="G96" s="1417"/>
      <c r="H96" s="1417"/>
      <c r="I96" s="1418"/>
      <c r="J96" s="1417"/>
      <c r="K96" s="1837"/>
      <c r="L96" s="1837"/>
      <c r="M96" s="1419"/>
      <c r="N96" s="2266"/>
      <c r="O96" s="1417">
        <f>VLOOKUP(C96,TONGHOPCONGDOI!$C$11:$AA$103,20,0)</f>
        <v>0</v>
      </c>
      <c r="P96" s="1417">
        <f>VLOOKUP(C96,TONGHOPCONGDOI!$C$11:$AA$103,21,0)</f>
        <v>0</v>
      </c>
      <c r="Q96" s="1417">
        <f>VLOOKUP(C96,TONGHOPCONGDOI!$C$11:$AA$103,22,0)</f>
        <v>0</v>
      </c>
      <c r="R96" s="1417">
        <f>VLOOKUP(C96,TONGHOPCONGDOI!$C$11:$AA$103,23,0)</f>
        <v>0</v>
      </c>
      <c r="S96" s="1417">
        <f t="shared" si="18"/>
        <v>0</v>
      </c>
      <c r="T96" s="1417">
        <f>VLOOKUP(C96,TONGHOPCONGDOI!$C$11:$AA$103,25,0)</f>
        <v>0</v>
      </c>
      <c r="U96" s="1417"/>
      <c r="V96" s="1417"/>
      <c r="W96" s="1417"/>
      <c r="X96" s="1417"/>
      <c r="Y96" s="1417"/>
      <c r="Z96" s="1881">
        <f t="shared" si="19"/>
        <v>0</v>
      </c>
      <c r="AA96" s="1420">
        <f t="shared" si="15"/>
        <v>0</v>
      </c>
      <c r="AB96" s="1420">
        <f t="shared" si="6"/>
        <v>0</v>
      </c>
      <c r="AC96" s="789"/>
      <c r="AD96" s="581"/>
      <c r="AF96" s="289"/>
      <c r="AG96" s="593"/>
    </row>
    <row r="97" spans="1:35" s="242" customFormat="1" ht="27.75" hidden="1" customHeight="1">
      <c r="A97" s="1245">
        <v>83</v>
      </c>
      <c r="B97" s="320">
        <f>TONGHOPCONGDOI!B93</f>
        <v>0</v>
      </c>
      <c r="C97" s="320" t="str">
        <f>TONGHOPCONGDOI!C93</f>
        <v>Chày A</v>
      </c>
      <c r="D97" s="1243" t="s">
        <v>15</v>
      </c>
      <c r="E97" s="1416"/>
      <c r="F97" s="1455"/>
      <c r="G97" s="1417">
        <f t="shared" si="1"/>
        <v>0</v>
      </c>
      <c r="H97" s="1417">
        <f>VLOOKUP(C97,'sản lượng'!$D$14:$AL$169,34,0)</f>
        <v>0</v>
      </c>
      <c r="I97" s="1418"/>
      <c r="J97" s="1417">
        <f t="shared" si="14"/>
        <v>0</v>
      </c>
      <c r="K97" s="1837">
        <f>VLOOKUP($C$15:$C$107,'sản lượng'!D96:AP1056,37,0)</f>
        <v>0</v>
      </c>
      <c r="L97" s="1837">
        <f t="shared" si="16"/>
        <v>0</v>
      </c>
      <c r="M97" s="1419">
        <f>VLOOKUP(C97,'sản lượng'!$D$14:$AP$169,39,0)</f>
        <v>0</v>
      </c>
      <c r="N97" s="2266">
        <f t="shared" si="20"/>
        <v>0</v>
      </c>
      <c r="O97" s="1417">
        <f>VLOOKUP(C97,TONGHOPCONGDOI!$C$11:$AA$103,20,0)</f>
        <v>0</v>
      </c>
      <c r="P97" s="1417">
        <f>VLOOKUP(C97,TONGHOPCONGDOI!$C$11:$AA$103,21,0)</f>
        <v>0</v>
      </c>
      <c r="Q97" s="1417">
        <f>VLOOKUP(C97,TONGHOPCONGDOI!$C$11:$AA$103,22,0)</f>
        <v>0</v>
      </c>
      <c r="R97" s="1417">
        <f>VLOOKUP(C97,TONGHOPCONGDOI!$C$11:$AA$103,23,0)</f>
        <v>0</v>
      </c>
      <c r="S97" s="1417">
        <f t="shared" si="18"/>
        <v>0</v>
      </c>
      <c r="T97" s="1417">
        <f>VLOOKUP(C97,TONGHOPCONGDOI!$C$11:$AA$103,25,0)</f>
        <v>0</v>
      </c>
      <c r="U97" s="1417"/>
      <c r="V97" s="1417"/>
      <c r="W97" s="1417"/>
      <c r="X97" s="1417"/>
      <c r="Y97" s="1417"/>
      <c r="Z97" s="1881">
        <f t="shared" si="19"/>
        <v>0</v>
      </c>
      <c r="AA97" s="1420">
        <f t="shared" si="15"/>
        <v>0</v>
      </c>
      <c r="AB97" s="1420">
        <f t="shared" si="6"/>
        <v>0</v>
      </c>
      <c r="AC97" s="789"/>
      <c r="AD97" s="581"/>
      <c r="AF97" s="289"/>
      <c r="AG97" s="593"/>
    </row>
    <row r="98" spans="1:35" s="242" customFormat="1" ht="27.75" hidden="1" customHeight="1">
      <c r="A98" s="1245">
        <v>84</v>
      </c>
      <c r="B98" s="320">
        <f>TONGHOPCONGDOI!B94</f>
        <v>0</v>
      </c>
      <c r="C98" s="320" t="str">
        <f>TONGHOPCONGDOI!C94</f>
        <v>MayA</v>
      </c>
      <c r="D98" s="1243" t="s">
        <v>15</v>
      </c>
      <c r="E98" s="1416"/>
      <c r="F98" s="1455"/>
      <c r="G98" s="1417">
        <f t="shared" si="1"/>
        <v>0</v>
      </c>
      <c r="H98" s="1417">
        <f>VLOOKUP(C98,'sản lượng'!$D$14:$AL$169,34,0)</f>
        <v>0</v>
      </c>
      <c r="I98" s="1418"/>
      <c r="J98" s="1417">
        <f>H98*$AF$6</f>
        <v>0</v>
      </c>
      <c r="K98" s="1837">
        <f>VLOOKUP($C$15:$C$107,'sản lượng'!D97:AP1057,37,0)</f>
        <v>0</v>
      </c>
      <c r="L98" s="1837">
        <f t="shared" si="16"/>
        <v>0</v>
      </c>
      <c r="M98" s="1419">
        <f>VLOOKUP(C98,'sản lượng'!$D$14:$AP$169,39,0)</f>
        <v>0</v>
      </c>
      <c r="N98" s="2266">
        <f t="shared" si="20"/>
        <v>0</v>
      </c>
      <c r="O98" s="1417">
        <f>VLOOKUP(C98,TONGHOPCONGDOI!$C$11:$AA$103,20,0)</f>
        <v>0</v>
      </c>
      <c r="P98" s="1417">
        <f>VLOOKUP(C98,TONGHOPCONGDOI!$C$11:$AA$103,21,0)</f>
        <v>0</v>
      </c>
      <c r="Q98" s="1417">
        <f>VLOOKUP(C98,TONGHOPCONGDOI!$C$11:$AA$103,22,0)</f>
        <v>0</v>
      </c>
      <c r="R98" s="1417">
        <f>VLOOKUP(C98,TONGHOPCONGDOI!$C$11:$AA$103,23,0)</f>
        <v>0</v>
      </c>
      <c r="S98" s="1417">
        <f t="shared" si="18"/>
        <v>0</v>
      </c>
      <c r="T98" s="1417">
        <f>VLOOKUP(C98,TONGHOPCONGDOI!$C$11:$AA$103,25,0)</f>
        <v>0</v>
      </c>
      <c r="U98" s="1417"/>
      <c r="V98" s="1417"/>
      <c r="W98" s="1417"/>
      <c r="X98" s="1417"/>
      <c r="Y98" s="1417"/>
      <c r="Z98" s="1881">
        <f t="shared" si="19"/>
        <v>0</v>
      </c>
      <c r="AA98" s="1420">
        <f t="shared" si="15"/>
        <v>0</v>
      </c>
      <c r="AB98" s="1420">
        <f t="shared" si="6"/>
        <v>0</v>
      </c>
      <c r="AC98" s="789"/>
      <c r="AD98" s="581"/>
      <c r="AF98" s="289"/>
      <c r="AG98" s="593"/>
    </row>
    <row r="99" spans="1:35" s="242" customFormat="1" ht="27.75" customHeight="1">
      <c r="A99" s="1245">
        <v>82</v>
      </c>
      <c r="B99" s="320">
        <f>TONGHOPCONGDOI!B95</f>
        <v>0</v>
      </c>
      <c r="C99" s="320" t="str">
        <f>TONGHOPCONGDOI!C95</f>
        <v>Mủ sirum</v>
      </c>
      <c r="D99" s="1243" t="s">
        <v>15</v>
      </c>
      <c r="E99" s="1416"/>
      <c r="F99" s="1455"/>
      <c r="G99" s="1417"/>
      <c r="H99" s="1417"/>
      <c r="I99" s="1417">
        <f>SIRUM!AH14</f>
        <v>910</v>
      </c>
      <c r="J99" s="2306">
        <f>SIRUM!AJ14</f>
        <v>475.76400000000001</v>
      </c>
      <c r="K99" s="1837"/>
      <c r="L99" s="1837">
        <f t="shared" si="16"/>
        <v>475.76400000000001</v>
      </c>
      <c r="M99" s="1419" t="s">
        <v>1959</v>
      </c>
      <c r="N99" s="2266">
        <f>ROUND((IF(M99="A",(L99*6.1),IF(M99="B",(L99*5.8),IF(M99="C",(L99*5.5),IF(M99="D",(L99*5.2),0))))*$E$8),0)</f>
        <v>1741296</v>
      </c>
      <c r="O99" s="1417">
        <f>VLOOKUP(C99,TONGHOPCONGDOI!$C$11:$AA$103,20,0)</f>
        <v>0</v>
      </c>
      <c r="P99" s="1417">
        <f>VLOOKUP(C99,TONGHOPCONGDOI!$C$11:$AA$103,21,0)</f>
        <v>0</v>
      </c>
      <c r="Q99" s="1417">
        <f>VLOOKUP(C99,TONGHOPCONGDOI!$C$11:$AA$103,22,0)</f>
        <v>0</v>
      </c>
      <c r="R99" s="1417">
        <f>VLOOKUP(C99,TONGHOPCONGDOI!$C$11:$AA$103,23,0)</f>
        <v>0</v>
      </c>
      <c r="S99" s="1417">
        <f t="shared" si="18"/>
        <v>0</v>
      </c>
      <c r="T99" s="1417">
        <f>VLOOKUP(C99,TONGHOPCONGDOI!$C$11:$AA$103,25,0)</f>
        <v>0</v>
      </c>
      <c r="U99" s="1417"/>
      <c r="V99" s="1417"/>
      <c r="W99" s="1417"/>
      <c r="X99" s="1417"/>
      <c r="Y99" s="1417"/>
      <c r="Z99" s="1881">
        <f t="shared" si="19"/>
        <v>0</v>
      </c>
      <c r="AA99" s="1420">
        <f t="shared" si="15"/>
        <v>1741296</v>
      </c>
      <c r="AB99" s="1420">
        <f t="shared" si="6"/>
        <v>1741296</v>
      </c>
      <c r="AC99" s="789"/>
      <c r="AD99" s="581"/>
      <c r="AF99" s="289"/>
      <c r="AG99" s="593"/>
    </row>
    <row r="100" spans="1:35" s="242" customFormat="1" ht="27.75" customHeight="1">
      <c r="A100" s="1245">
        <v>83</v>
      </c>
      <c r="B100" s="1332"/>
      <c r="C100" s="320" t="str">
        <f>TONGHOPCONGDOI!C96</f>
        <v>Say ủi</v>
      </c>
      <c r="D100" s="1838" t="s">
        <v>1713</v>
      </c>
      <c r="E100" s="1839"/>
      <c r="F100" s="1455"/>
      <c r="G100" s="1417">
        <f t="shared" ref="G100:G105" si="21">F100*25000</f>
        <v>0</v>
      </c>
      <c r="H100" s="1417"/>
      <c r="I100" s="1418"/>
      <c r="J100" s="1417"/>
      <c r="K100" s="1837"/>
      <c r="L100" s="1837"/>
      <c r="M100" s="1419"/>
      <c r="N100" s="2266">
        <f t="shared" si="17"/>
        <v>0</v>
      </c>
      <c r="O100" s="1417">
        <f>VLOOKUP(C100,TONGHOPCONGDOI!$C$11:$AA$103,20,0)</f>
        <v>0</v>
      </c>
      <c r="P100" s="1417">
        <f>VLOOKUP(C100,TONGHOPCONGDOI!$C$11:$AA$103,21,0)</f>
        <v>0</v>
      </c>
      <c r="Q100" s="1417">
        <f>VLOOKUP(C100,TONGHOPCONGDOI!$C$11:$AA$103,22,0)</f>
        <v>0</v>
      </c>
      <c r="R100" s="1417">
        <f>VLOOKUP(C100,TONGHOPCONGDOI!$C$11:$AA$103,23,0)</f>
        <v>0</v>
      </c>
      <c r="S100" s="1417">
        <f t="shared" ref="S100:S105" si="22">Q100+R100</f>
        <v>0</v>
      </c>
      <c r="T100" s="1417">
        <f>VLOOKUP(C100,TONGHOPCONGDOI!$C$11:$AA$103,25,0)</f>
        <v>0</v>
      </c>
      <c r="U100" s="1417"/>
      <c r="V100" s="1417"/>
      <c r="W100" s="1417"/>
      <c r="X100" s="1417"/>
      <c r="Y100" s="1417"/>
      <c r="Z100" s="1881">
        <f t="shared" si="19"/>
        <v>0</v>
      </c>
      <c r="AA100" s="1420">
        <f t="shared" ref="AA100:AA105" si="23">+N100+G100+Z100</f>
        <v>0</v>
      </c>
      <c r="AB100" s="1420">
        <f t="shared" ref="AB100:AB105" si="24">AA100</f>
        <v>0</v>
      </c>
      <c r="AC100" s="789"/>
      <c r="AD100" s="581"/>
      <c r="AF100" s="289"/>
      <c r="AG100" s="593"/>
    </row>
    <row r="101" spans="1:35" s="242" customFormat="1" ht="27.75" hidden="1" customHeight="1">
      <c r="A101" s="1245">
        <v>84</v>
      </c>
      <c r="B101" s="1332"/>
      <c r="C101" s="320" t="str">
        <f>TONGHOPCONGDOI!C97</f>
        <v>Ủi</v>
      </c>
      <c r="D101" s="1838" t="s">
        <v>1713</v>
      </c>
      <c r="E101" s="1839"/>
      <c r="F101" s="1455"/>
      <c r="G101" s="1417">
        <f t="shared" si="21"/>
        <v>0</v>
      </c>
      <c r="H101" s="1417"/>
      <c r="I101" s="1418"/>
      <c r="J101" s="1417"/>
      <c r="K101" s="1837"/>
      <c r="L101" s="1837"/>
      <c r="M101" s="1419"/>
      <c r="N101" s="2266">
        <f t="shared" si="17"/>
        <v>0</v>
      </c>
      <c r="O101" s="1417">
        <f>VLOOKUP(C101,TONGHOPCONGDOI!$C$11:$AA$103,20,0)</f>
        <v>0</v>
      </c>
      <c r="P101" s="1417">
        <f>VLOOKUP(C101,TONGHOPCONGDOI!$C$11:$AA$103,21,0)</f>
        <v>0</v>
      </c>
      <c r="Q101" s="1417">
        <f>VLOOKUP(C101,TONGHOPCONGDOI!$C$11:$AA$103,22,0)</f>
        <v>0</v>
      </c>
      <c r="R101" s="1417">
        <f>VLOOKUP(C101,TONGHOPCONGDOI!$C$11:$AA$103,23,0)</f>
        <v>0</v>
      </c>
      <c r="S101" s="1417">
        <f t="shared" si="22"/>
        <v>0</v>
      </c>
      <c r="T101" s="1417">
        <f>VLOOKUP(C101,TONGHOPCONGDOI!$C$11:$AA$103,25,0)</f>
        <v>0</v>
      </c>
      <c r="U101" s="1417"/>
      <c r="V101" s="1417"/>
      <c r="W101" s="1417"/>
      <c r="X101" s="1417"/>
      <c r="Y101" s="1417"/>
      <c r="Z101" s="1881">
        <f t="shared" si="19"/>
        <v>0</v>
      </c>
      <c r="AA101" s="1420">
        <f t="shared" si="23"/>
        <v>0</v>
      </c>
      <c r="AB101" s="1420">
        <f t="shared" si="24"/>
        <v>0</v>
      </c>
      <c r="AC101" s="789"/>
      <c r="AD101" s="581"/>
      <c r="AF101" s="289"/>
      <c r="AG101" s="593"/>
    </row>
    <row r="102" spans="1:35" s="242" customFormat="1" ht="27.75" hidden="1" customHeight="1">
      <c r="A102" s="1245">
        <v>85</v>
      </c>
      <c r="B102" s="1332"/>
      <c r="C102" s="320" t="str">
        <f>TONGHOPCONGDOI!C98</f>
        <v>May</v>
      </c>
      <c r="D102" s="1838" t="s">
        <v>1713</v>
      </c>
      <c r="E102" s="1839"/>
      <c r="F102" s="1455"/>
      <c r="G102" s="1417">
        <f t="shared" si="21"/>
        <v>0</v>
      </c>
      <c r="H102" s="1417"/>
      <c r="I102" s="1418"/>
      <c r="J102" s="1417"/>
      <c r="K102" s="1837"/>
      <c r="L102" s="1837"/>
      <c r="M102" s="1419"/>
      <c r="N102" s="2266">
        <f t="shared" si="17"/>
        <v>0</v>
      </c>
      <c r="O102" s="1417">
        <f>VLOOKUP(C102,TONGHOPCONGDOI!$C$11:$AA$103,20,0)</f>
        <v>0</v>
      </c>
      <c r="P102" s="1417">
        <f>VLOOKUP(C102,TONGHOPCONGDOI!$C$11:$AA$103,21,0)</f>
        <v>0</v>
      </c>
      <c r="Q102" s="1417">
        <f>VLOOKUP(C102,TONGHOPCONGDOI!$C$11:$AA$103,22,0)</f>
        <v>0</v>
      </c>
      <c r="R102" s="1417">
        <f>VLOOKUP(C102,TONGHOPCONGDOI!$C$11:$AA$103,23,0)</f>
        <v>0</v>
      </c>
      <c r="S102" s="1417">
        <f t="shared" si="22"/>
        <v>0</v>
      </c>
      <c r="T102" s="1417">
        <f>VLOOKUP(C102,TONGHOPCONGDOI!$C$11:$AA$103,25,0)</f>
        <v>0</v>
      </c>
      <c r="U102" s="1417"/>
      <c r="V102" s="1417"/>
      <c r="W102" s="1417"/>
      <c r="X102" s="1417"/>
      <c r="Y102" s="1417"/>
      <c r="Z102" s="1881">
        <f t="shared" si="19"/>
        <v>0</v>
      </c>
      <c r="AA102" s="1420">
        <f t="shared" si="23"/>
        <v>0</v>
      </c>
      <c r="AB102" s="1420">
        <f t="shared" si="24"/>
        <v>0</v>
      </c>
      <c r="AC102" s="789"/>
      <c r="AD102" s="581"/>
      <c r="AF102" s="289"/>
      <c r="AG102" s="593"/>
    </row>
    <row r="103" spans="1:35" s="242" customFormat="1" ht="27.75" hidden="1" customHeight="1">
      <c r="A103" s="1245">
        <v>86</v>
      </c>
      <c r="B103" s="1332"/>
      <c r="C103" s="320" t="str">
        <f>TONGHOPCONGDOI!C99</f>
        <v>Son</v>
      </c>
      <c r="D103" s="1838" t="s">
        <v>1713</v>
      </c>
      <c r="E103" s="1839"/>
      <c r="F103" s="1455"/>
      <c r="G103" s="1417">
        <f t="shared" si="21"/>
        <v>0</v>
      </c>
      <c r="H103" s="1417"/>
      <c r="I103" s="1418"/>
      <c r="J103" s="1417"/>
      <c r="K103" s="1837"/>
      <c r="L103" s="1837"/>
      <c r="M103" s="1419"/>
      <c r="N103" s="2266">
        <f t="shared" si="17"/>
        <v>0</v>
      </c>
      <c r="O103" s="1417">
        <f>VLOOKUP(C103,TONGHOPCONGDOI!$C$11:$AA$103,20,0)</f>
        <v>0</v>
      </c>
      <c r="P103" s="1417">
        <f>VLOOKUP(C103,TONGHOPCONGDOI!$C$11:$AA$103,21,0)</f>
        <v>0</v>
      </c>
      <c r="Q103" s="1417">
        <f>VLOOKUP(C103,TONGHOPCONGDOI!$C$11:$AA$103,22,0)</f>
        <v>0</v>
      </c>
      <c r="R103" s="1417">
        <f>VLOOKUP(C103,TONGHOPCONGDOI!$C$11:$AA$103,23,0)</f>
        <v>0</v>
      </c>
      <c r="S103" s="1417">
        <f t="shared" si="22"/>
        <v>0</v>
      </c>
      <c r="T103" s="1417">
        <f>VLOOKUP(C103,TONGHOPCONGDOI!$C$11:$AA$103,25,0)</f>
        <v>0</v>
      </c>
      <c r="U103" s="1417"/>
      <c r="V103" s="1417"/>
      <c r="W103" s="1417"/>
      <c r="X103" s="1417"/>
      <c r="Y103" s="1417"/>
      <c r="Z103" s="1881">
        <f t="shared" si="19"/>
        <v>0</v>
      </c>
      <c r="AA103" s="1420">
        <f t="shared" si="23"/>
        <v>0</v>
      </c>
      <c r="AB103" s="1420">
        <f t="shared" si="24"/>
        <v>0</v>
      </c>
      <c r="AC103" s="789"/>
      <c r="AD103" s="581"/>
      <c r="AF103" s="289"/>
      <c r="AG103" s="593"/>
    </row>
    <row r="104" spans="1:35" s="242" customFormat="1" ht="27.75" hidden="1" customHeight="1">
      <c r="A104" s="1245">
        <v>87</v>
      </c>
      <c r="B104" s="1332"/>
      <c r="C104" s="320" t="str">
        <f>TONGHOPCONGDOI!C100</f>
        <v>T. Tý</v>
      </c>
      <c r="D104" s="1838" t="s">
        <v>1713</v>
      </c>
      <c r="E104" s="1839"/>
      <c r="F104" s="1455"/>
      <c r="G104" s="1417">
        <f t="shared" si="21"/>
        <v>0</v>
      </c>
      <c r="H104" s="1417"/>
      <c r="I104" s="1418"/>
      <c r="J104" s="1417"/>
      <c r="K104" s="1837"/>
      <c r="L104" s="1837"/>
      <c r="M104" s="1419"/>
      <c r="N104" s="2266">
        <f t="shared" si="17"/>
        <v>0</v>
      </c>
      <c r="O104" s="1417">
        <f>VLOOKUP(C104,TONGHOPCONGDOI!$C$11:$AA$103,20,0)</f>
        <v>0</v>
      </c>
      <c r="P104" s="1417">
        <f>VLOOKUP(C104,TONGHOPCONGDOI!$C$11:$AA$103,21,0)</f>
        <v>0</v>
      </c>
      <c r="Q104" s="1417">
        <f>VLOOKUP(C104,TONGHOPCONGDOI!$C$11:$AA$103,22,0)</f>
        <v>0</v>
      </c>
      <c r="R104" s="1417">
        <f>VLOOKUP(C104,TONGHOPCONGDOI!$C$11:$AA$103,23,0)</f>
        <v>0</v>
      </c>
      <c r="S104" s="1417">
        <f t="shared" si="22"/>
        <v>0</v>
      </c>
      <c r="T104" s="1417">
        <f>VLOOKUP(C104,TONGHOPCONGDOI!$C$11:$AA$103,25,0)</f>
        <v>0</v>
      </c>
      <c r="U104" s="1417"/>
      <c r="V104" s="1417"/>
      <c r="W104" s="1417"/>
      <c r="X104" s="1417"/>
      <c r="Y104" s="1417"/>
      <c r="Z104" s="1881">
        <f t="shared" si="19"/>
        <v>0</v>
      </c>
      <c r="AA104" s="1420">
        <f t="shared" si="23"/>
        <v>0</v>
      </c>
      <c r="AB104" s="1420">
        <f t="shared" si="24"/>
        <v>0</v>
      </c>
      <c r="AC104" s="789"/>
      <c r="AD104" s="581"/>
      <c r="AF104" s="289"/>
      <c r="AG104" s="593"/>
    </row>
    <row r="105" spans="1:35" s="242" customFormat="1" ht="27.75" hidden="1" customHeight="1">
      <c r="A105" s="1245">
        <v>88</v>
      </c>
      <c r="B105" s="1332"/>
      <c r="C105" s="320" t="str">
        <f>TONGHOPCONGDOI!C101</f>
        <v>Choi</v>
      </c>
      <c r="D105" s="1838" t="s">
        <v>1713</v>
      </c>
      <c r="E105" s="1839"/>
      <c r="F105" s="1455"/>
      <c r="G105" s="1417">
        <f t="shared" si="21"/>
        <v>0</v>
      </c>
      <c r="H105" s="1417"/>
      <c r="I105" s="1418"/>
      <c r="J105" s="1417"/>
      <c r="K105" s="1837"/>
      <c r="L105" s="1837"/>
      <c r="M105" s="1419"/>
      <c r="N105" s="2266">
        <f t="shared" si="17"/>
        <v>0</v>
      </c>
      <c r="O105" s="1417">
        <f>VLOOKUP(C105,TONGHOPCONGDOI!$C$11:$AA$103,20,0)</f>
        <v>0</v>
      </c>
      <c r="P105" s="1417">
        <f>VLOOKUP(C105,TONGHOPCONGDOI!$C$11:$AA$103,21,0)</f>
        <v>0</v>
      </c>
      <c r="Q105" s="1417">
        <f>VLOOKUP(C105,TONGHOPCONGDOI!$C$11:$AA$103,22,0)</f>
        <v>0</v>
      </c>
      <c r="R105" s="1417">
        <f>VLOOKUP(C105,TONGHOPCONGDOI!$C$11:$AA$103,23,0)</f>
        <v>0</v>
      </c>
      <c r="S105" s="1417">
        <f t="shared" si="22"/>
        <v>0</v>
      </c>
      <c r="T105" s="1417">
        <f>VLOOKUP(C105,TONGHOPCONGDOI!$C$11:$AA$103,25,0)</f>
        <v>0</v>
      </c>
      <c r="U105" s="1417"/>
      <c r="V105" s="1417"/>
      <c r="W105" s="1417"/>
      <c r="X105" s="1417"/>
      <c r="Y105" s="1417"/>
      <c r="Z105" s="1881">
        <f t="shared" si="19"/>
        <v>0</v>
      </c>
      <c r="AA105" s="1420">
        <f t="shared" si="23"/>
        <v>0</v>
      </c>
      <c r="AB105" s="1420">
        <f t="shared" si="24"/>
        <v>0</v>
      </c>
      <c r="AC105" s="789"/>
      <c r="AD105" s="581"/>
      <c r="AF105" s="289"/>
      <c r="AG105" s="593"/>
    </row>
    <row r="106" spans="1:35" s="242" customFormat="1" ht="27.75" hidden="1" customHeight="1">
      <c r="A106" s="1245">
        <v>89</v>
      </c>
      <c r="B106" s="320">
        <f>TONGHOPCONGDOI!B96</f>
        <v>0</v>
      </c>
      <c r="C106" s="320" t="str">
        <f>TONGHOPCONGDOI!C102</f>
        <v>Con</v>
      </c>
      <c r="D106" s="1838" t="s">
        <v>1713</v>
      </c>
      <c r="E106" s="1416"/>
      <c r="F106" s="1455"/>
      <c r="G106" s="2015">
        <f t="shared" si="1"/>
        <v>0</v>
      </c>
      <c r="H106" s="1417"/>
      <c r="I106" s="1418"/>
      <c r="J106" s="1417"/>
      <c r="K106" s="1837"/>
      <c r="L106" s="1837"/>
      <c r="M106" s="1419"/>
      <c r="N106" s="2266">
        <f t="shared" si="17"/>
        <v>0</v>
      </c>
      <c r="O106" s="1417">
        <f>VLOOKUP(C106,TONGHOPCONGDOI!$C$11:$AA$103,20,0)</f>
        <v>0</v>
      </c>
      <c r="P106" s="1417">
        <f>VLOOKUP(C106,TONGHOPCONGDOI!$C$11:$AA$103,21,0)</f>
        <v>0</v>
      </c>
      <c r="Q106" s="1417">
        <f>VLOOKUP(C106,TONGHOPCONGDOI!$C$11:$AA$103,22,0)</f>
        <v>0</v>
      </c>
      <c r="R106" s="1417">
        <f>VLOOKUP(C106,TONGHOPCONGDOI!$C$11:$AA$103,23,0)</f>
        <v>0</v>
      </c>
      <c r="S106" s="1417">
        <f t="shared" si="18"/>
        <v>0</v>
      </c>
      <c r="T106" s="1417">
        <f>VLOOKUP(C106,TONGHOPCONGDOI!$C$11:$AA$103,25,0)</f>
        <v>0</v>
      </c>
      <c r="U106" s="1417"/>
      <c r="V106" s="1417"/>
      <c r="W106" s="1417"/>
      <c r="X106" s="1417"/>
      <c r="Y106" s="1417"/>
      <c r="Z106" s="1881">
        <f t="shared" si="19"/>
        <v>0</v>
      </c>
      <c r="AA106" s="1420">
        <f t="shared" si="15"/>
        <v>0</v>
      </c>
      <c r="AB106" s="1420">
        <f t="shared" si="6"/>
        <v>0</v>
      </c>
      <c r="AC106" s="789"/>
      <c r="AD106" s="581"/>
      <c r="AF106" s="289"/>
      <c r="AG106" s="593"/>
    </row>
    <row r="107" spans="1:35" s="242" customFormat="1" ht="27.75" hidden="1" customHeight="1">
      <c r="A107" s="1245">
        <v>90</v>
      </c>
      <c r="B107" s="320">
        <f>TONGHOPCONGDOI!B103</f>
        <v>0</v>
      </c>
      <c r="C107" s="320" t="str">
        <f>TONGHOPCONGDOI!C103</f>
        <v>Đăm</v>
      </c>
      <c r="D107" s="1838" t="s">
        <v>1713</v>
      </c>
      <c r="E107" s="1416"/>
      <c r="F107" s="1455"/>
      <c r="G107" s="2015">
        <f t="shared" si="1"/>
        <v>0</v>
      </c>
      <c r="H107" s="1417"/>
      <c r="I107" s="1418"/>
      <c r="J107" s="1417"/>
      <c r="K107" s="1837"/>
      <c r="L107" s="1837"/>
      <c r="M107" s="1419"/>
      <c r="N107" s="2266">
        <f t="shared" si="17"/>
        <v>0</v>
      </c>
      <c r="O107" s="1417">
        <f>VLOOKUP(C107,TONGHOPCONGDOI!$C$11:$AA$103,20,0)</f>
        <v>0</v>
      </c>
      <c r="P107" s="1417">
        <f>VLOOKUP(C107,TONGHOPCONGDOI!$C$11:$AA$103,21,0)</f>
        <v>0</v>
      </c>
      <c r="Q107" s="1417">
        <f>VLOOKUP(C107,TONGHOPCONGDOI!$C$11:$AA$103,22,0)</f>
        <v>0</v>
      </c>
      <c r="R107" s="1417">
        <f>VLOOKUP(C107,TONGHOPCONGDOI!$C$11:$AA$103,23,0)</f>
        <v>0</v>
      </c>
      <c r="S107" s="1417">
        <f t="shared" si="18"/>
        <v>0</v>
      </c>
      <c r="T107" s="1417">
        <f>VLOOKUP(C107,TONGHOPCONGDOI!$C$11:$AA$103,25,0)</f>
        <v>0</v>
      </c>
      <c r="U107" s="1417"/>
      <c r="V107" s="1417"/>
      <c r="W107" s="1417"/>
      <c r="X107" s="1417"/>
      <c r="Y107" s="1417"/>
      <c r="Z107" s="1881">
        <f t="shared" si="19"/>
        <v>0</v>
      </c>
      <c r="AA107" s="1420">
        <f t="shared" si="15"/>
        <v>0</v>
      </c>
      <c r="AB107" s="1420">
        <f t="shared" si="6"/>
        <v>0</v>
      </c>
      <c r="AC107" s="789"/>
      <c r="AD107" s="581"/>
      <c r="AF107" s="289">
        <v>373016012</v>
      </c>
      <c r="AG107" s="593"/>
    </row>
    <row r="108" spans="1:35" s="40" customFormat="1" ht="21" customHeight="1">
      <c r="A108" s="2628" t="s">
        <v>349</v>
      </c>
      <c r="B108" s="2629"/>
      <c r="C108" s="2630"/>
      <c r="D108" s="1379"/>
      <c r="E108" s="1381"/>
      <c r="F108" s="1456"/>
      <c r="G108" s="1405">
        <f t="shared" ref="F108:AB108" si="25">SUM(G15:G107)</f>
        <v>0</v>
      </c>
      <c r="H108" s="1405">
        <f t="shared" si="25"/>
        <v>336903</v>
      </c>
      <c r="I108" s="1405">
        <f t="shared" si="25"/>
        <v>910</v>
      </c>
      <c r="J108" s="1405">
        <f>SUM(J15:J107)</f>
        <v>143668.87146912701</v>
      </c>
      <c r="K108" s="1405">
        <f t="shared" si="25"/>
        <v>18462.913216632398</v>
      </c>
      <c r="L108" s="1405">
        <f t="shared" si="25"/>
        <v>162131.7846857594</v>
      </c>
      <c r="M108" s="1405">
        <f t="shared" si="25"/>
        <v>0</v>
      </c>
      <c r="N108" s="1405">
        <f t="shared" si="25"/>
        <v>581218642</v>
      </c>
      <c r="O108" s="1405">
        <f t="shared" si="25"/>
        <v>1998</v>
      </c>
      <c r="P108" s="1405">
        <f t="shared" si="25"/>
        <v>296</v>
      </c>
      <c r="Q108" s="1405">
        <f t="shared" si="25"/>
        <v>0</v>
      </c>
      <c r="R108" s="1405">
        <f t="shared" si="25"/>
        <v>0</v>
      </c>
      <c r="S108" s="1405">
        <f t="shared" si="25"/>
        <v>0</v>
      </c>
      <c r="T108" s="1406">
        <f t="shared" si="25"/>
        <v>0</v>
      </c>
      <c r="U108" s="1405">
        <f t="shared" si="25"/>
        <v>0</v>
      </c>
      <c r="V108" s="1406">
        <f t="shared" si="25"/>
        <v>0</v>
      </c>
      <c r="W108" s="1406">
        <f t="shared" si="25"/>
        <v>0</v>
      </c>
      <c r="X108" s="1406">
        <f t="shared" si="25"/>
        <v>0</v>
      </c>
      <c r="Y108" s="1406">
        <f t="shared" si="25"/>
        <v>0</v>
      </c>
      <c r="Z108" s="1381">
        <f t="shared" si="25"/>
        <v>76728680</v>
      </c>
      <c r="AA108" s="1381">
        <f t="shared" si="25"/>
        <v>657947322</v>
      </c>
      <c r="AB108" s="1381">
        <f t="shared" si="25"/>
        <v>657947322</v>
      </c>
      <c r="AC108" s="1424" t="e">
        <f>SUM(#REF!)</f>
        <v>#REF!</v>
      </c>
      <c r="AD108" s="1424" t="e">
        <f>SUM(#REF!)</f>
        <v>#REF!</v>
      </c>
      <c r="AE108" s="1425"/>
      <c r="AF108" s="1423"/>
    </row>
    <row r="109" spans="1:35" s="26" customFormat="1" ht="21" customHeight="1">
      <c r="A109" s="2599" t="s">
        <v>3479</v>
      </c>
      <c r="B109" s="2599"/>
      <c r="C109" s="2599"/>
      <c r="D109" s="2599"/>
      <c r="E109" s="2599"/>
      <c r="F109" s="2599"/>
      <c r="G109" s="2599"/>
      <c r="H109" s="2599"/>
      <c r="I109" s="2599"/>
      <c r="J109" s="2599"/>
      <c r="K109" s="2599"/>
      <c r="L109" s="2599"/>
      <c r="M109" s="2599"/>
      <c r="N109" s="2599"/>
      <c r="O109" s="2599"/>
      <c r="P109" s="2599"/>
      <c r="Q109" s="2599"/>
      <c r="R109" s="2599"/>
      <c r="S109" s="2599"/>
      <c r="T109" s="2599"/>
      <c r="U109" s="2599"/>
      <c r="V109" s="2599"/>
      <c r="W109" s="2599"/>
      <c r="X109" s="2599"/>
      <c r="Y109" s="2599"/>
      <c r="Z109" s="2599"/>
      <c r="AA109" s="2599"/>
      <c r="AB109" s="2599"/>
      <c r="AC109" s="1426"/>
      <c r="AD109" s="1427"/>
      <c r="AE109" s="1428">
        <f>+AA108-AE108</f>
        <v>657947322</v>
      </c>
      <c r="AF109" s="1429"/>
      <c r="AG109" s="2301"/>
      <c r="AH109" s="2301"/>
    </row>
    <row r="110" spans="1:35" ht="24" customHeight="1">
      <c r="A110" s="2008"/>
      <c r="B110" s="2009"/>
      <c r="G110" s="541"/>
      <c r="H110" s="541"/>
      <c r="J110" s="2010"/>
      <c r="K110" s="2010"/>
      <c r="L110" s="2010"/>
      <c r="M110" s="2010"/>
      <c r="N110" s="2010"/>
      <c r="O110" s="2010"/>
      <c r="P110" s="2619" t="s">
        <v>3454</v>
      </c>
      <c r="Q110" s="2619"/>
      <c r="R110" s="2619"/>
      <c r="S110" s="2619"/>
      <c r="T110" s="2619"/>
      <c r="U110" s="2619"/>
      <c r="V110" s="2619"/>
      <c r="W110" s="2619"/>
      <c r="X110" s="2619"/>
      <c r="Y110" s="2619"/>
      <c r="Z110" s="2619"/>
      <c r="AA110" s="2619"/>
      <c r="AB110" s="2619"/>
      <c r="AC110" s="1430"/>
      <c r="AD110" s="1430"/>
      <c r="AE110" s="1431"/>
      <c r="AF110" s="1432" t="e">
        <f>#REF!+'TRẠM 2'!AF89</f>
        <v>#REF!</v>
      </c>
    </row>
    <row r="111" spans="1:35" s="312" customFormat="1" ht="27.75" customHeight="1">
      <c r="A111" s="2610" t="s">
        <v>3443</v>
      </c>
      <c r="B111" s="2610"/>
      <c r="C111" s="2610"/>
      <c r="D111" s="2610"/>
      <c r="E111" s="2610"/>
      <c r="F111" s="2610"/>
      <c r="G111" s="2610"/>
      <c r="H111" s="2610"/>
      <c r="I111" s="2610"/>
      <c r="J111" s="2610"/>
      <c r="K111" s="2610"/>
      <c r="L111" s="2610"/>
      <c r="M111" s="2610"/>
      <c r="N111" s="2610"/>
      <c r="O111" s="2610"/>
      <c r="P111" s="2610"/>
      <c r="Q111" s="2610"/>
      <c r="R111" s="2610"/>
      <c r="S111" s="2610"/>
      <c r="T111" s="2610"/>
      <c r="U111" s="2610"/>
      <c r="V111" s="2610"/>
      <c r="W111" s="2610"/>
      <c r="X111" s="2610"/>
      <c r="Y111" s="2610"/>
      <c r="Z111" s="2610"/>
      <c r="AA111" s="2610"/>
      <c r="AB111" s="2610"/>
      <c r="AE111" s="1303"/>
      <c r="AF111" s="1304"/>
      <c r="AG111" s="313"/>
      <c r="AH111" s="313"/>
      <c r="AI111" s="338"/>
    </row>
    <row r="112" spans="1:35" ht="15.75">
      <c r="A112" s="246"/>
      <c r="B112" s="246"/>
      <c r="C112" s="246"/>
      <c r="D112" s="1434"/>
      <c r="E112" s="248"/>
      <c r="F112" s="1435"/>
      <c r="G112" s="1436"/>
      <c r="H112" s="1437"/>
      <c r="I112" s="1438"/>
      <c r="J112" s="1438"/>
      <c r="K112" s="1438"/>
      <c r="L112" s="1438"/>
      <c r="M112" s="1439"/>
      <c r="N112" s="1439"/>
      <c r="O112" s="1439"/>
      <c r="Z112" s="1440"/>
      <c r="AA112" s="755"/>
      <c r="AE112" s="248"/>
      <c r="AF112" s="248"/>
      <c r="AI112" s="755"/>
    </row>
    <row r="113" spans="1:35" ht="15.75">
      <c r="A113" s="246"/>
      <c r="B113" s="246"/>
      <c r="C113" s="246"/>
      <c r="D113" s="1434"/>
      <c r="E113" s="248"/>
      <c r="F113" s="1435"/>
      <c r="G113" s="1436"/>
      <c r="H113" s="1437"/>
      <c r="I113" s="1438"/>
      <c r="J113" s="1438"/>
      <c r="K113" s="1438"/>
      <c r="L113" s="1438"/>
      <c r="M113" s="1439"/>
      <c r="N113" s="1439"/>
      <c r="O113" s="1439"/>
      <c r="Z113" s="1440"/>
      <c r="AA113" s="755"/>
      <c r="AE113" s="248"/>
      <c r="AF113" s="246"/>
      <c r="AI113" s="755"/>
    </row>
    <row r="114" spans="1:35" ht="42.75" customHeight="1">
      <c r="A114" s="246"/>
      <c r="B114" s="246"/>
      <c r="C114" s="246"/>
      <c r="D114" s="755"/>
      <c r="E114" s="755"/>
      <c r="F114" s="1433"/>
      <c r="G114" s="1436"/>
      <c r="H114" s="2613"/>
      <c r="I114" s="2613"/>
      <c r="J114" s="2300"/>
      <c r="K114" s="2300"/>
      <c r="L114" s="2300"/>
      <c r="M114" s="2614"/>
      <c r="N114" s="2614"/>
      <c r="O114" s="1439"/>
      <c r="P114" s="1441"/>
      <c r="Q114" s="1441"/>
      <c r="R114" s="1441"/>
      <c r="S114" s="1441"/>
      <c r="T114" s="1441"/>
      <c r="U114" s="1441"/>
      <c r="V114" s="1441"/>
      <c r="W114" s="1441"/>
      <c r="X114" s="1441"/>
      <c r="Y114" s="1441"/>
      <c r="Z114" s="1440"/>
      <c r="AA114" s="2607"/>
      <c r="AB114" s="2607"/>
      <c r="AE114" s="1433"/>
      <c r="AF114" s="1432"/>
    </row>
    <row r="115" spans="1:35" ht="15.75">
      <c r="A115" s="246"/>
      <c r="B115" s="246"/>
      <c r="C115" s="246"/>
      <c r="D115" s="1436"/>
      <c r="E115" s="92"/>
      <c r="F115" s="1433"/>
      <c r="G115" s="755"/>
      <c r="H115" s="2298"/>
      <c r="I115" s="2298"/>
      <c r="J115" s="1438"/>
      <c r="K115" s="1438"/>
      <c r="L115" s="1438"/>
      <c r="M115" s="2608"/>
      <c r="N115" s="2608"/>
      <c r="O115" s="2608"/>
      <c r="P115" s="1442"/>
      <c r="Q115" s="1442"/>
      <c r="R115" s="1442"/>
      <c r="S115" s="1441"/>
      <c r="T115" s="1441"/>
      <c r="U115" s="1441"/>
      <c r="V115" s="1441"/>
      <c r="W115" s="1441"/>
      <c r="X115" s="1441"/>
      <c r="Y115" s="1441"/>
      <c r="Z115" s="755"/>
      <c r="AA115" s="2611"/>
      <c r="AB115" s="2611"/>
      <c r="AF115" s="1432"/>
    </row>
    <row r="116" spans="1:35" s="53" customFormat="1">
      <c r="C116" s="2453"/>
      <c r="D116" s="2453"/>
      <c r="E116" s="2453"/>
      <c r="F116" s="2453"/>
      <c r="G116" s="2612"/>
      <c r="H116" s="2612"/>
      <c r="I116" s="2612"/>
      <c r="J116" s="2612"/>
      <c r="K116" s="2299"/>
      <c r="L116" s="2299"/>
      <c r="M116" s="96"/>
      <c r="N116" s="607"/>
      <c r="O116" s="96"/>
      <c r="P116" s="612"/>
      <c r="Q116" s="612"/>
      <c r="R116" s="612"/>
      <c r="S116" s="611"/>
      <c r="T116" s="611"/>
      <c r="U116" s="611"/>
      <c r="V116" s="611"/>
      <c r="W116" s="611"/>
      <c r="X116" s="611"/>
      <c r="Y116" s="611"/>
      <c r="Z116" s="2606"/>
      <c r="AA116" s="2606"/>
      <c r="AB116" s="2606"/>
      <c r="AD116" s="272"/>
      <c r="AE116" s="95"/>
      <c r="AF116" s="249"/>
    </row>
    <row r="117" spans="1:35" s="53" customFormat="1" ht="14.25" customHeight="1">
      <c r="C117" s="268"/>
      <c r="D117" s="268"/>
      <c r="E117" s="268"/>
      <c r="F117" s="2594"/>
      <c r="G117" s="2594"/>
      <c r="H117" s="2594"/>
      <c r="I117" s="2303"/>
      <c r="J117" s="2303"/>
      <c r="K117" s="2303"/>
      <c r="L117" s="2303"/>
      <c r="M117" s="2609"/>
      <c r="N117" s="2609"/>
      <c r="O117" s="96"/>
      <c r="S117" s="611"/>
      <c r="T117" s="611"/>
      <c r="U117" s="611"/>
      <c r="V117" s="611"/>
      <c r="W117" s="611"/>
      <c r="X117" s="611"/>
      <c r="Y117" s="611"/>
      <c r="Z117" s="615"/>
      <c r="AA117" s="95"/>
      <c r="AB117" s="2304"/>
      <c r="AD117" s="272"/>
      <c r="AF117" s="249"/>
    </row>
    <row r="118" spans="1:35" s="53" customFormat="1">
      <c r="C118" s="270"/>
      <c r="E118" s="95"/>
      <c r="F118" s="2591"/>
      <c r="G118" s="2591"/>
      <c r="H118" s="2591"/>
      <c r="I118" s="2294"/>
      <c r="J118" s="2592"/>
      <c r="K118" s="2592"/>
      <c r="L118" s="2592"/>
      <c r="M118" s="2592"/>
      <c r="N118" s="2593"/>
      <c r="O118" s="2593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615"/>
      <c r="AA118" s="95"/>
      <c r="AB118" s="605"/>
      <c r="AD118" s="272"/>
      <c r="AF118" s="249"/>
    </row>
    <row r="119" spans="1:35" s="53" customFormat="1">
      <c r="E119" s="95"/>
      <c r="F119" s="1239"/>
      <c r="G119" s="2595"/>
      <c r="H119" s="2595"/>
      <c r="I119" s="2294"/>
      <c r="J119" s="2294"/>
      <c r="K119" s="2294"/>
      <c r="L119" s="2294"/>
      <c r="M119" s="96"/>
      <c r="N119" s="2593"/>
      <c r="O119" s="2593"/>
      <c r="Z119" s="615"/>
      <c r="AA119" s="95"/>
      <c r="AD119" s="272"/>
      <c r="AE119" s="270"/>
      <c r="AF119" s="249"/>
    </row>
    <row r="120" spans="1:35" s="53" customFormat="1">
      <c r="C120" s="95"/>
      <c r="E120" s="95"/>
      <c r="F120" s="1239"/>
      <c r="G120" s="2595"/>
      <c r="H120" s="2595"/>
      <c r="I120" s="2294"/>
      <c r="J120" s="2294"/>
      <c r="K120" s="2294"/>
      <c r="L120" s="2294"/>
      <c r="M120" s="96"/>
      <c r="N120" s="2593"/>
      <c r="O120" s="2593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615"/>
      <c r="AA120" s="95"/>
      <c r="AD120" s="272"/>
      <c r="AF120" s="249"/>
    </row>
    <row r="121" spans="1:35" s="53" customFormat="1">
      <c r="E121" s="95"/>
      <c r="F121" s="1239"/>
      <c r="G121" s="2595"/>
      <c r="H121" s="2595"/>
      <c r="I121" s="2294"/>
      <c r="J121" s="2294"/>
      <c r="K121" s="2294"/>
      <c r="L121" s="2294"/>
      <c r="M121" s="96"/>
      <c r="N121" s="2593"/>
      <c r="O121" s="2593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1209"/>
      <c r="AA121" s="95"/>
      <c r="AD121" s="272"/>
      <c r="AF121" s="249"/>
    </row>
    <row r="122" spans="1:35" s="53" customFormat="1">
      <c r="E122" s="95"/>
      <c r="F122" s="1239"/>
      <c r="G122" s="2595"/>
      <c r="H122" s="2595"/>
      <c r="I122" s="2294"/>
      <c r="J122" s="2294"/>
      <c r="K122" s="2294"/>
      <c r="L122" s="2294"/>
      <c r="M122" s="96"/>
      <c r="N122" s="96"/>
      <c r="O122" s="1210"/>
      <c r="P122" s="1210"/>
      <c r="Q122" s="1210"/>
      <c r="R122" s="1210"/>
      <c r="S122" s="1210"/>
      <c r="T122" s="1210"/>
      <c r="U122" s="1210"/>
      <c r="V122" s="1210"/>
      <c r="W122" s="1210"/>
      <c r="X122" s="1210"/>
      <c r="Y122" s="1210"/>
      <c r="Z122" s="1209"/>
      <c r="AA122" s="95"/>
      <c r="AD122" s="272"/>
      <c r="AF122" s="249"/>
    </row>
    <row r="123" spans="1:35" s="53" customFormat="1">
      <c r="E123" s="95"/>
      <c r="F123" s="1239"/>
      <c r="G123" s="286"/>
      <c r="H123" s="607"/>
      <c r="I123" s="608"/>
      <c r="J123" s="608"/>
      <c r="K123" s="608"/>
      <c r="L123" s="608"/>
      <c r="M123" s="96"/>
      <c r="N123" s="606"/>
      <c r="O123" s="606"/>
      <c r="P123" s="606"/>
      <c r="Q123" s="606"/>
      <c r="R123" s="606"/>
      <c r="S123" s="606"/>
      <c r="T123" s="606"/>
      <c r="V123" s="606"/>
      <c r="W123" s="606"/>
      <c r="X123" s="606"/>
      <c r="Y123" s="606"/>
      <c r="Z123" s="1209"/>
      <c r="AA123" s="95"/>
      <c r="AD123" s="272"/>
      <c r="AF123" s="249"/>
    </row>
    <row r="124" spans="1:35" s="53" customFormat="1">
      <c r="C124" s="272"/>
      <c r="E124" s="95"/>
      <c r="F124" s="1239"/>
      <c r="G124" s="286"/>
      <c r="H124" s="604"/>
      <c r="I124" s="605"/>
      <c r="J124" s="605"/>
      <c r="K124" s="605"/>
      <c r="L124" s="605"/>
      <c r="M124" s="9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606"/>
      <c r="Y124" s="606"/>
      <c r="Z124" s="1211"/>
      <c r="AA124" s="95"/>
      <c r="AD124" s="272"/>
      <c r="AF124" s="249"/>
    </row>
    <row r="125" spans="1:35" s="53" customFormat="1">
      <c r="E125" s="95"/>
      <c r="F125" s="1240"/>
      <c r="G125" s="286"/>
      <c r="H125" s="604"/>
      <c r="I125" s="605"/>
      <c r="J125" s="605"/>
      <c r="K125" s="605"/>
      <c r="L125" s="605"/>
      <c r="M125" s="96"/>
      <c r="AA125" s="95"/>
      <c r="AD125" s="272"/>
      <c r="AF125" s="249"/>
    </row>
    <row r="126" spans="1:35" s="53" customFormat="1">
      <c r="E126" s="95"/>
      <c r="F126" s="1240"/>
      <c r="G126" s="286"/>
      <c r="H126" s="604"/>
      <c r="I126" s="605"/>
      <c r="J126" s="605"/>
      <c r="K126" s="605"/>
      <c r="L126" s="605"/>
      <c r="M126" s="96"/>
      <c r="AA126" s="95"/>
      <c r="AD126" s="272"/>
      <c r="AF126" s="249"/>
    </row>
    <row r="127" spans="1:35" s="53" customFormat="1">
      <c r="E127" s="95"/>
      <c r="F127" s="1240"/>
      <c r="G127" s="286"/>
      <c r="H127" s="604"/>
      <c r="I127" s="605"/>
      <c r="J127" s="605"/>
      <c r="K127" s="605"/>
      <c r="L127" s="605"/>
      <c r="M127" s="96"/>
      <c r="AA127" s="95"/>
      <c r="AD127" s="272"/>
      <c r="AF127" s="249"/>
    </row>
    <row r="128" spans="1:35" s="53" customFormat="1">
      <c r="E128" s="95"/>
      <c r="F128" s="1240"/>
      <c r="G128" s="286"/>
      <c r="H128" s="604"/>
      <c r="I128" s="605"/>
      <c r="J128" s="605"/>
      <c r="K128" s="605"/>
      <c r="L128" s="605"/>
      <c r="M128" s="96"/>
      <c r="AA128" s="95"/>
      <c r="AD128" s="272"/>
      <c r="AF128" s="249"/>
    </row>
    <row r="129" spans="5:32" s="53" customFormat="1">
      <c r="E129" s="95"/>
      <c r="F129" s="1240"/>
      <c r="G129" s="286"/>
      <c r="H129" s="604"/>
      <c r="I129" s="605"/>
      <c r="J129" s="605"/>
      <c r="K129" s="605"/>
      <c r="L129" s="605"/>
      <c r="M129" s="96"/>
      <c r="N129" s="96"/>
      <c r="O129" s="96"/>
      <c r="Z129" s="615"/>
      <c r="AA129" s="95"/>
      <c r="AD129" s="272"/>
      <c r="AF129" s="249"/>
    </row>
    <row r="130" spans="5:32" s="53" customFormat="1">
      <c r="E130" s="95"/>
      <c r="F130" s="1240"/>
      <c r="G130" s="286"/>
      <c r="H130" s="604"/>
      <c r="I130" s="605"/>
      <c r="J130" s="605"/>
      <c r="K130" s="605"/>
      <c r="L130" s="605"/>
      <c r="M130" s="96"/>
      <c r="N130" s="96"/>
      <c r="O130" s="96"/>
      <c r="Z130" s="615"/>
      <c r="AA130" s="95"/>
      <c r="AD130" s="272"/>
      <c r="AF130" s="249"/>
    </row>
    <row r="131" spans="5:32" s="53" customFormat="1">
      <c r="E131" s="95"/>
      <c r="F131" s="1240"/>
      <c r="G131" s="286"/>
      <c r="H131" s="604"/>
      <c r="I131" s="605"/>
      <c r="J131" s="605"/>
      <c r="K131" s="605"/>
      <c r="L131" s="605"/>
      <c r="M131" s="96"/>
      <c r="N131" s="96"/>
      <c r="O131" s="96"/>
      <c r="Z131" s="615"/>
      <c r="AA131" s="95"/>
      <c r="AD131" s="272"/>
      <c r="AF131" s="249"/>
    </row>
    <row r="132" spans="5:32" s="53" customFormat="1">
      <c r="E132" s="95"/>
      <c r="F132" s="1240"/>
      <c r="G132" s="286"/>
      <c r="H132" s="604"/>
      <c r="I132" s="605"/>
      <c r="J132" s="605"/>
      <c r="K132" s="605"/>
      <c r="L132" s="605"/>
      <c r="M132" s="96"/>
      <c r="N132" s="96"/>
      <c r="O132" s="96"/>
      <c r="Z132" s="615"/>
      <c r="AA132" s="95"/>
      <c r="AD132" s="272"/>
      <c r="AF132" s="249"/>
    </row>
    <row r="133" spans="5:32" s="53" customFormat="1">
      <c r="E133" s="95"/>
      <c r="F133" s="1240"/>
      <c r="G133" s="286"/>
      <c r="H133" s="604"/>
      <c r="I133" s="605"/>
      <c r="J133" s="605"/>
      <c r="K133" s="605"/>
      <c r="L133" s="605"/>
      <c r="M133" s="96"/>
      <c r="N133" s="96"/>
      <c r="O133" s="96"/>
      <c r="Z133" s="615"/>
      <c r="AA133" s="95"/>
      <c r="AD133" s="272"/>
      <c r="AF133" s="249"/>
    </row>
    <row r="134" spans="5:32" s="53" customFormat="1">
      <c r="E134" s="95"/>
      <c r="F134" s="1240"/>
      <c r="G134" s="286"/>
      <c r="H134" s="604"/>
      <c r="I134" s="605"/>
      <c r="J134" s="605"/>
      <c r="K134" s="605"/>
      <c r="L134" s="605"/>
      <c r="M134" s="96"/>
      <c r="N134" s="96"/>
      <c r="O134" s="96"/>
      <c r="Z134" s="615"/>
      <c r="AA134" s="95"/>
      <c r="AD134" s="272"/>
      <c r="AF134" s="249"/>
    </row>
    <row r="135" spans="5:32" s="53" customFormat="1">
      <c r="E135" s="95"/>
      <c r="F135" s="1240"/>
      <c r="G135" s="286"/>
      <c r="H135" s="604"/>
      <c r="I135" s="605"/>
      <c r="J135" s="605"/>
      <c r="K135" s="605"/>
      <c r="L135" s="605"/>
      <c r="M135" s="96"/>
      <c r="N135" s="96"/>
      <c r="O135" s="96"/>
      <c r="Z135" s="615"/>
      <c r="AA135" s="95"/>
      <c r="AD135" s="272"/>
      <c r="AF135" s="249"/>
    </row>
    <row r="136" spans="5:32" s="53" customFormat="1">
      <c r="E136" s="95"/>
      <c r="F136" s="1240"/>
      <c r="G136" s="286"/>
      <c r="H136" s="604"/>
      <c r="I136" s="605"/>
      <c r="J136" s="605"/>
      <c r="K136" s="605"/>
      <c r="L136" s="605"/>
      <c r="M136" s="96"/>
      <c r="N136" s="96"/>
      <c r="O136" s="96"/>
      <c r="Z136" s="615"/>
      <c r="AA136" s="95"/>
      <c r="AD136" s="272"/>
      <c r="AF136" s="249"/>
    </row>
    <row r="137" spans="5:32" s="53" customFormat="1">
      <c r="E137" s="95"/>
      <c r="F137" s="1240"/>
      <c r="G137" s="286"/>
      <c r="H137" s="604"/>
      <c r="I137" s="605"/>
      <c r="J137" s="605"/>
      <c r="K137" s="605"/>
      <c r="L137" s="605"/>
      <c r="M137" s="96"/>
      <c r="N137" s="96"/>
      <c r="O137" s="96"/>
      <c r="Z137" s="615"/>
      <c r="AA137" s="95"/>
      <c r="AD137" s="272"/>
      <c r="AF137" s="249"/>
    </row>
    <row r="138" spans="5:32" s="53" customFormat="1">
      <c r="E138" s="95"/>
      <c r="F138" s="1240"/>
      <c r="G138" s="286"/>
      <c r="H138" s="604"/>
      <c r="I138" s="605"/>
      <c r="J138" s="605"/>
      <c r="K138" s="605"/>
      <c r="L138" s="605"/>
      <c r="M138" s="96"/>
      <c r="N138" s="96"/>
      <c r="O138" s="96"/>
      <c r="Z138" s="615"/>
      <c r="AA138" s="95"/>
      <c r="AD138" s="272"/>
      <c r="AF138" s="249"/>
    </row>
    <row r="139" spans="5:32" s="53" customFormat="1">
      <c r="E139" s="95"/>
      <c r="F139" s="1240"/>
      <c r="G139" s="286"/>
      <c r="H139" s="604"/>
      <c r="I139" s="605"/>
      <c r="J139" s="605"/>
      <c r="K139" s="605"/>
      <c r="L139" s="605"/>
      <c r="M139" s="96"/>
      <c r="N139" s="96"/>
      <c r="O139" s="96"/>
      <c r="Z139" s="615"/>
      <c r="AA139" s="95"/>
      <c r="AD139" s="272"/>
      <c r="AF139" s="249"/>
    </row>
    <row r="140" spans="5:32" s="53" customFormat="1">
      <c r="E140" s="95"/>
      <c r="F140" s="1240"/>
      <c r="G140" s="286"/>
      <c r="H140" s="604"/>
      <c r="I140" s="605"/>
      <c r="J140" s="605"/>
      <c r="K140" s="605"/>
      <c r="L140" s="605"/>
      <c r="M140" s="96"/>
      <c r="N140" s="96"/>
      <c r="O140" s="96"/>
      <c r="Z140" s="615"/>
      <c r="AA140" s="95"/>
      <c r="AD140" s="272"/>
      <c r="AF140" s="249"/>
    </row>
    <row r="141" spans="5:32" s="53" customFormat="1">
      <c r="E141" s="95"/>
      <c r="F141" s="1240"/>
      <c r="G141" s="286"/>
      <c r="H141" s="604"/>
      <c r="I141" s="605"/>
      <c r="J141" s="605"/>
      <c r="K141" s="605"/>
      <c r="L141" s="605"/>
      <c r="M141" s="96"/>
      <c r="N141" s="96"/>
      <c r="O141" s="96"/>
      <c r="Z141" s="615"/>
      <c r="AA141" s="95"/>
      <c r="AD141" s="272"/>
      <c r="AF141" s="249"/>
    </row>
    <row r="142" spans="5:32" s="53" customFormat="1">
      <c r="E142" s="95"/>
      <c r="F142" s="1240"/>
      <c r="G142" s="286"/>
      <c r="H142" s="604"/>
      <c r="I142" s="605"/>
      <c r="J142" s="605"/>
      <c r="K142" s="605"/>
      <c r="L142" s="605"/>
      <c r="M142" s="96"/>
      <c r="N142" s="96"/>
      <c r="O142" s="96"/>
      <c r="Z142" s="615"/>
      <c r="AA142" s="95"/>
      <c r="AD142" s="272"/>
      <c r="AF142" s="249"/>
    </row>
    <row r="143" spans="5:32" s="53" customFormat="1">
      <c r="E143" s="95"/>
      <c r="F143" s="1240"/>
      <c r="G143" s="286"/>
      <c r="H143" s="604"/>
      <c r="I143" s="605"/>
      <c r="J143" s="605"/>
      <c r="K143" s="605"/>
      <c r="L143" s="605"/>
      <c r="M143" s="96"/>
      <c r="N143" s="96"/>
      <c r="O143" s="96"/>
      <c r="Z143" s="615"/>
      <c r="AA143" s="95"/>
      <c r="AD143" s="272"/>
      <c r="AF143" s="249"/>
    </row>
    <row r="144" spans="5:32" s="53" customFormat="1">
      <c r="E144" s="95"/>
      <c r="F144" s="1240"/>
      <c r="G144" s="286"/>
      <c r="H144" s="604"/>
      <c r="I144" s="605"/>
      <c r="J144" s="605"/>
      <c r="K144" s="605"/>
      <c r="L144" s="605"/>
      <c r="M144" s="96"/>
      <c r="N144" s="96"/>
      <c r="O144" s="96"/>
      <c r="Z144" s="615"/>
      <c r="AA144" s="95"/>
      <c r="AD144" s="272"/>
      <c r="AF144" s="249"/>
    </row>
    <row r="145" spans="5:32" s="53" customFormat="1">
      <c r="E145" s="95"/>
      <c r="F145" s="1240"/>
      <c r="G145" s="286"/>
      <c r="H145" s="604"/>
      <c r="I145" s="605"/>
      <c r="J145" s="605"/>
      <c r="K145" s="605"/>
      <c r="L145" s="605"/>
      <c r="M145" s="96"/>
      <c r="N145" s="96"/>
      <c r="O145" s="96"/>
      <c r="Z145" s="615"/>
      <c r="AA145" s="95"/>
      <c r="AD145" s="272"/>
      <c r="AF145" s="249"/>
    </row>
    <row r="146" spans="5:32" s="53" customFormat="1">
      <c r="E146" s="95"/>
      <c r="F146" s="1240"/>
      <c r="G146" s="286"/>
      <c r="H146" s="604"/>
      <c r="I146" s="605"/>
      <c r="J146" s="605"/>
      <c r="K146" s="605"/>
      <c r="L146" s="605"/>
      <c r="M146" s="96"/>
      <c r="N146" s="96"/>
      <c r="O146" s="96"/>
      <c r="Z146" s="615"/>
      <c r="AA146" s="95"/>
      <c r="AD146" s="272"/>
      <c r="AF146" s="249"/>
    </row>
    <row r="147" spans="5:32" s="53" customFormat="1">
      <c r="E147" s="95"/>
      <c r="F147" s="1240"/>
      <c r="G147" s="286"/>
      <c r="H147" s="604"/>
      <c r="I147" s="605"/>
      <c r="J147" s="605"/>
      <c r="K147" s="605"/>
      <c r="L147" s="605"/>
      <c r="M147" s="96"/>
      <c r="N147" s="96"/>
      <c r="O147" s="96"/>
      <c r="Z147" s="615"/>
      <c r="AA147" s="95"/>
      <c r="AD147" s="272"/>
      <c r="AF147" s="249"/>
    </row>
    <row r="148" spans="5:32" s="53" customFormat="1">
      <c r="E148" s="95"/>
      <c r="F148" s="1240"/>
      <c r="G148" s="286"/>
      <c r="H148" s="604"/>
      <c r="I148" s="605"/>
      <c r="J148" s="605"/>
      <c r="K148" s="605"/>
      <c r="L148" s="605"/>
      <c r="M148" s="96"/>
      <c r="N148" s="96"/>
      <c r="O148" s="96"/>
      <c r="Z148" s="615"/>
      <c r="AA148" s="95"/>
      <c r="AD148" s="272"/>
      <c r="AF148" s="249"/>
    </row>
    <row r="149" spans="5:32" s="53" customFormat="1">
      <c r="E149" s="95"/>
      <c r="F149" s="1240"/>
      <c r="G149" s="286"/>
      <c r="H149" s="604"/>
      <c r="I149" s="605"/>
      <c r="J149" s="605"/>
      <c r="K149" s="605"/>
      <c r="L149" s="605"/>
      <c r="M149" s="96"/>
      <c r="N149" s="96"/>
      <c r="O149" s="96"/>
      <c r="Z149" s="615"/>
      <c r="AA149" s="95"/>
      <c r="AD149" s="272"/>
      <c r="AF149" s="249"/>
    </row>
    <row r="150" spans="5:32" s="53" customFormat="1">
      <c r="E150" s="95"/>
      <c r="F150" s="1240"/>
      <c r="G150" s="286"/>
      <c r="H150" s="604"/>
      <c r="I150" s="605"/>
      <c r="J150" s="605"/>
      <c r="K150" s="605"/>
      <c r="L150" s="605"/>
      <c r="M150" s="96"/>
      <c r="N150" s="96"/>
      <c r="O150" s="96"/>
      <c r="Z150" s="615"/>
      <c r="AA150" s="95"/>
      <c r="AD150" s="272"/>
      <c r="AF150" s="249"/>
    </row>
    <row r="151" spans="5:32" s="53" customFormat="1">
      <c r="E151" s="95"/>
      <c r="F151" s="1240"/>
      <c r="G151" s="286"/>
      <c r="H151" s="604"/>
      <c r="I151" s="605"/>
      <c r="J151" s="605"/>
      <c r="K151" s="605"/>
      <c r="L151" s="605"/>
      <c r="M151" s="96"/>
      <c r="N151" s="96"/>
      <c r="O151" s="96"/>
      <c r="Z151" s="615"/>
      <c r="AA151" s="95"/>
      <c r="AD151" s="272"/>
      <c r="AF151" s="249"/>
    </row>
    <row r="152" spans="5:32" s="53" customFormat="1">
      <c r="E152" s="95"/>
      <c r="F152" s="1240"/>
      <c r="G152" s="286"/>
      <c r="H152" s="604"/>
      <c r="I152" s="605"/>
      <c r="J152" s="605"/>
      <c r="K152" s="605"/>
      <c r="L152" s="605"/>
      <c r="M152" s="96"/>
      <c r="N152" s="96"/>
      <c r="O152" s="96"/>
      <c r="Z152" s="615"/>
      <c r="AA152" s="95"/>
      <c r="AD152" s="272"/>
      <c r="AF152" s="249"/>
    </row>
    <row r="153" spans="5:32" s="53" customFormat="1">
      <c r="E153" s="95"/>
      <c r="F153" s="1240"/>
      <c r="G153" s="286"/>
      <c r="H153" s="604"/>
      <c r="I153" s="605"/>
      <c r="J153" s="605"/>
      <c r="K153" s="605"/>
      <c r="L153" s="605"/>
      <c r="M153" s="96"/>
      <c r="N153" s="96"/>
      <c r="O153" s="96"/>
      <c r="Z153" s="615"/>
      <c r="AA153" s="95"/>
      <c r="AD153" s="272"/>
      <c r="AF153" s="249"/>
    </row>
    <row r="154" spans="5:32" s="53" customFormat="1">
      <c r="E154" s="95"/>
      <c r="F154" s="1240"/>
      <c r="G154" s="286"/>
      <c r="H154" s="604"/>
      <c r="I154" s="605"/>
      <c r="J154" s="605"/>
      <c r="K154" s="605"/>
      <c r="L154" s="605"/>
      <c r="M154" s="96"/>
      <c r="N154" s="96"/>
      <c r="O154" s="96"/>
      <c r="Z154" s="615"/>
      <c r="AA154" s="95"/>
      <c r="AD154" s="272"/>
      <c r="AF154" s="249"/>
    </row>
    <row r="155" spans="5:32" s="53" customFormat="1">
      <c r="E155" s="95"/>
      <c r="F155" s="1240"/>
      <c r="G155" s="286"/>
      <c r="H155" s="604"/>
      <c r="I155" s="605"/>
      <c r="J155" s="605"/>
      <c r="K155" s="605"/>
      <c r="L155" s="605"/>
      <c r="M155" s="96"/>
      <c r="N155" s="96"/>
      <c r="O155" s="96"/>
      <c r="Z155" s="615"/>
      <c r="AA155" s="95"/>
      <c r="AD155" s="272"/>
      <c r="AF155" s="249"/>
    </row>
    <row r="156" spans="5:32" s="53" customFormat="1">
      <c r="E156" s="95"/>
      <c r="F156" s="1240"/>
      <c r="G156" s="286"/>
      <c r="H156" s="604"/>
      <c r="I156" s="605"/>
      <c r="J156" s="605"/>
      <c r="K156" s="605"/>
      <c r="L156" s="605"/>
      <c r="M156" s="96"/>
      <c r="N156" s="96"/>
      <c r="O156" s="96"/>
      <c r="Z156" s="615"/>
      <c r="AA156" s="95"/>
      <c r="AD156" s="272"/>
      <c r="AF156" s="249"/>
    </row>
    <row r="157" spans="5:32" s="53" customFormat="1">
      <c r="E157" s="95"/>
      <c r="F157" s="1240"/>
      <c r="G157" s="286"/>
      <c r="H157" s="604"/>
      <c r="I157" s="605"/>
      <c r="J157" s="605"/>
      <c r="K157" s="605"/>
      <c r="L157" s="605"/>
      <c r="M157" s="96"/>
      <c r="N157" s="96"/>
      <c r="O157" s="96"/>
      <c r="Z157" s="615"/>
      <c r="AA157" s="95"/>
      <c r="AD157" s="272"/>
      <c r="AF157" s="249"/>
    </row>
    <row r="158" spans="5:32" s="53" customFormat="1">
      <c r="E158" s="95"/>
      <c r="F158" s="1240"/>
      <c r="G158" s="286"/>
      <c r="H158" s="604"/>
      <c r="I158" s="605"/>
      <c r="J158" s="605"/>
      <c r="K158" s="605"/>
      <c r="L158" s="605"/>
      <c r="M158" s="96"/>
      <c r="N158" s="96"/>
      <c r="O158" s="96"/>
      <c r="Z158" s="615"/>
      <c r="AA158" s="95"/>
      <c r="AD158" s="272"/>
      <c r="AF158" s="249"/>
    </row>
    <row r="160" spans="5:32">
      <c r="U160" s="755">
        <f>SUM(U16:U159)</f>
        <v>0</v>
      </c>
    </row>
  </sheetData>
  <autoFilter ref="A15:HS111"/>
  <mergeCells count="43">
    <mergeCell ref="P110:AB110"/>
    <mergeCell ref="A8:D8"/>
    <mergeCell ref="F10:Z10"/>
    <mergeCell ref="F11:G11"/>
    <mergeCell ref="H11:N11"/>
    <mergeCell ref="O11:Z11"/>
    <mergeCell ref="A10:A12"/>
    <mergeCell ref="B10:B12"/>
    <mergeCell ref="A108:C108"/>
    <mergeCell ref="B1:AB1"/>
    <mergeCell ref="B2:AB2"/>
    <mergeCell ref="C3:AB3"/>
    <mergeCell ref="A4:H4"/>
    <mergeCell ref="A7:AC7"/>
    <mergeCell ref="A5:H5"/>
    <mergeCell ref="Z116:AB116"/>
    <mergeCell ref="AA114:AB114"/>
    <mergeCell ref="M115:O115"/>
    <mergeCell ref="M117:N117"/>
    <mergeCell ref="A111:AB111"/>
    <mergeCell ref="AA115:AB115"/>
    <mergeCell ref="G116:J116"/>
    <mergeCell ref="H114:I114"/>
    <mergeCell ref="M114:N114"/>
    <mergeCell ref="AC10:AC12"/>
    <mergeCell ref="A109:AB109"/>
    <mergeCell ref="C10:C12"/>
    <mergeCell ref="D10:D12"/>
    <mergeCell ref="E10:E12"/>
    <mergeCell ref="AA10:AA12"/>
    <mergeCell ref="AB10:AB12"/>
    <mergeCell ref="G122:H122"/>
    <mergeCell ref="G119:H119"/>
    <mergeCell ref="N119:O119"/>
    <mergeCell ref="G120:H120"/>
    <mergeCell ref="N120:O120"/>
    <mergeCell ref="G121:H121"/>
    <mergeCell ref="N121:O121"/>
    <mergeCell ref="F118:H118"/>
    <mergeCell ref="J118:M118"/>
    <mergeCell ref="N118:O118"/>
    <mergeCell ref="C116:F116"/>
    <mergeCell ref="F117:H117"/>
  </mergeCells>
  <printOptions horizontalCentered="1"/>
  <pageMargins left="0" right="0" top="0.32" bottom="0.511811023622047" header="0.31496062992126" footer="0.31496062992126"/>
  <pageSetup paperSize="9" scale="67" orientation="landscape" r:id="rId1"/>
  <headerFooter>
    <oddFooter>&amp;R&amp;P/6</oddFooter>
  </headerFooter>
  <colBreaks count="1" manualBreakCount="1">
    <brk id="28" max="152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5"/>
  <sheetViews>
    <sheetView workbookViewId="0">
      <selection activeCell="J16" sqref="J16"/>
    </sheetView>
  </sheetViews>
  <sheetFormatPr defaultRowHeight="15"/>
  <cols>
    <col min="2" max="2" width="16.7109375" customWidth="1"/>
    <col min="3" max="3" width="18.85546875" customWidth="1"/>
    <col min="4" max="4" width="17.28515625" customWidth="1"/>
  </cols>
  <sheetData>
    <row r="1" spans="1:6">
      <c r="A1" s="2343" t="s">
        <v>509</v>
      </c>
      <c r="B1" s="2631" t="s">
        <v>3471</v>
      </c>
      <c r="C1" s="2632"/>
      <c r="D1" s="2341"/>
    </row>
    <row r="2" spans="1:6" ht="21" customHeight="1">
      <c r="A2" s="2341"/>
      <c r="B2" s="2343" t="s">
        <v>3466</v>
      </c>
      <c r="C2" s="2343" t="s">
        <v>3467</v>
      </c>
      <c r="D2" s="2343" t="s">
        <v>3468</v>
      </c>
    </row>
    <row r="3" spans="1:6">
      <c r="A3" s="2341" t="s">
        <v>2985</v>
      </c>
      <c r="B3" s="2341">
        <f>'[4]TRẠM 1'!$Z$108</f>
        <v>658531974</v>
      </c>
      <c r="C3" s="2341">
        <f>'TRẠM 1'!AB108</f>
        <v>657947322</v>
      </c>
      <c r="D3" s="2341">
        <f>B3-C3</f>
        <v>584652</v>
      </c>
    </row>
    <row r="4" spans="1:6">
      <c r="A4" s="2341" t="s">
        <v>2986</v>
      </c>
      <c r="B4" s="2341">
        <f>'[4]TRẠM 2'!$Z$90</f>
        <v>426505460</v>
      </c>
      <c r="C4" s="2341">
        <f>'TRẠM 2'!AB90</f>
        <v>416796625</v>
      </c>
      <c r="D4" s="2341">
        <f>B4-C4</f>
        <v>9708835</v>
      </c>
    </row>
    <row r="5" spans="1:6" s="2340" customFormat="1">
      <c r="A5" s="2342" t="s">
        <v>608</v>
      </c>
      <c r="B5" s="2342">
        <f>SUM(B3:B4)</f>
        <v>1085037434</v>
      </c>
      <c r="C5" s="2342">
        <f>SUM(C3:C4)</f>
        <v>1074743947</v>
      </c>
      <c r="D5" s="2342">
        <f>B5-C5</f>
        <v>10293487</v>
      </c>
      <c r="F5" s="2340">
        <f>D5/25000</f>
        <v>411.73948000000001</v>
      </c>
    </row>
  </sheetData>
  <mergeCells count="1">
    <mergeCell ref="B1:C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.5703125" style="539" hidden="1" customWidth="1"/>
    <col min="13" max="13" width="8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7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7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7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0.50833693372589595</v>
      </c>
    </row>
    <row r="7" spans="1:37" s="71" customFormat="1" ht="27" customHeight="1">
      <c r="A7" s="2408" t="s">
        <v>2170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44" t="s">
        <v>2138</v>
      </c>
      <c r="AE10" s="2644" t="s">
        <v>2139</v>
      </c>
      <c r="AF10" s="2651" t="s">
        <v>2140</v>
      </c>
      <c r="AG10" s="275"/>
      <c r="AH10" s="779" t="s">
        <v>2072</v>
      </c>
      <c r="AI10" s="783">
        <v>0.175047445255474</v>
      </c>
    </row>
    <row r="11" spans="1:37" s="70" customFormat="1" ht="28.5" customHeight="1">
      <c r="A11" s="2646"/>
      <c r="B11" s="2646"/>
      <c r="C11" s="2649"/>
      <c r="D11" s="2646"/>
      <c r="E11" s="2644"/>
      <c r="F11" s="2393" t="s">
        <v>2141</v>
      </c>
      <c r="G11" s="2393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44"/>
      <c r="AE11" s="2644"/>
      <c r="AF11" s="2651"/>
      <c r="AG11" s="275"/>
      <c r="AI11" s="249"/>
    </row>
    <row r="12" spans="1:37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44"/>
      <c r="AE12" s="2644"/>
      <c r="AF12" s="2651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775">
        <v>11</v>
      </c>
      <c r="S14" s="775">
        <v>12</v>
      </c>
      <c r="T14" s="775">
        <v>13</v>
      </c>
      <c r="U14" s="775">
        <v>14</v>
      </c>
      <c r="V14" s="775">
        <v>14</v>
      </c>
      <c r="W14" s="775">
        <v>14</v>
      </c>
      <c r="X14" s="775">
        <v>14</v>
      </c>
      <c r="Y14" s="775">
        <v>14</v>
      </c>
      <c r="Z14" s="775">
        <v>14</v>
      </c>
      <c r="AA14" s="775">
        <v>14</v>
      </c>
      <c r="AB14" s="775">
        <v>14</v>
      </c>
      <c r="AC14" s="775">
        <v>14</v>
      </c>
      <c r="AD14" s="775">
        <v>15</v>
      </c>
      <c r="AE14" s="775">
        <v>16</v>
      </c>
      <c r="AF14" s="795">
        <v>23</v>
      </c>
      <c r="AG14" s="780"/>
      <c r="AI14" s="249"/>
    </row>
    <row r="15" spans="1:37" s="242" customFormat="1" ht="21" customHeight="1">
      <c r="A15" s="545">
        <v>1</v>
      </c>
      <c r="B15" s="546" t="e">
        <f>VLOOKUP(C15,'DS CN MOI UP'!$B$10:$C$389,2,0)</f>
        <v>#N/A</v>
      </c>
      <c r="C15" s="257" t="s">
        <v>1992</v>
      </c>
      <c r="D15" s="257" t="s">
        <v>15</v>
      </c>
      <c r="E15" s="776"/>
      <c r="F15" s="548">
        <f>+VLOOKUP(C15,THCKT!$C$13:$AE$460,17,0)</f>
        <v>24</v>
      </c>
      <c r="G15" s="549">
        <f t="shared" ref="G15:G78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46" si="1">$AI$8/$AI$7*K15+L15*$AI$9+M15*$AI$10</f>
        <v>#N/A</v>
      </c>
      <c r="O15" s="565" t="e">
        <f>Q15/((Q15/(N15*$F$9)*$F$8))</f>
        <v>#N/A</v>
      </c>
      <c r="P15" s="566" t="e">
        <f>VLOOKUP(C15,THCKT!$C$13:$AL$460,36,0)</f>
        <v>#N/A</v>
      </c>
      <c r="Q15" s="567" t="e">
        <f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46" si="2">+AC15+Q15+G15</f>
        <v>#N/A</v>
      </c>
      <c r="AE15" s="580" t="e">
        <f t="shared" ref="AE15:AE85" si="3">AD15</f>
        <v>#N/A</v>
      </c>
      <c r="AF15" s="789"/>
      <c r="AG15" s="581"/>
      <c r="AH15" s="242" t="s">
        <v>2168</v>
      </c>
      <c r="AI15" s="289"/>
    </row>
    <row r="16" spans="1:37" s="242" customFormat="1" ht="21" customHeight="1">
      <c r="A16" s="545">
        <v>2</v>
      </c>
      <c r="B16" s="546" t="str">
        <f>VLOOKUP(C16,'DS CN MOI UP'!$B$10:$C$389,2,0)</f>
        <v>02510</v>
      </c>
      <c r="C16" s="257" t="s">
        <v>43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ref="O16:O79" si="4">Q16/((Q16/(N16*$F$9)*$F$8))</f>
        <v>#N/A</v>
      </c>
      <c r="P16" s="566" t="e">
        <f>VLOOKUP(C16,THCKT!$C$13:$AL$460,36,0)</f>
        <v>#N/A</v>
      </c>
      <c r="Q16" s="56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ref="AC16:AC79" si="6">ROUND((((R16*46.1)+(S16*76.9)+(X16*30.7)+(U16*46.1*2)+(V16*46.1*2)+(W16*76.9*2))*$F$8),0)+T16*10000+Y16*20000+Z16*20000+AA16*25000</f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37" t="s">
        <v>2168</v>
      </c>
      <c r="AI16" s="289" t="e">
        <f>+K101*AI6</f>
        <v>#N/A</v>
      </c>
    </row>
    <row r="17" spans="1:35" s="242" customFormat="1" ht="21" customHeight="1">
      <c r="A17" s="545">
        <v>3</v>
      </c>
      <c r="B17" s="546" t="str">
        <f>VLOOKUP(C17,'DS CN MOI UP'!$B$10:$C$389,2,0)</f>
        <v>02450</v>
      </c>
      <c r="C17" s="257" t="s">
        <v>70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2168</v>
      </c>
      <c r="AI17" s="289"/>
    </row>
    <row r="18" spans="1:35" s="242" customFormat="1" ht="21" customHeight="1">
      <c r="A18" s="545">
        <v>4</v>
      </c>
      <c r="B18" s="546" t="str">
        <f>VLOOKUP(C18,'DS CN MOI UP'!$B$10:$C$389,2,0)</f>
        <v>02454</v>
      </c>
      <c r="C18" s="257" t="s">
        <v>71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4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37" t="s">
        <v>2168</v>
      </c>
      <c r="AI18" s="289"/>
    </row>
    <row r="19" spans="1:35" s="242" customFormat="1" ht="21" customHeight="1">
      <c r="A19" s="545">
        <v>5</v>
      </c>
      <c r="B19" s="546" t="str">
        <f>VLOOKUP(C19,'DS CN MOI UP'!$B$10:$C$389,2,0)</f>
        <v>03331</v>
      </c>
      <c r="C19" s="257" t="s">
        <v>486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2168</v>
      </c>
      <c r="AI19" s="289"/>
    </row>
    <row r="20" spans="1:35" s="242" customFormat="1" ht="21" customHeight="1">
      <c r="A20" s="545">
        <v>6</v>
      </c>
      <c r="B20" s="546" t="str">
        <f>VLOOKUP(C20,'DS CN MOI UP'!$B$10:$C$389,2,0)</f>
        <v>02474</v>
      </c>
      <c r="C20" s="257" t="s">
        <v>57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37" t="s">
        <v>2168</v>
      </c>
      <c r="AI20" s="289"/>
    </row>
    <row r="21" spans="1:35" s="242" customFormat="1" ht="21" customHeight="1">
      <c r="A21" s="545">
        <v>7</v>
      </c>
      <c r="B21" s="546" t="e">
        <f>VLOOKUP(C21,'DS CN MOI UP'!$B$10:$C$389,2,0)</f>
        <v>#N/A</v>
      </c>
      <c r="C21" s="257" t="s">
        <v>1993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2168</v>
      </c>
      <c r="AI21" s="289"/>
    </row>
    <row r="22" spans="1:35" s="242" customFormat="1" ht="21" customHeight="1">
      <c r="A22" s="545">
        <v>8</v>
      </c>
      <c r="B22" s="546" t="str">
        <f>VLOOKUP(C22,'DS CN MOI UP'!$B$10:$C$389,2,0)</f>
        <v>02471</v>
      </c>
      <c r="C22" s="257" t="s">
        <v>18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37" t="s">
        <v>2168</v>
      </c>
      <c r="AI22" s="289"/>
    </row>
    <row r="23" spans="1:35" s="242" customFormat="1" ht="21" customHeight="1">
      <c r="A23" s="545">
        <v>9</v>
      </c>
      <c r="B23" s="546" t="str">
        <f>VLOOKUP(C23,'DS CN MOI UP'!$B$10:$C$389,2,0)</f>
        <v>02488</v>
      </c>
      <c r="C23" s="257" t="s">
        <v>35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/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2168</v>
      </c>
      <c r="AI23" s="289"/>
    </row>
    <row r="24" spans="1:35" s="242" customFormat="1" ht="21" customHeight="1">
      <c r="A24" s="545">
        <v>10</v>
      </c>
      <c r="B24" s="546" t="e">
        <f>VLOOKUP(C24,'DS CN MOI UP'!$B$10:$C$389,2,0)</f>
        <v>#N/A</v>
      </c>
      <c r="C24" s="257" t="s">
        <v>1336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37" t="s">
        <v>2168</v>
      </c>
      <c r="AI24" s="289"/>
    </row>
    <row r="25" spans="1:35" s="242" customFormat="1" ht="21" customHeight="1">
      <c r="A25" s="545">
        <v>11</v>
      </c>
      <c r="B25" s="546" t="str">
        <f>VLOOKUP(C25,'DS CN MOI UP'!$B$10:$C$389,2,0)</f>
        <v>03338</v>
      </c>
      <c r="C25" s="257" t="s">
        <v>85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KT'!$D$16:$Y$184,21,0)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2168</v>
      </c>
      <c r="AI25" s="289"/>
    </row>
    <row r="26" spans="1:35" s="242" customFormat="1" ht="21" customHeight="1">
      <c r="A26" s="545">
        <v>12</v>
      </c>
      <c r="B26" s="546" t="e">
        <f>VLOOKUP(C26,'DS CN MOI UP'!$B$10:$C$389,2,0)</f>
        <v>#N/A</v>
      </c>
      <c r="C26" s="257" t="s">
        <v>556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KT'!$D$16:$Y$184,21,0)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37" t="s">
        <v>2168</v>
      </c>
      <c r="AI26" s="289"/>
    </row>
    <row r="27" spans="1:35" s="242" customFormat="1" ht="21" customHeight="1">
      <c r="A27" s="545">
        <v>13</v>
      </c>
      <c r="B27" s="546" t="e">
        <f>VLOOKUP(C27,'DS CN MOI UP'!$B$10:$C$389,2,0)</f>
        <v>#N/A</v>
      </c>
      <c r="C27" s="257" t="s">
        <v>1994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4"/>
        <v>#N/A</v>
      </c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KT'!$D$16:$Y$184,21,0)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2168</v>
      </c>
      <c r="AI27" s="289"/>
    </row>
    <row r="28" spans="1:35" s="242" customFormat="1" ht="21" customHeight="1">
      <c r="A28" s="545">
        <v>14</v>
      </c>
      <c r="B28" s="546" t="str">
        <f>VLOOKUP(C28,'DS CN MOI UP'!$B$10:$C$389,2,0)</f>
        <v>02500</v>
      </c>
      <c r="C28" s="257" t="s">
        <v>59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4"/>
        <v>#N/A</v>
      </c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KT'!$D$16:$Y$184,21,0)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37" t="s">
        <v>2168</v>
      </c>
      <c r="AI28" s="289"/>
    </row>
    <row r="29" spans="1:35" s="242" customFormat="1" ht="21" customHeight="1">
      <c r="A29" s="545">
        <v>15</v>
      </c>
      <c r="B29" s="546" t="str">
        <f>VLOOKUP(C29,'DS CN MOI UP'!$B$10:$C$389,2,0)</f>
        <v>02466</v>
      </c>
      <c r="C29" s="257" t="s">
        <v>25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KT'!$D$16:$Y$184,21,0)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2168</v>
      </c>
      <c r="AI29" s="289"/>
    </row>
    <row r="30" spans="1:35" s="242" customFormat="1" ht="21" customHeight="1">
      <c r="A30" s="545">
        <v>16</v>
      </c>
      <c r="B30" s="546" t="str">
        <f>VLOOKUP(C30,'DS CN MOI UP'!$B$10:$C$389,2,0)</f>
        <v>02451</v>
      </c>
      <c r="C30" s="257" t="s">
        <v>60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KT'!$D$16:$Y$184,21,0)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37" t="s">
        <v>2168</v>
      </c>
      <c r="AI30" s="289"/>
    </row>
    <row r="31" spans="1:35" s="242" customFormat="1" ht="21" customHeight="1">
      <c r="A31" s="545">
        <v>17</v>
      </c>
      <c r="B31" s="546" t="str">
        <f>VLOOKUP(C31,'DS CN MOI UP'!$B$10:$C$389,2,0)</f>
        <v>02462</v>
      </c>
      <c r="C31" s="257" t="s">
        <v>1995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 t="shared" si="4"/>
        <v>#N/A</v>
      </c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KT'!$D$16:$Y$184,21,0)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2168</v>
      </c>
      <c r="AI31" s="289"/>
    </row>
    <row r="32" spans="1:35" s="242" customFormat="1" ht="21" customHeight="1">
      <c r="A32" s="545">
        <v>18</v>
      </c>
      <c r="B32" s="546" t="str">
        <f>VLOOKUP(C32,'DS CN MOI UP'!$B$10:$C$389,2,0)</f>
        <v>02467</v>
      </c>
      <c r="C32" s="257" t="s">
        <v>52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KT'!$D$16:$Y$184,21,0)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37" t="s">
        <v>2168</v>
      </c>
      <c r="AI32" s="289"/>
    </row>
    <row r="33" spans="1:35" s="242" customFormat="1" ht="21" customHeight="1">
      <c r="A33" s="545">
        <v>19</v>
      </c>
      <c r="B33" s="546" t="str">
        <f>VLOOKUP(C33,'DS CN MOI UP'!$B$10:$C$389,2,0)</f>
        <v>02494</v>
      </c>
      <c r="C33" s="257" t="s">
        <v>96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KT'!$D$16:$Y$184,21,0)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2168</v>
      </c>
      <c r="AI33" s="289"/>
    </row>
    <row r="34" spans="1:35" s="242" customFormat="1" ht="21" customHeight="1">
      <c r="A34" s="545">
        <v>20</v>
      </c>
      <c r="B34" s="546" t="str">
        <f>VLOOKUP(C34,'DS CN MOI UP'!$B$10:$C$389,2,0)</f>
        <v>02476</v>
      </c>
      <c r="C34" s="257" t="s">
        <v>97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KT'!$D$16:$Y$184,21,0)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37" t="s">
        <v>2168</v>
      </c>
      <c r="AI34" s="289"/>
    </row>
    <row r="35" spans="1:35" s="242" customFormat="1" ht="21" customHeight="1">
      <c r="A35" s="545">
        <v>21</v>
      </c>
      <c r="B35" s="546" t="str">
        <f>VLOOKUP(C35,'DS CN MOI UP'!$B$10:$C$389,2,0)</f>
        <v>02513</v>
      </c>
      <c r="C35" s="257" t="s">
        <v>42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4"/>
        <v>#N/A</v>
      </c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KT'!$D$16:$Y$184,21,0)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2168</v>
      </c>
      <c r="AI35" s="289"/>
    </row>
    <row r="36" spans="1:35" s="242" customFormat="1" ht="21" customHeight="1">
      <c r="A36" s="545">
        <v>22</v>
      </c>
      <c r="B36" s="546" t="str">
        <f>VLOOKUP(C36,'DS CN MOI UP'!$B$10:$C$389,2,0)</f>
        <v>02512</v>
      </c>
      <c r="C36" s="257" t="s">
        <v>54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4"/>
        <v>#N/A</v>
      </c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KT'!$D$16:$Y$184,21,0)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37" t="s">
        <v>2168</v>
      </c>
      <c r="AI36" s="289"/>
    </row>
    <row r="37" spans="1:35" s="242" customFormat="1" ht="21" customHeight="1">
      <c r="A37" s="545">
        <v>23</v>
      </c>
      <c r="B37" s="546" t="str">
        <f>VLOOKUP(C37,'DS CN MOI UP'!$B$10:$C$389,2,0)</f>
        <v>03332</v>
      </c>
      <c r="C37" s="257" t="s">
        <v>1996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KT'!$D$16:$Y$184,21,0)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2168</v>
      </c>
      <c r="AI37" s="289"/>
    </row>
    <row r="38" spans="1:35" s="242" customFormat="1" ht="21" customHeight="1">
      <c r="A38" s="545">
        <v>24</v>
      </c>
      <c r="B38" s="546" t="str">
        <f>VLOOKUP(C38,'DS CN MOI UP'!$B$10:$C$389,2,0)</f>
        <v>02509</v>
      </c>
      <c r="C38" s="257" t="s">
        <v>491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KT'!$D$16:$Y$184,21,0)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37" t="s">
        <v>2168</v>
      </c>
      <c r="AI38" s="289"/>
    </row>
    <row r="39" spans="1:35" s="242" customFormat="1" ht="21" customHeight="1">
      <c r="A39" s="545">
        <v>25</v>
      </c>
      <c r="B39" s="546" t="str">
        <f>VLOOKUP(C39,'DS CN MOI UP'!$B$10:$C$389,2,0)</f>
        <v>03323</v>
      </c>
      <c r="C39" s="257" t="s">
        <v>24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KT'!$D$16:$Y$184,21,0)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2168</v>
      </c>
      <c r="AI39" s="289"/>
    </row>
    <row r="40" spans="1:35" s="242" customFormat="1" ht="21" customHeight="1">
      <c r="A40" s="545">
        <v>26</v>
      </c>
      <c r="B40" s="546" t="str">
        <f>VLOOKUP(C40,'DS CN MOI UP'!$B$10:$C$389,2,0)</f>
        <v>03337</v>
      </c>
      <c r="C40" s="257" t="s">
        <v>1997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4"/>
        <v>#N/A</v>
      </c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KT'!$D$16:$Y$184,21,0)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37" t="s">
        <v>2168</v>
      </c>
      <c r="AI40" s="289"/>
    </row>
    <row r="41" spans="1:35" s="242" customFormat="1" ht="21" customHeight="1">
      <c r="A41" s="545">
        <v>27</v>
      </c>
      <c r="B41" s="546" t="str">
        <f>VLOOKUP(C41,'DS CN MOI UP'!$B$10:$C$389,2,0)</f>
        <v>02482</v>
      </c>
      <c r="C41" s="257" t="s">
        <v>83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4"/>
        <v>#N/A</v>
      </c>
      <c r="P41" s="566" t="e">
        <f>VLOOKUP(C41,THCKT!$C$13:$AL$460,36,0)</f>
        <v>#N/A</v>
      </c>
      <c r="Q41" s="567" t="e">
        <f t="shared" si="5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KT'!$D$16:$Y$184,21,0)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2168</v>
      </c>
      <c r="AI41" s="289"/>
    </row>
    <row r="42" spans="1:35" s="242" customFormat="1" ht="21" customHeight="1">
      <c r="A42" s="545">
        <v>28</v>
      </c>
      <c r="B42" s="546" t="str">
        <f>VLOOKUP(C42,'DS CN MOI UP'!$B$10:$C$389,2,0)</f>
        <v>03322</v>
      </c>
      <c r="C42" s="257" t="s">
        <v>21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KT'!$D$16:$Y$184,21,0)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37" t="s">
        <v>2168</v>
      </c>
      <c r="AI42" s="289"/>
    </row>
    <row r="43" spans="1:35" s="242" customFormat="1" ht="21" customHeight="1">
      <c r="A43" s="545">
        <v>29</v>
      </c>
      <c r="B43" s="546" t="str">
        <f>VLOOKUP(C43,'DS CN MOI UP'!$B$10:$C$389,2,0)</f>
        <v>02483</v>
      </c>
      <c r="C43" s="257" t="s">
        <v>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KT'!$D$16:$Y$184,21,0)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2168</v>
      </c>
      <c r="AI43" s="289"/>
    </row>
    <row r="44" spans="1:35" s="242" customFormat="1" ht="21" customHeight="1">
      <c r="A44" s="545">
        <v>30</v>
      </c>
      <c r="B44" s="546" t="str">
        <f>VLOOKUP(C44,'DS CN MOI UP'!$B$10:$C$389,2,0)</f>
        <v>02484</v>
      </c>
      <c r="C44" s="257" t="s">
        <v>490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4"/>
        <v>#N/A</v>
      </c>
      <c r="P44" s="566" t="e">
        <f>VLOOKUP(C44,THCKT!$C$13:$AL$460,36,0)</f>
        <v>#N/A</v>
      </c>
      <c r="Q44" s="567" t="e">
        <f t="shared" si="5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KT'!$D$16:$Y$184,21,0)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6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37" t="s">
        <v>2168</v>
      </c>
      <c r="AI44" s="289"/>
    </row>
    <row r="45" spans="1:35" s="242" customFormat="1" ht="21" customHeight="1">
      <c r="A45" s="545">
        <v>31</v>
      </c>
      <c r="B45" s="546" t="str">
        <f>VLOOKUP(C45,'DS CN MOI UP'!$B$10:$C$389,2,0)</f>
        <v>03341</v>
      </c>
      <c r="C45" s="257" t="s">
        <v>487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KT'!$D$16:$Y$184,21,0)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2168</v>
      </c>
      <c r="AI45" s="289"/>
    </row>
    <row r="46" spans="1:35" s="242" customFormat="1" ht="21" customHeight="1">
      <c r="A46" s="545">
        <v>32</v>
      </c>
      <c r="B46" s="546" t="str">
        <f>VLOOKUP(C46,'DS CN MOI UP'!$B$10:$C$389,2,0)</f>
        <v>02485</v>
      </c>
      <c r="C46" s="257" t="s">
        <v>31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"/>
        <v>#N/A</v>
      </c>
      <c r="O46" s="565" t="e">
        <f t="shared" si="4"/>
        <v>#N/A</v>
      </c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KT'!$D$16:$Y$184,21,0)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si="2"/>
        <v>#N/A</v>
      </c>
      <c r="AE46" s="580" t="e">
        <f t="shared" si="3"/>
        <v>#N/A</v>
      </c>
      <c r="AF46" s="789"/>
      <c r="AG46" s="581"/>
      <c r="AH46" s="537" t="s">
        <v>2168</v>
      </c>
      <c r="AI46" s="289"/>
    </row>
    <row r="47" spans="1:35" s="242" customFormat="1" ht="21" customHeight="1">
      <c r="A47" s="545">
        <v>33</v>
      </c>
      <c r="B47" s="546" t="str">
        <f>VLOOKUP(C47,'DS CN MOI UP'!$B$10:$C$389,2,0)</f>
        <v>02487</v>
      </c>
      <c r="C47" s="257" t="s">
        <v>32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ref="N47:N78" si="7">$AI$8/$AI$7*K47+L47*$AI$9+M47*$AI$10</f>
        <v>#N/A</v>
      </c>
      <c r="O47" s="565" t="e">
        <f t="shared" si="4"/>
        <v>#N/A</v>
      </c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KT'!$D$16:$Y$184,21,0)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ref="AD47:AD78" si="8">+AC47+Q47+G47</f>
        <v>#N/A</v>
      </c>
      <c r="AE47" s="580" t="e">
        <f t="shared" si="3"/>
        <v>#N/A</v>
      </c>
      <c r="AF47" s="789"/>
      <c r="AG47" s="581"/>
      <c r="AH47" s="242" t="s">
        <v>2168</v>
      </c>
      <c r="AI47" s="289"/>
    </row>
    <row r="48" spans="1:35" s="242" customFormat="1" ht="21" customHeight="1">
      <c r="A48" s="545">
        <v>34</v>
      </c>
      <c r="B48" s="546" t="str">
        <f>VLOOKUP(C48,'DS CN MOI UP'!$B$10:$C$389,2,0)</f>
        <v>03319</v>
      </c>
      <c r="C48" s="257" t="s">
        <v>14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KT'!$D$16:$Y$184,21,0)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37" t="s">
        <v>2168</v>
      </c>
      <c r="AI48" s="289"/>
    </row>
    <row r="49" spans="1:35" s="242" customFormat="1" ht="21" customHeight="1">
      <c r="A49" s="545">
        <v>35</v>
      </c>
      <c r="B49" s="546" t="str">
        <f>VLOOKUP(C49,'DS CN MOI UP'!$B$10:$C$389,2,0)</f>
        <v>02452</v>
      </c>
      <c r="C49" s="257" t="s">
        <v>22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KT'!$D$16:$Y$184,21,0)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2168</v>
      </c>
      <c r="AI49" s="289"/>
    </row>
    <row r="50" spans="1:35" s="242" customFormat="1" ht="21" customHeight="1">
      <c r="A50" s="545">
        <v>36</v>
      </c>
      <c r="B50" s="546" t="str">
        <f>VLOOKUP(C50,'DS CN MOI UP'!$B$10:$C$389,2,0)</f>
        <v>02508</v>
      </c>
      <c r="C50" s="257" t="s">
        <v>23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KT'!$D$16:$Y$184,21,0)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37" t="s">
        <v>2168</v>
      </c>
      <c r="AI50" s="289"/>
    </row>
    <row r="51" spans="1:35" s="242" customFormat="1" ht="21" customHeight="1">
      <c r="A51" s="545">
        <v>37</v>
      </c>
      <c r="B51" s="546" t="str">
        <f>VLOOKUP(C51,'DS CN MOI UP'!$B$10:$C$389,2,0)</f>
        <v>02679</v>
      </c>
      <c r="C51" s="257" t="s">
        <v>36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KT'!$D$16:$Y$184,21,0)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2168</v>
      </c>
      <c r="AI51" s="289"/>
    </row>
    <row r="52" spans="1:35" s="242" customFormat="1" ht="21" customHeight="1">
      <c r="A52" s="545">
        <v>38</v>
      </c>
      <c r="B52" s="546" t="str">
        <f>VLOOKUP(C52,'DS CN MOI UP'!$B$10:$C$389,2,0)</f>
        <v>02457</v>
      </c>
      <c r="C52" s="257" t="s">
        <v>63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 t="shared" si="4"/>
        <v>#N/A</v>
      </c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KT'!$D$16:$Y$184,21,0)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242" t="s">
        <v>2168</v>
      </c>
      <c r="AI52" s="289"/>
    </row>
    <row r="53" spans="1:35" s="242" customFormat="1" ht="21" customHeight="1">
      <c r="A53" s="545">
        <v>39</v>
      </c>
      <c r="B53" s="546" t="e">
        <f>VLOOKUP(C53,'DS CN MOI UP'!$B$10:$C$389,2,0)</f>
        <v>#N/A</v>
      </c>
      <c r="C53" s="257" t="s">
        <v>1998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KT'!$D$16:$Y$184,21,0)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2168</v>
      </c>
      <c r="AI53" s="289"/>
    </row>
    <row r="54" spans="1:35" s="242" customFormat="1" ht="21" customHeight="1">
      <c r="A54" s="545">
        <v>40</v>
      </c>
      <c r="B54" s="546" t="str">
        <f>VLOOKUP(C54,'DS CN MOI UP'!$B$10:$C$389,2,0)</f>
        <v>03336</v>
      </c>
      <c r="C54" s="257" t="s">
        <v>81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 t="shared" si="4"/>
        <v>#N/A</v>
      </c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KT'!$D$16:$Y$184,21,0)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242" t="s">
        <v>2168</v>
      </c>
      <c r="AI54" s="289"/>
    </row>
    <row r="55" spans="1:35" s="242" customFormat="1" ht="21" customHeight="1">
      <c r="A55" s="545">
        <v>41</v>
      </c>
      <c r="B55" s="546" t="str">
        <f>VLOOKUP(C55,'DS CN MOI UP'!$B$10:$C$389,2,0)</f>
        <v>02682</v>
      </c>
      <c r="C55" s="257" t="s">
        <v>82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4"/>
        <v>#N/A</v>
      </c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KT'!$D$16:$Y$184,21,0)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2168</v>
      </c>
      <c r="AI55" s="289"/>
    </row>
    <row r="56" spans="1:35" s="242" customFormat="1" ht="21" customHeight="1">
      <c r="A56" s="545">
        <v>42</v>
      </c>
      <c r="B56" s="546" t="str">
        <f>VLOOKUP(C56,'DS CN MOI UP'!$B$10:$C$389,2,0)</f>
        <v>02506</v>
      </c>
      <c r="C56" s="257" t="s">
        <v>49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KT'!$D$16:$Y$184,21,0)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242" t="s">
        <v>2168</v>
      </c>
      <c r="AI56" s="289"/>
    </row>
    <row r="57" spans="1:35" s="242" customFormat="1" ht="21" customHeight="1">
      <c r="A57" s="545">
        <v>43</v>
      </c>
      <c r="B57" s="546" t="str">
        <f>VLOOKUP(C57,'DS CN MOI UP'!$B$10:$C$389,2,0)</f>
        <v>02507</v>
      </c>
      <c r="C57" s="257" t="s">
        <v>50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KT'!$D$16:$Y$184,21,0)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2168</v>
      </c>
      <c r="AI57" s="289"/>
    </row>
    <row r="58" spans="1:35" s="242" customFormat="1" ht="21" customHeight="1">
      <c r="A58" s="545">
        <v>44</v>
      </c>
      <c r="B58" s="546" t="str">
        <f>VLOOKUP(C58,'DS CN MOI UP'!$B$10:$C$389,2,0)</f>
        <v>02498</v>
      </c>
      <c r="C58" s="257" t="s">
        <v>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KT'!$D$16:$Y$184,21,0)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242" t="s">
        <v>2168</v>
      </c>
      <c r="AI58" s="289"/>
    </row>
    <row r="59" spans="1:35" s="242" customFormat="1" ht="21" customHeight="1">
      <c r="A59" s="545">
        <v>45</v>
      </c>
      <c r="B59" s="546" t="str">
        <f>VLOOKUP(C59,'DS CN MOI UP'!$B$10:$C$389,2,0)</f>
        <v>02685</v>
      </c>
      <c r="C59" s="257" t="s">
        <v>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KT'!$D$16:$Y$184,21,0)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2168</v>
      </c>
      <c r="AI59" s="289"/>
    </row>
    <row r="60" spans="1:35" s="242" customFormat="1" ht="21" customHeight="1">
      <c r="A60" s="545">
        <v>46</v>
      </c>
      <c r="B60" s="546" t="str">
        <f>VLOOKUP(C60,'DS CN MOI UP'!$B$10:$C$389,2,0)</f>
        <v>02468</v>
      </c>
      <c r="C60" s="257" t="s">
        <v>94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4"/>
        <v>#N/A</v>
      </c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KT'!$D$16:$Y$184,21,0)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37" t="s">
        <v>2168</v>
      </c>
      <c r="AI60" s="289"/>
    </row>
    <row r="61" spans="1:35" s="242" customFormat="1" ht="21" customHeight="1">
      <c r="A61" s="545">
        <v>47</v>
      </c>
      <c r="B61" s="546" t="str">
        <f>VLOOKUP(C61,'DS CN MOI UP'!$B$10:$C$389,2,0)</f>
        <v>03339</v>
      </c>
      <c r="C61" s="257" t="s">
        <v>95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4"/>
        <v>#N/A</v>
      </c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KT'!$D$16:$Y$184,21,0)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2168</v>
      </c>
      <c r="AI61" s="289"/>
    </row>
    <row r="62" spans="1:35" s="242" customFormat="1" ht="21" customHeight="1">
      <c r="A62" s="545">
        <v>48</v>
      </c>
      <c r="B62" s="546" t="str">
        <f>VLOOKUP(C62,'DS CN MOI UP'!$B$10:$C$389,2,0)</f>
        <v>03320</v>
      </c>
      <c r="C62" s="257" t="s">
        <v>16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4"/>
        <v>#N/A</v>
      </c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KT'!$D$16:$Y$184,21,0)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37" t="s">
        <v>2168</v>
      </c>
      <c r="AI62" s="289"/>
    </row>
    <row r="63" spans="1:35" s="242" customFormat="1" ht="21" customHeight="1">
      <c r="A63" s="545">
        <v>49</v>
      </c>
      <c r="B63" s="546" t="str">
        <f>VLOOKUP(C63,'DS CN MOI UP'!$B$10:$C$389,2,0)</f>
        <v>02455</v>
      </c>
      <c r="C63" s="257" t="s">
        <v>47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KT'!$D$16:$Y$184,21,0)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2168</v>
      </c>
      <c r="AI63" s="289"/>
    </row>
    <row r="64" spans="1:35" s="242" customFormat="1" ht="21" customHeight="1">
      <c r="A64" s="545">
        <v>50</v>
      </c>
      <c r="B64" s="546" t="str">
        <f>VLOOKUP(C64,'DS CN MOI UP'!$B$10:$C$389,2,0)</f>
        <v>02463</v>
      </c>
      <c r="C64" s="257" t="s">
        <v>87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KT'!$D$16:$Y$184,21,0)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37" t="s">
        <v>2168</v>
      </c>
      <c r="AI64" s="289"/>
    </row>
    <row r="65" spans="1:35" s="242" customFormat="1" ht="21" customHeight="1">
      <c r="A65" s="545">
        <v>51</v>
      </c>
      <c r="B65" s="546" t="str">
        <f>VLOOKUP(C65,'DS CN MOI UP'!$B$10:$C$389,2,0)</f>
        <v>02491</v>
      </c>
      <c r="C65" s="257" t="s">
        <v>62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KT'!$D$16:$Y$184,21,0)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242" t="s">
        <v>2168</v>
      </c>
      <c r="AI65" s="289"/>
    </row>
    <row r="66" spans="1:35" s="242" customFormat="1" ht="21" customHeight="1">
      <c r="A66" s="545">
        <v>52</v>
      </c>
      <c r="B66" s="546" t="str">
        <f>VLOOKUP(C66,'DS CN MOI UP'!$B$10:$C$389,2,0)</f>
        <v>02478</v>
      </c>
      <c r="C66" s="257" t="s">
        <v>79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KT'!$D$16:$Y$184,21,0)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37" t="s">
        <v>2168</v>
      </c>
      <c r="AI66" s="289"/>
    </row>
    <row r="67" spans="1:35" s="242" customFormat="1" ht="21" customHeight="1">
      <c r="A67" s="545">
        <v>53</v>
      </c>
      <c r="B67" s="546" t="str">
        <f>VLOOKUP(C67,'DS CN MOI UP'!$B$10:$C$389,2,0)</f>
        <v>03324</v>
      </c>
      <c r="C67" s="257" t="s">
        <v>27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KT'!$D$16:$Y$184,21,0)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242" t="s">
        <v>2168</v>
      </c>
      <c r="AI67" s="289"/>
    </row>
    <row r="68" spans="1:35" s="242" customFormat="1" ht="21" customHeight="1">
      <c r="A68" s="545">
        <v>54</v>
      </c>
      <c r="B68" s="546" t="str">
        <f>VLOOKUP(C68,'DS CN MOI UP'!$B$10:$C$389,2,0)</f>
        <v>03325</v>
      </c>
      <c r="C68" s="257" t="s">
        <v>28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 t="shared" si="4"/>
        <v>#N/A</v>
      </c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KT'!$D$16:$Y$184,21,0)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37" t="s">
        <v>2168</v>
      </c>
      <c r="AI68" s="289"/>
    </row>
    <row r="69" spans="1:35" s="242" customFormat="1" ht="21" customHeight="1">
      <c r="A69" s="545">
        <v>55</v>
      </c>
      <c r="B69" s="546" t="str">
        <f>VLOOKUP(C69,'DS CN MOI UP'!$B$10:$C$389,2,0)</f>
        <v>02510</v>
      </c>
      <c r="C69" s="257" t="s">
        <v>41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KT'!$D$16:$Y$184,21,0)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242" t="s">
        <v>2168</v>
      </c>
      <c r="AI69" s="289"/>
    </row>
    <row r="70" spans="1:35" s="242" customFormat="1" ht="21" customHeight="1">
      <c r="A70" s="545">
        <v>56</v>
      </c>
      <c r="B70" s="546" t="str">
        <f>VLOOKUP(C70,'DS CN MOI UP'!$B$10:$C$389,2,0)</f>
        <v>02469</v>
      </c>
      <c r="C70" s="257" t="s">
        <v>38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KT'!$D$16:$Y$184,21,0)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37" t="s">
        <v>2168</v>
      </c>
      <c r="AI70" s="289"/>
    </row>
    <row r="71" spans="1:35" s="242" customFormat="1" ht="21" customHeight="1">
      <c r="A71" s="545">
        <v>57</v>
      </c>
      <c r="B71" s="546" t="str">
        <f>VLOOKUP(C71,'DS CN MOI UP'!$B$10:$C$389,2,0)</f>
        <v>02475</v>
      </c>
      <c r="C71" s="257" t="s">
        <v>39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 t="shared" si="4"/>
        <v>#N/A</v>
      </c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KT'!$D$16:$Y$184,21,0)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242" t="s">
        <v>2168</v>
      </c>
      <c r="AI71" s="289"/>
    </row>
    <row r="72" spans="1:35" s="242" customFormat="1" ht="21" customHeight="1">
      <c r="A72" s="545">
        <v>58</v>
      </c>
      <c r="B72" s="546" t="str">
        <f>VLOOKUP(C72,'DS CN MOI UP'!$B$10:$C$389,2,0)</f>
        <v>02496</v>
      </c>
      <c r="C72" s="257" t="s">
        <v>98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 t="shared" si="4"/>
        <v>#N/A</v>
      </c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KT'!$D$16:$Y$184,21,0)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37" t="s">
        <v>2168</v>
      </c>
      <c r="AI72" s="289"/>
    </row>
    <row r="73" spans="1:35" s="242" customFormat="1" ht="21" customHeight="1">
      <c r="A73" s="545">
        <v>59</v>
      </c>
      <c r="B73" s="546" t="e">
        <f>VLOOKUP(C73,'DS CN MOI UP'!$B$10:$C$389,2,0)</f>
        <v>#N/A</v>
      </c>
      <c r="C73" s="257" t="s">
        <v>1999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KT'!$D$16:$Y$184,21,0)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8"/>
        <v>#N/A</v>
      </c>
      <c r="AE73" s="580" t="e">
        <f t="shared" si="3"/>
        <v>#N/A</v>
      </c>
      <c r="AF73" s="789"/>
      <c r="AG73" s="581"/>
      <c r="AH73" s="242" t="s">
        <v>2168</v>
      </c>
      <c r="AI73" s="289"/>
    </row>
    <row r="74" spans="1:35" s="242" customFormat="1" ht="21" customHeight="1">
      <c r="A74" s="545">
        <v>60</v>
      </c>
      <c r="B74" s="546" t="str">
        <f>VLOOKUP(C74,'DS CN MOI UP'!$B$10:$C$389,2,0)</f>
        <v>03326</v>
      </c>
      <c r="C74" s="257" t="s">
        <v>29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KT'!$D$16:$Y$184,21,0)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8"/>
        <v>#N/A</v>
      </c>
      <c r="AE74" s="580" t="e">
        <f t="shared" si="3"/>
        <v>#N/A</v>
      </c>
      <c r="AF74" s="789"/>
      <c r="AG74" s="581"/>
      <c r="AH74" s="537" t="s">
        <v>2168</v>
      </c>
      <c r="AI74" s="289"/>
    </row>
    <row r="75" spans="1:35" s="242" customFormat="1" ht="21" customHeight="1">
      <c r="A75" s="545">
        <v>61</v>
      </c>
      <c r="B75" s="546" t="str">
        <f>VLOOKUP(C75,'DS CN MOI UP'!$B$10:$C$389,2,0)</f>
        <v>02502</v>
      </c>
      <c r="C75" s="257" t="s">
        <v>2000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 t="shared" si="4"/>
        <v>#N/A</v>
      </c>
      <c r="P75" s="566" t="e">
        <f>VLOOKUP(C75,THCKT!$C$13:$AL$460,36,0)</f>
        <v>#N/A</v>
      </c>
      <c r="Q75" s="567" t="e">
        <f t="shared" si="5"/>
        <v>#N/A</v>
      </c>
      <c r="R75" s="549">
        <f>VLOOKUP(C75,'LƯƠNG KT'!$D$16:$Y$184,16,0)</f>
        <v>0</v>
      </c>
      <c r="S75" s="549">
        <f>VLOOKUP(C75,'LƯƠNG KT'!$D$16:$Y$184,17,0)</f>
        <v>0</v>
      </c>
      <c r="T75" s="549">
        <f>VLOOKUP(C75,'LƯƠNG KT'!$D$16:$Y$184,18,0)</f>
        <v>0</v>
      </c>
      <c r="U75" s="549">
        <f>VLOOKUP(C75,'LƯƠNG KT'!$D$16:$Y$184,18,0)</f>
        <v>0</v>
      </c>
      <c r="V75" s="549">
        <f>VLOOKUP(C75,'LƯƠNG KT'!$D$16:$Y$184,19,0)</f>
        <v>0</v>
      </c>
      <c r="W75" s="549">
        <f>VLOOKUP(C75,'LƯƠNG KT'!$D$16:$Y$184,20,0)</f>
        <v>0</v>
      </c>
      <c r="X75" s="549">
        <f>VLOOKUP(C75,'LƯƠNG KT'!$D$16:$Y$184,21,0)</f>
        <v>0</v>
      </c>
      <c r="Y75" s="549" t="e">
        <f>VLOOKUP(C75,'LƯƠNG KT'!$D$16:$Y$184,23,0)</f>
        <v>#REF!</v>
      </c>
      <c r="Z75" s="549" t="e">
        <f>VLOOKUP(C75,'LƯƠNG KT'!$D$16:$Y$184,24,0)</f>
        <v>#REF!</v>
      </c>
      <c r="AA75" s="549">
        <v>20</v>
      </c>
      <c r="AB75" s="549"/>
      <c r="AC75" s="580" t="e">
        <f t="shared" si="6"/>
        <v>#REF!</v>
      </c>
      <c r="AD75" s="580" t="e">
        <f t="shared" si="8"/>
        <v>#REF!</v>
      </c>
      <c r="AE75" s="580" t="e">
        <f t="shared" si="3"/>
        <v>#REF!</v>
      </c>
      <c r="AF75" s="789"/>
      <c r="AG75" s="581"/>
      <c r="AH75" s="242" t="s">
        <v>2168</v>
      </c>
      <c r="AI75" s="289"/>
    </row>
    <row r="76" spans="1:35" s="242" customFormat="1" ht="21" customHeight="1">
      <c r="A76" s="545">
        <v>62</v>
      </c>
      <c r="B76" s="546" t="str">
        <f>VLOOKUP(C76,'DS CN MOI UP'!$B$10:$C$389,2,0)</f>
        <v>02514</v>
      </c>
      <c r="C76" s="257" t="s">
        <v>100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KT'!$D$16:$Y$184,21,0)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8"/>
        <v>#N/A</v>
      </c>
      <c r="AE76" s="580" t="e">
        <f t="shared" si="3"/>
        <v>#N/A</v>
      </c>
      <c r="AF76" s="789"/>
      <c r="AG76" s="581"/>
      <c r="AH76" s="537" t="s">
        <v>2168</v>
      </c>
      <c r="AI76" s="289"/>
    </row>
    <row r="77" spans="1:35" s="242" customFormat="1" ht="21" customHeight="1">
      <c r="A77" s="545">
        <v>63</v>
      </c>
      <c r="B77" s="546" t="str">
        <f>VLOOKUP(C77,'DS CN MOI UP'!$B$10:$C$389,2,0)</f>
        <v>02501</v>
      </c>
      <c r="C77" s="257" t="s">
        <v>92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 t="shared" si="4"/>
        <v>#N/A</v>
      </c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KT'!$D$16:$Y$184,21,0)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8"/>
        <v>#N/A</v>
      </c>
      <c r="AE77" s="580" t="e">
        <f t="shared" si="3"/>
        <v>#N/A</v>
      </c>
      <c r="AF77" s="789"/>
      <c r="AG77" s="581"/>
      <c r="AH77" s="242" t="s">
        <v>2168</v>
      </c>
      <c r="AI77" s="289"/>
    </row>
    <row r="78" spans="1:35" s="242" customFormat="1" ht="21" customHeight="1">
      <c r="A78" s="545">
        <v>64</v>
      </c>
      <c r="B78" s="546" t="e">
        <f>VLOOKUP(C78,'DS CN MOI UP'!$B$10:$C$389,2,0)</f>
        <v>#N/A</v>
      </c>
      <c r="C78" s="584" t="s">
        <v>2001</v>
      </c>
      <c r="D78" s="257" t="s">
        <v>15</v>
      </c>
      <c r="E78" s="776"/>
      <c r="F78" s="548">
        <f>+VLOOKUP(C78,THCKT!$C$13:$AE$460,17,0)</f>
        <v>24</v>
      </c>
      <c r="G78" s="549">
        <f t="shared" si="0"/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si="7"/>
        <v>#N/A</v>
      </c>
      <c r="O78" s="565" t="e">
        <f t="shared" si="4"/>
        <v>#N/A</v>
      </c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KT'!$D$16:$Y$184,21,0)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si="8"/>
        <v>#N/A</v>
      </c>
      <c r="AE78" s="580" t="e">
        <f t="shared" si="3"/>
        <v>#N/A</v>
      </c>
      <c r="AF78" s="789"/>
      <c r="AG78" s="581"/>
      <c r="AH78" s="537" t="s">
        <v>2168</v>
      </c>
      <c r="AI78" s="289"/>
    </row>
    <row r="79" spans="1:35" s="242" customFormat="1" ht="21" customHeight="1">
      <c r="A79" s="545">
        <v>65</v>
      </c>
      <c r="B79" s="546" t="str">
        <f>VLOOKUP(C79,'DS CN MOI UP'!$B$10:$C$389,2,0)</f>
        <v>02683</v>
      </c>
      <c r="C79" s="584" t="s">
        <v>75</v>
      </c>
      <c r="D79" s="257" t="s">
        <v>15</v>
      </c>
      <c r="E79" s="776"/>
      <c r="F79" s="548">
        <f>+VLOOKUP(C79,THCKT!$C$13:$AE$460,17,0)</f>
        <v>24</v>
      </c>
      <c r="G79" s="549">
        <f t="shared" ref="G79:G100" si="9">F79*25000</f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ref="N79:N100" si="10">$AI$8/$AI$7*K79+L79*$AI$9+M79*$AI$10</f>
        <v>#N/A</v>
      </c>
      <c r="O79" s="565" t="e">
        <f t="shared" si="4"/>
        <v>#N/A</v>
      </c>
      <c r="P79" s="566" t="e">
        <f>VLOOKUP(C79,THCKT!$C$13:$AL$460,36,0)</f>
        <v>#N/A</v>
      </c>
      <c r="Q79" s="567" t="e">
        <f t="shared" si="5"/>
        <v>#N/A</v>
      </c>
      <c r="R79" s="549" t="e">
        <f>VLOOKUP(C79,'LƯƠNG KT'!$D$16:$Y$184,16,0)</f>
        <v>#N/A</v>
      </c>
      <c r="S79" s="549" t="e">
        <f>VLOOKUP(C79,'LƯƠNG KT'!$D$16:$Y$184,17,0)</f>
        <v>#N/A</v>
      </c>
      <c r="T79" s="549" t="e">
        <f>VLOOKUP(C79,'LƯƠNG KT'!$D$16:$Y$184,18,0)</f>
        <v>#N/A</v>
      </c>
      <c r="U79" s="549" t="e">
        <f>VLOOKUP(C79,'LƯƠNG KT'!$D$16:$Y$184,18,0)</f>
        <v>#N/A</v>
      </c>
      <c r="V79" s="549" t="e">
        <f>VLOOKUP(C79,'LƯƠNG KT'!$D$16:$Y$184,19,0)</f>
        <v>#N/A</v>
      </c>
      <c r="W79" s="549" t="e">
        <f>VLOOKUP(C79,'LƯƠNG KT'!$D$16:$Y$184,20,0)</f>
        <v>#N/A</v>
      </c>
      <c r="X79" s="549" t="e">
        <f>VLOOKUP(C79,'LƯƠNG KT'!$D$16:$Y$184,21,0)</f>
        <v>#N/A</v>
      </c>
      <c r="Y79" s="549" t="e">
        <f>VLOOKUP(C79,'LƯƠNG KT'!$D$16:$Y$184,23,0)</f>
        <v>#N/A</v>
      </c>
      <c r="Z79" s="549" t="e">
        <f>VLOOKUP(C79,'LƯƠNG KT'!$D$16:$Y$184,24,0)</f>
        <v>#N/A</v>
      </c>
      <c r="AA79" s="549">
        <v>20</v>
      </c>
      <c r="AB79" s="549"/>
      <c r="AC79" s="580" t="e">
        <f t="shared" si="6"/>
        <v>#N/A</v>
      </c>
      <c r="AD79" s="580" t="e">
        <f t="shared" ref="AD79:AD100" si="11">+AC79+Q79+G79</f>
        <v>#N/A</v>
      </c>
      <c r="AE79" s="580" t="e">
        <f t="shared" si="3"/>
        <v>#N/A</v>
      </c>
      <c r="AF79" s="789"/>
      <c r="AG79" s="581"/>
      <c r="AH79" s="242" t="s">
        <v>2168</v>
      </c>
      <c r="AI79" s="289"/>
    </row>
    <row r="80" spans="1:35" s="242" customFormat="1" ht="21" customHeight="1">
      <c r="A80" s="545">
        <v>66</v>
      </c>
      <c r="B80" s="546" t="e">
        <f>VLOOKUP(C80,'DS CN MOI UP'!$B$10:$C$389,2,0)</f>
        <v>#N/A</v>
      </c>
      <c r="C80" s="584" t="s">
        <v>1276</v>
      </c>
      <c r="D80" s="257" t="s">
        <v>15</v>
      </c>
      <c r="E80" s="776"/>
      <c r="F80" s="548">
        <f>+VLOOKUP(C80,THCKT!$C$13:$AE$460,17,0)</f>
        <v>24</v>
      </c>
      <c r="G80" s="549">
        <f t="shared" si="9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0"/>
        <v>#N/A</v>
      </c>
      <c r="O80" s="565" t="e">
        <f t="shared" ref="O80:O100" si="12">Q80/((Q80/(N80*$F$9)*$F$8))</f>
        <v>#N/A</v>
      </c>
      <c r="P80" s="566" t="e">
        <f>VLOOKUP(C80,THCKT!$C$13:$AL$460,36,0)</f>
        <v>#N/A</v>
      </c>
      <c r="Q80" s="56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KT'!$D$16:$Y$184,21,0)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ref="AC80:AC99" si="14">ROUND((((R80*46.1)+(S80*76.9)+(X80*30.7)+(U80*46.1*2)+(V80*46.1*2)+(W80*76.9*2))*$F$8),0)+T80*10000+Y80*20000+Z80*20000+AA80*25000</f>
        <v>#N/A</v>
      </c>
      <c r="AD80" s="580" t="e">
        <f t="shared" si="11"/>
        <v>#N/A</v>
      </c>
      <c r="AE80" s="580" t="e">
        <f t="shared" si="3"/>
        <v>#N/A</v>
      </c>
      <c r="AF80" s="789"/>
      <c r="AG80" s="581"/>
      <c r="AH80" s="537" t="s">
        <v>2168</v>
      </c>
      <c r="AI80" s="289"/>
    </row>
    <row r="81" spans="1:35" s="242" customFormat="1" ht="21" customHeight="1">
      <c r="A81" s="545">
        <v>67</v>
      </c>
      <c r="B81" s="546" t="str">
        <f>VLOOKUP(C81,'DS CN MOI UP'!$B$10:$C$389,2,0)</f>
        <v>03333</v>
      </c>
      <c r="C81" s="584" t="s">
        <v>56</v>
      </c>
      <c r="D81" s="257" t="s">
        <v>15</v>
      </c>
      <c r="E81" s="776"/>
      <c r="F81" s="548">
        <f>+VLOOKUP(C81,THCKT!$C$13:$AE$460,17,0)</f>
        <v>24</v>
      </c>
      <c r="G81" s="549">
        <f t="shared" si="9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0"/>
        <v>#N/A</v>
      </c>
      <c r="O81" s="565" t="e">
        <f t="shared" si="12"/>
        <v>#N/A</v>
      </c>
      <c r="P81" s="566" t="e">
        <f>VLOOKUP(C81,THCKT!$C$13:$AL$460,36,0)</f>
        <v>#N/A</v>
      </c>
      <c r="Q81" s="567" t="e">
        <f t="shared" si="13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KT'!$D$16:$Y$184,21,0)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4"/>
        <v>#N/A</v>
      </c>
      <c r="AD81" s="580" t="e">
        <f t="shared" si="11"/>
        <v>#N/A</v>
      </c>
      <c r="AE81" s="580" t="e">
        <f t="shared" si="3"/>
        <v>#N/A</v>
      </c>
      <c r="AF81" s="789"/>
      <c r="AG81" s="581"/>
      <c r="AH81" s="242" t="s">
        <v>2168</v>
      </c>
      <c r="AI81" s="289"/>
    </row>
    <row r="82" spans="1:35" s="242" customFormat="1" ht="21" customHeight="1">
      <c r="A82" s="545">
        <v>68</v>
      </c>
      <c r="B82" s="546" t="str">
        <f>VLOOKUP(C82,'DS CN MOI UP'!$B$10:$C$389,2,0)</f>
        <v>02686</v>
      </c>
      <c r="C82" s="584" t="s">
        <v>78</v>
      </c>
      <c r="D82" s="257" t="s">
        <v>15</v>
      </c>
      <c r="E82" s="776"/>
      <c r="F82" s="548">
        <f>+VLOOKUP(C82,THCKT!$C$13:$AE$460,17,0)</f>
        <v>24</v>
      </c>
      <c r="G82" s="549">
        <f t="shared" si="9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0"/>
        <v>#N/A</v>
      </c>
      <c r="O82" s="565" t="e">
        <f t="shared" si="12"/>
        <v>#N/A</v>
      </c>
      <c r="P82" s="566" t="e">
        <f>VLOOKUP(C82,THCKT!$C$13:$AL$460,36,0)</f>
        <v>#N/A</v>
      </c>
      <c r="Q82" s="567" t="e">
        <f t="shared" si="13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KT'!$D$16:$Y$184,21,0)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4"/>
        <v>#N/A</v>
      </c>
      <c r="AD82" s="580" t="e">
        <f t="shared" si="11"/>
        <v>#N/A</v>
      </c>
      <c r="AE82" s="580" t="e">
        <f t="shared" si="3"/>
        <v>#N/A</v>
      </c>
      <c r="AF82" s="789"/>
      <c r="AG82" s="581"/>
      <c r="AH82" s="537" t="s">
        <v>2168</v>
      </c>
      <c r="AI82" s="289"/>
    </row>
    <row r="83" spans="1:35" s="242" customFormat="1" ht="21" customHeight="1">
      <c r="A83" s="545">
        <v>69</v>
      </c>
      <c r="B83" s="546" t="e">
        <f>VLOOKUP(C83,'DS CN MOI UP'!$B$10:$C$389,2,0)</f>
        <v>#N/A</v>
      </c>
      <c r="C83" s="584" t="s">
        <v>2002</v>
      </c>
      <c r="D83" s="257" t="s">
        <v>15</v>
      </c>
      <c r="E83" s="776"/>
      <c r="F83" s="548">
        <f>+VLOOKUP(C83,THCKT!$C$13:$AE$460,17,0)</f>
        <v>24</v>
      </c>
      <c r="G83" s="549">
        <f t="shared" si="9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0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3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KT'!$D$16:$Y$184,21,0)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 t="shared" si="14"/>
        <v>#N/A</v>
      </c>
      <c r="AD83" s="580" t="e">
        <f t="shared" si="11"/>
        <v>#N/A</v>
      </c>
      <c r="AE83" s="580" t="e">
        <f t="shared" si="3"/>
        <v>#N/A</v>
      </c>
      <c r="AF83" s="789"/>
      <c r="AG83" s="581"/>
      <c r="AH83" s="242" t="s">
        <v>2168</v>
      </c>
      <c r="AI83" s="289"/>
    </row>
    <row r="84" spans="1:35" s="242" customFormat="1" ht="21" customHeight="1">
      <c r="A84" s="545">
        <v>70</v>
      </c>
      <c r="B84" s="546" t="str">
        <f>VLOOKUP(C84,'DS CN MOI UP'!$B$10:$C$389,2,0)</f>
        <v>02458</v>
      </c>
      <c r="C84" s="584" t="s">
        <v>492</v>
      </c>
      <c r="D84" s="257" t="s">
        <v>15</v>
      </c>
      <c r="E84" s="776"/>
      <c r="F84" s="548">
        <f>+VLOOKUP(C84,THCKT!$C$13:$AE$460,17,0)</f>
        <v>24</v>
      </c>
      <c r="G84" s="549">
        <f t="shared" si="9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0"/>
        <v>#N/A</v>
      </c>
      <c r="O84" s="565" t="e">
        <f t="shared" si="12"/>
        <v>#N/A</v>
      </c>
      <c r="P84" s="566" t="e">
        <f>VLOOKUP(C84,THCKT!$C$13:$AL$460,36,0)</f>
        <v>#N/A</v>
      </c>
      <c r="Q84" s="567" t="e">
        <f t="shared" si="13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KT'!$D$16:$Y$184,21,0)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 t="shared" si="14"/>
        <v>#N/A</v>
      </c>
      <c r="AD84" s="580" t="e">
        <f t="shared" si="11"/>
        <v>#N/A</v>
      </c>
      <c r="AE84" s="580" t="e">
        <f t="shared" si="3"/>
        <v>#N/A</v>
      </c>
      <c r="AF84" s="789"/>
      <c r="AG84" s="581"/>
      <c r="AH84" s="537" t="s">
        <v>2168</v>
      </c>
      <c r="AI84" s="289"/>
    </row>
    <row r="85" spans="1:35" s="242" customFormat="1" ht="21" customHeight="1">
      <c r="A85" s="545">
        <v>71</v>
      </c>
      <c r="B85" s="546" t="str">
        <f>VLOOKUP(C85,'DS CN MOI UP'!$B$10:$C$389,2,0)</f>
        <v>02480</v>
      </c>
      <c r="C85" s="584" t="s">
        <v>493</v>
      </c>
      <c r="D85" s="257" t="s">
        <v>15</v>
      </c>
      <c r="E85" s="776"/>
      <c r="F85" s="548">
        <f>+VLOOKUP(C85,THCKT!$C$13:$AE$460,17,0)</f>
        <v>24</v>
      </c>
      <c r="G85" s="549">
        <f t="shared" si="9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0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3"/>
        <v>#N/A</v>
      </c>
      <c r="R85" s="549" t="e">
        <f>VLOOKUP(C85,'LƯƠNG KT'!$D$16:$Y$184,16,0)</f>
        <v>#N/A</v>
      </c>
      <c r="S85" s="549" t="e">
        <f>VLOOKUP(C85,'LƯƠNG KT'!$D$16:$Y$184,17,0)</f>
        <v>#N/A</v>
      </c>
      <c r="T85" s="549" t="e">
        <f>VLOOKUP(C85,'LƯƠNG KT'!$D$16:$Y$184,18,0)</f>
        <v>#N/A</v>
      </c>
      <c r="U85" s="549" t="e">
        <f>VLOOKUP(C85,'LƯƠNG KT'!$D$16:$Y$184,18,0)</f>
        <v>#N/A</v>
      </c>
      <c r="V85" s="549" t="e">
        <f>VLOOKUP(C85,'LƯƠNG KT'!$D$16:$Y$184,19,0)</f>
        <v>#N/A</v>
      </c>
      <c r="W85" s="549" t="e">
        <f>VLOOKUP(C85,'LƯƠNG KT'!$D$16:$Y$184,20,0)</f>
        <v>#N/A</v>
      </c>
      <c r="X85" s="549" t="e">
        <f>VLOOKUP(C85,'LƯƠNG KT'!$D$16:$Y$184,21,0)</f>
        <v>#N/A</v>
      </c>
      <c r="Y85" s="549" t="e">
        <f>VLOOKUP(C85,'LƯƠNG KT'!$D$16:$Y$184,23,0)</f>
        <v>#N/A</v>
      </c>
      <c r="Z85" s="549" t="e">
        <f>VLOOKUP(C85,'LƯƠNG KT'!$D$16:$Y$184,24,0)</f>
        <v>#N/A</v>
      </c>
      <c r="AA85" s="549">
        <v>20</v>
      </c>
      <c r="AB85" s="549"/>
      <c r="AC85" s="580" t="e">
        <f t="shared" si="14"/>
        <v>#N/A</v>
      </c>
      <c r="AD85" s="580" t="e">
        <f t="shared" si="11"/>
        <v>#N/A</v>
      </c>
      <c r="AE85" s="580" t="e">
        <f t="shared" si="3"/>
        <v>#N/A</v>
      </c>
      <c r="AF85" s="789"/>
      <c r="AG85" s="581"/>
      <c r="AH85" s="242" t="s">
        <v>2168</v>
      </c>
      <c r="AI85" s="289"/>
    </row>
    <row r="86" spans="1:35" s="242" customFormat="1" ht="21" customHeight="1">
      <c r="A86" s="545">
        <v>72</v>
      </c>
      <c r="B86" s="546" t="str">
        <f>VLOOKUP(C86,'DS CN MOI UP'!$B$10:$C$389,2,0)</f>
        <v>02456</v>
      </c>
      <c r="C86" s="584" t="s">
        <v>89</v>
      </c>
      <c r="D86" s="257" t="s">
        <v>15</v>
      </c>
      <c r="E86" s="776"/>
      <c r="F86" s="548">
        <f>+VLOOKUP(C86,THCKT!$C$13:$AE$460,17,0)</f>
        <v>24</v>
      </c>
      <c r="G86" s="549">
        <f t="shared" si="9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0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3"/>
        <v>#N/A</v>
      </c>
      <c r="R86" s="549" t="e">
        <f>VLOOKUP(C86,'LƯƠNG KT'!$D$16:$Y$184,16,0)</f>
        <v>#N/A</v>
      </c>
      <c r="S86" s="549" t="e">
        <f>VLOOKUP(C86,'LƯƠNG KT'!$D$16:$Y$184,17,0)</f>
        <v>#N/A</v>
      </c>
      <c r="T86" s="549" t="e">
        <f>VLOOKUP(C86,'LƯƠNG KT'!$D$16:$Y$184,18,0)</f>
        <v>#N/A</v>
      </c>
      <c r="U86" s="549" t="e">
        <f>VLOOKUP(C86,'LƯƠNG KT'!$D$16:$Y$184,18,0)</f>
        <v>#N/A</v>
      </c>
      <c r="V86" s="549" t="e">
        <f>VLOOKUP(C86,'LƯƠNG KT'!$D$16:$Y$184,19,0)</f>
        <v>#N/A</v>
      </c>
      <c r="W86" s="549" t="e">
        <f>VLOOKUP(C86,'LƯƠNG KT'!$D$16:$Y$184,20,0)</f>
        <v>#N/A</v>
      </c>
      <c r="X86" s="549" t="e">
        <f>VLOOKUP(C86,'LƯƠNG KT'!$D$16:$Y$184,21,0)</f>
        <v>#N/A</v>
      </c>
      <c r="Y86" s="549" t="e">
        <f>VLOOKUP(C86,'LƯƠNG KT'!$D$16:$Y$184,23,0)</f>
        <v>#N/A</v>
      </c>
      <c r="Z86" s="549" t="e">
        <f>VLOOKUP(C86,'LƯƠNG KT'!$D$16:$Y$184,24,0)</f>
        <v>#N/A</v>
      </c>
      <c r="AA86" s="549">
        <v>20</v>
      </c>
      <c r="AB86" s="549"/>
      <c r="AC86" s="580" t="e">
        <f t="shared" si="14"/>
        <v>#N/A</v>
      </c>
      <c r="AD86" s="580" t="e">
        <f t="shared" si="11"/>
        <v>#N/A</v>
      </c>
      <c r="AE86" s="580" t="e">
        <f t="shared" ref="AE86:AE95" si="15">AD86</f>
        <v>#N/A</v>
      </c>
      <c r="AF86" s="789"/>
      <c r="AG86" s="581"/>
      <c r="AH86" s="537" t="s">
        <v>2168</v>
      </c>
      <c r="AI86" s="289"/>
    </row>
    <row r="87" spans="1:35" s="242" customFormat="1" ht="21" customHeight="1">
      <c r="A87" s="545">
        <v>73</v>
      </c>
      <c r="B87" s="546" t="str">
        <f>VLOOKUP(C87,'DS CN MOI UP'!$B$10:$C$389,2,0)</f>
        <v>02461</v>
      </c>
      <c r="C87" s="584" t="s">
        <v>90</v>
      </c>
      <c r="D87" s="257" t="s">
        <v>15</v>
      </c>
      <c r="E87" s="776"/>
      <c r="F87" s="548">
        <f>+VLOOKUP(C87,THCKT!$C$13:$AE$460,17,0)</f>
        <v>24</v>
      </c>
      <c r="G87" s="549">
        <f t="shared" si="9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0"/>
        <v>#N/A</v>
      </c>
      <c r="O87" s="565" t="e">
        <f t="shared" si="12"/>
        <v>#N/A</v>
      </c>
      <c r="P87" s="566" t="e">
        <f>VLOOKUP(C87,THCKT!$C$13:$AL$460,36,0)</f>
        <v>#N/A</v>
      </c>
      <c r="Q87" s="567" t="e">
        <f t="shared" si="13"/>
        <v>#N/A</v>
      </c>
      <c r="R87" s="549" t="e">
        <f>VLOOKUP(C87,'LƯƠNG KT'!$D$16:$Y$184,16,0)</f>
        <v>#N/A</v>
      </c>
      <c r="S87" s="549" t="e">
        <f>VLOOKUP(C87,'LƯƠNG KT'!$D$16:$Y$184,17,0)</f>
        <v>#N/A</v>
      </c>
      <c r="T87" s="549" t="e">
        <f>VLOOKUP(C87,'LƯƠNG KT'!$D$16:$Y$184,18,0)</f>
        <v>#N/A</v>
      </c>
      <c r="U87" s="549" t="e">
        <f>VLOOKUP(C87,'LƯƠNG KT'!$D$16:$Y$184,18,0)</f>
        <v>#N/A</v>
      </c>
      <c r="V87" s="549" t="e">
        <f>VLOOKUP(C87,'LƯƠNG KT'!$D$16:$Y$184,19,0)</f>
        <v>#N/A</v>
      </c>
      <c r="W87" s="549" t="e">
        <f>VLOOKUP(C87,'LƯƠNG KT'!$D$16:$Y$184,20,0)</f>
        <v>#N/A</v>
      </c>
      <c r="X87" s="549" t="e">
        <f>VLOOKUP(C87,'LƯƠNG KT'!$D$16:$Y$184,21,0)</f>
        <v>#N/A</v>
      </c>
      <c r="Y87" s="549" t="e">
        <f>VLOOKUP(C87,'LƯƠNG KT'!$D$16:$Y$184,23,0)</f>
        <v>#N/A</v>
      </c>
      <c r="Z87" s="549" t="e">
        <f>VLOOKUP(C87,'LƯƠNG KT'!$D$16:$Y$184,24,0)</f>
        <v>#N/A</v>
      </c>
      <c r="AA87" s="549">
        <v>20</v>
      </c>
      <c r="AB87" s="549"/>
      <c r="AC87" s="580" t="e">
        <f t="shared" si="14"/>
        <v>#N/A</v>
      </c>
      <c r="AD87" s="580" t="e">
        <f t="shared" si="11"/>
        <v>#N/A</v>
      </c>
      <c r="AE87" s="580" t="e">
        <f t="shared" si="15"/>
        <v>#N/A</v>
      </c>
      <c r="AF87" s="789"/>
      <c r="AG87" s="581"/>
      <c r="AH87" s="242" t="s">
        <v>2168</v>
      </c>
      <c r="AI87" s="289"/>
    </row>
    <row r="88" spans="1:35" s="242" customFormat="1" ht="21" customHeight="1">
      <c r="A88" s="545">
        <v>74</v>
      </c>
      <c r="B88" s="546" t="e">
        <f>VLOOKUP(C88,'DS CN MOI UP'!$B$10:$C$389,2,0)</f>
        <v>#N/A</v>
      </c>
      <c r="C88" s="584" t="s">
        <v>1671</v>
      </c>
      <c r="D88" s="257" t="s">
        <v>15</v>
      </c>
      <c r="E88" s="776"/>
      <c r="F88" s="548">
        <f>+VLOOKUP(C88,THCKT!$C$13:$AE$460,17,0)</f>
        <v>24</v>
      </c>
      <c r="G88" s="549">
        <f t="shared" si="9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0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3"/>
        <v>#N/A</v>
      </c>
      <c r="R88" s="549" t="e">
        <f>VLOOKUP(C88,'LƯƠNG KT'!$D$16:$Y$184,16,0)</f>
        <v>#N/A</v>
      </c>
      <c r="S88" s="549" t="e">
        <f>VLOOKUP(C88,'LƯƠNG KT'!$D$16:$Y$184,17,0)</f>
        <v>#N/A</v>
      </c>
      <c r="T88" s="549" t="e">
        <f>VLOOKUP(C88,'LƯƠNG KT'!$D$16:$Y$184,18,0)</f>
        <v>#N/A</v>
      </c>
      <c r="U88" s="549" t="e">
        <f>VLOOKUP(C88,'LƯƠNG KT'!$D$16:$Y$184,18,0)</f>
        <v>#N/A</v>
      </c>
      <c r="V88" s="549" t="e">
        <f>VLOOKUP(C88,'LƯƠNG KT'!$D$16:$Y$184,19,0)</f>
        <v>#N/A</v>
      </c>
      <c r="W88" s="549" t="e">
        <f>VLOOKUP(C88,'LƯƠNG KT'!$D$16:$Y$184,20,0)</f>
        <v>#N/A</v>
      </c>
      <c r="X88" s="549" t="e">
        <f>VLOOKUP(C88,'LƯƠNG KT'!$D$16:$Y$184,21,0)</f>
        <v>#N/A</v>
      </c>
      <c r="Y88" s="549" t="e">
        <f>VLOOKUP(C88,'LƯƠNG KT'!$D$16:$Y$184,23,0)</f>
        <v>#N/A</v>
      </c>
      <c r="Z88" s="549" t="e">
        <f>VLOOKUP(C88,'LƯƠNG KT'!$D$16:$Y$184,24,0)</f>
        <v>#N/A</v>
      </c>
      <c r="AA88" s="549">
        <v>20</v>
      </c>
      <c r="AB88" s="549"/>
      <c r="AC88" s="580" t="e">
        <f t="shared" si="14"/>
        <v>#N/A</v>
      </c>
      <c r="AD88" s="580" t="e">
        <f t="shared" si="11"/>
        <v>#N/A</v>
      </c>
      <c r="AE88" s="580" t="e">
        <f t="shared" si="15"/>
        <v>#N/A</v>
      </c>
      <c r="AF88" s="789"/>
      <c r="AG88" s="581"/>
      <c r="AH88" s="537" t="s">
        <v>2168</v>
      </c>
      <c r="AI88" s="289"/>
    </row>
    <row r="89" spans="1:35" s="242" customFormat="1" ht="21" customHeight="1">
      <c r="A89" s="545">
        <v>75</v>
      </c>
      <c r="B89" s="546" t="str">
        <f>VLOOKUP(C89,'DS CN MOI UP'!$B$10:$C$389,2,0)</f>
        <v>03334</v>
      </c>
      <c r="C89" s="584" t="s">
        <v>64</v>
      </c>
      <c r="D89" s="257" t="s">
        <v>15</v>
      </c>
      <c r="E89" s="776"/>
      <c r="F89" s="548">
        <f>+VLOOKUP(C89,THCKT!$C$13:$AE$460,17,0)</f>
        <v>24</v>
      </c>
      <c r="G89" s="549">
        <f t="shared" si="9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0"/>
        <v>#N/A</v>
      </c>
      <c r="O89" s="565" t="e">
        <f t="shared" si="12"/>
        <v>#N/A</v>
      </c>
      <c r="P89" s="566" t="e">
        <f>VLOOKUP(C89,THCKT!$C$13:$AL$460,36,0)</f>
        <v>#N/A</v>
      </c>
      <c r="Q89" s="567" t="e">
        <f t="shared" si="13"/>
        <v>#N/A</v>
      </c>
      <c r="R89" s="549" t="e">
        <f>VLOOKUP(C89,'LƯƠNG KT'!$D$16:$Y$184,16,0)</f>
        <v>#N/A</v>
      </c>
      <c r="S89" s="549" t="e">
        <f>VLOOKUP(C89,'LƯƠNG KT'!$D$16:$Y$184,17,0)</f>
        <v>#N/A</v>
      </c>
      <c r="T89" s="549" t="e">
        <f>VLOOKUP(C89,'LƯƠNG KT'!$D$16:$Y$184,18,0)</f>
        <v>#N/A</v>
      </c>
      <c r="U89" s="549" t="e">
        <f>VLOOKUP(C89,'LƯƠNG KT'!$D$16:$Y$184,18,0)</f>
        <v>#N/A</v>
      </c>
      <c r="V89" s="549" t="e">
        <f>VLOOKUP(C89,'LƯƠNG KT'!$D$16:$Y$184,19,0)</f>
        <v>#N/A</v>
      </c>
      <c r="W89" s="549" t="e">
        <f>VLOOKUP(C89,'LƯƠNG KT'!$D$16:$Y$184,20,0)</f>
        <v>#N/A</v>
      </c>
      <c r="X89" s="549" t="e">
        <f>VLOOKUP(C89,'LƯƠNG KT'!$D$16:$Y$184,21,0)</f>
        <v>#N/A</v>
      </c>
      <c r="Y89" s="549" t="e">
        <f>VLOOKUP(C89,'LƯƠNG KT'!$D$16:$Y$184,23,0)</f>
        <v>#N/A</v>
      </c>
      <c r="Z89" s="549" t="e">
        <f>VLOOKUP(C89,'LƯƠNG KT'!$D$16:$Y$184,24,0)</f>
        <v>#N/A</v>
      </c>
      <c r="AA89" s="549">
        <v>20</v>
      </c>
      <c r="AB89" s="549"/>
      <c r="AC89" s="580" t="e">
        <f t="shared" si="14"/>
        <v>#N/A</v>
      </c>
      <c r="AD89" s="580" t="e">
        <f t="shared" si="11"/>
        <v>#N/A</v>
      </c>
      <c r="AE89" s="580" t="e">
        <f t="shared" si="15"/>
        <v>#N/A</v>
      </c>
      <c r="AF89" s="789"/>
      <c r="AG89" s="581"/>
      <c r="AH89" s="242" t="s">
        <v>2168</v>
      </c>
      <c r="AI89" s="289"/>
    </row>
    <row r="90" spans="1:35" s="242" customFormat="1" ht="21" customHeight="1">
      <c r="A90" s="545">
        <v>76</v>
      </c>
      <c r="B90" s="546" t="str">
        <f>VLOOKUP(C90,'DS CN MOI UP'!$B$10:$C$389,2,0)</f>
        <v>02486</v>
      </c>
      <c r="C90" s="584" t="s">
        <v>65</v>
      </c>
      <c r="D90" s="257" t="s">
        <v>15</v>
      </c>
      <c r="E90" s="776"/>
      <c r="F90" s="548">
        <f>+VLOOKUP(C90,THCKT!$C$13:$AE$460,17,0)</f>
        <v>24</v>
      </c>
      <c r="G90" s="549">
        <f t="shared" si="9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0"/>
        <v>#N/A</v>
      </c>
      <c r="O90" s="565" t="e">
        <f t="shared" si="12"/>
        <v>#N/A</v>
      </c>
      <c r="P90" s="566" t="e">
        <f>VLOOKUP(C90,THCKT!$C$13:$AL$460,36,0)</f>
        <v>#N/A</v>
      </c>
      <c r="Q90" s="567" t="e">
        <f t="shared" si="13"/>
        <v>#N/A</v>
      </c>
      <c r="R90" s="549" t="e">
        <f>VLOOKUP(C90,'LƯƠNG KT'!$D$16:$Y$184,16,0)</f>
        <v>#N/A</v>
      </c>
      <c r="S90" s="549" t="e">
        <f>VLOOKUP(C90,'LƯƠNG KT'!$D$16:$Y$184,17,0)</f>
        <v>#N/A</v>
      </c>
      <c r="T90" s="549" t="e">
        <f>VLOOKUP(C90,'LƯƠNG KT'!$D$16:$Y$184,18,0)</f>
        <v>#N/A</v>
      </c>
      <c r="U90" s="549" t="e">
        <f>VLOOKUP(C90,'LƯƠNG KT'!$D$16:$Y$184,18,0)</f>
        <v>#N/A</v>
      </c>
      <c r="V90" s="549" t="e">
        <f>VLOOKUP(C90,'LƯƠNG KT'!$D$16:$Y$184,19,0)</f>
        <v>#N/A</v>
      </c>
      <c r="W90" s="549" t="e">
        <f>VLOOKUP(C90,'LƯƠNG KT'!$D$16:$Y$184,20,0)</f>
        <v>#N/A</v>
      </c>
      <c r="X90" s="549" t="e">
        <f>VLOOKUP(C90,'LƯƠNG KT'!$D$16:$Y$184,21,0)</f>
        <v>#N/A</v>
      </c>
      <c r="Y90" s="549" t="e">
        <f>VLOOKUP(C90,'LƯƠNG KT'!$D$16:$Y$184,23,0)</f>
        <v>#N/A</v>
      </c>
      <c r="Z90" s="549" t="e">
        <f>VLOOKUP(C90,'LƯƠNG KT'!$D$16:$Y$184,24,0)</f>
        <v>#N/A</v>
      </c>
      <c r="AA90" s="549">
        <v>20</v>
      </c>
      <c r="AB90" s="549"/>
      <c r="AC90" s="580" t="e">
        <f t="shared" si="14"/>
        <v>#N/A</v>
      </c>
      <c r="AD90" s="580" t="e">
        <f t="shared" si="11"/>
        <v>#N/A</v>
      </c>
      <c r="AE90" s="580" t="e">
        <f t="shared" si="15"/>
        <v>#N/A</v>
      </c>
      <c r="AF90" s="789"/>
      <c r="AG90" s="581"/>
      <c r="AH90" s="537" t="s">
        <v>2168</v>
      </c>
      <c r="AI90" s="289"/>
    </row>
    <row r="91" spans="1:35" s="242" customFormat="1" ht="21" customHeight="1">
      <c r="A91" s="545">
        <v>77</v>
      </c>
      <c r="B91" s="546" t="str">
        <f>VLOOKUP(C91,'DS CN MOI UP'!$B$10:$C$389,2,0)</f>
        <v>02680</v>
      </c>
      <c r="C91" s="584" t="s">
        <v>91</v>
      </c>
      <c r="D91" s="257" t="s">
        <v>15</v>
      </c>
      <c r="E91" s="776"/>
      <c r="F91" s="548">
        <f>+VLOOKUP(C91,THCKT!$C$13:$AE$460,17,0)</f>
        <v>24</v>
      </c>
      <c r="G91" s="549">
        <f t="shared" si="9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0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3"/>
        <v>#N/A</v>
      </c>
      <c r="R91" s="549" t="e">
        <f>VLOOKUP(C91,'LƯƠNG KT'!$D$16:$Y$184,16,0)</f>
        <v>#N/A</v>
      </c>
      <c r="S91" s="549" t="e">
        <f>VLOOKUP(C91,'LƯƠNG KT'!$D$16:$Y$184,17,0)</f>
        <v>#N/A</v>
      </c>
      <c r="T91" s="549" t="e">
        <f>VLOOKUP(C91,'LƯƠNG KT'!$D$16:$Y$184,18,0)</f>
        <v>#N/A</v>
      </c>
      <c r="U91" s="549" t="e">
        <f>VLOOKUP(C91,'LƯƠNG KT'!$D$16:$Y$184,18,0)</f>
        <v>#N/A</v>
      </c>
      <c r="V91" s="549" t="e">
        <f>VLOOKUP(C91,'LƯƠNG KT'!$D$16:$Y$184,19,0)</f>
        <v>#N/A</v>
      </c>
      <c r="W91" s="549" t="e">
        <f>VLOOKUP(C91,'LƯƠNG KT'!$D$16:$Y$184,20,0)</f>
        <v>#N/A</v>
      </c>
      <c r="X91" s="549" t="e">
        <f>VLOOKUP(C91,'LƯƠNG KT'!$D$16:$Y$184,21,0)</f>
        <v>#N/A</v>
      </c>
      <c r="Y91" s="549" t="e">
        <f>VLOOKUP(C91,'LƯƠNG KT'!$D$16:$Y$184,23,0)</f>
        <v>#N/A</v>
      </c>
      <c r="Z91" s="549" t="e">
        <f>VLOOKUP(C91,'LƯƠNG KT'!$D$16:$Y$184,24,0)</f>
        <v>#N/A</v>
      </c>
      <c r="AA91" s="549">
        <v>20</v>
      </c>
      <c r="AB91" s="549"/>
      <c r="AC91" s="580" t="e">
        <f t="shared" si="14"/>
        <v>#N/A</v>
      </c>
      <c r="AD91" s="580" t="e">
        <f t="shared" si="11"/>
        <v>#N/A</v>
      </c>
      <c r="AE91" s="580" t="e">
        <f t="shared" si="15"/>
        <v>#N/A</v>
      </c>
      <c r="AF91" s="789"/>
      <c r="AG91" s="581"/>
      <c r="AH91" s="242" t="s">
        <v>2168</v>
      </c>
      <c r="AI91" s="289"/>
    </row>
    <row r="92" spans="1:35" s="242" customFormat="1" ht="21" customHeight="1">
      <c r="A92" s="545">
        <v>78</v>
      </c>
      <c r="B92" s="546" t="str">
        <f>VLOOKUP(C92,'DS CN MOI UP'!$B$10:$C$389,2,0)</f>
        <v>02497</v>
      </c>
      <c r="C92" s="584" t="s">
        <v>102</v>
      </c>
      <c r="D92" s="257" t="s">
        <v>15</v>
      </c>
      <c r="E92" s="776"/>
      <c r="F92" s="548">
        <f>+VLOOKUP(C92,THCKT!$C$13:$AE$460,17,0)</f>
        <v>24</v>
      </c>
      <c r="G92" s="549">
        <f t="shared" si="9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0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3"/>
        <v>#N/A</v>
      </c>
      <c r="R92" s="549" t="e">
        <f>VLOOKUP(C92,'LƯƠNG KT'!$D$16:$Y$184,16,0)</f>
        <v>#N/A</v>
      </c>
      <c r="S92" s="549" t="e">
        <f>VLOOKUP(C92,'LƯƠNG KT'!$D$16:$Y$184,17,0)</f>
        <v>#N/A</v>
      </c>
      <c r="T92" s="549" t="e">
        <f>VLOOKUP(C92,'LƯƠNG KT'!$D$16:$Y$184,18,0)</f>
        <v>#N/A</v>
      </c>
      <c r="U92" s="549" t="e">
        <f>VLOOKUP(C92,'LƯƠNG KT'!$D$16:$Y$184,18,0)</f>
        <v>#N/A</v>
      </c>
      <c r="V92" s="549" t="e">
        <f>VLOOKUP(C92,'LƯƠNG KT'!$D$16:$Y$184,19,0)</f>
        <v>#N/A</v>
      </c>
      <c r="W92" s="549" t="e">
        <f>VLOOKUP(C92,'LƯƠNG KT'!$D$16:$Y$184,20,0)</f>
        <v>#N/A</v>
      </c>
      <c r="X92" s="549" t="e">
        <f>VLOOKUP(C92,'LƯƠNG KT'!$D$16:$Y$184,21,0)</f>
        <v>#N/A</v>
      </c>
      <c r="Y92" s="549" t="e">
        <f>VLOOKUP(C92,'LƯƠNG KT'!$D$16:$Y$184,23,0)</f>
        <v>#N/A</v>
      </c>
      <c r="Z92" s="549" t="e">
        <f>VLOOKUP(C92,'LƯƠNG KT'!$D$16:$Y$184,24,0)</f>
        <v>#N/A</v>
      </c>
      <c r="AA92" s="549">
        <v>20</v>
      </c>
      <c r="AB92" s="549"/>
      <c r="AC92" s="580" t="e">
        <f t="shared" si="14"/>
        <v>#N/A</v>
      </c>
      <c r="AD92" s="580" t="e">
        <f t="shared" si="11"/>
        <v>#N/A</v>
      </c>
      <c r="AE92" s="580" t="e">
        <f t="shared" si="15"/>
        <v>#N/A</v>
      </c>
      <c r="AF92" s="789"/>
      <c r="AG92" s="581"/>
      <c r="AH92" s="537" t="s">
        <v>2168</v>
      </c>
      <c r="AI92" s="289"/>
    </row>
    <row r="93" spans="1:35" s="242" customFormat="1" ht="21" customHeight="1">
      <c r="A93" s="545">
        <v>79</v>
      </c>
      <c r="B93" s="546" t="str">
        <f>VLOOKUP(C93,'DS CN MOI UP'!$B$10:$C$389,2,0)</f>
        <v>02464</v>
      </c>
      <c r="C93" s="584" t="s">
        <v>88</v>
      </c>
      <c r="D93" s="257" t="s">
        <v>15</v>
      </c>
      <c r="E93" s="776"/>
      <c r="F93" s="548">
        <f>+VLOOKUP(C93,THCKT!$C$13:$AE$460,17,0)</f>
        <v>24</v>
      </c>
      <c r="G93" s="549">
        <f t="shared" si="9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0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3"/>
        <v>#N/A</v>
      </c>
      <c r="R93" s="549" t="e">
        <f>VLOOKUP(C93,'LƯƠNG KT'!$D$16:$Y$184,16,0)</f>
        <v>#N/A</v>
      </c>
      <c r="S93" s="549" t="e">
        <f>VLOOKUP(C93,'LƯƠNG KT'!$D$16:$Y$184,17,0)</f>
        <v>#N/A</v>
      </c>
      <c r="T93" s="549" t="e">
        <f>VLOOKUP(C93,'LƯƠNG KT'!$D$16:$Y$184,18,0)</f>
        <v>#N/A</v>
      </c>
      <c r="U93" s="549" t="e">
        <f>VLOOKUP(C93,'LƯƠNG KT'!$D$16:$Y$184,18,0)</f>
        <v>#N/A</v>
      </c>
      <c r="V93" s="549" t="e">
        <f>VLOOKUP(C93,'LƯƠNG KT'!$D$16:$Y$184,19,0)</f>
        <v>#N/A</v>
      </c>
      <c r="W93" s="549" t="e">
        <f>VLOOKUP(C93,'LƯƠNG KT'!$D$16:$Y$184,20,0)</f>
        <v>#N/A</v>
      </c>
      <c r="X93" s="549" t="e">
        <f>VLOOKUP(C93,'LƯƠNG KT'!$D$16:$Y$184,21,0)</f>
        <v>#N/A</v>
      </c>
      <c r="Y93" s="549" t="e">
        <f>VLOOKUP(C93,'LƯƠNG KT'!$D$16:$Y$184,23,0)</f>
        <v>#N/A</v>
      </c>
      <c r="Z93" s="549" t="e">
        <f>VLOOKUP(C93,'LƯƠNG KT'!$D$16:$Y$184,24,0)</f>
        <v>#N/A</v>
      </c>
      <c r="AA93" s="549">
        <v>20</v>
      </c>
      <c r="AB93" s="549"/>
      <c r="AC93" s="580" t="e">
        <f t="shared" si="14"/>
        <v>#N/A</v>
      </c>
      <c r="AD93" s="580" t="e">
        <f t="shared" si="11"/>
        <v>#N/A</v>
      </c>
      <c r="AE93" s="580" t="e">
        <f t="shared" si="15"/>
        <v>#N/A</v>
      </c>
      <c r="AF93" s="789"/>
      <c r="AG93" s="581"/>
      <c r="AH93" s="242" t="s">
        <v>2168</v>
      </c>
      <c r="AI93" s="289"/>
    </row>
    <row r="94" spans="1:35" s="242" customFormat="1" ht="21" customHeight="1">
      <c r="A94" s="545">
        <v>80</v>
      </c>
      <c r="B94" s="546" t="e">
        <f>VLOOKUP(C94,'DS CN MOI UP'!$B$10:$C$389,2,0)</f>
        <v>#N/A</v>
      </c>
      <c r="C94" s="584" t="s">
        <v>1292</v>
      </c>
      <c r="D94" s="257" t="s">
        <v>15</v>
      </c>
      <c r="E94" s="776"/>
      <c r="F94" s="548">
        <f>+VLOOKUP(C94,THCKT!$C$13:$AE$460,17,0)</f>
        <v>24</v>
      </c>
      <c r="G94" s="549">
        <f t="shared" si="9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0"/>
        <v>#N/A</v>
      </c>
      <c r="O94" s="565" t="e">
        <f t="shared" si="12"/>
        <v>#N/A</v>
      </c>
      <c r="P94" s="566" t="e">
        <f>VLOOKUP(C94,THCKT!$C$13:$AL$460,36,0)</f>
        <v>#N/A</v>
      </c>
      <c r="Q94" s="567" t="e">
        <f t="shared" si="13"/>
        <v>#N/A</v>
      </c>
      <c r="R94" s="549" t="e">
        <f>VLOOKUP(C94,'LƯƠNG KT'!$D$16:$Y$184,16,0)</f>
        <v>#N/A</v>
      </c>
      <c r="S94" s="549" t="e">
        <f>VLOOKUP(C94,'LƯƠNG KT'!$D$16:$Y$184,17,0)</f>
        <v>#N/A</v>
      </c>
      <c r="T94" s="549" t="e">
        <f>VLOOKUP(C94,'LƯƠNG KT'!$D$16:$Y$184,18,0)</f>
        <v>#N/A</v>
      </c>
      <c r="U94" s="549" t="e">
        <f>VLOOKUP(C94,'LƯƠNG KT'!$D$16:$Y$184,18,0)</f>
        <v>#N/A</v>
      </c>
      <c r="V94" s="549" t="e">
        <f>VLOOKUP(C94,'LƯƠNG KT'!$D$16:$Y$184,19,0)</f>
        <v>#N/A</v>
      </c>
      <c r="W94" s="549" t="e">
        <f>VLOOKUP(C94,'LƯƠNG KT'!$D$16:$Y$184,20,0)</f>
        <v>#N/A</v>
      </c>
      <c r="X94" s="549" t="e">
        <f>VLOOKUP(C94,'LƯƠNG KT'!$D$16:$Y$184,21,0)</f>
        <v>#N/A</v>
      </c>
      <c r="Y94" s="549" t="e">
        <f>VLOOKUP(C94,'LƯƠNG KT'!$D$16:$Y$184,23,0)</f>
        <v>#N/A</v>
      </c>
      <c r="Z94" s="549" t="e">
        <f>VLOOKUP(C94,'LƯƠNG KT'!$D$16:$Y$184,24,0)</f>
        <v>#N/A</v>
      </c>
      <c r="AA94" s="549">
        <v>20</v>
      </c>
      <c r="AB94" s="549"/>
      <c r="AC94" s="580" t="e">
        <f t="shared" si="14"/>
        <v>#N/A</v>
      </c>
      <c r="AD94" s="580" t="e">
        <f t="shared" si="11"/>
        <v>#N/A</v>
      </c>
      <c r="AE94" s="580" t="e">
        <f t="shared" si="15"/>
        <v>#N/A</v>
      </c>
      <c r="AF94" s="789"/>
      <c r="AG94" s="581"/>
      <c r="AH94" s="537" t="s">
        <v>2168</v>
      </c>
      <c r="AI94" s="289"/>
    </row>
    <row r="95" spans="1:35" s="242" customFormat="1" ht="21" customHeight="1">
      <c r="A95" s="545">
        <v>81</v>
      </c>
      <c r="B95" s="546" t="str">
        <f>VLOOKUP(C95,'DS CN MOI UP'!$B$10:$C$389,2,0)</f>
        <v>02460</v>
      </c>
      <c r="C95" s="584" t="s">
        <v>74</v>
      </c>
      <c r="D95" s="257" t="s">
        <v>15</v>
      </c>
      <c r="E95" s="776"/>
      <c r="F95" s="548">
        <f>+VLOOKUP(C95,THCKT!$C$13:$AE$460,17,0)</f>
        <v>24</v>
      </c>
      <c r="G95" s="549">
        <f t="shared" si="9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0"/>
        <v>#N/A</v>
      </c>
      <c r="O95" s="565" t="e">
        <f t="shared" si="12"/>
        <v>#N/A</v>
      </c>
      <c r="P95" s="566" t="e">
        <f>VLOOKUP(C95,THCKT!$C$13:$AL$460,36,0)</f>
        <v>#N/A</v>
      </c>
      <c r="Q95" s="567" t="e">
        <f t="shared" si="13"/>
        <v>#N/A</v>
      </c>
      <c r="R95" s="549" t="e">
        <f>VLOOKUP(C95,'LƯƠNG KT'!$D$16:$Y$184,16,0)</f>
        <v>#N/A</v>
      </c>
      <c r="S95" s="549" t="e">
        <f>VLOOKUP(C95,'LƯƠNG KT'!$D$16:$Y$184,17,0)</f>
        <v>#N/A</v>
      </c>
      <c r="T95" s="549" t="e">
        <f>VLOOKUP(C95,'LƯƠNG KT'!$D$16:$Y$184,18,0)</f>
        <v>#N/A</v>
      </c>
      <c r="U95" s="549" t="e">
        <f>VLOOKUP(C95,'LƯƠNG KT'!$D$16:$Y$184,18,0)</f>
        <v>#N/A</v>
      </c>
      <c r="V95" s="549" t="e">
        <f>VLOOKUP(C95,'LƯƠNG KT'!$D$16:$Y$184,19,0)</f>
        <v>#N/A</v>
      </c>
      <c r="W95" s="549" t="e">
        <f>VLOOKUP(C95,'LƯƠNG KT'!$D$16:$Y$184,20,0)</f>
        <v>#N/A</v>
      </c>
      <c r="X95" s="549" t="e">
        <f>VLOOKUP(C95,'LƯƠNG KT'!$D$16:$Y$184,21,0)</f>
        <v>#N/A</v>
      </c>
      <c r="Y95" s="549" t="e">
        <f>VLOOKUP(C95,'LƯƠNG KT'!$D$16:$Y$184,23,0)</f>
        <v>#N/A</v>
      </c>
      <c r="Z95" s="549" t="e">
        <f>VLOOKUP(C95,'LƯƠNG KT'!$D$16:$Y$184,24,0)</f>
        <v>#N/A</v>
      </c>
      <c r="AA95" s="549">
        <v>20</v>
      </c>
      <c r="AB95" s="549"/>
      <c r="AC95" s="580" t="e">
        <f t="shared" si="14"/>
        <v>#N/A</v>
      </c>
      <c r="AD95" s="580" t="e">
        <f t="shared" si="11"/>
        <v>#N/A</v>
      </c>
      <c r="AE95" s="580" t="e">
        <f t="shared" si="15"/>
        <v>#N/A</v>
      </c>
      <c r="AF95" s="789"/>
      <c r="AG95" s="581"/>
      <c r="AH95" s="242" t="s">
        <v>2168</v>
      </c>
      <c r="AI95" s="289"/>
    </row>
    <row r="96" spans="1:35" s="242" customFormat="1" ht="21" customHeight="1">
      <c r="A96" s="545">
        <v>82</v>
      </c>
      <c r="B96" s="546" t="str">
        <f>VLOOKUP(C96,'DS CN MOI UP'!$B$10:$C$389,2,0)</f>
        <v>02504</v>
      </c>
      <c r="C96" s="584" t="s">
        <v>77</v>
      </c>
      <c r="D96" s="257" t="s">
        <v>15</v>
      </c>
      <c r="E96" s="776"/>
      <c r="F96" s="548">
        <f>+VLOOKUP(C96,THCKT!$C$13:$AE$460,17,0)</f>
        <v>24</v>
      </c>
      <c r="G96" s="549">
        <f t="shared" si="9"/>
        <v>600000</v>
      </c>
      <c r="H96" s="549"/>
      <c r="I96" s="549"/>
      <c r="J96" s="549"/>
      <c r="K96" s="549" t="e">
        <f>VLOOKUP(C96,THCKT!$C$13:$AL$460,21,0)</f>
        <v>#REF!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0"/>
        <v>#REF!</v>
      </c>
      <c r="O96" s="565" t="e">
        <f t="shared" si="12"/>
        <v>#REF!</v>
      </c>
      <c r="P96" s="566">
        <f>VLOOKUP(C96,THCKT!$C$13:$AL$460,36,0)</f>
        <v>398.15809893605376</v>
      </c>
      <c r="Q96" s="567" t="e">
        <f t="shared" si="13"/>
        <v>#REF!</v>
      </c>
      <c r="R96" s="549">
        <f>VLOOKUP(C96,'LƯƠNG KT'!$D$16:$Y$184,16,0)</f>
        <v>0</v>
      </c>
      <c r="S96" s="549" t="e">
        <f>VLOOKUP(C96,'LƯƠNG KT'!$D$16:$Y$184,17,0)</f>
        <v>#N/A</v>
      </c>
      <c r="T96" s="549" t="e">
        <f>VLOOKUP(C96,'LƯƠNG KT'!$D$16:$Y$184,18,0)</f>
        <v>#N/A</v>
      </c>
      <c r="U96" s="549" t="e">
        <f>VLOOKUP(C96,'LƯƠNG KT'!$D$16:$Y$184,18,0)</f>
        <v>#N/A</v>
      </c>
      <c r="V96" s="549">
        <f>VLOOKUP(C96,'LƯƠNG KT'!$D$16:$Y$184,19,0)</f>
        <v>9</v>
      </c>
      <c r="W96" s="549">
        <f>VLOOKUP(C96,'LƯƠNG KT'!$D$16:$Y$184,20,0)</f>
        <v>0</v>
      </c>
      <c r="X96" s="549">
        <f>VLOOKUP(C96,'LƯƠNG KT'!$D$16:$Y$184,21,0)</f>
        <v>0</v>
      </c>
      <c r="Y96" s="549" t="e">
        <f>VLOOKUP(C96,'LƯƠNG KT'!$D$16:$Y$184,23,0)</f>
        <v>#REF!</v>
      </c>
      <c r="Z96" s="549" t="e">
        <f>VLOOKUP(C96,'LƯƠNG KT'!$D$16:$Y$184,24,0)</f>
        <v>#REF!</v>
      </c>
      <c r="AA96" s="549">
        <v>20</v>
      </c>
      <c r="AB96" s="549"/>
      <c r="AC96" s="580" t="e">
        <f t="shared" si="14"/>
        <v>#N/A</v>
      </c>
      <c r="AD96" s="580" t="e">
        <f t="shared" si="11"/>
        <v>#N/A</v>
      </c>
      <c r="AE96" s="580" t="e">
        <f t="shared" ref="AE96:AE100" si="16">AD96</f>
        <v>#N/A</v>
      </c>
      <c r="AF96" s="789"/>
      <c r="AG96" s="581"/>
      <c r="AH96" s="242" t="s">
        <v>2168</v>
      </c>
      <c r="AI96" s="289"/>
    </row>
    <row r="97" spans="1:38" s="242" customFormat="1" ht="21" customHeight="1">
      <c r="A97" s="545">
        <v>83</v>
      </c>
      <c r="B97" s="546" t="str">
        <f>VLOOKUP(C97,'DS CN MOI UP'!$B$10:$C$389,2,0)</f>
        <v>02481</v>
      </c>
      <c r="C97" s="584" t="s">
        <v>86</v>
      </c>
      <c r="D97" s="257" t="s">
        <v>15</v>
      </c>
      <c r="E97" s="776"/>
      <c r="F97" s="548">
        <f>+VLOOKUP(C97,THCKT!$C$13:$AE$460,17,0)</f>
        <v>24</v>
      </c>
      <c r="G97" s="549">
        <f t="shared" si="9"/>
        <v>600000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0"/>
        <v>#N/A</v>
      </c>
      <c r="O97" s="565" t="e">
        <f t="shared" si="12"/>
        <v>#N/A</v>
      </c>
      <c r="P97" s="566" t="e">
        <f>VLOOKUP(C97,THCKT!$C$13:$AL$460,36,0)</f>
        <v>#N/A</v>
      </c>
      <c r="Q97" s="567" t="e">
        <f t="shared" si="13"/>
        <v>#N/A</v>
      </c>
      <c r="R97" s="549" t="e">
        <f>VLOOKUP(C97,'LƯƠNG KT'!$D$16:$Y$184,16,0)</f>
        <v>#N/A</v>
      </c>
      <c r="S97" s="549" t="e">
        <f>VLOOKUP(C97,'LƯƠNG KT'!$D$16:$Y$184,17,0)</f>
        <v>#N/A</v>
      </c>
      <c r="T97" s="549" t="e">
        <f>VLOOKUP(C97,'LƯƠNG KT'!$D$16:$Y$184,18,0)</f>
        <v>#N/A</v>
      </c>
      <c r="U97" s="549" t="e">
        <f>VLOOKUP(C97,'LƯƠNG KT'!$D$16:$Y$184,18,0)</f>
        <v>#N/A</v>
      </c>
      <c r="V97" s="549" t="e">
        <f>VLOOKUP(C97,'LƯƠNG KT'!$D$16:$Y$184,19,0)</f>
        <v>#N/A</v>
      </c>
      <c r="W97" s="549" t="e">
        <f>VLOOKUP(C97,'LƯƠNG KT'!$D$16:$Y$184,20,0)</f>
        <v>#N/A</v>
      </c>
      <c r="X97" s="549" t="e">
        <f>VLOOKUP(C97,'LƯƠNG KT'!$D$16:$Y$184,21,0)</f>
        <v>#N/A</v>
      </c>
      <c r="Y97" s="549" t="e">
        <f>VLOOKUP(C97,'LƯƠNG KT'!$D$16:$Y$184,23,0)</f>
        <v>#N/A</v>
      </c>
      <c r="Z97" s="549" t="e">
        <f>VLOOKUP(C97,'LƯƠNG KT'!$D$16:$Y$184,24,0)</f>
        <v>#N/A</v>
      </c>
      <c r="AA97" s="549">
        <v>20</v>
      </c>
      <c r="AB97" s="549"/>
      <c r="AC97" s="580" t="e">
        <f>ROUND((((R97*46.1)+(S97*76.9)+(X97*30.7)+(U97*46.1*2)+(V97*46.1*2)+(W97*76.9*2))*$F$8),0)+T97*10000+Y97*20000+Z97*20000+AA97*25000</f>
        <v>#N/A</v>
      </c>
      <c r="AD97" s="580" t="e">
        <f t="shared" si="11"/>
        <v>#N/A</v>
      </c>
      <c r="AE97" s="580" t="e">
        <f t="shared" si="16"/>
        <v>#N/A</v>
      </c>
      <c r="AF97" s="789"/>
      <c r="AG97" s="581"/>
      <c r="AH97" s="242" t="s">
        <v>2168</v>
      </c>
      <c r="AI97" s="289"/>
    </row>
    <row r="98" spans="1:38" s="242" customFormat="1" ht="21" customHeight="1">
      <c r="A98" s="545">
        <v>84</v>
      </c>
      <c r="B98" s="546" t="str">
        <f>VLOOKUP(C98,'DS CN MOI UP'!$B$10:$C$389,2,0)</f>
        <v>02492</v>
      </c>
      <c r="C98" s="584" t="s">
        <v>30</v>
      </c>
      <c r="D98" s="257" t="s">
        <v>15</v>
      </c>
      <c r="E98" s="776"/>
      <c r="F98" s="548">
        <f>+VLOOKUP(C98,THCKT!$C$13:$AE$460,17,0)</f>
        <v>24</v>
      </c>
      <c r="G98" s="549">
        <f t="shared" si="9"/>
        <v>600000</v>
      </c>
      <c r="H98" s="549"/>
      <c r="I98" s="549"/>
      <c r="J98" s="549"/>
      <c r="K98" s="549" t="e">
        <f>VLOOKUP(C98,THCKT!$C$13:$AL$460,21,0)</f>
        <v>#N/A</v>
      </c>
      <c r="L98" s="565">
        <f>VLOOKUP(C98,THCKT!$C$13:$AL$460,22,0)</f>
        <v>0</v>
      </c>
      <c r="M98" s="565">
        <f>VLOOKUP(C98,THCKT!$C$13:$AL$460,23,0)</f>
        <v>0</v>
      </c>
      <c r="N98" s="565" t="e">
        <f t="shared" si="10"/>
        <v>#N/A</v>
      </c>
      <c r="O98" s="565" t="e">
        <f t="shared" si="12"/>
        <v>#N/A</v>
      </c>
      <c r="P98" s="566" t="e">
        <f>VLOOKUP(C98,THCKT!$C$13:$AL$460,36,0)</f>
        <v>#N/A</v>
      </c>
      <c r="Q98" s="567" t="e">
        <f t="shared" si="13"/>
        <v>#N/A</v>
      </c>
      <c r="R98" s="549" t="e">
        <f>VLOOKUP(C98,'LƯƠNG KT'!$D$16:$Y$184,16,0)</f>
        <v>#N/A</v>
      </c>
      <c r="S98" s="549" t="e">
        <f>VLOOKUP(C98,'LƯƠNG KT'!$D$16:$Y$184,17,0)</f>
        <v>#N/A</v>
      </c>
      <c r="T98" s="549" t="e">
        <f>VLOOKUP(C98,'LƯƠNG KT'!$D$16:$Y$184,18,0)</f>
        <v>#N/A</v>
      </c>
      <c r="U98" s="549" t="e">
        <f>VLOOKUP(C98,'LƯƠNG KT'!$D$16:$Y$184,18,0)</f>
        <v>#N/A</v>
      </c>
      <c r="V98" s="549" t="e">
        <f>VLOOKUP(C98,'LƯƠNG KT'!$D$16:$Y$184,19,0)</f>
        <v>#N/A</v>
      </c>
      <c r="W98" s="549" t="e">
        <f>VLOOKUP(C98,'LƯƠNG KT'!$D$16:$Y$184,20,0)</f>
        <v>#N/A</v>
      </c>
      <c r="X98" s="549" t="e">
        <f>VLOOKUP(C98,'LƯƠNG KT'!$D$16:$Y$184,21,0)</f>
        <v>#N/A</v>
      </c>
      <c r="Y98" s="549" t="e">
        <f>VLOOKUP(C98,'LƯƠNG KT'!$D$16:$Y$184,23,0)</f>
        <v>#N/A</v>
      </c>
      <c r="Z98" s="549" t="e">
        <f>VLOOKUP(C98,'LƯƠNG KT'!$D$16:$Y$184,24,0)</f>
        <v>#N/A</v>
      </c>
      <c r="AA98" s="549">
        <v>20</v>
      </c>
      <c r="AB98" s="549"/>
      <c r="AC98" s="580" t="e">
        <f t="shared" si="14"/>
        <v>#N/A</v>
      </c>
      <c r="AD98" s="580" t="e">
        <f t="shared" si="11"/>
        <v>#N/A</v>
      </c>
      <c r="AE98" s="580" t="e">
        <f t="shared" si="16"/>
        <v>#N/A</v>
      </c>
      <c r="AF98" s="789"/>
      <c r="AG98" s="581"/>
      <c r="AH98" s="242" t="s">
        <v>2168</v>
      </c>
      <c r="AI98" s="289"/>
    </row>
    <row r="99" spans="1:38" s="242" customFormat="1" ht="21" customHeight="1">
      <c r="A99" s="545">
        <v>85</v>
      </c>
      <c r="B99" s="546" t="str">
        <f>VLOOKUP(C99,'DS CN MOI UP'!$B$10:$C$389,2,0)</f>
        <v>02470</v>
      </c>
      <c r="C99" s="584" t="s">
        <v>44</v>
      </c>
      <c r="D99" s="257" t="s">
        <v>15</v>
      </c>
      <c r="E99" s="776"/>
      <c r="F99" s="548">
        <f>+VLOOKUP(C99,THCKT!$C$13:$AE$460,17,0)</f>
        <v>24</v>
      </c>
      <c r="G99" s="549">
        <f t="shared" si="9"/>
        <v>600000</v>
      </c>
      <c r="H99" s="549"/>
      <c r="I99" s="549"/>
      <c r="J99" s="549"/>
      <c r="K99" s="549" t="e">
        <f>VLOOKUP(C99,THCKT!$C$13:$AL$460,21,0)</f>
        <v>#N/A</v>
      </c>
      <c r="L99" s="565">
        <f>VLOOKUP(C99,THCKT!$C$13:$AL$460,22,0)</f>
        <v>0</v>
      </c>
      <c r="M99" s="565">
        <f>VLOOKUP(C99,THCKT!$C$13:$AL$460,23,0)</f>
        <v>0</v>
      </c>
      <c r="N99" s="565" t="e">
        <f t="shared" si="10"/>
        <v>#N/A</v>
      </c>
      <c r="O99" s="565" t="e">
        <f t="shared" si="12"/>
        <v>#N/A</v>
      </c>
      <c r="P99" s="566" t="e">
        <f>VLOOKUP(C99,THCKT!$C$13:$AL$460,36,0)</f>
        <v>#N/A</v>
      </c>
      <c r="Q99" s="567" t="e">
        <f t="shared" si="13"/>
        <v>#N/A</v>
      </c>
      <c r="R99" s="549" t="e">
        <f>VLOOKUP(C99,'LƯƠNG KT'!$D$16:$Y$184,16,0)</f>
        <v>#N/A</v>
      </c>
      <c r="S99" s="549" t="e">
        <f>VLOOKUP(C99,'LƯƠNG KT'!$D$16:$Y$184,17,0)</f>
        <v>#N/A</v>
      </c>
      <c r="T99" s="549" t="e">
        <f>VLOOKUP(C99,'LƯƠNG KT'!$D$16:$Y$184,18,0)</f>
        <v>#N/A</v>
      </c>
      <c r="U99" s="549" t="e">
        <f>VLOOKUP(C99,'LƯƠNG KT'!$D$16:$Y$184,18,0)</f>
        <v>#N/A</v>
      </c>
      <c r="V99" s="549" t="e">
        <f>VLOOKUP(C99,'LƯƠNG KT'!$D$16:$Y$184,19,0)</f>
        <v>#N/A</v>
      </c>
      <c r="W99" s="549" t="e">
        <f>VLOOKUP(C99,'LƯƠNG KT'!$D$16:$Y$184,20,0)</f>
        <v>#N/A</v>
      </c>
      <c r="X99" s="549" t="e">
        <f>VLOOKUP(C99,'LƯƠNG KT'!$D$16:$Y$184,21,0)</f>
        <v>#N/A</v>
      </c>
      <c r="Y99" s="549" t="e">
        <f>VLOOKUP(C99,'LƯƠNG KT'!$D$16:$Y$184,23,0)</f>
        <v>#N/A</v>
      </c>
      <c r="Z99" s="549" t="e">
        <f>VLOOKUP(C99,'LƯƠNG KT'!$D$16:$Y$184,24,0)</f>
        <v>#N/A</v>
      </c>
      <c r="AA99" s="549">
        <v>20</v>
      </c>
      <c r="AB99" s="549"/>
      <c r="AC99" s="580" t="e">
        <f t="shared" si="14"/>
        <v>#N/A</v>
      </c>
      <c r="AD99" s="580" t="e">
        <f t="shared" si="11"/>
        <v>#N/A</v>
      </c>
      <c r="AE99" s="580" t="e">
        <f t="shared" si="16"/>
        <v>#N/A</v>
      </c>
      <c r="AF99" s="789"/>
      <c r="AG99" s="581"/>
      <c r="AH99" s="242" t="s">
        <v>2168</v>
      </c>
      <c r="AI99" s="289"/>
    </row>
    <row r="100" spans="1:38" s="242" customFormat="1" ht="21" customHeight="1">
      <c r="A100" s="545">
        <v>86</v>
      </c>
      <c r="B100" s="546" t="str">
        <f>VLOOKUP(C100,'DS CN MOI UP'!$B$10:$C$389,2,0)</f>
        <v>03330</v>
      </c>
      <c r="C100" s="584" t="s">
        <v>46</v>
      </c>
      <c r="D100" s="257" t="s">
        <v>15</v>
      </c>
      <c r="E100" s="776"/>
      <c r="F100" s="548">
        <f>+VLOOKUP(C100,THCKT!$C$13:$AE$460,17,0)</f>
        <v>24</v>
      </c>
      <c r="G100" s="549">
        <f t="shared" si="9"/>
        <v>600000</v>
      </c>
      <c r="H100" s="549"/>
      <c r="I100" s="549"/>
      <c r="J100" s="549"/>
      <c r="K100" s="549" t="e">
        <f>VLOOKUP(C100,THCKT!$C$13:$AL$460,21,0)</f>
        <v>#N/A</v>
      </c>
      <c r="L100" s="565">
        <f>VLOOKUP(C100,THCKT!$C$13:$AL$460,22,0)</f>
        <v>0</v>
      </c>
      <c r="M100" s="565">
        <f>VLOOKUP(C100,THCKT!$C$13:$AL$460,23,0)</f>
        <v>0</v>
      </c>
      <c r="N100" s="565" t="e">
        <f t="shared" si="10"/>
        <v>#N/A</v>
      </c>
      <c r="O100" s="565" t="e">
        <f t="shared" si="12"/>
        <v>#N/A</v>
      </c>
      <c r="P100" s="566" t="e">
        <f>VLOOKUP(C100,THCKT!$C$13:$AL$460,36,0)</f>
        <v>#N/A</v>
      </c>
      <c r="Q100" s="567" t="e">
        <f t="shared" si="13"/>
        <v>#N/A</v>
      </c>
      <c r="R100" s="549" t="e">
        <f>VLOOKUP(C100,'LƯƠNG KT'!$D$16:$Y$184,16,0)</f>
        <v>#N/A</v>
      </c>
      <c r="S100" s="549" t="e">
        <f>VLOOKUP(C100,'LƯƠNG KT'!$D$16:$Y$184,17,0)</f>
        <v>#N/A</v>
      </c>
      <c r="T100" s="549" t="e">
        <f>VLOOKUP(C100,'LƯƠNG KT'!$D$16:$Y$184,18,0)</f>
        <v>#N/A</v>
      </c>
      <c r="U100" s="549" t="e">
        <f>VLOOKUP(C100,'LƯƠNG KT'!$D$16:$Y$184,18,0)</f>
        <v>#N/A</v>
      </c>
      <c r="V100" s="549" t="e">
        <f>VLOOKUP(C100,'LƯƠNG KT'!$D$16:$Y$184,19,0)</f>
        <v>#N/A</v>
      </c>
      <c r="W100" s="549" t="e">
        <f>VLOOKUP(C100,'LƯƠNG KT'!$D$16:$Y$184,20,0)</f>
        <v>#N/A</v>
      </c>
      <c r="X100" s="549" t="e">
        <f>VLOOKUP(C100,'LƯƠNG KT'!$D$16:$Y$184,21,0)</f>
        <v>#N/A</v>
      </c>
      <c r="Y100" s="549" t="e">
        <f>VLOOKUP(C100,'LƯƠNG KT'!$D$16:$Y$184,23,0)</f>
        <v>#N/A</v>
      </c>
      <c r="Z100" s="549" t="e">
        <f>VLOOKUP(C100,'LƯƠNG KT'!$D$16:$Y$184,24,0)</f>
        <v>#N/A</v>
      </c>
      <c r="AA100" s="549">
        <v>20</v>
      </c>
      <c r="AB100" s="549"/>
      <c r="AC100" s="580" t="e">
        <f>ROUND((((R100*46.1)+(S100*76.9)+(X100*30.7)+(U100*46.1*2)+(V100*46.1*2)+(W100*76.9*2))*$F$8),0)+T100*10000+Y100*20000+Z100*20000+AA100*25000</f>
        <v>#N/A</v>
      </c>
      <c r="AD100" s="580" t="e">
        <f t="shared" si="11"/>
        <v>#N/A</v>
      </c>
      <c r="AE100" s="580" t="e">
        <f t="shared" si="16"/>
        <v>#N/A</v>
      </c>
      <c r="AF100" s="789"/>
      <c r="AG100" s="581"/>
      <c r="AH100" s="242" t="s">
        <v>2168</v>
      </c>
      <c r="AI100" s="289"/>
    </row>
    <row r="101" spans="1:38" s="242" customFormat="1" ht="21" customHeight="1">
      <c r="A101" s="550" t="s">
        <v>2171</v>
      </c>
      <c r="B101" s="550"/>
      <c r="C101" s="130"/>
      <c r="D101" s="130"/>
      <c r="E101" s="586"/>
      <c r="F101" s="585">
        <f t="shared" ref="F101:AE101" si="17">SUM(F15:F100)</f>
        <v>2064</v>
      </c>
      <c r="G101" s="586">
        <f t="shared" si="17"/>
        <v>51600000</v>
      </c>
      <c r="H101" s="586">
        <f t="shared" si="17"/>
        <v>0</v>
      </c>
      <c r="I101" s="586">
        <f t="shared" si="17"/>
        <v>0</v>
      </c>
      <c r="J101" s="586">
        <f t="shared" si="17"/>
        <v>0</v>
      </c>
      <c r="K101" s="586" t="e">
        <f t="shared" si="17"/>
        <v>#N/A</v>
      </c>
      <c r="L101" s="586">
        <f t="shared" si="17"/>
        <v>0</v>
      </c>
      <c r="M101" s="586">
        <f t="shared" si="17"/>
        <v>0</v>
      </c>
      <c r="N101" s="586" t="e">
        <f t="shared" si="17"/>
        <v>#N/A</v>
      </c>
      <c r="O101" s="586" t="e">
        <f t="shared" ref="O101" si="18">SUM(O15:O100)</f>
        <v>#N/A</v>
      </c>
      <c r="P101" s="586" t="e">
        <f t="shared" si="17"/>
        <v>#N/A</v>
      </c>
      <c r="Q101" s="586" t="e">
        <f t="shared" si="17"/>
        <v>#N/A</v>
      </c>
      <c r="R101" s="586" t="e">
        <f t="shared" si="17"/>
        <v>#N/A</v>
      </c>
      <c r="S101" s="586" t="e">
        <f t="shared" si="17"/>
        <v>#N/A</v>
      </c>
      <c r="T101" s="586" t="e">
        <f t="shared" si="17"/>
        <v>#N/A</v>
      </c>
      <c r="U101" s="586" t="e">
        <f t="shared" si="17"/>
        <v>#N/A</v>
      </c>
      <c r="V101" s="586" t="e">
        <f t="shared" si="17"/>
        <v>#N/A</v>
      </c>
      <c r="W101" s="586" t="e">
        <f t="shared" si="17"/>
        <v>#N/A</v>
      </c>
      <c r="X101" s="586" t="e">
        <f t="shared" si="17"/>
        <v>#N/A</v>
      </c>
      <c r="Y101" s="586" t="e">
        <f t="shared" si="17"/>
        <v>#N/A</v>
      </c>
      <c r="Z101" s="586" t="e">
        <f t="shared" si="17"/>
        <v>#N/A</v>
      </c>
      <c r="AA101" s="586">
        <f t="shared" si="17"/>
        <v>1720</v>
      </c>
      <c r="AB101" s="586">
        <f t="shared" si="17"/>
        <v>0</v>
      </c>
      <c r="AC101" s="586" t="e">
        <f t="shared" si="17"/>
        <v>#N/A</v>
      </c>
      <c r="AD101" s="586" t="e">
        <f t="shared" si="17"/>
        <v>#N/A</v>
      </c>
      <c r="AE101" s="586" t="e">
        <f t="shared" si="17"/>
        <v>#N/A</v>
      </c>
      <c r="AF101" s="794" t="e">
        <f>+'LƯƠNG KT'!#REF!</f>
        <v>#REF!</v>
      </c>
      <c r="AG101" s="587" t="e">
        <f>+AF101-AE101</f>
        <v>#REF!</v>
      </c>
      <c r="AH101" s="242" t="s">
        <v>2172</v>
      </c>
      <c r="AI101" s="289"/>
    </row>
    <row r="102" spans="1:38" s="243" customFormat="1" ht="21" customHeight="1">
      <c r="A102" s="2638" t="s">
        <v>2974</v>
      </c>
      <c r="B102" s="2638"/>
      <c r="C102" s="2638"/>
      <c r="D102" s="2638"/>
      <c r="E102" s="2638"/>
      <c r="F102" s="2638"/>
      <c r="G102" s="2638"/>
      <c r="H102" s="2638"/>
      <c r="I102" s="2638"/>
      <c r="J102" s="2638"/>
      <c r="K102" s="2638"/>
      <c r="L102" s="2638"/>
      <c r="M102" s="2638"/>
      <c r="N102" s="2638"/>
      <c r="O102" s="2638"/>
      <c r="P102" s="2638"/>
      <c r="Q102" s="2638"/>
      <c r="R102" s="2638"/>
      <c r="S102" s="2638"/>
      <c r="T102" s="2638"/>
      <c r="U102" s="2638"/>
      <c r="V102" s="2638"/>
      <c r="W102" s="2638"/>
      <c r="X102" s="2638"/>
      <c r="Y102" s="2638"/>
      <c r="Z102" s="2638"/>
      <c r="AA102" s="2638"/>
      <c r="AB102" s="2638"/>
      <c r="AC102" s="2638"/>
      <c r="AD102" s="2638"/>
      <c r="AE102" s="2638"/>
      <c r="AF102" s="282"/>
      <c r="AG102" s="283"/>
      <c r="AH102" s="290" t="e">
        <f>+#REF!+#REF!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2"/>
      <c r="M103" s="602"/>
      <c r="N103" s="602"/>
      <c r="O103" s="602"/>
      <c r="P103" s="603"/>
      <c r="Q103" s="284"/>
      <c r="R103" s="262"/>
      <c r="S103" s="610"/>
      <c r="T103" s="610"/>
      <c r="U103" s="610"/>
      <c r="V103" s="610"/>
      <c r="W103" s="610"/>
      <c r="X103" s="610"/>
      <c r="Y103" s="610"/>
      <c r="Z103" s="610"/>
      <c r="AA103" s="610"/>
      <c r="AB103" s="610"/>
      <c r="AC103" s="2639" t="s">
        <v>2166</v>
      </c>
      <c r="AD103" s="2639"/>
      <c r="AE103" s="2639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453" t="s">
        <v>1921</v>
      </c>
      <c r="D104" s="2453"/>
      <c r="E104" s="2453"/>
      <c r="F104" s="2453"/>
      <c r="G104" s="2453" t="s">
        <v>616</v>
      </c>
      <c r="H104" s="2453"/>
      <c r="I104" s="2453"/>
      <c r="J104" s="2453"/>
      <c r="K104" s="2453"/>
      <c r="L104" s="2453"/>
      <c r="M104" s="2453"/>
      <c r="N104" s="2453"/>
      <c r="O104" s="2453"/>
      <c r="P104" s="2453"/>
      <c r="Q104" s="2453" t="s">
        <v>2085</v>
      </c>
      <c r="R104" s="2453"/>
      <c r="S104" s="2453"/>
      <c r="T104" s="2453"/>
      <c r="U104" s="2453"/>
      <c r="V104" s="2453"/>
      <c r="W104" s="2453"/>
      <c r="X104" s="2453"/>
      <c r="Y104" s="2453"/>
      <c r="Z104" s="2453"/>
      <c r="AA104" s="2453"/>
      <c r="AB104" s="2453"/>
      <c r="AC104" s="2453"/>
      <c r="AD104" s="2453" t="s">
        <v>612</v>
      </c>
      <c r="AE104" s="2453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634"/>
      <c r="L107" s="2634"/>
      <c r="M107" s="2634"/>
      <c r="N107" s="2634"/>
      <c r="O107" s="1208"/>
      <c r="P107" s="2635"/>
      <c r="Q107" s="2635"/>
      <c r="S107" s="611"/>
      <c r="T107" s="611"/>
      <c r="U107" s="611"/>
      <c r="V107" s="611"/>
      <c r="W107" s="611"/>
      <c r="X107" s="611"/>
      <c r="Y107" s="611"/>
      <c r="Z107" s="611"/>
      <c r="AA107" s="611"/>
      <c r="AB107" s="611"/>
      <c r="AC107" s="615"/>
      <c r="AD107" s="2636"/>
      <c r="AE107" s="2636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636"/>
      <c r="L108" s="2636"/>
      <c r="M108" s="287"/>
      <c r="N108" s="605"/>
      <c r="O108" s="605"/>
      <c r="P108" s="2637"/>
      <c r="Q108" s="2637"/>
      <c r="R108" s="2637"/>
      <c r="S108" s="786"/>
      <c r="T108" s="786"/>
      <c r="U108" s="786"/>
      <c r="V108" s="786"/>
      <c r="W108" s="786"/>
      <c r="X108" s="786"/>
      <c r="Y108" s="786"/>
      <c r="Z108" s="786"/>
      <c r="AA108" s="786"/>
      <c r="AB108" s="786"/>
      <c r="AC108" s="2636"/>
      <c r="AD108" s="2636"/>
      <c r="AG108" s="272"/>
      <c r="AI108" s="249"/>
    </row>
    <row r="109" spans="1:38" s="53" customFormat="1">
      <c r="C109" s="2453" t="s">
        <v>1924</v>
      </c>
      <c r="D109" s="2453"/>
      <c r="E109" s="2453"/>
      <c r="F109" s="2453"/>
      <c r="G109" s="2612" t="s">
        <v>2173</v>
      </c>
      <c r="H109" s="2612"/>
      <c r="I109" s="2612"/>
      <c r="J109" s="2612"/>
      <c r="K109" s="2612"/>
      <c r="L109" s="2612"/>
      <c r="M109" s="2612"/>
      <c r="N109" s="2612"/>
      <c r="O109" s="2612"/>
      <c r="P109" s="2612"/>
      <c r="Q109" s="96"/>
      <c r="R109" s="96"/>
      <c r="S109" s="612"/>
      <c r="T109" s="612"/>
      <c r="U109" s="612"/>
      <c r="V109" s="612"/>
      <c r="W109" s="612"/>
      <c r="X109" s="612"/>
      <c r="Y109" s="612"/>
      <c r="Z109" s="612"/>
      <c r="AA109" s="612"/>
      <c r="AB109" s="612"/>
      <c r="AC109" s="615"/>
      <c r="AD109" s="2606" t="s">
        <v>613</v>
      </c>
      <c r="AE109" s="2606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94"/>
      <c r="G110" s="2594"/>
      <c r="H110" s="2594"/>
      <c r="I110" s="2594"/>
      <c r="J110" s="2594"/>
      <c r="K110" s="2594"/>
      <c r="L110" s="2633"/>
      <c r="M110" s="2633"/>
      <c r="N110" s="2633"/>
      <c r="O110" s="1213"/>
      <c r="P110" s="2609"/>
      <c r="Q110" s="2609"/>
      <c r="R110" s="96"/>
      <c r="AC110" s="615"/>
      <c r="AD110" s="95"/>
      <c r="AE110" s="67"/>
      <c r="AG110" s="272"/>
      <c r="AI110" s="249"/>
    </row>
    <row r="111" spans="1:38" s="53" customFormat="1">
      <c r="C111" s="270"/>
      <c r="E111" s="95"/>
      <c r="F111" s="2591"/>
      <c r="G111" s="2591"/>
      <c r="H111" s="2591"/>
      <c r="I111" s="2591"/>
      <c r="J111" s="2591"/>
      <c r="K111" s="2591"/>
      <c r="L111" s="785"/>
      <c r="M111" s="785"/>
      <c r="N111" s="2592"/>
      <c r="O111" s="2592"/>
      <c r="P111" s="2592"/>
      <c r="Q111" s="2593"/>
      <c r="R111" s="2593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5"/>
      <c r="AD111" s="95"/>
      <c r="AE111" s="605"/>
      <c r="AG111" s="272"/>
      <c r="AI111" s="249"/>
    </row>
    <row r="112" spans="1:38" s="53" customFormat="1">
      <c r="E112" s="95"/>
      <c r="F112" s="271"/>
      <c r="G112" s="2595"/>
      <c r="H112" s="2595"/>
      <c r="I112" s="2595"/>
      <c r="J112" s="2595"/>
      <c r="K112" s="2595"/>
      <c r="L112" s="785"/>
      <c r="M112" s="785"/>
      <c r="N112" s="785"/>
      <c r="O112" s="785"/>
      <c r="P112" s="96"/>
      <c r="Q112" s="2593"/>
      <c r="R112" s="2593"/>
      <c r="AC112" s="615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95"/>
      <c r="H113" s="2595"/>
      <c r="I113" s="2595"/>
      <c r="J113" s="2595"/>
      <c r="K113" s="2595"/>
      <c r="L113" s="785"/>
      <c r="M113" s="785"/>
      <c r="N113" s="785"/>
      <c r="O113" s="785"/>
      <c r="P113" s="96"/>
      <c r="Q113" s="2593"/>
      <c r="R113" s="2593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5"/>
      <c r="AD113" s="95"/>
      <c r="AG113" s="272"/>
      <c r="AI113" s="249"/>
    </row>
    <row r="114" spans="3:35" s="53" customFormat="1">
      <c r="E114" s="95"/>
      <c r="F114" s="271"/>
      <c r="G114" s="2595"/>
      <c r="H114" s="2595"/>
      <c r="I114" s="2595"/>
      <c r="J114" s="2595"/>
      <c r="K114" s="2595"/>
      <c r="L114" s="785"/>
      <c r="M114" s="785"/>
      <c r="N114" s="785"/>
      <c r="O114" s="785"/>
      <c r="P114" s="96"/>
      <c r="Q114" s="2593"/>
      <c r="R114" s="2593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5"/>
      <c r="AD114" s="95"/>
      <c r="AG114" s="272"/>
      <c r="AI114" s="249"/>
    </row>
    <row r="115" spans="3:35" s="53" customFormat="1">
      <c r="E115" s="95"/>
      <c r="F115" s="271"/>
      <c r="G115" s="2595"/>
      <c r="H115" s="2595"/>
      <c r="I115" s="2595"/>
      <c r="J115" s="2595"/>
      <c r="K115" s="2595"/>
      <c r="L115" s="785"/>
      <c r="M115" s="785"/>
      <c r="N115" s="785"/>
      <c r="O115" s="785"/>
      <c r="P115" s="96"/>
      <c r="Q115" s="2593"/>
      <c r="R115" s="2593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5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7"/>
      <c r="L116" s="608"/>
      <c r="M116" s="608"/>
      <c r="N116" s="608"/>
      <c r="O116" s="608"/>
      <c r="P116" s="96"/>
      <c r="Q116" s="96"/>
      <c r="R116" s="96"/>
      <c r="AC116" s="615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S119" s="613"/>
      <c r="T119" s="613"/>
      <c r="U119" s="613"/>
      <c r="V119" s="613"/>
      <c r="W119" s="613"/>
      <c r="X119" s="613"/>
      <c r="Y119" s="613"/>
      <c r="Z119" s="613"/>
      <c r="AA119" s="613"/>
      <c r="AB119" s="613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4"/>
      <c r="L150" s="605"/>
      <c r="M150" s="605"/>
      <c r="N150" s="605"/>
      <c r="O150" s="605"/>
      <c r="P150" s="96"/>
      <c r="Q150" s="96"/>
      <c r="R150" s="96"/>
      <c r="AC150" s="615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4"/>
      <c r="L151" s="605"/>
      <c r="M151" s="605"/>
      <c r="N151" s="605"/>
      <c r="O151" s="605"/>
      <c r="P151" s="96"/>
      <c r="Q151" s="96"/>
      <c r="R151" s="96"/>
      <c r="AC151" s="615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7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7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7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 t="e">
        <f>AI8/AI7</f>
        <v>#DIV/0!</v>
      </c>
    </row>
    <row r="7" spans="1:37" s="71" customFormat="1" ht="27" customHeight="1">
      <c r="A7" s="2408" t="s">
        <v>2174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44" t="s">
        <v>2138</v>
      </c>
      <c r="AE10" s="2644" t="s">
        <v>2139</v>
      </c>
      <c r="AF10" s="2651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46"/>
      <c r="B11" s="2646"/>
      <c r="C11" s="2649"/>
      <c r="D11" s="2646"/>
      <c r="E11" s="2644"/>
      <c r="F11" s="2646" t="s">
        <v>2141</v>
      </c>
      <c r="G11" s="2646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44"/>
      <c r="AE11" s="2644"/>
      <c r="AF11" s="2651"/>
      <c r="AG11" s="275"/>
      <c r="AI11" s="249"/>
    </row>
    <row r="12" spans="1:37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44"/>
      <c r="AE12" s="2644"/>
      <c r="AF12" s="2651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104</v>
      </c>
      <c r="D14" s="257" t="s">
        <v>15</v>
      </c>
      <c r="E14" s="776"/>
      <c r="F14" s="548">
        <f>+VLOOKUP(C14,THCKT!$C$13:$AE$460,17,0)</f>
        <v>24</v>
      </c>
      <c r="G14" s="549">
        <f t="shared" ref="G14:G24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/>
      <c r="O14" s="565"/>
      <c r="P14" s="566" t="e">
        <f>VLOOKUP(C14,THCKT!$C$13:$AL$460,36,0)</f>
        <v>#N/A</v>
      </c>
      <c r="Q14" s="567" t="e">
        <f t="shared" ref="Q14:Q22" si="1">IF(P14="A",(K14*$AI$6*6.7),IF(P14="B",(K14*$AI$6*6.4),IF(P14="C",(K14*$AI$6*6.1),IF(P14="D",(K14*$AI$6*5.8),0))))*$F$8+(L14*$F$8*6.1*$AI$9)+M14*6.1*$F$8*$AI$10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((R14*46.1)+(S14*76.9)+(X14*30.7)+(U14*46.1*2)+(V14*46.1*2)+(W14*76.9*2))*$F$8+T14*10000+Y14*20000+Z14*20000+AA14*25000</f>
        <v>#N/A</v>
      </c>
      <c r="AD14" s="580" t="e">
        <f t="shared" ref="AD14:AD24" si="2">AC14+Q14+G14</f>
        <v>#N/A</v>
      </c>
      <c r="AE14" s="580" t="e">
        <f t="shared" ref="AE14:AE24" si="3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02444</v>
      </c>
      <c r="C15" s="257" t="s">
        <v>105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/>
      <c r="O15" s="565"/>
      <c r="P15" s="566" t="e">
        <f>VLOOKUP(C15,THCKT!$C$13:$AL$460,36,0)</f>
        <v>#N/A</v>
      </c>
      <c r="Q15" s="567" t="e">
        <f t="shared" si="1"/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24" si="4">((R15*46.1)+(S15*76.9)+(X15*30.7)+(U15*46.1*2)+(V15*46.1*2)+(W15*76.9*2))*$F$8+T15*10000+Y15*20000+Z15*20000+AA15*25000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e">
        <f>VLOOKUP(C16,'DS CN MOI UP'!$B$10:$C$389,2,0)</f>
        <v>#N/A</v>
      </c>
      <c r="C16" s="257" t="s">
        <v>106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/>
      <c r="O16" s="565"/>
      <c r="P16" s="566" t="e">
        <f>VLOOKUP(C16,THCKT!$C$13:$AL$460,36,0)</f>
        <v>#N/A</v>
      </c>
      <c r="Q16" s="567" t="e">
        <f t="shared" si="1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4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e">
        <f>VLOOKUP(C17,'DS CN MOI UP'!$B$10:$C$389,2,0)</f>
        <v>#N/A</v>
      </c>
      <c r="C17" s="257" t="s">
        <v>107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/>
      <c r="O17" s="565"/>
      <c r="P17" s="566" t="e">
        <f>VLOOKUP(C17,THCKT!$C$13:$AL$460,36,0)</f>
        <v>#N/A</v>
      </c>
      <c r="Q17" s="567" t="e">
        <f t="shared" si="1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4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02449</v>
      </c>
      <c r="C18" s="257" t="s">
        <v>108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/>
      <c r="O18" s="565"/>
      <c r="P18" s="566" t="e">
        <f>VLOOKUP(C18,THCKT!$C$13:$AL$460,36,0)</f>
        <v>#N/A</v>
      </c>
      <c r="Q18" s="567" t="e">
        <f t="shared" si="1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4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02445</v>
      </c>
      <c r="C19" s="257" t="s">
        <v>109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/>
      <c r="O19" s="565"/>
      <c r="P19" s="566" t="e">
        <f>VLOOKUP(C19,THCKT!$C$13:$AL$460,36,0)</f>
        <v>#N/A</v>
      </c>
      <c r="Q19" s="567" t="e">
        <f t="shared" si="1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4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02446</v>
      </c>
      <c r="C20" s="257" t="s">
        <v>110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/>
      <c r="O20" s="565"/>
      <c r="P20" s="566" t="e">
        <f>VLOOKUP(C20,THCKT!$C$13:$AL$460,36,0)</f>
        <v>#N/A</v>
      </c>
      <c r="Q20" s="567" t="e">
        <f t="shared" si="1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4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8" s="242" customFormat="1">
      <c r="A21" s="545">
        <v>8</v>
      </c>
      <c r="B21" s="546" t="str">
        <f>VLOOKUP(C21,'DS CN MOI UP'!$B$10:$C$389,2,0)</f>
        <v>03345</v>
      </c>
      <c r="C21" s="257" t="s">
        <v>111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/>
      <c r="O21" s="565"/>
      <c r="P21" s="566" t="e">
        <f>VLOOKUP(C21,THCKT!$C$13:$AL$460,36,0)</f>
        <v>#N/A</v>
      </c>
      <c r="Q21" s="567" t="e">
        <f t="shared" si="1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4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8" s="242" customFormat="1">
      <c r="A22" s="545">
        <v>9</v>
      </c>
      <c r="B22" s="546" t="str">
        <f>VLOOKUP(C22,'DS CN MOI UP'!$B$10:$C$389,2,0)</f>
        <v>03854</v>
      </c>
      <c r="C22" s="257" t="s">
        <v>112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/>
      <c r="O22" s="565"/>
      <c r="P22" s="566" t="e">
        <f>VLOOKUP(C22,THCKT!$C$13:$AL$460,36,0)</f>
        <v>#N/A</v>
      </c>
      <c r="Q22" s="567" t="e">
        <f t="shared" si="1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4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242" t="s">
        <v>2172</v>
      </c>
      <c r="AI22" s="289"/>
    </row>
    <row r="23" spans="1:38" s="242" customFormat="1">
      <c r="A23" s="545">
        <v>10</v>
      </c>
      <c r="B23" s="546" t="str">
        <f>VLOOKUP(C23,'DS CN MOI UP'!$B$10:$C$389,2,0)</f>
        <v>03855</v>
      </c>
      <c r="C23" s="257" t="s">
        <v>113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#REF!</v>
      </c>
      <c r="L23" s="565">
        <f>VLOOKUP(C23,THCKT!$C$13:$AL$460,22,0)</f>
        <v>0</v>
      </c>
      <c r="M23" s="565">
        <f>VLOOKUP(C23,THCKT!$C$13:$AL$460,23,0)</f>
        <v>0</v>
      </c>
      <c r="N23" s="567"/>
      <c r="O23" s="567"/>
      <c r="P23" s="566" t="e">
        <f>VLOOKUP(C23,THCKT!$C$13:$AL$460,36,0)</f>
        <v>#N/A</v>
      </c>
      <c r="Q23" s="567" t="e">
        <f>IF(P23="A",(K23*$AI$6*8),IF(P23="B",(K23*$AI$6*7.7),IF(P23="C",(K23*$AI$6*7.4),IF(P23="D",(K23*$AI$6*7.1),0))))*$F$8+(L23*$F$8*6.1*$AI$9)+M23*6.1*$F$8*$AI$10</f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4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8" s="242" customFormat="1">
      <c r="A24" s="545">
        <v>11</v>
      </c>
      <c r="B24" s="546" t="e">
        <f>VLOOKUP(C24,'DS CN MOI UP'!$B$10:$C$389,2,0)</f>
        <v>#N/A</v>
      </c>
      <c r="C24" s="257" t="s">
        <v>114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#REF!</v>
      </c>
      <c r="L24" s="565">
        <f>VLOOKUP(C24,THCKT!$C$13:$AL$460,22,0)</f>
        <v>0</v>
      </c>
      <c r="M24" s="565">
        <f>VLOOKUP(C24,THCKT!$C$13:$AL$460,23,0)</f>
        <v>0</v>
      </c>
      <c r="N24" s="567" t="e">
        <f>ROUND((IF(M24="A",(I24*$AI$15*8),IF(M24="B",(I24*$AI$15*7.7),IF(M24="C",(I24*$AI$15*7.4),IF(M24="D",(I24*$AI$15*7.1),0))))*$F$8+(J24*$F$8*6.1*$AG$10)+K24*$F$8*6.1*$AG$11),0)</f>
        <v>#REF!</v>
      </c>
      <c r="O24" s="567" t="e">
        <f>ROUND((IF(N24="A",(J24*$AI$15*8),IF(N24="B",(J24*$AI$15*7.7),IF(N24="C",(J24*$AI$15*7.4),IF(N24="D",(J24*$AI$15*7.1),0))))*$F$8+(K24*$F$8*6.1*$AG$10)+L24*$F$8*6.1*$AG$11),0)</f>
        <v>#REF!</v>
      </c>
      <c r="P24" s="566" t="e">
        <f>VLOOKUP(C24,THCKT!$C$13:$AL$460,36,0)</f>
        <v>#N/A</v>
      </c>
      <c r="Q24" s="567" t="e">
        <f>IF(P24="A",(K24*$AI$6*8),IF(P24="B",(K24*$AI$6*7.7),IF(P24="C",(K24*$AI$6*7.4),IF(P24="D",(K24*$AI$6*7.1),0))))*$F$8+(L24*$F$8*6.1*$AI$9)+M24*6.1*$F$8*$AI$10</f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4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8" s="242" customFormat="1" ht="17.25" customHeight="1">
      <c r="A25" s="550" t="s">
        <v>2175</v>
      </c>
      <c r="B25" s="550"/>
      <c r="C25" s="130"/>
      <c r="D25" s="130"/>
      <c r="E25" s="586"/>
      <c r="F25" s="585">
        <f>SUM(F14:F24)</f>
        <v>264</v>
      </c>
      <c r="G25" s="586">
        <f>SUM(G14:G24)</f>
        <v>6600000</v>
      </c>
      <c r="H25" s="586">
        <f t="shared" ref="H25:AE25" si="5">SUM(H14:H24)</f>
        <v>0</v>
      </c>
      <c r="I25" s="586">
        <f t="shared" si="5"/>
        <v>0</v>
      </c>
      <c r="J25" s="586">
        <f t="shared" si="5"/>
        <v>0</v>
      </c>
      <c r="K25" s="586" t="e">
        <f t="shared" si="5"/>
        <v>#N/A</v>
      </c>
      <c r="L25" s="585">
        <f t="shared" si="5"/>
        <v>0</v>
      </c>
      <c r="M25" s="585">
        <f t="shared" ref="M25" si="6">SUM(M14:M24)</f>
        <v>0</v>
      </c>
      <c r="N25" s="585" t="e">
        <f t="shared" si="5"/>
        <v>#REF!</v>
      </c>
      <c r="O25" s="585" t="e">
        <f t="shared" ref="O25" si="7">SUM(O14:O24)</f>
        <v>#REF!</v>
      </c>
      <c r="P25" s="583" t="e">
        <f t="shared" si="5"/>
        <v>#N/A</v>
      </c>
      <c r="Q25" s="586" t="e">
        <f t="shared" si="5"/>
        <v>#N/A</v>
      </c>
      <c r="R25" s="586" t="e">
        <f t="shared" si="5"/>
        <v>#N/A</v>
      </c>
      <c r="S25" s="586" t="e">
        <f t="shared" si="5"/>
        <v>#N/A</v>
      </c>
      <c r="T25" s="586" t="e">
        <f t="shared" ref="T25:W25" si="8">SUM(T14:T24)</f>
        <v>#N/A</v>
      </c>
      <c r="U25" s="586" t="e">
        <f t="shared" si="8"/>
        <v>#N/A</v>
      </c>
      <c r="V25" s="586" t="e">
        <f t="shared" si="8"/>
        <v>#N/A</v>
      </c>
      <c r="W25" s="586" t="e">
        <f t="shared" si="8"/>
        <v>#N/A</v>
      </c>
      <c r="X25" s="586" t="e">
        <f t="shared" si="5"/>
        <v>#N/A</v>
      </c>
      <c r="Y25" s="586" t="e">
        <f t="shared" si="5"/>
        <v>#N/A</v>
      </c>
      <c r="Z25" s="586" t="e">
        <f t="shared" ref="Z25:AA25" si="9">SUM(Z14:Z24)</f>
        <v>#N/A</v>
      </c>
      <c r="AA25" s="586">
        <f t="shared" si="9"/>
        <v>220</v>
      </c>
      <c r="AB25" s="586">
        <f t="shared" si="5"/>
        <v>0</v>
      </c>
      <c r="AC25" s="586" t="e">
        <f t="shared" si="5"/>
        <v>#N/A</v>
      </c>
      <c r="AD25" s="586" t="e">
        <f t="shared" si="5"/>
        <v>#N/A</v>
      </c>
      <c r="AE25" s="586" t="e">
        <f t="shared" si="5"/>
        <v>#N/A</v>
      </c>
      <c r="AF25" s="794" t="e">
        <f>+'LƯƠNG KT'!#REF!</f>
        <v>#REF!</v>
      </c>
      <c r="AG25" s="587" t="e">
        <f>+AF25-AE25</f>
        <v>#REF!</v>
      </c>
      <c r="AH25" s="242" t="s">
        <v>2172</v>
      </c>
      <c r="AI25" s="289"/>
    </row>
    <row r="26" spans="1:38" s="243" customFormat="1" ht="17.25" customHeight="1">
      <c r="A26" s="2638" t="s">
        <v>2975</v>
      </c>
      <c r="B26" s="2638"/>
      <c r="C26" s="2638"/>
      <c r="D26" s="2638"/>
      <c r="E26" s="2638"/>
      <c r="F26" s="2638"/>
      <c r="G26" s="2638"/>
      <c r="H26" s="2638"/>
      <c r="I26" s="2638"/>
      <c r="J26" s="2638"/>
      <c r="K26" s="2638"/>
      <c r="L26" s="2638"/>
      <c r="M26" s="2638"/>
      <c r="N26" s="2638"/>
      <c r="O26" s="2638"/>
      <c r="P26" s="2638"/>
      <c r="Q26" s="2638"/>
      <c r="R26" s="2638"/>
      <c r="S26" s="2638"/>
      <c r="T26" s="2638"/>
      <c r="U26" s="2638"/>
      <c r="V26" s="2638"/>
      <c r="W26" s="2638"/>
      <c r="X26" s="2638"/>
      <c r="Y26" s="2638"/>
      <c r="Z26" s="2638"/>
      <c r="AA26" s="2638"/>
      <c r="AB26" s="2638"/>
      <c r="AC26" s="2638"/>
      <c r="AD26" s="2638"/>
      <c r="AE26" s="2638"/>
      <c r="AF26" s="282"/>
      <c r="AG26" s="283"/>
      <c r="AH26" s="290" t="e">
        <f>+#REF!+#REF!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2"/>
      <c r="M27" s="602"/>
      <c r="N27" s="602"/>
      <c r="O27" s="602"/>
      <c r="P27" s="603"/>
      <c r="Q27" s="284"/>
      <c r="R27" s="262"/>
      <c r="S27" s="610"/>
      <c r="T27" s="610"/>
      <c r="U27" s="610"/>
      <c r="V27" s="610"/>
      <c r="W27" s="610"/>
      <c r="X27" s="610"/>
      <c r="Y27" s="610"/>
      <c r="Z27" s="610"/>
      <c r="AA27" s="610"/>
      <c r="AB27" s="610"/>
      <c r="AC27" s="2639" t="s">
        <v>2166</v>
      </c>
      <c r="AD27" s="2639"/>
      <c r="AE27" s="2639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453" t="s">
        <v>1921</v>
      </c>
      <c r="D28" s="2453"/>
      <c r="E28" s="2453"/>
      <c r="F28" s="2453"/>
      <c r="G28" s="2453" t="s">
        <v>616</v>
      </c>
      <c r="H28" s="2453"/>
      <c r="I28" s="2453"/>
      <c r="J28" s="2453"/>
      <c r="K28" s="2453"/>
      <c r="L28" s="2453"/>
      <c r="M28" s="2453"/>
      <c r="N28" s="2453"/>
      <c r="O28" s="2453"/>
      <c r="P28" s="2453"/>
      <c r="Q28" s="2453" t="s">
        <v>2085</v>
      </c>
      <c r="R28" s="2453"/>
      <c r="S28" s="2453"/>
      <c r="T28" s="2453"/>
      <c r="U28" s="2453"/>
      <c r="V28" s="2453"/>
      <c r="W28" s="2453"/>
      <c r="X28" s="2453"/>
      <c r="Y28" s="2453"/>
      <c r="Z28" s="2453"/>
      <c r="AA28" s="2453"/>
      <c r="AB28" s="2453"/>
      <c r="AC28" s="2453"/>
      <c r="AD28" s="2453" t="s">
        <v>612</v>
      </c>
      <c r="AE28" s="2453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4"/>
      <c r="L29" s="605"/>
      <c r="M29" s="605"/>
      <c r="N29" s="605"/>
      <c r="O29" s="605"/>
      <c r="P29" s="96"/>
      <c r="Q29" s="96"/>
      <c r="R29" s="96"/>
      <c r="AC29" s="615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4"/>
      <c r="L30" s="605"/>
      <c r="M30" s="605"/>
      <c r="N30" s="605"/>
      <c r="O30" s="605"/>
      <c r="P30" s="96"/>
      <c r="Q30" s="96"/>
      <c r="R30" s="96"/>
      <c r="AC30" s="615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634"/>
      <c r="L31" s="2634"/>
      <c r="M31" s="2634"/>
      <c r="N31" s="2634"/>
      <c r="O31" s="1208"/>
      <c r="P31" s="2635"/>
      <c r="Q31" s="2635"/>
      <c r="S31" s="611"/>
      <c r="T31" s="611"/>
      <c r="U31" s="611"/>
      <c r="V31" s="611"/>
      <c r="W31" s="611"/>
      <c r="X31" s="611"/>
      <c r="Y31" s="611"/>
      <c r="Z31" s="611"/>
      <c r="AA31" s="611"/>
      <c r="AB31" s="611"/>
      <c r="AC31" s="615"/>
      <c r="AD31" s="2636"/>
      <c r="AE31" s="2636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636"/>
      <c r="L32" s="2636"/>
      <c r="M32" s="287"/>
      <c r="N32" s="605"/>
      <c r="O32" s="605"/>
      <c r="P32" s="2637"/>
      <c r="Q32" s="2637"/>
      <c r="R32" s="2637"/>
      <c r="S32" s="786"/>
      <c r="T32" s="786"/>
      <c r="U32" s="786"/>
      <c r="V32" s="786"/>
      <c r="W32" s="786"/>
      <c r="X32" s="786"/>
      <c r="Y32" s="786"/>
      <c r="Z32" s="786"/>
      <c r="AA32" s="786"/>
      <c r="AB32" s="786"/>
      <c r="AC32" s="2636"/>
      <c r="AD32" s="2636"/>
      <c r="AG32" s="272"/>
      <c r="AI32" s="249"/>
    </row>
    <row r="33" spans="3:35" s="53" customFormat="1">
      <c r="C33" s="2453" t="s">
        <v>1924</v>
      </c>
      <c r="D33" s="2453"/>
      <c r="E33" s="2453"/>
      <c r="F33" s="2453"/>
      <c r="G33" s="2612" t="s">
        <v>2176</v>
      </c>
      <c r="H33" s="2612"/>
      <c r="I33" s="2612"/>
      <c r="J33" s="2612"/>
      <c r="K33" s="2612"/>
      <c r="L33" s="2612"/>
      <c r="M33" s="2612"/>
      <c r="N33" s="2612"/>
      <c r="O33" s="2612"/>
      <c r="P33" s="2612"/>
      <c r="Q33" s="96"/>
      <c r="R33" s="96"/>
      <c r="S33" s="612"/>
      <c r="T33" s="612"/>
      <c r="U33" s="612"/>
      <c r="V33" s="612"/>
      <c r="W33" s="612"/>
      <c r="X33" s="612"/>
      <c r="Y33" s="612"/>
      <c r="Z33" s="612"/>
      <c r="AA33" s="612"/>
      <c r="AB33" s="612"/>
      <c r="AC33" s="615"/>
      <c r="AD33" s="2606" t="s">
        <v>613</v>
      </c>
      <c r="AE33" s="2606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94"/>
      <c r="G34" s="2594"/>
      <c r="H34" s="2594"/>
      <c r="I34" s="2594"/>
      <c r="J34" s="2594"/>
      <c r="K34" s="2594"/>
      <c r="L34" s="2633"/>
      <c r="M34" s="2633"/>
      <c r="N34" s="2633"/>
      <c r="O34" s="1213"/>
      <c r="P34" s="2609"/>
      <c r="Q34" s="2609"/>
      <c r="R34" s="96"/>
      <c r="AC34" s="615"/>
      <c r="AD34" s="95"/>
      <c r="AE34" s="67"/>
      <c r="AG34" s="272"/>
      <c r="AI34" s="249"/>
    </row>
    <row r="35" spans="3:35" s="53" customFormat="1">
      <c r="C35" s="270"/>
      <c r="E35" s="95"/>
      <c r="F35" s="2591"/>
      <c r="G35" s="2591"/>
      <c r="H35" s="2591"/>
      <c r="I35" s="2591"/>
      <c r="J35" s="2591"/>
      <c r="K35" s="2591"/>
      <c r="L35" s="785"/>
      <c r="M35" s="785"/>
      <c r="N35" s="2592"/>
      <c r="O35" s="2592"/>
      <c r="P35" s="2592"/>
      <c r="Q35" s="2593"/>
      <c r="R35" s="259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5"/>
      <c r="AD35" s="95"/>
      <c r="AE35" s="605"/>
      <c r="AG35" s="272"/>
      <c r="AI35" s="249"/>
    </row>
    <row r="36" spans="3:35" s="53" customFormat="1">
      <c r="E36" s="95"/>
      <c r="F36" s="271"/>
      <c r="G36" s="2595"/>
      <c r="H36" s="2595"/>
      <c r="I36" s="2595"/>
      <c r="J36" s="2595"/>
      <c r="K36" s="2595"/>
      <c r="L36" s="785"/>
      <c r="M36" s="785"/>
      <c r="N36" s="785"/>
      <c r="O36" s="785"/>
      <c r="P36" s="96"/>
      <c r="Q36" s="2593"/>
      <c r="R36" s="2593"/>
      <c r="AC36" s="615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95"/>
      <c r="H37" s="2595"/>
      <c r="I37" s="2595"/>
      <c r="J37" s="2595"/>
      <c r="K37" s="2595"/>
      <c r="L37" s="785"/>
      <c r="M37" s="785"/>
      <c r="N37" s="785"/>
      <c r="O37" s="785"/>
      <c r="P37" s="96"/>
      <c r="Q37" s="2593"/>
      <c r="R37" s="2593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5"/>
      <c r="AD37" s="95"/>
      <c r="AG37" s="272"/>
      <c r="AI37" s="249"/>
    </row>
    <row r="38" spans="3:35" s="53" customFormat="1">
      <c r="E38" s="95"/>
      <c r="F38" s="271"/>
      <c r="G38" s="2595"/>
      <c r="H38" s="2595"/>
      <c r="I38" s="2595"/>
      <c r="J38" s="2595"/>
      <c r="K38" s="2595"/>
      <c r="L38" s="785"/>
      <c r="M38" s="785"/>
      <c r="N38" s="785"/>
      <c r="O38" s="785"/>
      <c r="P38" s="96"/>
      <c r="Q38" s="2593"/>
      <c r="R38" s="2593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5"/>
      <c r="AD38" s="95"/>
      <c r="AG38" s="272"/>
      <c r="AI38" s="249"/>
    </row>
    <row r="39" spans="3:35" s="53" customFormat="1">
      <c r="E39" s="95"/>
      <c r="F39" s="271"/>
      <c r="G39" s="2595"/>
      <c r="H39" s="2595"/>
      <c r="I39" s="2595"/>
      <c r="J39" s="2595"/>
      <c r="K39" s="2595"/>
      <c r="L39" s="785"/>
      <c r="M39" s="785"/>
      <c r="N39" s="785"/>
      <c r="O39" s="785"/>
      <c r="P39" s="96"/>
      <c r="Q39" s="2593"/>
      <c r="R39" s="2593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5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7"/>
      <c r="L40" s="608"/>
      <c r="M40" s="608"/>
      <c r="N40" s="608"/>
      <c r="O40" s="608"/>
      <c r="P40" s="96"/>
      <c r="Q40" s="96"/>
      <c r="R40" s="96"/>
      <c r="AC40" s="615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S42" s="607"/>
      <c r="T42" s="607"/>
      <c r="U42" s="607"/>
      <c r="V42" s="607"/>
      <c r="W42" s="607"/>
      <c r="X42" s="607"/>
      <c r="Y42" s="607"/>
      <c r="Z42" s="607"/>
      <c r="AA42" s="607"/>
      <c r="AB42" s="607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S43" s="613"/>
      <c r="T43" s="613"/>
      <c r="U43" s="613"/>
      <c r="V43" s="613"/>
      <c r="W43" s="613"/>
      <c r="X43" s="613"/>
      <c r="Y43" s="613"/>
      <c r="Z43" s="613"/>
      <c r="AA43" s="613"/>
      <c r="AB43" s="613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4"/>
      <c r="L72" s="605"/>
      <c r="M72" s="605"/>
      <c r="N72" s="605"/>
      <c r="O72" s="605"/>
      <c r="P72" s="96"/>
      <c r="Q72" s="96"/>
      <c r="R72" s="96"/>
      <c r="AC72" s="615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4"/>
      <c r="L73" s="605"/>
      <c r="M73" s="605"/>
      <c r="N73" s="605"/>
      <c r="O73" s="605"/>
      <c r="P73" s="96"/>
      <c r="Q73" s="96"/>
      <c r="R73" s="96"/>
      <c r="AC73" s="615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4"/>
      <c r="L74" s="605"/>
      <c r="M74" s="605"/>
      <c r="N74" s="605"/>
      <c r="O74" s="605"/>
      <c r="P74" s="96"/>
      <c r="Q74" s="96"/>
      <c r="R74" s="96"/>
      <c r="AC74" s="615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4"/>
      <c r="L75" s="605"/>
      <c r="M75" s="605"/>
      <c r="N75" s="605"/>
      <c r="O75" s="605"/>
      <c r="P75" s="96"/>
      <c r="Q75" s="96"/>
      <c r="R75" s="96"/>
      <c r="AC75" s="615"/>
      <c r="AD75" s="95"/>
      <c r="AG75" s="272"/>
      <c r="AI75" s="249"/>
    </row>
    <row r="111" spans="22:22">
      <c r="V111" s="755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7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7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7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0.46408510638297923</v>
      </c>
    </row>
    <row r="7" spans="1:37" s="71" customFormat="1" ht="27" customHeight="1">
      <c r="A7" s="2408" t="s">
        <v>2177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THCKT!AO19</f>
        <v>385</v>
      </c>
    </row>
    <row r="8" spans="1:37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44" t="s">
        <v>2138</v>
      </c>
      <c r="AE10" s="2644" t="s">
        <v>2139</v>
      </c>
      <c r="AF10" s="2651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46"/>
      <c r="B11" s="2646"/>
      <c r="C11" s="2649"/>
      <c r="D11" s="2646"/>
      <c r="E11" s="2644"/>
      <c r="F11" s="2646" t="s">
        <v>2141</v>
      </c>
      <c r="G11" s="2646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44"/>
      <c r="AE11" s="2644"/>
      <c r="AF11" s="2651"/>
      <c r="AG11" s="275"/>
      <c r="AI11" s="249"/>
    </row>
    <row r="12" spans="1:37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44"/>
      <c r="AE12" s="2644"/>
      <c r="AF12" s="2651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116</v>
      </c>
      <c r="D14" s="257" t="s">
        <v>15</v>
      </c>
      <c r="E14" s="776"/>
      <c r="F14" s="548">
        <f>VLOOKUP(C14:C21,THCKT!$C$122:$AE$228,17,0)</f>
        <v>24</v>
      </c>
      <c r="G14" s="549">
        <f t="shared" ref="G14:G20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IF(P14="A",(K14*$AI$6*6.7),IF(P14="B",(K14*$AI$6*6.4),IF(P14="C",(K14*$AI$6*6.1),IF(P14="D",(K14*$AI$6*5.8),0))))*$F$9+(L14*$F$9*6.1*$AI$9)+M14*6.1*$F$9*$AI$10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AC14+Q14+G14</f>
        <v>#N/A</v>
      </c>
      <c r="AE14" s="580" t="e">
        <f t="shared" ref="AE14:AE20" si="4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02505</v>
      </c>
      <c r="C15" s="257" t="s">
        <v>117</v>
      </c>
      <c r="D15" s="257" t="s">
        <v>15</v>
      </c>
      <c r="E15" s="776"/>
      <c r="F15" s="548">
        <f>VLOOKUP(C15:C21,THCKT!$C$122:$AE$228,17,0)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IF(P15="A",(K15*$AI$6*6.7),IF(P15="B",(K15*$AI$6*6.4),IF(P15="C",(K15*$AI$6*6.1),IF(P15="D",(K15*$AI$6*5.8),0))))*$F$9+(L15*$F$9*6.1*$AI$9)+M15*6.1*$F$9*$AI$10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19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str">
        <f>VLOOKUP(C16,'DS CN MOI UP'!$B$10:$C$389,2,0)</f>
        <v>02472</v>
      </c>
      <c r="C16" s="257" t="s">
        <v>118</v>
      </c>
      <c r="D16" s="257" t="s">
        <v>15</v>
      </c>
      <c r="E16" s="776"/>
      <c r="F16" s="548">
        <f>VLOOKUP(C16:C21,THCKT!$C$122:$AE$228,17,0)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str">
        <f>VLOOKUP(C17,'DS CN MOI UP'!$B$10:$C$389,2,0)</f>
        <v>02477</v>
      </c>
      <c r="C17" s="257" t="s">
        <v>119</v>
      </c>
      <c r="D17" s="257" t="s">
        <v>15</v>
      </c>
      <c r="E17" s="776"/>
      <c r="F17" s="548">
        <f>VLOOKUP(C17:C21,THCKT!$C$122:$AE$228,17,0)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02495</v>
      </c>
      <c r="C18" s="257" t="s">
        <v>120</v>
      </c>
      <c r="D18" s="257" t="s">
        <v>15</v>
      </c>
      <c r="E18" s="776"/>
      <c r="F18" s="548">
        <f>VLOOKUP(C18:C21,THCKT!$C$122:$AE$228,17,0)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03347</v>
      </c>
      <c r="C19" s="257" t="s">
        <v>121</v>
      </c>
      <c r="D19" s="257" t="s">
        <v>15</v>
      </c>
      <c r="E19" s="776"/>
      <c r="F19" s="548">
        <f>VLOOKUP(C19:C21,THCKT!$C$122:$AE$228,17,0)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02516</v>
      </c>
      <c r="C20" s="257" t="s">
        <v>122</v>
      </c>
      <c r="D20" s="257" t="s">
        <v>15</v>
      </c>
      <c r="E20" s="776"/>
      <c r="F20" s="548">
        <f>VLOOKUP(C20:C21,THCKT!$C$122:$AE$228,17,0)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ROUND((((R20*46.1)+(S20*76.9)+(X20*30.7)+(U20*46.1*2)+(V20*46.1*2)+(W20*76.9*2))*$F$8),0)+T20*10000+Y20*20000+Z20*20000+AA20*25000-1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I20" s="289"/>
    </row>
    <row r="21" spans="1:38" s="242" customFormat="1" ht="17.25" customHeight="1">
      <c r="A21" s="550" t="s">
        <v>2178</v>
      </c>
      <c r="B21" s="550"/>
      <c r="C21" s="130"/>
      <c r="D21" s="130"/>
      <c r="E21" s="586"/>
      <c r="F21" s="585">
        <f>SUM(F14:F20)</f>
        <v>168</v>
      </c>
      <c r="G21" s="586">
        <f>SUM(G14:G20)</f>
        <v>4200000</v>
      </c>
      <c r="H21" s="586">
        <f t="shared" ref="H21:AE21" si="7">SUM(H14:H20)</f>
        <v>0</v>
      </c>
      <c r="I21" s="586">
        <f t="shared" si="7"/>
        <v>0</v>
      </c>
      <c r="J21" s="586">
        <f t="shared" si="7"/>
        <v>0</v>
      </c>
      <c r="K21" s="586" t="e">
        <f t="shared" si="7"/>
        <v>#N/A</v>
      </c>
      <c r="L21" s="586">
        <f t="shared" si="7"/>
        <v>0</v>
      </c>
      <c r="M21" s="586">
        <f t="shared" ref="M21" si="8">SUM(M14:M20)</f>
        <v>0</v>
      </c>
      <c r="N21" s="586" t="e">
        <f t="shared" si="7"/>
        <v>#N/A</v>
      </c>
      <c r="O21" s="586" t="e">
        <f t="shared" ref="O21" si="9">SUM(O14:O20)</f>
        <v>#N/A</v>
      </c>
      <c r="P21" s="586" t="e">
        <f t="shared" si="7"/>
        <v>#N/A</v>
      </c>
      <c r="Q21" s="586" t="e">
        <f t="shared" si="7"/>
        <v>#N/A</v>
      </c>
      <c r="R21" s="586" t="e">
        <f t="shared" si="7"/>
        <v>#N/A</v>
      </c>
      <c r="S21" s="586" t="e">
        <f t="shared" si="7"/>
        <v>#N/A</v>
      </c>
      <c r="T21" s="586" t="e">
        <f t="shared" ref="T21:W21" si="10">SUM(T14:T20)</f>
        <v>#N/A</v>
      </c>
      <c r="U21" s="586" t="e">
        <f t="shared" si="10"/>
        <v>#N/A</v>
      </c>
      <c r="V21" s="586" t="e">
        <f t="shared" si="10"/>
        <v>#N/A</v>
      </c>
      <c r="W21" s="586" t="e">
        <f t="shared" si="10"/>
        <v>#N/A</v>
      </c>
      <c r="X21" s="586" t="e">
        <f t="shared" si="7"/>
        <v>#N/A</v>
      </c>
      <c r="Y21" s="586" t="e">
        <f t="shared" si="7"/>
        <v>#N/A</v>
      </c>
      <c r="Z21" s="586" t="e">
        <f t="shared" ref="Z21:AA21" si="11">SUM(Z14:Z20)</f>
        <v>#N/A</v>
      </c>
      <c r="AA21" s="586">
        <f t="shared" si="11"/>
        <v>140</v>
      </c>
      <c r="AB21" s="586">
        <f t="shared" si="7"/>
        <v>0</v>
      </c>
      <c r="AC21" s="586" t="e">
        <f>SUM(AC14:AC20)</f>
        <v>#N/A</v>
      </c>
      <c r="AD21" s="586" t="e">
        <f t="shared" si="7"/>
        <v>#N/A</v>
      </c>
      <c r="AE21" s="586" t="e">
        <f t="shared" si="7"/>
        <v>#N/A</v>
      </c>
      <c r="AF21" s="794" t="e">
        <f>+'LƯƠNG KT'!#REF!</f>
        <v>#REF!</v>
      </c>
      <c r="AG21" s="587" t="e">
        <f>+AF21-AE21</f>
        <v>#REF!</v>
      </c>
      <c r="AH21" s="242" t="s">
        <v>2172</v>
      </c>
      <c r="AI21" s="289"/>
      <c r="AJ21" s="2635" t="e">
        <f>(R21*46.1*$F$8)+(S21*76.9*$F$8)+Y21*5000+AB21*20000</f>
        <v>#N/A</v>
      </c>
      <c r="AK21" s="2635"/>
    </row>
    <row r="22" spans="1:38" s="243" customFormat="1" ht="17.25" customHeight="1">
      <c r="A22" s="2638" t="s">
        <v>2976</v>
      </c>
      <c r="B22" s="2638"/>
      <c r="C22" s="2638"/>
      <c r="D22" s="2638"/>
      <c r="E22" s="2638"/>
      <c r="F22" s="2638"/>
      <c r="G22" s="2638"/>
      <c r="H22" s="2638"/>
      <c r="I22" s="2638"/>
      <c r="J22" s="2638"/>
      <c r="K22" s="2638"/>
      <c r="L22" s="2638"/>
      <c r="M22" s="2638"/>
      <c r="N22" s="2638"/>
      <c r="O22" s="2638"/>
      <c r="P22" s="2638"/>
      <c r="Q22" s="2638"/>
      <c r="R22" s="2638"/>
      <c r="S22" s="2638"/>
      <c r="T22" s="2638"/>
      <c r="U22" s="2638"/>
      <c r="V22" s="2638"/>
      <c r="W22" s="2638"/>
      <c r="X22" s="2638"/>
      <c r="Y22" s="2638"/>
      <c r="Z22" s="2638"/>
      <c r="AA22" s="2638"/>
      <c r="AB22" s="2638"/>
      <c r="AC22" s="2638"/>
      <c r="AD22" s="2638"/>
      <c r="AE22" s="2638"/>
      <c r="AF22" s="282" t="e">
        <f>+AE21-AF21</f>
        <v>#N/A</v>
      </c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639" t="s">
        <v>2166</v>
      </c>
      <c r="AD23" s="2639"/>
      <c r="AE23" s="2639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53" t="s">
        <v>1921</v>
      </c>
      <c r="D24" s="2453"/>
      <c r="E24" s="2453"/>
      <c r="F24" s="2453"/>
      <c r="G24" s="2453" t="s">
        <v>616</v>
      </c>
      <c r="H24" s="2453"/>
      <c r="I24" s="2453"/>
      <c r="J24" s="2453"/>
      <c r="K24" s="2453"/>
      <c r="L24" s="2453"/>
      <c r="M24" s="2453"/>
      <c r="N24" s="2453"/>
      <c r="O24" s="2453"/>
      <c r="P24" s="2453"/>
      <c r="Q24" s="2453" t="s">
        <v>2085</v>
      </c>
      <c r="R24" s="2453"/>
      <c r="S24" s="2453"/>
      <c r="T24" s="2453"/>
      <c r="U24" s="2453"/>
      <c r="V24" s="2453"/>
      <c r="W24" s="2453"/>
      <c r="X24" s="2453"/>
      <c r="Y24" s="2453"/>
      <c r="Z24" s="2453"/>
      <c r="AA24" s="2453"/>
      <c r="AB24" s="2453"/>
      <c r="AC24" s="2453"/>
      <c r="AD24" s="2453" t="s">
        <v>612</v>
      </c>
      <c r="AE24" s="2453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634"/>
      <c r="L27" s="2634"/>
      <c r="M27" s="2634"/>
      <c r="N27" s="2634"/>
      <c r="O27" s="1208"/>
      <c r="P27" s="2635"/>
      <c r="Q27" s="2635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636"/>
      <c r="AE27" s="2636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636"/>
      <c r="L28" s="2636"/>
      <c r="M28" s="287"/>
      <c r="N28" s="605"/>
      <c r="O28" s="605"/>
      <c r="P28" s="793"/>
      <c r="Q28" s="793"/>
      <c r="R28" s="793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636"/>
      <c r="AD28" s="2636"/>
      <c r="AG28" s="272"/>
      <c r="AI28" s="249"/>
    </row>
    <row r="29" spans="1:38" s="53" customFormat="1">
      <c r="C29" s="2453" t="s">
        <v>1924</v>
      </c>
      <c r="D29" s="2453"/>
      <c r="E29" s="2453"/>
      <c r="F29" s="2453"/>
      <c r="G29" s="2612" t="s">
        <v>2167</v>
      </c>
      <c r="H29" s="2612"/>
      <c r="I29" s="2612"/>
      <c r="J29" s="2612"/>
      <c r="K29" s="2612"/>
      <c r="L29" s="2612"/>
      <c r="M29" s="2612"/>
      <c r="N29" s="2612"/>
      <c r="O29" s="2612"/>
      <c r="P29" s="96"/>
      <c r="Q29" s="96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606" t="s">
        <v>613</v>
      </c>
      <c r="AE29" s="260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94"/>
      <c r="G30" s="2594"/>
      <c r="H30" s="2594"/>
      <c r="I30" s="2594"/>
      <c r="J30" s="2594"/>
      <c r="K30" s="2594"/>
      <c r="L30" s="2633"/>
      <c r="M30" s="2633"/>
      <c r="N30" s="2633"/>
      <c r="O30" s="1213"/>
      <c r="P30" s="2609"/>
      <c r="Q30" s="2609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591"/>
      <c r="G31" s="2591"/>
      <c r="H31" s="2591"/>
      <c r="I31" s="2591"/>
      <c r="J31" s="2591"/>
      <c r="K31" s="2591"/>
      <c r="L31" s="785"/>
      <c r="M31" s="785"/>
      <c r="N31" s="2592"/>
      <c r="O31" s="2592"/>
      <c r="P31" s="2592"/>
      <c r="Q31" s="2593"/>
      <c r="R31" s="259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595"/>
      <c r="H32" s="2595"/>
      <c r="I32" s="2595"/>
      <c r="J32" s="2595"/>
      <c r="K32" s="2595"/>
      <c r="L32" s="785"/>
      <c r="M32" s="785"/>
      <c r="N32" s="785"/>
      <c r="O32" s="785"/>
      <c r="P32" s="96"/>
      <c r="Q32" s="2593"/>
      <c r="R32" s="2593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95"/>
      <c r="H33" s="2595"/>
      <c r="I33" s="2595"/>
      <c r="J33" s="2595"/>
      <c r="K33" s="2595"/>
      <c r="L33" s="785"/>
      <c r="M33" s="785"/>
      <c r="N33" s="785"/>
      <c r="O33" s="785"/>
      <c r="P33" s="96"/>
      <c r="Q33" s="2593"/>
      <c r="R33" s="259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595"/>
      <c r="H34" s="2595"/>
      <c r="I34" s="2595"/>
      <c r="J34" s="2595"/>
      <c r="K34" s="2595"/>
      <c r="L34" s="785"/>
      <c r="M34" s="785"/>
      <c r="N34" s="785"/>
      <c r="O34" s="785"/>
      <c r="P34" s="96"/>
      <c r="Q34" s="2593"/>
      <c r="R34" s="259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595"/>
      <c r="H35" s="2595"/>
      <c r="I35" s="2595"/>
      <c r="J35" s="2595"/>
      <c r="K35" s="2595"/>
      <c r="L35" s="785"/>
      <c r="M35" s="785"/>
      <c r="N35" s="785"/>
      <c r="O35" s="785"/>
      <c r="P35" s="96"/>
      <c r="Q35" s="2593"/>
      <c r="R35" s="259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7.710937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7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7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7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0.51797893982400645</v>
      </c>
    </row>
    <row r="7" spans="1:37" s="71" customFormat="1" ht="27" customHeight="1">
      <c r="A7" s="2408" t="s">
        <v>2179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44" t="s">
        <v>2138</v>
      </c>
      <c r="AE10" s="2644" t="s">
        <v>2139</v>
      </c>
      <c r="AF10" s="2651" t="s">
        <v>2140</v>
      </c>
      <c r="AG10" s="275"/>
      <c r="AH10" s="779" t="s">
        <v>2072</v>
      </c>
      <c r="AI10" s="783">
        <v>0.31672614503816798</v>
      </c>
    </row>
    <row r="11" spans="1:37" s="70" customFormat="1" ht="28.5" customHeight="1">
      <c r="A11" s="2646"/>
      <c r="B11" s="2646"/>
      <c r="C11" s="2649"/>
      <c r="D11" s="2646"/>
      <c r="E11" s="2644"/>
      <c r="F11" s="2646" t="s">
        <v>2141</v>
      </c>
      <c r="G11" s="2646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44"/>
      <c r="AE11" s="2644"/>
      <c r="AF11" s="2651"/>
      <c r="AG11" s="275"/>
      <c r="AI11" s="249"/>
    </row>
    <row r="12" spans="1:37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44"/>
      <c r="AE12" s="2644"/>
      <c r="AF12" s="2651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5">
        <v>1</v>
      </c>
      <c r="B14" s="546" t="str">
        <f>VLOOKUP(C14,'DS CN MOI UP'!$B$10:$C$389,2,0)</f>
        <v>03348</v>
      </c>
      <c r="C14" s="257" t="s">
        <v>124</v>
      </c>
      <c r="D14" s="257" t="s">
        <v>15</v>
      </c>
      <c r="E14" s="776"/>
      <c r="F14" s="548">
        <f>+VLOOKUP(C14,THCKT!$C$13:$AE$460,17,0)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O45" si="1">$AI$8/$AI$7*K14+L14*$AI$9+M14*$AI$10</f>
        <v>#N/A</v>
      </c>
      <c r="O14" s="565" t="e">
        <f t="shared" si="1"/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72" si="3">AD14</f>
        <v>#N/A</v>
      </c>
      <c r="AF14" s="791"/>
      <c r="AG14" s="581"/>
      <c r="AH14" s="588" t="s">
        <v>2172</v>
      </c>
      <c r="AI14" s="289"/>
    </row>
    <row r="15" spans="1:37" s="242" customFormat="1" ht="20.25" customHeight="1">
      <c r="A15" s="545">
        <v>2</v>
      </c>
      <c r="B15" s="546" t="str">
        <f>VLOOKUP(C15,'DS CN MOI UP'!$B$10:$C$389,2,0)</f>
        <v>03349</v>
      </c>
      <c r="C15" s="257" t="s">
        <v>125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1"/>
        <v>#N/A</v>
      </c>
      <c r="P15" s="566" t="e">
        <f>VLOOKUP(C15,THCKT!$C$13:$AL$460,36,0)</f>
        <v>#N/A</v>
      </c>
      <c r="Q15" s="567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78" si="5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 ht="20.25" customHeight="1">
      <c r="A16" s="545">
        <v>3</v>
      </c>
      <c r="B16" s="546" t="str">
        <f>VLOOKUP(C16,'DS CN MOI UP'!$B$10:$C$389,2,0)</f>
        <v>02545</v>
      </c>
      <c r="C16" s="257" t="s">
        <v>126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>Q16/((Q16/(N16*$F$9)*$F$8))</f>
        <v>#N/A</v>
      </c>
      <c r="P16" s="566" t="e">
        <f>VLOOKUP(C16,THCKT!$C$13:$AL$460,36,0)</f>
        <v>#N/A</v>
      </c>
      <c r="Q16" s="567" t="e">
        <f t="shared" si="4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5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5" s="242" customFormat="1" ht="20.25" customHeight="1">
      <c r="A17" s="545">
        <v>4</v>
      </c>
      <c r="B17" s="546" t="str">
        <f>VLOOKUP(C17,'DS CN MOI UP'!$B$10:$C$389,2,0)</f>
        <v>02693</v>
      </c>
      <c r="C17" s="257" t="s">
        <v>127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>Q17/((Q17/(N17*$F$9)*$F$8))</f>
        <v>#N/A</v>
      </c>
      <c r="P17" s="566" t="e">
        <f>VLOOKUP(C17,THCKT!$C$13:$AL$460,36,0)</f>
        <v>#N/A</v>
      </c>
      <c r="Q17" s="567" t="e">
        <f t="shared" si="4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5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5" s="242" customFormat="1" ht="20.25" customHeight="1">
      <c r="A18" s="545">
        <v>5</v>
      </c>
      <c r="B18" s="546" t="str">
        <f>VLOOKUP(C18,'DS CN MOI UP'!$B$10:$C$389,2,0)</f>
        <v>03350</v>
      </c>
      <c r="C18" s="257" t="s">
        <v>128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1"/>
        <v>#N/A</v>
      </c>
      <c r="P18" s="566" t="e">
        <f>VLOOKUP(C18,THCKT!$C$13:$AL$460,36,0)</f>
        <v>#N/A</v>
      </c>
      <c r="Q18" s="567" t="e">
        <f t="shared" si="4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5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5" s="242" customFormat="1" ht="20.25" customHeight="1">
      <c r="A19" s="545">
        <v>6</v>
      </c>
      <c r="B19" s="546" t="str">
        <f>VLOOKUP(C19,'DS CN MOI UP'!$B$10:$C$389,2,0)</f>
        <v>02526</v>
      </c>
      <c r="C19" s="257" t="s">
        <v>129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>Q19/((Q19/(N19*$F$9)*$F$8))</f>
        <v>#N/A</v>
      </c>
      <c r="P19" s="566" t="e">
        <f>VLOOKUP(C19,THCKT!$C$13:$AL$460,36,0)</f>
        <v>#N/A</v>
      </c>
      <c r="Q19" s="567" t="e">
        <f t="shared" si="4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5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5" s="242" customFormat="1" ht="20.25" customHeight="1">
      <c r="A20" s="545">
        <v>7</v>
      </c>
      <c r="B20" s="546" t="str">
        <f>VLOOKUP(C20,'DS CN MOI UP'!$B$10:$C$389,2,0)</f>
        <v>03351</v>
      </c>
      <c r="C20" s="257" t="s">
        <v>130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>Q20/((Q20/(N20*$F$9)*$F$8))</f>
        <v>#N/A</v>
      </c>
      <c r="P20" s="566" t="e">
        <f>VLOOKUP(C20,THCKT!$C$13:$AL$460,36,0)</f>
        <v>#N/A</v>
      </c>
      <c r="Q20" s="567" t="e">
        <f t="shared" si="4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5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5" s="242" customFormat="1" ht="20.25" customHeight="1">
      <c r="A21" s="545">
        <v>8</v>
      </c>
      <c r="B21" s="546" t="str">
        <f>VLOOKUP(C21,'DS CN MOI UP'!$B$10:$C$389,2,0)</f>
        <v>03352</v>
      </c>
      <c r="C21" s="257" t="s">
        <v>131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1"/>
        <v>#N/A</v>
      </c>
      <c r="P21" s="566" t="e">
        <f>VLOOKUP(C21,THCKT!$C$13:$AL$460,36,0)</f>
        <v>#N/A</v>
      </c>
      <c r="Q21" s="567" t="e">
        <f t="shared" si="4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5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5" s="242" customFormat="1" ht="20.25" customHeight="1">
      <c r="A22" s="545">
        <v>9</v>
      </c>
      <c r="B22" s="546" t="str">
        <f>VLOOKUP(C22,'DS CN MOI UP'!$B$10:$C$389,2,0)</f>
        <v>02567</v>
      </c>
      <c r="C22" s="257" t="s">
        <v>132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>Q22/((Q22/(N22*$F$9)*$F$8))</f>
        <v>#N/A</v>
      </c>
      <c r="P22" s="566" t="e">
        <f>VLOOKUP(C22,THCKT!$C$13:$AL$460,36,0)</f>
        <v>#N/A</v>
      </c>
      <c r="Q22" s="567" t="e">
        <f t="shared" si="4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5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88" t="s">
        <v>2172</v>
      </c>
      <c r="AI22" s="289"/>
    </row>
    <row r="23" spans="1:35" s="242" customFormat="1" ht="20.25" customHeight="1">
      <c r="A23" s="545">
        <v>10</v>
      </c>
      <c r="B23" s="546" t="str">
        <f>VLOOKUP(C23,'DS CN MOI UP'!$B$10:$C$389,2,0)</f>
        <v>02564</v>
      </c>
      <c r="C23" s="257" t="s">
        <v>133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>Q23/((Q23/(N23*$F$9)*$F$8))</f>
        <v>#N/A</v>
      </c>
      <c r="P23" s="566" t="e">
        <f>VLOOKUP(C23,THCKT!$C$13:$AL$460,36,0)</f>
        <v>#N/A</v>
      </c>
      <c r="Q23" s="567" t="e">
        <f t="shared" si="4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5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5" s="242" customFormat="1" ht="20.25" customHeight="1">
      <c r="A24" s="545">
        <v>11</v>
      </c>
      <c r="B24" s="546" t="str">
        <f>VLOOKUP(C24,'DS CN MOI UP'!$B$10:$C$389,2,0)</f>
        <v>03353</v>
      </c>
      <c r="C24" s="257" t="s">
        <v>134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1"/>
        <v>#N/A</v>
      </c>
      <c r="P24" s="566" t="e">
        <f>VLOOKUP(C24,THCKT!$C$13:$AL$460,36,0)</f>
        <v>#N/A</v>
      </c>
      <c r="Q24" s="567" t="e">
        <f t="shared" si="4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5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5" s="242" customFormat="1" ht="20.25" customHeight="1">
      <c r="A25" s="545">
        <v>12</v>
      </c>
      <c r="B25" s="546" t="str">
        <f>VLOOKUP(C25,'DS CN MOI UP'!$B$10:$C$389,2,0)</f>
        <v>02518</v>
      </c>
      <c r="C25" s="257" t="s">
        <v>135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1"/>
        <v>#N/A</v>
      </c>
      <c r="P25" s="566" t="e">
        <f>VLOOKUP(C25,THCKT!$C$13:$AL$460,36,0)</f>
        <v>#N/A</v>
      </c>
      <c r="Q25" s="567" t="e">
        <f t="shared" si="4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KT'!$D$16:$Y$184,21,0)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5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2172</v>
      </c>
      <c r="AI25" s="289"/>
    </row>
    <row r="26" spans="1:35" s="242" customFormat="1" ht="20.25" customHeight="1">
      <c r="A26" s="545">
        <v>13</v>
      </c>
      <c r="B26" s="546" t="str">
        <f>VLOOKUP(C26,'DS CN MOI UP'!$B$10:$C$389,2,0)</f>
        <v>03355</v>
      </c>
      <c r="C26" s="257" t="s">
        <v>136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1"/>
        <v>#N/A</v>
      </c>
      <c r="P26" s="566" t="e">
        <f>VLOOKUP(C26,THCKT!$C$13:$AL$460,36,0)</f>
        <v>#N/A</v>
      </c>
      <c r="Q26" s="567" t="e">
        <f t="shared" si="4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KT'!$D$16:$Y$184,21,0)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5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88" t="s">
        <v>2172</v>
      </c>
      <c r="AI26" s="289"/>
    </row>
    <row r="27" spans="1:35" s="242" customFormat="1" ht="20.25" customHeight="1">
      <c r="A27" s="545">
        <v>14</v>
      </c>
      <c r="B27" s="546" t="str">
        <f>VLOOKUP(C27,'DS CN MOI UP'!$B$10:$C$389,2,0)</f>
        <v>02521</v>
      </c>
      <c r="C27" s="257" t="s">
        <v>137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1"/>
        <v>#N/A</v>
      </c>
      <c r="P27" s="566" t="e">
        <f>VLOOKUP(C27,THCKT!$C$13:$AL$460,36,0)</f>
        <v>#N/A</v>
      </c>
      <c r="Q27" s="567" t="e">
        <f t="shared" si="4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KT'!$D$16:$Y$184,21,0)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5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2172</v>
      </c>
      <c r="AI27" s="289"/>
    </row>
    <row r="28" spans="1:35" s="242" customFormat="1" ht="20.25" customHeight="1">
      <c r="A28" s="545">
        <v>15</v>
      </c>
      <c r="B28" s="546" t="str">
        <f>VLOOKUP(C28,'DS CN MOI UP'!$B$10:$C$389,2,0)</f>
        <v>03356</v>
      </c>
      <c r="C28" s="257" t="s">
        <v>138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1"/>
        <v>#N/A</v>
      </c>
      <c r="P28" s="566" t="e">
        <f>VLOOKUP(C28,THCKT!$C$13:$AL$460,36,0)</f>
        <v>#N/A</v>
      </c>
      <c r="Q28" s="567" t="e">
        <f t="shared" si="4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KT'!$D$16:$Y$184,21,0)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5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88" t="s">
        <v>2172</v>
      </c>
      <c r="AI28" s="289"/>
    </row>
    <row r="29" spans="1:35" s="242" customFormat="1" ht="20.25" customHeight="1">
      <c r="A29" s="545">
        <v>16</v>
      </c>
      <c r="B29" s="546" t="str">
        <f>VLOOKUP(C29,'DS CN MOI UP'!$B$10:$C$389,2,0)</f>
        <v>02524</v>
      </c>
      <c r="C29" s="257" t="s">
        <v>139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>Q29/((Q29/(N29*$F$9)*$F$8))</f>
        <v>#N/A</v>
      </c>
      <c r="P29" s="566" t="e">
        <f>VLOOKUP(C29,THCKT!$C$13:$AL$460,36,0)</f>
        <v>#N/A</v>
      </c>
      <c r="Q29" s="567" t="e">
        <f t="shared" si="4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KT'!$D$16:$Y$184,21,0)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5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2172</v>
      </c>
      <c r="AI29" s="289"/>
    </row>
    <row r="30" spans="1:35" s="242" customFormat="1" ht="20.25" customHeight="1">
      <c r="A30" s="545">
        <v>17</v>
      </c>
      <c r="B30" s="546" t="str">
        <f>VLOOKUP(C30,'DS CN MOI UP'!$B$10:$C$389,2,0)</f>
        <v>03357</v>
      </c>
      <c r="C30" s="257" t="s">
        <v>140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1"/>
        <v>#N/A</v>
      </c>
      <c r="P30" s="566" t="e">
        <f>VLOOKUP(C30,THCKT!$C$13:$AL$460,36,0)</f>
        <v>#N/A</v>
      </c>
      <c r="Q30" s="567" t="e">
        <f t="shared" si="4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KT'!$D$16:$Y$184,21,0)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5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88" t="s">
        <v>2172</v>
      </c>
      <c r="AI30" s="289"/>
    </row>
    <row r="31" spans="1:35" s="242" customFormat="1" ht="20.25" customHeight="1">
      <c r="A31" s="545">
        <v>18</v>
      </c>
      <c r="B31" s="546" t="str">
        <f>VLOOKUP(C31,'DS CN MOI UP'!$B$10:$C$389,2,0)</f>
        <v>03358</v>
      </c>
      <c r="C31" s="257" t="s">
        <v>141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>Q31/((Q31/(N31*$F$9)*$F$8))</f>
        <v>#N/A</v>
      </c>
      <c r="P31" s="566" t="e">
        <f>VLOOKUP(C31,THCKT!$C$13:$AL$460,36,0)</f>
        <v>#N/A</v>
      </c>
      <c r="Q31" s="567" t="e">
        <f t="shared" si="4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KT'!$D$16:$Y$184,21,0)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5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2172</v>
      </c>
      <c r="AI31" s="289"/>
    </row>
    <row r="32" spans="1:35" s="242" customFormat="1" ht="20.25" customHeight="1">
      <c r="A32" s="545">
        <v>19</v>
      </c>
      <c r="B32" s="546" t="str">
        <f>VLOOKUP(C32,'DS CN MOI UP'!$B$10:$C$389,2,0)</f>
        <v>02556</v>
      </c>
      <c r="C32" s="257" t="s">
        <v>142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1"/>
        <v>#N/A</v>
      </c>
      <c r="P32" s="566" t="e">
        <f>VLOOKUP(C32,THCKT!$C$13:$AL$460,36,0)</f>
        <v>#N/A</v>
      </c>
      <c r="Q32" s="567" t="e">
        <f t="shared" si="4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KT'!$D$16:$Y$184,21,0)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5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88" t="s">
        <v>2172</v>
      </c>
      <c r="AI32" s="289"/>
    </row>
    <row r="33" spans="1:35" s="242" customFormat="1" ht="20.25" customHeight="1">
      <c r="A33" s="545">
        <v>20</v>
      </c>
      <c r="B33" s="546" t="str">
        <f>VLOOKUP(C33,'DS CN MOI UP'!$B$10:$C$389,2,0)</f>
        <v>02537</v>
      </c>
      <c r="C33" s="257" t="s">
        <v>143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1"/>
        <v>#N/A</v>
      </c>
      <c r="P33" s="566" t="e">
        <f>VLOOKUP(C33,THCKT!$C$13:$AL$460,36,0)</f>
        <v>#N/A</v>
      </c>
      <c r="Q33" s="567" t="e">
        <f t="shared" si="4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KT'!$D$16:$Y$184,21,0)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5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2172</v>
      </c>
      <c r="AI33" s="289"/>
    </row>
    <row r="34" spans="1:35" s="242" customFormat="1" ht="20.25" customHeight="1">
      <c r="A34" s="545">
        <v>21</v>
      </c>
      <c r="B34" s="546" t="str">
        <f>VLOOKUP(C34,'DS CN MOI UP'!$B$10:$C$389,2,0)</f>
        <v>03359</v>
      </c>
      <c r="C34" s="257" t="s">
        <v>144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1"/>
        <v>#N/A</v>
      </c>
      <c r="P34" s="566" t="e">
        <f>VLOOKUP(C34,THCKT!$C$13:$AL$460,36,0)</f>
        <v>#N/A</v>
      </c>
      <c r="Q34" s="567" t="e">
        <f t="shared" si="4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KT'!$D$16:$Y$184,21,0)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5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88" t="s">
        <v>2172</v>
      </c>
      <c r="AI34" s="289"/>
    </row>
    <row r="35" spans="1:35" s="242" customFormat="1" ht="20.25" customHeight="1">
      <c r="A35" s="545">
        <v>22</v>
      </c>
      <c r="B35" s="546" t="str">
        <f>VLOOKUP(C35,'DS CN MOI UP'!$B$10:$C$389,2,0)</f>
        <v>03360</v>
      </c>
      <c r="C35" s="257" t="s">
        <v>145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1"/>
        <v>#N/A</v>
      </c>
      <c r="P35" s="566" t="e">
        <f>VLOOKUP(C35,THCKT!$C$13:$AL$460,36,0)</f>
        <v>#N/A</v>
      </c>
      <c r="Q35" s="567" t="e">
        <f t="shared" si="4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KT'!$D$16:$Y$184,21,0)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5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2172</v>
      </c>
      <c r="AI35" s="289"/>
    </row>
    <row r="36" spans="1:35" s="242" customFormat="1" ht="20.25" customHeight="1">
      <c r="A36" s="545">
        <v>23</v>
      </c>
      <c r="B36" s="546" t="str">
        <f>VLOOKUP(C36,'DS CN MOI UP'!$B$10:$C$389,2,0)</f>
        <v>03413</v>
      </c>
      <c r="C36" s="257" t="s">
        <v>146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1"/>
        <v>#N/A</v>
      </c>
      <c r="P36" s="566" t="e">
        <f>VLOOKUP(C36,THCKT!$C$13:$AL$460,36,0)</f>
        <v>#N/A</v>
      </c>
      <c r="Q36" s="567" t="e">
        <f t="shared" si="4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KT'!$D$16:$Y$184,21,0)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5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88" t="s">
        <v>2172</v>
      </c>
      <c r="AI36" s="289"/>
    </row>
    <row r="37" spans="1:35" s="242" customFormat="1" ht="20.25" customHeight="1">
      <c r="A37" s="545">
        <v>24</v>
      </c>
      <c r="B37" s="546" t="str">
        <f>VLOOKUP(C37,'DS CN MOI UP'!$B$10:$C$389,2,0)</f>
        <v>03361</v>
      </c>
      <c r="C37" s="257" t="s">
        <v>147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1"/>
        <v>#N/A</v>
      </c>
      <c r="P37" s="566" t="e">
        <f>VLOOKUP(C37,THCKT!$C$13:$AL$460,36,0)</f>
        <v>#N/A</v>
      </c>
      <c r="Q37" s="567" t="e">
        <f t="shared" si="4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KT'!$D$16:$Y$184,21,0)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5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2172</v>
      </c>
      <c r="AI37" s="289"/>
    </row>
    <row r="38" spans="1:35" s="242" customFormat="1" ht="20.25" customHeight="1">
      <c r="A38" s="545">
        <v>25</v>
      </c>
      <c r="B38" s="546" t="str">
        <f>VLOOKUP(C38,'DS CN MOI UP'!$B$10:$C$389,2,0)</f>
        <v>02554</v>
      </c>
      <c r="C38" s="257" t="s">
        <v>148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1"/>
        <v>#N/A</v>
      </c>
      <c r="P38" s="566" t="e">
        <f>VLOOKUP(C38,THCKT!$C$13:$AL$460,36,0)</f>
        <v>#N/A</v>
      </c>
      <c r="Q38" s="567" t="e">
        <f t="shared" si="4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KT'!$D$16:$Y$184,21,0)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5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88" t="s">
        <v>2172</v>
      </c>
      <c r="AI38" s="289"/>
    </row>
    <row r="39" spans="1:35" s="242" customFormat="1" ht="20.25" customHeight="1">
      <c r="A39" s="545">
        <v>26</v>
      </c>
      <c r="B39" s="546" t="str">
        <f>VLOOKUP(C39,'DS CN MOI UP'!$B$10:$C$389,2,0)</f>
        <v>02534</v>
      </c>
      <c r="C39" s="257" t="s">
        <v>149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ref="O39:O48" si="6">Q39/((Q39/(N39*$F$9)*$F$8))</f>
        <v>#N/A</v>
      </c>
      <c r="P39" s="566" t="e">
        <f>VLOOKUP(C39,THCKT!$C$13:$AL$460,36,0)</f>
        <v>#N/A</v>
      </c>
      <c r="Q39" s="567" t="e">
        <f t="shared" si="4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KT'!$D$16:$Y$184,21,0)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5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2172</v>
      </c>
      <c r="AI39" s="289"/>
    </row>
    <row r="40" spans="1:35" s="242" customFormat="1" ht="20.25" customHeight="1">
      <c r="A40" s="545">
        <v>27</v>
      </c>
      <c r="B40" s="546" t="str">
        <f>VLOOKUP(C40,'DS CN MOI UP'!$B$10:$C$389,2,0)</f>
        <v>02538</v>
      </c>
      <c r="C40" s="257" t="s">
        <v>150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6"/>
        <v>#N/A</v>
      </c>
      <c r="P40" s="566" t="e">
        <f>VLOOKUP(C40,THCKT!$C$13:$AL$460,36,0)</f>
        <v>#N/A</v>
      </c>
      <c r="Q40" s="567" t="e">
        <f t="shared" si="4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KT'!$D$16:$Y$184,21,0)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5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88" t="s">
        <v>2172</v>
      </c>
      <c r="AI40" s="289"/>
    </row>
    <row r="41" spans="1:35" s="242" customFormat="1" ht="20.25" customHeight="1">
      <c r="A41" s="545">
        <v>28</v>
      </c>
      <c r="B41" s="546" t="str">
        <f>VLOOKUP(C41,'DS CN MOI UP'!$B$10:$C$389,2,0)</f>
        <v>03362</v>
      </c>
      <c r="C41" s="257" t="s">
        <v>151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6"/>
        <v>#N/A</v>
      </c>
      <c r="P41" s="566" t="e">
        <f>VLOOKUP(C41,THCKT!$C$13:$AL$460,36,0)</f>
        <v>#N/A</v>
      </c>
      <c r="Q41" s="567" t="e">
        <f t="shared" si="4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KT'!$D$16:$Y$184,21,0)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5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2172</v>
      </c>
      <c r="AI41" s="289"/>
    </row>
    <row r="42" spans="1:35" s="242" customFormat="1" ht="20.25" customHeight="1">
      <c r="A42" s="545">
        <v>29</v>
      </c>
      <c r="B42" s="546" t="str">
        <f>VLOOKUP(C42,'DS CN MOI UP'!$B$10:$C$389,2,0)</f>
        <v>02530</v>
      </c>
      <c r="C42" s="257" t="s">
        <v>152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6"/>
        <v>#N/A</v>
      </c>
      <c r="P42" s="566" t="e">
        <f>VLOOKUP(C42,THCKT!$C$13:$AL$460,36,0)</f>
        <v>#N/A</v>
      </c>
      <c r="Q42" s="567" t="e">
        <f t="shared" si="4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KT'!$D$16:$Y$184,21,0)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5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88" t="s">
        <v>2172</v>
      </c>
      <c r="AI42" s="289"/>
    </row>
    <row r="43" spans="1:35" s="242" customFormat="1" ht="20.25" customHeight="1">
      <c r="A43" s="545">
        <v>30</v>
      </c>
      <c r="B43" s="546" t="str">
        <f>VLOOKUP(C43,'DS CN MOI UP'!$B$10:$C$389,2,0)</f>
        <v>03363</v>
      </c>
      <c r="C43" s="257" t="s">
        <v>153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6"/>
        <v>#N/A</v>
      </c>
      <c r="P43" s="566" t="e">
        <f>VLOOKUP(C43,THCKT!$C$13:$AL$460,36,0)</f>
        <v>#N/A</v>
      </c>
      <c r="Q43" s="567" t="e">
        <f t="shared" si="4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KT'!$D$16:$Y$184,21,0)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5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2172</v>
      </c>
      <c r="AI43" s="289"/>
    </row>
    <row r="44" spans="1:35" s="242" customFormat="1" ht="20.25" customHeight="1">
      <c r="A44" s="545">
        <v>31</v>
      </c>
      <c r="B44" s="546" t="str">
        <f>VLOOKUP(C44,'DS CN MOI UP'!$B$10:$C$389,2,0)</f>
        <v>03364</v>
      </c>
      <c r="C44" s="257" t="s">
        <v>154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6"/>
        <v>#N/A</v>
      </c>
      <c r="P44" s="566" t="e">
        <f>VLOOKUP(C44,THCKT!$C$13:$AL$460,36,0)</f>
        <v>#N/A</v>
      </c>
      <c r="Q44" s="567" t="e">
        <f t="shared" si="4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KT'!$D$16:$Y$184,21,0)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5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88" t="s">
        <v>2172</v>
      </c>
      <c r="AI44" s="289"/>
    </row>
    <row r="45" spans="1:35" s="242" customFormat="1" ht="20.25" customHeight="1">
      <c r="A45" s="545">
        <v>32</v>
      </c>
      <c r="B45" s="546" t="str">
        <f>VLOOKUP(C45,'DS CN MOI UP'!$B$10:$C$389,2,0)</f>
        <v>02536</v>
      </c>
      <c r="C45" s="257" t="s">
        <v>155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6"/>
        <v>#N/A</v>
      </c>
      <c r="P45" s="566" t="e">
        <f>VLOOKUP(C45,THCKT!$C$13:$AL$460,36,0)</f>
        <v>#N/A</v>
      </c>
      <c r="Q45" s="567" t="e">
        <f t="shared" si="4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KT'!$D$16:$Y$184,21,0)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5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2172</v>
      </c>
      <c r="AI45" s="289"/>
    </row>
    <row r="46" spans="1:35" s="242" customFormat="1" ht="20.25" customHeight="1">
      <c r="A46" s="545">
        <v>33</v>
      </c>
      <c r="B46" s="546" t="str">
        <f>VLOOKUP(C46,'DS CN MOI UP'!$B$10:$C$389,2,0)</f>
        <v>02527</v>
      </c>
      <c r="C46" s="257" t="s">
        <v>156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O77" si="7">$AI$8/$AI$7*K46+L46*$AI$9+M46*$AI$10</f>
        <v>#N/A</v>
      </c>
      <c r="O46" s="565" t="e">
        <f t="shared" si="6"/>
        <v>#N/A</v>
      </c>
      <c r="P46" s="566" t="e">
        <f>VLOOKUP(C46,THCKT!$C$13:$AL$460,36,0)</f>
        <v>#N/A</v>
      </c>
      <c r="Q46" s="567" t="e">
        <f t="shared" si="4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KT'!$D$16:$Y$184,21,0)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5"/>
        <v>#N/A</v>
      </c>
      <c r="AD46" s="580" t="e">
        <f t="shared" ref="AD46:AD77" si="8">+AC46+Q46+G46</f>
        <v>#N/A</v>
      </c>
      <c r="AE46" s="580" t="e">
        <f t="shared" si="3"/>
        <v>#N/A</v>
      </c>
      <c r="AF46" s="789"/>
      <c r="AG46" s="581"/>
      <c r="AH46" s="588" t="s">
        <v>2172</v>
      </c>
      <c r="AI46" s="289"/>
    </row>
    <row r="47" spans="1:35" s="242" customFormat="1" ht="20.25" customHeight="1">
      <c r="A47" s="545">
        <v>34</v>
      </c>
      <c r="B47" s="546" t="str">
        <f>VLOOKUP(C47,'DS CN MOI UP'!$B$10:$C$389,2,0)</f>
        <v>03366</v>
      </c>
      <c r="C47" s="257" t="s">
        <v>157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7"/>
        <v>#N/A</v>
      </c>
      <c r="O47" s="565" t="e">
        <f t="shared" si="6"/>
        <v>#N/A</v>
      </c>
      <c r="P47" s="566" t="e">
        <f>VLOOKUP(C47,THCKT!$C$13:$AL$460,36,0)</f>
        <v>#N/A</v>
      </c>
      <c r="Q47" s="567" t="e">
        <f t="shared" si="4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KT'!$D$16:$Y$184,21,0)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5"/>
        <v>#N/A</v>
      </c>
      <c r="AD47" s="580" t="e">
        <f t="shared" si="8"/>
        <v>#N/A</v>
      </c>
      <c r="AE47" s="580" t="e">
        <f t="shared" si="3"/>
        <v>#N/A</v>
      </c>
      <c r="AF47" s="789"/>
      <c r="AG47" s="581"/>
      <c r="AH47" s="242" t="s">
        <v>2172</v>
      </c>
      <c r="AI47" s="289"/>
    </row>
    <row r="48" spans="1:35" s="242" customFormat="1" ht="20.25" customHeight="1">
      <c r="A48" s="545">
        <v>35</v>
      </c>
      <c r="B48" s="546" t="str">
        <f>VLOOKUP(C48,'DS CN MOI UP'!$B$10:$C$389,2,0)</f>
        <v>02532</v>
      </c>
      <c r="C48" s="257" t="s">
        <v>158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6"/>
        <v>#N/A</v>
      </c>
      <c r="P48" s="566" t="e">
        <f>VLOOKUP(C48,THCKT!$C$13:$AL$460,36,0)</f>
        <v>#N/A</v>
      </c>
      <c r="Q48" s="567" t="e">
        <f t="shared" si="4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KT'!$D$16:$Y$184,21,0)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5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88" t="s">
        <v>2172</v>
      </c>
      <c r="AI48" s="289"/>
    </row>
    <row r="49" spans="1:35" s="242" customFormat="1" ht="20.25" customHeight="1">
      <c r="A49" s="545">
        <v>36</v>
      </c>
      <c r="B49" s="546" t="str">
        <f>VLOOKUP(C49,'DS CN MOI UP'!$B$10:$C$389,2,0)</f>
        <v>02528</v>
      </c>
      <c r="C49" s="257" t="s">
        <v>159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7"/>
        <v>#N/A</v>
      </c>
      <c r="P49" s="566" t="e">
        <f>VLOOKUP(C49,THCKT!$C$13:$AL$460,36,0)</f>
        <v>#N/A</v>
      </c>
      <c r="Q49" s="567" t="e">
        <f t="shared" si="4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KT'!$D$16:$Y$184,21,0)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5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2172</v>
      </c>
      <c r="AI49" s="289"/>
    </row>
    <row r="50" spans="1:35" s="242" customFormat="1" ht="20.25" customHeight="1">
      <c r="A50" s="545">
        <v>37</v>
      </c>
      <c r="B50" s="546" t="str">
        <f>VLOOKUP(C50,'DS CN MOI UP'!$B$10:$C$389,2,0)</f>
        <v>03367</v>
      </c>
      <c r="C50" s="257" t="s">
        <v>160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>Q50/((Q50/(N50*$F$9)*$F$8))</f>
        <v>#N/A</v>
      </c>
      <c r="P50" s="566" t="e">
        <f>VLOOKUP(C50,THCKT!$C$13:$AL$460,36,0)</f>
        <v>#N/A</v>
      </c>
      <c r="Q50" s="567" t="e">
        <f t="shared" si="4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KT'!$D$16:$Y$184,21,0)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5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88" t="s">
        <v>2172</v>
      </c>
      <c r="AI50" s="289"/>
    </row>
    <row r="51" spans="1:35" s="242" customFormat="1" ht="20.25" customHeight="1">
      <c r="A51" s="545">
        <v>38</v>
      </c>
      <c r="B51" s="546" t="str">
        <f>VLOOKUP(C51,'DS CN MOI UP'!$B$10:$C$389,2,0)</f>
        <v>02517</v>
      </c>
      <c r="C51" s="257" t="s">
        <v>161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7"/>
        <v>#N/A</v>
      </c>
      <c r="P51" s="566" t="e">
        <f>VLOOKUP(C51,THCKT!$C$13:$AL$460,36,0)</f>
        <v>#N/A</v>
      </c>
      <c r="Q51" s="567" t="e">
        <f t="shared" si="4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KT'!$D$16:$Y$184,21,0)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5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2172</v>
      </c>
      <c r="AI51" s="289"/>
    </row>
    <row r="52" spans="1:35" s="242" customFormat="1" ht="20.25" customHeight="1">
      <c r="A52" s="545">
        <v>39</v>
      </c>
      <c r="B52" s="546" t="str">
        <f>VLOOKUP(C52,'DS CN MOI UP'!$B$10:$C$389,2,0)</f>
        <v>02522</v>
      </c>
      <c r="C52" s="257" t="s">
        <v>162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>Q52/((Q52/(N52*$F$9)*$F$8))</f>
        <v>#N/A</v>
      </c>
      <c r="P52" s="566" t="e">
        <f>VLOOKUP(C52,THCKT!$C$13:$AL$460,36,0)</f>
        <v>#N/A</v>
      </c>
      <c r="Q52" s="567" t="e">
        <f t="shared" si="4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KT'!$D$16:$Y$184,21,0)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5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588" t="s">
        <v>2172</v>
      </c>
      <c r="AI52" s="289"/>
    </row>
    <row r="53" spans="1:35" s="242" customFormat="1" ht="20.25" customHeight="1">
      <c r="A53" s="545">
        <v>40</v>
      </c>
      <c r="B53" s="546" t="str">
        <f>VLOOKUP(C53,'DS CN MOI UP'!$B$10:$C$389,2,0)</f>
        <v>02565</v>
      </c>
      <c r="C53" s="257" t="s">
        <v>163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>Q53/((Q53/(N53*$F$9)*$F$8))</f>
        <v>#N/A</v>
      </c>
      <c r="P53" s="566" t="e">
        <f>VLOOKUP(C53,THCKT!$C$13:$AL$460,36,0)</f>
        <v>#N/A</v>
      </c>
      <c r="Q53" s="567" t="e">
        <f t="shared" si="4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KT'!$D$16:$Y$184,21,0)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5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2172</v>
      </c>
      <c r="AI53" s="289"/>
    </row>
    <row r="54" spans="1:35" s="242" customFormat="1" ht="20.25" customHeight="1">
      <c r="A54" s="545">
        <v>41</v>
      </c>
      <c r="B54" s="546" t="str">
        <f>VLOOKUP(C54,'DS CN MOI UP'!$B$10:$C$389,2,0)</f>
        <v>03368</v>
      </c>
      <c r="C54" s="257" t="s">
        <v>164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>Q54/((Q54/(N54*$F$9)*$F$8))</f>
        <v>#N/A</v>
      </c>
      <c r="P54" s="566" t="e">
        <f>VLOOKUP(C54,THCKT!$C$13:$AL$460,36,0)</f>
        <v>#N/A</v>
      </c>
      <c r="Q54" s="567" t="e">
        <f t="shared" si="4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KT'!$D$16:$Y$184,21,0)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5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588" t="s">
        <v>2172</v>
      </c>
      <c r="AI54" s="289"/>
    </row>
    <row r="55" spans="1:35" s="242" customFormat="1" ht="20.25" customHeight="1">
      <c r="A55" s="545">
        <v>42</v>
      </c>
      <c r="B55" s="546" t="str">
        <f>VLOOKUP(C55,'DS CN MOI UP'!$B$10:$C$389,2,0)</f>
        <v>02535</v>
      </c>
      <c r="C55" s="257" t="s">
        <v>165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7"/>
        <v>#N/A</v>
      </c>
      <c r="P55" s="566" t="e">
        <f>VLOOKUP(C55,THCKT!$C$13:$AL$460,36,0)</f>
        <v>#N/A</v>
      </c>
      <c r="Q55" s="567" t="e">
        <f t="shared" si="4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KT'!$D$16:$Y$184,21,0)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5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2172</v>
      </c>
      <c r="AI55" s="289"/>
    </row>
    <row r="56" spans="1:35" s="242" customFormat="1" ht="20.25" customHeight="1">
      <c r="A56" s="545">
        <v>43</v>
      </c>
      <c r="B56" s="546" t="str">
        <f>VLOOKUP(C56,'DS CN MOI UP'!$B$10:$C$389,2,0)</f>
        <v>02563</v>
      </c>
      <c r="C56" s="257" t="s">
        <v>166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ref="O56:O61" si="9">Q56/((Q56/(N56*$F$9)*$F$8))</f>
        <v>#N/A</v>
      </c>
      <c r="P56" s="566" t="e">
        <f>VLOOKUP(C56,THCKT!$C$13:$AL$460,36,0)</f>
        <v>#N/A</v>
      </c>
      <c r="Q56" s="567" t="e">
        <f t="shared" si="4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KT'!$D$16:$Y$184,21,0)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5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588" t="s">
        <v>2172</v>
      </c>
      <c r="AI56" s="289"/>
    </row>
    <row r="57" spans="1:35" s="242" customFormat="1" ht="20.25" customHeight="1">
      <c r="A57" s="545">
        <v>44</v>
      </c>
      <c r="B57" s="546" t="str">
        <f>VLOOKUP(C57,'DS CN MOI UP'!$B$10:$C$389,2,0)</f>
        <v>02688</v>
      </c>
      <c r="C57" s="257" t="s">
        <v>167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9"/>
        <v>#N/A</v>
      </c>
      <c r="P57" s="566" t="e">
        <f>VLOOKUP(C57,THCKT!$C$13:$AL$460,36,0)</f>
        <v>#N/A</v>
      </c>
      <c r="Q57" s="567" t="e">
        <f t="shared" si="4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KT'!$D$16:$Y$184,21,0)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5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2172</v>
      </c>
      <c r="AI57" s="289"/>
    </row>
    <row r="58" spans="1:35" s="242" customFormat="1" ht="20.25" customHeight="1">
      <c r="A58" s="545">
        <v>45</v>
      </c>
      <c r="B58" s="546" t="str">
        <f>VLOOKUP(C58,'DS CN MOI UP'!$B$10:$C$389,2,0)</f>
        <v>02551</v>
      </c>
      <c r="C58" s="589" t="s">
        <v>168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9"/>
        <v>#N/A</v>
      </c>
      <c r="P58" s="566" t="e">
        <f>VLOOKUP(C58,THCKT!$C$13:$AL$460,36,0)</f>
        <v>#N/A</v>
      </c>
      <c r="Q58" s="567" t="e">
        <f t="shared" si="4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KT'!$D$16:$Y$184,21,0)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5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588" t="s">
        <v>2172</v>
      </c>
      <c r="AI58" s="289"/>
    </row>
    <row r="59" spans="1:35" s="242" customFormat="1" ht="20.25" customHeight="1">
      <c r="A59" s="545">
        <v>46</v>
      </c>
      <c r="B59" s="546" t="str">
        <f>VLOOKUP(C59,'DS CN MOI UP'!$B$10:$C$389,2,0)</f>
        <v>02523</v>
      </c>
      <c r="C59" s="584" t="s">
        <v>169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9"/>
        <v>#N/A</v>
      </c>
      <c r="P59" s="566" t="e">
        <f>VLOOKUP(C59,THCKT!$C$13:$AL$460,36,0)</f>
        <v>#N/A</v>
      </c>
      <c r="Q59" s="567" t="e">
        <f t="shared" si="4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KT'!$D$16:$Y$184,21,0)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5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2172</v>
      </c>
      <c r="AI59" s="289"/>
    </row>
    <row r="60" spans="1:35" s="242" customFormat="1" ht="20.25" customHeight="1">
      <c r="A60" s="545">
        <v>47</v>
      </c>
      <c r="B60" s="546" t="str">
        <f>VLOOKUP(C60,'DS CN MOI UP'!$B$10:$C$389,2,0)</f>
        <v>03369</v>
      </c>
      <c r="C60" s="584" t="s">
        <v>170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9"/>
        <v>#N/A</v>
      </c>
      <c r="P60" s="566" t="e">
        <f>VLOOKUP(C60,THCKT!$C$13:$AL$460,36,0)</f>
        <v>#N/A</v>
      </c>
      <c r="Q60" s="567" t="e">
        <f t="shared" si="4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KT'!$D$16:$Y$184,21,0)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5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88" t="s">
        <v>2172</v>
      </c>
      <c r="AI60" s="289"/>
    </row>
    <row r="61" spans="1:35" s="242" customFormat="1" ht="20.25" customHeight="1">
      <c r="A61" s="545">
        <v>48</v>
      </c>
      <c r="B61" s="546" t="str">
        <f>VLOOKUP(C61,'DS CN MOI UP'!$B$10:$C$389,2,0)</f>
        <v>03345</v>
      </c>
      <c r="C61" s="584" t="s">
        <v>171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9"/>
        <v>#N/A</v>
      </c>
      <c r="P61" s="566" t="e">
        <f>VLOOKUP(C61,THCKT!$C$13:$AL$460,36,0)</f>
        <v>#N/A</v>
      </c>
      <c r="Q61" s="567" t="e">
        <f t="shared" si="4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KT'!$D$16:$Y$184,21,0)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5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2172</v>
      </c>
      <c r="AI61" s="289"/>
    </row>
    <row r="62" spans="1:35" s="242" customFormat="1" ht="20.25" customHeight="1">
      <c r="A62" s="545">
        <v>49</v>
      </c>
      <c r="B62" s="546" t="str">
        <f>VLOOKUP(C62,'DS CN MOI UP'!$B$10:$C$389,2,0)</f>
        <v>03371</v>
      </c>
      <c r="C62" s="590" t="s">
        <v>172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7"/>
        <v>#N/A</v>
      </c>
      <c r="P62" s="566" t="e">
        <f>VLOOKUP(C62,THCKT!$C$13:$AL$460,36,0)</f>
        <v>#N/A</v>
      </c>
      <c r="Q62" s="567" t="e">
        <f t="shared" si="4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KT'!$D$16:$Y$184,21,0)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5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88" t="s">
        <v>2172</v>
      </c>
      <c r="AI62" s="289"/>
    </row>
    <row r="63" spans="1:35" s="242" customFormat="1" ht="20.25" customHeight="1">
      <c r="A63" s="545">
        <v>50</v>
      </c>
      <c r="B63" s="546" t="str">
        <f>VLOOKUP(C63,'DS CN MOI UP'!$B$10:$C$389,2,0)</f>
        <v>02519</v>
      </c>
      <c r="C63" s="584" t="s">
        <v>173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>Q63/((Q63/(N63*$F$9)*$F$8))</f>
        <v>#N/A</v>
      </c>
      <c r="P63" s="566" t="e">
        <f>VLOOKUP(C63,THCKT!$C$13:$AL$460,36,0)</f>
        <v>#N/A</v>
      </c>
      <c r="Q63" s="567" t="e">
        <f t="shared" si="4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KT'!$D$16:$Y$184,21,0)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5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2172</v>
      </c>
      <c r="AI63" s="289"/>
    </row>
    <row r="64" spans="1:35" s="242" customFormat="1" ht="20.25" customHeight="1">
      <c r="A64" s="545">
        <v>51</v>
      </c>
      <c r="B64" s="546" t="str">
        <f>VLOOKUP(C64,'DS CN MOI UP'!$B$10:$C$389,2,0)</f>
        <v>02692</v>
      </c>
      <c r="C64" s="590" t="s">
        <v>174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>Q64/((Q64/(N64*$F$9)*$F$8))</f>
        <v>#N/A</v>
      </c>
      <c r="P64" s="566" t="e">
        <f>VLOOKUP(C64,THCKT!$C$13:$AL$460,36,0)</f>
        <v>#N/A</v>
      </c>
      <c r="Q64" s="567" t="e">
        <f t="shared" si="4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KT'!$D$16:$Y$184,21,0)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5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88" t="s">
        <v>2172</v>
      </c>
      <c r="AI64" s="289"/>
    </row>
    <row r="65" spans="1:35" s="242" customFormat="1" ht="20.25" customHeight="1">
      <c r="A65" s="545">
        <v>52</v>
      </c>
      <c r="B65" s="546" t="str">
        <f>VLOOKUP(C65,'DS CN MOI UP'!$B$10:$C$389,2,0)</f>
        <v>03372</v>
      </c>
      <c r="C65" s="590" t="s">
        <v>175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7"/>
        <v>#N/A</v>
      </c>
      <c r="P65" s="566" t="e">
        <f>VLOOKUP(C65,THCKT!$C$13:$AL$460,36,0)</f>
        <v>#N/A</v>
      </c>
      <c r="Q65" s="567" t="e">
        <f t="shared" si="4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KT'!$D$16:$Y$184,21,0)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5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588" t="s">
        <v>2172</v>
      </c>
      <c r="AI65" s="289"/>
    </row>
    <row r="66" spans="1:35" s="242" customFormat="1" ht="20.25" customHeight="1">
      <c r="A66" s="545">
        <v>53</v>
      </c>
      <c r="B66" s="546" t="str">
        <f>VLOOKUP(C66,'DS CN MOI UP'!$B$10:$C$389,2,0)</f>
        <v>03365</v>
      </c>
      <c r="C66" s="590" t="s">
        <v>176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>Q66/((Q66/(N66*$F$9)*$F$8))</f>
        <v>#N/A</v>
      </c>
      <c r="P66" s="566" t="e">
        <f>VLOOKUP(C66,THCKT!$C$13:$AL$460,36,0)</f>
        <v>#N/A</v>
      </c>
      <c r="Q66" s="567" t="e">
        <f t="shared" si="4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KT'!$D$16:$Y$184,21,0)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5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88" t="s">
        <v>2172</v>
      </c>
      <c r="AI66" s="289"/>
    </row>
    <row r="67" spans="1:35" s="242" customFormat="1" ht="20.25" customHeight="1">
      <c r="A67" s="545">
        <v>54</v>
      </c>
      <c r="B67" s="546" t="str">
        <f>VLOOKUP(C67,'DS CN MOI UP'!$B$10:$C$389,2,0)</f>
        <v>03373</v>
      </c>
      <c r="C67" s="590" t="s">
        <v>177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7"/>
        <v>#N/A</v>
      </c>
      <c r="P67" s="566" t="e">
        <f>VLOOKUP(C67,THCKT!$C$13:$AL$460,36,0)</f>
        <v>#N/A</v>
      </c>
      <c r="Q67" s="567" t="e">
        <f t="shared" si="4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KT'!$D$16:$Y$184,21,0)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5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588" t="s">
        <v>2172</v>
      </c>
      <c r="AI67" s="289"/>
    </row>
    <row r="68" spans="1:35" s="242" customFormat="1" ht="20.25" customHeight="1">
      <c r="A68" s="545">
        <v>55</v>
      </c>
      <c r="B68" s="546" t="str">
        <f>VLOOKUP(C68,'DS CN MOI UP'!$B$10:$C$389,2,0)</f>
        <v>03374</v>
      </c>
      <c r="C68" s="590" t="s">
        <v>178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>Q68/((Q68/(N68*$F$9)*$F$8))</f>
        <v>#N/A</v>
      </c>
      <c r="P68" s="566" t="e">
        <f>VLOOKUP(C68,THCKT!$C$13:$AL$460,36,0)</f>
        <v>#N/A</v>
      </c>
      <c r="Q68" s="567" t="e">
        <f t="shared" si="4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KT'!$D$16:$Y$184,21,0)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5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88" t="s">
        <v>2172</v>
      </c>
      <c r="AI68" s="289"/>
    </row>
    <row r="69" spans="1:35" s="242" customFormat="1" ht="20.25" customHeight="1">
      <c r="A69" s="545">
        <v>56</v>
      </c>
      <c r="B69" s="546" t="str">
        <f>VLOOKUP(C69,'DS CN MOI UP'!$B$10:$C$389,2,0)</f>
        <v>02557</v>
      </c>
      <c r="C69" s="590" t="s">
        <v>179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>Q69/((Q69/(N69*$F$9)*$F$8))</f>
        <v>#N/A</v>
      </c>
      <c r="P69" s="566" t="e">
        <f>VLOOKUP(C69,THCKT!$C$13:$AL$460,36,0)</f>
        <v>#N/A</v>
      </c>
      <c r="Q69" s="567" t="e">
        <f t="shared" si="4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KT'!$D$16:$Y$184,21,0)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5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588" t="s">
        <v>2172</v>
      </c>
      <c r="AI69" s="289"/>
    </row>
    <row r="70" spans="1:35" s="242" customFormat="1" ht="20.25" customHeight="1">
      <c r="A70" s="545">
        <v>57</v>
      </c>
      <c r="B70" s="546" t="str">
        <f>VLOOKUP(C70,'DS CN MOI UP'!$B$10:$C$389,2,0)</f>
        <v>02525</v>
      </c>
      <c r="C70" s="590" t="s">
        <v>180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7"/>
        <v>#N/A</v>
      </c>
      <c r="P70" s="566" t="e">
        <f>VLOOKUP(C70,THCKT!$C$13:$AL$460,36,0)</f>
        <v>#N/A</v>
      </c>
      <c r="Q70" s="567" t="e">
        <f t="shared" si="4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KT'!$D$16:$Y$184,21,0)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5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88" t="s">
        <v>2172</v>
      </c>
      <c r="AI70" s="289"/>
    </row>
    <row r="71" spans="1:35" s="242" customFormat="1" ht="20.25" customHeight="1">
      <c r="A71" s="545">
        <v>58</v>
      </c>
      <c r="B71" s="546" t="str">
        <f>VLOOKUP(C71,'DS CN MOI UP'!$B$10:$C$389,2,0)</f>
        <v>03375</v>
      </c>
      <c r="C71" s="590" t="s">
        <v>181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>Q71/((Q71/(N71*$F$9)*$F$8))</f>
        <v>#N/A</v>
      </c>
      <c r="P71" s="566" t="e">
        <f>VLOOKUP(C71,THCKT!$C$13:$AL$460,36,0)</f>
        <v>#N/A</v>
      </c>
      <c r="Q71" s="567" t="e">
        <f t="shared" si="4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KT'!$D$16:$Y$184,21,0)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5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588" t="s">
        <v>2172</v>
      </c>
      <c r="AI71" s="289"/>
    </row>
    <row r="72" spans="1:35" s="242" customFormat="1" ht="20.25" customHeight="1">
      <c r="A72" s="545">
        <v>59</v>
      </c>
      <c r="B72" s="546" t="str">
        <f>VLOOKUP(C72,'DS CN MOI UP'!$B$10:$C$389,2,0)</f>
        <v>02691</v>
      </c>
      <c r="C72" s="590" t="s">
        <v>182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>Q72/((Q72/(N72*$F$9)*$F$8))</f>
        <v>#N/A</v>
      </c>
      <c r="P72" s="566" t="e">
        <f>VLOOKUP(C72,THCKT!$C$13:$AL$460,36,0)</f>
        <v>#N/A</v>
      </c>
      <c r="Q72" s="567" t="e">
        <f t="shared" si="4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KT'!$D$16:$Y$184,21,0)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5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88" t="s">
        <v>2172</v>
      </c>
      <c r="AI72" s="289"/>
    </row>
    <row r="73" spans="1:35" s="242" customFormat="1" ht="20.25" customHeight="1">
      <c r="A73" s="545">
        <v>60</v>
      </c>
      <c r="B73" s="546" t="str">
        <f>VLOOKUP(C73,'DS CN MOI UP'!$B$10:$C$389,2,0)</f>
        <v>03376</v>
      </c>
      <c r="C73" s="590" t="s">
        <v>183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>Q73/((Q73/(N73*$F$9)*$F$8))</f>
        <v>#N/A</v>
      </c>
      <c r="P73" s="566" t="e">
        <f>VLOOKUP(C73,THCKT!$C$13:$AL$460,36,0)</f>
        <v>#N/A</v>
      </c>
      <c r="Q73" s="567" t="e">
        <f t="shared" si="4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KT'!$D$16:$Y$184,21,0)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5"/>
        <v>#N/A</v>
      </c>
      <c r="AD73" s="580" t="e">
        <f t="shared" si="8"/>
        <v>#N/A</v>
      </c>
      <c r="AE73" s="580" t="e">
        <f t="shared" ref="AE73:AE98" si="10">AD73</f>
        <v>#N/A</v>
      </c>
      <c r="AF73" s="789"/>
      <c r="AG73" s="581"/>
      <c r="AH73" s="588" t="s">
        <v>2172</v>
      </c>
      <c r="AI73" s="289"/>
    </row>
    <row r="74" spans="1:35" s="242" customFormat="1" ht="20.25" customHeight="1">
      <c r="A74" s="545">
        <v>61</v>
      </c>
      <c r="B74" s="546" t="str">
        <f>VLOOKUP(C74,'DS CN MOI UP'!$B$10:$C$389,2,0)</f>
        <v>03377</v>
      </c>
      <c r="C74" s="590" t="s">
        <v>184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7"/>
        <v>#N/A</v>
      </c>
      <c r="P74" s="566" t="e">
        <f>VLOOKUP(C74,THCKT!$C$13:$AL$460,36,0)</f>
        <v>#N/A</v>
      </c>
      <c r="Q74" s="567" t="e">
        <f t="shared" si="4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KT'!$D$16:$Y$184,21,0)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5"/>
        <v>#N/A</v>
      </c>
      <c r="AD74" s="580" t="e">
        <f t="shared" si="8"/>
        <v>#N/A</v>
      </c>
      <c r="AE74" s="580" t="e">
        <f t="shared" si="10"/>
        <v>#N/A</v>
      </c>
      <c r="AF74" s="789"/>
      <c r="AG74" s="581"/>
      <c r="AH74" s="588" t="s">
        <v>2172</v>
      </c>
      <c r="AI74" s="289"/>
    </row>
    <row r="75" spans="1:35" s="242" customFormat="1" ht="20.25" customHeight="1">
      <c r="A75" s="545">
        <v>62</v>
      </c>
      <c r="B75" s="546" t="str">
        <f>VLOOKUP(C75,'DS CN MOI UP'!$B$10:$C$389,2,0)</f>
        <v>02541</v>
      </c>
      <c r="C75" s="590" t="s">
        <v>185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>Q75/((Q75/(N75*$F$9)*$F$8))</f>
        <v>#N/A</v>
      </c>
      <c r="P75" s="566" t="e">
        <f>VLOOKUP(C75,THCKT!$C$13:$AL$460,36,0)</f>
        <v>#N/A</v>
      </c>
      <c r="Q75" s="567" t="e">
        <f t="shared" si="4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KT'!$D$16:$Y$184,21,0)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5"/>
        <v>#N/A</v>
      </c>
      <c r="AD75" s="580" t="e">
        <f t="shared" si="8"/>
        <v>#N/A</v>
      </c>
      <c r="AE75" s="580" t="e">
        <f t="shared" si="10"/>
        <v>#N/A</v>
      </c>
      <c r="AF75" s="789"/>
      <c r="AG75" s="581"/>
      <c r="AH75" s="588" t="s">
        <v>2172</v>
      </c>
      <c r="AI75" s="289"/>
    </row>
    <row r="76" spans="1:35" s="242" customFormat="1" ht="20.25" customHeight="1">
      <c r="A76" s="545">
        <v>63</v>
      </c>
      <c r="B76" s="546" t="str">
        <f>VLOOKUP(C76,'DS CN MOI UP'!$B$10:$C$389,2,0)</f>
        <v>02690</v>
      </c>
      <c r="C76" s="590" t="s">
        <v>186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7"/>
        <v>#N/A</v>
      </c>
      <c r="P76" s="566" t="e">
        <f>VLOOKUP(C76,THCKT!$C$13:$AL$460,36,0)</f>
        <v>#N/A</v>
      </c>
      <c r="Q76" s="567" t="e">
        <f t="shared" si="4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KT'!$D$16:$Y$184,21,0)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5"/>
        <v>#N/A</v>
      </c>
      <c r="AD76" s="580" t="e">
        <f t="shared" si="8"/>
        <v>#N/A</v>
      </c>
      <c r="AE76" s="580" t="e">
        <f t="shared" si="10"/>
        <v>#N/A</v>
      </c>
      <c r="AF76" s="789"/>
      <c r="AG76" s="581"/>
      <c r="AH76" s="588" t="s">
        <v>2172</v>
      </c>
      <c r="AI76" s="289"/>
    </row>
    <row r="77" spans="1:35" s="242" customFormat="1" ht="20.25" customHeight="1">
      <c r="A77" s="545">
        <v>64</v>
      </c>
      <c r="B77" s="546" t="str">
        <f>VLOOKUP(C77,'DS CN MOI UP'!$B$10:$C$389,2,0)</f>
        <v>03378</v>
      </c>
      <c r="C77" s="590" t="s">
        <v>187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>Q77/((Q77/(N77*$F$9)*$F$8))</f>
        <v>#N/A</v>
      </c>
      <c r="P77" s="566" t="e">
        <f>VLOOKUP(C77,THCKT!$C$13:$AL$460,36,0)</f>
        <v>#N/A</v>
      </c>
      <c r="Q77" s="567" t="e">
        <f t="shared" si="4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KT'!$D$16:$Y$184,21,0)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5"/>
        <v>#N/A</v>
      </c>
      <c r="AD77" s="580" t="e">
        <f t="shared" si="8"/>
        <v>#N/A</v>
      </c>
      <c r="AE77" s="580" t="e">
        <f t="shared" si="10"/>
        <v>#N/A</v>
      </c>
      <c r="AF77" s="789"/>
      <c r="AG77" s="581"/>
      <c r="AH77" s="588" t="s">
        <v>2172</v>
      </c>
      <c r="AI77" s="289"/>
    </row>
    <row r="78" spans="1:35" s="242" customFormat="1" ht="20.25" customHeight="1">
      <c r="A78" s="545">
        <v>65</v>
      </c>
      <c r="B78" s="546" t="str">
        <f>VLOOKUP(C78,'DS CN MOI UP'!$B$10:$C$389,2,0)</f>
        <v>02520</v>
      </c>
      <c r="C78" s="590" t="s">
        <v>188</v>
      </c>
      <c r="D78" s="257" t="s">
        <v>15</v>
      </c>
      <c r="E78" s="776"/>
      <c r="F78" s="548">
        <f>+VLOOKUP(C78,THCKT!$C$13:$AE$460,17,0)</f>
        <v>24</v>
      </c>
      <c r="G78" s="549">
        <f t="shared" ref="G78:G98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O97" si="12">$AI$8/$AI$7*K78+L78*$AI$9+M78*$AI$10</f>
        <v>#N/A</v>
      </c>
      <c r="O78" s="565" t="e">
        <f t="shared" si="12"/>
        <v>#N/A</v>
      </c>
      <c r="P78" s="566" t="e">
        <f>VLOOKUP(C78,THCKT!$C$13:$AL$460,36,0)</f>
        <v>#N/A</v>
      </c>
      <c r="Q78" s="567" t="e">
        <f t="shared" si="4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KT'!$D$16:$Y$184,21,0)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5"/>
        <v>#N/A</v>
      </c>
      <c r="AD78" s="580" t="e">
        <f t="shared" ref="AD78:AD98" si="13">+AC78+Q78+G78</f>
        <v>#N/A</v>
      </c>
      <c r="AE78" s="580" t="e">
        <f t="shared" si="10"/>
        <v>#N/A</v>
      </c>
      <c r="AF78" s="789"/>
      <c r="AG78" s="581"/>
      <c r="AH78" s="588" t="s">
        <v>2172</v>
      </c>
      <c r="AI78" s="289"/>
    </row>
    <row r="79" spans="1:35" s="242" customFormat="1" ht="20.25" customHeight="1">
      <c r="A79" s="545">
        <v>66</v>
      </c>
      <c r="B79" s="546" t="str">
        <f>VLOOKUP(C79,'DS CN MOI UP'!$B$10:$C$389,2,0)</f>
        <v>02543</v>
      </c>
      <c r="C79" s="590" t="s">
        <v>189</v>
      </c>
      <c r="D79" s="257" t="s">
        <v>15</v>
      </c>
      <c r="E79" s="776"/>
      <c r="F79" s="548">
        <f>+VLOOKUP(C79,THCKT!$C$13:$AE$460,17,0)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#N/A</v>
      </c>
      <c r="O79" s="565" t="e">
        <f>Q79/((Q79/(N79*$F$9)*$F$8))</f>
        <v>#N/A</v>
      </c>
      <c r="P79" s="566" t="e">
        <f>VLOOKUP(C79,THCKT!$C$13:$AL$460,36,0)</f>
        <v>#N/A</v>
      </c>
      <c r="Q79" s="567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9" t="e">
        <f>VLOOKUP(C79,'LƯƠNG KT'!$D$16:$Y$184,16,0)</f>
        <v>#N/A</v>
      </c>
      <c r="S79" s="549" t="e">
        <f>VLOOKUP(C79,'LƯƠNG KT'!$D$16:$Y$184,17,0)</f>
        <v>#N/A</v>
      </c>
      <c r="T79" s="549" t="e">
        <f>VLOOKUP(C79,'LƯƠNG KT'!$D$16:$Y$184,18,0)</f>
        <v>#N/A</v>
      </c>
      <c r="U79" s="549" t="e">
        <f>VLOOKUP(C79,'LƯƠNG KT'!$D$16:$Y$184,18,0)</f>
        <v>#N/A</v>
      </c>
      <c r="V79" s="549" t="e">
        <f>VLOOKUP(C79,'LƯƠNG KT'!$D$16:$Y$184,19,0)</f>
        <v>#N/A</v>
      </c>
      <c r="W79" s="549" t="e">
        <f>VLOOKUP(C79,'LƯƠNG KT'!$D$16:$Y$184,20,0)</f>
        <v>#N/A</v>
      </c>
      <c r="X79" s="549" t="e">
        <f>VLOOKUP(C79,'LƯƠNG KT'!$D$16:$Y$184,21,0)</f>
        <v>#N/A</v>
      </c>
      <c r="Y79" s="549" t="e">
        <f>VLOOKUP(C79,'LƯƠNG KT'!$D$16:$Y$184,23,0)</f>
        <v>#N/A</v>
      </c>
      <c r="Z79" s="549" t="e">
        <f>VLOOKUP(C79,'LƯƠNG KT'!$D$16:$Y$184,24,0)</f>
        <v>#N/A</v>
      </c>
      <c r="AA79" s="549">
        <v>20</v>
      </c>
      <c r="AB79" s="549"/>
      <c r="AC79" s="580" t="e">
        <f t="shared" ref="AC79:AC98" si="15">ROUND((((R79*46.1)+(S79*76.9)+(X79*30.7)+(U79*46.1*2)+(V79*46.1*2)+(W79*76.9*2))*$F$8),0)+T79*10000+Y79*20000+Z79*20000+AA79*25000</f>
        <v>#N/A</v>
      </c>
      <c r="AD79" s="580" t="e">
        <f t="shared" si="13"/>
        <v>#N/A</v>
      </c>
      <c r="AE79" s="580" t="e">
        <f t="shared" si="10"/>
        <v>#N/A</v>
      </c>
      <c r="AF79" s="789"/>
      <c r="AG79" s="581"/>
      <c r="AH79" s="588" t="s">
        <v>2172</v>
      </c>
      <c r="AI79" s="289"/>
    </row>
    <row r="80" spans="1:35" s="242" customFormat="1" ht="20.25" customHeight="1">
      <c r="A80" s="545">
        <v>67</v>
      </c>
      <c r="B80" s="546" t="str">
        <f>VLOOKUP(C80,'DS CN MOI UP'!$B$10:$C$389,2,0)</f>
        <v>03379</v>
      </c>
      <c r="C80" s="590" t="s">
        <v>190</v>
      </c>
      <c r="D80" s="257" t="s">
        <v>15</v>
      </c>
      <c r="E80" s="776"/>
      <c r="F80" s="548">
        <f>+VLOOKUP(C80,THCKT!$C$13:$AE$460,17,0)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KT'!$D$16:$Y$184,21,0)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89"/>
      <c r="AG80" s="581"/>
      <c r="AH80" s="588" t="s">
        <v>2172</v>
      </c>
      <c r="AI80" s="289"/>
    </row>
    <row r="81" spans="1:35" s="242" customFormat="1" ht="20.25" customHeight="1">
      <c r="A81" s="545">
        <v>68</v>
      </c>
      <c r="B81" s="546" t="str">
        <f>VLOOKUP(C81,'DS CN MOI UP'!$B$10:$C$389,2,0)</f>
        <v>03354</v>
      </c>
      <c r="C81" s="590" t="s">
        <v>191</v>
      </c>
      <c r="D81" s="257" t="s">
        <v>15</v>
      </c>
      <c r="E81" s="776"/>
      <c r="F81" s="548">
        <f>+VLOOKUP(C81,THCKT!$C$13:$AE$460,17,0)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 t="e">
        <f>Q81/((Q81/(N81*$F$9)*$F$8))</f>
        <v>#N/A</v>
      </c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KT'!$D$16:$Y$184,21,0)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89"/>
      <c r="AG81" s="581"/>
      <c r="AH81" s="588" t="s">
        <v>2172</v>
      </c>
      <c r="AI81" s="289"/>
    </row>
    <row r="82" spans="1:35" s="242" customFormat="1" ht="20.25" customHeight="1">
      <c r="A82" s="545">
        <v>69</v>
      </c>
      <c r="B82" s="546" t="e">
        <f>VLOOKUP(C82,'DS CN MOI UP'!$B$10:$C$389,2,0)</f>
        <v>#N/A</v>
      </c>
      <c r="C82" s="590" t="s">
        <v>192</v>
      </c>
      <c r="D82" s="257" t="s">
        <v>15</v>
      </c>
      <c r="E82" s="776"/>
      <c r="F82" s="548">
        <f>+VLOOKUP(C82,THCKT!$C$13:$AE$460,17,0)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 t="e">
        <f>Q82/((Q82/(N82*$F$9)*$F$8))</f>
        <v>#N/A</v>
      </c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KT'!$D$16:$Y$184,21,0)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89"/>
      <c r="AG82" s="581"/>
      <c r="AH82" s="588" t="s">
        <v>2172</v>
      </c>
      <c r="AI82" s="289"/>
    </row>
    <row r="83" spans="1:35" s="242" customFormat="1" ht="20.25" customHeight="1">
      <c r="A83" s="545">
        <v>70</v>
      </c>
      <c r="B83" s="546" t="str">
        <f>VLOOKUP(C83,'DS CN MOI UP'!$B$10:$C$389,2,0)</f>
        <v>02529</v>
      </c>
      <c r="C83" s="590" t="s">
        <v>193</v>
      </c>
      <c r="D83" s="257" t="s">
        <v>15</v>
      </c>
      <c r="E83" s="776"/>
      <c r="F83" s="548">
        <f>+VLOOKUP(C83,THCKT!$C$13:$AE$460,17,0)</f>
        <v>24</v>
      </c>
      <c r="G83" s="549">
        <f t="shared" si="11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2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KT'!$D$16:$Y$184,21,0)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 t="shared" si="15"/>
        <v>#N/A</v>
      </c>
      <c r="AD83" s="580" t="e">
        <f t="shared" si="13"/>
        <v>#N/A</v>
      </c>
      <c r="AE83" s="580" t="e">
        <f t="shared" si="10"/>
        <v>#N/A</v>
      </c>
      <c r="AF83" s="789"/>
      <c r="AG83" s="581"/>
      <c r="AH83" s="588" t="s">
        <v>2172</v>
      </c>
      <c r="AI83" s="289"/>
    </row>
    <row r="84" spans="1:35" s="242" customFormat="1" ht="20.25" customHeight="1">
      <c r="A84" s="545">
        <v>71</v>
      </c>
      <c r="B84" s="546" t="str">
        <f>VLOOKUP(C84,'DS CN MOI UP'!$B$10:$C$389,2,0)</f>
        <v>02531</v>
      </c>
      <c r="C84" s="590" t="s">
        <v>194</v>
      </c>
      <c r="D84" s="257" t="s">
        <v>15</v>
      </c>
      <c r="E84" s="776"/>
      <c r="F84" s="548">
        <f>+VLOOKUP(C84,THCKT!$C$13:$AE$460,17,0)</f>
        <v>24</v>
      </c>
      <c r="G84" s="549">
        <f t="shared" si="11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2"/>
        <v>#N/A</v>
      </c>
      <c r="O84" s="565" t="e">
        <f>Q84/((Q84/(N84*$F$9)*$F$8))</f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KT'!$D$16:$Y$184,21,0)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 t="shared" si="15"/>
        <v>#N/A</v>
      </c>
      <c r="AD84" s="580" t="e">
        <f t="shared" si="13"/>
        <v>#N/A</v>
      </c>
      <c r="AE84" s="580" t="e">
        <f t="shared" si="10"/>
        <v>#N/A</v>
      </c>
      <c r="AF84" s="789"/>
      <c r="AG84" s="581"/>
      <c r="AH84" s="588" t="s">
        <v>2172</v>
      </c>
      <c r="AI84" s="289"/>
    </row>
    <row r="85" spans="1:35" s="242" customFormat="1" ht="20.25" customHeight="1">
      <c r="A85" s="545">
        <v>72</v>
      </c>
      <c r="B85" s="546" t="str">
        <f>VLOOKUP(C85,'DS CN MOI UP'!$B$10:$C$389,2,0)</f>
        <v>02539</v>
      </c>
      <c r="C85" s="590" t="s">
        <v>195</v>
      </c>
      <c r="D85" s="257" t="s">
        <v>15</v>
      </c>
      <c r="E85" s="776"/>
      <c r="F85" s="548">
        <f>+VLOOKUP(C85,THCKT!$C$13:$AE$460,17,0)</f>
        <v>24</v>
      </c>
      <c r="G85" s="549">
        <f t="shared" si="11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2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4"/>
        <v>#N/A</v>
      </c>
      <c r="R85" s="549" t="e">
        <f>VLOOKUP(C85,'LƯƠNG KT'!$D$16:$Y$184,16,0)</f>
        <v>#N/A</v>
      </c>
      <c r="S85" s="549" t="e">
        <f>VLOOKUP(C85,'LƯƠNG KT'!$D$16:$Y$184,17,0)</f>
        <v>#N/A</v>
      </c>
      <c r="T85" s="549" t="e">
        <f>VLOOKUP(C85,'LƯƠNG KT'!$D$16:$Y$184,18,0)</f>
        <v>#N/A</v>
      </c>
      <c r="U85" s="549" t="e">
        <f>VLOOKUP(C85,'LƯƠNG KT'!$D$16:$Y$184,18,0)</f>
        <v>#N/A</v>
      </c>
      <c r="V85" s="549" t="e">
        <f>VLOOKUP(C85,'LƯƠNG KT'!$D$16:$Y$184,19,0)</f>
        <v>#N/A</v>
      </c>
      <c r="W85" s="549" t="e">
        <f>VLOOKUP(C85,'LƯƠNG KT'!$D$16:$Y$184,20,0)</f>
        <v>#N/A</v>
      </c>
      <c r="X85" s="549" t="e">
        <f>VLOOKUP(C85,'LƯƠNG KT'!$D$16:$Y$184,21,0)</f>
        <v>#N/A</v>
      </c>
      <c r="Y85" s="549" t="e">
        <f>VLOOKUP(C85,'LƯƠNG KT'!$D$16:$Y$184,23,0)</f>
        <v>#N/A</v>
      </c>
      <c r="Z85" s="549" t="e">
        <f>VLOOKUP(C85,'LƯƠNG KT'!$D$16:$Y$184,24,0)</f>
        <v>#N/A</v>
      </c>
      <c r="AA85" s="549">
        <v>20</v>
      </c>
      <c r="AB85" s="549"/>
      <c r="AC85" s="580" t="e">
        <f t="shared" si="15"/>
        <v>#N/A</v>
      </c>
      <c r="AD85" s="580" t="e">
        <f t="shared" si="13"/>
        <v>#N/A</v>
      </c>
      <c r="AE85" s="580" t="e">
        <f t="shared" si="10"/>
        <v>#N/A</v>
      </c>
      <c r="AF85" s="789"/>
      <c r="AG85" s="581"/>
      <c r="AH85" s="588" t="s">
        <v>2172</v>
      </c>
      <c r="AI85" s="289"/>
    </row>
    <row r="86" spans="1:35" s="242" customFormat="1" ht="20.25" customHeight="1">
      <c r="A86" s="545">
        <v>73</v>
      </c>
      <c r="B86" s="546" t="str">
        <f>VLOOKUP(C86,'DS CN MOI UP'!$B$10:$C$389,2,0)</f>
        <v>03380</v>
      </c>
      <c r="C86" s="590" t="s">
        <v>196</v>
      </c>
      <c r="D86" s="257" t="s">
        <v>15</v>
      </c>
      <c r="E86" s="776"/>
      <c r="F86" s="548">
        <f>+VLOOKUP(C86,THCKT!$C$13:$AE$460,17,0)</f>
        <v>24</v>
      </c>
      <c r="G86" s="549">
        <f t="shared" si="11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2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4"/>
        <v>#N/A</v>
      </c>
      <c r="R86" s="549" t="e">
        <f>VLOOKUP(C86,'LƯƠNG KT'!$D$16:$Y$184,16,0)</f>
        <v>#N/A</v>
      </c>
      <c r="S86" s="549" t="e">
        <f>VLOOKUP(C86,'LƯƠNG KT'!$D$16:$Y$184,17,0)</f>
        <v>#N/A</v>
      </c>
      <c r="T86" s="549" t="e">
        <f>VLOOKUP(C86,'LƯƠNG KT'!$D$16:$Y$184,18,0)</f>
        <v>#N/A</v>
      </c>
      <c r="U86" s="549" t="e">
        <f>VLOOKUP(C86,'LƯƠNG KT'!$D$16:$Y$184,18,0)</f>
        <v>#N/A</v>
      </c>
      <c r="V86" s="549" t="e">
        <f>VLOOKUP(C86,'LƯƠNG KT'!$D$16:$Y$184,19,0)</f>
        <v>#N/A</v>
      </c>
      <c r="W86" s="549" t="e">
        <f>VLOOKUP(C86,'LƯƠNG KT'!$D$16:$Y$184,20,0)</f>
        <v>#N/A</v>
      </c>
      <c r="X86" s="549" t="e">
        <f>VLOOKUP(C86,'LƯƠNG KT'!$D$16:$Y$184,21,0)</f>
        <v>#N/A</v>
      </c>
      <c r="Y86" s="549" t="e">
        <f>VLOOKUP(C86,'LƯƠNG KT'!$D$16:$Y$184,23,0)</f>
        <v>#N/A</v>
      </c>
      <c r="Z86" s="549" t="e">
        <f>VLOOKUP(C86,'LƯƠNG KT'!$D$16:$Y$184,24,0)</f>
        <v>#N/A</v>
      </c>
      <c r="AA86" s="549">
        <v>20</v>
      </c>
      <c r="AB86" s="549"/>
      <c r="AC86" s="580" t="e">
        <f t="shared" si="15"/>
        <v>#N/A</v>
      </c>
      <c r="AD86" s="580" t="e">
        <f t="shared" si="13"/>
        <v>#N/A</v>
      </c>
      <c r="AE86" s="580" t="e">
        <f t="shared" si="10"/>
        <v>#N/A</v>
      </c>
      <c r="AF86" s="789"/>
      <c r="AG86" s="581"/>
      <c r="AH86" s="588" t="s">
        <v>2172</v>
      </c>
      <c r="AI86" s="289"/>
    </row>
    <row r="87" spans="1:35" s="242" customFormat="1" ht="20.25" customHeight="1">
      <c r="A87" s="545">
        <v>74</v>
      </c>
      <c r="B87" s="546" t="str">
        <f>VLOOKUP(C87,'DS CN MOI UP'!$B$10:$C$389,2,0)</f>
        <v>02561</v>
      </c>
      <c r="C87" s="590" t="s">
        <v>197</v>
      </c>
      <c r="D87" s="257" t="s">
        <v>15</v>
      </c>
      <c r="E87" s="776"/>
      <c r="F87" s="548">
        <f>+VLOOKUP(C87,THCKT!$C$13:$AE$460,17,0)</f>
        <v>24</v>
      </c>
      <c r="G87" s="549">
        <f t="shared" si="11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2"/>
        <v>#N/A</v>
      </c>
      <c r="O87" s="565" t="e">
        <f>Q87/((Q87/(N87*$F$9)*$F$8))</f>
        <v>#N/A</v>
      </c>
      <c r="P87" s="566" t="e">
        <f>VLOOKUP(C87,THCKT!$C$13:$AL$460,36,0)</f>
        <v>#N/A</v>
      </c>
      <c r="Q87" s="567" t="e">
        <f t="shared" si="14"/>
        <v>#N/A</v>
      </c>
      <c r="R87" s="549" t="e">
        <f>VLOOKUP(C87,'LƯƠNG KT'!$D$16:$Y$184,16,0)</f>
        <v>#N/A</v>
      </c>
      <c r="S87" s="549" t="e">
        <f>VLOOKUP(C87,'LƯƠNG KT'!$D$16:$Y$184,17,0)</f>
        <v>#N/A</v>
      </c>
      <c r="T87" s="549" t="e">
        <f>VLOOKUP(C87,'LƯƠNG KT'!$D$16:$Y$184,18,0)</f>
        <v>#N/A</v>
      </c>
      <c r="U87" s="549" t="e">
        <f>VLOOKUP(C87,'LƯƠNG KT'!$D$16:$Y$184,18,0)</f>
        <v>#N/A</v>
      </c>
      <c r="V87" s="549" t="e">
        <f>VLOOKUP(C87,'LƯƠNG KT'!$D$16:$Y$184,19,0)</f>
        <v>#N/A</v>
      </c>
      <c r="W87" s="549" t="e">
        <f>VLOOKUP(C87,'LƯƠNG KT'!$D$16:$Y$184,20,0)</f>
        <v>#N/A</v>
      </c>
      <c r="X87" s="549" t="e">
        <f>VLOOKUP(C87,'LƯƠNG KT'!$D$16:$Y$184,21,0)</f>
        <v>#N/A</v>
      </c>
      <c r="Y87" s="549" t="e">
        <f>VLOOKUP(C87,'LƯƠNG KT'!$D$16:$Y$184,23,0)</f>
        <v>#N/A</v>
      </c>
      <c r="Z87" s="549" t="e">
        <f>VLOOKUP(C87,'LƯƠNG KT'!$D$16:$Y$184,24,0)</f>
        <v>#N/A</v>
      </c>
      <c r="AA87" s="549">
        <v>20</v>
      </c>
      <c r="AB87" s="549"/>
      <c r="AC87" s="580" t="e">
        <f t="shared" si="15"/>
        <v>#N/A</v>
      </c>
      <c r="AD87" s="580" t="e">
        <f t="shared" si="13"/>
        <v>#N/A</v>
      </c>
      <c r="AE87" s="580" t="e">
        <f t="shared" si="10"/>
        <v>#N/A</v>
      </c>
      <c r="AF87" s="789"/>
      <c r="AG87" s="581"/>
      <c r="AH87" s="588" t="s">
        <v>2172</v>
      </c>
      <c r="AI87" s="289"/>
    </row>
    <row r="88" spans="1:35" s="242" customFormat="1" ht="20.25" customHeight="1">
      <c r="A88" s="545">
        <v>75</v>
      </c>
      <c r="B88" s="546" t="str">
        <f>VLOOKUP(C88,'DS CN MOI UP'!$B$10:$C$389,2,0)</f>
        <v>02533</v>
      </c>
      <c r="C88" s="590" t="s">
        <v>198</v>
      </c>
      <c r="D88" s="257" t="s">
        <v>15</v>
      </c>
      <c r="E88" s="776"/>
      <c r="F88" s="548">
        <f>+VLOOKUP(C88,THCKT!$C$13:$AE$460,17,0)</f>
        <v>24</v>
      </c>
      <c r="G88" s="549">
        <f t="shared" si="11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2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4"/>
        <v>#N/A</v>
      </c>
      <c r="R88" s="549" t="e">
        <f>VLOOKUP(C88,'LƯƠNG KT'!$D$16:$Y$184,16,0)</f>
        <v>#N/A</v>
      </c>
      <c r="S88" s="549" t="e">
        <f>VLOOKUP(C88,'LƯƠNG KT'!$D$16:$Y$184,17,0)</f>
        <v>#N/A</v>
      </c>
      <c r="T88" s="549" t="e">
        <f>VLOOKUP(C88,'LƯƠNG KT'!$D$16:$Y$184,18,0)</f>
        <v>#N/A</v>
      </c>
      <c r="U88" s="549" t="e">
        <f>VLOOKUP(C88,'LƯƠNG KT'!$D$16:$Y$184,18,0)</f>
        <v>#N/A</v>
      </c>
      <c r="V88" s="549" t="e">
        <f>VLOOKUP(C88,'LƯƠNG KT'!$D$16:$Y$184,19,0)</f>
        <v>#N/A</v>
      </c>
      <c r="W88" s="549" t="e">
        <f>VLOOKUP(C88,'LƯƠNG KT'!$D$16:$Y$184,20,0)</f>
        <v>#N/A</v>
      </c>
      <c r="X88" s="549" t="e">
        <f>VLOOKUP(C88,'LƯƠNG KT'!$D$16:$Y$184,21,0)</f>
        <v>#N/A</v>
      </c>
      <c r="Y88" s="549" t="e">
        <f>VLOOKUP(C88,'LƯƠNG KT'!$D$16:$Y$184,23,0)</f>
        <v>#N/A</v>
      </c>
      <c r="Z88" s="549" t="e">
        <f>VLOOKUP(C88,'LƯƠNG KT'!$D$16:$Y$184,24,0)</f>
        <v>#N/A</v>
      </c>
      <c r="AA88" s="549">
        <v>20</v>
      </c>
      <c r="AB88" s="549"/>
      <c r="AC88" s="580" t="e">
        <f t="shared" si="15"/>
        <v>#N/A</v>
      </c>
      <c r="AD88" s="580" t="e">
        <f t="shared" si="13"/>
        <v>#N/A</v>
      </c>
      <c r="AE88" s="580" t="e">
        <f t="shared" si="10"/>
        <v>#N/A</v>
      </c>
      <c r="AF88" s="789"/>
      <c r="AG88" s="581"/>
      <c r="AH88" s="588" t="s">
        <v>2172</v>
      </c>
      <c r="AI88" s="289"/>
    </row>
    <row r="89" spans="1:35" s="242" customFormat="1" ht="20.25" customHeight="1">
      <c r="A89" s="545">
        <v>76</v>
      </c>
      <c r="B89" s="546" t="str">
        <f>VLOOKUP(C89,'DS CN MOI UP'!$B$10:$C$389,2,0)</f>
        <v>02547</v>
      </c>
      <c r="C89" s="590" t="s">
        <v>199</v>
      </c>
      <c r="D89" s="257" t="s">
        <v>15</v>
      </c>
      <c r="E89" s="776"/>
      <c r="F89" s="548">
        <f>+VLOOKUP(C89,THCKT!$C$13:$AE$460,17,0)</f>
        <v>24</v>
      </c>
      <c r="G89" s="549">
        <f t="shared" si="11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2"/>
        <v>#N/A</v>
      </c>
      <c r="O89" s="565" t="e">
        <f>Q89/((Q89/(N89*$F$9)*$F$8))</f>
        <v>#N/A</v>
      </c>
      <c r="P89" s="566" t="e">
        <f>VLOOKUP(C89,THCKT!$C$13:$AL$460,36,0)</f>
        <v>#N/A</v>
      </c>
      <c r="Q89" s="567" t="e">
        <f t="shared" si="14"/>
        <v>#N/A</v>
      </c>
      <c r="R89" s="549" t="e">
        <f>VLOOKUP(C89,'LƯƠNG KT'!$D$16:$Y$184,16,0)</f>
        <v>#N/A</v>
      </c>
      <c r="S89" s="549" t="e">
        <f>VLOOKUP(C89,'LƯƠNG KT'!$D$16:$Y$184,17,0)</f>
        <v>#N/A</v>
      </c>
      <c r="T89" s="549" t="e">
        <f>VLOOKUP(C89,'LƯƠNG KT'!$D$16:$Y$184,18,0)</f>
        <v>#N/A</v>
      </c>
      <c r="U89" s="549" t="e">
        <f>VLOOKUP(C89,'LƯƠNG KT'!$D$16:$Y$184,18,0)</f>
        <v>#N/A</v>
      </c>
      <c r="V89" s="549" t="e">
        <f>VLOOKUP(C89,'LƯƠNG KT'!$D$16:$Y$184,19,0)</f>
        <v>#N/A</v>
      </c>
      <c r="W89" s="549" t="e">
        <f>VLOOKUP(C89,'LƯƠNG KT'!$D$16:$Y$184,20,0)</f>
        <v>#N/A</v>
      </c>
      <c r="X89" s="549" t="e">
        <f>VLOOKUP(C89,'LƯƠNG KT'!$D$16:$Y$184,21,0)</f>
        <v>#N/A</v>
      </c>
      <c r="Y89" s="549" t="e">
        <f>VLOOKUP(C89,'LƯƠNG KT'!$D$16:$Y$184,23,0)</f>
        <v>#N/A</v>
      </c>
      <c r="Z89" s="549" t="e">
        <f>VLOOKUP(C89,'LƯƠNG KT'!$D$16:$Y$184,24,0)</f>
        <v>#N/A</v>
      </c>
      <c r="AA89" s="549">
        <v>20</v>
      </c>
      <c r="AB89" s="549"/>
      <c r="AC89" s="580" t="e">
        <f t="shared" si="15"/>
        <v>#N/A</v>
      </c>
      <c r="AD89" s="580" t="e">
        <f t="shared" si="13"/>
        <v>#N/A</v>
      </c>
      <c r="AE89" s="580" t="e">
        <f t="shared" si="10"/>
        <v>#N/A</v>
      </c>
      <c r="AF89" s="789"/>
      <c r="AG89" s="581"/>
      <c r="AH89" s="588" t="s">
        <v>2172</v>
      </c>
      <c r="AI89" s="289"/>
    </row>
    <row r="90" spans="1:35" s="242" customFormat="1" ht="20.25" customHeight="1">
      <c r="A90" s="545">
        <v>77</v>
      </c>
      <c r="B90" s="546" t="str">
        <f>VLOOKUP(C90,'DS CN MOI UP'!$B$10:$C$389,2,0)</f>
        <v>02550</v>
      </c>
      <c r="C90" s="590" t="s">
        <v>200</v>
      </c>
      <c r="D90" s="257" t="s">
        <v>15</v>
      </c>
      <c r="E90" s="776"/>
      <c r="F90" s="548">
        <f>+VLOOKUP(C90,THCKT!$C$13:$AE$460,17,0)</f>
        <v>24</v>
      </c>
      <c r="G90" s="549">
        <f t="shared" si="11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2"/>
        <v>#N/A</v>
      </c>
      <c r="O90" s="565" t="e">
        <f>Q90/((Q90/(N90*$F$9)*$F$8))</f>
        <v>#N/A</v>
      </c>
      <c r="P90" s="566" t="e">
        <f>VLOOKUP(C90,THCKT!$C$13:$AL$460,36,0)</f>
        <v>#N/A</v>
      </c>
      <c r="Q90" s="567" t="e">
        <f t="shared" si="14"/>
        <v>#N/A</v>
      </c>
      <c r="R90" s="549" t="e">
        <f>VLOOKUP(C90,'LƯƠNG KT'!$D$16:$Y$184,16,0)</f>
        <v>#N/A</v>
      </c>
      <c r="S90" s="549" t="e">
        <f>VLOOKUP(C90,'LƯƠNG KT'!$D$16:$Y$184,17,0)</f>
        <v>#N/A</v>
      </c>
      <c r="T90" s="549" t="e">
        <f>VLOOKUP(C90,'LƯƠNG KT'!$D$16:$Y$184,18,0)</f>
        <v>#N/A</v>
      </c>
      <c r="U90" s="549" t="e">
        <f>VLOOKUP(C90,'LƯƠNG KT'!$D$16:$Y$184,18,0)</f>
        <v>#N/A</v>
      </c>
      <c r="V90" s="549" t="e">
        <f>VLOOKUP(C90,'LƯƠNG KT'!$D$16:$Y$184,19,0)</f>
        <v>#N/A</v>
      </c>
      <c r="W90" s="549" t="e">
        <f>VLOOKUP(C90,'LƯƠNG KT'!$D$16:$Y$184,20,0)</f>
        <v>#N/A</v>
      </c>
      <c r="X90" s="549" t="e">
        <f>VLOOKUP(C90,'LƯƠNG KT'!$D$16:$Y$184,21,0)</f>
        <v>#N/A</v>
      </c>
      <c r="Y90" s="549" t="e">
        <f>VLOOKUP(C90,'LƯƠNG KT'!$D$16:$Y$184,23,0)</f>
        <v>#N/A</v>
      </c>
      <c r="Z90" s="549" t="e">
        <f>VLOOKUP(C90,'LƯƠNG KT'!$D$16:$Y$184,24,0)</f>
        <v>#N/A</v>
      </c>
      <c r="AA90" s="549">
        <v>20</v>
      </c>
      <c r="AB90" s="549"/>
      <c r="AC90" s="580" t="e">
        <f t="shared" si="15"/>
        <v>#N/A</v>
      </c>
      <c r="AD90" s="580" t="e">
        <f t="shared" si="13"/>
        <v>#N/A</v>
      </c>
      <c r="AE90" s="580" t="e">
        <f t="shared" si="10"/>
        <v>#N/A</v>
      </c>
      <c r="AF90" s="789"/>
      <c r="AG90" s="581"/>
      <c r="AH90" s="588" t="s">
        <v>2172</v>
      </c>
      <c r="AI90" s="289"/>
    </row>
    <row r="91" spans="1:35" s="242" customFormat="1" ht="20.25" customHeight="1">
      <c r="A91" s="545">
        <v>78</v>
      </c>
      <c r="B91" s="546" t="str">
        <f>VLOOKUP(C91,'DS CN MOI UP'!$B$10:$C$389,2,0)</f>
        <v>02566</v>
      </c>
      <c r="C91" s="590" t="s">
        <v>201</v>
      </c>
      <c r="D91" s="257" t="s">
        <v>15</v>
      </c>
      <c r="E91" s="776"/>
      <c r="F91" s="548">
        <f>+VLOOKUP(C91,THCKT!$C$13:$AE$460,17,0)</f>
        <v>24</v>
      </c>
      <c r="G91" s="549">
        <f t="shared" si="11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2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4"/>
        <v>#N/A</v>
      </c>
      <c r="R91" s="549" t="e">
        <f>VLOOKUP(C91,'LƯƠNG KT'!$D$16:$Y$184,16,0)</f>
        <v>#N/A</v>
      </c>
      <c r="S91" s="549" t="e">
        <f>VLOOKUP(C91,'LƯƠNG KT'!$D$16:$Y$184,17,0)</f>
        <v>#N/A</v>
      </c>
      <c r="T91" s="549" t="e">
        <f>VLOOKUP(C91,'LƯƠNG KT'!$D$16:$Y$184,18,0)</f>
        <v>#N/A</v>
      </c>
      <c r="U91" s="549" t="e">
        <f>VLOOKUP(C91,'LƯƠNG KT'!$D$16:$Y$184,18,0)</f>
        <v>#N/A</v>
      </c>
      <c r="V91" s="549" t="e">
        <f>VLOOKUP(C91,'LƯƠNG KT'!$D$16:$Y$184,19,0)</f>
        <v>#N/A</v>
      </c>
      <c r="W91" s="549" t="e">
        <f>VLOOKUP(C91,'LƯƠNG KT'!$D$16:$Y$184,20,0)</f>
        <v>#N/A</v>
      </c>
      <c r="X91" s="549" t="e">
        <f>VLOOKUP(C91,'LƯƠNG KT'!$D$16:$Y$184,21,0)</f>
        <v>#N/A</v>
      </c>
      <c r="Y91" s="549" t="e">
        <f>VLOOKUP(C91,'LƯƠNG KT'!$D$16:$Y$184,23,0)</f>
        <v>#N/A</v>
      </c>
      <c r="Z91" s="549" t="e">
        <f>VLOOKUP(C91,'LƯƠNG KT'!$D$16:$Y$184,24,0)</f>
        <v>#N/A</v>
      </c>
      <c r="AA91" s="549">
        <v>20</v>
      </c>
      <c r="AB91" s="549"/>
      <c r="AC91" s="580" t="e">
        <f t="shared" si="15"/>
        <v>#N/A</v>
      </c>
      <c r="AD91" s="580" t="e">
        <f t="shared" si="13"/>
        <v>#N/A</v>
      </c>
      <c r="AE91" s="580" t="e">
        <f t="shared" si="10"/>
        <v>#N/A</v>
      </c>
      <c r="AF91" s="789"/>
      <c r="AG91" s="581"/>
      <c r="AH91" s="588" t="s">
        <v>2172</v>
      </c>
      <c r="AI91" s="289"/>
    </row>
    <row r="92" spans="1:35" s="242" customFormat="1" ht="20.25" customHeight="1">
      <c r="A92" s="545">
        <v>79</v>
      </c>
      <c r="B92" s="546" t="str">
        <f>VLOOKUP(C92,'DS CN MOI UP'!$B$10:$C$389,2,0)</f>
        <v>03381</v>
      </c>
      <c r="C92" s="590" t="s">
        <v>202</v>
      </c>
      <c r="D92" s="257" t="s">
        <v>15</v>
      </c>
      <c r="E92" s="776"/>
      <c r="F92" s="548">
        <f>+VLOOKUP(C92,THCKT!$C$13:$AE$460,17,0)</f>
        <v>24</v>
      </c>
      <c r="G92" s="549">
        <f t="shared" si="11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2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4"/>
        <v>#N/A</v>
      </c>
      <c r="R92" s="549" t="e">
        <f>VLOOKUP(C92,'LƯƠNG KT'!$D$16:$Y$184,16,0)</f>
        <v>#N/A</v>
      </c>
      <c r="S92" s="549" t="e">
        <f>VLOOKUP(C92,'LƯƠNG KT'!$D$16:$Y$184,17,0)</f>
        <v>#N/A</v>
      </c>
      <c r="T92" s="549" t="e">
        <f>VLOOKUP(C92,'LƯƠNG KT'!$D$16:$Y$184,18,0)</f>
        <v>#N/A</v>
      </c>
      <c r="U92" s="549" t="e">
        <f>VLOOKUP(C92,'LƯƠNG KT'!$D$16:$Y$184,18,0)</f>
        <v>#N/A</v>
      </c>
      <c r="V92" s="549" t="e">
        <f>VLOOKUP(C92,'LƯƠNG KT'!$D$16:$Y$184,19,0)</f>
        <v>#N/A</v>
      </c>
      <c r="W92" s="549" t="e">
        <f>VLOOKUP(C92,'LƯƠNG KT'!$D$16:$Y$184,20,0)</f>
        <v>#N/A</v>
      </c>
      <c r="X92" s="549" t="e">
        <f>VLOOKUP(C92,'LƯƠNG KT'!$D$16:$Y$184,21,0)</f>
        <v>#N/A</v>
      </c>
      <c r="Y92" s="549" t="e">
        <f>VLOOKUP(C92,'LƯƠNG KT'!$D$16:$Y$184,23,0)</f>
        <v>#N/A</v>
      </c>
      <c r="Z92" s="549" t="e">
        <f>VLOOKUP(C92,'LƯƠNG KT'!$D$16:$Y$184,24,0)</f>
        <v>#N/A</v>
      </c>
      <c r="AA92" s="549">
        <v>20</v>
      </c>
      <c r="AB92" s="549"/>
      <c r="AC92" s="580" t="e">
        <f t="shared" si="15"/>
        <v>#N/A</v>
      </c>
      <c r="AD92" s="580" t="e">
        <f t="shared" si="13"/>
        <v>#N/A</v>
      </c>
      <c r="AE92" s="580" t="e">
        <f t="shared" si="10"/>
        <v>#N/A</v>
      </c>
      <c r="AF92" s="789"/>
      <c r="AG92" s="581"/>
      <c r="AH92" s="588" t="s">
        <v>2172</v>
      </c>
      <c r="AI92" s="289"/>
    </row>
    <row r="93" spans="1:35" s="242" customFormat="1" ht="20.25" customHeight="1">
      <c r="A93" s="545">
        <v>80</v>
      </c>
      <c r="B93" s="546" t="str">
        <f>VLOOKUP(C93,'DS CN MOI UP'!$B$10:$C$389,2,0)</f>
        <v>02689</v>
      </c>
      <c r="C93" s="590" t="s">
        <v>203</v>
      </c>
      <c r="D93" s="257" t="s">
        <v>15</v>
      </c>
      <c r="E93" s="776"/>
      <c r="F93" s="548">
        <f>+VLOOKUP(C93,THCKT!$C$13:$AE$460,17,0)</f>
        <v>24</v>
      </c>
      <c r="G93" s="549">
        <f t="shared" si="11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2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4"/>
        <v>#N/A</v>
      </c>
      <c r="R93" s="549" t="e">
        <f>VLOOKUP(C93,'LƯƠNG KT'!$D$16:$Y$184,16,0)</f>
        <v>#N/A</v>
      </c>
      <c r="S93" s="549" t="e">
        <f>VLOOKUP(C93,'LƯƠNG KT'!$D$16:$Y$184,17,0)</f>
        <v>#N/A</v>
      </c>
      <c r="T93" s="549" t="e">
        <f>VLOOKUP(C93,'LƯƠNG KT'!$D$16:$Y$184,18,0)</f>
        <v>#N/A</v>
      </c>
      <c r="U93" s="549" t="e">
        <f>VLOOKUP(C93,'LƯƠNG KT'!$D$16:$Y$184,18,0)</f>
        <v>#N/A</v>
      </c>
      <c r="V93" s="549" t="e">
        <f>VLOOKUP(C93,'LƯƠNG KT'!$D$16:$Y$184,19,0)</f>
        <v>#N/A</v>
      </c>
      <c r="W93" s="549" t="e">
        <f>VLOOKUP(C93,'LƯƠNG KT'!$D$16:$Y$184,20,0)</f>
        <v>#N/A</v>
      </c>
      <c r="X93" s="549" t="e">
        <f>VLOOKUP(C93,'LƯƠNG KT'!$D$16:$Y$184,21,0)</f>
        <v>#N/A</v>
      </c>
      <c r="Y93" s="549" t="e">
        <f>VLOOKUP(C93,'LƯƠNG KT'!$D$16:$Y$184,23,0)</f>
        <v>#N/A</v>
      </c>
      <c r="Z93" s="549" t="e">
        <f>VLOOKUP(C93,'LƯƠNG KT'!$D$16:$Y$184,24,0)</f>
        <v>#N/A</v>
      </c>
      <c r="AA93" s="549">
        <v>20</v>
      </c>
      <c r="AB93" s="549"/>
      <c r="AC93" s="580" t="e">
        <f>ROUND((((R93*46.1)+(S93*76.9)+(X93*30.7)+(U93*46.1*2)+(V93*46.1*2)+(W93*76.9*2))*$F$8),0)+T93*10000+Y93*20000+Z93*20000+AA93*25000+2</f>
        <v>#N/A</v>
      </c>
      <c r="AD93" s="580" t="e">
        <f t="shared" si="13"/>
        <v>#N/A</v>
      </c>
      <c r="AE93" s="580" t="e">
        <f t="shared" si="10"/>
        <v>#N/A</v>
      </c>
      <c r="AF93" s="789"/>
      <c r="AG93" s="581"/>
      <c r="AH93" s="588" t="s">
        <v>2172</v>
      </c>
      <c r="AI93" s="289"/>
    </row>
    <row r="94" spans="1:35" s="242" customFormat="1" ht="20.25" customHeight="1">
      <c r="A94" s="545">
        <v>81</v>
      </c>
      <c r="B94" s="546" t="str">
        <f>VLOOKUP(C94,'DS CN MOI UP'!$B$10:$C$389,2,0)</f>
        <v>02546</v>
      </c>
      <c r="C94" s="590" t="s">
        <v>204</v>
      </c>
      <c r="D94" s="257" t="s">
        <v>15</v>
      </c>
      <c r="E94" s="776"/>
      <c r="F94" s="548">
        <f>+VLOOKUP(C94,THCKT!$C$13:$AE$460,17,0)</f>
        <v>24</v>
      </c>
      <c r="G94" s="549">
        <f t="shared" si="11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2"/>
        <v>#N/A</v>
      </c>
      <c r="O94" s="565" t="e">
        <f>Q94/((Q94/(N94*$F$9)*$F$8))</f>
        <v>#N/A</v>
      </c>
      <c r="P94" s="566" t="e">
        <f>VLOOKUP(C94,THCKT!$C$13:$AL$460,36,0)</f>
        <v>#N/A</v>
      </c>
      <c r="Q94" s="567" t="e">
        <f t="shared" si="14"/>
        <v>#N/A</v>
      </c>
      <c r="R94" s="549" t="e">
        <f>VLOOKUP(C94,'LƯƠNG KT'!$D$16:$Y$184,16,0)</f>
        <v>#N/A</v>
      </c>
      <c r="S94" s="549" t="e">
        <f>VLOOKUP(C94,'LƯƠNG KT'!$D$16:$Y$184,17,0)</f>
        <v>#N/A</v>
      </c>
      <c r="T94" s="549" t="e">
        <f>VLOOKUP(C94,'LƯƠNG KT'!$D$16:$Y$184,18,0)</f>
        <v>#N/A</v>
      </c>
      <c r="U94" s="549" t="e">
        <f>VLOOKUP(C94,'LƯƠNG KT'!$D$16:$Y$184,18,0)</f>
        <v>#N/A</v>
      </c>
      <c r="V94" s="549" t="e">
        <f>VLOOKUP(C94,'LƯƠNG KT'!$D$16:$Y$184,19,0)</f>
        <v>#N/A</v>
      </c>
      <c r="W94" s="549" t="e">
        <f>VLOOKUP(C94,'LƯƠNG KT'!$D$16:$Y$184,20,0)</f>
        <v>#N/A</v>
      </c>
      <c r="X94" s="549" t="e">
        <f>VLOOKUP(C94,'LƯƠNG KT'!$D$16:$Y$184,21,0)</f>
        <v>#N/A</v>
      </c>
      <c r="Y94" s="549" t="e">
        <f>VLOOKUP(C94,'LƯƠNG KT'!$D$16:$Y$184,23,0)</f>
        <v>#N/A</v>
      </c>
      <c r="Z94" s="549" t="e">
        <f>VLOOKUP(C94,'LƯƠNG KT'!$D$16:$Y$184,24,0)</f>
        <v>#N/A</v>
      </c>
      <c r="AA94" s="549">
        <v>20</v>
      </c>
      <c r="AB94" s="549"/>
      <c r="AC94" s="580" t="e">
        <f t="shared" si="15"/>
        <v>#N/A</v>
      </c>
      <c r="AD94" s="580" t="e">
        <f t="shared" si="13"/>
        <v>#N/A</v>
      </c>
      <c r="AE94" s="580" t="e">
        <f t="shared" si="10"/>
        <v>#N/A</v>
      </c>
      <c r="AF94" s="789"/>
      <c r="AG94" s="581"/>
      <c r="AH94" s="588" t="s">
        <v>2172</v>
      </c>
      <c r="AI94" s="289"/>
    </row>
    <row r="95" spans="1:35" s="242" customFormat="1" ht="20.25" customHeight="1">
      <c r="A95" s="545">
        <v>82</v>
      </c>
      <c r="B95" s="546" t="str">
        <f>VLOOKUP(C95,'DS CN MOI UP'!$B$10:$C$389,2,0)</f>
        <v>02559</v>
      </c>
      <c r="C95" s="590" t="s">
        <v>205</v>
      </c>
      <c r="D95" s="257" t="s">
        <v>15</v>
      </c>
      <c r="E95" s="776"/>
      <c r="F95" s="548">
        <f>+VLOOKUP(C95,THCKT!$C$13:$AE$460,17,0)</f>
        <v>24</v>
      </c>
      <c r="G95" s="549">
        <f t="shared" si="11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2"/>
        <v>#N/A</v>
      </c>
      <c r="O95" s="565" t="e">
        <f>Q95/((Q95/(N95*$F$9)*$F$8))</f>
        <v>#N/A</v>
      </c>
      <c r="P95" s="566" t="e">
        <f>VLOOKUP(C95,THCKT!$C$13:$AL$460,36,0)</f>
        <v>#N/A</v>
      </c>
      <c r="Q95" s="567" t="e">
        <f t="shared" si="14"/>
        <v>#N/A</v>
      </c>
      <c r="R95" s="549" t="e">
        <f>VLOOKUP(C95,'LƯƠNG KT'!$D$16:$Y$184,16,0)</f>
        <v>#N/A</v>
      </c>
      <c r="S95" s="549" t="e">
        <f>VLOOKUP(C95,'LƯƠNG KT'!$D$16:$Y$184,17,0)</f>
        <v>#N/A</v>
      </c>
      <c r="T95" s="549" t="e">
        <f>VLOOKUP(C95,'LƯƠNG KT'!$D$16:$Y$184,18,0)</f>
        <v>#N/A</v>
      </c>
      <c r="U95" s="549" t="e">
        <f>VLOOKUP(C95,'LƯƠNG KT'!$D$16:$Y$184,18,0)</f>
        <v>#N/A</v>
      </c>
      <c r="V95" s="549" t="e">
        <f>VLOOKUP(C95,'LƯƠNG KT'!$D$16:$Y$184,19,0)</f>
        <v>#N/A</v>
      </c>
      <c r="W95" s="549" t="e">
        <f>VLOOKUP(C95,'LƯƠNG KT'!$D$16:$Y$184,20,0)</f>
        <v>#N/A</v>
      </c>
      <c r="X95" s="549" t="e">
        <f>VLOOKUP(C95,'LƯƠNG KT'!$D$16:$Y$184,21,0)</f>
        <v>#N/A</v>
      </c>
      <c r="Y95" s="549" t="e">
        <f>VLOOKUP(C95,'LƯƠNG KT'!$D$16:$Y$184,23,0)</f>
        <v>#N/A</v>
      </c>
      <c r="Z95" s="549" t="e">
        <f>VLOOKUP(C95,'LƯƠNG KT'!$D$16:$Y$184,24,0)</f>
        <v>#N/A</v>
      </c>
      <c r="AA95" s="549">
        <v>20</v>
      </c>
      <c r="AB95" s="549"/>
      <c r="AC95" s="580" t="e">
        <f t="shared" si="15"/>
        <v>#N/A</v>
      </c>
      <c r="AD95" s="580" t="e">
        <f t="shared" si="13"/>
        <v>#N/A</v>
      </c>
      <c r="AE95" s="580" t="e">
        <f t="shared" si="10"/>
        <v>#N/A</v>
      </c>
      <c r="AF95" s="789"/>
      <c r="AG95" s="581"/>
      <c r="AH95" s="588" t="s">
        <v>2172</v>
      </c>
      <c r="AI95" s="289"/>
    </row>
    <row r="96" spans="1:35" s="242" customFormat="1" ht="20.25" customHeight="1">
      <c r="A96" s="545">
        <v>83</v>
      </c>
      <c r="B96" s="546" t="e">
        <f>VLOOKUP(C96,'DS CN MOI UP'!$B$10:$C$389,2,0)</f>
        <v>#N/A</v>
      </c>
      <c r="C96" s="590" t="s">
        <v>505</v>
      </c>
      <c r="D96" s="257" t="s">
        <v>1488</v>
      </c>
      <c r="E96" s="776"/>
      <c r="F96" s="548">
        <f>+VLOOKUP(C96,THCKT!$C$13:$AE$460,17,0)</f>
        <v>0</v>
      </c>
      <c r="G96" s="549">
        <f t="shared" si="11"/>
        <v>0</v>
      </c>
      <c r="H96" s="549"/>
      <c r="I96" s="549"/>
      <c r="J96" s="549"/>
      <c r="K96" s="549" t="e">
        <f>VLOOKUP(C96,THCKT!$C$13:$AL$460,21,0)</f>
        <v>#N/A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2"/>
        <v>#N/A</v>
      </c>
      <c r="O96" s="565" t="e">
        <f t="shared" si="12"/>
        <v>#N/A</v>
      </c>
      <c r="P96" s="566">
        <f>VLOOKUP(C96,THCKT!$C$13:$AL$460,33,0)</f>
        <v>0</v>
      </c>
      <c r="Q96" s="567" t="e">
        <f t="shared" si="14"/>
        <v>#REF!</v>
      </c>
      <c r="R96" s="549" t="e">
        <f>VLOOKUP(C96,'LƯƠNG KT'!$D$16:$Y$184,16,0)</f>
        <v>#N/A</v>
      </c>
      <c r="S96" s="549" t="e">
        <f>VLOOKUP(C96,'LƯƠNG KT'!$D$16:$Y$184,17,0)</f>
        <v>#N/A</v>
      </c>
      <c r="T96" s="549" t="e">
        <f>VLOOKUP(C96,'LƯƠNG KT'!$D$16:$Y$184,18,0)</f>
        <v>#N/A</v>
      </c>
      <c r="U96" s="549" t="e">
        <f>VLOOKUP(C96,'LƯƠNG KT'!$D$16:$Y$184,18,0)</f>
        <v>#N/A</v>
      </c>
      <c r="V96" s="549" t="e">
        <f>VLOOKUP(C96,'LƯƠNG KT'!$D$16:$Y$184,19,0)</f>
        <v>#N/A</v>
      </c>
      <c r="W96" s="549" t="e">
        <f>VLOOKUP(C96,'LƯƠNG KT'!$D$16:$Y$184,20,0)</f>
        <v>#N/A</v>
      </c>
      <c r="X96" s="549" t="e">
        <f>VLOOKUP(C96,'LƯƠNG KT'!$D$16:$Y$184,21,0)</f>
        <v>#N/A</v>
      </c>
      <c r="Y96" s="549" t="e">
        <f>VLOOKUP(C96,'LƯƠNG KT'!$D$16:$Y$184,23,0)</f>
        <v>#N/A</v>
      </c>
      <c r="Z96" s="549" t="e">
        <f>VLOOKUP(C96,'LƯƠNG KT'!$D$16:$Y$184,24,0)</f>
        <v>#N/A</v>
      </c>
      <c r="AA96" s="549"/>
      <c r="AB96" s="549"/>
      <c r="AC96" s="580" t="e">
        <f t="shared" si="15"/>
        <v>#N/A</v>
      </c>
      <c r="AD96" s="580" t="e">
        <f t="shared" si="13"/>
        <v>#N/A</v>
      </c>
      <c r="AE96" s="580" t="e">
        <f t="shared" si="10"/>
        <v>#N/A</v>
      </c>
      <c r="AF96" s="789"/>
      <c r="AG96" s="581"/>
      <c r="AH96" s="588" t="s">
        <v>2172</v>
      </c>
      <c r="AI96" s="289"/>
    </row>
    <row r="97" spans="1:38" s="242" customFormat="1" ht="20.25" customHeight="1">
      <c r="A97" s="545">
        <v>84</v>
      </c>
      <c r="B97" s="546" t="e">
        <f>VLOOKUP(C97,'DS CN MOI UP'!$B$10:$C$389,2,0)</f>
        <v>#N/A</v>
      </c>
      <c r="C97" s="590" t="s">
        <v>506</v>
      </c>
      <c r="D97" s="257" t="s">
        <v>1488</v>
      </c>
      <c r="E97" s="776"/>
      <c r="F97" s="548">
        <f>+VLOOKUP(C97,THCKT!$C$13:$AE$460,17,0)</f>
        <v>0</v>
      </c>
      <c r="G97" s="549">
        <f t="shared" si="11"/>
        <v>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2"/>
        <v>#N/A</v>
      </c>
      <c r="O97" s="565" t="e">
        <f t="shared" si="12"/>
        <v>#N/A</v>
      </c>
      <c r="P97" s="566">
        <f>VLOOKUP(C97,THCKT!$C$13:$AL$460,33,0)</f>
        <v>0</v>
      </c>
      <c r="Q97" s="567" t="e">
        <f t="shared" si="14"/>
        <v>#REF!</v>
      </c>
      <c r="R97" s="549" t="e">
        <f>VLOOKUP(C97,'LƯƠNG KT'!$D$16:$Y$184,16,0)</f>
        <v>#N/A</v>
      </c>
      <c r="S97" s="549" t="e">
        <f>VLOOKUP(C97,'LƯƠNG KT'!$D$16:$Y$184,17,0)</f>
        <v>#N/A</v>
      </c>
      <c r="T97" s="549" t="e">
        <f>VLOOKUP(C97,'LƯƠNG KT'!$D$16:$Y$184,18,0)</f>
        <v>#N/A</v>
      </c>
      <c r="U97" s="549" t="e">
        <f>VLOOKUP(C97,'LƯƠNG KT'!$D$16:$Y$184,18,0)</f>
        <v>#N/A</v>
      </c>
      <c r="V97" s="549" t="e">
        <f>VLOOKUP(C97,'LƯƠNG KT'!$D$16:$Y$184,19,0)</f>
        <v>#N/A</v>
      </c>
      <c r="W97" s="549" t="e">
        <f>VLOOKUP(C97,'LƯƠNG KT'!$D$16:$Y$184,20,0)</f>
        <v>#N/A</v>
      </c>
      <c r="X97" s="549" t="e">
        <f>VLOOKUP(C97,'LƯƠNG KT'!$D$16:$Y$184,21,0)</f>
        <v>#N/A</v>
      </c>
      <c r="Y97" s="549" t="e">
        <f>VLOOKUP(C97,'LƯƠNG KT'!$D$16:$Y$184,23,0)</f>
        <v>#N/A</v>
      </c>
      <c r="Z97" s="549" t="e">
        <f>VLOOKUP(C97,'LƯƠNG KT'!$D$16:$Y$184,24,0)</f>
        <v>#N/A</v>
      </c>
      <c r="AA97" s="549"/>
      <c r="AB97" s="549"/>
      <c r="AC97" s="580" t="e">
        <f t="shared" si="15"/>
        <v>#N/A</v>
      </c>
      <c r="AD97" s="580" t="e">
        <f t="shared" si="13"/>
        <v>#N/A</v>
      </c>
      <c r="AE97" s="580" t="e">
        <f t="shared" si="10"/>
        <v>#N/A</v>
      </c>
      <c r="AF97" s="789"/>
      <c r="AG97" s="581"/>
      <c r="AH97" s="588" t="s">
        <v>2172</v>
      </c>
      <c r="AI97" s="289">
        <f>+K98*AI5</f>
        <v>0</v>
      </c>
    </row>
    <row r="98" spans="1:38" s="242" customFormat="1" ht="20.25" customHeight="1">
      <c r="A98" s="545">
        <v>85</v>
      </c>
      <c r="B98" s="546" t="e">
        <f>VLOOKUP(C98,'DS CN MOI UP'!$B$10:$C$389,2,0)</f>
        <v>#N/A</v>
      </c>
      <c r="C98" s="590" t="s">
        <v>1232</v>
      </c>
      <c r="D98" s="257" t="s">
        <v>1713</v>
      </c>
      <c r="E98" s="776"/>
      <c r="F98" s="548">
        <f>+VLOOKUP(C98,THCKT!$C$13:$AE$460,17,0)</f>
        <v>6996.2759999999998</v>
      </c>
      <c r="G98" s="549">
        <f t="shared" si="11"/>
        <v>174906900</v>
      </c>
      <c r="H98" s="549"/>
      <c r="I98" s="549"/>
      <c r="J98" s="549"/>
      <c r="K98" s="549">
        <f>VLOOKUP(C98,THCKT!$C$13:$AL$460,21,0)</f>
        <v>0</v>
      </c>
      <c r="L98" s="565">
        <f>VLOOKUP(C98,THCKT!$C$13:$AL$460,22,0)</f>
        <v>0</v>
      </c>
      <c r="M98" s="565">
        <f>VLOOKUP(C98,THCKT!$C$13:$AL$460,23,0)</f>
        <v>0</v>
      </c>
      <c r="N98" s="565">
        <f>VLOOKUP(C98,THCKT!$C$13:$AL$460,24,0)</f>
        <v>0</v>
      </c>
      <c r="O98" s="565"/>
      <c r="P98" s="549">
        <f>VLOOKUP(C98,THCKT!$C$13:$AL$460,30,0)</f>
        <v>0</v>
      </c>
      <c r="Q98" s="567" t="e">
        <f t="shared" si="14"/>
        <v>#REF!</v>
      </c>
      <c r="R98" s="549" t="e">
        <f>VLOOKUP(C98,'LƯƠNG KT'!$D$16:$Y$184,16,0)</f>
        <v>#N/A</v>
      </c>
      <c r="S98" s="549" t="e">
        <f>VLOOKUP(C98,'LƯƠNG KT'!$D$16:$Y$184,17,0)</f>
        <v>#N/A</v>
      </c>
      <c r="T98" s="549" t="e">
        <f>VLOOKUP(C98,'LƯƠNG KT'!$D$16:$Y$184,18,0)</f>
        <v>#N/A</v>
      </c>
      <c r="U98" s="549" t="e">
        <f>VLOOKUP(C98,'LƯƠNG KT'!$D$16:$Y$184,18,0)</f>
        <v>#N/A</v>
      </c>
      <c r="V98" s="549" t="e">
        <f>VLOOKUP(C98,'LƯƠNG KT'!$D$16:$Y$184,19,0)</f>
        <v>#N/A</v>
      </c>
      <c r="W98" s="549" t="e">
        <f>VLOOKUP(C98,'LƯƠNG KT'!$D$16:$Y$184,20,0)</f>
        <v>#N/A</v>
      </c>
      <c r="X98" s="549" t="e">
        <f>VLOOKUP(C98,'LƯƠNG KT'!$D$16:$Y$184,21,0)</f>
        <v>#N/A</v>
      </c>
      <c r="Y98" s="549" t="e">
        <f>VLOOKUP(C98,'LƯƠNG KT'!$D$16:$Y$184,23,0)</f>
        <v>#N/A</v>
      </c>
      <c r="Z98" s="549" t="e">
        <f>VLOOKUP(C98,'LƯƠNG KT'!$D$16:$Y$184,24,0)</f>
        <v>#N/A</v>
      </c>
      <c r="AA98" s="549"/>
      <c r="AB98" s="549"/>
      <c r="AC98" s="580" t="e">
        <f t="shared" si="15"/>
        <v>#N/A</v>
      </c>
      <c r="AD98" s="580" t="e">
        <f t="shared" si="13"/>
        <v>#N/A</v>
      </c>
      <c r="AE98" s="580" t="e">
        <f t="shared" si="10"/>
        <v>#N/A</v>
      </c>
      <c r="AF98" s="789"/>
      <c r="AG98" s="581"/>
      <c r="AH98" s="588" t="s">
        <v>2172</v>
      </c>
      <c r="AI98" s="289"/>
    </row>
    <row r="99" spans="1:38" s="242" customFormat="1" ht="19.899999999999999" customHeight="1">
      <c r="A99" s="550" t="s">
        <v>503</v>
      </c>
      <c r="B99" s="550"/>
      <c r="C99" s="550"/>
      <c r="D99" s="550"/>
      <c r="E99" s="258"/>
      <c r="F99" s="55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1" t="e">
        <f>+'LƯƠNG KT'!#REF!</f>
        <v>#REF!</v>
      </c>
      <c r="AG99" s="551" t="e">
        <f>+AF99-AE99</f>
        <v>#REF!</v>
      </c>
      <c r="AH99" s="588" t="s">
        <v>2172</v>
      </c>
      <c r="AI99" s="289"/>
      <c r="AJ99" s="2635" t="e">
        <f>(R99*46.1*$F$8)+(S99*76.9*$F$8)+Y99*5000+AB99*20000</f>
        <v>#N/A</v>
      </c>
      <c r="AK99" s="2635"/>
    </row>
    <row r="100" spans="1:38" s="243" customFormat="1" ht="17.25" customHeight="1">
      <c r="A100" s="2638" t="s">
        <v>2977</v>
      </c>
      <c r="B100" s="2638"/>
      <c r="C100" s="2638"/>
      <c r="D100" s="2638"/>
      <c r="E100" s="2638"/>
      <c r="F100" s="2638"/>
      <c r="G100" s="2638"/>
      <c r="H100" s="2638"/>
      <c r="I100" s="2638"/>
      <c r="J100" s="2638"/>
      <c r="K100" s="2638"/>
      <c r="L100" s="2638"/>
      <c r="M100" s="2638"/>
      <c r="N100" s="2638"/>
      <c r="O100" s="2638"/>
      <c r="P100" s="2638"/>
      <c r="Q100" s="2638"/>
      <c r="R100" s="2638"/>
      <c r="S100" s="2638"/>
      <c r="T100" s="2638"/>
      <c r="U100" s="2638"/>
      <c r="V100" s="2638"/>
      <c r="W100" s="2638"/>
      <c r="X100" s="2638"/>
      <c r="Y100" s="2638"/>
      <c r="Z100" s="2638"/>
      <c r="AA100" s="2638"/>
      <c r="AB100" s="2638"/>
      <c r="AC100" s="2638"/>
      <c r="AD100" s="2638"/>
      <c r="AE100" s="2638"/>
      <c r="AF100" s="282"/>
      <c r="AG100" s="283" t="s">
        <v>2180</v>
      </c>
      <c r="AH100" s="290" t="e">
        <f>+#REF!+#REF!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2"/>
      <c r="M101" s="602"/>
      <c r="N101" s="602"/>
      <c r="O101" s="602"/>
      <c r="P101" s="603"/>
      <c r="Q101" s="284"/>
      <c r="R101" s="262"/>
      <c r="S101" s="610"/>
      <c r="T101" s="610"/>
      <c r="U101" s="610"/>
      <c r="V101" s="610"/>
      <c r="W101" s="610"/>
      <c r="X101" s="610"/>
      <c r="Y101" s="610"/>
      <c r="Z101" s="610"/>
      <c r="AA101" s="610"/>
      <c r="AB101" s="610"/>
      <c r="AC101" s="2639" t="s">
        <v>2166</v>
      </c>
      <c r="AD101" s="2639"/>
      <c r="AE101" s="2639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453" t="s">
        <v>1921</v>
      </c>
      <c r="D102" s="2453"/>
      <c r="E102" s="2453"/>
      <c r="F102" s="2453"/>
      <c r="G102" s="2453" t="s">
        <v>616</v>
      </c>
      <c r="H102" s="2453"/>
      <c r="I102" s="2453"/>
      <c r="J102" s="2453"/>
      <c r="K102" s="2453"/>
      <c r="L102" s="2453"/>
      <c r="M102" s="2453"/>
      <c r="N102" s="2453"/>
      <c r="O102" s="2453"/>
      <c r="P102" s="2453"/>
      <c r="Q102" s="2453" t="s">
        <v>2085</v>
      </c>
      <c r="R102" s="2453"/>
      <c r="S102" s="2453"/>
      <c r="T102" s="2453"/>
      <c r="U102" s="2453"/>
      <c r="V102" s="2453"/>
      <c r="W102" s="2453"/>
      <c r="X102" s="2453"/>
      <c r="Y102" s="2453"/>
      <c r="Z102" s="2453"/>
      <c r="AA102" s="2453"/>
      <c r="AB102" s="2453"/>
      <c r="AC102" s="2453"/>
      <c r="AD102" s="2453" t="s">
        <v>612</v>
      </c>
      <c r="AE102" s="2453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634"/>
      <c r="L105" s="2634"/>
      <c r="M105" s="2634"/>
      <c r="N105" s="2634"/>
      <c r="O105" s="1208"/>
      <c r="P105" s="2635"/>
      <c r="Q105" s="2635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5"/>
      <c r="AD105" s="2636"/>
      <c r="AE105" s="2636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636"/>
      <c r="L106" s="2636"/>
      <c r="M106" s="287"/>
      <c r="N106" s="605"/>
      <c r="O106" s="605"/>
      <c r="P106" s="2637"/>
      <c r="Q106" s="2637"/>
      <c r="R106" s="2637"/>
      <c r="S106" s="786"/>
      <c r="T106" s="786"/>
      <c r="U106" s="786"/>
      <c r="V106" s="786"/>
      <c r="W106" s="786"/>
      <c r="X106" s="786"/>
      <c r="Y106" s="786"/>
      <c r="Z106" s="786"/>
      <c r="AA106" s="786"/>
      <c r="AB106" s="786"/>
      <c r="AC106" s="2636"/>
      <c r="AD106" s="2636"/>
      <c r="AG106" s="272"/>
      <c r="AI106" s="249"/>
    </row>
    <row r="107" spans="1:38" s="53" customFormat="1">
      <c r="C107" s="2453" t="s">
        <v>1924</v>
      </c>
      <c r="D107" s="2453"/>
      <c r="E107" s="2453"/>
      <c r="F107" s="2453"/>
      <c r="G107" s="601"/>
      <c r="H107" s="601"/>
      <c r="I107" s="601"/>
      <c r="J107" s="601"/>
      <c r="K107" s="2656" t="s">
        <v>2981</v>
      </c>
      <c r="L107" s="2656"/>
      <c r="M107" s="2656"/>
      <c r="N107" s="2656"/>
      <c r="O107" s="2656"/>
      <c r="P107" s="2593"/>
      <c r="Q107" s="2593"/>
      <c r="R107" s="96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5"/>
      <c r="AD107" s="2606" t="s">
        <v>613</v>
      </c>
      <c r="AE107" s="2606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94"/>
      <c r="G108" s="2594"/>
      <c r="H108" s="2594"/>
      <c r="I108" s="2594"/>
      <c r="J108" s="2594"/>
      <c r="K108" s="2594"/>
      <c r="L108" s="2633"/>
      <c r="M108" s="2633"/>
      <c r="N108" s="2633"/>
      <c r="O108" s="1213"/>
      <c r="P108" s="2609"/>
      <c r="Q108" s="2609"/>
      <c r="R108" s="96"/>
      <c r="AC108" s="615"/>
      <c r="AD108" s="95"/>
      <c r="AE108" s="67"/>
      <c r="AG108" s="272"/>
      <c r="AI108" s="249"/>
    </row>
    <row r="109" spans="1:38" s="53" customFormat="1">
      <c r="C109" s="270"/>
      <c r="E109" s="95"/>
      <c r="F109" s="2591"/>
      <c r="G109" s="2591"/>
      <c r="H109" s="2591"/>
      <c r="I109" s="2591"/>
      <c r="J109" s="2591"/>
      <c r="K109" s="2591"/>
      <c r="L109" s="785"/>
      <c r="M109" s="785"/>
      <c r="N109" s="2592"/>
      <c r="O109" s="2592"/>
      <c r="P109" s="2592"/>
      <c r="Q109" s="2593"/>
      <c r="R109" s="2593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5"/>
      <c r="AD109" s="95"/>
      <c r="AE109" s="605"/>
      <c r="AG109" s="272"/>
      <c r="AI109" s="249"/>
    </row>
    <row r="110" spans="1:38" s="53" customFormat="1">
      <c r="E110" s="95"/>
      <c r="F110" s="271"/>
      <c r="G110" s="2595"/>
      <c r="H110" s="2595"/>
      <c r="I110" s="2595"/>
      <c r="J110" s="2595"/>
      <c r="K110" s="2595"/>
      <c r="L110" s="785"/>
      <c r="M110" s="785"/>
      <c r="N110" s="785"/>
      <c r="O110" s="785"/>
      <c r="P110" s="96"/>
      <c r="Q110" s="2593"/>
      <c r="R110" s="2593"/>
      <c r="V110" s="95"/>
      <c r="AC110" s="615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95"/>
      <c r="H111" s="2595"/>
      <c r="I111" s="2595"/>
      <c r="J111" s="2595"/>
      <c r="K111" s="2595"/>
      <c r="L111" s="785"/>
      <c r="M111" s="785"/>
      <c r="N111" s="785"/>
      <c r="O111" s="785"/>
      <c r="P111" s="96"/>
      <c r="Q111" s="2593"/>
      <c r="R111" s="2593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5"/>
      <c r="AD111" s="95"/>
      <c r="AG111" s="272"/>
      <c r="AI111" s="249"/>
    </row>
    <row r="112" spans="1:38" s="53" customFormat="1">
      <c r="E112" s="95"/>
      <c r="F112" s="271"/>
      <c r="G112" s="2595"/>
      <c r="H112" s="2595"/>
      <c r="I112" s="2595"/>
      <c r="J112" s="2595"/>
      <c r="K112" s="2595"/>
      <c r="L112" s="785"/>
      <c r="M112" s="785"/>
      <c r="N112" s="785"/>
      <c r="O112" s="785"/>
      <c r="P112" s="96"/>
      <c r="Q112" s="2593"/>
      <c r="R112" s="2593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5"/>
      <c r="AD112" s="95"/>
      <c r="AG112" s="272"/>
      <c r="AI112" s="249"/>
    </row>
    <row r="113" spans="3:35" s="53" customFormat="1">
      <c r="E113" s="95"/>
      <c r="F113" s="271"/>
      <c r="G113" s="2595"/>
      <c r="H113" s="2595"/>
      <c r="I113" s="2595"/>
      <c r="J113" s="2595"/>
      <c r="K113" s="2595"/>
      <c r="L113" s="785"/>
      <c r="M113" s="785"/>
      <c r="N113" s="785"/>
      <c r="O113" s="785"/>
      <c r="P113" s="96"/>
      <c r="Q113" s="2593"/>
      <c r="R113" s="2593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5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7"/>
      <c r="L114" s="608"/>
      <c r="M114" s="608"/>
      <c r="N114" s="608"/>
      <c r="O114" s="608"/>
      <c r="P114" s="96"/>
      <c r="Q114" s="96"/>
      <c r="R114" s="96"/>
      <c r="AC114" s="615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15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S117" s="613"/>
      <c r="T117" s="613"/>
      <c r="U117" s="613"/>
      <c r="V117" s="613"/>
      <c r="W117" s="613"/>
      <c r="X117" s="613"/>
      <c r="Y117" s="613"/>
      <c r="Z117" s="613"/>
      <c r="AA117" s="613"/>
      <c r="AB117" s="613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8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8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8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0.52318624601064911</v>
      </c>
    </row>
    <row r="7" spans="1:38" s="71" customFormat="1" ht="27" customHeight="1">
      <c r="A7" s="2408" t="s">
        <v>2181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8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57" t="s">
        <v>2138</v>
      </c>
      <c r="AE10" s="2657" t="s">
        <v>2139</v>
      </c>
      <c r="AF10" s="2596" t="s">
        <v>2140</v>
      </c>
      <c r="AG10" s="275"/>
      <c r="AH10" s="779" t="s">
        <v>2072</v>
      </c>
      <c r="AI10" s="783">
        <v>0.53260231660231705</v>
      </c>
    </row>
    <row r="11" spans="1:38" s="70" customFormat="1" ht="28.5" customHeight="1">
      <c r="A11" s="2646"/>
      <c r="B11" s="2646"/>
      <c r="C11" s="2649"/>
      <c r="D11" s="2646"/>
      <c r="E11" s="2644"/>
      <c r="F11" s="2646" t="s">
        <v>2141</v>
      </c>
      <c r="G11" s="2646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58"/>
      <c r="AE11" s="2658"/>
      <c r="AF11" s="2597"/>
      <c r="AG11" s="275"/>
      <c r="AI11" s="249"/>
    </row>
    <row r="12" spans="1:38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59"/>
      <c r="AE12" s="2659"/>
      <c r="AF12" s="2598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5">
        <v>1</v>
      </c>
      <c r="B14" s="546" t="str">
        <f>VLOOKUP(C14,'DS CN MOI UP'!$B$10:$C$389,2,0)</f>
        <v>02615</v>
      </c>
      <c r="C14" s="257" t="s">
        <v>206</v>
      </c>
      <c r="D14" s="257" t="s">
        <v>15</v>
      </c>
      <c r="E14" s="776"/>
      <c r="F14" s="548">
        <f>+VLOOKUP($C$14:$C$84,THCKT!$C$317:$AE$395,17,0)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45" si="1">$AI$8/$AI$7*K14+L14*$AI$9+M14*$AI$10</f>
        <v>#N/A</v>
      </c>
      <c r="O14" s="565" t="e">
        <f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KT'!$D$16:$Y$184,22,0)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67" si="3">AD14</f>
        <v>#N/A</v>
      </c>
      <c r="AF14" s="791" t="e">
        <f>VLOOKUP(C14,'LƯƠNG KT'!#REF!,27,0)</f>
        <v>#REF!</v>
      </c>
      <c r="AG14" s="581" t="e">
        <f>+AC14-AF14</f>
        <v>#N/A</v>
      </c>
      <c r="AH14" s="588" t="s">
        <v>2172</v>
      </c>
      <c r="AI14" s="289"/>
    </row>
    <row r="15" spans="1:38" s="242" customFormat="1" ht="17.25" customHeight="1">
      <c r="A15" s="545">
        <v>2</v>
      </c>
      <c r="B15" s="546" t="str">
        <f>VLOOKUP(C15,'DS CN MOI UP'!$B$10:$C$389,2,0)</f>
        <v>02594</v>
      </c>
      <c r="C15" s="257" t="s">
        <v>207</v>
      </c>
      <c r="D15" s="257" t="s">
        <v>15</v>
      </c>
      <c r="E15" s="776"/>
      <c r="F15" s="548">
        <f>+VLOOKUP($C$14:$C$84,THCKT!$C$317:$AE$395,17,0)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ref="O15:O76" si="4">Q15/((Q15/(N15*$F$9)*$F$8))</f>
        <v>#N/A</v>
      </c>
      <c r="P15" s="566" t="e">
        <f>VLOOKUP(C15,THCKT!$C$13:$AL$460,36,0)</f>
        <v>#N/A</v>
      </c>
      <c r="Q15" s="567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KT'!$D$16:$Y$184,22,0)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78" si="6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91" t="e">
        <f>VLOOKUP(C15,'LƯƠNG KT'!#REF!,27,0)</f>
        <v>#REF!</v>
      </c>
      <c r="AG15" s="581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5">
        <v>3</v>
      </c>
      <c r="B16" s="546" t="str">
        <f>VLOOKUP(C16,'DS CN MOI UP'!$B$10:$C$389,2,0)</f>
        <v>02596</v>
      </c>
      <c r="C16" s="257" t="s">
        <v>208</v>
      </c>
      <c r="D16" s="257" t="s">
        <v>15</v>
      </c>
      <c r="E16" s="776"/>
      <c r="F16" s="548">
        <f>+VLOOKUP($C$14:$C$84,THCKT!$C$317:$AE$395,17,0)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4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KT'!$D$16:$Y$184,22,0)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2"/>
        <v>#N/A</v>
      </c>
      <c r="AE16" s="580" t="e">
        <f t="shared" si="3"/>
        <v>#N/A</v>
      </c>
      <c r="AF16" s="791" t="e">
        <f>VLOOKUP(C16,'LƯƠNG KT'!#REF!,27,0)</f>
        <v>#REF!</v>
      </c>
      <c r="AG16" s="581" t="e">
        <f t="shared" si="7"/>
        <v>#N/A</v>
      </c>
      <c r="AH16" s="588" t="s">
        <v>2172</v>
      </c>
      <c r="AI16" s="289" t="e">
        <f>+N85</f>
        <v>#N/A</v>
      </c>
    </row>
    <row r="17" spans="1:35" s="242" customFormat="1" ht="17.25" customHeight="1">
      <c r="A17" s="545">
        <v>4</v>
      </c>
      <c r="B17" s="546" t="str">
        <f>VLOOKUP(C17,'DS CN MOI UP'!$B$10:$C$389,2,0)</f>
        <v>02601</v>
      </c>
      <c r="C17" s="257" t="s">
        <v>209</v>
      </c>
      <c r="D17" s="257" t="s">
        <v>15</v>
      </c>
      <c r="E17" s="776"/>
      <c r="F17" s="548">
        <f>+VLOOKUP($C$14:$C$84,THCKT!$C$317:$AE$395,17,0)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KT'!$D$16:$Y$184,22,0)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91" t="e">
        <f>VLOOKUP(C17,'LƯƠNG KT'!#REF!,27,0)</f>
        <v>#REF!</v>
      </c>
      <c r="AG17" s="581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5">
        <v>5</v>
      </c>
      <c r="B18" s="546" t="str">
        <f>VLOOKUP(C18,'DS CN MOI UP'!$B$10:$C$389,2,0)</f>
        <v>02697</v>
      </c>
      <c r="C18" s="257" t="s">
        <v>210</v>
      </c>
      <c r="D18" s="257" t="s">
        <v>15</v>
      </c>
      <c r="E18" s="776"/>
      <c r="F18" s="548">
        <f>+VLOOKUP($C$14:$C$84,THCKT!$C$317:$AE$395,17,0)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/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KT'!$D$16:$Y$184,22,0)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91" t="e">
        <f>VLOOKUP(C18,'LƯƠNG KT'!#REF!,27,0)</f>
        <v>#REF!</v>
      </c>
      <c r="AG18" s="581" t="e">
        <f t="shared" si="7"/>
        <v>#N/A</v>
      </c>
      <c r="AH18" s="588" t="s">
        <v>2172</v>
      </c>
      <c r="AI18" s="289"/>
    </row>
    <row r="19" spans="1:35" s="242" customFormat="1" ht="17.25" customHeight="1">
      <c r="A19" s="545">
        <v>6</v>
      </c>
      <c r="B19" s="546" t="str">
        <f>VLOOKUP(C19,'DS CN MOI UP'!$B$10:$C$389,2,0)</f>
        <v>02610</v>
      </c>
      <c r="C19" s="257" t="s">
        <v>211</v>
      </c>
      <c r="D19" s="257" t="s">
        <v>15</v>
      </c>
      <c r="E19" s="776"/>
      <c r="F19" s="548">
        <f>+VLOOKUP($C$14:$C$84,THCKT!$C$317:$AE$395,17,0)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KT'!$D$16:$Y$184,22,0)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91" t="e">
        <f>VLOOKUP(C19,'LƯƠNG KT'!#REF!,27,0)</f>
        <v>#REF!</v>
      </c>
      <c r="AG19" s="581" t="e">
        <f t="shared" si="7"/>
        <v>#N/A</v>
      </c>
      <c r="AH19" s="242" t="s">
        <v>2172</v>
      </c>
      <c r="AI19" s="289"/>
    </row>
    <row r="20" spans="1:35" s="242" customFormat="1" ht="17.25" customHeight="1">
      <c r="A20" s="545">
        <v>7</v>
      </c>
      <c r="B20" s="546" t="str">
        <f>VLOOKUP(C20,'DS CN MOI UP'!$B$10:$C$389,2,0)</f>
        <v>02611</v>
      </c>
      <c r="C20" s="257" t="s">
        <v>212</v>
      </c>
      <c r="D20" s="257" t="s">
        <v>15</v>
      </c>
      <c r="E20" s="776"/>
      <c r="F20" s="548">
        <f>+VLOOKUP($C$14:$C$84,THCKT!$C$317:$AE$395,17,0)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KT'!$D$16:$Y$184,22,0)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91" t="e">
        <f>VLOOKUP(C20,'LƯƠNG KT'!#REF!,27,0)</f>
        <v>#REF!</v>
      </c>
      <c r="AG20" s="581" t="e">
        <f t="shared" si="7"/>
        <v>#N/A</v>
      </c>
      <c r="AH20" s="588" t="s">
        <v>2172</v>
      </c>
      <c r="AI20" s="289"/>
    </row>
    <row r="21" spans="1:35" s="242" customFormat="1" ht="17.25" customHeight="1">
      <c r="A21" s="545">
        <v>8</v>
      </c>
      <c r="B21" s="546" t="str">
        <f>VLOOKUP(C21,'DS CN MOI UP'!$B$10:$C$389,2,0)</f>
        <v>02602</v>
      </c>
      <c r="C21" s="257" t="s">
        <v>213</v>
      </c>
      <c r="D21" s="257" t="s">
        <v>15</v>
      </c>
      <c r="E21" s="776"/>
      <c r="F21" s="548">
        <f>+VLOOKUP($C$14:$C$84,THCKT!$C$317:$AE$395,17,0)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KT'!$D$16:$Y$184,22,0)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91" t="e">
        <f>VLOOKUP(C21,'LƯƠNG KT'!#REF!,27,0)</f>
        <v>#REF!</v>
      </c>
      <c r="AG21" s="581" t="e">
        <f t="shared" si="7"/>
        <v>#N/A</v>
      </c>
      <c r="AH21" s="242" t="s">
        <v>2172</v>
      </c>
      <c r="AI21" s="289"/>
    </row>
    <row r="22" spans="1:35" s="242" customFormat="1" ht="17.25" customHeight="1">
      <c r="A22" s="545">
        <v>9</v>
      </c>
      <c r="B22" s="546" t="str">
        <f>VLOOKUP(C22,'DS CN MOI UP'!$B$10:$C$389,2,0)</f>
        <v>02609</v>
      </c>
      <c r="C22" s="257" t="s">
        <v>214</v>
      </c>
      <c r="D22" s="257" t="s">
        <v>15</v>
      </c>
      <c r="E22" s="776"/>
      <c r="F22" s="548">
        <f>+VLOOKUP($C$14:$C$84,THCKT!$C$317:$AE$395,17,0)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KT'!$D$16:$Y$184,22,0)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91" t="e">
        <f>VLOOKUP(C22,'LƯƠNG KT'!#REF!,27,0)</f>
        <v>#REF!</v>
      </c>
      <c r="AG22" s="581" t="e">
        <f t="shared" si="7"/>
        <v>#N/A</v>
      </c>
      <c r="AH22" s="588" t="s">
        <v>2172</v>
      </c>
      <c r="AI22" s="289"/>
    </row>
    <row r="23" spans="1:35" s="242" customFormat="1" ht="17.25" customHeight="1">
      <c r="A23" s="545">
        <v>10</v>
      </c>
      <c r="B23" s="546" t="str">
        <f>VLOOKUP(C23,'DS CN MOI UP'!$B$10:$C$389,2,0)</f>
        <v>02569</v>
      </c>
      <c r="C23" s="257" t="s">
        <v>215</v>
      </c>
      <c r="D23" s="257" t="s">
        <v>15</v>
      </c>
      <c r="E23" s="776"/>
      <c r="F23" s="548">
        <f>+VLOOKUP($C$14:$C$84,THCKT!$C$317:$AE$395,17,0)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4"/>
        <v>#N/A</v>
      </c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KT'!$D$16:$Y$184,22,0)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91" t="e">
        <f>VLOOKUP(C23,'LƯƠNG KT'!#REF!,27,0)</f>
        <v>#REF!</v>
      </c>
      <c r="AG23" s="581" t="e">
        <f t="shared" si="7"/>
        <v>#N/A</v>
      </c>
      <c r="AH23" s="242" t="s">
        <v>2172</v>
      </c>
      <c r="AI23" s="289"/>
    </row>
    <row r="24" spans="1:35" s="242" customFormat="1" ht="17.25" customHeight="1">
      <c r="A24" s="545">
        <v>11</v>
      </c>
      <c r="B24" s="546" t="str">
        <f>VLOOKUP(C24,'DS CN MOI UP'!$B$10:$C$389,2,0)</f>
        <v>02583</v>
      </c>
      <c r="C24" s="257" t="s">
        <v>216</v>
      </c>
      <c r="D24" s="257" t="s">
        <v>15</v>
      </c>
      <c r="E24" s="776"/>
      <c r="F24" s="548">
        <f>+VLOOKUP($C$14:$C$84,THCKT!$C$317:$AE$395,17,0)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KT'!$D$16:$Y$184,22,0)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91" t="e">
        <f>VLOOKUP(C24,'LƯƠNG KT'!#REF!,27,0)</f>
        <v>#REF!</v>
      </c>
      <c r="AG24" s="581" t="e">
        <f t="shared" si="7"/>
        <v>#N/A</v>
      </c>
      <c r="AH24" s="588" t="s">
        <v>2172</v>
      </c>
      <c r="AI24" s="289"/>
    </row>
    <row r="25" spans="1:35" s="242" customFormat="1" ht="17.25" customHeight="1">
      <c r="A25" s="545">
        <v>12</v>
      </c>
      <c r="B25" s="546" t="str">
        <f>VLOOKUP(C25,'DS CN MOI UP'!$B$10:$C$389,2,0)</f>
        <v>02604</v>
      </c>
      <c r="C25" s="257" t="s">
        <v>217</v>
      </c>
      <c r="D25" s="257" t="s">
        <v>15</v>
      </c>
      <c r="E25" s="776"/>
      <c r="F25" s="548">
        <f>+VLOOKUP($C$14:$C$84,THCKT!$C$317:$AE$395,17,0)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KT'!$D$16:$Y$184,22,0)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91" t="e">
        <f>VLOOKUP(C25,'LƯƠNG KT'!#REF!,27,0)</f>
        <v>#REF!</v>
      </c>
      <c r="AG25" s="581" t="e">
        <f t="shared" si="7"/>
        <v>#N/A</v>
      </c>
      <c r="AH25" s="242" t="s">
        <v>2172</v>
      </c>
      <c r="AI25" s="289"/>
    </row>
    <row r="26" spans="1:35" s="242" customFormat="1" ht="17.25" customHeight="1">
      <c r="A26" s="545">
        <v>13</v>
      </c>
      <c r="B26" s="546" t="str">
        <f>VLOOKUP(C26,'DS CN MOI UP'!$B$10:$C$389,2,0)</f>
        <v>02600</v>
      </c>
      <c r="C26" s="257" t="s">
        <v>218</v>
      </c>
      <c r="D26" s="257" t="s">
        <v>15</v>
      </c>
      <c r="E26" s="776"/>
      <c r="F26" s="548">
        <f>+VLOOKUP($C$14:$C$84,THCKT!$C$317:$AE$395,17,0)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KT'!$D$16:$Y$184,22,0)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91" t="e">
        <f>VLOOKUP(C26,'LƯƠNG KT'!#REF!,27,0)</f>
        <v>#REF!</v>
      </c>
      <c r="AG26" s="581" t="e">
        <f t="shared" si="7"/>
        <v>#N/A</v>
      </c>
      <c r="AH26" s="588" t="s">
        <v>2172</v>
      </c>
      <c r="AI26" s="289"/>
    </row>
    <row r="27" spans="1:35" s="242" customFormat="1" ht="17.25" customHeight="1">
      <c r="A27" s="545">
        <v>14</v>
      </c>
      <c r="B27" s="546" t="str">
        <f>VLOOKUP(C27,'DS CN MOI UP'!$B$10:$C$389,2,0)</f>
        <v>03382</v>
      </c>
      <c r="C27" s="257" t="s">
        <v>219</v>
      </c>
      <c r="D27" s="257" t="s">
        <v>15</v>
      </c>
      <c r="E27" s="776"/>
      <c r="F27" s="548">
        <f>+VLOOKUP($C$14:$C$84,THCKT!$C$317:$AE$395,17,0)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/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KT'!$D$16:$Y$184,22,0)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91" t="e">
        <f>VLOOKUP(C27,'LƯƠNG KT'!#REF!,27,0)</f>
        <v>#REF!</v>
      </c>
      <c r="AG27" s="581" t="e">
        <f t="shared" si="7"/>
        <v>#N/A</v>
      </c>
      <c r="AH27" s="242" t="s">
        <v>2172</v>
      </c>
      <c r="AI27" s="289"/>
    </row>
    <row r="28" spans="1:35" s="242" customFormat="1" ht="17.25" customHeight="1">
      <c r="A28" s="545">
        <v>15</v>
      </c>
      <c r="B28" s="546" t="str">
        <f>VLOOKUP(C28,'DS CN MOI UP'!$B$10:$C$389,2,0)</f>
        <v>02571</v>
      </c>
      <c r="C28" s="257" t="s">
        <v>220</v>
      </c>
      <c r="D28" s="257" t="s">
        <v>15</v>
      </c>
      <c r="E28" s="776"/>
      <c r="F28" s="548">
        <f>+VLOOKUP($C$14:$C$84,THCKT!$C$317:$AE$395,17,0)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/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KT'!$D$16:$Y$184,22,0)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91" t="e">
        <f>VLOOKUP(C28,'LƯƠNG KT'!#REF!,27,0)</f>
        <v>#REF!</v>
      </c>
      <c r="AG28" s="581" t="e">
        <f t="shared" si="7"/>
        <v>#N/A</v>
      </c>
      <c r="AH28" s="588" t="s">
        <v>2172</v>
      </c>
      <c r="AI28" s="289"/>
    </row>
    <row r="29" spans="1:35" s="242" customFormat="1" ht="17.25" customHeight="1">
      <c r="A29" s="545">
        <v>16</v>
      </c>
      <c r="B29" s="546" t="str">
        <f>VLOOKUP(C29,'DS CN MOI UP'!$B$10:$C$389,2,0)</f>
        <v>02570</v>
      </c>
      <c r="C29" s="257" t="s">
        <v>221</v>
      </c>
      <c r="D29" s="257" t="s">
        <v>15</v>
      </c>
      <c r="E29" s="776"/>
      <c r="F29" s="548">
        <f>+VLOOKUP($C$14:$C$84,THCKT!$C$317:$AE$395,17,0)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KT'!$D$16:$Y$184,22,0)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91" t="e">
        <f>VLOOKUP(C29,'LƯƠNG KT'!#REF!,27,0)</f>
        <v>#REF!</v>
      </c>
      <c r="AG29" s="581" t="e">
        <f t="shared" si="7"/>
        <v>#N/A</v>
      </c>
      <c r="AH29" s="242" t="s">
        <v>2172</v>
      </c>
      <c r="AI29" s="289"/>
    </row>
    <row r="30" spans="1:35" s="242" customFormat="1" ht="17.25" customHeight="1">
      <c r="A30" s="545">
        <v>17</v>
      </c>
      <c r="B30" s="546" t="str">
        <f>VLOOKUP(C30,'DS CN MOI UP'!$B$10:$C$389,2,0)</f>
        <v>02573</v>
      </c>
      <c r="C30" s="257" t="s">
        <v>222</v>
      </c>
      <c r="D30" s="257" t="s">
        <v>15</v>
      </c>
      <c r="E30" s="776"/>
      <c r="F30" s="548">
        <f>+VLOOKUP($C$14:$C$84,THCKT!$C$317:$AE$395,17,0)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KT'!$D$16:$Y$184,22,0)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91" t="e">
        <f>VLOOKUP(C30,'LƯƠNG KT'!#REF!,27,0)</f>
        <v>#REF!</v>
      </c>
      <c r="AG30" s="581" t="e">
        <f t="shared" si="7"/>
        <v>#N/A</v>
      </c>
      <c r="AH30" s="588" t="s">
        <v>2172</v>
      </c>
      <c r="AI30" s="289"/>
    </row>
    <row r="31" spans="1:35" s="242" customFormat="1" ht="17.25" customHeight="1">
      <c r="A31" s="545">
        <v>18</v>
      </c>
      <c r="B31" s="546" t="str">
        <f>VLOOKUP(C31,'DS CN MOI UP'!$B$10:$C$389,2,0)</f>
        <v>02695</v>
      </c>
      <c r="C31" s="257" t="s">
        <v>223</v>
      </c>
      <c r="D31" s="257" t="s">
        <v>15</v>
      </c>
      <c r="E31" s="776"/>
      <c r="F31" s="548">
        <f>+VLOOKUP($C$14:$C$84,THCKT!$C$317:$AE$395,17,0)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/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KT'!$D$16:$Y$184,22,0)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91" t="e">
        <f>VLOOKUP(C31,'LƯƠNG KT'!#REF!,27,0)</f>
        <v>#REF!</v>
      </c>
      <c r="AG31" s="581" t="e">
        <f t="shared" si="7"/>
        <v>#N/A</v>
      </c>
      <c r="AH31" s="242" t="s">
        <v>2172</v>
      </c>
      <c r="AI31" s="289"/>
    </row>
    <row r="32" spans="1:35" s="242" customFormat="1" ht="17.25" customHeight="1">
      <c r="A32" s="545">
        <v>19</v>
      </c>
      <c r="B32" s="546" t="str">
        <f>VLOOKUP(C32,'DS CN MOI UP'!$B$10:$C$389,2,0)</f>
        <v>02599</v>
      </c>
      <c r="C32" s="257" t="s">
        <v>224</v>
      </c>
      <c r="D32" s="257" t="s">
        <v>15</v>
      </c>
      <c r="E32" s="776"/>
      <c r="F32" s="548">
        <f>+VLOOKUP($C$14:$C$84,THCKT!$C$317:$AE$395,17,0)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KT'!$D$16:$Y$184,22,0)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91" t="e">
        <f>VLOOKUP(C32,'LƯƠNG KT'!#REF!,27,0)</f>
        <v>#REF!</v>
      </c>
      <c r="AG32" s="581" t="e">
        <f t="shared" si="7"/>
        <v>#N/A</v>
      </c>
      <c r="AH32" s="588" t="s">
        <v>2172</v>
      </c>
      <c r="AI32" s="289"/>
    </row>
    <row r="33" spans="1:35" s="242" customFormat="1" ht="17.25" customHeight="1">
      <c r="A33" s="545">
        <v>20</v>
      </c>
      <c r="B33" s="546" t="str">
        <f>VLOOKUP(C33,'DS CN MOI UP'!$B$10:$C$389,2,0)</f>
        <v>03383</v>
      </c>
      <c r="C33" s="257" t="s">
        <v>225</v>
      </c>
      <c r="D33" s="257" t="s">
        <v>15</v>
      </c>
      <c r="E33" s="776"/>
      <c r="F33" s="548">
        <f>+VLOOKUP($C$14:$C$84,THCKT!$C$317:$AE$395,17,0)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KT'!$D$16:$Y$184,22,0)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91" t="e">
        <f>VLOOKUP(C33,'LƯƠNG KT'!#REF!,27,0)</f>
        <v>#REF!</v>
      </c>
      <c r="AG33" s="581" t="e">
        <f t="shared" si="7"/>
        <v>#N/A</v>
      </c>
      <c r="AH33" s="242" t="s">
        <v>2172</v>
      </c>
      <c r="AI33" s="289"/>
    </row>
    <row r="34" spans="1:35" s="242" customFormat="1" ht="17.25" customHeight="1">
      <c r="A34" s="545">
        <v>21</v>
      </c>
      <c r="B34" s="546" t="str">
        <f>VLOOKUP(C34,'DS CN MOI UP'!$B$10:$C$389,2,0)</f>
        <v>03384</v>
      </c>
      <c r="C34" s="257" t="s">
        <v>226</v>
      </c>
      <c r="D34" s="257" t="s">
        <v>15</v>
      </c>
      <c r="E34" s="776"/>
      <c r="F34" s="548">
        <f>+VLOOKUP($C$14:$C$84,THCKT!$C$317:$AE$395,17,0)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KT'!$D$16:$Y$184,22,0)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91" t="e">
        <f>VLOOKUP(C34,'LƯƠNG KT'!#REF!,27,0)</f>
        <v>#REF!</v>
      </c>
      <c r="AG34" s="581" t="e">
        <f t="shared" si="7"/>
        <v>#N/A</v>
      </c>
      <c r="AH34" s="588" t="s">
        <v>2172</v>
      </c>
      <c r="AI34" s="289"/>
    </row>
    <row r="35" spans="1:35" s="242" customFormat="1" ht="17.25" customHeight="1">
      <c r="A35" s="545">
        <v>22</v>
      </c>
      <c r="B35" s="546" t="str">
        <f>VLOOKUP(C35,'DS CN MOI UP'!$B$10:$C$389,2,0)</f>
        <v>02608</v>
      </c>
      <c r="C35" s="257" t="s">
        <v>227</v>
      </c>
      <c r="D35" s="257" t="s">
        <v>15</v>
      </c>
      <c r="E35" s="776"/>
      <c r="F35" s="548">
        <f>+VLOOKUP($C$14:$C$84,THCKT!$C$317:$AE$395,17,0)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/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KT'!$D$16:$Y$184,22,0)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91" t="e">
        <f>VLOOKUP(C35,'LƯƠNG KT'!#REF!,27,0)</f>
        <v>#REF!</v>
      </c>
      <c r="AG35" s="581" t="e">
        <f t="shared" si="7"/>
        <v>#N/A</v>
      </c>
      <c r="AH35" s="242" t="s">
        <v>2172</v>
      </c>
      <c r="AI35" s="289"/>
    </row>
    <row r="36" spans="1:35" s="242" customFormat="1" ht="17.25" customHeight="1">
      <c r="A36" s="545">
        <v>23</v>
      </c>
      <c r="B36" s="546" t="str">
        <f>VLOOKUP(C36,'DS CN MOI UP'!$B$10:$C$389,2,0)</f>
        <v>02603</v>
      </c>
      <c r="C36" s="257" t="s">
        <v>228</v>
      </c>
      <c r="D36" s="257" t="s">
        <v>15</v>
      </c>
      <c r="E36" s="776"/>
      <c r="F36" s="548">
        <f>+VLOOKUP($C$14:$C$84,THCKT!$C$317:$AE$395,17,0)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/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KT'!$D$16:$Y$184,22,0)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91" t="e">
        <f>VLOOKUP(C36,'LƯƠNG KT'!#REF!,27,0)</f>
        <v>#REF!</v>
      </c>
      <c r="AG36" s="581" t="e">
        <f t="shared" si="7"/>
        <v>#N/A</v>
      </c>
      <c r="AH36" s="588" t="s">
        <v>2172</v>
      </c>
      <c r="AI36" s="289"/>
    </row>
    <row r="37" spans="1:35" s="242" customFormat="1" ht="17.25" customHeight="1">
      <c r="A37" s="545">
        <v>24</v>
      </c>
      <c r="B37" s="546" t="str">
        <f>VLOOKUP(C37,'DS CN MOI UP'!$B$10:$C$389,2,0)</f>
        <v>03385</v>
      </c>
      <c r="C37" s="257" t="s">
        <v>229</v>
      </c>
      <c r="D37" s="257" t="s">
        <v>15</v>
      </c>
      <c r="E37" s="776"/>
      <c r="F37" s="548">
        <f>+VLOOKUP($C$14:$C$84,THCKT!$C$317:$AE$395,17,0)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KT'!$D$16:$Y$184,22,0)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91" t="e">
        <f>VLOOKUP(C37,'LƯƠNG KT'!#REF!,27,0)</f>
        <v>#REF!</v>
      </c>
      <c r="AG37" s="581" t="e">
        <f t="shared" si="7"/>
        <v>#N/A</v>
      </c>
      <c r="AH37" s="242" t="s">
        <v>2172</v>
      </c>
      <c r="AI37" s="289"/>
    </row>
    <row r="38" spans="1:35" s="242" customFormat="1" ht="17.25" customHeight="1">
      <c r="A38" s="545">
        <v>25</v>
      </c>
      <c r="B38" s="546" t="str">
        <f>VLOOKUP(C38,'DS CN MOI UP'!$B$10:$C$389,2,0)</f>
        <v>02586</v>
      </c>
      <c r="C38" s="257" t="s">
        <v>230</v>
      </c>
      <c r="D38" s="257" t="s">
        <v>15</v>
      </c>
      <c r="E38" s="776"/>
      <c r="F38" s="548">
        <f>+VLOOKUP($C$14:$C$84,THCKT!$C$317:$AE$395,17,0)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KT'!$D$16:$Y$184,22,0)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91" t="e">
        <f>VLOOKUP(C38,'LƯƠNG KT'!#REF!,27,0)</f>
        <v>#REF!</v>
      </c>
      <c r="AG38" s="581" t="e">
        <f t="shared" si="7"/>
        <v>#N/A</v>
      </c>
      <c r="AH38" s="588" t="s">
        <v>2172</v>
      </c>
      <c r="AI38" s="289"/>
    </row>
    <row r="39" spans="1:35" s="242" customFormat="1" ht="17.25" customHeight="1">
      <c r="A39" s="545">
        <v>26</v>
      </c>
      <c r="B39" s="546" t="str">
        <f>VLOOKUP(C39,'DS CN MOI UP'!$B$10:$C$389,2,0)</f>
        <v>02614</v>
      </c>
      <c r="C39" s="257" t="s">
        <v>231</v>
      </c>
      <c r="D39" s="257" t="s">
        <v>15</v>
      </c>
      <c r="E39" s="776"/>
      <c r="F39" s="548">
        <f>+VLOOKUP($C$14:$C$84,THCKT!$C$317:$AE$395,17,0)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KT'!$D$16:$Y$184,22,0)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91" t="e">
        <f>VLOOKUP(C39,'LƯƠNG KT'!#REF!,27,0)</f>
        <v>#REF!</v>
      </c>
      <c r="AG39" s="581" t="e">
        <f t="shared" si="7"/>
        <v>#N/A</v>
      </c>
      <c r="AH39" s="242" t="s">
        <v>2172</v>
      </c>
      <c r="AI39" s="289"/>
    </row>
    <row r="40" spans="1:35" s="242" customFormat="1" ht="17.25" customHeight="1">
      <c r="A40" s="545">
        <v>27</v>
      </c>
      <c r="B40" s="546" t="str">
        <f>VLOOKUP(C40,'DS CN MOI UP'!$B$10:$C$389,2,0)</f>
        <v>02581</v>
      </c>
      <c r="C40" s="257" t="s">
        <v>232</v>
      </c>
      <c r="D40" s="257" t="s">
        <v>15</v>
      </c>
      <c r="E40" s="776"/>
      <c r="F40" s="548">
        <f>+VLOOKUP($C$14:$C$84,THCKT!$C$317:$AE$395,17,0)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/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KT'!$D$16:$Y$184,22,0)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91" t="e">
        <f>VLOOKUP(C40,'LƯƠNG KT'!#REF!,27,0)</f>
        <v>#REF!</v>
      </c>
      <c r="AG40" s="581" t="e">
        <f t="shared" si="7"/>
        <v>#N/A</v>
      </c>
      <c r="AH40" s="588" t="s">
        <v>2172</v>
      </c>
      <c r="AI40" s="289"/>
    </row>
    <row r="41" spans="1:35" s="242" customFormat="1" ht="17.25" customHeight="1">
      <c r="A41" s="545">
        <v>28</v>
      </c>
      <c r="B41" s="546" t="str">
        <f>VLOOKUP(C41,'DS CN MOI UP'!$B$10:$C$389,2,0)</f>
        <v>02613</v>
      </c>
      <c r="C41" s="257" t="s">
        <v>233</v>
      </c>
      <c r="D41" s="257" t="s">
        <v>15</v>
      </c>
      <c r="E41" s="776"/>
      <c r="F41" s="548">
        <f>+VLOOKUP($C$14:$C$84,THCKT!$C$317:$AE$395,17,0)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#REF!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#REF!</v>
      </c>
      <c r="O41" s="565"/>
      <c r="P41" s="566">
        <f>VLOOKUP(C41,THCKT!$C$13:$AL$460,36,0)</f>
        <v>1334.4964033717974</v>
      </c>
      <c r="Q41" s="567" t="e">
        <f t="shared" si="5"/>
        <v>#REF!</v>
      </c>
      <c r="R41" s="549">
        <f>VLOOKUP(C41,'LƯƠNG KT'!$D$16:$Y$184,16,0)</f>
        <v>4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>
        <f>VLOOKUP(C41,'LƯƠNG KT'!$D$16:$Y$184,19,0)</f>
        <v>0</v>
      </c>
      <c r="W41" s="549">
        <f>VLOOKUP(C41,'LƯƠNG KT'!$D$16:$Y$184,20,0)</f>
        <v>0</v>
      </c>
      <c r="X41" s="549">
        <f>VLOOKUP(C41,'LƯƠNG KT'!$D$16:$Y$184,22,0)</f>
        <v>0</v>
      </c>
      <c r="Y41" s="549" t="e">
        <f>VLOOKUP(C41,'LƯƠNG KT'!$D$16:$Y$184,23,0)</f>
        <v>#REF!</v>
      </c>
      <c r="Z41" s="549" t="e">
        <f>VLOOKUP(C41,'LƯƠNG KT'!$D$16:$Y$184,24,0)</f>
        <v>#REF!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91" t="e">
        <f>VLOOKUP(C41,'LƯƠNG KT'!#REF!,27,0)</f>
        <v>#REF!</v>
      </c>
      <c r="AG41" s="581" t="e">
        <f t="shared" si="7"/>
        <v>#N/A</v>
      </c>
      <c r="AH41" s="242" t="s">
        <v>2172</v>
      </c>
      <c r="AI41" s="289"/>
    </row>
    <row r="42" spans="1:35" s="242" customFormat="1" ht="17.25" customHeight="1">
      <c r="A42" s="545">
        <v>29</v>
      </c>
      <c r="B42" s="546" t="str">
        <f>VLOOKUP(C42,'DS CN MOI UP'!$B$10:$C$389,2,0)</f>
        <v>03386</v>
      </c>
      <c r="C42" s="257" t="s">
        <v>234</v>
      </c>
      <c r="D42" s="257" t="s">
        <v>15</v>
      </c>
      <c r="E42" s="776"/>
      <c r="F42" s="548">
        <f>+VLOOKUP($C$14:$C$84,THCKT!$C$317:$AE$395,17,0)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KT'!$D$16:$Y$184,22,0)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91" t="e">
        <f>VLOOKUP(C42,'LƯƠNG KT'!#REF!,27,0)</f>
        <v>#REF!</v>
      </c>
      <c r="AG42" s="581" t="e">
        <f t="shared" si="7"/>
        <v>#N/A</v>
      </c>
      <c r="AH42" s="588" t="s">
        <v>2172</v>
      </c>
      <c r="AI42" s="289"/>
    </row>
    <row r="43" spans="1:35" s="242" customFormat="1" ht="17.25" customHeight="1">
      <c r="A43" s="545">
        <v>30</v>
      </c>
      <c r="B43" s="546" t="str">
        <f>VLOOKUP(C43,'DS CN MOI UP'!$B$10:$C$389,2,0)</f>
        <v>03387</v>
      </c>
      <c r="C43" s="257" t="s">
        <v>235</v>
      </c>
      <c r="D43" s="257" t="s">
        <v>15</v>
      </c>
      <c r="E43" s="776"/>
      <c r="F43" s="548">
        <f>+VLOOKUP($C$14:$C$84,THCKT!$C$317:$AE$395,17,0)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KT'!$D$16:$Y$184,22,0)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91" t="e">
        <f>VLOOKUP(C43,'LƯƠNG KT'!#REF!,27,0)</f>
        <v>#REF!</v>
      </c>
      <c r="AG43" s="581" t="e">
        <f t="shared" si="7"/>
        <v>#N/A</v>
      </c>
      <c r="AH43" s="242" t="s">
        <v>2172</v>
      </c>
      <c r="AI43" s="289"/>
    </row>
    <row r="44" spans="1:35" s="242" customFormat="1" ht="17.25" customHeight="1">
      <c r="A44" s="545">
        <v>31</v>
      </c>
      <c r="B44" s="546" t="str">
        <f>VLOOKUP(C44,'DS CN MOI UP'!$B$10:$C$389,2,0)</f>
        <v>03388</v>
      </c>
      <c r="C44" s="257" t="s">
        <v>236</v>
      </c>
      <c r="D44" s="257" t="s">
        <v>15</v>
      </c>
      <c r="E44" s="776"/>
      <c r="F44" s="548">
        <f>+VLOOKUP($C$14:$C$84,THCKT!$C$317:$AE$395,17,0)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#REF!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#REF!</v>
      </c>
      <c r="O44" s="565" t="e">
        <f t="shared" si="4"/>
        <v>#REF!</v>
      </c>
      <c r="P44" s="566">
        <f>VLOOKUP(C44,THCKT!$C$13:$AL$460,36,0)</f>
        <v>1017.7797337635727</v>
      </c>
      <c r="Q44" s="567" t="e">
        <f t="shared" si="5"/>
        <v>#REF!</v>
      </c>
      <c r="R44" s="549">
        <f>VLOOKUP(C44,'LƯƠNG KT'!$D$16:$Y$184,16,0)</f>
        <v>3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>
        <f>VLOOKUP(C44,'LƯƠNG KT'!$D$16:$Y$184,19,0)</f>
        <v>22</v>
      </c>
      <c r="W44" s="549">
        <f>VLOOKUP(C44,'LƯƠNG KT'!$D$16:$Y$184,20,0)</f>
        <v>0</v>
      </c>
      <c r="X44" s="549">
        <f>VLOOKUP(C44,'LƯƠNG KT'!$D$16:$Y$184,22,0)</f>
        <v>0</v>
      </c>
      <c r="Y44" s="549" t="e">
        <f>VLOOKUP(C44,'LƯƠNG KT'!$D$16:$Y$184,23,0)</f>
        <v>#REF!</v>
      </c>
      <c r="Z44" s="549" t="e">
        <f>VLOOKUP(C44,'LƯƠNG KT'!$D$16:$Y$184,24,0)</f>
        <v>#REF!</v>
      </c>
      <c r="AA44" s="549">
        <v>20</v>
      </c>
      <c r="AB44" s="549"/>
      <c r="AC44" s="580" t="e">
        <f t="shared" si="6"/>
        <v>#N/A</v>
      </c>
      <c r="AD44" s="580" t="e">
        <f t="shared" si="2"/>
        <v>#N/A</v>
      </c>
      <c r="AE44" s="580" t="e">
        <f t="shared" si="3"/>
        <v>#N/A</v>
      </c>
      <c r="AF44" s="791" t="e">
        <f>VLOOKUP(C44,'LƯƠNG KT'!#REF!,27,0)</f>
        <v>#REF!</v>
      </c>
      <c r="AG44" s="581" t="e">
        <f t="shared" si="7"/>
        <v>#N/A</v>
      </c>
      <c r="AH44" s="588" t="s">
        <v>2172</v>
      </c>
      <c r="AI44" s="289"/>
    </row>
    <row r="45" spans="1:35" s="242" customFormat="1" ht="17.25" customHeight="1">
      <c r="A45" s="545">
        <v>32</v>
      </c>
      <c r="B45" s="546" t="str">
        <f>VLOOKUP(C45,'DS CN MOI UP'!$B$10:$C$389,2,0)</f>
        <v>03389</v>
      </c>
      <c r="C45" s="257" t="s">
        <v>237</v>
      </c>
      <c r="D45" s="257" t="s">
        <v>15</v>
      </c>
      <c r="E45" s="776"/>
      <c r="F45" s="548">
        <f>+VLOOKUP($C$14:$C$84,THCKT!$C$317:$AE$395,17,0)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KT'!$D$16:$Y$184,22,0)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91" t="e">
        <f>VLOOKUP(C45,'LƯƠNG KT'!#REF!,27,0)</f>
        <v>#REF!</v>
      </c>
      <c r="AG45" s="581" t="e">
        <f t="shared" si="7"/>
        <v>#N/A</v>
      </c>
      <c r="AH45" s="242" t="s">
        <v>2172</v>
      </c>
      <c r="AI45" s="289"/>
    </row>
    <row r="46" spans="1:35" s="242" customFormat="1" ht="17.25" customHeight="1">
      <c r="A46" s="545">
        <v>33</v>
      </c>
      <c r="B46" s="546" t="str">
        <f>VLOOKUP(C46,'DS CN MOI UP'!$B$10:$C$389,2,0)</f>
        <v>03390</v>
      </c>
      <c r="C46" s="257" t="s">
        <v>238</v>
      </c>
      <c r="D46" s="257" t="s">
        <v>15</v>
      </c>
      <c r="E46" s="776"/>
      <c r="F46" s="548">
        <f>+VLOOKUP($C$14:$C$84,THCKT!$C$317:$AE$395,17,0)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N77" si="8">$AI$8/$AI$7*K46+L46*$AI$9+M46*$AI$10</f>
        <v>#N/A</v>
      </c>
      <c r="O46" s="565"/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KT'!$D$16:$Y$184,22,0)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ref="AD46:AD77" si="9">+AC46+Q46+G46</f>
        <v>#N/A</v>
      </c>
      <c r="AE46" s="580" t="e">
        <f t="shared" si="3"/>
        <v>#N/A</v>
      </c>
      <c r="AF46" s="791" t="e">
        <f>VLOOKUP(C46,'LƯƠNG KT'!#REF!,27,0)</f>
        <v>#REF!</v>
      </c>
      <c r="AG46" s="581" t="e">
        <f t="shared" si="7"/>
        <v>#N/A</v>
      </c>
      <c r="AH46" s="588" t="s">
        <v>2172</v>
      </c>
      <c r="AI46" s="289"/>
    </row>
    <row r="47" spans="1:35" s="242" customFormat="1" ht="17.25" customHeight="1">
      <c r="A47" s="545">
        <v>34</v>
      </c>
      <c r="B47" s="546" t="str">
        <f>VLOOKUP(C47,'DS CN MOI UP'!$B$10:$C$389,2,0)</f>
        <v>03391</v>
      </c>
      <c r="C47" s="257" t="s">
        <v>239</v>
      </c>
      <c r="D47" s="257" t="s">
        <v>15</v>
      </c>
      <c r="E47" s="776"/>
      <c r="F47" s="548">
        <f>+VLOOKUP($C$14:$C$84,THCKT!$C$317:$AE$395,17,0)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8"/>
        <v>#N/A</v>
      </c>
      <c r="O47" s="565"/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KT'!$D$16:$Y$184,22,0)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si="9"/>
        <v>#N/A</v>
      </c>
      <c r="AE47" s="580" t="e">
        <f t="shared" si="3"/>
        <v>#N/A</v>
      </c>
      <c r="AF47" s="791" t="e">
        <f>VLOOKUP(C47,'LƯƠNG KT'!#REF!,27,0)</f>
        <v>#REF!</v>
      </c>
      <c r="AG47" s="581" t="e">
        <f t="shared" si="7"/>
        <v>#N/A</v>
      </c>
      <c r="AH47" s="242" t="s">
        <v>2172</v>
      </c>
      <c r="AI47" s="289"/>
    </row>
    <row r="48" spans="1:35" s="242" customFormat="1" ht="17.25" customHeight="1">
      <c r="A48" s="545">
        <v>35</v>
      </c>
      <c r="B48" s="546" t="str">
        <f>VLOOKUP(C48,'DS CN MOI UP'!$B$10:$C$389,2,0)</f>
        <v>02589</v>
      </c>
      <c r="C48" s="257" t="s">
        <v>240</v>
      </c>
      <c r="D48" s="257" t="s">
        <v>15</v>
      </c>
      <c r="E48" s="776"/>
      <c r="F48" s="548">
        <f>+VLOOKUP($C$14:$C$84,THCKT!$C$317:$AE$395,17,0)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8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KT'!$D$16:$Y$184,22,0)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9"/>
        <v>#N/A</v>
      </c>
      <c r="AE48" s="580" t="e">
        <f t="shared" si="3"/>
        <v>#N/A</v>
      </c>
      <c r="AF48" s="791" t="e">
        <f>VLOOKUP(C48,'LƯƠNG KT'!#REF!,27,0)</f>
        <v>#REF!</v>
      </c>
      <c r="AG48" s="581" t="e">
        <f t="shared" si="7"/>
        <v>#N/A</v>
      </c>
      <c r="AH48" s="588" t="s">
        <v>2172</v>
      </c>
      <c r="AI48" s="289"/>
    </row>
    <row r="49" spans="1:35" s="242" customFormat="1" ht="17.25" customHeight="1">
      <c r="A49" s="545">
        <v>36</v>
      </c>
      <c r="B49" s="546" t="str">
        <f>VLOOKUP(C49,'DS CN MOI UP'!$B$10:$C$389,2,0)</f>
        <v>03392</v>
      </c>
      <c r="C49" s="257" t="s">
        <v>241</v>
      </c>
      <c r="D49" s="257" t="s">
        <v>15</v>
      </c>
      <c r="E49" s="776"/>
      <c r="F49" s="548">
        <f>+VLOOKUP($C$14:$C$84,THCKT!$C$317:$AE$395,17,0)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8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KT'!$D$16:$Y$184,22,0)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9"/>
        <v>#N/A</v>
      </c>
      <c r="AE49" s="580" t="e">
        <f t="shared" si="3"/>
        <v>#N/A</v>
      </c>
      <c r="AF49" s="791" t="e">
        <f>VLOOKUP(C49,'LƯƠNG KT'!#REF!,27,0)</f>
        <v>#REF!</v>
      </c>
      <c r="AG49" s="581" t="e">
        <f t="shared" si="7"/>
        <v>#N/A</v>
      </c>
      <c r="AH49" s="242" t="s">
        <v>2172</v>
      </c>
      <c r="AI49" s="289"/>
    </row>
    <row r="50" spans="1:35" s="242" customFormat="1" ht="17.25" customHeight="1">
      <c r="A50" s="545">
        <v>37</v>
      </c>
      <c r="B50" s="546" t="str">
        <f>VLOOKUP(C50,'DS CN MOI UP'!$B$10:$C$389,2,0)</f>
        <v>03393</v>
      </c>
      <c r="C50" s="257" t="s">
        <v>242</v>
      </c>
      <c r="D50" s="257" t="s">
        <v>15</v>
      </c>
      <c r="E50" s="776"/>
      <c r="F50" s="548">
        <f>+VLOOKUP($C$14:$C$84,THCKT!$C$317:$AE$395,17,0)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8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KT'!$D$16:$Y$184,22,0)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9"/>
        <v>#N/A</v>
      </c>
      <c r="AE50" s="580" t="e">
        <f t="shared" si="3"/>
        <v>#N/A</v>
      </c>
      <c r="AF50" s="791" t="e">
        <f>VLOOKUP(C50,'LƯƠNG KT'!#REF!,27,0)</f>
        <v>#REF!</v>
      </c>
      <c r="AG50" s="581" t="e">
        <f t="shared" si="7"/>
        <v>#N/A</v>
      </c>
      <c r="AH50" s="588" t="s">
        <v>2172</v>
      </c>
      <c r="AI50" s="289"/>
    </row>
    <row r="51" spans="1:35" s="242" customFormat="1" ht="17.25" customHeight="1">
      <c r="A51" s="545">
        <v>38</v>
      </c>
      <c r="B51" s="546" t="str">
        <f>VLOOKUP(C51,'DS CN MOI UP'!$B$10:$C$389,2,0)</f>
        <v>03394</v>
      </c>
      <c r="C51" s="257" t="s">
        <v>243</v>
      </c>
      <c r="D51" s="257" t="s">
        <v>15</v>
      </c>
      <c r="E51" s="776"/>
      <c r="F51" s="548">
        <f>+VLOOKUP($C$14:$C$84,THCKT!$C$317:$AE$395,17,0)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8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KT'!$D$16:$Y$184,22,0)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9"/>
        <v>#N/A</v>
      </c>
      <c r="AE51" s="580" t="e">
        <f t="shared" si="3"/>
        <v>#N/A</v>
      </c>
      <c r="AF51" s="791" t="e">
        <f>VLOOKUP(C51,'LƯƠNG KT'!#REF!,27,0)</f>
        <v>#REF!</v>
      </c>
      <c r="AG51" s="581" t="e">
        <f t="shared" si="7"/>
        <v>#N/A</v>
      </c>
      <c r="AH51" s="242" t="s">
        <v>2172</v>
      </c>
      <c r="AI51" s="289"/>
    </row>
    <row r="52" spans="1:35" s="242" customFormat="1" ht="17.25" customHeight="1">
      <c r="A52" s="545">
        <v>39</v>
      </c>
      <c r="B52" s="546" t="str">
        <f>VLOOKUP(C52,'DS CN MOI UP'!$B$10:$C$389,2,0)</f>
        <v>03395</v>
      </c>
      <c r="C52" s="257" t="s">
        <v>244</v>
      </c>
      <c r="D52" s="257" t="s">
        <v>15</v>
      </c>
      <c r="E52" s="776"/>
      <c r="F52" s="548">
        <f>+VLOOKUP($C$14:$C$84,THCKT!$C$317:$AE$395,17,0)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8"/>
        <v>#N/A</v>
      </c>
      <c r="O52" s="565"/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KT'!$D$16:$Y$184,22,0)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9"/>
        <v>#N/A</v>
      </c>
      <c r="AE52" s="580" t="e">
        <f t="shared" si="3"/>
        <v>#N/A</v>
      </c>
      <c r="AF52" s="791" t="e">
        <f>VLOOKUP(C52,'LƯƠNG KT'!#REF!,27,0)</f>
        <v>#REF!</v>
      </c>
      <c r="AG52" s="581" t="e">
        <f t="shared" si="7"/>
        <v>#N/A</v>
      </c>
      <c r="AH52" s="588" t="s">
        <v>2172</v>
      </c>
      <c r="AI52" s="289"/>
    </row>
    <row r="53" spans="1:35" s="242" customFormat="1" ht="17.25" customHeight="1">
      <c r="A53" s="545">
        <v>40</v>
      </c>
      <c r="B53" s="546" t="str">
        <f>VLOOKUP(C53,'DS CN MOI UP'!$B$10:$C$389,2,0)</f>
        <v>03396</v>
      </c>
      <c r="C53" s="257" t="s">
        <v>245</v>
      </c>
      <c r="D53" s="257" t="s">
        <v>15</v>
      </c>
      <c r="E53" s="776"/>
      <c r="F53" s="548">
        <f>+VLOOKUP($C$14:$C$84,THCKT!$C$317:$AE$395,17,0)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8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KT'!$D$16:$Y$184,22,0)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9"/>
        <v>#N/A</v>
      </c>
      <c r="AE53" s="580" t="e">
        <f t="shared" si="3"/>
        <v>#N/A</v>
      </c>
      <c r="AF53" s="791" t="e">
        <f>VLOOKUP(C53,'LƯƠNG KT'!#REF!,27,0)</f>
        <v>#REF!</v>
      </c>
      <c r="AG53" s="581" t="e">
        <f t="shared" si="7"/>
        <v>#N/A</v>
      </c>
      <c r="AH53" s="242" t="s">
        <v>2172</v>
      </c>
      <c r="AI53" s="289"/>
    </row>
    <row r="54" spans="1:35" s="242" customFormat="1" ht="17.25" customHeight="1">
      <c r="A54" s="545">
        <v>41</v>
      </c>
      <c r="B54" s="546" t="str">
        <f>VLOOKUP(C54,'DS CN MOI UP'!$B$10:$C$389,2,0)</f>
        <v>02593</v>
      </c>
      <c r="C54" s="257" t="s">
        <v>246</v>
      </c>
      <c r="D54" s="257" t="s">
        <v>15</v>
      </c>
      <c r="E54" s="776"/>
      <c r="F54" s="548">
        <f>+VLOOKUP($C$14:$C$84,THCKT!$C$317:$AE$395,17,0)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8"/>
        <v>#N/A</v>
      </c>
      <c r="O54" s="565"/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KT'!$D$16:$Y$184,22,0)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9"/>
        <v>#N/A</v>
      </c>
      <c r="AE54" s="580" t="e">
        <f t="shared" si="3"/>
        <v>#N/A</v>
      </c>
      <c r="AF54" s="791" t="e">
        <f>VLOOKUP(C54,'LƯƠNG KT'!#REF!,27,0)</f>
        <v>#REF!</v>
      </c>
      <c r="AG54" s="581" t="e">
        <f t="shared" si="7"/>
        <v>#N/A</v>
      </c>
      <c r="AH54" s="588" t="s">
        <v>2172</v>
      </c>
      <c r="AI54" s="289"/>
    </row>
    <row r="55" spans="1:35" s="242" customFormat="1" ht="17.25" customHeight="1">
      <c r="A55" s="545">
        <v>42</v>
      </c>
      <c r="B55" s="546" t="str">
        <f>VLOOKUP(C55,'DS CN MOI UP'!$B$10:$C$389,2,0)</f>
        <v>02696</v>
      </c>
      <c r="C55" s="257" t="s">
        <v>247</v>
      </c>
      <c r="D55" s="257" t="s">
        <v>15</v>
      </c>
      <c r="E55" s="776"/>
      <c r="F55" s="548">
        <f>+VLOOKUP($C$14:$C$84,THCKT!$C$317:$AE$395,17,0)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8"/>
        <v>#N/A</v>
      </c>
      <c r="O55" s="565"/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KT'!$D$16:$Y$184,22,0)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9"/>
        <v>#N/A</v>
      </c>
      <c r="AE55" s="580" t="e">
        <f t="shared" si="3"/>
        <v>#N/A</v>
      </c>
      <c r="AF55" s="791" t="e">
        <f>VLOOKUP(C55,'LƯƠNG KT'!#REF!,27,0)</f>
        <v>#REF!</v>
      </c>
      <c r="AG55" s="581" t="e">
        <f t="shared" si="7"/>
        <v>#N/A</v>
      </c>
      <c r="AH55" s="242" t="s">
        <v>2172</v>
      </c>
      <c r="AI55" s="591"/>
    </row>
    <row r="56" spans="1:35" s="242" customFormat="1" ht="17.25" customHeight="1">
      <c r="A56" s="545">
        <v>43</v>
      </c>
      <c r="B56" s="546" t="str">
        <f>VLOOKUP(C56,'DS CN MOI UP'!$B$10:$C$389,2,0)</f>
        <v>03397</v>
      </c>
      <c r="C56" s="257" t="s">
        <v>248</v>
      </c>
      <c r="D56" s="257" t="s">
        <v>15</v>
      </c>
      <c r="E56" s="776"/>
      <c r="F56" s="548">
        <f>+VLOOKUP($C$14:$C$84,THCKT!$C$317:$AE$395,17,0)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8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KT'!$D$16:$Y$184,22,0)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9"/>
        <v>#N/A</v>
      </c>
      <c r="AE56" s="580" t="e">
        <f t="shared" si="3"/>
        <v>#N/A</v>
      </c>
      <c r="AF56" s="791" t="e">
        <f>VLOOKUP(C56,'LƯƠNG KT'!#REF!,27,0)</f>
        <v>#REF!</v>
      </c>
      <c r="AG56" s="581" t="e">
        <f t="shared" si="7"/>
        <v>#N/A</v>
      </c>
      <c r="AH56" s="588" t="s">
        <v>2172</v>
      </c>
      <c r="AI56" s="591"/>
    </row>
    <row r="57" spans="1:35" s="242" customFormat="1" ht="17.25" customHeight="1">
      <c r="A57" s="545">
        <v>44</v>
      </c>
      <c r="B57" s="546" t="str">
        <f>VLOOKUP(C57,'DS CN MOI UP'!$B$10:$C$389,2,0)</f>
        <v>03398</v>
      </c>
      <c r="C57" s="257" t="s">
        <v>249</v>
      </c>
      <c r="D57" s="257" t="s">
        <v>15</v>
      </c>
      <c r="E57" s="776"/>
      <c r="F57" s="548">
        <f>+VLOOKUP($C$14:$C$84,THCKT!$C$317:$AE$395,17,0)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KT'!$D$16:$Y$184,22,0)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9"/>
        <v>#N/A</v>
      </c>
      <c r="AE57" s="580" t="e">
        <f t="shared" si="3"/>
        <v>#N/A</v>
      </c>
      <c r="AF57" s="791" t="e">
        <f>VLOOKUP(C57,'LƯƠNG KT'!#REF!,27,0)</f>
        <v>#REF!</v>
      </c>
      <c r="AG57" s="581" t="e">
        <f t="shared" si="7"/>
        <v>#N/A</v>
      </c>
      <c r="AH57" s="242" t="s">
        <v>2172</v>
      </c>
      <c r="AI57" s="289"/>
    </row>
    <row r="58" spans="1:35" s="242" customFormat="1" ht="17.25" customHeight="1">
      <c r="A58" s="545">
        <v>45</v>
      </c>
      <c r="B58" s="546" t="str">
        <f>VLOOKUP(C58,'DS CN MOI UP'!$B$10:$C$389,2,0)</f>
        <v>02592</v>
      </c>
      <c r="C58" s="257" t="s">
        <v>250</v>
      </c>
      <c r="D58" s="257" t="s">
        <v>15</v>
      </c>
      <c r="E58" s="776"/>
      <c r="F58" s="548">
        <f>+VLOOKUP($C$14:$C$84,THCKT!$C$317:$AE$395,17,0)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KT'!$D$16:$Y$184,22,0)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9"/>
        <v>#N/A</v>
      </c>
      <c r="AE58" s="580" t="e">
        <f t="shared" si="3"/>
        <v>#N/A</v>
      </c>
      <c r="AF58" s="791" t="e">
        <f>VLOOKUP(C58,'LƯƠNG KT'!#REF!,27,0)</f>
        <v>#REF!</v>
      </c>
      <c r="AG58" s="581" t="e">
        <f t="shared" si="7"/>
        <v>#N/A</v>
      </c>
      <c r="AH58" s="588" t="s">
        <v>2172</v>
      </c>
      <c r="AI58" s="289"/>
    </row>
    <row r="59" spans="1:35" s="242" customFormat="1" ht="17.25" customHeight="1">
      <c r="A59" s="545">
        <v>46</v>
      </c>
      <c r="B59" s="546" t="str">
        <f>VLOOKUP(C59,'DS CN MOI UP'!$B$10:$C$389,2,0)</f>
        <v>02598</v>
      </c>
      <c r="C59" s="257" t="s">
        <v>251</v>
      </c>
      <c r="D59" s="257" t="s">
        <v>15</v>
      </c>
      <c r="E59" s="776"/>
      <c r="F59" s="548">
        <f>+VLOOKUP($C$14:$C$84,THCKT!$C$317:$AE$395,17,0)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KT'!$D$16:$Y$184,22,0)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9"/>
        <v>#N/A</v>
      </c>
      <c r="AE59" s="580" t="e">
        <f t="shared" si="3"/>
        <v>#N/A</v>
      </c>
      <c r="AF59" s="791" t="e">
        <f>VLOOKUP(C59,'LƯƠNG KT'!#REF!,27,0)</f>
        <v>#REF!</v>
      </c>
      <c r="AG59" s="581" t="e">
        <f t="shared" si="7"/>
        <v>#N/A</v>
      </c>
      <c r="AH59" s="242" t="s">
        <v>2172</v>
      </c>
      <c r="AI59" s="289"/>
    </row>
    <row r="60" spans="1:35" s="242" customFormat="1" ht="17.25" customHeight="1">
      <c r="A60" s="545">
        <v>47</v>
      </c>
      <c r="B60" s="546" t="str">
        <f>VLOOKUP(C60,'DS CN MOI UP'!$B$10:$C$389,2,0)</f>
        <v>02575</v>
      </c>
      <c r="C60" s="257" t="s">
        <v>252</v>
      </c>
      <c r="D60" s="257" t="s">
        <v>15</v>
      </c>
      <c r="E60" s="776"/>
      <c r="F60" s="548">
        <f>+VLOOKUP($C$14:$C$84,THCKT!$C$317:$AE$395,17,0)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/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KT'!$D$16:$Y$184,22,0)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9"/>
        <v>#N/A</v>
      </c>
      <c r="AE60" s="580" t="e">
        <f t="shared" si="3"/>
        <v>#N/A</v>
      </c>
      <c r="AF60" s="791" t="e">
        <f>VLOOKUP(C60,'LƯƠNG KT'!#REF!,27,0)</f>
        <v>#REF!</v>
      </c>
      <c r="AG60" s="581" t="e">
        <f t="shared" si="7"/>
        <v>#N/A</v>
      </c>
      <c r="AH60" s="588" t="s">
        <v>2172</v>
      </c>
      <c r="AI60" s="289"/>
    </row>
    <row r="61" spans="1:35" s="242" customFormat="1" ht="14.25" customHeight="1">
      <c r="A61" s="545">
        <v>48</v>
      </c>
      <c r="B61" s="546" t="str">
        <f>VLOOKUP(C61,'DS CN MOI UP'!$B$10:$C$389,2,0)</f>
        <v>02606</v>
      </c>
      <c r="C61" s="584" t="s">
        <v>253</v>
      </c>
      <c r="D61" s="257" t="s">
        <v>15</v>
      </c>
      <c r="E61" s="776"/>
      <c r="F61" s="548">
        <f>+VLOOKUP($C$14:$C$84,THCKT!$C$317:$AE$395,17,0)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/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KT'!$D$16:$Y$184,22,0)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9"/>
        <v>#N/A</v>
      </c>
      <c r="AE61" s="580" t="e">
        <f t="shared" si="3"/>
        <v>#N/A</v>
      </c>
      <c r="AF61" s="791" t="e">
        <f>VLOOKUP(C61,'LƯƠNG KT'!#REF!,27,0)</f>
        <v>#REF!</v>
      </c>
      <c r="AG61" s="581" t="e">
        <f t="shared" si="7"/>
        <v>#N/A</v>
      </c>
      <c r="AH61" s="242" t="s">
        <v>2172</v>
      </c>
    </row>
    <row r="62" spans="1:35" s="242" customFormat="1">
      <c r="A62" s="545">
        <v>49</v>
      </c>
      <c r="B62" s="546" t="str">
        <f>VLOOKUP(C62,'DS CN MOI UP'!$B$10:$C$389,2,0)</f>
        <v>02607</v>
      </c>
      <c r="C62" s="257" t="s">
        <v>254</v>
      </c>
      <c r="D62" s="257" t="s">
        <v>15</v>
      </c>
      <c r="E62" s="776"/>
      <c r="F62" s="548">
        <f>+VLOOKUP($C$14:$C$84,THCKT!$C$317:$AE$395,17,0)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/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KT'!$D$16:$Y$184,22,0)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9"/>
        <v>#N/A</v>
      </c>
      <c r="AE62" s="580" t="e">
        <f t="shared" si="3"/>
        <v>#N/A</v>
      </c>
      <c r="AF62" s="791" t="e">
        <f>VLOOKUP(C62,'LƯƠNG KT'!#REF!,27,0)</f>
        <v>#REF!</v>
      </c>
      <c r="AG62" s="581" t="e">
        <f t="shared" si="7"/>
        <v>#N/A</v>
      </c>
      <c r="AH62" s="588" t="s">
        <v>2172</v>
      </c>
      <c r="AI62" s="289"/>
    </row>
    <row r="63" spans="1:35" s="242" customFormat="1" ht="17.25" customHeight="1">
      <c r="A63" s="545">
        <v>50</v>
      </c>
      <c r="B63" s="546" t="str">
        <f>VLOOKUP(C63,'DS CN MOI UP'!$B$10:$C$389,2,0)</f>
        <v>02612</v>
      </c>
      <c r="C63" s="257" t="s">
        <v>255</v>
      </c>
      <c r="D63" s="257" t="s">
        <v>15</v>
      </c>
      <c r="E63" s="776"/>
      <c r="F63" s="548">
        <f>+VLOOKUP($C$14:$C$84,THCKT!$C$317:$AE$395,17,0)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KT'!$D$16:$Y$184,22,0)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9"/>
        <v>#N/A</v>
      </c>
      <c r="AE63" s="580" t="e">
        <f t="shared" si="3"/>
        <v>#N/A</v>
      </c>
      <c r="AF63" s="791" t="e">
        <f>VLOOKUP(C63,'LƯƠNG KT'!#REF!,27,0)</f>
        <v>#REF!</v>
      </c>
      <c r="AG63" s="581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5">
        <v>51</v>
      </c>
      <c r="B64" s="546" t="str">
        <f>VLOOKUP(C64,'DS CN MOI UP'!$B$10:$C$389,2,0)</f>
        <v>02574</v>
      </c>
      <c r="C64" s="257" t="s">
        <v>256</v>
      </c>
      <c r="D64" s="257" t="s">
        <v>15</v>
      </c>
      <c r="E64" s="776"/>
      <c r="F64" s="548">
        <f>+VLOOKUP($C$14:$C$84,THCKT!$C$317:$AE$395,17,0)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KT'!$D$16:$Y$184,22,0)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9"/>
        <v>#N/A</v>
      </c>
      <c r="AE64" s="580" t="e">
        <f t="shared" si="3"/>
        <v>#N/A</v>
      </c>
      <c r="AF64" s="791" t="e">
        <f>VLOOKUP(C64,'LƯƠNG KT'!#REF!,27,0)</f>
        <v>#REF!</v>
      </c>
      <c r="AG64" s="581" t="e">
        <f t="shared" si="7"/>
        <v>#N/A</v>
      </c>
      <c r="AH64" s="588" t="s">
        <v>2172</v>
      </c>
      <c r="AI64" s="289"/>
    </row>
    <row r="65" spans="1:37" s="242" customFormat="1" ht="17.25" customHeight="1">
      <c r="A65" s="545">
        <v>52</v>
      </c>
      <c r="B65" s="546" t="str">
        <f>VLOOKUP(C65,'DS CN MOI UP'!$B$10:$C$389,2,0)</f>
        <v>02577</v>
      </c>
      <c r="C65" s="257" t="s">
        <v>257</v>
      </c>
      <c r="D65" s="257" t="s">
        <v>15</v>
      </c>
      <c r="E65" s="776"/>
      <c r="F65" s="548">
        <f>+VLOOKUP($C$14:$C$84,THCKT!$C$317:$AE$395,17,0)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KT'!$D$16:$Y$184,22,0)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9"/>
        <v>#N/A</v>
      </c>
      <c r="AE65" s="580" t="e">
        <f t="shared" si="3"/>
        <v>#N/A</v>
      </c>
      <c r="AF65" s="791" t="e">
        <f>VLOOKUP(C65,'LƯƠNG KT'!#REF!,27,0)</f>
        <v>#REF!</v>
      </c>
      <c r="AG65" s="581" t="e">
        <f t="shared" si="7"/>
        <v>#N/A</v>
      </c>
      <c r="AH65" s="242" t="s">
        <v>2172</v>
      </c>
      <c r="AI65" s="592"/>
    </row>
    <row r="66" spans="1:37" s="242" customFormat="1" ht="17.25" customHeight="1">
      <c r="A66" s="545">
        <v>53</v>
      </c>
      <c r="B66" s="546" t="str">
        <f>VLOOKUP(C66,'DS CN MOI UP'!$B$10:$C$389,2,0)</f>
        <v>02605</v>
      </c>
      <c r="C66" s="257" t="s">
        <v>258</v>
      </c>
      <c r="D66" s="257" t="s">
        <v>15</v>
      </c>
      <c r="E66" s="776"/>
      <c r="F66" s="548">
        <f>+VLOOKUP($C$14:$C$84,THCKT!$C$317:$AE$395,17,0)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KT'!$D$16:$Y$184,22,0)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9"/>
        <v>#N/A</v>
      </c>
      <c r="AE66" s="580" t="e">
        <f t="shared" si="3"/>
        <v>#N/A</v>
      </c>
      <c r="AF66" s="791" t="e">
        <f>VLOOKUP(C66,'LƯƠNG KT'!#REF!,27,0)</f>
        <v>#REF!</v>
      </c>
      <c r="AG66" s="581" t="e">
        <f t="shared" si="7"/>
        <v>#N/A</v>
      </c>
      <c r="AH66" s="588" t="s">
        <v>2172</v>
      </c>
      <c r="AI66" s="592"/>
      <c r="AK66" s="593"/>
    </row>
    <row r="67" spans="1:37" s="242" customFormat="1" ht="17.25" customHeight="1">
      <c r="A67" s="545">
        <v>54</v>
      </c>
      <c r="B67" s="546" t="str">
        <f>VLOOKUP(C67,'DS CN MOI UP'!$B$10:$C$389,2,0)</f>
        <v>02588</v>
      </c>
      <c r="C67" s="257" t="s">
        <v>259</v>
      </c>
      <c r="D67" s="257" t="s">
        <v>15</v>
      </c>
      <c r="E67" s="776"/>
      <c r="F67" s="548">
        <f>+VLOOKUP($C$14:$C$84,THCKT!$C$317:$AE$395,17,0)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KT'!$D$16:$Y$184,22,0)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9"/>
        <v>#N/A</v>
      </c>
      <c r="AE67" s="580" t="e">
        <f t="shared" si="3"/>
        <v>#N/A</v>
      </c>
      <c r="AF67" s="791" t="e">
        <f>VLOOKUP(C67,'LƯƠNG KT'!#REF!,27,0)</f>
        <v>#REF!</v>
      </c>
      <c r="AG67" s="581" t="e">
        <f t="shared" si="7"/>
        <v>#N/A</v>
      </c>
      <c r="AH67" s="588" t="s">
        <v>2172</v>
      </c>
      <c r="AK67" s="593"/>
    </row>
    <row r="68" spans="1:37" s="242" customFormat="1" ht="17.25" customHeight="1">
      <c r="A68" s="545">
        <v>55</v>
      </c>
      <c r="B68" s="546" t="str">
        <f>VLOOKUP(C68,'DS CN MOI UP'!$B$10:$C$389,2,0)</f>
        <v>03857</v>
      </c>
      <c r="C68" s="257" t="s">
        <v>260</v>
      </c>
      <c r="D68" s="257" t="s">
        <v>15</v>
      </c>
      <c r="E68" s="776"/>
      <c r="F68" s="548">
        <f>+VLOOKUP($C$14:$C$84,THCKT!$C$317:$AE$395,17,0)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/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KT'!$D$16:$Y$184,22,0)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9"/>
        <v>#N/A</v>
      </c>
      <c r="AE68" s="580" t="e">
        <f t="shared" ref="AE68:AE82" si="10">AD68</f>
        <v>#N/A</v>
      </c>
      <c r="AF68" s="791" t="e">
        <f>VLOOKUP(C68,'LƯƠNG KT'!#REF!,27,0)</f>
        <v>#REF!</v>
      </c>
      <c r="AG68" s="581" t="e">
        <f t="shared" si="7"/>
        <v>#N/A</v>
      </c>
      <c r="AH68" s="588" t="s">
        <v>2172</v>
      </c>
      <c r="AK68" s="593"/>
    </row>
    <row r="69" spans="1:37" s="242" customFormat="1" ht="17.25" customHeight="1">
      <c r="A69" s="545">
        <v>56</v>
      </c>
      <c r="B69" s="546" t="str">
        <f>VLOOKUP(C69,'DS CN MOI UP'!$B$10:$C$389,2,0)</f>
        <v>02597</v>
      </c>
      <c r="C69" s="257" t="s">
        <v>261</v>
      </c>
      <c r="D69" s="257" t="s">
        <v>15</v>
      </c>
      <c r="E69" s="776"/>
      <c r="F69" s="548">
        <f>+VLOOKUP($C$14:$C$84,THCKT!$C$317:$AE$395,17,0)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KT'!$D$16:$Y$184,22,0)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9"/>
        <v>#N/A</v>
      </c>
      <c r="AE69" s="580" t="e">
        <f t="shared" si="10"/>
        <v>#N/A</v>
      </c>
      <c r="AF69" s="791" t="e">
        <f>VLOOKUP(C69,'LƯƠNG KT'!#REF!,27,0)</f>
        <v>#REF!</v>
      </c>
      <c r="AG69" s="581" t="e">
        <f t="shared" si="7"/>
        <v>#N/A</v>
      </c>
      <c r="AH69" s="588" t="s">
        <v>2172</v>
      </c>
      <c r="AK69" s="593"/>
    </row>
    <row r="70" spans="1:37" s="242" customFormat="1" ht="17.25" customHeight="1">
      <c r="A70" s="545">
        <v>57</v>
      </c>
      <c r="B70" s="546" t="str">
        <f>VLOOKUP(C70,'DS CN MOI UP'!$B$10:$C$389,2,0)</f>
        <v>02590</v>
      </c>
      <c r="C70" s="257" t="s">
        <v>262</v>
      </c>
      <c r="D70" s="257" t="s">
        <v>15</v>
      </c>
      <c r="E70" s="776"/>
      <c r="F70" s="548">
        <f>+VLOOKUP($C$14:$C$84,THCKT!$C$317:$AE$395,17,0)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8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KT'!$D$16:$Y$184,22,0)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9"/>
        <v>#N/A</v>
      </c>
      <c r="AE70" s="580" t="e">
        <f t="shared" si="10"/>
        <v>#N/A</v>
      </c>
      <c r="AF70" s="791" t="e">
        <f>VLOOKUP(C70,'LƯƠNG KT'!#REF!,27,0)</f>
        <v>#REF!</v>
      </c>
      <c r="AG70" s="581" t="e">
        <f t="shared" si="7"/>
        <v>#N/A</v>
      </c>
      <c r="AH70" s="588" t="s">
        <v>2172</v>
      </c>
      <c r="AK70" s="593"/>
    </row>
    <row r="71" spans="1:37" s="242" customFormat="1" ht="17.25" customHeight="1">
      <c r="A71" s="545">
        <v>58</v>
      </c>
      <c r="B71" s="546" t="str">
        <f>VLOOKUP(C71,'DS CN MOI UP'!$B$10:$C$389,2,0)</f>
        <v>02585</v>
      </c>
      <c r="C71" s="257" t="s">
        <v>263</v>
      </c>
      <c r="D71" s="257" t="s">
        <v>15</v>
      </c>
      <c r="E71" s="776"/>
      <c r="F71" s="548">
        <f>+VLOOKUP($C$14:$C$84,THCKT!$C$317:$AE$395,17,0)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8"/>
        <v>#N/A</v>
      </c>
      <c r="O71" s="565"/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KT'!$D$16:$Y$184,22,0)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9"/>
        <v>#N/A</v>
      </c>
      <c r="AE71" s="580" t="e">
        <f t="shared" si="10"/>
        <v>#N/A</v>
      </c>
      <c r="AF71" s="791" t="e">
        <f>VLOOKUP(C71,'LƯƠNG KT'!#REF!,27,0)</f>
        <v>#REF!</v>
      </c>
      <c r="AG71" s="581" t="e">
        <f t="shared" si="7"/>
        <v>#N/A</v>
      </c>
      <c r="AH71" s="588" t="s">
        <v>2172</v>
      </c>
      <c r="AK71" s="593"/>
    </row>
    <row r="72" spans="1:37" s="242" customFormat="1" ht="17.25" customHeight="1">
      <c r="A72" s="545">
        <v>59</v>
      </c>
      <c r="B72" s="546" t="str">
        <f>VLOOKUP(C72,'DS CN MOI UP'!$B$10:$C$389,2,0)</f>
        <v>03399</v>
      </c>
      <c r="C72" s="257" t="s">
        <v>264</v>
      </c>
      <c r="D72" s="257" t="s">
        <v>15</v>
      </c>
      <c r="E72" s="776"/>
      <c r="F72" s="548">
        <f>+VLOOKUP($C$14:$C$84,THCKT!$C$317:$AE$395,17,0)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8"/>
        <v>#N/A</v>
      </c>
      <c r="O72" s="565"/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KT'!$D$16:$Y$184,22,0)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9"/>
        <v>#N/A</v>
      </c>
      <c r="AE72" s="580" t="e">
        <f t="shared" si="10"/>
        <v>#N/A</v>
      </c>
      <c r="AF72" s="791" t="e">
        <f>VLOOKUP(C72,'LƯƠNG KT'!#REF!,27,0)</f>
        <v>#REF!</v>
      </c>
      <c r="AG72" s="581" t="e">
        <f t="shared" si="7"/>
        <v>#N/A</v>
      </c>
      <c r="AH72" s="588" t="s">
        <v>2172</v>
      </c>
      <c r="AK72" s="593"/>
    </row>
    <row r="73" spans="1:37" s="242" customFormat="1" ht="17.25" customHeight="1">
      <c r="A73" s="545">
        <v>60</v>
      </c>
      <c r="B73" s="546" t="str">
        <f>VLOOKUP(C73,'DS CN MOI UP'!$B$10:$C$389,2,0)</f>
        <v>02584</v>
      </c>
      <c r="C73" s="257" t="s">
        <v>265</v>
      </c>
      <c r="D73" s="257" t="s">
        <v>15</v>
      </c>
      <c r="E73" s="776"/>
      <c r="F73" s="548">
        <f>+VLOOKUP($C$14:$C$84,THCKT!$C$317:$AE$395,17,0)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8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KT'!$D$16:$Y$184,22,0)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9"/>
        <v>#N/A</v>
      </c>
      <c r="AE73" s="580" t="e">
        <f t="shared" si="10"/>
        <v>#N/A</v>
      </c>
      <c r="AF73" s="791" t="e">
        <f>VLOOKUP(C73,'LƯƠNG KT'!#REF!,27,0)</f>
        <v>#REF!</v>
      </c>
      <c r="AG73" s="581" t="e">
        <f t="shared" si="7"/>
        <v>#N/A</v>
      </c>
      <c r="AH73" s="588" t="s">
        <v>2172</v>
      </c>
      <c r="AK73" s="593"/>
    </row>
    <row r="74" spans="1:37" s="242" customFormat="1" ht="17.25" customHeight="1">
      <c r="A74" s="545">
        <v>61</v>
      </c>
      <c r="B74" s="546" t="str">
        <f>VLOOKUP(C74,'DS CN MOI UP'!$B$10:$C$389,2,0)</f>
        <v>02698</v>
      </c>
      <c r="C74" s="257" t="s">
        <v>266</v>
      </c>
      <c r="D74" s="257" t="s">
        <v>15</v>
      </c>
      <c r="E74" s="776"/>
      <c r="F74" s="548">
        <f>+VLOOKUP($C$14:$C$84,THCKT!$C$317:$AE$395,17,0)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8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KT'!$D$16:$Y$184,22,0)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9"/>
        <v>#N/A</v>
      </c>
      <c r="AE74" s="580" t="e">
        <f t="shared" si="10"/>
        <v>#N/A</v>
      </c>
      <c r="AF74" s="791" t="e">
        <f>VLOOKUP(C74,'LƯƠNG KT'!#REF!,27,0)</f>
        <v>#REF!</v>
      </c>
      <c r="AG74" s="581" t="e">
        <f t="shared" si="7"/>
        <v>#N/A</v>
      </c>
      <c r="AH74" s="588" t="s">
        <v>2172</v>
      </c>
      <c r="AK74" s="593"/>
    </row>
    <row r="75" spans="1:37" s="242" customFormat="1" ht="17.25" customHeight="1">
      <c r="A75" s="545">
        <v>62</v>
      </c>
      <c r="B75" s="546" t="str">
        <f>VLOOKUP(C75,'DS CN MOI UP'!$B$10:$C$389,2,0)</f>
        <v>03858</v>
      </c>
      <c r="C75" s="257" t="s">
        <v>267</v>
      </c>
      <c r="D75" s="257" t="s">
        <v>15</v>
      </c>
      <c r="E75" s="776"/>
      <c r="F75" s="548">
        <f>+VLOOKUP($C$14:$C$84,THCKT!$C$317:$AE$395,17,0)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8"/>
        <v>#N/A</v>
      </c>
      <c r="O75" s="565"/>
      <c r="P75" s="566" t="e">
        <f>VLOOKUP(C75,THCKT!$C$13:$AL$460,36,0)</f>
        <v>#N/A</v>
      </c>
      <c r="Q75" s="567" t="e">
        <f t="shared" si="5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KT'!$D$16:$Y$184,22,0)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6"/>
        <v>#N/A</v>
      </c>
      <c r="AD75" s="580" t="e">
        <f t="shared" si="9"/>
        <v>#N/A</v>
      </c>
      <c r="AE75" s="580" t="e">
        <f t="shared" si="10"/>
        <v>#N/A</v>
      </c>
      <c r="AF75" s="791" t="e">
        <f>VLOOKUP(C75,'LƯƠNG KT'!#REF!,27,0)</f>
        <v>#REF!</v>
      </c>
      <c r="AG75" s="581" t="e">
        <f t="shared" si="7"/>
        <v>#N/A</v>
      </c>
      <c r="AH75" s="588" t="s">
        <v>2172</v>
      </c>
      <c r="AK75" s="593"/>
    </row>
    <row r="76" spans="1:37" s="242" customFormat="1" ht="17.25" customHeight="1">
      <c r="A76" s="545">
        <v>63</v>
      </c>
      <c r="B76" s="546" t="str">
        <f>VLOOKUP(C76,'DS CN MOI UP'!$B$10:$C$389,2,0)</f>
        <v>02591</v>
      </c>
      <c r="C76" s="257" t="s">
        <v>268</v>
      </c>
      <c r="D76" s="257" t="s">
        <v>15</v>
      </c>
      <c r="E76" s="776"/>
      <c r="F76" s="548">
        <f>+VLOOKUP($C$14:$C$84,THCKT!$C$317:$AE$395,17,0)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KT'!$D$16:$Y$184,22,0)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9"/>
        <v>#N/A</v>
      </c>
      <c r="AE76" s="580" t="e">
        <f t="shared" si="10"/>
        <v>#N/A</v>
      </c>
      <c r="AF76" s="791" t="e">
        <f>VLOOKUP(C76,'LƯƠNG KT'!#REF!,27,0)</f>
        <v>#REF!</v>
      </c>
      <c r="AG76" s="581" t="e">
        <f t="shared" si="7"/>
        <v>#N/A</v>
      </c>
      <c r="AH76" s="588" t="s">
        <v>2172</v>
      </c>
      <c r="AK76" s="593"/>
    </row>
    <row r="77" spans="1:37" s="242" customFormat="1" ht="17.25" customHeight="1">
      <c r="A77" s="545">
        <v>64</v>
      </c>
      <c r="B77" s="546" t="str">
        <f>VLOOKUP(C77,'DS CN MOI UP'!$B$10:$C$389,2,0)</f>
        <v>02595</v>
      </c>
      <c r="C77" s="257" t="s">
        <v>269</v>
      </c>
      <c r="D77" s="257" t="s">
        <v>15</v>
      </c>
      <c r="E77" s="776"/>
      <c r="F77" s="548">
        <f>+VLOOKUP($C$14:$C$84,THCKT!$C$317:$AE$395,17,0)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/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KT'!$D$16:$Y$184,22,0)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9"/>
        <v>#N/A</v>
      </c>
      <c r="AE77" s="580" t="e">
        <f t="shared" si="10"/>
        <v>#N/A</v>
      </c>
      <c r="AF77" s="791" t="e">
        <f>VLOOKUP(C77,'LƯƠNG KT'!#REF!,27,0)</f>
        <v>#REF!</v>
      </c>
      <c r="AG77" s="581" t="e">
        <f t="shared" si="7"/>
        <v>#N/A</v>
      </c>
      <c r="AH77" s="588" t="s">
        <v>2172</v>
      </c>
      <c r="AK77" s="593"/>
    </row>
    <row r="78" spans="1:37" s="242" customFormat="1" ht="17.25" customHeight="1">
      <c r="A78" s="545">
        <v>65</v>
      </c>
      <c r="B78" s="546" t="str">
        <f>VLOOKUP(C78,'DS CN MOI UP'!$B$10:$C$389,2,0)</f>
        <v>02582</v>
      </c>
      <c r="C78" s="257" t="s">
        <v>270</v>
      </c>
      <c r="D78" s="257" t="s">
        <v>15</v>
      </c>
      <c r="E78" s="776"/>
      <c r="F78" s="548">
        <f>+VLOOKUP($C$14:$C$84,THCKT!$C$317:$AE$395,17,0)</f>
        <v>24</v>
      </c>
      <c r="G78" s="549">
        <f t="shared" ref="G78:G82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N82" si="12">$AI$8/$AI$7*K78+L78*$AI$9+M78*$AI$10</f>
        <v>#N/A</v>
      </c>
      <c r="O78" s="565"/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KT'!$D$16:$Y$184,22,0)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ref="AD78:AD82" si="13">+AC78+Q78+G78</f>
        <v>#N/A</v>
      </c>
      <c r="AE78" s="580" t="e">
        <f t="shared" si="10"/>
        <v>#N/A</v>
      </c>
      <c r="AF78" s="791" t="e">
        <f>VLOOKUP(C78,'LƯƠNG KT'!#REF!,27,0)</f>
        <v>#REF!</v>
      </c>
      <c r="AG78" s="581" t="e">
        <f t="shared" si="7"/>
        <v>#N/A</v>
      </c>
      <c r="AH78" s="588" t="s">
        <v>2172</v>
      </c>
      <c r="AK78" s="593"/>
    </row>
    <row r="79" spans="1:37" s="242" customFormat="1" ht="17.25" customHeight="1">
      <c r="A79" s="545">
        <v>66</v>
      </c>
      <c r="B79" s="546" t="str">
        <f>VLOOKUP(C79,'DS CN MOI UP'!$B$10:$C$389,2,0)</f>
        <v>02572</v>
      </c>
      <c r="C79" s="257" t="s">
        <v>271</v>
      </c>
      <c r="D79" s="257" t="s">
        <v>15</v>
      </c>
      <c r="E79" s="776"/>
      <c r="F79" s="548">
        <f>+VLOOKUP($C$14:$C$84,THCKT!$C$317:$AE$395,17,0)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#REF!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#REF!</v>
      </c>
      <c r="O79" s="565"/>
      <c r="P79" s="566">
        <f>VLOOKUP(C79,THCKT!$C$13:$AL$460,36,0)</f>
        <v>1486.0321696862216</v>
      </c>
      <c r="Q79" s="56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49">
        <f>VLOOKUP(C79,'LƯƠNG KT'!$D$16:$Y$184,16,0)</f>
        <v>0</v>
      </c>
      <c r="S79" s="549">
        <f>VLOOKUP(C79,'LƯƠNG KT'!$D$16:$Y$184,17,0)</f>
        <v>0</v>
      </c>
      <c r="T79" s="549">
        <f>VLOOKUP(C79,'LƯƠNG KT'!$D$16:$Y$184,18,0)</f>
        <v>0</v>
      </c>
      <c r="U79" s="549">
        <f>VLOOKUP(C79,'LƯƠNG KT'!$D$16:$Y$184,18,0)</f>
        <v>0</v>
      </c>
      <c r="V79" s="549">
        <f>VLOOKUP(C79,'LƯƠNG KT'!$D$16:$Y$184,19,0)</f>
        <v>0</v>
      </c>
      <c r="W79" s="549">
        <f>VLOOKUP(C79,'LƯƠNG KT'!$D$16:$Y$184,20,0)</f>
        <v>0</v>
      </c>
      <c r="X79" s="549">
        <f>VLOOKUP(C79,'LƯƠNG KT'!$D$16:$Y$184,22,0)</f>
        <v>0</v>
      </c>
      <c r="Y79" s="549" t="e">
        <f>VLOOKUP(C79,'LƯƠNG KT'!$D$16:$Y$184,23,0)</f>
        <v>#REF!</v>
      </c>
      <c r="Z79" s="549" t="e">
        <f>VLOOKUP(C79,'LƯƠNG KT'!$D$16:$Y$184,24,0)</f>
        <v>#REF!</v>
      </c>
      <c r="AA79" s="549">
        <v>20</v>
      </c>
      <c r="AB79" s="549"/>
      <c r="AC79" s="580" t="e">
        <f t="shared" ref="AC79:AC82" si="15">ROUND((((R79*46.1)+(S79*76.9)+(X79*30.7)+(U79*46.1*2)+(V79*46.1*2)+(W79*76.9*2))*$F$8),0)+T79*10000+Y79*20000+Z79*20000+AA79*25000</f>
        <v>#REF!</v>
      </c>
      <c r="AD79" s="580" t="e">
        <f t="shared" si="13"/>
        <v>#REF!</v>
      </c>
      <c r="AE79" s="580" t="e">
        <f t="shared" si="10"/>
        <v>#REF!</v>
      </c>
      <c r="AF79" s="791" t="e">
        <f>VLOOKUP(C79,'LƯƠNG KT'!#REF!,27,0)</f>
        <v>#REF!</v>
      </c>
      <c r="AG79" s="581" t="e">
        <f t="shared" ref="AG79:AG84" si="16">+AC79-AF79</f>
        <v>#REF!</v>
      </c>
      <c r="AH79" s="588" t="s">
        <v>2172</v>
      </c>
      <c r="AK79" s="593"/>
    </row>
    <row r="80" spans="1:37" s="242" customFormat="1" ht="17.25" customHeight="1">
      <c r="A80" s="545">
        <v>67</v>
      </c>
      <c r="B80" s="546" t="str">
        <f>VLOOKUP(C80,'DS CN MOI UP'!$B$10:$C$389,2,0)</f>
        <v>02694</v>
      </c>
      <c r="C80" s="257" t="s">
        <v>272</v>
      </c>
      <c r="D80" s="257" t="s">
        <v>15</v>
      </c>
      <c r="E80" s="776"/>
      <c r="F80" s="548">
        <f>+VLOOKUP($C$14:$C$84,THCKT!$C$317:$AE$395,17,0)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 t="shared" ref="O80:O84" si="17"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KT'!$D$16:$Y$184,22,0)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91" t="e">
        <f>VLOOKUP(C80,'LƯƠNG KT'!#REF!,27,0)</f>
        <v>#REF!</v>
      </c>
      <c r="AG80" s="581" t="e">
        <f t="shared" si="16"/>
        <v>#N/A</v>
      </c>
      <c r="AH80" s="588" t="s">
        <v>2172</v>
      </c>
      <c r="AK80" s="593"/>
    </row>
    <row r="81" spans="1:38" s="242" customFormat="1" ht="17.25" customHeight="1">
      <c r="A81" s="545">
        <v>68</v>
      </c>
      <c r="B81" s="546" t="str">
        <f>VLOOKUP(C81,'DS CN MOI UP'!$B$10:$C$389,2,0)</f>
        <v>02699</v>
      </c>
      <c r="C81" s="257" t="s">
        <v>273</v>
      </c>
      <c r="D81" s="257" t="s">
        <v>15</v>
      </c>
      <c r="E81" s="776"/>
      <c r="F81" s="548">
        <f>+VLOOKUP($C$14:$C$84,THCKT!$C$317:$AE$395,17,0)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/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KT'!$D$16:$Y$184,22,0)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91" t="e">
        <f>VLOOKUP(C81,'LƯƠNG KT'!#REF!,27,0)</f>
        <v>#REF!</v>
      </c>
      <c r="AG81" s="581" t="e">
        <f t="shared" si="16"/>
        <v>#N/A</v>
      </c>
      <c r="AH81" s="588" t="s">
        <v>2172</v>
      </c>
      <c r="AK81" s="593"/>
    </row>
    <row r="82" spans="1:38" s="242" customFormat="1" ht="17.25" customHeight="1">
      <c r="A82" s="545">
        <v>69</v>
      </c>
      <c r="B82" s="546" t="str">
        <f>VLOOKUP(C82,'DS CN MOI UP'!$B$10:$C$389,2,0)</f>
        <v>03400</v>
      </c>
      <c r="C82" s="257" t="s">
        <v>274</v>
      </c>
      <c r="D82" s="257" t="s">
        <v>15</v>
      </c>
      <c r="E82" s="776"/>
      <c r="F82" s="548">
        <f>+VLOOKUP($C$14:$C$84,THCKT!$C$317:$AE$395,17,0)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/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KT'!$D$16:$Y$184,22,0)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91" t="e">
        <f>VLOOKUP(C82,'LƯƠNG KT'!#REF!,27,0)</f>
        <v>#REF!</v>
      </c>
      <c r="AG82" s="581" t="e">
        <f t="shared" si="16"/>
        <v>#N/A</v>
      </c>
      <c r="AH82" s="588" t="s">
        <v>2172</v>
      </c>
      <c r="AK82" s="593"/>
    </row>
    <row r="83" spans="1:38" s="242" customFormat="1" ht="17.25" customHeight="1">
      <c r="A83" s="545">
        <v>70</v>
      </c>
      <c r="B83" s="546" t="e">
        <f>VLOOKUP(C83,'DS CN MOI UP'!$B$10:$C$389,2,0)</f>
        <v>#N/A</v>
      </c>
      <c r="C83" s="257" t="s">
        <v>275</v>
      </c>
      <c r="D83" s="257" t="s">
        <v>15</v>
      </c>
      <c r="E83" s="776"/>
      <c r="F83" s="548">
        <f>+VLOOKUP($C$14:$C$84,THCKT!$C$317:$AE$395,17,0)</f>
        <v>24</v>
      </c>
      <c r="G83" s="549">
        <f t="shared" ref="G83:G84" si="18">F83*25000</f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ref="N83:N84" si="19">$AI$8/$AI$7*K83+L83*$AI$9+M83*$AI$10</f>
        <v>#N/A</v>
      </c>
      <c r="O83" s="565" t="e">
        <f t="shared" si="17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KT'!$D$16:$Y$184,22,0)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>ROUND((((R83*46.1)+(S83*76.9)+(X83*30.7)+(U83*46.1*2)+(V83*46.1*2)+(W83*76.9*2))*$F$8),0)+T83*10000+Y83*20000+Z83*20000+AA83*25000</f>
        <v>#N/A</v>
      </c>
      <c r="AD83" s="580" t="e">
        <f t="shared" ref="AD83:AD84" si="20">+AC83+Q83+G83</f>
        <v>#N/A</v>
      </c>
      <c r="AE83" s="580" t="e">
        <f t="shared" ref="AE83:AE84" si="21">AD83</f>
        <v>#N/A</v>
      </c>
      <c r="AF83" s="791" t="e">
        <f>VLOOKUP(C83,'LƯƠNG KT'!#REF!,27,0)</f>
        <v>#REF!</v>
      </c>
      <c r="AG83" s="581" t="e">
        <f t="shared" si="16"/>
        <v>#N/A</v>
      </c>
      <c r="AH83" s="588" t="s">
        <v>2172</v>
      </c>
      <c r="AK83" s="593"/>
    </row>
    <row r="84" spans="1:38" s="242" customFormat="1" ht="17.25" customHeight="1">
      <c r="A84" s="545">
        <v>71</v>
      </c>
      <c r="B84" s="546" t="e">
        <f>VLOOKUP(C84,'DS CN MOI UP'!$B$10:$C$389,2,0)</f>
        <v>#N/A</v>
      </c>
      <c r="C84" s="257" t="s">
        <v>276</v>
      </c>
      <c r="D84" s="257" t="s">
        <v>15</v>
      </c>
      <c r="E84" s="776"/>
      <c r="F84" s="548">
        <f>+VLOOKUP($C$14:$C$84,THCKT!$C$317:$AE$395,17,0)</f>
        <v>24</v>
      </c>
      <c r="G84" s="549">
        <f t="shared" si="18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9"/>
        <v>#N/A</v>
      </c>
      <c r="O84" s="565" t="e">
        <f t="shared" si="17"/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KT'!$D$16:$Y$184,22,0)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>ROUND((((R84*46.1)+(S84*76.9)+(X84*30.7)+(U84*46.1*2)+(V84*46.1*2)+(W84*76.9*2))*$F$8),0)+T84*10000+Y84*20000+Z84*20000+AA84*25000</f>
        <v>#N/A</v>
      </c>
      <c r="AD84" s="580" t="e">
        <f t="shared" si="20"/>
        <v>#N/A</v>
      </c>
      <c r="AE84" s="580" t="e">
        <f t="shared" si="21"/>
        <v>#N/A</v>
      </c>
      <c r="AF84" s="791" t="e">
        <f>VLOOKUP(C84,'LƯƠNG KT'!#REF!,27,0)</f>
        <v>#REF!</v>
      </c>
      <c r="AG84" s="581" t="e">
        <f t="shared" si="16"/>
        <v>#N/A</v>
      </c>
      <c r="AH84" s="588" t="s">
        <v>2172</v>
      </c>
      <c r="AK84" s="593"/>
    </row>
    <row r="85" spans="1:38" s="243" customFormat="1" ht="17.25" customHeight="1">
      <c r="A85" s="594" t="s">
        <v>2182</v>
      </c>
      <c r="B85" s="594"/>
      <c r="C85" s="550"/>
      <c r="D85" s="550"/>
      <c r="E85" s="595"/>
      <c r="F85" s="787">
        <f t="shared" ref="F85:AE85" si="22">SUM(F14:F84)</f>
        <v>1704</v>
      </c>
      <c r="G85" s="595">
        <f t="shared" si="22"/>
        <v>42600000</v>
      </c>
      <c r="H85" s="595">
        <f t="shared" si="22"/>
        <v>0</v>
      </c>
      <c r="I85" s="595">
        <f t="shared" si="22"/>
        <v>0</v>
      </c>
      <c r="J85" s="595">
        <f t="shared" si="22"/>
        <v>0</v>
      </c>
      <c r="K85" s="595" t="e">
        <f t="shared" si="22"/>
        <v>#N/A</v>
      </c>
      <c r="L85" s="595">
        <f t="shared" si="22"/>
        <v>0</v>
      </c>
      <c r="M85" s="595">
        <f t="shared" si="22"/>
        <v>0</v>
      </c>
      <c r="N85" s="595" t="e">
        <f t="shared" si="22"/>
        <v>#N/A</v>
      </c>
      <c r="O85" s="787" t="e">
        <f t="shared" si="22"/>
        <v>#N/A</v>
      </c>
      <c r="P85" s="595" t="e">
        <f t="shared" si="22"/>
        <v>#N/A</v>
      </c>
      <c r="Q85" s="595" t="e">
        <f t="shared" si="22"/>
        <v>#N/A</v>
      </c>
      <c r="R85" s="595" t="e">
        <f t="shared" si="22"/>
        <v>#N/A</v>
      </c>
      <c r="S85" s="595" t="e">
        <f t="shared" si="22"/>
        <v>#N/A</v>
      </c>
      <c r="T85" s="595" t="e">
        <f t="shared" si="22"/>
        <v>#N/A</v>
      </c>
      <c r="U85" s="595" t="e">
        <f t="shared" si="22"/>
        <v>#N/A</v>
      </c>
      <c r="V85" s="595" t="e">
        <f t="shared" si="22"/>
        <v>#N/A</v>
      </c>
      <c r="W85" s="595" t="e">
        <f t="shared" si="22"/>
        <v>#N/A</v>
      </c>
      <c r="X85" s="595" t="e">
        <f t="shared" si="22"/>
        <v>#N/A</v>
      </c>
      <c r="Y85" s="595" t="e">
        <f t="shared" si="22"/>
        <v>#N/A</v>
      </c>
      <c r="Z85" s="595" t="e">
        <f t="shared" si="22"/>
        <v>#N/A</v>
      </c>
      <c r="AA85" s="595">
        <f t="shared" si="22"/>
        <v>1420</v>
      </c>
      <c r="AB85" s="595">
        <f t="shared" si="22"/>
        <v>0</v>
      </c>
      <c r="AC85" s="595" t="e">
        <f t="shared" si="22"/>
        <v>#N/A</v>
      </c>
      <c r="AD85" s="595" t="e">
        <f t="shared" si="22"/>
        <v>#N/A</v>
      </c>
      <c r="AE85" s="595" t="e">
        <f t="shared" si="22"/>
        <v>#N/A</v>
      </c>
      <c r="AF85" s="790" t="e">
        <f>+'LƯƠNG KT'!#REF!</f>
        <v>#REF!</v>
      </c>
      <c r="AG85" s="597" t="e">
        <f>+AF85-AF86</f>
        <v>#REF!</v>
      </c>
      <c r="AH85" s="792" t="e">
        <f>+Q85+'Đội 5 - KV71ha'!Q21</f>
        <v>#N/A</v>
      </c>
      <c r="AI85" s="599"/>
    </row>
    <row r="86" spans="1:38" s="243" customFormat="1" ht="17.25" customHeight="1">
      <c r="A86" s="2638" t="s">
        <v>2978</v>
      </c>
      <c r="B86" s="2638"/>
      <c r="C86" s="2638"/>
      <c r="D86" s="2638"/>
      <c r="E86" s="2638"/>
      <c r="F86" s="2638"/>
      <c r="G86" s="2638"/>
      <c r="H86" s="2638"/>
      <c r="I86" s="2638"/>
      <c r="J86" s="2638"/>
      <c r="K86" s="2638"/>
      <c r="L86" s="2638"/>
      <c r="M86" s="2638"/>
      <c r="N86" s="2638"/>
      <c r="O86" s="2638"/>
      <c r="P86" s="2638"/>
      <c r="Q86" s="2638"/>
      <c r="R86" s="2638"/>
      <c r="S86" s="2638"/>
      <c r="T86" s="2638"/>
      <c r="U86" s="2638"/>
      <c r="V86" s="2638"/>
      <c r="W86" s="2638"/>
      <c r="X86" s="2638"/>
      <c r="Y86" s="2638"/>
      <c r="Z86" s="2638"/>
      <c r="AA86" s="2638"/>
      <c r="AB86" s="2638"/>
      <c r="AC86" s="2638"/>
      <c r="AD86" s="2638"/>
      <c r="AE86" s="2638"/>
      <c r="AF86" s="282" t="e">
        <f>+AE85+'Đội 5 - KV71ha'!AE21</f>
        <v>#N/A</v>
      </c>
      <c r="AG86" s="283"/>
      <c r="AH86" s="290" t="e">
        <f>+#REF!+#REF!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2"/>
      <c r="M87" s="602"/>
      <c r="N87" s="602"/>
      <c r="O87" s="602"/>
      <c r="P87" s="603"/>
      <c r="Q87" s="284"/>
      <c r="R87" s="262"/>
      <c r="S87" s="610"/>
      <c r="T87" s="610"/>
      <c r="U87" s="610"/>
      <c r="V87" s="610"/>
      <c r="W87" s="610"/>
      <c r="X87" s="610"/>
      <c r="Y87" s="610"/>
      <c r="Z87" s="610"/>
      <c r="AA87" s="610"/>
      <c r="AB87" s="610"/>
      <c r="AC87" s="2639" t="s">
        <v>2166</v>
      </c>
      <c r="AD87" s="2639"/>
      <c r="AE87" s="2639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453" t="s">
        <v>1921</v>
      </c>
      <c r="D88" s="2453"/>
      <c r="E88" s="2453"/>
      <c r="F88" s="2453"/>
      <c r="G88" s="2453" t="s">
        <v>616</v>
      </c>
      <c r="H88" s="2453"/>
      <c r="I88" s="2453"/>
      <c r="J88" s="2453"/>
      <c r="K88" s="2453"/>
      <c r="L88" s="2453"/>
      <c r="M88" s="2453"/>
      <c r="N88" s="2453"/>
      <c r="O88" s="2453"/>
      <c r="P88" s="2453"/>
      <c r="Q88" s="2453" t="s">
        <v>2085</v>
      </c>
      <c r="R88" s="2453"/>
      <c r="S88" s="2453"/>
      <c r="T88" s="2453"/>
      <c r="U88" s="2453"/>
      <c r="V88" s="2453"/>
      <c r="W88" s="2453"/>
      <c r="X88" s="2453"/>
      <c r="Y88" s="2453"/>
      <c r="Z88" s="2453"/>
      <c r="AA88" s="2453"/>
      <c r="AB88" s="2453"/>
      <c r="AC88" s="2453"/>
      <c r="AD88" s="2453" t="s">
        <v>612</v>
      </c>
      <c r="AE88" s="2453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4"/>
      <c r="L89" s="605"/>
      <c r="M89" s="605"/>
      <c r="N89" s="605"/>
      <c r="O89" s="605"/>
      <c r="P89" s="96"/>
      <c r="Q89" s="96"/>
      <c r="R89" s="96"/>
      <c r="AC89" s="615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4"/>
      <c r="L90" s="605"/>
      <c r="M90" s="605"/>
      <c r="N90" s="605"/>
      <c r="O90" s="605"/>
      <c r="P90" s="96"/>
      <c r="Q90" s="96"/>
      <c r="R90" s="96"/>
      <c r="AC90" s="615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634"/>
      <c r="L91" s="2634"/>
      <c r="M91" s="2634"/>
      <c r="N91" s="2634"/>
      <c r="O91" s="1208"/>
      <c r="P91" s="2635"/>
      <c r="Q91" s="2635"/>
      <c r="S91" s="611"/>
      <c r="T91" s="611"/>
      <c r="U91" s="611"/>
      <c r="V91" s="611"/>
      <c r="W91" s="611"/>
      <c r="X91" s="611"/>
      <c r="Y91" s="611"/>
      <c r="Z91" s="611"/>
      <c r="AA91" s="611"/>
      <c r="AB91" s="611"/>
      <c r="AC91" s="615"/>
      <c r="AD91" s="2636"/>
      <c r="AE91" s="2636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636"/>
      <c r="L92" s="2636"/>
      <c r="M92" s="287"/>
      <c r="N92" s="605"/>
      <c r="O92" s="605"/>
      <c r="P92" s="2637"/>
      <c r="Q92" s="2637"/>
      <c r="R92" s="2637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2636"/>
      <c r="AD92" s="2636"/>
      <c r="AG92" s="272"/>
      <c r="AI92" s="249"/>
    </row>
    <row r="93" spans="1:38" s="53" customFormat="1">
      <c r="C93" s="2453" t="s">
        <v>1924</v>
      </c>
      <c r="D93" s="2453"/>
      <c r="E93" s="2453"/>
      <c r="F93" s="2453"/>
      <c r="G93" s="2612" t="s">
        <v>2184</v>
      </c>
      <c r="H93" s="2612"/>
      <c r="I93" s="2612"/>
      <c r="J93" s="2612"/>
      <c r="K93" s="2612"/>
      <c r="L93" s="2612"/>
      <c r="M93" s="2612"/>
      <c r="N93" s="2612"/>
      <c r="O93" s="2612"/>
      <c r="P93" s="2593"/>
      <c r="Q93" s="2593"/>
      <c r="R93" s="96"/>
      <c r="S93" s="612"/>
      <c r="T93" s="612"/>
      <c r="U93" s="612"/>
      <c r="V93" s="612"/>
      <c r="W93" s="612"/>
      <c r="X93" s="612"/>
      <c r="Y93" s="612"/>
      <c r="Z93" s="612"/>
      <c r="AA93" s="612"/>
      <c r="AB93" s="612"/>
      <c r="AC93" s="615"/>
      <c r="AD93" s="2606" t="s">
        <v>613</v>
      </c>
      <c r="AE93" s="2606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94"/>
      <c r="G94" s="2594"/>
      <c r="H94" s="2594"/>
      <c r="I94" s="2594"/>
      <c r="J94" s="2594"/>
      <c r="K94" s="2594"/>
      <c r="L94" s="2633"/>
      <c r="M94" s="2633"/>
      <c r="N94" s="2633"/>
      <c r="O94" s="1213"/>
      <c r="P94" s="2609"/>
      <c r="Q94" s="2609"/>
      <c r="R94" s="96"/>
      <c r="AC94" s="615"/>
      <c r="AD94" s="95"/>
      <c r="AE94" s="67"/>
      <c r="AG94" s="272"/>
      <c r="AI94" s="249"/>
    </row>
    <row r="95" spans="1:38" s="53" customFormat="1">
      <c r="C95" s="270"/>
      <c r="E95" s="95"/>
      <c r="F95" s="2591"/>
      <c r="G95" s="2591"/>
      <c r="H95" s="2591"/>
      <c r="I95" s="2591"/>
      <c r="J95" s="2591"/>
      <c r="K95" s="2591"/>
      <c r="L95" s="785"/>
      <c r="M95" s="785"/>
      <c r="N95" s="2592"/>
      <c r="O95" s="2592"/>
      <c r="P95" s="2592"/>
      <c r="Q95" s="2593"/>
      <c r="R95" s="2593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5"/>
      <c r="AD95" s="95"/>
      <c r="AE95" s="605"/>
      <c r="AG95" s="272"/>
      <c r="AI95" s="249"/>
    </row>
    <row r="96" spans="1:38" s="53" customFormat="1">
      <c r="E96" s="95"/>
      <c r="F96" s="271"/>
      <c r="G96" s="2595"/>
      <c r="H96" s="2595"/>
      <c r="I96" s="2595"/>
      <c r="J96" s="2595"/>
      <c r="K96" s="2595"/>
      <c r="L96" s="785"/>
      <c r="M96" s="785"/>
      <c r="N96" s="785"/>
      <c r="O96" s="785"/>
      <c r="P96" s="96"/>
      <c r="Q96" s="2593"/>
      <c r="R96" s="2593"/>
      <c r="AC96" s="615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95"/>
      <c r="H97" s="2595"/>
      <c r="I97" s="2595"/>
      <c r="J97" s="2595"/>
      <c r="K97" s="2595"/>
      <c r="L97" s="785"/>
      <c r="M97" s="785"/>
      <c r="N97" s="785"/>
      <c r="O97" s="785"/>
      <c r="P97" s="96"/>
      <c r="Q97" s="2593"/>
      <c r="R97" s="2593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5"/>
      <c r="AD97" s="95"/>
      <c r="AG97" s="272"/>
      <c r="AI97" s="249"/>
    </row>
    <row r="98" spans="3:35" s="53" customFormat="1">
      <c r="E98" s="95"/>
      <c r="F98" s="271"/>
      <c r="G98" s="2595"/>
      <c r="H98" s="2595"/>
      <c r="I98" s="2595"/>
      <c r="J98" s="2595"/>
      <c r="K98" s="2595"/>
      <c r="L98" s="785"/>
      <c r="M98" s="785"/>
      <c r="N98" s="785"/>
      <c r="O98" s="785"/>
      <c r="P98" s="96"/>
      <c r="Q98" s="2593"/>
      <c r="R98" s="2593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5"/>
      <c r="AD98" s="95"/>
      <c r="AG98" s="272"/>
      <c r="AI98" s="249"/>
    </row>
    <row r="99" spans="3:35" s="53" customFormat="1">
      <c r="E99" s="95"/>
      <c r="F99" s="271"/>
      <c r="G99" s="2595"/>
      <c r="H99" s="2595"/>
      <c r="I99" s="2595"/>
      <c r="J99" s="2595"/>
      <c r="K99" s="2595"/>
      <c r="L99" s="785"/>
      <c r="M99" s="785"/>
      <c r="N99" s="785"/>
      <c r="O99" s="785"/>
      <c r="P99" s="96"/>
      <c r="Q99" s="2593"/>
      <c r="R99" s="2593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5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7"/>
      <c r="L100" s="608"/>
      <c r="M100" s="608"/>
      <c r="N100" s="608"/>
      <c r="O100" s="608"/>
      <c r="P100" s="96"/>
      <c r="Q100" s="96"/>
      <c r="R100" s="96"/>
      <c r="AC100" s="615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15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S103" s="613"/>
      <c r="T103" s="613"/>
      <c r="U103" s="613"/>
      <c r="V103" s="613"/>
      <c r="W103" s="613"/>
      <c r="X103" s="613"/>
      <c r="Y103" s="613"/>
      <c r="Z103" s="613"/>
      <c r="AA103" s="613"/>
      <c r="AB103" s="613"/>
      <c r="AC103" s="615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V109" s="95" t="e">
        <f>SUM(V15:V108)</f>
        <v>#N/A</v>
      </c>
      <c r="AC109" s="615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7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7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7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0.47778288100208866</v>
      </c>
    </row>
    <row r="7" spans="1:37" s="71" customFormat="1" ht="27" customHeight="1">
      <c r="A7" s="2408" t="s">
        <v>2185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408"/>
      <c r="AG7" s="274"/>
      <c r="AH7" s="778" t="s">
        <v>2037</v>
      </c>
      <c r="AI7" s="781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46" t="s">
        <v>623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57" t="s">
        <v>2138</v>
      </c>
      <c r="AE10" s="2657" t="s">
        <v>2139</v>
      </c>
      <c r="AF10" s="2596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46"/>
      <c r="B11" s="2646"/>
      <c r="C11" s="2649"/>
      <c r="D11" s="2646"/>
      <c r="E11" s="2644"/>
      <c r="F11" s="2646" t="s">
        <v>2141</v>
      </c>
      <c r="G11" s="2646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58"/>
      <c r="AE11" s="2658"/>
      <c r="AF11" s="2597"/>
      <c r="AG11" s="275"/>
      <c r="AI11" s="249"/>
    </row>
    <row r="12" spans="1:37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59"/>
      <c r="AE12" s="2659"/>
      <c r="AF12" s="2598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5">
        <v>1</v>
      </c>
      <c r="B14" s="546" t="str">
        <f>VLOOKUP(C14,'DS CN MOI UP'!$B$10:$C$389,2,0)</f>
        <v>02658</v>
      </c>
      <c r="C14" s="257" t="s">
        <v>278</v>
      </c>
      <c r="D14" s="257" t="s">
        <v>15</v>
      </c>
      <c r="E14" s="776"/>
      <c r="F14" s="548">
        <f>+VLOOKUP($C$14:$C$20,THCKT!$C$317:$AE$395,17,0)</f>
        <v>32</v>
      </c>
      <c r="G14" s="549">
        <f t="shared" ref="G14:G20" si="0">F14*25000</f>
        <v>800000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+AC14+Q14+G14</f>
        <v>#N/A</v>
      </c>
      <c r="AE14" s="580" t="e">
        <f t="shared" ref="AE14:AE20" si="4">AD14</f>
        <v>#N/A</v>
      </c>
      <c r="AF14" s="789"/>
      <c r="AG14" s="581"/>
      <c r="AH14" s="588" t="s">
        <v>2172</v>
      </c>
      <c r="AK14" s="593"/>
    </row>
    <row r="15" spans="1:37" s="242" customFormat="1" ht="17.25" customHeight="1">
      <c r="A15" s="545">
        <v>2</v>
      </c>
      <c r="B15" s="546" t="str">
        <f>VLOOKUP(C15,'DS CN MOI UP'!$B$10:$C$389,2,0)</f>
        <v>02705</v>
      </c>
      <c r="C15" s="257" t="s">
        <v>279</v>
      </c>
      <c r="D15" s="257" t="s">
        <v>15</v>
      </c>
      <c r="E15" s="776"/>
      <c r="F15" s="548">
        <f>+VLOOKUP($C$14:$C$20,THCKT!$C$317:$AE$395,17,0)</f>
        <v>32</v>
      </c>
      <c r="G15" s="549">
        <f t="shared" si="0"/>
        <v>800000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17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588" t="s">
        <v>2172</v>
      </c>
      <c r="AK15" s="593"/>
    </row>
    <row r="16" spans="1:37" s="242" customFormat="1" ht="17.25" customHeight="1">
      <c r="A16" s="545">
        <v>3</v>
      </c>
      <c r="B16" s="546" t="str">
        <f>VLOOKUP(C16,'DS CN MOI UP'!$B$10:$C$389,2,0)</f>
        <v>02659</v>
      </c>
      <c r="C16" s="257" t="s">
        <v>280</v>
      </c>
      <c r="D16" s="257" t="s">
        <v>15</v>
      </c>
      <c r="E16" s="776"/>
      <c r="F16" s="548">
        <f>+VLOOKUP($C$14:$C$20,THCKT!$C$317:$AE$395,17,0)</f>
        <v>32</v>
      </c>
      <c r="G16" s="549">
        <f t="shared" si="0"/>
        <v>800000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e">
        <f>+K21*AI6</f>
        <v>#N/A</v>
      </c>
      <c r="AK16" s="593"/>
    </row>
    <row r="17" spans="1:38" s="242" customFormat="1" ht="17.25" customHeight="1">
      <c r="A17" s="545">
        <v>4</v>
      </c>
      <c r="B17" s="546" t="str">
        <f>VLOOKUP(C17,'DS CN MOI UP'!$B$10:$C$389,2,0)</f>
        <v>02660</v>
      </c>
      <c r="C17" s="257" t="s">
        <v>281</v>
      </c>
      <c r="D17" s="257" t="s">
        <v>15</v>
      </c>
      <c r="E17" s="776"/>
      <c r="F17" s="548">
        <f>+VLOOKUP($C$14:$C$20,THCKT!$C$317:$AE$395,17,0)</f>
        <v>32</v>
      </c>
      <c r="G17" s="549">
        <f t="shared" si="0"/>
        <v>800000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588" t="s">
        <v>2172</v>
      </c>
      <c r="AK17" s="593"/>
    </row>
    <row r="18" spans="1:38" s="242" customFormat="1" ht="17.25" customHeight="1">
      <c r="A18" s="545">
        <v>5</v>
      </c>
      <c r="B18" s="546" t="str">
        <f>VLOOKUP(C18,'DS CN MOI UP'!$B$10:$C$389,2,0)</f>
        <v>02662</v>
      </c>
      <c r="C18" s="257" t="s">
        <v>282</v>
      </c>
      <c r="D18" s="257" t="s">
        <v>15</v>
      </c>
      <c r="E18" s="776"/>
      <c r="F18" s="548">
        <f>+VLOOKUP($C$14:$C$20,THCKT!$C$317:$AE$395,17,0)</f>
        <v>32</v>
      </c>
      <c r="G18" s="549">
        <f t="shared" si="0"/>
        <v>800000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>ROUND((((R18*46.1)+(S18*76.9)+(X18*30.7)+(U18*46.1*2)+(V18*46.1*2)+(W18*76.9*2))*$F$8),0)+T18*10000+Y18*20000+Z18*20000+AA18*25000+1</f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K18" s="593"/>
    </row>
    <row r="19" spans="1:38" s="242" customFormat="1" ht="17.25" customHeight="1">
      <c r="A19" s="545">
        <v>6</v>
      </c>
      <c r="B19" s="546" t="str">
        <f>VLOOKUP(C19,'DS CN MOI UP'!$B$10:$C$389,2,0)</f>
        <v>02657</v>
      </c>
      <c r="C19" s="257" t="s">
        <v>283</v>
      </c>
      <c r="D19" s="257" t="s">
        <v>15</v>
      </c>
      <c r="E19" s="776"/>
      <c r="F19" s="548">
        <f>+VLOOKUP($C$14:$C$20,THCKT!$C$317:$AE$395,17,0)</f>
        <v>32</v>
      </c>
      <c r="G19" s="549">
        <f t="shared" si="0"/>
        <v>800000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>ROUND((((R19*46.1)+(S19*76.9)+(X19*30.7)+(U19*46.1*2)+(V19*46.1*2)+(W19*76.9*2))*$F$8),0)+T19*10000+Y19*20000+Z19*20000+AA19*25000+1</f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588" t="s">
        <v>2172</v>
      </c>
      <c r="AK19" s="593"/>
    </row>
    <row r="20" spans="1:38" s="242" customFormat="1" ht="17.25" customHeight="1">
      <c r="A20" s="545">
        <v>7</v>
      </c>
      <c r="B20" s="546" t="str">
        <f>VLOOKUP(C20,'DS CN MOI UP'!$B$10:$C$389,2,0)</f>
        <v>02661</v>
      </c>
      <c r="C20" s="257" t="s">
        <v>284</v>
      </c>
      <c r="D20" s="257" t="s">
        <v>15</v>
      </c>
      <c r="E20" s="776"/>
      <c r="F20" s="548">
        <f>+VLOOKUP($C$14:$C$20,THCKT!$C$317:$AE$395,17,0)</f>
        <v>32</v>
      </c>
      <c r="G20" s="549">
        <f t="shared" si="0"/>
        <v>800000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ROUND((((R20*46.1)+(S20*76.9)+(X20*30.7)+(U20*46.1*2)+(V20*46.1*2)+(W20*76.9*2))*$F$8),0)+T20*10000+Y20*20000+Z20*20000+AA20*25000+1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K20" s="593"/>
    </row>
    <row r="21" spans="1:38" s="243" customFormat="1" ht="17.25" customHeight="1">
      <c r="A21" s="594" t="s">
        <v>2186</v>
      </c>
      <c r="B21" s="594"/>
      <c r="C21" s="550"/>
      <c r="D21" s="550"/>
      <c r="E21" s="595"/>
      <c r="F21" s="787">
        <f t="shared" ref="F21:AE21" si="7">SUM(F14:F20)</f>
        <v>224</v>
      </c>
      <c r="G21" s="595">
        <f t="shared" si="7"/>
        <v>5600000</v>
      </c>
      <c r="H21" s="595">
        <f t="shared" si="7"/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 t="shared" ref="M21" si="8">SUM(M14:M20)</f>
        <v>0</v>
      </c>
      <c r="N21" s="787" t="e">
        <f t="shared" si="7"/>
        <v>#N/A</v>
      </c>
      <c r="O21" s="787" t="e">
        <f t="shared" ref="O21" si="9">SUM(O14:O20)</f>
        <v>#N/A</v>
      </c>
      <c r="P21" s="788" t="e">
        <f t="shared" si="7"/>
        <v>#N/A</v>
      </c>
      <c r="Q21" s="595" t="e">
        <f t="shared" si="7"/>
        <v>#N/A</v>
      </c>
      <c r="R21" s="595" t="e">
        <f t="shared" si="7"/>
        <v>#N/A</v>
      </c>
      <c r="S21" s="595" t="e">
        <f t="shared" si="7"/>
        <v>#N/A</v>
      </c>
      <c r="T21" s="595" t="e">
        <f t="shared" ref="T21:W21" si="10">SUM(T14:T20)</f>
        <v>#N/A</v>
      </c>
      <c r="U21" s="595" t="e">
        <f t="shared" si="10"/>
        <v>#N/A</v>
      </c>
      <c r="V21" s="595" t="e">
        <f t="shared" si="10"/>
        <v>#N/A</v>
      </c>
      <c r="W21" s="595" t="e">
        <f t="shared" si="10"/>
        <v>#N/A</v>
      </c>
      <c r="X21" s="595" t="e">
        <f t="shared" si="7"/>
        <v>#N/A</v>
      </c>
      <c r="Y21" s="595" t="e">
        <f t="shared" si="7"/>
        <v>#N/A</v>
      </c>
      <c r="Z21" s="595" t="e">
        <f t="shared" ref="Z21:AA21" si="11">SUM(Z14:Z20)</f>
        <v>#N/A</v>
      </c>
      <c r="AA21" s="595">
        <f t="shared" si="11"/>
        <v>140</v>
      </c>
      <c r="AB21" s="595">
        <f t="shared" si="7"/>
        <v>0</v>
      </c>
      <c r="AC21" s="595" t="e">
        <f t="shared" si="7"/>
        <v>#N/A</v>
      </c>
      <c r="AD21" s="595" t="e">
        <f t="shared" si="7"/>
        <v>#N/A</v>
      </c>
      <c r="AE21" s="595" t="e">
        <f t="shared" si="7"/>
        <v>#N/A</v>
      </c>
      <c r="AF21" s="790"/>
      <c r="AG21" s="597"/>
      <c r="AI21" s="599"/>
    </row>
    <row r="22" spans="1:38" s="243" customFormat="1" ht="17.25" customHeight="1">
      <c r="A22" s="2638" t="s">
        <v>2979</v>
      </c>
      <c r="B22" s="2638"/>
      <c r="C22" s="2638"/>
      <c r="D22" s="2638"/>
      <c r="E22" s="2638"/>
      <c r="F22" s="2638"/>
      <c r="G22" s="2638"/>
      <c r="H22" s="2638"/>
      <c r="I22" s="2638"/>
      <c r="J22" s="2638"/>
      <c r="K22" s="2638"/>
      <c r="L22" s="2638"/>
      <c r="M22" s="2638"/>
      <c r="N22" s="2638"/>
      <c r="O22" s="2638"/>
      <c r="P22" s="2638"/>
      <c r="Q22" s="2638"/>
      <c r="R22" s="2638"/>
      <c r="S22" s="2638"/>
      <c r="T22" s="2638"/>
      <c r="U22" s="2638"/>
      <c r="V22" s="2638"/>
      <c r="W22" s="2638"/>
      <c r="X22" s="2638"/>
      <c r="Y22" s="2638"/>
      <c r="Z22" s="2638"/>
      <c r="AA22" s="2638"/>
      <c r="AB22" s="2638"/>
      <c r="AC22" s="2638"/>
      <c r="AD22" s="2638"/>
      <c r="AE22" s="2638"/>
      <c r="AF22" s="282"/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639" t="s">
        <v>2166</v>
      </c>
      <c r="AD23" s="2639"/>
      <c r="AE23" s="2639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53" t="s">
        <v>1921</v>
      </c>
      <c r="D24" s="2453"/>
      <c r="E24" s="2453"/>
      <c r="F24" s="2453"/>
      <c r="G24" s="2453" t="s">
        <v>616</v>
      </c>
      <c r="H24" s="2453"/>
      <c r="I24" s="2453"/>
      <c r="J24" s="2453"/>
      <c r="K24" s="2453"/>
      <c r="L24" s="2453"/>
      <c r="M24" s="2453"/>
      <c r="N24" s="2453"/>
      <c r="O24" s="2453"/>
      <c r="P24" s="2453"/>
      <c r="Q24" s="2453" t="s">
        <v>2085</v>
      </c>
      <c r="R24" s="2453"/>
      <c r="S24" s="2453"/>
      <c r="T24" s="2453"/>
      <c r="U24" s="2453"/>
      <c r="V24" s="2453"/>
      <c r="W24" s="2453"/>
      <c r="X24" s="2453"/>
      <c r="Y24" s="2453"/>
      <c r="Z24" s="2453"/>
      <c r="AA24" s="2453"/>
      <c r="AB24" s="2453"/>
      <c r="AC24" s="2453"/>
      <c r="AD24" s="2453" t="s">
        <v>612</v>
      </c>
      <c r="AE24" s="2453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634"/>
      <c r="L27" s="2634"/>
      <c r="M27" s="2634"/>
      <c r="N27" s="2634"/>
      <c r="O27" s="1208"/>
      <c r="P27" s="2635"/>
      <c r="Q27" s="2635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636"/>
      <c r="AE27" s="2636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636"/>
      <c r="L28" s="2636"/>
      <c r="M28" s="287"/>
      <c r="N28" s="605"/>
      <c r="O28" s="605"/>
      <c r="P28" s="2637"/>
      <c r="Q28" s="2637"/>
      <c r="R28" s="2637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636"/>
      <c r="AD28" s="2636"/>
      <c r="AG28" s="272"/>
      <c r="AI28" s="249"/>
    </row>
    <row r="29" spans="1:38" s="53" customFormat="1">
      <c r="C29" s="2453" t="s">
        <v>1924</v>
      </c>
      <c r="D29" s="2453"/>
      <c r="E29" s="2453"/>
      <c r="F29" s="2453"/>
      <c r="G29" s="601"/>
      <c r="H29" s="601"/>
      <c r="I29" s="601"/>
      <c r="J29" s="601"/>
      <c r="K29" s="2612" t="s">
        <v>2169</v>
      </c>
      <c r="L29" s="2612"/>
      <c r="M29" s="2612"/>
      <c r="N29" s="2612"/>
      <c r="O29" s="2612"/>
      <c r="P29" s="2593"/>
      <c r="Q29" s="2593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606" t="s">
        <v>613</v>
      </c>
      <c r="AE29" s="260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94"/>
      <c r="G30" s="2594"/>
      <c r="H30" s="2594"/>
      <c r="I30" s="2594"/>
      <c r="J30" s="2594"/>
      <c r="K30" s="2594"/>
      <c r="L30" s="2633"/>
      <c r="M30" s="2633"/>
      <c r="N30" s="2633"/>
      <c r="O30" s="1213"/>
      <c r="P30" s="2609"/>
      <c r="Q30" s="2609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591"/>
      <c r="G31" s="2591"/>
      <c r="H31" s="2591"/>
      <c r="I31" s="2591"/>
      <c r="J31" s="2591"/>
      <c r="K31" s="2591"/>
      <c r="L31" s="785"/>
      <c r="M31" s="785"/>
      <c r="N31" s="2592"/>
      <c r="O31" s="2592"/>
      <c r="P31" s="2592"/>
      <c r="Q31" s="2593"/>
      <c r="R31" s="259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595"/>
      <c r="H32" s="2595"/>
      <c r="I32" s="2595"/>
      <c r="J32" s="2595"/>
      <c r="K32" s="2595"/>
      <c r="L32" s="785"/>
      <c r="M32" s="785"/>
      <c r="N32" s="785"/>
      <c r="O32" s="785"/>
      <c r="P32" s="96"/>
      <c r="Q32" s="2593"/>
      <c r="R32" s="2593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95"/>
      <c r="H33" s="2595"/>
      <c r="I33" s="2595"/>
      <c r="J33" s="2595"/>
      <c r="K33" s="2595"/>
      <c r="L33" s="785"/>
      <c r="M33" s="785"/>
      <c r="N33" s="785"/>
      <c r="O33" s="785"/>
      <c r="P33" s="96"/>
      <c r="Q33" s="2593"/>
      <c r="R33" s="259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595"/>
      <c r="H34" s="2595"/>
      <c r="I34" s="2595"/>
      <c r="J34" s="2595"/>
      <c r="K34" s="2595"/>
      <c r="L34" s="785"/>
      <c r="M34" s="785"/>
      <c r="N34" s="785"/>
      <c r="O34" s="785"/>
      <c r="P34" s="96"/>
      <c r="Q34" s="2593"/>
      <c r="R34" s="259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595"/>
      <c r="H35" s="2595"/>
      <c r="I35" s="2595"/>
      <c r="J35" s="2595"/>
      <c r="K35" s="2595"/>
      <c r="L35" s="785"/>
      <c r="M35" s="785"/>
      <c r="N35" s="785"/>
      <c r="O35" s="785"/>
      <c r="P35" s="96"/>
      <c r="Q35" s="2593"/>
      <c r="R35" s="259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652" t="s">
        <v>0</v>
      </c>
      <c r="C1" s="2652"/>
      <c r="D1" s="2652"/>
      <c r="E1" s="2652"/>
      <c r="F1" s="2652"/>
      <c r="G1" s="2652"/>
      <c r="H1" s="2652"/>
      <c r="I1" s="2652"/>
      <c r="J1" s="2652"/>
      <c r="K1" s="2652"/>
      <c r="L1" s="2652"/>
      <c r="M1" s="2652"/>
      <c r="N1" s="2652"/>
      <c r="O1" s="2652"/>
      <c r="P1" s="2652"/>
      <c r="Q1" s="2652"/>
      <c r="R1" s="2652"/>
      <c r="S1" s="2652"/>
      <c r="T1" s="2652"/>
      <c r="U1" s="2652"/>
      <c r="V1" s="2652"/>
      <c r="W1" s="2652"/>
      <c r="X1" s="2652"/>
      <c r="Y1" s="2652"/>
      <c r="Z1" s="2652"/>
      <c r="AA1" s="2652"/>
      <c r="AB1" s="2652"/>
      <c r="AC1" s="2652"/>
      <c r="AD1" s="2652"/>
      <c r="AE1" s="2652"/>
    </row>
    <row r="2" spans="1:36" s="240" customFormat="1" ht="15.75">
      <c r="B2" s="2652" t="s">
        <v>2030</v>
      </c>
      <c r="C2" s="2652"/>
      <c r="D2" s="2652"/>
      <c r="E2" s="2652"/>
      <c r="F2" s="2652"/>
      <c r="G2" s="2652"/>
      <c r="H2" s="2652"/>
      <c r="I2" s="2652"/>
      <c r="J2" s="2652"/>
      <c r="K2" s="2652"/>
      <c r="L2" s="2652"/>
      <c r="M2" s="2652"/>
      <c r="N2" s="2652"/>
      <c r="O2" s="2652"/>
      <c r="P2" s="2652"/>
      <c r="Q2" s="2652"/>
      <c r="R2" s="2652"/>
      <c r="S2" s="2652"/>
      <c r="T2" s="2652"/>
      <c r="U2" s="2652"/>
      <c r="V2" s="2652"/>
      <c r="W2" s="2652"/>
      <c r="X2" s="2652"/>
      <c r="Y2" s="2652"/>
      <c r="Z2" s="2652"/>
      <c r="AA2" s="2652"/>
      <c r="AB2" s="2652"/>
      <c r="AC2" s="2652"/>
      <c r="AD2" s="2652"/>
      <c r="AE2" s="2652"/>
    </row>
    <row r="3" spans="1:36" s="240" customFormat="1" ht="15.75">
      <c r="C3" s="2653" t="s">
        <v>619</v>
      </c>
      <c r="D3" s="2652"/>
      <c r="E3" s="2652"/>
      <c r="F3" s="2652"/>
      <c r="G3" s="2652"/>
      <c r="H3" s="2652"/>
      <c r="I3" s="2652"/>
      <c r="J3" s="2652"/>
      <c r="K3" s="2652"/>
      <c r="L3" s="2652"/>
      <c r="M3" s="2652"/>
      <c r="N3" s="2652"/>
      <c r="O3" s="2652"/>
      <c r="P3" s="2652"/>
      <c r="Q3" s="2652"/>
      <c r="R3" s="2652"/>
      <c r="S3" s="2652"/>
      <c r="T3" s="2652"/>
      <c r="U3" s="2652"/>
      <c r="V3" s="2652"/>
      <c r="W3" s="2652"/>
      <c r="X3" s="2652"/>
      <c r="Y3" s="2652"/>
      <c r="Z3" s="2652"/>
      <c r="AA3" s="2652"/>
      <c r="AB3" s="2652"/>
      <c r="AC3" s="2652"/>
      <c r="AD3" s="2652"/>
      <c r="AE3" s="2652"/>
    </row>
    <row r="4" spans="1:36" s="240" customFormat="1" ht="15.75">
      <c r="C4" s="2654" t="s">
        <v>2134</v>
      </c>
      <c r="D4" s="2655"/>
      <c r="E4" s="2655"/>
      <c r="F4" s="2655"/>
      <c r="G4" s="2655"/>
      <c r="H4" s="2655"/>
      <c r="I4" s="2655"/>
      <c r="J4" s="2655"/>
      <c r="K4" s="2655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618" t="s">
        <v>620</v>
      </c>
      <c r="D5" s="2618"/>
      <c r="E5" s="2618"/>
      <c r="F5" s="2618"/>
      <c r="G5" s="2618"/>
      <c r="H5" s="2618"/>
      <c r="I5" s="2618"/>
      <c r="J5" s="2618"/>
      <c r="K5" s="2618"/>
      <c r="L5" s="553"/>
      <c r="M5" s="553"/>
      <c r="N5" s="554"/>
      <c r="O5" s="55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2" t="s">
        <v>1952</v>
      </c>
      <c r="AH6" s="486">
        <f>+AH8/AH7</f>
        <v>0.4866304358244653</v>
      </c>
    </row>
    <row r="7" spans="1:36" s="71" customFormat="1" ht="27" customHeight="1">
      <c r="A7" s="2408" t="s">
        <v>2187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  <c r="AD7" s="2408"/>
      <c r="AE7" s="2408"/>
      <c r="AF7" s="274"/>
      <c r="AG7" s="575" t="s">
        <v>2037</v>
      </c>
      <c r="AH7" s="576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640" t="s">
        <v>2135</v>
      </c>
      <c r="B8" s="2640"/>
      <c r="C8" s="2640"/>
      <c r="D8" s="2640"/>
      <c r="E8" s="70"/>
      <c r="F8" s="53">
        <f>'LƯƠNG KT'!F8</f>
        <v>600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5" t="s">
        <v>2070</v>
      </c>
      <c r="AH8" s="577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8" t="s">
        <v>373</v>
      </c>
      <c r="AH9" s="579">
        <v>0.5</v>
      </c>
    </row>
    <row r="10" spans="1:36" s="70" customFormat="1" ht="17.25" customHeight="1">
      <c r="A10" s="2646" t="s">
        <v>6</v>
      </c>
      <c r="B10" s="2646" t="s">
        <v>624</v>
      </c>
      <c r="C10" s="2648" t="s">
        <v>356</v>
      </c>
      <c r="D10" s="2646" t="s">
        <v>2136</v>
      </c>
      <c r="E10" s="2644" t="s">
        <v>531</v>
      </c>
      <c r="F10" s="2641" t="s">
        <v>2137</v>
      </c>
      <c r="G10" s="2642"/>
      <c r="H10" s="2642"/>
      <c r="I10" s="2642"/>
      <c r="J10" s="2642"/>
      <c r="K10" s="2642"/>
      <c r="L10" s="2642"/>
      <c r="M10" s="2642"/>
      <c r="N10" s="2642"/>
      <c r="O10" s="2642"/>
      <c r="P10" s="2642"/>
      <c r="Q10" s="2642"/>
      <c r="R10" s="2642"/>
      <c r="S10" s="2642"/>
      <c r="T10" s="2642"/>
      <c r="U10" s="2642"/>
      <c r="V10" s="2642"/>
      <c r="W10" s="2642"/>
      <c r="X10" s="2642"/>
      <c r="Y10" s="2642"/>
      <c r="Z10" s="2642"/>
      <c r="AA10" s="2642"/>
      <c r="AB10" s="2642"/>
      <c r="AC10" s="2643"/>
      <c r="AD10" s="2657" t="s">
        <v>2138</v>
      </c>
      <c r="AE10" s="2657" t="s">
        <v>2139</v>
      </c>
      <c r="AF10" s="275"/>
      <c r="AG10" s="578" t="s">
        <v>2072</v>
      </c>
      <c r="AH10" s="579">
        <v>0.2</v>
      </c>
    </row>
    <row r="11" spans="1:36" s="70" customFormat="1" ht="28.5" customHeight="1">
      <c r="A11" s="2646"/>
      <c r="B11" s="2646"/>
      <c r="C11" s="2649"/>
      <c r="D11" s="2646"/>
      <c r="E11" s="2644"/>
      <c r="F11" s="2393" t="s">
        <v>2141</v>
      </c>
      <c r="G11" s="2393"/>
      <c r="H11" s="543"/>
      <c r="I11" s="543"/>
      <c r="J11" s="543"/>
      <c r="K11" s="2644" t="s">
        <v>2142</v>
      </c>
      <c r="L11" s="2644"/>
      <c r="M11" s="2644"/>
      <c r="N11" s="2644"/>
      <c r="O11" s="2644"/>
      <c r="P11" s="2644"/>
      <c r="Q11" s="2644"/>
      <c r="R11" s="2645" t="s">
        <v>2143</v>
      </c>
      <c r="S11" s="2645"/>
      <c r="T11" s="2645"/>
      <c r="U11" s="2645"/>
      <c r="V11" s="2645"/>
      <c r="W11" s="2645"/>
      <c r="X11" s="2645"/>
      <c r="Y11" s="2645"/>
      <c r="Z11" s="2645"/>
      <c r="AA11" s="2645"/>
      <c r="AB11" s="2645"/>
      <c r="AC11" s="2645"/>
      <c r="AD11" s="2658"/>
      <c r="AE11" s="2658"/>
      <c r="AF11" s="275"/>
      <c r="AH11" s="249"/>
    </row>
    <row r="12" spans="1:36" s="241" customFormat="1" ht="51" customHeight="1">
      <c r="A12" s="2647"/>
      <c r="B12" s="2646"/>
      <c r="C12" s="2650"/>
      <c r="D12" s="2647"/>
      <c r="E12" s="2644"/>
      <c r="F12" s="254" t="s">
        <v>2061</v>
      </c>
      <c r="G12" s="73" t="s">
        <v>2144</v>
      </c>
      <c r="H12" s="544" t="s">
        <v>2054</v>
      </c>
      <c r="I12" s="544" t="s">
        <v>2055</v>
      </c>
      <c r="J12" s="544" t="s">
        <v>2056</v>
      </c>
      <c r="K12" s="560" t="s">
        <v>2145</v>
      </c>
      <c r="L12" s="561" t="s">
        <v>2146</v>
      </c>
      <c r="M12" s="561" t="s">
        <v>2147</v>
      </c>
      <c r="N12" s="561" t="s">
        <v>2973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2972</v>
      </c>
      <c r="AB12" s="573"/>
      <c r="AC12" s="255" t="s">
        <v>2156</v>
      </c>
      <c r="AD12" s="2659"/>
      <c r="AE12" s="2659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549" t="e">
        <f>VLOOKUP(C14,'LƯƠNG KT'!$D$16:$Y$184,15,0)</f>
        <v>#N/A</v>
      </c>
      <c r="S14" s="549" t="e">
        <f>VLOOKUP(C14,'LƯƠNG KT'!$D$16:$Y$184,16,0)</f>
        <v>#N/A</v>
      </c>
      <c r="T14" s="549" t="e">
        <f>VLOOKUP(C14,'LƯƠNG KT'!$D$16:$Y$184,17,0)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KT'!$D$16:$Y$184,22,0)</f>
        <v>#N/A</v>
      </c>
      <c r="Z14" s="549" t="e">
        <f>VLOOKUP(C14,'LƯƠNG KT'!$D$16:$Y$184,23,0)</f>
        <v>#N/A</v>
      </c>
      <c r="AA14" s="549"/>
      <c r="AB14" s="549"/>
      <c r="AC14" s="580" t="e">
        <f>((R14*46.1)+(S14*76.9)+(X14*30.7)+(U14*46.1*2)+(V14*46.1*2)+(W14*76.9*2))*$F$8+T14*10000+Y14*20000+Z14*20000</f>
        <v>#N/A</v>
      </c>
      <c r="AD14" s="775">
        <v>15</v>
      </c>
      <c r="AE14" s="775">
        <v>16</v>
      </c>
      <c r="AF14" s="780"/>
      <c r="AH14" s="249"/>
    </row>
    <row r="15" spans="1:36" s="242" customFormat="1" ht="20.25" customHeight="1">
      <c r="A15" s="545">
        <v>1</v>
      </c>
      <c r="B15" s="546" t="e">
        <f>VLOOKUP(C15,'DS CN MOI UP'!$B$10:$C$389,2,0)</f>
        <v>#N/A</v>
      </c>
      <c r="C15" s="584" t="s">
        <v>286</v>
      </c>
      <c r="D15" s="596" t="s">
        <v>15</v>
      </c>
      <c r="E15" s="776"/>
      <c r="F15" s="548">
        <f>+VLOOKUP($C$15:$C$77,THCKT!$C$397:$AE$460,17,0)</f>
        <v>24</v>
      </c>
      <c r="G15" s="549">
        <f t="shared" ref="G15:G77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24" si="1">$AH$8/$AH$7*K15+L15*$AH$9+M15*$AH$10</f>
        <v>#N/A</v>
      </c>
      <c r="O15" s="565" t="e">
        <f t="shared" ref="O15:O77" si="2">Q15/((Q15/(N15*$F$9)*$F$8))</f>
        <v>#N/A</v>
      </c>
      <c r="P15" s="566" t="e">
        <f>VLOOKUP(C15,THCKT!$C$13:$AL$460,36,0)</f>
        <v>#N/A</v>
      </c>
      <c r="Q15" s="567" t="e">
        <f>ROUND((IF(P15="A",(K15*$AH$6*6.7),IF(P15="B",(K15*$AH$6*6.4),IF(P15="C",(K15*$AH$6*6.1),IF(P15="D",(K15*$AH$6*5.8),0))))*$F$9+(L15*$F$9*6.1*$AH$9)+M15*6.1*$F$9*$AH$10),0)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KT'!$D$16:$Y$184,22,0)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24" si="3">+AC15+Q15+G15</f>
        <v>#N/A</v>
      </c>
      <c r="AE15" s="580" t="e">
        <f t="shared" ref="AE15:AE77" si="4">AD15</f>
        <v>#N/A</v>
      </c>
      <c r="AF15" s="581">
        <v>1235385.87900802</v>
      </c>
      <c r="AG15" s="636" t="e">
        <f t="shared" ref="AG15:AG81" si="5">+AE15-AF15</f>
        <v>#N/A</v>
      </c>
      <c r="AH15" s="289">
        <v>5</v>
      </c>
    </row>
    <row r="16" spans="1:36" s="242" customFormat="1" ht="20.25" customHeight="1">
      <c r="A16" s="545">
        <v>2</v>
      </c>
      <c r="B16" s="546" t="str">
        <f>VLOOKUP(C16,'DS CN MOI UP'!$B$10:$C$389,2,0)</f>
        <v>02637</v>
      </c>
      <c r="C16" s="584" t="s">
        <v>287</v>
      </c>
      <c r="D16" s="596" t="s">
        <v>15</v>
      </c>
      <c r="E16" s="776"/>
      <c r="F16" s="548">
        <f>+VLOOKUP($C$15:$C$77,THCKT!$C$397:$AE$460,17,0)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KT'!$D$16:$Y$184,22,0)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ref="AC16:AC76" si="7">ROUND((((R16*46.1)+(S16*76.9)+(X16*30.7)+(U16*46.1*2)+(V16*46.1*2)+(W16*76.9*2))*$F$8),0)+T16*10000+Y16*20000+Z16*20000+AA16*25000</f>
        <v>#N/A</v>
      </c>
      <c r="AD16" s="580" t="e">
        <f t="shared" si="3"/>
        <v>#N/A</v>
      </c>
      <c r="AE16" s="580" t="e">
        <f t="shared" si="4"/>
        <v>#N/A</v>
      </c>
      <c r="AF16" s="581">
        <v>3395099.47486836</v>
      </c>
      <c r="AG16" s="636" t="e">
        <f t="shared" si="5"/>
        <v>#N/A</v>
      </c>
      <c r="AH16" s="289">
        <v>5</v>
      </c>
    </row>
    <row r="17" spans="1:34" s="242" customFormat="1" ht="20.25" customHeight="1">
      <c r="A17" s="545">
        <v>3</v>
      </c>
      <c r="B17" s="546" t="str">
        <f>VLOOKUP(C17,'DS CN MOI UP'!$B$10:$C$389,2,0)</f>
        <v>02638</v>
      </c>
      <c r="C17" s="584" t="s">
        <v>288</v>
      </c>
      <c r="D17" s="596" t="s">
        <v>15</v>
      </c>
      <c r="E17" s="776"/>
      <c r="F17" s="548">
        <f>+VLOOKUP($C$15:$C$77,THCKT!$C$397:$AE$460,17,0)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6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KT'!$D$16:$Y$184,22,0)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7"/>
        <v>#N/A</v>
      </c>
      <c r="AD17" s="580" t="e">
        <f t="shared" si="3"/>
        <v>#N/A</v>
      </c>
      <c r="AE17" s="580" t="e">
        <f t="shared" si="4"/>
        <v>#N/A</v>
      </c>
      <c r="AF17" s="581">
        <v>3304831.9762292602</v>
      </c>
      <c r="AG17" s="636" t="e">
        <f t="shared" si="5"/>
        <v>#N/A</v>
      </c>
      <c r="AH17" s="289">
        <v>5</v>
      </c>
    </row>
    <row r="18" spans="1:34" s="242" customFormat="1" ht="20.25" customHeight="1">
      <c r="A18" s="545">
        <v>4</v>
      </c>
      <c r="B18" s="546" t="str">
        <f>VLOOKUP(C18,'DS CN MOI UP'!$B$10:$C$389,2,0)</f>
        <v>02639</v>
      </c>
      <c r="C18" s="584" t="s">
        <v>289</v>
      </c>
      <c r="D18" s="596" t="s">
        <v>15</v>
      </c>
      <c r="E18" s="776"/>
      <c r="F18" s="548">
        <f>+VLOOKUP($C$15:$C$77,THCKT!$C$397:$AE$460,17,0)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6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KT'!$D$16:$Y$184,22,0)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7"/>
        <v>#N/A</v>
      </c>
      <c r="AD18" s="580" t="e">
        <f t="shared" si="3"/>
        <v>#N/A</v>
      </c>
      <c r="AE18" s="580" t="e">
        <f t="shared" si="4"/>
        <v>#N/A</v>
      </c>
      <c r="AF18" s="581">
        <v>3605297.68546092</v>
      </c>
      <c r="AG18" s="636" t="e">
        <f t="shared" si="5"/>
        <v>#N/A</v>
      </c>
      <c r="AH18" s="289">
        <v>4</v>
      </c>
    </row>
    <row r="19" spans="1:34" s="242" customFormat="1" ht="20.25" customHeight="1">
      <c r="A19" s="545">
        <v>5</v>
      </c>
      <c r="B19" s="546" t="e">
        <f>VLOOKUP(C19,'DS CN MOI UP'!$B$10:$C$389,2,0)</f>
        <v>#N/A</v>
      </c>
      <c r="C19" s="584" t="s">
        <v>290</v>
      </c>
      <c r="D19" s="596" t="s">
        <v>15</v>
      </c>
      <c r="E19" s="776"/>
      <c r="F19" s="548">
        <f>+VLOOKUP($C$15:$C$77,THCKT!$C$397:$AE$460,17,0)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6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KT'!$D$16:$Y$184,22,0)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7"/>
        <v>#N/A</v>
      </c>
      <c r="AD19" s="580" t="e">
        <f t="shared" si="3"/>
        <v>#N/A</v>
      </c>
      <c r="AE19" s="580" t="e">
        <f t="shared" si="4"/>
        <v>#N/A</v>
      </c>
      <c r="AF19" s="581">
        <v>3719264.5277665802</v>
      </c>
      <c r="AG19" s="636" t="e">
        <f t="shared" si="5"/>
        <v>#N/A</v>
      </c>
      <c r="AH19" s="289">
        <v>4</v>
      </c>
    </row>
    <row r="20" spans="1:34" s="242" customFormat="1" ht="20.25" customHeight="1">
      <c r="A20" s="545">
        <v>6</v>
      </c>
      <c r="B20" s="546" t="str">
        <f>VLOOKUP(C20,'DS CN MOI UP'!$B$10:$C$389,2,0)</f>
        <v>02641</v>
      </c>
      <c r="C20" s="584" t="s">
        <v>291</v>
      </c>
      <c r="D20" s="596" t="s">
        <v>15</v>
      </c>
      <c r="E20" s="776"/>
      <c r="F20" s="548">
        <f>+VLOOKUP($C$15:$C$77,THCKT!$C$397:$AE$460,17,0)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6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KT'!$D$16:$Y$184,22,0)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7"/>
        <v>#N/A</v>
      </c>
      <c r="AD20" s="580" t="e">
        <f t="shared" si="3"/>
        <v>#N/A</v>
      </c>
      <c r="AE20" s="580" t="e">
        <f t="shared" si="4"/>
        <v>#N/A</v>
      </c>
      <c r="AF20" s="581">
        <v>3281093.7088690298</v>
      </c>
      <c r="AG20" s="636" t="e">
        <f t="shared" si="5"/>
        <v>#N/A</v>
      </c>
      <c r="AH20" s="289">
        <v>4</v>
      </c>
    </row>
    <row r="21" spans="1:34" s="242" customFormat="1" ht="20.25" customHeight="1">
      <c r="A21" s="545">
        <v>7</v>
      </c>
      <c r="B21" s="546" t="str">
        <f>VLOOKUP(C21,'DS CN MOI UP'!$B$10:$C$389,2,0)</f>
        <v>03406</v>
      </c>
      <c r="C21" s="584" t="s">
        <v>292</v>
      </c>
      <c r="D21" s="596" t="s">
        <v>15</v>
      </c>
      <c r="E21" s="776"/>
      <c r="F21" s="548">
        <f>+VLOOKUP($C$15:$C$77,THCKT!$C$397:$AE$460,17,0)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2"/>
        <v>#N/A</v>
      </c>
      <c r="P21" s="566" t="e">
        <f>VLOOKUP(C21,THCKT!$C$13:$AL$460,36,0)</f>
        <v>#N/A</v>
      </c>
      <c r="Q21" s="567" t="e">
        <f t="shared" si="6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KT'!$D$16:$Y$184,22,0)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7"/>
        <v>#N/A</v>
      </c>
      <c r="AD21" s="580" t="e">
        <f t="shared" si="3"/>
        <v>#N/A</v>
      </c>
      <c r="AE21" s="580" t="e">
        <f t="shared" si="4"/>
        <v>#N/A</v>
      </c>
      <c r="AF21" s="581">
        <v>3817703.8680548202</v>
      </c>
      <c r="AG21" s="636" t="e">
        <f t="shared" si="5"/>
        <v>#N/A</v>
      </c>
      <c r="AH21" s="289">
        <v>4</v>
      </c>
    </row>
    <row r="22" spans="1:34" s="242" customFormat="1" ht="20.25" customHeight="1">
      <c r="A22" s="545">
        <v>8</v>
      </c>
      <c r="B22" s="546" t="str">
        <f>VLOOKUP(C22,'DS CN MOI UP'!$B$10:$C$389,2,0)</f>
        <v>02643</v>
      </c>
      <c r="C22" s="584" t="s">
        <v>293</v>
      </c>
      <c r="D22" s="596" t="s">
        <v>15</v>
      </c>
      <c r="E22" s="776"/>
      <c r="F22" s="548">
        <f>+VLOOKUP($C$15:$C$77,THCKT!$C$397:$AE$460,17,0)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2"/>
        <v>#N/A</v>
      </c>
      <c r="P22" s="566" t="e">
        <f>VLOOKUP(C22,THCKT!$C$13:$AL$460,36,0)</f>
        <v>#N/A</v>
      </c>
      <c r="Q22" s="567" t="e">
        <f t="shared" si="6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KT'!$D$16:$Y$184,22,0)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7"/>
        <v>#N/A</v>
      </c>
      <c r="AD22" s="580" t="e">
        <f t="shared" si="3"/>
        <v>#N/A</v>
      </c>
      <c r="AE22" s="580" t="e">
        <f t="shared" si="4"/>
        <v>#N/A</v>
      </c>
      <c r="AF22" s="581">
        <v>3857372.4066443699</v>
      </c>
      <c r="AG22" s="636" t="e">
        <f t="shared" si="5"/>
        <v>#N/A</v>
      </c>
      <c r="AH22" s="289">
        <v>4</v>
      </c>
    </row>
    <row r="23" spans="1:34" s="242" customFormat="1" ht="20.25" customHeight="1">
      <c r="A23" s="545">
        <v>9</v>
      </c>
      <c r="B23" s="546" t="str">
        <f>VLOOKUP(C23,'DS CN MOI UP'!$B$10:$C$389,2,0)</f>
        <v>03407</v>
      </c>
      <c r="C23" s="584" t="s">
        <v>294</v>
      </c>
      <c r="D23" s="596" t="s">
        <v>15</v>
      </c>
      <c r="E23" s="776"/>
      <c r="F23" s="548">
        <f>+VLOOKUP($C$15:$C$77,THCKT!$C$397:$AE$460,17,0)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2"/>
        <v>#N/A</v>
      </c>
      <c r="P23" s="566" t="e">
        <f>VLOOKUP(C23,THCKT!$C$13:$AL$460,36,0)</f>
        <v>#N/A</v>
      </c>
      <c r="Q23" s="567" t="e">
        <f t="shared" si="6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KT'!$D$16:$Y$184,22,0)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7"/>
        <v>#N/A</v>
      </c>
      <c r="AD23" s="580" t="e">
        <f t="shared" si="3"/>
        <v>#N/A</v>
      </c>
      <c r="AE23" s="580" t="e">
        <f t="shared" si="4"/>
        <v>#N/A</v>
      </c>
      <c r="AF23" s="581">
        <v>2863064.3630933501</v>
      </c>
      <c r="AG23" s="636" t="e">
        <f t="shared" si="5"/>
        <v>#N/A</v>
      </c>
      <c r="AH23" s="289">
        <v>4</v>
      </c>
    </row>
    <row r="24" spans="1:34" s="242" customFormat="1" ht="20.25" customHeight="1">
      <c r="A24" s="545">
        <v>10</v>
      </c>
      <c r="B24" s="546" t="str">
        <f>VLOOKUP(C24,'DS CN MOI UP'!$B$10:$C$389,2,0)</f>
        <v>03408</v>
      </c>
      <c r="C24" s="584" t="s">
        <v>295</v>
      </c>
      <c r="D24" s="596" t="s">
        <v>15</v>
      </c>
      <c r="E24" s="776"/>
      <c r="F24" s="548">
        <f>+VLOOKUP($C$15:$C$77,THCKT!$C$397:$AE$460,17,0)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2"/>
        <v>#N/A</v>
      </c>
      <c r="P24" s="566" t="e">
        <f>VLOOKUP(C24,THCKT!$C$13:$AL$460,36,0)</f>
        <v>#N/A</v>
      </c>
      <c r="Q24" s="567" t="e">
        <f t="shared" si="6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KT'!$D$16:$Y$184,22,0)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7"/>
        <v>#N/A</v>
      </c>
      <c r="AD24" s="580" t="e">
        <f t="shared" si="3"/>
        <v>#N/A</v>
      </c>
      <c r="AE24" s="580" t="e">
        <f t="shared" si="4"/>
        <v>#N/A</v>
      </c>
      <c r="AF24" s="581">
        <v>3929313.4498572899</v>
      </c>
      <c r="AG24" s="636" t="e">
        <f t="shared" si="5"/>
        <v>#N/A</v>
      </c>
      <c r="AH24" s="289">
        <v>4</v>
      </c>
    </row>
    <row r="25" spans="1:34" s="242" customFormat="1" ht="20.25" customHeight="1">
      <c r="A25" s="545">
        <v>11</v>
      </c>
      <c r="B25" s="546" t="str">
        <f>VLOOKUP(C25,'DS CN MOI UP'!$B$10:$C$389,2,0)</f>
        <v>02646</v>
      </c>
      <c r="C25" s="584" t="s">
        <v>296</v>
      </c>
      <c r="D25" s="596" t="s">
        <v>15</v>
      </c>
      <c r="E25" s="776"/>
      <c r="F25" s="548">
        <f>+VLOOKUP($C$15:$C$77,THCKT!$C$397:$AE$460,17,0)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ref="N25:N77" si="8">$AH$8/$AH$7*K25+L25*$AH$9+M25*$AH$10</f>
        <v>#N/A</v>
      </c>
      <c r="O25" s="565" t="e">
        <f t="shared" si="2"/>
        <v>#N/A</v>
      </c>
      <c r="P25" s="566" t="e">
        <f>VLOOKUP(C25,THCKT!$C$13:$AL$460,36,0)</f>
        <v>#N/A</v>
      </c>
      <c r="Q25" s="567" t="e">
        <f t="shared" si="6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KT'!$D$16:$Y$184,22,0)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7"/>
        <v>#N/A</v>
      </c>
      <c r="AD25" s="580" t="e">
        <f t="shared" ref="AD25:AD77" si="9">+AC25+Q25+G25</f>
        <v>#N/A</v>
      </c>
      <c r="AE25" s="580" t="e">
        <f t="shared" si="4"/>
        <v>#N/A</v>
      </c>
      <c r="AF25" s="581">
        <v>3333876.5971746901</v>
      </c>
      <c r="AG25" s="636" t="e">
        <f t="shared" si="5"/>
        <v>#N/A</v>
      </c>
      <c r="AH25" s="289">
        <v>4</v>
      </c>
    </row>
    <row r="26" spans="1:34" s="242" customFormat="1" ht="20.25" customHeight="1">
      <c r="A26" s="545">
        <v>12</v>
      </c>
      <c r="B26" s="546" t="str">
        <f>VLOOKUP(C26,'DS CN MOI UP'!$B$10:$C$389,2,0)</f>
        <v>02647</v>
      </c>
      <c r="C26" s="584" t="s">
        <v>297</v>
      </c>
      <c r="D26" s="596" t="s">
        <v>15</v>
      </c>
      <c r="E26" s="776"/>
      <c r="F26" s="548">
        <f>+VLOOKUP($C$15:$C$77,THCKT!$C$397:$AE$460,17,0)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8"/>
        <v>#N/A</v>
      </c>
      <c r="O26" s="565" t="e">
        <f t="shared" si="2"/>
        <v>#N/A</v>
      </c>
      <c r="P26" s="566" t="e">
        <f>VLOOKUP(C26,THCKT!$C$13:$AL$460,36,0)</f>
        <v>#N/A</v>
      </c>
      <c r="Q26" s="567" t="e">
        <f t="shared" si="6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KT'!$D$16:$Y$184,22,0)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7"/>
        <v>#N/A</v>
      </c>
      <c r="AD26" s="580" t="e">
        <f t="shared" si="9"/>
        <v>#N/A</v>
      </c>
      <c r="AE26" s="580" t="e">
        <f t="shared" si="4"/>
        <v>#N/A</v>
      </c>
      <c r="AF26" s="581">
        <v>4035964.4066597698</v>
      </c>
      <c r="AG26" s="636" t="e">
        <f t="shared" si="5"/>
        <v>#N/A</v>
      </c>
      <c r="AH26" s="289">
        <v>4</v>
      </c>
    </row>
    <row r="27" spans="1:34" s="242" customFormat="1" ht="20.25" customHeight="1">
      <c r="A27" s="545">
        <v>13</v>
      </c>
      <c r="B27" s="546" t="str">
        <f>VLOOKUP(C27,'DS CN MOI UP'!$B$10:$C$389,2,0)</f>
        <v>02648</v>
      </c>
      <c r="C27" s="584" t="s">
        <v>298</v>
      </c>
      <c r="D27" s="596" t="s">
        <v>15</v>
      </c>
      <c r="E27" s="776"/>
      <c r="F27" s="548">
        <f>+VLOOKUP($C$15:$C$77,THCKT!$C$397:$AE$460,17,0)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8"/>
        <v>#N/A</v>
      </c>
      <c r="O27" s="565" t="e">
        <f t="shared" si="2"/>
        <v>#N/A</v>
      </c>
      <c r="P27" s="566" t="e">
        <f>VLOOKUP(C27,THCKT!$C$13:$AL$460,36,0)</f>
        <v>#N/A</v>
      </c>
      <c r="Q27" s="567" t="e">
        <f t="shared" si="6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KT'!$D$16:$Y$184,22,0)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7"/>
        <v>#N/A</v>
      </c>
      <c r="AD27" s="580" t="e">
        <f t="shared" si="9"/>
        <v>#N/A</v>
      </c>
      <c r="AE27" s="580" t="e">
        <f t="shared" si="4"/>
        <v>#N/A</v>
      </c>
      <c r="AF27" s="581">
        <v>3563555.12252018</v>
      </c>
      <c r="AG27" s="636" t="e">
        <f t="shared" si="5"/>
        <v>#N/A</v>
      </c>
      <c r="AH27" s="289">
        <v>4</v>
      </c>
    </row>
    <row r="28" spans="1:34" s="242" customFormat="1" ht="20.25" customHeight="1">
      <c r="A28" s="545">
        <v>14</v>
      </c>
      <c r="B28" s="546" t="str">
        <f>VLOOKUP(C28,'DS CN MOI UP'!$B$10:$C$389,2,0)</f>
        <v>02649</v>
      </c>
      <c r="C28" s="584" t="s">
        <v>299</v>
      </c>
      <c r="D28" s="596" t="s">
        <v>15</v>
      </c>
      <c r="E28" s="776"/>
      <c r="F28" s="548">
        <f>+VLOOKUP($C$15:$C$77,THCKT!$C$397:$AE$460,17,0)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8"/>
        <v>#N/A</v>
      </c>
      <c r="O28" s="565" t="e">
        <f t="shared" si="2"/>
        <v>#N/A</v>
      </c>
      <c r="P28" s="566" t="e">
        <f>VLOOKUP(C28,THCKT!$C$13:$AL$460,36,0)</f>
        <v>#N/A</v>
      </c>
      <c r="Q28" s="567" t="e">
        <f t="shared" si="6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KT'!$D$16:$Y$184,22,0)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7"/>
        <v>#N/A</v>
      </c>
      <c r="AD28" s="580" t="e">
        <f t="shared" si="9"/>
        <v>#N/A</v>
      </c>
      <c r="AE28" s="580" t="e">
        <f t="shared" si="4"/>
        <v>#N/A</v>
      </c>
      <c r="AF28" s="581">
        <v>3925938.7808027202</v>
      </c>
      <c r="AG28" s="636" t="e">
        <f t="shared" si="5"/>
        <v>#N/A</v>
      </c>
      <c r="AH28" s="289">
        <v>4</v>
      </c>
    </row>
    <row r="29" spans="1:34" s="242" customFormat="1" ht="20.25" customHeight="1">
      <c r="A29" s="545">
        <v>15</v>
      </c>
      <c r="B29" s="546" t="str">
        <f>VLOOKUP(C29,'DS CN MOI UP'!$B$10:$C$389,2,0)</f>
        <v>02650</v>
      </c>
      <c r="C29" s="584" t="s">
        <v>300</v>
      </c>
      <c r="D29" s="596" t="s">
        <v>15</v>
      </c>
      <c r="E29" s="776"/>
      <c r="F29" s="548">
        <f>+VLOOKUP($C$15:$C$77,THCKT!$C$397:$AE$460,17,0)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8"/>
        <v>#N/A</v>
      </c>
      <c r="O29" s="565" t="e">
        <f t="shared" si="2"/>
        <v>#N/A</v>
      </c>
      <c r="P29" s="566" t="e">
        <f>VLOOKUP(C29,THCKT!$C$13:$AL$460,36,0)</f>
        <v>#N/A</v>
      </c>
      <c r="Q29" s="567" t="e">
        <f t="shared" si="6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KT'!$D$16:$Y$184,22,0)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7"/>
        <v>#N/A</v>
      </c>
      <c r="AD29" s="580" t="e">
        <f t="shared" si="9"/>
        <v>#N/A</v>
      </c>
      <c r="AE29" s="580" t="e">
        <f t="shared" si="4"/>
        <v>#N/A</v>
      </c>
      <c r="AF29" s="581">
        <v>3162267.6295707398</v>
      </c>
      <c r="AG29" s="636" t="e">
        <f t="shared" si="5"/>
        <v>#N/A</v>
      </c>
      <c r="AH29" s="289">
        <v>4</v>
      </c>
    </row>
    <row r="30" spans="1:34" s="242" customFormat="1" ht="20.25" customHeight="1">
      <c r="A30" s="545">
        <v>16</v>
      </c>
      <c r="B30" s="546" t="str">
        <f>VLOOKUP(C30,'DS CN MOI UP'!$B$10:$C$389,2,0)</f>
        <v>02651</v>
      </c>
      <c r="C30" s="584" t="s">
        <v>301</v>
      </c>
      <c r="D30" s="596" t="s">
        <v>15</v>
      </c>
      <c r="E30" s="776"/>
      <c r="F30" s="548">
        <f>+VLOOKUP($C$15:$C$77,THCKT!$C$397:$AE$460,17,0)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8"/>
        <v>#N/A</v>
      </c>
      <c r="O30" s="565" t="e">
        <f t="shared" si="2"/>
        <v>#N/A</v>
      </c>
      <c r="P30" s="566" t="e">
        <f>VLOOKUP(C30,THCKT!$C$13:$AL$460,36,0)</f>
        <v>#N/A</v>
      </c>
      <c r="Q30" s="567" t="e">
        <f t="shared" si="6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KT'!$D$16:$Y$184,22,0)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7"/>
        <v>#N/A</v>
      </c>
      <c r="AD30" s="580" t="e">
        <f t="shared" si="9"/>
        <v>#N/A</v>
      </c>
      <c r="AE30" s="580" t="e">
        <f t="shared" si="4"/>
        <v>#N/A</v>
      </c>
      <c r="AF30" s="581">
        <v>3036357.7071177801</v>
      </c>
      <c r="AG30" s="636" t="e">
        <f t="shared" si="5"/>
        <v>#N/A</v>
      </c>
      <c r="AH30" s="289">
        <v>4</v>
      </c>
    </row>
    <row r="31" spans="1:34" s="242" customFormat="1" ht="20.25" customHeight="1">
      <c r="A31" s="545">
        <v>17</v>
      </c>
      <c r="B31" s="546" t="str">
        <f>VLOOKUP(C31,'DS CN MOI UP'!$B$10:$C$389,2,0)</f>
        <v>02652</v>
      </c>
      <c r="C31" s="584" t="s">
        <v>302</v>
      </c>
      <c r="D31" s="596" t="s">
        <v>15</v>
      </c>
      <c r="E31" s="776"/>
      <c r="F31" s="548">
        <f>+VLOOKUP($C$15:$C$77,THCKT!$C$397:$AE$460,17,0)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8"/>
        <v>#N/A</v>
      </c>
      <c r="O31" s="565" t="e">
        <f t="shared" si="2"/>
        <v>#N/A</v>
      </c>
      <c r="P31" s="566" t="e">
        <f>VLOOKUP(C31,THCKT!$C$13:$AL$460,36,0)</f>
        <v>#N/A</v>
      </c>
      <c r="Q31" s="567" t="e">
        <f t="shared" si="6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KT'!$D$16:$Y$184,22,0)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7"/>
        <v>#N/A</v>
      </c>
      <c r="AD31" s="580" t="e">
        <f t="shared" si="9"/>
        <v>#N/A</v>
      </c>
      <c r="AE31" s="580" t="e">
        <f t="shared" si="4"/>
        <v>#N/A</v>
      </c>
      <c r="AF31" s="581">
        <v>3925938.7808027202</v>
      </c>
      <c r="AG31" s="636" t="e">
        <f t="shared" si="5"/>
        <v>#N/A</v>
      </c>
      <c r="AH31" s="289">
        <v>4</v>
      </c>
    </row>
    <row r="32" spans="1:34" s="242" customFormat="1" ht="20.25" customHeight="1">
      <c r="A32" s="545">
        <v>18</v>
      </c>
      <c r="B32" s="546" t="e">
        <f>VLOOKUP(C32,'DS CN MOI UP'!$B$10:$C$389,2,0)</f>
        <v>#N/A</v>
      </c>
      <c r="C32" s="584" t="s">
        <v>303</v>
      </c>
      <c r="D32" s="596" t="s">
        <v>15</v>
      </c>
      <c r="E32" s="776"/>
      <c r="F32" s="548">
        <f>+VLOOKUP($C$15:$C$77,THCKT!$C$397:$AE$460,17,0)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8"/>
        <v>#N/A</v>
      </c>
      <c r="O32" s="565" t="e">
        <f t="shared" si="2"/>
        <v>#N/A</v>
      </c>
      <c r="P32" s="566" t="e">
        <f>VLOOKUP(C32,THCKT!$C$13:$AL$460,36,0)</f>
        <v>#N/A</v>
      </c>
      <c r="Q32" s="567" t="e">
        <f t="shared" si="6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KT'!$D$16:$Y$184,22,0)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7"/>
        <v>#N/A</v>
      </c>
      <c r="AD32" s="580" t="e">
        <f t="shared" si="9"/>
        <v>#N/A</v>
      </c>
      <c r="AE32" s="580" t="e">
        <f t="shared" si="4"/>
        <v>#N/A</v>
      </c>
      <c r="AF32" s="581">
        <v>3208182.7023956501</v>
      </c>
      <c r="AG32" s="636" t="e">
        <f t="shared" si="5"/>
        <v>#N/A</v>
      </c>
      <c r="AH32" s="289">
        <v>4</v>
      </c>
    </row>
    <row r="33" spans="1:34" s="242" customFormat="1" ht="20.25" customHeight="1">
      <c r="A33" s="545">
        <v>19</v>
      </c>
      <c r="B33" s="546" t="str">
        <f>VLOOKUP(C33,'DS CN MOI UP'!$B$10:$C$389,2,0)</f>
        <v>02654</v>
      </c>
      <c r="C33" s="584" t="s">
        <v>304</v>
      </c>
      <c r="D33" s="596" t="s">
        <v>15</v>
      </c>
      <c r="E33" s="776"/>
      <c r="F33" s="548">
        <f>+VLOOKUP($C$15:$C$77,THCKT!$C$397:$AE$460,17,0)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8"/>
        <v>#N/A</v>
      </c>
      <c r="O33" s="565" t="e">
        <f t="shared" si="2"/>
        <v>#N/A</v>
      </c>
      <c r="P33" s="566" t="e">
        <f>VLOOKUP(C33,THCKT!$C$13:$AL$460,36,0)</f>
        <v>#N/A</v>
      </c>
      <c r="Q33" s="567" t="e">
        <f t="shared" si="6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KT'!$D$16:$Y$184,22,0)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7"/>
        <v>#N/A</v>
      </c>
      <c r="AD33" s="580" t="e">
        <f t="shared" si="9"/>
        <v>#N/A</v>
      </c>
      <c r="AE33" s="580" t="e">
        <f t="shared" si="4"/>
        <v>#N/A</v>
      </c>
      <c r="AF33" s="581">
        <v>1995359.9177850401</v>
      </c>
      <c r="AG33" s="636" t="e">
        <f t="shared" si="5"/>
        <v>#N/A</v>
      </c>
      <c r="AH33" s="289">
        <v>5</v>
      </c>
    </row>
    <row r="34" spans="1:34" s="242" customFormat="1" ht="20.25" customHeight="1">
      <c r="A34" s="545">
        <v>20</v>
      </c>
      <c r="B34" s="546" t="str">
        <f>VLOOKUP(C34,'DS CN MOI UP'!$B$10:$C$389,2,0)</f>
        <v>03861</v>
      </c>
      <c r="C34" s="584" t="s">
        <v>305</v>
      </c>
      <c r="D34" s="596" t="s">
        <v>15</v>
      </c>
      <c r="E34" s="776"/>
      <c r="F34" s="548">
        <f>+VLOOKUP($C$15:$C$77,THCKT!$C$397:$AE$460,17,0)</f>
        <v>24</v>
      </c>
      <c r="G34" s="549">
        <f t="shared" ref="G34:G56" si="10">F34*25000</f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ref="N34:N56" si="11">$AH$8/$AH$7*K34+L34*$AH$9+M34*$AH$10</f>
        <v>#N/A</v>
      </c>
      <c r="O34" s="565" t="e">
        <f t="shared" si="2"/>
        <v>#N/A</v>
      </c>
      <c r="P34" s="566" t="e">
        <f>VLOOKUP(C34,THCKT!$C$13:$AL$460,36,0)</f>
        <v>#N/A</v>
      </c>
      <c r="Q34" s="567" t="e">
        <f t="shared" si="6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KT'!$D$16:$Y$184,22,0)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7"/>
        <v>#N/A</v>
      </c>
      <c r="AD34" s="580" t="e">
        <f t="shared" ref="AD34:AD56" si="12">+AC34+Q34+G34</f>
        <v>#N/A</v>
      </c>
      <c r="AE34" s="580" t="e">
        <f t="shared" ref="AE34:AE56" si="13">AD34</f>
        <v>#N/A</v>
      </c>
      <c r="AF34" s="581">
        <v>3500465.8016420398</v>
      </c>
      <c r="AG34" s="636" t="e">
        <f t="shared" ref="AG34:AG35" si="14">+AE34-AF34</f>
        <v>#N/A</v>
      </c>
      <c r="AH34" s="289">
        <v>5</v>
      </c>
    </row>
    <row r="35" spans="1:34" s="242" customFormat="1" ht="20.25" customHeight="1">
      <c r="A35" s="545">
        <v>21</v>
      </c>
      <c r="B35" s="546" t="e">
        <f>VLOOKUP(C35,'DS CN MOI UP'!$B$10:$C$389,2,0)</f>
        <v>#N/A</v>
      </c>
      <c r="C35" s="584" t="s">
        <v>306</v>
      </c>
      <c r="D35" s="257" t="s">
        <v>15</v>
      </c>
      <c r="E35" s="776"/>
      <c r="F35" s="548">
        <f>+VLOOKUP($C$15:$C$77,THCKT!$C$397:$AE$460,17,0)</f>
        <v>24</v>
      </c>
      <c r="G35" s="549">
        <f t="shared" si="1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1"/>
        <v>#N/A</v>
      </c>
      <c r="O35" s="565" t="e">
        <f t="shared" si="2"/>
        <v>#N/A</v>
      </c>
      <c r="P35" s="566" t="e">
        <f>VLOOKUP(C35,THCKT!$C$13:$AL$460,36,0)</f>
        <v>#N/A</v>
      </c>
      <c r="Q35" s="567" t="e">
        <f t="shared" si="6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KT'!$D$16:$Y$184,22,0)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7"/>
        <v>#N/A</v>
      </c>
      <c r="AD35" s="580" t="e">
        <f t="shared" si="12"/>
        <v>#N/A</v>
      </c>
      <c r="AE35" s="580" t="e">
        <f t="shared" si="13"/>
        <v>#N/A</v>
      </c>
      <c r="AF35" s="581">
        <v>3830167.75264805</v>
      </c>
      <c r="AG35" s="636" t="e">
        <f t="shared" si="14"/>
        <v>#N/A</v>
      </c>
      <c r="AH35" s="289">
        <v>3</v>
      </c>
    </row>
    <row r="36" spans="1:34" s="242" customFormat="1" ht="20.25" customHeight="1">
      <c r="A36" s="545">
        <v>22</v>
      </c>
      <c r="B36" s="546" t="e">
        <f>VLOOKUP(C36,'DS CN MOI UP'!$B$10:$C$389,2,0)</f>
        <v>#N/A</v>
      </c>
      <c r="C36" s="584" t="s">
        <v>307</v>
      </c>
      <c r="D36" s="257" t="s">
        <v>15</v>
      </c>
      <c r="E36" s="776"/>
      <c r="F36" s="548">
        <f>+VLOOKUP($C$15:$C$77,THCKT!$C$397:$AE$460,17,0)</f>
        <v>64</v>
      </c>
      <c r="G36" s="549">
        <f t="shared" si="10"/>
        <v>1600000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1"/>
        <v>#N/A</v>
      </c>
      <c r="O36" s="565" t="e">
        <f t="shared" si="2"/>
        <v>#N/A</v>
      </c>
      <c r="P36" s="566" t="e">
        <f>VLOOKUP(C36,THCKT!$C$13:$AL$460,36,0)</f>
        <v>#N/A</v>
      </c>
      <c r="Q36" s="567" t="e">
        <f t="shared" si="6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KT'!$D$16:$Y$184,22,0)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7"/>
        <v>#N/A</v>
      </c>
      <c r="AD36" s="580" t="e">
        <f t="shared" si="12"/>
        <v>#N/A</v>
      </c>
      <c r="AE36" s="580" t="e">
        <f t="shared" si="13"/>
        <v>#N/A</v>
      </c>
      <c r="AF36" s="581">
        <v>3114282.56051416</v>
      </c>
      <c r="AG36" s="636" t="e">
        <f t="shared" ref="AG36:AG56" si="15">+AE36-AF36</f>
        <v>#N/A</v>
      </c>
      <c r="AH36" s="289">
        <v>4</v>
      </c>
    </row>
    <row r="37" spans="1:34" s="242" customFormat="1" ht="20.25" customHeight="1">
      <c r="A37" s="545">
        <v>23</v>
      </c>
      <c r="B37" s="546" t="str">
        <f>VLOOKUP(C37,'DS CN MOI UP'!$B$10:$C$389,2,0)</f>
        <v>02616</v>
      </c>
      <c r="C37" s="584" t="s">
        <v>308</v>
      </c>
      <c r="D37" s="257" t="s">
        <v>15</v>
      </c>
      <c r="E37" s="776"/>
      <c r="F37" s="548">
        <f>+VLOOKUP($C$15:$C$77,THCKT!$C$397:$AE$460,17,0)</f>
        <v>24</v>
      </c>
      <c r="G37" s="549">
        <f t="shared" si="1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1"/>
        <v>#N/A</v>
      </c>
      <c r="O37" s="565" t="e">
        <f t="shared" si="2"/>
        <v>#N/A</v>
      </c>
      <c r="P37" s="566" t="e">
        <f>VLOOKUP(C37,THCKT!$C$13:$AL$460,36,0)</f>
        <v>#N/A</v>
      </c>
      <c r="Q37" s="567" t="e">
        <f t="shared" si="6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KT'!$D$16:$Y$184,22,0)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7"/>
        <v>#N/A</v>
      </c>
      <c r="AD37" s="580" t="e">
        <f t="shared" si="12"/>
        <v>#N/A</v>
      </c>
      <c r="AE37" s="580" t="e">
        <f t="shared" si="13"/>
        <v>#N/A</v>
      </c>
      <c r="AF37" s="581">
        <v>3825289.2217742698</v>
      </c>
      <c r="AG37" s="636" t="e">
        <f t="shared" si="15"/>
        <v>#N/A</v>
      </c>
      <c r="AH37" s="289">
        <v>5</v>
      </c>
    </row>
    <row r="38" spans="1:34" s="242" customFormat="1" ht="20.25" customHeight="1">
      <c r="A38" s="545">
        <v>24</v>
      </c>
      <c r="B38" s="546" t="str">
        <f>VLOOKUP(C38,'DS CN MOI UP'!$B$10:$C$389,2,0)</f>
        <v>02617</v>
      </c>
      <c r="C38" s="584" t="s">
        <v>309</v>
      </c>
      <c r="D38" s="257" t="s">
        <v>15</v>
      </c>
      <c r="E38" s="776"/>
      <c r="F38" s="548">
        <f>+VLOOKUP($C$15:$C$77,THCKT!$C$397:$AE$460,17,0)</f>
        <v>24</v>
      </c>
      <c r="G38" s="549">
        <f t="shared" si="1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1"/>
        <v>#N/A</v>
      </c>
      <c r="O38" s="565" t="e">
        <f t="shared" si="2"/>
        <v>#N/A</v>
      </c>
      <c r="P38" s="566" t="e">
        <f>VLOOKUP(C38,THCKT!$C$13:$AL$460,36,0)</f>
        <v>#N/A</v>
      </c>
      <c r="Q38" s="567" t="e">
        <f t="shared" si="6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KT'!$D$16:$Y$184,22,0)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7"/>
        <v>#N/A</v>
      </c>
      <c r="AD38" s="580" t="e">
        <f t="shared" si="12"/>
        <v>#N/A</v>
      </c>
      <c r="AE38" s="580" t="e">
        <f t="shared" si="13"/>
        <v>#N/A</v>
      </c>
      <c r="AF38" s="581">
        <v>6408928.8285277896</v>
      </c>
      <c r="AG38" s="636" t="e">
        <f t="shared" si="15"/>
        <v>#N/A</v>
      </c>
      <c r="AH38" s="289">
        <v>3</v>
      </c>
    </row>
    <row r="39" spans="1:34" s="242" customFormat="1" ht="20.25" customHeight="1">
      <c r="A39" s="545">
        <v>25</v>
      </c>
      <c r="B39" s="546" t="str">
        <f>VLOOKUP(C39,'DS CN MOI UP'!$B$10:$C$389,2,0)</f>
        <v>02618</v>
      </c>
      <c r="C39" s="584" t="s">
        <v>310</v>
      </c>
      <c r="D39" s="257" t="s">
        <v>15</v>
      </c>
      <c r="E39" s="776"/>
      <c r="F39" s="548">
        <f>+VLOOKUP($C$15:$C$77,THCKT!$C$397:$AE$460,17,0)</f>
        <v>24</v>
      </c>
      <c r="G39" s="549">
        <f t="shared" si="1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1"/>
        <v>#N/A</v>
      </c>
      <c r="O39" s="565" t="e">
        <f t="shared" si="2"/>
        <v>#N/A</v>
      </c>
      <c r="P39" s="566" t="e">
        <f>VLOOKUP(C39,THCKT!$C$13:$AL$460,36,0)</f>
        <v>#N/A</v>
      </c>
      <c r="Q39" s="567" t="e">
        <f t="shared" si="6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KT'!$D$16:$Y$184,22,0)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7"/>
        <v>#N/A</v>
      </c>
      <c r="AD39" s="580" t="e">
        <f t="shared" si="12"/>
        <v>#N/A</v>
      </c>
      <c r="AE39" s="580" t="e">
        <f t="shared" si="13"/>
        <v>#N/A</v>
      </c>
      <c r="AF39" s="581">
        <v>2813706.5887327902</v>
      </c>
      <c r="AG39" s="636" t="e">
        <f t="shared" si="15"/>
        <v>#N/A</v>
      </c>
      <c r="AH39" s="289">
        <v>5</v>
      </c>
    </row>
    <row r="40" spans="1:34" s="242" customFormat="1" ht="20.25" customHeight="1">
      <c r="A40" s="545">
        <v>26</v>
      </c>
      <c r="B40" s="546" t="str">
        <f>VLOOKUP(C40,'DS CN MOI UP'!$B$10:$C$389,2,0)</f>
        <v>03401</v>
      </c>
      <c r="C40" s="584" t="s">
        <v>311</v>
      </c>
      <c r="D40" s="257" t="s">
        <v>15</v>
      </c>
      <c r="E40" s="776"/>
      <c r="F40" s="548">
        <f>+VLOOKUP($C$15:$C$77,THCKT!$C$397:$AE$460,17,0)</f>
        <v>24</v>
      </c>
      <c r="G40" s="549">
        <f t="shared" si="1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1"/>
        <v>#N/A</v>
      </c>
      <c r="O40" s="565" t="e">
        <f t="shared" si="2"/>
        <v>#N/A</v>
      </c>
      <c r="P40" s="566" t="e">
        <f>VLOOKUP(C40,THCKT!$C$13:$AL$460,36,0)</f>
        <v>#N/A</v>
      </c>
      <c r="Q40" s="567" t="e">
        <f t="shared" si="6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KT'!$D$16:$Y$184,22,0)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7"/>
        <v>#N/A</v>
      </c>
      <c r="AD40" s="580" t="e">
        <f t="shared" si="12"/>
        <v>#N/A</v>
      </c>
      <c r="AE40" s="580" t="e">
        <f t="shared" si="13"/>
        <v>#N/A</v>
      </c>
      <c r="AF40" s="581">
        <v>3999535.76547162</v>
      </c>
      <c r="AG40" s="636" t="e">
        <f t="shared" si="15"/>
        <v>#N/A</v>
      </c>
      <c r="AH40" s="289">
        <v>5</v>
      </c>
    </row>
    <row r="41" spans="1:34" s="242" customFormat="1" ht="20.25" customHeight="1">
      <c r="A41" s="545">
        <v>27</v>
      </c>
      <c r="B41" s="546" t="str">
        <f>VLOOKUP(C41,'DS CN MOI UP'!$B$10:$C$389,2,0)</f>
        <v>03402</v>
      </c>
      <c r="C41" s="584" t="s">
        <v>312</v>
      </c>
      <c r="D41" s="257" t="s">
        <v>15</v>
      </c>
      <c r="E41" s="776"/>
      <c r="F41" s="548">
        <f>+VLOOKUP($C$15:$C$77,THCKT!$C$397:$AE$460,17,0)</f>
        <v>24</v>
      </c>
      <c r="G41" s="549">
        <f t="shared" si="1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1"/>
        <v>#N/A</v>
      </c>
      <c r="O41" s="565" t="e">
        <f t="shared" si="2"/>
        <v>#N/A</v>
      </c>
      <c r="P41" s="566" t="e">
        <f>VLOOKUP(C41,THCKT!$C$13:$AL$460,36,0)</f>
        <v>#N/A</v>
      </c>
      <c r="Q41" s="567" t="e">
        <f t="shared" si="6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KT'!$D$16:$Y$184,22,0)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7"/>
        <v>#N/A</v>
      </c>
      <c r="AD41" s="580" t="e">
        <f t="shared" si="12"/>
        <v>#N/A</v>
      </c>
      <c r="AE41" s="580" t="e">
        <f t="shared" si="13"/>
        <v>#N/A</v>
      </c>
      <c r="AF41" s="581">
        <v>4598155.0468937596</v>
      </c>
      <c r="AG41" s="636" t="e">
        <f t="shared" si="15"/>
        <v>#N/A</v>
      </c>
      <c r="AH41" s="289">
        <v>4</v>
      </c>
    </row>
    <row r="42" spans="1:34" s="242" customFormat="1" ht="20.25" customHeight="1">
      <c r="A42" s="545">
        <v>28</v>
      </c>
      <c r="B42" s="546" t="str">
        <f>VLOOKUP(C42,'DS CN MOI UP'!$B$10:$C$389,2,0)</f>
        <v>02621</v>
      </c>
      <c r="C42" s="584" t="s">
        <v>313</v>
      </c>
      <c r="D42" s="257" t="s">
        <v>15</v>
      </c>
      <c r="E42" s="776"/>
      <c r="F42" s="548">
        <f>+VLOOKUP($C$15:$C$77,THCKT!$C$397:$AE$460,17,0)</f>
        <v>24</v>
      </c>
      <c r="G42" s="549">
        <f t="shared" si="1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1"/>
        <v>#N/A</v>
      </c>
      <c r="O42" s="565" t="e">
        <f t="shared" si="2"/>
        <v>#N/A</v>
      </c>
      <c r="P42" s="566" t="e">
        <f>VLOOKUP(C42,THCKT!$C$13:$AL$460,36,0)</f>
        <v>#N/A</v>
      </c>
      <c r="Q42" s="567" t="e">
        <f t="shared" si="6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KT'!$D$16:$Y$184,22,0)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7"/>
        <v>#N/A</v>
      </c>
      <c r="AD42" s="580" t="e">
        <f t="shared" si="12"/>
        <v>#N/A</v>
      </c>
      <c r="AE42" s="580" t="e">
        <f t="shared" si="13"/>
        <v>#N/A</v>
      </c>
      <c r="AF42" s="581">
        <v>3029099.2902764701</v>
      </c>
      <c r="AG42" s="636" t="e">
        <f t="shared" si="15"/>
        <v>#N/A</v>
      </c>
      <c r="AH42" s="289">
        <v>5</v>
      </c>
    </row>
    <row r="43" spans="1:34" s="242" customFormat="1" ht="20.25" customHeight="1">
      <c r="A43" s="545">
        <v>29</v>
      </c>
      <c r="B43" s="546" t="str">
        <f>VLOOKUP(C43,'DS CN MOI UP'!$B$10:$C$389,2,0)</f>
        <v>02622</v>
      </c>
      <c r="C43" s="584" t="s">
        <v>314</v>
      </c>
      <c r="D43" s="257" t="s">
        <v>15</v>
      </c>
      <c r="E43" s="776"/>
      <c r="F43" s="548">
        <f>+VLOOKUP($C$15:$C$77,THCKT!$C$397:$AE$460,17,0)</f>
        <v>24</v>
      </c>
      <c r="G43" s="549">
        <f t="shared" si="1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1"/>
        <v>#N/A</v>
      </c>
      <c r="O43" s="565" t="e">
        <f t="shared" si="2"/>
        <v>#N/A</v>
      </c>
      <c r="P43" s="566" t="e">
        <f>VLOOKUP(C43,THCKT!$C$13:$AL$460,36,0)</f>
        <v>#N/A</v>
      </c>
      <c r="Q43" s="567" t="e">
        <f t="shared" si="6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KT'!$D$16:$Y$184,22,0)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7"/>
        <v>#N/A</v>
      </c>
      <c r="AD43" s="580" t="e">
        <f t="shared" si="12"/>
        <v>#N/A</v>
      </c>
      <c r="AE43" s="580" t="e">
        <f t="shared" si="13"/>
        <v>#N/A</v>
      </c>
      <c r="AF43" s="581">
        <v>4200213.0391214304</v>
      </c>
      <c r="AG43" s="636" t="e">
        <f t="shared" si="15"/>
        <v>#N/A</v>
      </c>
      <c r="AH43" s="289">
        <v>5</v>
      </c>
    </row>
    <row r="44" spans="1:34" s="242" customFormat="1" ht="20.25" customHeight="1">
      <c r="A44" s="545">
        <v>30</v>
      </c>
      <c r="B44" s="546" t="e">
        <f>VLOOKUP(C44,'DS CN MOI UP'!$B$10:$C$389,2,0)</f>
        <v>#N/A</v>
      </c>
      <c r="C44" s="584" t="s">
        <v>315</v>
      </c>
      <c r="D44" s="257" t="s">
        <v>15</v>
      </c>
      <c r="E44" s="776"/>
      <c r="F44" s="548">
        <f>+VLOOKUP($C$15:$C$77,THCKT!$C$397:$AE$460,17,0)</f>
        <v>24</v>
      </c>
      <c r="G44" s="549">
        <f t="shared" si="1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1"/>
        <v>#N/A</v>
      </c>
      <c r="O44" s="565" t="e">
        <f t="shared" si="2"/>
        <v>#N/A</v>
      </c>
      <c r="P44" s="566" t="e">
        <f>VLOOKUP(C44,THCKT!$C$13:$AL$460,36,0)</f>
        <v>#N/A</v>
      </c>
      <c r="Q44" s="567" t="e">
        <f t="shared" si="6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KT'!$D$16:$Y$184,22,0)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7"/>
        <v>#N/A</v>
      </c>
      <c r="AD44" s="580" t="e">
        <f t="shared" si="12"/>
        <v>#N/A</v>
      </c>
      <c r="AE44" s="580" t="e">
        <f t="shared" si="13"/>
        <v>#N/A</v>
      </c>
      <c r="AF44" s="581">
        <v>5863243.2489074497</v>
      </c>
      <c r="AG44" s="636" t="e">
        <f t="shared" si="15"/>
        <v>#N/A</v>
      </c>
      <c r="AH44" s="289">
        <v>4</v>
      </c>
    </row>
    <row r="45" spans="1:34" s="242" customFormat="1" ht="20.25" customHeight="1">
      <c r="A45" s="545">
        <v>31</v>
      </c>
      <c r="B45" s="546" t="str">
        <f>VLOOKUP(C45,'DS CN MOI UP'!$B$10:$C$389,2,0)</f>
        <v>02623</v>
      </c>
      <c r="C45" s="584" t="s">
        <v>316</v>
      </c>
      <c r="D45" s="596" t="s">
        <v>15</v>
      </c>
      <c r="E45" s="776"/>
      <c r="F45" s="548">
        <f>+VLOOKUP($C$15:$C$77,THCKT!$C$397:$AE$460,17,0)</f>
        <v>24</v>
      </c>
      <c r="G45" s="549">
        <f t="shared" si="1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1"/>
        <v>#N/A</v>
      </c>
      <c r="O45" s="565" t="e">
        <f t="shared" si="2"/>
        <v>#N/A</v>
      </c>
      <c r="P45" s="566" t="e">
        <f>VLOOKUP(C45,THCKT!$C$13:$AL$460,36,0)</f>
        <v>#N/A</v>
      </c>
      <c r="Q45" s="567" t="e">
        <f t="shared" si="6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KT'!$D$16:$Y$184,22,0)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7"/>
        <v>#N/A</v>
      </c>
      <c r="AD45" s="580" t="e">
        <f t="shared" si="12"/>
        <v>#N/A</v>
      </c>
      <c r="AE45" s="580" t="e">
        <f t="shared" si="13"/>
        <v>#N/A</v>
      </c>
      <c r="AF45" s="581">
        <v>3864609.0847638901</v>
      </c>
      <c r="AG45" s="636" t="e">
        <f t="shared" si="15"/>
        <v>#N/A</v>
      </c>
      <c r="AH45" s="289">
        <v>4</v>
      </c>
    </row>
    <row r="46" spans="1:34" s="242" customFormat="1" ht="20.25" customHeight="1">
      <c r="A46" s="545">
        <v>32</v>
      </c>
      <c r="B46" s="546" t="str">
        <f>VLOOKUP(C46,'DS CN MOI UP'!$B$10:$C$389,2,0)</f>
        <v>02624</v>
      </c>
      <c r="C46" s="584" t="s">
        <v>317</v>
      </c>
      <c r="D46" s="257" t="s">
        <v>15</v>
      </c>
      <c r="E46" s="776"/>
      <c r="F46" s="548">
        <f>+VLOOKUP($C$15:$C$77,THCKT!$C$397:$AE$460,17,0)</f>
        <v>24</v>
      </c>
      <c r="G46" s="549">
        <f t="shared" si="1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1"/>
        <v>#N/A</v>
      </c>
      <c r="O46" s="565" t="e">
        <f t="shared" si="2"/>
        <v>#N/A</v>
      </c>
      <c r="P46" s="566" t="e">
        <f>VLOOKUP(C46,THCKT!$C$13:$AL$460,36,0)</f>
        <v>#N/A</v>
      </c>
      <c r="Q46" s="567" t="e">
        <f t="shared" si="6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KT'!$D$16:$Y$184,22,0)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7"/>
        <v>#N/A</v>
      </c>
      <c r="AD46" s="580" t="e">
        <f t="shared" si="12"/>
        <v>#N/A</v>
      </c>
      <c r="AE46" s="580" t="e">
        <f t="shared" si="13"/>
        <v>#N/A</v>
      </c>
      <c r="AF46" s="581">
        <v>3579602.6800705502</v>
      </c>
      <c r="AG46" s="636" t="e">
        <f t="shared" si="15"/>
        <v>#N/A</v>
      </c>
      <c r="AH46" s="289">
        <v>4</v>
      </c>
    </row>
    <row r="47" spans="1:34" s="242" customFormat="1" ht="20.25" customHeight="1">
      <c r="A47" s="545">
        <v>33</v>
      </c>
      <c r="B47" s="546" t="str">
        <f>VLOOKUP(C47,'DS CN MOI UP'!$B$10:$C$389,2,0)</f>
        <v>03404</v>
      </c>
      <c r="C47" s="584" t="s">
        <v>318</v>
      </c>
      <c r="D47" s="257" t="s">
        <v>15</v>
      </c>
      <c r="E47" s="776"/>
      <c r="F47" s="548">
        <f>+VLOOKUP($C$15:$C$77,THCKT!$C$397:$AE$460,17,0)</f>
        <v>24</v>
      </c>
      <c r="G47" s="549">
        <f t="shared" si="1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11"/>
        <v>#N/A</v>
      </c>
      <c r="O47" s="565" t="e">
        <f t="shared" si="2"/>
        <v>#N/A</v>
      </c>
      <c r="P47" s="566" t="e">
        <f>VLOOKUP(C47,THCKT!$C$13:$AL$460,36,0)</f>
        <v>#N/A</v>
      </c>
      <c r="Q47" s="567" t="e">
        <f t="shared" si="6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KT'!$D$16:$Y$184,22,0)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7"/>
        <v>#N/A</v>
      </c>
      <c r="AD47" s="580" t="e">
        <f t="shared" si="12"/>
        <v>#N/A</v>
      </c>
      <c r="AE47" s="580" t="e">
        <f t="shared" si="13"/>
        <v>#N/A</v>
      </c>
      <c r="AF47" s="581">
        <v>5012210.7131367996</v>
      </c>
      <c r="AG47" s="636" t="e">
        <f t="shared" si="15"/>
        <v>#N/A</v>
      </c>
      <c r="AH47" s="289">
        <v>4</v>
      </c>
    </row>
    <row r="48" spans="1:34" s="242" customFormat="1" ht="20.25" customHeight="1">
      <c r="A48" s="545">
        <v>34</v>
      </c>
      <c r="B48" s="546" t="str">
        <f>VLOOKUP(C48,'DS CN MOI UP'!$B$10:$C$389,2,0)</f>
        <v>02626</v>
      </c>
      <c r="C48" s="584" t="s">
        <v>319</v>
      </c>
      <c r="D48" s="257" t="s">
        <v>15</v>
      </c>
      <c r="E48" s="776"/>
      <c r="F48" s="548">
        <f>+VLOOKUP($C$15:$C$77,THCKT!$C$397:$AE$460,17,0)</f>
        <v>24</v>
      </c>
      <c r="G48" s="549">
        <f t="shared" si="1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11"/>
        <v>#N/A</v>
      </c>
      <c r="O48" s="565" t="e">
        <f t="shared" si="2"/>
        <v>#N/A</v>
      </c>
      <c r="P48" s="566" t="e">
        <f>VLOOKUP(C48,THCKT!$C$13:$AL$460,36,0)</f>
        <v>#N/A</v>
      </c>
      <c r="Q48" s="567" t="e">
        <f t="shared" si="6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KT'!$D$16:$Y$184,22,0)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7"/>
        <v>#N/A</v>
      </c>
      <c r="AD48" s="580" t="e">
        <f t="shared" si="12"/>
        <v>#N/A</v>
      </c>
      <c r="AE48" s="580" t="e">
        <f t="shared" si="13"/>
        <v>#N/A</v>
      </c>
      <c r="AF48" s="581">
        <v>4021336.33229652</v>
      </c>
      <c r="AG48" s="636" t="e">
        <f t="shared" si="15"/>
        <v>#N/A</v>
      </c>
      <c r="AH48" s="289">
        <v>5</v>
      </c>
    </row>
    <row r="49" spans="1:34" s="242" customFormat="1" ht="20.25" customHeight="1">
      <c r="A49" s="545">
        <v>35</v>
      </c>
      <c r="B49" s="546" t="str">
        <f>VLOOKUP(C49,'DS CN MOI UP'!$B$10:$C$389,2,0)</f>
        <v>02627</v>
      </c>
      <c r="C49" s="584" t="s">
        <v>320</v>
      </c>
      <c r="D49" s="257" t="s">
        <v>15</v>
      </c>
      <c r="E49" s="776"/>
      <c r="F49" s="548">
        <f>+VLOOKUP($C$15:$C$77,THCKT!$C$397:$AE$460,17,0)</f>
        <v>24</v>
      </c>
      <c r="G49" s="549">
        <f t="shared" si="1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11"/>
        <v>#N/A</v>
      </c>
      <c r="O49" s="565" t="e">
        <f t="shared" si="2"/>
        <v>#N/A</v>
      </c>
      <c r="P49" s="566" t="e">
        <f>VLOOKUP(C49,THCKT!$C$13:$AL$460,36,0)</f>
        <v>#N/A</v>
      </c>
      <c r="Q49" s="567" t="e">
        <f t="shared" si="6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KT'!$D$16:$Y$184,22,0)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7"/>
        <v>#N/A</v>
      </c>
      <c r="AD49" s="580" t="e">
        <f t="shared" si="12"/>
        <v>#N/A</v>
      </c>
      <c r="AE49" s="580" t="e">
        <f t="shared" si="13"/>
        <v>#N/A</v>
      </c>
      <c r="AF49" s="581">
        <v>4047817.9137059702</v>
      </c>
      <c r="AG49" s="636" t="e">
        <f t="shared" si="15"/>
        <v>#N/A</v>
      </c>
      <c r="AH49" s="289">
        <v>5</v>
      </c>
    </row>
    <row r="50" spans="1:34" s="242" customFormat="1" ht="20.25" customHeight="1">
      <c r="A50" s="545">
        <v>36</v>
      </c>
      <c r="B50" s="546" t="str">
        <f>VLOOKUP(C50,'DS CN MOI UP'!$B$10:$C$389,2,0)</f>
        <v>02628</v>
      </c>
      <c r="C50" s="584" t="s">
        <v>321</v>
      </c>
      <c r="D50" s="596" t="s">
        <v>15</v>
      </c>
      <c r="E50" s="776"/>
      <c r="F50" s="548">
        <f>+VLOOKUP($C$15:$C$77,THCKT!$C$397:$AE$460,17,0)</f>
        <v>24</v>
      </c>
      <c r="G50" s="549">
        <f t="shared" si="1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11"/>
        <v>#N/A</v>
      </c>
      <c r="O50" s="565" t="e">
        <f t="shared" si="2"/>
        <v>#N/A</v>
      </c>
      <c r="P50" s="566" t="e">
        <f>VLOOKUP(C50,THCKT!$C$13:$AL$460,36,0)</f>
        <v>#N/A</v>
      </c>
      <c r="Q50" s="567" t="e">
        <f t="shared" si="6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KT'!$D$16:$Y$184,22,0)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7"/>
        <v>#N/A</v>
      </c>
      <c r="AD50" s="580" t="e">
        <f t="shared" si="12"/>
        <v>#N/A</v>
      </c>
      <c r="AE50" s="580" t="e">
        <f t="shared" si="13"/>
        <v>#N/A</v>
      </c>
      <c r="AF50" s="581">
        <v>3484752.3341679801</v>
      </c>
      <c r="AG50" s="636" t="e">
        <f t="shared" si="15"/>
        <v>#N/A</v>
      </c>
      <c r="AH50" s="289">
        <v>5</v>
      </c>
    </row>
    <row r="51" spans="1:34" s="242" customFormat="1" ht="20.25" customHeight="1">
      <c r="A51" s="545">
        <v>37</v>
      </c>
      <c r="B51" s="546" t="str">
        <f>VLOOKUP(C51,'DS CN MOI UP'!$B$10:$C$389,2,0)</f>
        <v>03405</v>
      </c>
      <c r="C51" s="584" t="s">
        <v>322</v>
      </c>
      <c r="D51" s="596" t="s">
        <v>15</v>
      </c>
      <c r="E51" s="776"/>
      <c r="F51" s="548">
        <f>+VLOOKUP($C$15:$C$77,THCKT!$C$397:$AE$460,17,0)</f>
        <v>24</v>
      </c>
      <c r="G51" s="549">
        <f t="shared" si="1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11"/>
        <v>#N/A</v>
      </c>
      <c r="O51" s="565" t="e">
        <f t="shared" si="2"/>
        <v>#N/A</v>
      </c>
      <c r="P51" s="566" t="e">
        <f>VLOOKUP(C51,THCKT!$C$13:$AL$460,36,0)</f>
        <v>#N/A</v>
      </c>
      <c r="Q51" s="567" t="e">
        <f t="shared" si="6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KT'!$D$16:$Y$184,22,0)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7"/>
        <v>#N/A</v>
      </c>
      <c r="AD51" s="580" t="e">
        <f t="shared" si="12"/>
        <v>#N/A</v>
      </c>
      <c r="AE51" s="580" t="e">
        <f t="shared" si="13"/>
        <v>#N/A</v>
      </c>
      <c r="AF51" s="581">
        <v>4763239.0483112298</v>
      </c>
      <c r="AG51" s="636" t="e">
        <f t="shared" si="15"/>
        <v>#N/A</v>
      </c>
      <c r="AH51" s="289">
        <v>5</v>
      </c>
    </row>
    <row r="52" spans="1:34" s="242" customFormat="1" ht="20.25" customHeight="1">
      <c r="A52" s="545">
        <v>38</v>
      </c>
      <c r="B52" s="546" t="str">
        <f>VLOOKUP(C52,'DS CN MOI UP'!$B$10:$C$389,2,0)</f>
        <v>02629</v>
      </c>
      <c r="C52" s="584" t="s">
        <v>323</v>
      </c>
      <c r="D52" s="596" t="s">
        <v>15</v>
      </c>
      <c r="E52" s="776"/>
      <c r="F52" s="548">
        <f>+VLOOKUP($C$15:$C$77,THCKT!$C$397:$AE$460,17,0)</f>
        <v>24</v>
      </c>
      <c r="G52" s="549">
        <f t="shared" si="1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11"/>
        <v>#N/A</v>
      </c>
      <c r="O52" s="565" t="e">
        <f t="shared" si="2"/>
        <v>#N/A</v>
      </c>
      <c r="P52" s="566" t="e">
        <f>VLOOKUP(C52,THCKT!$C$13:$AL$460,36,0)</f>
        <v>#N/A</v>
      </c>
      <c r="Q52" s="567" t="e">
        <f t="shared" si="6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KT'!$D$16:$Y$184,22,0)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7"/>
        <v>#N/A</v>
      </c>
      <c r="AD52" s="580" t="e">
        <f t="shared" si="12"/>
        <v>#N/A</v>
      </c>
      <c r="AE52" s="580" t="e">
        <f t="shared" si="13"/>
        <v>#N/A</v>
      </c>
      <c r="AF52" s="581">
        <v>4375471.8240695298</v>
      </c>
      <c r="AG52" s="636" t="e">
        <f t="shared" si="15"/>
        <v>#N/A</v>
      </c>
      <c r="AH52" s="289">
        <v>5</v>
      </c>
    </row>
    <row r="53" spans="1:34" s="242" customFormat="1" ht="20.25" customHeight="1">
      <c r="A53" s="545">
        <v>39</v>
      </c>
      <c r="B53" s="546" t="str">
        <f>VLOOKUP(C53,'DS CN MOI UP'!$B$10:$C$389,2,0)</f>
        <v>02630</v>
      </c>
      <c r="C53" s="584" t="s">
        <v>324</v>
      </c>
      <c r="D53" s="596" t="s">
        <v>15</v>
      </c>
      <c r="E53" s="776"/>
      <c r="F53" s="548">
        <f>+VLOOKUP($C$15:$C$77,THCKT!$C$397:$AE$460,17,0)</f>
        <v>24</v>
      </c>
      <c r="G53" s="549">
        <f t="shared" si="1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11"/>
        <v>#N/A</v>
      </c>
      <c r="O53" s="565" t="e">
        <f t="shared" si="2"/>
        <v>#N/A</v>
      </c>
      <c r="P53" s="566" t="e">
        <f>VLOOKUP(C53,THCKT!$C$13:$AL$460,36,0)</f>
        <v>#N/A</v>
      </c>
      <c r="Q53" s="567" t="e">
        <f t="shared" si="6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KT'!$D$16:$Y$184,22,0)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7"/>
        <v>#N/A</v>
      </c>
      <c r="AD53" s="580" t="e">
        <f t="shared" si="12"/>
        <v>#N/A</v>
      </c>
      <c r="AE53" s="580" t="e">
        <f t="shared" si="13"/>
        <v>#N/A</v>
      </c>
      <c r="AF53" s="581">
        <v>4198401.5614736201</v>
      </c>
      <c r="AG53" s="636" t="e">
        <f t="shared" si="15"/>
        <v>#N/A</v>
      </c>
      <c r="AH53" s="289">
        <v>5</v>
      </c>
    </row>
    <row r="54" spans="1:34" s="242" customFormat="1" ht="20.25" customHeight="1">
      <c r="A54" s="545">
        <v>40</v>
      </c>
      <c r="B54" s="546" t="str">
        <f>VLOOKUP(C54,'DS CN MOI UP'!$B$10:$C$389,2,0)</f>
        <v>02631</v>
      </c>
      <c r="C54" s="584" t="s">
        <v>325</v>
      </c>
      <c r="D54" s="596" t="s">
        <v>15</v>
      </c>
      <c r="E54" s="776"/>
      <c r="F54" s="548">
        <f>+VLOOKUP($C$15:$C$77,THCKT!$C$397:$AE$460,17,0)</f>
        <v>24</v>
      </c>
      <c r="G54" s="549">
        <f t="shared" si="1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11"/>
        <v>#N/A</v>
      </c>
      <c r="O54" s="565" t="e">
        <f t="shared" si="2"/>
        <v>#N/A</v>
      </c>
      <c r="P54" s="566" t="e">
        <f>VLOOKUP(C54,THCKT!$C$13:$AL$460,36,0)</f>
        <v>#N/A</v>
      </c>
      <c r="Q54" s="567" t="e">
        <f t="shared" si="6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KT'!$D$16:$Y$184,22,0)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7"/>
        <v>#N/A</v>
      </c>
      <c r="AD54" s="580" t="e">
        <f t="shared" si="12"/>
        <v>#N/A</v>
      </c>
      <c r="AE54" s="580" t="e">
        <f t="shared" si="13"/>
        <v>#N/A</v>
      </c>
      <c r="AF54" s="581">
        <v>4114486.41406351</v>
      </c>
      <c r="AG54" s="636" t="e">
        <f t="shared" si="15"/>
        <v>#N/A</v>
      </c>
      <c r="AH54" s="289">
        <v>5</v>
      </c>
    </row>
    <row r="55" spans="1:34" s="242" customFormat="1" ht="20.25" customHeight="1">
      <c r="A55" s="545">
        <v>41</v>
      </c>
      <c r="B55" s="546" t="str">
        <f>VLOOKUP(C55,'DS CN MOI UP'!$B$10:$C$389,2,0)</f>
        <v>02632</v>
      </c>
      <c r="C55" s="584" t="s">
        <v>326</v>
      </c>
      <c r="D55" s="596" t="s">
        <v>15</v>
      </c>
      <c r="E55" s="776"/>
      <c r="F55" s="548">
        <f>+VLOOKUP($C$15:$C$77,THCKT!$C$397:$AE$460,17,0)</f>
        <v>24</v>
      </c>
      <c r="G55" s="549">
        <f t="shared" si="1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11"/>
        <v>#N/A</v>
      </c>
      <c r="O55" s="565" t="e">
        <f t="shared" si="2"/>
        <v>#N/A</v>
      </c>
      <c r="P55" s="566" t="e">
        <f>VLOOKUP(C55,THCKT!$C$13:$AL$460,36,0)</f>
        <v>#N/A</v>
      </c>
      <c r="Q55" s="567" t="e">
        <f t="shared" si="6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KT'!$D$16:$Y$184,22,0)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7"/>
        <v>#N/A</v>
      </c>
      <c r="AD55" s="580" t="e">
        <f t="shared" si="12"/>
        <v>#N/A</v>
      </c>
      <c r="AE55" s="580" t="e">
        <f t="shared" si="13"/>
        <v>#N/A</v>
      </c>
      <c r="AF55" s="581">
        <v>3406405.72840166</v>
      </c>
      <c r="AG55" s="636" t="e">
        <f t="shared" si="15"/>
        <v>#N/A</v>
      </c>
      <c r="AH55" s="289">
        <v>5</v>
      </c>
    </row>
    <row r="56" spans="1:34" s="242" customFormat="1" ht="20.25" customHeight="1">
      <c r="A56" s="545">
        <v>42</v>
      </c>
      <c r="B56" s="546" t="str">
        <f>VLOOKUP(C56,'DS CN MOI UP'!$B$10:$C$389,2,0)</f>
        <v>02633</v>
      </c>
      <c r="C56" s="584" t="s">
        <v>327</v>
      </c>
      <c r="D56" s="596" t="s">
        <v>15</v>
      </c>
      <c r="E56" s="776"/>
      <c r="F56" s="548">
        <f>+VLOOKUP($C$15:$C$77,THCKT!$C$397:$AE$460,17,0)</f>
        <v>24</v>
      </c>
      <c r="G56" s="549">
        <f t="shared" si="1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11"/>
        <v>#N/A</v>
      </c>
      <c r="O56" s="565" t="e">
        <f t="shared" si="2"/>
        <v>#N/A</v>
      </c>
      <c r="P56" s="566" t="e">
        <f>VLOOKUP(C56,THCKT!$C$13:$AL$460,36,0)</f>
        <v>#N/A</v>
      </c>
      <c r="Q56" s="567" t="e">
        <f t="shared" si="6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KT'!$D$16:$Y$184,22,0)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7"/>
        <v>#N/A</v>
      </c>
      <c r="AD56" s="580" t="e">
        <f t="shared" si="12"/>
        <v>#N/A</v>
      </c>
      <c r="AE56" s="580" t="e">
        <f t="shared" si="13"/>
        <v>#N/A</v>
      </c>
      <c r="AF56" s="581">
        <v>5402984.6260818802</v>
      </c>
      <c r="AG56" s="636" t="e">
        <f t="shared" si="15"/>
        <v>#N/A</v>
      </c>
      <c r="AH56" s="289">
        <v>5</v>
      </c>
    </row>
    <row r="57" spans="1:34" s="242" customFormat="1" ht="20.25" customHeight="1">
      <c r="A57" s="545">
        <v>43</v>
      </c>
      <c r="B57" s="546">
        <f>VLOOKUP(C57,'DS CN MOI UP'!$B$10:$C$389,2,0)</f>
        <v>3863</v>
      </c>
      <c r="C57" s="584" t="s">
        <v>328</v>
      </c>
      <c r="D57" s="596" t="s">
        <v>15</v>
      </c>
      <c r="E57" s="776"/>
      <c r="F57" s="548">
        <f>+VLOOKUP($C$15:$C$77,THCKT!$C$397:$AE$460,17,0)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2"/>
        <v>#N/A</v>
      </c>
      <c r="P57" s="566" t="e">
        <f>VLOOKUP(C57,THCKT!$C$13:$AL$460,36,0)</f>
        <v>#N/A</v>
      </c>
      <c r="Q57" s="567" t="e">
        <f t="shared" si="6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KT'!$D$16:$Y$184,22,0)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7"/>
        <v>#N/A</v>
      </c>
      <c r="AD57" s="580" t="e">
        <f t="shared" si="9"/>
        <v>#N/A</v>
      </c>
      <c r="AE57" s="580" t="e">
        <f t="shared" si="4"/>
        <v>#N/A</v>
      </c>
      <c r="AF57" s="581">
        <v>3639305.62228452</v>
      </c>
      <c r="AG57" s="636" t="e">
        <f t="shared" si="5"/>
        <v>#N/A</v>
      </c>
      <c r="AH57" s="289">
        <v>5</v>
      </c>
    </row>
    <row r="58" spans="1:34" s="242" customFormat="1" ht="20.25" customHeight="1">
      <c r="A58" s="545">
        <v>44</v>
      </c>
      <c r="B58" s="546" t="str">
        <f>VLOOKUP(C58,'DS CN MOI UP'!$B$10:$C$389,2,0)</f>
        <v>02635</v>
      </c>
      <c r="C58" s="584" t="s">
        <v>329</v>
      </c>
      <c r="D58" s="596" t="s">
        <v>15</v>
      </c>
      <c r="E58" s="776"/>
      <c r="F58" s="548">
        <f>+VLOOKUP($C$15:$C$77,THCKT!$C$397:$AE$460,17,0)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2"/>
        <v>#N/A</v>
      </c>
      <c r="P58" s="566" t="e">
        <f>VLOOKUP(C58,THCKT!$C$13:$AL$460,36,0)</f>
        <v>#N/A</v>
      </c>
      <c r="Q58" s="567" t="e">
        <f t="shared" si="6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KT'!$D$16:$Y$184,22,0)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7"/>
        <v>#N/A</v>
      </c>
      <c r="AD58" s="580" t="e">
        <f t="shared" si="9"/>
        <v>#N/A</v>
      </c>
      <c r="AE58" s="580" t="e">
        <f t="shared" si="4"/>
        <v>#N/A</v>
      </c>
      <c r="AF58" s="581">
        <v>4276677.8257957203</v>
      </c>
      <c r="AG58" s="636" t="e">
        <f t="shared" si="5"/>
        <v>#N/A</v>
      </c>
      <c r="AH58" s="289">
        <v>5</v>
      </c>
    </row>
    <row r="59" spans="1:34" s="242" customFormat="1" ht="20.25" customHeight="1">
      <c r="A59" s="545">
        <v>45</v>
      </c>
      <c r="B59" s="546" t="str">
        <f>VLOOKUP(C59,'DS CN MOI UP'!$B$10:$C$389,2,0)</f>
        <v>07002</v>
      </c>
      <c r="C59" s="584" t="s">
        <v>330</v>
      </c>
      <c r="D59" s="596" t="s">
        <v>15</v>
      </c>
      <c r="E59" s="776"/>
      <c r="F59" s="548">
        <f>+VLOOKUP($C$15:$C$77,THCKT!$C$397:$AE$460,17,0)</f>
        <v>28</v>
      </c>
      <c r="G59" s="549">
        <f t="shared" si="0"/>
        <v>700000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2"/>
        <v>#N/A</v>
      </c>
      <c r="P59" s="566" t="e">
        <f>VLOOKUP(C59,THCKT!$C$13:$AL$460,36,0)</f>
        <v>#N/A</v>
      </c>
      <c r="Q59" s="567" t="e">
        <f t="shared" si="6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KT'!$D$16:$Y$184,22,0)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7"/>
        <v>#N/A</v>
      </c>
      <c r="AD59" s="580" t="e">
        <f t="shared" si="9"/>
        <v>#N/A</v>
      </c>
      <c r="AE59" s="580" t="e">
        <f t="shared" si="4"/>
        <v>#N/A</v>
      </c>
      <c r="AF59" s="581">
        <v>3402808.9742590901</v>
      </c>
      <c r="AG59" s="636" t="e">
        <f t="shared" si="5"/>
        <v>#N/A</v>
      </c>
      <c r="AH59" s="289">
        <v>5</v>
      </c>
    </row>
    <row r="60" spans="1:34" s="242" customFormat="1" ht="20.25" customHeight="1">
      <c r="A60" s="545">
        <v>46</v>
      </c>
      <c r="B60" s="546" t="str">
        <f>VLOOKUP(C60,'DS CN MOI UP'!$B$10:$C$389,2,0)</f>
        <v>03859</v>
      </c>
      <c r="C60" s="584" t="s">
        <v>331</v>
      </c>
      <c r="D60" s="596" t="s">
        <v>15</v>
      </c>
      <c r="E60" s="776"/>
      <c r="F60" s="548">
        <f>+VLOOKUP($C$15:$C$77,THCKT!$C$397:$AE$460,17,0)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 t="e">
        <f t="shared" si="2"/>
        <v>#N/A</v>
      </c>
      <c r="P60" s="566" t="e">
        <f>VLOOKUP(C60,THCKT!$C$13:$AL$460,36,0)</f>
        <v>#N/A</v>
      </c>
      <c r="Q60" s="567" t="e">
        <f t="shared" si="6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KT'!$D$16:$Y$184,22,0)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7"/>
        <v>#N/A</v>
      </c>
      <c r="AD60" s="580" t="e">
        <f t="shared" si="9"/>
        <v>#N/A</v>
      </c>
      <c r="AE60" s="580" t="e">
        <f t="shared" si="4"/>
        <v>#N/A</v>
      </c>
      <c r="AF60" s="581">
        <v>3062689.81390823</v>
      </c>
      <c r="AG60" s="636" t="e">
        <f t="shared" si="5"/>
        <v>#N/A</v>
      </c>
      <c r="AH60" s="289">
        <v>5</v>
      </c>
    </row>
    <row r="61" spans="1:34" s="242" customFormat="1" ht="20.25" customHeight="1">
      <c r="A61" s="545">
        <v>47</v>
      </c>
      <c r="B61" s="546" t="str">
        <f>VLOOKUP(C61,'DS CN MOI UP'!$B$10:$C$389,2,0)</f>
        <v>03411</v>
      </c>
      <c r="C61" s="584" t="s">
        <v>332</v>
      </c>
      <c r="D61" s="596" t="s">
        <v>15</v>
      </c>
      <c r="E61" s="776"/>
      <c r="F61" s="548">
        <f>+VLOOKUP($C$15:$C$77,THCKT!$C$397:$AE$460,17,0)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 t="e">
        <f t="shared" si="2"/>
        <v>#N/A</v>
      </c>
      <c r="P61" s="566" t="e">
        <f>VLOOKUP(C61,THCKT!$C$13:$AL$460,36,0)</f>
        <v>#N/A</v>
      </c>
      <c r="Q61" s="567" t="e">
        <f t="shared" si="6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KT'!$D$16:$Y$184,22,0)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7"/>
        <v>#N/A</v>
      </c>
      <c r="AD61" s="580" t="e">
        <f t="shared" si="9"/>
        <v>#N/A</v>
      </c>
      <c r="AE61" s="580" t="e">
        <f t="shared" si="4"/>
        <v>#N/A</v>
      </c>
      <c r="AF61" s="581">
        <v>4668769.14703173</v>
      </c>
      <c r="AG61" s="636" t="e">
        <f t="shared" si="5"/>
        <v>#N/A</v>
      </c>
      <c r="AH61" s="289">
        <v>5</v>
      </c>
    </row>
    <row r="62" spans="1:34" s="242" customFormat="1" ht="20.25" customHeight="1">
      <c r="A62" s="545">
        <v>48</v>
      </c>
      <c r="B62" s="546" t="e">
        <f>VLOOKUP(C62,'DS CN MOI UP'!$B$10:$C$389,2,0)</f>
        <v>#N/A</v>
      </c>
      <c r="C62" s="584" t="s">
        <v>333</v>
      </c>
      <c r="D62" s="596" t="s">
        <v>15</v>
      </c>
      <c r="E62" s="776"/>
      <c r="F62" s="548">
        <f>+VLOOKUP($C$15:$C$77,THCKT!$C$397:$AE$460,17,0)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 t="e">
        <f t="shared" si="2"/>
        <v>#N/A</v>
      </c>
      <c r="P62" s="566" t="e">
        <f>VLOOKUP(C62,THCKT!$C$13:$AL$460,36,0)</f>
        <v>#N/A</v>
      </c>
      <c r="Q62" s="567" t="e">
        <f t="shared" si="6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KT'!$D$16:$Y$184,22,0)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7"/>
        <v>#N/A</v>
      </c>
      <c r="AD62" s="580" t="e">
        <f t="shared" si="9"/>
        <v>#N/A</v>
      </c>
      <c r="AE62" s="580" t="e">
        <f t="shared" si="4"/>
        <v>#N/A</v>
      </c>
      <c r="AF62" s="581">
        <v>6373428.6375653204</v>
      </c>
      <c r="AG62" s="636" t="e">
        <f t="shared" si="5"/>
        <v>#N/A</v>
      </c>
      <c r="AH62" s="289">
        <v>4</v>
      </c>
    </row>
    <row r="63" spans="1:34" s="242" customFormat="1" ht="20.25" customHeight="1">
      <c r="A63" s="545">
        <v>49</v>
      </c>
      <c r="B63" s="546" t="str">
        <f>VLOOKUP(C63,'DS CN MOI UP'!$B$10:$C$389,2,0)</f>
        <v>02625</v>
      </c>
      <c r="C63" s="584" t="s">
        <v>334</v>
      </c>
      <c r="D63" s="596" t="s">
        <v>15</v>
      </c>
      <c r="E63" s="776"/>
      <c r="F63" s="548">
        <f>+VLOOKUP($C$15:$C$77,THCKT!$C$397:$AE$460,17,0)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2"/>
        <v>#N/A</v>
      </c>
      <c r="P63" s="566" t="e">
        <f>VLOOKUP(C63,THCKT!$C$13:$AL$460,36,0)</f>
        <v>#N/A</v>
      </c>
      <c r="Q63" s="567" t="e">
        <f t="shared" si="6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KT'!$D$16:$Y$184,22,0)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7"/>
        <v>#N/A</v>
      </c>
      <c r="AD63" s="580" t="e">
        <f t="shared" si="9"/>
        <v>#N/A</v>
      </c>
      <c r="AE63" s="580" t="e">
        <f t="shared" si="4"/>
        <v>#N/A</v>
      </c>
      <c r="AF63" s="581">
        <v>4538738.8619279498</v>
      </c>
      <c r="AG63" s="636" t="e">
        <f t="shared" si="5"/>
        <v>#N/A</v>
      </c>
      <c r="AH63" s="289">
        <v>5</v>
      </c>
    </row>
    <row r="64" spans="1:34" s="242" customFormat="1" ht="20.25" customHeight="1">
      <c r="A64" s="545">
        <v>50</v>
      </c>
      <c r="B64" s="546" t="str">
        <f>VLOOKUP(C64,'DS CN MOI UP'!$B$10:$C$389,2,0)</f>
        <v>03862</v>
      </c>
      <c r="C64" s="584" t="s">
        <v>335</v>
      </c>
      <c r="D64" s="596" t="s">
        <v>15</v>
      </c>
      <c r="E64" s="776"/>
      <c r="F64" s="548">
        <f>+VLOOKUP($C$15:$C$77,THCKT!$C$397:$AE$460,17,0)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2"/>
        <v>#N/A</v>
      </c>
      <c r="P64" s="566" t="e">
        <f>VLOOKUP(C64,THCKT!$C$13:$AL$460,36,0)</f>
        <v>#N/A</v>
      </c>
      <c r="Q64" s="567" t="e">
        <f t="shared" si="6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KT'!$D$16:$Y$184,22,0)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7"/>
        <v>#N/A</v>
      </c>
      <c r="AD64" s="580" t="e">
        <f t="shared" si="9"/>
        <v>#N/A</v>
      </c>
      <c r="AE64" s="580" t="e">
        <f t="shared" si="4"/>
        <v>#N/A</v>
      </c>
      <c r="AF64" s="581">
        <v>3455072.3430866702</v>
      </c>
      <c r="AG64" s="636" t="e">
        <f t="shared" si="5"/>
        <v>#N/A</v>
      </c>
      <c r="AH64" s="289">
        <v>5</v>
      </c>
    </row>
    <row r="65" spans="1:36" s="242" customFormat="1" ht="20.25" customHeight="1">
      <c r="A65" s="545">
        <v>51</v>
      </c>
      <c r="B65" s="546" t="str">
        <f>VLOOKUP(C65,'DS CN MOI UP'!$B$10:$C$389,2,0)</f>
        <v>03413</v>
      </c>
      <c r="C65" s="584" t="s">
        <v>336</v>
      </c>
      <c r="D65" s="596" t="s">
        <v>15</v>
      </c>
      <c r="E65" s="776"/>
      <c r="F65" s="548">
        <f>+VLOOKUP($C$15:$C$77,THCKT!$C$397:$AE$460,17,0)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2"/>
        <v>#N/A</v>
      </c>
      <c r="P65" s="566" t="e">
        <f>VLOOKUP(C65,THCKT!$C$13:$AL$460,36,0)</f>
        <v>#N/A</v>
      </c>
      <c r="Q65" s="567" t="e">
        <f t="shared" si="6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KT'!$D$16:$Y$184,22,0)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7"/>
        <v>#N/A</v>
      </c>
      <c r="AD65" s="580" t="e">
        <f t="shared" si="9"/>
        <v>#N/A</v>
      </c>
      <c r="AE65" s="580" t="e">
        <f t="shared" si="4"/>
        <v>#N/A</v>
      </c>
      <c r="AF65" s="581">
        <v>1616187.52789553</v>
      </c>
      <c r="AG65" s="636" t="e">
        <f t="shared" si="5"/>
        <v>#N/A</v>
      </c>
      <c r="AH65" s="289">
        <v>5</v>
      </c>
    </row>
    <row r="66" spans="1:36" s="242" customFormat="1" ht="20.25" customHeight="1">
      <c r="A66" s="545">
        <v>52</v>
      </c>
      <c r="B66" s="546" t="str">
        <f>VLOOKUP(C66,'DS CN MOI UP'!$B$10:$C$389,2,0)</f>
        <v>03414</v>
      </c>
      <c r="C66" s="584" t="s">
        <v>337</v>
      </c>
      <c r="D66" s="596" t="s">
        <v>15</v>
      </c>
      <c r="E66" s="776"/>
      <c r="F66" s="548">
        <f>+VLOOKUP($C$15:$C$77,THCKT!$C$397:$AE$460,17,0)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2"/>
        <v>#N/A</v>
      </c>
      <c r="P66" s="566" t="e">
        <f>VLOOKUP(C66,THCKT!$C$13:$AL$460,36,0)</f>
        <v>#N/A</v>
      </c>
      <c r="Q66" s="567" t="e">
        <f t="shared" si="6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KT'!$D$16:$Y$184,22,0)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7"/>
        <v>#N/A</v>
      </c>
      <c r="AD66" s="580" t="e">
        <f t="shared" si="9"/>
        <v>#N/A</v>
      </c>
      <c r="AE66" s="580" t="e">
        <f t="shared" si="4"/>
        <v>#N/A</v>
      </c>
      <c r="AF66" s="581">
        <v>6701505.0492117796</v>
      </c>
      <c r="AG66" s="636" t="e">
        <f t="shared" si="5"/>
        <v>#N/A</v>
      </c>
      <c r="AH66" s="289">
        <v>5</v>
      </c>
    </row>
    <row r="67" spans="1:36" s="242" customFormat="1" ht="20.25" customHeight="1">
      <c r="A67" s="545">
        <v>53</v>
      </c>
      <c r="B67" s="546" t="str">
        <f>VLOOKUP(C67,'DS CN MOI UP'!$B$10:$C$389,2,0)</f>
        <v>03415</v>
      </c>
      <c r="C67" s="584" t="s">
        <v>338</v>
      </c>
      <c r="D67" s="596" t="s">
        <v>15</v>
      </c>
      <c r="E67" s="776"/>
      <c r="F67" s="548">
        <f>+VLOOKUP($C$15:$C$77,THCKT!$C$397:$AE$460,17,0)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2"/>
        <v>#N/A</v>
      </c>
      <c r="P67" s="566" t="e">
        <f>VLOOKUP(C67,THCKT!$C$13:$AL$460,36,0)</f>
        <v>#N/A</v>
      </c>
      <c r="Q67" s="567" t="e">
        <f t="shared" si="6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KT'!$D$16:$Y$184,22,0)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7"/>
        <v>#N/A</v>
      </c>
      <c r="AD67" s="580" t="e">
        <f t="shared" si="9"/>
        <v>#N/A</v>
      </c>
      <c r="AE67" s="580" t="e">
        <f t="shared" si="4"/>
        <v>#N/A</v>
      </c>
      <c r="AF67" s="581">
        <v>6621486.4122248404</v>
      </c>
      <c r="AG67" s="636" t="e">
        <f t="shared" si="5"/>
        <v>#N/A</v>
      </c>
      <c r="AH67" s="289">
        <v>5</v>
      </c>
    </row>
    <row r="68" spans="1:36" s="242" customFormat="1" ht="20.25" customHeight="1">
      <c r="A68" s="545">
        <v>54</v>
      </c>
      <c r="B68" s="546" t="e">
        <f>VLOOKUP(C68,'DS CN MOI UP'!$B$10:$C$389,2,0)</f>
        <v>#N/A</v>
      </c>
      <c r="C68" s="584" t="s">
        <v>339</v>
      </c>
      <c r="D68" s="596" t="s">
        <v>15</v>
      </c>
      <c r="E68" s="776"/>
      <c r="F68" s="548">
        <f>+VLOOKUP($C$15:$C$77,THCKT!$C$397:$AE$460,17,0)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 t="e">
        <f t="shared" si="2"/>
        <v>#N/A</v>
      </c>
      <c r="P68" s="566" t="e">
        <f>VLOOKUP(C68,THCKT!$C$13:$AL$460,36,0)</f>
        <v>#N/A</v>
      </c>
      <c r="Q68" s="567" t="e">
        <f t="shared" si="6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KT'!$D$16:$Y$184,22,0)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7"/>
        <v>#N/A</v>
      </c>
      <c r="AD68" s="580" t="e">
        <f t="shared" si="9"/>
        <v>#N/A</v>
      </c>
      <c r="AE68" s="580" t="e">
        <f t="shared" si="4"/>
        <v>#N/A</v>
      </c>
      <c r="AF68" s="581">
        <v>4681810.8917511804</v>
      </c>
      <c r="AG68" s="636" t="e">
        <f t="shared" si="5"/>
        <v>#N/A</v>
      </c>
      <c r="AH68" s="289">
        <v>5</v>
      </c>
    </row>
    <row r="69" spans="1:36" s="242" customFormat="1" ht="20.25" customHeight="1">
      <c r="A69" s="545">
        <v>55</v>
      </c>
      <c r="B69" s="546" t="str">
        <f>VLOOKUP(C69,'DS CN MOI UP'!$B$10:$C$389,2,0)</f>
        <v>03417</v>
      </c>
      <c r="C69" s="584" t="s">
        <v>340</v>
      </c>
      <c r="D69" s="596" t="s">
        <v>15</v>
      </c>
      <c r="E69" s="776"/>
      <c r="F69" s="548">
        <f>+VLOOKUP($C$15:$C$77,THCKT!$C$397:$AE$460,17,0)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2"/>
        <v>#N/A</v>
      </c>
      <c r="P69" s="566" t="e">
        <f>VLOOKUP(C69,THCKT!$C$13:$AL$460,36,0)</f>
        <v>#N/A</v>
      </c>
      <c r="Q69" s="567" t="e">
        <f t="shared" si="6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KT'!$D$16:$Y$184,22,0)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7"/>
        <v>#N/A</v>
      </c>
      <c r="AD69" s="580" t="e">
        <f t="shared" si="9"/>
        <v>#N/A</v>
      </c>
      <c r="AE69" s="580" t="e">
        <f t="shared" si="4"/>
        <v>#N/A</v>
      </c>
      <c r="AF69" s="581">
        <v>4278667.1500447895</v>
      </c>
      <c r="AG69" s="636" t="e">
        <f t="shared" si="5"/>
        <v>#N/A</v>
      </c>
      <c r="AH69" s="289">
        <v>5</v>
      </c>
    </row>
    <row r="70" spans="1:36" s="242" customFormat="1" ht="20.25" customHeight="1">
      <c r="A70" s="545">
        <v>56</v>
      </c>
      <c r="B70" s="546" t="str">
        <f>VLOOKUP(C70,'DS CN MOI UP'!$B$10:$C$389,2,0)</f>
        <v>03418</v>
      </c>
      <c r="C70" s="584" t="s">
        <v>341</v>
      </c>
      <c r="D70" s="596" t="s">
        <v>15</v>
      </c>
      <c r="E70" s="776"/>
      <c r="F70" s="548">
        <f>+VLOOKUP($C$15:$C$77,THCKT!$C$397:$AE$460,17,0)</f>
        <v>24</v>
      </c>
      <c r="G70" s="549">
        <f t="shared" ref="G70:G75" si="16">F70*25000</f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ref="N70:N71" si="17">$AH$8/$AH$7*K70+L70*$AH$9+M70*$AH$10</f>
        <v>#N/A</v>
      </c>
      <c r="O70" s="565" t="e">
        <f t="shared" si="2"/>
        <v>#N/A</v>
      </c>
      <c r="P70" s="566" t="e">
        <f>VLOOKUP(C70,THCKT!$C$13:$AL$460,36,0)</f>
        <v>#N/A</v>
      </c>
      <c r="Q70" s="567" t="e">
        <f t="shared" si="6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KT'!$D$16:$Y$184,22,0)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7"/>
        <v>#N/A</v>
      </c>
      <c r="AD70" s="580" t="e">
        <f t="shared" ref="AD70:AD75" si="18">+AC70+Q70+G70</f>
        <v>#N/A</v>
      </c>
      <c r="AE70" s="580" t="e">
        <f t="shared" ref="AE70:AE75" si="19">AD70</f>
        <v>#N/A</v>
      </c>
      <c r="AF70" s="581">
        <v>5379197.0730025796</v>
      </c>
      <c r="AG70" s="636" t="e">
        <f t="shared" ref="AG70:AG75" si="20">+AE70-AF70</f>
        <v>#N/A</v>
      </c>
      <c r="AH70" s="289">
        <v>5</v>
      </c>
    </row>
    <row r="71" spans="1:36" s="242" customFormat="1" ht="20.25" customHeight="1">
      <c r="A71" s="545">
        <v>57</v>
      </c>
      <c r="B71" s="546" t="str">
        <f>VLOOKUP(C71,'DS CN MOI UP'!$B$10:$C$389,2,0)</f>
        <v>03419</v>
      </c>
      <c r="C71" s="584" t="s">
        <v>342</v>
      </c>
      <c r="D71" s="596" t="s">
        <v>15</v>
      </c>
      <c r="E71" s="776"/>
      <c r="F71" s="548">
        <f>+VLOOKUP($C$15:$C$77,THCKT!$C$397:$AE$460,17,0)</f>
        <v>24</v>
      </c>
      <c r="G71" s="549">
        <f t="shared" si="16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17"/>
        <v>#N/A</v>
      </c>
      <c r="O71" s="565" t="e">
        <f t="shared" si="2"/>
        <v>#N/A</v>
      </c>
      <c r="P71" s="566" t="e">
        <f>VLOOKUP(C71,THCKT!$C$13:$AL$460,36,0)</f>
        <v>#N/A</v>
      </c>
      <c r="Q71" s="567" t="e">
        <f t="shared" si="6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KT'!$D$16:$Y$184,22,0)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7"/>
        <v>#N/A</v>
      </c>
      <c r="AD71" s="580" t="e">
        <f t="shared" si="18"/>
        <v>#N/A</v>
      </c>
      <c r="AE71" s="580" t="e">
        <f t="shared" si="19"/>
        <v>#N/A</v>
      </c>
      <c r="AF71" s="581">
        <v>3565850.4817944001</v>
      </c>
      <c r="AG71" s="636" t="e">
        <f t="shared" si="20"/>
        <v>#N/A</v>
      </c>
      <c r="AH71" s="289">
        <v>5</v>
      </c>
    </row>
    <row r="72" spans="1:36" s="242" customFormat="1" ht="20.25" customHeight="1">
      <c r="A72" s="545">
        <v>58</v>
      </c>
      <c r="B72" s="546" t="str">
        <f>VLOOKUP(C72,'DS CN MOI UP'!$B$10:$C$389,2,0)</f>
        <v>03420</v>
      </c>
      <c r="C72" s="584" t="s">
        <v>343</v>
      </c>
      <c r="D72" s="596" t="s">
        <v>15</v>
      </c>
      <c r="E72" s="776"/>
      <c r="F72" s="548">
        <f>+VLOOKUP($C$15:$C$77,THCKT!$C$397:$AE$460,17,0)</f>
        <v>24</v>
      </c>
      <c r="G72" s="549">
        <f t="shared" si="16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>VLOOKUP(C72,THCKT!$C$13:$AL$460,24,0)</f>
        <v>#N/A</v>
      </c>
      <c r="O72" s="565" t="e">
        <f t="shared" si="2"/>
        <v>#N/A</v>
      </c>
      <c r="P72" s="566" t="e">
        <f>VLOOKUP(C72,THCKT!$C$13:$AL$460,36,0)</f>
        <v>#N/A</v>
      </c>
      <c r="Q72" s="567" t="e">
        <f t="shared" si="6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KT'!$D$16:$Y$184,22,0)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7"/>
        <v>#N/A</v>
      </c>
      <c r="AD72" s="580" t="e">
        <f t="shared" si="18"/>
        <v>#N/A</v>
      </c>
      <c r="AE72" s="580" t="e">
        <f t="shared" si="19"/>
        <v>#N/A</v>
      </c>
      <c r="AF72" s="581">
        <v>2893575.7990223998</v>
      </c>
      <c r="AG72" s="636" t="e">
        <f t="shared" si="20"/>
        <v>#N/A</v>
      </c>
      <c r="AH72" s="289">
        <v>5</v>
      </c>
    </row>
    <row r="73" spans="1:36" s="242" customFormat="1" ht="20.25" customHeight="1">
      <c r="A73" s="545">
        <v>59</v>
      </c>
      <c r="B73" s="546" t="str">
        <f>VLOOKUP(C73,'DS CN MOI UP'!$B$10:$C$389,2,0)</f>
        <v>03385</v>
      </c>
      <c r="C73" s="584" t="s">
        <v>344</v>
      </c>
      <c r="D73" s="596" t="s">
        <v>1488</v>
      </c>
      <c r="E73" s="776"/>
      <c r="F73" s="548">
        <f>+VLOOKUP($C$15:$C$77,THCKT!$C$397:$AE$460,17,0)</f>
        <v>24</v>
      </c>
      <c r="G73" s="549">
        <f t="shared" si="16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>VLOOKUP(C73,THCKT!$C$13:$AL$460,24,0)</f>
        <v>#N/A</v>
      </c>
      <c r="O73" s="565" t="e">
        <f t="shared" si="2"/>
        <v>#N/A</v>
      </c>
      <c r="P73" s="566" t="e">
        <f>VLOOKUP(C73,THCKT!$C$13:$AL$460,36,0)</f>
        <v>#N/A</v>
      </c>
      <c r="Q73" s="567" t="e">
        <f t="shared" si="6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KT'!$D$16:$Y$184,22,0)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7"/>
        <v>#N/A</v>
      </c>
      <c r="AD73" s="580" t="e">
        <f t="shared" si="18"/>
        <v>#N/A</v>
      </c>
      <c r="AE73" s="580" t="e">
        <f t="shared" si="19"/>
        <v>#N/A</v>
      </c>
      <c r="AF73" s="581">
        <v>2893575.7990223998</v>
      </c>
      <c r="AG73" s="636" t="e">
        <f t="shared" si="20"/>
        <v>#N/A</v>
      </c>
      <c r="AH73" s="289">
        <v>5</v>
      </c>
    </row>
    <row r="74" spans="1:36" s="242" customFormat="1" ht="20.25" customHeight="1">
      <c r="A74" s="545">
        <v>60</v>
      </c>
      <c r="B74" s="546" t="str">
        <f>VLOOKUP(C74,'DS CN MOI UP'!$B$10:$C$389,2,0)</f>
        <v>03422</v>
      </c>
      <c r="C74" s="584" t="s">
        <v>345</v>
      </c>
      <c r="D74" s="596" t="s">
        <v>1488</v>
      </c>
      <c r="E74" s="776"/>
      <c r="F74" s="548">
        <f>+VLOOKUP($C$15:$C$77,THCKT!$C$397:$AE$460,17,0)</f>
        <v>24</v>
      </c>
      <c r="G74" s="549">
        <f t="shared" si="16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>VLOOKUP(C74,THCKT!$C$13:$AL$460,24,0)</f>
        <v>#N/A</v>
      </c>
      <c r="O74" s="565" t="e">
        <f t="shared" si="2"/>
        <v>#N/A</v>
      </c>
      <c r="P74" s="566" t="e">
        <f>VLOOKUP(C74,THCKT!$C$13:$AL$460,36,0)</f>
        <v>#N/A</v>
      </c>
      <c r="Q74" s="567" t="e">
        <f t="shared" si="6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KT'!$D$16:$Y$184,22,0)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7"/>
        <v>#N/A</v>
      </c>
      <c r="AD74" s="580" t="e">
        <f t="shared" si="18"/>
        <v>#N/A</v>
      </c>
      <c r="AE74" s="580" t="e">
        <f t="shared" si="19"/>
        <v>#N/A</v>
      </c>
      <c r="AF74" s="581">
        <v>2893575.7990223998</v>
      </c>
      <c r="AG74" s="636" t="e">
        <f t="shared" si="20"/>
        <v>#N/A</v>
      </c>
      <c r="AH74" s="289">
        <v>5</v>
      </c>
    </row>
    <row r="75" spans="1:36" s="242" customFormat="1" ht="20.25" customHeight="1">
      <c r="A75" s="545">
        <v>61</v>
      </c>
      <c r="B75" s="546" t="e">
        <f>VLOOKUP(C75,'DS CN MOI UP'!$B$10:$C$389,2,0)</f>
        <v>#N/A</v>
      </c>
      <c r="C75" s="584" t="s">
        <v>346</v>
      </c>
      <c r="D75" s="596" t="s">
        <v>1713</v>
      </c>
      <c r="E75" s="776"/>
      <c r="F75" s="548">
        <f>+VLOOKUP($C$15:$C$77,THCKT!$C$397:$AE$460,17,0)</f>
        <v>24</v>
      </c>
      <c r="G75" s="549">
        <f t="shared" si="16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>VLOOKUP(C75,THCKT!$C$13:$AL$460,24,0)</f>
        <v>#N/A</v>
      </c>
      <c r="O75" s="565" t="e">
        <f t="shared" si="2"/>
        <v>#N/A</v>
      </c>
      <c r="P75" s="566" t="e">
        <f>VLOOKUP(C75,THCKT!$C$13:$AL$460,36,0)</f>
        <v>#N/A</v>
      </c>
      <c r="Q75" s="567" t="e">
        <f t="shared" si="6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KT'!$D$16:$Y$184,22,0)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7"/>
        <v>#N/A</v>
      </c>
      <c r="AD75" s="580" t="e">
        <f t="shared" si="18"/>
        <v>#N/A</v>
      </c>
      <c r="AE75" s="580" t="e">
        <f t="shared" si="19"/>
        <v>#N/A</v>
      </c>
      <c r="AF75" s="581">
        <v>10415500</v>
      </c>
      <c r="AG75" s="636" t="e">
        <f t="shared" si="20"/>
        <v>#N/A</v>
      </c>
      <c r="AH75" s="289">
        <v>5</v>
      </c>
    </row>
    <row r="76" spans="1:36" s="242" customFormat="1" ht="20.25" customHeight="1">
      <c r="A76" s="545">
        <v>62</v>
      </c>
      <c r="B76" s="546" t="e">
        <f>VLOOKUP(C76,'DS CN MOI UP'!$B$10:$C$389,2,0)</f>
        <v>#N/A</v>
      </c>
      <c r="C76" s="584" t="s">
        <v>347</v>
      </c>
      <c r="D76" s="596" t="s">
        <v>15</v>
      </c>
      <c r="E76" s="776"/>
      <c r="F76" s="548">
        <f>+VLOOKUP($C$15:$C$77,THCKT!$C$397:$AE$460,17,0)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2"/>
        <v>#N/A</v>
      </c>
      <c r="P76" s="566" t="e">
        <f>VLOOKUP(C76,THCKT!$C$13:$AL$460,36,0)</f>
        <v>#N/A</v>
      </c>
      <c r="Q76" s="567" t="e">
        <f t="shared" si="6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KT'!$D$16:$Y$184,22,0)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7"/>
        <v>#N/A</v>
      </c>
      <c r="AD76" s="580" t="e">
        <f t="shared" si="9"/>
        <v>#N/A</v>
      </c>
      <c r="AE76" s="580" t="e">
        <f t="shared" si="4"/>
        <v>#N/A</v>
      </c>
      <c r="AF76" s="581">
        <v>5379197.0730025796</v>
      </c>
      <c r="AG76" s="636" t="e">
        <f t="shared" si="5"/>
        <v>#N/A</v>
      </c>
      <c r="AH76" s="289">
        <v>5</v>
      </c>
    </row>
    <row r="77" spans="1:36" s="242" customFormat="1" ht="20.25" customHeight="1">
      <c r="A77" s="545">
        <v>63</v>
      </c>
      <c r="B77" s="546" t="e">
        <f>VLOOKUP(C77,'DS CN MOI UP'!$B$10:$C$389,2,0)</f>
        <v>#N/A</v>
      </c>
      <c r="C77" s="584" t="s">
        <v>348</v>
      </c>
      <c r="D77" s="596" t="s">
        <v>15</v>
      </c>
      <c r="E77" s="776"/>
      <c r="F77" s="548">
        <f>+VLOOKUP($C$15:$C$77,THCKT!$C$397:$AE$460,17,0)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 t="e">
        <f t="shared" si="2"/>
        <v>#N/A</v>
      </c>
      <c r="P77" s="566" t="e">
        <f>VLOOKUP(C77,THCKT!$C$13:$AL$460,36,0)</f>
        <v>#N/A</v>
      </c>
      <c r="Q77" s="567" t="e">
        <f t="shared" si="6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KT'!$D$16:$Y$184,22,0)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>ROUND((((R77*46.1)+(S77*76.9)+(X77*30.7)+(U77*46.1*2)+(V77*46.1*2)+(W77*76.9*2))*$F$8),0)+T77*10000+Y77*20000+Z77*20000+AA77*25000+6</f>
        <v>#N/A</v>
      </c>
      <c r="AD77" s="580" t="e">
        <f t="shared" si="9"/>
        <v>#N/A</v>
      </c>
      <c r="AE77" s="580" t="e">
        <f t="shared" si="4"/>
        <v>#N/A</v>
      </c>
      <c r="AF77" s="581">
        <v>3565850.4817944001</v>
      </c>
      <c r="AG77" s="636" t="e">
        <f t="shared" si="5"/>
        <v>#N/A</v>
      </c>
      <c r="AH77" s="289">
        <v>5</v>
      </c>
    </row>
    <row r="78" spans="1:36" s="243" customFormat="1" ht="17.25" customHeight="1">
      <c r="A78" s="594" t="s">
        <v>2188</v>
      </c>
      <c r="B78" s="784"/>
      <c r="C78" s="784"/>
      <c r="D78" s="784"/>
      <c r="E78" s="614"/>
      <c r="F78" s="600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6" t="e">
        <f>+AF78-AE78</f>
        <v>#REF!</v>
      </c>
      <c r="AH78" s="291" t="e">
        <f>+#REF!+#REF!+#REF!+#REF!+#REF!+#REF!+#REF!+#REF!+#REF!</f>
        <v>#REF!</v>
      </c>
      <c r="AI78" s="2635" t="e">
        <f>(R78*46.1*$F$8)+(S78*76.9*$F$8)+Y78*5000+Z78*20000</f>
        <v>#N/A</v>
      </c>
      <c r="AJ78" s="2635"/>
    </row>
    <row r="79" spans="1:36" s="243" customFormat="1" ht="17.25" customHeight="1">
      <c r="A79" s="2638" t="s">
        <v>2980</v>
      </c>
      <c r="B79" s="2638"/>
      <c r="C79" s="2638"/>
      <c r="D79" s="2638"/>
      <c r="E79" s="2638"/>
      <c r="F79" s="2638"/>
      <c r="G79" s="2638"/>
      <c r="H79" s="2638"/>
      <c r="I79" s="2638"/>
      <c r="J79" s="2638"/>
      <c r="K79" s="2638"/>
      <c r="L79" s="2638"/>
      <c r="M79" s="2638"/>
      <c r="N79" s="2638"/>
      <c r="O79" s="2638"/>
      <c r="P79" s="2638"/>
      <c r="Q79" s="2638"/>
      <c r="R79" s="2638"/>
      <c r="S79" s="2638"/>
      <c r="T79" s="2638"/>
      <c r="U79" s="2638"/>
      <c r="V79" s="2638"/>
      <c r="W79" s="2638"/>
      <c r="X79" s="2638"/>
      <c r="Y79" s="2638"/>
      <c r="Z79" s="2638"/>
      <c r="AA79" s="2638"/>
      <c r="AB79" s="2638"/>
      <c r="AC79" s="2638"/>
      <c r="AD79" s="2638"/>
      <c r="AE79" s="2638"/>
      <c r="AF79" s="283"/>
      <c r="AG79" s="636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2"/>
      <c r="M80" s="602"/>
      <c r="N80" s="602"/>
      <c r="O80" s="602"/>
      <c r="P80" s="603"/>
      <c r="Q80" s="284"/>
      <c r="R80" s="262"/>
      <c r="S80" s="610"/>
      <c r="T80" s="610"/>
      <c r="U80" s="610"/>
      <c r="V80" s="610"/>
      <c r="W80" s="610"/>
      <c r="X80" s="610"/>
      <c r="Y80" s="610"/>
      <c r="Z80" s="610"/>
      <c r="AA80" s="610"/>
      <c r="AB80" s="610"/>
      <c r="AC80" s="2639" t="s">
        <v>2166</v>
      </c>
      <c r="AD80" s="2639"/>
      <c r="AE80" s="2639"/>
      <c r="AF80" s="285"/>
      <c r="AG80" s="636">
        <f t="shared" si="5"/>
        <v>0</v>
      </c>
      <c r="AH80" s="293" t="e">
        <f>SUM(#REF!)</f>
        <v>#REF!</v>
      </c>
    </row>
    <row r="81" spans="3:37" s="52" customFormat="1" ht="15.95" customHeight="1">
      <c r="C81" s="2453" t="s">
        <v>1921</v>
      </c>
      <c r="D81" s="2453"/>
      <c r="E81" s="2453"/>
      <c r="F81" s="2453"/>
      <c r="G81" s="2453" t="s">
        <v>616</v>
      </c>
      <c r="H81" s="2453"/>
      <c r="I81" s="2453"/>
      <c r="J81" s="2453"/>
      <c r="K81" s="2453"/>
      <c r="L81" s="2453"/>
      <c r="M81" s="2453"/>
      <c r="N81" s="2453"/>
      <c r="O81" s="2453"/>
      <c r="P81" s="2453"/>
      <c r="Q81" s="2453" t="s">
        <v>2085</v>
      </c>
      <c r="R81" s="2453"/>
      <c r="S81" s="2453"/>
      <c r="T81" s="2453"/>
      <c r="U81" s="2453"/>
      <c r="V81" s="2453"/>
      <c r="W81" s="2453"/>
      <c r="X81" s="2453"/>
      <c r="Y81" s="2453"/>
      <c r="Z81" s="2453"/>
      <c r="AA81" s="2453"/>
      <c r="AB81" s="2453"/>
      <c r="AC81" s="2453"/>
      <c r="AD81" s="2453" t="s">
        <v>612</v>
      </c>
      <c r="AE81" s="2453"/>
      <c r="AF81" s="288" t="e">
        <f>+AE78-#REF!</f>
        <v>#N/A</v>
      </c>
      <c r="AG81" s="636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4"/>
      <c r="L82" s="605"/>
      <c r="M82" s="605"/>
      <c r="N82" s="605"/>
      <c r="O82" s="605"/>
      <c r="P82" s="96"/>
      <c r="Q82" s="96"/>
      <c r="R82" s="96"/>
      <c r="AC82" s="615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4"/>
      <c r="L83" s="605"/>
      <c r="M83" s="605"/>
      <c r="N83" s="605"/>
      <c r="O83" s="605"/>
      <c r="P83" s="96"/>
      <c r="Q83" s="96"/>
      <c r="R83" s="96"/>
      <c r="AC83" s="615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634"/>
      <c r="L84" s="2634"/>
      <c r="M84" s="2634"/>
      <c r="N84" s="2634"/>
      <c r="O84" s="1208"/>
      <c r="P84" s="2635"/>
      <c r="Q84" s="2635"/>
      <c r="S84" s="611"/>
      <c r="T84" s="611"/>
      <c r="U84" s="611"/>
      <c r="V84" s="611"/>
      <c r="W84" s="611"/>
      <c r="X84" s="611"/>
      <c r="Y84" s="611"/>
      <c r="Z84" s="611"/>
      <c r="AA84" s="611"/>
      <c r="AB84" s="611"/>
      <c r="AC84" s="615"/>
      <c r="AD84" s="2636"/>
      <c r="AE84" s="2636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636"/>
      <c r="L85" s="2636"/>
      <c r="M85" s="287"/>
      <c r="N85" s="605"/>
      <c r="O85" s="605"/>
      <c r="P85" s="2637"/>
      <c r="Q85" s="2637"/>
      <c r="R85" s="2637"/>
      <c r="S85" s="786"/>
      <c r="T85" s="786"/>
      <c r="U85" s="786"/>
      <c r="V85" s="786"/>
      <c r="W85" s="786"/>
      <c r="X85" s="786"/>
      <c r="Y85" s="786"/>
      <c r="Z85" s="786"/>
      <c r="AA85" s="786"/>
      <c r="AB85" s="786"/>
      <c r="AC85" s="2636"/>
      <c r="AD85" s="2636"/>
      <c r="AF85" s="272"/>
      <c r="AH85" s="249"/>
    </row>
    <row r="86" spans="3:37" s="53" customFormat="1">
      <c r="C86" s="2453" t="s">
        <v>1924</v>
      </c>
      <c r="D86" s="2453"/>
      <c r="E86" s="2453"/>
      <c r="F86" s="2453"/>
      <c r="G86" s="601"/>
      <c r="H86" s="601"/>
      <c r="I86" s="601"/>
      <c r="J86" s="601"/>
      <c r="K86" s="2612" t="s">
        <v>2169</v>
      </c>
      <c r="L86" s="2612"/>
      <c r="M86" s="2612"/>
      <c r="N86" s="2612"/>
      <c r="O86" s="2612"/>
      <c r="P86" s="96"/>
      <c r="Q86" s="96"/>
      <c r="R86" s="96"/>
      <c r="S86" s="612"/>
      <c r="T86" s="612"/>
      <c r="U86" s="612"/>
      <c r="V86" s="612"/>
      <c r="W86" s="612"/>
      <c r="X86" s="612"/>
      <c r="Y86" s="612"/>
      <c r="Z86" s="612"/>
      <c r="AA86" s="612"/>
      <c r="AB86" s="612"/>
      <c r="AC86" s="615"/>
      <c r="AD86" s="2606" t="s">
        <v>613</v>
      </c>
      <c r="AE86" s="2606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94"/>
      <c r="G87" s="2594"/>
      <c r="H87" s="2594"/>
      <c r="I87" s="2594"/>
      <c r="J87" s="2594"/>
      <c r="K87" s="2594"/>
      <c r="L87" s="2633"/>
      <c r="M87" s="2633"/>
      <c r="N87" s="2633"/>
      <c r="O87" s="1213"/>
      <c r="P87" s="2609"/>
      <c r="Q87" s="2609"/>
      <c r="R87" s="96"/>
      <c r="AC87" s="615"/>
      <c r="AD87" s="95"/>
      <c r="AE87" s="67"/>
      <c r="AF87" s="272"/>
      <c r="AH87" s="249"/>
    </row>
    <row r="88" spans="3:37" s="53" customFormat="1">
      <c r="C88" s="270"/>
      <c r="E88" s="95"/>
      <c r="F88" s="2591"/>
      <c r="G88" s="2591"/>
      <c r="H88" s="2591"/>
      <c r="I88" s="2591"/>
      <c r="J88" s="2591"/>
      <c r="K88" s="2591"/>
      <c r="L88" s="785"/>
      <c r="M88" s="785"/>
      <c r="N88" s="2592"/>
      <c r="O88" s="2592"/>
      <c r="P88" s="2592"/>
      <c r="Q88" s="2593"/>
      <c r="R88" s="2593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5"/>
      <c r="AD88" s="95"/>
      <c r="AE88" s="605"/>
      <c r="AF88" s="272"/>
      <c r="AH88" s="249"/>
    </row>
    <row r="89" spans="3:37" s="53" customFormat="1">
      <c r="E89" s="95"/>
      <c r="F89" s="271"/>
      <c r="G89" s="2595"/>
      <c r="H89" s="2595"/>
      <c r="I89" s="2595"/>
      <c r="J89" s="2595"/>
      <c r="K89" s="2595"/>
      <c r="L89" s="785"/>
      <c r="M89" s="785"/>
      <c r="N89" s="785"/>
      <c r="O89" s="785"/>
      <c r="P89" s="96"/>
      <c r="Q89" s="2593"/>
      <c r="R89" s="2593"/>
      <c r="AC89" s="615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95"/>
      <c r="H90" s="2595"/>
      <c r="I90" s="2595"/>
      <c r="J90" s="2595"/>
      <c r="K90" s="2595"/>
      <c r="L90" s="785"/>
      <c r="M90" s="785"/>
      <c r="N90" s="785"/>
      <c r="O90" s="785"/>
      <c r="P90" s="96"/>
      <c r="Q90" s="2593"/>
      <c r="R90" s="2593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5"/>
      <c r="AD90" s="95"/>
      <c r="AF90" s="272"/>
      <c r="AH90" s="249"/>
    </row>
    <row r="91" spans="3:37" s="53" customFormat="1">
      <c r="E91" s="95"/>
      <c r="F91" s="271"/>
      <c r="G91" s="2595"/>
      <c r="H91" s="2595"/>
      <c r="I91" s="2595"/>
      <c r="J91" s="2595"/>
      <c r="K91" s="2595"/>
      <c r="L91" s="785"/>
      <c r="M91" s="785"/>
      <c r="N91" s="785"/>
      <c r="O91" s="785"/>
      <c r="P91" s="96"/>
      <c r="Q91" s="2593"/>
      <c r="R91" s="2593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5"/>
      <c r="AD91" s="95"/>
      <c r="AF91" s="272"/>
      <c r="AH91" s="249"/>
    </row>
    <row r="92" spans="3:37" s="53" customFormat="1">
      <c r="E92" s="95"/>
      <c r="F92" s="271"/>
      <c r="G92" s="2595"/>
      <c r="H92" s="2595"/>
      <c r="I92" s="2595"/>
      <c r="J92" s="2595"/>
      <c r="K92" s="2595"/>
      <c r="L92" s="785"/>
      <c r="M92" s="785"/>
      <c r="N92" s="785"/>
      <c r="O92" s="785"/>
      <c r="P92" s="96"/>
      <c r="Q92" s="2593"/>
      <c r="R92" s="2593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5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7"/>
      <c r="L93" s="608"/>
      <c r="M93" s="608"/>
      <c r="N93" s="608"/>
      <c r="O93" s="608"/>
      <c r="P93" s="96"/>
      <c r="Q93" s="96"/>
      <c r="R93" s="96"/>
      <c r="AC93" s="615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4"/>
      <c r="L94" s="605"/>
      <c r="M94" s="605"/>
      <c r="N94" s="605"/>
      <c r="O94" s="605"/>
      <c r="P94" s="96"/>
      <c r="Q94" s="96"/>
      <c r="R94" s="96"/>
      <c r="AC94" s="615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4"/>
      <c r="L95" s="605"/>
      <c r="M95" s="605"/>
      <c r="N95" s="605"/>
      <c r="O95" s="605"/>
      <c r="P95" s="96"/>
      <c r="Q95" s="96"/>
      <c r="R95" s="96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15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4"/>
      <c r="L96" s="605"/>
      <c r="M96" s="605"/>
      <c r="N96" s="605"/>
      <c r="O96" s="605"/>
      <c r="P96" s="96"/>
      <c r="Q96" s="96"/>
      <c r="R96" s="96"/>
      <c r="S96" s="613"/>
      <c r="T96" s="613"/>
      <c r="U96" s="613"/>
      <c r="V96" s="613"/>
      <c r="W96" s="613"/>
      <c r="X96" s="613"/>
      <c r="Y96" s="613"/>
      <c r="Z96" s="613"/>
      <c r="AA96" s="613"/>
      <c r="AB96" s="613"/>
      <c r="AC96" s="615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4"/>
      <c r="L97" s="605"/>
      <c r="M97" s="605"/>
      <c r="N97" s="605"/>
      <c r="O97" s="605"/>
      <c r="P97" s="96"/>
      <c r="Q97" s="96"/>
      <c r="R97" s="96"/>
      <c r="AC97" s="615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4"/>
      <c r="L98" s="605"/>
      <c r="M98" s="605"/>
      <c r="N98" s="605"/>
      <c r="O98" s="605"/>
      <c r="P98" s="96"/>
      <c r="Q98" s="96"/>
      <c r="R98" s="96"/>
      <c r="AC98" s="615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4"/>
      <c r="L99" s="605"/>
      <c r="M99" s="605"/>
      <c r="N99" s="605"/>
      <c r="O99" s="605"/>
      <c r="P99" s="96"/>
      <c r="Q99" s="96"/>
      <c r="R99" s="96"/>
      <c r="AC99" s="615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4"/>
      <c r="L100" s="605"/>
      <c r="M100" s="605"/>
      <c r="N100" s="605"/>
      <c r="O100" s="605"/>
      <c r="P100" s="96"/>
      <c r="Q100" s="96"/>
      <c r="R100" s="96"/>
      <c r="AC100" s="615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AC102" s="615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AC109" s="615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V115" s="95" t="e">
        <f>SUM(V15:V114)</f>
        <v>#N/A</v>
      </c>
      <c r="AC115" s="615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3" hidden="1" customWidth="1"/>
    <col min="5" max="5" width="16.85546875" style="682" customWidth="1"/>
    <col min="6" max="6" width="10" style="147" customWidth="1"/>
    <col min="7" max="7" width="12.7109375" style="147" customWidth="1"/>
    <col min="8" max="8" width="6.140625" style="684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5" customWidth="1"/>
    <col min="17" max="17" width="15.28515625" style="685" customWidth="1"/>
    <col min="18" max="18" width="13.28515625" style="686" customWidth="1"/>
    <col min="19" max="19" width="15.7109375" style="686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707" t="s">
        <v>0</v>
      </c>
      <c r="C1" s="2707"/>
      <c r="D1" s="2707"/>
      <c r="E1" s="2707"/>
      <c r="F1" s="2707"/>
      <c r="G1" s="2707"/>
      <c r="H1" s="2707"/>
      <c r="I1" s="2707"/>
      <c r="J1" s="2707"/>
      <c r="K1" s="2707"/>
      <c r="L1" s="2707"/>
      <c r="M1" s="2707"/>
      <c r="N1" s="2707"/>
      <c r="O1" s="2707"/>
      <c r="P1" s="2707"/>
      <c r="Q1" s="2707"/>
      <c r="R1" s="2707"/>
      <c r="S1" s="2707"/>
      <c r="T1" s="2707"/>
      <c r="U1" s="2707"/>
      <c r="V1" s="2707"/>
      <c r="W1" s="2707"/>
      <c r="X1" s="2707"/>
    </row>
    <row r="2" spans="1:27" s="6" customFormat="1">
      <c r="B2" s="2707" t="s">
        <v>2030</v>
      </c>
      <c r="C2" s="2707"/>
      <c r="D2" s="2707"/>
      <c r="E2" s="2707"/>
      <c r="F2" s="2707"/>
      <c r="G2" s="2707"/>
      <c r="H2" s="2707"/>
      <c r="I2" s="2707"/>
      <c r="J2" s="2707"/>
      <c r="K2" s="2707"/>
      <c r="L2" s="2707"/>
      <c r="M2" s="2707"/>
      <c r="N2" s="2707"/>
      <c r="O2" s="2707"/>
      <c r="P2" s="2707"/>
      <c r="Q2" s="2707"/>
      <c r="R2" s="2707"/>
      <c r="S2" s="2707"/>
      <c r="T2" s="2707"/>
      <c r="U2" s="2707"/>
      <c r="V2" s="2707"/>
      <c r="W2" s="2707"/>
      <c r="X2" s="2707"/>
    </row>
    <row r="3" spans="1:27" s="6" customFormat="1">
      <c r="D3" s="2708" t="s">
        <v>619</v>
      </c>
      <c r="E3" s="2707"/>
      <c r="F3" s="2707"/>
      <c r="G3" s="2707"/>
      <c r="H3" s="2707"/>
      <c r="I3" s="2707"/>
      <c r="J3" s="2707"/>
      <c r="K3" s="2707"/>
      <c r="L3" s="2707"/>
      <c r="M3" s="2707"/>
      <c r="N3" s="2707"/>
      <c r="O3" s="2707"/>
      <c r="P3" s="2707"/>
      <c r="Q3" s="2707"/>
      <c r="R3" s="2707"/>
      <c r="S3" s="2707"/>
      <c r="T3" s="2707"/>
      <c r="U3" s="2707"/>
      <c r="V3" s="2707"/>
      <c r="W3" s="2707"/>
      <c r="X3" s="2707"/>
    </row>
    <row r="4" spans="1:27" s="28" customFormat="1">
      <c r="A4" s="2709" t="s">
        <v>3</v>
      </c>
      <c r="B4" s="2709"/>
      <c r="C4" s="2709"/>
      <c r="D4" s="2709"/>
      <c r="E4" s="2709"/>
      <c r="F4" s="2709"/>
      <c r="G4" s="2709"/>
      <c r="H4" s="2709"/>
      <c r="I4" s="2709"/>
      <c r="J4" s="2709"/>
      <c r="K4" s="2709"/>
      <c r="L4" s="2709"/>
      <c r="M4" s="2709"/>
      <c r="N4" s="2709"/>
      <c r="O4" s="2709"/>
      <c r="P4" s="173"/>
      <c r="Q4" s="174"/>
      <c r="R4" s="172"/>
      <c r="S4" s="176"/>
      <c r="T4" s="177"/>
    </row>
    <row r="5" spans="1:27" s="28" customFormat="1" ht="16.5">
      <c r="A5" s="2618" t="s">
        <v>2189</v>
      </c>
      <c r="B5" s="2618"/>
      <c r="C5" s="2618"/>
      <c r="D5" s="2618"/>
      <c r="E5" s="2618"/>
      <c r="F5" s="2618"/>
      <c r="G5" s="2618"/>
      <c r="H5" s="2618"/>
      <c r="I5" s="2618"/>
      <c r="J5" s="2618"/>
      <c r="K5" s="2618"/>
      <c r="L5" s="2618"/>
      <c r="M5" s="2618"/>
      <c r="N5" s="2618"/>
      <c r="O5" s="2618"/>
      <c r="P5" s="172"/>
      <c r="R5" s="172"/>
      <c r="S5" s="176"/>
      <c r="T5" s="177"/>
    </row>
    <row r="6" spans="1:27" s="144" customFormat="1" ht="34.5" customHeight="1">
      <c r="A6" s="2702" t="s">
        <v>2190</v>
      </c>
      <c r="B6" s="2702"/>
      <c r="C6" s="2702"/>
      <c r="D6" s="2702"/>
      <c r="E6" s="2702"/>
      <c r="F6" s="2702"/>
      <c r="G6" s="2702"/>
      <c r="H6" s="2702"/>
      <c r="I6" s="2702"/>
      <c r="J6" s="2702"/>
      <c r="K6" s="2702"/>
      <c r="L6" s="2702"/>
      <c r="M6" s="2702"/>
      <c r="N6" s="2702"/>
      <c r="O6" s="2702"/>
      <c r="P6" s="2702"/>
      <c r="Q6" s="2702"/>
      <c r="R6" s="2702"/>
      <c r="S6" s="2702"/>
      <c r="T6" s="2702"/>
      <c r="U6" s="2702"/>
      <c r="V6" s="2702"/>
      <c r="W6" s="2702"/>
      <c r="X6" s="2702"/>
    </row>
    <row r="7" spans="1:27" s="144" customFormat="1" ht="13.5" customHeight="1">
      <c r="A7" s="151"/>
      <c r="B7" s="151"/>
      <c r="C7" s="688"/>
      <c r="D7" s="688"/>
      <c r="F7" s="427" t="s">
        <v>2191</v>
      </c>
      <c r="G7" s="151"/>
      <c r="H7" s="427"/>
      <c r="I7" s="721">
        <v>21754</v>
      </c>
      <c r="J7" s="721"/>
      <c r="K7" s="2703"/>
      <c r="L7" s="2703"/>
      <c r="M7" s="2703"/>
      <c r="N7" s="722"/>
      <c r="O7" s="722"/>
      <c r="P7" s="723"/>
      <c r="Q7" s="723"/>
      <c r="R7" s="151"/>
      <c r="S7" s="151"/>
      <c r="T7" s="2704"/>
      <c r="U7" s="2704"/>
      <c r="V7" s="2705"/>
      <c r="W7" s="2705"/>
      <c r="X7" s="2705"/>
    </row>
    <row r="8" spans="1:27">
      <c r="A8" s="689"/>
      <c r="B8" s="689"/>
      <c r="C8" s="690"/>
      <c r="F8" s="427" t="s">
        <v>622</v>
      </c>
      <c r="G8" s="691"/>
      <c r="H8" s="427"/>
      <c r="I8" s="427">
        <v>646.20000000000005</v>
      </c>
      <c r="J8" s="427"/>
      <c r="K8" s="2706"/>
      <c r="L8" s="2706"/>
      <c r="M8" s="2706"/>
      <c r="N8" s="724"/>
      <c r="O8" s="725"/>
      <c r="P8" s="726"/>
      <c r="Q8" s="726"/>
      <c r="R8" s="743"/>
      <c r="S8" s="743"/>
      <c r="T8" s="744"/>
      <c r="U8" s="744"/>
      <c r="V8" s="744"/>
      <c r="W8" s="744"/>
      <c r="X8" s="745"/>
    </row>
    <row r="9" spans="1:27" s="151" customFormat="1" ht="15.75" customHeight="1">
      <c r="A9" s="2679" t="s">
        <v>623</v>
      </c>
      <c r="B9" s="2681" t="s">
        <v>624</v>
      </c>
      <c r="C9" s="2663" t="s">
        <v>356</v>
      </c>
      <c r="D9" s="2664"/>
      <c r="E9" s="2665"/>
      <c r="F9" s="2679" t="s">
        <v>2136</v>
      </c>
      <c r="G9" s="2684" t="s">
        <v>2140</v>
      </c>
      <c r="H9" s="2692" t="s">
        <v>2137</v>
      </c>
      <c r="I9" s="2693"/>
      <c r="J9" s="2693"/>
      <c r="K9" s="2693"/>
      <c r="L9" s="2693"/>
      <c r="M9" s="2693"/>
      <c r="N9" s="2693"/>
      <c r="O9" s="2693"/>
      <c r="P9" s="2693"/>
      <c r="Q9" s="2693"/>
      <c r="R9" s="2693"/>
      <c r="S9" s="2693"/>
      <c r="T9" s="2693"/>
      <c r="U9" s="2693"/>
      <c r="V9" s="2693"/>
      <c r="W9" s="746"/>
      <c r="X9" s="2660" t="s">
        <v>2192</v>
      </c>
    </row>
    <row r="10" spans="1:27" s="151" customFormat="1" ht="17.25" customHeight="1">
      <c r="A10" s="2679"/>
      <c r="B10" s="2682"/>
      <c r="C10" s="2666"/>
      <c r="D10" s="2667"/>
      <c r="E10" s="2668"/>
      <c r="F10" s="2679"/>
      <c r="G10" s="2685"/>
      <c r="H10" s="2694" t="s">
        <v>2193</v>
      </c>
      <c r="I10" s="2695"/>
      <c r="J10" s="2695"/>
      <c r="K10" s="2695"/>
      <c r="L10" s="2695"/>
      <c r="M10" s="2695"/>
      <c r="N10" s="2695"/>
      <c r="O10" s="2695"/>
      <c r="P10" s="2696" t="s">
        <v>2194</v>
      </c>
      <c r="Q10" s="2697"/>
      <c r="R10" s="2698"/>
      <c r="S10" s="2660" t="s">
        <v>2195</v>
      </c>
      <c r="T10" s="2660" t="s">
        <v>2196</v>
      </c>
      <c r="U10" s="2672" t="s">
        <v>2197</v>
      </c>
      <c r="V10" s="2673"/>
      <c r="W10" s="2660" t="s">
        <v>2198</v>
      </c>
      <c r="X10" s="2662"/>
      <c r="Y10" s="151">
        <v>30</v>
      </c>
    </row>
    <row r="11" spans="1:27" s="678" customFormat="1" ht="54" customHeight="1">
      <c r="A11" s="2680"/>
      <c r="B11" s="2683"/>
      <c r="C11" s="2669"/>
      <c r="D11" s="2670"/>
      <c r="E11" s="2671"/>
      <c r="F11" s="2680"/>
      <c r="G11" s="2686"/>
      <c r="H11" s="693" t="s">
        <v>529</v>
      </c>
      <c r="I11" s="727" t="s">
        <v>2199</v>
      </c>
      <c r="J11" s="727" t="s">
        <v>2200</v>
      </c>
      <c r="K11" s="692" t="s">
        <v>2201</v>
      </c>
      <c r="L11" s="692" t="s">
        <v>2202</v>
      </c>
      <c r="M11" s="692" t="s">
        <v>2203</v>
      </c>
      <c r="N11" s="692" t="s">
        <v>2204</v>
      </c>
      <c r="O11" s="692" t="s">
        <v>2205</v>
      </c>
      <c r="P11" s="728" t="s">
        <v>2206</v>
      </c>
      <c r="Q11" s="747" t="s">
        <v>2207</v>
      </c>
      <c r="R11" s="748" t="s">
        <v>2150</v>
      </c>
      <c r="S11" s="2661"/>
      <c r="T11" s="2661"/>
      <c r="U11" s="2674"/>
      <c r="V11" s="2675"/>
      <c r="W11" s="2661"/>
      <c r="X11" s="2661"/>
    </row>
    <row r="12" spans="1:27" s="162" customFormat="1" ht="48" hidden="1" customHeight="1">
      <c r="A12" s="694" t="s">
        <v>636</v>
      </c>
      <c r="B12" s="694"/>
      <c r="C12" s="695" t="s">
        <v>637</v>
      </c>
      <c r="D12" s="695"/>
      <c r="E12" s="696" t="s">
        <v>638</v>
      </c>
      <c r="F12" s="694" t="s">
        <v>639</v>
      </c>
      <c r="G12" s="694" t="s">
        <v>2164</v>
      </c>
      <c r="H12" s="694" t="s">
        <v>640</v>
      </c>
      <c r="I12" s="694" t="s">
        <v>2208</v>
      </c>
      <c r="J12" s="694"/>
      <c r="K12" s="694" t="s">
        <v>2159</v>
      </c>
      <c r="L12" s="694"/>
      <c r="M12" s="694" t="s">
        <v>2159</v>
      </c>
      <c r="N12" s="694"/>
      <c r="O12" s="694"/>
      <c r="P12" s="729" t="s">
        <v>2160</v>
      </c>
      <c r="Q12" s="694" t="s">
        <v>2208</v>
      </c>
      <c r="R12" s="694" t="s">
        <v>2159</v>
      </c>
      <c r="S12" s="694"/>
      <c r="T12" s="749" t="s">
        <v>2209</v>
      </c>
      <c r="U12" s="749" t="s">
        <v>2210</v>
      </c>
      <c r="V12" s="749" t="s">
        <v>2211</v>
      </c>
      <c r="W12" s="749"/>
      <c r="X12" s="694" t="s">
        <v>2212</v>
      </c>
      <c r="AA12" s="765" t="e">
        <f>+I20*#REF!</f>
        <v>#REF!</v>
      </c>
    </row>
    <row r="13" spans="1:27" s="679" customFormat="1" ht="27.75" customHeight="1">
      <c r="A13" s="697" t="s">
        <v>2213</v>
      </c>
      <c r="B13" s="697"/>
      <c r="C13" s="698"/>
      <c r="D13" s="698"/>
      <c r="E13" s="2699" t="s">
        <v>1878</v>
      </c>
      <c r="F13" s="2700"/>
      <c r="G13" s="697"/>
      <c r="H13" s="699" t="e">
        <f>SUM(H14:H17)</f>
        <v>#REF!</v>
      </c>
      <c r="I13" s="699">
        <f>SUM(I14:I17)</f>
        <v>1320</v>
      </c>
      <c r="J13" s="699"/>
      <c r="K13" s="699">
        <f>SUM(K14:K17)</f>
        <v>50</v>
      </c>
      <c r="L13" s="699"/>
      <c r="M13" s="699" t="e">
        <f>SUM(M14:M17)</f>
        <v>#REF!</v>
      </c>
      <c r="N13" s="699"/>
      <c r="O13" s="699" t="e">
        <f t="shared" ref="O13:X13" si="0">SUM(O14:O17)</f>
        <v>#REF!</v>
      </c>
      <c r="P13" s="699">
        <f t="shared" si="0"/>
        <v>0</v>
      </c>
      <c r="Q13" s="699">
        <f t="shared" si="0"/>
        <v>0</v>
      </c>
      <c r="R13" s="699">
        <f t="shared" si="0"/>
        <v>0</v>
      </c>
      <c r="S13" s="699">
        <f t="shared" si="0"/>
        <v>0</v>
      </c>
      <c r="T13" s="699" t="e">
        <f t="shared" si="0"/>
        <v>#REF!</v>
      </c>
      <c r="U13" s="699" t="e">
        <f t="shared" si="0"/>
        <v>#REF!</v>
      </c>
      <c r="V13" s="699">
        <f t="shared" si="0"/>
        <v>0</v>
      </c>
      <c r="W13" s="699">
        <f t="shared" si="0"/>
        <v>0</v>
      </c>
      <c r="X13" s="699" t="e">
        <f t="shared" si="0"/>
        <v>#REF!</v>
      </c>
    </row>
    <row r="14" spans="1:27" s="680" customFormat="1" ht="27.75" customHeight="1">
      <c r="A14" s="700">
        <v>1</v>
      </c>
      <c r="B14" s="701"/>
      <c r="C14" s="702"/>
      <c r="D14" s="702"/>
      <c r="E14" s="451" t="s">
        <v>1867</v>
      </c>
      <c r="F14" s="451" t="s">
        <v>1868</v>
      </c>
      <c r="G14" s="703"/>
      <c r="H14" s="704" t="e">
        <f>VLOOKUP(E14,'Chấm công BV2'!#REF!,34,0)</f>
        <v>#REF!</v>
      </c>
      <c r="I14" s="704">
        <v>350</v>
      </c>
      <c r="J14" s="704"/>
      <c r="K14" s="730"/>
      <c r="L14" s="730"/>
      <c r="M14" s="730" t="e">
        <f>I14*H14/$Y$10+K14</f>
        <v>#REF!</v>
      </c>
      <c r="N14" s="731" t="s">
        <v>2214</v>
      </c>
      <c r="O14" s="732" t="e">
        <f>ROUND((M14*$I$7),0)</f>
        <v>#REF!</v>
      </c>
      <c r="P14" s="733"/>
      <c r="Q14" s="733"/>
      <c r="R14" s="733"/>
      <c r="S14" s="733"/>
      <c r="T14" s="452" t="e">
        <f>O14+R14</f>
        <v>#REF!</v>
      </c>
      <c r="U14" s="750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1"/>
      <c r="W14" s="751"/>
      <c r="X14" s="751" t="e">
        <f>T14-U14</f>
        <v>#REF!</v>
      </c>
      <c r="Y14" s="766"/>
    </row>
    <row r="15" spans="1:27" s="680" customFormat="1" ht="27.75" customHeight="1">
      <c r="A15" s="700">
        <v>2</v>
      </c>
      <c r="B15" s="701"/>
      <c r="C15" s="702"/>
      <c r="D15" s="702"/>
      <c r="E15" s="451" t="s">
        <v>1871</v>
      </c>
      <c r="F15" s="451" t="s">
        <v>1868</v>
      </c>
      <c r="G15" s="705"/>
      <c r="H15" s="704" t="e">
        <f>VLOOKUP(E15,'Chấm công BV2'!#REF!,34,0)</f>
        <v>#REF!</v>
      </c>
      <c r="I15" s="704">
        <v>350</v>
      </c>
      <c r="J15" s="704"/>
      <c r="K15" s="730">
        <v>50</v>
      </c>
      <c r="L15" s="730"/>
      <c r="M15" s="730" t="e">
        <f t="shared" ref="M15:M16" si="1">I15*H15/$Y$10+K15</f>
        <v>#REF!</v>
      </c>
      <c r="N15" s="731" t="s">
        <v>2214</v>
      </c>
      <c r="O15" s="732" t="e">
        <f t="shared" ref="O15:O17" si="2">ROUND((M15*$I$7),0)</f>
        <v>#REF!</v>
      </c>
      <c r="P15" s="734"/>
      <c r="Q15" s="734"/>
      <c r="R15" s="734"/>
      <c r="S15" s="734"/>
      <c r="T15" s="452" t="e">
        <f t="shared" ref="T15:T19" si="3">O15+R15</f>
        <v>#REF!</v>
      </c>
      <c r="U15" s="750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1"/>
      <c r="W15" s="751"/>
      <c r="X15" s="751" t="e">
        <f t="shared" ref="X15:X19" si="5">T15-U15</f>
        <v>#REF!</v>
      </c>
      <c r="Y15" s="766"/>
    </row>
    <row r="16" spans="1:27" s="680" customFormat="1" ht="27.75" customHeight="1">
      <c r="A16" s="700">
        <v>3</v>
      </c>
      <c r="B16" s="701"/>
      <c r="C16" s="702"/>
      <c r="D16" s="702"/>
      <c r="E16" s="451" t="s">
        <v>1875</v>
      </c>
      <c r="F16" s="451" t="s">
        <v>1868</v>
      </c>
      <c r="G16" s="705"/>
      <c r="H16" s="704" t="e">
        <f>VLOOKUP(E16,'Chấm công BV2'!#REF!,34,0)</f>
        <v>#REF!</v>
      </c>
      <c r="I16" s="704">
        <v>310</v>
      </c>
      <c r="J16" s="704"/>
      <c r="K16" s="730"/>
      <c r="L16" s="730"/>
      <c r="M16" s="730" t="e">
        <f t="shared" si="1"/>
        <v>#REF!</v>
      </c>
      <c r="N16" s="731" t="s">
        <v>2214</v>
      </c>
      <c r="O16" s="732" t="e">
        <f t="shared" si="2"/>
        <v>#REF!</v>
      </c>
      <c r="P16" s="734"/>
      <c r="Q16" s="734"/>
      <c r="R16" s="734"/>
      <c r="S16" s="734"/>
      <c r="T16" s="452" t="e">
        <f t="shared" si="3"/>
        <v>#REF!</v>
      </c>
      <c r="U16" s="750" t="e">
        <f t="shared" si="4"/>
        <v>#REF!</v>
      </c>
      <c r="V16" s="751"/>
      <c r="W16" s="751"/>
      <c r="X16" s="751" t="e">
        <f t="shared" si="5"/>
        <v>#REF!</v>
      </c>
      <c r="Y16" s="766"/>
      <c r="AA16" s="767"/>
    </row>
    <row r="17" spans="1:25" s="680" customFormat="1" ht="27.75" customHeight="1">
      <c r="A17" s="700">
        <v>4</v>
      </c>
      <c r="B17" s="701"/>
      <c r="C17" s="702"/>
      <c r="D17" s="702"/>
      <c r="E17" s="451" t="s">
        <v>2215</v>
      </c>
      <c r="F17" s="451" t="s">
        <v>1868</v>
      </c>
      <c r="G17" s="705"/>
      <c r="H17" s="704" t="e">
        <f>VLOOKUP(E17,'Chấm công BV2'!#REF!,34,0)</f>
        <v>#REF!</v>
      </c>
      <c r="I17" s="704">
        <v>310</v>
      </c>
      <c r="J17" s="704"/>
      <c r="K17" s="730"/>
      <c r="L17" s="730"/>
      <c r="M17" s="730" t="e">
        <f>I17*H17/$Y$10+J17-L17</f>
        <v>#REF!</v>
      </c>
      <c r="N17" s="731" t="s">
        <v>2214</v>
      </c>
      <c r="O17" s="732" t="e">
        <f t="shared" si="2"/>
        <v>#REF!</v>
      </c>
      <c r="P17" s="734"/>
      <c r="Q17" s="734"/>
      <c r="R17" s="734"/>
      <c r="S17" s="734"/>
      <c r="T17" s="452" t="e">
        <f t="shared" si="3"/>
        <v>#REF!</v>
      </c>
      <c r="U17" s="750" t="e">
        <f t="shared" si="4"/>
        <v>#REF!</v>
      </c>
      <c r="V17" s="751"/>
      <c r="W17" s="751"/>
      <c r="X17" s="751" t="e">
        <f t="shared" si="5"/>
        <v>#REF!</v>
      </c>
      <c r="Y17" s="766"/>
    </row>
    <row r="18" spans="1:25" s="680" customFormat="1" ht="27.75" customHeight="1">
      <c r="A18" s="706" t="s">
        <v>2216</v>
      </c>
      <c r="B18" s="453"/>
      <c r="C18" s="707"/>
      <c r="D18" s="707"/>
      <c r="E18" s="708" t="s">
        <v>1903</v>
      </c>
      <c r="F18" s="708"/>
      <c r="G18" s="705"/>
      <c r="H18" s="709">
        <f>SUM(H19:H19)</f>
        <v>30</v>
      </c>
      <c r="I18" s="709">
        <f>SUM(I19:I19)</f>
        <v>2000000</v>
      </c>
      <c r="J18" s="709"/>
      <c r="K18" s="709"/>
      <c r="L18" s="709"/>
      <c r="M18" s="709">
        <f>SUM(M19:M19)</f>
        <v>2000000.0000000002</v>
      </c>
      <c r="N18" s="709"/>
      <c r="O18" s="709">
        <f t="shared" ref="O18:X18" si="6">SUM(O19:O19)</f>
        <v>2000000.0000000002</v>
      </c>
      <c r="P18" s="735">
        <f t="shared" si="6"/>
        <v>0</v>
      </c>
      <c r="Q18" s="709">
        <f t="shared" si="6"/>
        <v>0</v>
      </c>
      <c r="R18" s="709">
        <f t="shared" si="6"/>
        <v>0</v>
      </c>
      <c r="S18" s="709">
        <f t="shared" si="6"/>
        <v>0</v>
      </c>
      <c r="T18" s="709">
        <f t="shared" si="6"/>
        <v>2000000.0000000002</v>
      </c>
      <c r="U18" s="709">
        <f t="shared" si="6"/>
        <v>0</v>
      </c>
      <c r="V18" s="709">
        <f t="shared" si="6"/>
        <v>0</v>
      </c>
      <c r="W18" s="709">
        <f t="shared" si="6"/>
        <v>0</v>
      </c>
      <c r="X18" s="709">
        <f t="shared" si="6"/>
        <v>2000000.0000000002</v>
      </c>
      <c r="Y18" s="766"/>
    </row>
    <row r="19" spans="1:25" s="680" customFormat="1" ht="27.75" customHeight="1">
      <c r="A19" s="700">
        <v>1</v>
      </c>
      <c r="B19" s="701"/>
      <c r="C19" s="702"/>
      <c r="D19" s="702"/>
      <c r="E19" s="451" t="s">
        <v>2217</v>
      </c>
      <c r="F19" s="451" t="s">
        <v>1880</v>
      </c>
      <c r="G19" s="705"/>
      <c r="H19" s="704">
        <v>30</v>
      </c>
      <c r="I19" s="704">
        <v>2000000</v>
      </c>
      <c r="J19" s="704"/>
      <c r="K19" s="452"/>
      <c r="L19" s="452"/>
      <c r="M19" s="452">
        <f>I19/Y10*H19</f>
        <v>2000000.0000000002</v>
      </c>
      <c r="N19" s="731" t="s">
        <v>2218</v>
      </c>
      <c r="O19" s="452">
        <f>M19*100/100</f>
        <v>2000000.0000000002</v>
      </c>
      <c r="P19" s="734"/>
      <c r="Q19" s="734"/>
      <c r="R19" s="734"/>
      <c r="S19" s="734"/>
      <c r="T19" s="452">
        <f t="shared" si="3"/>
        <v>2000000.0000000002</v>
      </c>
      <c r="U19" s="750"/>
      <c r="V19" s="751"/>
      <c r="W19" s="751"/>
      <c r="X19" s="751">
        <f t="shared" si="5"/>
        <v>2000000.0000000002</v>
      </c>
      <c r="Y19" s="766"/>
    </row>
    <row r="20" spans="1:25" s="680" customFormat="1" ht="22.5" customHeight="1">
      <c r="A20" s="2701" t="s">
        <v>2219</v>
      </c>
      <c r="B20" s="2701"/>
      <c r="C20" s="2701"/>
      <c r="D20" s="2701"/>
      <c r="E20" s="2701"/>
      <c r="F20" s="2701"/>
      <c r="G20" s="703"/>
      <c r="H20" s="710" t="e">
        <f>SUM(H18,H13)</f>
        <v>#REF!</v>
      </c>
      <c r="I20" s="710"/>
      <c r="J20" s="710"/>
      <c r="K20" s="710">
        <f>SUM(K18,K13)</f>
        <v>50</v>
      </c>
      <c r="L20" s="710"/>
      <c r="M20" s="710"/>
      <c r="N20" s="710"/>
      <c r="O20" s="710" t="e">
        <f>SUM(O18,O13)</f>
        <v>#REF!</v>
      </c>
      <c r="P20" s="703">
        <f>SUM(P18,P13)</f>
        <v>0</v>
      </c>
      <c r="Q20" s="710"/>
      <c r="R20" s="710">
        <f>SUM(R18,R13)</f>
        <v>0</v>
      </c>
      <c r="S20" s="710">
        <f>SUM(S14:S19)</f>
        <v>0</v>
      </c>
      <c r="T20" s="710" t="e">
        <f>SUM(T18,T13)</f>
        <v>#REF!</v>
      </c>
      <c r="U20" s="710" t="e">
        <f>SUM(U18,U13)</f>
        <v>#REF!</v>
      </c>
      <c r="V20" s="710">
        <f>SUM(V18,V13)</f>
        <v>0</v>
      </c>
      <c r="W20" s="710">
        <f>SUM(W18,W13)</f>
        <v>0</v>
      </c>
      <c r="X20" s="710" t="e">
        <f>SUM(X18,X13)</f>
        <v>#REF!</v>
      </c>
      <c r="Y20" s="768" t="e">
        <f>+T20-U20</f>
        <v>#REF!</v>
      </c>
    </row>
    <row r="21" spans="1:25" s="163" customFormat="1" ht="18" customHeight="1">
      <c r="A21" s="2688" t="s">
        <v>2971</v>
      </c>
      <c r="B21" s="2688"/>
      <c r="C21" s="2688"/>
      <c r="D21" s="2688"/>
      <c r="E21" s="2688"/>
      <c r="F21" s="2688"/>
      <c r="G21" s="2688"/>
      <c r="H21" s="2688"/>
      <c r="I21" s="2688"/>
      <c r="J21" s="2688"/>
      <c r="K21" s="2688"/>
      <c r="L21" s="2688"/>
      <c r="M21" s="2688"/>
      <c r="N21" s="2688"/>
      <c r="O21" s="2688"/>
      <c r="P21" s="2688"/>
      <c r="Q21" s="2688"/>
      <c r="R21" s="2688"/>
      <c r="S21" s="2688"/>
      <c r="T21" s="2688"/>
      <c r="U21" s="2688"/>
      <c r="V21" s="2688"/>
      <c r="W21" s="2688"/>
      <c r="X21" s="2688"/>
      <c r="Y21" s="769" t="e">
        <f>+P20*#REF!</f>
        <v>#REF!</v>
      </c>
    </row>
    <row r="22" spans="1:25" ht="16.5" customHeight="1">
      <c r="C22" s="437"/>
      <c r="D22" s="437"/>
      <c r="H22" s="711"/>
      <c r="K22" s="713"/>
      <c r="L22" s="713"/>
      <c r="M22" s="713"/>
      <c r="N22" s="713"/>
      <c r="O22" s="713"/>
      <c r="T22" s="2689" t="s">
        <v>2166</v>
      </c>
      <c r="U22" s="2689"/>
      <c r="V22" s="2689"/>
      <c r="W22" s="2689"/>
      <c r="X22" s="2689"/>
      <c r="Y22" s="770"/>
    </row>
    <row r="23" spans="1:25" s="144" customFormat="1" ht="21" customHeight="1">
      <c r="C23" s="144" t="s">
        <v>1921</v>
      </c>
      <c r="E23" s="2690" t="s">
        <v>1921</v>
      </c>
      <c r="F23" s="2690"/>
      <c r="G23" s="2690"/>
      <c r="H23" s="2690"/>
      <c r="I23" s="2690"/>
      <c r="J23" s="151"/>
      <c r="M23" s="2691" t="s">
        <v>616</v>
      </c>
      <c r="N23" s="2691"/>
      <c r="O23" s="2691"/>
      <c r="Q23" s="144" t="s">
        <v>2085</v>
      </c>
      <c r="U23" s="2690" t="s">
        <v>612</v>
      </c>
      <c r="V23" s="2690"/>
      <c r="W23" s="2690"/>
      <c r="X23" s="2690"/>
      <c r="Y23" s="771"/>
    </row>
    <row r="24" spans="1:25">
      <c r="A24" s="147"/>
      <c r="B24" s="147"/>
      <c r="C24" s="437"/>
      <c r="D24" s="437"/>
      <c r="E24" s="712"/>
      <c r="H24" s="713"/>
      <c r="K24" s="736"/>
      <c r="L24" s="736"/>
      <c r="M24" s="737"/>
      <c r="N24" s="737"/>
      <c r="O24" s="737"/>
      <c r="S24" s="752"/>
      <c r="T24" s="752"/>
      <c r="U24" s="752"/>
      <c r="V24" s="752"/>
      <c r="W24" s="752"/>
      <c r="X24" s="712"/>
      <c r="Y24" s="772">
        <f>+P20/7.14</f>
        <v>0</v>
      </c>
    </row>
    <row r="25" spans="1:25">
      <c r="A25" s="147"/>
      <c r="B25" s="147"/>
      <c r="C25" s="437"/>
      <c r="D25" s="437"/>
      <c r="E25" s="712"/>
      <c r="H25" s="713"/>
      <c r="K25" s="736"/>
      <c r="L25" s="736"/>
      <c r="M25" s="736"/>
      <c r="N25" s="736"/>
      <c r="O25" s="736"/>
      <c r="Q25" s="752"/>
      <c r="R25" s="752"/>
      <c r="S25" s="752"/>
      <c r="T25" s="752"/>
      <c r="U25" s="752"/>
      <c r="V25" s="752"/>
      <c r="W25" s="752"/>
      <c r="X25" s="712"/>
      <c r="Y25" s="712"/>
    </row>
    <row r="26" spans="1:25">
      <c r="A26" s="147"/>
      <c r="B26" s="147"/>
      <c r="C26" s="437"/>
      <c r="D26" s="437"/>
      <c r="E26" s="712"/>
      <c r="H26" s="713"/>
      <c r="K26" s="736"/>
      <c r="L26" s="736"/>
      <c r="M26" s="736"/>
      <c r="N26" s="736"/>
      <c r="O26" s="736"/>
      <c r="Q26" s="171"/>
      <c r="R26" s="752"/>
      <c r="S26" s="752"/>
      <c r="T26" s="752"/>
      <c r="U26" s="752"/>
      <c r="V26" s="752"/>
      <c r="W26" s="752"/>
      <c r="X26" s="712"/>
      <c r="Y26" s="712"/>
    </row>
    <row r="27" spans="1:25">
      <c r="A27" s="147"/>
      <c r="B27" s="147"/>
      <c r="C27" s="437"/>
      <c r="D27" s="437"/>
      <c r="E27" s="712"/>
      <c r="H27" s="713"/>
      <c r="K27" s="736"/>
      <c r="L27" s="736"/>
      <c r="M27" s="736"/>
      <c r="N27" s="736"/>
      <c r="O27" s="736"/>
      <c r="P27" s="2687"/>
      <c r="Q27" s="2687"/>
      <c r="R27" s="752"/>
      <c r="S27" s="752"/>
      <c r="T27" s="752"/>
      <c r="U27" s="752"/>
      <c r="V27" s="752"/>
      <c r="W27" s="752"/>
      <c r="X27" s="712"/>
      <c r="Y27" s="712"/>
    </row>
    <row r="28" spans="1:25">
      <c r="A28" s="147"/>
      <c r="B28" s="147"/>
      <c r="C28" s="437"/>
      <c r="D28" s="437"/>
      <c r="E28" s="147"/>
      <c r="H28" s="714"/>
      <c r="I28" s="717"/>
      <c r="J28" s="717"/>
      <c r="M28" s="738"/>
      <c r="N28" s="738"/>
      <c r="O28" s="738"/>
      <c r="P28" s="738"/>
      <c r="Q28" s="753"/>
      <c r="R28" s="717"/>
      <c r="S28" s="717"/>
      <c r="T28" s="712"/>
      <c r="V28" s="712"/>
      <c r="W28" s="712"/>
      <c r="X28" s="712"/>
    </row>
    <row r="29" spans="1:25" s="246" customFormat="1" ht="29.25" customHeight="1">
      <c r="C29" s="421"/>
      <c r="D29" s="421"/>
      <c r="E29" s="2453"/>
      <c r="F29" s="2453"/>
      <c r="G29" s="2453"/>
      <c r="H29" s="2453"/>
      <c r="I29" s="601"/>
      <c r="J29" s="601"/>
      <c r="K29" s="601"/>
      <c r="L29" s="601"/>
      <c r="M29" s="601" t="s">
        <v>2169</v>
      </c>
      <c r="N29" s="601"/>
      <c r="O29" s="601"/>
      <c r="P29" s="601"/>
      <c r="Q29" s="601"/>
      <c r="R29" s="754"/>
      <c r="S29" s="754"/>
      <c r="T29" s="755"/>
      <c r="U29" s="2459" t="s">
        <v>613</v>
      </c>
      <c r="V29" s="2459"/>
      <c r="W29" s="2459"/>
      <c r="X29" s="2459"/>
      <c r="Y29" s="755"/>
    </row>
    <row r="30" spans="1:25">
      <c r="A30" s="147"/>
      <c r="B30" s="147"/>
      <c r="C30" s="437"/>
      <c r="D30" s="437"/>
      <c r="E30" s="147"/>
      <c r="H30" s="711"/>
      <c r="I30" s="717"/>
      <c r="J30" s="717"/>
      <c r="M30" s="717"/>
      <c r="N30" s="717"/>
      <c r="O30" s="717"/>
      <c r="P30" s="717"/>
      <c r="Q30" s="171"/>
      <c r="R30" s="756"/>
      <c r="S30" s="756"/>
      <c r="T30" s="712"/>
      <c r="U30" s="712"/>
      <c r="X30" s="757"/>
      <c r="Y30" s="712"/>
    </row>
    <row r="31" spans="1:25" s="681" customFormat="1">
      <c r="C31" s="715"/>
      <c r="D31" s="715"/>
      <c r="H31" s="716"/>
      <c r="K31" s="716"/>
      <c r="L31" s="716"/>
      <c r="M31" s="716"/>
      <c r="N31" s="716"/>
      <c r="O31" s="716"/>
      <c r="P31" s="739"/>
      <c r="Q31" s="758"/>
      <c r="T31" s="759"/>
      <c r="U31" s="757"/>
      <c r="X31" s="151"/>
    </row>
    <row r="32" spans="1:25">
      <c r="A32" s="147"/>
      <c r="B32" s="147"/>
      <c r="C32" s="437"/>
      <c r="D32" s="437"/>
      <c r="E32" s="147"/>
      <c r="G32" s="168"/>
      <c r="H32" s="717"/>
      <c r="K32" s="712"/>
      <c r="L32" s="712"/>
      <c r="M32" s="712"/>
      <c r="N32" s="712"/>
      <c r="O32" s="712"/>
      <c r="P32" s="739"/>
      <c r="Q32" s="760"/>
      <c r="R32" s="147"/>
      <c r="S32" s="147"/>
      <c r="V32" s="151"/>
      <c r="W32" s="151"/>
      <c r="X32" s="168"/>
    </row>
    <row r="33" spans="1:24">
      <c r="H33" s="2676"/>
      <c r="I33" s="2676"/>
      <c r="J33" s="374"/>
      <c r="K33" s="2678"/>
      <c r="L33" s="2678"/>
      <c r="M33" s="2678"/>
      <c r="N33" s="146"/>
      <c r="O33" s="146"/>
      <c r="P33" s="739"/>
      <c r="U33" s="168"/>
      <c r="V33" s="168"/>
      <c r="W33" s="168"/>
    </row>
    <row r="34" spans="1:24">
      <c r="A34" s="437"/>
      <c r="B34" s="437"/>
      <c r="E34" s="718"/>
      <c r="H34" s="2676"/>
      <c r="I34" s="2676"/>
      <c r="J34" s="374"/>
      <c r="K34" s="2677"/>
      <c r="L34" s="2677"/>
      <c r="M34" s="2677"/>
      <c r="N34" s="740"/>
      <c r="O34" s="740"/>
      <c r="T34" s="712"/>
      <c r="X34" s="712"/>
    </row>
    <row r="35" spans="1:24">
      <c r="A35" s="719"/>
      <c r="B35" s="719"/>
      <c r="G35" s="712"/>
      <c r="V35" s="761"/>
      <c r="W35" s="761"/>
      <c r="X35" s="762"/>
    </row>
    <row r="36" spans="1:24" s="682" customFormat="1">
      <c r="A36" s="719"/>
      <c r="B36" s="719"/>
      <c r="C36" s="683"/>
      <c r="D36" s="683"/>
      <c r="F36" s="147"/>
      <c r="G36" s="147"/>
      <c r="H36" s="684"/>
      <c r="I36" s="147"/>
      <c r="J36" s="147"/>
      <c r="K36" s="741"/>
      <c r="L36" s="741"/>
      <c r="M36" s="741"/>
      <c r="N36" s="741"/>
      <c r="O36" s="741"/>
      <c r="P36" s="685"/>
      <c r="Q36" s="685"/>
      <c r="R36" s="686"/>
      <c r="S36" s="686"/>
      <c r="T36" s="712"/>
      <c r="U36" s="763"/>
      <c r="V36" s="147"/>
      <c r="W36" s="147"/>
      <c r="X36" s="712"/>
    </row>
    <row r="37" spans="1:24">
      <c r="H37" s="720"/>
      <c r="I37" s="720"/>
      <c r="J37" s="720"/>
      <c r="K37" s="742"/>
      <c r="L37" s="742"/>
      <c r="M37" s="742"/>
      <c r="N37" s="742"/>
      <c r="O37" s="742"/>
      <c r="U37" s="764"/>
    </row>
    <row r="38" spans="1:24">
      <c r="K38" s="741"/>
      <c r="L38" s="741"/>
      <c r="M38" s="741"/>
      <c r="N38" s="741"/>
      <c r="O38" s="741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42"/>
  <sheetViews>
    <sheetView showZeros="0" topLeftCell="A4" zoomScale="85" zoomScaleNormal="85" workbookViewId="0">
      <selection activeCell="F15" sqref="F15:F90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1" customWidth="1"/>
    <col min="7" max="7" width="14.85546875" style="246" customWidth="1"/>
    <col min="8" max="8" width="10.42578125" style="538" customWidth="1"/>
    <col min="9" max="9" width="6.85546875" style="539" customWidth="1"/>
    <col min="10" max="12" width="9.42578125" style="539" customWidth="1"/>
    <col min="13" max="13" width="7" style="540" customWidth="1"/>
    <col min="14" max="14" width="12.85546875" style="541" customWidth="1"/>
    <col min="15" max="15" width="9.7109375" style="246" customWidth="1"/>
    <col min="16" max="16" width="8.85546875" style="246" customWidth="1"/>
    <col min="17" max="17" width="8.5703125" style="246" customWidth="1"/>
    <col min="18" max="18" width="9" style="246" hidden="1" customWidth="1"/>
    <col min="19" max="19" width="9" style="246" customWidth="1"/>
    <col min="20" max="21" width="9" style="246" hidden="1" customWidth="1"/>
    <col min="22" max="22" width="9" style="246" customWidth="1"/>
    <col min="23" max="23" width="6.28515625" style="246" hidden="1" customWidth="1"/>
    <col min="24" max="24" width="6.85546875" style="246" hidden="1" customWidth="1"/>
    <col min="25" max="25" width="6.28515625" style="246" hidden="1" customWidth="1"/>
    <col min="26" max="26" width="12.85546875" style="246" customWidth="1"/>
    <col min="27" max="27" width="13.42578125" style="246" customWidth="1"/>
    <col min="28" max="28" width="12.85546875" style="246" customWidth="1"/>
    <col min="29" max="29" width="13.28515625" style="246" hidden="1" customWidth="1"/>
    <col min="30" max="30" width="9.5703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0.25" customHeight="1">
      <c r="B1" s="2377" t="s">
        <v>0</v>
      </c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</row>
    <row r="2" spans="1:35" s="299" customFormat="1" ht="20.25" customHeight="1">
      <c r="B2" s="2377" t="s">
        <v>2030</v>
      </c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</row>
    <row r="3" spans="1:35" s="299" customFormat="1" ht="20.25" customHeight="1">
      <c r="C3" s="2615" t="s">
        <v>619</v>
      </c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</row>
    <row r="4" spans="1:35" s="299" customFormat="1" ht="18.75" customHeight="1">
      <c r="A4" s="2616" t="s">
        <v>3244</v>
      </c>
      <c r="B4" s="2616"/>
      <c r="C4" s="2616"/>
      <c r="D4" s="2616"/>
      <c r="E4" s="2616"/>
      <c r="F4" s="2616"/>
      <c r="G4" s="2616"/>
      <c r="H4" s="2616"/>
      <c r="I4" s="1448"/>
      <c r="J4" s="1448"/>
      <c r="K4" s="1448"/>
      <c r="L4" s="1448"/>
      <c r="M4" s="1407"/>
      <c r="N4" s="1407"/>
      <c r="O4" s="1407"/>
      <c r="P4" s="1407"/>
      <c r="Q4" s="1656"/>
      <c r="R4" s="1656"/>
      <c r="S4" s="1407"/>
      <c r="T4" s="1407"/>
      <c r="U4" s="1407"/>
      <c r="V4" s="1407"/>
      <c r="W4" s="1407"/>
      <c r="X4" s="1407"/>
      <c r="Y4" s="1407"/>
      <c r="Z4" s="1407"/>
    </row>
    <row r="5" spans="1:35" s="1250" customFormat="1" ht="18.75" customHeight="1">
      <c r="A5" s="2618" t="s">
        <v>3234</v>
      </c>
      <c r="B5" s="2618"/>
      <c r="C5" s="2618"/>
      <c r="D5" s="2618"/>
      <c r="E5" s="2618"/>
      <c r="F5" s="2618"/>
      <c r="G5" s="2618"/>
      <c r="H5" s="2618"/>
      <c r="I5" s="1449"/>
      <c r="J5" s="1450"/>
      <c r="K5" s="1450"/>
      <c r="L5" s="1450"/>
      <c r="M5" s="1451"/>
      <c r="O5" s="1452"/>
      <c r="P5" s="1452"/>
      <c r="Q5" s="1452"/>
      <c r="R5" s="1452"/>
      <c r="S5" s="1453"/>
      <c r="Z5" s="1454"/>
    </row>
    <row r="6" spans="1:35" ht="15.75">
      <c r="A6" s="70"/>
      <c r="B6" s="70"/>
      <c r="C6" s="70"/>
      <c r="D6" s="70"/>
      <c r="E6" s="70"/>
      <c r="F6" s="1237"/>
      <c r="G6" s="70"/>
      <c r="H6" s="555"/>
      <c r="I6" s="556"/>
      <c r="J6" s="556"/>
      <c r="K6" s="556"/>
      <c r="L6" s="556"/>
      <c r="M6" s="557"/>
      <c r="N6" s="558"/>
      <c r="O6" s="70"/>
      <c r="P6" s="70"/>
      <c r="Q6" s="1657"/>
      <c r="R6" s="1657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32" t="s">
        <v>1952</v>
      </c>
      <c r="AF6" s="486">
        <f>AF8/AF7</f>
        <v>0.43569026509181413</v>
      </c>
    </row>
    <row r="7" spans="1:35" s="71" customFormat="1" ht="27" customHeight="1">
      <c r="A7" s="2617" t="s">
        <v>3456</v>
      </c>
      <c r="B7" s="2617"/>
      <c r="C7" s="2617"/>
      <c r="D7" s="2617"/>
      <c r="E7" s="2617"/>
      <c r="F7" s="2617"/>
      <c r="G7" s="2617"/>
      <c r="H7" s="2617"/>
      <c r="I7" s="2617"/>
      <c r="J7" s="2617"/>
      <c r="K7" s="2617"/>
      <c r="L7" s="2617"/>
      <c r="M7" s="2617"/>
      <c r="N7" s="2617"/>
      <c r="O7" s="2617"/>
      <c r="P7" s="2617"/>
      <c r="Q7" s="2617"/>
      <c r="R7" s="2617"/>
      <c r="S7" s="2617"/>
      <c r="T7" s="2617"/>
      <c r="U7" s="2617"/>
      <c r="V7" s="2617"/>
      <c r="W7" s="2617"/>
      <c r="X7" s="2617"/>
      <c r="Y7" s="2617"/>
      <c r="Z7" s="2617"/>
      <c r="AA7" s="2617"/>
      <c r="AB7" s="2617"/>
      <c r="AC7" s="2617"/>
      <c r="AD7" s="274"/>
      <c r="AE7" s="575" t="s">
        <v>2037</v>
      </c>
      <c r="AF7" s="797">
        <f>'sản lượng'!AK98</f>
        <v>179526</v>
      </c>
      <c r="AG7" s="461"/>
    </row>
    <row r="8" spans="1:35" s="312" customFormat="1" ht="24.6" hidden="1" customHeight="1">
      <c r="A8" s="2716" t="s">
        <v>2135</v>
      </c>
      <c r="B8" s="2716"/>
      <c r="C8" s="2716"/>
      <c r="D8" s="2716"/>
      <c r="E8" s="1991">
        <f>'LƯƠNG KT'!F8</f>
        <v>600</v>
      </c>
      <c r="F8" s="1992">
        <f>'LƯƠNG KT'!G8</f>
        <v>667.96</v>
      </c>
      <c r="G8" s="314"/>
      <c r="H8" s="314"/>
      <c r="I8" s="1460"/>
      <c r="J8" s="1460"/>
      <c r="K8" s="1460"/>
      <c r="L8" s="1460"/>
      <c r="M8" s="314"/>
      <c r="N8" s="314"/>
      <c r="O8" s="314"/>
      <c r="P8" s="314"/>
      <c r="Q8" s="1659"/>
      <c r="R8" s="1659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  <c r="AD8" s="1303"/>
      <c r="AE8" s="1461" t="s">
        <v>2070</v>
      </c>
      <c r="AF8" s="1462">
        <f>'sản lượng'!AL98</f>
        <v>78217.730530873028</v>
      </c>
    </row>
    <row r="9" spans="1:35" s="71" customFormat="1" ht="18.75" customHeight="1">
      <c r="A9" s="251"/>
      <c r="B9" s="251"/>
      <c r="C9" s="67"/>
      <c r="D9" s="251"/>
      <c r="E9" s="2261"/>
      <c r="F9" s="1885"/>
      <c r="G9" s="2261"/>
      <c r="H9" s="1885"/>
      <c r="I9" s="2261"/>
      <c r="J9" s="1885"/>
      <c r="K9" s="2261"/>
      <c r="L9" s="1885"/>
      <c r="M9" s="2261"/>
      <c r="N9" s="1885"/>
      <c r="O9" s="2261"/>
      <c r="P9" s="1885"/>
      <c r="Q9" s="2261"/>
      <c r="R9" s="1885"/>
      <c r="S9" s="2261"/>
      <c r="T9" s="1885"/>
      <c r="U9" s="2261"/>
      <c r="V9" s="1885"/>
      <c r="W9" s="2261"/>
      <c r="X9" s="1885"/>
      <c r="Y9" s="2261"/>
      <c r="Z9" s="1885"/>
      <c r="AC9" s="70"/>
      <c r="AD9" s="274"/>
      <c r="AE9" s="578" t="s">
        <v>2072</v>
      </c>
      <c r="AF9" s="579">
        <v>0.2</v>
      </c>
    </row>
    <row r="10" spans="1:35" s="70" customFormat="1" ht="17.25" customHeight="1">
      <c r="A10" s="2603" t="s">
        <v>623</v>
      </c>
      <c r="B10" s="2603" t="s">
        <v>624</v>
      </c>
      <c r="C10" s="2600" t="s">
        <v>356</v>
      </c>
      <c r="D10" s="2603" t="s">
        <v>2136</v>
      </c>
      <c r="E10" s="2605" t="s">
        <v>531</v>
      </c>
      <c r="F10" s="2621" t="s">
        <v>2137</v>
      </c>
      <c r="G10" s="2622"/>
      <c r="H10" s="2622"/>
      <c r="I10" s="2622"/>
      <c r="J10" s="2622"/>
      <c r="K10" s="2623"/>
      <c r="L10" s="2623"/>
      <c r="M10" s="2622"/>
      <c r="N10" s="2622"/>
      <c r="O10" s="2622"/>
      <c r="P10" s="2622"/>
      <c r="Q10" s="2623"/>
      <c r="R10" s="2623"/>
      <c r="S10" s="2622"/>
      <c r="T10" s="2622"/>
      <c r="U10" s="2622"/>
      <c r="V10" s="2622"/>
      <c r="W10" s="2622"/>
      <c r="X10" s="2622"/>
      <c r="Y10" s="2622"/>
      <c r="Z10" s="2624"/>
      <c r="AA10" s="2605" t="s">
        <v>2138</v>
      </c>
      <c r="AB10" s="2605" t="s">
        <v>2139</v>
      </c>
      <c r="AC10" s="2596" t="s">
        <v>2140</v>
      </c>
      <c r="AD10" s="275"/>
      <c r="AH10" s="461"/>
      <c r="AI10" s="461"/>
    </row>
    <row r="11" spans="1:35" s="70" customFormat="1" ht="28.5" customHeight="1">
      <c r="A11" s="2603"/>
      <c r="B11" s="2603"/>
      <c r="C11" s="2601"/>
      <c r="D11" s="2603"/>
      <c r="E11" s="2605"/>
      <c r="F11" s="2603" t="s">
        <v>2141</v>
      </c>
      <c r="G11" s="2603"/>
      <c r="H11" s="2605" t="s">
        <v>2142</v>
      </c>
      <c r="I11" s="2605"/>
      <c r="J11" s="2605"/>
      <c r="K11" s="2625"/>
      <c r="L11" s="2625"/>
      <c r="M11" s="2605"/>
      <c r="N11" s="2605"/>
      <c r="O11" s="2626" t="s">
        <v>2143</v>
      </c>
      <c r="P11" s="2626"/>
      <c r="Q11" s="2627"/>
      <c r="R11" s="2627"/>
      <c r="S11" s="2626"/>
      <c r="T11" s="2626"/>
      <c r="U11" s="2626"/>
      <c r="V11" s="2626"/>
      <c r="W11" s="2626"/>
      <c r="X11" s="2626"/>
      <c r="Y11" s="2626"/>
      <c r="Z11" s="2626"/>
      <c r="AA11" s="2605"/>
      <c r="AB11" s="2605"/>
      <c r="AC11" s="2597"/>
      <c r="AD11" s="275"/>
      <c r="AF11" s="249"/>
    </row>
    <row r="12" spans="1:35" s="241" customFormat="1" ht="98.25" customHeight="1">
      <c r="A12" s="2604"/>
      <c r="B12" s="2603"/>
      <c r="C12" s="2602"/>
      <c r="D12" s="2604"/>
      <c r="E12" s="2605"/>
      <c r="F12" s="1402" t="s">
        <v>2061</v>
      </c>
      <c r="G12" s="1384" t="s">
        <v>2144</v>
      </c>
      <c r="H12" s="1389" t="s">
        <v>2145</v>
      </c>
      <c r="I12" s="1390" t="s">
        <v>2147</v>
      </c>
      <c r="J12" s="1390" t="s">
        <v>3474</v>
      </c>
      <c r="K12" s="1390" t="s">
        <v>3475</v>
      </c>
      <c r="L12" s="2264" t="s">
        <v>3421</v>
      </c>
      <c r="M12" s="2258" t="s">
        <v>2994</v>
      </c>
      <c r="N12" s="2258" t="s">
        <v>2150</v>
      </c>
      <c r="O12" s="1660" t="s">
        <v>3008</v>
      </c>
      <c r="P12" s="1660" t="s">
        <v>3232</v>
      </c>
      <c r="Q12" s="2027" t="s">
        <v>3333</v>
      </c>
      <c r="R12" s="2027" t="s">
        <v>3231</v>
      </c>
      <c r="S12" s="2027" t="s">
        <v>3334</v>
      </c>
      <c r="T12" s="2028" t="s">
        <v>3233</v>
      </c>
      <c r="U12" s="2028" t="s">
        <v>3022</v>
      </c>
      <c r="V12" s="2028" t="s">
        <v>3319</v>
      </c>
      <c r="W12" s="1391"/>
      <c r="X12" s="1386"/>
      <c r="Y12" s="1391"/>
      <c r="Z12" s="1385" t="s">
        <v>2156</v>
      </c>
      <c r="AA12" s="2605"/>
      <c r="AB12" s="2605"/>
      <c r="AC12" s="2598"/>
      <c r="AD12" s="276" t="s">
        <v>2157</v>
      </c>
      <c r="AF12" s="289"/>
    </row>
    <row r="13" spans="1:35" s="29" customFormat="1" ht="34.15" hidden="1" customHeight="1">
      <c r="A13" s="1394" t="s">
        <v>636</v>
      </c>
      <c r="B13" s="1394"/>
      <c r="C13" s="1388" t="s">
        <v>638</v>
      </c>
      <c r="D13" s="1394" t="s">
        <v>639</v>
      </c>
      <c r="E13" s="1388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2265"/>
      <c r="L13" s="2265"/>
      <c r="M13" s="1404" t="s">
        <v>2161</v>
      </c>
      <c r="N13" s="1394" t="s">
        <v>2159</v>
      </c>
      <c r="O13" s="1394" t="s">
        <v>2162</v>
      </c>
      <c r="P13" s="1394" t="s">
        <v>2163</v>
      </c>
      <c r="Q13" s="1836"/>
      <c r="R13" s="1836"/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2163</v>
      </c>
      <c r="Y13" s="1394" t="s">
        <v>2163</v>
      </c>
      <c r="Z13" s="1394" t="s">
        <v>2159</v>
      </c>
      <c r="AA13" s="1399" t="s">
        <v>643</v>
      </c>
      <c r="AB13" s="1388" t="s">
        <v>644</v>
      </c>
      <c r="AC13" s="278" t="s">
        <v>2164</v>
      </c>
      <c r="AD13" s="279" t="s">
        <v>2165</v>
      </c>
      <c r="AF13" s="289"/>
    </row>
    <row r="14" spans="1:35" s="29" customFormat="1" ht="9" hidden="1" customHeight="1">
      <c r="A14" s="1394"/>
      <c r="B14" s="1394"/>
      <c r="C14" s="1388"/>
      <c r="D14" s="1394"/>
      <c r="E14" s="1388"/>
      <c r="F14" s="1403"/>
      <c r="G14" s="1394"/>
      <c r="H14" s="1396"/>
      <c r="I14" s="1397"/>
      <c r="J14" s="1397"/>
      <c r="K14" s="2265"/>
      <c r="L14" s="2265"/>
      <c r="M14" s="1404"/>
      <c r="N14" s="1394"/>
      <c r="O14" s="1394"/>
      <c r="P14" s="1394"/>
      <c r="Q14" s="1836"/>
      <c r="R14" s="1836"/>
      <c r="S14" s="1394"/>
      <c r="T14" s="1394"/>
      <c r="U14" s="1394"/>
      <c r="V14" s="1394"/>
      <c r="W14" s="1394"/>
      <c r="X14" s="1394"/>
      <c r="Y14" s="1394"/>
      <c r="Z14" s="1394"/>
      <c r="AA14" s="1399"/>
      <c r="AB14" s="1388"/>
      <c r="AC14" s="796"/>
      <c r="AD14" s="279"/>
      <c r="AF14" s="289"/>
    </row>
    <row r="15" spans="1:35" s="1250" customFormat="1" ht="24" customHeight="1">
      <c r="A15" s="1245">
        <v>1</v>
      </c>
      <c r="B15" s="320"/>
      <c r="C15" s="1247" t="str">
        <f>TONGHOPCONGDOI!C105</f>
        <v>Thảo Văn</v>
      </c>
      <c r="D15" s="1243" t="s">
        <v>15</v>
      </c>
      <c r="E15" s="1416"/>
      <c r="F15" s="1252"/>
      <c r="G15" s="1417">
        <f>F15*25000</f>
        <v>0</v>
      </c>
      <c r="H15" s="1417">
        <f>VLOOKUP($C$15:$C$89,'sản lượng'!$D$99:$AL$169,34,0)</f>
        <v>2802</v>
      </c>
      <c r="I15" s="1417"/>
      <c r="J15" s="1417">
        <f t="shared" ref="J15:J46" si="0">H15*$AF$6</f>
        <v>1220.8041227872632</v>
      </c>
      <c r="K15" s="1837">
        <f>VLOOKUP($C$15:$C$89,'sản lượng'!$D$99:$AP$169,37,0)</f>
        <v>113.6922805845344</v>
      </c>
      <c r="L15" s="1837">
        <f>J15+K15</f>
        <v>1334.4964033717977</v>
      </c>
      <c r="M15" s="1419" t="str">
        <f>VLOOKUP(C15,'sản lượng'!$D$99:$AP$169,39,0)</f>
        <v>A</v>
      </c>
      <c r="N15" s="2266">
        <f>ROUND((IF(M15="A",(L15*6.1),IF(M15="B",(L15*5.8),IF(M15="C",(L15*5.5),IF(M15="D",(L15*5.2),0))))*$E$8),0)</f>
        <v>4884257</v>
      </c>
      <c r="O15" s="1417">
        <f>VLOOKUP(C15,TONGHOPCONGDOI!$C$105:$AA$179,20,0)</f>
        <v>23</v>
      </c>
      <c r="P15" s="1417">
        <f>VLOOKUP(C15,TONGHOPCONGDOI!$C$105:$AA$179,21,0)</f>
        <v>4</v>
      </c>
      <c r="Q15" s="1417">
        <f>VLOOKUP(C15,TONGHOPCONGDOI!$C$105:$AA$179,22,0)</f>
        <v>4</v>
      </c>
      <c r="R15" s="1417">
        <f>VLOOKUP(C15,TONGHOPCONGDOI!$C$105:$AA$179,23,0)</f>
        <v>0</v>
      </c>
      <c r="S15" s="1417">
        <f>Q15+R15</f>
        <v>4</v>
      </c>
      <c r="T15" s="1417">
        <f>VLOOKUP(C15,TONGHOPCONGDOI!$C$105:$AA$179,25,0)</f>
        <v>0</v>
      </c>
      <c r="U15" s="1417"/>
      <c r="V15" s="1417">
        <f>VLOOKUP(C15,TONGHOPCONGDOI!$C$105:$AB$175,26,0)</f>
        <v>0</v>
      </c>
      <c r="W15" s="1417"/>
      <c r="X15" s="1417"/>
      <c r="Y15" s="1417"/>
      <c r="Z15" s="1881">
        <f>ROUND(((O15*46.1)+(P15*76.9)+(R15*153.8)+(Q15*92.2)+(T15*153.8))*$F$8+(U15*25000)+(S15*100000)+(V15*20000)+(W15*30000),0)</f>
        <v>1560046</v>
      </c>
      <c r="AA15" s="1420">
        <f t="shared" ref="AA15:AA46" si="1">+N15+G15+Z15</f>
        <v>6444303</v>
      </c>
      <c r="AB15" s="1420">
        <f>AA15</f>
        <v>6444303</v>
      </c>
      <c r="AC15" s="1457"/>
      <c r="AD15" s="1458"/>
      <c r="AF15" s="1421"/>
      <c r="AG15" s="1258"/>
    </row>
    <row r="16" spans="1:35" s="1250" customFormat="1" ht="24" customHeight="1">
      <c r="A16" s="1245">
        <v>2</v>
      </c>
      <c r="B16" s="320" t="str">
        <f>TONGHOPCONGDOI!B105</f>
        <v>04120</v>
      </c>
      <c r="C16" s="1247" t="str">
        <f>TONGHOPCONGDOI!C106</f>
        <v>T . Thau</v>
      </c>
      <c r="D16" s="1243" t="s">
        <v>15</v>
      </c>
      <c r="E16" s="1416"/>
      <c r="F16" s="1252"/>
      <c r="G16" s="1417">
        <f t="shared" ref="G16:G77" si="2">F16*25000</f>
        <v>0</v>
      </c>
      <c r="H16" s="1417">
        <f>VLOOKUP($C$15:$C$89,'sản lượng'!$D$99:$AL$169,34,0)</f>
        <v>4224</v>
      </c>
      <c r="I16" s="1417"/>
      <c r="J16" s="1417">
        <f t="shared" si="0"/>
        <v>1840.3556797478229</v>
      </c>
      <c r="K16" s="1837">
        <f>VLOOKUP($C$15:$C$89,'sản lượng'!$D$99:$AP$169,37,0)</f>
        <v>171.39050435013323</v>
      </c>
      <c r="L16" s="1837">
        <f t="shared" ref="L16:L79" si="3">J16+K16</f>
        <v>2011.7461840979561</v>
      </c>
      <c r="M16" s="1419" t="str">
        <f>VLOOKUP(C16,'sản lượng'!$D$99:$AP$169,39,0)</f>
        <v>B</v>
      </c>
      <c r="N16" s="2266">
        <f t="shared" ref="N16:N67" si="4">ROUND((IF(M16="A",(L16*6.1),IF(M16="B",(L16*5.8),IF(M16="C",(L16*5.5),IF(M16="D",(L16*5.2),0))))*$E$8),0)</f>
        <v>7000877</v>
      </c>
      <c r="O16" s="1417">
        <f>VLOOKUP(C16,TONGHOPCONGDOI!$C$105:$AA$179,20,0)</f>
        <v>22</v>
      </c>
      <c r="P16" s="1417">
        <f>VLOOKUP(C16,TONGHOPCONGDOI!$C$105:$AA$179,21,0)</f>
        <v>4</v>
      </c>
      <c r="Q16" s="1417">
        <f>VLOOKUP(C16,TONGHOPCONGDOI!$C$105:$AA$179,22,0)</f>
        <v>4</v>
      </c>
      <c r="R16" s="1417">
        <f>VLOOKUP(C16,TONGHOPCONGDOI!$C$105:$AA$179,23,0)</f>
        <v>0</v>
      </c>
      <c r="S16" s="1417">
        <f t="shared" ref="S16:S79" si="5">Q16+R16</f>
        <v>4</v>
      </c>
      <c r="T16" s="1417">
        <f>VLOOKUP(C16,TONGHOPCONGDOI!$C$105:$AA$179,25,0)</f>
        <v>0</v>
      </c>
      <c r="U16" s="1417"/>
      <c r="V16" s="1417">
        <f>VLOOKUP(C16,TONGHOPCONGDOI!$C$105:$AB$175,26,0)</f>
        <v>17</v>
      </c>
      <c r="W16" s="1417"/>
      <c r="X16" s="1417"/>
      <c r="Y16" s="1417"/>
      <c r="Z16" s="1881">
        <f t="shared" ref="Z16:Z79" si="6">ROUND(((O16*46.1)+(P16*76.9)+(R16*153.8)+(Q16*92.2)+(T16*153.8))*$F$8+(U16*25000)+(S16*100000)+(V16*20000)+(W16*30000),0)</f>
        <v>1869253</v>
      </c>
      <c r="AA16" s="1420">
        <f t="shared" si="1"/>
        <v>8870130</v>
      </c>
      <c r="AB16" s="1420">
        <f t="shared" ref="AB16:AB89" si="7">AA16</f>
        <v>8870130</v>
      </c>
      <c r="AC16" s="1459"/>
      <c r="AD16" s="1458"/>
      <c r="AF16" s="1421"/>
      <c r="AG16" s="1258"/>
    </row>
    <row r="17" spans="1:34" s="1250" customFormat="1" ht="24" customHeight="1">
      <c r="A17" s="1245">
        <v>3</v>
      </c>
      <c r="B17" s="320" t="str">
        <f>TONGHOPCONGDOI!B106</f>
        <v>03646</v>
      </c>
      <c r="C17" s="1247" t="str">
        <f>TONGHOPCONGDOI!C107</f>
        <v>Nàng Lao</v>
      </c>
      <c r="D17" s="1243" t="s">
        <v>15</v>
      </c>
      <c r="E17" s="1416"/>
      <c r="F17" s="1252"/>
      <c r="G17" s="1417">
        <f t="shared" si="2"/>
        <v>0</v>
      </c>
      <c r="H17" s="1417">
        <f>VLOOKUP($C$15:$C$89,'sản lượng'!$D$99:$AL$169,34,0)</f>
        <v>2715</v>
      </c>
      <c r="I17" s="1417"/>
      <c r="J17" s="1417">
        <f t="shared" si="0"/>
        <v>1182.8990697242755</v>
      </c>
      <c r="K17" s="1837">
        <f>VLOOKUP($C$15:$C$89,'sản lượng'!$D$99:$AP$169,37,0)</f>
        <v>110.16222048073195</v>
      </c>
      <c r="L17" s="1837">
        <f t="shared" si="3"/>
        <v>1293.0612902050075</v>
      </c>
      <c r="M17" s="1419" t="str">
        <f>VLOOKUP(C17,'sản lượng'!$D$99:$AP$169,39,0)</f>
        <v>B</v>
      </c>
      <c r="N17" s="2266">
        <f t="shared" si="4"/>
        <v>4499853</v>
      </c>
      <c r="O17" s="1417">
        <f>VLOOKUP(C17,TONGHOPCONGDOI!$C$105:$AA$179,20,0)</f>
        <v>22</v>
      </c>
      <c r="P17" s="1417">
        <f>VLOOKUP(C17,TONGHOPCONGDOI!$C$105:$AA$179,21,0)</f>
        <v>4</v>
      </c>
      <c r="Q17" s="1417">
        <f>VLOOKUP(C17,TONGHOPCONGDOI!$C$105:$AA$179,22,0)</f>
        <v>5</v>
      </c>
      <c r="R17" s="1417">
        <f>VLOOKUP(C17,TONGHOPCONGDOI!$C$105:$AA$179,23,0)</f>
        <v>0</v>
      </c>
      <c r="S17" s="1417">
        <f t="shared" si="5"/>
        <v>5</v>
      </c>
      <c r="T17" s="1417">
        <f>VLOOKUP(C17,TONGHOPCONGDOI!$C$105:$AA$179,25,0)</f>
        <v>0</v>
      </c>
      <c r="U17" s="1417"/>
      <c r="V17" s="1417">
        <f>VLOOKUP(C17,TONGHOPCONGDOI!$C$105:$AB$175,26,0)</f>
        <v>36</v>
      </c>
      <c r="W17" s="1417"/>
      <c r="X17" s="1417"/>
      <c r="Y17" s="1417"/>
      <c r="Z17" s="1881">
        <f t="shared" si="6"/>
        <v>2410839</v>
      </c>
      <c r="AA17" s="1420">
        <f t="shared" si="1"/>
        <v>6910692</v>
      </c>
      <c r="AB17" s="1420">
        <f t="shared" si="7"/>
        <v>6910692</v>
      </c>
      <c r="AC17" s="1459"/>
      <c r="AD17" s="1458"/>
      <c r="AF17" s="1421"/>
      <c r="AG17" s="1258"/>
      <c r="AH17" s="1258"/>
    </row>
    <row r="18" spans="1:34" s="1250" customFormat="1" ht="24" customHeight="1">
      <c r="A18" s="1245">
        <v>4</v>
      </c>
      <c r="B18" s="320">
        <f>TONGHOPCONGDOI!B107</f>
        <v>0</v>
      </c>
      <c r="C18" s="1247" t="str">
        <f>TONGHOPCONGDOI!C108</f>
        <v>Nàng Eng</v>
      </c>
      <c r="D18" s="1243" t="s">
        <v>15</v>
      </c>
      <c r="E18" s="1416"/>
      <c r="F18" s="1252"/>
      <c r="G18" s="1417">
        <f t="shared" si="2"/>
        <v>0</v>
      </c>
      <c r="H18" s="1417">
        <f>VLOOKUP($C$15:$C$89,'sản lượng'!$D$99:$AL$169,34,0)</f>
        <v>2732</v>
      </c>
      <c r="I18" s="1417"/>
      <c r="J18" s="1417">
        <f t="shared" si="0"/>
        <v>1190.3058042308362</v>
      </c>
      <c r="K18" s="1837">
        <f>VLOOKUP($C$15:$C$89,'sản lượng'!$D$99:$AP$169,37,0)</f>
        <v>110.85200234009564</v>
      </c>
      <c r="L18" s="1837">
        <f t="shared" si="3"/>
        <v>1301.1578065709318</v>
      </c>
      <c r="M18" s="1419" t="str">
        <f>VLOOKUP(C18,'sản lượng'!$D$99:$AP$169,39,0)</f>
        <v>B</v>
      </c>
      <c r="N18" s="2266">
        <f t="shared" si="4"/>
        <v>4528029</v>
      </c>
      <c r="O18" s="1417">
        <f>VLOOKUP(C18,TONGHOPCONGDOI!$C$105:$AA$179,20,0)</f>
        <v>21</v>
      </c>
      <c r="P18" s="1417">
        <f>VLOOKUP(C18,TONGHOPCONGDOI!$C$105:$AA$179,21,0)</f>
        <v>4</v>
      </c>
      <c r="Q18" s="1417">
        <f>VLOOKUP(C18,TONGHOPCONGDOI!$C$105:$AA$179,22,0)</f>
        <v>4</v>
      </c>
      <c r="R18" s="1417">
        <f>VLOOKUP(C18,TONGHOPCONGDOI!$C$105:$AA$179,23,0)</f>
        <v>0</v>
      </c>
      <c r="S18" s="1417">
        <f t="shared" si="5"/>
        <v>4</v>
      </c>
      <c r="T18" s="1417">
        <f>VLOOKUP(C18,TONGHOPCONGDOI!$C$105:$AA$179,25,0)</f>
        <v>0</v>
      </c>
      <c r="U18" s="1417"/>
      <c r="V18" s="1417">
        <f>VLOOKUP(C18,TONGHOPCONGDOI!$C$105:$AB$175,26,0)</f>
        <v>33</v>
      </c>
      <c r="W18" s="1417"/>
      <c r="X18" s="1417"/>
      <c r="Y18" s="1417"/>
      <c r="Z18" s="1881">
        <f t="shared" si="6"/>
        <v>2158460</v>
      </c>
      <c r="AA18" s="1420">
        <f t="shared" si="1"/>
        <v>6686489</v>
      </c>
      <c r="AB18" s="1420">
        <f t="shared" si="7"/>
        <v>6686489</v>
      </c>
      <c r="AC18" s="1459"/>
      <c r="AD18" s="1458"/>
      <c r="AF18" s="1421"/>
      <c r="AG18" s="1258"/>
      <c r="AH18" s="1258"/>
    </row>
    <row r="19" spans="1:34" s="1250" customFormat="1" ht="24" customHeight="1">
      <c r="A19" s="1245">
        <v>5</v>
      </c>
      <c r="B19" s="320" t="str">
        <f>TONGHOPCONGDOI!B108</f>
        <v>04122</v>
      </c>
      <c r="C19" s="1247" t="str">
        <f>TONGHOPCONGDOI!C109</f>
        <v>T. Ve</v>
      </c>
      <c r="D19" s="1243" t="s">
        <v>15</v>
      </c>
      <c r="E19" s="1416"/>
      <c r="F19" s="1252"/>
      <c r="G19" s="1417">
        <f t="shared" si="2"/>
        <v>0</v>
      </c>
      <c r="H19" s="1417">
        <f>VLOOKUP($C$15:$C$89,'sản lượng'!$D$99:$AL$169,34,0)</f>
        <v>4240</v>
      </c>
      <c r="I19" s="1417"/>
      <c r="J19" s="1417">
        <f t="shared" si="0"/>
        <v>1847.3267239892918</v>
      </c>
      <c r="K19" s="1837">
        <f>VLOOKUP($C$15:$C$89,'sản lượng'!$D$99:$AP$169,37,0)</f>
        <v>172.03971080600493</v>
      </c>
      <c r="L19" s="1837">
        <f t="shared" si="3"/>
        <v>2019.3664347952968</v>
      </c>
      <c r="M19" s="1419" t="str">
        <f>VLOOKUP(C19,'sản lượng'!$D$99:$AP$169,39,0)</f>
        <v>B</v>
      </c>
      <c r="N19" s="2266">
        <f t="shared" si="4"/>
        <v>7027395</v>
      </c>
      <c r="O19" s="1417">
        <f>VLOOKUP(C19,TONGHOPCONGDOI!$C$105:$AA$179,20,0)</f>
        <v>22</v>
      </c>
      <c r="P19" s="1417">
        <f>VLOOKUP(C19,TONGHOPCONGDOI!$C$105:$AA$179,21,0)</f>
        <v>4</v>
      </c>
      <c r="Q19" s="1417">
        <f>VLOOKUP(C19,TONGHOPCONGDOI!$C$105:$AA$179,22,0)</f>
        <v>4</v>
      </c>
      <c r="R19" s="1417">
        <f>VLOOKUP(C19,TONGHOPCONGDOI!$C$105:$AA$179,23,0)</f>
        <v>0</v>
      </c>
      <c r="S19" s="1417">
        <f t="shared" si="5"/>
        <v>4</v>
      </c>
      <c r="T19" s="1417">
        <f>VLOOKUP(C19,TONGHOPCONGDOI!$C$105:$AA$179,25,0)</f>
        <v>0</v>
      </c>
      <c r="U19" s="1417"/>
      <c r="V19" s="1417">
        <f>VLOOKUP(C19,TONGHOPCONGDOI!$C$105:$AB$175,26,0)</f>
        <v>17</v>
      </c>
      <c r="W19" s="1417"/>
      <c r="X19" s="1417"/>
      <c r="Y19" s="1417"/>
      <c r="Z19" s="1881">
        <f t="shared" si="6"/>
        <v>1869253</v>
      </c>
      <c r="AA19" s="1420">
        <f t="shared" si="1"/>
        <v>8896648</v>
      </c>
      <c r="AB19" s="1420">
        <f t="shared" si="7"/>
        <v>8896648</v>
      </c>
      <c r="AC19" s="1459"/>
      <c r="AD19" s="1458"/>
      <c r="AF19" s="1421"/>
      <c r="AG19" s="1258"/>
    </row>
    <row r="20" spans="1:34" s="1250" customFormat="1" ht="24" customHeight="1">
      <c r="A20" s="1245">
        <v>6</v>
      </c>
      <c r="B20" s="320" t="str">
        <f>TONGHOPCONGDOI!B109</f>
        <v>03649</v>
      </c>
      <c r="C20" s="1247" t="str">
        <f>TONGHOPCONGDOI!C110</f>
        <v>Thảo Khổ</v>
      </c>
      <c r="D20" s="1243" t="s">
        <v>15</v>
      </c>
      <c r="E20" s="1416"/>
      <c r="F20" s="1252"/>
      <c r="G20" s="1417">
        <f t="shared" si="2"/>
        <v>0</v>
      </c>
      <c r="H20" s="1417">
        <f>VLOOKUP($C$15:$C$89,'sản lượng'!$D$99:$AL$169,34,0)</f>
        <v>2969</v>
      </c>
      <c r="I20" s="1417"/>
      <c r="J20" s="1417">
        <f t="shared" si="0"/>
        <v>1293.5643970575961</v>
      </c>
      <c r="K20" s="1837">
        <f>VLOOKUP($C$15:$C$89,'sản lượng'!$D$99:$AP$169,37,0)</f>
        <v>120.46837296769544</v>
      </c>
      <c r="L20" s="1837">
        <f t="shared" si="3"/>
        <v>1414.0327700252915</v>
      </c>
      <c r="M20" s="1419" t="str">
        <f>VLOOKUP(C20,'sản lượng'!$D$99:$AP$169,39,0)</f>
        <v>A</v>
      </c>
      <c r="N20" s="2266">
        <f t="shared" si="4"/>
        <v>5175360</v>
      </c>
      <c r="O20" s="1417">
        <f>VLOOKUP(C20,TONGHOPCONGDOI!$C$105:$AA$179,20,0)</f>
        <v>25</v>
      </c>
      <c r="P20" s="1417">
        <f>VLOOKUP(C20,TONGHOPCONGDOI!$C$105:$AA$179,21,0)</f>
        <v>4</v>
      </c>
      <c r="Q20" s="1417">
        <f>VLOOKUP(C20,TONGHOPCONGDOI!$C$105:$AA$179,22,0)</f>
        <v>2</v>
      </c>
      <c r="R20" s="1417">
        <f>VLOOKUP(C20,TONGHOPCONGDOI!$C$105:$AA$179,23,0)</f>
        <v>0</v>
      </c>
      <c r="S20" s="1417">
        <f t="shared" si="5"/>
        <v>2</v>
      </c>
      <c r="T20" s="1417">
        <f>VLOOKUP(C20,TONGHOPCONGDOI!$C$105:$AA$179,25,0)</f>
        <v>0</v>
      </c>
      <c r="U20" s="1417"/>
      <c r="V20" s="1417">
        <f>VLOOKUP(C20,TONGHOPCONGDOI!$C$105:$AB$175,26,0)</f>
        <v>24</v>
      </c>
      <c r="W20" s="1417"/>
      <c r="X20" s="1417"/>
      <c r="Y20" s="1417"/>
      <c r="Z20" s="1881">
        <f t="shared" si="6"/>
        <v>1778460</v>
      </c>
      <c r="AA20" s="1420">
        <f t="shared" si="1"/>
        <v>6953820</v>
      </c>
      <c r="AB20" s="1420">
        <f t="shared" si="7"/>
        <v>6953820</v>
      </c>
      <c r="AC20" s="1459"/>
      <c r="AD20" s="1458"/>
      <c r="AF20" s="1421"/>
      <c r="AG20" s="1258"/>
    </row>
    <row r="21" spans="1:34" s="1250" customFormat="1" ht="24" customHeight="1">
      <c r="A21" s="1245">
        <v>7</v>
      </c>
      <c r="B21" s="320">
        <f>TONGHOPCONGDOI!B110</f>
        <v>0</v>
      </c>
      <c r="C21" s="1247" t="str">
        <f>TONGHOPCONGDOI!C111</f>
        <v>Nàng Văn Đay</v>
      </c>
      <c r="D21" s="1243" t="s">
        <v>15</v>
      </c>
      <c r="E21" s="1416"/>
      <c r="F21" s="1252"/>
      <c r="G21" s="1417">
        <f t="shared" si="2"/>
        <v>0</v>
      </c>
      <c r="H21" s="1417">
        <f>VLOOKUP($C$15:$C$89,'sản lượng'!$D$99:$AL$169,34,0)</f>
        <v>2745</v>
      </c>
      <c r="I21" s="1417"/>
      <c r="J21" s="1417">
        <f t="shared" si="0"/>
        <v>1195.9697776770297</v>
      </c>
      <c r="K21" s="1837">
        <f>VLOOKUP($C$15:$C$89,'sản lượng'!$D$99:$AP$169,37,0)</f>
        <v>111.3794825854914</v>
      </c>
      <c r="L21" s="1837">
        <f t="shared" si="3"/>
        <v>1307.3492602625211</v>
      </c>
      <c r="M21" s="1419" t="str">
        <f>VLOOKUP(C21,'sản lượng'!$D$99:$AP$169,39,0)</f>
        <v>B</v>
      </c>
      <c r="N21" s="2266">
        <f t="shared" si="4"/>
        <v>4549575</v>
      </c>
      <c r="O21" s="1417">
        <f>VLOOKUP(C21,TONGHOPCONGDOI!$C$105:$AA$179,20,0)</f>
        <v>21</v>
      </c>
      <c r="P21" s="1417">
        <f>VLOOKUP(C21,TONGHOPCONGDOI!$C$105:$AA$179,21,0)</f>
        <v>4</v>
      </c>
      <c r="Q21" s="1417">
        <f>VLOOKUP(C21,TONGHOPCONGDOI!$C$105:$AA$179,22,0)</f>
        <v>5</v>
      </c>
      <c r="R21" s="1417">
        <f>VLOOKUP(C21,TONGHOPCONGDOI!$C$105:$AA$179,23,0)</f>
        <v>0</v>
      </c>
      <c r="S21" s="1417">
        <f t="shared" si="5"/>
        <v>5</v>
      </c>
      <c r="T21" s="1417">
        <f>VLOOKUP(C21,TONGHOPCONGDOI!$C$105:$AA$179,25,0)</f>
        <v>0</v>
      </c>
      <c r="U21" s="1417"/>
      <c r="V21" s="1417">
        <f>VLOOKUP(C21,TONGHOPCONGDOI!$C$105:$AB$175,26,0)</f>
        <v>35</v>
      </c>
      <c r="W21" s="1417"/>
      <c r="X21" s="1417"/>
      <c r="Y21" s="1417"/>
      <c r="Z21" s="1881">
        <f t="shared" si="6"/>
        <v>2360046</v>
      </c>
      <c r="AA21" s="1420">
        <f t="shared" si="1"/>
        <v>6909621</v>
      </c>
      <c r="AB21" s="1420">
        <f t="shared" si="7"/>
        <v>6909621</v>
      </c>
      <c r="AC21" s="1459"/>
      <c r="AD21" s="1458"/>
      <c r="AF21" s="1421"/>
      <c r="AG21" s="1258"/>
    </row>
    <row r="22" spans="1:34" s="1250" customFormat="1" ht="24" customHeight="1">
      <c r="A22" s="1245">
        <v>8</v>
      </c>
      <c r="B22" s="320">
        <f>TONGHOPCONGDOI!B111</f>
        <v>0</v>
      </c>
      <c r="C22" s="1247" t="str">
        <f>TONGHOPCONGDOI!C112</f>
        <v>Nàng Ni Khăm</v>
      </c>
      <c r="D22" s="1243" t="s">
        <v>15</v>
      </c>
      <c r="E22" s="1416"/>
      <c r="F22" s="1252"/>
      <c r="G22" s="1417">
        <f t="shared" si="2"/>
        <v>0</v>
      </c>
      <c r="H22" s="1417">
        <f>VLOOKUP($C$15:$C$89,'sản lượng'!$D$99:$AL$169,34,0)</f>
        <v>3400</v>
      </c>
      <c r="I22" s="1417"/>
      <c r="J22" s="1417">
        <f t="shared" si="0"/>
        <v>1481.346901312168</v>
      </c>
      <c r="K22" s="1837">
        <f>VLOOKUP($C$15:$C$89,'sản lượng'!$D$99:$AP$169,37,0)</f>
        <v>137.95637187273982</v>
      </c>
      <c r="L22" s="1837">
        <f t="shared" si="3"/>
        <v>1619.3032731849078</v>
      </c>
      <c r="M22" s="1419" t="str">
        <f>VLOOKUP(C22,'sản lượng'!$D$99:$AP$169,39,0)</f>
        <v>B</v>
      </c>
      <c r="N22" s="2266">
        <f t="shared" si="4"/>
        <v>5635175</v>
      </c>
      <c r="O22" s="1417">
        <f>VLOOKUP(C22,TONGHOPCONGDOI!$C$105:$AA$179,20,0)</f>
        <v>22</v>
      </c>
      <c r="P22" s="1417">
        <f>VLOOKUP(C22,TONGHOPCONGDOI!$C$105:$AA$179,21,0)</f>
        <v>4</v>
      </c>
      <c r="Q22" s="1417">
        <f>VLOOKUP(C22,TONGHOPCONGDOI!$C$105:$AA$179,22,0)</f>
        <v>4</v>
      </c>
      <c r="R22" s="1417">
        <f>VLOOKUP(C22,TONGHOPCONGDOI!$C$105:$AA$179,23,0)</f>
        <v>0</v>
      </c>
      <c r="S22" s="1417">
        <f t="shared" si="5"/>
        <v>4</v>
      </c>
      <c r="T22" s="1417">
        <f>VLOOKUP(C22,TONGHOPCONGDOI!$C$105:$AA$179,25,0)</f>
        <v>0</v>
      </c>
      <c r="U22" s="1417"/>
      <c r="V22" s="1417">
        <f>VLOOKUP(C22,TONGHOPCONGDOI!$C$105:$AB$175,26,0)</f>
        <v>34</v>
      </c>
      <c r="W22" s="1417"/>
      <c r="X22" s="1417"/>
      <c r="Y22" s="1417"/>
      <c r="Z22" s="1881">
        <f t="shared" si="6"/>
        <v>2209253</v>
      </c>
      <c r="AA22" s="1420">
        <f t="shared" si="1"/>
        <v>7844428</v>
      </c>
      <c r="AB22" s="1420">
        <f t="shared" si="7"/>
        <v>7844428</v>
      </c>
      <c r="AC22" s="1459"/>
      <c r="AD22" s="1458"/>
      <c r="AF22" s="1421"/>
      <c r="AG22" s="1258"/>
    </row>
    <row r="23" spans="1:34" s="1250" customFormat="1" ht="24" customHeight="1">
      <c r="A23" s="1245">
        <v>9</v>
      </c>
      <c r="B23" s="320">
        <f>TONGHOPCONGDOI!B112</f>
        <v>0</v>
      </c>
      <c r="C23" s="1247" t="str">
        <f>TONGHOPCONGDOI!C113</f>
        <v>T. Lăm Chê</v>
      </c>
      <c r="D23" s="1243" t="s">
        <v>15</v>
      </c>
      <c r="E23" s="1416"/>
      <c r="F23" s="1252"/>
      <c r="G23" s="1417">
        <f t="shared" si="2"/>
        <v>0</v>
      </c>
      <c r="H23" s="1417">
        <f>VLOOKUP($C$15:$C$89,'sản lượng'!$D$99:$AL$169,34,0)</f>
        <v>3001</v>
      </c>
      <c r="I23" s="1417"/>
      <c r="J23" s="1417">
        <f t="shared" si="0"/>
        <v>1307.5064855405342</v>
      </c>
      <c r="K23" s="1837">
        <f>VLOOKUP($C$15:$C$89,'sản lượng'!$D$99:$AP$169,37,0)</f>
        <v>121.76678587943887</v>
      </c>
      <c r="L23" s="1837">
        <f t="shared" si="3"/>
        <v>1429.2732714199731</v>
      </c>
      <c r="M23" s="1419" t="str">
        <f>VLOOKUP(C23,'sản lượng'!$D$99:$AP$169,39,0)</f>
        <v>B</v>
      </c>
      <c r="N23" s="2266">
        <f t="shared" si="4"/>
        <v>4973871</v>
      </c>
      <c r="O23" s="1417">
        <f>VLOOKUP(C23,TONGHOPCONGDOI!$C$105:$AA$179,20,0)</f>
        <v>21</v>
      </c>
      <c r="P23" s="1417">
        <f>VLOOKUP(C23,TONGHOPCONGDOI!$C$105:$AA$179,21,0)</f>
        <v>3</v>
      </c>
      <c r="Q23" s="1417">
        <f>VLOOKUP(C23,TONGHOPCONGDOI!$C$105:$AA$179,22,0)</f>
        <v>5</v>
      </c>
      <c r="R23" s="1417">
        <f>VLOOKUP(C23,TONGHOPCONGDOI!$C$105:$AA$179,23,0)</f>
        <v>0</v>
      </c>
      <c r="S23" s="1417">
        <f t="shared" si="5"/>
        <v>5</v>
      </c>
      <c r="T23" s="1417">
        <f>VLOOKUP(C23,TONGHOPCONGDOI!$C$105:$AA$179,25,0)</f>
        <v>0</v>
      </c>
      <c r="U23" s="1417"/>
      <c r="V23" s="1417">
        <f>VLOOKUP(C23,TONGHOPCONGDOI!$C$105:$AB$175,26,0)</f>
        <v>34</v>
      </c>
      <c r="W23" s="1417"/>
      <c r="X23" s="1417"/>
      <c r="Y23" s="1417"/>
      <c r="Z23" s="1881">
        <f t="shared" si="6"/>
        <v>2288680</v>
      </c>
      <c r="AA23" s="1420">
        <f t="shared" si="1"/>
        <v>7262551</v>
      </c>
      <c r="AB23" s="1420">
        <f t="shared" si="7"/>
        <v>7262551</v>
      </c>
      <c r="AC23" s="1459"/>
      <c r="AD23" s="1458"/>
      <c r="AF23" s="1421"/>
      <c r="AG23" s="1258"/>
    </row>
    <row r="24" spans="1:34" s="1250" customFormat="1" ht="24" customHeight="1">
      <c r="A24" s="1245">
        <v>10</v>
      </c>
      <c r="B24" s="320" t="str">
        <f>TONGHOPCONGDOI!B113</f>
        <v>04124</v>
      </c>
      <c r="C24" s="1247" t="str">
        <f>TONGHOPCONGDOI!C114</f>
        <v>T. Phim</v>
      </c>
      <c r="D24" s="1243" t="s">
        <v>15</v>
      </c>
      <c r="E24" s="1416"/>
      <c r="F24" s="1252"/>
      <c r="G24" s="1417">
        <f t="shared" si="2"/>
        <v>0</v>
      </c>
      <c r="H24" s="1417">
        <f>VLOOKUP($C$15:$C$89,'sản lượng'!$D$99:$AL$169,34,0)</f>
        <v>3485</v>
      </c>
      <c r="I24" s="1417"/>
      <c r="J24" s="1417">
        <f t="shared" si="0"/>
        <v>1518.3805738449723</v>
      </c>
      <c r="K24" s="1837">
        <f>VLOOKUP($C$15:$C$89,'sản lượng'!$D$99:$AP$169,37,0)</f>
        <v>141.40528116955832</v>
      </c>
      <c r="L24" s="1837">
        <f t="shared" si="3"/>
        <v>1659.7858550145306</v>
      </c>
      <c r="M24" s="1419" t="str">
        <f>VLOOKUP(C24,'sản lượng'!$D$99:$AP$169,39,0)</f>
        <v>A</v>
      </c>
      <c r="N24" s="2266">
        <f t="shared" si="4"/>
        <v>6074816</v>
      </c>
      <c r="O24" s="1417">
        <f>VLOOKUP(C24,TONGHOPCONGDOI!$C$105:$AA$179,20,0)</f>
        <v>19</v>
      </c>
      <c r="P24" s="1417">
        <f>VLOOKUP(C24,TONGHOPCONGDOI!$C$105:$AA$179,21,0)</f>
        <v>4</v>
      </c>
      <c r="Q24" s="1417">
        <f>VLOOKUP(C24,TONGHOPCONGDOI!$C$105:$AA$179,22,0)</f>
        <v>5</v>
      </c>
      <c r="R24" s="1417">
        <f>VLOOKUP(C24,TONGHOPCONGDOI!$C$105:$AA$179,23,0)</f>
        <v>0</v>
      </c>
      <c r="S24" s="1417">
        <f t="shared" si="5"/>
        <v>5</v>
      </c>
      <c r="T24" s="1417">
        <f>VLOOKUP(C24,TONGHOPCONGDOI!$C$105:$AA$179,25,0)</f>
        <v>0</v>
      </c>
      <c r="U24" s="1417"/>
      <c r="V24" s="1417">
        <f>VLOOKUP(C24,TONGHOPCONGDOI!$C$105:$AB$175,26,0)</f>
        <v>25</v>
      </c>
      <c r="W24" s="1417"/>
      <c r="X24" s="1417"/>
      <c r="Y24" s="1417"/>
      <c r="Z24" s="1881">
        <f t="shared" si="6"/>
        <v>2098460</v>
      </c>
      <c r="AA24" s="1420">
        <f t="shared" si="1"/>
        <v>8173276</v>
      </c>
      <c r="AB24" s="1420">
        <f t="shared" si="7"/>
        <v>8173276</v>
      </c>
      <c r="AC24" s="1459"/>
      <c r="AD24" s="1458"/>
      <c r="AF24" s="1421"/>
      <c r="AG24" s="1258"/>
    </row>
    <row r="25" spans="1:34" s="1250" customFormat="1" ht="24" customHeight="1">
      <c r="A25" s="1245">
        <v>11</v>
      </c>
      <c r="B25" s="320" t="str">
        <f>TONGHOPCONGDOI!B114</f>
        <v>03654</v>
      </c>
      <c r="C25" s="1247" t="str">
        <f>TONGHOPCONGDOI!C115</f>
        <v>T. Teo</v>
      </c>
      <c r="D25" s="1243" t="s">
        <v>15</v>
      </c>
      <c r="E25" s="1416"/>
      <c r="F25" s="1252"/>
      <c r="G25" s="1417">
        <f t="shared" si="2"/>
        <v>0</v>
      </c>
      <c r="H25" s="1417">
        <f>VLOOKUP($C$15:$C$89,'sản lượng'!$D$99:$AL$169,34,0)</f>
        <v>2807</v>
      </c>
      <c r="I25" s="1417"/>
      <c r="J25" s="1417">
        <f t="shared" si="0"/>
        <v>1222.9825741127222</v>
      </c>
      <c r="K25" s="1837">
        <f>VLOOKUP($C$15:$C$89,'sản lượng'!$D$99:$AP$169,37,0)</f>
        <v>113.89515760199431</v>
      </c>
      <c r="L25" s="1837">
        <f t="shared" si="3"/>
        <v>1336.8777317147164</v>
      </c>
      <c r="M25" s="1419" t="str">
        <f>VLOOKUP(C25,'sản lượng'!$D$99:$AP$169,39,0)</f>
        <v>B</v>
      </c>
      <c r="N25" s="2266">
        <f t="shared" si="4"/>
        <v>4652335</v>
      </c>
      <c r="O25" s="1417">
        <f>VLOOKUP(C25,TONGHOPCONGDOI!$C$105:$AA$179,20,0)</f>
        <v>20</v>
      </c>
      <c r="P25" s="1417">
        <f>VLOOKUP(C25,TONGHOPCONGDOI!$C$105:$AA$179,21,0)</f>
        <v>3</v>
      </c>
      <c r="Q25" s="1417">
        <f>VLOOKUP(C25,TONGHOPCONGDOI!$C$105:$AA$179,22,0)</f>
        <v>5</v>
      </c>
      <c r="R25" s="1417">
        <f>VLOOKUP(C25,TONGHOPCONGDOI!$C$105:$AA$179,23,0)</f>
        <v>0</v>
      </c>
      <c r="S25" s="1417">
        <f t="shared" si="5"/>
        <v>5</v>
      </c>
      <c r="T25" s="1417">
        <f>VLOOKUP(C25,TONGHOPCONGDOI!$C$105:$AA$179,25,0)</f>
        <v>0</v>
      </c>
      <c r="U25" s="1417"/>
      <c r="V25" s="1417">
        <f>VLOOKUP(C25,TONGHOPCONGDOI!$C$105:$AB$175,26,0)</f>
        <v>33</v>
      </c>
      <c r="W25" s="1417"/>
      <c r="X25" s="1417"/>
      <c r="Y25" s="1417"/>
      <c r="Z25" s="1881">
        <f t="shared" si="6"/>
        <v>2237887</v>
      </c>
      <c r="AA25" s="1420">
        <f t="shared" si="1"/>
        <v>6890222</v>
      </c>
      <c r="AB25" s="1420">
        <f t="shared" si="7"/>
        <v>6890222</v>
      </c>
      <c r="AC25" s="1459"/>
      <c r="AD25" s="1458"/>
      <c r="AF25" s="1421"/>
      <c r="AG25" s="1258"/>
    </row>
    <row r="26" spans="1:34" s="1250" customFormat="1" ht="24" customHeight="1">
      <c r="A26" s="1245">
        <v>12</v>
      </c>
      <c r="B26" s="320" t="str">
        <f>TONGHOPCONGDOI!B115</f>
        <v>04125</v>
      </c>
      <c r="C26" s="1247" t="str">
        <f>TONGHOPCONGDOI!C116</f>
        <v>N. Văn Thong</v>
      </c>
      <c r="D26" s="1243" t="s">
        <v>15</v>
      </c>
      <c r="E26" s="1416"/>
      <c r="F26" s="1252"/>
      <c r="G26" s="1417">
        <f t="shared" si="2"/>
        <v>0</v>
      </c>
      <c r="H26" s="1417">
        <f>VLOOKUP($C$15:$C$89,'sản lượng'!$D$99:$AL$169,34,0)</f>
        <v>2854</v>
      </c>
      <c r="I26" s="1417"/>
      <c r="J26" s="1417">
        <f t="shared" si="0"/>
        <v>1243.4600165720376</v>
      </c>
      <c r="K26" s="1837">
        <f>VLOOKUP($C$15:$C$89,'sản lượng'!$D$99:$AP$169,37,0)</f>
        <v>115.80220156611747</v>
      </c>
      <c r="L26" s="1837">
        <f t="shared" si="3"/>
        <v>1359.262218138155</v>
      </c>
      <c r="M26" s="1419" t="str">
        <f>VLOOKUP(C26,'sản lượng'!$D$99:$AP$169,39,0)</f>
        <v>B</v>
      </c>
      <c r="N26" s="2266">
        <f t="shared" si="4"/>
        <v>4730233</v>
      </c>
      <c r="O26" s="1417">
        <f>VLOOKUP(C26,TONGHOPCONGDOI!$C$105:$AA$179,20,0)</f>
        <v>21</v>
      </c>
      <c r="P26" s="1417">
        <f>VLOOKUP(C26,TONGHOPCONGDOI!$C$105:$AA$179,21,0)</f>
        <v>3</v>
      </c>
      <c r="Q26" s="1417">
        <f>VLOOKUP(C26,TONGHOPCONGDOI!$C$105:$AA$179,22,0)</f>
        <v>5</v>
      </c>
      <c r="R26" s="1417">
        <f>VLOOKUP(C26,TONGHOPCONGDOI!$C$105:$AA$179,23,0)</f>
        <v>0</v>
      </c>
      <c r="S26" s="1417">
        <f t="shared" si="5"/>
        <v>5</v>
      </c>
      <c r="T26" s="1417">
        <f>VLOOKUP(C26,TONGHOPCONGDOI!$C$105:$AA$179,25,0)</f>
        <v>0</v>
      </c>
      <c r="U26" s="1417"/>
      <c r="V26" s="1417">
        <f>VLOOKUP(C26,TONGHOPCONGDOI!$C$105:$AB$175,26,0)</f>
        <v>25</v>
      </c>
      <c r="W26" s="1417"/>
      <c r="X26" s="1417"/>
      <c r="Y26" s="1417"/>
      <c r="Z26" s="1881">
        <f t="shared" si="6"/>
        <v>2108680</v>
      </c>
      <c r="AA26" s="1420">
        <f t="shared" si="1"/>
        <v>6838913</v>
      </c>
      <c r="AB26" s="1420">
        <f t="shared" si="7"/>
        <v>6838913</v>
      </c>
      <c r="AC26" s="1459"/>
      <c r="AD26" s="1458"/>
      <c r="AF26" s="1421"/>
      <c r="AG26" s="1258"/>
    </row>
    <row r="27" spans="1:34" s="1250" customFormat="1" ht="24" customHeight="1">
      <c r="A27" s="1245">
        <v>13</v>
      </c>
      <c r="B27" s="320" t="str">
        <f>TONGHOPCONGDOI!B116</f>
        <v>03656</v>
      </c>
      <c r="C27" s="1247" t="str">
        <f>TONGHOPCONGDOI!C117</f>
        <v>Cong Khăm</v>
      </c>
      <c r="D27" s="1243" t="s">
        <v>15</v>
      </c>
      <c r="E27" s="1416"/>
      <c r="F27" s="1252"/>
      <c r="G27" s="1417">
        <f t="shared" si="2"/>
        <v>0</v>
      </c>
      <c r="H27" s="1417">
        <f>VLOOKUP($C$15:$C$89,'sản lượng'!$D$99:$AL$169,34,0)</f>
        <v>3141</v>
      </c>
      <c r="I27" s="1417"/>
      <c r="J27" s="1417">
        <f t="shared" si="0"/>
        <v>1368.5031226533881</v>
      </c>
      <c r="K27" s="1837">
        <f>VLOOKUP($C$15:$C$89,'sản lượng'!$D$99:$AP$169,37,0)</f>
        <v>127.4473423683164</v>
      </c>
      <c r="L27" s="1837">
        <f t="shared" si="3"/>
        <v>1495.9504650217045</v>
      </c>
      <c r="M27" s="1419" t="str">
        <f>VLOOKUP(C27,'sản lượng'!$D$99:$AP$169,39,0)</f>
        <v>A</v>
      </c>
      <c r="N27" s="2266">
        <f t="shared" si="4"/>
        <v>5475179</v>
      </c>
      <c r="O27" s="1417">
        <f>VLOOKUP(C27,TONGHOPCONGDOI!$C$105:$AA$179,20,0)</f>
        <v>21</v>
      </c>
      <c r="P27" s="1417">
        <f>VLOOKUP(C27,TONGHOPCONGDOI!$C$105:$AA$179,21,0)</f>
        <v>4</v>
      </c>
      <c r="Q27" s="1417">
        <f>VLOOKUP(C27,TONGHOPCONGDOI!$C$105:$AA$179,22,0)</f>
        <v>5</v>
      </c>
      <c r="R27" s="1417">
        <f>VLOOKUP(C27,TONGHOPCONGDOI!$C$105:$AA$179,23,0)</f>
        <v>0</v>
      </c>
      <c r="S27" s="1417">
        <f t="shared" si="5"/>
        <v>5</v>
      </c>
      <c r="T27" s="1417">
        <f>VLOOKUP(C27,TONGHOPCONGDOI!$C$105:$AA$179,25,0)</f>
        <v>0</v>
      </c>
      <c r="U27" s="1417"/>
      <c r="V27" s="1417">
        <f>VLOOKUP(C27,TONGHOPCONGDOI!$C$105:$AB$175,26,0)</f>
        <v>26</v>
      </c>
      <c r="W27" s="1417"/>
      <c r="X27" s="1417"/>
      <c r="Y27" s="1417"/>
      <c r="Z27" s="1881">
        <f t="shared" si="6"/>
        <v>2180046</v>
      </c>
      <c r="AA27" s="1420">
        <f t="shared" si="1"/>
        <v>7655225</v>
      </c>
      <c r="AB27" s="1420">
        <f t="shared" si="7"/>
        <v>7655225</v>
      </c>
      <c r="AC27" s="1459"/>
      <c r="AD27" s="1458"/>
      <c r="AF27" s="1421"/>
      <c r="AG27" s="1258"/>
    </row>
    <row r="28" spans="1:34" s="1250" customFormat="1" ht="24" customHeight="1">
      <c r="A28" s="1245">
        <v>14</v>
      </c>
      <c r="B28" s="320" t="str">
        <f>TONGHOPCONGDOI!B117</f>
        <v>03657</v>
      </c>
      <c r="C28" s="1247" t="str">
        <f>TONGHOPCONGDOI!C118</f>
        <v>Thảo Vông 1</v>
      </c>
      <c r="D28" s="1243" t="s">
        <v>15</v>
      </c>
      <c r="E28" s="1416"/>
      <c r="F28" s="1252"/>
      <c r="G28" s="1417">
        <f t="shared" si="2"/>
        <v>0</v>
      </c>
      <c r="H28" s="1417">
        <f>VLOOKUP($C$15:$C$89,'sản lượng'!$D$99:$AL$169,34,0)</f>
        <v>834</v>
      </c>
      <c r="I28" s="1417"/>
      <c r="J28" s="1417">
        <f t="shared" si="0"/>
        <v>363.36568108657298</v>
      </c>
      <c r="K28" s="1837">
        <f>VLOOKUP($C$15:$C$89,'sản lượng'!$D$99:$AP$169,37,0)</f>
        <v>33.839886512313235</v>
      </c>
      <c r="L28" s="1837">
        <f t="shared" si="3"/>
        <v>397.2055675988862</v>
      </c>
      <c r="M28" s="1419" t="str">
        <f>VLOOKUP(C28,'sản lượng'!$D$99:$AP$169,39,0)</f>
        <v>A</v>
      </c>
      <c r="N28" s="2266">
        <f t="shared" si="4"/>
        <v>1453772</v>
      </c>
      <c r="O28" s="1417">
        <f>VLOOKUP(C28,TONGHOPCONGDOI!$C$105:$AA$179,20,0)</f>
        <v>6</v>
      </c>
      <c r="P28" s="1417">
        <f>VLOOKUP(C28,TONGHOPCONGDOI!$C$105:$AA$179,21,0)</f>
        <v>1</v>
      </c>
      <c r="Q28" s="1417">
        <f>VLOOKUP(C28,TONGHOPCONGDOI!$C$105:$AA$179,22,0)</f>
        <v>1</v>
      </c>
      <c r="R28" s="1417">
        <f>VLOOKUP(C28,TONGHOPCONGDOI!$C$105:$AA$179,23,0)</f>
        <v>0</v>
      </c>
      <c r="S28" s="1417">
        <f t="shared" si="5"/>
        <v>1</v>
      </c>
      <c r="T28" s="1417">
        <f>VLOOKUP(C28,TONGHOPCONGDOI!$C$105:$AA$179,25,0)</f>
        <v>0</v>
      </c>
      <c r="U28" s="1417"/>
      <c r="V28" s="1417">
        <f>VLOOKUP(C28,TONGHOPCONGDOI!$C$105:$AB$175,26,0)</f>
        <v>6</v>
      </c>
      <c r="W28" s="1417"/>
      <c r="X28" s="1417"/>
      <c r="Y28" s="1417"/>
      <c r="Z28" s="1881">
        <f t="shared" si="6"/>
        <v>517710</v>
      </c>
      <c r="AA28" s="1420">
        <f t="shared" si="1"/>
        <v>1971482</v>
      </c>
      <c r="AB28" s="1420">
        <f t="shared" si="7"/>
        <v>1971482</v>
      </c>
      <c r="AC28" s="1459"/>
      <c r="AD28" s="1458"/>
      <c r="AF28" s="1421"/>
      <c r="AG28" s="1258"/>
    </row>
    <row r="29" spans="1:34" s="1250" customFormat="1" ht="24" customHeight="1">
      <c r="A29" s="1245">
        <v>15</v>
      </c>
      <c r="B29" s="320">
        <f>TONGHOPCONGDOI!B118</f>
        <v>0</v>
      </c>
      <c r="C29" s="1247" t="str">
        <f>TONGHOPCONGDOI!C119</f>
        <v>N. Vông</v>
      </c>
      <c r="D29" s="1243" t="s">
        <v>15</v>
      </c>
      <c r="E29" s="1416"/>
      <c r="F29" s="1252"/>
      <c r="G29" s="1417">
        <f t="shared" si="2"/>
        <v>0</v>
      </c>
      <c r="H29" s="1417">
        <f>VLOOKUP($C$15:$C$89,'sản lượng'!$D$99:$AL$169,34,0)</f>
        <v>2836</v>
      </c>
      <c r="I29" s="1417"/>
      <c r="J29" s="1417">
        <f t="shared" si="0"/>
        <v>1235.6175918003848</v>
      </c>
      <c r="K29" s="1837">
        <f>VLOOKUP($C$15:$C$89,'sản lượng'!$D$99:$AP$169,37,0)</f>
        <v>115.0718443032618</v>
      </c>
      <c r="L29" s="1837">
        <f t="shared" si="3"/>
        <v>1350.6894361036466</v>
      </c>
      <c r="M29" s="1419" t="str">
        <f>VLOOKUP(C29,'sản lượng'!$D$99:$AP$169,39,0)</f>
        <v>B</v>
      </c>
      <c r="N29" s="2266">
        <f t="shared" si="4"/>
        <v>4700399</v>
      </c>
      <c r="O29" s="1417">
        <f>VLOOKUP(C29,TONGHOPCONGDOI!$C$105:$AA$179,20,0)</f>
        <v>22</v>
      </c>
      <c r="P29" s="1417">
        <f>VLOOKUP(C29,TONGHOPCONGDOI!$C$105:$AA$179,21,0)</f>
        <v>4</v>
      </c>
      <c r="Q29" s="1417">
        <f>VLOOKUP(C29,TONGHOPCONGDOI!$C$105:$AA$179,22,0)</f>
        <v>5</v>
      </c>
      <c r="R29" s="1417">
        <f>VLOOKUP(C29,TONGHOPCONGDOI!$C$105:$AA$179,23,0)</f>
        <v>0</v>
      </c>
      <c r="S29" s="1417">
        <f t="shared" si="5"/>
        <v>5</v>
      </c>
      <c r="T29" s="1417">
        <f>VLOOKUP(C29,TONGHOPCONGDOI!$C$105:$AA$179,25,0)</f>
        <v>0</v>
      </c>
      <c r="U29" s="1417"/>
      <c r="V29" s="1417">
        <f>VLOOKUP(C29,TONGHOPCONGDOI!$C$105:$AB$175,26,0)</f>
        <v>36</v>
      </c>
      <c r="W29" s="1417"/>
      <c r="X29" s="1417"/>
      <c r="Y29" s="1417"/>
      <c r="Z29" s="1881">
        <f t="shared" si="6"/>
        <v>2410839</v>
      </c>
      <c r="AA29" s="1420">
        <f t="shared" si="1"/>
        <v>7111238</v>
      </c>
      <c r="AB29" s="1420">
        <f t="shared" si="7"/>
        <v>7111238</v>
      </c>
      <c r="AC29" s="1459"/>
      <c r="AD29" s="1458"/>
      <c r="AF29" s="1421"/>
      <c r="AG29" s="1258"/>
    </row>
    <row r="30" spans="1:34" s="1250" customFormat="1" ht="24" customHeight="1">
      <c r="A30" s="1245">
        <v>16</v>
      </c>
      <c r="B30" s="320" t="str">
        <f>TONGHOPCONGDOI!B119</f>
        <v>04126</v>
      </c>
      <c r="C30" s="1247" t="str">
        <f>TONGHOPCONGDOI!C120</f>
        <v>T. Đi</v>
      </c>
      <c r="D30" s="1243" t="s">
        <v>15</v>
      </c>
      <c r="E30" s="1416"/>
      <c r="F30" s="1252"/>
      <c r="G30" s="1417">
        <f t="shared" si="2"/>
        <v>0</v>
      </c>
      <c r="H30" s="1417">
        <f>VLOOKUP($C$15:$C$89,'sản lượng'!$D$99:$AL$169,34,0)</f>
        <v>2845</v>
      </c>
      <c r="I30" s="1417"/>
      <c r="J30" s="1417">
        <f t="shared" si="0"/>
        <v>1239.5388041862111</v>
      </c>
      <c r="K30" s="1837">
        <f>VLOOKUP($C$15:$C$89,'sản lượng'!$D$99:$AP$169,37,0)</f>
        <v>115.43702293468964</v>
      </c>
      <c r="L30" s="1837">
        <f t="shared" si="3"/>
        <v>1354.9758271209007</v>
      </c>
      <c r="M30" s="1419" t="str">
        <f>VLOOKUP(C30,'sản lượng'!$D$99:$AP$169,39,0)</f>
        <v>B</v>
      </c>
      <c r="N30" s="2266">
        <f t="shared" si="4"/>
        <v>4715316</v>
      </c>
      <c r="O30" s="1417">
        <f>VLOOKUP(C30,TONGHOPCONGDOI!$C$105:$AA$179,20,0)</f>
        <v>22</v>
      </c>
      <c r="P30" s="1417">
        <f>VLOOKUP(C30,TONGHOPCONGDOI!$C$105:$AA$179,21,0)</f>
        <v>4</v>
      </c>
      <c r="Q30" s="1417">
        <f>VLOOKUP(C30,TONGHOPCONGDOI!$C$105:$AA$179,22,0)</f>
        <v>5</v>
      </c>
      <c r="R30" s="1417">
        <f>VLOOKUP(C30,TONGHOPCONGDOI!$C$105:$AA$179,23,0)</f>
        <v>0</v>
      </c>
      <c r="S30" s="1417">
        <f t="shared" si="5"/>
        <v>5</v>
      </c>
      <c r="T30" s="1417">
        <f>VLOOKUP(C30,TONGHOPCONGDOI!$C$105:$AA$179,25,0)</f>
        <v>0</v>
      </c>
      <c r="U30" s="1417"/>
      <c r="V30" s="1417">
        <f>VLOOKUP(C30,TONGHOPCONGDOI!$C$105:$AB$175,26,0)</f>
        <v>36</v>
      </c>
      <c r="W30" s="1417"/>
      <c r="X30" s="1417"/>
      <c r="Y30" s="1417"/>
      <c r="Z30" s="1881">
        <f t="shared" si="6"/>
        <v>2410839</v>
      </c>
      <c r="AA30" s="1420">
        <f t="shared" si="1"/>
        <v>7126155</v>
      </c>
      <c r="AB30" s="1420">
        <f t="shared" si="7"/>
        <v>7126155</v>
      </c>
      <c r="AC30" s="1459"/>
      <c r="AD30" s="1458"/>
      <c r="AF30" s="1421"/>
      <c r="AG30" s="1258"/>
    </row>
    <row r="31" spans="1:34" s="1250" customFormat="1" ht="24" customHeight="1">
      <c r="A31" s="1245">
        <v>17</v>
      </c>
      <c r="B31" s="320" t="str">
        <f>TONGHOPCONGDOI!B120</f>
        <v>03494</v>
      </c>
      <c r="C31" s="1247" t="str">
        <f>TONGHOPCONGDOI!C121</f>
        <v>Nàng Lênh</v>
      </c>
      <c r="D31" s="1243" t="s">
        <v>15</v>
      </c>
      <c r="E31" s="1416"/>
      <c r="F31" s="1252"/>
      <c r="G31" s="1417">
        <f t="shared" si="2"/>
        <v>0</v>
      </c>
      <c r="H31" s="1417">
        <f>VLOOKUP($C$15:$C$89,'sản lượng'!$D$99:$AL$169,34,0)</f>
        <v>3195</v>
      </c>
      <c r="I31" s="1417"/>
      <c r="J31" s="1417">
        <f t="shared" si="0"/>
        <v>1392.0303969683462</v>
      </c>
      <c r="K31" s="1837">
        <f>VLOOKUP($C$15:$C$89,'sản lượng'!$D$99:$AP$169,37,0)</f>
        <v>129.63841415688344</v>
      </c>
      <c r="L31" s="1837">
        <f t="shared" si="3"/>
        <v>1521.6688111252297</v>
      </c>
      <c r="M31" s="1419" t="str">
        <f>VLOOKUP(C31,'sản lượng'!$D$99:$AP$169,39,0)</f>
        <v>B</v>
      </c>
      <c r="N31" s="2266">
        <f t="shared" si="4"/>
        <v>5295407</v>
      </c>
      <c r="O31" s="1417">
        <f>VLOOKUP(C31,TONGHOPCONGDOI!$C$105:$AA$179,20,0)</f>
        <v>21</v>
      </c>
      <c r="P31" s="1417">
        <f>VLOOKUP(C31,TONGHOPCONGDOI!$C$105:$AA$179,21,0)</f>
        <v>4</v>
      </c>
      <c r="Q31" s="1417">
        <f>VLOOKUP(C31,TONGHOPCONGDOI!$C$105:$AA$179,22,0)</f>
        <v>4</v>
      </c>
      <c r="R31" s="1417">
        <f>VLOOKUP(C31,TONGHOPCONGDOI!$C$105:$AA$179,23,0)</f>
        <v>0</v>
      </c>
      <c r="S31" s="1417">
        <f t="shared" si="5"/>
        <v>4</v>
      </c>
      <c r="T31" s="1417">
        <f>VLOOKUP(C31,TONGHOPCONGDOI!$C$105:$AA$179,25,0)</f>
        <v>0</v>
      </c>
      <c r="U31" s="1417"/>
      <c r="V31" s="1417">
        <f>VLOOKUP(C31,TONGHOPCONGDOI!$C$105:$AB$175,26,0)</f>
        <v>33</v>
      </c>
      <c r="W31" s="1417"/>
      <c r="X31" s="1417"/>
      <c r="Y31" s="1417"/>
      <c r="Z31" s="1881">
        <f t="shared" si="6"/>
        <v>2158460</v>
      </c>
      <c r="AA31" s="1420">
        <f t="shared" si="1"/>
        <v>7453867</v>
      </c>
      <c r="AB31" s="1420">
        <f t="shared" si="7"/>
        <v>7453867</v>
      </c>
      <c r="AC31" s="1459"/>
      <c r="AD31" s="1458"/>
      <c r="AF31" s="1421"/>
      <c r="AG31" s="1258"/>
    </row>
    <row r="32" spans="1:34" s="1250" customFormat="1" ht="24" customHeight="1">
      <c r="A32" s="1245">
        <v>18</v>
      </c>
      <c r="B32" s="320">
        <f>TONGHOPCONGDOI!B121</f>
        <v>0</v>
      </c>
      <c r="C32" s="1247" t="str">
        <f>TONGHOPCONGDOI!C122</f>
        <v>T.Xê</v>
      </c>
      <c r="D32" s="1243" t="s">
        <v>15</v>
      </c>
      <c r="E32" s="1416"/>
      <c r="F32" s="1252"/>
      <c r="G32" s="1417">
        <f t="shared" si="2"/>
        <v>0</v>
      </c>
      <c r="H32" s="1417">
        <f>VLOOKUP($C$15:$C$89,'sản lượng'!$D$99:$AL$169,34,0)</f>
        <v>2780</v>
      </c>
      <c r="I32" s="1417"/>
      <c r="J32" s="1417">
        <f t="shared" si="0"/>
        <v>1211.2189369552432</v>
      </c>
      <c r="K32" s="1837">
        <f>VLOOKUP($C$15:$C$89,'sản lượng'!$D$99:$AP$169,37,0)</f>
        <v>112.79962170771078</v>
      </c>
      <c r="L32" s="1837">
        <f t="shared" si="3"/>
        <v>1324.0185586629539</v>
      </c>
      <c r="M32" s="1419" t="str">
        <f>VLOOKUP(C32,'sản lượng'!$D$99:$AP$169,39,0)</f>
        <v>B</v>
      </c>
      <c r="N32" s="2266">
        <f t="shared" si="4"/>
        <v>4607585</v>
      </c>
      <c r="O32" s="1417">
        <f>VLOOKUP(C32,TONGHOPCONGDOI!$C$105:$AA$179,20,0)</f>
        <v>21</v>
      </c>
      <c r="P32" s="1417">
        <f>VLOOKUP(C32,TONGHOPCONGDOI!$C$105:$AA$179,21,0)</f>
        <v>4</v>
      </c>
      <c r="Q32" s="1417">
        <f>VLOOKUP(C32,TONGHOPCONGDOI!$C$105:$AA$179,22,0)</f>
        <v>5</v>
      </c>
      <c r="R32" s="1417">
        <f>VLOOKUP(C32,TONGHOPCONGDOI!$C$105:$AA$179,23,0)</f>
        <v>0</v>
      </c>
      <c r="S32" s="1417">
        <f t="shared" si="5"/>
        <v>5</v>
      </c>
      <c r="T32" s="1417">
        <f>VLOOKUP(C32,TONGHOPCONGDOI!$C$105:$AA$179,25,0)</f>
        <v>0</v>
      </c>
      <c r="U32" s="1417"/>
      <c r="V32" s="1417">
        <f>VLOOKUP(C32,TONGHOPCONGDOI!$C$105:$AB$175,26,0)</f>
        <v>35</v>
      </c>
      <c r="W32" s="1417"/>
      <c r="X32" s="1417"/>
      <c r="Y32" s="1417"/>
      <c r="Z32" s="1881">
        <f t="shared" si="6"/>
        <v>2360046</v>
      </c>
      <c r="AA32" s="1420">
        <f t="shared" si="1"/>
        <v>6967631</v>
      </c>
      <c r="AB32" s="1420">
        <f t="shared" si="7"/>
        <v>6967631</v>
      </c>
      <c r="AC32" s="1459"/>
      <c r="AD32" s="1458"/>
      <c r="AF32" s="1421"/>
      <c r="AG32" s="1258"/>
    </row>
    <row r="33" spans="1:33" s="1250" customFormat="1" ht="24" customHeight="1">
      <c r="A33" s="1245">
        <v>19</v>
      </c>
      <c r="B33" s="320" t="str">
        <f>TONGHOPCONGDOI!B122</f>
        <v>03662</v>
      </c>
      <c r="C33" s="1247" t="str">
        <f>TONGHOPCONGDOI!C123</f>
        <v>T. Hách</v>
      </c>
      <c r="D33" s="1243" t="s">
        <v>15</v>
      </c>
      <c r="E33" s="1416"/>
      <c r="F33" s="1252"/>
      <c r="G33" s="1417">
        <f t="shared" si="2"/>
        <v>0</v>
      </c>
      <c r="H33" s="1417">
        <f>VLOOKUP($C$15:$C$89,'sản lượng'!$D$99:$AL$169,34,0)</f>
        <v>2885</v>
      </c>
      <c r="I33" s="1417"/>
      <c r="J33" s="1417">
        <f t="shared" si="0"/>
        <v>1256.9664147898839</v>
      </c>
      <c r="K33" s="1837">
        <f>VLOOKUP($C$15:$C$89,'sản lượng'!$D$99:$AP$169,37,0)</f>
        <v>117.06003907436893</v>
      </c>
      <c r="L33" s="1837">
        <f t="shared" si="3"/>
        <v>1374.0264538642527</v>
      </c>
      <c r="M33" s="1419" t="str">
        <f>VLOOKUP(C33,'sản lượng'!$D$99:$AP$169,39,0)</f>
        <v>B</v>
      </c>
      <c r="N33" s="2266">
        <f t="shared" si="4"/>
        <v>4781612</v>
      </c>
      <c r="O33" s="1417">
        <f>VLOOKUP(C33,TONGHOPCONGDOI!$C$105:$AA$179,20,0)</f>
        <v>20</v>
      </c>
      <c r="P33" s="1417">
        <f>VLOOKUP(C33,TONGHOPCONGDOI!$C$105:$AA$179,21,0)</f>
        <v>4</v>
      </c>
      <c r="Q33" s="1417">
        <f>VLOOKUP(C33,TONGHOPCONGDOI!$C$105:$AA$179,22,0)</f>
        <v>5</v>
      </c>
      <c r="R33" s="1417">
        <f>VLOOKUP(C33,TONGHOPCONGDOI!$C$105:$AA$179,23,0)</f>
        <v>0</v>
      </c>
      <c r="S33" s="1417">
        <f t="shared" si="5"/>
        <v>5</v>
      </c>
      <c r="T33" s="1417">
        <f>VLOOKUP(C33,TONGHOPCONGDOI!$C$105:$AA$179,25,0)</f>
        <v>0</v>
      </c>
      <c r="U33" s="1417"/>
      <c r="V33" s="1417">
        <f>VLOOKUP(C33,TONGHOPCONGDOI!$C$105:$AB$175,26,0)</f>
        <v>25</v>
      </c>
      <c r="W33" s="1417"/>
      <c r="X33" s="1417"/>
      <c r="Y33" s="1417"/>
      <c r="Z33" s="1881">
        <f t="shared" si="6"/>
        <v>2129253</v>
      </c>
      <c r="AA33" s="1420">
        <f t="shared" si="1"/>
        <v>6910865</v>
      </c>
      <c r="AB33" s="1420">
        <f t="shared" si="7"/>
        <v>6910865</v>
      </c>
      <c r="AC33" s="1459"/>
      <c r="AD33" s="1458"/>
      <c r="AF33" s="1421"/>
      <c r="AG33" s="1258"/>
    </row>
    <row r="34" spans="1:33" s="1250" customFormat="1" ht="24" customHeight="1">
      <c r="A34" s="1245">
        <v>20</v>
      </c>
      <c r="B34" s="320" t="str">
        <f>TONGHOPCONGDOI!B123</f>
        <v>03663</v>
      </c>
      <c r="C34" s="1247" t="str">
        <f>TONGHOPCONGDOI!C124</f>
        <v>Khay Khăm</v>
      </c>
      <c r="D34" s="1243" t="s">
        <v>15</v>
      </c>
      <c r="E34" s="1416"/>
      <c r="F34" s="1252"/>
      <c r="G34" s="1417">
        <f t="shared" si="2"/>
        <v>0</v>
      </c>
      <c r="H34" s="1417">
        <f>VLOOKUP($C$15:$C$89,'sản lượng'!$D$99:$AL$169,34,0)</f>
        <v>4807</v>
      </c>
      <c r="I34" s="1417"/>
      <c r="J34" s="1417">
        <f t="shared" si="0"/>
        <v>2094.3631042963507</v>
      </c>
      <c r="K34" s="1837">
        <f>VLOOKUP($C$15:$C$89,'sản lượng'!$D$99:$AP$169,37,0)</f>
        <v>195.0459645859589</v>
      </c>
      <c r="L34" s="1837">
        <f t="shared" si="3"/>
        <v>2289.4090688823094</v>
      </c>
      <c r="M34" s="1419" t="str">
        <f>VLOOKUP(C34,'sản lượng'!$D$99:$AP$169,39,0)</f>
        <v>B</v>
      </c>
      <c r="N34" s="2266">
        <f t="shared" si="4"/>
        <v>7967144</v>
      </c>
      <c r="O34" s="1417">
        <f>VLOOKUP(C34,TONGHOPCONGDOI!$C$105:$AA$179,20,0)</f>
        <v>22</v>
      </c>
      <c r="P34" s="1417">
        <f>VLOOKUP(C34,TONGHOPCONGDOI!$C$105:$AA$179,21,0)</f>
        <v>4</v>
      </c>
      <c r="Q34" s="1417">
        <f>VLOOKUP(C34,TONGHOPCONGDOI!$C$105:$AA$179,22,0)</f>
        <v>5</v>
      </c>
      <c r="R34" s="1417">
        <f>VLOOKUP(C34,TONGHOPCONGDOI!$C$105:$AA$179,23,0)</f>
        <v>0</v>
      </c>
      <c r="S34" s="1417">
        <f t="shared" si="5"/>
        <v>5</v>
      </c>
      <c r="T34" s="1417">
        <f>VLOOKUP(C34,TONGHOPCONGDOI!$C$105:$AA$179,25,0)</f>
        <v>0</v>
      </c>
      <c r="U34" s="1417"/>
      <c r="V34" s="1417">
        <f>VLOOKUP(C34,TONGHOPCONGDOI!$C$105:$AB$175,26,0)</f>
        <v>36</v>
      </c>
      <c r="W34" s="1417"/>
      <c r="X34" s="1417"/>
      <c r="Y34" s="1417"/>
      <c r="Z34" s="1881">
        <f t="shared" si="6"/>
        <v>2410839</v>
      </c>
      <c r="AA34" s="1420">
        <f t="shared" si="1"/>
        <v>10377983</v>
      </c>
      <c r="AB34" s="1420">
        <f t="shared" si="7"/>
        <v>10377983</v>
      </c>
      <c r="AC34" s="1459"/>
      <c r="AD34" s="1458"/>
      <c r="AF34" s="1421"/>
      <c r="AG34" s="1258"/>
    </row>
    <row r="35" spans="1:33" s="1250" customFormat="1" ht="24" customHeight="1">
      <c r="A35" s="1245">
        <v>21</v>
      </c>
      <c r="B35" s="320" t="str">
        <f>TONGHOPCONGDOI!B124</f>
        <v>03664</v>
      </c>
      <c r="C35" s="1247" t="str">
        <f>TONGHOPCONGDOI!C125</f>
        <v>T. Vạt</v>
      </c>
      <c r="D35" s="1243" t="s">
        <v>15</v>
      </c>
      <c r="E35" s="1416"/>
      <c r="F35" s="1252"/>
      <c r="G35" s="1417">
        <f t="shared" si="2"/>
        <v>0</v>
      </c>
      <c r="H35" s="1417">
        <f>VLOOKUP($C$15:$C$89,'sản lượng'!$D$99:$AL$169,34,0)</f>
        <v>4308</v>
      </c>
      <c r="I35" s="1417"/>
      <c r="J35" s="1417">
        <f t="shared" si="0"/>
        <v>1876.9536620155352</v>
      </c>
      <c r="K35" s="1837">
        <f>VLOOKUP($C$15:$C$89,'sản lượng'!$D$99:$AP$169,37,0)</f>
        <v>174.79883824345973</v>
      </c>
      <c r="L35" s="1837">
        <f t="shared" si="3"/>
        <v>2051.752500258995</v>
      </c>
      <c r="M35" s="1419" t="str">
        <f>VLOOKUP(C35,'sản lượng'!$D$99:$AP$169,39,0)</f>
        <v>A</v>
      </c>
      <c r="N35" s="2266">
        <f t="shared" si="4"/>
        <v>7509414</v>
      </c>
      <c r="O35" s="1417">
        <f>VLOOKUP(C35,TONGHOPCONGDOI!$C$105:$AA$179,20,0)</f>
        <v>22</v>
      </c>
      <c r="P35" s="1417">
        <f>VLOOKUP(C35,TONGHOPCONGDOI!$C$105:$AA$179,21,0)</f>
        <v>4</v>
      </c>
      <c r="Q35" s="1417">
        <f>VLOOKUP(C35,TONGHOPCONGDOI!$C$105:$AA$179,22,0)</f>
        <v>5</v>
      </c>
      <c r="R35" s="1417">
        <f>VLOOKUP(C35,TONGHOPCONGDOI!$C$105:$AA$179,23,0)</f>
        <v>0</v>
      </c>
      <c r="S35" s="1417">
        <f t="shared" si="5"/>
        <v>5</v>
      </c>
      <c r="T35" s="1417">
        <f>VLOOKUP(C35,TONGHOPCONGDOI!$C$105:$AA$179,25,0)</f>
        <v>0</v>
      </c>
      <c r="U35" s="1417"/>
      <c r="V35" s="1417">
        <f>VLOOKUP(C35,TONGHOPCONGDOI!$C$105:$AB$175,26,0)</f>
        <v>27</v>
      </c>
      <c r="W35" s="1417"/>
      <c r="X35" s="1417"/>
      <c r="Y35" s="1417"/>
      <c r="Z35" s="1881">
        <f t="shared" si="6"/>
        <v>2230839</v>
      </c>
      <c r="AA35" s="1420">
        <f t="shared" si="1"/>
        <v>9740253</v>
      </c>
      <c r="AB35" s="1420">
        <f t="shared" si="7"/>
        <v>9740253</v>
      </c>
      <c r="AC35" s="1459"/>
      <c r="AD35" s="1458"/>
      <c r="AF35" s="1421"/>
      <c r="AG35" s="1258"/>
    </row>
    <row r="36" spans="1:33" s="1250" customFormat="1" ht="24" customHeight="1">
      <c r="A36" s="1245">
        <v>22</v>
      </c>
      <c r="B36" s="320" t="str">
        <f>TONGHOPCONGDOI!B125</f>
        <v>03637</v>
      </c>
      <c r="C36" s="1247" t="str">
        <f>TONGHOPCONGDOI!C126</f>
        <v>T. Chăn (4)</v>
      </c>
      <c r="D36" s="1243" t="s">
        <v>15</v>
      </c>
      <c r="E36" s="1416"/>
      <c r="F36" s="1252"/>
      <c r="G36" s="1417">
        <f t="shared" si="2"/>
        <v>0</v>
      </c>
      <c r="H36" s="1417">
        <f>VLOOKUP($C$15:$C$89,'sản lượng'!$D$99:$AL$169,34,0)</f>
        <v>2863</v>
      </c>
      <c r="I36" s="1417"/>
      <c r="J36" s="1417">
        <f t="shared" si="0"/>
        <v>1247.3812289578639</v>
      </c>
      <c r="K36" s="1837">
        <f>VLOOKUP($C$15:$C$89,'sản lượng'!$D$99:$AP$169,37,0)</f>
        <v>116.16738019754531</v>
      </c>
      <c r="L36" s="1837">
        <f t="shared" si="3"/>
        <v>1363.5486091554092</v>
      </c>
      <c r="M36" s="1419" t="str">
        <f>VLOOKUP(C36,'sản lượng'!$D$99:$AP$169,39,0)</f>
        <v>A</v>
      </c>
      <c r="N36" s="2266">
        <f t="shared" si="4"/>
        <v>4990588</v>
      </c>
      <c r="O36" s="1417">
        <f>VLOOKUP(C36,TONGHOPCONGDOI!$C$105:$AA$179,20,0)</f>
        <v>19</v>
      </c>
      <c r="P36" s="1417">
        <f>VLOOKUP(C36,TONGHOPCONGDOI!$C$105:$AA$179,21,0)</f>
        <v>3</v>
      </c>
      <c r="Q36" s="1417">
        <f>VLOOKUP(C36,TONGHOPCONGDOI!$C$105:$AA$179,22,0)</f>
        <v>5</v>
      </c>
      <c r="R36" s="1417">
        <f>VLOOKUP(C36,TONGHOPCONGDOI!$C$105:$AA$179,23,0)</f>
        <v>0</v>
      </c>
      <c r="S36" s="1417">
        <f t="shared" si="5"/>
        <v>5</v>
      </c>
      <c r="T36" s="1417">
        <f>VLOOKUP(C36,TONGHOPCONGDOI!$C$105:$AA$179,25,0)</f>
        <v>0</v>
      </c>
      <c r="U36" s="1417"/>
      <c r="V36" s="1417">
        <f>VLOOKUP(C36,TONGHOPCONGDOI!$C$105:$AB$175,26,0)</f>
        <v>23</v>
      </c>
      <c r="W36" s="1417"/>
      <c r="X36" s="1417"/>
      <c r="Y36" s="1417"/>
      <c r="Z36" s="1881">
        <f t="shared" si="6"/>
        <v>2007094</v>
      </c>
      <c r="AA36" s="1420">
        <f t="shared" si="1"/>
        <v>6997682</v>
      </c>
      <c r="AB36" s="1420">
        <f t="shared" si="7"/>
        <v>6997682</v>
      </c>
      <c r="AC36" s="1459"/>
      <c r="AD36" s="1458"/>
      <c r="AF36" s="1421"/>
      <c r="AG36" s="1258"/>
    </row>
    <row r="37" spans="1:33" s="1250" customFormat="1" ht="24" customHeight="1">
      <c r="A37" s="1245">
        <v>23</v>
      </c>
      <c r="B37" s="320" t="str">
        <f>TONGHOPCONGDOI!B126</f>
        <v>03666</v>
      </c>
      <c r="C37" s="1247" t="str">
        <f>TONGHOPCONGDOI!C127</f>
        <v>Thảo Ca Thon</v>
      </c>
      <c r="D37" s="1243" t="s">
        <v>15</v>
      </c>
      <c r="E37" s="1416"/>
      <c r="F37" s="1252"/>
      <c r="G37" s="1417">
        <f t="shared" si="2"/>
        <v>0</v>
      </c>
      <c r="H37" s="1417">
        <f>VLOOKUP($C$15:$C$89,'sản lượng'!$D$99:$AL$169,34,0)</f>
        <v>3240</v>
      </c>
      <c r="I37" s="1417"/>
      <c r="J37" s="1417">
        <f t="shared" si="0"/>
        <v>1411.6364588974777</v>
      </c>
      <c r="K37" s="1837">
        <f>VLOOKUP($C$15:$C$89,'sản lượng'!$D$99:$AP$169,37,0)</f>
        <v>131.46430731402265</v>
      </c>
      <c r="L37" s="1837">
        <f t="shared" si="3"/>
        <v>1543.1007662115003</v>
      </c>
      <c r="M37" s="1419" t="str">
        <f>VLOOKUP(C37,'sản lượng'!$D$99:$AP$169,39,0)</f>
        <v>B</v>
      </c>
      <c r="N37" s="2266">
        <f t="shared" si="4"/>
        <v>5369991</v>
      </c>
      <c r="O37" s="1417">
        <f>VLOOKUP(C37,TONGHOPCONGDOI!$C$105:$AA$179,20,0)</f>
        <v>22</v>
      </c>
      <c r="P37" s="1417">
        <f>VLOOKUP(C37,TONGHOPCONGDOI!$C$105:$AA$179,21,0)</f>
        <v>4</v>
      </c>
      <c r="Q37" s="1417">
        <f>VLOOKUP(C37,TONGHOPCONGDOI!$C$105:$AA$179,22,0)</f>
        <v>5</v>
      </c>
      <c r="R37" s="1417">
        <f>VLOOKUP(C37,TONGHOPCONGDOI!$C$105:$AA$179,23,0)</f>
        <v>0</v>
      </c>
      <c r="S37" s="1417">
        <f t="shared" si="5"/>
        <v>5</v>
      </c>
      <c r="T37" s="1417">
        <f>VLOOKUP(C37,TONGHOPCONGDOI!$C$105:$AA$179,25,0)</f>
        <v>0</v>
      </c>
      <c r="U37" s="1417"/>
      <c r="V37" s="1417">
        <f>VLOOKUP(C37,TONGHOPCONGDOI!$C$105:$AB$175,26,0)</f>
        <v>27</v>
      </c>
      <c r="W37" s="1417"/>
      <c r="X37" s="1417"/>
      <c r="Y37" s="1417"/>
      <c r="Z37" s="1881">
        <f t="shared" si="6"/>
        <v>2230839</v>
      </c>
      <c r="AA37" s="1420">
        <f t="shared" si="1"/>
        <v>7600830</v>
      </c>
      <c r="AB37" s="1420">
        <f t="shared" si="7"/>
        <v>7600830</v>
      </c>
      <c r="AC37" s="1459"/>
      <c r="AD37" s="1458"/>
      <c r="AF37" s="1421"/>
      <c r="AG37" s="1258"/>
    </row>
    <row r="38" spans="1:33" s="1250" customFormat="1" ht="24" customHeight="1">
      <c r="A38" s="1245">
        <v>24</v>
      </c>
      <c r="B38" s="320" t="str">
        <f>TONGHOPCONGDOI!B127</f>
        <v>04128</v>
      </c>
      <c r="C38" s="1247" t="str">
        <f>TONGHOPCONGDOI!C128</f>
        <v>N.. Đeng</v>
      </c>
      <c r="D38" s="1243" t="s">
        <v>15</v>
      </c>
      <c r="E38" s="1416"/>
      <c r="F38" s="1252"/>
      <c r="G38" s="1417">
        <f t="shared" si="2"/>
        <v>0</v>
      </c>
      <c r="H38" s="1417">
        <f>VLOOKUP($C$15:$C$89,'sản lượng'!$D$99:$AL$169,34,0)</f>
        <v>2933</v>
      </c>
      <c r="I38" s="1417"/>
      <c r="J38" s="1417">
        <f t="shared" si="0"/>
        <v>1277.8795475142908</v>
      </c>
      <c r="K38" s="1837">
        <f>VLOOKUP($C$15:$C$89,'sản lượng'!$D$99:$AP$169,37,0)</f>
        <v>119.00765844198408</v>
      </c>
      <c r="L38" s="1837">
        <f t="shared" si="3"/>
        <v>1396.887205956275</v>
      </c>
      <c r="M38" s="1419" t="str">
        <f>VLOOKUP(C38,'sản lượng'!$D$99:$AP$169,39,0)</f>
        <v>A</v>
      </c>
      <c r="N38" s="2266">
        <f t="shared" si="4"/>
        <v>5112607</v>
      </c>
      <c r="O38" s="1417">
        <f>VLOOKUP(C38,TONGHOPCONGDOI!$C$105:$AA$179,20,0)</f>
        <v>19</v>
      </c>
      <c r="P38" s="1417">
        <f>VLOOKUP(C38,TONGHOPCONGDOI!$C$105:$AA$179,21,0)</f>
        <v>3</v>
      </c>
      <c r="Q38" s="1417">
        <f>VLOOKUP(C38,TONGHOPCONGDOI!$C$105:$AA$179,22,0)</f>
        <v>5</v>
      </c>
      <c r="R38" s="1417">
        <f>VLOOKUP(C38,TONGHOPCONGDOI!$C$105:$AA$179,23,0)</f>
        <v>0</v>
      </c>
      <c r="S38" s="1417">
        <f t="shared" si="5"/>
        <v>5</v>
      </c>
      <c r="T38" s="1417">
        <f>VLOOKUP(C38,TONGHOPCONGDOI!$C$105:$AA$179,25,0)</f>
        <v>0</v>
      </c>
      <c r="U38" s="1417"/>
      <c r="V38" s="1417">
        <f>VLOOKUP(C38,TONGHOPCONGDOI!$C$105:$AB$175,26,0)</f>
        <v>23</v>
      </c>
      <c r="W38" s="1417"/>
      <c r="X38" s="1417"/>
      <c r="Y38" s="1417"/>
      <c r="Z38" s="1881">
        <f t="shared" si="6"/>
        <v>2007094</v>
      </c>
      <c r="AA38" s="1420">
        <f t="shared" si="1"/>
        <v>7119701</v>
      </c>
      <c r="AB38" s="1420">
        <f t="shared" si="7"/>
        <v>7119701</v>
      </c>
      <c r="AC38" s="1459"/>
      <c r="AD38" s="1458"/>
      <c r="AF38" s="1421"/>
      <c r="AG38" s="1258"/>
    </row>
    <row r="39" spans="1:33" s="1250" customFormat="1" ht="24" customHeight="1">
      <c r="A39" s="1245">
        <v>25</v>
      </c>
      <c r="B39" s="320" t="str">
        <f>TONGHOPCONGDOI!B128</f>
        <v>04129</v>
      </c>
      <c r="C39" s="1247" t="str">
        <f>TONGHOPCONGDOI!C129</f>
        <v>N.T.T Trang (1)</v>
      </c>
      <c r="D39" s="1243" t="s">
        <v>15</v>
      </c>
      <c r="E39" s="1416"/>
      <c r="F39" s="1252"/>
      <c r="G39" s="1417">
        <f t="shared" si="2"/>
        <v>0</v>
      </c>
      <c r="H39" s="1417">
        <f>VLOOKUP($C$15:$C$89,'sản lượng'!$D$99:$AL$169,34,0)</f>
        <v>5046</v>
      </c>
      <c r="I39" s="1417"/>
      <c r="J39" s="1417">
        <f t="shared" si="0"/>
        <v>2198.4930776532942</v>
      </c>
      <c r="K39" s="1837">
        <f>VLOOKUP($C$15:$C$89,'sản lượng'!$D$99:$AP$169,37,0)</f>
        <v>204.74348602054269</v>
      </c>
      <c r="L39" s="1837">
        <f t="shared" si="3"/>
        <v>2403.2365636738368</v>
      </c>
      <c r="M39" s="1419" t="str">
        <f>VLOOKUP(C39,'sản lượng'!$D$99:$AP$169,39,0)</f>
        <v>A</v>
      </c>
      <c r="N39" s="2266">
        <f t="shared" si="4"/>
        <v>8795846</v>
      </c>
      <c r="O39" s="1417">
        <f>VLOOKUP(C39,TONGHOPCONGDOI!$C$105:$AA$179,20,0)</f>
        <v>23</v>
      </c>
      <c r="P39" s="1417">
        <f>VLOOKUP(C39,TONGHOPCONGDOI!$C$105:$AA$179,21,0)</f>
        <v>4</v>
      </c>
      <c r="Q39" s="1417">
        <f>VLOOKUP(C39,TONGHOPCONGDOI!$C$105:$AA$179,22,0)</f>
        <v>4</v>
      </c>
      <c r="R39" s="1417">
        <f>VLOOKUP(C39,TONGHOPCONGDOI!$C$105:$AA$179,23,0)</f>
        <v>0</v>
      </c>
      <c r="S39" s="1417">
        <f t="shared" si="5"/>
        <v>4</v>
      </c>
      <c r="T39" s="1417">
        <f>VLOOKUP(C39,TONGHOPCONGDOI!$C$105:$AA$179,25,0)</f>
        <v>0</v>
      </c>
      <c r="U39" s="1417"/>
      <c r="V39" s="1417">
        <f>VLOOKUP(C39,TONGHOPCONGDOI!$C$105:$AB$175,26,0)</f>
        <v>0</v>
      </c>
      <c r="W39" s="1417"/>
      <c r="X39" s="1417"/>
      <c r="Y39" s="1417"/>
      <c r="Z39" s="1881">
        <f t="shared" si="6"/>
        <v>1560046</v>
      </c>
      <c r="AA39" s="1420">
        <f t="shared" si="1"/>
        <v>10355892</v>
      </c>
      <c r="AB39" s="1420">
        <f t="shared" si="7"/>
        <v>10355892</v>
      </c>
      <c r="AC39" s="1459"/>
      <c r="AD39" s="1458"/>
      <c r="AF39" s="1421"/>
      <c r="AG39" s="1258"/>
    </row>
    <row r="40" spans="1:33" s="1250" customFormat="1" ht="24" customHeight="1">
      <c r="A40" s="1245">
        <v>26</v>
      </c>
      <c r="B40" s="320" t="str">
        <f>TONGHOPCONGDOI!B129</f>
        <v>03522</v>
      </c>
      <c r="C40" s="1247" t="str">
        <f>TONGHOPCONGDOI!C130</f>
        <v>T. Chay</v>
      </c>
      <c r="D40" s="1243" t="s">
        <v>15</v>
      </c>
      <c r="E40" s="1416"/>
      <c r="F40" s="1252"/>
      <c r="G40" s="1417">
        <f t="shared" si="2"/>
        <v>0</v>
      </c>
      <c r="H40" s="1417">
        <f>VLOOKUP($C$15:$C$89,'sản lượng'!$D$99:$AL$169,34,0)</f>
        <v>2588</v>
      </c>
      <c r="I40" s="1417"/>
      <c r="J40" s="1417">
        <f t="shared" si="0"/>
        <v>1127.566406057615</v>
      </c>
      <c r="K40" s="1837">
        <f>VLOOKUP($C$15:$C$89,'sản lượng'!$D$99:$AP$169,37,0)</f>
        <v>105.00914423725018</v>
      </c>
      <c r="L40" s="1837">
        <f t="shared" si="3"/>
        <v>1232.5755502948653</v>
      </c>
      <c r="M40" s="1419" t="str">
        <f>VLOOKUP(C40,'sản lượng'!$D$99:$AP$169,39,0)</f>
        <v>B</v>
      </c>
      <c r="N40" s="2266">
        <f t="shared" si="4"/>
        <v>4289363</v>
      </c>
      <c r="O40" s="1417">
        <f>VLOOKUP(C40,TONGHOPCONGDOI!$C$105:$AA$179,20,0)</f>
        <v>22</v>
      </c>
      <c r="P40" s="1417">
        <f>VLOOKUP(C40,TONGHOPCONGDOI!$C$105:$AA$179,21,0)</f>
        <v>4</v>
      </c>
      <c r="Q40" s="1417">
        <f>VLOOKUP(C40,TONGHOPCONGDOI!$C$105:$AA$179,22,0)</f>
        <v>3</v>
      </c>
      <c r="R40" s="1417">
        <f>VLOOKUP(C40,TONGHOPCONGDOI!$C$105:$AA$179,23,0)</f>
        <v>0</v>
      </c>
      <c r="S40" s="1417">
        <f t="shared" si="5"/>
        <v>3</v>
      </c>
      <c r="T40" s="1417">
        <f>VLOOKUP(C40,TONGHOPCONGDOI!$C$105:$AA$179,25,0)</f>
        <v>0</v>
      </c>
      <c r="U40" s="1417"/>
      <c r="V40" s="1417">
        <f>VLOOKUP(C40,TONGHOPCONGDOI!$C$105:$AB$175,26,0)</f>
        <v>23</v>
      </c>
      <c r="W40" s="1417"/>
      <c r="X40" s="1417"/>
      <c r="Y40" s="1417"/>
      <c r="Z40" s="1881">
        <f t="shared" si="6"/>
        <v>1827667</v>
      </c>
      <c r="AA40" s="1420">
        <f t="shared" si="1"/>
        <v>6117030</v>
      </c>
      <c r="AB40" s="1420">
        <f t="shared" si="7"/>
        <v>6117030</v>
      </c>
      <c r="AC40" s="1459"/>
      <c r="AD40" s="1458"/>
      <c r="AF40" s="1421"/>
      <c r="AG40" s="1258"/>
    </row>
    <row r="41" spans="1:33" s="1250" customFormat="1" ht="24" customHeight="1">
      <c r="A41" s="1245">
        <v>27</v>
      </c>
      <c r="B41" s="320" t="str">
        <f>TONGHOPCONGDOI!B130</f>
        <v>04130</v>
      </c>
      <c r="C41" s="1247" t="str">
        <f>TONGHOPCONGDOI!C131</f>
        <v>T. Lê</v>
      </c>
      <c r="D41" s="1243" t="s">
        <v>15</v>
      </c>
      <c r="E41" s="1416"/>
      <c r="F41" s="1252"/>
      <c r="G41" s="1417">
        <f t="shared" si="2"/>
        <v>0</v>
      </c>
      <c r="H41" s="1417">
        <f>VLOOKUP($C$15:$C$89,'sản lượng'!$D$99:$AL$169,34,0)</f>
        <v>3166</v>
      </c>
      <c r="I41" s="1417"/>
      <c r="J41" s="1417">
        <f t="shared" si="0"/>
        <v>1379.3953792806835</v>
      </c>
      <c r="K41" s="1837">
        <f>VLOOKUP($C$15:$C$89,'sản lượng'!$D$99:$AP$169,37,0)</f>
        <v>128.46172745561594</v>
      </c>
      <c r="L41" s="1837">
        <f t="shared" si="3"/>
        <v>1507.8571067362996</v>
      </c>
      <c r="M41" s="1419" t="str">
        <f>VLOOKUP(C41,'sản lượng'!$D$99:$AP$169,39,0)</f>
        <v>C</v>
      </c>
      <c r="N41" s="2266">
        <f t="shared" si="4"/>
        <v>4975928</v>
      </c>
      <c r="O41" s="1417">
        <f>VLOOKUP(C41,TONGHOPCONGDOI!$C$105:$AA$179,20,0)</f>
        <v>21</v>
      </c>
      <c r="P41" s="1417">
        <f>VLOOKUP(C41,TONGHOPCONGDOI!$C$105:$AA$179,21,0)</f>
        <v>4</v>
      </c>
      <c r="Q41" s="1417">
        <f>VLOOKUP(C41,TONGHOPCONGDOI!$C$105:$AA$179,22,0)</f>
        <v>4</v>
      </c>
      <c r="R41" s="1417">
        <f>VLOOKUP(C41,TONGHOPCONGDOI!$C$105:$AA$179,23,0)</f>
        <v>0</v>
      </c>
      <c r="S41" s="1417">
        <f t="shared" si="5"/>
        <v>4</v>
      </c>
      <c r="T41" s="1417">
        <f>VLOOKUP(C41,TONGHOPCONGDOI!$C$105:$AA$179,25,0)</f>
        <v>0</v>
      </c>
      <c r="U41" s="1417"/>
      <c r="V41" s="1417">
        <f>VLOOKUP(C41,TONGHOPCONGDOI!$C$105:$AB$175,26,0)</f>
        <v>25</v>
      </c>
      <c r="W41" s="1417"/>
      <c r="X41" s="1417"/>
      <c r="Y41" s="1417"/>
      <c r="Z41" s="1881">
        <f t="shared" si="6"/>
        <v>1998460</v>
      </c>
      <c r="AA41" s="1420">
        <f t="shared" si="1"/>
        <v>6974388</v>
      </c>
      <c r="AB41" s="1420">
        <f t="shared" si="7"/>
        <v>6974388</v>
      </c>
      <c r="AC41" s="1459"/>
      <c r="AD41" s="1458"/>
      <c r="AF41" s="1421"/>
      <c r="AG41" s="1258"/>
    </row>
    <row r="42" spans="1:33" s="1250" customFormat="1" ht="24" customHeight="1">
      <c r="A42" s="1245">
        <v>28</v>
      </c>
      <c r="B42" s="320" t="str">
        <f>TONGHOPCONGDOI!B131</f>
        <v>04131</v>
      </c>
      <c r="C42" s="1247" t="str">
        <f>TONGHOPCONGDOI!C132</f>
        <v>Nàng Chưa</v>
      </c>
      <c r="D42" s="1243" t="s">
        <v>15</v>
      </c>
      <c r="E42" s="1416"/>
      <c r="F42" s="1252"/>
      <c r="G42" s="1417">
        <f t="shared" si="2"/>
        <v>0</v>
      </c>
      <c r="H42" s="1417">
        <f>VLOOKUP($C$15:$C$89,'sản lượng'!$D$99:$AL$169,34,0)</f>
        <v>2437</v>
      </c>
      <c r="I42" s="1417"/>
      <c r="J42" s="1417">
        <f t="shared" si="0"/>
        <v>1061.777176028751</v>
      </c>
      <c r="K42" s="1837">
        <f>VLOOKUP($C$15:$C$89,'sản lượng'!$D$99:$AP$169,37,0)</f>
        <v>98.882258309960861</v>
      </c>
      <c r="L42" s="1837">
        <f t="shared" si="3"/>
        <v>1160.6594343387119</v>
      </c>
      <c r="M42" s="1419" t="str">
        <f>VLOOKUP(C42,'sản lượng'!$D$99:$AP$169,39,0)</f>
        <v>B</v>
      </c>
      <c r="N42" s="2266">
        <f t="shared" si="4"/>
        <v>4039095</v>
      </c>
      <c r="O42" s="1417">
        <f>VLOOKUP(C42,TONGHOPCONGDOI!$C$105:$AA$179,20,0)</f>
        <v>25</v>
      </c>
      <c r="P42" s="1417">
        <f>VLOOKUP(C42,TONGHOPCONGDOI!$C$105:$AA$179,21,0)</f>
        <v>4</v>
      </c>
      <c r="Q42" s="1417">
        <f>VLOOKUP(C42,TONGHOPCONGDOI!$C$105:$AA$179,22,0)</f>
        <v>2</v>
      </c>
      <c r="R42" s="1417">
        <f>VLOOKUP(C42,TONGHOPCONGDOI!$C$105:$AA$179,23,0)</f>
        <v>0</v>
      </c>
      <c r="S42" s="1417">
        <f t="shared" si="5"/>
        <v>2</v>
      </c>
      <c r="T42" s="1417">
        <f>VLOOKUP(C42,TONGHOPCONGDOI!$C$105:$AA$179,25,0)</f>
        <v>0</v>
      </c>
      <c r="U42" s="1417"/>
      <c r="V42" s="1417">
        <f>VLOOKUP(C42,TONGHOPCONGDOI!$C$105:$AB$175,26,0)</f>
        <v>33</v>
      </c>
      <c r="W42" s="1417"/>
      <c r="X42" s="1417"/>
      <c r="Y42" s="1417"/>
      <c r="Z42" s="1881">
        <f t="shared" si="6"/>
        <v>1958460</v>
      </c>
      <c r="AA42" s="1420">
        <f t="shared" si="1"/>
        <v>5997555</v>
      </c>
      <c r="AB42" s="1420">
        <f t="shared" si="7"/>
        <v>5997555</v>
      </c>
      <c r="AC42" s="1459"/>
      <c r="AD42" s="1458"/>
      <c r="AF42" s="1421"/>
      <c r="AG42" s="1258"/>
    </row>
    <row r="43" spans="1:33" s="1250" customFormat="1" ht="24" customHeight="1">
      <c r="A43" s="1245">
        <v>29</v>
      </c>
      <c r="B43" s="320">
        <f>TONGHOPCONGDOI!B132</f>
        <v>0</v>
      </c>
      <c r="C43" s="1247" t="str">
        <f>TONGHOPCONGDOI!C133</f>
        <v>Hà Đức Văn</v>
      </c>
      <c r="D43" s="1243" t="s">
        <v>15</v>
      </c>
      <c r="E43" s="1416"/>
      <c r="F43" s="1252"/>
      <c r="G43" s="1417">
        <f t="shared" si="2"/>
        <v>0</v>
      </c>
      <c r="H43" s="1417">
        <f>VLOOKUP($C$15:$C$89,'sản lượng'!$D$99:$AL$169,34,0)</f>
        <v>5057</v>
      </c>
      <c r="I43" s="1417"/>
      <c r="J43" s="1417">
        <f t="shared" si="0"/>
        <v>2203.2856705693039</v>
      </c>
      <c r="K43" s="1837">
        <f>VLOOKUP($C$15:$C$89,'sản lượng'!$D$99:$AP$169,37,0)</f>
        <v>205.18981545895448</v>
      </c>
      <c r="L43" s="1837">
        <f t="shared" si="3"/>
        <v>2408.4754860282583</v>
      </c>
      <c r="M43" s="1419" t="str">
        <f>VLOOKUP(C43,'sản lượng'!$D$99:$AP$169,39,0)</f>
        <v>A</v>
      </c>
      <c r="N43" s="2266">
        <f t="shared" si="4"/>
        <v>8815020</v>
      </c>
      <c r="O43" s="1417">
        <f>VLOOKUP(C43,TONGHOPCONGDOI!$C$105:$AA$179,20,0)</f>
        <v>23</v>
      </c>
      <c r="P43" s="1417">
        <f>VLOOKUP(C43,TONGHOPCONGDOI!$C$105:$AA$179,21,0)</f>
        <v>4</v>
      </c>
      <c r="Q43" s="1417">
        <f>VLOOKUP(C43,TONGHOPCONGDOI!$C$105:$AA$179,22,0)</f>
        <v>4</v>
      </c>
      <c r="R43" s="1417">
        <f>VLOOKUP(C43,TONGHOPCONGDOI!$C$105:$AA$179,23,0)</f>
        <v>0</v>
      </c>
      <c r="S43" s="1417">
        <f t="shared" si="5"/>
        <v>4</v>
      </c>
      <c r="T43" s="1417">
        <f>VLOOKUP(C43,TONGHOPCONGDOI!$C$105:$AA$179,25,0)</f>
        <v>0</v>
      </c>
      <c r="U43" s="1417"/>
      <c r="V43" s="1417">
        <f>VLOOKUP(C43,TONGHOPCONGDOI!$C$105:$AB$175,26,0)</f>
        <v>0</v>
      </c>
      <c r="W43" s="1417"/>
      <c r="X43" s="1417"/>
      <c r="Y43" s="1417"/>
      <c r="Z43" s="1881">
        <f t="shared" si="6"/>
        <v>1560046</v>
      </c>
      <c r="AA43" s="1420">
        <f t="shared" si="1"/>
        <v>10375066</v>
      </c>
      <c r="AB43" s="1420">
        <f t="shared" si="7"/>
        <v>10375066</v>
      </c>
      <c r="AC43" s="1459"/>
      <c r="AD43" s="1458"/>
      <c r="AF43" s="1421"/>
      <c r="AG43" s="1258"/>
    </row>
    <row r="44" spans="1:33" s="1250" customFormat="1" ht="24" customHeight="1">
      <c r="A44" s="1245">
        <v>30</v>
      </c>
      <c r="B44" s="320" t="str">
        <f>TONGHOPCONGDOI!B133</f>
        <v>04132</v>
      </c>
      <c r="C44" s="1247" t="str">
        <f>TONGHOPCONGDOI!C134</f>
        <v>N. Không</v>
      </c>
      <c r="D44" s="1243" t="s">
        <v>15</v>
      </c>
      <c r="E44" s="1416"/>
      <c r="F44" s="1252"/>
      <c r="G44" s="1417">
        <f t="shared" si="2"/>
        <v>0</v>
      </c>
      <c r="H44" s="1417">
        <f>VLOOKUP($C$15:$C$89,'sản lượng'!$D$99:$AL$169,34,0)</f>
        <v>3399</v>
      </c>
      <c r="I44" s="1417"/>
      <c r="J44" s="1417">
        <f t="shared" si="0"/>
        <v>1480.9112110470762</v>
      </c>
      <c r="K44" s="1837">
        <f>VLOOKUP($C$15:$C$89,'sản lượng'!$D$99:$AP$169,37,0)</f>
        <v>137.91579646924782</v>
      </c>
      <c r="L44" s="1837">
        <f t="shared" si="3"/>
        <v>1618.8270075163241</v>
      </c>
      <c r="M44" s="1419" t="str">
        <f>VLOOKUP(C44,'sản lượng'!$D$99:$AP$169,39,0)</f>
        <v>A</v>
      </c>
      <c r="N44" s="2266">
        <f t="shared" si="4"/>
        <v>5924907</v>
      </c>
      <c r="O44" s="1417">
        <f>VLOOKUP(C44,TONGHOPCONGDOI!$C$105:$AA$179,20,0)</f>
        <v>24</v>
      </c>
      <c r="P44" s="1417">
        <f>VLOOKUP(C44,TONGHOPCONGDOI!$C$105:$AA$179,21,0)</f>
        <v>4</v>
      </c>
      <c r="Q44" s="1417">
        <f>VLOOKUP(C44,TONGHOPCONGDOI!$C$105:$AA$179,22,0)</f>
        <v>3</v>
      </c>
      <c r="R44" s="1417">
        <f>VLOOKUP(C44,TONGHOPCONGDOI!$C$105:$AA$179,23,0)</f>
        <v>0</v>
      </c>
      <c r="S44" s="1417">
        <f t="shared" si="5"/>
        <v>3</v>
      </c>
      <c r="T44" s="1417">
        <f>VLOOKUP(C44,TONGHOPCONGDOI!$C$105:$AA$179,25,0)</f>
        <v>0</v>
      </c>
      <c r="U44" s="1417"/>
      <c r="V44" s="1417">
        <f>VLOOKUP(C44,TONGHOPCONGDOI!$C$105:$AB$175,26,0)</f>
        <v>0</v>
      </c>
      <c r="W44" s="1417"/>
      <c r="X44" s="1417"/>
      <c r="Y44" s="1417"/>
      <c r="Z44" s="1881">
        <f t="shared" si="6"/>
        <v>1429253</v>
      </c>
      <c r="AA44" s="1420">
        <f t="shared" si="1"/>
        <v>7354160</v>
      </c>
      <c r="AB44" s="1420">
        <f t="shared" si="7"/>
        <v>7354160</v>
      </c>
      <c r="AC44" s="1459"/>
      <c r="AD44" s="1458"/>
      <c r="AF44" s="1421"/>
      <c r="AG44" s="1258"/>
    </row>
    <row r="45" spans="1:33" s="1250" customFormat="1" ht="24" customHeight="1">
      <c r="A45" s="1245">
        <v>31</v>
      </c>
      <c r="B45" s="320" t="str">
        <f>TONGHOPCONGDOI!B134</f>
        <v>03507</v>
      </c>
      <c r="C45" s="1247" t="str">
        <f>TONGHOPCONGDOI!C135</f>
        <v>T. Đăm</v>
      </c>
      <c r="D45" s="1243" t="s">
        <v>15</v>
      </c>
      <c r="E45" s="1416"/>
      <c r="F45" s="1252"/>
      <c r="G45" s="1417">
        <f t="shared" si="2"/>
        <v>0</v>
      </c>
      <c r="H45" s="1417">
        <f>VLOOKUP($C$15:$C$89,'sản lượng'!$D$99:$AL$169,34,0)</f>
        <v>3518</v>
      </c>
      <c r="I45" s="1417"/>
      <c r="J45" s="1417">
        <f t="shared" si="0"/>
        <v>1532.7583525930022</v>
      </c>
      <c r="K45" s="1837">
        <f>VLOOKUP($C$15:$C$89,'sản lượng'!$D$99:$AP$169,37,0)</f>
        <v>142.74426948479373</v>
      </c>
      <c r="L45" s="1837">
        <f t="shared" si="3"/>
        <v>1675.5026220777959</v>
      </c>
      <c r="M45" s="1419" t="str">
        <f>VLOOKUP(C45,'sản lượng'!$D$99:$AP$169,39,0)</f>
        <v>A</v>
      </c>
      <c r="N45" s="2266">
        <f t="shared" si="4"/>
        <v>6132340</v>
      </c>
      <c r="O45" s="1417">
        <f>VLOOKUP(C45,TONGHOPCONGDOI!$C$105:$AA$179,20,0)</f>
        <v>24</v>
      </c>
      <c r="P45" s="1417">
        <f>VLOOKUP(C45,TONGHOPCONGDOI!$C$105:$AA$179,21,0)</f>
        <v>4</v>
      </c>
      <c r="Q45" s="1417">
        <f>VLOOKUP(C45,TONGHOPCONGDOI!$C$105:$AA$179,22,0)</f>
        <v>2</v>
      </c>
      <c r="R45" s="1417">
        <f>VLOOKUP(C45,TONGHOPCONGDOI!$C$105:$AA$179,23,0)</f>
        <v>0</v>
      </c>
      <c r="S45" s="1417">
        <f t="shared" si="5"/>
        <v>2</v>
      </c>
      <c r="T45" s="1417">
        <f>VLOOKUP(C45,TONGHOPCONGDOI!$C$105:$AA$179,25,0)</f>
        <v>0</v>
      </c>
      <c r="U45" s="1417"/>
      <c r="V45" s="1417">
        <f>VLOOKUP(C45,TONGHOPCONGDOI!$C$105:$AB$175,26,0)</f>
        <v>0</v>
      </c>
      <c r="W45" s="1417"/>
      <c r="X45" s="1417"/>
      <c r="Y45" s="1417"/>
      <c r="Z45" s="1881">
        <f t="shared" si="6"/>
        <v>1267667</v>
      </c>
      <c r="AA45" s="1420">
        <f t="shared" si="1"/>
        <v>7400007</v>
      </c>
      <c r="AB45" s="1420">
        <f t="shared" si="7"/>
        <v>7400007</v>
      </c>
      <c r="AC45" s="1459"/>
      <c r="AD45" s="1458"/>
      <c r="AF45" s="1421"/>
      <c r="AG45" s="1258"/>
    </row>
    <row r="46" spans="1:33" s="1250" customFormat="1" ht="24" customHeight="1">
      <c r="A46" s="1245">
        <v>32</v>
      </c>
      <c r="B46" s="320" t="str">
        <f>TONGHOPCONGDOI!B135</f>
        <v>03574</v>
      </c>
      <c r="C46" s="1247" t="str">
        <f>TONGHOPCONGDOI!C136</f>
        <v xml:space="preserve">Văn Na  </v>
      </c>
      <c r="D46" s="1243" t="s">
        <v>15</v>
      </c>
      <c r="E46" s="1416"/>
      <c r="F46" s="1252"/>
      <c r="G46" s="1417">
        <f t="shared" si="2"/>
        <v>0</v>
      </c>
      <c r="H46" s="1417">
        <f>VLOOKUP($C$15:$C$89,'sản lượng'!$D$99:$AL$169,34,0)</f>
        <v>6072</v>
      </c>
      <c r="I46" s="1417"/>
      <c r="J46" s="1417">
        <f t="shared" si="0"/>
        <v>2645.5112896374953</v>
      </c>
      <c r="K46" s="1837">
        <f>VLOOKUP($C$15:$C$89,'sản lượng'!$D$99:$AP$169,37,0)</f>
        <v>246.37385000331651</v>
      </c>
      <c r="L46" s="1837">
        <f t="shared" si="3"/>
        <v>2891.8851396408118</v>
      </c>
      <c r="M46" s="1419" t="str">
        <f>VLOOKUP(C46,'sản lượng'!$D$99:$AP$169,39,0)</f>
        <v>A</v>
      </c>
      <c r="N46" s="2266">
        <f t="shared" si="4"/>
        <v>10584300</v>
      </c>
      <c r="O46" s="1417">
        <f>VLOOKUP(C46,TONGHOPCONGDOI!$C$105:$AA$179,20,0)</f>
        <v>23</v>
      </c>
      <c r="P46" s="1417">
        <f>VLOOKUP(C46,TONGHOPCONGDOI!$C$105:$AA$179,21,0)</f>
        <v>4</v>
      </c>
      <c r="Q46" s="1417">
        <f>VLOOKUP(C46,TONGHOPCONGDOI!$C$105:$AA$179,22,0)</f>
        <v>3</v>
      </c>
      <c r="R46" s="1417">
        <f>VLOOKUP(C46,TONGHOPCONGDOI!$C$105:$AA$179,23,0)</f>
        <v>0</v>
      </c>
      <c r="S46" s="1417">
        <f t="shared" si="5"/>
        <v>3</v>
      </c>
      <c r="T46" s="1417">
        <f>VLOOKUP(C46,TONGHOPCONGDOI!$C$105:$AA$179,25,0)</f>
        <v>0</v>
      </c>
      <c r="U46" s="1417"/>
      <c r="V46" s="1417">
        <f>VLOOKUP(C46,TONGHOPCONGDOI!$C$105:$AB$175,26,0)</f>
        <v>0</v>
      </c>
      <c r="W46" s="1417"/>
      <c r="X46" s="1417"/>
      <c r="Y46" s="1417"/>
      <c r="Z46" s="1881">
        <f t="shared" si="6"/>
        <v>1398460</v>
      </c>
      <c r="AA46" s="1420">
        <f t="shared" si="1"/>
        <v>11982760</v>
      </c>
      <c r="AB46" s="1420">
        <f t="shared" si="7"/>
        <v>11982760</v>
      </c>
      <c r="AC46" s="1459"/>
      <c r="AD46" s="1458"/>
      <c r="AF46" s="1421"/>
      <c r="AG46" s="1258"/>
    </row>
    <row r="47" spans="1:33" s="1250" customFormat="1" ht="24" customHeight="1">
      <c r="A47" s="1245">
        <v>33</v>
      </c>
      <c r="B47" s="320" t="str">
        <f>TONGHOPCONGDOI!B136</f>
        <v>04133</v>
      </c>
      <c r="C47" s="1247" t="str">
        <f>TONGHOPCONGDOI!C137</f>
        <v>N. Lẹ</v>
      </c>
      <c r="D47" s="1243" t="s">
        <v>15</v>
      </c>
      <c r="E47" s="1416"/>
      <c r="F47" s="1252"/>
      <c r="G47" s="1417">
        <f t="shared" si="2"/>
        <v>0</v>
      </c>
      <c r="H47" s="1417">
        <f>VLOOKUP($C$15:$C$89,'sản lượng'!$D$99:$AL$169,34,0)</f>
        <v>5911</v>
      </c>
      <c r="I47" s="1417"/>
      <c r="J47" s="1417">
        <f t="shared" ref="J47:J78" si="8">H47*$AF$6</f>
        <v>2575.3651569577132</v>
      </c>
      <c r="K47" s="1837">
        <f>VLOOKUP($C$15:$C$89,'sản lượng'!$D$99:$AP$169,37,0)</f>
        <v>239.84121004110736</v>
      </c>
      <c r="L47" s="1837">
        <f t="shared" si="3"/>
        <v>2815.2063669988206</v>
      </c>
      <c r="M47" s="1419" t="str">
        <f>VLOOKUP(C47,'sản lượng'!$D$99:$AP$169,39,0)</f>
        <v>A</v>
      </c>
      <c r="N47" s="2266">
        <f t="shared" si="4"/>
        <v>10303655</v>
      </c>
      <c r="O47" s="1417">
        <f>VLOOKUP(C47,TONGHOPCONGDOI!$C$105:$AA$179,20,0)</f>
        <v>24</v>
      </c>
      <c r="P47" s="1417">
        <f>VLOOKUP(C47,TONGHOPCONGDOI!$C$105:$AA$179,21,0)</f>
        <v>4</v>
      </c>
      <c r="Q47" s="1417">
        <f>VLOOKUP(C47,TONGHOPCONGDOI!$C$105:$AA$179,22,0)</f>
        <v>3</v>
      </c>
      <c r="R47" s="1417">
        <f>VLOOKUP(C47,TONGHOPCONGDOI!$C$105:$AA$179,23,0)</f>
        <v>0</v>
      </c>
      <c r="S47" s="1417">
        <f t="shared" si="5"/>
        <v>3</v>
      </c>
      <c r="T47" s="1417">
        <f>VLOOKUP(C47,TONGHOPCONGDOI!$C$105:$AA$179,25,0)</f>
        <v>0</v>
      </c>
      <c r="U47" s="1417"/>
      <c r="V47" s="1417">
        <f>VLOOKUP(C47,TONGHOPCONGDOI!$C$105:$AB$175,26,0)</f>
        <v>0</v>
      </c>
      <c r="W47" s="1417"/>
      <c r="X47" s="1417"/>
      <c r="Y47" s="1417"/>
      <c r="Z47" s="1881">
        <f t="shared" si="6"/>
        <v>1429253</v>
      </c>
      <c r="AA47" s="1420">
        <f t="shared" ref="AA47:AA78" si="9">+N47+G47+Z47</f>
        <v>11732908</v>
      </c>
      <c r="AB47" s="1420">
        <f t="shared" si="7"/>
        <v>11732908</v>
      </c>
      <c r="AC47" s="1459"/>
      <c r="AD47" s="1458"/>
      <c r="AF47" s="1421"/>
      <c r="AG47" s="1258"/>
    </row>
    <row r="48" spans="1:33" s="1250" customFormat="1" ht="24" customHeight="1">
      <c r="A48" s="1245">
        <v>34</v>
      </c>
      <c r="B48" s="320" t="str">
        <f>TONGHOPCONGDOI!B137</f>
        <v>03597</v>
      </c>
      <c r="C48" s="1247" t="str">
        <f>TONGHOPCONGDOI!C138</f>
        <v>T. Mi</v>
      </c>
      <c r="D48" s="1243" t="s">
        <v>15</v>
      </c>
      <c r="E48" s="1416"/>
      <c r="F48" s="1252"/>
      <c r="G48" s="1417">
        <f t="shared" si="2"/>
        <v>0</v>
      </c>
      <c r="H48" s="1417">
        <f>VLOOKUP($C$15:$C$89,'sản lượng'!$D$99:$AL$169,34,0)</f>
        <v>3006</v>
      </c>
      <c r="I48" s="1417"/>
      <c r="J48" s="1417">
        <f t="shared" si="8"/>
        <v>1309.6849368659932</v>
      </c>
      <c r="K48" s="1837">
        <f>VLOOKUP($C$15:$C$89,'sản lượng'!$D$99:$AP$169,37,0)</f>
        <v>121.96966289689878</v>
      </c>
      <c r="L48" s="1837">
        <f t="shared" si="3"/>
        <v>1431.6545997628921</v>
      </c>
      <c r="M48" s="1419" t="str">
        <f>VLOOKUP(C48,'sản lượng'!$D$99:$AP$169,39,0)</f>
        <v>B</v>
      </c>
      <c r="N48" s="2266">
        <f t="shared" si="4"/>
        <v>4982158</v>
      </c>
      <c r="O48" s="1417">
        <f>VLOOKUP(C48,TONGHOPCONGDOI!$C$105:$AA$179,20,0)</f>
        <v>22</v>
      </c>
      <c r="P48" s="1417">
        <f>VLOOKUP(C48,TONGHOPCONGDOI!$C$105:$AA$179,21,0)</f>
        <v>3</v>
      </c>
      <c r="Q48" s="1417">
        <f>VLOOKUP(C48,TONGHOPCONGDOI!$C$105:$AA$179,22,0)</f>
        <v>4</v>
      </c>
      <c r="R48" s="1417">
        <f>VLOOKUP(C48,TONGHOPCONGDOI!$C$105:$AA$179,23,0)</f>
        <v>0</v>
      </c>
      <c r="S48" s="1417">
        <f t="shared" si="5"/>
        <v>4</v>
      </c>
      <c r="T48" s="1417">
        <f>VLOOKUP(C48,TONGHOPCONGDOI!$C$105:$AA$179,25,0)</f>
        <v>0</v>
      </c>
      <c r="U48" s="1417"/>
      <c r="V48" s="1417">
        <f>VLOOKUP(C48,TONGHOPCONGDOI!$C$105:$AB$175,26,0)</f>
        <v>24</v>
      </c>
      <c r="W48" s="1417"/>
      <c r="X48" s="1417"/>
      <c r="Y48" s="1417"/>
      <c r="Z48" s="1881">
        <f t="shared" si="6"/>
        <v>1957887</v>
      </c>
      <c r="AA48" s="1420">
        <f t="shared" si="9"/>
        <v>6940045</v>
      </c>
      <c r="AB48" s="1420">
        <f t="shared" si="7"/>
        <v>6940045</v>
      </c>
      <c r="AC48" s="1459"/>
      <c r="AD48" s="1458"/>
      <c r="AF48" s="1421"/>
      <c r="AG48" s="1258"/>
    </row>
    <row r="49" spans="1:33" s="1250" customFormat="1" ht="24" customHeight="1">
      <c r="A49" s="1245">
        <v>35</v>
      </c>
      <c r="B49" s="320" t="str">
        <f>TONGHOPCONGDOI!B138</f>
        <v>04134</v>
      </c>
      <c r="C49" s="1247" t="str">
        <f>TONGHOPCONGDOI!C139</f>
        <v>Thảo Pi</v>
      </c>
      <c r="D49" s="1243" t="s">
        <v>15</v>
      </c>
      <c r="E49" s="1416"/>
      <c r="F49" s="1252"/>
      <c r="G49" s="1417">
        <f t="shared" si="2"/>
        <v>0</v>
      </c>
      <c r="H49" s="1417">
        <f>VLOOKUP($C$15:$C$89,'sản lượng'!$D$99:$AL$169,34,0)</f>
        <v>806</v>
      </c>
      <c r="I49" s="1417"/>
      <c r="J49" s="1417">
        <f t="shared" si="8"/>
        <v>351.1663536640022</v>
      </c>
      <c r="K49" s="1837">
        <f>VLOOKUP($C$15:$C$89,'sản lượng'!$D$99:$AP$169,37,0)</f>
        <v>32.703775214537735</v>
      </c>
      <c r="L49" s="1837">
        <f t="shared" si="3"/>
        <v>383.87012887853996</v>
      </c>
      <c r="M49" s="1419" t="str">
        <f>VLOOKUP(C49,'sản lượng'!$D$99:$AP$169,39,0)</f>
        <v>B</v>
      </c>
      <c r="N49" s="2266">
        <f t="shared" si="4"/>
        <v>1335868</v>
      </c>
      <c r="O49" s="1417">
        <f>VLOOKUP(C49,TONGHOPCONGDOI!$C$105:$AA$179,20,0)</f>
        <v>7</v>
      </c>
      <c r="P49" s="1417">
        <f>VLOOKUP(C49,TONGHOPCONGDOI!$C$105:$AA$179,21,0)</f>
        <v>1</v>
      </c>
      <c r="Q49" s="1417">
        <f>VLOOKUP(C49,TONGHOPCONGDOI!$C$105:$AA$179,22,0)</f>
        <v>2</v>
      </c>
      <c r="R49" s="1417">
        <f>VLOOKUP(C49,TONGHOPCONGDOI!$C$105:$AA$179,23,0)</f>
        <v>0</v>
      </c>
      <c r="S49" s="1417">
        <f t="shared" si="5"/>
        <v>2</v>
      </c>
      <c r="T49" s="1417">
        <f>VLOOKUP(C49,TONGHOPCONGDOI!$C$105:$AA$179,25,0)</f>
        <v>0</v>
      </c>
      <c r="U49" s="1417"/>
      <c r="V49" s="1417">
        <f>VLOOKUP(C49,TONGHOPCONGDOI!$C$105:$AB$175,26,0)</f>
        <v>12</v>
      </c>
      <c r="W49" s="1417"/>
      <c r="X49" s="1417"/>
      <c r="Y49" s="1417"/>
      <c r="Z49" s="1881">
        <f t="shared" si="6"/>
        <v>830089</v>
      </c>
      <c r="AA49" s="1420">
        <f t="shared" si="9"/>
        <v>2165957</v>
      </c>
      <c r="AB49" s="1420">
        <f t="shared" si="7"/>
        <v>2165957</v>
      </c>
      <c r="AC49" s="1459"/>
      <c r="AD49" s="1458"/>
      <c r="AF49" s="1421"/>
      <c r="AG49" s="1258"/>
    </row>
    <row r="50" spans="1:33" s="1250" customFormat="1" ht="24" customHeight="1">
      <c r="A50" s="1245">
        <v>36</v>
      </c>
      <c r="B50" s="320">
        <f>TONGHOPCONGDOI!B139</f>
        <v>0</v>
      </c>
      <c r="C50" s="1247" t="str">
        <f>TONGHOPCONGDOI!C140</f>
        <v>T. Mút</v>
      </c>
      <c r="D50" s="1243" t="s">
        <v>15</v>
      </c>
      <c r="E50" s="1416"/>
      <c r="F50" s="1252"/>
      <c r="G50" s="1417">
        <f t="shared" si="2"/>
        <v>0</v>
      </c>
      <c r="H50" s="1417">
        <f>VLOOKUP($C$15:$C$89,'sản lượng'!$D$99:$AL$169,34,0)</f>
        <v>3443</v>
      </c>
      <c r="I50" s="1417"/>
      <c r="J50" s="1417">
        <f t="shared" si="8"/>
        <v>1500.081582711116</v>
      </c>
      <c r="K50" s="1837">
        <f>VLOOKUP($C$15:$C$89,'sản lượng'!$D$99:$AP$169,37,0)</f>
        <v>139.70111422289506</v>
      </c>
      <c r="L50" s="1837">
        <f t="shared" si="3"/>
        <v>1639.782696934011</v>
      </c>
      <c r="M50" s="1419" t="str">
        <f>VLOOKUP(C50,'sản lượng'!$D$99:$AP$169,39,0)</f>
        <v>B</v>
      </c>
      <c r="N50" s="2266">
        <f t="shared" si="4"/>
        <v>5706444</v>
      </c>
      <c r="O50" s="1417">
        <f>VLOOKUP(C50,TONGHOPCONGDOI!$C$105:$AA$179,20,0)</f>
        <v>23</v>
      </c>
      <c r="P50" s="1417">
        <f>VLOOKUP(C50,TONGHOPCONGDOI!$C$105:$AA$179,21,0)</f>
        <v>3</v>
      </c>
      <c r="Q50" s="1417">
        <f>VLOOKUP(C50,TONGHOPCONGDOI!$C$105:$AA$179,22,0)</f>
        <v>4</v>
      </c>
      <c r="R50" s="1417">
        <f>VLOOKUP(C50,TONGHOPCONGDOI!$C$105:$AA$179,23,0)</f>
        <v>0</v>
      </c>
      <c r="S50" s="1417">
        <f t="shared" si="5"/>
        <v>4</v>
      </c>
      <c r="T50" s="1417">
        <f>VLOOKUP(C50,TONGHOPCONGDOI!$C$105:$AA$179,25,0)</f>
        <v>0</v>
      </c>
      <c r="U50" s="1417"/>
      <c r="V50" s="1417">
        <f>VLOOKUP(C50,TONGHOPCONGDOI!$C$105:$AB$175,26,0)</f>
        <v>34</v>
      </c>
      <c r="W50" s="1417"/>
      <c r="X50" s="1417"/>
      <c r="Y50" s="1417"/>
      <c r="Z50" s="1881">
        <f t="shared" si="6"/>
        <v>2188680</v>
      </c>
      <c r="AA50" s="1420">
        <f t="shared" si="9"/>
        <v>7895124</v>
      </c>
      <c r="AB50" s="1420">
        <f t="shared" si="7"/>
        <v>7895124</v>
      </c>
      <c r="AC50" s="1459"/>
      <c r="AD50" s="1458"/>
      <c r="AF50" s="1421"/>
      <c r="AG50" s="1258"/>
    </row>
    <row r="51" spans="1:33" s="1250" customFormat="1" ht="24" customHeight="1">
      <c r="A51" s="1245">
        <v>37</v>
      </c>
      <c r="B51" s="320" t="str">
        <f>TONGHOPCONGDOI!B140</f>
        <v>04136</v>
      </c>
      <c r="C51" s="1247" t="str">
        <f>TONGHOPCONGDOI!C141</f>
        <v>T. Lươn</v>
      </c>
      <c r="D51" s="1243" t="s">
        <v>15</v>
      </c>
      <c r="E51" s="1416"/>
      <c r="F51" s="1252"/>
      <c r="G51" s="1417">
        <f t="shared" si="2"/>
        <v>0</v>
      </c>
      <c r="H51" s="1417">
        <f>VLOOKUP($C$15:$C$89,'sản lượng'!$D$99:$AL$169,34,0)</f>
        <v>2670</v>
      </c>
      <c r="I51" s="1417"/>
      <c r="J51" s="1417">
        <f t="shared" si="8"/>
        <v>1163.2930077951437</v>
      </c>
      <c r="K51" s="1837">
        <f>VLOOKUP($C$15:$C$89,'sản lượng'!$D$99:$AP$169,37,0)</f>
        <v>108.33632732359274</v>
      </c>
      <c r="L51" s="1837">
        <f t="shared" si="3"/>
        <v>1271.6293351187364</v>
      </c>
      <c r="M51" s="1419" t="str">
        <f>VLOOKUP(C51,'sản lượng'!$D$99:$AP$169,39,0)</f>
        <v>B</v>
      </c>
      <c r="N51" s="2266">
        <f t="shared" si="4"/>
        <v>4425270</v>
      </c>
      <c r="O51" s="1417">
        <f>VLOOKUP(C51,TONGHOPCONGDOI!$C$105:$AA$179,20,0)</f>
        <v>19</v>
      </c>
      <c r="P51" s="1417">
        <f>VLOOKUP(C51,TONGHOPCONGDOI!$C$105:$AA$179,21,0)</f>
        <v>4</v>
      </c>
      <c r="Q51" s="1417">
        <f>VLOOKUP(C51,TONGHOPCONGDOI!$C$105:$AA$179,22,0)</f>
        <v>4</v>
      </c>
      <c r="R51" s="1417">
        <f>VLOOKUP(C51,TONGHOPCONGDOI!$C$105:$AA$179,23,0)</f>
        <v>0</v>
      </c>
      <c r="S51" s="1417">
        <f t="shared" si="5"/>
        <v>4</v>
      </c>
      <c r="T51" s="1417">
        <f>VLOOKUP(C51,TONGHOPCONGDOI!$C$105:$AA$179,25,0)</f>
        <v>0</v>
      </c>
      <c r="U51" s="1417"/>
      <c r="V51" s="1417">
        <f>VLOOKUP(C51,TONGHOPCONGDOI!$C$105:$AB$175,26,0)</f>
        <v>23</v>
      </c>
      <c r="W51" s="1417"/>
      <c r="X51" s="1417"/>
      <c r="Y51" s="1417"/>
      <c r="Z51" s="1881">
        <f t="shared" si="6"/>
        <v>1896874</v>
      </c>
      <c r="AA51" s="1420">
        <f t="shared" si="9"/>
        <v>6322144</v>
      </c>
      <c r="AB51" s="1420">
        <f t="shared" si="7"/>
        <v>6322144</v>
      </c>
      <c r="AC51" s="1459"/>
      <c r="AD51" s="1458"/>
      <c r="AF51" s="1421"/>
      <c r="AG51" s="1258"/>
    </row>
    <row r="52" spans="1:33" s="1250" customFormat="1" ht="24" customHeight="1">
      <c r="A52" s="1245">
        <v>38</v>
      </c>
      <c r="B52" s="320" t="str">
        <f>TONGHOPCONGDOI!B141</f>
        <v>04137</v>
      </c>
      <c r="C52" s="1247" t="str">
        <f>TONGHOPCONGDOI!C142</f>
        <v>N. Đon</v>
      </c>
      <c r="D52" s="1243" t="s">
        <v>15</v>
      </c>
      <c r="E52" s="1416"/>
      <c r="F52" s="1252"/>
      <c r="G52" s="1417">
        <f t="shared" si="2"/>
        <v>0</v>
      </c>
      <c r="H52" s="1417">
        <f>VLOOKUP($C$15:$C$89,'sản lượng'!$D$99:$AL$169,34,0)</f>
        <v>1845</v>
      </c>
      <c r="I52" s="1417"/>
      <c r="J52" s="1417">
        <f t="shared" si="8"/>
        <v>803.8485390943971</v>
      </c>
      <c r="K52" s="1837">
        <f>VLOOKUP($C$15:$C$89,'sản lượng'!$D$99:$AP$169,37,0)</f>
        <v>74.861619442707337</v>
      </c>
      <c r="L52" s="1837">
        <f t="shared" si="3"/>
        <v>878.71015853710446</v>
      </c>
      <c r="M52" s="1419" t="str">
        <f>VLOOKUP(C52,'sản lượng'!$D$99:$AP$169,39,0)</f>
        <v>A</v>
      </c>
      <c r="N52" s="2266">
        <f t="shared" si="4"/>
        <v>3216079</v>
      </c>
      <c r="O52" s="1417">
        <f>VLOOKUP(C52,TONGHOPCONGDOI!$C$105:$AA$179,20,0)</f>
        <v>15</v>
      </c>
      <c r="P52" s="1417">
        <f>VLOOKUP(C52,TONGHOPCONGDOI!$C$105:$AA$179,21,0)</f>
        <v>2</v>
      </c>
      <c r="Q52" s="1417">
        <f>VLOOKUP(C52,TONGHOPCONGDOI!$C$105:$AA$179,22,0)</f>
        <v>2</v>
      </c>
      <c r="R52" s="1417">
        <f>VLOOKUP(C52,TONGHOPCONGDOI!$C$105:$AA$179,23,0)</f>
        <v>0</v>
      </c>
      <c r="S52" s="1417">
        <f t="shared" si="5"/>
        <v>2</v>
      </c>
      <c r="T52" s="1417">
        <f>VLOOKUP(C52,TONGHOPCONGDOI!$C$105:$AA$179,25,0)</f>
        <v>0</v>
      </c>
      <c r="U52" s="1417"/>
      <c r="V52" s="1417">
        <f>VLOOKUP(C52,TONGHOPCONGDOI!$C$105:$AB$175,26,0)</f>
        <v>15</v>
      </c>
      <c r="W52" s="1417"/>
      <c r="X52" s="1417"/>
      <c r="Y52" s="1417"/>
      <c r="Z52" s="1881">
        <f t="shared" si="6"/>
        <v>1187798</v>
      </c>
      <c r="AA52" s="1420">
        <f t="shared" si="9"/>
        <v>4403877</v>
      </c>
      <c r="AB52" s="1420">
        <f t="shared" si="7"/>
        <v>4403877</v>
      </c>
      <c r="AC52" s="1459"/>
      <c r="AD52" s="1458"/>
      <c r="AF52" s="1421"/>
      <c r="AG52" s="1258"/>
    </row>
    <row r="53" spans="1:33" s="1250" customFormat="1" ht="24" customHeight="1">
      <c r="A53" s="1245">
        <v>39</v>
      </c>
      <c r="B53" s="320" t="str">
        <f>TONGHOPCONGDOI!B142</f>
        <v>03512</v>
      </c>
      <c r="C53" s="1247" t="str">
        <f>TONGHOPCONGDOI!C143</f>
        <v>T. Ô</v>
      </c>
      <c r="D53" s="1243" t="s">
        <v>15</v>
      </c>
      <c r="E53" s="1416"/>
      <c r="F53" s="1252"/>
      <c r="G53" s="1417">
        <f t="shared" si="2"/>
        <v>0</v>
      </c>
      <c r="H53" s="1417">
        <f>VLOOKUP($C$15:$C$89,'sản lượng'!$D$99:$AL$169,34,0)</f>
        <v>3177</v>
      </c>
      <c r="I53" s="1417"/>
      <c r="J53" s="1417">
        <f t="shared" si="8"/>
        <v>1384.1879721966934</v>
      </c>
      <c r="K53" s="1837">
        <f>VLOOKUP($C$15:$C$89,'sản lượng'!$D$99:$AP$169,37,0)</f>
        <v>128.90805689402777</v>
      </c>
      <c r="L53" s="1837">
        <f t="shared" si="3"/>
        <v>1513.0960290907212</v>
      </c>
      <c r="M53" s="1419" t="str">
        <f>VLOOKUP(C53,'sản lượng'!$D$99:$AP$169,39,0)</f>
        <v>A</v>
      </c>
      <c r="N53" s="2266">
        <f t="shared" si="4"/>
        <v>5537931</v>
      </c>
      <c r="O53" s="1417">
        <f>VLOOKUP(C53,TONGHOPCONGDOI!$C$105:$AA$179,20,0)</f>
        <v>21</v>
      </c>
      <c r="P53" s="1417">
        <f>VLOOKUP(C53,TONGHOPCONGDOI!$C$105:$AA$179,21,0)</f>
        <v>4</v>
      </c>
      <c r="Q53" s="1417">
        <f>VLOOKUP(C53,TONGHOPCONGDOI!$C$105:$AA$179,22,0)</f>
        <v>5</v>
      </c>
      <c r="R53" s="1417">
        <f>VLOOKUP(C53,TONGHOPCONGDOI!$C$105:$AA$179,23,0)</f>
        <v>0</v>
      </c>
      <c r="S53" s="1417">
        <f t="shared" si="5"/>
        <v>5</v>
      </c>
      <c r="T53" s="1417">
        <f>VLOOKUP(C53,TONGHOPCONGDOI!$C$105:$AA$179,25,0)</f>
        <v>0</v>
      </c>
      <c r="U53" s="1417"/>
      <c r="V53" s="1417">
        <f>VLOOKUP(C53,TONGHOPCONGDOI!$C$105:$AB$175,26,0)</f>
        <v>26</v>
      </c>
      <c r="W53" s="1417"/>
      <c r="X53" s="1417"/>
      <c r="Y53" s="1417"/>
      <c r="Z53" s="1881">
        <f t="shared" si="6"/>
        <v>2180046</v>
      </c>
      <c r="AA53" s="1420">
        <f t="shared" si="9"/>
        <v>7717977</v>
      </c>
      <c r="AB53" s="1420">
        <f t="shared" si="7"/>
        <v>7717977</v>
      </c>
      <c r="AC53" s="1459"/>
      <c r="AD53" s="1458"/>
      <c r="AF53" s="1421"/>
      <c r="AG53" s="1258"/>
    </row>
    <row r="54" spans="1:33" s="1250" customFormat="1" ht="24" customHeight="1">
      <c r="A54" s="1245">
        <v>40</v>
      </c>
      <c r="B54" s="320" t="str">
        <f>TONGHOPCONGDOI!B143</f>
        <v>03683</v>
      </c>
      <c r="C54" s="1247" t="str">
        <f>TONGHOPCONGDOI!C144</f>
        <v>N. Su Pha</v>
      </c>
      <c r="D54" s="1243" t="s">
        <v>15</v>
      </c>
      <c r="E54" s="1416"/>
      <c r="F54" s="1252"/>
      <c r="G54" s="1417">
        <f t="shared" si="2"/>
        <v>0</v>
      </c>
      <c r="H54" s="1417">
        <f>VLOOKUP($C$15:$C$89,'sản lượng'!$D$99:$AL$169,34,0)</f>
        <v>3171</v>
      </c>
      <c r="I54" s="1417"/>
      <c r="J54" s="1417">
        <f t="shared" si="8"/>
        <v>1381.5738306061426</v>
      </c>
      <c r="K54" s="1837">
        <f>VLOOKUP($C$15:$C$89,'sản lượng'!$D$99:$AP$169,37,0)</f>
        <v>128.66460447307585</v>
      </c>
      <c r="L54" s="1837">
        <f t="shared" si="3"/>
        <v>1510.2384350792183</v>
      </c>
      <c r="M54" s="1419" t="str">
        <f>VLOOKUP(C54,'sản lượng'!$D$99:$AP$169,39,0)</f>
        <v>B</v>
      </c>
      <c r="N54" s="2266">
        <f t="shared" si="4"/>
        <v>5255630</v>
      </c>
      <c r="O54" s="1417">
        <f>VLOOKUP(C54,TONGHOPCONGDOI!$C$105:$AA$179,20,0)</f>
        <v>21</v>
      </c>
      <c r="P54" s="1417">
        <f>VLOOKUP(C54,TONGHOPCONGDOI!$C$105:$AA$179,21,0)</f>
        <v>4</v>
      </c>
      <c r="Q54" s="1417">
        <f>VLOOKUP(C54,TONGHOPCONGDOI!$C$105:$AA$179,22,0)</f>
        <v>5</v>
      </c>
      <c r="R54" s="1417">
        <f>VLOOKUP(C54,TONGHOPCONGDOI!$C$105:$AA$179,23,0)</f>
        <v>0</v>
      </c>
      <c r="S54" s="1417">
        <f t="shared" si="5"/>
        <v>5</v>
      </c>
      <c r="T54" s="1417">
        <f>VLOOKUP(C54,TONGHOPCONGDOI!$C$105:$AA$179,25,0)</f>
        <v>0</v>
      </c>
      <c r="U54" s="1417"/>
      <c r="V54" s="1417">
        <f>VLOOKUP(C54,TONGHOPCONGDOI!$C$105:$AB$175,26,0)</f>
        <v>35</v>
      </c>
      <c r="W54" s="1417"/>
      <c r="X54" s="1417"/>
      <c r="Y54" s="1417"/>
      <c r="Z54" s="1881">
        <f t="shared" si="6"/>
        <v>2360046</v>
      </c>
      <c r="AA54" s="1420">
        <f t="shared" si="9"/>
        <v>7615676</v>
      </c>
      <c r="AB54" s="1420">
        <f t="shared" si="7"/>
        <v>7615676</v>
      </c>
      <c r="AC54" s="1459"/>
      <c r="AD54" s="1458"/>
      <c r="AF54" s="1421"/>
      <c r="AG54" s="1258"/>
    </row>
    <row r="55" spans="1:33" s="1250" customFormat="1" ht="24" customHeight="1">
      <c r="A55" s="1245">
        <v>41</v>
      </c>
      <c r="B55" s="320" t="str">
        <f>TONGHOPCONGDOI!B144</f>
        <v>04138</v>
      </c>
      <c r="C55" s="1247" t="str">
        <f>TONGHOPCONGDOI!C145</f>
        <v>N. Lọi</v>
      </c>
      <c r="D55" s="1243" t="s">
        <v>15</v>
      </c>
      <c r="E55" s="1416"/>
      <c r="F55" s="1252"/>
      <c r="G55" s="1417">
        <f t="shared" si="2"/>
        <v>0</v>
      </c>
      <c r="H55" s="1417">
        <f>VLOOKUP($C$15:$C$89,'sản lượng'!$D$99:$AL$169,34,0)</f>
        <v>4361</v>
      </c>
      <c r="I55" s="1417"/>
      <c r="J55" s="1417">
        <f t="shared" si="8"/>
        <v>1900.0452460654014</v>
      </c>
      <c r="K55" s="1837">
        <f>VLOOKUP($C$15:$C$89,'sản lượng'!$D$99:$AP$169,37,0)</f>
        <v>176.94933462853481</v>
      </c>
      <c r="L55" s="1837">
        <f t="shared" si="3"/>
        <v>2076.9945806939363</v>
      </c>
      <c r="M55" s="1419" t="str">
        <f>VLOOKUP(C55,'sản lượng'!$D$99:$AP$169,39,0)</f>
        <v>A</v>
      </c>
      <c r="N55" s="2266">
        <f t="shared" si="4"/>
        <v>7601800</v>
      </c>
      <c r="O55" s="1417">
        <f>VLOOKUP(C55,TONGHOPCONGDOI!$C$105:$AA$179,20,0)</f>
        <v>22</v>
      </c>
      <c r="P55" s="1417">
        <f>VLOOKUP(C55,TONGHOPCONGDOI!$C$105:$AA$179,21,0)</f>
        <v>4</v>
      </c>
      <c r="Q55" s="1417">
        <f>VLOOKUP(C55,TONGHOPCONGDOI!$C$105:$AA$179,22,0)</f>
        <v>5</v>
      </c>
      <c r="R55" s="1417">
        <f>VLOOKUP(C55,TONGHOPCONGDOI!$C$105:$AA$179,23,0)</f>
        <v>0</v>
      </c>
      <c r="S55" s="1417">
        <f t="shared" si="5"/>
        <v>5</v>
      </c>
      <c r="T55" s="1417">
        <f>VLOOKUP(C55,TONGHOPCONGDOI!$C$105:$AA$179,25,0)</f>
        <v>0</v>
      </c>
      <c r="U55" s="1417"/>
      <c r="V55" s="1417">
        <f>VLOOKUP(C55,TONGHOPCONGDOI!$C$105:$AB$175,26,0)</f>
        <v>27</v>
      </c>
      <c r="W55" s="1417"/>
      <c r="X55" s="1417"/>
      <c r="Y55" s="1417"/>
      <c r="Z55" s="1881">
        <f t="shared" si="6"/>
        <v>2230839</v>
      </c>
      <c r="AA55" s="1420">
        <f t="shared" si="9"/>
        <v>9832639</v>
      </c>
      <c r="AB55" s="1420">
        <f t="shared" si="7"/>
        <v>9832639</v>
      </c>
      <c r="AC55" s="1459"/>
      <c r="AD55" s="1458"/>
      <c r="AF55" s="1421"/>
      <c r="AG55" s="1258"/>
    </row>
    <row r="56" spans="1:33" s="1250" customFormat="1" ht="24" customHeight="1">
      <c r="A56" s="1245">
        <v>42</v>
      </c>
      <c r="B56" s="320" t="str">
        <f>TONGHOPCONGDOI!B145</f>
        <v>04139</v>
      </c>
      <c r="C56" s="1247" t="str">
        <f>TONGHOPCONGDOI!C146</f>
        <v>T. Nin</v>
      </c>
      <c r="D56" s="1243" t="s">
        <v>15</v>
      </c>
      <c r="E56" s="1416"/>
      <c r="F56" s="1252"/>
      <c r="G56" s="1417">
        <f t="shared" si="2"/>
        <v>0</v>
      </c>
      <c r="H56" s="1417">
        <f>VLOOKUP($C$15:$C$89,'sản lượng'!$D$99:$AL$169,34,0)</f>
        <v>3210</v>
      </c>
      <c r="I56" s="1417"/>
      <c r="J56" s="1417">
        <f t="shared" si="8"/>
        <v>1398.5657509447233</v>
      </c>
      <c r="K56" s="1837">
        <f>VLOOKUP($C$15:$C$89,'sản lượng'!$D$99:$AP$169,37,0)</f>
        <v>130.24704520926318</v>
      </c>
      <c r="L56" s="1837">
        <f t="shared" si="3"/>
        <v>1528.8127961539865</v>
      </c>
      <c r="M56" s="1419" t="str">
        <f>VLOOKUP(C56,'sản lượng'!$D$99:$AP$169,39,0)</f>
        <v>A</v>
      </c>
      <c r="N56" s="2266">
        <f t="shared" si="4"/>
        <v>5595455</v>
      </c>
      <c r="O56" s="1417">
        <f>VLOOKUP(C56,TONGHOPCONGDOI!$C$105:$AA$179,20,0)</f>
        <v>22</v>
      </c>
      <c r="P56" s="1417">
        <f>VLOOKUP(C56,TONGHOPCONGDOI!$C$105:$AA$179,21,0)</f>
        <v>4</v>
      </c>
      <c r="Q56" s="1417">
        <f>VLOOKUP(C56,TONGHOPCONGDOI!$C$105:$AA$179,22,0)</f>
        <v>5</v>
      </c>
      <c r="R56" s="1417">
        <f>VLOOKUP(C56,TONGHOPCONGDOI!$C$105:$AA$179,23,0)</f>
        <v>0</v>
      </c>
      <c r="S56" s="1417">
        <f t="shared" si="5"/>
        <v>5</v>
      </c>
      <c r="T56" s="1417">
        <f>VLOOKUP(C56,TONGHOPCONGDOI!$C$105:$AA$179,25,0)</f>
        <v>0</v>
      </c>
      <c r="U56" s="1417"/>
      <c r="V56" s="1417">
        <f>VLOOKUP(C56,TONGHOPCONGDOI!$C$105:$AB$175,26,0)</f>
        <v>36</v>
      </c>
      <c r="W56" s="1417"/>
      <c r="X56" s="1417"/>
      <c r="Y56" s="1417"/>
      <c r="Z56" s="1881">
        <f t="shared" si="6"/>
        <v>2410839</v>
      </c>
      <c r="AA56" s="1420">
        <f t="shared" si="9"/>
        <v>8006294</v>
      </c>
      <c r="AB56" s="1420">
        <f t="shared" si="7"/>
        <v>8006294</v>
      </c>
      <c r="AC56" s="1459"/>
      <c r="AD56" s="1458"/>
      <c r="AF56" s="1421"/>
      <c r="AG56" s="1258"/>
    </row>
    <row r="57" spans="1:33" s="1250" customFormat="1" ht="24" customHeight="1">
      <c r="A57" s="1245">
        <v>43</v>
      </c>
      <c r="B57" s="320" t="str">
        <f>TONGHOPCONGDOI!B146</f>
        <v>04140</v>
      </c>
      <c r="C57" s="1247" t="str">
        <f>TONGHOPCONGDOI!C147</f>
        <v>T. Vỹ</v>
      </c>
      <c r="D57" s="1243" t="s">
        <v>15</v>
      </c>
      <c r="E57" s="1416"/>
      <c r="F57" s="1252"/>
      <c r="G57" s="1417">
        <f t="shared" si="2"/>
        <v>0</v>
      </c>
      <c r="H57" s="1417">
        <f>VLOOKUP($C$15:$C$89,'sản lượng'!$D$99:$AL$169,34,0)</f>
        <v>2954</v>
      </c>
      <c r="I57" s="1417"/>
      <c r="J57" s="1417">
        <f t="shared" si="8"/>
        <v>1287.029043081219</v>
      </c>
      <c r="K57" s="1837">
        <f>VLOOKUP($C$15:$C$89,'sản lượng'!$D$99:$AP$169,37,0)</f>
        <v>119.85974191531571</v>
      </c>
      <c r="L57" s="1837">
        <f t="shared" si="3"/>
        <v>1406.8887849965347</v>
      </c>
      <c r="M57" s="1419" t="str">
        <f>VLOOKUP(C57,'sản lượng'!$D$99:$AP$169,39,0)</f>
        <v>B</v>
      </c>
      <c r="N57" s="2266">
        <f t="shared" si="4"/>
        <v>4895973</v>
      </c>
      <c r="O57" s="1417">
        <f>VLOOKUP(C57,TONGHOPCONGDOI!$C$105:$AA$179,20,0)</f>
        <v>25</v>
      </c>
      <c r="P57" s="1417">
        <f>VLOOKUP(C57,TONGHOPCONGDOI!$C$105:$AA$179,21,0)</f>
        <v>4</v>
      </c>
      <c r="Q57" s="1417">
        <f>VLOOKUP(C57,TONGHOPCONGDOI!$C$105:$AA$179,22,0)</f>
        <v>2</v>
      </c>
      <c r="R57" s="1417">
        <f>VLOOKUP(C57,TONGHOPCONGDOI!$C$105:$AA$179,23,0)</f>
        <v>0</v>
      </c>
      <c r="S57" s="1417">
        <f t="shared" si="5"/>
        <v>2</v>
      </c>
      <c r="T57" s="1417">
        <f>VLOOKUP(C57,TONGHOPCONGDOI!$C$105:$AA$179,25,0)</f>
        <v>0</v>
      </c>
      <c r="U57" s="1417"/>
      <c r="V57" s="1417">
        <f>VLOOKUP(C57,TONGHOPCONGDOI!$C$105:$AB$175,26,0)</f>
        <v>33</v>
      </c>
      <c r="W57" s="1417"/>
      <c r="X57" s="1417"/>
      <c r="Y57" s="1417"/>
      <c r="Z57" s="1881">
        <f t="shared" si="6"/>
        <v>1958460</v>
      </c>
      <c r="AA57" s="1420">
        <f t="shared" si="9"/>
        <v>6854433</v>
      </c>
      <c r="AB57" s="1420">
        <f t="shared" si="7"/>
        <v>6854433</v>
      </c>
      <c r="AC57" s="1459"/>
      <c r="AD57" s="1458"/>
      <c r="AF57" s="1421"/>
      <c r="AG57" s="1258"/>
    </row>
    <row r="58" spans="1:33" s="1250" customFormat="1" ht="24" customHeight="1">
      <c r="A58" s="1245">
        <v>44</v>
      </c>
      <c r="B58" s="320" t="str">
        <f>TONGHOPCONGDOI!B147</f>
        <v>04141</v>
      </c>
      <c r="C58" s="1247" t="str">
        <f>TONGHOPCONGDOI!C148</f>
        <v>Nàng Nhầy</v>
      </c>
      <c r="D58" s="1243" t="s">
        <v>15</v>
      </c>
      <c r="E58" s="1416"/>
      <c r="F58" s="1252"/>
      <c r="G58" s="1417">
        <f t="shared" si="2"/>
        <v>0</v>
      </c>
      <c r="H58" s="1417">
        <f>VLOOKUP($C$15:$C$89,'sản lượng'!$D$99:$AL$169,34,0)</f>
        <v>1630</v>
      </c>
      <c r="I58" s="1417"/>
      <c r="J58" s="1417">
        <f t="shared" si="8"/>
        <v>710.17513209965705</v>
      </c>
      <c r="K58" s="1837">
        <f>VLOOKUP($C$15:$C$89,'sản lượng'!$D$99:$AP$169,37,0)</f>
        <v>66.137907691931147</v>
      </c>
      <c r="L58" s="1837">
        <f t="shared" si="3"/>
        <v>776.31303979158815</v>
      </c>
      <c r="M58" s="1419" t="str">
        <f>VLOOKUP(C58,'sản lượng'!$D$99:$AP$169,39,0)</f>
        <v>B</v>
      </c>
      <c r="N58" s="2266">
        <f t="shared" si="4"/>
        <v>2701569</v>
      </c>
      <c r="O58" s="1417">
        <f>VLOOKUP(C58,TONGHOPCONGDOI!$C$105:$AA$179,20,0)</f>
        <v>16</v>
      </c>
      <c r="P58" s="1417">
        <f>VLOOKUP(C58,TONGHOPCONGDOI!$C$105:$AA$179,21,0)</f>
        <v>2</v>
      </c>
      <c r="Q58" s="1417">
        <f>VLOOKUP(C58,TONGHOPCONGDOI!$C$105:$AA$179,22,0)</f>
        <v>2</v>
      </c>
      <c r="R58" s="1417">
        <f>VLOOKUP(C58,TONGHOPCONGDOI!$C$105:$AA$179,23,0)</f>
        <v>0</v>
      </c>
      <c r="S58" s="1417">
        <f t="shared" si="5"/>
        <v>2</v>
      </c>
      <c r="T58" s="1417">
        <f>VLOOKUP(C58,TONGHOPCONGDOI!$C$105:$AA$179,25,0)</f>
        <v>0</v>
      </c>
      <c r="U58" s="1417"/>
      <c r="V58" s="1417">
        <f>VLOOKUP(C58,TONGHOPCONGDOI!$C$105:$AB$175,26,0)</f>
        <v>22</v>
      </c>
      <c r="W58" s="1417"/>
      <c r="X58" s="1417"/>
      <c r="Y58" s="1417"/>
      <c r="Z58" s="1881">
        <f t="shared" si="6"/>
        <v>1358591</v>
      </c>
      <c r="AA58" s="1420">
        <f t="shared" si="9"/>
        <v>4060160</v>
      </c>
      <c r="AB58" s="1420">
        <f t="shared" si="7"/>
        <v>4060160</v>
      </c>
      <c r="AC58" s="1459"/>
      <c r="AD58" s="1458"/>
      <c r="AF58" s="1421"/>
      <c r="AG58" s="1258"/>
    </row>
    <row r="59" spans="1:33" s="1250" customFormat="1" ht="24" customHeight="1">
      <c r="A59" s="1245">
        <v>45</v>
      </c>
      <c r="B59" s="320">
        <f>TONGHOPCONGDOI!B148</f>
        <v>0</v>
      </c>
      <c r="C59" s="1247" t="str">
        <f>TONGHOPCONGDOI!C149</f>
        <v xml:space="preserve">N. Khăm </v>
      </c>
      <c r="D59" s="1243" t="s">
        <v>15</v>
      </c>
      <c r="E59" s="1416"/>
      <c r="F59" s="1252"/>
      <c r="G59" s="1417">
        <f t="shared" si="2"/>
        <v>0</v>
      </c>
      <c r="H59" s="1417">
        <f>VLOOKUP($C$15:$C$89,'sản lượng'!$D$99:$AL$169,34,0)</f>
        <v>3262</v>
      </c>
      <c r="I59" s="1417"/>
      <c r="J59" s="1417">
        <f t="shared" si="8"/>
        <v>1421.2216447294977</v>
      </c>
      <c r="K59" s="1837">
        <f>VLOOKUP($C$15:$C$89,'sản lượng'!$D$99:$AP$169,37,0)</f>
        <v>132.35696619084626</v>
      </c>
      <c r="L59" s="1837">
        <f t="shared" si="3"/>
        <v>1553.5786109203441</v>
      </c>
      <c r="M59" s="1419" t="str">
        <f>VLOOKUP(C59,'sản lượng'!$D$99:$AP$169,39,0)</f>
        <v>A</v>
      </c>
      <c r="N59" s="2266">
        <f t="shared" si="4"/>
        <v>5686098</v>
      </c>
      <c r="O59" s="1417">
        <f>VLOOKUP(C59,TONGHOPCONGDOI!$C$105:$AA$179,20,0)</f>
        <v>19</v>
      </c>
      <c r="P59" s="1417">
        <f>VLOOKUP(C59,TONGHOPCONGDOI!$C$105:$AA$179,21,0)</f>
        <v>4</v>
      </c>
      <c r="Q59" s="1417">
        <f>VLOOKUP(C59,TONGHOPCONGDOI!$C$105:$AA$179,22,0)</f>
        <v>5</v>
      </c>
      <c r="R59" s="1417">
        <f>VLOOKUP(C59,TONGHOPCONGDOI!$C$105:$AA$179,23,0)</f>
        <v>0</v>
      </c>
      <c r="S59" s="1417">
        <f t="shared" si="5"/>
        <v>5</v>
      </c>
      <c r="T59" s="1417">
        <f>VLOOKUP(C59,TONGHOPCONGDOI!$C$105:$AA$179,25,0)</f>
        <v>0</v>
      </c>
      <c r="U59" s="1417"/>
      <c r="V59" s="1417">
        <f>VLOOKUP(C59,TONGHOPCONGDOI!$C$105:$AB$175,26,0)</f>
        <v>25</v>
      </c>
      <c r="W59" s="1417"/>
      <c r="X59" s="1417"/>
      <c r="Y59" s="1417"/>
      <c r="Z59" s="1881">
        <f t="shared" si="6"/>
        <v>2098460</v>
      </c>
      <c r="AA59" s="1420">
        <f t="shared" si="9"/>
        <v>7784558</v>
      </c>
      <c r="AB59" s="1420">
        <f t="shared" si="7"/>
        <v>7784558</v>
      </c>
      <c r="AC59" s="1459"/>
      <c r="AD59" s="1458"/>
      <c r="AF59" s="1421"/>
      <c r="AG59" s="1258"/>
    </row>
    <row r="60" spans="1:33" s="1250" customFormat="1" ht="24" customHeight="1">
      <c r="A60" s="1245">
        <v>46</v>
      </c>
      <c r="B60" s="320" t="str">
        <f>TONGHOPCONGDOI!B149</f>
        <v>02732</v>
      </c>
      <c r="C60" s="1247" t="str">
        <f>TONGHOPCONGDOI!C150</f>
        <v>Thảo Mon</v>
      </c>
      <c r="D60" s="1243" t="s">
        <v>15</v>
      </c>
      <c r="E60" s="1416"/>
      <c r="F60" s="1252"/>
      <c r="G60" s="1417">
        <f t="shared" si="2"/>
        <v>0</v>
      </c>
      <c r="H60" s="1417">
        <f>VLOOKUP($C$15:$C$89,'sản lượng'!$D$99:$AL$169,34,0)</f>
        <v>2763</v>
      </c>
      <c r="I60" s="1417"/>
      <c r="J60" s="1417">
        <f t="shared" si="8"/>
        <v>1203.8122024486825</v>
      </c>
      <c r="K60" s="1837">
        <f>VLOOKUP($C$15:$C$89,'sản lượng'!$D$99:$AP$169,37,0)</f>
        <v>112.10983984834709</v>
      </c>
      <c r="L60" s="1837">
        <f t="shared" si="3"/>
        <v>1315.9220422970295</v>
      </c>
      <c r="M60" s="1419" t="str">
        <f>VLOOKUP(C60,'sản lượng'!$D$99:$AP$169,39,0)</f>
        <v>B</v>
      </c>
      <c r="N60" s="2266">
        <f t="shared" si="4"/>
        <v>4579409</v>
      </c>
      <c r="O60" s="1417">
        <f>VLOOKUP(C60,TONGHOPCONGDOI!$C$105:$AA$179,20,0)</f>
        <v>21</v>
      </c>
      <c r="P60" s="1417">
        <f>VLOOKUP(C60,TONGHOPCONGDOI!$C$105:$AA$179,21,0)</f>
        <v>4</v>
      </c>
      <c r="Q60" s="1417">
        <f>VLOOKUP(C60,TONGHOPCONGDOI!$C$105:$AA$179,22,0)</f>
        <v>3</v>
      </c>
      <c r="R60" s="1417">
        <f>VLOOKUP(C60,TONGHOPCONGDOI!$C$105:$AA$179,23,0)</f>
        <v>0</v>
      </c>
      <c r="S60" s="1417">
        <f t="shared" si="5"/>
        <v>3</v>
      </c>
      <c r="T60" s="1417">
        <f>VLOOKUP(C60,TONGHOPCONGDOI!$C$105:$AA$179,25,0)</f>
        <v>0</v>
      </c>
      <c r="U60" s="1417"/>
      <c r="V60" s="1417">
        <f>VLOOKUP(C60,TONGHOPCONGDOI!$C$105:$AB$175,26,0)</f>
        <v>22</v>
      </c>
      <c r="W60" s="1417"/>
      <c r="X60" s="1417"/>
      <c r="Y60" s="1417"/>
      <c r="Z60" s="1881">
        <f t="shared" si="6"/>
        <v>1776874</v>
      </c>
      <c r="AA60" s="1420">
        <f t="shared" si="9"/>
        <v>6356283</v>
      </c>
      <c r="AB60" s="1420">
        <f t="shared" si="7"/>
        <v>6356283</v>
      </c>
      <c r="AC60" s="1459"/>
      <c r="AD60" s="1458"/>
      <c r="AF60" s="1421"/>
      <c r="AG60" s="1258"/>
    </row>
    <row r="61" spans="1:33" s="1250" customFormat="1" ht="24" customHeight="1">
      <c r="A61" s="1245">
        <v>47</v>
      </c>
      <c r="B61" s="320" t="str">
        <f>TONGHOPCONGDOI!B150</f>
        <v>04143</v>
      </c>
      <c r="C61" s="1247" t="str">
        <f>TONGHOPCONGDOI!C151</f>
        <v>Thảo Túy</v>
      </c>
      <c r="D61" s="1243" t="s">
        <v>15</v>
      </c>
      <c r="E61" s="1416"/>
      <c r="F61" s="1252"/>
      <c r="G61" s="1417">
        <f t="shared" si="2"/>
        <v>0</v>
      </c>
      <c r="H61" s="1417">
        <f>VLOOKUP($C$15:$C$89,'sản lượng'!$D$99:$AL$169,34,0)</f>
        <v>2892</v>
      </c>
      <c r="I61" s="1417"/>
      <c r="J61" s="1417">
        <f t="shared" si="8"/>
        <v>1260.0162466455265</v>
      </c>
      <c r="K61" s="1837">
        <f>VLOOKUP($C$15:$C$89,'sản lượng'!$D$99:$AP$169,37,0)</f>
        <v>117.34406689881281</v>
      </c>
      <c r="L61" s="1837">
        <f t="shared" si="3"/>
        <v>1377.3603135443393</v>
      </c>
      <c r="M61" s="1419" t="str">
        <f>VLOOKUP(C61,'sản lượng'!$D$99:$AP$169,39,0)</f>
        <v>B</v>
      </c>
      <c r="N61" s="2266">
        <f t="shared" si="4"/>
        <v>4793214</v>
      </c>
      <c r="O61" s="1417">
        <f>VLOOKUP(C61,TONGHOPCONGDOI!$C$105:$AA$179,20,0)</f>
        <v>20</v>
      </c>
      <c r="P61" s="1417">
        <f>VLOOKUP(C61,TONGHOPCONGDOI!$C$105:$AA$179,21,0)</f>
        <v>4</v>
      </c>
      <c r="Q61" s="1417">
        <f>VLOOKUP(C61,TONGHOPCONGDOI!$C$105:$AA$179,22,0)</f>
        <v>5</v>
      </c>
      <c r="R61" s="1417">
        <f>VLOOKUP(C61,TONGHOPCONGDOI!$C$105:$AA$179,23,0)</f>
        <v>0</v>
      </c>
      <c r="S61" s="1417">
        <f t="shared" si="5"/>
        <v>5</v>
      </c>
      <c r="T61" s="1417">
        <f>VLOOKUP(C61,TONGHOPCONGDOI!$C$105:$AA$179,25,0)</f>
        <v>0</v>
      </c>
      <c r="U61" s="1417"/>
      <c r="V61" s="1417">
        <f>VLOOKUP(C61,TONGHOPCONGDOI!$C$105:$AB$175,26,0)</f>
        <v>34</v>
      </c>
      <c r="W61" s="1417"/>
      <c r="X61" s="1417"/>
      <c r="Y61" s="1417"/>
      <c r="Z61" s="1881">
        <f t="shared" si="6"/>
        <v>2309253</v>
      </c>
      <c r="AA61" s="1420">
        <f t="shared" si="9"/>
        <v>7102467</v>
      </c>
      <c r="AB61" s="1420">
        <f t="shared" si="7"/>
        <v>7102467</v>
      </c>
      <c r="AC61" s="1459"/>
      <c r="AD61" s="1458"/>
      <c r="AF61" s="1421"/>
      <c r="AG61" s="1258"/>
    </row>
    <row r="62" spans="1:33" s="1250" customFormat="1" ht="24" customHeight="1">
      <c r="A62" s="1245">
        <v>48</v>
      </c>
      <c r="B62" s="320" t="str">
        <f>TONGHOPCONGDOI!B151</f>
        <v>04144</v>
      </c>
      <c r="C62" s="1247" t="str">
        <f>TONGHOPCONGDOI!C152</f>
        <v>T. Choi</v>
      </c>
      <c r="D62" s="1243" t="s">
        <v>15</v>
      </c>
      <c r="E62" s="1416"/>
      <c r="F62" s="1252"/>
      <c r="G62" s="1417">
        <f t="shared" si="2"/>
        <v>0</v>
      </c>
      <c r="H62" s="1417">
        <f>VLOOKUP($C$15:$C$89,'sản lượng'!$D$99:$AL$169,34,0)</f>
        <v>2541</v>
      </c>
      <c r="I62" s="1417"/>
      <c r="J62" s="1417">
        <f t="shared" si="8"/>
        <v>1107.0889635982996</v>
      </c>
      <c r="K62" s="1837">
        <f>VLOOKUP($C$15:$C$89,'sản lượng'!$D$99:$AP$169,37,0)</f>
        <v>103.10210027312702</v>
      </c>
      <c r="L62" s="1837">
        <f t="shared" si="3"/>
        <v>1210.1910638714266</v>
      </c>
      <c r="M62" s="1419" t="str">
        <f>VLOOKUP(C62,'sản lượng'!$D$99:$AP$169,39,0)</f>
        <v>A</v>
      </c>
      <c r="N62" s="2266">
        <f t="shared" si="4"/>
        <v>4429299</v>
      </c>
      <c r="O62" s="1417">
        <f>VLOOKUP(C62,TONGHOPCONGDOI!$C$105:$AA$179,20,0)</f>
        <v>18</v>
      </c>
      <c r="P62" s="1417">
        <f>VLOOKUP(C62,TONGHOPCONGDOI!$C$105:$AA$179,21,0)</f>
        <v>3</v>
      </c>
      <c r="Q62" s="1417">
        <f>VLOOKUP(C62,TONGHOPCONGDOI!$C$105:$AA$179,22,0)</f>
        <v>5</v>
      </c>
      <c r="R62" s="1417">
        <f>VLOOKUP(C62,TONGHOPCONGDOI!$C$105:$AA$179,23,0)</f>
        <v>0</v>
      </c>
      <c r="S62" s="1417">
        <f t="shared" si="5"/>
        <v>5</v>
      </c>
      <c r="T62" s="1417">
        <f>VLOOKUP(C62,TONGHOPCONGDOI!$C$105:$AA$179,25,0)</f>
        <v>0</v>
      </c>
      <c r="U62" s="1417"/>
      <c r="V62" s="1417">
        <f>VLOOKUP(C62,TONGHOPCONGDOI!$C$105:$AB$175,26,0)</f>
        <v>31</v>
      </c>
      <c r="W62" s="1417"/>
      <c r="X62" s="1417"/>
      <c r="Y62" s="1417"/>
      <c r="Z62" s="1881">
        <f t="shared" si="6"/>
        <v>2136301</v>
      </c>
      <c r="AA62" s="1420">
        <f t="shared" si="9"/>
        <v>6565600</v>
      </c>
      <c r="AB62" s="1420">
        <f t="shared" si="7"/>
        <v>6565600</v>
      </c>
      <c r="AC62" s="1459"/>
      <c r="AD62" s="1458"/>
      <c r="AF62" s="1421"/>
      <c r="AG62" s="1258"/>
    </row>
    <row r="63" spans="1:33" s="1250" customFormat="1" ht="24" customHeight="1">
      <c r="A63" s="1245">
        <v>49</v>
      </c>
      <c r="B63" s="320" t="str">
        <f>TONGHOPCONGDOI!B152</f>
        <v>03692</v>
      </c>
      <c r="C63" s="1247" t="str">
        <f>TONGHOPCONGDOI!C153</f>
        <v>N. Phút</v>
      </c>
      <c r="D63" s="1243" t="s">
        <v>15</v>
      </c>
      <c r="E63" s="1416"/>
      <c r="F63" s="1252"/>
      <c r="G63" s="1417">
        <f t="shared" si="2"/>
        <v>0</v>
      </c>
      <c r="H63" s="1417">
        <f>VLOOKUP($C$15:$C$89,'sản lượng'!$D$99:$AL$169,34,0)</f>
        <v>2553</v>
      </c>
      <c r="I63" s="1417"/>
      <c r="J63" s="1417">
        <f t="shared" si="8"/>
        <v>1112.3172467794016</v>
      </c>
      <c r="K63" s="1837">
        <f>VLOOKUP($C$15:$C$89,'sản lượng'!$D$99:$AP$169,37,0)</f>
        <v>103.5890051150308</v>
      </c>
      <c r="L63" s="1837">
        <f t="shared" si="3"/>
        <v>1215.9062518944324</v>
      </c>
      <c r="M63" s="1419" t="str">
        <f>VLOOKUP(C63,'sản lượng'!$D$99:$AP$169,39,0)</f>
        <v>A</v>
      </c>
      <c r="N63" s="2266">
        <f t="shared" si="4"/>
        <v>4450217</v>
      </c>
      <c r="O63" s="1417">
        <f>VLOOKUP(C63,TONGHOPCONGDOI!$C$105:$AA$179,20,0)</f>
        <v>18</v>
      </c>
      <c r="P63" s="1417">
        <f>VLOOKUP(C63,TONGHOPCONGDOI!$C$105:$AA$179,21,0)</f>
        <v>3</v>
      </c>
      <c r="Q63" s="1417">
        <f>VLOOKUP(C63,TONGHOPCONGDOI!$C$105:$AA$179,22,0)</f>
        <v>5</v>
      </c>
      <c r="R63" s="1417">
        <f>VLOOKUP(C63,TONGHOPCONGDOI!$C$105:$AA$179,23,0)</f>
        <v>0</v>
      </c>
      <c r="S63" s="1417">
        <f t="shared" si="5"/>
        <v>5</v>
      </c>
      <c r="T63" s="1417">
        <f>VLOOKUP(C63,TONGHOPCONGDOI!$C$105:$AA$179,25,0)</f>
        <v>0</v>
      </c>
      <c r="U63" s="1417"/>
      <c r="V63" s="1417">
        <f>VLOOKUP(C63,TONGHOPCONGDOI!$C$105:$AB$175,26,0)</f>
        <v>31</v>
      </c>
      <c r="W63" s="1417"/>
      <c r="X63" s="1417"/>
      <c r="Y63" s="1417"/>
      <c r="Z63" s="1881">
        <f t="shared" si="6"/>
        <v>2136301</v>
      </c>
      <c r="AA63" s="1420">
        <f t="shared" si="9"/>
        <v>6586518</v>
      </c>
      <c r="AB63" s="1420">
        <f t="shared" si="7"/>
        <v>6586518</v>
      </c>
      <c r="AC63" s="1459"/>
      <c r="AD63" s="1458"/>
      <c r="AF63" s="1421"/>
      <c r="AG63" s="1258"/>
    </row>
    <row r="64" spans="1:33" s="1250" customFormat="1" ht="24" customHeight="1">
      <c r="A64" s="1245">
        <v>50</v>
      </c>
      <c r="B64" s="320" t="str">
        <f>TONGHOPCONGDOI!B153</f>
        <v>03693</v>
      </c>
      <c r="C64" s="1247" t="str">
        <f>TONGHOPCONGDOI!C154</f>
        <v>Nàng A Nẹp</v>
      </c>
      <c r="D64" s="1243" t="s">
        <v>15</v>
      </c>
      <c r="E64" s="1416"/>
      <c r="F64" s="1252"/>
      <c r="G64" s="1417">
        <f t="shared" si="2"/>
        <v>0</v>
      </c>
      <c r="H64" s="1417">
        <f>VLOOKUP($C$15:$C$89,'sản lượng'!$D$99:$AL$169,34,0)</f>
        <v>3061</v>
      </c>
      <c r="I64" s="1417"/>
      <c r="J64" s="1417">
        <f t="shared" si="8"/>
        <v>1333.6479014460431</v>
      </c>
      <c r="K64" s="1837">
        <f>VLOOKUP($C$15:$C$89,'sản lượng'!$D$99:$AP$169,37,0)</f>
        <v>124.20131008895781</v>
      </c>
      <c r="L64" s="1837">
        <f t="shared" si="3"/>
        <v>1457.8492115350009</v>
      </c>
      <c r="M64" s="1419" t="str">
        <f>VLOOKUP(C64,'sản lượng'!$D$99:$AP$169,39,0)</f>
        <v>B</v>
      </c>
      <c r="N64" s="2266">
        <f t="shared" si="4"/>
        <v>5073315</v>
      </c>
      <c r="O64" s="1417">
        <f>VLOOKUP(C64,TONGHOPCONGDOI!$C$105:$AA$179,20,0)</f>
        <v>25</v>
      </c>
      <c r="P64" s="1417">
        <f>VLOOKUP(C64,TONGHOPCONGDOI!$C$105:$AA$179,21,0)</f>
        <v>4</v>
      </c>
      <c r="Q64" s="1417">
        <f>VLOOKUP(C64,TONGHOPCONGDOI!$C$105:$AA$179,22,0)</f>
        <v>2</v>
      </c>
      <c r="R64" s="1417">
        <f>VLOOKUP(C64,TONGHOPCONGDOI!$C$105:$AA$179,23,0)</f>
        <v>0</v>
      </c>
      <c r="S64" s="1417">
        <f t="shared" si="5"/>
        <v>2</v>
      </c>
      <c r="T64" s="1417">
        <f>VLOOKUP(C64,TONGHOPCONGDOI!$C$105:$AA$179,25,0)</f>
        <v>0</v>
      </c>
      <c r="U64" s="1417"/>
      <c r="V64" s="1417">
        <f>VLOOKUP(C64,TONGHOPCONGDOI!$C$105:$AB$175,26,0)</f>
        <v>33</v>
      </c>
      <c r="W64" s="1417"/>
      <c r="X64" s="1417"/>
      <c r="Y64" s="1417"/>
      <c r="Z64" s="1881">
        <f t="shared" si="6"/>
        <v>1958460</v>
      </c>
      <c r="AA64" s="1420">
        <f t="shared" si="9"/>
        <v>7031775</v>
      </c>
      <c r="AB64" s="1420">
        <f t="shared" si="7"/>
        <v>7031775</v>
      </c>
      <c r="AC64" s="1459"/>
      <c r="AD64" s="1458"/>
      <c r="AF64" s="1421"/>
      <c r="AG64" s="1258"/>
    </row>
    <row r="65" spans="1:33" s="1250" customFormat="1" ht="24" customHeight="1">
      <c r="A65" s="1245">
        <v>51</v>
      </c>
      <c r="B65" s="320" t="str">
        <f>TONGHOPCONGDOI!B154</f>
        <v>04145</v>
      </c>
      <c r="C65" s="1247" t="str">
        <f>TONGHOPCONGDOI!C155</f>
        <v>Thảo Nọi</v>
      </c>
      <c r="D65" s="1243" t="s">
        <v>15</v>
      </c>
      <c r="E65" s="1416"/>
      <c r="F65" s="1252"/>
      <c r="G65" s="1417">
        <f t="shared" si="2"/>
        <v>0</v>
      </c>
      <c r="H65" s="1417">
        <f>VLOOKUP($C$15:$C$89,'sản lượng'!$D$99:$AL$169,34,0)</f>
        <v>2672</v>
      </c>
      <c r="I65" s="1417"/>
      <c r="J65" s="1417">
        <f t="shared" si="8"/>
        <v>1164.1643883253273</v>
      </c>
      <c r="K65" s="1837">
        <f>VLOOKUP($C$15:$C$89,'sản lượng'!$D$99:$AP$169,37,0)</f>
        <v>108.4174781305767</v>
      </c>
      <c r="L65" s="1837">
        <f t="shared" si="3"/>
        <v>1272.581866455904</v>
      </c>
      <c r="M65" s="1419" t="str">
        <f>VLOOKUP(C65,'sản lượng'!$D$99:$AP$169,39,0)</f>
        <v>B</v>
      </c>
      <c r="N65" s="2266">
        <f t="shared" si="4"/>
        <v>4428585</v>
      </c>
      <c r="O65" s="1417">
        <f>VLOOKUP(C65,TONGHOPCONGDOI!$C$105:$AA$179,20,0)</f>
        <v>21</v>
      </c>
      <c r="P65" s="1417">
        <f>VLOOKUP(C65,TONGHOPCONGDOI!$C$105:$AA$179,21,0)</f>
        <v>4</v>
      </c>
      <c r="Q65" s="1417">
        <f>VLOOKUP(C65,TONGHOPCONGDOI!$C$105:$AA$179,22,0)</f>
        <v>4</v>
      </c>
      <c r="R65" s="1417">
        <f>VLOOKUP(C65,TONGHOPCONGDOI!$C$105:$AA$179,23,0)</f>
        <v>0</v>
      </c>
      <c r="S65" s="1417">
        <f t="shared" si="5"/>
        <v>4</v>
      </c>
      <c r="T65" s="1417">
        <f>VLOOKUP(C65,TONGHOPCONGDOI!$C$105:$AA$179,25,0)</f>
        <v>0</v>
      </c>
      <c r="U65" s="1417"/>
      <c r="V65" s="1417">
        <f>VLOOKUP(C65,TONGHOPCONGDOI!$C$105:$AB$175,26,0)</f>
        <v>33</v>
      </c>
      <c r="W65" s="1417"/>
      <c r="X65" s="1417"/>
      <c r="Y65" s="1417"/>
      <c r="Z65" s="1881">
        <f t="shared" si="6"/>
        <v>2158460</v>
      </c>
      <c r="AA65" s="1420">
        <f t="shared" si="9"/>
        <v>6587045</v>
      </c>
      <c r="AB65" s="1420">
        <f t="shared" si="7"/>
        <v>6587045</v>
      </c>
      <c r="AC65" s="1459"/>
      <c r="AD65" s="1458"/>
      <c r="AF65" s="1421"/>
      <c r="AG65" s="1258"/>
    </row>
    <row r="66" spans="1:33" s="1250" customFormat="1" ht="24" customHeight="1">
      <c r="A66" s="1245">
        <v>52</v>
      </c>
      <c r="B66" s="320" t="str">
        <f>TONGHOPCONGDOI!B155</f>
        <v>04146</v>
      </c>
      <c r="C66" s="1247" t="str">
        <f>TONGHOPCONGDOI!C156</f>
        <v>Thảo Bun</v>
      </c>
      <c r="D66" s="1243" t="s">
        <v>15</v>
      </c>
      <c r="E66" s="1416"/>
      <c r="F66" s="1252"/>
      <c r="G66" s="1417">
        <f t="shared" si="2"/>
        <v>0</v>
      </c>
      <c r="H66" s="1417">
        <f>VLOOKUP($C$15:$C$89,'sản lượng'!$D$99:$AL$169,34,0)</f>
        <v>815</v>
      </c>
      <c r="I66" s="1417"/>
      <c r="J66" s="1417">
        <f t="shared" si="8"/>
        <v>355.08756604982852</v>
      </c>
      <c r="K66" s="1837">
        <f>VLOOKUP($C$15:$C$89,'sản lượng'!$D$99:$AP$169,37,0)</f>
        <v>33.068953845965574</v>
      </c>
      <c r="L66" s="1837">
        <f t="shared" si="3"/>
        <v>388.15651989579408</v>
      </c>
      <c r="M66" s="1419" t="str">
        <f>VLOOKUP(C66,'sản lượng'!$D$99:$AP$169,39,0)</f>
        <v>A</v>
      </c>
      <c r="N66" s="2266">
        <f t="shared" si="4"/>
        <v>1420653</v>
      </c>
      <c r="O66" s="1417">
        <f>VLOOKUP(C66,TONGHOPCONGDOI!$C$105:$AA$179,20,0)</f>
        <v>4</v>
      </c>
      <c r="P66" s="1417">
        <f>VLOOKUP(C66,TONGHOPCONGDOI!$C$105:$AA$179,21,0)</f>
        <v>0</v>
      </c>
      <c r="Q66" s="1417">
        <f>VLOOKUP(C66,TONGHOPCONGDOI!$C$105:$AA$179,22,0)</f>
        <v>1</v>
      </c>
      <c r="R66" s="1417">
        <f>VLOOKUP(C66,TONGHOPCONGDOI!$C$105:$AA$179,23,0)</f>
        <v>0</v>
      </c>
      <c r="S66" s="1417">
        <f t="shared" si="5"/>
        <v>1</v>
      </c>
      <c r="T66" s="1417">
        <f>VLOOKUP(C66,TONGHOPCONGDOI!$C$105:$AA$179,25,0)</f>
        <v>0</v>
      </c>
      <c r="U66" s="1417"/>
      <c r="V66" s="1417">
        <f>VLOOKUP(C66,TONGHOPCONGDOI!$C$105:$AB$175,26,0)</f>
        <v>6</v>
      </c>
      <c r="W66" s="1417"/>
      <c r="X66" s="1417"/>
      <c r="Y66" s="1417"/>
      <c r="Z66" s="1881">
        <f t="shared" si="6"/>
        <v>404758</v>
      </c>
      <c r="AA66" s="1420">
        <f t="shared" si="9"/>
        <v>1825411</v>
      </c>
      <c r="AB66" s="1420">
        <f t="shared" si="7"/>
        <v>1825411</v>
      </c>
      <c r="AC66" s="1459"/>
      <c r="AD66" s="1458"/>
      <c r="AF66" s="1421"/>
      <c r="AG66" s="1258"/>
    </row>
    <row r="67" spans="1:33" s="1250" customFormat="1" ht="24" customHeight="1">
      <c r="A67" s="1245">
        <v>53</v>
      </c>
      <c r="B67" s="320">
        <f>TONGHOPCONGDOI!B156</f>
        <v>0</v>
      </c>
      <c r="C67" s="1247" t="str">
        <f>TONGHOPCONGDOI!C157</f>
        <v>Nàng Pằng</v>
      </c>
      <c r="D67" s="1243" t="s">
        <v>15</v>
      </c>
      <c r="E67" s="1416"/>
      <c r="F67" s="1252"/>
      <c r="G67" s="1417">
        <f t="shared" si="2"/>
        <v>0</v>
      </c>
      <c r="H67" s="1417">
        <f>VLOOKUP($C$15:$C$89,'sản lượng'!$D$99:$AL$169,34,0)</f>
        <v>2767</v>
      </c>
      <c r="I67" s="1417"/>
      <c r="J67" s="1417">
        <f t="shared" si="8"/>
        <v>1205.5549635090497</v>
      </c>
      <c r="K67" s="1837">
        <f>VLOOKUP($C$15:$C$89,'sản lượng'!$D$99:$AP$169,37,0)</f>
        <v>112.27214146231502</v>
      </c>
      <c r="L67" s="1837">
        <f t="shared" si="3"/>
        <v>1317.8271049713646</v>
      </c>
      <c r="M67" s="1419" t="str">
        <f>VLOOKUP(C67,'sản lượng'!$D$99:$AP$169,39,0)</f>
        <v>B</v>
      </c>
      <c r="N67" s="2266">
        <f t="shared" si="4"/>
        <v>4586038</v>
      </c>
      <c r="O67" s="1417">
        <f>VLOOKUP(C67,TONGHOPCONGDOI!$C$105:$AA$179,20,0)</f>
        <v>20</v>
      </c>
      <c r="P67" s="1417">
        <f>VLOOKUP(C67,TONGHOPCONGDOI!$C$105:$AA$179,21,0)</f>
        <v>4</v>
      </c>
      <c r="Q67" s="1417">
        <f>VLOOKUP(C67,TONGHOPCONGDOI!$C$105:$AA$179,22,0)</f>
        <v>5</v>
      </c>
      <c r="R67" s="1417">
        <f>VLOOKUP(C67,TONGHOPCONGDOI!$C$105:$AA$179,23,0)</f>
        <v>0</v>
      </c>
      <c r="S67" s="1417">
        <f t="shared" si="5"/>
        <v>5</v>
      </c>
      <c r="T67" s="1417">
        <f>VLOOKUP(C67,TONGHOPCONGDOI!$C$105:$AA$179,25,0)</f>
        <v>0</v>
      </c>
      <c r="U67" s="1417"/>
      <c r="V67" s="1417">
        <f>VLOOKUP(C67,TONGHOPCONGDOI!$C$105:$AB$175,26,0)</f>
        <v>34</v>
      </c>
      <c r="W67" s="1417"/>
      <c r="X67" s="1417"/>
      <c r="Y67" s="1417"/>
      <c r="Z67" s="1881">
        <f t="shared" si="6"/>
        <v>2309253</v>
      </c>
      <c r="AA67" s="1420">
        <f t="shared" si="9"/>
        <v>6895291</v>
      </c>
      <c r="AB67" s="1420">
        <f t="shared" si="7"/>
        <v>6895291</v>
      </c>
      <c r="AC67" s="1459"/>
      <c r="AD67" s="1458"/>
      <c r="AE67" s="1250">
        <v>437719</v>
      </c>
      <c r="AF67" s="1421">
        <f>'[5]TRẠM 2'!$L$90-N90</f>
        <v>-83654418</v>
      </c>
      <c r="AG67" s="1258"/>
    </row>
    <row r="68" spans="1:33" s="1250" customFormat="1" ht="24" customHeight="1">
      <c r="A68" s="1245">
        <v>54</v>
      </c>
      <c r="B68" s="320"/>
      <c r="C68" s="1247" t="str">
        <f>TONGHOPCONGDOI!C158</f>
        <v>Thảo Ỉa</v>
      </c>
      <c r="D68" s="1243" t="s">
        <v>15</v>
      </c>
      <c r="E68" s="1416"/>
      <c r="F68" s="1252"/>
      <c r="G68" s="1417">
        <f t="shared" si="2"/>
        <v>0</v>
      </c>
      <c r="H68" s="1417">
        <f>VLOOKUP($C$15:$C$89,'sản lượng'!$D$99:$AL$169,34,0)</f>
        <v>344</v>
      </c>
      <c r="I68" s="1417"/>
      <c r="J68" s="1417">
        <f t="shared" si="8"/>
        <v>149.87745119158407</v>
      </c>
      <c r="K68" s="1837">
        <f>VLOOKUP($C$15:$C$89,'sản lượng'!$D$99:$AP$169,37,0)</f>
        <v>13.957938801241911</v>
      </c>
      <c r="L68" s="1837">
        <f t="shared" si="3"/>
        <v>163.83538999282598</v>
      </c>
      <c r="M68" s="1419" t="str">
        <f>VLOOKUP(C68,'sản lượng'!$D$99:$AP$169,39,0)</f>
        <v>C.</v>
      </c>
      <c r="N68" s="2266">
        <f>ROUND((IF(M68="A",(L68*6.1),IF(M68="B",(L68*5.8),IF(M68="C.",(L68*5.5),IF(M68="D",(L68*5.2),0))))*$E$8),0)</f>
        <v>540657</v>
      </c>
      <c r="O68" s="1417">
        <f>VLOOKUP(C68,TONGHOPCONGDOI!$C$105:$AA$179,20,0)</f>
        <v>3</v>
      </c>
      <c r="P68" s="1417">
        <f>VLOOKUP(C68,TONGHOPCONGDOI!$C$105:$AA$179,21,0)</f>
        <v>0</v>
      </c>
      <c r="Q68" s="1417">
        <f>VLOOKUP(C68,TONGHOPCONGDOI!$C$105:$AA$179,22,0)</f>
        <v>1</v>
      </c>
      <c r="R68" s="1417">
        <f>VLOOKUP(C68,TONGHOPCONGDOI!$C$105:$AA$179,23,0)</f>
        <v>0</v>
      </c>
      <c r="S68" s="1417">
        <f t="shared" si="5"/>
        <v>1</v>
      </c>
      <c r="T68" s="1417">
        <f>VLOOKUP(C68,TONGHOPCONGDOI!$C$105:$AA$179,25,0)</f>
        <v>0</v>
      </c>
      <c r="U68" s="1417"/>
      <c r="V68" s="1417">
        <f>VLOOKUP(C68,TONGHOPCONGDOI!$C$105:$AB$175,26,0)</f>
        <v>2</v>
      </c>
      <c r="W68" s="1417"/>
      <c r="X68" s="1417"/>
      <c r="Y68" s="1417"/>
      <c r="Z68" s="1881">
        <f t="shared" si="6"/>
        <v>293965</v>
      </c>
      <c r="AA68" s="1420">
        <f t="shared" si="9"/>
        <v>834622</v>
      </c>
      <c r="AB68" s="1420">
        <f t="shared" si="7"/>
        <v>834622</v>
      </c>
      <c r="AC68" s="1459"/>
      <c r="AD68" s="1458"/>
      <c r="AF68" s="1421"/>
      <c r="AG68" s="1258"/>
    </row>
    <row r="69" spans="1:33" s="1250" customFormat="1" ht="24" customHeight="1">
      <c r="A69" s="1245">
        <v>55</v>
      </c>
      <c r="B69" s="320"/>
      <c r="C69" s="1247" t="str">
        <f>TONGHOPCONGDOI!C159</f>
        <v>Thảo Khăm</v>
      </c>
      <c r="D69" s="1243" t="s">
        <v>15</v>
      </c>
      <c r="E69" s="1416"/>
      <c r="F69" s="1252"/>
      <c r="G69" s="1417">
        <f t="shared" si="2"/>
        <v>0</v>
      </c>
      <c r="H69" s="1417">
        <f>VLOOKUP($C$15:$C$89,'sản lượng'!$D$99:$AL$169,34,0)</f>
        <v>72</v>
      </c>
      <c r="I69" s="1417"/>
      <c r="J69" s="1417">
        <f t="shared" si="8"/>
        <v>31.369699086610616</v>
      </c>
      <c r="K69" s="1837">
        <f>VLOOKUP($C$15:$C$89,'sản lượng'!$D$99:$AP$169,37,0)</f>
        <v>2.9214290514227255</v>
      </c>
      <c r="L69" s="1837">
        <f t="shared" si="3"/>
        <v>34.291128138033343</v>
      </c>
      <c r="M69" s="1419" t="str">
        <f>VLOOKUP(C69,'sản lượng'!$D$99:$AP$169,39,0)</f>
        <v>C.</v>
      </c>
      <c r="N69" s="2266">
        <f t="shared" ref="N69:N80" si="10">ROUND((IF(M69="A",(L69*6.1),IF(M69="B",(L69*5.8),IF(M69="C.",(L69*5.5),IF(M69="D",(L69*5.2),0))))*$E$8),0)</f>
        <v>113161</v>
      </c>
      <c r="O69" s="1417">
        <f>VLOOKUP(C69,TONGHOPCONGDOI!$C$105:$AA$179,20,0)</f>
        <v>2</v>
      </c>
      <c r="P69" s="1417">
        <f>VLOOKUP(C69,TONGHOPCONGDOI!$C$105:$AA$179,21,0)</f>
        <v>0</v>
      </c>
      <c r="Q69" s="1417">
        <f>VLOOKUP(C69,TONGHOPCONGDOI!$C$105:$AA$179,22,0)</f>
        <v>0</v>
      </c>
      <c r="R69" s="1417">
        <f>VLOOKUP(C69,TONGHOPCONGDOI!$C$105:$AA$179,23,0)</f>
        <v>0</v>
      </c>
      <c r="S69" s="1417">
        <f t="shared" si="5"/>
        <v>0</v>
      </c>
      <c r="T69" s="1417">
        <f>VLOOKUP(C69,TONGHOPCONGDOI!$C$105:$AA$179,25,0)</f>
        <v>0</v>
      </c>
      <c r="U69" s="1417"/>
      <c r="V69" s="1417">
        <f>VLOOKUP(C69,TONGHOPCONGDOI!$C$105:$AB$175,26,0)</f>
        <v>1</v>
      </c>
      <c r="W69" s="1417"/>
      <c r="X69" s="1417"/>
      <c r="Y69" s="1417"/>
      <c r="Z69" s="1881">
        <f t="shared" si="6"/>
        <v>81586</v>
      </c>
      <c r="AA69" s="1420">
        <f t="shared" si="9"/>
        <v>194747</v>
      </c>
      <c r="AB69" s="1420">
        <f t="shared" si="7"/>
        <v>194747</v>
      </c>
      <c r="AC69" s="1459"/>
      <c r="AD69" s="1458"/>
      <c r="AF69" s="1421"/>
      <c r="AG69" s="1258"/>
    </row>
    <row r="70" spans="1:33" s="1250" customFormat="1" ht="24" customHeight="1">
      <c r="A70" s="1245">
        <v>56</v>
      </c>
      <c r="B70" s="320"/>
      <c r="C70" s="1247" t="str">
        <f>TONGHOPCONGDOI!C160</f>
        <v>Thảo Phút râu</v>
      </c>
      <c r="D70" s="1243" t="s">
        <v>15</v>
      </c>
      <c r="E70" s="1416"/>
      <c r="F70" s="1252"/>
      <c r="G70" s="1417">
        <f t="shared" si="2"/>
        <v>0</v>
      </c>
      <c r="H70" s="1417">
        <f>VLOOKUP($C$15:$C$89,'sản lượng'!$D$99:$AL$169,34,0)</f>
        <v>81</v>
      </c>
      <c r="I70" s="1417"/>
      <c r="J70" s="1417">
        <f t="shared" si="8"/>
        <v>35.290911472436946</v>
      </c>
      <c r="K70" s="1837">
        <f>VLOOKUP($C$15:$C$89,'sản lượng'!$D$99:$AP$169,37,0)</f>
        <v>3.2866076828505664</v>
      </c>
      <c r="L70" s="1837">
        <f t="shared" si="3"/>
        <v>38.577519155287511</v>
      </c>
      <c r="M70" s="1419" t="str">
        <f>VLOOKUP(C70,'sản lượng'!$D$99:$AP$169,39,0)</f>
        <v>C.</v>
      </c>
      <c r="N70" s="2266">
        <f t="shared" si="10"/>
        <v>127306</v>
      </c>
      <c r="O70" s="1417">
        <f>VLOOKUP(C70,TONGHOPCONGDOI!$C$105:$AA$179,20,0)</f>
        <v>0</v>
      </c>
      <c r="P70" s="1417">
        <f>VLOOKUP(C70,TONGHOPCONGDOI!$C$105:$AA$179,21,0)</f>
        <v>0</v>
      </c>
      <c r="Q70" s="1417">
        <f>VLOOKUP(C70,TONGHOPCONGDOI!$C$105:$AA$179,22,0)</f>
        <v>0</v>
      </c>
      <c r="R70" s="1417">
        <f>VLOOKUP(C70,TONGHOPCONGDOI!$C$105:$AA$179,23,0)</f>
        <v>0</v>
      </c>
      <c r="S70" s="1417">
        <f t="shared" si="5"/>
        <v>0</v>
      </c>
      <c r="T70" s="1417">
        <f>VLOOKUP(C70,TONGHOPCONGDOI!$C$105:$AA$179,25,0)</f>
        <v>0</v>
      </c>
      <c r="U70" s="1417"/>
      <c r="V70" s="1417">
        <f>VLOOKUP(C70,TONGHOPCONGDOI!$C$105:$AB$175,26,0)</f>
        <v>0</v>
      </c>
      <c r="W70" s="1417"/>
      <c r="X70" s="1417"/>
      <c r="Y70" s="1417"/>
      <c r="Z70" s="1881">
        <f t="shared" si="6"/>
        <v>0</v>
      </c>
      <c r="AA70" s="1420">
        <f t="shared" si="9"/>
        <v>127306</v>
      </c>
      <c r="AB70" s="1420">
        <f t="shared" si="7"/>
        <v>127306</v>
      </c>
      <c r="AC70" s="1459"/>
      <c r="AD70" s="1458"/>
      <c r="AF70" s="1421"/>
      <c r="AG70" s="1258"/>
    </row>
    <row r="71" spans="1:33" s="1250" customFormat="1" ht="24" hidden="1" customHeight="1">
      <c r="A71" s="1245">
        <v>57</v>
      </c>
      <c r="B71" s="320"/>
      <c r="C71" s="1247" t="str">
        <f>TONGHOPCONGDOI!C161</f>
        <v>Thảo Hung</v>
      </c>
      <c r="D71" s="1243" t="s">
        <v>15</v>
      </c>
      <c r="E71" s="1416"/>
      <c r="F71" s="1252"/>
      <c r="G71" s="1417">
        <f t="shared" si="2"/>
        <v>0</v>
      </c>
      <c r="H71" s="1417">
        <f>VLOOKUP($C$15:$C$89,'sản lượng'!$D$99:$AL$169,34,0)</f>
        <v>0</v>
      </c>
      <c r="I71" s="1417"/>
      <c r="J71" s="1417">
        <f t="shared" si="8"/>
        <v>0</v>
      </c>
      <c r="K71" s="1837">
        <f>VLOOKUP($C$15:$C$89,'sản lượng'!$D$99:$AP$169,37,0)</f>
        <v>0</v>
      </c>
      <c r="L71" s="1837">
        <f t="shared" si="3"/>
        <v>0</v>
      </c>
      <c r="M71" s="1419">
        <f>VLOOKUP(C71,'sản lượng'!$D$99:$AP$169,39,0)</f>
        <v>0</v>
      </c>
      <c r="N71" s="2266">
        <f t="shared" si="10"/>
        <v>0</v>
      </c>
      <c r="O71" s="1417">
        <f>VLOOKUP(C71,TONGHOPCONGDOI!$C$105:$AA$179,20,0)</f>
        <v>0</v>
      </c>
      <c r="P71" s="1417">
        <f>VLOOKUP(C71,TONGHOPCONGDOI!$C$105:$AA$179,21,0)</f>
        <v>0</v>
      </c>
      <c r="Q71" s="1417">
        <f>VLOOKUP(C71,TONGHOPCONGDOI!$C$105:$AA$179,22,0)</f>
        <v>0</v>
      </c>
      <c r="R71" s="1417">
        <f>VLOOKUP(C71,TONGHOPCONGDOI!$C$105:$AA$179,23,0)</f>
        <v>0</v>
      </c>
      <c r="S71" s="1417">
        <f t="shared" si="5"/>
        <v>0</v>
      </c>
      <c r="T71" s="1417">
        <f>VLOOKUP(C71,TONGHOPCONGDOI!$C$105:$AA$179,25,0)</f>
        <v>0</v>
      </c>
      <c r="U71" s="1417"/>
      <c r="V71" s="1417">
        <f>VLOOKUP(C71,TONGHOPCONGDOI!$C$105:$AB$175,26,0)</f>
        <v>0</v>
      </c>
      <c r="W71" s="1417"/>
      <c r="X71" s="1417"/>
      <c r="Y71" s="1417"/>
      <c r="Z71" s="1881">
        <f t="shared" si="6"/>
        <v>0</v>
      </c>
      <c r="AA71" s="1420">
        <f t="shared" si="9"/>
        <v>0</v>
      </c>
      <c r="AB71" s="1420">
        <f t="shared" si="7"/>
        <v>0</v>
      </c>
      <c r="AC71" s="1459"/>
      <c r="AD71" s="1458"/>
      <c r="AF71" s="1421"/>
      <c r="AG71" s="1258"/>
    </row>
    <row r="72" spans="1:33" s="1250" customFormat="1" ht="24" customHeight="1">
      <c r="A72" s="1245">
        <v>57</v>
      </c>
      <c r="B72" s="320"/>
      <c r="C72" s="1247" t="str">
        <f>TONGHOPCONGDOI!C162</f>
        <v>Thảo Khẹt</v>
      </c>
      <c r="D72" s="1243" t="s">
        <v>15</v>
      </c>
      <c r="E72" s="1416"/>
      <c r="F72" s="1252"/>
      <c r="G72" s="1417">
        <f t="shared" si="2"/>
        <v>0</v>
      </c>
      <c r="H72" s="1417">
        <f>VLOOKUP($C$15:$C$89,'sản lượng'!$D$99:$AL$169,34,0)</f>
        <v>2070</v>
      </c>
      <c r="I72" s="1417"/>
      <c r="J72" s="1417">
        <f t="shared" si="8"/>
        <v>901.87884874005522</v>
      </c>
      <c r="K72" s="1837">
        <f>VLOOKUP($C$15:$C$89,'sản lượng'!$D$99:$AP$169,37,0)</f>
        <v>83.991085228403364</v>
      </c>
      <c r="L72" s="1837">
        <f t="shared" si="3"/>
        <v>985.86993396845855</v>
      </c>
      <c r="M72" s="1419" t="str">
        <f>VLOOKUP(C72,'sản lượng'!$D$99:$AP$169,39,0)</f>
        <v>C.</v>
      </c>
      <c r="N72" s="2266">
        <f t="shared" si="10"/>
        <v>3253371</v>
      </c>
      <c r="O72" s="1417">
        <f>VLOOKUP(C72,TONGHOPCONGDOI!$C$105:$AA$179,20,0)</f>
        <v>17</v>
      </c>
      <c r="P72" s="1417">
        <f>VLOOKUP(C72,TONGHOPCONGDOI!$C$105:$AA$179,21,0)</f>
        <v>3</v>
      </c>
      <c r="Q72" s="1417">
        <f>VLOOKUP(C72,TONGHOPCONGDOI!$C$105:$AA$179,22,0)</f>
        <v>4</v>
      </c>
      <c r="R72" s="1417">
        <f>VLOOKUP(C72,TONGHOPCONGDOI!$C$105:$AA$179,23,0)</f>
        <v>0</v>
      </c>
      <c r="S72" s="1417">
        <f t="shared" si="5"/>
        <v>4</v>
      </c>
      <c r="T72" s="1417">
        <f>VLOOKUP(C72,TONGHOPCONGDOI!$C$105:$AA$179,25,0)</f>
        <v>0</v>
      </c>
      <c r="U72" s="1417"/>
      <c r="V72" s="1417">
        <f>VLOOKUP(C72,TONGHOPCONGDOI!$C$105:$AB$175,26,0)</f>
        <v>23</v>
      </c>
      <c r="W72" s="1417"/>
      <c r="X72" s="1417"/>
      <c r="Y72" s="1417"/>
      <c r="Z72" s="1881">
        <f t="shared" si="6"/>
        <v>1783922</v>
      </c>
      <c r="AA72" s="1420">
        <f t="shared" si="9"/>
        <v>5037293</v>
      </c>
      <c r="AB72" s="1420">
        <f t="shared" si="7"/>
        <v>5037293</v>
      </c>
      <c r="AC72" s="1459"/>
      <c r="AD72" s="1458"/>
      <c r="AF72" s="1421"/>
      <c r="AG72" s="1258"/>
    </row>
    <row r="73" spans="1:33" s="1250" customFormat="1" ht="24" hidden="1" customHeight="1">
      <c r="A73" s="1245">
        <v>59</v>
      </c>
      <c r="B73" s="320"/>
      <c r="C73" s="1247" t="str">
        <f>TONGHOPCONGDOI!C163</f>
        <v>Thảo Khun</v>
      </c>
      <c r="D73" s="1243" t="s">
        <v>15</v>
      </c>
      <c r="E73" s="1416"/>
      <c r="F73" s="1252"/>
      <c r="G73" s="1417">
        <f t="shared" si="2"/>
        <v>0</v>
      </c>
      <c r="H73" s="1417">
        <f>VLOOKUP($C$15:$C$89,'sản lượng'!$D$99:$AL$169,34,0)</f>
        <v>0</v>
      </c>
      <c r="I73" s="1417"/>
      <c r="J73" s="1417">
        <f t="shared" si="8"/>
        <v>0</v>
      </c>
      <c r="K73" s="1837">
        <f>VLOOKUP($C$15:$C$89,'sản lượng'!$D$99:$AP$169,37,0)</f>
        <v>0</v>
      </c>
      <c r="L73" s="1837">
        <f t="shared" si="3"/>
        <v>0</v>
      </c>
      <c r="M73" s="1419">
        <f>VLOOKUP(C73,'sản lượng'!$D$99:$AP$169,39,0)</f>
        <v>0</v>
      </c>
      <c r="N73" s="2266">
        <f t="shared" si="10"/>
        <v>0</v>
      </c>
      <c r="O73" s="1417">
        <f>VLOOKUP(C73,TONGHOPCONGDOI!$C$105:$AA$179,20,0)</f>
        <v>0</v>
      </c>
      <c r="P73" s="1417">
        <f>VLOOKUP(C73,TONGHOPCONGDOI!$C$105:$AA$179,21,0)</f>
        <v>0</v>
      </c>
      <c r="Q73" s="1417">
        <f>VLOOKUP(C73,TONGHOPCONGDOI!$C$105:$AA$179,22,0)</f>
        <v>0</v>
      </c>
      <c r="R73" s="1417">
        <f>VLOOKUP(C73,TONGHOPCONGDOI!$C$105:$AA$179,23,0)</f>
        <v>0</v>
      </c>
      <c r="S73" s="1417">
        <f t="shared" si="5"/>
        <v>0</v>
      </c>
      <c r="T73" s="1417">
        <f>VLOOKUP(C73,TONGHOPCONGDOI!$C$105:$AA$179,25,0)</f>
        <v>0</v>
      </c>
      <c r="U73" s="1417"/>
      <c r="V73" s="1417">
        <f>VLOOKUP(C73,TONGHOPCONGDOI!$C$105:$AB$175,26,0)</f>
        <v>0</v>
      </c>
      <c r="W73" s="1417"/>
      <c r="X73" s="1417"/>
      <c r="Y73" s="1417"/>
      <c r="Z73" s="1881">
        <f t="shared" si="6"/>
        <v>0</v>
      </c>
      <c r="AA73" s="1420">
        <f t="shared" si="9"/>
        <v>0</v>
      </c>
      <c r="AB73" s="1420">
        <f t="shared" si="7"/>
        <v>0</v>
      </c>
      <c r="AC73" s="1459"/>
      <c r="AD73" s="1458"/>
      <c r="AF73" s="1421"/>
      <c r="AG73" s="1258"/>
    </row>
    <row r="74" spans="1:33" s="1250" customFormat="1" ht="24" customHeight="1">
      <c r="A74" s="1245">
        <v>58</v>
      </c>
      <c r="B74" s="320"/>
      <c r="C74" s="1247" t="str">
        <f>TONGHOPCONGDOI!C164</f>
        <v>Thảo Linh</v>
      </c>
      <c r="D74" s="1243" t="s">
        <v>15</v>
      </c>
      <c r="E74" s="1416"/>
      <c r="F74" s="1252"/>
      <c r="G74" s="1417">
        <f t="shared" si="2"/>
        <v>0</v>
      </c>
      <c r="H74" s="1417">
        <f>VLOOKUP($C$15:$C$89,'sản lượng'!$D$99:$AL$169,34,0)</f>
        <v>2751</v>
      </c>
      <c r="I74" s="1417"/>
      <c r="J74" s="1417">
        <f t="shared" si="8"/>
        <v>1198.5839192675808</v>
      </c>
      <c r="K74" s="1837">
        <f>VLOOKUP($C$15:$C$89,'sản lượng'!$D$99:$AP$169,37,0)</f>
        <v>111.6229350064433</v>
      </c>
      <c r="L74" s="1837">
        <f t="shared" si="3"/>
        <v>1310.206854274024</v>
      </c>
      <c r="M74" s="1419" t="str">
        <f>VLOOKUP(C74,'sản lượng'!$D$99:$AP$169,39,0)</f>
        <v>C.</v>
      </c>
      <c r="N74" s="2266">
        <f t="shared" si="10"/>
        <v>4323683</v>
      </c>
      <c r="O74" s="1417">
        <f>VLOOKUP(C74,TONGHOPCONGDOI!$C$105:$AA$179,20,0)</f>
        <v>20</v>
      </c>
      <c r="P74" s="1417">
        <f>VLOOKUP(C74,TONGHOPCONGDOI!$C$105:$AA$179,21,0)</f>
        <v>4</v>
      </c>
      <c r="Q74" s="1417">
        <f>VLOOKUP(C74,TONGHOPCONGDOI!$C$105:$AA$179,22,0)</f>
        <v>5</v>
      </c>
      <c r="R74" s="1417">
        <f>VLOOKUP(C74,TONGHOPCONGDOI!$C$105:$AA$179,23,0)</f>
        <v>0</v>
      </c>
      <c r="S74" s="1417">
        <f t="shared" si="5"/>
        <v>5</v>
      </c>
      <c r="T74" s="1417">
        <f>VLOOKUP(C74,TONGHOPCONGDOI!$C$105:$AA$179,25,0)</f>
        <v>0</v>
      </c>
      <c r="U74" s="1417"/>
      <c r="V74" s="1417">
        <f>VLOOKUP(C74,TONGHOPCONGDOI!$C$105:$AB$175,26,0)</f>
        <v>33</v>
      </c>
      <c r="W74" s="1417"/>
      <c r="X74" s="1417"/>
      <c r="Y74" s="1417"/>
      <c r="Z74" s="1881">
        <f t="shared" si="6"/>
        <v>2289253</v>
      </c>
      <c r="AA74" s="1420">
        <f t="shared" si="9"/>
        <v>6612936</v>
      </c>
      <c r="AB74" s="1420">
        <f t="shared" si="7"/>
        <v>6612936</v>
      </c>
      <c r="AC74" s="1459"/>
      <c r="AD74" s="1458"/>
      <c r="AF74" s="1421"/>
      <c r="AG74" s="1258"/>
    </row>
    <row r="75" spans="1:33" s="1250" customFormat="1" ht="24" customHeight="1">
      <c r="A75" s="1245">
        <v>59</v>
      </c>
      <c r="B75" s="320"/>
      <c r="C75" s="1247" t="str">
        <f>TONGHOPCONGDOI!C165</f>
        <v>Thảo Han</v>
      </c>
      <c r="D75" s="1243" t="s">
        <v>15</v>
      </c>
      <c r="E75" s="1416"/>
      <c r="F75" s="1252"/>
      <c r="G75" s="1417">
        <f t="shared" si="2"/>
        <v>0</v>
      </c>
      <c r="H75" s="1417">
        <f>VLOOKUP($C$15:$C$89,'sản lượng'!$D$99:$AL$169,34,0)</f>
        <v>2695</v>
      </c>
      <c r="I75" s="1417"/>
      <c r="J75" s="1417">
        <f t="shared" si="8"/>
        <v>1174.1852644224391</v>
      </c>
      <c r="K75" s="1837">
        <f>VLOOKUP($C$15:$C$89,'sản lượng'!$D$99:$AP$169,37,0)</f>
        <v>109.3507124108923</v>
      </c>
      <c r="L75" s="1837">
        <f t="shared" si="3"/>
        <v>1283.5359768333315</v>
      </c>
      <c r="M75" s="1419" t="str">
        <f>VLOOKUP(C75,'sản lượng'!$D$99:$AP$169,39,0)</f>
        <v>C.</v>
      </c>
      <c r="N75" s="2266">
        <f t="shared" si="10"/>
        <v>4235669</v>
      </c>
      <c r="O75" s="1417">
        <f>VLOOKUP(C75,TONGHOPCONGDOI!$C$105:$AA$179,20,0)</f>
        <v>16</v>
      </c>
      <c r="P75" s="1417">
        <f>VLOOKUP(C75,TONGHOPCONGDOI!$C$105:$AA$179,21,0)</f>
        <v>4</v>
      </c>
      <c r="Q75" s="1417">
        <f>VLOOKUP(C75,TONGHOPCONGDOI!$C$105:$AA$179,22,0)</f>
        <v>4</v>
      </c>
      <c r="R75" s="1417">
        <f>VLOOKUP(C75,TONGHOPCONGDOI!$C$105:$AA$179,23,0)</f>
        <v>0</v>
      </c>
      <c r="S75" s="1417">
        <f t="shared" si="5"/>
        <v>4</v>
      </c>
      <c r="T75" s="1417">
        <f>VLOOKUP(C75,TONGHOPCONGDOI!$C$105:$AA$179,25,0)</f>
        <v>0</v>
      </c>
      <c r="U75" s="1417"/>
      <c r="V75" s="1417">
        <f>VLOOKUP(C75,TONGHOPCONGDOI!$C$105:$AB$175,26,0)</f>
        <v>27</v>
      </c>
      <c r="W75" s="1417"/>
      <c r="X75" s="1417"/>
      <c r="Y75" s="1417"/>
      <c r="Z75" s="1881">
        <f t="shared" si="6"/>
        <v>1884495</v>
      </c>
      <c r="AA75" s="1420">
        <f t="shared" si="9"/>
        <v>6120164</v>
      </c>
      <c r="AB75" s="1420">
        <f t="shared" si="7"/>
        <v>6120164</v>
      </c>
      <c r="AC75" s="1459"/>
      <c r="AD75" s="1458"/>
      <c r="AF75" s="1421"/>
      <c r="AG75" s="1258"/>
    </row>
    <row r="76" spans="1:33" s="1250" customFormat="1" ht="24" customHeight="1">
      <c r="A76" s="1245">
        <v>60</v>
      </c>
      <c r="B76" s="320"/>
      <c r="C76" s="1247" t="str">
        <f>TONGHOPCONGDOI!C166</f>
        <v>Thảo Ê</v>
      </c>
      <c r="D76" s="1243" t="s">
        <v>15</v>
      </c>
      <c r="E76" s="1416"/>
      <c r="F76" s="1252"/>
      <c r="G76" s="1417">
        <f t="shared" si="2"/>
        <v>0</v>
      </c>
      <c r="H76" s="1417">
        <f>VLOOKUP($C$15:$C$89,'sản lượng'!$D$99:$AL$169,34,0)</f>
        <v>2137</v>
      </c>
      <c r="I76" s="1417"/>
      <c r="J76" s="1417">
        <f t="shared" si="8"/>
        <v>931.07009650120676</v>
      </c>
      <c r="K76" s="1837">
        <f>VLOOKUP($C$15:$C$89,'sản lượng'!$D$99:$AP$169,37,0)</f>
        <v>86.709637262366172</v>
      </c>
      <c r="L76" s="1837">
        <f t="shared" si="3"/>
        <v>1017.7797337635729</v>
      </c>
      <c r="M76" s="1419" t="str">
        <f>VLOOKUP(C76,'sản lượng'!$D$99:$AP$169,39,0)</f>
        <v>C.</v>
      </c>
      <c r="N76" s="2266">
        <f t="shared" si="10"/>
        <v>3358673</v>
      </c>
      <c r="O76" s="1417">
        <f>VLOOKUP(C76,TONGHOPCONGDOI!$C$105:$AA$179,20,0)</f>
        <v>12</v>
      </c>
      <c r="P76" s="1417">
        <f>VLOOKUP(C76,TONGHOPCONGDOI!$C$105:$AA$179,21,0)</f>
        <v>4</v>
      </c>
      <c r="Q76" s="1417">
        <f>VLOOKUP(C76,TONGHOPCONGDOI!$C$105:$AA$179,22,0)</f>
        <v>3</v>
      </c>
      <c r="R76" s="1417">
        <f>VLOOKUP(C76,TONGHOPCONGDOI!$C$105:$AA$179,23,0)</f>
        <v>0</v>
      </c>
      <c r="S76" s="1417">
        <f t="shared" si="5"/>
        <v>3</v>
      </c>
      <c r="T76" s="1417">
        <f>VLOOKUP(C76,TONGHOPCONGDOI!$C$105:$AA$179,25,0)</f>
        <v>0</v>
      </c>
      <c r="U76" s="1417"/>
      <c r="V76" s="1417">
        <f>VLOOKUP(C76,TONGHOPCONGDOI!$C$105:$AB$175,26,0)</f>
        <v>22</v>
      </c>
      <c r="W76" s="1417"/>
      <c r="X76" s="1417"/>
      <c r="Y76" s="1417"/>
      <c r="Z76" s="1881">
        <f t="shared" si="6"/>
        <v>1499738</v>
      </c>
      <c r="AA76" s="1420">
        <f t="shared" si="9"/>
        <v>4858411</v>
      </c>
      <c r="AB76" s="1420">
        <f t="shared" si="7"/>
        <v>4858411</v>
      </c>
      <c r="AC76" s="1459"/>
      <c r="AD76" s="1458"/>
      <c r="AF76" s="1421"/>
      <c r="AG76" s="1258"/>
    </row>
    <row r="77" spans="1:33" s="1250" customFormat="1" ht="24" customHeight="1">
      <c r="A77" s="1245">
        <v>61</v>
      </c>
      <c r="B77" s="320"/>
      <c r="C77" s="1247" t="str">
        <f>TONGHOPCONGDOI!C167</f>
        <v>Thảo Tô</v>
      </c>
      <c r="D77" s="1243" t="s">
        <v>15</v>
      </c>
      <c r="E77" s="1416"/>
      <c r="F77" s="1252"/>
      <c r="G77" s="1417">
        <f t="shared" si="2"/>
        <v>0</v>
      </c>
      <c r="H77" s="1417">
        <f>VLOOKUP($C$15:$C$89,'sản lượng'!$D$99:$AL$169,34,0)</f>
        <v>980</v>
      </c>
      <c r="I77" s="1417"/>
      <c r="J77" s="1417">
        <f t="shared" si="8"/>
        <v>426.97645978997787</v>
      </c>
      <c r="K77" s="1837">
        <f>VLOOKUP($C$15:$C$89,'sản lượng'!$D$99:$AP$169,37,0)</f>
        <v>39.763895422142653</v>
      </c>
      <c r="L77" s="1837">
        <f t="shared" si="3"/>
        <v>466.74035521212051</v>
      </c>
      <c r="M77" s="1419" t="str">
        <f>VLOOKUP(C77,'sản lượng'!$D$99:$AP$169,39,0)</f>
        <v>C.</v>
      </c>
      <c r="N77" s="2266">
        <f t="shared" si="10"/>
        <v>1540243</v>
      </c>
      <c r="O77" s="1417">
        <f>VLOOKUP(C77,TONGHOPCONGDOI!$C$105:$AA$179,20,0)</f>
        <v>8</v>
      </c>
      <c r="P77" s="1417">
        <f>VLOOKUP(C77,TONGHOPCONGDOI!$C$105:$AA$179,21,0)</f>
        <v>3</v>
      </c>
      <c r="Q77" s="1417">
        <f>VLOOKUP(C77,TONGHOPCONGDOI!$C$105:$AA$179,22,0)</f>
        <v>0</v>
      </c>
      <c r="R77" s="1417">
        <f>VLOOKUP(C77,TONGHOPCONGDOI!$C$105:$AA$179,23,0)</f>
        <v>0</v>
      </c>
      <c r="S77" s="1417">
        <f t="shared" si="5"/>
        <v>0</v>
      </c>
      <c r="T77" s="1417">
        <f>VLOOKUP(C77,TONGHOPCONGDOI!$C$105:$AA$179,25,0)</f>
        <v>0</v>
      </c>
      <c r="U77" s="1417"/>
      <c r="V77" s="1417">
        <f>VLOOKUP(C77,TONGHOPCONGDOI!$C$105:$AB$175,26,0)</f>
        <v>11</v>
      </c>
      <c r="W77" s="1417"/>
      <c r="X77" s="1417"/>
      <c r="Y77" s="1417"/>
      <c r="Z77" s="1881">
        <f t="shared" si="6"/>
        <v>620442</v>
      </c>
      <c r="AA77" s="1420">
        <f t="shared" si="9"/>
        <v>2160685</v>
      </c>
      <c r="AB77" s="1420">
        <f t="shared" si="7"/>
        <v>2160685</v>
      </c>
      <c r="AC77" s="1459"/>
      <c r="AD77" s="1458"/>
      <c r="AF77" s="1421"/>
      <c r="AG77" s="1258"/>
    </row>
    <row r="78" spans="1:33" s="1250" customFormat="1" ht="24" customHeight="1">
      <c r="A78" s="1245">
        <v>62</v>
      </c>
      <c r="B78" s="320"/>
      <c r="C78" s="1247" t="str">
        <f>TONGHOPCONGDOI!C168</f>
        <v>Nàng Son</v>
      </c>
      <c r="D78" s="1243" t="s">
        <v>15</v>
      </c>
      <c r="E78" s="1416"/>
      <c r="F78" s="1252"/>
      <c r="G78" s="1417">
        <f t="shared" ref="G78" si="11">F78*25000</f>
        <v>0</v>
      </c>
      <c r="H78" s="1417">
        <f>VLOOKUP($C$15:$C$89,'sản lượng'!$D$99:$AL$169,34,0)</f>
        <v>836</v>
      </c>
      <c r="I78" s="1417"/>
      <c r="J78" s="1417">
        <f t="shared" si="8"/>
        <v>364.23706161675659</v>
      </c>
      <c r="K78" s="1837">
        <f>VLOOKUP($C$15:$C$89,'sản lượng'!$D$99:$AP$169,37,0)</f>
        <v>33.921037319297199</v>
      </c>
      <c r="L78" s="1837">
        <f t="shared" si="3"/>
        <v>398.15809893605376</v>
      </c>
      <c r="M78" s="1419" t="str">
        <f>VLOOKUP(C78,'sản lượng'!$D$99:$AP$169,39,0)</f>
        <v>C.</v>
      </c>
      <c r="N78" s="2266">
        <f t="shared" si="10"/>
        <v>1313922</v>
      </c>
      <c r="O78" s="1417">
        <f>VLOOKUP(C78,TONGHOPCONGDOI!$C$105:$AA$179,20,0)</f>
        <v>7</v>
      </c>
      <c r="P78" s="1417">
        <f>VLOOKUP(C78,TONGHOPCONGDOI!$C$105:$AA$179,21,0)</f>
        <v>2</v>
      </c>
      <c r="Q78" s="1417">
        <f>VLOOKUP(C78,TONGHOPCONGDOI!$C$105:$AA$179,22,0)</f>
        <v>0</v>
      </c>
      <c r="R78" s="1417">
        <f>VLOOKUP(C78,TONGHOPCONGDOI!$C$105:$AA$179,23,0)</f>
        <v>0</v>
      </c>
      <c r="S78" s="1417">
        <f t="shared" si="5"/>
        <v>0</v>
      </c>
      <c r="T78" s="1417">
        <f>VLOOKUP(C78,TONGHOPCONGDOI!$C$105:$AA$179,25,0)</f>
        <v>0</v>
      </c>
      <c r="U78" s="1417"/>
      <c r="V78" s="1417">
        <f>VLOOKUP(C78,TONGHOPCONGDOI!$C$105:$AB$175,26,0)</f>
        <v>9</v>
      </c>
      <c r="W78" s="1417"/>
      <c r="X78" s="1417"/>
      <c r="Y78" s="1417"/>
      <c r="Z78" s="1881">
        <f t="shared" si="6"/>
        <v>498283</v>
      </c>
      <c r="AA78" s="1420">
        <f t="shared" si="9"/>
        <v>1812205</v>
      </c>
      <c r="AB78" s="1420">
        <f t="shared" ref="AB78" si="12">AA78</f>
        <v>1812205</v>
      </c>
      <c r="AC78" s="1459"/>
      <c r="AD78" s="1458"/>
      <c r="AF78" s="1421"/>
      <c r="AG78" s="1258"/>
    </row>
    <row r="79" spans="1:33" s="1250" customFormat="1" ht="24" customHeight="1">
      <c r="A79" s="1245">
        <v>63</v>
      </c>
      <c r="B79" s="1332"/>
      <c r="C79" s="1247" t="str">
        <f>TONGHOPCONGDOI!C169</f>
        <v>Thảo Keo</v>
      </c>
      <c r="D79" s="1243" t="s">
        <v>15</v>
      </c>
      <c r="E79" s="1839"/>
      <c r="F79" s="2019"/>
      <c r="G79" s="1417">
        <f t="shared" ref="G79:G85" si="13">F79*25000</f>
        <v>0</v>
      </c>
      <c r="H79" s="1417">
        <f>VLOOKUP($C$15:$C$89,'sản lượng'!$D$99:$AL$169,34,0)</f>
        <v>199</v>
      </c>
      <c r="I79" s="1417"/>
      <c r="J79" s="1417">
        <f t="shared" ref="J79:J85" si="14">H79*$AF$6</f>
        <v>86.702362753271018</v>
      </c>
      <c r="K79" s="1837">
        <f>VLOOKUP($C$15:$C$89,'sản lượng'!$D$99:$AP$169,37,0)</f>
        <v>8.074505294904478</v>
      </c>
      <c r="L79" s="1837">
        <f t="shared" si="3"/>
        <v>94.776868048175501</v>
      </c>
      <c r="M79" s="1419" t="str">
        <f>VLOOKUP(C79,'sản lượng'!$D$99:$AP$169,39,0)</f>
        <v>C.</v>
      </c>
      <c r="N79" s="2266">
        <f t="shared" si="10"/>
        <v>312764</v>
      </c>
      <c r="O79" s="1417">
        <f>VLOOKUP(C79,TONGHOPCONGDOI!$C$105:$AA$179,20,0)</f>
        <v>6</v>
      </c>
      <c r="P79" s="1417">
        <f>VLOOKUP(C79,TONGHOPCONGDOI!$C$105:$AA$179,21,0)</f>
        <v>0</v>
      </c>
      <c r="Q79" s="1417">
        <f>VLOOKUP(C79,TONGHOPCONGDOI!$C$105:$AA$179,22,0)</f>
        <v>0</v>
      </c>
      <c r="R79" s="1837"/>
      <c r="S79" s="1417">
        <f t="shared" si="5"/>
        <v>0</v>
      </c>
      <c r="T79" s="1837"/>
      <c r="U79" s="1837"/>
      <c r="V79" s="1417">
        <f>VLOOKUP(C79,TONGHOPCONGDOI!$C$105:$AB$175,26,0)</f>
        <v>6</v>
      </c>
      <c r="W79" s="1837"/>
      <c r="X79" s="1837"/>
      <c r="Y79" s="1837"/>
      <c r="Z79" s="1881">
        <f t="shared" si="6"/>
        <v>304758</v>
      </c>
      <c r="AA79" s="1420">
        <f t="shared" ref="AA79:AA84" si="15">+N79+G79+Z79</f>
        <v>617522</v>
      </c>
      <c r="AB79" s="1420">
        <f t="shared" ref="AB79:AB84" si="16">AA79</f>
        <v>617522</v>
      </c>
      <c r="AC79" s="1459"/>
      <c r="AD79" s="1458"/>
      <c r="AF79" s="1421"/>
      <c r="AG79" s="1258"/>
    </row>
    <row r="80" spans="1:33" s="1250" customFormat="1" ht="24" customHeight="1">
      <c r="A80" s="1245">
        <v>64</v>
      </c>
      <c r="B80" s="1332"/>
      <c r="C80" s="1247" t="str">
        <f>TONGHOPCONGDOI!C170</f>
        <v>Thảo Tun</v>
      </c>
      <c r="D80" s="1243" t="s">
        <v>15</v>
      </c>
      <c r="E80" s="1839"/>
      <c r="F80" s="2019"/>
      <c r="G80" s="1417">
        <f t="shared" si="13"/>
        <v>0</v>
      </c>
      <c r="H80" s="1417">
        <f>VLOOKUP($C$15:$C$89,'sản lượng'!$D$99:$AL$169,34,0)</f>
        <v>112</v>
      </c>
      <c r="I80" s="1417"/>
      <c r="J80" s="1417">
        <f t="shared" si="14"/>
        <v>48.797309690283186</v>
      </c>
      <c r="K80" s="1837">
        <f>VLOOKUP($C$15:$C$89,'sản lượng'!$D$99:$AP$169,37,0)</f>
        <v>4.5444451911020174</v>
      </c>
      <c r="L80" s="1837">
        <f t="shared" ref="L80:L89" si="17">J80+K80</f>
        <v>53.341754881385199</v>
      </c>
      <c r="M80" s="1419" t="str">
        <f>VLOOKUP(C80,'sản lượng'!$D$99:$AP$169,39,0)</f>
        <v>C.</v>
      </c>
      <c r="N80" s="2266">
        <f t="shared" si="10"/>
        <v>176028</v>
      </c>
      <c r="O80" s="1417">
        <f>VLOOKUP(C80,TONGHOPCONGDOI!$C$105:$AA$179,20,0)</f>
        <v>4</v>
      </c>
      <c r="P80" s="1417">
        <f>VLOOKUP(C80,TONGHOPCONGDOI!$C$105:$AA$179,21,0)</f>
        <v>0</v>
      </c>
      <c r="Q80" s="1417">
        <f>VLOOKUP(C80,TONGHOPCONGDOI!$C$105:$AA$179,22,0)</f>
        <v>0</v>
      </c>
      <c r="R80" s="1837"/>
      <c r="S80" s="1417">
        <f t="shared" ref="S80:S89" si="18">Q80+R80</f>
        <v>0</v>
      </c>
      <c r="T80" s="1837"/>
      <c r="U80" s="1837"/>
      <c r="V80" s="1417">
        <f>VLOOKUP(C80,TONGHOPCONGDOI!$C$105:$AB$175,26,0)</f>
        <v>4</v>
      </c>
      <c r="W80" s="1837"/>
      <c r="X80" s="1837"/>
      <c r="Y80" s="1837"/>
      <c r="Z80" s="1881">
        <f t="shared" ref="Z80:Z89" si="19">ROUND(((O80*46.1)+(P80*76.9)+(R80*153.8)+(Q80*92.2)+(T80*153.8))*$F$8+(U80*25000)+(S80*100000)+(V80*20000)+(W80*30000),0)</f>
        <v>203172</v>
      </c>
      <c r="AA80" s="1420">
        <f t="shared" si="15"/>
        <v>379200</v>
      </c>
      <c r="AB80" s="1420">
        <f t="shared" si="16"/>
        <v>379200</v>
      </c>
      <c r="AC80" s="1459"/>
      <c r="AD80" s="1458"/>
      <c r="AF80" s="1421"/>
      <c r="AG80" s="1258"/>
    </row>
    <row r="81" spans="1:35" s="1250" customFormat="1" ht="24" customHeight="1">
      <c r="A81" s="1245">
        <v>65</v>
      </c>
      <c r="B81" s="1332"/>
      <c r="C81" s="1247" t="str">
        <f>TONGHOPCONGDOI!C171</f>
        <v>Thảo Xiêm</v>
      </c>
      <c r="D81" s="1243" t="s">
        <v>15</v>
      </c>
      <c r="E81" s="1839"/>
      <c r="F81" s="2019"/>
      <c r="G81" s="1417">
        <f t="shared" si="13"/>
        <v>0</v>
      </c>
      <c r="H81" s="1417">
        <f>VLOOKUP($C$15:$C$89,'sản lượng'!$D$99:$AL$169,34,0)</f>
        <v>0</v>
      </c>
      <c r="I81" s="1417"/>
      <c r="J81" s="1417">
        <f t="shared" si="14"/>
        <v>0</v>
      </c>
      <c r="K81" s="1837">
        <f>VLOOKUP($C$15:$C$89,'sản lượng'!$D$99:$AP$169,37,0)</f>
        <v>0</v>
      </c>
      <c r="L81" s="1837">
        <f t="shared" si="17"/>
        <v>0</v>
      </c>
      <c r="M81" s="1419">
        <f>VLOOKUP(C81,'sản lượng'!$D$99:$AP$169,39,0)</f>
        <v>0</v>
      </c>
      <c r="N81" s="2266">
        <f t="shared" ref="N81:N86" si="20">ROUND((IF(M81="A",(L81*6.1),IF(M81="B",(L81*5.8),IF(M81="C.",(L81*5.5),IF(M81="D",(L81*5.2),0))))*$E$8),0)</f>
        <v>0</v>
      </c>
      <c r="O81" s="1417">
        <f>VLOOKUP(C81,TONGHOPCONGDOI!$C$105:$AA$179,20,0)</f>
        <v>1</v>
      </c>
      <c r="P81" s="1417">
        <f>VLOOKUP(C81,TONGHOPCONGDOI!$C$105:$AA$179,21,0)</f>
        <v>0</v>
      </c>
      <c r="Q81" s="1417">
        <f>VLOOKUP(C81,TONGHOPCONGDOI!$C$105:$AA$179,22,0)</f>
        <v>0</v>
      </c>
      <c r="R81" s="1837"/>
      <c r="S81" s="1417">
        <f t="shared" si="18"/>
        <v>0</v>
      </c>
      <c r="T81" s="1837"/>
      <c r="U81" s="1837"/>
      <c r="V81" s="1417">
        <f>VLOOKUP(C81,TONGHOPCONGDOI!$C$105:$AB$175,26,0)</f>
        <v>0</v>
      </c>
      <c r="W81" s="1837"/>
      <c r="X81" s="1837"/>
      <c r="Y81" s="1837"/>
      <c r="Z81" s="1881">
        <f t="shared" si="19"/>
        <v>30793</v>
      </c>
      <c r="AA81" s="1420">
        <f t="shared" si="15"/>
        <v>30793</v>
      </c>
      <c r="AB81" s="1420">
        <f t="shared" si="16"/>
        <v>30793</v>
      </c>
      <c r="AC81" s="1459"/>
      <c r="AD81" s="1458"/>
      <c r="AF81" s="1421"/>
      <c r="AG81" s="1258"/>
    </row>
    <row r="82" spans="1:35" s="1250" customFormat="1" ht="24" hidden="1" customHeight="1">
      <c r="A82" s="1245">
        <v>66</v>
      </c>
      <c r="B82" s="1332"/>
      <c r="C82" s="1247" t="str">
        <f>TONGHOPCONGDOI!C172</f>
        <v>Thảo Cốp</v>
      </c>
      <c r="D82" s="1243" t="s">
        <v>15</v>
      </c>
      <c r="E82" s="1839"/>
      <c r="F82" s="2019"/>
      <c r="G82" s="1417">
        <f t="shared" si="13"/>
        <v>0</v>
      </c>
      <c r="H82" s="1417">
        <f>VLOOKUP($C$15:$C$89,'sản lượng'!$D$99:$AL$169,34,0)</f>
        <v>0</v>
      </c>
      <c r="I82" s="1417"/>
      <c r="J82" s="1417">
        <f t="shared" si="14"/>
        <v>0</v>
      </c>
      <c r="K82" s="1837">
        <f>VLOOKUP($C$15:$C$89,'sản lượng'!$D$99:$AP$169,37,0)</f>
        <v>0</v>
      </c>
      <c r="L82" s="1837">
        <f t="shared" si="17"/>
        <v>0</v>
      </c>
      <c r="M82" s="1419">
        <f>VLOOKUP(C82,'sản lượng'!$D$99:$AP$169,39,0)</f>
        <v>0</v>
      </c>
      <c r="N82" s="2266">
        <f t="shared" si="20"/>
        <v>0</v>
      </c>
      <c r="O82" s="1417">
        <f>VLOOKUP(C82,TONGHOPCONGDOI!$C$105:$AA$179,20,0)</f>
        <v>0</v>
      </c>
      <c r="P82" s="1417">
        <f>VLOOKUP(C82,TONGHOPCONGDOI!$C$105:$AA$179,21,0)</f>
        <v>0</v>
      </c>
      <c r="Q82" s="1417">
        <f>VLOOKUP(C82,TONGHOPCONGDOI!$C$105:$AA$179,22,0)</f>
        <v>0</v>
      </c>
      <c r="R82" s="1837"/>
      <c r="S82" s="1417">
        <f t="shared" si="18"/>
        <v>0</v>
      </c>
      <c r="T82" s="1837"/>
      <c r="U82" s="1837"/>
      <c r="V82" s="1417">
        <f>VLOOKUP(C82,TONGHOPCONGDOI!$C$105:$AB$175,26,0)</f>
        <v>0</v>
      </c>
      <c r="W82" s="1837"/>
      <c r="X82" s="1837"/>
      <c r="Y82" s="1837"/>
      <c r="Z82" s="1881">
        <f t="shared" si="19"/>
        <v>0</v>
      </c>
      <c r="AA82" s="1420">
        <f t="shared" si="15"/>
        <v>0</v>
      </c>
      <c r="AB82" s="1420">
        <f t="shared" si="16"/>
        <v>0</v>
      </c>
      <c r="AC82" s="1459"/>
      <c r="AD82" s="1458"/>
      <c r="AF82" s="1421"/>
      <c r="AG82" s="1258"/>
    </row>
    <row r="83" spans="1:35" s="1250" customFormat="1" ht="24" hidden="1" customHeight="1">
      <c r="A83" s="1245">
        <v>67</v>
      </c>
      <c r="B83" s="1332"/>
      <c r="C83" s="1247" t="str">
        <f>TONGHOPCONGDOI!C173</f>
        <v>Nàng Căm</v>
      </c>
      <c r="D83" s="1243" t="s">
        <v>15</v>
      </c>
      <c r="E83" s="1839"/>
      <c r="F83" s="2019"/>
      <c r="G83" s="1417">
        <f t="shared" si="13"/>
        <v>0</v>
      </c>
      <c r="H83" s="1417">
        <f>VLOOKUP($C$15:$C$89,'sản lượng'!$D$99:$AL$169,34,0)</f>
        <v>0</v>
      </c>
      <c r="I83" s="1417"/>
      <c r="J83" s="1417">
        <f t="shared" si="14"/>
        <v>0</v>
      </c>
      <c r="K83" s="1837">
        <f>VLOOKUP($C$15:$C$89,'sản lượng'!$D$99:$AP$169,37,0)</f>
        <v>0</v>
      </c>
      <c r="L83" s="1837">
        <f t="shared" si="17"/>
        <v>0</v>
      </c>
      <c r="M83" s="1419">
        <f>VLOOKUP(C83,'sản lượng'!$D$99:$AP$169,39,0)</f>
        <v>0</v>
      </c>
      <c r="N83" s="2266">
        <f t="shared" si="20"/>
        <v>0</v>
      </c>
      <c r="O83" s="1417">
        <f>VLOOKUP(C83,TONGHOPCONGDOI!$C$105:$AA$179,20,0)</f>
        <v>0</v>
      </c>
      <c r="P83" s="1417">
        <f>VLOOKUP(C83,TONGHOPCONGDOI!$C$105:$AA$179,21,0)</f>
        <v>0</v>
      </c>
      <c r="Q83" s="1417">
        <f>VLOOKUP(C83,TONGHOPCONGDOI!$C$105:$AA$179,22,0)</f>
        <v>0</v>
      </c>
      <c r="R83" s="1837"/>
      <c r="S83" s="1417">
        <f t="shared" si="18"/>
        <v>0</v>
      </c>
      <c r="T83" s="1837"/>
      <c r="U83" s="1837"/>
      <c r="V83" s="1417">
        <f>VLOOKUP(C83,TONGHOPCONGDOI!$C$105:$AB$175,26,0)</f>
        <v>0</v>
      </c>
      <c r="W83" s="1837"/>
      <c r="X83" s="1837"/>
      <c r="Y83" s="1837"/>
      <c r="Z83" s="1881">
        <f t="shared" si="19"/>
        <v>0</v>
      </c>
      <c r="AA83" s="1420">
        <f t="shared" si="15"/>
        <v>0</v>
      </c>
      <c r="AB83" s="1420">
        <f t="shared" si="16"/>
        <v>0</v>
      </c>
      <c r="AC83" s="1459"/>
      <c r="AD83" s="1458"/>
      <c r="AF83" s="1421"/>
      <c r="AG83" s="1258"/>
    </row>
    <row r="84" spans="1:35" s="1250" customFormat="1" ht="24" hidden="1" customHeight="1">
      <c r="A84" s="1245">
        <v>68</v>
      </c>
      <c r="B84" s="1332"/>
      <c r="C84" s="1247" t="str">
        <f>TONGHOPCONGDOI!C174</f>
        <v>Thảo Khọp</v>
      </c>
      <c r="D84" s="1243" t="s">
        <v>15</v>
      </c>
      <c r="E84" s="1839"/>
      <c r="F84" s="1252"/>
      <c r="G84" s="1417">
        <f t="shared" si="13"/>
        <v>0</v>
      </c>
      <c r="H84" s="1417">
        <f>VLOOKUP($C$15:$C$89,'sản lượng'!$D$99:$AL$169,34,0)</f>
        <v>0</v>
      </c>
      <c r="I84" s="1417"/>
      <c r="J84" s="1417">
        <f t="shared" si="14"/>
        <v>0</v>
      </c>
      <c r="K84" s="1837">
        <f>VLOOKUP($C$15:$C$89,'sản lượng'!$D$99:$AP$169,37,0)</f>
        <v>0</v>
      </c>
      <c r="L84" s="1837">
        <f t="shared" si="17"/>
        <v>0</v>
      </c>
      <c r="M84" s="1419">
        <f>VLOOKUP(C84,'sản lượng'!$D$99:$AP$169,39,0)</f>
        <v>0</v>
      </c>
      <c r="N84" s="2266">
        <f t="shared" si="20"/>
        <v>0</v>
      </c>
      <c r="O84" s="1417">
        <f>VLOOKUP(C84,TONGHOPCONGDOI!$C$105:$AA$179,20,0)</f>
        <v>0</v>
      </c>
      <c r="P84" s="1417">
        <f>VLOOKUP(C84,TONGHOPCONGDOI!$C$105:$AA$179,21,0)</f>
        <v>0</v>
      </c>
      <c r="Q84" s="1417">
        <f>VLOOKUP(C84,TONGHOPCONGDOI!$C$105:$AA$179,22,0)</f>
        <v>0</v>
      </c>
      <c r="R84" s="1417">
        <f>VLOOKUP(C84,TONGHOPCONGDOI!$C$105:$AA$179,23,0)</f>
        <v>0</v>
      </c>
      <c r="S84" s="1417">
        <f t="shared" si="18"/>
        <v>0</v>
      </c>
      <c r="T84" s="1417">
        <f>VLOOKUP(C84,TONGHOPCONGDOI!$C$105:$AA$179,25,0)</f>
        <v>0</v>
      </c>
      <c r="U84" s="1837"/>
      <c r="V84" s="1417">
        <f>VLOOKUP(C84,TONGHOPCONGDOI!$C$105:$AB$175,26,0)</f>
        <v>0</v>
      </c>
      <c r="W84" s="1837"/>
      <c r="X84" s="1837"/>
      <c r="Y84" s="1837"/>
      <c r="Z84" s="1881">
        <f t="shared" si="19"/>
        <v>0</v>
      </c>
      <c r="AA84" s="1420">
        <f t="shared" si="15"/>
        <v>0</v>
      </c>
      <c r="AB84" s="1420">
        <f t="shared" si="16"/>
        <v>0</v>
      </c>
      <c r="AC84" s="1459"/>
      <c r="AD84" s="1458"/>
      <c r="AF84" s="1421"/>
      <c r="AG84" s="1258"/>
    </row>
    <row r="85" spans="1:35" s="1250" customFormat="1" ht="24" customHeight="1">
      <c r="A85" s="1245">
        <v>66</v>
      </c>
      <c r="B85" s="1332"/>
      <c r="C85" s="1247" t="str">
        <f>TONGHOPCONGDOI!C175</f>
        <v>Thảo La</v>
      </c>
      <c r="D85" s="1243" t="s">
        <v>15</v>
      </c>
      <c r="E85" s="1839"/>
      <c r="F85" s="1252"/>
      <c r="G85" s="1417">
        <f t="shared" si="13"/>
        <v>0</v>
      </c>
      <c r="H85" s="1417">
        <f>VLOOKUP($C$15:$C$89,'sản lượng'!$D$99:$AL$169,34,0)</f>
        <v>1815</v>
      </c>
      <c r="I85" s="1417"/>
      <c r="J85" s="1417">
        <f t="shared" si="14"/>
        <v>790.77783114164265</v>
      </c>
      <c r="K85" s="1837">
        <f>VLOOKUP($C$15:$C$89,'sản lượng'!$D$99:$AP$169,37,0)</f>
        <v>73.644357337947866</v>
      </c>
      <c r="L85" s="1837">
        <f t="shared" si="17"/>
        <v>864.42218847959055</v>
      </c>
      <c r="M85" s="1419" t="str">
        <f>VLOOKUP(C85,'sản lượng'!$D$99:$AP$169,39,0)</f>
        <v>C.</v>
      </c>
      <c r="N85" s="2266">
        <f t="shared" si="20"/>
        <v>2852593</v>
      </c>
      <c r="O85" s="1417">
        <f>VLOOKUP(C85,TONGHOPCONGDOI!$C$105:$AA$179,20,0)</f>
        <v>14</v>
      </c>
      <c r="P85" s="1417">
        <f>VLOOKUP(C85,TONGHOPCONGDOI!$C$105:$AA$179,21,0)</f>
        <v>3</v>
      </c>
      <c r="Q85" s="1417">
        <f>VLOOKUP(C85,TONGHOPCONGDOI!$C$105:$AA$179,22,0)</f>
        <v>3</v>
      </c>
      <c r="R85" s="1417">
        <f>VLOOKUP(C85,TONGHOPCONGDOI!$C$105:$AA$179,23,0)</f>
        <v>0</v>
      </c>
      <c r="S85" s="1417">
        <f t="shared" si="18"/>
        <v>3</v>
      </c>
      <c r="T85" s="1417">
        <f>VLOOKUP(C85,TONGHOPCONGDOI!$C$105:$AA$179,25,0)</f>
        <v>0</v>
      </c>
      <c r="U85" s="1837"/>
      <c r="V85" s="1417">
        <f>VLOOKUP(C85,TONGHOPCONGDOI!$C$105:$AB$175,26,0)</f>
        <v>16</v>
      </c>
      <c r="W85" s="1837"/>
      <c r="X85" s="1837"/>
      <c r="Y85" s="1837"/>
      <c r="Z85" s="1881">
        <f t="shared" si="19"/>
        <v>1389957</v>
      </c>
      <c r="AA85" s="1420">
        <f t="shared" ref="AA85" si="21">+N85+G85+Z85</f>
        <v>4242550</v>
      </c>
      <c r="AB85" s="1420">
        <f t="shared" ref="AB85" si="22">AA85</f>
        <v>4242550</v>
      </c>
      <c r="AC85" s="1459"/>
      <c r="AD85" s="1458"/>
      <c r="AF85" s="1421"/>
      <c r="AG85" s="1258"/>
    </row>
    <row r="86" spans="1:35" s="1250" customFormat="1" ht="24" customHeight="1">
      <c r="A86" s="1245">
        <v>67</v>
      </c>
      <c r="B86" s="1332"/>
      <c r="C86" s="1247" t="str">
        <f>TONGHOPCONGDOI!C176</f>
        <v>Mủ sirum</v>
      </c>
      <c r="D86" s="1838"/>
      <c r="E86" s="1839"/>
      <c r="F86" s="1252"/>
      <c r="G86" s="1417">
        <f t="shared" ref="G86" si="23">F86*25000</f>
        <v>0</v>
      </c>
      <c r="H86" s="1417"/>
      <c r="I86" s="1417">
        <f>SIRUM!AH16</f>
        <v>790</v>
      </c>
      <c r="J86" s="1417">
        <f>SIRUM!AJ16</f>
        <v>332.00699999999989</v>
      </c>
      <c r="K86" s="1837"/>
      <c r="L86" s="1837">
        <f t="shared" si="17"/>
        <v>332.00699999999989</v>
      </c>
      <c r="M86" s="1419" t="s">
        <v>1959</v>
      </c>
      <c r="N86" s="2266">
        <f t="shared" si="20"/>
        <v>1215146</v>
      </c>
      <c r="O86" s="1417">
        <f>VLOOKUP(C86,TONGHOPCONGDOI!$C$105:$AA$179,20,0)</f>
        <v>0</v>
      </c>
      <c r="P86" s="1417">
        <f>VLOOKUP(C86,TONGHOPCONGDOI!$C$105:$AA$179,21,0)</f>
        <v>0</v>
      </c>
      <c r="Q86" s="1417">
        <f>VLOOKUP(C86,TONGHOPCONGDOI!$C$105:$AA$179,22,0)</f>
        <v>0</v>
      </c>
      <c r="R86" s="1417">
        <f>VLOOKUP(C86,TONGHOPCONGDOI!$C$105:$AA$179,23,0)</f>
        <v>0</v>
      </c>
      <c r="S86" s="1417">
        <f t="shared" si="18"/>
        <v>0</v>
      </c>
      <c r="T86" s="1417">
        <f>VLOOKUP(C86,TONGHOPCONGDOI!$C$105:$AA$179,25,0)</f>
        <v>0</v>
      </c>
      <c r="U86" s="1837"/>
      <c r="V86" s="1417"/>
      <c r="W86" s="1837"/>
      <c r="X86" s="1837"/>
      <c r="Y86" s="1837"/>
      <c r="Z86" s="1881">
        <f t="shared" si="19"/>
        <v>0</v>
      </c>
      <c r="AA86" s="1420">
        <f t="shared" ref="AA86" si="24">+N86+G86+Z86</f>
        <v>1215146</v>
      </c>
      <c r="AB86" s="1420">
        <f t="shared" ref="AB86" si="25">AA86</f>
        <v>1215146</v>
      </c>
      <c r="AC86" s="1459"/>
      <c r="AD86" s="1458"/>
      <c r="AF86" s="1421"/>
      <c r="AG86" s="1258"/>
    </row>
    <row r="87" spans="1:35" s="2329" customFormat="1" ht="24" hidden="1" customHeight="1">
      <c r="A87" s="1245">
        <v>71</v>
      </c>
      <c r="B87" s="1332"/>
      <c r="C87" s="1247" t="str">
        <f>TONGHOPCONGDOI!C177</f>
        <v>Say</v>
      </c>
      <c r="D87" s="1838" t="s">
        <v>15</v>
      </c>
      <c r="E87" s="1839"/>
      <c r="F87" s="1252"/>
      <c r="G87" s="1417">
        <f t="shared" ref="G87:G88" si="26">F87*25000</f>
        <v>0</v>
      </c>
      <c r="H87" s="1417"/>
      <c r="I87" s="1417"/>
      <c r="J87" s="1417">
        <f>VLOOKUP('TRẠM 2'!$C$86,TONGHOPCONGDOI!$C$176:$U$176,18,0)</f>
        <v>0</v>
      </c>
      <c r="K87" s="1837"/>
      <c r="L87" s="1837">
        <f t="shared" ref="L87:L88" si="27">J87+K87</f>
        <v>0</v>
      </c>
      <c r="M87" s="1419"/>
      <c r="N87" s="2266">
        <f t="shared" ref="N87:N88" si="28">ROUND((IF(M87="A",(L87*6.1),IF(M87="B",(L87*5.8),IF(M87="C",(L87*5.5),IF(M87="D",(L87*5.2),0))))*$E$8),0)</f>
        <v>0</v>
      </c>
      <c r="O87" s="1417">
        <f>VLOOKUP(C87,TONGHOPCONGDOI!$C$105:$AA$179,20,0)</f>
        <v>0</v>
      </c>
      <c r="P87" s="1417">
        <f>VLOOKUP(C87,TONGHOPCONGDOI!$C$105:$AA$179,21,0)</f>
        <v>0</v>
      </c>
      <c r="Q87" s="1417">
        <f>VLOOKUP(C87,TONGHOPCONGDOI!$C$105:$AA$179,22,0)</f>
        <v>0</v>
      </c>
      <c r="R87" s="1417">
        <f>VLOOKUP(C87,TONGHOPCONGDOI!$C$105:$AA$179,23,0)</f>
        <v>0</v>
      </c>
      <c r="S87" s="1417">
        <f t="shared" ref="S87:S88" si="29">Q87+R87</f>
        <v>0</v>
      </c>
      <c r="T87" s="1417">
        <f>VLOOKUP(C87,TONGHOPCONGDOI!$C$105:$AA$179,25,0)</f>
        <v>0</v>
      </c>
      <c r="U87" s="1837"/>
      <c r="V87" s="1417"/>
      <c r="W87" s="1837"/>
      <c r="X87" s="1837"/>
      <c r="Y87" s="1837"/>
      <c r="Z87" s="1881">
        <f t="shared" ref="Z87:Z88" si="30">ROUND(((O87*46.1)+(P87*76.9)+(R87*153.8)+(Q87*92.2)+(T87*153.8))*$F$8+(U87*25000)+(S87*100000)+(V87*20000)+(W87*30000),0)</f>
        <v>0</v>
      </c>
      <c r="AA87" s="1420">
        <f t="shared" ref="AA87:AA88" si="31">+N87+G87+Z87</f>
        <v>0</v>
      </c>
      <c r="AB87" s="1420">
        <f t="shared" ref="AB87:AB88" si="32">AA87</f>
        <v>0</v>
      </c>
      <c r="AC87" s="2327"/>
      <c r="AD87" s="2328"/>
      <c r="AF87" s="2330"/>
      <c r="AG87" s="2331"/>
    </row>
    <row r="88" spans="1:35" s="1250" customFormat="1" ht="24" hidden="1" customHeight="1">
      <c r="A88" s="1245">
        <v>72</v>
      </c>
      <c r="B88" s="1332"/>
      <c r="C88" s="1247" t="str">
        <f>TONGHOPCONGDOI!C178</f>
        <v>Ủi</v>
      </c>
      <c r="D88" s="1838" t="s">
        <v>1713</v>
      </c>
      <c r="E88" s="1839"/>
      <c r="F88" s="1252"/>
      <c r="G88" s="1417">
        <f t="shared" si="26"/>
        <v>0</v>
      </c>
      <c r="H88" s="1417"/>
      <c r="I88" s="1417"/>
      <c r="J88" s="1417">
        <f>VLOOKUP('TRẠM 2'!$C$86,TONGHOPCONGDOI!$C$176:$U$176,18,0)</f>
        <v>0</v>
      </c>
      <c r="K88" s="1837"/>
      <c r="L88" s="1837">
        <f t="shared" si="27"/>
        <v>0</v>
      </c>
      <c r="M88" s="1419"/>
      <c r="N88" s="2266">
        <f t="shared" si="28"/>
        <v>0</v>
      </c>
      <c r="O88" s="1417">
        <f>VLOOKUP(C88,TONGHOPCONGDOI!$C$105:$AA$179,20,0)</f>
        <v>0</v>
      </c>
      <c r="P88" s="1417">
        <f>VLOOKUP(C88,TONGHOPCONGDOI!$C$105:$AA$179,21,0)</f>
        <v>0</v>
      </c>
      <c r="Q88" s="1417">
        <f>VLOOKUP(C88,TONGHOPCONGDOI!$C$105:$AA$179,22,0)</f>
        <v>0</v>
      </c>
      <c r="R88" s="1417">
        <f>VLOOKUP(C88,TONGHOPCONGDOI!$C$105:$AA$179,23,0)</f>
        <v>0</v>
      </c>
      <c r="S88" s="1417">
        <f t="shared" si="29"/>
        <v>0</v>
      </c>
      <c r="T88" s="1417">
        <f>VLOOKUP(C88,TONGHOPCONGDOI!$C$105:$AA$179,25,0)</f>
        <v>0</v>
      </c>
      <c r="U88" s="1837"/>
      <c r="V88" s="1417"/>
      <c r="W88" s="1837"/>
      <c r="X88" s="1837"/>
      <c r="Y88" s="1837"/>
      <c r="Z88" s="1881">
        <f t="shared" si="30"/>
        <v>0</v>
      </c>
      <c r="AA88" s="1420">
        <f t="shared" si="31"/>
        <v>0</v>
      </c>
      <c r="AB88" s="1420">
        <f t="shared" si="32"/>
        <v>0</v>
      </c>
      <c r="AC88" s="1459"/>
      <c r="AD88" s="1458"/>
      <c r="AF88" s="1421">
        <v>146148720</v>
      </c>
      <c r="AG88" s="1258"/>
    </row>
    <row r="89" spans="1:35" s="1250" customFormat="1" ht="24" hidden="1" customHeight="1">
      <c r="A89" s="1245">
        <v>73</v>
      </c>
      <c r="B89" s="320"/>
      <c r="C89" s="1247" t="str">
        <f>TONGHOPCONGDOI!C179</f>
        <v>T Mon D4 (Tú)</v>
      </c>
      <c r="D89" s="1838" t="s">
        <v>1713</v>
      </c>
      <c r="E89" s="1416"/>
      <c r="F89" s="1252"/>
      <c r="G89" s="2015">
        <f t="shared" ref="G89" si="33">F89*25000</f>
        <v>0</v>
      </c>
      <c r="H89" s="1417"/>
      <c r="I89" s="1418"/>
      <c r="J89" s="1417"/>
      <c r="K89" s="1837"/>
      <c r="L89" s="1837">
        <f t="shared" si="17"/>
        <v>0</v>
      </c>
      <c r="M89" s="1419"/>
      <c r="N89" s="2266">
        <f t="shared" ref="N89" si="34">ROUND((IF(M89="A",(L89*6.1),IF(M89="B",(L89*5.8),IF(M89="C",(L89*5.5),IF(M89="D",(L89*5.2),0))))*$E$8),0)</f>
        <v>0</v>
      </c>
      <c r="O89" s="1417">
        <f>VLOOKUP(C89,TONGHOPCONGDOI!$C$105:$AA$179,20,0)</f>
        <v>0</v>
      </c>
      <c r="P89" s="1417">
        <f>VLOOKUP(C89,TONGHOPCONGDOI!$C$105:$AA$179,21,0)</f>
        <v>0</v>
      </c>
      <c r="Q89" s="1417">
        <f>VLOOKUP(C89,TONGHOPCONGDOI!$C$105:$AA$179,22,0)</f>
        <v>0</v>
      </c>
      <c r="R89" s="1417">
        <f>VLOOKUP(C89,TONGHOPCONGDOI!$C$105:$AA$179,23,0)</f>
        <v>0</v>
      </c>
      <c r="S89" s="1417">
        <f t="shared" si="18"/>
        <v>0</v>
      </c>
      <c r="T89" s="1417">
        <f>VLOOKUP(C89,TONGHOPCONGDOI!$C$105:$AA$179,25,0)</f>
        <v>0</v>
      </c>
      <c r="U89" s="1417"/>
      <c r="V89" s="1417"/>
      <c r="W89" s="1417"/>
      <c r="X89" s="1417"/>
      <c r="Y89" s="1417"/>
      <c r="Z89" s="1881">
        <f t="shared" si="19"/>
        <v>0</v>
      </c>
      <c r="AA89" s="1420">
        <f t="shared" ref="AA89" si="35">+N89+G89+Z89</f>
        <v>0</v>
      </c>
      <c r="AB89" s="1420">
        <f t="shared" si="7"/>
        <v>0</v>
      </c>
      <c r="AC89" s="1459"/>
      <c r="AD89" s="1458"/>
      <c r="AF89" s="1421">
        <f>N90-AF88</f>
        <v>157486745</v>
      </c>
      <c r="AG89" s="1258"/>
    </row>
    <row r="90" spans="1:35" s="242" customFormat="1" ht="23.25" customHeight="1">
      <c r="A90" s="2628" t="s">
        <v>349</v>
      </c>
      <c r="B90" s="2629"/>
      <c r="C90" s="2630"/>
      <c r="D90" s="1379"/>
      <c r="E90" s="1381"/>
      <c r="F90" s="1456"/>
      <c r="G90" s="1405">
        <f>SUM(G15:G89)</f>
        <v>0</v>
      </c>
      <c r="H90" s="1405">
        <f>SUM(H15:H89)</f>
        <v>179526</v>
      </c>
      <c r="I90" s="1405">
        <f>SUM(I15:I89)</f>
        <v>790</v>
      </c>
      <c r="J90" s="1405">
        <f t="shared" ref="J90:U90" si="36">SUM(J15:J89)</f>
        <v>78549.737530873026</v>
      </c>
      <c r="K90" s="1405">
        <f t="shared" si="36"/>
        <v>7284.3398873016113</v>
      </c>
      <c r="L90" s="1405">
        <f t="shared" si="36"/>
        <v>85834.077418174624</v>
      </c>
      <c r="M90" s="1406">
        <f t="shared" si="36"/>
        <v>0</v>
      </c>
      <c r="N90" s="1381">
        <f t="shared" si="36"/>
        <v>303635465</v>
      </c>
      <c r="O90" s="1381">
        <f t="shared" si="36"/>
        <v>1194</v>
      </c>
      <c r="P90" s="1381">
        <f t="shared" si="36"/>
        <v>212</v>
      </c>
      <c r="Q90" s="1381">
        <f t="shared" si="36"/>
        <v>230</v>
      </c>
      <c r="R90" s="1381">
        <f t="shared" si="36"/>
        <v>0</v>
      </c>
      <c r="S90" s="1381">
        <f t="shared" si="36"/>
        <v>230</v>
      </c>
      <c r="T90" s="1381">
        <f t="shared" si="36"/>
        <v>0</v>
      </c>
      <c r="U90" s="1381">
        <f t="shared" si="36"/>
        <v>0</v>
      </c>
      <c r="V90" s="1405">
        <f t="shared" ref="V90:AA90" si="37">SUM(V15:V89)</f>
        <v>1417</v>
      </c>
      <c r="W90" s="1406">
        <f t="shared" si="37"/>
        <v>0</v>
      </c>
      <c r="X90" s="1406">
        <f t="shared" si="37"/>
        <v>0</v>
      </c>
      <c r="Y90" s="1406">
        <f t="shared" si="37"/>
        <v>0</v>
      </c>
      <c r="Z90" s="1381">
        <f t="shared" si="37"/>
        <v>113161160</v>
      </c>
      <c r="AA90" s="1381">
        <f t="shared" si="37"/>
        <v>416796625</v>
      </c>
      <c r="AB90" s="1381">
        <f>SUM(AB15:AB89)</f>
        <v>416796625</v>
      </c>
      <c r="AC90" s="551" t="e">
        <f>SUM(#REF!)</f>
        <v>#REF!</v>
      </c>
      <c r="AD90" s="551" t="e">
        <f>SUM(#REF!)</f>
        <v>#REF!</v>
      </c>
      <c r="AE90" s="636">
        <f>+'[6]TRẠM 2'!$W$80</f>
        <v>275186010</v>
      </c>
      <c r="AF90" s="289"/>
    </row>
    <row r="91" spans="1:35" s="243" customFormat="1" ht="23.25" customHeight="1">
      <c r="A91" s="2599" t="s">
        <v>3480</v>
      </c>
      <c r="B91" s="2599"/>
      <c r="C91" s="2599"/>
      <c r="D91" s="2599"/>
      <c r="E91" s="2599"/>
      <c r="F91" s="2599"/>
      <c r="G91" s="2599"/>
      <c r="H91" s="2599"/>
      <c r="I91" s="2599"/>
      <c r="J91" s="2599"/>
      <c r="K91" s="2599"/>
      <c r="L91" s="2599"/>
      <c r="M91" s="2599"/>
      <c r="N91" s="2599"/>
      <c r="O91" s="2599"/>
      <c r="P91" s="2599"/>
      <c r="Q91" s="2599"/>
      <c r="R91" s="2599"/>
      <c r="S91" s="2599"/>
      <c r="T91" s="2599"/>
      <c r="U91" s="2599"/>
      <c r="V91" s="2599"/>
      <c r="W91" s="2599"/>
      <c r="X91" s="2599"/>
      <c r="Y91" s="2599"/>
      <c r="Z91" s="2599"/>
      <c r="AA91" s="2599"/>
      <c r="AB91" s="2599"/>
      <c r="AC91" s="282"/>
      <c r="AD91" s="283"/>
      <c r="AE91" s="290">
        <f>+AB90-AE90</f>
        <v>141610615</v>
      </c>
      <c r="AF91" s="291"/>
      <c r="AG91" s="264"/>
      <c r="AH91" s="264"/>
    </row>
    <row r="92" spans="1:35" s="313" customFormat="1" ht="30.75" customHeight="1">
      <c r="A92" s="325"/>
      <c r="B92" s="325"/>
      <c r="C92" s="326"/>
      <c r="F92" s="1463"/>
      <c r="G92" s="1255"/>
      <c r="H92" s="1255"/>
      <c r="I92" s="1256"/>
      <c r="J92" s="1464"/>
      <c r="K92" s="1464"/>
      <c r="L92" s="1464"/>
      <c r="M92" s="1464"/>
      <c r="N92" s="1464"/>
      <c r="O92" s="1629"/>
      <c r="P92" s="2713" t="s">
        <v>3454</v>
      </c>
      <c r="Q92" s="2713"/>
      <c r="R92" s="2713"/>
      <c r="S92" s="2713"/>
      <c r="T92" s="2713"/>
      <c r="U92" s="2713"/>
      <c r="V92" s="2713"/>
      <c r="W92" s="2713"/>
      <c r="X92" s="2713"/>
      <c r="Y92" s="2713"/>
      <c r="Z92" s="2713"/>
      <c r="AA92" s="2713"/>
      <c r="AB92" s="2713"/>
      <c r="AC92" s="1260"/>
      <c r="AD92" s="1260"/>
      <c r="AE92" s="1272"/>
      <c r="AF92" s="1465"/>
    </row>
    <row r="93" spans="1:35" s="312" customFormat="1" ht="27.75" customHeight="1">
      <c r="A93" s="2610" t="s">
        <v>3444</v>
      </c>
      <c r="B93" s="2610"/>
      <c r="C93" s="2610"/>
      <c r="D93" s="2610"/>
      <c r="E93" s="2610"/>
      <c r="F93" s="2610"/>
      <c r="G93" s="2610"/>
      <c r="H93" s="2610"/>
      <c r="I93" s="2610"/>
      <c r="J93" s="2610"/>
      <c r="K93" s="2610"/>
      <c r="L93" s="2610"/>
      <c r="M93" s="2610"/>
      <c r="N93" s="2610"/>
      <c r="O93" s="2610"/>
      <c r="P93" s="2610"/>
      <c r="Q93" s="2610"/>
      <c r="R93" s="2610"/>
      <c r="S93" s="2610"/>
      <c r="T93" s="2610"/>
      <c r="U93" s="2610"/>
      <c r="V93" s="2610"/>
      <c r="W93" s="2610"/>
      <c r="X93" s="2610"/>
      <c r="Y93" s="2610"/>
      <c r="Z93" s="2610"/>
      <c r="AA93" s="2610"/>
      <c r="AB93" s="2610"/>
      <c r="AE93" s="1303"/>
      <c r="AF93" s="1304"/>
      <c r="AG93" s="313"/>
      <c r="AH93" s="313"/>
      <c r="AI93" s="338"/>
    </row>
    <row r="94" spans="1:35" s="313" customFormat="1" ht="16.5">
      <c r="D94" s="1261"/>
      <c r="E94" s="340"/>
      <c r="F94" s="1466"/>
      <c r="G94" s="1262"/>
      <c r="H94" s="1263"/>
      <c r="I94" s="1264"/>
      <c r="J94" s="1264"/>
      <c r="K94" s="1264"/>
      <c r="L94" s="1264"/>
      <c r="M94" s="339"/>
      <c r="N94" s="339"/>
      <c r="O94" s="339"/>
      <c r="Z94" s="1265"/>
      <c r="AA94" s="338"/>
      <c r="AD94" s="340"/>
      <c r="AE94" s="340"/>
      <c r="AF94" s="340"/>
      <c r="AI94" s="338"/>
    </row>
    <row r="95" spans="1:35" s="313" customFormat="1" ht="16.5">
      <c r="D95" s="1261"/>
      <c r="E95" s="340"/>
      <c r="F95" s="1466"/>
      <c r="G95" s="1262"/>
      <c r="H95" s="1263"/>
      <c r="I95" s="1264"/>
      <c r="J95" s="1264"/>
      <c r="K95" s="1264"/>
      <c r="L95" s="1264"/>
      <c r="M95" s="339"/>
      <c r="N95" s="339"/>
      <c r="O95" s="339"/>
      <c r="Z95" s="1265"/>
      <c r="AA95" s="338"/>
      <c r="AD95" s="340"/>
      <c r="AE95" s="340"/>
      <c r="AI95" s="338"/>
    </row>
    <row r="96" spans="1:35" s="313" customFormat="1" ht="42.75" customHeight="1">
      <c r="D96" s="338"/>
      <c r="E96" s="338"/>
      <c r="F96" s="1304"/>
      <c r="G96" s="1262"/>
      <c r="H96" s="2714"/>
      <c r="I96" s="2714"/>
      <c r="J96" s="1408"/>
      <c r="K96" s="2262"/>
      <c r="L96" s="2262"/>
      <c r="M96" s="2715"/>
      <c r="N96" s="2715"/>
      <c r="O96" s="339"/>
      <c r="P96" s="1266"/>
      <c r="Q96" s="1266"/>
      <c r="R96" s="1266"/>
      <c r="S96" s="1266"/>
      <c r="T96" s="1266"/>
      <c r="U96" s="1266"/>
      <c r="V96" s="1266"/>
      <c r="W96" s="1266"/>
      <c r="X96" s="1266"/>
      <c r="Y96" s="1266"/>
      <c r="Z96" s="1265"/>
      <c r="AA96" s="2712"/>
      <c r="AB96" s="2712"/>
      <c r="AD96" s="340"/>
      <c r="AE96" s="1304"/>
      <c r="AF96" s="1465"/>
    </row>
    <row r="97" spans="3:32" s="53" customFormat="1">
      <c r="D97" s="267"/>
      <c r="E97" s="67"/>
      <c r="F97" s="1238"/>
      <c r="G97" s="95"/>
      <c r="H97" s="287"/>
      <c r="I97" s="287"/>
      <c r="J97" s="605"/>
      <c r="K97" s="605"/>
      <c r="L97" s="605"/>
      <c r="M97" s="2637"/>
      <c r="N97" s="2637"/>
      <c r="O97" s="2637"/>
      <c r="P97" s="786"/>
      <c r="Q97" s="786"/>
      <c r="R97" s="786"/>
      <c r="S97" s="611"/>
      <c r="T97" s="611"/>
      <c r="U97" s="611"/>
      <c r="V97" s="611"/>
      <c r="W97" s="611"/>
      <c r="X97" s="611"/>
      <c r="Y97" s="611"/>
      <c r="Z97" s="95"/>
      <c r="AA97" s="2710"/>
      <c r="AB97" s="2710"/>
      <c r="AD97" s="272"/>
      <c r="AF97" s="249"/>
    </row>
    <row r="98" spans="3:32" s="53" customFormat="1">
      <c r="C98" s="2453"/>
      <c r="D98" s="2453"/>
      <c r="E98" s="2453"/>
      <c r="F98" s="2453"/>
      <c r="G98" s="2612"/>
      <c r="H98" s="2612"/>
      <c r="I98" s="2612"/>
      <c r="J98" s="2612"/>
      <c r="K98" s="2259"/>
      <c r="L98" s="2259"/>
      <c r="M98" s="96"/>
      <c r="N98" s="96"/>
      <c r="O98" s="96"/>
      <c r="P98" s="612"/>
      <c r="Q98" s="612"/>
      <c r="R98" s="612"/>
      <c r="S98" s="611"/>
      <c r="T98" s="611"/>
      <c r="U98" s="611"/>
      <c r="V98" s="611"/>
      <c r="W98" s="611"/>
      <c r="X98" s="611"/>
      <c r="Y98" s="611"/>
      <c r="Z98" s="2606"/>
      <c r="AA98" s="2606"/>
      <c r="AB98" s="2606"/>
      <c r="AD98" s="272"/>
      <c r="AE98" s="95"/>
      <c r="AF98" s="249"/>
    </row>
    <row r="99" spans="3:32" s="53" customFormat="1" ht="14.25" customHeight="1">
      <c r="C99" s="268"/>
      <c r="D99" s="268"/>
      <c r="E99" s="268"/>
      <c r="F99" s="2594"/>
      <c r="G99" s="2594"/>
      <c r="H99" s="2594"/>
      <c r="I99" s="1213"/>
      <c r="J99" s="1213"/>
      <c r="K99" s="2260"/>
      <c r="L99" s="2260"/>
      <c r="M99" s="2609"/>
      <c r="N99" s="2609"/>
      <c r="O99" s="96"/>
      <c r="S99" s="611"/>
      <c r="T99" s="611"/>
      <c r="U99" s="611"/>
      <c r="V99" s="611"/>
      <c r="W99" s="611"/>
      <c r="X99" s="611"/>
      <c r="Y99" s="611"/>
      <c r="Z99" s="615"/>
      <c r="AA99" s="95"/>
      <c r="AB99" s="67"/>
      <c r="AD99" s="272"/>
      <c r="AF99" s="249"/>
    </row>
    <row r="100" spans="3:32" s="53" customFormat="1">
      <c r="C100" s="270"/>
      <c r="E100" s="95"/>
      <c r="F100" s="2591"/>
      <c r="G100" s="2591"/>
      <c r="H100" s="2591"/>
      <c r="I100" s="785"/>
      <c r="J100" s="2592"/>
      <c r="K100" s="2592"/>
      <c r="L100" s="2592"/>
      <c r="M100" s="2592"/>
      <c r="N100" s="2593"/>
      <c r="O100" s="2593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615"/>
      <c r="AA100" s="95"/>
      <c r="AB100" s="605"/>
      <c r="AD100" s="272"/>
      <c r="AF100" s="249"/>
    </row>
    <row r="101" spans="3:32" s="53" customFormat="1">
      <c r="E101" s="95"/>
      <c r="F101" s="1239"/>
      <c r="G101" s="2595"/>
      <c r="H101" s="2595"/>
      <c r="I101" s="785"/>
      <c r="J101" s="785"/>
      <c r="K101" s="2257"/>
      <c r="L101" s="2257"/>
      <c r="M101" s="96"/>
      <c r="N101" s="2593"/>
      <c r="O101" s="2593"/>
      <c r="Z101" s="615"/>
      <c r="AA101" s="95"/>
      <c r="AD101" s="272"/>
      <c r="AE101" s="270"/>
      <c r="AF101" s="249"/>
    </row>
    <row r="102" spans="3:32" s="53" customFormat="1">
      <c r="C102" s="95"/>
      <c r="E102" s="95"/>
      <c r="F102" s="1239"/>
      <c r="G102" s="2595"/>
      <c r="H102" s="2595"/>
      <c r="I102" s="785"/>
      <c r="J102" s="785"/>
      <c r="K102" s="2257"/>
      <c r="L102" s="2257"/>
      <c r="M102" s="96"/>
      <c r="N102" s="2593"/>
      <c r="O102" s="2593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615"/>
      <c r="AA102" s="95"/>
      <c r="AD102" s="272"/>
      <c r="AF102" s="249"/>
    </row>
    <row r="103" spans="3:32" s="53" customFormat="1">
      <c r="E103" s="95"/>
      <c r="F103" s="1239"/>
      <c r="G103" s="2595"/>
      <c r="H103" s="2595"/>
      <c r="I103" s="785"/>
      <c r="J103" s="785"/>
      <c r="K103" s="2257"/>
      <c r="L103" s="2257"/>
      <c r="M103" s="96"/>
      <c r="N103" s="2593"/>
      <c r="O103" s="2593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1209"/>
      <c r="AA103" s="95"/>
      <c r="AD103" s="272"/>
      <c r="AF103" s="249"/>
    </row>
    <row r="104" spans="3:32" s="53" customFormat="1">
      <c r="E104" s="95"/>
      <c r="F104" s="1239"/>
      <c r="G104" s="2595"/>
      <c r="H104" s="2595"/>
      <c r="I104" s="785"/>
      <c r="J104" s="785"/>
      <c r="K104" s="2257"/>
      <c r="L104" s="2257"/>
      <c r="M104" s="96"/>
      <c r="N104" s="96"/>
      <c r="O104" s="1210"/>
      <c r="P104" s="1210"/>
      <c r="Q104" s="1210"/>
      <c r="R104" s="1210"/>
      <c r="S104" s="1210"/>
      <c r="T104" s="1210"/>
      <c r="U104" s="1210"/>
      <c r="V104" s="1210"/>
      <c r="W104" s="1210"/>
      <c r="X104" s="1210"/>
      <c r="Y104" s="1210"/>
      <c r="Z104" s="1209"/>
      <c r="AA104" s="95"/>
      <c r="AD104" s="272"/>
      <c r="AF104" s="249"/>
    </row>
    <row r="105" spans="3:32" s="53" customFormat="1">
      <c r="E105" s="95"/>
      <c r="F105" s="1239"/>
      <c r="G105" s="286"/>
      <c r="H105" s="607"/>
      <c r="I105" s="608"/>
      <c r="J105" s="608"/>
      <c r="K105" s="608"/>
      <c r="L105" s="608"/>
      <c r="M105" s="96"/>
      <c r="N105" s="606"/>
      <c r="O105" s="606"/>
      <c r="P105" s="606"/>
      <c r="Q105" s="606"/>
      <c r="R105" s="606"/>
      <c r="S105" s="606"/>
      <c r="T105" s="606"/>
      <c r="V105" s="606"/>
      <c r="W105" s="606"/>
      <c r="X105" s="606"/>
      <c r="Y105" s="606"/>
      <c r="Z105" s="1209"/>
      <c r="AA105" s="95"/>
      <c r="AD105" s="272"/>
      <c r="AF105" s="249"/>
    </row>
    <row r="106" spans="3:32" s="53" customFormat="1">
      <c r="C106" s="272"/>
      <c r="E106" s="95"/>
      <c r="F106" s="1239"/>
      <c r="G106" s="286"/>
      <c r="H106" s="604"/>
      <c r="I106" s="605"/>
      <c r="J106" s="605"/>
      <c r="K106" s="605"/>
      <c r="L106" s="605"/>
      <c r="M106" s="9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  <c r="Y106" s="606"/>
      <c r="Z106" s="1211"/>
      <c r="AA106" s="95"/>
      <c r="AD106" s="272"/>
      <c r="AF106" s="249"/>
    </row>
    <row r="107" spans="3:32" s="53" customFormat="1">
      <c r="E107" s="95"/>
      <c r="F107" s="1240"/>
      <c r="G107" s="286"/>
      <c r="H107" s="604"/>
      <c r="I107" s="605"/>
      <c r="J107" s="605"/>
      <c r="K107" s="605"/>
      <c r="L107" s="605"/>
      <c r="M107" s="96"/>
      <c r="AA107" s="95"/>
      <c r="AD107" s="272"/>
      <c r="AF107" s="249"/>
    </row>
    <row r="108" spans="3:32" s="53" customFormat="1">
      <c r="E108" s="95"/>
      <c r="F108" s="1240"/>
      <c r="G108" s="286"/>
      <c r="H108" s="604"/>
      <c r="I108" s="605"/>
      <c r="J108" s="605"/>
      <c r="K108" s="605"/>
      <c r="L108" s="605"/>
      <c r="M108" s="96"/>
      <c r="AA108" s="95"/>
      <c r="AD108" s="272"/>
      <c r="AF108" s="249"/>
    </row>
    <row r="109" spans="3:32" s="53" customFormat="1">
      <c r="E109" s="95"/>
      <c r="F109" s="1240"/>
      <c r="G109" s="286"/>
      <c r="H109" s="604"/>
      <c r="I109" s="605"/>
      <c r="J109" s="605"/>
      <c r="K109" s="605"/>
      <c r="L109" s="605"/>
      <c r="M109" s="96"/>
      <c r="AA109" s="95"/>
      <c r="AD109" s="272"/>
      <c r="AF109" s="249"/>
    </row>
    <row r="110" spans="3:32" s="53" customFormat="1">
      <c r="E110" s="95"/>
      <c r="F110" s="1240"/>
      <c r="G110" s="286"/>
      <c r="H110" s="604"/>
      <c r="I110" s="605"/>
      <c r="J110" s="605"/>
      <c r="K110" s="605"/>
      <c r="L110" s="605"/>
      <c r="M110" s="96"/>
      <c r="AA110" s="95"/>
      <c r="AD110" s="272"/>
      <c r="AF110" s="249"/>
    </row>
    <row r="111" spans="3:32" s="53" customFormat="1">
      <c r="E111" s="95"/>
      <c r="F111" s="1240"/>
      <c r="G111" s="286"/>
      <c r="H111" s="604"/>
      <c r="I111" s="605"/>
      <c r="J111" s="605"/>
      <c r="K111" s="605"/>
      <c r="L111" s="605"/>
      <c r="M111" s="96"/>
      <c r="N111" s="96"/>
      <c r="O111" s="96"/>
      <c r="Z111" s="615"/>
      <c r="AA111" s="95"/>
      <c r="AD111" s="272"/>
      <c r="AF111" s="249"/>
    </row>
    <row r="112" spans="3:32" s="53" customFormat="1">
      <c r="E112" s="95"/>
      <c r="F112" s="1240"/>
      <c r="G112" s="286"/>
      <c r="H112" s="604"/>
      <c r="I112" s="605"/>
      <c r="J112" s="605"/>
      <c r="K112" s="605"/>
      <c r="L112" s="605"/>
      <c r="M112" s="96"/>
      <c r="N112" s="96"/>
      <c r="O112" s="96"/>
      <c r="Z112" s="615"/>
      <c r="AA112" s="95"/>
      <c r="AD112" s="272"/>
      <c r="AF112" s="249">
        <f>AF109+'TRẠM 2'!AF89</f>
        <v>157486745</v>
      </c>
    </row>
    <row r="113" spans="5:32" s="53" customFormat="1">
      <c r="E113" s="95"/>
      <c r="F113" s="1240"/>
      <c r="G113" s="286"/>
      <c r="H113" s="604"/>
      <c r="I113" s="605"/>
      <c r="J113" s="605"/>
      <c r="K113" s="605"/>
      <c r="L113" s="605"/>
      <c r="M113" s="96"/>
      <c r="N113" s="96"/>
      <c r="O113" s="96"/>
      <c r="Z113" s="615"/>
      <c r="AA113" s="95"/>
      <c r="AD113" s="272"/>
      <c r="AF113" s="249"/>
    </row>
    <row r="114" spans="5:32" s="53" customFormat="1">
      <c r="E114" s="95"/>
      <c r="F114" s="1240"/>
      <c r="G114" s="286"/>
      <c r="H114" s="604"/>
      <c r="I114" s="605"/>
      <c r="J114" s="605"/>
      <c r="K114" s="605"/>
      <c r="L114" s="605"/>
      <c r="M114" s="96"/>
      <c r="N114" s="96"/>
      <c r="O114" s="96"/>
      <c r="Z114" s="615"/>
      <c r="AA114" s="95"/>
      <c r="AD114" s="272"/>
      <c r="AF114" s="249"/>
    </row>
    <row r="115" spans="5:32" s="53" customFormat="1">
      <c r="E115" s="95"/>
      <c r="F115" s="1240"/>
      <c r="G115" s="286"/>
      <c r="H115" s="604"/>
      <c r="I115" s="605"/>
      <c r="J115" s="605"/>
      <c r="K115" s="605"/>
      <c r="L115" s="605"/>
      <c r="M115" s="96"/>
      <c r="N115" s="96"/>
      <c r="O115" s="96"/>
      <c r="Z115" s="615"/>
      <c r="AA115" s="95"/>
      <c r="AD115" s="272"/>
      <c r="AF115" s="249"/>
    </row>
    <row r="116" spans="5:32" s="53" customFormat="1">
      <c r="E116" s="95"/>
      <c r="F116" s="1240"/>
      <c r="G116" s="286"/>
      <c r="H116" s="604"/>
      <c r="I116" s="605"/>
      <c r="J116" s="605"/>
      <c r="K116" s="605"/>
      <c r="L116" s="605"/>
      <c r="M116" s="96"/>
      <c r="N116" s="96"/>
      <c r="O116" s="96"/>
      <c r="Z116" s="615"/>
      <c r="AA116" s="95"/>
      <c r="AD116" s="272"/>
      <c r="AF116" s="249"/>
    </row>
    <row r="117" spans="5:32" s="53" customFormat="1">
      <c r="E117" s="95"/>
      <c r="F117" s="1240"/>
      <c r="G117" s="286"/>
      <c r="H117" s="604"/>
      <c r="I117" s="605"/>
      <c r="J117" s="605"/>
      <c r="K117" s="605"/>
      <c r="L117" s="605"/>
      <c r="M117" s="96"/>
      <c r="N117" s="96"/>
      <c r="O117" s="96"/>
      <c r="Z117" s="615"/>
      <c r="AA117" s="95"/>
      <c r="AD117" s="272"/>
      <c r="AF117" s="249"/>
    </row>
    <row r="118" spans="5:32" s="53" customFormat="1">
      <c r="E118" s="95"/>
      <c r="F118" s="1240"/>
      <c r="G118" s="286"/>
      <c r="H118" s="604"/>
      <c r="I118" s="605"/>
      <c r="J118" s="605"/>
      <c r="K118" s="605"/>
      <c r="L118" s="605"/>
      <c r="M118" s="96"/>
      <c r="N118" s="96"/>
      <c r="O118" s="96"/>
      <c r="Z118" s="615"/>
      <c r="AA118" s="95"/>
      <c r="AD118" s="272"/>
      <c r="AF118" s="249"/>
    </row>
    <row r="119" spans="5:32" s="53" customFormat="1">
      <c r="E119" s="95"/>
      <c r="F119" s="1240"/>
      <c r="G119" s="286"/>
      <c r="H119" s="604"/>
      <c r="I119" s="605"/>
      <c r="J119" s="605"/>
      <c r="K119" s="605"/>
      <c r="L119" s="605"/>
      <c r="M119" s="96"/>
      <c r="N119" s="96"/>
      <c r="O119" s="96"/>
      <c r="Z119" s="615"/>
      <c r="AA119" s="95"/>
      <c r="AD119" s="272"/>
      <c r="AF119" s="249"/>
    </row>
    <row r="120" spans="5:32" s="53" customFormat="1">
      <c r="E120" s="95"/>
      <c r="F120" s="1240"/>
      <c r="G120" s="286"/>
      <c r="H120" s="604"/>
      <c r="I120" s="605"/>
      <c r="J120" s="605"/>
      <c r="K120" s="605"/>
      <c r="L120" s="605"/>
      <c r="M120" s="96"/>
      <c r="N120" s="96"/>
      <c r="O120" s="96"/>
      <c r="Z120" s="615"/>
      <c r="AA120" s="95"/>
      <c r="AD120" s="272"/>
      <c r="AF120" s="249"/>
    </row>
    <row r="121" spans="5:32" s="53" customFormat="1">
      <c r="E121" s="95"/>
      <c r="F121" s="1240"/>
      <c r="G121" s="286"/>
      <c r="H121" s="604"/>
      <c r="I121" s="605"/>
      <c r="J121" s="605"/>
      <c r="K121" s="605"/>
      <c r="L121" s="605"/>
      <c r="M121" s="96"/>
      <c r="N121" s="96"/>
      <c r="O121" s="96"/>
      <c r="Z121" s="615"/>
      <c r="AA121" s="95"/>
      <c r="AD121" s="272"/>
      <c r="AF121" s="249"/>
    </row>
    <row r="122" spans="5:32" s="53" customFormat="1">
      <c r="E122" s="95"/>
      <c r="F122" s="1240"/>
      <c r="G122" s="286"/>
      <c r="H122" s="604"/>
      <c r="I122" s="605"/>
      <c r="J122" s="605"/>
      <c r="K122" s="605"/>
      <c r="L122" s="605"/>
      <c r="M122" s="96"/>
      <c r="N122" s="96"/>
      <c r="O122" s="96"/>
      <c r="Z122" s="615"/>
      <c r="AA122" s="95"/>
      <c r="AD122" s="272"/>
      <c r="AF122" s="249"/>
    </row>
    <row r="123" spans="5:32" s="53" customFormat="1">
      <c r="E123" s="95"/>
      <c r="F123" s="1240"/>
      <c r="G123" s="286"/>
      <c r="H123" s="604"/>
      <c r="I123" s="605"/>
      <c r="J123" s="605"/>
      <c r="K123" s="605"/>
      <c r="L123" s="605"/>
      <c r="M123" s="96"/>
      <c r="N123" s="96"/>
      <c r="O123" s="96"/>
      <c r="Z123" s="615"/>
      <c r="AA123" s="95"/>
      <c r="AD123" s="272"/>
      <c r="AF123" s="249"/>
    </row>
    <row r="124" spans="5:32" s="53" customFormat="1">
      <c r="E124" s="95"/>
      <c r="F124" s="1240"/>
      <c r="G124" s="286"/>
      <c r="H124" s="604"/>
      <c r="I124" s="605"/>
      <c r="J124" s="605"/>
      <c r="K124" s="605"/>
      <c r="L124" s="605"/>
      <c r="M124" s="96"/>
      <c r="N124" s="96"/>
      <c r="O124" s="96"/>
      <c r="Z124" s="615"/>
      <c r="AA124" s="95"/>
      <c r="AD124" s="272"/>
      <c r="AF124" s="249"/>
    </row>
    <row r="125" spans="5:32" s="53" customFormat="1">
      <c r="E125" s="95"/>
      <c r="F125" s="1240"/>
      <c r="G125" s="286"/>
      <c r="H125" s="604"/>
      <c r="I125" s="605"/>
      <c r="J125" s="605"/>
      <c r="K125" s="605"/>
      <c r="L125" s="605"/>
      <c r="M125" s="96"/>
      <c r="N125" s="96"/>
      <c r="O125" s="96"/>
      <c r="Z125" s="615"/>
      <c r="AA125" s="95"/>
      <c r="AD125" s="272"/>
      <c r="AF125" s="249"/>
    </row>
    <row r="126" spans="5:32" s="53" customFormat="1">
      <c r="E126" s="95"/>
      <c r="F126" s="1240"/>
      <c r="G126" s="286"/>
      <c r="H126" s="604"/>
      <c r="I126" s="605"/>
      <c r="J126" s="605"/>
      <c r="K126" s="605"/>
      <c r="L126" s="605"/>
      <c r="M126" s="96"/>
      <c r="N126" s="96"/>
      <c r="O126" s="96"/>
      <c r="Z126" s="615"/>
      <c r="AA126" s="95"/>
      <c r="AD126" s="272"/>
      <c r="AF126" s="249"/>
    </row>
    <row r="127" spans="5:32" s="53" customFormat="1">
      <c r="E127" s="95"/>
      <c r="F127" s="1240"/>
      <c r="G127" s="286"/>
      <c r="H127" s="604"/>
      <c r="I127" s="605"/>
      <c r="J127" s="605"/>
      <c r="K127" s="605"/>
      <c r="L127" s="605"/>
      <c r="M127" s="96"/>
      <c r="N127" s="96"/>
      <c r="O127" s="96"/>
      <c r="Z127" s="615"/>
      <c r="AA127" s="95"/>
      <c r="AD127" s="272"/>
      <c r="AF127" s="249"/>
    </row>
    <row r="128" spans="5:32" s="53" customFormat="1">
      <c r="E128" s="95"/>
      <c r="F128" s="1240"/>
      <c r="G128" s="286"/>
      <c r="H128" s="604"/>
      <c r="I128" s="605"/>
      <c r="J128" s="605"/>
      <c r="K128" s="605"/>
      <c r="L128" s="605"/>
      <c r="M128" s="96"/>
      <c r="N128" s="96"/>
      <c r="O128" s="96"/>
      <c r="Z128" s="615"/>
      <c r="AA128" s="95"/>
      <c r="AD128" s="272"/>
      <c r="AF128" s="249"/>
    </row>
    <row r="129" spans="5:32" s="53" customFormat="1">
      <c r="E129" s="95"/>
      <c r="F129" s="1240"/>
      <c r="G129" s="286"/>
      <c r="H129" s="604"/>
      <c r="I129" s="605"/>
      <c r="J129" s="605"/>
      <c r="K129" s="605"/>
      <c r="L129" s="605"/>
      <c r="M129" s="96"/>
      <c r="N129" s="96"/>
      <c r="O129" s="96"/>
      <c r="Z129" s="615"/>
      <c r="AA129" s="95"/>
      <c r="AD129" s="272"/>
      <c r="AF129" s="249"/>
    </row>
    <row r="130" spans="5:32" s="53" customFormat="1">
      <c r="E130" s="95"/>
      <c r="F130" s="1240"/>
      <c r="G130" s="286"/>
      <c r="H130" s="604"/>
      <c r="I130" s="605"/>
      <c r="J130" s="605"/>
      <c r="K130" s="605"/>
      <c r="L130" s="605"/>
      <c r="M130" s="96"/>
      <c r="N130" s="96"/>
      <c r="O130" s="96"/>
      <c r="Z130" s="615"/>
      <c r="AA130" s="95"/>
      <c r="AD130" s="272"/>
      <c r="AF130" s="249"/>
    </row>
    <row r="131" spans="5:32" s="53" customFormat="1">
      <c r="E131" s="95"/>
      <c r="F131" s="1240"/>
      <c r="G131" s="286"/>
      <c r="H131" s="604"/>
      <c r="I131" s="605"/>
      <c r="J131" s="605"/>
      <c r="K131" s="605"/>
      <c r="L131" s="605"/>
      <c r="M131" s="96"/>
      <c r="N131" s="96"/>
      <c r="O131" s="96"/>
      <c r="Z131" s="615"/>
      <c r="AA131" s="95"/>
      <c r="AD131" s="272"/>
      <c r="AF131" s="249"/>
    </row>
    <row r="132" spans="5:32" s="53" customFormat="1">
      <c r="E132" s="2636"/>
      <c r="F132" s="2636"/>
      <c r="G132" s="2711"/>
      <c r="H132" s="2711"/>
      <c r="I132" s="2711"/>
      <c r="J132" s="2711"/>
      <c r="K132" s="2711"/>
      <c r="L132" s="2711"/>
      <c r="M132" s="2711"/>
      <c r="N132" s="2593"/>
      <c r="O132" s="2593"/>
      <c r="P132" s="2593"/>
      <c r="Q132" s="2593"/>
      <c r="R132" s="2593"/>
      <c r="S132" s="2593"/>
      <c r="T132" s="2640"/>
      <c r="U132" s="2640"/>
      <c r="V132" s="2640"/>
      <c r="W132" s="2640"/>
      <c r="X132" s="2640"/>
      <c r="Y132" s="2640"/>
      <c r="Z132" s="2640"/>
      <c r="AA132" s="95" t="s">
        <v>3047</v>
      </c>
      <c r="AD132" s="272"/>
      <c r="AF132" s="249"/>
    </row>
    <row r="133" spans="5:32" s="53" customFormat="1">
      <c r="E133" s="95"/>
      <c r="F133" s="1240"/>
      <c r="G133" s="286"/>
      <c r="H133" s="604"/>
      <c r="I133" s="605"/>
      <c r="J133" s="605"/>
      <c r="K133" s="605"/>
      <c r="L133" s="605"/>
      <c r="M133" s="96"/>
      <c r="N133" s="96"/>
      <c r="O133" s="96"/>
      <c r="Z133" s="615"/>
      <c r="AA133" s="95"/>
      <c r="AD133" s="272"/>
      <c r="AF133" s="249"/>
    </row>
    <row r="134" spans="5:32" s="53" customFormat="1">
      <c r="E134" s="95"/>
      <c r="F134" s="1240"/>
      <c r="G134" s="286"/>
      <c r="H134" s="604"/>
      <c r="I134" s="605"/>
      <c r="J134" s="605"/>
      <c r="K134" s="605"/>
      <c r="L134" s="605"/>
      <c r="M134" s="96"/>
      <c r="N134" s="96"/>
      <c r="O134" s="96"/>
      <c r="Z134" s="615"/>
      <c r="AA134" s="95"/>
      <c r="AD134" s="272"/>
      <c r="AF134" s="249"/>
    </row>
    <row r="135" spans="5:32" s="53" customFormat="1">
      <c r="E135" s="95"/>
      <c r="F135" s="1240"/>
      <c r="G135" s="286"/>
      <c r="H135" s="604"/>
      <c r="I135" s="605"/>
      <c r="J135" s="605"/>
      <c r="K135" s="605"/>
      <c r="L135" s="605"/>
      <c r="M135" s="96"/>
      <c r="N135" s="96"/>
      <c r="O135" s="96"/>
      <c r="Z135" s="615"/>
      <c r="AA135" s="95"/>
      <c r="AD135" s="272"/>
      <c r="AF135" s="249"/>
    </row>
    <row r="136" spans="5:32" s="53" customFormat="1">
      <c r="E136" s="95"/>
      <c r="F136" s="1240"/>
      <c r="G136" s="286"/>
      <c r="H136" s="604"/>
      <c r="I136" s="605"/>
      <c r="J136" s="605"/>
      <c r="K136" s="605"/>
      <c r="L136" s="605"/>
      <c r="M136" s="96"/>
      <c r="N136" s="96"/>
      <c r="O136" s="96"/>
      <c r="Z136" s="615"/>
      <c r="AA136" s="2710" t="s">
        <v>613</v>
      </c>
      <c r="AB136" s="2710"/>
      <c r="AD136" s="272"/>
      <c r="AF136" s="249"/>
    </row>
    <row r="137" spans="5:32" s="53" customFormat="1">
      <c r="E137" s="95"/>
      <c r="F137" s="1240"/>
      <c r="G137" s="286"/>
      <c r="H137" s="604"/>
      <c r="I137" s="605"/>
      <c r="J137" s="605"/>
      <c r="K137" s="605"/>
      <c r="L137" s="605"/>
      <c r="M137" s="96"/>
      <c r="N137" s="96"/>
      <c r="O137" s="96"/>
      <c r="Z137" s="615"/>
      <c r="AA137" s="95"/>
      <c r="AD137" s="272"/>
      <c r="AF137" s="249"/>
    </row>
    <row r="138" spans="5:32" s="53" customFormat="1">
      <c r="E138" s="95"/>
      <c r="F138" s="1240"/>
      <c r="G138" s="286"/>
      <c r="H138" s="604"/>
      <c r="I138" s="605"/>
      <c r="J138" s="605"/>
      <c r="K138" s="605"/>
      <c r="L138" s="605"/>
      <c r="M138" s="96"/>
      <c r="N138" s="96"/>
      <c r="O138" s="96"/>
      <c r="Z138" s="615"/>
      <c r="AA138" s="95"/>
      <c r="AD138" s="272"/>
      <c r="AF138" s="249"/>
    </row>
    <row r="139" spans="5:32" s="53" customFormat="1">
      <c r="E139" s="95"/>
      <c r="F139" s="1240"/>
      <c r="G139" s="286"/>
      <c r="H139" s="604"/>
      <c r="I139" s="605"/>
      <c r="J139" s="605"/>
      <c r="K139" s="605"/>
      <c r="L139" s="605"/>
      <c r="M139" s="96"/>
      <c r="N139" s="96"/>
      <c r="O139" s="96"/>
      <c r="Z139" s="615"/>
      <c r="AA139" s="95"/>
      <c r="AD139" s="272"/>
      <c r="AF139" s="249"/>
    </row>
    <row r="140" spans="5:32" s="53" customFormat="1">
      <c r="E140" s="95"/>
      <c r="F140" s="1240"/>
      <c r="G140" s="286"/>
      <c r="H140" s="604"/>
      <c r="I140" s="605"/>
      <c r="J140" s="605"/>
      <c r="K140" s="605"/>
      <c r="L140" s="605"/>
      <c r="M140" s="96"/>
      <c r="N140" s="96"/>
      <c r="O140" s="96"/>
      <c r="Z140" s="615"/>
      <c r="AA140" s="95"/>
      <c r="AD140" s="272"/>
      <c r="AF140" s="249"/>
    </row>
    <row r="142" spans="5:32">
      <c r="U142" s="755">
        <f>SUM(U16:U141)</f>
        <v>0</v>
      </c>
    </row>
  </sheetData>
  <mergeCells count="48">
    <mergeCell ref="AA10:AA12"/>
    <mergeCell ref="AB10:AB12"/>
    <mergeCell ref="AC10:AC12"/>
    <mergeCell ref="F11:G11"/>
    <mergeCell ref="H11:N11"/>
    <mergeCell ref="O11:Z11"/>
    <mergeCell ref="Z98:AB98"/>
    <mergeCell ref="F99:H99"/>
    <mergeCell ref="M99:N99"/>
    <mergeCell ref="F100:H100"/>
    <mergeCell ref="B1:AB1"/>
    <mergeCell ref="B2:AB2"/>
    <mergeCell ref="C3:AB3"/>
    <mergeCell ref="A4:H4"/>
    <mergeCell ref="A5:H5"/>
    <mergeCell ref="A7:AC7"/>
    <mergeCell ref="A8:D8"/>
    <mergeCell ref="A10:A12"/>
    <mergeCell ref="B10:B12"/>
    <mergeCell ref="C10:C12"/>
    <mergeCell ref="D10:D12"/>
    <mergeCell ref="F10:Z10"/>
    <mergeCell ref="E10:E12"/>
    <mergeCell ref="G101:H101"/>
    <mergeCell ref="N101:O101"/>
    <mergeCell ref="H96:I96"/>
    <mergeCell ref="M96:N96"/>
    <mergeCell ref="M97:O97"/>
    <mergeCell ref="G98:J98"/>
    <mergeCell ref="J100:M100"/>
    <mergeCell ref="N100:O100"/>
    <mergeCell ref="C98:F98"/>
    <mergeCell ref="AA97:AB97"/>
    <mergeCell ref="A90:C90"/>
    <mergeCell ref="A91:AB91"/>
    <mergeCell ref="AA96:AB96"/>
    <mergeCell ref="A93:AB93"/>
    <mergeCell ref="P92:AB92"/>
    <mergeCell ref="N132:S132"/>
    <mergeCell ref="T132:Z132"/>
    <mergeCell ref="AA136:AB136"/>
    <mergeCell ref="E132:F132"/>
    <mergeCell ref="G132:M132"/>
    <mergeCell ref="G102:H102"/>
    <mergeCell ref="N102:O102"/>
    <mergeCell ref="G103:H103"/>
    <mergeCell ref="N103:O103"/>
    <mergeCell ref="G104:H104"/>
  </mergeCells>
  <printOptions horizontalCentered="1"/>
  <pageMargins left="0.2" right="0" top="0.511811023622047" bottom="0.511811023622047" header="0.31496062992126" footer="0.31496062992126"/>
  <pageSetup paperSize="9" scale="62" orientation="landscape" r:id="rId1"/>
  <headerFooter>
    <oddFooter>&amp;R&amp;P/4</oddFooter>
  </headerFooter>
  <colBreaks count="1" manualBreakCount="1">
    <brk id="28" max="139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7" zoomScale="65" zoomScaleNormal="65" workbookViewId="0">
      <pane xSplit="2" ySplit="3" topLeftCell="C10" activePane="bottomRight" state="frozen"/>
      <selection activeCell="A7" sqref="A7"/>
      <selection pane="topRight" activeCell="C7" sqref="C7"/>
      <selection pane="bottomLeft" activeCell="A10" sqref="A10"/>
      <selection pane="bottomRight" activeCell="W9" sqref="W9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6" width="10" style="300" customWidth="1"/>
    <col min="7" max="7" width="9.140625" style="300" customWidth="1"/>
    <col min="8" max="8" width="15" style="300" customWidth="1"/>
    <col min="9" max="9" width="13.140625" style="300" customWidth="1"/>
    <col min="10" max="10" width="17.5703125" style="300" hidden="1" customWidth="1"/>
    <col min="11" max="11" width="11.28515625" style="300" hidden="1" customWidth="1"/>
    <col min="12" max="12" width="17.5703125" style="300" hidden="1" customWidth="1"/>
    <col min="13" max="13" width="14.42578125" style="300" customWidth="1"/>
    <col min="14" max="14" width="15" style="300" customWidth="1"/>
    <col min="15" max="15" width="16.5703125" style="300" customWidth="1"/>
    <col min="16" max="16" width="14.7109375" style="300" hidden="1" customWidth="1"/>
    <col min="17" max="17" width="15.5703125" style="300" hidden="1" customWidth="1"/>
    <col min="18" max="19" width="19.7109375" style="300" customWidth="1"/>
    <col min="20" max="20" width="17.85546875" style="300" customWidth="1"/>
    <col min="21" max="21" width="15.85546875" style="300" customWidth="1"/>
    <col min="22" max="22" width="9.140625" style="300"/>
    <col min="23" max="23" width="19.140625" style="300" customWidth="1"/>
    <col min="24" max="25" width="9.140625" style="300"/>
    <col min="26" max="26" width="11.28515625" style="300" customWidth="1"/>
    <col min="27" max="16384" width="9.140625" style="300"/>
  </cols>
  <sheetData>
    <row r="1" spans="1:26" s="299" customFormat="1" ht="16.5">
      <c r="B1" s="2377" t="s">
        <v>0</v>
      </c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</row>
    <row r="2" spans="1:26" s="299" customFormat="1" ht="16.5">
      <c r="B2" s="2377" t="s">
        <v>2030</v>
      </c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</row>
    <row r="3" spans="1:26" s="299" customFormat="1" ht="16.5">
      <c r="B3" s="2615" t="s">
        <v>619</v>
      </c>
      <c r="C3" s="2377"/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</row>
    <row r="4" spans="1:26" s="299" customFormat="1" ht="16.5">
      <c r="B4" s="2719" t="s">
        <v>3235</v>
      </c>
      <c r="C4" s="2719"/>
      <c r="D4" s="2719"/>
      <c r="E4" s="2719"/>
      <c r="F4" s="2719"/>
      <c r="G4" s="1531"/>
      <c r="O4" s="298"/>
      <c r="P4" s="298"/>
      <c r="Q4" s="298"/>
    </row>
    <row r="5" spans="1:26" s="299" customFormat="1" ht="16.5">
      <c r="B5" s="2377" t="s">
        <v>3234</v>
      </c>
      <c r="C5" s="2377"/>
      <c r="D5" s="2377"/>
      <c r="E5" s="2377"/>
      <c r="F5" s="2377"/>
      <c r="G5" s="1407"/>
      <c r="O5" s="298"/>
      <c r="P5" s="298"/>
      <c r="Q5" s="298"/>
    </row>
    <row r="6" spans="1:26" s="296" customFormat="1" ht="11.25"/>
    <row r="7" spans="1:26" ht="20.25">
      <c r="B7" s="2718" t="s">
        <v>3472</v>
      </c>
      <c r="C7" s="2718"/>
      <c r="D7" s="2718"/>
      <c r="E7" s="2718"/>
      <c r="F7" s="2718"/>
      <c r="G7" s="2718"/>
      <c r="H7" s="2718"/>
      <c r="I7" s="2718"/>
      <c r="J7" s="2718"/>
      <c r="K7" s="2718"/>
      <c r="L7" s="2718"/>
      <c r="M7" s="2718"/>
      <c r="N7" s="2718"/>
      <c r="O7" s="2718"/>
      <c r="P7" s="2718"/>
      <c r="Q7" s="2718"/>
      <c r="R7" s="2718"/>
      <c r="S7" s="2718"/>
      <c r="T7" s="2718"/>
      <c r="U7" s="2718"/>
    </row>
    <row r="8" spans="1:26" ht="25.15" customHeight="1"/>
    <row r="9" spans="1:26" ht="92.25" customHeight="1">
      <c r="A9" s="2720" t="s">
        <v>6</v>
      </c>
      <c r="B9" s="2720"/>
      <c r="C9" s="2000" t="s">
        <v>356</v>
      </c>
      <c r="D9" s="2000" t="s">
        <v>9</v>
      </c>
      <c r="E9" s="301" t="s">
        <v>2989</v>
      </c>
      <c r="F9" s="301" t="s">
        <v>2440</v>
      </c>
      <c r="G9" s="1650" t="s">
        <v>3068</v>
      </c>
      <c r="H9" s="301" t="s">
        <v>3481</v>
      </c>
      <c r="I9" s="301" t="s">
        <v>3482</v>
      </c>
      <c r="J9" s="301" t="s">
        <v>2441</v>
      </c>
      <c r="K9" s="1652" t="s">
        <v>3068</v>
      </c>
      <c r="L9" s="301" t="s">
        <v>3457</v>
      </c>
      <c r="M9" s="1652" t="s">
        <v>3476</v>
      </c>
      <c r="N9" s="1652" t="s">
        <v>3477</v>
      </c>
      <c r="O9" s="305" t="s">
        <v>3066</v>
      </c>
      <c r="P9" s="1652" t="s">
        <v>2201</v>
      </c>
      <c r="Q9" s="1652" t="s">
        <v>3257</v>
      </c>
      <c r="R9" s="301" t="s">
        <v>3067</v>
      </c>
      <c r="S9" s="1650" t="s">
        <v>3478</v>
      </c>
      <c r="T9" s="301" t="s">
        <v>2442</v>
      </c>
      <c r="U9" s="305" t="s">
        <v>12</v>
      </c>
      <c r="W9" s="309"/>
    </row>
    <row r="10" spans="1:26" s="1531" customFormat="1" ht="22.5" hidden="1" customHeight="1">
      <c r="A10" s="2721"/>
      <c r="B10" s="2722"/>
      <c r="C10" s="1526"/>
      <c r="D10" s="1526"/>
      <c r="E10" s="1527"/>
      <c r="F10" s="1527"/>
      <c r="G10" s="1651"/>
      <c r="H10" s="1528" t="s">
        <v>2443</v>
      </c>
      <c r="I10" s="1528" t="s">
        <v>2444</v>
      </c>
      <c r="J10" s="1204" t="s">
        <v>2445</v>
      </c>
      <c r="K10" s="2270"/>
      <c r="L10" s="2270"/>
      <c r="M10" s="2270"/>
      <c r="N10" s="2270"/>
      <c r="O10" s="1528" t="s">
        <v>2446</v>
      </c>
      <c r="P10" s="1653"/>
      <c r="Q10" s="1653"/>
      <c r="R10" s="1528" t="s">
        <v>3256</v>
      </c>
      <c r="S10" s="1653"/>
      <c r="T10" s="1529" t="s">
        <v>2447</v>
      </c>
      <c r="U10" s="1530"/>
      <c r="W10" s="1532"/>
    </row>
    <row r="11" spans="1:26" s="1531" customFormat="1" ht="27" customHeight="1">
      <c r="A11" s="2723" t="s">
        <v>2213</v>
      </c>
      <c r="B11" s="2723"/>
      <c r="C11" s="2001" t="s">
        <v>2193</v>
      </c>
      <c r="D11" s="2001"/>
      <c r="E11" s="1527"/>
      <c r="F11" s="1527"/>
      <c r="G11" s="1651"/>
      <c r="H11" s="1533"/>
      <c r="I11" s="1534"/>
      <c r="J11" s="1534"/>
      <c r="K11" s="2271"/>
      <c r="L11" s="2271"/>
      <c r="M11" s="2271"/>
      <c r="N11" s="2271"/>
      <c r="O11" s="2098">
        <f>+SUM(O12:O19)</f>
        <v>2060</v>
      </c>
      <c r="P11" s="1534">
        <f t="shared" ref="P11:Q11" si="0">+SUM(P12:P19)</f>
        <v>0</v>
      </c>
      <c r="Q11" s="1534">
        <f t="shared" si="0"/>
        <v>2200</v>
      </c>
      <c r="R11" s="1534">
        <f>+SUM(R12:R19)</f>
        <v>2567.4074062913874</v>
      </c>
      <c r="S11" s="1534">
        <f>+SUM(S12:S19)</f>
        <v>289.72980284203919</v>
      </c>
      <c r="T11" s="1534">
        <f>+SUM(T12:T19)</f>
        <v>4917.1372091334269</v>
      </c>
      <c r="U11" s="1530"/>
      <c r="W11" s="1535">
        <v>1</v>
      </c>
      <c r="X11" s="1535">
        <v>28</v>
      </c>
    </row>
    <row r="12" spans="1:26" s="299" customFormat="1" ht="27" customHeight="1">
      <c r="A12" s="1536">
        <v>1</v>
      </c>
      <c r="B12" s="1537">
        <v>1</v>
      </c>
      <c r="C12" s="2003" t="s">
        <v>3247</v>
      </c>
      <c r="D12" s="2004" t="s">
        <v>2449</v>
      </c>
      <c r="E12" s="2005"/>
      <c r="F12" s="1535" t="s">
        <v>2214</v>
      </c>
      <c r="G12" s="2274">
        <f>IF('sản lượng'!$Q$192,8,IF('sản lượng'!$Q$191&gt;10,8,IF('sản lượng'!$Q$191&gt;5,9,IF('sản lượng'!$Q$191,10,IF('sản lượng'!$Q$189&lt;50,11,12)))))/10</f>
        <v>1</v>
      </c>
      <c r="H12" s="322">
        <f>H13+H14</f>
        <v>200</v>
      </c>
      <c r="I12" s="1538">
        <f>'sản lượng'!$AL$170/1000+SIRUM!$AJ$17/1000</f>
        <v>222.21860900000007</v>
      </c>
      <c r="J12" s="1539">
        <f>I12/H12</f>
        <v>1.1110930450000003</v>
      </c>
      <c r="K12" s="2274">
        <v>1</v>
      </c>
      <c r="L12" s="2255">
        <f>H12</f>
        <v>200</v>
      </c>
      <c r="M12" s="2275">
        <f>25747.253103934/1000</f>
        <v>25.747253103934</v>
      </c>
      <c r="N12" s="2272">
        <f>M12/L12</f>
        <v>0.12873626551966999</v>
      </c>
      <c r="O12" s="2005">
        <v>360</v>
      </c>
      <c r="P12" s="1647"/>
      <c r="Q12" s="1655">
        <v>300</v>
      </c>
      <c r="R12" s="1646">
        <f>Q12*J12*G12</f>
        <v>333.32791350000008</v>
      </c>
      <c r="S12" s="1646">
        <f>N12*Q12*K12</f>
        <v>38.620879655901</v>
      </c>
      <c r="T12" s="1646">
        <f>O12+R12+P12+S12</f>
        <v>731.94879315590106</v>
      </c>
      <c r="U12" s="1540"/>
      <c r="W12" s="1535"/>
      <c r="X12" s="1535"/>
      <c r="Z12" s="299">
        <f>'LƯƠNG KT'!J109</f>
        <v>78549.737530873026</v>
      </c>
    </row>
    <row r="13" spans="1:26" s="299" customFormat="1" ht="27" customHeight="1">
      <c r="A13" s="1644">
        <v>2</v>
      </c>
      <c r="B13" s="1649">
        <v>2</v>
      </c>
      <c r="C13" s="2003" t="s">
        <v>3248</v>
      </c>
      <c r="D13" s="2004" t="s">
        <v>2997</v>
      </c>
      <c r="E13" s="2005" t="s">
        <v>2985</v>
      </c>
      <c r="F13" s="1535" t="s">
        <v>2214</v>
      </c>
      <c r="G13" s="2338">
        <f>IF('sản lượng'!$Q$178,8,IF('sản lượng'!$Q$177&gt;10,8,IF('sản lượng'!$Q$177&gt;5,9,IF('sản lượng'!$Q$177,10,IF('sản lượng'!$Q$175&lt;50,11,12)))))/10</f>
        <v>1.2</v>
      </c>
      <c r="H13" s="1348">
        <v>129</v>
      </c>
      <c r="I13" s="1646">
        <f>'sản lượng'!$AL$12/1000+SIRUM!$AJ$14/1000</f>
        <v>143.66887146912705</v>
      </c>
      <c r="J13" s="1539">
        <f>I13/H13</f>
        <v>1.1137121819312175</v>
      </c>
      <c r="K13" s="2274">
        <v>1.2</v>
      </c>
      <c r="L13" s="2255">
        <f t="shared" ref="L13:L14" si="1">H13</f>
        <v>129</v>
      </c>
      <c r="M13" s="2275">
        <f>18462.9132166324/1000</f>
        <v>18.462913216632401</v>
      </c>
      <c r="N13" s="2272">
        <f t="shared" ref="N13:N21" si="2">M13/L13</f>
        <v>0.14312335826846823</v>
      </c>
      <c r="O13" s="2005">
        <v>280</v>
      </c>
      <c r="P13" s="1647"/>
      <c r="Q13" s="1655">
        <v>280</v>
      </c>
      <c r="R13" s="1646">
        <f t="shared" ref="R13:R21" si="3">Q13*J13*G13</f>
        <v>374.20729312888903</v>
      </c>
      <c r="S13" s="1646">
        <f t="shared" ref="S13:S21" si="4">N13*Q13*K13</f>
        <v>48.089448378205326</v>
      </c>
      <c r="T13" s="1646">
        <f t="shared" ref="T13:T19" si="5">O13+R13+P13+S13</f>
        <v>702.29674150709434</v>
      </c>
      <c r="U13" s="1648"/>
      <c r="W13" s="1645"/>
      <c r="X13" s="1645"/>
    </row>
    <row r="14" spans="1:26" s="299" customFormat="1" ht="27" customHeight="1">
      <c r="A14" s="1536">
        <v>3</v>
      </c>
      <c r="B14" s="1537">
        <v>3</v>
      </c>
      <c r="C14" s="2006" t="s">
        <v>3249</v>
      </c>
      <c r="D14" s="2004" t="s">
        <v>2997</v>
      </c>
      <c r="E14" s="2005" t="s">
        <v>2986</v>
      </c>
      <c r="F14" s="1535" t="s">
        <v>2214</v>
      </c>
      <c r="G14" s="2338">
        <f>IF('sản lượng'!$Q$185,8,IF('sản lượng'!$Q$184&gt;10,8,IF('sản lượng'!$Q$184&gt;5,9,IF('sản lượng'!$Q$184,10,IF('sản lượng'!$Q$182&lt;50,11,12)))))/10</f>
        <v>1</v>
      </c>
      <c r="H14" s="1348">
        <v>71</v>
      </c>
      <c r="I14" s="1646">
        <f>'sản lượng'!$AL$98/1000+SIRUM!$AJ$16/1000</f>
        <v>78.549737530873031</v>
      </c>
      <c r="J14" s="1539">
        <f t="shared" ref="J14:J19" si="6">I14/H14</f>
        <v>1.106334331420747</v>
      </c>
      <c r="K14" s="2274">
        <v>1</v>
      </c>
      <c r="L14" s="2255">
        <f t="shared" si="1"/>
        <v>71</v>
      </c>
      <c r="M14" s="2275">
        <f>7284.33988730161/1000</f>
        <v>7.2843398873016101</v>
      </c>
      <c r="N14" s="2272">
        <f t="shared" si="2"/>
        <v>0.10259633644086774</v>
      </c>
      <c r="O14" s="2005">
        <v>310</v>
      </c>
      <c r="P14" s="1647"/>
      <c r="Q14" s="1655">
        <v>280</v>
      </c>
      <c r="R14" s="1646">
        <f t="shared" si="3"/>
        <v>309.77361279780916</v>
      </c>
      <c r="S14" s="1646">
        <f>N14*Q14*K14</f>
        <v>28.726974203442968</v>
      </c>
      <c r="T14" s="1646">
        <f t="shared" si="5"/>
        <v>648.50058700125214</v>
      </c>
      <c r="U14" s="1648"/>
      <c r="W14" s="1645"/>
      <c r="X14" s="1645"/>
    </row>
    <row r="15" spans="1:26" s="299" customFormat="1" ht="27" customHeight="1">
      <c r="A15" s="1644">
        <v>4</v>
      </c>
      <c r="B15" s="1649">
        <v>4</v>
      </c>
      <c r="C15" s="2007" t="s">
        <v>3250</v>
      </c>
      <c r="D15" s="2004" t="s">
        <v>3255</v>
      </c>
      <c r="E15" s="2005"/>
      <c r="F15" s="1535" t="s">
        <v>2214</v>
      </c>
      <c r="G15" s="2338"/>
      <c r="H15" s="1348">
        <f>H12</f>
        <v>200</v>
      </c>
      <c r="I15" s="1538">
        <f>'sản lượng'!$AL$170/1000+SIRUM!$AJ$17/1000</f>
        <v>222.21860900000007</v>
      </c>
      <c r="J15" s="1539">
        <f t="shared" si="6"/>
        <v>1.1110930450000003</v>
      </c>
      <c r="K15" s="2274"/>
      <c r="L15" s="2255">
        <f t="shared" ref="L15:M17" si="7">L12</f>
        <v>200</v>
      </c>
      <c r="M15" s="2275">
        <f t="shared" si="7"/>
        <v>25.747253103934</v>
      </c>
      <c r="N15" s="2272">
        <f t="shared" si="2"/>
        <v>0.12873626551966999</v>
      </c>
      <c r="O15" s="2005">
        <v>230</v>
      </c>
      <c r="P15" s="1647"/>
      <c r="Q15" s="1655">
        <v>280</v>
      </c>
      <c r="R15" s="1646">
        <f>Q15*J15</f>
        <v>311.10605260000006</v>
      </c>
      <c r="S15" s="1646">
        <f>N15*Q15</f>
        <v>36.046154345507595</v>
      </c>
      <c r="T15" s="1646">
        <f t="shared" si="5"/>
        <v>577.15220694550771</v>
      </c>
      <c r="U15" s="1648"/>
      <c r="W15" s="1645"/>
      <c r="X15" s="1645"/>
    </row>
    <row r="16" spans="1:26" s="299" customFormat="1" ht="27" customHeight="1">
      <c r="A16" s="1536">
        <v>5</v>
      </c>
      <c r="B16" s="1537">
        <v>5</v>
      </c>
      <c r="C16" s="2007" t="s">
        <v>3251</v>
      </c>
      <c r="D16" s="2004" t="s">
        <v>3048</v>
      </c>
      <c r="E16" s="2005" t="s">
        <v>2985</v>
      </c>
      <c r="F16" s="1535" t="s">
        <v>2214</v>
      </c>
      <c r="G16" s="2338">
        <f>IF('sản lượng'!$Q$178,8,IF('sản lượng'!$Q$177&gt;10,8,IF('sản lượng'!$Q$177&gt;5,9,IF('sản lượng'!$Q$177,10,IF('sản lượng'!$Q$175&lt;50,11,12)))))/10</f>
        <v>1.2</v>
      </c>
      <c r="H16" s="1348">
        <f>H13</f>
        <v>129</v>
      </c>
      <c r="I16" s="1646">
        <f>'sản lượng'!$AL$12/1000+SIRUM!$AJ$14/1000</f>
        <v>143.66887146912705</v>
      </c>
      <c r="J16" s="1539">
        <f t="shared" si="6"/>
        <v>1.1137121819312175</v>
      </c>
      <c r="K16" s="2274">
        <f>K13</f>
        <v>1.2</v>
      </c>
      <c r="L16" s="2255">
        <f t="shared" si="7"/>
        <v>129</v>
      </c>
      <c r="M16" s="2275">
        <f t="shared" si="7"/>
        <v>18.462913216632401</v>
      </c>
      <c r="N16" s="2272">
        <f t="shared" si="2"/>
        <v>0.14312335826846823</v>
      </c>
      <c r="O16" s="2005">
        <v>230</v>
      </c>
      <c r="P16" s="1647"/>
      <c r="Q16" s="1655">
        <v>280</v>
      </c>
      <c r="R16" s="1646">
        <f t="shared" si="3"/>
        <v>374.20729312888903</v>
      </c>
      <c r="S16" s="1646">
        <f t="shared" si="4"/>
        <v>48.089448378205326</v>
      </c>
      <c r="T16" s="1646">
        <f t="shared" si="5"/>
        <v>652.29674150709434</v>
      </c>
      <c r="U16" s="1648"/>
      <c r="W16" s="1645"/>
      <c r="X16" s="1645"/>
    </row>
    <row r="17" spans="1:24" s="299" customFormat="1" ht="27" customHeight="1">
      <c r="A17" s="1644">
        <v>6</v>
      </c>
      <c r="B17" s="1649">
        <v>6</v>
      </c>
      <c r="C17" s="2007" t="s">
        <v>3252</v>
      </c>
      <c r="D17" s="2004" t="s">
        <v>3048</v>
      </c>
      <c r="E17" s="2005" t="s">
        <v>2986</v>
      </c>
      <c r="F17" s="1535" t="s">
        <v>2214</v>
      </c>
      <c r="G17" s="2338">
        <f>IF('sản lượng'!$Q$185,8,IF('sản lượng'!$Q$184&gt;10,8,IF('sản lượng'!$Q$184&gt;5,9,IF('sản lượng'!$Q$184,10,IF('sản lượng'!$Q$182&lt;50,11,12)))))/10</f>
        <v>1</v>
      </c>
      <c r="H17" s="1348">
        <f>H14</f>
        <v>71</v>
      </c>
      <c r="I17" s="1646">
        <f>'sản lượng'!$AL$98/1000+SIRUM!$AJ$16/1000</f>
        <v>78.549737530873031</v>
      </c>
      <c r="J17" s="1539">
        <f t="shared" si="6"/>
        <v>1.106334331420747</v>
      </c>
      <c r="K17" s="2274">
        <f>K14</f>
        <v>1</v>
      </c>
      <c r="L17" s="2255">
        <f t="shared" si="7"/>
        <v>71</v>
      </c>
      <c r="M17" s="2275">
        <f t="shared" si="7"/>
        <v>7.2843398873016101</v>
      </c>
      <c r="N17" s="2272">
        <f t="shared" si="2"/>
        <v>0.10259633644086774</v>
      </c>
      <c r="O17" s="2005">
        <v>230</v>
      </c>
      <c r="P17" s="1647"/>
      <c r="Q17" s="1655">
        <v>280</v>
      </c>
      <c r="R17" s="1646">
        <f t="shared" si="3"/>
        <v>309.77361279780916</v>
      </c>
      <c r="S17" s="1646">
        <f t="shared" si="4"/>
        <v>28.726974203442968</v>
      </c>
      <c r="T17" s="1646">
        <f t="shared" si="5"/>
        <v>568.50058700125214</v>
      </c>
      <c r="U17" s="1648"/>
      <c r="W17" s="1645"/>
      <c r="X17" s="1645"/>
    </row>
    <row r="18" spans="1:24" s="299" customFormat="1" ht="27" customHeight="1">
      <c r="A18" s="1536">
        <v>7</v>
      </c>
      <c r="B18" s="1537">
        <v>7</v>
      </c>
      <c r="C18" s="2007" t="s">
        <v>3253</v>
      </c>
      <c r="D18" s="2004" t="s">
        <v>1880</v>
      </c>
      <c r="E18" s="2005" t="s">
        <v>2985</v>
      </c>
      <c r="F18" s="1535" t="s">
        <v>2214</v>
      </c>
      <c r="G18" s="2338"/>
      <c r="H18" s="322">
        <f>H13</f>
        <v>129</v>
      </c>
      <c r="I18" s="1646">
        <f>'sản lượng'!$AL$12/1000+SIRUM!$AJ$14/1000</f>
        <v>143.66887146912705</v>
      </c>
      <c r="J18" s="1539">
        <f t="shared" si="6"/>
        <v>1.1137121819312175</v>
      </c>
      <c r="K18" s="2274"/>
      <c r="L18" s="2255">
        <f>L13</f>
        <v>129</v>
      </c>
      <c r="M18" s="2275">
        <f>M13</f>
        <v>18.462913216632401</v>
      </c>
      <c r="N18" s="2272">
        <f t="shared" si="2"/>
        <v>0.14312335826846823</v>
      </c>
      <c r="O18" s="2005">
        <v>210</v>
      </c>
      <c r="P18" s="1647"/>
      <c r="Q18" s="1655">
        <v>250</v>
      </c>
      <c r="R18" s="1646">
        <f t="shared" ref="R18:R19" si="8">Q18*J18</f>
        <v>278.42804548280435</v>
      </c>
      <c r="S18" s="1646">
        <f t="shared" ref="S18:S19" si="9">N18*Q18</f>
        <v>35.780839567117056</v>
      </c>
      <c r="T18" s="1646">
        <f t="shared" si="5"/>
        <v>524.20888504992138</v>
      </c>
      <c r="U18" s="1648"/>
      <c r="W18" s="1645"/>
      <c r="X18" s="1645"/>
    </row>
    <row r="19" spans="1:24" s="299" customFormat="1" ht="27" customHeight="1">
      <c r="A19" s="1644">
        <v>8</v>
      </c>
      <c r="B19" s="1649">
        <v>8</v>
      </c>
      <c r="C19" s="2007" t="s">
        <v>3254</v>
      </c>
      <c r="D19" s="2004" t="s">
        <v>1880</v>
      </c>
      <c r="E19" s="2005" t="s">
        <v>2986</v>
      </c>
      <c r="F19" s="1535" t="s">
        <v>2214</v>
      </c>
      <c r="G19" s="2338"/>
      <c r="H19" s="322">
        <f>H14</f>
        <v>71</v>
      </c>
      <c r="I19" s="1646">
        <f>'sản lượng'!$AL$98/1000+SIRUM!$AJ$16/1000</f>
        <v>78.549737530873031</v>
      </c>
      <c r="J19" s="1539">
        <f t="shared" si="6"/>
        <v>1.106334331420747</v>
      </c>
      <c r="K19" s="2274"/>
      <c r="L19" s="2255">
        <f>L14</f>
        <v>71</v>
      </c>
      <c r="M19" s="2275">
        <f>M14</f>
        <v>7.2843398873016101</v>
      </c>
      <c r="N19" s="2272">
        <f t="shared" si="2"/>
        <v>0.10259633644086774</v>
      </c>
      <c r="O19" s="2005">
        <v>210</v>
      </c>
      <c r="P19" s="1647"/>
      <c r="Q19" s="1655">
        <v>250</v>
      </c>
      <c r="R19" s="1646">
        <f t="shared" si="8"/>
        <v>276.58358285518676</v>
      </c>
      <c r="S19" s="1646">
        <f t="shared" si="9"/>
        <v>25.649084110216936</v>
      </c>
      <c r="T19" s="1646">
        <f t="shared" si="5"/>
        <v>512.23266696540372</v>
      </c>
      <c r="U19" s="1648"/>
      <c r="W19" s="1645"/>
      <c r="X19" s="1645"/>
    </row>
    <row r="20" spans="1:24" s="1544" customFormat="1" ht="27" customHeight="1">
      <c r="A20" s="2725" t="s">
        <v>2216</v>
      </c>
      <c r="B20" s="2726"/>
      <c r="C20" s="1999" t="s">
        <v>2453</v>
      </c>
      <c r="D20" s="2002"/>
      <c r="E20" s="1527"/>
      <c r="F20" s="1527"/>
      <c r="G20" s="2339"/>
      <c r="H20" s="1542">
        <f>+SUM(H21:H21)</f>
        <v>71</v>
      </c>
      <c r="I20" s="1533"/>
      <c r="J20" s="1541"/>
      <c r="K20" s="2274"/>
      <c r="L20" s="2255"/>
      <c r="M20" s="2275"/>
      <c r="N20" s="2272"/>
      <c r="O20" s="1542">
        <f>+SUM(O21:O21)</f>
        <v>3000000</v>
      </c>
      <c r="P20" s="1654"/>
      <c r="Q20" s="1542">
        <f>+SUM(Q21:Q21)</f>
        <v>3000000</v>
      </c>
      <c r="R20" s="1542">
        <f>+SUM(R21:R21)</f>
        <v>3319002.9942622408</v>
      </c>
      <c r="S20" s="1542">
        <f>+SUM(S21:S21)</f>
        <v>307789.00932260323</v>
      </c>
      <c r="T20" s="1542">
        <f>+SUM(T21:T21)</f>
        <v>6626792.0035848441</v>
      </c>
      <c r="U20" s="1543"/>
      <c r="W20" s="1535">
        <v>5</v>
      </c>
      <c r="X20" s="1535">
        <v>78</v>
      </c>
    </row>
    <row r="21" spans="1:24" s="1547" customFormat="1" ht="27" customHeight="1">
      <c r="A21" s="1537">
        <v>9</v>
      </c>
      <c r="B21" s="1537">
        <v>1</v>
      </c>
      <c r="C21" s="1525" t="s">
        <v>3304</v>
      </c>
      <c r="D21" s="1953" t="s">
        <v>3048</v>
      </c>
      <c r="E21" s="2005" t="s">
        <v>2986</v>
      </c>
      <c r="F21" s="1535" t="s">
        <v>2280</v>
      </c>
      <c r="G21" s="2338">
        <f>IF('sản lượng'!$Q$185,8,IF('sản lượng'!$Q$184&gt;10,8,IF('sản lượng'!$Q$184&gt;5,9,IF('sản lượng'!$Q$184,10,IF('sản lượng'!$Q$182&lt;50,11,12)))))/10</f>
        <v>1</v>
      </c>
      <c r="H21" s="1348">
        <f>H14</f>
        <v>71</v>
      </c>
      <c r="I21" s="1646">
        <f>'sản lượng'!$AL$98/1000+SIRUM!$AJ$16/1000</f>
        <v>78.549737530873031</v>
      </c>
      <c r="J21" s="1539">
        <f t="shared" ref="J21" si="10">I21/H21</f>
        <v>1.106334331420747</v>
      </c>
      <c r="K21" s="2274">
        <f>K14</f>
        <v>1</v>
      </c>
      <c r="L21" s="2255">
        <f>L14</f>
        <v>71</v>
      </c>
      <c r="M21" s="2275">
        <f>M14</f>
        <v>7.2843398873016101</v>
      </c>
      <c r="N21" s="2272">
        <f t="shared" si="2"/>
        <v>0.10259633644086774</v>
      </c>
      <c r="O21" s="1545">
        <v>3000000</v>
      </c>
      <c r="P21" s="1655">
        <v>0</v>
      </c>
      <c r="Q21" s="1655">
        <v>3000000</v>
      </c>
      <c r="R21" s="2273">
        <f t="shared" si="3"/>
        <v>3319002.9942622408</v>
      </c>
      <c r="S21" s="1646">
        <f t="shared" si="4"/>
        <v>307789.00932260323</v>
      </c>
      <c r="T21" s="2273">
        <f>O21+R21+P21+S21</f>
        <v>6626792.0035848441</v>
      </c>
      <c r="U21" s="1546"/>
      <c r="W21" s="1527"/>
      <c r="X21" s="1527">
        <f>SUM(X11:X20)</f>
        <v>106</v>
      </c>
    </row>
    <row r="22" spans="1:24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6"/>
      <c r="K22" s="306"/>
      <c r="L22" s="306"/>
      <c r="M22" s="306"/>
      <c r="N22" s="306"/>
      <c r="O22" s="299"/>
      <c r="P22" s="299"/>
      <c r="Q22" s="299"/>
      <c r="R22" s="2724"/>
      <c r="S22" s="2724"/>
      <c r="T22" s="2724"/>
      <c r="U22" s="2724"/>
      <c r="W22" s="298" t="e">
        <f>+#REF!/1000</f>
        <v>#REF!</v>
      </c>
    </row>
    <row r="23" spans="1:24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6"/>
      <c r="K23" s="306"/>
      <c r="L23" s="306"/>
      <c r="M23" s="306"/>
      <c r="N23" s="306"/>
      <c r="O23" s="2717" t="s">
        <v>3453</v>
      </c>
      <c r="P23" s="2717"/>
      <c r="Q23" s="2717"/>
      <c r="R23" s="2717"/>
      <c r="S23" s="2717"/>
      <c r="T23" s="2717"/>
      <c r="U23" s="2717"/>
      <c r="W23" s="310" t="e">
        <f>+W22+#REF!</f>
        <v>#REF!</v>
      </c>
    </row>
    <row r="24" spans="1:24" s="298" customFormat="1" ht="16.5">
      <c r="W24" s="298" t="e">
        <f>+W23/40</f>
        <v>#REF!</v>
      </c>
    </row>
    <row r="25" spans="1:24" s="299" customFormat="1" ht="21.75" customHeight="1">
      <c r="A25" s="2377" t="s">
        <v>3445</v>
      </c>
      <c r="B25" s="2377"/>
      <c r="C25" s="2377"/>
      <c r="D25" s="2377"/>
      <c r="E25" s="2377"/>
      <c r="F25" s="2377"/>
      <c r="G25" s="2377"/>
      <c r="H25" s="2377"/>
      <c r="I25" s="2377"/>
      <c r="J25" s="2377"/>
      <c r="K25" s="2377"/>
      <c r="L25" s="2377"/>
      <c r="M25" s="2377"/>
      <c r="N25" s="2377"/>
      <c r="O25" s="2377"/>
      <c r="P25" s="2377"/>
      <c r="Q25" s="2377"/>
      <c r="R25" s="2377"/>
      <c r="S25" s="2377"/>
      <c r="T25" s="2377"/>
      <c r="U25" s="2377"/>
    </row>
    <row r="26" spans="1:24" s="299" customFormat="1" ht="16.5"/>
    <row r="27" spans="1:24" s="299" customFormat="1" ht="16.5"/>
    <row r="28" spans="1:24" s="299" customFormat="1" ht="16.5">
      <c r="H28" s="304"/>
      <c r="J28" s="307"/>
      <c r="K28" s="307"/>
      <c r="L28" s="307"/>
      <c r="M28" s="307"/>
      <c r="N28" s="307"/>
      <c r="R28" s="303"/>
      <c r="S28" s="303"/>
    </row>
    <row r="29" spans="1:24" s="299" customFormat="1" ht="16.5">
      <c r="H29" s="304"/>
    </row>
    <row r="30" spans="1:24" s="299" customFormat="1" ht="20.25">
      <c r="H30" s="304"/>
      <c r="I30" s="298"/>
      <c r="J30" s="298"/>
      <c r="K30" s="298"/>
      <c r="L30" s="298"/>
      <c r="M30" s="298"/>
      <c r="N30" s="298"/>
      <c r="U30" s="308"/>
    </row>
    <row r="31" spans="1:24" s="299" customFormat="1" ht="16.5">
      <c r="H31" s="304"/>
    </row>
    <row r="32" spans="1:24" s="299" customFormat="1" ht="16.5"/>
    <row r="33" spans="1:21" s="299" customFormat="1" ht="16.5"/>
    <row r="34" spans="1:21" s="299" customFormat="1" ht="16.5"/>
    <row r="35" spans="1:21" s="299" customFormat="1" ht="16.5"/>
    <row r="36" spans="1:21" s="299" customFormat="1" ht="16.5"/>
    <row r="37" spans="1:21" s="299" customFormat="1" ht="16.5"/>
    <row r="38" spans="1:21" s="299" customFormat="1" ht="16.5"/>
    <row r="39" spans="1:21" s="299" customFormat="1" ht="16.5"/>
    <row r="40" spans="1:21" s="299" customFormat="1" ht="16.5"/>
    <row r="41" spans="1:21" s="299" customFormat="1" ht="16.5"/>
    <row r="42" spans="1:21" s="299" customFormat="1" ht="16.5"/>
    <row r="43" spans="1:21" s="299" customFormat="1" ht="16.5"/>
    <row r="44" spans="1:21" s="299" customFormat="1" ht="16.5"/>
    <row r="45" spans="1:21" s="299" customFormat="1" ht="16.5"/>
    <row r="46" spans="1:21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</row>
  </sheetData>
  <mergeCells count="13">
    <mergeCell ref="A25:U25"/>
    <mergeCell ref="O23:U23"/>
    <mergeCell ref="B7:U7"/>
    <mergeCell ref="B1:U1"/>
    <mergeCell ref="B2:U2"/>
    <mergeCell ref="B3:U3"/>
    <mergeCell ref="B4:F4"/>
    <mergeCell ref="B5:F5"/>
    <mergeCell ref="A9:B9"/>
    <mergeCell ref="A10:B10"/>
    <mergeCell ref="A11:B11"/>
    <mergeCell ref="R22:U22"/>
    <mergeCell ref="A20:B20"/>
  </mergeCells>
  <printOptions horizontalCentered="1"/>
  <pageMargins left="0" right="0" top="0.32" bottom="0.33" header="0.31496062992126" footer="0.31496062992126"/>
  <pageSetup paperSize="9" scale="5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"/>
  <sheetViews>
    <sheetView topLeftCell="A4" zoomScale="85" zoomScaleNormal="85" workbookViewId="0">
      <selection activeCell="D14" sqref="D14"/>
    </sheetView>
  </sheetViews>
  <sheetFormatPr defaultColWidth="9.140625" defaultRowHeight="16.5"/>
  <cols>
    <col min="1" max="1" width="3.140625" style="1586" customWidth="1"/>
    <col min="2" max="2" width="6.42578125" style="1586" customWidth="1"/>
    <col min="3" max="3" width="21.42578125" style="1586" customWidth="1"/>
    <col min="4" max="4" width="13.7109375" style="1586" customWidth="1"/>
    <col min="5" max="33" width="5" style="1586" customWidth="1"/>
    <col min="34" max="35" width="4.7109375" style="1586" customWidth="1"/>
    <col min="36" max="36" width="6.85546875" style="1586" customWidth="1"/>
    <col min="37" max="37" width="5.85546875" style="1586" hidden="1" customWidth="1"/>
    <col min="38" max="38" width="11" style="1586" customWidth="1"/>
    <col min="39" max="47" width="9.140625" style="1586" hidden="1" customWidth="1"/>
    <col min="48" max="48" width="1.5703125" style="1586" customWidth="1"/>
    <col min="49" max="49" width="10.140625" style="1586" customWidth="1"/>
    <col min="50" max="16384" width="9.140625" style="1586"/>
  </cols>
  <sheetData>
    <row r="1" spans="2:49" s="1585" customFormat="1" ht="15.6" customHeight="1">
      <c r="B1" s="2727" t="s">
        <v>617</v>
      </c>
      <c r="C1" s="2727"/>
      <c r="D1" s="2727"/>
      <c r="E1" s="2727"/>
      <c r="F1" s="2727"/>
      <c r="G1" s="2727"/>
      <c r="H1" s="2727"/>
      <c r="I1" s="2727"/>
      <c r="J1" s="2727"/>
      <c r="K1" s="2727"/>
      <c r="L1" s="2727"/>
      <c r="M1" s="2727"/>
      <c r="N1" s="2727"/>
      <c r="O1" s="2727"/>
      <c r="P1" s="2727"/>
      <c r="Q1" s="2727"/>
      <c r="R1" s="2727"/>
      <c r="S1" s="2727"/>
      <c r="T1" s="2727"/>
      <c r="U1" s="2727"/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  <c r="AO1" s="1557">
        <v>1</v>
      </c>
      <c r="AP1" s="1557">
        <v>2</v>
      </c>
      <c r="AQ1" s="1557">
        <v>3</v>
      </c>
      <c r="AR1" s="1557">
        <v>4</v>
      </c>
      <c r="AS1" s="1557">
        <v>5</v>
      </c>
      <c r="AT1" s="1557">
        <v>6</v>
      </c>
      <c r="AU1" s="1557">
        <v>7</v>
      </c>
    </row>
    <row r="2" spans="2:49" s="1585" customFormat="1">
      <c r="B2" s="2727" t="s">
        <v>618</v>
      </c>
      <c r="C2" s="2727"/>
      <c r="D2" s="2727"/>
      <c r="E2" s="2727"/>
      <c r="F2" s="2727"/>
      <c r="G2" s="2727"/>
      <c r="H2" s="2727"/>
      <c r="I2" s="2727"/>
      <c r="J2" s="2727"/>
      <c r="K2" s="2727"/>
      <c r="L2" s="2727"/>
      <c r="M2" s="2727"/>
      <c r="N2" s="2727"/>
      <c r="O2" s="2727"/>
      <c r="P2" s="2727"/>
      <c r="Q2" s="2727"/>
      <c r="R2" s="2727"/>
      <c r="S2" s="2727"/>
      <c r="T2" s="2727"/>
      <c r="U2" s="2727"/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  <c r="AO2" s="1557" t="s">
        <v>554</v>
      </c>
      <c r="AP2" s="1557" t="s">
        <v>2508</v>
      </c>
      <c r="AQ2" s="1557" t="s">
        <v>2509</v>
      </c>
      <c r="AR2" s="1557" t="s">
        <v>2510</v>
      </c>
      <c r="AS2" s="1557" t="s">
        <v>212</v>
      </c>
      <c r="AT2" s="1557" t="s">
        <v>2511</v>
      </c>
      <c r="AU2" s="1557" t="s">
        <v>2512</v>
      </c>
    </row>
    <row r="3" spans="2:49" s="1585" customFormat="1">
      <c r="B3" s="2743" t="s">
        <v>619</v>
      </c>
      <c r="C3" s="2727"/>
      <c r="D3" s="2727"/>
      <c r="E3" s="2727"/>
      <c r="F3" s="2727"/>
      <c r="G3" s="2727"/>
      <c r="H3" s="2727"/>
      <c r="I3" s="2727"/>
      <c r="J3" s="2727"/>
      <c r="K3" s="2727"/>
      <c r="L3" s="2727"/>
      <c r="M3" s="2727"/>
      <c r="N3" s="2727"/>
      <c r="O3" s="2727"/>
      <c r="P3" s="2727"/>
      <c r="Q3" s="2727"/>
      <c r="R3" s="2727"/>
      <c r="S3" s="2727"/>
      <c r="T3" s="2727"/>
      <c r="U3" s="2727"/>
      <c r="V3" s="2727"/>
      <c r="W3" s="2727"/>
      <c r="X3" s="2727"/>
      <c r="Y3" s="2727"/>
      <c r="Z3" s="2727"/>
      <c r="AA3" s="2727"/>
      <c r="AB3" s="2727"/>
      <c r="AC3" s="2727"/>
      <c r="AD3" s="2727"/>
      <c r="AE3" s="2727"/>
      <c r="AF3" s="2727"/>
      <c r="AG3" s="2727"/>
      <c r="AH3" s="2727"/>
      <c r="AI3" s="2727"/>
      <c r="AJ3" s="2727"/>
      <c r="AK3" s="2727"/>
      <c r="AL3" s="2727"/>
      <c r="AO3" s="1557"/>
      <c r="AP3" s="1557"/>
      <c r="AQ3" s="1557"/>
      <c r="AR3" s="1557"/>
      <c r="AS3" s="1557"/>
      <c r="AT3" s="1557"/>
      <c r="AU3" s="1557"/>
    </row>
    <row r="4" spans="2:49" s="1585" customFormat="1">
      <c r="B4" s="2738" t="s">
        <v>3244</v>
      </c>
      <c r="C4" s="2738"/>
      <c r="D4" s="2738"/>
      <c r="E4" s="2738"/>
      <c r="F4" s="2738"/>
      <c r="G4" s="2738"/>
      <c r="H4" s="2738"/>
      <c r="I4" s="2738"/>
      <c r="J4" s="2738"/>
      <c r="K4" s="2738"/>
      <c r="L4" s="1557"/>
      <c r="M4" s="1557"/>
      <c r="N4" s="1557"/>
      <c r="O4" s="1557"/>
      <c r="P4" s="1557"/>
      <c r="Q4" s="1557"/>
      <c r="R4" s="1557"/>
      <c r="S4" s="1557"/>
      <c r="T4" s="1557"/>
      <c r="U4" s="1557"/>
      <c r="V4" s="1557"/>
      <c r="W4" s="1557"/>
      <c r="X4" s="1557"/>
      <c r="Y4" s="1557"/>
      <c r="Z4" s="1557"/>
      <c r="AA4" s="1557"/>
      <c r="AB4" s="1557"/>
      <c r="AC4" s="1557"/>
      <c r="AD4" s="1557"/>
      <c r="AE4" s="1557"/>
      <c r="AF4" s="1557"/>
      <c r="AG4" s="1557"/>
      <c r="AH4" s="1557"/>
      <c r="AI4" s="1557"/>
      <c r="AJ4" s="1557"/>
      <c r="AK4" s="1557"/>
      <c r="AL4" s="1557"/>
      <c r="AO4" s="1557"/>
      <c r="AP4" s="1557"/>
      <c r="AQ4" s="1557"/>
      <c r="AR4" s="1557"/>
      <c r="AS4" s="1557"/>
      <c r="AT4" s="1557"/>
      <c r="AU4" s="1557"/>
    </row>
    <row r="5" spans="2:49" s="1585" customFormat="1">
      <c r="B5" s="2727" t="s">
        <v>3234</v>
      </c>
      <c r="C5" s="2727"/>
      <c r="D5" s="2727"/>
      <c r="E5" s="2727"/>
      <c r="F5" s="2727"/>
      <c r="G5" s="2727"/>
      <c r="H5" s="2727"/>
      <c r="I5" s="2727"/>
      <c r="J5" s="2727"/>
      <c r="K5" s="2727"/>
      <c r="L5" s="1557"/>
      <c r="M5" s="1557"/>
      <c r="N5" s="1557"/>
      <c r="O5" s="1557"/>
      <c r="P5" s="1557"/>
      <c r="Q5" s="1557"/>
      <c r="R5" s="1557"/>
      <c r="S5" s="1557"/>
      <c r="T5" s="1557"/>
      <c r="U5" s="1557"/>
      <c r="V5" s="1557"/>
      <c r="W5" s="1557"/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7"/>
      <c r="AJ5" s="1557"/>
      <c r="AK5" s="1557"/>
      <c r="AL5" s="1557"/>
      <c r="AO5" s="1557"/>
      <c r="AP5" s="1557"/>
      <c r="AQ5" s="1557"/>
      <c r="AR5" s="1557"/>
      <c r="AS5" s="1557"/>
      <c r="AT5" s="1557"/>
      <c r="AU5" s="1557"/>
    </row>
    <row r="6" spans="2:49" ht="20.25">
      <c r="E6" s="2742" t="s">
        <v>3458</v>
      </c>
      <c r="F6" s="2742"/>
      <c r="G6" s="2742"/>
      <c r="H6" s="2742"/>
      <c r="I6" s="2742"/>
      <c r="J6" s="2742"/>
      <c r="K6" s="2742"/>
      <c r="L6" s="2742"/>
      <c r="M6" s="2742"/>
      <c r="N6" s="2742"/>
      <c r="O6" s="2742"/>
      <c r="P6" s="2742"/>
      <c r="Q6" s="2742"/>
      <c r="R6" s="2742"/>
      <c r="S6" s="2742"/>
      <c r="T6" s="2742"/>
      <c r="U6" s="2742"/>
      <c r="V6" s="2742"/>
      <c r="W6" s="2742"/>
      <c r="X6" s="2742"/>
      <c r="Y6" s="2742"/>
      <c r="Z6" s="2742"/>
      <c r="AA6" s="2742"/>
      <c r="AB6" s="2742"/>
      <c r="AC6" s="2742"/>
      <c r="AD6" s="2742"/>
      <c r="AE6" s="2742"/>
      <c r="AF6" s="2742"/>
      <c r="AG6" s="2742"/>
      <c r="AH6" s="2742"/>
      <c r="AI6" s="2742"/>
    </row>
    <row r="7" spans="2:49" ht="16.5" customHeight="1">
      <c r="B7" s="2727" t="s">
        <v>2514</v>
      </c>
      <c r="C7" s="2727"/>
      <c r="D7" s="1557">
        <v>2025</v>
      </c>
      <c r="E7" s="2728" t="str">
        <f>"Tháng "&amp;IF(LEN($D$8)=1,"0"&amp;$D$8,$D$8)&amp;" năm "&amp;D7</f>
        <v>Tháng 12 năm 2025</v>
      </c>
      <c r="F7" s="2728"/>
      <c r="G7" s="2728"/>
      <c r="H7" s="2728"/>
      <c r="I7" s="2728"/>
      <c r="J7" s="2728"/>
      <c r="K7" s="2728"/>
      <c r="L7" s="2728"/>
      <c r="M7" s="2728"/>
      <c r="N7" s="2728"/>
      <c r="O7" s="2728"/>
      <c r="P7" s="2728"/>
      <c r="Q7" s="2728"/>
      <c r="R7" s="2728"/>
      <c r="S7" s="2728"/>
      <c r="T7" s="2728"/>
      <c r="U7" s="2728"/>
      <c r="V7" s="2728"/>
      <c r="W7" s="2728"/>
      <c r="X7" s="2728"/>
      <c r="Y7" s="2728"/>
      <c r="Z7" s="2728"/>
      <c r="AA7" s="2728"/>
      <c r="AB7" s="2728"/>
      <c r="AC7" s="2728"/>
      <c r="AD7" s="2728"/>
      <c r="AE7" s="2728"/>
      <c r="AF7" s="2728"/>
      <c r="AG7" s="2728"/>
      <c r="AH7" s="2728"/>
      <c r="AI7" s="2728"/>
    </row>
    <row r="8" spans="2:49">
      <c r="B8" s="2730" t="s">
        <v>2515</v>
      </c>
      <c r="C8" s="2730"/>
      <c r="D8" s="1557">
        <v>12</v>
      </c>
    </row>
    <row r="9" spans="2:49" s="1570" customFormat="1" ht="22.5" customHeight="1">
      <c r="B9" s="2731" t="s">
        <v>6</v>
      </c>
      <c r="C9" s="2733" t="s">
        <v>356</v>
      </c>
      <c r="D9" s="2735" t="s">
        <v>9</v>
      </c>
      <c r="E9" s="1587">
        <v>1</v>
      </c>
      <c r="F9" s="1587">
        <v>2</v>
      </c>
      <c r="G9" s="1587">
        <v>3</v>
      </c>
      <c r="H9" s="1587">
        <v>4</v>
      </c>
      <c r="I9" s="1587">
        <v>5</v>
      </c>
      <c r="J9" s="1587">
        <v>6</v>
      </c>
      <c r="K9" s="1587">
        <v>7</v>
      </c>
      <c r="L9" s="1587">
        <v>8</v>
      </c>
      <c r="M9" s="1587">
        <v>9</v>
      </c>
      <c r="N9" s="1587">
        <v>10</v>
      </c>
      <c r="O9" s="1587">
        <v>11</v>
      </c>
      <c r="P9" s="1587">
        <v>12</v>
      </c>
      <c r="Q9" s="1587">
        <v>13</v>
      </c>
      <c r="R9" s="1587">
        <v>14</v>
      </c>
      <c r="S9" s="1587">
        <v>15</v>
      </c>
      <c r="T9" s="1587">
        <v>16</v>
      </c>
      <c r="U9" s="1587">
        <v>17</v>
      </c>
      <c r="V9" s="1587">
        <v>18</v>
      </c>
      <c r="W9" s="1587">
        <v>19</v>
      </c>
      <c r="X9" s="1587">
        <v>20</v>
      </c>
      <c r="Y9" s="1587">
        <v>21</v>
      </c>
      <c r="Z9" s="1587">
        <v>22</v>
      </c>
      <c r="AA9" s="1587">
        <v>23</v>
      </c>
      <c r="AB9" s="1587">
        <v>24</v>
      </c>
      <c r="AC9" s="1587">
        <v>25</v>
      </c>
      <c r="AD9" s="1587">
        <v>26</v>
      </c>
      <c r="AE9" s="1587">
        <v>27</v>
      </c>
      <c r="AF9" s="1587">
        <v>28</v>
      </c>
      <c r="AG9" s="1587">
        <f>IF(DAY(DATE(D7,D8+1,1)-1)&lt;29,"",29)</f>
        <v>29</v>
      </c>
      <c r="AH9" s="1587">
        <v>30</v>
      </c>
      <c r="AI9" s="1587">
        <v>31</v>
      </c>
      <c r="AJ9" s="2735" t="s">
        <v>529</v>
      </c>
      <c r="AK9" s="2735" t="s">
        <v>2517</v>
      </c>
      <c r="AL9" s="2735" t="s">
        <v>12</v>
      </c>
    </row>
    <row r="10" spans="2:49" s="1570" customFormat="1" ht="42" customHeight="1">
      <c r="B10" s="2732"/>
      <c r="C10" s="2734"/>
      <c r="D10" s="2734"/>
      <c r="E10" s="1588" t="str">
        <f>IF(E9="","",HLOOKUP(WEEKDAY(DATE($D$7,$D$8,E9)),$AO$1:$AU$2,2,0))</f>
        <v>Hai</v>
      </c>
      <c r="F10" s="1588" t="str">
        <f t="shared" ref="F10:AI10" si="0">IF(F9="","",HLOOKUP(WEEKDAY(DATE($D$7,$D$8,F9)),$AO$1:$AU$2,2,0))</f>
        <v>Ba</v>
      </c>
      <c r="G10" s="1588" t="str">
        <f t="shared" si="0"/>
        <v>Tư</v>
      </c>
      <c r="H10" s="1588" t="str">
        <f t="shared" si="0"/>
        <v>Năm</v>
      </c>
      <c r="I10" s="1588" t="str">
        <f t="shared" si="0"/>
        <v>Sáu</v>
      </c>
      <c r="J10" s="1588" t="str">
        <f t="shared" si="0"/>
        <v>Bảy</v>
      </c>
      <c r="K10" s="1588" t="str">
        <f t="shared" si="0"/>
        <v>CN</v>
      </c>
      <c r="L10" s="1588" t="str">
        <f t="shared" si="0"/>
        <v>Hai</v>
      </c>
      <c r="M10" s="1588" t="str">
        <f t="shared" si="0"/>
        <v>Ba</v>
      </c>
      <c r="N10" s="1588" t="str">
        <f t="shared" si="0"/>
        <v>Tư</v>
      </c>
      <c r="O10" s="1588" t="str">
        <f t="shared" si="0"/>
        <v>Năm</v>
      </c>
      <c r="P10" s="1588" t="str">
        <f t="shared" si="0"/>
        <v>Sáu</v>
      </c>
      <c r="Q10" s="1588" t="str">
        <f t="shared" si="0"/>
        <v>Bảy</v>
      </c>
      <c r="R10" s="1588" t="str">
        <f t="shared" si="0"/>
        <v>CN</v>
      </c>
      <c r="S10" s="1588" t="str">
        <f t="shared" si="0"/>
        <v>Hai</v>
      </c>
      <c r="T10" s="1588" t="str">
        <f t="shared" si="0"/>
        <v>Ba</v>
      </c>
      <c r="U10" s="1588" t="str">
        <f t="shared" si="0"/>
        <v>Tư</v>
      </c>
      <c r="V10" s="1588" t="str">
        <f t="shared" si="0"/>
        <v>Năm</v>
      </c>
      <c r="W10" s="1588" t="str">
        <f t="shared" si="0"/>
        <v>Sáu</v>
      </c>
      <c r="X10" s="1588" t="str">
        <f t="shared" si="0"/>
        <v>Bảy</v>
      </c>
      <c r="Y10" s="1588" t="str">
        <f t="shared" si="0"/>
        <v>CN</v>
      </c>
      <c r="Z10" s="1588" t="str">
        <f t="shared" si="0"/>
        <v>Hai</v>
      </c>
      <c r="AA10" s="1588" t="str">
        <f t="shared" si="0"/>
        <v>Ba</v>
      </c>
      <c r="AB10" s="1588" t="str">
        <f t="shared" si="0"/>
        <v>Tư</v>
      </c>
      <c r="AC10" s="1588" t="str">
        <f t="shared" si="0"/>
        <v>Năm</v>
      </c>
      <c r="AD10" s="1588" t="str">
        <f t="shared" si="0"/>
        <v>Sáu</v>
      </c>
      <c r="AE10" s="1588" t="str">
        <f t="shared" si="0"/>
        <v>Bảy</v>
      </c>
      <c r="AF10" s="1588" t="str">
        <f t="shared" si="0"/>
        <v>CN</v>
      </c>
      <c r="AG10" s="1587" t="str">
        <f t="shared" si="0"/>
        <v>Hai</v>
      </c>
      <c r="AH10" s="1587" t="str">
        <f t="shared" si="0"/>
        <v>Ba</v>
      </c>
      <c r="AI10" s="1587" t="str">
        <f t="shared" si="0"/>
        <v>Tư</v>
      </c>
      <c r="AJ10" s="2734"/>
      <c r="AK10" s="2734"/>
      <c r="AL10" s="2734"/>
    </row>
    <row r="11" spans="2:49" s="2030" customFormat="1" ht="27.75" customHeight="1">
      <c r="B11" s="2739" t="s">
        <v>3321</v>
      </c>
      <c r="C11" s="2740"/>
      <c r="D11" s="2741"/>
      <c r="E11" s="2097">
        <f>COUNTIF(E12,"x")</f>
        <v>1</v>
      </c>
      <c r="F11" s="2097">
        <f t="shared" ref="F11:AI11" si="1">COUNTIF(F12,"x")</f>
        <v>1</v>
      </c>
      <c r="G11" s="2097">
        <f t="shared" si="1"/>
        <v>1</v>
      </c>
      <c r="H11" s="2097">
        <f t="shared" si="1"/>
        <v>1</v>
      </c>
      <c r="I11" s="2097">
        <f t="shared" si="1"/>
        <v>1</v>
      </c>
      <c r="J11" s="2097">
        <f t="shared" si="1"/>
        <v>1</v>
      </c>
      <c r="K11" s="2097">
        <f t="shared" si="1"/>
        <v>1</v>
      </c>
      <c r="L11" s="2097">
        <f t="shared" si="1"/>
        <v>1</v>
      </c>
      <c r="M11" s="2097">
        <f t="shared" si="1"/>
        <v>1</v>
      </c>
      <c r="N11" s="2097">
        <f t="shared" si="1"/>
        <v>1</v>
      </c>
      <c r="O11" s="2097">
        <f t="shared" si="1"/>
        <v>1</v>
      </c>
      <c r="P11" s="2097">
        <f t="shared" si="1"/>
        <v>1</v>
      </c>
      <c r="Q11" s="2097">
        <f t="shared" si="1"/>
        <v>1</v>
      </c>
      <c r="R11" s="2097">
        <f t="shared" si="1"/>
        <v>1</v>
      </c>
      <c r="S11" s="2097">
        <f t="shared" si="1"/>
        <v>1</v>
      </c>
      <c r="T11" s="2097">
        <f t="shared" si="1"/>
        <v>1</v>
      </c>
      <c r="U11" s="2097">
        <f t="shared" si="1"/>
        <v>1</v>
      </c>
      <c r="V11" s="2097">
        <f t="shared" si="1"/>
        <v>1</v>
      </c>
      <c r="W11" s="2097">
        <f t="shared" si="1"/>
        <v>1</v>
      </c>
      <c r="X11" s="2097">
        <f t="shared" si="1"/>
        <v>1</v>
      </c>
      <c r="Y11" s="2097">
        <f t="shared" si="1"/>
        <v>1</v>
      </c>
      <c r="Z11" s="2097">
        <f t="shared" si="1"/>
        <v>1</v>
      </c>
      <c r="AA11" s="2097">
        <f t="shared" si="1"/>
        <v>1</v>
      </c>
      <c r="AB11" s="2097">
        <f t="shared" si="1"/>
        <v>1</v>
      </c>
      <c r="AC11" s="2097">
        <f t="shared" si="1"/>
        <v>1</v>
      </c>
      <c r="AD11" s="2097">
        <f t="shared" si="1"/>
        <v>1</v>
      </c>
      <c r="AE11" s="2097">
        <f t="shared" si="1"/>
        <v>1</v>
      </c>
      <c r="AF11" s="2097">
        <f t="shared" si="1"/>
        <v>1</v>
      </c>
      <c r="AG11" s="2097">
        <f t="shared" si="1"/>
        <v>1</v>
      </c>
      <c r="AH11" s="2097">
        <f t="shared" si="1"/>
        <v>1</v>
      </c>
      <c r="AI11" s="2097">
        <f t="shared" si="1"/>
        <v>1</v>
      </c>
      <c r="AJ11" s="2032">
        <f>SUM(E11:AI11)</f>
        <v>31</v>
      </c>
      <c r="AK11" s="2032"/>
      <c r="AL11" s="2032"/>
    </row>
    <row r="12" spans="2:49" s="2030" customFormat="1" ht="27.75" customHeight="1">
      <c r="B12" s="2031">
        <v>1</v>
      </c>
      <c r="C12" s="1589" t="s">
        <v>3304</v>
      </c>
      <c r="D12" s="2033" t="s">
        <v>3048</v>
      </c>
      <c r="E12" s="1587" t="s">
        <v>3246</v>
      </c>
      <c r="F12" s="1587" t="s">
        <v>3246</v>
      </c>
      <c r="G12" s="1587" t="s">
        <v>3246</v>
      </c>
      <c r="H12" s="1587" t="s">
        <v>3246</v>
      </c>
      <c r="I12" s="1587" t="s">
        <v>3246</v>
      </c>
      <c r="J12" s="1587" t="s">
        <v>3246</v>
      </c>
      <c r="K12" s="1587" t="s">
        <v>3246</v>
      </c>
      <c r="L12" s="1587" t="s">
        <v>3246</v>
      </c>
      <c r="M12" s="1587" t="s">
        <v>3246</v>
      </c>
      <c r="N12" s="1587" t="s">
        <v>3246</v>
      </c>
      <c r="O12" s="1587" t="s">
        <v>3246</v>
      </c>
      <c r="P12" s="1587" t="s">
        <v>3246</v>
      </c>
      <c r="Q12" s="1587" t="s">
        <v>3246</v>
      </c>
      <c r="R12" s="1587" t="s">
        <v>3246</v>
      </c>
      <c r="S12" s="1587" t="s">
        <v>3246</v>
      </c>
      <c r="T12" s="1587" t="s">
        <v>3246</v>
      </c>
      <c r="U12" s="1587" t="s">
        <v>3246</v>
      </c>
      <c r="V12" s="1587" t="s">
        <v>3246</v>
      </c>
      <c r="W12" s="1587" t="s">
        <v>3246</v>
      </c>
      <c r="X12" s="1587" t="s">
        <v>3246</v>
      </c>
      <c r="Y12" s="1587" t="s">
        <v>3246</v>
      </c>
      <c r="Z12" s="1587" t="s">
        <v>3246</v>
      </c>
      <c r="AA12" s="1587" t="s">
        <v>3246</v>
      </c>
      <c r="AB12" s="1587" t="s">
        <v>3246</v>
      </c>
      <c r="AC12" s="1587" t="s">
        <v>3246</v>
      </c>
      <c r="AD12" s="1587" t="s">
        <v>3246</v>
      </c>
      <c r="AE12" s="1587" t="s">
        <v>3246</v>
      </c>
      <c r="AF12" s="1587" t="s">
        <v>3246</v>
      </c>
      <c r="AG12" s="1587" t="s">
        <v>3246</v>
      </c>
      <c r="AH12" s="1587" t="s">
        <v>3246</v>
      </c>
      <c r="AI12" s="1587" t="s">
        <v>3246</v>
      </c>
      <c r="AJ12" s="1590">
        <f t="shared" ref="AJ12:AJ23" si="2">COUNTIF(E12:AI12,"X")+COUNTIF(E12:AI12,"P")+COUNTIF(E12:AI12,"PT")</f>
        <v>31</v>
      </c>
      <c r="AK12" s="2032"/>
      <c r="AL12" s="2032"/>
    </row>
    <row r="13" spans="2:49" s="2030" customFormat="1" ht="27.75" customHeight="1">
      <c r="B13" s="2739" t="s">
        <v>3322</v>
      </c>
      <c r="C13" s="2740"/>
      <c r="D13" s="2741"/>
      <c r="E13" s="2097">
        <f>COUNTIF(E14:E16,"x")</f>
        <v>2</v>
      </c>
      <c r="F13" s="2097">
        <f t="shared" ref="F13:AI13" si="3">COUNTIF(F14:F16,"x")</f>
        <v>2</v>
      </c>
      <c r="G13" s="2097">
        <f t="shared" si="3"/>
        <v>2</v>
      </c>
      <c r="H13" s="2097">
        <f t="shared" si="3"/>
        <v>2</v>
      </c>
      <c r="I13" s="2097">
        <f t="shared" si="3"/>
        <v>2</v>
      </c>
      <c r="J13" s="2097">
        <f t="shared" si="3"/>
        <v>2</v>
      </c>
      <c r="K13" s="2097">
        <f t="shared" si="3"/>
        <v>2</v>
      </c>
      <c r="L13" s="2097">
        <f t="shared" si="3"/>
        <v>2</v>
      </c>
      <c r="M13" s="2097">
        <f t="shared" si="3"/>
        <v>2</v>
      </c>
      <c r="N13" s="2097">
        <f t="shared" si="3"/>
        <v>2</v>
      </c>
      <c r="O13" s="2097">
        <f t="shared" si="3"/>
        <v>2</v>
      </c>
      <c r="P13" s="2097">
        <f t="shared" si="3"/>
        <v>2</v>
      </c>
      <c r="Q13" s="2097">
        <f t="shared" si="3"/>
        <v>2</v>
      </c>
      <c r="R13" s="2097">
        <f t="shared" si="3"/>
        <v>2</v>
      </c>
      <c r="S13" s="2097">
        <f t="shared" si="3"/>
        <v>2</v>
      </c>
      <c r="T13" s="2097">
        <f t="shared" si="3"/>
        <v>2</v>
      </c>
      <c r="U13" s="2097">
        <f t="shared" si="3"/>
        <v>2</v>
      </c>
      <c r="V13" s="2097">
        <f t="shared" si="3"/>
        <v>2</v>
      </c>
      <c r="W13" s="2097">
        <f t="shared" si="3"/>
        <v>2</v>
      </c>
      <c r="X13" s="2097">
        <f t="shared" si="3"/>
        <v>2</v>
      </c>
      <c r="Y13" s="2097">
        <f t="shared" si="3"/>
        <v>2</v>
      </c>
      <c r="Z13" s="2097">
        <f t="shared" si="3"/>
        <v>2</v>
      </c>
      <c r="AA13" s="2097">
        <f t="shared" si="3"/>
        <v>2</v>
      </c>
      <c r="AB13" s="2097">
        <f t="shared" si="3"/>
        <v>2</v>
      </c>
      <c r="AC13" s="2097">
        <f t="shared" si="3"/>
        <v>2</v>
      </c>
      <c r="AD13" s="2097">
        <f t="shared" si="3"/>
        <v>2</v>
      </c>
      <c r="AE13" s="2097">
        <f t="shared" si="3"/>
        <v>2</v>
      </c>
      <c r="AF13" s="2097">
        <f t="shared" si="3"/>
        <v>2</v>
      </c>
      <c r="AG13" s="2097">
        <f t="shared" si="3"/>
        <v>2</v>
      </c>
      <c r="AH13" s="2097">
        <f t="shared" si="3"/>
        <v>2</v>
      </c>
      <c r="AI13" s="2097">
        <f t="shared" si="3"/>
        <v>2</v>
      </c>
      <c r="AJ13" s="2042">
        <f>SUM(E13:AI13)</f>
        <v>62</v>
      </c>
      <c r="AK13" s="2032"/>
      <c r="AL13" s="2032"/>
    </row>
    <row r="14" spans="2:49" ht="27.75" customHeight="1">
      <c r="B14" s="1587">
        <v>1</v>
      </c>
      <c r="C14" s="1589" t="s">
        <v>3245</v>
      </c>
      <c r="D14" s="1587" t="s">
        <v>1880</v>
      </c>
      <c r="E14" s="1587" t="s">
        <v>3246</v>
      </c>
      <c r="F14" s="1587" t="s">
        <v>3246</v>
      </c>
      <c r="G14" s="1587" t="s">
        <v>3246</v>
      </c>
      <c r="H14" s="1587" t="s">
        <v>3246</v>
      </c>
      <c r="I14" s="1587" t="s">
        <v>3246</v>
      </c>
      <c r="J14" s="1587" t="s">
        <v>3246</v>
      </c>
      <c r="K14" s="1587" t="s">
        <v>3246</v>
      </c>
      <c r="L14" s="1587" t="s">
        <v>3246</v>
      </c>
      <c r="M14" s="1587" t="s">
        <v>3246</v>
      </c>
      <c r="N14" s="1587" t="s">
        <v>3246</v>
      </c>
      <c r="O14" s="1587" t="s">
        <v>3246</v>
      </c>
      <c r="P14" s="1587" t="s">
        <v>3246</v>
      </c>
      <c r="Q14" s="1587" t="s">
        <v>3246</v>
      </c>
      <c r="R14" s="1587" t="s">
        <v>3246</v>
      </c>
      <c r="S14" s="1587" t="s">
        <v>3246</v>
      </c>
      <c r="T14" s="1587" t="s">
        <v>3246</v>
      </c>
      <c r="U14" s="1587" t="s">
        <v>3246</v>
      </c>
      <c r="V14" s="1587" t="s">
        <v>3246</v>
      </c>
      <c r="W14" s="1587" t="s">
        <v>3246</v>
      </c>
      <c r="X14" s="1587" t="s">
        <v>3246</v>
      </c>
      <c r="Y14" s="1587" t="s">
        <v>3246</v>
      </c>
      <c r="Z14" s="1587" t="s">
        <v>3246</v>
      </c>
      <c r="AA14" s="1587" t="s">
        <v>3246</v>
      </c>
      <c r="AB14" s="1587" t="s">
        <v>3246</v>
      </c>
      <c r="AC14" s="1587" t="s">
        <v>3246</v>
      </c>
      <c r="AD14" s="1587" t="s">
        <v>3246</v>
      </c>
      <c r="AE14" s="1587" t="s">
        <v>3246</v>
      </c>
      <c r="AF14" s="1587" t="s">
        <v>3246</v>
      </c>
      <c r="AG14" s="1587" t="s">
        <v>3246</v>
      </c>
      <c r="AH14" s="1587" t="s">
        <v>3246</v>
      </c>
      <c r="AI14" s="1587" t="s">
        <v>3246</v>
      </c>
      <c r="AJ14" s="1590">
        <f t="shared" si="2"/>
        <v>31</v>
      </c>
      <c r="AK14" s="1590">
        <f t="shared" ref="AK14:AK23" si="4">COUNTIF(E14:AI14,"TT")</f>
        <v>0</v>
      </c>
      <c r="AL14" s="1590"/>
      <c r="AW14" s="1591" t="e">
        <f>+AK14-#REF!</f>
        <v>#REF!</v>
      </c>
    </row>
    <row r="15" spans="2:49" ht="27.75" customHeight="1">
      <c r="B15" s="1587">
        <v>2</v>
      </c>
      <c r="C15" s="1589" t="s">
        <v>3299</v>
      </c>
      <c r="D15" s="1587" t="s">
        <v>1880</v>
      </c>
      <c r="E15" s="1587" t="s">
        <v>3246</v>
      </c>
      <c r="F15" s="1587" t="s">
        <v>3246</v>
      </c>
      <c r="G15" s="1587" t="s">
        <v>3246</v>
      </c>
      <c r="H15" s="1587" t="s">
        <v>3246</v>
      </c>
      <c r="I15" s="1587" t="s">
        <v>3246</v>
      </c>
      <c r="J15" s="1587" t="s">
        <v>3246</v>
      </c>
      <c r="K15" s="1587" t="s">
        <v>3246</v>
      </c>
      <c r="L15" s="1587" t="s">
        <v>3246</v>
      </c>
      <c r="M15" s="1587" t="s">
        <v>3246</v>
      </c>
      <c r="N15" s="1587" t="s">
        <v>3246</v>
      </c>
      <c r="O15" s="1587" t="s">
        <v>3246</v>
      </c>
      <c r="P15" s="1587" t="s">
        <v>3246</v>
      </c>
      <c r="Q15" s="1587" t="s">
        <v>3246</v>
      </c>
      <c r="R15" s="1587" t="s">
        <v>3246</v>
      </c>
      <c r="S15" s="1587" t="s">
        <v>3246</v>
      </c>
      <c r="T15" s="1587" t="s">
        <v>3246</v>
      </c>
      <c r="U15" s="1587" t="s">
        <v>3246</v>
      </c>
      <c r="V15" s="1587" t="s">
        <v>3246</v>
      </c>
      <c r="W15" s="1587" t="s">
        <v>3246</v>
      </c>
      <c r="X15" s="1587" t="s">
        <v>3246</v>
      </c>
      <c r="Y15" s="1587" t="s">
        <v>3246</v>
      </c>
      <c r="Z15" s="1587" t="s">
        <v>3246</v>
      </c>
      <c r="AA15" s="1587" t="s">
        <v>3246</v>
      </c>
      <c r="AB15" s="1587" t="s">
        <v>3246</v>
      </c>
      <c r="AC15" s="1587" t="s">
        <v>3246</v>
      </c>
      <c r="AD15" s="1587" t="s">
        <v>3246</v>
      </c>
      <c r="AE15" s="1587" t="s">
        <v>3246</v>
      </c>
      <c r="AF15" s="1587" t="s">
        <v>3246</v>
      </c>
      <c r="AG15" s="1587" t="s">
        <v>3246</v>
      </c>
      <c r="AH15" s="1587" t="s">
        <v>3246</v>
      </c>
      <c r="AI15" s="1587" t="s">
        <v>3246</v>
      </c>
      <c r="AJ15" s="1590">
        <f t="shared" si="2"/>
        <v>31</v>
      </c>
      <c r="AK15" s="1590">
        <f t="shared" si="4"/>
        <v>0</v>
      </c>
      <c r="AL15" s="1590"/>
      <c r="AW15" s="1591" t="e">
        <f>+AK15-#REF!</f>
        <v>#REF!</v>
      </c>
    </row>
    <row r="16" spans="2:49" ht="21.75" hidden="1" customHeight="1">
      <c r="B16" s="1587">
        <v>3</v>
      </c>
      <c r="C16" s="1592" t="s">
        <v>3419</v>
      </c>
      <c r="D16" s="1587" t="s">
        <v>3420</v>
      </c>
      <c r="E16" s="1587"/>
      <c r="F16" s="1587"/>
      <c r="G16" s="1587"/>
      <c r="H16" s="1587"/>
      <c r="I16" s="1587"/>
      <c r="J16" s="1587"/>
      <c r="K16" s="1587"/>
      <c r="L16" s="1587"/>
      <c r="M16" s="1587"/>
      <c r="N16" s="1587"/>
      <c r="O16" s="1587"/>
      <c r="P16" s="1587"/>
      <c r="Q16" s="1587"/>
      <c r="R16" s="1587"/>
      <c r="S16" s="1587"/>
      <c r="T16" s="1587"/>
      <c r="U16" s="1587"/>
      <c r="V16" s="1587"/>
      <c r="W16" s="1587"/>
      <c r="X16" s="1587"/>
      <c r="Y16" s="1587"/>
      <c r="Z16" s="1587"/>
      <c r="AA16" s="1587"/>
      <c r="AB16" s="1587"/>
      <c r="AC16" s="1587"/>
      <c r="AD16" s="1587"/>
      <c r="AE16" s="1587"/>
      <c r="AF16" s="1587"/>
      <c r="AG16" s="1587"/>
      <c r="AH16" s="1587"/>
      <c r="AI16" s="1587"/>
      <c r="AJ16" s="1590">
        <f t="shared" si="2"/>
        <v>0</v>
      </c>
      <c r="AK16" s="1590">
        <f>COUNTIF(E16:AI16,"TT")</f>
        <v>0</v>
      </c>
      <c r="AL16" s="1590"/>
      <c r="AW16" s="1591" t="e">
        <f>+AK16-#REF!</f>
        <v>#REF!</v>
      </c>
    </row>
    <row r="17" spans="1:61" ht="21.75" hidden="1" customHeight="1">
      <c r="B17" s="1587">
        <v>3</v>
      </c>
      <c r="C17" s="1589"/>
      <c r="D17" s="1589"/>
      <c r="E17" s="1587"/>
      <c r="F17" s="1587"/>
      <c r="G17" s="1587"/>
      <c r="H17" s="1587"/>
      <c r="I17" s="1587"/>
      <c r="J17" s="1587"/>
      <c r="K17" s="1587"/>
      <c r="L17" s="1587"/>
      <c r="M17" s="1587"/>
      <c r="N17" s="1587"/>
      <c r="O17" s="1587"/>
      <c r="P17" s="1587"/>
      <c r="Q17" s="1587"/>
      <c r="R17" s="1587"/>
      <c r="S17" s="1587"/>
      <c r="T17" s="1587"/>
      <c r="U17" s="1587"/>
      <c r="V17" s="1587"/>
      <c r="W17" s="1587"/>
      <c r="X17" s="1587"/>
      <c r="Y17" s="1587"/>
      <c r="Z17" s="1587"/>
      <c r="AA17" s="1587"/>
      <c r="AB17" s="1587"/>
      <c r="AC17" s="1587"/>
      <c r="AD17" s="1587"/>
      <c r="AE17" s="1587"/>
      <c r="AF17" s="1587"/>
      <c r="AG17" s="1587"/>
      <c r="AH17" s="1587"/>
      <c r="AI17" s="1587"/>
      <c r="AJ17" s="1590">
        <f t="shared" si="2"/>
        <v>0</v>
      </c>
      <c r="AK17" s="1590">
        <f t="shared" si="4"/>
        <v>0</v>
      </c>
      <c r="AL17" s="1590"/>
      <c r="AW17" s="1591" t="e">
        <f>+AK17-#REF!</f>
        <v>#REF!</v>
      </c>
    </row>
    <row r="18" spans="1:61" ht="21.75" hidden="1" customHeight="1">
      <c r="B18" s="1587">
        <v>4</v>
      </c>
      <c r="C18" s="1589"/>
      <c r="D18" s="1589"/>
      <c r="E18" s="1587"/>
      <c r="F18" s="1587"/>
      <c r="G18" s="1587"/>
      <c r="H18" s="1587"/>
      <c r="I18" s="1587"/>
      <c r="J18" s="1587"/>
      <c r="K18" s="1587"/>
      <c r="L18" s="1587"/>
      <c r="M18" s="1587"/>
      <c r="N18" s="1587"/>
      <c r="O18" s="1587"/>
      <c r="P18" s="1587"/>
      <c r="Q18" s="1587"/>
      <c r="R18" s="1587"/>
      <c r="S18" s="1587"/>
      <c r="T18" s="1587"/>
      <c r="U18" s="1587"/>
      <c r="V18" s="1587"/>
      <c r="W18" s="1587"/>
      <c r="X18" s="1587"/>
      <c r="Y18" s="1587"/>
      <c r="Z18" s="1587"/>
      <c r="AA18" s="1587"/>
      <c r="AB18" s="1587"/>
      <c r="AC18" s="1587"/>
      <c r="AD18" s="1587"/>
      <c r="AE18" s="1587"/>
      <c r="AF18" s="1587"/>
      <c r="AG18" s="1587"/>
      <c r="AH18" s="1587"/>
      <c r="AI18" s="1587"/>
      <c r="AJ18" s="1590">
        <f t="shared" si="2"/>
        <v>0</v>
      </c>
      <c r="AK18" s="1590">
        <f t="shared" si="4"/>
        <v>0</v>
      </c>
      <c r="AL18" s="1590"/>
      <c r="AW18" s="1591" t="e">
        <f>+AK18-#REF!</f>
        <v>#REF!</v>
      </c>
    </row>
    <row r="19" spans="1:61" ht="21.75" hidden="1" customHeight="1">
      <c r="B19" s="1587">
        <v>5</v>
      </c>
      <c r="C19" s="1589"/>
      <c r="D19" s="1589"/>
      <c r="E19" s="1587"/>
      <c r="F19" s="1587"/>
      <c r="G19" s="1587"/>
      <c r="H19" s="1587"/>
      <c r="I19" s="1587"/>
      <c r="J19" s="1587"/>
      <c r="K19" s="1587"/>
      <c r="L19" s="1587"/>
      <c r="M19" s="1587"/>
      <c r="N19" s="1587"/>
      <c r="O19" s="1587"/>
      <c r="P19" s="1587"/>
      <c r="Q19" s="1587"/>
      <c r="R19" s="1587"/>
      <c r="S19" s="1587"/>
      <c r="T19" s="1587"/>
      <c r="U19" s="1587"/>
      <c r="V19" s="1587"/>
      <c r="W19" s="1587"/>
      <c r="X19" s="1587"/>
      <c r="Y19" s="1587"/>
      <c r="Z19" s="1587"/>
      <c r="AA19" s="1587"/>
      <c r="AB19" s="1587"/>
      <c r="AC19" s="1587"/>
      <c r="AD19" s="1587"/>
      <c r="AE19" s="1587"/>
      <c r="AF19" s="1587"/>
      <c r="AG19" s="1587"/>
      <c r="AH19" s="1587"/>
      <c r="AI19" s="1587"/>
      <c r="AJ19" s="1590">
        <f t="shared" si="2"/>
        <v>0</v>
      </c>
      <c r="AK19" s="1590">
        <f t="shared" si="4"/>
        <v>0</v>
      </c>
      <c r="AL19" s="1590"/>
      <c r="AW19" s="1591" t="e">
        <f>+AK19-#REF!</f>
        <v>#REF!</v>
      </c>
    </row>
    <row r="20" spans="1:61" ht="21.75" hidden="1" customHeight="1">
      <c r="B20" s="1587">
        <v>6</v>
      </c>
      <c r="C20" s="1589"/>
      <c r="D20" s="1589"/>
      <c r="E20" s="1587"/>
      <c r="F20" s="1587"/>
      <c r="G20" s="1587"/>
      <c r="H20" s="1587"/>
      <c r="I20" s="1587"/>
      <c r="J20" s="1587"/>
      <c r="K20" s="1587"/>
      <c r="L20" s="1587"/>
      <c r="M20" s="1587"/>
      <c r="N20" s="1587"/>
      <c r="O20" s="1587"/>
      <c r="P20" s="1587"/>
      <c r="Q20" s="1587"/>
      <c r="R20" s="1587"/>
      <c r="S20" s="1587"/>
      <c r="T20" s="1587"/>
      <c r="U20" s="1587"/>
      <c r="V20" s="1587"/>
      <c r="W20" s="1587"/>
      <c r="X20" s="1587"/>
      <c r="Y20" s="1587"/>
      <c r="Z20" s="1587"/>
      <c r="AA20" s="1587"/>
      <c r="AB20" s="1587"/>
      <c r="AC20" s="1587"/>
      <c r="AD20" s="1587"/>
      <c r="AE20" s="1587"/>
      <c r="AF20" s="1587"/>
      <c r="AG20" s="1587"/>
      <c r="AH20" s="1587"/>
      <c r="AI20" s="1587"/>
      <c r="AJ20" s="1590">
        <f t="shared" si="2"/>
        <v>0</v>
      </c>
      <c r="AK20" s="1590">
        <f t="shared" si="4"/>
        <v>0</v>
      </c>
      <c r="AL20" s="1590"/>
      <c r="AW20" s="1591" t="e">
        <f>+AK20-#REF!</f>
        <v>#REF!</v>
      </c>
    </row>
    <row r="21" spans="1:61" ht="21.75" hidden="1" customHeight="1">
      <c r="B21" s="1587">
        <v>8</v>
      </c>
      <c r="C21" s="1589"/>
      <c r="D21" s="1589"/>
      <c r="E21" s="1587"/>
      <c r="F21" s="1587"/>
      <c r="G21" s="1587"/>
      <c r="H21" s="1587"/>
      <c r="I21" s="1587"/>
      <c r="J21" s="1587"/>
      <c r="K21" s="1587"/>
      <c r="L21" s="1587"/>
      <c r="M21" s="1587"/>
      <c r="N21" s="1587"/>
      <c r="O21" s="1587"/>
      <c r="P21" s="1587"/>
      <c r="Q21" s="1587"/>
      <c r="R21" s="1587"/>
      <c r="S21" s="1587"/>
      <c r="T21" s="1587"/>
      <c r="U21" s="1587"/>
      <c r="V21" s="1587"/>
      <c r="W21" s="1587"/>
      <c r="X21" s="1587"/>
      <c r="Y21" s="1587"/>
      <c r="Z21" s="1587"/>
      <c r="AA21" s="1587"/>
      <c r="AB21" s="1587"/>
      <c r="AC21" s="1587"/>
      <c r="AD21" s="1587"/>
      <c r="AE21" s="1587"/>
      <c r="AF21" s="1587"/>
      <c r="AG21" s="1587"/>
      <c r="AH21" s="1587"/>
      <c r="AI21" s="1587"/>
      <c r="AJ21" s="1590">
        <f t="shared" si="2"/>
        <v>0</v>
      </c>
      <c r="AK21" s="1590">
        <f t="shared" si="4"/>
        <v>0</v>
      </c>
      <c r="AL21" s="1590"/>
      <c r="AW21" s="1591" t="e">
        <f>+AK21-#REF!</f>
        <v>#REF!</v>
      </c>
    </row>
    <row r="22" spans="1:61" s="1593" customFormat="1" ht="21.75" hidden="1" customHeight="1">
      <c r="B22" s="1587">
        <v>9</v>
      </c>
      <c r="C22" s="1594"/>
      <c r="D22" s="1594"/>
      <c r="E22" s="1587"/>
      <c r="F22" s="1587"/>
      <c r="G22" s="1587"/>
      <c r="H22" s="1587"/>
      <c r="I22" s="1587"/>
      <c r="J22" s="1587"/>
      <c r="K22" s="1587"/>
      <c r="L22" s="1587"/>
      <c r="M22" s="1587"/>
      <c r="N22" s="1587"/>
      <c r="O22" s="1587"/>
      <c r="P22" s="1587"/>
      <c r="Q22" s="1587"/>
      <c r="R22" s="1587"/>
      <c r="S22" s="1587"/>
      <c r="T22" s="1587"/>
      <c r="U22" s="1587"/>
      <c r="V22" s="1587"/>
      <c r="W22" s="1587"/>
      <c r="X22" s="1587"/>
      <c r="Y22" s="1587"/>
      <c r="Z22" s="1587"/>
      <c r="AA22" s="1587"/>
      <c r="AB22" s="1587"/>
      <c r="AC22" s="1587"/>
      <c r="AD22" s="1587"/>
      <c r="AE22" s="1587"/>
      <c r="AF22" s="1587"/>
      <c r="AG22" s="1587"/>
      <c r="AH22" s="1587"/>
      <c r="AI22" s="1587"/>
      <c r="AJ22" s="1590">
        <f t="shared" si="2"/>
        <v>0</v>
      </c>
      <c r="AK22" s="1595">
        <f t="shared" si="4"/>
        <v>0</v>
      </c>
      <c r="AL22" s="1595"/>
      <c r="AW22" s="1591" t="e">
        <f>+AK22-#REF!</f>
        <v>#REF!</v>
      </c>
    </row>
    <row r="23" spans="1:61" ht="21.75" hidden="1" customHeight="1">
      <c r="B23" s="1587">
        <v>10</v>
      </c>
      <c r="C23" s="1589"/>
      <c r="D23" s="1594"/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1587"/>
      <c r="P23" s="1587"/>
      <c r="Q23" s="1587"/>
      <c r="R23" s="1587"/>
      <c r="S23" s="1587"/>
      <c r="T23" s="1587"/>
      <c r="U23" s="1587"/>
      <c r="V23" s="1587"/>
      <c r="W23" s="1587"/>
      <c r="X23" s="1587"/>
      <c r="Y23" s="1587"/>
      <c r="Z23" s="1587"/>
      <c r="AA23" s="1587"/>
      <c r="AB23" s="1587"/>
      <c r="AC23" s="1587"/>
      <c r="AD23" s="1587"/>
      <c r="AE23" s="1587"/>
      <c r="AF23" s="1587"/>
      <c r="AG23" s="1587"/>
      <c r="AH23" s="1587"/>
      <c r="AI23" s="1587"/>
      <c r="AJ23" s="1590">
        <f t="shared" si="2"/>
        <v>0</v>
      </c>
      <c r="AK23" s="1590">
        <f t="shared" si="4"/>
        <v>0</v>
      </c>
      <c r="AL23" s="1590"/>
      <c r="AW23" s="1591" t="e">
        <f>+AK23-#REF!</f>
        <v>#REF!</v>
      </c>
      <c r="AX23" s="1586">
        <v>1</v>
      </c>
      <c r="BI23" s="1586">
        <f>6+6.25+4.2*2</f>
        <v>20.65</v>
      </c>
    </row>
    <row r="24" spans="1:61" s="1585" customFormat="1" ht="21.75" customHeight="1">
      <c r="B24" s="2736" t="s">
        <v>2532</v>
      </c>
      <c r="C24" s="2737"/>
      <c r="D24" s="1596"/>
      <c r="E24" s="1597">
        <f>COUNTIF(E12:E23,"X")+COUNTIF(E14:E23,"P")</f>
        <v>3</v>
      </c>
      <c r="F24" s="1597">
        <f t="shared" ref="F24:AI24" si="5">COUNTIF(F12:F23,"X")+COUNTIF(F14:F23,"P")</f>
        <v>3</v>
      </c>
      <c r="G24" s="1597">
        <f t="shared" si="5"/>
        <v>3</v>
      </c>
      <c r="H24" s="1597">
        <f t="shared" si="5"/>
        <v>3</v>
      </c>
      <c r="I24" s="1597">
        <f t="shared" si="5"/>
        <v>3</v>
      </c>
      <c r="J24" s="1597">
        <f t="shared" si="5"/>
        <v>3</v>
      </c>
      <c r="K24" s="1597">
        <f t="shared" si="5"/>
        <v>3</v>
      </c>
      <c r="L24" s="1597">
        <f t="shared" si="5"/>
        <v>3</v>
      </c>
      <c r="M24" s="1597">
        <f t="shared" si="5"/>
        <v>3</v>
      </c>
      <c r="N24" s="1597">
        <f t="shared" si="5"/>
        <v>3</v>
      </c>
      <c r="O24" s="1597">
        <f t="shared" si="5"/>
        <v>3</v>
      </c>
      <c r="P24" s="1597">
        <f t="shared" si="5"/>
        <v>3</v>
      </c>
      <c r="Q24" s="1597">
        <f t="shared" si="5"/>
        <v>3</v>
      </c>
      <c r="R24" s="1597">
        <f t="shared" si="5"/>
        <v>3</v>
      </c>
      <c r="S24" s="1597">
        <f t="shared" si="5"/>
        <v>3</v>
      </c>
      <c r="T24" s="1597">
        <f t="shared" si="5"/>
        <v>3</v>
      </c>
      <c r="U24" s="1597">
        <f t="shared" si="5"/>
        <v>3</v>
      </c>
      <c r="V24" s="1597">
        <f t="shared" si="5"/>
        <v>3</v>
      </c>
      <c r="W24" s="1597">
        <f t="shared" si="5"/>
        <v>3</v>
      </c>
      <c r="X24" s="1597">
        <f t="shared" si="5"/>
        <v>3</v>
      </c>
      <c r="Y24" s="1597">
        <f t="shared" si="5"/>
        <v>3</v>
      </c>
      <c r="Z24" s="1597">
        <f t="shared" si="5"/>
        <v>3</v>
      </c>
      <c r="AA24" s="1597">
        <f t="shared" si="5"/>
        <v>3</v>
      </c>
      <c r="AB24" s="1597">
        <f t="shared" si="5"/>
        <v>3</v>
      </c>
      <c r="AC24" s="1597">
        <f t="shared" si="5"/>
        <v>3</v>
      </c>
      <c r="AD24" s="1597">
        <f t="shared" si="5"/>
        <v>3</v>
      </c>
      <c r="AE24" s="1597">
        <f t="shared" si="5"/>
        <v>3</v>
      </c>
      <c r="AF24" s="1597">
        <f t="shared" si="5"/>
        <v>3</v>
      </c>
      <c r="AG24" s="1597">
        <f t="shared" si="5"/>
        <v>3</v>
      </c>
      <c r="AH24" s="1597">
        <f t="shared" si="5"/>
        <v>3</v>
      </c>
      <c r="AI24" s="1597">
        <f t="shared" si="5"/>
        <v>3</v>
      </c>
      <c r="AJ24" s="1598">
        <f>AJ11+AJ13</f>
        <v>93</v>
      </c>
      <c r="AK24" s="1597" t="e">
        <f>SUM(#REF!,#REF!,#REF!,#REF!)</f>
        <v>#REF!</v>
      </c>
      <c r="AL24" s="1597"/>
      <c r="AW24" s="1585">
        <f>18*7</f>
        <v>126</v>
      </c>
    </row>
    <row r="25" spans="1:61" ht="14.45" customHeight="1">
      <c r="A25" s="2738" t="s">
        <v>2007</v>
      </c>
      <c r="B25" s="2738"/>
      <c r="C25" s="1586" t="s">
        <v>2533</v>
      </c>
      <c r="AJ25" s="1599"/>
      <c r="AK25" s="1599"/>
      <c r="AL25" s="1599"/>
    </row>
    <row r="26" spans="1:61">
      <c r="AA26" s="2728"/>
      <c r="AB26" s="2728"/>
      <c r="AC26" s="2728"/>
      <c r="AD26" s="2728"/>
      <c r="AE26" s="2728"/>
      <c r="AF26" s="2728"/>
      <c r="AG26" s="2728"/>
      <c r="AH26" s="2728"/>
      <c r="AI26" s="2728"/>
      <c r="AJ26" s="2728"/>
      <c r="AK26" s="2728"/>
      <c r="AL26" s="2728"/>
    </row>
    <row r="27" spans="1:61" s="1585" customFormat="1" ht="16.5" hidden="1" customHeight="1">
      <c r="C27" s="1586"/>
      <c r="D27" s="1586"/>
      <c r="AA27" s="2728"/>
      <c r="AB27" s="2728"/>
      <c r="AC27" s="2728"/>
      <c r="AD27" s="2728"/>
      <c r="AE27" s="2728"/>
      <c r="AF27" s="2728"/>
      <c r="AG27" s="2728"/>
      <c r="AH27" s="2728"/>
      <c r="AI27" s="2728"/>
      <c r="AJ27" s="2728"/>
      <c r="AK27" s="2728"/>
      <c r="AL27" s="2728"/>
    </row>
    <row r="28" spans="1:61" s="150" customFormat="1" ht="16.5" customHeight="1">
      <c r="C28" s="1250"/>
      <c r="D28" s="1250"/>
      <c r="AA28" s="2729" t="s">
        <v>3454</v>
      </c>
      <c r="AB28" s="2729"/>
      <c r="AC28" s="2729"/>
      <c r="AD28" s="2729"/>
      <c r="AE28" s="2729"/>
      <c r="AF28" s="2729"/>
      <c r="AG28" s="2729"/>
      <c r="AH28" s="2729"/>
      <c r="AI28" s="2729"/>
      <c r="AJ28" s="2729"/>
      <c r="AK28" s="2729"/>
      <c r="AL28" s="2729"/>
    </row>
    <row r="29" spans="1:61" s="1250" customFormat="1">
      <c r="A29" s="2618" t="s">
        <v>2538</v>
      </c>
      <c r="B29" s="2618"/>
      <c r="C29" s="2618"/>
      <c r="D29" s="2618"/>
      <c r="E29" s="2618"/>
      <c r="F29" s="2618"/>
      <c r="G29" s="150"/>
      <c r="H29" s="150"/>
      <c r="I29" s="2618" t="s">
        <v>2995</v>
      </c>
      <c r="J29" s="2618"/>
      <c r="K29" s="2618"/>
      <c r="L29" s="2618"/>
      <c r="M29" s="2618"/>
      <c r="N29" s="2618"/>
      <c r="O29" s="2618"/>
      <c r="P29" s="2618"/>
      <c r="Q29" s="2618"/>
      <c r="R29" s="2618"/>
      <c r="S29" s="2618"/>
      <c r="T29" s="2618"/>
      <c r="U29" s="150"/>
      <c r="V29" s="2618" t="s">
        <v>2988</v>
      </c>
      <c r="W29" s="2618"/>
      <c r="X29" s="2618"/>
      <c r="Y29" s="2618"/>
      <c r="Z29" s="2618"/>
      <c r="AA29" s="2618"/>
      <c r="AB29" s="2618"/>
      <c r="AC29" s="2618"/>
      <c r="AD29" s="2618"/>
      <c r="AE29" s="150"/>
      <c r="AF29" s="2618" t="s">
        <v>612</v>
      </c>
      <c r="AG29" s="2618"/>
      <c r="AH29" s="2618"/>
      <c r="AI29" s="2618"/>
      <c r="AJ29" s="2618"/>
      <c r="AK29" s="2618"/>
      <c r="AL29" s="2618"/>
    </row>
    <row r="36" spans="31:38">
      <c r="AE36" s="2727"/>
      <c r="AF36" s="2727"/>
      <c r="AG36" s="2727"/>
      <c r="AH36" s="2727"/>
      <c r="AI36" s="2727"/>
      <c r="AJ36" s="2727"/>
      <c r="AK36" s="2727"/>
      <c r="AL36" s="2727"/>
    </row>
  </sheetData>
  <mergeCells count="27">
    <mergeCell ref="E6:AI6"/>
    <mergeCell ref="B1:AL1"/>
    <mergeCell ref="B2:AL2"/>
    <mergeCell ref="B3:AL3"/>
    <mergeCell ref="B4:K4"/>
    <mergeCell ref="B5:K5"/>
    <mergeCell ref="AA26:AL26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4:C24"/>
    <mergeCell ref="A25:B25"/>
    <mergeCell ref="B11:D11"/>
    <mergeCell ref="B13:D13"/>
    <mergeCell ref="AE36:AL36"/>
    <mergeCell ref="AA27:AL27"/>
    <mergeCell ref="AA28:AL28"/>
    <mergeCell ref="A29:F29"/>
    <mergeCell ref="I29:T29"/>
    <mergeCell ref="V29:AD29"/>
    <mergeCell ref="AF29:AL29"/>
  </mergeCells>
  <pageMargins left="0.2" right="0.2" top="0.75" bottom="0.75" header="0.3" footer="0.3"/>
  <pageSetup paperSize="9" scale="65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8" zoomScaleNormal="100" workbookViewId="0">
      <selection activeCell="K24" sqref="K24"/>
    </sheetView>
  </sheetViews>
  <sheetFormatPr defaultColWidth="18.85546875" defaultRowHeight="18.75"/>
  <cols>
    <col min="1" max="1" width="4.5703125" style="2217" customWidth="1"/>
    <col min="2" max="2" width="11.28515625" style="2217" hidden="1" customWidth="1"/>
    <col min="3" max="3" width="17.85546875" style="2218" customWidth="1"/>
    <col min="4" max="4" width="8.28515625" style="2138" customWidth="1"/>
    <col min="5" max="5" width="14.28515625" style="2219" customWidth="1"/>
    <col min="6" max="6" width="19.85546875" style="2138" customWidth="1"/>
    <col min="7" max="7" width="11.28515625" style="2138" hidden="1" customWidth="1"/>
    <col min="8" max="8" width="14.28515625" style="2138" customWidth="1"/>
    <col min="9" max="9" width="14" style="2138" customWidth="1"/>
    <col min="10" max="10" width="11.5703125" style="2138" customWidth="1"/>
    <col min="11" max="11" width="14.28515625" style="2138" customWidth="1"/>
    <col min="12" max="12" width="13.5703125" style="2138" customWidth="1"/>
    <col min="13" max="13" width="14.5703125" style="2138" customWidth="1"/>
    <col min="14" max="14" width="13.28515625" style="2138" hidden="1" customWidth="1"/>
    <col min="15" max="15" width="9.5703125" style="2137" hidden="1" customWidth="1"/>
    <col min="16" max="16" width="19.7109375" style="2138" customWidth="1"/>
    <col min="17" max="17" width="14.5703125" style="2139" customWidth="1"/>
    <col min="18" max="210" width="9.140625" style="2138" customWidth="1"/>
    <col min="211" max="211" width="5.5703125" style="2138" customWidth="1"/>
    <col min="212" max="212" width="16.140625" style="2138" customWidth="1"/>
    <col min="213" max="16384" width="18.85546875" style="2138"/>
  </cols>
  <sheetData>
    <row r="1" spans="1:17" s="2133" customFormat="1" ht="15.75">
      <c r="A1" s="2745" t="s">
        <v>0</v>
      </c>
      <c r="B1" s="2745"/>
      <c r="C1" s="2745"/>
      <c r="D1" s="2745"/>
      <c r="E1" s="2745"/>
      <c r="F1" s="2745"/>
      <c r="G1" s="2745"/>
      <c r="H1" s="2745"/>
      <c r="I1" s="2745"/>
      <c r="J1" s="2745"/>
      <c r="K1" s="2745"/>
      <c r="L1" s="2745"/>
      <c r="M1" s="2745"/>
    </row>
    <row r="2" spans="1:17" s="2133" customFormat="1" ht="15.75">
      <c r="A2" s="2745" t="s">
        <v>2030</v>
      </c>
      <c r="B2" s="2745"/>
      <c r="C2" s="2745"/>
      <c r="D2" s="2745"/>
      <c r="E2" s="2745"/>
      <c r="F2" s="2745"/>
      <c r="G2" s="2745"/>
      <c r="H2" s="2745"/>
      <c r="I2" s="2745"/>
      <c r="J2" s="2745"/>
      <c r="K2" s="2745"/>
      <c r="L2" s="2745"/>
      <c r="M2" s="2745"/>
    </row>
    <row r="3" spans="1:17" s="2133" customFormat="1" ht="15.75">
      <c r="C3" s="2746" t="s">
        <v>619</v>
      </c>
      <c r="D3" s="2745"/>
      <c r="E3" s="2745"/>
      <c r="F3" s="2745"/>
      <c r="G3" s="2745"/>
      <c r="H3" s="2745"/>
      <c r="I3" s="2745"/>
      <c r="J3" s="2745"/>
      <c r="K3" s="2745"/>
      <c r="L3" s="2745"/>
      <c r="M3" s="2745"/>
    </row>
    <row r="4" spans="1:17" s="2133" customFormat="1" ht="16.5">
      <c r="A4" s="2747" t="s">
        <v>3244</v>
      </c>
      <c r="B4" s="2748"/>
      <c r="C4" s="2748"/>
      <c r="D4" s="2748"/>
      <c r="E4" s="2748"/>
      <c r="F4" s="2748"/>
      <c r="G4" s="2134"/>
      <c r="H4" s="2134"/>
    </row>
    <row r="5" spans="1:17" s="2043" customFormat="1" ht="16.5">
      <c r="A5" s="2749" t="s">
        <v>3234</v>
      </c>
      <c r="B5" s="2749"/>
      <c r="C5" s="2749"/>
      <c r="D5" s="2749"/>
      <c r="E5" s="2749"/>
      <c r="F5" s="2749"/>
      <c r="G5" s="2069"/>
      <c r="H5" s="2069"/>
    </row>
    <row r="6" spans="1:17">
      <c r="A6" s="2135"/>
      <c r="B6" s="2135"/>
      <c r="C6" s="2135"/>
      <c r="D6" s="2135"/>
      <c r="E6" s="2135"/>
      <c r="F6" s="2135"/>
      <c r="G6" s="2135"/>
      <c r="H6" s="2135"/>
      <c r="I6" s="2135"/>
      <c r="J6" s="2135"/>
      <c r="K6" s="2135"/>
      <c r="L6" s="2135"/>
      <c r="M6" s="2135"/>
      <c r="N6" s="2136"/>
    </row>
    <row r="7" spans="1:17" s="2136" customFormat="1" ht="26.25" customHeight="1">
      <c r="A7" s="2617" t="s">
        <v>3459</v>
      </c>
      <c r="B7" s="2744"/>
      <c r="C7" s="2744"/>
      <c r="D7" s="2744"/>
      <c r="E7" s="2744"/>
      <c r="F7" s="2744"/>
      <c r="G7" s="2744"/>
      <c r="H7" s="2744"/>
      <c r="I7" s="2744"/>
      <c r="J7" s="2744"/>
      <c r="K7" s="2744"/>
      <c r="L7" s="2744"/>
      <c r="M7" s="2744"/>
      <c r="N7" s="2744"/>
      <c r="O7" s="2140"/>
      <c r="P7" s="2141">
        <v>26</v>
      </c>
      <c r="Q7" s="2139"/>
    </row>
    <row r="8" spans="1:17" s="2136" customFormat="1" ht="7.5" customHeight="1">
      <c r="A8" s="2752"/>
      <c r="B8" s="2752"/>
      <c r="C8" s="2752"/>
      <c r="D8" s="2752"/>
      <c r="E8" s="2142"/>
      <c r="F8" s="2135"/>
      <c r="G8" s="2135"/>
      <c r="H8" s="2135"/>
      <c r="I8" s="2135"/>
      <c r="J8" s="2135"/>
      <c r="K8" s="2135"/>
      <c r="L8" s="2135"/>
      <c r="M8" s="2143"/>
      <c r="N8" s="2135"/>
      <c r="O8" s="2140"/>
      <c r="P8" s="2136">
        <v>31</v>
      </c>
      <c r="Q8" s="2139"/>
    </row>
    <row r="9" spans="1:17" s="2135" customFormat="1" ht="18.75" customHeight="1">
      <c r="A9" s="2753" t="s">
        <v>623</v>
      </c>
      <c r="B9" s="2753" t="s">
        <v>624</v>
      </c>
      <c r="C9" s="2755" t="s">
        <v>356</v>
      </c>
      <c r="D9" s="2753" t="s">
        <v>2136</v>
      </c>
      <c r="E9" s="2757" t="s">
        <v>2137</v>
      </c>
      <c r="F9" s="2758"/>
      <c r="G9" s="2758"/>
      <c r="H9" s="2758"/>
      <c r="I9" s="2759" t="s">
        <v>3349</v>
      </c>
      <c r="J9" s="2760" t="s">
        <v>2197</v>
      </c>
      <c r="K9" s="2760" t="s">
        <v>3350</v>
      </c>
      <c r="L9" s="2759" t="s">
        <v>2140</v>
      </c>
      <c r="M9" s="2759" t="s">
        <v>12</v>
      </c>
      <c r="N9" s="2750" t="s">
        <v>2140</v>
      </c>
      <c r="O9" s="2144"/>
      <c r="Q9" s="2139"/>
    </row>
    <row r="10" spans="1:17" s="2149" customFormat="1" ht="31.5" customHeight="1">
      <c r="A10" s="2754"/>
      <c r="B10" s="2753"/>
      <c r="C10" s="2756"/>
      <c r="D10" s="2754"/>
      <c r="E10" s="2145" t="s">
        <v>2061</v>
      </c>
      <c r="F10" s="2146" t="s">
        <v>2199</v>
      </c>
      <c r="G10" s="2146" t="s">
        <v>3351</v>
      </c>
      <c r="H10" s="2147" t="s">
        <v>2201</v>
      </c>
      <c r="I10" s="2759"/>
      <c r="J10" s="2761"/>
      <c r="K10" s="2762"/>
      <c r="L10" s="2759"/>
      <c r="M10" s="2759"/>
      <c r="N10" s="2751"/>
      <c r="O10" s="2148" t="s">
        <v>2157</v>
      </c>
      <c r="Q10" s="2150"/>
    </row>
    <row r="11" spans="1:17" s="2105" customFormat="1" ht="18.75" customHeight="1">
      <c r="A11" s="2151" t="s">
        <v>2213</v>
      </c>
      <c r="B11" s="2151"/>
      <c r="C11" s="2056" t="s">
        <v>3352</v>
      </c>
      <c r="D11" s="2151"/>
      <c r="E11" s="2284">
        <f>SUM(E12)</f>
        <v>31</v>
      </c>
      <c r="F11" s="2152">
        <f>SUM(F12)</f>
        <v>3000000</v>
      </c>
      <c r="G11" s="2151"/>
      <c r="H11" s="2152"/>
      <c r="I11" s="2152">
        <f t="shared" ref="I11:K11" si="0">SUM(I12)</f>
        <v>6626792.0035848441</v>
      </c>
      <c r="J11" s="2152">
        <f t="shared" si="0"/>
        <v>347679.20035848441</v>
      </c>
      <c r="K11" s="2152">
        <f t="shared" si="0"/>
        <v>6279112.8032263592</v>
      </c>
      <c r="L11" s="2104"/>
      <c r="M11" s="2104"/>
      <c r="N11" s="2153"/>
      <c r="O11" s="2154"/>
      <c r="Q11" s="2155"/>
    </row>
    <row r="12" spans="1:17" s="2055" customFormat="1" ht="18.75" customHeight="1">
      <c r="A12" s="2156">
        <v>1</v>
      </c>
      <c r="B12" s="2157"/>
      <c r="C12" s="2158" t="s">
        <v>3304</v>
      </c>
      <c r="D12" s="2157" t="s">
        <v>3048</v>
      </c>
      <c r="E12" s="2159">
        <f>VLOOKUP(C12,'CHẤM CÔNG NGƯỜI LÀO'!$C$12:$AJ$12,34,0)</f>
        <v>31</v>
      </c>
      <c r="F12" s="2160">
        <f>VLOOKUP(C12,'CÁCH TÍNH LƯƠNG'!$C$21:$T$21,13,0)</f>
        <v>3000000</v>
      </c>
      <c r="G12" s="2160"/>
      <c r="H12" s="2160"/>
      <c r="I12" s="2160">
        <f>'CÁCH TÍNH LƯƠNG'!T21</f>
        <v>6626792.0035848441</v>
      </c>
      <c r="J12" s="2161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347679.20035848441</v>
      </c>
      <c r="K12" s="2161">
        <f t="shared" ref="K12" si="2">I12-J12</f>
        <v>6279112.8032263592</v>
      </c>
      <c r="L12" s="2162"/>
      <c r="M12" s="2160"/>
      <c r="N12" s="2163"/>
      <c r="O12" s="2164"/>
      <c r="P12" s="2165"/>
      <c r="Q12" s="2150"/>
    </row>
    <row r="13" spans="1:17" s="2057" customFormat="1" ht="18.75" customHeight="1">
      <c r="A13" s="2166" t="s">
        <v>2216</v>
      </c>
      <c r="B13" s="2167"/>
      <c r="C13" s="2168" t="s">
        <v>2283</v>
      </c>
      <c r="D13" s="2167"/>
      <c r="E13" s="2284">
        <f t="shared" ref="E13:K13" si="3">SUM(E14:E16)</f>
        <v>62</v>
      </c>
      <c r="F13" s="2152">
        <f t="shared" si="3"/>
        <v>4000000</v>
      </c>
      <c r="G13" s="2152">
        <f t="shared" si="3"/>
        <v>0</v>
      </c>
      <c r="H13" s="2152">
        <f t="shared" si="3"/>
        <v>1200000</v>
      </c>
      <c r="I13" s="2152">
        <f t="shared" si="3"/>
        <v>5200000</v>
      </c>
      <c r="J13" s="2152"/>
      <c r="K13" s="2152">
        <f t="shared" si="3"/>
        <v>5200000</v>
      </c>
      <c r="L13" s="2170"/>
      <c r="M13" s="2171"/>
      <c r="N13" s="2172"/>
      <c r="O13" s="2173"/>
      <c r="P13" s="2174"/>
      <c r="Q13" s="2155"/>
    </row>
    <row r="14" spans="1:17" s="2055" customFormat="1" ht="18.75" customHeight="1">
      <c r="A14" s="2156">
        <v>1</v>
      </c>
      <c r="B14" s="2157"/>
      <c r="C14" s="1333" t="s">
        <v>3245</v>
      </c>
      <c r="D14" s="2157" t="s">
        <v>1880</v>
      </c>
      <c r="E14" s="2159">
        <f>VLOOKUP(C14,'CHẤM CÔNG NGƯỜI LÀO'!$C$14:$AJ$16,34,0)</f>
        <v>31</v>
      </c>
      <c r="F14" s="2160">
        <v>2000000</v>
      </c>
      <c r="G14" s="2160"/>
      <c r="H14" s="2160">
        <v>600000</v>
      </c>
      <c r="I14" s="2160">
        <f>(F14+H14)/$P$8*E14</f>
        <v>2600000</v>
      </c>
      <c r="J14" s="2161"/>
      <c r="K14" s="2161">
        <f>I14-J14</f>
        <v>2600000</v>
      </c>
      <c r="L14" s="2162"/>
      <c r="M14" s="2160"/>
      <c r="N14" s="2163"/>
      <c r="O14" s="2164"/>
      <c r="P14" s="2165"/>
      <c r="Q14" s="2150"/>
    </row>
    <row r="15" spans="1:17" s="2055" customFormat="1" ht="18.75" customHeight="1">
      <c r="A15" s="2156">
        <v>2</v>
      </c>
      <c r="B15" s="2157"/>
      <c r="C15" s="2158" t="s">
        <v>3299</v>
      </c>
      <c r="D15" s="2157" t="s">
        <v>1880</v>
      </c>
      <c r="E15" s="2159">
        <f>VLOOKUP(C15,'CHẤM CÔNG NGƯỜI LÀO'!$C$14:$AJ$16,34,0)</f>
        <v>31</v>
      </c>
      <c r="F15" s="2160">
        <v>2000000</v>
      </c>
      <c r="G15" s="2160"/>
      <c r="H15" s="2160">
        <v>600000</v>
      </c>
      <c r="I15" s="2160">
        <f t="shared" ref="I15:I25" si="4">(F15+H15)/$P$8*E15</f>
        <v>2600000</v>
      </c>
      <c r="J15" s="2161"/>
      <c r="K15" s="2161">
        <f t="shared" ref="K15:K16" si="5">I15-J15</f>
        <v>2600000</v>
      </c>
      <c r="L15" s="2162"/>
      <c r="M15" s="2160"/>
      <c r="N15" s="2163"/>
      <c r="O15" s="2164"/>
      <c r="P15" s="2165"/>
      <c r="Q15" s="2150"/>
    </row>
    <row r="16" spans="1:17" s="2055" customFormat="1" ht="18.75" hidden="1" customHeight="1">
      <c r="A16" s="2156">
        <v>3</v>
      </c>
      <c r="B16" s="2157"/>
      <c r="C16" s="2254" t="s">
        <v>3419</v>
      </c>
      <c r="D16" s="2157" t="s">
        <v>1880</v>
      </c>
      <c r="E16" s="2159">
        <f>VLOOKUP(C16,'CHẤM CÔNG NGƯỜI LÀO'!$C$14:$AJ$16,34,0)</f>
        <v>0</v>
      </c>
      <c r="F16" s="2160"/>
      <c r="G16" s="2160"/>
      <c r="H16" s="2160"/>
      <c r="I16" s="2160">
        <f t="shared" si="4"/>
        <v>0</v>
      </c>
      <c r="J16" s="2161"/>
      <c r="K16" s="2161">
        <f t="shared" si="5"/>
        <v>0</v>
      </c>
      <c r="L16" s="2162"/>
      <c r="M16" s="2160"/>
      <c r="N16" s="2163"/>
      <c r="O16" s="2164"/>
      <c r="P16" s="2165"/>
      <c r="Q16" s="2150"/>
    </row>
    <row r="17" spans="1:20" s="243" customFormat="1" ht="18.75" customHeight="1">
      <c r="A17" s="2309" t="s">
        <v>2286</v>
      </c>
      <c r="B17" s="1346"/>
      <c r="C17" s="2310" t="s">
        <v>3433</v>
      </c>
      <c r="D17" s="1346"/>
      <c r="E17" s="2316"/>
      <c r="F17" s="1469">
        <f>SUM(F18:F22)</f>
        <v>18188250</v>
      </c>
      <c r="G17" s="1469">
        <f>SUM(G18:G22)</f>
        <v>0</v>
      </c>
      <c r="H17" s="1469"/>
      <c r="I17" s="1469">
        <f>SUM(I18:I22)</f>
        <v>18188250</v>
      </c>
      <c r="J17" s="1469"/>
      <c r="K17" s="1469">
        <f>SUM(K18:K22)</f>
        <v>18188250</v>
      </c>
      <c r="L17" s="1473"/>
      <c r="M17" s="1469"/>
      <c r="N17" s="2313"/>
      <c r="O17" s="2314"/>
      <c r="P17" s="2315">
        <v>4378.54</v>
      </c>
      <c r="Q17" s="599">
        <f>P17*25000</f>
        <v>109463500</v>
      </c>
    </row>
    <row r="18" spans="1:20" s="2055" customFormat="1" ht="18.75" customHeight="1">
      <c r="A18" s="2311">
        <v>1</v>
      </c>
      <c r="B18" s="2157"/>
      <c r="C18" s="2254" t="s">
        <v>3410</v>
      </c>
      <c r="D18" s="1838" t="s">
        <v>1713</v>
      </c>
      <c r="E18" s="2312"/>
      <c r="F18" s="2160">
        <v>3637650</v>
      </c>
      <c r="G18" s="2160"/>
      <c r="H18" s="2160"/>
      <c r="I18" s="2160">
        <f>F18+H18</f>
        <v>3637650</v>
      </c>
      <c r="J18" s="2161"/>
      <c r="K18" s="2161">
        <f>F18</f>
        <v>3637650</v>
      </c>
      <c r="L18" s="2162"/>
      <c r="M18" s="2160"/>
      <c r="N18" s="2163"/>
      <c r="O18" s="2164"/>
      <c r="P18" s="2165">
        <f>Q17/5</f>
        <v>21892700</v>
      </c>
      <c r="Q18" s="2150"/>
    </row>
    <row r="19" spans="1:20" s="2055" customFormat="1" ht="18.75" customHeight="1">
      <c r="A19" s="2311">
        <v>2</v>
      </c>
      <c r="B19" s="2157"/>
      <c r="C19" s="2254" t="s">
        <v>1214</v>
      </c>
      <c r="D19" s="1838" t="s">
        <v>1713</v>
      </c>
      <c r="E19" s="2312"/>
      <c r="F19" s="2160">
        <v>3637650</v>
      </c>
      <c r="G19" s="2160"/>
      <c r="H19" s="2160"/>
      <c r="I19" s="2160">
        <f t="shared" ref="I19:I22" si="6">F19+H19</f>
        <v>3637650</v>
      </c>
      <c r="J19" s="2161"/>
      <c r="K19" s="2161">
        <f t="shared" ref="K19:K22" si="7">F19</f>
        <v>3637650</v>
      </c>
      <c r="L19" s="2162"/>
      <c r="M19" s="2160"/>
      <c r="N19" s="2163"/>
      <c r="O19" s="2164"/>
      <c r="P19" s="2165"/>
      <c r="Q19" s="2150"/>
    </row>
    <row r="20" spans="1:20" s="2055" customFormat="1" ht="18.75" customHeight="1">
      <c r="A20" s="2311">
        <v>3</v>
      </c>
      <c r="B20" s="2157"/>
      <c r="C20" s="2254" t="s">
        <v>2000</v>
      </c>
      <c r="D20" s="1838" t="s">
        <v>1713</v>
      </c>
      <c r="E20" s="2312"/>
      <c r="F20" s="2160">
        <v>3637650</v>
      </c>
      <c r="G20" s="2160"/>
      <c r="H20" s="2160"/>
      <c r="I20" s="2160">
        <f t="shared" si="6"/>
        <v>3637650</v>
      </c>
      <c r="J20" s="2161"/>
      <c r="K20" s="2161">
        <f t="shared" si="7"/>
        <v>3637650</v>
      </c>
      <c r="L20" s="2162"/>
      <c r="M20" s="2160"/>
      <c r="N20" s="2163"/>
      <c r="O20" s="2164"/>
      <c r="P20" s="2165"/>
      <c r="Q20" s="2150"/>
    </row>
    <row r="21" spans="1:20" s="2055" customFormat="1" ht="18.75" customHeight="1">
      <c r="A21" s="2311">
        <v>4</v>
      </c>
      <c r="B21" s="2157"/>
      <c r="C21" s="2254" t="s">
        <v>915</v>
      </c>
      <c r="D21" s="1838" t="s">
        <v>1713</v>
      </c>
      <c r="E21" s="2312"/>
      <c r="F21" s="2160">
        <v>3637650</v>
      </c>
      <c r="G21" s="2160"/>
      <c r="H21" s="2160"/>
      <c r="I21" s="2160">
        <f t="shared" si="6"/>
        <v>3637650</v>
      </c>
      <c r="J21" s="2161"/>
      <c r="K21" s="2161">
        <f t="shared" si="7"/>
        <v>3637650</v>
      </c>
      <c r="L21" s="2162"/>
      <c r="M21" s="2160"/>
      <c r="N21" s="2163"/>
      <c r="O21" s="2164"/>
      <c r="P21" s="2165"/>
      <c r="Q21" s="2150"/>
    </row>
    <row r="22" spans="1:20" s="2055" customFormat="1" ht="18.75" customHeight="1">
      <c r="A22" s="2311">
        <v>5</v>
      </c>
      <c r="B22" s="2157"/>
      <c r="C22" s="2254" t="s">
        <v>545</v>
      </c>
      <c r="D22" s="1838" t="s">
        <v>1713</v>
      </c>
      <c r="E22" s="2312"/>
      <c r="F22" s="2160">
        <v>3637650</v>
      </c>
      <c r="G22" s="2160"/>
      <c r="H22" s="2160"/>
      <c r="I22" s="2160">
        <f t="shared" si="6"/>
        <v>3637650</v>
      </c>
      <c r="J22" s="2161"/>
      <c r="K22" s="2161">
        <f t="shared" si="7"/>
        <v>3637650</v>
      </c>
      <c r="L22" s="2162"/>
      <c r="M22" s="2160"/>
      <c r="N22" s="2163"/>
      <c r="O22" s="2164"/>
      <c r="P22" s="2165"/>
      <c r="Q22" s="2150"/>
    </row>
    <row r="23" spans="1:20" s="2057" customFormat="1" ht="18.75" customHeight="1">
      <c r="A23" s="2309" t="s">
        <v>2290</v>
      </c>
      <c r="B23" s="2167"/>
      <c r="C23" s="2175" t="s">
        <v>3353</v>
      </c>
      <c r="D23" s="2167"/>
      <c r="E23" s="2284">
        <f>SUM(E24:E25)</f>
        <v>62</v>
      </c>
      <c r="F23" s="2152">
        <f t="shared" ref="F23:G23" si="8">SUM(F24:F25)</f>
        <v>5000000</v>
      </c>
      <c r="G23" s="2152">
        <f t="shared" si="8"/>
        <v>0</v>
      </c>
      <c r="H23" s="2152"/>
      <c r="I23" s="2152">
        <f>SUM(I24:I25)</f>
        <v>5000000</v>
      </c>
      <c r="J23" s="2152">
        <f t="shared" ref="J23" si="9">SUM(J24:J25)</f>
        <v>120000</v>
      </c>
      <c r="K23" s="2152">
        <f>SUM(K24:K25)</f>
        <v>4880000</v>
      </c>
      <c r="L23" s="2170"/>
      <c r="M23" s="2171"/>
      <c r="N23" s="2172"/>
      <c r="O23" s="2173"/>
      <c r="P23" s="2174"/>
      <c r="Q23" s="2155"/>
    </row>
    <row r="24" spans="1:20" s="2055" customFormat="1" ht="31.5" customHeight="1">
      <c r="A24" s="2156">
        <v>1</v>
      </c>
      <c r="B24" s="2157"/>
      <c r="C24" s="2158" t="s">
        <v>3267</v>
      </c>
      <c r="D24" s="2157" t="s">
        <v>15</v>
      </c>
      <c r="E24" s="2159">
        <v>31</v>
      </c>
      <c r="F24" s="2160">
        <v>2500000</v>
      </c>
      <c r="G24" s="2160"/>
      <c r="H24" s="2160"/>
      <c r="I24" s="2160">
        <f t="shared" si="4"/>
        <v>2500000</v>
      </c>
      <c r="J24" s="2161">
        <f t="shared" ref="J24:J25" si="10">IF(I24&gt;65000000,((I24-65000000)*25%+10685000),IF(I24&gt;25000000,((I24-25000000)*20%+2685000),IF(I24&gt;15000000,((I24-15000000)*15%+1185000),IF(I24&gt;5000000,(I24-5000000)*10%+185000,IF(I24&gt;1300000,(I24-1300000)*5%,0)))))</f>
        <v>60000</v>
      </c>
      <c r="K24" s="2161">
        <f>I24-J24</f>
        <v>2440000</v>
      </c>
      <c r="L24" s="2162"/>
      <c r="M24" s="2160"/>
      <c r="N24" s="2163"/>
      <c r="O24" s="2164"/>
      <c r="P24" s="2165"/>
      <c r="Q24" s="2150"/>
    </row>
    <row r="25" spans="1:20" s="2055" customFormat="1" ht="31.5" customHeight="1">
      <c r="A25" s="2156">
        <v>2</v>
      </c>
      <c r="B25" s="2157"/>
      <c r="C25" s="2158" t="s">
        <v>3226</v>
      </c>
      <c r="D25" s="2157" t="s">
        <v>15</v>
      </c>
      <c r="E25" s="2159">
        <v>31</v>
      </c>
      <c r="F25" s="2160">
        <v>2500000</v>
      </c>
      <c r="G25" s="2160"/>
      <c r="H25" s="2160"/>
      <c r="I25" s="2160">
        <f t="shared" si="4"/>
        <v>2500000</v>
      </c>
      <c r="J25" s="2161">
        <f t="shared" si="10"/>
        <v>60000</v>
      </c>
      <c r="K25" s="2161">
        <f>I25-J25</f>
        <v>2440000</v>
      </c>
      <c r="L25" s="2162"/>
      <c r="M25" s="2160"/>
      <c r="N25" s="2163"/>
      <c r="O25" s="2164"/>
      <c r="P25" s="2165"/>
      <c r="Q25" s="2150"/>
    </row>
    <row r="26" spans="1:20" s="2057" customFormat="1" ht="18.75" customHeight="1">
      <c r="A26" s="2763" t="s">
        <v>608</v>
      </c>
      <c r="B26" s="2763"/>
      <c r="C26" s="2763"/>
      <c r="D26" s="2763"/>
      <c r="E26" s="2169"/>
      <c r="F26" s="2170">
        <f t="shared" ref="F26:K26" si="11">F11+F13+F17+F23</f>
        <v>30188250</v>
      </c>
      <c r="G26" s="2170">
        <f t="shared" si="11"/>
        <v>0</v>
      </c>
      <c r="H26" s="2170">
        <f t="shared" si="11"/>
        <v>1200000</v>
      </c>
      <c r="I26" s="2276">
        <f t="shared" si="11"/>
        <v>35015042.003584847</v>
      </c>
      <c r="J26" s="2170">
        <f t="shared" si="11"/>
        <v>467679.20035848441</v>
      </c>
      <c r="K26" s="2170">
        <f t="shared" si="11"/>
        <v>34547362.803226359</v>
      </c>
      <c r="L26" s="2176"/>
      <c r="M26" s="2176"/>
      <c r="N26" s="2177"/>
      <c r="O26" s="2178"/>
      <c r="P26" s="2179"/>
      <c r="Q26" s="2180"/>
      <c r="R26" s="2764"/>
      <c r="S26" s="2764"/>
    </row>
    <row r="27" spans="1:20" s="2057" customFormat="1" ht="18.75" customHeight="1">
      <c r="A27" s="2765" t="s">
        <v>3483</v>
      </c>
      <c r="B27" s="2763"/>
      <c r="C27" s="2763"/>
      <c r="D27" s="2763"/>
      <c r="E27" s="2763"/>
      <c r="F27" s="2763"/>
      <c r="G27" s="2763"/>
      <c r="H27" s="2763"/>
      <c r="I27" s="2763"/>
      <c r="J27" s="2763"/>
      <c r="K27" s="2763"/>
      <c r="L27" s="2763"/>
      <c r="M27" s="2763"/>
      <c r="N27" s="2181"/>
      <c r="O27" s="2182"/>
      <c r="P27" s="2179"/>
      <c r="Q27" s="2180"/>
      <c r="R27" s="2183"/>
      <c r="S27" s="2183"/>
    </row>
    <row r="28" spans="1:20" s="2193" customFormat="1" ht="24" customHeight="1">
      <c r="A28" s="2184"/>
      <c r="B28" s="2184"/>
      <c r="C28" s="2185"/>
      <c r="D28" s="2186"/>
      <c r="E28" s="2187"/>
      <c r="F28" s="2188"/>
      <c r="G28" s="2188"/>
      <c r="H28" s="2189"/>
      <c r="I28" s="2186"/>
      <c r="J28" s="2713" t="s">
        <v>3454</v>
      </c>
      <c r="K28" s="2766"/>
      <c r="L28" s="2766"/>
      <c r="M28" s="2766"/>
      <c r="N28" s="2190"/>
      <c r="O28" s="2190"/>
      <c r="P28" s="2191"/>
      <c r="Q28" s="2192"/>
    </row>
    <row r="29" spans="1:20" s="2195" customFormat="1" ht="15.95" customHeight="1">
      <c r="A29" s="2767" t="s">
        <v>614</v>
      </c>
      <c r="B29" s="2767"/>
      <c r="C29" s="2767"/>
      <c r="D29" s="2767" t="s">
        <v>1921</v>
      </c>
      <c r="E29" s="2767"/>
      <c r="F29" s="2194" t="s">
        <v>2457</v>
      </c>
      <c r="H29" s="2767" t="s">
        <v>2995</v>
      </c>
      <c r="I29" s="2767"/>
      <c r="J29" s="2767" t="s">
        <v>2988</v>
      </c>
      <c r="K29" s="2767"/>
      <c r="L29" s="2767" t="s">
        <v>612</v>
      </c>
      <c r="M29" s="2767"/>
      <c r="P29" s="2196"/>
      <c r="Q29" s="2197"/>
      <c r="R29" s="2186"/>
      <c r="S29" s="2186"/>
      <c r="T29" s="2188"/>
    </row>
    <row r="30" spans="1:20" s="2198" customFormat="1" ht="15">
      <c r="D30" s="2199"/>
      <c r="E30" s="2199"/>
      <c r="F30" s="2764"/>
      <c r="G30" s="2764"/>
      <c r="H30" s="2200"/>
      <c r="I30" s="2201"/>
      <c r="L30" s="2202"/>
      <c r="M30" s="2202"/>
      <c r="O30" s="2202"/>
      <c r="P30" s="2202"/>
      <c r="Q30" s="2202"/>
      <c r="T30" s="2201"/>
    </row>
    <row r="31" spans="1:20" s="2198" customFormat="1" ht="15">
      <c r="D31" s="2199"/>
      <c r="E31" s="2203"/>
      <c r="F31" s="2183"/>
      <c r="G31" s="2183"/>
      <c r="H31" s="2200"/>
      <c r="I31" s="2201"/>
      <c r="L31" s="2202"/>
      <c r="M31" s="2202"/>
      <c r="O31" s="2202"/>
      <c r="P31" s="2202"/>
      <c r="T31" s="2201"/>
    </row>
    <row r="32" spans="1:20" s="2198" customFormat="1" ht="37.5" customHeight="1">
      <c r="D32" s="2201"/>
      <c r="E32" s="2204"/>
      <c r="F32" s="2205"/>
      <c r="G32" s="2205"/>
      <c r="H32" s="2200"/>
      <c r="I32" s="2206"/>
      <c r="L32" s="2201"/>
      <c r="M32" s="2201"/>
      <c r="O32" s="2202"/>
      <c r="P32" s="2207"/>
      <c r="Q32" s="2139"/>
    </row>
    <row r="33" spans="1:17" s="2198" customFormat="1">
      <c r="A33" s="2768"/>
      <c r="B33" s="2768"/>
      <c r="C33" s="2768"/>
      <c r="D33" s="2768"/>
      <c r="E33" s="2768"/>
      <c r="F33" s="2768"/>
      <c r="G33" s="2768"/>
      <c r="H33" s="2208"/>
      <c r="J33" s="2209"/>
      <c r="K33" s="2768"/>
      <c r="L33" s="2768"/>
      <c r="M33" s="2768"/>
      <c r="O33" s="2202"/>
      <c r="P33" s="2201"/>
      <c r="Q33" s="2139"/>
    </row>
    <row r="34" spans="1:17" ht="21" customHeight="1">
      <c r="A34" s="2138"/>
      <c r="B34" s="2138"/>
      <c r="C34" s="2210"/>
      <c r="D34" s="2210"/>
      <c r="E34" s="2211"/>
      <c r="F34" s="2211"/>
      <c r="G34" s="2211"/>
      <c r="H34" s="2769"/>
      <c r="I34" s="2769"/>
      <c r="J34" s="2770"/>
      <c r="K34" s="2770"/>
      <c r="L34" s="2771"/>
      <c r="M34" s="2771"/>
      <c r="Q34" s="2212"/>
    </row>
    <row r="35" spans="1:17" s="2198" customFormat="1">
      <c r="C35" s="2213"/>
      <c r="E35" s="2772"/>
      <c r="F35" s="2772"/>
      <c r="G35" s="2772"/>
      <c r="H35" s="2772"/>
      <c r="I35" s="2201"/>
      <c r="L35" s="2201"/>
      <c r="M35" s="2201"/>
      <c r="O35" s="2202"/>
      <c r="Q35" s="2139"/>
    </row>
    <row r="36" spans="1:17" s="2198" customFormat="1">
      <c r="E36" s="2772"/>
      <c r="F36" s="2772"/>
      <c r="G36" s="2214"/>
      <c r="H36" s="2215"/>
      <c r="I36" s="2201"/>
      <c r="L36" s="2201"/>
      <c r="M36" s="2201"/>
      <c r="O36" s="2202"/>
      <c r="P36" s="2213"/>
      <c r="Q36" s="2139"/>
    </row>
    <row r="37" spans="1:17" s="2198" customFormat="1">
      <c r="C37" s="2201"/>
      <c r="E37" s="2772"/>
      <c r="F37" s="2772"/>
      <c r="G37" s="2214"/>
      <c r="H37" s="2215"/>
      <c r="I37" s="2201"/>
      <c r="L37" s="2201"/>
      <c r="M37" s="2201"/>
      <c r="O37" s="2202"/>
      <c r="Q37" s="2139"/>
    </row>
    <row r="38" spans="1:17" s="2198" customFormat="1">
      <c r="E38" s="2772"/>
      <c r="F38" s="2772"/>
      <c r="G38" s="2214"/>
      <c r="H38" s="2215"/>
      <c r="I38" s="2201"/>
      <c r="L38" s="2201"/>
      <c r="M38" s="2201"/>
      <c r="O38" s="2202"/>
      <c r="Q38" s="2139"/>
    </row>
    <row r="39" spans="1:17" s="2198" customFormat="1">
      <c r="E39" s="2772"/>
      <c r="F39" s="2772"/>
      <c r="G39" s="2214"/>
      <c r="H39" s="2215"/>
      <c r="I39" s="2201"/>
      <c r="L39" s="2201"/>
      <c r="M39" s="2201"/>
      <c r="O39" s="2202"/>
      <c r="Q39" s="2139"/>
    </row>
    <row r="40" spans="1:17" s="2198" customFormat="1">
      <c r="E40" s="2772"/>
      <c r="F40" s="2772"/>
      <c r="G40" s="2214"/>
      <c r="H40" s="2200"/>
      <c r="I40" s="2201"/>
      <c r="L40" s="2201"/>
      <c r="M40" s="2201"/>
      <c r="O40" s="2202"/>
      <c r="Q40" s="2139"/>
    </row>
    <row r="41" spans="1:17" s="2198" customFormat="1">
      <c r="C41" s="2202"/>
      <c r="E41" s="2772"/>
      <c r="F41" s="2772"/>
      <c r="G41" s="2214"/>
      <c r="H41" s="2200"/>
      <c r="I41" s="2201"/>
      <c r="L41" s="2201"/>
      <c r="M41" s="2201"/>
      <c r="O41" s="2202"/>
      <c r="Q41" s="2139"/>
    </row>
    <row r="42" spans="1:17" s="2198" customFormat="1">
      <c r="E42" s="2216"/>
      <c r="F42" s="2205"/>
      <c r="G42" s="2205"/>
      <c r="H42" s="2200"/>
      <c r="I42" s="2201"/>
      <c r="L42" s="2201"/>
      <c r="M42" s="2201"/>
      <c r="O42" s="2202"/>
      <c r="Q42" s="2139"/>
    </row>
    <row r="43" spans="1:17" s="2198" customFormat="1">
      <c r="E43" s="2216"/>
      <c r="F43" s="2205"/>
      <c r="G43" s="2205"/>
      <c r="H43" s="2200"/>
      <c r="I43" s="2201"/>
      <c r="L43" s="2201"/>
      <c r="M43" s="2201"/>
      <c r="O43" s="2202"/>
      <c r="Q43" s="2139"/>
    </row>
    <row r="44" spans="1:17" s="2198" customFormat="1">
      <c r="E44" s="2216"/>
      <c r="F44" s="2205"/>
      <c r="G44" s="2205"/>
      <c r="H44" s="2200"/>
      <c r="I44" s="2201"/>
      <c r="L44" s="2201"/>
      <c r="M44" s="2201"/>
      <c r="O44" s="2202"/>
      <c r="Q44" s="2139"/>
    </row>
    <row r="45" spans="1:17" s="2198" customFormat="1">
      <c r="E45" s="2216"/>
      <c r="F45" s="2205"/>
      <c r="G45" s="2205"/>
      <c r="H45" s="2200"/>
      <c r="I45" s="2201"/>
      <c r="L45" s="2201"/>
      <c r="M45" s="2201"/>
      <c r="O45" s="2202"/>
      <c r="Q45" s="2139"/>
    </row>
    <row r="46" spans="1:17" s="2198" customFormat="1">
      <c r="E46" s="2216"/>
      <c r="F46" s="2205"/>
      <c r="G46" s="2205"/>
      <c r="H46" s="2200"/>
      <c r="I46" s="2201"/>
      <c r="L46" s="2201"/>
      <c r="M46" s="2201"/>
      <c r="O46" s="2202"/>
      <c r="Q46" s="2139"/>
    </row>
    <row r="47" spans="1:17" s="2198" customFormat="1">
      <c r="E47" s="2216"/>
      <c r="F47" s="2205"/>
      <c r="G47" s="2205"/>
      <c r="H47" s="2200"/>
      <c r="I47" s="2201"/>
      <c r="L47" s="2201"/>
      <c r="M47" s="2201"/>
      <c r="O47" s="2202"/>
      <c r="Q47" s="2139"/>
    </row>
    <row r="48" spans="1:17" s="2198" customFormat="1">
      <c r="E48" s="2216"/>
      <c r="F48" s="2205"/>
      <c r="G48" s="2205"/>
      <c r="H48" s="2200"/>
      <c r="I48" s="2201"/>
      <c r="L48" s="2201"/>
      <c r="M48" s="2201"/>
      <c r="O48" s="2202"/>
      <c r="Q48" s="2139"/>
    </row>
    <row r="49" spans="5:17" s="2198" customFormat="1">
      <c r="E49" s="2216"/>
      <c r="F49" s="2205"/>
      <c r="G49" s="2205"/>
      <c r="H49" s="2200"/>
      <c r="I49" s="2201"/>
      <c r="L49" s="2201"/>
      <c r="M49" s="2201"/>
      <c r="O49" s="2202"/>
      <c r="Q49" s="2139"/>
    </row>
    <row r="50" spans="5:17" s="2198" customFormat="1">
      <c r="E50" s="2216"/>
      <c r="F50" s="2205"/>
      <c r="G50" s="2205"/>
      <c r="H50" s="2200"/>
      <c r="I50" s="2201"/>
      <c r="L50" s="2201"/>
      <c r="M50" s="2201"/>
      <c r="O50" s="2202"/>
      <c r="Q50" s="2139"/>
    </row>
    <row r="51" spans="5:17" s="2198" customFormat="1">
      <c r="E51" s="2216"/>
      <c r="F51" s="2205"/>
      <c r="G51" s="2205"/>
      <c r="H51" s="2200"/>
      <c r="I51" s="2201"/>
      <c r="L51" s="2201"/>
      <c r="M51" s="2201"/>
      <c r="O51" s="2202"/>
      <c r="Q51" s="2139"/>
    </row>
    <row r="52" spans="5:17" s="2198" customFormat="1">
      <c r="E52" s="2216"/>
      <c r="F52" s="2205"/>
      <c r="G52" s="2205"/>
      <c r="H52" s="2200"/>
      <c r="I52" s="2201"/>
      <c r="L52" s="2201"/>
      <c r="M52" s="2201"/>
      <c r="O52" s="2202"/>
      <c r="Q52" s="2139"/>
    </row>
    <row r="53" spans="5:17" s="2198" customFormat="1">
      <c r="E53" s="2216"/>
      <c r="F53" s="2205"/>
      <c r="G53" s="2205"/>
      <c r="H53" s="2200"/>
      <c r="I53" s="2201"/>
      <c r="L53" s="2201"/>
      <c r="M53" s="2201"/>
      <c r="O53" s="2202"/>
      <c r="Q53" s="2139"/>
    </row>
    <row r="54" spans="5:17" s="2198" customFormat="1">
      <c r="E54" s="2216"/>
      <c r="F54" s="2205"/>
      <c r="G54" s="2205"/>
      <c r="H54" s="2200"/>
      <c r="I54" s="2201"/>
      <c r="L54" s="2201"/>
      <c r="M54" s="2201"/>
      <c r="O54" s="2202"/>
      <c r="Q54" s="2139"/>
    </row>
    <row r="55" spans="5:17" s="2198" customFormat="1">
      <c r="E55" s="2216"/>
      <c r="F55" s="2205"/>
      <c r="G55" s="2205"/>
      <c r="H55" s="2200"/>
      <c r="I55" s="2201"/>
      <c r="L55" s="2201"/>
      <c r="M55" s="2201"/>
      <c r="O55" s="2202"/>
      <c r="Q55" s="2139"/>
    </row>
    <row r="56" spans="5:17" s="2198" customFormat="1">
      <c r="E56" s="2216"/>
      <c r="F56" s="2205"/>
      <c r="G56" s="2205"/>
      <c r="H56" s="2200"/>
      <c r="I56" s="2201"/>
      <c r="L56" s="2201"/>
      <c r="M56" s="2201"/>
      <c r="O56" s="2202"/>
      <c r="Q56" s="2139"/>
    </row>
    <row r="57" spans="5:17" s="2198" customFormat="1">
      <c r="E57" s="2216"/>
      <c r="F57" s="2205"/>
      <c r="G57" s="2205"/>
      <c r="H57" s="2200"/>
      <c r="I57" s="2201"/>
      <c r="L57" s="2201"/>
      <c r="M57" s="2201"/>
      <c r="O57" s="2202"/>
      <c r="Q57" s="2139"/>
    </row>
    <row r="58" spans="5:17" s="2198" customFormat="1">
      <c r="E58" s="2216"/>
      <c r="F58" s="2205"/>
      <c r="G58" s="2205"/>
      <c r="H58" s="2200"/>
      <c r="I58" s="2201"/>
      <c r="L58" s="2201"/>
      <c r="M58" s="2201"/>
      <c r="O58" s="2202"/>
      <c r="Q58" s="2139"/>
    </row>
    <row r="59" spans="5:17" s="2198" customFormat="1">
      <c r="E59" s="2216"/>
      <c r="F59" s="2205"/>
      <c r="G59" s="2205"/>
      <c r="H59" s="2200"/>
      <c r="I59" s="2201"/>
      <c r="L59" s="2201"/>
      <c r="M59" s="2201"/>
      <c r="O59" s="2202"/>
      <c r="Q59" s="2139"/>
    </row>
    <row r="60" spans="5:17" s="2198" customFormat="1">
      <c r="E60" s="2216"/>
      <c r="F60" s="2205"/>
      <c r="G60" s="2205"/>
      <c r="H60" s="2200"/>
      <c r="I60" s="2201"/>
      <c r="L60" s="2201"/>
      <c r="M60" s="2201"/>
      <c r="O60" s="2202"/>
      <c r="Q60" s="2139"/>
    </row>
    <row r="61" spans="5:17" s="2198" customFormat="1">
      <c r="E61" s="2216"/>
      <c r="F61" s="2205"/>
      <c r="G61" s="2205"/>
      <c r="H61" s="2200"/>
      <c r="I61" s="2201"/>
      <c r="L61" s="2201"/>
      <c r="M61" s="2201"/>
      <c r="O61" s="2202"/>
      <c r="Q61" s="2139"/>
    </row>
    <row r="62" spans="5:17" s="2198" customFormat="1">
      <c r="E62" s="2216"/>
      <c r="F62" s="2205"/>
      <c r="G62" s="2205"/>
      <c r="H62" s="2200"/>
      <c r="I62" s="2201"/>
      <c r="L62" s="2201"/>
      <c r="M62" s="2201"/>
      <c r="O62" s="2202"/>
      <c r="Q62" s="2139"/>
    </row>
    <row r="63" spans="5:17" s="2198" customFormat="1">
      <c r="E63" s="2216"/>
      <c r="F63" s="2205"/>
      <c r="G63" s="2205"/>
      <c r="H63" s="2200"/>
      <c r="I63" s="2201"/>
      <c r="L63" s="2201"/>
      <c r="M63" s="2201"/>
      <c r="O63" s="2202"/>
      <c r="Q63" s="2139"/>
    </row>
    <row r="64" spans="5:17" s="2198" customFormat="1">
      <c r="E64" s="2216"/>
      <c r="F64" s="2205"/>
      <c r="G64" s="2205"/>
      <c r="H64" s="2200"/>
      <c r="I64" s="2201"/>
      <c r="L64" s="2201"/>
      <c r="M64" s="2201"/>
      <c r="O64" s="2202"/>
      <c r="Q64" s="2139"/>
    </row>
    <row r="65" spans="5:17" s="2198" customFormat="1">
      <c r="E65" s="2216"/>
      <c r="F65" s="2205"/>
      <c r="G65" s="2205"/>
      <c r="H65" s="2200"/>
      <c r="I65" s="2201"/>
      <c r="L65" s="2201"/>
      <c r="M65" s="2201"/>
      <c r="O65" s="2202"/>
      <c r="Q65" s="2139"/>
    </row>
    <row r="66" spans="5:17" s="2198" customFormat="1">
      <c r="E66" s="2216"/>
      <c r="F66" s="2205"/>
      <c r="G66" s="2205"/>
      <c r="H66" s="2200"/>
      <c r="I66" s="2201"/>
      <c r="L66" s="2201"/>
      <c r="M66" s="2201"/>
      <c r="O66" s="2202"/>
      <c r="Q66" s="2139"/>
    </row>
    <row r="67" spans="5:17" s="2198" customFormat="1">
      <c r="E67" s="2216"/>
      <c r="F67" s="2205"/>
      <c r="G67" s="2205"/>
      <c r="H67" s="2200"/>
      <c r="I67" s="2201"/>
      <c r="L67" s="2201"/>
      <c r="M67" s="2201"/>
      <c r="O67" s="2202"/>
      <c r="Q67" s="2139"/>
    </row>
    <row r="68" spans="5:17" s="2198" customFormat="1">
      <c r="E68" s="2216"/>
      <c r="F68" s="2205"/>
      <c r="G68" s="2205"/>
      <c r="H68" s="2200"/>
      <c r="I68" s="2201"/>
      <c r="L68" s="2201"/>
      <c r="M68" s="2201"/>
      <c r="O68" s="2202"/>
      <c r="Q68" s="2139"/>
    </row>
    <row r="69" spans="5:17" s="2198" customFormat="1">
      <c r="E69" s="2216"/>
      <c r="F69" s="2205"/>
      <c r="G69" s="2205"/>
      <c r="H69" s="2200"/>
      <c r="I69" s="2201"/>
      <c r="L69" s="2201"/>
      <c r="M69" s="2201"/>
      <c r="O69" s="2202"/>
      <c r="Q69" s="2139"/>
    </row>
    <row r="70" spans="5:17" s="2198" customFormat="1">
      <c r="E70" s="2216"/>
      <c r="F70" s="2205"/>
      <c r="G70" s="2205"/>
      <c r="H70" s="2200"/>
      <c r="I70" s="2201"/>
      <c r="L70" s="2201"/>
      <c r="M70" s="2201"/>
      <c r="O70" s="2202"/>
      <c r="Q70" s="2139"/>
    </row>
    <row r="71" spans="5:17" s="2198" customFormat="1">
      <c r="E71" s="2216"/>
      <c r="F71" s="2205"/>
      <c r="G71" s="2205"/>
      <c r="H71" s="2200"/>
      <c r="I71" s="2201"/>
      <c r="L71" s="2201"/>
      <c r="M71" s="2201"/>
      <c r="O71" s="2202"/>
      <c r="Q71" s="2139"/>
    </row>
    <row r="72" spans="5:17" s="2198" customFormat="1">
      <c r="E72" s="2216"/>
      <c r="F72" s="2205"/>
      <c r="G72" s="2205"/>
      <c r="H72" s="2200"/>
      <c r="I72" s="2201"/>
      <c r="L72" s="2201"/>
      <c r="M72" s="2201"/>
      <c r="O72" s="2202"/>
      <c r="Q72" s="2139"/>
    </row>
    <row r="73" spans="5:17" s="2198" customFormat="1">
      <c r="E73" s="2216"/>
      <c r="F73" s="2205"/>
      <c r="G73" s="2205"/>
      <c r="H73" s="2200"/>
      <c r="I73" s="2201"/>
      <c r="L73" s="2201"/>
      <c r="M73" s="2201"/>
      <c r="O73" s="2202"/>
      <c r="Q73" s="2139"/>
    </row>
    <row r="74" spans="5:17" s="2198" customFormat="1">
      <c r="E74" s="2216"/>
      <c r="F74" s="2205"/>
      <c r="G74" s="2205"/>
      <c r="H74" s="2200"/>
      <c r="I74" s="2201"/>
      <c r="L74" s="2201"/>
      <c r="M74" s="2201"/>
      <c r="O74" s="2202"/>
      <c r="Q74" s="2139"/>
    </row>
    <row r="75" spans="5:17" s="2198" customFormat="1">
      <c r="E75" s="2216"/>
      <c r="F75" s="2205"/>
      <c r="G75" s="2205"/>
      <c r="H75" s="2200"/>
      <c r="I75" s="2201"/>
      <c r="L75" s="2201"/>
      <c r="M75" s="2201"/>
      <c r="O75" s="2202"/>
      <c r="Q75" s="2139"/>
    </row>
  </sheetData>
  <mergeCells count="41">
    <mergeCell ref="E41:F41"/>
    <mergeCell ref="E35:H35"/>
    <mergeCell ref="E36:F36"/>
    <mergeCell ref="E37:F37"/>
    <mergeCell ref="E38:F38"/>
    <mergeCell ref="E39:F39"/>
    <mergeCell ref="E40:F40"/>
    <mergeCell ref="F30:G30"/>
    <mergeCell ref="A33:D33"/>
    <mergeCell ref="E33:G33"/>
    <mergeCell ref="K33:M33"/>
    <mergeCell ref="H34:I34"/>
    <mergeCell ref="J34:K34"/>
    <mergeCell ref="L34:M34"/>
    <mergeCell ref="A26:D26"/>
    <mergeCell ref="R26:S26"/>
    <mergeCell ref="A27:M27"/>
    <mergeCell ref="J28:M28"/>
    <mergeCell ref="A29:C29"/>
    <mergeCell ref="D29:E29"/>
    <mergeCell ref="H29:I29"/>
    <mergeCell ref="J29:K29"/>
    <mergeCell ref="L29:M29"/>
    <mergeCell ref="N9:N10"/>
    <mergeCell ref="A8:D8"/>
    <mergeCell ref="A9:A10"/>
    <mergeCell ref="B9:B10"/>
    <mergeCell ref="C9:C10"/>
    <mergeCell ref="D9:D10"/>
    <mergeCell ref="E9:H9"/>
    <mergeCell ref="I9:I10"/>
    <mergeCell ref="J9:J10"/>
    <mergeCell ref="K9:K10"/>
    <mergeCell ref="L9:L10"/>
    <mergeCell ref="M9:M10"/>
    <mergeCell ref="A7:N7"/>
    <mergeCell ref="A1:M1"/>
    <mergeCell ref="A2:M2"/>
    <mergeCell ref="C3:M3"/>
    <mergeCell ref="A4:F4"/>
    <mergeCell ref="A5:F5"/>
  </mergeCells>
  <pageMargins left="0.55000000000000004" right="0.52" top="0.16" bottom="0.16" header="0.16" footer="0.16"/>
  <pageSetup scale="86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Z50"/>
  <sheetViews>
    <sheetView topLeftCell="A7" zoomScale="80" zoomScaleNormal="80" workbookViewId="0">
      <selection activeCell="T18" sqref="T18"/>
    </sheetView>
  </sheetViews>
  <sheetFormatPr defaultColWidth="9.140625" defaultRowHeight="15"/>
  <cols>
    <col min="1" max="1" width="5" style="2044" customWidth="1"/>
    <col min="2" max="2" width="5.140625" style="2044" customWidth="1"/>
    <col min="3" max="3" width="12.85546875" style="2043" hidden="1" customWidth="1"/>
    <col min="4" max="4" width="13.5703125" style="2045" hidden="1" customWidth="1"/>
    <col min="5" max="5" width="12.28515625" style="2043" customWidth="1"/>
    <col min="6" max="6" width="9.85546875" style="2043" customWidth="1"/>
    <col min="7" max="7" width="9.28515625" style="2044" customWidth="1"/>
    <col min="8" max="8" width="14.42578125" style="2282" customWidth="1"/>
    <col min="9" max="9" width="9.28515625" style="2046" customWidth="1"/>
    <col min="10" max="10" width="7.85546875" style="2046" customWidth="1"/>
    <col min="11" max="11" width="9.28515625" style="2046" customWidth="1"/>
    <col min="12" max="12" width="14.7109375" style="2046" customWidth="1"/>
    <col min="13" max="15" width="10.85546875" style="2046" customWidth="1"/>
    <col min="16" max="16" width="10.85546875" style="2046" hidden="1" customWidth="1"/>
    <col min="17" max="19" width="14.140625" style="2046" customWidth="1"/>
    <col min="20" max="20" width="16" style="2043" customWidth="1"/>
    <col min="21" max="21" width="10.42578125" style="2045" customWidth="1"/>
    <col min="22" max="22" width="15.7109375" style="2043" customWidth="1"/>
    <col min="23" max="23" width="16.85546875" style="2074" hidden="1" customWidth="1"/>
    <col min="24" max="24" width="19.140625" style="2043" customWidth="1"/>
    <col min="25" max="25" width="13.5703125" style="2043" customWidth="1"/>
    <col min="26" max="26" width="13.7109375" style="2043" customWidth="1"/>
    <col min="27" max="16384" width="9.140625" style="2043"/>
  </cols>
  <sheetData>
    <row r="1" spans="1:25" ht="18" customHeight="1">
      <c r="B1" s="2749" t="s">
        <v>617</v>
      </c>
      <c r="C1" s="2749"/>
      <c r="D1" s="2749"/>
      <c r="E1" s="2749"/>
      <c r="F1" s="2749"/>
      <c r="G1" s="2749"/>
      <c r="H1" s="2749"/>
      <c r="I1" s="2749"/>
      <c r="J1" s="2749"/>
      <c r="K1" s="2749"/>
      <c r="L1" s="2749"/>
      <c r="M1" s="2749"/>
      <c r="N1" s="2749"/>
      <c r="O1" s="2749"/>
      <c r="P1" s="2749"/>
      <c r="Q1" s="2749"/>
      <c r="R1" s="2749"/>
      <c r="S1" s="2749"/>
      <c r="T1" s="2749"/>
      <c r="U1" s="2749"/>
      <c r="V1" s="2749"/>
      <c r="W1" s="2749"/>
    </row>
    <row r="2" spans="1:25" ht="18" customHeight="1">
      <c r="B2" s="2749" t="s">
        <v>2239</v>
      </c>
      <c r="C2" s="2749"/>
      <c r="D2" s="2749"/>
      <c r="E2" s="2749"/>
      <c r="F2" s="2749"/>
      <c r="G2" s="2749"/>
      <c r="H2" s="2749"/>
      <c r="I2" s="2749"/>
      <c r="J2" s="2749"/>
      <c r="K2" s="2749"/>
      <c r="L2" s="2749"/>
      <c r="M2" s="2749"/>
      <c r="N2" s="2749"/>
      <c r="O2" s="2749"/>
      <c r="P2" s="2749"/>
      <c r="Q2" s="2749"/>
      <c r="R2" s="2749"/>
      <c r="S2" s="2749"/>
      <c r="T2" s="2749"/>
      <c r="U2" s="2749"/>
      <c r="V2" s="2749"/>
      <c r="W2" s="2749"/>
    </row>
    <row r="3" spans="1:25" ht="18" customHeight="1">
      <c r="B3" s="2775" t="s">
        <v>619</v>
      </c>
      <c r="C3" s="2749"/>
      <c r="D3" s="2749"/>
      <c r="E3" s="2749"/>
      <c r="F3" s="2749"/>
      <c r="G3" s="2749"/>
      <c r="H3" s="2749"/>
      <c r="I3" s="2749"/>
      <c r="J3" s="2749"/>
      <c r="K3" s="2749"/>
      <c r="L3" s="2749"/>
      <c r="M3" s="2749"/>
      <c r="N3" s="2749"/>
      <c r="O3" s="2749"/>
      <c r="P3" s="2749"/>
      <c r="Q3" s="2749"/>
      <c r="R3" s="2749"/>
      <c r="S3" s="2749"/>
      <c r="T3" s="2749"/>
      <c r="U3" s="2749"/>
      <c r="V3" s="2749"/>
      <c r="W3" s="2749"/>
    </row>
    <row r="4" spans="1:25" ht="18" customHeight="1">
      <c r="A4" s="2776" t="s">
        <v>3244</v>
      </c>
      <c r="B4" s="2776"/>
      <c r="C4" s="2776"/>
      <c r="D4" s="2776"/>
      <c r="E4" s="2776"/>
      <c r="F4" s="2776"/>
      <c r="G4" s="2776"/>
      <c r="H4" s="2776"/>
      <c r="I4" s="2776"/>
      <c r="M4" s="2071"/>
      <c r="N4" s="2071"/>
      <c r="O4" s="2071"/>
      <c r="P4" s="2071"/>
      <c r="Q4" s="2071"/>
      <c r="R4" s="2071"/>
      <c r="S4" s="2071"/>
      <c r="T4" s="2072"/>
      <c r="V4" s="2073"/>
    </row>
    <row r="5" spans="1:25" ht="18" customHeight="1">
      <c r="A5" s="2777" t="s">
        <v>3234</v>
      </c>
      <c r="B5" s="2777"/>
      <c r="C5" s="2777"/>
      <c r="D5" s="2777"/>
      <c r="E5" s="2777"/>
      <c r="F5" s="2777"/>
      <c r="G5" s="2777"/>
      <c r="H5" s="2777"/>
      <c r="V5" s="2073"/>
    </row>
    <row r="6" spans="1:25" ht="24" customHeight="1">
      <c r="A6" s="2617" t="s">
        <v>3460</v>
      </c>
      <c r="B6" s="2744"/>
      <c r="C6" s="2744"/>
      <c r="D6" s="2744"/>
      <c r="E6" s="2744"/>
      <c r="F6" s="2744"/>
      <c r="G6" s="2744"/>
      <c r="H6" s="2744"/>
      <c r="I6" s="2744"/>
      <c r="J6" s="2744"/>
      <c r="K6" s="2744"/>
      <c r="L6" s="2744"/>
      <c r="M6" s="2744"/>
      <c r="N6" s="2744"/>
      <c r="O6" s="2744"/>
      <c r="P6" s="2744"/>
      <c r="Q6" s="2744"/>
      <c r="R6" s="2744"/>
      <c r="S6" s="2744"/>
      <c r="T6" s="2744"/>
      <c r="U6" s="2744"/>
      <c r="V6" s="2744"/>
      <c r="W6" s="2744"/>
    </row>
    <row r="7" spans="1:25" ht="16.5">
      <c r="I7" s="2043"/>
      <c r="J7" s="2043"/>
      <c r="K7" s="2043"/>
      <c r="L7" s="2043"/>
      <c r="W7" s="2047" t="s">
        <v>1920</v>
      </c>
    </row>
    <row r="8" spans="1:25" ht="18.75" hidden="1" customHeight="1">
      <c r="B8" s="2773" t="s">
        <v>622</v>
      </c>
      <c r="C8" s="2773"/>
      <c r="D8" s="2773"/>
      <c r="E8" s="2773"/>
      <c r="F8" s="2773"/>
      <c r="G8" s="2043"/>
      <c r="H8" s="2043"/>
      <c r="T8" s="2048"/>
      <c r="V8" s="2049"/>
      <c r="W8" s="2050"/>
    </row>
    <row r="9" spans="1:25" ht="23.25" customHeight="1">
      <c r="A9" s="2774" t="s">
        <v>623</v>
      </c>
      <c r="B9" s="2774"/>
      <c r="C9" s="2753" t="s">
        <v>624</v>
      </c>
      <c r="D9" s="2763" t="s">
        <v>625</v>
      </c>
      <c r="E9" s="2774" t="s">
        <v>356</v>
      </c>
      <c r="F9" s="2753" t="s">
        <v>2996</v>
      </c>
      <c r="G9" s="2781" t="s">
        <v>628</v>
      </c>
      <c r="H9" s="2782"/>
      <c r="I9" s="2782"/>
      <c r="J9" s="2782"/>
      <c r="K9" s="2782"/>
      <c r="L9" s="2782"/>
      <c r="M9" s="2782"/>
      <c r="N9" s="2782"/>
      <c r="O9" s="2782"/>
      <c r="P9" s="2782"/>
      <c r="Q9" s="2782"/>
      <c r="R9" s="2782"/>
      <c r="S9" s="2783"/>
      <c r="T9" s="2753" t="s">
        <v>629</v>
      </c>
      <c r="U9" s="2753" t="s">
        <v>631</v>
      </c>
      <c r="V9" s="2753" t="s">
        <v>632</v>
      </c>
      <c r="W9" s="2753" t="s">
        <v>12</v>
      </c>
    </row>
    <row r="10" spans="1:25" ht="23.25" customHeight="1">
      <c r="A10" s="2774"/>
      <c r="B10" s="2774"/>
      <c r="C10" s="2753"/>
      <c r="D10" s="2763"/>
      <c r="E10" s="2774"/>
      <c r="F10" s="2753"/>
      <c r="G10" s="2753" t="s">
        <v>633</v>
      </c>
      <c r="H10" s="2753"/>
      <c r="I10" s="2781" t="s">
        <v>634</v>
      </c>
      <c r="J10" s="2782"/>
      <c r="K10" s="2782"/>
      <c r="L10" s="2783"/>
      <c r="M10" s="2784" t="s">
        <v>3429</v>
      </c>
      <c r="N10" s="2784"/>
      <c r="O10" s="2784"/>
      <c r="P10" s="2784"/>
      <c r="Q10" s="2784"/>
      <c r="R10" s="2784"/>
      <c r="S10" s="2784"/>
      <c r="T10" s="2753"/>
      <c r="U10" s="2774"/>
      <c r="V10" s="2774"/>
      <c r="W10" s="2753"/>
    </row>
    <row r="11" spans="1:25" ht="69" customHeight="1">
      <c r="A11" s="2774"/>
      <c r="B11" s="2774"/>
      <c r="C11" s="2281"/>
      <c r="D11" s="2283"/>
      <c r="E11" s="2774"/>
      <c r="F11" s="2753"/>
      <c r="G11" s="2279" t="s">
        <v>529</v>
      </c>
      <c r="H11" s="2279" t="s">
        <v>2156</v>
      </c>
      <c r="I11" s="2279" t="s">
        <v>3426</v>
      </c>
      <c r="J11" s="2279" t="s">
        <v>3427</v>
      </c>
      <c r="K11" s="2279" t="s">
        <v>3428</v>
      </c>
      <c r="L11" s="2279" t="s">
        <v>2156</v>
      </c>
      <c r="M11" s="2279" t="s">
        <v>3008</v>
      </c>
      <c r="N11" s="2279" t="s">
        <v>3232</v>
      </c>
      <c r="O11" s="2279" t="s">
        <v>3333</v>
      </c>
      <c r="P11" s="2279" t="s">
        <v>3231</v>
      </c>
      <c r="Q11" s="2279" t="s">
        <v>3334</v>
      </c>
      <c r="R11" s="2279" t="s">
        <v>3337</v>
      </c>
      <c r="S11" s="2279" t="s">
        <v>2156</v>
      </c>
      <c r="T11" s="2281"/>
      <c r="U11" s="2280"/>
      <c r="V11" s="2280"/>
      <c r="W11" s="2281"/>
    </row>
    <row r="12" spans="1:25" s="2057" customFormat="1" ht="23.25" customHeight="1">
      <c r="A12" s="2778" t="s">
        <v>2985</v>
      </c>
      <c r="B12" s="2779"/>
      <c r="C12" s="2779"/>
      <c r="D12" s="2779"/>
      <c r="E12" s="2780"/>
      <c r="F12" s="1246">
        <v>83</v>
      </c>
      <c r="G12" s="2096">
        <f>'TRẠM 1'!F108</f>
        <v>0</v>
      </c>
      <c r="H12" s="2096">
        <f>'TRẠM 1'!G108</f>
        <v>0</v>
      </c>
      <c r="I12" s="2096">
        <f>'TRẠM 1'!H108</f>
        <v>336903</v>
      </c>
      <c r="J12" s="2244">
        <f>'TRẠM 1'!I108</f>
        <v>910</v>
      </c>
      <c r="K12" s="2244">
        <f>'TRẠM 1'!L108</f>
        <v>162131.7846857594</v>
      </c>
      <c r="L12" s="2244">
        <f>'TRẠM 1'!N108</f>
        <v>581218642</v>
      </c>
      <c r="M12" s="2244">
        <f>'TRẠM 1'!O108</f>
        <v>1998</v>
      </c>
      <c r="N12" s="2244">
        <f>'TRẠM 1'!P108</f>
        <v>296</v>
      </c>
      <c r="O12" s="2244">
        <f>'TRẠM 1'!Q108</f>
        <v>0</v>
      </c>
      <c r="P12" s="2244"/>
      <c r="Q12" s="2244">
        <f>'TRẠM 1'!S108</f>
        <v>0</v>
      </c>
      <c r="R12" s="2244"/>
      <c r="S12" s="2096">
        <f>'TRẠM 1'!Z108</f>
        <v>76728680</v>
      </c>
      <c r="T12" s="2096">
        <f>H12+L12+S12</f>
        <v>657947322</v>
      </c>
      <c r="U12" s="2096"/>
      <c r="V12" s="2096">
        <f>T12-U12</f>
        <v>657947322</v>
      </c>
      <c r="W12" s="2051"/>
      <c r="X12" s="2052" t="e">
        <f>+V12-#REF!</f>
        <v>#REF!</v>
      </c>
      <c r="Y12" s="2052" t="e">
        <f>+T12-#REF!</f>
        <v>#REF!</v>
      </c>
    </row>
    <row r="13" spans="1:25" s="2055" customFormat="1" ht="23.25" customHeight="1">
      <c r="A13" s="2778" t="s">
        <v>2986</v>
      </c>
      <c r="B13" s="2779"/>
      <c r="C13" s="2779"/>
      <c r="D13" s="2779"/>
      <c r="E13" s="2780"/>
      <c r="F13" s="1246">
        <v>67</v>
      </c>
      <c r="G13" s="1840">
        <f>'TRẠM 2'!F90</f>
        <v>0</v>
      </c>
      <c r="H13" s="1840">
        <f>'TRẠM 2'!G90</f>
        <v>0</v>
      </c>
      <c r="I13" s="1840">
        <f>'TRẠM 2'!H90</f>
        <v>179526</v>
      </c>
      <c r="J13" s="2244">
        <f>'TRẠM 2'!I90</f>
        <v>790</v>
      </c>
      <c r="K13" s="2286">
        <f>'TRẠM 2'!L90</f>
        <v>85834.077418174624</v>
      </c>
      <c r="L13" s="2286">
        <f>'TRẠM 2'!N90</f>
        <v>303635465</v>
      </c>
      <c r="M13" s="2286">
        <f>'TRẠM 2'!O90</f>
        <v>1194</v>
      </c>
      <c r="N13" s="2286">
        <f>'TRẠM 2'!P90</f>
        <v>212</v>
      </c>
      <c r="O13" s="2286">
        <f>'TRẠM 2'!Q90</f>
        <v>230</v>
      </c>
      <c r="P13" s="2286">
        <f>'TRẠM 2'!R90</f>
        <v>0</v>
      </c>
      <c r="Q13" s="2286">
        <f>'TRẠM 2'!S90</f>
        <v>230</v>
      </c>
      <c r="R13" s="2286">
        <f>'TRẠM 2'!V90</f>
        <v>1417</v>
      </c>
      <c r="S13" s="1840">
        <f>'TRẠM 2'!Z90</f>
        <v>113161160</v>
      </c>
      <c r="T13" s="2096">
        <f>H13+L13+S13</f>
        <v>416796625</v>
      </c>
      <c r="U13" s="1840"/>
      <c r="V13" s="2096">
        <f t="shared" ref="V13:V18" si="0">T13-U13</f>
        <v>416796625</v>
      </c>
      <c r="W13" s="2053"/>
      <c r="X13" s="2054" t="e">
        <f>+V13-#REF!-#REF!-#REF!</f>
        <v>#REF!</v>
      </c>
    </row>
    <row r="14" spans="1:25" s="2055" customFormat="1" ht="23.25" customHeight="1">
      <c r="A14" s="2778" t="s">
        <v>3430</v>
      </c>
      <c r="B14" s="2779"/>
      <c r="C14" s="2779"/>
      <c r="D14" s="2779"/>
      <c r="E14" s="2780"/>
      <c r="F14" s="1246">
        <f>SUM(F12:F13)</f>
        <v>150</v>
      </c>
      <c r="G14" s="2317">
        <f>SUM(G12:G13)</f>
        <v>0</v>
      </c>
      <c r="H14" s="1840">
        <f>SUM(H12:H13)</f>
        <v>0</v>
      </c>
      <c r="I14" s="1246">
        <f t="shared" ref="I14:S14" si="1">SUM(I12:I13)</f>
        <v>516429</v>
      </c>
      <c r="J14" s="1838">
        <f t="shared" si="1"/>
        <v>1700</v>
      </c>
      <c r="K14" s="2244">
        <f>SUM(K12:K13)</f>
        <v>247965.86210393402</v>
      </c>
      <c r="L14" s="1838">
        <f t="shared" si="1"/>
        <v>884854107</v>
      </c>
      <c r="M14" s="1838">
        <f t="shared" si="1"/>
        <v>3192</v>
      </c>
      <c r="N14" s="1838">
        <f t="shared" si="1"/>
        <v>508</v>
      </c>
      <c r="O14" s="1838">
        <f t="shared" si="1"/>
        <v>230</v>
      </c>
      <c r="P14" s="1838">
        <f t="shared" si="1"/>
        <v>0</v>
      </c>
      <c r="Q14" s="1838">
        <f t="shared" si="1"/>
        <v>230</v>
      </c>
      <c r="R14" s="1838">
        <f t="shared" si="1"/>
        <v>1417</v>
      </c>
      <c r="S14" s="1246">
        <f t="shared" si="1"/>
        <v>189889840</v>
      </c>
      <c r="T14" s="2285">
        <f>SUM(T12:T13)</f>
        <v>1074743947</v>
      </c>
      <c r="U14" s="1840"/>
      <c r="V14" s="2096">
        <f t="shared" si="0"/>
        <v>1074743947</v>
      </c>
      <c r="W14" s="2053"/>
      <c r="X14" s="2054"/>
    </row>
    <row r="15" spans="1:25" s="2055" customFormat="1" ht="23.25" customHeight="1">
      <c r="A15" s="2778" t="s">
        <v>3434</v>
      </c>
      <c r="B15" s="2779"/>
      <c r="C15" s="2779"/>
      <c r="D15" s="2779"/>
      <c r="E15" s="2780"/>
      <c r="F15" s="1246">
        <v>5</v>
      </c>
      <c r="G15" s="2317">
        <v>4378.54</v>
      </c>
      <c r="H15" s="1840">
        <f>'LƯƠNG ĐỘI'!I17</f>
        <v>18188250</v>
      </c>
      <c r="I15" s="1246"/>
      <c r="J15" s="1838"/>
      <c r="K15" s="1838"/>
      <c r="L15" s="1838"/>
      <c r="M15" s="1838"/>
      <c r="N15" s="1838"/>
      <c r="O15" s="1838"/>
      <c r="P15" s="1838"/>
      <c r="Q15" s="1838"/>
      <c r="R15" s="1838"/>
      <c r="S15" s="1246"/>
      <c r="T15" s="2096">
        <f t="shared" ref="T15:T18" si="2">H15+L15+S15</f>
        <v>18188250</v>
      </c>
      <c r="U15" s="1840"/>
      <c r="V15" s="2096">
        <f t="shared" si="0"/>
        <v>18188250</v>
      </c>
      <c r="W15" s="2053"/>
      <c r="X15" s="2054"/>
    </row>
    <row r="16" spans="1:25" s="2057" customFormat="1" ht="23.25" customHeight="1">
      <c r="A16" s="2778" t="s">
        <v>2283</v>
      </c>
      <c r="B16" s="2779"/>
      <c r="C16" s="2779"/>
      <c r="D16" s="2779"/>
      <c r="E16" s="2780"/>
      <c r="F16" s="1246">
        <v>2</v>
      </c>
      <c r="G16" s="1840">
        <f>'LƯƠNG ĐỘI'!E13</f>
        <v>62</v>
      </c>
      <c r="H16" s="2019">
        <f>'LƯƠNG ĐỘI'!K13</f>
        <v>5200000</v>
      </c>
      <c r="I16" s="1840"/>
      <c r="J16" s="2286"/>
      <c r="K16" s="2286"/>
      <c r="L16" s="2286"/>
      <c r="M16" s="2286"/>
      <c r="N16" s="2286"/>
      <c r="O16" s="2286"/>
      <c r="P16" s="2286"/>
      <c r="Q16" s="2286"/>
      <c r="R16" s="2286"/>
      <c r="S16" s="1840"/>
      <c r="T16" s="2096">
        <f t="shared" si="2"/>
        <v>5200000</v>
      </c>
      <c r="U16" s="1840"/>
      <c r="V16" s="2096">
        <f t="shared" si="0"/>
        <v>5200000</v>
      </c>
      <c r="W16" s="2056"/>
    </row>
    <row r="17" spans="1:26" s="2057" customFormat="1" ht="23.25" customHeight="1">
      <c r="A17" s="2778" t="s">
        <v>2998</v>
      </c>
      <c r="B17" s="2779"/>
      <c r="C17" s="2779"/>
      <c r="D17" s="2779"/>
      <c r="E17" s="2780"/>
      <c r="F17" s="1246">
        <v>1</v>
      </c>
      <c r="G17" s="1840">
        <f>'LƯƠNG ĐỘI'!E11</f>
        <v>31</v>
      </c>
      <c r="H17" s="2019">
        <f>'LƯƠNG ĐỘI'!I11</f>
        <v>6626792.0035848441</v>
      </c>
      <c r="I17" s="1840"/>
      <c r="J17" s="2286"/>
      <c r="K17" s="2286"/>
      <c r="L17" s="2286"/>
      <c r="M17" s="2286"/>
      <c r="N17" s="2286"/>
      <c r="O17" s="2286"/>
      <c r="P17" s="2286"/>
      <c r="Q17" s="2286"/>
      <c r="R17" s="2286"/>
      <c r="S17" s="1840"/>
      <c r="T17" s="2096">
        <f t="shared" si="2"/>
        <v>6626792.0035848441</v>
      </c>
      <c r="U17" s="1840">
        <f>'LƯƠNG ĐỘI'!J12</f>
        <v>347679.20035848441</v>
      </c>
      <c r="V17" s="2096">
        <f>'LƯƠNG ĐỘI'!K12</f>
        <v>6279112.8032263592</v>
      </c>
      <c r="W17" s="2056"/>
    </row>
    <row r="18" spans="1:26" s="619" customFormat="1" ht="23.25" customHeight="1">
      <c r="A18" s="2778" t="s">
        <v>3432</v>
      </c>
      <c r="B18" s="2779"/>
      <c r="C18" s="2779"/>
      <c r="D18" s="2779"/>
      <c r="E18" s="2780"/>
      <c r="F18" s="1246">
        <v>2</v>
      </c>
      <c r="G18" s="1840">
        <f>'LƯƠNG ĐỘI'!E23</f>
        <v>62</v>
      </c>
      <c r="H18" s="1840">
        <f>'LƯƠNG ĐỘI'!I23</f>
        <v>5000000</v>
      </c>
      <c r="I18" s="1840"/>
      <c r="J18" s="2286"/>
      <c r="K18" s="2286"/>
      <c r="L18" s="2286"/>
      <c r="M18" s="2286"/>
      <c r="N18" s="2286"/>
      <c r="O18" s="2286"/>
      <c r="P18" s="2286"/>
      <c r="Q18" s="2286"/>
      <c r="R18" s="2286"/>
      <c r="S18" s="1840"/>
      <c r="T18" s="2096">
        <f t="shared" si="2"/>
        <v>5000000</v>
      </c>
      <c r="U18" s="1840">
        <f>'LƯƠNG ĐỘI'!J23</f>
        <v>120000</v>
      </c>
      <c r="V18" s="2096">
        <f t="shared" si="0"/>
        <v>4880000</v>
      </c>
      <c r="W18" s="2307"/>
      <c r="X18" s="243"/>
      <c r="Y18" s="243"/>
    </row>
    <row r="19" spans="1:26" s="2075" customFormat="1" ht="24" customHeight="1">
      <c r="A19" s="2786" t="s">
        <v>3335</v>
      </c>
      <c r="B19" s="2786"/>
      <c r="C19" s="2786"/>
      <c r="D19" s="2786"/>
      <c r="E19" s="2786"/>
      <c r="F19" s="2099">
        <f>SUM(F14:F17)</f>
        <v>158</v>
      </c>
      <c r="G19" s="2099">
        <f t="shared" ref="G19:S19" si="3">SUM(G14:G17)</f>
        <v>4471.54</v>
      </c>
      <c r="H19" s="2099">
        <f>SUM(H14:H17)</f>
        <v>30015042.003584843</v>
      </c>
      <c r="I19" s="2099">
        <f t="shared" si="3"/>
        <v>516429</v>
      </c>
      <c r="J19" s="2287">
        <f t="shared" si="3"/>
        <v>1700</v>
      </c>
      <c r="K19" s="2287">
        <f t="shared" si="3"/>
        <v>247965.86210393402</v>
      </c>
      <c r="L19" s="2287">
        <f t="shared" si="3"/>
        <v>884854107</v>
      </c>
      <c r="M19" s="2287">
        <f t="shared" si="3"/>
        <v>3192</v>
      </c>
      <c r="N19" s="2287">
        <f t="shared" si="3"/>
        <v>508</v>
      </c>
      <c r="O19" s="2287">
        <f t="shared" si="3"/>
        <v>230</v>
      </c>
      <c r="P19" s="2287">
        <f t="shared" si="3"/>
        <v>0</v>
      </c>
      <c r="Q19" s="2287">
        <f t="shared" si="3"/>
        <v>230</v>
      </c>
      <c r="R19" s="2287">
        <f t="shared" si="3"/>
        <v>1417</v>
      </c>
      <c r="S19" s="2099">
        <f t="shared" si="3"/>
        <v>189889840</v>
      </c>
      <c r="T19" s="2095">
        <f>SUM(T14:T18)</f>
        <v>1109758989.0035849</v>
      </c>
      <c r="U19" s="2058">
        <f t="shared" ref="U19" si="4">SUM(U12:U17)</f>
        <v>347679.20035848441</v>
      </c>
      <c r="V19" s="2288">
        <f>SUM(V14:V18)</f>
        <v>1109291309.8032265</v>
      </c>
      <c r="W19" s="2060"/>
      <c r="X19" s="2061" t="e">
        <f>SUM(#REF!)</f>
        <v>#REF!</v>
      </c>
      <c r="Y19" s="2059" t="e">
        <f>+V19-X19</f>
        <v>#REF!</v>
      </c>
      <c r="Z19" s="2059"/>
    </row>
    <row r="20" spans="1:26" s="2063" customFormat="1" ht="24" customHeight="1">
      <c r="A20" s="2788" t="s">
        <v>3484</v>
      </c>
      <c r="B20" s="2789"/>
      <c r="C20" s="2789"/>
      <c r="D20" s="2789"/>
      <c r="E20" s="2789"/>
      <c r="F20" s="2789"/>
      <c r="G20" s="2789"/>
      <c r="H20" s="2789"/>
      <c r="I20" s="2789"/>
      <c r="J20" s="2789"/>
      <c r="K20" s="2789"/>
      <c r="L20" s="2789"/>
      <c r="M20" s="2789"/>
      <c r="N20" s="2789"/>
      <c r="O20" s="2789"/>
      <c r="P20" s="2789"/>
      <c r="Q20" s="2789"/>
      <c r="R20" s="2789"/>
      <c r="S20" s="2789"/>
      <c r="T20" s="2789"/>
      <c r="U20" s="2789"/>
      <c r="V20" s="2790"/>
      <c r="W20" s="2289"/>
      <c r="X20" s="2062"/>
    </row>
    <row r="21" spans="1:26" s="2063" customFormat="1" ht="17.45" customHeight="1">
      <c r="B21" s="2064"/>
      <c r="C21" s="2064"/>
      <c r="D21" s="2064"/>
      <c r="E21" s="2064"/>
      <c r="F21" s="2064"/>
      <c r="G21" s="2064"/>
      <c r="H21" s="2064"/>
      <c r="I21" s="2064"/>
      <c r="J21" s="2064"/>
      <c r="K21" s="2064"/>
      <c r="L21" s="2064"/>
      <c r="M21" s="2064"/>
      <c r="N21" s="2064"/>
      <c r="O21" s="2064"/>
      <c r="P21" s="2064"/>
      <c r="Q21" s="2064"/>
      <c r="R21" s="2064"/>
      <c r="S21" s="2064"/>
      <c r="T21" s="2064"/>
      <c r="U21" s="2064"/>
      <c r="V21" s="2064"/>
      <c r="W21" s="2064"/>
      <c r="X21" s="2062"/>
      <c r="Y21" s="2063" t="e">
        <f>+#REF!/25000</f>
        <v>#REF!</v>
      </c>
    </row>
    <row r="22" spans="1:26" ht="16.5">
      <c r="F22" s="2065"/>
      <c r="G22" s="2066"/>
      <c r="H22" s="2066"/>
      <c r="I22" s="2067"/>
      <c r="J22" s="2067"/>
      <c r="K22" s="2067"/>
      <c r="L22" s="2067"/>
      <c r="S22" s="2729" t="s">
        <v>3461</v>
      </c>
      <c r="T22" s="2787"/>
      <c r="U22" s="2787"/>
      <c r="V22" s="2787"/>
      <c r="W22" s="2787"/>
      <c r="X22" s="2068"/>
    </row>
    <row r="23" spans="1:26" s="2069" customFormat="1" ht="23.25" customHeight="1">
      <c r="A23" s="2618" t="s">
        <v>3431</v>
      </c>
      <c r="B23" s="2749"/>
      <c r="C23" s="2749"/>
      <c r="D23" s="2749"/>
      <c r="E23" s="2749"/>
      <c r="F23" s="2749"/>
      <c r="G23" s="2749"/>
      <c r="H23" s="2749"/>
      <c r="I23" s="2749"/>
      <c r="J23" s="2749"/>
      <c r="K23" s="2749"/>
      <c r="L23" s="2749"/>
      <c r="M23" s="2749"/>
      <c r="N23" s="2749"/>
      <c r="O23" s="2749"/>
      <c r="P23" s="2749"/>
      <c r="Q23" s="2749"/>
      <c r="R23" s="2749"/>
      <c r="S23" s="2749"/>
      <c r="T23" s="2749"/>
      <c r="U23" s="2749"/>
      <c r="V23" s="2749"/>
      <c r="W23" s="2070"/>
    </row>
    <row r="24" spans="1:26">
      <c r="G24" s="2076"/>
      <c r="H24" s="2076"/>
      <c r="M24" s="2077"/>
      <c r="N24" s="2077"/>
      <c r="O24" s="2077"/>
      <c r="P24" s="2077"/>
      <c r="Q24" s="2077"/>
      <c r="R24" s="2077"/>
      <c r="S24" s="2077"/>
      <c r="V24" s="2078"/>
      <c r="X24" s="2079"/>
    </row>
    <row r="25" spans="1:26">
      <c r="G25" s="2076"/>
      <c r="H25" s="2076"/>
      <c r="M25" s="2077"/>
      <c r="N25" s="2077"/>
      <c r="O25" s="2077"/>
      <c r="P25" s="2077"/>
      <c r="Q25" s="2077"/>
      <c r="R25" s="2077"/>
      <c r="S25" s="2077"/>
      <c r="V25" s="2078"/>
    </row>
    <row r="26" spans="1:26" ht="69" customHeight="1">
      <c r="G26" s="2080"/>
      <c r="H26" s="2080"/>
      <c r="I26" s="2081"/>
      <c r="J26" s="2081"/>
      <c r="K26" s="2081"/>
      <c r="L26" s="2081"/>
      <c r="M26" s="2082"/>
      <c r="N26" s="2082"/>
      <c r="O26" s="2082"/>
      <c r="P26" s="2082"/>
      <c r="Q26" s="2082"/>
      <c r="R26" s="2082"/>
      <c r="S26" s="2082"/>
      <c r="T26" s="2082"/>
      <c r="U26" s="2082"/>
      <c r="V26" s="2082"/>
    </row>
    <row r="27" spans="1:26">
      <c r="E27" s="2083"/>
      <c r="G27" s="2083"/>
      <c r="H27" s="2083"/>
      <c r="I27" s="2084"/>
      <c r="J27" s="2084"/>
      <c r="K27" s="2084"/>
      <c r="L27" s="2084"/>
      <c r="M27" s="2785"/>
      <c r="N27" s="2785"/>
      <c r="O27" s="2785"/>
      <c r="P27" s="2785"/>
      <c r="Q27" s="2785"/>
      <c r="R27" s="2785"/>
      <c r="S27" s="2785"/>
      <c r="T27" s="2785"/>
      <c r="U27" s="2785"/>
      <c r="V27" s="2785"/>
      <c r="W27" s="2785"/>
      <c r="X27" s="2085"/>
      <c r="Y27" s="2085"/>
    </row>
    <row r="28" spans="1:26">
      <c r="G28" s="2080"/>
      <c r="H28" s="2080"/>
      <c r="I28" s="2081"/>
      <c r="J28" s="2081"/>
      <c r="K28" s="2081"/>
      <c r="L28" s="2081"/>
      <c r="M28" s="2086"/>
      <c r="N28" s="2086"/>
      <c r="O28" s="2086"/>
      <c r="P28" s="2086"/>
      <c r="Q28" s="2086"/>
      <c r="R28" s="2086"/>
      <c r="S28" s="2086"/>
      <c r="T28" s="2087"/>
      <c r="U28" s="2088"/>
      <c r="V28" s="2088"/>
      <c r="W28" s="2088"/>
    </row>
    <row r="29" spans="1:26">
      <c r="G29" s="2089"/>
      <c r="H29" s="2089"/>
      <c r="I29" s="2081"/>
      <c r="J29" s="2081"/>
      <c r="K29" s="2081"/>
      <c r="L29" s="2081"/>
      <c r="M29" s="2086"/>
      <c r="N29" s="2086"/>
      <c r="O29" s="2086"/>
      <c r="P29" s="2086"/>
      <c r="Q29" s="2086"/>
      <c r="R29" s="2086"/>
      <c r="S29" s="2086"/>
      <c r="T29" s="2086"/>
      <c r="U29" s="2090"/>
      <c r="V29" s="2090"/>
      <c r="W29" s="2091"/>
    </row>
    <row r="30" spans="1:26">
      <c r="G30" s="2080"/>
      <c r="H30" s="2080"/>
      <c r="I30" s="2081"/>
      <c r="J30" s="2081"/>
      <c r="K30" s="2081"/>
      <c r="L30" s="2081"/>
      <c r="M30" s="2086"/>
      <c r="N30" s="2086"/>
      <c r="O30" s="2086"/>
      <c r="P30" s="2086"/>
      <c r="Q30" s="2086"/>
      <c r="R30" s="2086"/>
      <c r="S30" s="2086"/>
      <c r="T30" s="2086"/>
      <c r="U30" s="2090"/>
      <c r="V30" s="2090"/>
      <c r="W30" s="2091"/>
    </row>
    <row r="31" spans="1:26">
      <c r="E31" s="2092"/>
      <c r="T31" s="2093"/>
    </row>
    <row r="50" spans="7:8">
      <c r="G50" s="2094"/>
      <c r="H50" s="2094"/>
    </row>
  </sheetData>
  <mergeCells count="32">
    <mergeCell ref="A18:E18"/>
    <mergeCell ref="M27:W27"/>
    <mergeCell ref="A19:E19"/>
    <mergeCell ref="S22:W22"/>
    <mergeCell ref="A23:V23"/>
    <mergeCell ref="A20:V20"/>
    <mergeCell ref="A17:E17"/>
    <mergeCell ref="T9:T10"/>
    <mergeCell ref="A12:E12"/>
    <mergeCell ref="A13:E13"/>
    <mergeCell ref="A16:E16"/>
    <mergeCell ref="G10:H10"/>
    <mergeCell ref="I10:L10"/>
    <mergeCell ref="A9:B11"/>
    <mergeCell ref="E9:E11"/>
    <mergeCell ref="F9:F11"/>
    <mergeCell ref="M10:S10"/>
    <mergeCell ref="G9:S9"/>
    <mergeCell ref="A14:E14"/>
    <mergeCell ref="A15:E15"/>
    <mergeCell ref="B1:W1"/>
    <mergeCell ref="B2:W2"/>
    <mergeCell ref="B3:W3"/>
    <mergeCell ref="A4:I4"/>
    <mergeCell ref="A5:H5"/>
    <mergeCell ref="A6:W6"/>
    <mergeCell ref="B8:F8"/>
    <mergeCell ref="C9:C10"/>
    <mergeCell ref="D9:D10"/>
    <mergeCell ref="V9:V10"/>
    <mergeCell ref="W9:W10"/>
    <mergeCell ref="U9:U10"/>
  </mergeCells>
  <pageMargins left="0.16" right="0.16" top="0.31" bottom="0.75" header="0.3" footer="0.3"/>
  <pageSetup paperSize="9" scale="63" orientation="landscape" r:id="rId1"/>
  <colBreaks count="1" manualBreakCount="1">
    <brk id="22" max="49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8"/>
  <sheetViews>
    <sheetView topLeftCell="A34" zoomScale="85" zoomScaleNormal="85" workbookViewId="0">
      <selection activeCell="I48" sqref="I48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3" customWidth="1"/>
    <col min="4" max="4" width="18.42578125" style="463" customWidth="1"/>
    <col min="5" max="5" width="15.140625" style="46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05" customFormat="1" ht="16.5">
      <c r="A1" s="2797" t="s">
        <v>0</v>
      </c>
      <c r="B1" s="2797"/>
      <c r="C1" s="2797"/>
      <c r="D1" s="2797"/>
      <c r="E1" s="2797"/>
      <c r="F1" s="2797"/>
      <c r="G1" s="2797"/>
      <c r="H1" s="2797"/>
    </row>
    <row r="2" spans="1:13" s="1305" customFormat="1" ht="16.5">
      <c r="A2" s="2797" t="s">
        <v>2030</v>
      </c>
      <c r="B2" s="2797"/>
      <c r="C2" s="2797"/>
      <c r="D2" s="2797"/>
      <c r="E2" s="2797"/>
      <c r="F2" s="2797"/>
      <c r="G2" s="2797"/>
      <c r="H2" s="2797"/>
    </row>
    <row r="3" spans="1:13" s="1305" customFormat="1" ht="13.9" customHeight="1">
      <c r="A3" s="2798" t="s">
        <v>619</v>
      </c>
      <c r="B3" s="2797"/>
      <c r="C3" s="2797"/>
      <c r="D3" s="2797"/>
      <c r="E3" s="2797"/>
      <c r="F3" s="2797"/>
      <c r="G3" s="2797"/>
      <c r="H3" s="2797"/>
    </row>
    <row r="4" spans="1:13" s="1315" customFormat="1" ht="27" customHeight="1">
      <c r="A4" s="2799" t="s">
        <v>3244</v>
      </c>
      <c r="B4" s="2799"/>
      <c r="C4" s="2799"/>
      <c r="D4" s="2799"/>
      <c r="E4" s="1521"/>
      <c r="F4" s="1514"/>
      <c r="G4" s="1522"/>
      <c r="H4" s="1523"/>
    </row>
    <row r="5" spans="1:13" s="1315" customFormat="1" ht="16.899999999999999" customHeight="1">
      <c r="A5" s="2797" t="s">
        <v>3234</v>
      </c>
      <c r="B5" s="2797"/>
      <c r="C5" s="2797"/>
      <c r="D5" s="2797"/>
      <c r="E5" s="1521"/>
      <c r="F5" s="1514"/>
      <c r="G5" s="1522"/>
      <c r="H5" s="1523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792" t="s">
        <v>3465</v>
      </c>
      <c r="B8" s="2792"/>
      <c r="C8" s="2792"/>
      <c r="D8" s="2792"/>
      <c r="E8" s="2792"/>
      <c r="F8" s="2792"/>
      <c r="G8" s="2792"/>
      <c r="H8" s="2792"/>
      <c r="J8" s="2278">
        <f>'LƯƠNG KT'!F8</f>
        <v>600</v>
      </c>
    </row>
    <row r="9" spans="1:13" ht="15.75" customHeight="1">
      <c r="A9" s="2793"/>
      <c r="B9" s="2793"/>
      <c r="C9" s="2793"/>
      <c r="D9" s="2793"/>
      <c r="E9" s="2793"/>
      <c r="F9" s="2793"/>
      <c r="G9" s="2793"/>
      <c r="H9" s="2793"/>
      <c r="I9" s="198" t="s">
        <v>2245</v>
      </c>
      <c r="J9" s="198">
        <f>'LƯƠNG KT'!G8</f>
        <v>667.96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1344">
        <f>K10/100</f>
        <v>0.43751864421273501</v>
      </c>
      <c r="K10" s="198">
        <v>43.751864421273503</v>
      </c>
    </row>
    <row r="11" spans="1:13" s="1481" customFormat="1" ht="48" customHeight="1">
      <c r="A11" s="1477" t="s">
        <v>6</v>
      </c>
      <c r="B11" s="1477" t="s">
        <v>2247</v>
      </c>
      <c r="C11" s="1478" t="s">
        <v>2248</v>
      </c>
      <c r="D11" s="1478" t="s">
        <v>2249</v>
      </c>
      <c r="E11" s="1479" t="s">
        <v>2250</v>
      </c>
      <c r="F11" s="1479" t="s">
        <v>2302</v>
      </c>
      <c r="G11" s="1480" t="s">
        <v>2252</v>
      </c>
      <c r="H11" s="1479" t="s">
        <v>12</v>
      </c>
      <c r="K11" s="1482" t="e">
        <f>+[7]THCKT!R10</f>
        <v>#REF!</v>
      </c>
    </row>
    <row r="12" spans="1:13" s="1315" customFormat="1" ht="22.15" customHeight="1">
      <c r="A12" s="1524" t="s">
        <v>2213</v>
      </c>
      <c r="B12" s="1483" t="s">
        <v>2254</v>
      </c>
      <c r="C12" s="1484"/>
      <c r="D12" s="1485"/>
      <c r="E12" s="1485"/>
      <c r="F12" s="1485"/>
      <c r="G12" s="1485">
        <f>+G13+G40</f>
        <v>1079943947.0700002</v>
      </c>
      <c r="H12" s="1486"/>
      <c r="I12" s="1487"/>
      <c r="J12" s="1487"/>
      <c r="K12" s="1488" t="e">
        <f>+D14-K11</f>
        <v>#REF!</v>
      </c>
      <c r="L12" s="1489"/>
    </row>
    <row r="13" spans="1:13" s="1305" customFormat="1" ht="22.15" customHeight="1">
      <c r="A13" s="1490">
        <v>1</v>
      </c>
      <c r="B13" s="1491" t="s">
        <v>2255</v>
      </c>
      <c r="C13" s="1492"/>
      <c r="D13" s="1493"/>
      <c r="E13" s="1493"/>
      <c r="F13" s="1493"/>
      <c r="G13" s="1493">
        <f>+G14+G32+G39</f>
        <v>1074743947.0700002</v>
      </c>
      <c r="H13" s="1494"/>
      <c r="I13" s="1495" t="e">
        <f>'LƯƠNG KT'!AA185</f>
        <v>#VALUE!</v>
      </c>
      <c r="J13" s="1496" t="e">
        <f>+G13-I13</f>
        <v>#VALUE!</v>
      </c>
      <c r="K13" s="1497"/>
    </row>
    <row r="14" spans="1:13" s="1305" customFormat="1" ht="22.15" customHeight="1">
      <c r="A14" s="1490" t="s">
        <v>2256</v>
      </c>
      <c r="B14" s="1491" t="s">
        <v>2257</v>
      </c>
      <c r="C14" s="1498"/>
      <c r="D14" s="1493">
        <f t="shared" ref="D14:D19" si="0">D20+D26</f>
        <v>247965.86210393417</v>
      </c>
      <c r="F14" s="1494"/>
      <c r="G14" s="1493">
        <f>G20+G26</f>
        <v>884854107.07000017</v>
      </c>
      <c r="H14" s="1494"/>
      <c r="I14" s="1504">
        <f>'TH LƯƠNG'!I19</f>
        <v>516429</v>
      </c>
      <c r="J14" s="2277">
        <f>+G14-I14</f>
        <v>884337678.07000017</v>
      </c>
      <c r="K14" s="1499"/>
      <c r="L14" s="1500"/>
      <c r="M14" s="1501"/>
    </row>
    <row r="15" spans="1:13" s="1305" customFormat="1" ht="22.15" customHeight="1">
      <c r="A15" s="1490"/>
      <c r="B15" s="1491" t="s">
        <v>2258</v>
      </c>
      <c r="C15" s="1502" t="s">
        <v>2259</v>
      </c>
      <c r="D15" s="1493">
        <f t="shared" si="0"/>
        <v>134723.48115225288</v>
      </c>
      <c r="F15" s="1503">
        <f>6.1*J8</f>
        <v>3660</v>
      </c>
      <c r="G15" s="1493">
        <f>G21+G27</f>
        <v>493087941.51999998</v>
      </c>
      <c r="H15" s="1494"/>
      <c r="I15" s="1499"/>
      <c r="J15" s="1504"/>
      <c r="K15" s="1505"/>
      <c r="L15" s="1504"/>
    </row>
    <row r="16" spans="1:13" s="1305" customFormat="1" ht="22.15" customHeight="1">
      <c r="A16" s="1490"/>
      <c r="B16" s="1491" t="s">
        <v>2260</v>
      </c>
      <c r="C16" s="1498" t="s">
        <v>2259</v>
      </c>
      <c r="D16" s="1493">
        <f t="shared" si="0"/>
        <v>98752.837250008</v>
      </c>
      <c r="F16" s="1503">
        <f>5.8*$J$8</f>
        <v>3480</v>
      </c>
      <c r="G16" s="1493">
        <f>G22+G28</f>
        <v>343659873.63</v>
      </c>
      <c r="H16" s="1494"/>
      <c r="I16" s="1627">
        <v>1282533</v>
      </c>
      <c r="J16" s="1504"/>
      <c r="L16" s="1506"/>
    </row>
    <row r="17" spans="1:13" s="1305" customFormat="1" ht="22.15" customHeight="1">
      <c r="A17" s="1490"/>
      <c r="B17" s="1491" t="s">
        <v>2261</v>
      </c>
      <c r="C17" s="1498" t="s">
        <v>2259</v>
      </c>
      <c r="D17" s="1493">
        <f t="shared" si="0"/>
        <v>13681.772701673259</v>
      </c>
      <c r="F17" s="1503">
        <f>5.5*J8</f>
        <v>3300</v>
      </c>
      <c r="G17" s="1493">
        <f>G23+G29</f>
        <v>45149849.920000002</v>
      </c>
      <c r="H17" s="1494"/>
      <c r="I17" s="1499"/>
      <c r="J17" s="1504"/>
      <c r="K17" s="1499"/>
    </row>
    <row r="18" spans="1:13" s="1305" customFormat="1" ht="22.15" hidden="1" customHeight="1">
      <c r="A18" s="1490"/>
      <c r="B18" s="1491" t="s">
        <v>2262</v>
      </c>
      <c r="C18" s="1502" t="s">
        <v>2259</v>
      </c>
      <c r="D18" s="1493">
        <f t="shared" si="0"/>
        <v>0</v>
      </c>
      <c r="F18" s="1503">
        <f>5.2*J8</f>
        <v>3120</v>
      </c>
      <c r="G18" s="1493">
        <f>G24+G30</f>
        <v>0</v>
      </c>
      <c r="H18" s="1494"/>
      <c r="I18" s="1499"/>
      <c r="J18" s="1504"/>
      <c r="K18" s="1499"/>
      <c r="L18" s="1504"/>
    </row>
    <row r="19" spans="1:13" s="1305" customFormat="1" ht="22.15" customHeight="1">
      <c r="A19" s="1490"/>
      <c r="B19" s="1491" t="s">
        <v>2275</v>
      </c>
      <c r="C19" s="1498" t="s">
        <v>2259</v>
      </c>
      <c r="D19" s="1493">
        <f t="shared" si="0"/>
        <v>807.77099999999996</v>
      </c>
      <c r="E19" s="1494">
        <f>[7]THPT!E26</f>
        <v>0</v>
      </c>
      <c r="F19" s="1493">
        <f>6.1*J8</f>
        <v>3660</v>
      </c>
      <c r="G19" s="1493">
        <f t="shared" ref="G19" si="1">ROUND((D19*F19),0)</f>
        <v>2956442</v>
      </c>
      <c r="H19" s="1494"/>
      <c r="I19" s="1506"/>
      <c r="J19" s="1504"/>
    </row>
    <row r="20" spans="1:13" s="1305" customFormat="1" ht="22.15" customHeight="1">
      <c r="A20" s="1490"/>
      <c r="B20" s="1491" t="s">
        <v>3259</v>
      </c>
      <c r="C20" s="1498"/>
      <c r="D20" s="1493">
        <f>SUM(D21:D25)</f>
        <v>162131.78468575951</v>
      </c>
      <c r="F20" s="1493"/>
      <c r="G20" s="1493">
        <f>SUM(G21:G25)</f>
        <v>581218642.29000008</v>
      </c>
      <c r="H20" s="1494"/>
      <c r="I20" s="1499">
        <f>'TRẠM 1'!N108</f>
        <v>581218642</v>
      </c>
      <c r="J20" s="1504">
        <f>I20-G20</f>
        <v>-0.29000008106231689</v>
      </c>
      <c r="K20" s="1507"/>
      <c r="L20" s="1500"/>
      <c r="M20" s="1501"/>
    </row>
    <row r="21" spans="1:13" s="1305" customFormat="1" ht="22.15" customHeight="1">
      <c r="A21" s="1490"/>
      <c r="B21" s="1491" t="s">
        <v>2265</v>
      </c>
      <c r="C21" s="1502" t="s">
        <v>2259</v>
      </c>
      <c r="D21" s="1493">
        <f>SUMIF('sản lượng'!$AP$14:$AP$97,"A",'sản lượng'!$AO$14:$AO$97)</f>
        <v>99431.2425788564</v>
      </c>
      <c r="F21" s="1503">
        <f>6.1*J8</f>
        <v>3660</v>
      </c>
      <c r="G21" s="1493">
        <f>ROUND((D21*F21),2)-1</f>
        <v>363918346.83999997</v>
      </c>
      <c r="H21" s="1494"/>
      <c r="I21" s="1499"/>
      <c r="J21" s="1504"/>
      <c r="K21" s="1505"/>
      <c r="L21" s="1504"/>
    </row>
    <row r="22" spans="1:13" s="1305" customFormat="1" ht="22.15" customHeight="1">
      <c r="A22" s="1490"/>
      <c r="B22" s="1491" t="s">
        <v>2270</v>
      </c>
      <c r="C22" s="1498" t="s">
        <v>2259</v>
      </c>
      <c r="D22" s="1493">
        <f>SUMIF('sản lượng'!$AP$14:$AP$97,"B",'sản lượng'!$AO$14:$AO$97)</f>
        <v>56762.398313649006</v>
      </c>
      <c r="F22" s="1503">
        <f>5.8*J8</f>
        <v>3480</v>
      </c>
      <c r="G22" s="1493">
        <f>ROUND((D22*F22),2)</f>
        <v>197533146.13</v>
      </c>
      <c r="H22" s="1494"/>
      <c r="I22" s="1499"/>
      <c r="J22" s="1504"/>
      <c r="K22" s="1499"/>
    </row>
    <row r="23" spans="1:13" s="1305" customFormat="1" ht="22.15" customHeight="1">
      <c r="A23" s="1490"/>
      <c r="B23" s="1491" t="s">
        <v>2267</v>
      </c>
      <c r="C23" s="1498" t="s">
        <v>2259</v>
      </c>
      <c r="D23" s="1493">
        <f>SUMIF('sản lượng'!$AP$14:$AP$97,"C",'sản lượng'!$AO$14:$AO$97)+SUMIF('sản lượng'!$AP$14:$AP$97,"C.",'sản lượng'!$AO$14:$AO$97)</f>
        <v>5462.3797932541002</v>
      </c>
      <c r="F23" s="1503">
        <f>5.5*J8</f>
        <v>3300</v>
      </c>
      <c r="G23" s="1493">
        <f>ROUND((D23*F23),2)</f>
        <v>18025853.32</v>
      </c>
      <c r="H23" s="1494"/>
      <c r="I23" s="1499">
        <v>2612710</v>
      </c>
      <c r="J23" s="1504"/>
      <c r="K23" s="1499"/>
    </row>
    <row r="24" spans="1:13" s="1305" customFormat="1" ht="22.15" hidden="1" customHeight="1">
      <c r="A24" s="1490"/>
      <c r="B24" s="1491" t="s">
        <v>2271</v>
      </c>
      <c r="C24" s="1498" t="s">
        <v>2259</v>
      </c>
      <c r="D24" s="1493">
        <f>SUMIF('sản lượng'!$AP$14:$AP$97,"D",'sản lượng'!$AO$14:$AO$97)</f>
        <v>0</v>
      </c>
      <c r="F24" s="1503">
        <f>5.2*J8</f>
        <v>3120</v>
      </c>
      <c r="G24" s="1493">
        <f>ROUND((D24*F24),2)</f>
        <v>0</v>
      </c>
      <c r="H24" s="1494"/>
      <c r="I24" s="1499"/>
      <c r="J24" s="1504"/>
      <c r="K24" s="1499"/>
    </row>
    <row r="25" spans="1:13" s="1305" customFormat="1" ht="22.15" customHeight="1">
      <c r="A25" s="1490"/>
      <c r="B25" s="1491" t="s">
        <v>2275</v>
      </c>
      <c r="C25" s="1498" t="s">
        <v>2259</v>
      </c>
      <c r="D25" s="1493">
        <f>SIRUM!AJ14</f>
        <v>475.76400000000001</v>
      </c>
      <c r="E25" s="1494">
        <f>[7]THPT!E32</f>
        <v>0</v>
      </c>
      <c r="F25" s="1493">
        <f>6.1*$J$8</f>
        <v>3660</v>
      </c>
      <c r="G25" s="1493">
        <f t="shared" ref="G25" si="2">ROUND((D25*F25),0)</f>
        <v>1741296</v>
      </c>
      <c r="H25" s="1494"/>
      <c r="I25" s="1506"/>
      <c r="J25" s="1504"/>
    </row>
    <row r="26" spans="1:13" s="1305" customFormat="1" ht="22.15" customHeight="1">
      <c r="A26" s="1490"/>
      <c r="B26" s="1491" t="s">
        <v>3260</v>
      </c>
      <c r="C26" s="1498"/>
      <c r="D26" s="1493">
        <f>SUM(D27:D31)</f>
        <v>85834.077418174638</v>
      </c>
      <c r="F26" s="1493"/>
      <c r="G26" s="1493">
        <f>SUM(G27:G31)</f>
        <v>303635464.78000003</v>
      </c>
      <c r="H26" s="1494"/>
      <c r="I26" s="1499">
        <f>'TRẠM 2'!N90</f>
        <v>303635465</v>
      </c>
      <c r="J26" s="1504">
        <f>I26-G26</f>
        <v>0.21999996900558472</v>
      </c>
      <c r="K26" s="1507"/>
      <c r="L26" s="1500"/>
      <c r="M26" s="1501"/>
    </row>
    <row r="27" spans="1:13" s="1305" customFormat="1" ht="22.15" customHeight="1">
      <c r="A27" s="1490"/>
      <c r="B27" s="1491" t="s">
        <v>2265</v>
      </c>
      <c r="C27" s="1502" t="s">
        <v>2259</v>
      </c>
      <c r="D27" s="1493">
        <f>SUMIF('sản lượng'!$AP$99:$AP$169,"A",'sản lượng'!$AO$99:$AO$169)</f>
        <v>35292.238573396477</v>
      </c>
      <c r="F27" s="1503">
        <f>6.1*J8</f>
        <v>3660</v>
      </c>
      <c r="G27" s="1493">
        <f>ROUND((D27*F27),2)+1.5</f>
        <v>129169594.68000001</v>
      </c>
      <c r="H27" s="1494"/>
      <c r="I27" s="1499"/>
      <c r="J27" s="1504"/>
      <c r="K27" s="1505"/>
      <c r="L27" s="1504"/>
    </row>
    <row r="28" spans="1:13" s="1305" customFormat="1" ht="22.15" customHeight="1">
      <c r="A28" s="1490"/>
      <c r="B28" s="1491" t="s">
        <v>2270</v>
      </c>
      <c r="C28" s="1498" t="s">
        <v>2259</v>
      </c>
      <c r="D28" s="1493">
        <f>SUMIF('sản lượng'!$AP$99:$AP$169,"B",'sản lượng'!$AO$99:$AO$169)</f>
        <v>41990.438936358994</v>
      </c>
      <c r="F28" s="1503">
        <f>5.8*J8</f>
        <v>3480</v>
      </c>
      <c r="G28" s="1493">
        <f>ROUND((D28*F28),2)</f>
        <v>146126727.5</v>
      </c>
      <c r="H28" s="1494"/>
      <c r="I28" s="1499">
        <v>437719</v>
      </c>
      <c r="J28" s="1504"/>
    </row>
    <row r="29" spans="1:13" s="1305" customFormat="1" ht="22.15" customHeight="1">
      <c r="A29" s="1490"/>
      <c r="B29" s="1491" t="s">
        <v>2273</v>
      </c>
      <c r="C29" s="1498" t="s">
        <v>2259</v>
      </c>
      <c r="D29" s="1493">
        <f>SUMIF('sản lượng'!$AP$99:$AP$169,"C",'sản lượng'!$AO$99:$AO$169)+SUMIF('sản lượng'!$AP$99:$AP$169,"C.",'sản lượng'!$AO$99:$AO$169)</f>
        <v>8219.3929084191586</v>
      </c>
      <c r="F29" s="1503">
        <f>5.5*J8</f>
        <v>3300</v>
      </c>
      <c r="G29" s="1493">
        <f>ROUND((D29*F29),2)</f>
        <v>27123996.600000001</v>
      </c>
      <c r="H29" s="1494"/>
      <c r="I29" s="1499"/>
      <c r="J29" s="1504"/>
      <c r="K29" s="1499"/>
    </row>
    <row r="30" spans="1:13" s="1305" customFormat="1" ht="22.15" hidden="1" customHeight="1">
      <c r="A30" s="1490"/>
      <c r="B30" s="1491" t="s">
        <v>2271</v>
      </c>
      <c r="C30" s="1498" t="s">
        <v>2259</v>
      </c>
      <c r="D30" s="1493">
        <f>SUMIF('sản lượng'!$AP$99:$AP$169,"D",'sản lượng'!$AO$99:$AO$169)</f>
        <v>0</v>
      </c>
      <c r="E30" s="1494" t="e">
        <f>SUMIF('sản lượng'!$AP$99:$AP$169,"D",'sản lượng'!$AL$99:$AL$169)+SUMIF('sản lượng'!#REF!,"D",'sản lượng'!#REF!)+SUMIF('sản lượng'!#REF!,"D",'sản lượng'!#REF!)</f>
        <v>#REF!</v>
      </c>
      <c r="F30" s="1503">
        <f>5.2*J8</f>
        <v>3120</v>
      </c>
      <c r="G30" s="1493">
        <f t="shared" ref="G30" si="3">ROUND((D30*F30),2)</f>
        <v>0</v>
      </c>
      <c r="H30" s="1494"/>
      <c r="I30" s="1499"/>
      <c r="J30" s="1504"/>
      <c r="K30" s="1499"/>
    </row>
    <row r="31" spans="1:13" s="1305" customFormat="1" ht="22.15" customHeight="1">
      <c r="A31" s="1490"/>
      <c r="B31" s="1491" t="s">
        <v>2275</v>
      </c>
      <c r="C31" s="1498" t="s">
        <v>2259</v>
      </c>
      <c r="D31" s="1493">
        <f>SIRUM!AJ16</f>
        <v>332.00699999999989</v>
      </c>
      <c r="E31" s="1494">
        <f>[7]THPT!E38</f>
        <v>0</v>
      </c>
      <c r="F31" s="1493">
        <f>6.1*$J$8</f>
        <v>3660</v>
      </c>
      <c r="G31" s="1493">
        <f t="shared" ref="G31" si="4">ROUND((D31*F31),0)</f>
        <v>1215146</v>
      </c>
      <c r="H31" s="1494"/>
      <c r="I31" s="1506"/>
      <c r="J31" s="1504"/>
    </row>
    <row r="32" spans="1:13" s="1305" customFormat="1" ht="22.15" customHeight="1">
      <c r="A32" s="1490" t="s">
        <v>2276</v>
      </c>
      <c r="B32" s="1491" t="s">
        <v>2277</v>
      </c>
      <c r="C32" s="1508" t="s">
        <v>2278</v>
      </c>
      <c r="D32" s="1493">
        <f>SUM(D33:D37)</f>
        <v>4160</v>
      </c>
      <c r="E32" s="1493"/>
      <c r="F32" s="1493"/>
      <c r="G32" s="1493">
        <f>SUM(G33:G38)</f>
        <v>189889840</v>
      </c>
      <c r="H32" s="1494"/>
      <c r="I32" s="1506">
        <f>'TH LƯƠNG'!S19</f>
        <v>189889840</v>
      </c>
      <c r="J32" s="1506">
        <f>I32-G32</f>
        <v>0</v>
      </c>
      <c r="K32" s="2308">
        <f>G32/25000</f>
        <v>7595.5936000000002</v>
      </c>
      <c r="L32" s="1509"/>
      <c r="M32" s="1504"/>
    </row>
    <row r="33" spans="1:14" s="1305" customFormat="1" ht="22.15" customHeight="1">
      <c r="A33" s="1490"/>
      <c r="B33" s="1491" t="s">
        <v>2151</v>
      </c>
      <c r="C33" s="1508" t="s">
        <v>2278</v>
      </c>
      <c r="D33" s="1493">
        <f>'TRẠM 1'!O108+'TRẠM 2'!O90</f>
        <v>3192</v>
      </c>
      <c r="E33" s="1493"/>
      <c r="F33" s="1493">
        <f>46.1*$J$9</f>
        <v>30792.956000000002</v>
      </c>
      <c r="G33" s="1493">
        <f>ROUND((D33*F33),0)-27</f>
        <v>98291089</v>
      </c>
      <c r="H33" s="1494"/>
      <c r="I33" s="1495">
        <f>G33/25000</f>
        <v>3931.64356</v>
      </c>
      <c r="J33" s="1495">
        <f>G32/25000</f>
        <v>7595.5936000000002</v>
      </c>
      <c r="K33" s="1506"/>
    </row>
    <row r="34" spans="1:14" s="1511" customFormat="1" ht="22.15" customHeight="1">
      <c r="A34" s="1490"/>
      <c r="B34" s="1491" t="s">
        <v>2152</v>
      </c>
      <c r="C34" s="1508" t="s">
        <v>2278</v>
      </c>
      <c r="D34" s="1493">
        <f>'TRẠM 1'!P108+'TRẠM 2'!P90</f>
        <v>508</v>
      </c>
      <c r="E34" s="1493"/>
      <c r="F34" s="1493">
        <f>76.9*$J$9</f>
        <v>51366.124000000003</v>
      </c>
      <c r="G34" s="1493">
        <f t="shared" ref="G34:G37" si="5">ROUND((D34*F34),0)</f>
        <v>26093991</v>
      </c>
      <c r="H34" s="1494"/>
      <c r="I34" s="1495">
        <f t="shared" ref="I34:I38" si="6">G34/25000</f>
        <v>1043.75964</v>
      </c>
      <c r="J34" s="1510"/>
    </row>
    <row r="35" spans="1:14" s="1511" customFormat="1" ht="22.15" customHeight="1">
      <c r="A35" s="1490"/>
      <c r="B35" s="1491" t="s">
        <v>3302</v>
      </c>
      <c r="C35" s="1508" t="s">
        <v>2278</v>
      </c>
      <c r="D35" s="1493">
        <f>'TRẠM 1'!Q108+'TRẠM 2'!Q90</f>
        <v>230</v>
      </c>
      <c r="E35" s="1493"/>
      <c r="F35" s="1493">
        <f>92.2*$J$9</f>
        <v>61585.912000000004</v>
      </c>
      <c r="G35" s="1493">
        <f t="shared" si="5"/>
        <v>14164760</v>
      </c>
      <c r="H35" s="1494"/>
      <c r="I35" s="1495">
        <f t="shared" si="6"/>
        <v>566.59040000000005</v>
      </c>
      <c r="J35" s="1510"/>
    </row>
    <row r="36" spans="1:14" s="1511" customFormat="1" ht="22.15" hidden="1" customHeight="1">
      <c r="A36" s="1490"/>
      <c r="B36" s="1491" t="s">
        <v>3336</v>
      </c>
      <c r="C36" s="1508" t="s">
        <v>2278</v>
      </c>
      <c r="D36" s="1493">
        <f>'TRẠM 1'!R108+'TRẠM 2'!R90</f>
        <v>0</v>
      </c>
      <c r="E36" s="1493"/>
      <c r="F36" s="1493">
        <f>153.8*$J$9</f>
        <v>102732.24800000001</v>
      </c>
      <c r="G36" s="1493">
        <f t="shared" si="5"/>
        <v>0</v>
      </c>
      <c r="H36" s="1494"/>
      <c r="I36" s="1495">
        <f t="shared" si="6"/>
        <v>0</v>
      </c>
      <c r="J36" s="1510"/>
    </row>
    <row r="37" spans="1:14" s="1511" customFormat="1" ht="22.15" customHeight="1">
      <c r="A37" s="1490"/>
      <c r="B37" s="1491" t="s">
        <v>3334</v>
      </c>
      <c r="C37" s="1508" t="s">
        <v>2278</v>
      </c>
      <c r="D37" s="1493">
        <f>'TRẠM 1'!S108+'TRẠM 2'!S90</f>
        <v>230</v>
      </c>
      <c r="E37" s="1493"/>
      <c r="F37" s="1493">
        <v>100000</v>
      </c>
      <c r="G37" s="1493">
        <f t="shared" si="5"/>
        <v>23000000</v>
      </c>
      <c r="H37" s="1494"/>
      <c r="I37" s="1495">
        <f t="shared" si="6"/>
        <v>920</v>
      </c>
      <c r="J37" s="1512"/>
    </row>
    <row r="38" spans="1:14" s="2021" customFormat="1" ht="22.15" customHeight="1">
      <c r="A38" s="1490"/>
      <c r="B38" s="1491" t="s">
        <v>3337</v>
      </c>
      <c r="C38" s="1508" t="s">
        <v>3318</v>
      </c>
      <c r="D38" s="1493">
        <f>'TRẠM 2'!V90</f>
        <v>1417</v>
      </c>
      <c r="E38" s="1493"/>
      <c r="F38" s="1493">
        <v>20000</v>
      </c>
      <c r="G38" s="1493">
        <f>ROUND((D38*F38),0)</f>
        <v>28340000</v>
      </c>
      <c r="H38" s="1494"/>
      <c r="I38" s="1495">
        <f t="shared" si="6"/>
        <v>1133.5999999999999</v>
      </c>
    </row>
    <row r="39" spans="1:14" s="1305" customFormat="1" ht="22.15" customHeight="1">
      <c r="A39" s="1490" t="s">
        <v>2281</v>
      </c>
      <c r="B39" s="1491" t="s">
        <v>2282</v>
      </c>
      <c r="C39" s="1508" t="s">
        <v>2278</v>
      </c>
      <c r="D39" s="1513">
        <f>'TRẠM 1'!F108+'TRẠM 2'!F90</f>
        <v>0</v>
      </c>
      <c r="E39" s="1493"/>
      <c r="F39" s="1493">
        <v>25000</v>
      </c>
      <c r="G39" s="1493">
        <f>+D39*F39</f>
        <v>0</v>
      </c>
      <c r="H39" s="1494"/>
      <c r="I39" s="1506"/>
      <c r="J39" s="1506"/>
      <c r="K39" s="1499"/>
      <c r="L39" s="1499"/>
    </row>
    <row r="40" spans="1:14" s="1315" customFormat="1" ht="22.15" customHeight="1">
      <c r="A40" s="1490">
        <v>2</v>
      </c>
      <c r="B40" s="1491" t="s">
        <v>2283</v>
      </c>
      <c r="C40" s="1508" t="s">
        <v>2278</v>
      </c>
      <c r="D40" s="1493">
        <f>'LƯƠNG ĐỘI'!K13/25000</f>
        <v>208</v>
      </c>
      <c r="E40" s="1493"/>
      <c r="F40" s="1493">
        <v>25000</v>
      </c>
      <c r="G40" s="1493">
        <f>+D40*F40</f>
        <v>5200000</v>
      </c>
      <c r="H40" s="1486"/>
      <c r="I40" s="1487"/>
      <c r="L40" s="1514"/>
      <c r="N40" s="1514"/>
    </row>
    <row r="41" spans="1:14" s="1315" customFormat="1" ht="22.15" hidden="1" customHeight="1">
      <c r="A41" s="1515" t="s">
        <v>2216</v>
      </c>
      <c r="B41" s="1483" t="s">
        <v>2284</v>
      </c>
      <c r="C41" s="1508" t="s">
        <v>2278</v>
      </c>
      <c r="D41" s="1485"/>
      <c r="E41" s="1485"/>
      <c r="F41" s="1493">
        <v>25000</v>
      </c>
      <c r="G41" s="1493">
        <f t="shared" ref="G41:G42" si="7">+D41*F41</f>
        <v>0</v>
      </c>
      <c r="H41" s="1486"/>
      <c r="I41" s="1487"/>
      <c r="J41" s="1487"/>
      <c r="L41" s="1514"/>
      <c r="N41" s="1514"/>
    </row>
    <row r="42" spans="1:14" s="1305" customFormat="1" ht="22.15" hidden="1" customHeight="1">
      <c r="A42" s="1490">
        <v>1</v>
      </c>
      <c r="B42" s="1491" t="s">
        <v>2285</v>
      </c>
      <c r="C42" s="1508" t="s">
        <v>2278</v>
      </c>
      <c r="D42" s="1494">
        <f>[7]KTCB!D13</f>
        <v>0</v>
      </c>
      <c r="E42" s="1493"/>
      <c r="F42" s="1493">
        <v>25000</v>
      </c>
      <c r="G42" s="1493">
        <f t="shared" si="7"/>
        <v>0</v>
      </c>
      <c r="H42" s="1494"/>
      <c r="I42" s="1506"/>
      <c r="J42" s="1506"/>
      <c r="L42" s="1504"/>
      <c r="N42" s="1504"/>
    </row>
    <row r="43" spans="1:14" s="1315" customFormat="1" ht="22.15" customHeight="1">
      <c r="A43" s="1515" t="s">
        <v>2216</v>
      </c>
      <c r="B43" s="1483" t="s">
        <v>3435</v>
      </c>
      <c r="C43" s="1508" t="s">
        <v>2278</v>
      </c>
      <c r="D43" s="1494">
        <v>727.53</v>
      </c>
      <c r="E43" s="1485"/>
      <c r="F43" s="1493">
        <v>25000</v>
      </c>
      <c r="G43" s="1485">
        <f>'LƯƠNG ĐỘI'!K17</f>
        <v>18188250</v>
      </c>
      <c r="H43" s="1486"/>
      <c r="I43" s="1487">
        <f>G43/25000</f>
        <v>727.53</v>
      </c>
      <c r="J43" s="1487"/>
      <c r="L43" s="1514"/>
      <c r="N43" s="1514"/>
    </row>
    <row r="44" spans="1:14" s="1315" customFormat="1" ht="22.15" customHeight="1">
      <c r="A44" s="1515" t="s">
        <v>2286</v>
      </c>
      <c r="B44" s="1483" t="s">
        <v>3275</v>
      </c>
      <c r="C44" s="1508"/>
      <c r="D44" s="1954"/>
      <c r="E44" s="1493"/>
      <c r="F44" s="1493"/>
      <c r="G44" s="1485">
        <f>SUM(G45:G46)</f>
        <v>11626792.003584843</v>
      </c>
      <c r="H44" s="1486"/>
      <c r="I44" s="1487"/>
      <c r="J44" s="1517"/>
      <c r="K44" s="1487"/>
      <c r="L44" s="1514"/>
      <c r="N44" s="1514"/>
    </row>
    <row r="45" spans="1:14" s="1315" customFormat="1" ht="22.15" customHeight="1">
      <c r="A45" s="1490">
        <v>1</v>
      </c>
      <c r="B45" s="1491" t="s">
        <v>3276</v>
      </c>
      <c r="C45" s="1508"/>
      <c r="D45" s="1954"/>
      <c r="E45" s="1493"/>
      <c r="F45" s="1493"/>
      <c r="G45" s="1493">
        <f>'CÁCH TÍNH LƯƠNG'!T21</f>
        <v>6626792.0035848441</v>
      </c>
      <c r="H45" s="1486"/>
      <c r="I45" s="1487"/>
      <c r="J45" s="1517"/>
      <c r="K45" s="1487"/>
      <c r="L45" s="1514"/>
      <c r="N45" s="1514"/>
    </row>
    <row r="46" spans="1:14" s="1315" customFormat="1" ht="22.15" customHeight="1">
      <c r="A46" s="1490">
        <v>2</v>
      </c>
      <c r="B46" s="1491" t="s">
        <v>3277</v>
      </c>
      <c r="C46" s="1508"/>
      <c r="D46" s="1954"/>
      <c r="E46" s="1493"/>
      <c r="F46" s="1493"/>
      <c r="G46" s="1493">
        <v>5000000</v>
      </c>
      <c r="H46" s="1486"/>
      <c r="I46" s="1487"/>
      <c r="J46" s="1517"/>
      <c r="K46" s="1487"/>
      <c r="L46" s="1514"/>
      <c r="N46" s="1514"/>
    </row>
    <row r="47" spans="1:14" s="1305" customFormat="1" ht="21.95" customHeight="1">
      <c r="A47" s="2794" t="s">
        <v>2292</v>
      </c>
      <c r="B47" s="2794"/>
      <c r="C47" s="1516"/>
      <c r="D47" s="1485"/>
      <c r="E47" s="1493"/>
      <c r="F47" s="1493"/>
      <c r="G47" s="1995">
        <f>G12+G43+G44</f>
        <v>1109758989.073585</v>
      </c>
      <c r="H47" s="1486"/>
      <c r="I47" s="1517">
        <f>G47-'[4]BẢNG PHÂN TOÁN '!$G$47</f>
        <v>-9985697.9606771469</v>
      </c>
      <c r="J47" s="1517"/>
      <c r="K47" s="1507"/>
      <c r="L47" s="1507"/>
      <c r="M47" s="1504"/>
    </row>
    <row r="48" spans="1:14" ht="25.5" customHeight="1">
      <c r="A48" s="2795" t="s">
        <v>3485</v>
      </c>
      <c r="B48" s="2795"/>
      <c r="C48" s="2795"/>
      <c r="D48" s="2795"/>
      <c r="E48" s="2795"/>
      <c r="F48" s="2795"/>
      <c r="G48" s="2795"/>
      <c r="H48" s="2795"/>
      <c r="I48" s="200"/>
      <c r="K48" s="200"/>
      <c r="L48" s="498"/>
    </row>
    <row r="49" spans="1:10" s="196" customFormat="1" ht="26.25" customHeight="1">
      <c r="A49" s="1343"/>
      <c r="B49" s="1343"/>
      <c r="C49" s="1343"/>
      <c r="D49" s="481"/>
      <c r="E49" s="482"/>
      <c r="F49" s="2796" t="s">
        <v>3473</v>
      </c>
      <c r="G49" s="2796"/>
      <c r="H49" s="2796"/>
      <c r="J49" s="226"/>
    </row>
    <row r="50" spans="1:10" s="196" customFormat="1" ht="4.1500000000000004" customHeight="1">
      <c r="A50" s="1341"/>
      <c r="B50" s="1341"/>
      <c r="C50" s="1341"/>
      <c r="D50" s="1340"/>
      <c r="E50" s="482"/>
      <c r="F50" s="484"/>
      <c r="G50" s="228"/>
      <c r="H50" s="1342"/>
      <c r="I50" s="499"/>
    </row>
    <row r="51" spans="1:10" s="1315" customFormat="1" ht="16.5">
      <c r="A51" s="2012" t="s">
        <v>3050</v>
      </c>
      <c r="B51" s="2011"/>
      <c r="C51" s="1518"/>
      <c r="D51" s="1518"/>
      <c r="E51" s="1518"/>
      <c r="F51" s="1518"/>
      <c r="G51" s="1316"/>
      <c r="H51" s="1519"/>
      <c r="I51" s="1520"/>
    </row>
    <row r="52" spans="1:10" s="196" customFormat="1" ht="18.75">
      <c r="A52" s="1341"/>
      <c r="B52" s="1341"/>
      <c r="C52" s="1341"/>
      <c r="D52" s="1340"/>
      <c r="E52" s="482"/>
      <c r="F52" s="484"/>
      <c r="G52" s="228"/>
      <c r="H52" s="1342"/>
      <c r="I52" s="499"/>
      <c r="J52" s="499"/>
    </row>
    <row r="53" spans="1:10" s="196" customFormat="1" ht="18.75">
      <c r="A53" s="1341"/>
      <c r="B53" s="1341"/>
      <c r="C53" s="1341"/>
      <c r="D53" s="1340"/>
      <c r="E53" s="482"/>
      <c r="F53" s="484"/>
      <c r="G53" s="228"/>
      <c r="H53" s="1342"/>
    </row>
    <row r="54" spans="1:10" s="196" customFormat="1" ht="18.75">
      <c r="A54" s="1341"/>
      <c r="B54" s="1341"/>
      <c r="C54" s="1341"/>
      <c r="D54" s="1340"/>
      <c r="E54" s="482"/>
      <c r="F54" s="484"/>
      <c r="G54" s="228"/>
      <c r="H54" s="1342"/>
    </row>
    <row r="55" spans="1:10" s="196" customFormat="1" ht="18.75">
      <c r="A55" s="1341"/>
      <c r="B55" s="1341"/>
      <c r="C55" s="1341"/>
      <c r="D55" s="1340"/>
      <c r="E55" s="482"/>
      <c r="F55" s="484"/>
      <c r="G55" s="228"/>
      <c r="H55" s="1342"/>
      <c r="J55" s="499"/>
    </row>
    <row r="56" spans="1:10" s="196" customFormat="1" ht="18.75" hidden="1">
      <c r="A56" s="1341"/>
      <c r="B56" s="1341"/>
      <c r="C56" s="1341"/>
      <c r="D56" s="1340"/>
      <c r="E56" s="482"/>
      <c r="F56" s="2791"/>
      <c r="G56" s="2791"/>
      <c r="H56" s="1339"/>
    </row>
    <row r="57" spans="1:10" hidden="1">
      <c r="A57" s="1337"/>
      <c r="B57" s="1337"/>
      <c r="C57" s="1337"/>
      <c r="D57" s="1336"/>
      <c r="E57" s="1337"/>
      <c r="F57" s="1338"/>
      <c r="G57" s="234"/>
      <c r="H57" s="1338"/>
    </row>
    <row r="58" spans="1:10" hidden="1">
      <c r="A58" s="1337"/>
      <c r="B58" s="1335"/>
      <c r="C58" s="1337"/>
      <c r="D58" s="1336"/>
      <c r="E58" s="1335"/>
      <c r="F58" s="1334"/>
      <c r="G58" s="237"/>
      <c r="H58" s="1334"/>
    </row>
    <row r="59" spans="1:10" hidden="1"/>
    <row r="60" spans="1:10" hidden="1"/>
    <row r="61" spans="1:10" hidden="1"/>
    <row r="63" spans="1:10">
      <c r="I63" s="219"/>
    </row>
    <row r="66" spans="9:10">
      <c r="I66" s="219"/>
      <c r="J66" s="219"/>
    </row>
    <row r="68" spans="9:10">
      <c r="I68" s="219"/>
      <c r="J68" s="219"/>
    </row>
  </sheetData>
  <mergeCells count="11">
    <mergeCell ref="A1:H1"/>
    <mergeCell ref="A2:H2"/>
    <mergeCell ref="A3:H3"/>
    <mergeCell ref="A4:D4"/>
    <mergeCell ref="A5:D5"/>
    <mergeCell ref="F56:G56"/>
    <mergeCell ref="A8:H8"/>
    <mergeCell ref="A9:H9"/>
    <mergeCell ref="A47:B47"/>
    <mergeCell ref="A48:H48"/>
    <mergeCell ref="F49:H49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7" zoomScaleSheetLayoutView="85" workbookViewId="0">
      <selection activeCell="A14" sqref="A14:H14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 ht="23.25" customHeight="1">
      <c r="A1" s="2801" t="s">
        <v>617</v>
      </c>
      <c r="B1" s="2801"/>
      <c r="C1" s="2801"/>
      <c r="D1" s="2801"/>
      <c r="E1" s="2801"/>
      <c r="F1" s="2801"/>
      <c r="G1" s="2801"/>
      <c r="H1" s="2801"/>
    </row>
    <row r="2" spans="1:13" ht="23.25" customHeight="1">
      <c r="A2" s="2801" t="s">
        <v>618</v>
      </c>
      <c r="B2" s="2801"/>
      <c r="C2" s="2801"/>
      <c r="D2" s="2801"/>
      <c r="E2" s="2801"/>
      <c r="F2" s="2801"/>
      <c r="G2" s="2801"/>
      <c r="H2" s="2801"/>
    </row>
    <row r="3" spans="1:13">
      <c r="A3" s="2805" t="s">
        <v>619</v>
      </c>
      <c r="B3" s="2801"/>
      <c r="C3" s="2801"/>
      <c r="D3" s="2801"/>
      <c r="E3" s="2801"/>
      <c r="F3" s="2801"/>
      <c r="G3" s="2801"/>
      <c r="H3" s="2801"/>
    </row>
    <row r="4" spans="1:13">
      <c r="A4" s="313" t="s">
        <v>3244</v>
      </c>
    </row>
    <row r="5" spans="1:13">
      <c r="A5" s="2801" t="s">
        <v>3261</v>
      </c>
      <c r="B5" s="2801"/>
      <c r="C5" s="2801"/>
      <c r="D5" s="2801"/>
      <c r="E5" s="2801"/>
      <c r="F5" s="312"/>
      <c r="G5" s="312"/>
      <c r="H5" s="312"/>
    </row>
    <row r="6" spans="1:13">
      <c r="A6" s="2801"/>
      <c r="B6" s="2801"/>
      <c r="C6" s="2801"/>
      <c r="D6" s="2801"/>
      <c r="E6" s="2801"/>
      <c r="F6" s="2801"/>
      <c r="G6" s="2801"/>
      <c r="H6" s="2801"/>
    </row>
    <row r="7" spans="1:13" ht="20.25">
      <c r="A7" s="2806" t="s">
        <v>3464</v>
      </c>
      <c r="B7" s="2806"/>
      <c r="C7" s="2806"/>
      <c r="D7" s="2806"/>
      <c r="E7" s="2806"/>
      <c r="F7" s="2806"/>
      <c r="G7" s="2806"/>
      <c r="H7" s="2806"/>
      <c r="I7" s="314"/>
    </row>
    <row r="8" spans="1:13">
      <c r="I8" s="327"/>
      <c r="J8" s="327">
        <v>31</v>
      </c>
    </row>
    <row r="9" spans="1:13" ht="39" customHeight="1">
      <c r="A9" s="1251" t="s">
        <v>6</v>
      </c>
      <c r="B9" s="1345" t="s">
        <v>624</v>
      </c>
      <c r="C9" s="2807" t="s">
        <v>2307</v>
      </c>
      <c r="D9" s="2808"/>
      <c r="E9" s="1345" t="s">
        <v>2308</v>
      </c>
      <c r="F9" s="1345" t="s">
        <v>2428</v>
      </c>
      <c r="G9" s="1345" t="s">
        <v>2429</v>
      </c>
      <c r="H9" s="1346" t="s">
        <v>2026</v>
      </c>
      <c r="I9" s="328"/>
    </row>
    <row r="10" spans="1:13" s="311" customFormat="1" ht="49.5" customHeight="1">
      <c r="A10" s="1347">
        <v>1</v>
      </c>
      <c r="B10" s="1332" t="s">
        <v>1853</v>
      </c>
      <c r="C10" s="1333"/>
      <c r="D10" s="1333" t="str">
        <f>'CÁCH TÍNH LƯƠNG'!C21</f>
        <v>Buonkhune Apat</v>
      </c>
      <c r="E10" s="1333" t="s">
        <v>3024</v>
      </c>
      <c r="F10" s="1348">
        <f>'CÁCH TÍNH LƯƠNG'!T21</f>
        <v>6626792.0035848441</v>
      </c>
      <c r="G10" s="1983">
        <f>IF(F10&gt;65000000,((F10-65000000)*25%+10685000),IF(F10&gt;25000000,((F10-25000000)*20%+2685000),IF(F10&gt;15000000,((F10-15000000)*15%+1185000),IF(F10&gt;5000000,(F10-5000000)*10%+185000,IF(F10&gt;1300000,(F10-1300000)*5%,0)))))</f>
        <v>347679.20035848441</v>
      </c>
      <c r="H10" s="1349"/>
      <c r="I10" s="329"/>
      <c r="J10" s="330" t="s">
        <v>2434</v>
      </c>
      <c r="K10" s="331" t="s">
        <v>2435</v>
      </c>
      <c r="L10" s="330"/>
      <c r="M10" s="331"/>
    </row>
    <row r="11" spans="1:13" s="1982" customFormat="1" ht="49.5" customHeight="1">
      <c r="A11" s="1347">
        <v>2</v>
      </c>
      <c r="B11" s="1332"/>
      <c r="C11" s="1333"/>
      <c r="D11" s="1333" t="str">
        <f>'PC NGƯỜI VIỆT'!B12</f>
        <v>Nguyễn Thị Thu Trang</v>
      </c>
      <c r="E11" s="1333" t="str">
        <f>'PC NGƯỜI VIỆT'!C12</f>
        <v>CNKT</v>
      </c>
      <c r="F11" s="1348">
        <f>'PC NGƯỜI VIỆT'!F12</f>
        <v>2500000</v>
      </c>
      <c r="G11" s="1983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49"/>
      <c r="I11" s="329"/>
      <c r="J11" s="330"/>
      <c r="K11" s="331"/>
      <c r="L11" s="330"/>
      <c r="M11" s="331"/>
    </row>
    <row r="12" spans="1:13" s="1982" customFormat="1" ht="49.5" customHeight="1">
      <c r="A12" s="1347">
        <v>3</v>
      </c>
      <c r="B12" s="1332"/>
      <c r="C12" s="1333"/>
      <c r="D12" s="1985" t="str">
        <f>'PC NGƯỜI VIỆT'!B13</f>
        <v>Hà Đức Văn</v>
      </c>
      <c r="E12" s="1333" t="str">
        <f>'PC NGƯỜI VIỆT'!C13</f>
        <v>CNKT</v>
      </c>
      <c r="F12" s="1348">
        <f>'PC NGƯỜI VIỆT'!F13</f>
        <v>2500000</v>
      </c>
      <c r="G12" s="1983">
        <f t="shared" si="0"/>
        <v>60000</v>
      </c>
      <c r="H12" s="1349"/>
      <c r="I12" s="329"/>
      <c r="J12" s="330"/>
      <c r="K12" s="331"/>
      <c r="L12" s="330"/>
      <c r="M12" s="331"/>
    </row>
    <row r="13" spans="1:13" s="311" customFormat="1" ht="28.5" customHeight="1">
      <c r="A13" s="2802" t="s">
        <v>608</v>
      </c>
      <c r="B13" s="2802"/>
      <c r="C13" s="2802"/>
      <c r="D13" s="2802"/>
      <c r="E13" s="2802"/>
      <c r="F13" s="1350">
        <f>SUM(F10:F12)</f>
        <v>11626792.003584843</v>
      </c>
      <c r="G13" s="1986">
        <f>SUM(G10:G12)</f>
        <v>467679.20035848441</v>
      </c>
      <c r="H13" s="1251"/>
      <c r="I13" s="332" t="e">
        <f>+#REF!/25</f>
        <v>#REF!</v>
      </c>
      <c r="J13" s="333"/>
      <c r="K13" s="331">
        <f>14*1200</f>
        <v>16800</v>
      </c>
      <c r="L13" s="334">
        <f>1700/31*26</f>
        <v>1425.8064516129032</v>
      </c>
      <c r="M13" s="331"/>
    </row>
    <row r="14" spans="1:13" s="312" customFormat="1" ht="28.5" customHeight="1">
      <c r="A14" s="2803" t="s">
        <v>3486</v>
      </c>
      <c r="B14" s="2803"/>
      <c r="C14" s="2803"/>
      <c r="D14" s="2803"/>
      <c r="E14" s="2803"/>
      <c r="F14" s="2803"/>
      <c r="G14" s="2803"/>
      <c r="H14" s="2803"/>
      <c r="I14" s="325"/>
      <c r="J14" s="335"/>
      <c r="L14" s="336" t="e">
        <f>+L13/25+#REF!</f>
        <v>#REF!</v>
      </c>
    </row>
    <row r="15" spans="1:13" s="312" customFormat="1">
      <c r="E15" s="314"/>
      <c r="F15" s="314"/>
      <c r="G15" s="314"/>
      <c r="H15" s="314"/>
      <c r="I15" s="312">
        <f>900*14</f>
        <v>12600</v>
      </c>
      <c r="J15" s="335"/>
    </row>
    <row r="16" spans="1:13" ht="23.25" customHeight="1">
      <c r="A16" s="325"/>
      <c r="B16" s="325"/>
      <c r="D16" s="326"/>
      <c r="F16" s="2804" t="s">
        <v>3454</v>
      </c>
      <c r="G16" s="2804"/>
      <c r="H16" s="2804"/>
      <c r="I16" s="337"/>
      <c r="J16" s="338"/>
      <c r="K16" s="339">
        <f>+F13*20</f>
        <v>232535840.07169688</v>
      </c>
      <c r="L16" s="340" t="e">
        <f>+#REF!</f>
        <v>#REF!</v>
      </c>
    </row>
    <row r="17" spans="1:21" s="312" customFormat="1" ht="23.25" customHeight="1">
      <c r="I17" s="314"/>
    </row>
    <row r="18" spans="1:21" s="1549" customFormat="1">
      <c r="A18" s="2800" t="s">
        <v>3014</v>
      </c>
      <c r="B18" s="2800"/>
      <c r="C18" s="2800"/>
      <c r="D18" s="2800"/>
      <c r="E18" s="2800" t="s">
        <v>2988</v>
      </c>
      <c r="F18" s="2800"/>
      <c r="G18" s="2800" t="s">
        <v>612</v>
      </c>
      <c r="H18" s="2800"/>
      <c r="I18" s="1550"/>
      <c r="J18" s="1550"/>
      <c r="K18" s="1550"/>
      <c r="L18" s="1550"/>
      <c r="M18" s="1550"/>
      <c r="O18" s="1550"/>
      <c r="P18" s="1550"/>
      <c r="Q18" s="1550"/>
      <c r="R18" s="1550"/>
      <c r="S18" s="1550"/>
      <c r="T18" s="1548"/>
      <c r="U18" s="1550"/>
    </row>
    <row r="19" spans="1:21" s="1549" customFormat="1">
      <c r="J19" s="1551"/>
    </row>
    <row r="20" spans="1:21" s="1549" customFormat="1">
      <c r="J20" s="1551"/>
    </row>
    <row r="21" spans="1:21" s="1549" customFormat="1" ht="57.75" customHeight="1">
      <c r="J21" s="1551"/>
    </row>
    <row r="22" spans="1:21" s="1549" customFormat="1">
      <c r="G22" s="2800"/>
      <c r="H22" s="2800"/>
      <c r="I22" s="1550"/>
      <c r="J22" s="1551"/>
    </row>
    <row r="23" spans="1:21" s="1550" customFormat="1">
      <c r="A23" s="2800"/>
      <c r="B23" s="2800"/>
      <c r="C23" s="2800"/>
      <c r="D23" s="2800"/>
      <c r="E23" s="2800"/>
      <c r="F23" s="2800"/>
      <c r="J23" s="1584"/>
    </row>
    <row r="24" spans="1:21" s="1549" customFormat="1">
      <c r="J24" s="1551"/>
      <c r="Q24" s="2800"/>
      <c r="R24" s="2800"/>
      <c r="S24" s="2800"/>
      <c r="T24" s="1548"/>
    </row>
    <row r="25" spans="1:21" s="1549" customFormat="1">
      <c r="J25" s="1551"/>
    </row>
    <row r="26" spans="1:21" s="1550" customFormat="1" ht="24" customHeight="1">
      <c r="A26" s="2800" t="s">
        <v>3045</v>
      </c>
      <c r="B26" s="2800"/>
      <c r="C26" s="2800"/>
      <c r="D26" s="2800"/>
      <c r="E26" s="2800"/>
      <c r="F26" s="2800" t="s">
        <v>616</v>
      </c>
      <c r="G26" s="2800"/>
      <c r="H26" s="2800"/>
      <c r="J26" s="1584"/>
    </row>
  </sheetData>
  <mergeCells count="19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>
      <selection activeCell="A8" sqref="A8"/>
    </sheetView>
  </sheetViews>
  <sheetFormatPr defaultColWidth="9.140625" defaultRowHeight="15"/>
  <cols>
    <col min="1" max="1" width="6.140625" style="2320" customWidth="1"/>
    <col min="2" max="2" width="25.5703125" style="2320" customWidth="1"/>
    <col min="3" max="3" width="13.28515625" style="53" customWidth="1"/>
    <col min="4" max="5" width="15.28515625" style="53" customWidth="1"/>
    <col min="6" max="6" width="18.28515625" style="53" customWidth="1"/>
    <col min="7" max="7" width="17.42578125" style="53" customWidth="1"/>
    <col min="8" max="8" width="27.42578125" style="53" customWidth="1"/>
    <col min="9" max="9" width="9.140625" style="2238"/>
    <col min="10" max="10" width="18.7109375" style="2238" bestFit="1" customWidth="1"/>
    <col min="11" max="16384" width="9.140625" style="2238"/>
  </cols>
  <sheetData>
    <row r="1" spans="1:12" s="2234" customFormat="1" ht="16.5">
      <c r="A1" s="2801" t="s">
        <v>0</v>
      </c>
      <c r="B1" s="2801"/>
      <c r="C1" s="2801"/>
      <c r="D1" s="2801"/>
      <c r="E1" s="2801"/>
      <c r="F1" s="2801"/>
      <c r="G1" s="2801"/>
      <c r="H1" s="2801"/>
      <c r="I1" s="312"/>
      <c r="J1" s="312"/>
      <c r="K1" s="312"/>
      <c r="L1" s="312"/>
    </row>
    <row r="2" spans="1:12" s="2234" customFormat="1" ht="16.5">
      <c r="A2" s="2801" t="s">
        <v>2030</v>
      </c>
      <c r="B2" s="2801"/>
      <c r="C2" s="2801"/>
      <c r="D2" s="2801"/>
      <c r="E2" s="2801"/>
      <c r="F2" s="2801"/>
      <c r="G2" s="2801"/>
      <c r="H2" s="2801"/>
      <c r="I2" s="313"/>
      <c r="J2" s="313"/>
      <c r="K2" s="313"/>
      <c r="L2" s="313"/>
    </row>
    <row r="3" spans="1:12" s="2234" customFormat="1" ht="16.5">
      <c r="A3" s="2805" t="s">
        <v>619</v>
      </c>
      <c r="B3" s="2801"/>
      <c r="C3" s="2801"/>
      <c r="D3" s="2801"/>
      <c r="E3" s="2801"/>
      <c r="F3" s="2801"/>
      <c r="G3" s="2801"/>
      <c r="H3" s="2801"/>
      <c r="I3" s="2324"/>
      <c r="J3" s="2324"/>
      <c r="K3" s="2324"/>
      <c r="L3" s="2324"/>
    </row>
    <row r="4" spans="1:12" s="2234" customFormat="1" ht="16.5">
      <c r="A4" s="2811" t="s">
        <v>3244</v>
      </c>
      <c r="B4" s="2811"/>
      <c r="C4" s="2811"/>
      <c r="D4" s="2811"/>
      <c r="E4" s="2324"/>
      <c r="F4" s="312"/>
      <c r="G4" s="312"/>
      <c r="H4" s="313"/>
      <c r="I4" s="313"/>
      <c r="J4" s="313"/>
      <c r="K4" s="313"/>
      <c r="L4" s="313"/>
    </row>
    <row r="5" spans="1:12" s="2234" customFormat="1" ht="16.5">
      <c r="A5" s="2801" t="s">
        <v>3234</v>
      </c>
      <c r="B5" s="2801"/>
      <c r="C5" s="2801"/>
      <c r="D5" s="2801"/>
      <c r="E5" s="2322"/>
      <c r="F5" s="313"/>
      <c r="G5" s="313"/>
      <c r="H5" s="313"/>
      <c r="I5" s="313"/>
      <c r="J5" s="313"/>
      <c r="K5" s="313"/>
      <c r="L5" s="313"/>
    </row>
    <row r="6" spans="1:12" s="2237" customFormat="1" ht="11.25">
      <c r="A6" s="2235"/>
      <c r="B6" s="2235"/>
      <c r="C6" s="51"/>
      <c r="D6" s="51"/>
      <c r="E6" s="51"/>
      <c r="F6" s="51"/>
      <c r="G6" s="51"/>
      <c r="H6" s="2236"/>
    </row>
    <row r="7" spans="1:12" ht="20.25">
      <c r="A7" s="2806" t="s">
        <v>3463</v>
      </c>
      <c r="B7" s="2806"/>
      <c r="C7" s="2806"/>
      <c r="D7" s="2806"/>
      <c r="E7" s="2806"/>
      <c r="F7" s="2806"/>
      <c r="G7" s="2806"/>
      <c r="H7" s="2806"/>
    </row>
    <row r="8" spans="1:12" ht="9" customHeight="1"/>
    <row r="9" spans="1:12" s="2234" customFormat="1" ht="33">
      <c r="A9" s="2323" t="s">
        <v>6</v>
      </c>
      <c r="B9" s="2323" t="s">
        <v>356</v>
      </c>
      <c r="C9" s="2323" t="s">
        <v>9</v>
      </c>
      <c r="D9" s="2321" t="s">
        <v>3436</v>
      </c>
      <c r="E9" s="2321" t="s">
        <v>2357</v>
      </c>
      <c r="F9" s="2321" t="s">
        <v>3437</v>
      </c>
      <c r="G9" s="2323" t="s">
        <v>2140</v>
      </c>
      <c r="H9" s="2323" t="s">
        <v>12</v>
      </c>
    </row>
    <row r="10" spans="1:12" s="2243" customFormat="1" ht="23.25" hidden="1" customHeight="1">
      <c r="A10" s="2323" t="s">
        <v>3408</v>
      </c>
      <c r="B10" s="2325" t="s">
        <v>3438</v>
      </c>
      <c r="C10" s="2325"/>
      <c r="D10" s="2239">
        <f>SUM(D11:D12)</f>
        <v>0</v>
      </c>
      <c r="E10" s="2240"/>
      <c r="F10" s="2239">
        <f>SUM(F11:F12)</f>
        <v>0</v>
      </c>
      <c r="G10" s="2241"/>
      <c r="H10" s="2242"/>
    </row>
    <row r="11" spans="1:12" s="2234" customFormat="1" ht="23.25" hidden="1" customHeight="1">
      <c r="A11" s="1246">
        <v>1</v>
      </c>
      <c r="B11" s="1333" t="str">
        <f>'[8]THANH TOÁN CVK'!B12</f>
        <v>Tun</v>
      </c>
      <c r="C11" s="1333" t="s">
        <v>1713</v>
      </c>
      <c r="D11" s="2244"/>
      <c r="E11" s="2245"/>
      <c r="F11" s="2245">
        <f>+D11*E11</f>
        <v>0</v>
      </c>
      <c r="G11" s="2246"/>
      <c r="H11" s="2247" t="s">
        <v>3439</v>
      </c>
    </row>
    <row r="12" spans="1:12" s="2234" customFormat="1" ht="23.25" hidden="1" customHeight="1">
      <c r="A12" s="1246">
        <v>2</v>
      </c>
      <c r="B12" s="1333" t="s">
        <v>86</v>
      </c>
      <c r="C12" s="1333" t="s">
        <v>1713</v>
      </c>
      <c r="D12" s="2244"/>
      <c r="E12" s="2245"/>
      <c r="F12" s="2245">
        <f>+D12*E12</f>
        <v>0</v>
      </c>
      <c r="G12" s="2246"/>
      <c r="H12" s="2247" t="s">
        <v>3440</v>
      </c>
    </row>
    <row r="13" spans="1:12" s="2234" customFormat="1" ht="23.25" hidden="1" customHeight="1">
      <c r="A13" s="1246"/>
      <c r="B13" s="1333"/>
      <c r="C13" s="1333"/>
      <c r="D13" s="2244"/>
      <c r="E13" s="2245"/>
      <c r="F13" s="2245"/>
      <c r="G13" s="2246"/>
      <c r="H13" s="2247"/>
    </row>
    <row r="14" spans="1:12" s="2234" customFormat="1" ht="23.25" hidden="1" customHeight="1">
      <c r="A14" s="1246"/>
      <c r="B14" s="1333"/>
      <c r="C14" s="1333"/>
      <c r="D14" s="2244"/>
      <c r="E14" s="2245"/>
      <c r="F14" s="2245"/>
      <c r="G14" s="2246"/>
      <c r="H14" s="2247"/>
    </row>
    <row r="15" spans="1:12" s="2243" customFormat="1" ht="23.25" customHeight="1">
      <c r="A15" s="2323" t="s">
        <v>2213</v>
      </c>
      <c r="B15" s="2325" t="s">
        <v>2463</v>
      </c>
      <c r="C15" s="2325"/>
      <c r="D15" s="2239"/>
      <c r="E15" s="2240"/>
      <c r="F15" s="2239"/>
      <c r="G15" s="2241"/>
      <c r="H15" s="2242"/>
    </row>
    <row r="16" spans="1:12" s="2234" customFormat="1" ht="23.25" customHeight="1">
      <c r="A16" s="1246">
        <v>1</v>
      </c>
      <c r="B16" s="1333" t="str">
        <f>'[8]THANH TOÁN XXE'!B14</f>
        <v>Trần Đăng Tám</v>
      </c>
      <c r="C16" s="1333" t="s">
        <v>1851</v>
      </c>
      <c r="D16" s="1838">
        <f>VLOOKUP($B$16:$B$17,'CHẤM CÔNG XXE'!$C$13:$AJ$14,34,0)</f>
        <v>31</v>
      </c>
      <c r="E16" s="2245">
        <v>20000</v>
      </c>
      <c r="F16" s="2245">
        <f t="shared" ref="F16:F17" si="0">+D16*E16</f>
        <v>620000</v>
      </c>
      <c r="G16" s="2246"/>
      <c r="H16" s="2326" t="s">
        <v>2985</v>
      </c>
      <c r="J16" s="2248"/>
    </row>
    <row r="17" spans="1:10" s="2234" customFormat="1" ht="23.25" customHeight="1">
      <c r="A17" s="1246">
        <v>2</v>
      </c>
      <c r="B17" s="1347" t="str">
        <f>'[8]THANH TOÁN XXE'!B15</f>
        <v>Nguyễn Quốc Triệu Phú</v>
      </c>
      <c r="C17" s="1333" t="s">
        <v>1851</v>
      </c>
      <c r="D17" s="1838">
        <f>VLOOKUP($B$16:$B$17,'CHẤM CÔNG XXE'!$C$13:$AJ$14,34,0)</f>
        <v>31</v>
      </c>
      <c r="E17" s="2245">
        <v>20000</v>
      </c>
      <c r="F17" s="2245">
        <f t="shared" si="0"/>
        <v>620000</v>
      </c>
      <c r="G17" s="2246"/>
      <c r="H17" s="2326" t="s">
        <v>2986</v>
      </c>
      <c r="J17" s="2249"/>
    </row>
    <row r="18" spans="1:10" s="2243" customFormat="1" ht="23.25" customHeight="1">
      <c r="A18" s="2802" t="s">
        <v>525</v>
      </c>
      <c r="B18" s="2802"/>
      <c r="C18" s="2802"/>
      <c r="D18" s="1346">
        <f>SUM(D16:D17)</f>
        <v>62</v>
      </c>
      <c r="E18" s="1346"/>
      <c r="F18" s="2239">
        <f>SUM(F16:F17)</f>
        <v>1240000</v>
      </c>
      <c r="G18" s="2242"/>
      <c r="H18" s="2242"/>
      <c r="J18" s="2250"/>
    </row>
    <row r="19" spans="1:10" s="2234" customFormat="1" ht="23.25" customHeight="1">
      <c r="A19" s="2809" t="s">
        <v>3442</v>
      </c>
      <c r="B19" s="2809"/>
      <c r="C19" s="2809"/>
      <c r="D19" s="2809"/>
      <c r="E19" s="2809"/>
      <c r="F19" s="2809"/>
      <c r="G19" s="2809"/>
      <c r="H19" s="2809"/>
    </row>
    <row r="20" spans="1:10" s="2251" customFormat="1" ht="16.5">
      <c r="A20" s="71"/>
      <c r="B20" s="71"/>
      <c r="C20" s="71"/>
      <c r="D20" s="71"/>
      <c r="E20" s="71"/>
      <c r="F20" s="71"/>
      <c r="G20" s="2810"/>
      <c r="H20" s="2810"/>
    </row>
    <row r="21" spans="1:10" s="2252" customFormat="1" ht="16.5">
      <c r="A21" s="2801" t="s">
        <v>3441</v>
      </c>
      <c r="B21" s="2801"/>
      <c r="C21" s="2801"/>
      <c r="D21" s="2801"/>
      <c r="E21" s="2801"/>
      <c r="F21" s="2801"/>
      <c r="G21" s="2801"/>
      <c r="H21" s="2801"/>
    </row>
    <row r="22" spans="1:10" s="2251" customFormat="1" ht="15.75">
      <c r="A22" s="92"/>
      <c r="B22" s="92"/>
      <c r="C22" s="246"/>
      <c r="D22" s="246"/>
      <c r="E22" s="246"/>
      <c r="F22" s="246"/>
      <c r="G22" s="246"/>
      <c r="H22" s="246"/>
    </row>
    <row r="23" spans="1:10" s="2251" customFormat="1" ht="15.75">
      <c r="A23" s="92"/>
      <c r="B23" s="92"/>
      <c r="C23" s="246"/>
      <c r="D23" s="246"/>
      <c r="E23" s="246"/>
      <c r="F23" s="246"/>
      <c r="G23" s="246"/>
      <c r="H23" s="246"/>
    </row>
    <row r="24" spans="1:10" s="2251" customFormat="1" ht="15.75">
      <c r="A24" s="92"/>
      <c r="B24" s="92"/>
      <c r="C24" s="246"/>
      <c r="D24" s="246"/>
      <c r="E24" s="246"/>
      <c r="F24" s="246"/>
      <c r="G24" s="246"/>
      <c r="H24" s="246"/>
    </row>
    <row r="25" spans="1:10" s="2251" customFormat="1" ht="15.75">
      <c r="A25" s="92"/>
      <c r="B25" s="92"/>
      <c r="C25" s="246"/>
      <c r="D25" s="246"/>
      <c r="E25" s="246"/>
      <c r="F25" s="246"/>
      <c r="G25" s="246"/>
      <c r="H25" s="246"/>
    </row>
    <row r="26" spans="1:10" s="2251" customFormat="1" ht="15.75" hidden="1">
      <c r="A26" s="92"/>
      <c r="B26" s="92"/>
      <c r="C26" s="246"/>
      <c r="D26" s="246"/>
      <c r="E26" s="246"/>
      <c r="F26" s="246"/>
      <c r="G26" s="246"/>
      <c r="H26" s="246"/>
    </row>
    <row r="27" spans="1:10" s="2253" customFormat="1" ht="15.75">
      <c r="A27" s="2459"/>
      <c r="B27" s="2459"/>
      <c r="C27" s="2459"/>
      <c r="D27" s="71"/>
      <c r="E27" s="2459"/>
      <c r="F27" s="2459"/>
      <c r="G27" s="2319"/>
      <c r="H27" s="2318"/>
    </row>
    <row r="28" spans="1:10" s="2251" customFormat="1" ht="15.75">
      <c r="A28" s="92"/>
      <c r="B28" s="92"/>
      <c r="C28" s="246"/>
      <c r="D28" s="246"/>
      <c r="E28" s="246"/>
      <c r="F28" s="246"/>
      <c r="G28" s="246"/>
      <c r="H28" s="246"/>
    </row>
  </sheetData>
  <mergeCells count="12">
    <mergeCell ref="A7:H7"/>
    <mergeCell ref="A1:H1"/>
    <mergeCell ref="A2:H2"/>
    <mergeCell ref="A3:H3"/>
    <mergeCell ref="A4:D4"/>
    <mergeCell ref="A5:D5"/>
    <mergeCell ref="A18:C18"/>
    <mergeCell ref="A19:H19"/>
    <mergeCell ref="G20:H20"/>
    <mergeCell ref="A21:H21"/>
    <mergeCell ref="A27:C27"/>
    <mergeCell ref="E27:F27"/>
  </mergeCells>
  <pageMargins left="0.7" right="0.7" top="0.52" bottom="0.75" header="0.3" footer="0.3"/>
  <pageSetup scale="88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zoomScaleNormal="100" workbookViewId="0">
      <selection activeCell="A17" sqref="A17:AJ17"/>
    </sheetView>
  </sheetViews>
  <sheetFormatPr defaultColWidth="5.28515625" defaultRowHeight="8.25"/>
  <cols>
    <col min="1" max="1" width="3.5703125" style="1928" customWidth="1"/>
    <col min="2" max="2" width="0.140625" style="1928" hidden="1" customWidth="1"/>
    <col min="3" max="3" width="21.140625" style="1928" customWidth="1"/>
    <col min="4" max="4" width="14.42578125" style="1928" customWidth="1"/>
    <col min="5" max="33" width="4.140625" style="1928" customWidth="1"/>
    <col min="34" max="34" width="4.42578125" style="1928" customWidth="1"/>
    <col min="35" max="35" width="4.140625" style="1928" customWidth="1"/>
    <col min="36" max="36" width="12" style="1928" customWidth="1"/>
    <col min="37" max="37" width="5.28515625" style="1928" customWidth="1"/>
    <col min="38" max="38" width="7.5703125" style="1929" customWidth="1"/>
    <col min="39" max="16384" width="5.28515625" style="1928"/>
  </cols>
  <sheetData>
    <row r="2" spans="1:42" ht="20.25" customHeight="1">
      <c r="A2" s="2823" t="s">
        <v>0</v>
      </c>
      <c r="B2" s="2823"/>
      <c r="C2" s="2823"/>
      <c r="D2" s="2823"/>
      <c r="E2" s="2823"/>
      <c r="F2" s="2823"/>
      <c r="G2" s="2823"/>
      <c r="H2" s="2823"/>
      <c r="I2" s="2823"/>
      <c r="J2" s="2823"/>
      <c r="K2" s="2823"/>
      <c r="L2" s="2823"/>
      <c r="M2" s="2823"/>
      <c r="N2" s="2823"/>
      <c r="O2" s="2823"/>
      <c r="P2" s="2823"/>
      <c r="Q2" s="2823"/>
      <c r="R2" s="2823"/>
      <c r="S2" s="2823"/>
      <c r="T2" s="2823"/>
      <c r="U2" s="2823"/>
      <c r="V2" s="2823"/>
      <c r="W2" s="2823"/>
      <c r="X2" s="2823"/>
      <c r="Y2" s="2823"/>
      <c r="Z2" s="2823"/>
      <c r="AA2" s="2823"/>
      <c r="AB2" s="2823"/>
      <c r="AC2" s="2823"/>
      <c r="AD2" s="2823"/>
      <c r="AE2" s="2823"/>
      <c r="AF2" s="2823"/>
      <c r="AG2" s="2823"/>
      <c r="AH2" s="2823"/>
      <c r="AI2" s="2823"/>
      <c r="AJ2" s="2823"/>
    </row>
    <row r="3" spans="1:42" ht="20.25" customHeight="1">
      <c r="A3" s="2823" t="s">
        <v>3236</v>
      </c>
      <c r="B3" s="2823"/>
      <c r="C3" s="2823"/>
      <c r="D3" s="2823"/>
      <c r="E3" s="2823"/>
      <c r="F3" s="2823"/>
      <c r="G3" s="2823"/>
      <c r="H3" s="2823"/>
      <c r="I3" s="2823"/>
      <c r="J3" s="2823"/>
      <c r="K3" s="2823"/>
      <c r="L3" s="2823"/>
      <c r="M3" s="2823"/>
      <c r="N3" s="2823"/>
      <c r="O3" s="2823"/>
      <c r="P3" s="2823"/>
      <c r="Q3" s="2823"/>
      <c r="R3" s="2823"/>
      <c r="S3" s="2823"/>
      <c r="T3" s="2823"/>
      <c r="U3" s="2823"/>
      <c r="V3" s="2823"/>
      <c r="W3" s="2823"/>
      <c r="X3" s="2823"/>
      <c r="Y3" s="2823"/>
      <c r="Z3" s="2823"/>
      <c r="AA3" s="2823"/>
      <c r="AB3" s="2823"/>
      <c r="AC3" s="2823"/>
      <c r="AD3" s="2823"/>
      <c r="AE3" s="2823"/>
      <c r="AF3" s="2823"/>
      <c r="AG3" s="2823"/>
      <c r="AH3" s="2823"/>
      <c r="AI3" s="2823"/>
      <c r="AJ3" s="2823"/>
    </row>
    <row r="4" spans="1:42" ht="20.25" customHeight="1">
      <c r="A4" s="2824" t="s">
        <v>3237</v>
      </c>
      <c r="B4" s="2823"/>
      <c r="C4" s="2823"/>
      <c r="D4" s="2823"/>
      <c r="E4" s="2823"/>
      <c r="F4" s="2823"/>
      <c r="G4" s="2823"/>
      <c r="H4" s="2823"/>
      <c r="I4" s="2823"/>
      <c r="J4" s="2823"/>
      <c r="K4" s="2823"/>
      <c r="L4" s="2823"/>
      <c r="M4" s="2823"/>
      <c r="N4" s="2823"/>
      <c r="O4" s="2823"/>
      <c r="P4" s="2823"/>
      <c r="Q4" s="2823"/>
      <c r="R4" s="2823"/>
      <c r="S4" s="2823"/>
      <c r="T4" s="2823"/>
      <c r="U4" s="2823"/>
      <c r="V4" s="2823"/>
      <c r="W4" s="2823"/>
      <c r="X4" s="2823"/>
      <c r="Y4" s="2823"/>
      <c r="Z4" s="2823"/>
      <c r="AA4" s="2823"/>
      <c r="AB4" s="2823"/>
      <c r="AC4" s="2823"/>
      <c r="AD4" s="2823"/>
      <c r="AE4" s="2823"/>
      <c r="AF4" s="2823"/>
      <c r="AG4" s="2823"/>
      <c r="AH4" s="2823"/>
      <c r="AI4" s="2823"/>
      <c r="AJ4" s="2823"/>
    </row>
    <row r="5" spans="1:42" ht="20.25" customHeight="1">
      <c r="A5" s="1930"/>
      <c r="B5" s="1930"/>
      <c r="C5" s="1930"/>
      <c r="D5" s="1930"/>
      <c r="E5" s="1930"/>
      <c r="F5" s="1930"/>
      <c r="G5" s="1930"/>
      <c r="H5" s="1930"/>
      <c r="I5" s="1930"/>
      <c r="J5" s="1930"/>
      <c r="K5" s="1930"/>
      <c r="L5" s="1930"/>
      <c r="M5" s="1930"/>
      <c r="N5" s="1930"/>
      <c r="O5" s="1930"/>
      <c r="P5" s="1930"/>
      <c r="Q5" s="1930"/>
      <c r="R5" s="1930"/>
      <c r="S5" s="1930"/>
      <c r="T5" s="1930"/>
      <c r="U5" s="1930"/>
      <c r="V5" s="1930"/>
      <c r="W5" s="1930"/>
      <c r="X5" s="1930"/>
      <c r="Y5" s="1930"/>
      <c r="Z5" s="1930"/>
      <c r="AA5" s="1930"/>
      <c r="AB5" s="1930"/>
      <c r="AC5" s="1930"/>
      <c r="AD5" s="1930"/>
      <c r="AE5" s="1930"/>
      <c r="AF5" s="1930"/>
      <c r="AG5" s="1930"/>
      <c r="AH5" s="1930"/>
      <c r="AI5" s="1930"/>
      <c r="AJ5" s="1930"/>
    </row>
    <row r="6" spans="1:42" ht="20.25" customHeight="1">
      <c r="A6" s="2825" t="s">
        <v>3244</v>
      </c>
      <c r="B6" s="2825"/>
      <c r="C6" s="2825"/>
      <c r="D6" s="2825"/>
      <c r="E6" s="2825"/>
      <c r="F6" s="2825"/>
      <c r="G6" s="2825"/>
      <c r="H6" s="2825"/>
      <c r="I6" s="2825"/>
      <c r="J6" s="2825"/>
      <c r="K6" s="2825"/>
      <c r="L6" s="2825"/>
      <c r="M6" s="1931"/>
      <c r="N6" s="1931"/>
      <c r="O6" s="1931"/>
      <c r="P6" s="1930"/>
      <c r="Q6" s="1930"/>
      <c r="R6" s="1930"/>
      <c r="S6" s="1930"/>
      <c r="T6" s="1930"/>
      <c r="U6" s="1930"/>
      <c r="V6" s="1930"/>
      <c r="W6" s="1930"/>
      <c r="X6" s="1930"/>
      <c r="Y6" s="1930"/>
      <c r="Z6" s="1930"/>
      <c r="AA6" s="1930"/>
      <c r="AB6" s="1930"/>
      <c r="AC6" s="1930"/>
      <c r="AD6" s="1930"/>
      <c r="AE6" s="1930"/>
      <c r="AF6" s="1930"/>
      <c r="AG6" s="1930"/>
      <c r="AH6" s="1930"/>
      <c r="AI6" s="1930"/>
      <c r="AJ6" s="1930"/>
    </row>
    <row r="7" spans="1:42" ht="20.25" customHeight="1">
      <c r="A7" s="2826" t="s">
        <v>3071</v>
      </c>
      <c r="B7" s="2826"/>
      <c r="C7" s="2826"/>
      <c r="D7" s="2826"/>
      <c r="E7" s="2826"/>
      <c r="F7" s="2826"/>
      <c r="G7" s="2826"/>
      <c r="H7" s="2826"/>
      <c r="I7" s="2826"/>
      <c r="J7" s="2826"/>
      <c r="K7" s="2826"/>
      <c r="L7" s="2826"/>
      <c r="M7" s="1931"/>
      <c r="N7" s="1931"/>
      <c r="O7" s="1931"/>
      <c r="P7" s="1930"/>
      <c r="Q7" s="1930"/>
      <c r="R7" s="1930"/>
      <c r="S7" s="1930"/>
      <c r="T7" s="1930"/>
      <c r="U7" s="1930"/>
      <c r="V7" s="1930"/>
      <c r="W7" s="1930"/>
      <c r="X7" s="1930"/>
      <c r="Y7" s="1930"/>
      <c r="Z7" s="1930"/>
      <c r="AA7" s="1930"/>
      <c r="AB7" s="1930"/>
      <c r="AC7" s="1930"/>
      <c r="AD7" s="1930"/>
      <c r="AE7" s="1930"/>
      <c r="AF7" s="1930"/>
      <c r="AG7" s="1930"/>
      <c r="AH7" s="1930"/>
      <c r="AI7" s="1930"/>
      <c r="AJ7" s="1930"/>
    </row>
    <row r="8" spans="1:42" ht="20.25" customHeight="1">
      <c r="A8" s="1932"/>
      <c r="B8" s="1932"/>
      <c r="C8" s="1932"/>
      <c r="D8" s="1932"/>
      <c r="E8" s="1932"/>
      <c r="F8" s="1932"/>
      <c r="G8" s="1932"/>
      <c r="H8" s="1932"/>
      <c r="I8" s="1932"/>
      <c r="J8" s="1932"/>
      <c r="K8" s="1932"/>
      <c r="L8" s="1932"/>
      <c r="M8" s="1931"/>
      <c r="N8" s="1931"/>
      <c r="O8" s="1931"/>
      <c r="P8" s="1930"/>
      <c r="Q8" s="1930"/>
      <c r="R8" s="1930"/>
      <c r="S8" s="1930"/>
      <c r="T8" s="1930"/>
      <c r="U8" s="1930"/>
      <c r="V8" s="1930"/>
      <c r="W8" s="1930"/>
      <c r="X8" s="1930"/>
      <c r="Y8" s="1930"/>
      <c r="Z8" s="1930"/>
      <c r="AA8" s="1930"/>
      <c r="AB8" s="1930"/>
      <c r="AC8" s="1930"/>
      <c r="AD8" s="1930"/>
      <c r="AE8" s="1930"/>
      <c r="AF8" s="1930"/>
      <c r="AG8" s="1930"/>
      <c r="AH8" s="1930"/>
      <c r="AI8" s="1930"/>
      <c r="AJ8" s="1930"/>
    </row>
    <row r="9" spans="1:42" ht="18.75">
      <c r="A9" s="2827" t="s">
        <v>3462</v>
      </c>
      <c r="B9" s="2827"/>
      <c r="C9" s="2827"/>
      <c r="D9" s="2827"/>
      <c r="E9" s="2827"/>
      <c r="F9" s="2827"/>
      <c r="G9" s="2827"/>
      <c r="H9" s="2827"/>
      <c r="I9" s="2827"/>
      <c r="J9" s="2827"/>
      <c r="K9" s="2827"/>
      <c r="L9" s="2827"/>
      <c r="M9" s="2827"/>
      <c r="N9" s="2827"/>
      <c r="O9" s="2827"/>
      <c r="P9" s="2827"/>
      <c r="Q9" s="2827"/>
      <c r="R9" s="2827"/>
      <c r="S9" s="2827"/>
      <c r="T9" s="2827"/>
      <c r="U9" s="2827"/>
      <c r="V9" s="2827"/>
      <c r="W9" s="2827"/>
      <c r="X9" s="2827"/>
      <c r="Y9" s="2827"/>
      <c r="Z9" s="2827"/>
      <c r="AA9" s="2827"/>
      <c r="AB9" s="2827"/>
      <c r="AC9" s="2827"/>
      <c r="AD9" s="2827"/>
      <c r="AE9" s="2827"/>
      <c r="AF9" s="2827"/>
      <c r="AG9" s="2827"/>
      <c r="AH9" s="2827"/>
      <c r="AI9" s="2827"/>
      <c r="AJ9" s="2827"/>
    </row>
    <row r="10" spans="1:42" ht="16.5">
      <c r="A10" s="1933"/>
      <c r="B10" s="1933"/>
      <c r="C10" s="1933"/>
      <c r="D10" s="1933"/>
      <c r="E10" s="1933"/>
      <c r="F10" s="1933"/>
      <c r="G10" s="1933"/>
      <c r="H10" s="1933"/>
      <c r="I10" s="1933"/>
      <c r="J10" s="1933"/>
      <c r="K10" s="1933"/>
      <c r="L10" s="1933"/>
      <c r="M10" s="1933"/>
      <c r="N10" s="1933"/>
      <c r="O10" s="1933"/>
      <c r="P10" s="1933"/>
      <c r="Q10" s="1933"/>
      <c r="R10" s="1933"/>
      <c r="S10" s="1933"/>
      <c r="T10" s="1933"/>
      <c r="U10" s="1933"/>
      <c r="V10" s="1933"/>
      <c r="W10" s="1933"/>
      <c r="X10" s="1933"/>
      <c r="Y10" s="1933"/>
      <c r="Z10" s="1933"/>
      <c r="AA10" s="1933"/>
      <c r="AB10" s="1933"/>
      <c r="AC10" s="1933"/>
      <c r="AD10" s="1933"/>
      <c r="AE10" s="1933"/>
      <c r="AF10" s="1933"/>
      <c r="AG10" s="1933"/>
      <c r="AH10" s="1933"/>
      <c r="AI10" s="1933"/>
      <c r="AJ10" s="1933"/>
    </row>
    <row r="11" spans="1:42" ht="15" customHeight="1">
      <c r="A11" s="2765" t="s">
        <v>558</v>
      </c>
      <c r="B11" s="2765" t="s">
        <v>1932</v>
      </c>
      <c r="C11" s="2765" t="s">
        <v>3269</v>
      </c>
      <c r="D11" s="2819" t="s">
        <v>9</v>
      </c>
      <c r="E11" s="2819">
        <v>1</v>
      </c>
      <c r="F11" s="2821">
        <v>2</v>
      </c>
      <c r="G11" s="2819">
        <v>3</v>
      </c>
      <c r="H11" s="2821">
        <v>4</v>
      </c>
      <c r="I11" s="2819">
        <v>5</v>
      </c>
      <c r="J11" s="2821">
        <v>6</v>
      </c>
      <c r="K11" s="2819">
        <v>7</v>
      </c>
      <c r="L11" s="2821">
        <v>8</v>
      </c>
      <c r="M11" s="2819">
        <v>9</v>
      </c>
      <c r="N11" s="2821">
        <v>10</v>
      </c>
      <c r="O11" s="2819">
        <v>11</v>
      </c>
      <c r="P11" s="2821">
        <v>12</v>
      </c>
      <c r="Q11" s="2819">
        <v>13</v>
      </c>
      <c r="R11" s="2821">
        <v>14</v>
      </c>
      <c r="S11" s="2819">
        <v>15</v>
      </c>
      <c r="T11" s="2821">
        <v>16</v>
      </c>
      <c r="U11" s="2819">
        <v>17</v>
      </c>
      <c r="V11" s="2821">
        <v>18</v>
      </c>
      <c r="W11" s="2819">
        <v>19</v>
      </c>
      <c r="X11" s="2821">
        <v>20</v>
      </c>
      <c r="Y11" s="2819">
        <v>21</v>
      </c>
      <c r="Z11" s="2821">
        <v>22</v>
      </c>
      <c r="AA11" s="2819">
        <v>23</v>
      </c>
      <c r="AB11" s="2821">
        <v>24</v>
      </c>
      <c r="AC11" s="2819">
        <v>25</v>
      </c>
      <c r="AD11" s="2821">
        <v>26</v>
      </c>
      <c r="AE11" s="2819">
        <v>27</v>
      </c>
      <c r="AF11" s="2821">
        <v>28</v>
      </c>
      <c r="AG11" s="2819">
        <v>29</v>
      </c>
      <c r="AH11" s="2821">
        <v>30</v>
      </c>
      <c r="AI11" s="2819">
        <v>31</v>
      </c>
      <c r="AJ11" s="2784" t="s">
        <v>530</v>
      </c>
    </row>
    <row r="12" spans="1:42" ht="23.25" customHeight="1">
      <c r="A12" s="2765"/>
      <c r="B12" s="2765"/>
      <c r="C12" s="2765"/>
      <c r="D12" s="2822"/>
      <c r="E12" s="2820"/>
      <c r="F12" s="2820"/>
      <c r="G12" s="2820"/>
      <c r="H12" s="2820"/>
      <c r="I12" s="2820"/>
      <c r="J12" s="2820"/>
      <c r="K12" s="2820"/>
      <c r="L12" s="2820"/>
      <c r="M12" s="2820"/>
      <c r="N12" s="2820"/>
      <c r="O12" s="2820"/>
      <c r="P12" s="2820"/>
      <c r="Q12" s="2820"/>
      <c r="R12" s="2820"/>
      <c r="S12" s="2820"/>
      <c r="T12" s="2820"/>
      <c r="U12" s="2820"/>
      <c r="V12" s="2820"/>
      <c r="W12" s="2820"/>
      <c r="X12" s="2820"/>
      <c r="Y12" s="2820"/>
      <c r="Z12" s="2820"/>
      <c r="AA12" s="2820"/>
      <c r="AB12" s="2820"/>
      <c r="AC12" s="2820"/>
      <c r="AD12" s="2820"/>
      <c r="AE12" s="2820"/>
      <c r="AF12" s="2820"/>
      <c r="AG12" s="2820"/>
      <c r="AH12" s="2820"/>
      <c r="AI12" s="2822"/>
      <c r="AJ12" s="2784"/>
    </row>
    <row r="13" spans="1:42" ht="22.5" customHeight="1">
      <c r="A13" s="1934">
        <v>1</v>
      </c>
      <c r="B13" s="1884"/>
      <c r="C13" s="1938" t="s">
        <v>3253</v>
      </c>
      <c r="D13" s="1939" t="s">
        <v>3270</v>
      </c>
      <c r="E13" s="1936" t="s">
        <v>3246</v>
      </c>
      <c r="F13" s="1936" t="s">
        <v>3246</v>
      </c>
      <c r="G13" s="1936" t="s">
        <v>3246</v>
      </c>
      <c r="H13" s="1936" t="s">
        <v>3246</v>
      </c>
      <c r="I13" s="1936" t="s">
        <v>3246</v>
      </c>
      <c r="J13" s="1936" t="s">
        <v>3246</v>
      </c>
      <c r="K13" s="1936" t="s">
        <v>3246</v>
      </c>
      <c r="L13" s="1936" t="s">
        <v>3246</v>
      </c>
      <c r="M13" s="1936" t="s">
        <v>3246</v>
      </c>
      <c r="N13" s="1936" t="s">
        <v>3246</v>
      </c>
      <c r="O13" s="1936" t="s">
        <v>3246</v>
      </c>
      <c r="P13" s="1936" t="s">
        <v>3246</v>
      </c>
      <c r="Q13" s="1936" t="s">
        <v>3246</v>
      </c>
      <c r="R13" s="1936" t="s">
        <v>3246</v>
      </c>
      <c r="S13" s="1936" t="s">
        <v>3246</v>
      </c>
      <c r="T13" s="1936" t="s">
        <v>3246</v>
      </c>
      <c r="U13" s="1936" t="s">
        <v>3246</v>
      </c>
      <c r="V13" s="1936" t="s">
        <v>3246</v>
      </c>
      <c r="W13" s="1936" t="s">
        <v>3246</v>
      </c>
      <c r="X13" s="1936" t="s">
        <v>3246</v>
      </c>
      <c r="Y13" s="1936" t="s">
        <v>3246</v>
      </c>
      <c r="Z13" s="1936" t="s">
        <v>3246</v>
      </c>
      <c r="AA13" s="1936" t="s">
        <v>3246</v>
      </c>
      <c r="AB13" s="1936" t="s">
        <v>3246</v>
      </c>
      <c r="AC13" s="1936" t="s">
        <v>3246</v>
      </c>
      <c r="AD13" s="1936" t="s">
        <v>3246</v>
      </c>
      <c r="AE13" s="1936" t="s">
        <v>3246</v>
      </c>
      <c r="AF13" s="1936" t="s">
        <v>3246</v>
      </c>
      <c r="AG13" s="1936" t="s">
        <v>3246</v>
      </c>
      <c r="AH13" s="1936" t="s">
        <v>3246</v>
      </c>
      <c r="AI13" s="1936" t="s">
        <v>3246</v>
      </c>
      <c r="AJ13" s="1937">
        <f t="shared" ref="AJ13:AJ14" si="0">COUNTIF(E13:AI13,"x")+ COUNTIF(E13:AI13,"p")+COUNTIF(E13:AI13,"pt")+COUNTIF(E13:AI13,"T")+COUNTIF(E13:AI13,"VN")</f>
        <v>31</v>
      </c>
    </row>
    <row r="14" spans="1:42" ht="22.5" customHeight="1">
      <c r="A14" s="1934">
        <v>2</v>
      </c>
      <c r="B14" s="1884"/>
      <c r="C14" s="1935" t="s">
        <v>3254</v>
      </c>
      <c r="D14" s="1939" t="s">
        <v>3271</v>
      </c>
      <c r="E14" s="1936" t="s">
        <v>3246</v>
      </c>
      <c r="F14" s="1936" t="s">
        <v>3246</v>
      </c>
      <c r="G14" s="1936" t="s">
        <v>3246</v>
      </c>
      <c r="H14" s="1936" t="s">
        <v>3246</v>
      </c>
      <c r="I14" s="1936" t="s">
        <v>3246</v>
      </c>
      <c r="J14" s="1936" t="s">
        <v>3246</v>
      </c>
      <c r="K14" s="1936" t="s">
        <v>3246</v>
      </c>
      <c r="L14" s="1936" t="s">
        <v>3246</v>
      </c>
      <c r="M14" s="1936" t="s">
        <v>3246</v>
      </c>
      <c r="N14" s="1936" t="s">
        <v>3246</v>
      </c>
      <c r="O14" s="1936" t="s">
        <v>3246</v>
      </c>
      <c r="P14" s="1936" t="s">
        <v>3246</v>
      </c>
      <c r="Q14" s="1936" t="s">
        <v>3246</v>
      </c>
      <c r="R14" s="1936" t="s">
        <v>3246</v>
      </c>
      <c r="S14" s="1936" t="s">
        <v>3246</v>
      </c>
      <c r="T14" s="1936" t="s">
        <v>3246</v>
      </c>
      <c r="U14" s="1936" t="s">
        <v>3246</v>
      </c>
      <c r="V14" s="1936" t="s">
        <v>3246</v>
      </c>
      <c r="W14" s="1936" t="s">
        <v>3246</v>
      </c>
      <c r="X14" s="1936" t="s">
        <v>3246</v>
      </c>
      <c r="Y14" s="1936" t="s">
        <v>3246</v>
      </c>
      <c r="Z14" s="1936" t="s">
        <v>3246</v>
      </c>
      <c r="AA14" s="1936" t="s">
        <v>3246</v>
      </c>
      <c r="AB14" s="1936" t="s">
        <v>3246</v>
      </c>
      <c r="AC14" s="1936" t="s">
        <v>3246</v>
      </c>
      <c r="AD14" s="1936" t="s">
        <v>3246</v>
      </c>
      <c r="AE14" s="1936" t="s">
        <v>3246</v>
      </c>
      <c r="AF14" s="1936" t="s">
        <v>3246</v>
      </c>
      <c r="AG14" s="1936" t="s">
        <v>3246</v>
      </c>
      <c r="AH14" s="1936" t="s">
        <v>3246</v>
      </c>
      <c r="AI14" s="1936" t="s">
        <v>3246</v>
      </c>
      <c r="AJ14" s="1937">
        <f t="shared" si="0"/>
        <v>31</v>
      </c>
    </row>
    <row r="15" spans="1:42" ht="30.75" customHeight="1">
      <c r="A15" s="2814" t="s">
        <v>3095</v>
      </c>
      <c r="B15" s="2815"/>
      <c r="C15" s="2815"/>
      <c r="D15" s="2816"/>
      <c r="E15" s="1940">
        <f t="shared" ref="E15:AI15" si="1">SUM(COUNTIF(E13:E14,"x"))</f>
        <v>2</v>
      </c>
      <c r="F15" s="1940">
        <f t="shared" si="1"/>
        <v>2</v>
      </c>
      <c r="G15" s="1940">
        <f t="shared" si="1"/>
        <v>2</v>
      </c>
      <c r="H15" s="1940">
        <f t="shared" si="1"/>
        <v>2</v>
      </c>
      <c r="I15" s="1940">
        <f t="shared" si="1"/>
        <v>2</v>
      </c>
      <c r="J15" s="1940">
        <f t="shared" si="1"/>
        <v>2</v>
      </c>
      <c r="K15" s="1940">
        <f t="shared" si="1"/>
        <v>2</v>
      </c>
      <c r="L15" s="1940">
        <f t="shared" si="1"/>
        <v>2</v>
      </c>
      <c r="M15" s="1940">
        <f t="shared" si="1"/>
        <v>2</v>
      </c>
      <c r="N15" s="1940">
        <f t="shared" si="1"/>
        <v>2</v>
      </c>
      <c r="O15" s="1940">
        <f t="shared" si="1"/>
        <v>2</v>
      </c>
      <c r="P15" s="1940">
        <f t="shared" si="1"/>
        <v>2</v>
      </c>
      <c r="Q15" s="1940">
        <f t="shared" si="1"/>
        <v>2</v>
      </c>
      <c r="R15" s="1940">
        <f t="shared" si="1"/>
        <v>2</v>
      </c>
      <c r="S15" s="1940">
        <f t="shared" si="1"/>
        <v>2</v>
      </c>
      <c r="T15" s="1940">
        <f t="shared" si="1"/>
        <v>2</v>
      </c>
      <c r="U15" s="1940">
        <f t="shared" si="1"/>
        <v>2</v>
      </c>
      <c r="V15" s="1940">
        <f t="shared" si="1"/>
        <v>2</v>
      </c>
      <c r="W15" s="1940">
        <f t="shared" si="1"/>
        <v>2</v>
      </c>
      <c r="X15" s="1940">
        <f t="shared" si="1"/>
        <v>2</v>
      </c>
      <c r="Y15" s="1940">
        <f t="shared" si="1"/>
        <v>2</v>
      </c>
      <c r="Z15" s="1940">
        <f t="shared" si="1"/>
        <v>2</v>
      </c>
      <c r="AA15" s="1940">
        <f t="shared" si="1"/>
        <v>2</v>
      </c>
      <c r="AB15" s="1940">
        <f t="shared" si="1"/>
        <v>2</v>
      </c>
      <c r="AC15" s="1940">
        <f t="shared" si="1"/>
        <v>2</v>
      </c>
      <c r="AD15" s="1940">
        <f t="shared" si="1"/>
        <v>2</v>
      </c>
      <c r="AE15" s="1940">
        <f t="shared" si="1"/>
        <v>2</v>
      </c>
      <c r="AF15" s="1940">
        <f t="shared" si="1"/>
        <v>2</v>
      </c>
      <c r="AG15" s="1940">
        <f t="shared" si="1"/>
        <v>2</v>
      </c>
      <c r="AH15" s="1940">
        <f t="shared" si="1"/>
        <v>2</v>
      </c>
      <c r="AI15" s="1940">
        <f t="shared" si="1"/>
        <v>2</v>
      </c>
      <c r="AJ15" s="1940">
        <f>SUM(AJ13:AJ14)</f>
        <v>62</v>
      </c>
      <c r="AK15" s="2817">
        <f>AJ15*20000</f>
        <v>1240000</v>
      </c>
      <c r="AL15" s="2817"/>
      <c r="AN15" s="1928">
        <v>1658</v>
      </c>
      <c r="AO15" s="1928">
        <v>320</v>
      </c>
      <c r="AP15" s="1928">
        <v>1978</v>
      </c>
    </row>
    <row r="16" spans="1:42" ht="16.5">
      <c r="A16" s="1941"/>
      <c r="B16" s="1942"/>
      <c r="C16" s="1942"/>
      <c r="D16" s="1943"/>
      <c r="E16" s="1943"/>
      <c r="F16" s="1943"/>
      <c r="G16" s="1943"/>
      <c r="H16" s="1943"/>
      <c r="I16" s="1943"/>
      <c r="J16" s="1943"/>
      <c r="K16" s="1943"/>
      <c r="L16" s="1943"/>
      <c r="M16" s="1943"/>
      <c r="N16" s="1943"/>
      <c r="O16" s="1943"/>
      <c r="P16" s="1943"/>
      <c r="Q16" s="1943"/>
      <c r="R16" s="1943"/>
      <c r="S16" s="1943"/>
      <c r="T16" s="1943"/>
      <c r="U16" s="1943"/>
      <c r="V16" s="1943"/>
      <c r="W16" s="1943"/>
      <c r="X16" s="2818" t="s">
        <v>3454</v>
      </c>
      <c r="Y16" s="2818"/>
      <c r="Z16" s="2818"/>
      <c r="AA16" s="2818"/>
      <c r="AB16" s="2818"/>
      <c r="AC16" s="2818"/>
      <c r="AD16" s="2818"/>
      <c r="AE16" s="2818"/>
      <c r="AF16" s="2818"/>
      <c r="AG16" s="2818"/>
      <c r="AH16" s="2818"/>
      <c r="AI16" s="2818"/>
      <c r="AJ16" s="2818"/>
      <c r="AL16" s="1929" t="e">
        <f>#REF!+#REF!</f>
        <v>#REF!</v>
      </c>
      <c r="AN16" s="1928">
        <v>1565</v>
      </c>
      <c r="AO16" s="1928">
        <v>302</v>
      </c>
      <c r="AP16" s="1928">
        <v>1867</v>
      </c>
    </row>
    <row r="17" spans="1:42" ht="16.5">
      <c r="A17" s="2610" t="s">
        <v>3274</v>
      </c>
      <c r="B17" s="2610"/>
      <c r="C17" s="2610"/>
      <c r="D17" s="2610"/>
      <c r="E17" s="2610"/>
      <c r="F17" s="2610"/>
      <c r="G17" s="2610"/>
      <c r="H17" s="2610"/>
      <c r="I17" s="2610"/>
      <c r="J17" s="2610"/>
      <c r="K17" s="2610"/>
      <c r="L17" s="2610"/>
      <c r="M17" s="2610"/>
      <c r="N17" s="2610"/>
      <c r="O17" s="2610"/>
      <c r="P17" s="2610"/>
      <c r="Q17" s="2610"/>
      <c r="R17" s="2610"/>
      <c r="S17" s="2610"/>
      <c r="T17" s="2610"/>
      <c r="U17" s="2610"/>
      <c r="V17" s="2610"/>
      <c r="W17" s="2610"/>
      <c r="X17" s="2610"/>
      <c r="Y17" s="2610"/>
      <c r="Z17" s="2610"/>
      <c r="AA17" s="2610"/>
      <c r="AB17" s="2610"/>
      <c r="AC17" s="2610"/>
      <c r="AD17" s="2610"/>
      <c r="AE17" s="2610"/>
      <c r="AF17" s="2610"/>
      <c r="AG17" s="2610"/>
      <c r="AH17" s="2610"/>
      <c r="AI17" s="2610"/>
      <c r="AJ17" s="2610"/>
      <c r="AN17" s="1928">
        <v>1153</v>
      </c>
      <c r="AO17" s="1928">
        <v>223</v>
      </c>
      <c r="AP17" s="1928">
        <v>1376</v>
      </c>
    </row>
    <row r="18" spans="1:42" ht="16.5">
      <c r="A18" s="1929"/>
      <c r="B18" s="188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N18" s="1928">
        <v>1096</v>
      </c>
      <c r="AO18" s="1928">
        <v>210</v>
      </c>
      <c r="AP18" s="1928">
        <v>1306</v>
      </c>
    </row>
    <row r="19" spans="1:42" ht="16.5">
      <c r="B19" s="313"/>
      <c r="D19" s="313"/>
      <c r="E19" s="313"/>
      <c r="F19" s="313"/>
      <c r="G19" s="313"/>
      <c r="H19" s="313"/>
      <c r="I19" s="1944"/>
      <c r="J19" s="1944"/>
      <c r="K19" s="1944"/>
      <c r="L19" s="313"/>
      <c r="M19" s="1945"/>
      <c r="N19" s="1944"/>
      <c r="O19" s="1944"/>
      <c r="P19" s="313"/>
      <c r="Q19" s="1944"/>
      <c r="R19" s="313"/>
      <c r="S19" s="313"/>
      <c r="T19" s="1946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1946"/>
      <c r="AN19" s="1928">
        <f>SUM(AN15:AN18)</f>
        <v>5472</v>
      </c>
      <c r="AO19" s="1928">
        <f>SUM(AO15:AO18)</f>
        <v>1055</v>
      </c>
      <c r="AP19" s="1928">
        <f>SUM(AP15:AP18)</f>
        <v>6527</v>
      </c>
    </row>
    <row r="20" spans="1:42" ht="15.75" customHeight="1">
      <c r="B20" s="313"/>
      <c r="C20" s="313"/>
      <c r="D20" s="313"/>
      <c r="E20" s="313"/>
      <c r="F20" s="313"/>
      <c r="G20" s="313"/>
      <c r="H20" s="313"/>
      <c r="I20" s="1944"/>
      <c r="J20" s="1944"/>
      <c r="K20" s="313"/>
      <c r="L20" s="313"/>
      <c r="M20" s="1944"/>
      <c r="N20" s="1944"/>
      <c r="O20" s="313"/>
      <c r="P20" s="313"/>
      <c r="Q20" s="1944"/>
      <c r="R20" s="313"/>
      <c r="S20" s="313"/>
      <c r="T20" s="1946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</row>
    <row r="21" spans="1:42" ht="16.5">
      <c r="B21" s="313"/>
      <c r="C21" s="313"/>
      <c r="D21" s="313"/>
      <c r="E21" s="313"/>
      <c r="F21" s="313"/>
      <c r="G21" s="313"/>
      <c r="H21" s="313"/>
      <c r="I21" s="1944"/>
      <c r="J21" s="1944"/>
      <c r="K21" s="1944"/>
      <c r="L21" s="313"/>
      <c r="M21" s="313"/>
      <c r="N21" s="313"/>
      <c r="O21" s="313"/>
      <c r="P21" s="313"/>
      <c r="Q21" s="1944"/>
      <c r="R21" s="313"/>
      <c r="S21" s="313"/>
      <c r="T21" s="1946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</row>
    <row r="22" spans="1:42" ht="16.5">
      <c r="B22" s="313"/>
      <c r="C22" s="313"/>
      <c r="D22" s="2811"/>
      <c r="E22" s="2811"/>
      <c r="F22" s="2811"/>
      <c r="G22" s="2811"/>
      <c r="H22" s="2811"/>
      <c r="I22" s="1944"/>
      <c r="J22" s="1944"/>
      <c r="K22" s="1944"/>
      <c r="L22" s="313"/>
      <c r="M22" s="1947"/>
      <c r="N22" s="1947"/>
      <c r="O22" s="1947"/>
      <c r="P22" s="1947"/>
      <c r="Q22" s="1947"/>
      <c r="R22" s="1947"/>
      <c r="S22" s="1947"/>
      <c r="T22" s="1946"/>
      <c r="U22" s="1947"/>
      <c r="V22" s="1947"/>
      <c r="W22" s="1947"/>
      <c r="X22" s="1947"/>
      <c r="Y22" s="1947"/>
      <c r="Z22" s="1947"/>
      <c r="AA22" s="1947"/>
      <c r="AB22" s="1947"/>
      <c r="AC22" s="1947"/>
      <c r="AD22" s="1947"/>
      <c r="AE22" s="1947"/>
      <c r="AF22" s="1947"/>
      <c r="AG22" s="1947"/>
      <c r="AH22" s="1947"/>
      <c r="AI22" s="1947"/>
    </row>
    <row r="23" spans="1:42">
      <c r="I23" s="1948"/>
      <c r="J23" s="1948"/>
      <c r="K23" s="1948"/>
      <c r="L23" s="1929"/>
      <c r="M23" s="1929"/>
      <c r="N23" s="1929"/>
      <c r="O23" s="1929"/>
      <c r="P23" s="1929"/>
      <c r="T23" s="1949"/>
      <c r="AL23" s="1928"/>
    </row>
    <row r="27" spans="1:42" ht="16.5">
      <c r="A27" s="2813"/>
      <c r="B27" s="2813"/>
      <c r="C27" s="2813"/>
    </row>
    <row r="28" spans="1:42" ht="16.5">
      <c r="A28" s="1950"/>
      <c r="B28" s="1942"/>
      <c r="C28" s="2813"/>
      <c r="D28" s="2813"/>
      <c r="E28" s="2813"/>
      <c r="F28" s="2813"/>
      <c r="G28" s="2813"/>
      <c r="H28" s="2813"/>
    </row>
    <row r="29" spans="1:42" ht="16.5">
      <c r="A29" s="1951"/>
      <c r="B29" s="1883"/>
      <c r="C29" s="2812"/>
      <c r="D29" s="2812"/>
      <c r="E29" s="2812"/>
      <c r="F29" s="2812"/>
      <c r="G29" s="2812"/>
      <c r="H29" s="2812"/>
    </row>
    <row r="30" spans="1:42" ht="16.5">
      <c r="A30" s="1951"/>
      <c r="B30" s="1883"/>
      <c r="C30" s="2812"/>
      <c r="D30" s="2812"/>
      <c r="E30" s="2812"/>
      <c r="F30" s="2812"/>
      <c r="G30" s="2812"/>
      <c r="H30" s="2812"/>
    </row>
    <row r="31" spans="1:42" ht="16.5">
      <c r="A31" s="1951"/>
      <c r="B31" s="1883"/>
      <c r="C31" s="2812"/>
      <c r="D31" s="2812"/>
      <c r="E31" s="2812"/>
      <c r="F31" s="2812"/>
      <c r="G31" s="2812"/>
      <c r="H31" s="2812"/>
    </row>
    <row r="32" spans="1:42" ht="16.5">
      <c r="A32" s="1952"/>
      <c r="B32" s="313"/>
      <c r="C32" s="2812"/>
      <c r="D32" s="2812"/>
      <c r="E32" s="2812"/>
      <c r="F32" s="2812"/>
      <c r="G32" s="2812"/>
      <c r="H32" s="2812"/>
      <c r="AL32" s="1928"/>
    </row>
    <row r="33" spans="1:38" ht="16.5">
      <c r="A33" s="1952"/>
      <c r="B33" s="313"/>
      <c r="C33" s="2812"/>
      <c r="D33" s="2812"/>
      <c r="E33" s="2812"/>
      <c r="F33" s="2812"/>
      <c r="G33" s="2812"/>
      <c r="H33" s="2812"/>
      <c r="AL33" s="1928"/>
    </row>
    <row r="34" spans="1:38" ht="16.5">
      <c r="A34" s="1952"/>
      <c r="B34" s="313"/>
      <c r="C34" s="2812"/>
      <c r="D34" s="2812"/>
      <c r="E34" s="2812"/>
      <c r="F34" s="2812"/>
      <c r="G34" s="2812"/>
      <c r="H34" s="2812"/>
      <c r="AL34" s="1928"/>
    </row>
    <row r="35" spans="1:38" ht="16.5">
      <c r="A35" s="1952"/>
      <c r="B35" s="313"/>
      <c r="C35" s="2812"/>
      <c r="D35" s="2812"/>
      <c r="E35" s="2812"/>
      <c r="F35" s="2812"/>
      <c r="G35" s="2812"/>
      <c r="H35" s="2812"/>
      <c r="AL35" s="1928"/>
    </row>
  </sheetData>
  <mergeCells count="56"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A15:D15"/>
    <mergeCell ref="AK15:AL15"/>
    <mergeCell ref="X16:AJ16"/>
    <mergeCell ref="A17:AJ17"/>
    <mergeCell ref="D22:H22"/>
    <mergeCell ref="C34:H34"/>
    <mergeCell ref="C35:H35"/>
    <mergeCell ref="C28:H28"/>
    <mergeCell ref="C29:H29"/>
    <mergeCell ref="C30:H30"/>
    <mergeCell ref="C31:H31"/>
    <mergeCell ref="C32:H32"/>
    <mergeCell ref="C33:H33"/>
  </mergeCells>
  <pageMargins left="0.21" right="0.2" top="0.45" bottom="0.32" header="0.3" footer="0.3"/>
  <pageSetup paperSize="9" scale="7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0"/>
  <sheetViews>
    <sheetView zoomScale="85" zoomScaleNormal="85" workbookViewId="0">
      <selection activeCell="E16" sqref="E16"/>
    </sheetView>
  </sheetViews>
  <sheetFormatPr defaultColWidth="9.140625" defaultRowHeight="16.5"/>
  <cols>
    <col min="1" max="1" width="3.140625" style="1586" customWidth="1"/>
    <col min="2" max="2" width="5.7109375" style="1586" customWidth="1"/>
    <col min="3" max="3" width="25" style="1586" customWidth="1"/>
    <col min="4" max="4" width="13.140625" style="1586" customWidth="1"/>
    <col min="5" max="33" width="5" style="1586" customWidth="1"/>
    <col min="34" max="35" width="4.7109375" style="1586" customWidth="1"/>
    <col min="36" max="36" width="6.140625" style="1586" customWidth="1"/>
    <col min="37" max="37" width="5.85546875" style="1586" hidden="1" customWidth="1"/>
    <col min="38" max="38" width="11" style="1586" customWidth="1"/>
    <col min="39" max="47" width="9.140625" style="1586" hidden="1" customWidth="1"/>
    <col min="48" max="48" width="1.5703125" style="1586" customWidth="1"/>
    <col min="49" max="49" width="10.140625" style="1586" customWidth="1"/>
    <col min="50" max="16384" width="9.140625" style="1586"/>
  </cols>
  <sheetData>
    <row r="1" spans="2:49" s="1585" customFormat="1" ht="15.6" customHeight="1">
      <c r="B1" s="2727" t="s">
        <v>617</v>
      </c>
      <c r="C1" s="2727"/>
      <c r="D1" s="2727"/>
      <c r="E1" s="2727"/>
      <c r="F1" s="2727"/>
      <c r="G1" s="2727"/>
      <c r="H1" s="2727"/>
      <c r="I1" s="2727"/>
      <c r="J1" s="2727"/>
      <c r="K1" s="2727"/>
      <c r="L1" s="2727"/>
      <c r="M1" s="2727"/>
      <c r="N1" s="2727"/>
      <c r="O1" s="2727"/>
      <c r="P1" s="2727"/>
      <c r="Q1" s="2727"/>
      <c r="R1" s="2727"/>
      <c r="S1" s="2727"/>
      <c r="T1" s="2727"/>
      <c r="U1" s="2727"/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  <c r="AO1" s="1557">
        <v>1</v>
      </c>
      <c r="AP1" s="1557">
        <v>2</v>
      </c>
      <c r="AQ1" s="1557">
        <v>3</v>
      </c>
      <c r="AR1" s="1557">
        <v>4</v>
      </c>
      <c r="AS1" s="1557">
        <v>5</v>
      </c>
      <c r="AT1" s="1557">
        <v>6</v>
      </c>
      <c r="AU1" s="1557">
        <v>7</v>
      </c>
    </row>
    <row r="2" spans="2:49" s="1585" customFormat="1">
      <c r="B2" s="2727" t="s">
        <v>618</v>
      </c>
      <c r="C2" s="2727"/>
      <c r="D2" s="2727"/>
      <c r="E2" s="2727"/>
      <c r="F2" s="2727"/>
      <c r="G2" s="2727"/>
      <c r="H2" s="2727"/>
      <c r="I2" s="2727"/>
      <c r="J2" s="2727"/>
      <c r="K2" s="2727"/>
      <c r="L2" s="2727"/>
      <c r="M2" s="2727"/>
      <c r="N2" s="2727"/>
      <c r="O2" s="2727"/>
      <c r="P2" s="2727"/>
      <c r="Q2" s="2727"/>
      <c r="R2" s="2727"/>
      <c r="S2" s="2727"/>
      <c r="T2" s="2727"/>
      <c r="U2" s="2727"/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  <c r="AO2" s="1557" t="s">
        <v>554</v>
      </c>
      <c r="AP2" s="1557" t="s">
        <v>2508</v>
      </c>
      <c r="AQ2" s="1557" t="s">
        <v>2509</v>
      </c>
      <c r="AR2" s="1557" t="s">
        <v>2510</v>
      </c>
      <c r="AS2" s="1557" t="s">
        <v>212</v>
      </c>
      <c r="AT2" s="1557" t="s">
        <v>2511</v>
      </c>
      <c r="AU2" s="1557" t="s">
        <v>2512</v>
      </c>
    </row>
    <row r="3" spans="2:49" s="1585" customFormat="1">
      <c r="B3" s="2743" t="s">
        <v>619</v>
      </c>
      <c r="C3" s="2727"/>
      <c r="D3" s="2727"/>
      <c r="E3" s="2727"/>
      <c r="F3" s="2727"/>
      <c r="G3" s="2727"/>
      <c r="H3" s="2727"/>
      <c r="I3" s="2727"/>
      <c r="J3" s="2727"/>
      <c r="K3" s="2727"/>
      <c r="L3" s="2727"/>
      <c r="M3" s="2727"/>
      <c r="N3" s="2727"/>
      <c r="O3" s="2727"/>
      <c r="P3" s="2727"/>
      <c r="Q3" s="2727"/>
      <c r="R3" s="2727"/>
      <c r="S3" s="2727"/>
      <c r="T3" s="2727"/>
      <c r="U3" s="2727"/>
      <c r="V3" s="2727"/>
      <c r="W3" s="2727"/>
      <c r="X3" s="2727"/>
      <c r="Y3" s="2727"/>
      <c r="Z3" s="2727"/>
      <c r="AA3" s="2727"/>
      <c r="AB3" s="2727"/>
      <c r="AC3" s="2727"/>
      <c r="AD3" s="2727"/>
      <c r="AE3" s="2727"/>
      <c r="AF3" s="2727"/>
      <c r="AG3" s="2727"/>
      <c r="AH3" s="2727"/>
      <c r="AI3" s="2727"/>
      <c r="AJ3" s="2727"/>
      <c r="AK3" s="2727"/>
      <c r="AL3" s="2727"/>
      <c r="AO3" s="1557"/>
      <c r="AP3" s="1557"/>
      <c r="AQ3" s="1557"/>
      <c r="AR3" s="1557"/>
      <c r="AS3" s="1557"/>
      <c r="AT3" s="1557"/>
      <c r="AU3" s="1557"/>
    </row>
    <row r="4" spans="2:49" s="1585" customFormat="1">
      <c r="B4" s="2738" t="s">
        <v>3244</v>
      </c>
      <c r="C4" s="2738"/>
      <c r="D4" s="2738"/>
      <c r="E4" s="2738"/>
      <c r="F4" s="2738"/>
      <c r="G4" s="2738"/>
      <c r="H4" s="2738"/>
      <c r="I4" s="2738"/>
      <c r="J4" s="2738"/>
      <c r="K4" s="2738"/>
      <c r="L4" s="1557"/>
      <c r="M4" s="1557"/>
      <c r="N4" s="1557"/>
      <c r="O4" s="1557"/>
      <c r="P4" s="1557"/>
      <c r="Q4" s="1557"/>
      <c r="R4" s="1557"/>
      <c r="S4" s="1557"/>
      <c r="T4" s="1557"/>
      <c r="U4" s="1557"/>
      <c r="V4" s="1557"/>
      <c r="W4" s="1557"/>
      <c r="X4" s="1557"/>
      <c r="Y4" s="1557"/>
      <c r="Z4" s="1557"/>
      <c r="AA4" s="1557"/>
      <c r="AB4" s="1557"/>
      <c r="AC4" s="1557"/>
      <c r="AD4" s="1557"/>
      <c r="AE4" s="1557"/>
      <c r="AF4" s="1557"/>
      <c r="AG4" s="1557"/>
      <c r="AH4" s="1557"/>
      <c r="AI4" s="1557"/>
      <c r="AJ4" s="1557"/>
      <c r="AK4" s="1557"/>
      <c r="AL4" s="1557"/>
      <c r="AO4" s="1557"/>
      <c r="AP4" s="1557"/>
      <c r="AQ4" s="1557"/>
      <c r="AR4" s="1557"/>
      <c r="AS4" s="1557"/>
      <c r="AT4" s="1557"/>
      <c r="AU4" s="1557"/>
    </row>
    <row r="5" spans="2:49" s="1585" customFormat="1">
      <c r="B5" s="2727" t="s">
        <v>3234</v>
      </c>
      <c r="C5" s="2727"/>
      <c r="D5" s="2727"/>
      <c r="E5" s="2727"/>
      <c r="F5" s="2727"/>
      <c r="G5" s="2727"/>
      <c r="H5" s="2727"/>
      <c r="I5" s="2727"/>
      <c r="J5" s="2727"/>
      <c r="K5" s="2727"/>
      <c r="L5" s="1557"/>
      <c r="M5" s="1557"/>
      <c r="N5" s="1557"/>
      <c r="O5" s="1557"/>
      <c r="P5" s="1557"/>
      <c r="Q5" s="1557"/>
      <c r="R5" s="1557"/>
      <c r="S5" s="1557"/>
      <c r="T5" s="1557"/>
      <c r="U5" s="1557"/>
      <c r="V5" s="1557"/>
      <c r="W5" s="1557"/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7"/>
      <c r="AJ5" s="1557"/>
      <c r="AK5" s="1557"/>
      <c r="AL5" s="1557"/>
      <c r="AO5" s="1557"/>
      <c r="AP5" s="1557"/>
      <c r="AQ5" s="1557"/>
      <c r="AR5" s="1557"/>
      <c r="AS5" s="1557"/>
      <c r="AT5" s="1557"/>
      <c r="AU5" s="1557"/>
    </row>
    <row r="6" spans="2:49" ht="20.25">
      <c r="E6" s="2742" t="s">
        <v>2513</v>
      </c>
      <c r="F6" s="2742"/>
      <c r="G6" s="2742"/>
      <c r="H6" s="2742"/>
      <c r="I6" s="2742"/>
      <c r="J6" s="2742"/>
      <c r="K6" s="2742"/>
      <c r="L6" s="2742"/>
      <c r="M6" s="2742"/>
      <c r="N6" s="2742"/>
      <c r="O6" s="2742"/>
      <c r="P6" s="2742"/>
      <c r="Q6" s="2742"/>
      <c r="R6" s="2742"/>
      <c r="S6" s="2742"/>
      <c r="T6" s="2742"/>
      <c r="U6" s="2742"/>
      <c r="V6" s="2742"/>
      <c r="W6" s="2742"/>
      <c r="X6" s="2742"/>
      <c r="Y6" s="2742"/>
      <c r="Z6" s="2742"/>
      <c r="AA6" s="2742"/>
      <c r="AB6" s="2742"/>
      <c r="AC6" s="2742"/>
      <c r="AD6" s="2742"/>
      <c r="AE6" s="2742"/>
      <c r="AF6" s="2742"/>
      <c r="AG6" s="2742"/>
      <c r="AH6" s="2742"/>
      <c r="AI6" s="2742"/>
    </row>
    <row r="7" spans="2:49" ht="16.5" customHeight="1">
      <c r="B7" s="2727" t="s">
        <v>2514</v>
      </c>
      <c r="C7" s="2727"/>
      <c r="D7" s="1557">
        <v>2025</v>
      </c>
      <c r="E7" s="2728" t="str">
        <f>"Tháng "&amp;IF(LEN($D$8)=1,"0"&amp;$D$8,$D$8)&amp;" năm "&amp;D7</f>
        <v>Tháng 12 năm 2025</v>
      </c>
      <c r="F7" s="2728"/>
      <c r="G7" s="2728"/>
      <c r="H7" s="2728"/>
      <c r="I7" s="2728"/>
      <c r="J7" s="2728"/>
      <c r="K7" s="2728"/>
      <c r="L7" s="2728"/>
      <c r="M7" s="2728"/>
      <c r="N7" s="2728"/>
      <c r="O7" s="2728"/>
      <c r="P7" s="2728"/>
      <c r="Q7" s="2728"/>
      <c r="R7" s="2728"/>
      <c r="S7" s="2728"/>
      <c r="T7" s="2728"/>
      <c r="U7" s="2728"/>
      <c r="V7" s="2728"/>
      <c r="W7" s="2728"/>
      <c r="X7" s="2728"/>
      <c r="Y7" s="2728"/>
      <c r="Z7" s="2728"/>
      <c r="AA7" s="2728"/>
      <c r="AB7" s="2728"/>
      <c r="AC7" s="2728"/>
      <c r="AD7" s="2728"/>
      <c r="AE7" s="2728"/>
      <c r="AF7" s="2728"/>
      <c r="AG7" s="2728"/>
      <c r="AH7" s="2728"/>
      <c r="AI7" s="2728"/>
    </row>
    <row r="8" spans="2:49">
      <c r="B8" s="2730" t="s">
        <v>2515</v>
      </c>
      <c r="C8" s="2730"/>
      <c r="D8" s="1557">
        <v>12</v>
      </c>
    </row>
    <row r="9" spans="2:49" s="1570" customFormat="1" ht="22.5" customHeight="1">
      <c r="B9" s="2731" t="s">
        <v>6</v>
      </c>
      <c r="C9" s="2733" t="s">
        <v>356</v>
      </c>
      <c r="D9" s="2735" t="s">
        <v>9</v>
      </c>
      <c r="E9" s="1587">
        <v>1</v>
      </c>
      <c r="F9" s="1587">
        <v>2</v>
      </c>
      <c r="G9" s="1587">
        <v>3</v>
      </c>
      <c r="H9" s="1587">
        <v>4</v>
      </c>
      <c r="I9" s="1587">
        <v>5</v>
      </c>
      <c r="J9" s="1587">
        <v>6</v>
      </c>
      <c r="K9" s="1587">
        <v>7</v>
      </c>
      <c r="L9" s="1587">
        <v>8</v>
      </c>
      <c r="M9" s="1587">
        <v>9</v>
      </c>
      <c r="N9" s="1587">
        <v>10</v>
      </c>
      <c r="O9" s="1587">
        <v>11</v>
      </c>
      <c r="P9" s="1587">
        <v>12</v>
      </c>
      <c r="Q9" s="1587">
        <v>13</v>
      </c>
      <c r="R9" s="1587">
        <v>14</v>
      </c>
      <c r="S9" s="1587">
        <v>15</v>
      </c>
      <c r="T9" s="1587">
        <v>16</v>
      </c>
      <c r="U9" s="1587">
        <v>17</v>
      </c>
      <c r="V9" s="1587">
        <v>18</v>
      </c>
      <c r="W9" s="1587">
        <v>19</v>
      </c>
      <c r="X9" s="1587">
        <v>20</v>
      </c>
      <c r="Y9" s="1587">
        <v>21</v>
      </c>
      <c r="Z9" s="1587">
        <v>22</v>
      </c>
      <c r="AA9" s="1587">
        <v>23</v>
      </c>
      <c r="AB9" s="1587">
        <v>24</v>
      </c>
      <c r="AC9" s="1587">
        <v>25</v>
      </c>
      <c r="AD9" s="1587">
        <v>26</v>
      </c>
      <c r="AE9" s="1587">
        <v>27</v>
      </c>
      <c r="AF9" s="1587">
        <v>28</v>
      </c>
      <c r="AG9" s="1587">
        <f>IF(DAY(DATE(D7,D8+1,1)-1)&lt;29,"",29)</f>
        <v>29</v>
      </c>
      <c r="AH9" s="1587">
        <v>30</v>
      </c>
      <c r="AI9" s="1587">
        <v>31</v>
      </c>
      <c r="AJ9" s="2735" t="s">
        <v>529</v>
      </c>
      <c r="AK9" s="2735" t="s">
        <v>2517</v>
      </c>
      <c r="AL9" s="2735" t="s">
        <v>12</v>
      </c>
    </row>
    <row r="10" spans="2:49" s="1570" customFormat="1" ht="42" customHeight="1">
      <c r="B10" s="2732"/>
      <c r="C10" s="2734"/>
      <c r="D10" s="2734"/>
      <c r="E10" s="1588" t="str">
        <f t="shared" ref="E10:AI10" si="0">IF(E9="","",HLOOKUP(WEEKDAY(DATE($D$7,$D$8,E9)),$AO$1:$AU$2,2,0))</f>
        <v>Hai</v>
      </c>
      <c r="F10" s="1588" t="str">
        <f t="shared" si="0"/>
        <v>Ba</v>
      </c>
      <c r="G10" s="1588" t="str">
        <f t="shared" si="0"/>
        <v>Tư</v>
      </c>
      <c r="H10" s="1588" t="str">
        <f t="shared" si="0"/>
        <v>Năm</v>
      </c>
      <c r="I10" s="1588" t="str">
        <f t="shared" si="0"/>
        <v>Sáu</v>
      </c>
      <c r="J10" s="1588" t="str">
        <f t="shared" si="0"/>
        <v>Bảy</v>
      </c>
      <c r="K10" s="1588" t="str">
        <f t="shared" si="0"/>
        <v>CN</v>
      </c>
      <c r="L10" s="1588" t="str">
        <f t="shared" si="0"/>
        <v>Hai</v>
      </c>
      <c r="M10" s="1588" t="str">
        <f t="shared" si="0"/>
        <v>Ba</v>
      </c>
      <c r="N10" s="1588" t="str">
        <f t="shared" si="0"/>
        <v>Tư</v>
      </c>
      <c r="O10" s="1588" t="str">
        <f t="shared" si="0"/>
        <v>Năm</v>
      </c>
      <c r="P10" s="1588" t="str">
        <f t="shared" si="0"/>
        <v>Sáu</v>
      </c>
      <c r="Q10" s="1588" t="str">
        <f t="shared" si="0"/>
        <v>Bảy</v>
      </c>
      <c r="R10" s="1588" t="str">
        <f t="shared" si="0"/>
        <v>CN</v>
      </c>
      <c r="S10" s="1588" t="str">
        <f t="shared" si="0"/>
        <v>Hai</v>
      </c>
      <c r="T10" s="1588" t="str">
        <f t="shared" si="0"/>
        <v>Ba</v>
      </c>
      <c r="U10" s="1588" t="str">
        <f t="shared" si="0"/>
        <v>Tư</v>
      </c>
      <c r="V10" s="1588" t="str">
        <f t="shared" si="0"/>
        <v>Năm</v>
      </c>
      <c r="W10" s="1588" t="str">
        <f t="shared" si="0"/>
        <v>Sáu</v>
      </c>
      <c r="X10" s="1588" t="str">
        <f t="shared" si="0"/>
        <v>Bảy</v>
      </c>
      <c r="Y10" s="1588" t="str">
        <f t="shared" si="0"/>
        <v>CN</v>
      </c>
      <c r="Z10" s="1588" t="str">
        <f t="shared" si="0"/>
        <v>Hai</v>
      </c>
      <c r="AA10" s="1588" t="str">
        <f t="shared" si="0"/>
        <v>Ba</v>
      </c>
      <c r="AB10" s="1588" t="str">
        <f t="shared" si="0"/>
        <v>Tư</v>
      </c>
      <c r="AC10" s="1588" t="str">
        <f t="shared" si="0"/>
        <v>Năm</v>
      </c>
      <c r="AD10" s="1588" t="str">
        <f t="shared" si="0"/>
        <v>Sáu</v>
      </c>
      <c r="AE10" s="1588" t="str">
        <f t="shared" si="0"/>
        <v>Bảy</v>
      </c>
      <c r="AF10" s="1588" t="str">
        <f t="shared" si="0"/>
        <v>CN</v>
      </c>
      <c r="AG10" s="1587" t="str">
        <f t="shared" si="0"/>
        <v>Hai</v>
      </c>
      <c r="AH10" s="1587" t="str">
        <f t="shared" si="0"/>
        <v>Ba</v>
      </c>
      <c r="AI10" s="1587" t="str">
        <f t="shared" si="0"/>
        <v>Tư</v>
      </c>
      <c r="AJ10" s="2734"/>
      <c r="AK10" s="2734"/>
      <c r="AL10" s="2734"/>
    </row>
    <row r="11" spans="2:49" ht="21.75" customHeight="1">
      <c r="B11" s="1587">
        <v>1</v>
      </c>
      <c r="C11" s="1589" t="s">
        <v>3247</v>
      </c>
      <c r="D11" s="1589" t="s">
        <v>2449</v>
      </c>
      <c r="E11" s="1571" t="s">
        <v>536</v>
      </c>
      <c r="F11" s="1571" t="s">
        <v>536</v>
      </c>
      <c r="G11" s="1571" t="s">
        <v>536</v>
      </c>
      <c r="H11" s="1571" t="s">
        <v>536</v>
      </c>
      <c r="I11" s="1571" t="s">
        <v>536</v>
      </c>
      <c r="J11" s="1571" t="s">
        <v>536</v>
      </c>
      <c r="K11" s="1571"/>
      <c r="L11" s="1571" t="s">
        <v>536</v>
      </c>
      <c r="M11" s="1571" t="s">
        <v>536</v>
      </c>
      <c r="N11" s="1571" t="s">
        <v>536</v>
      </c>
      <c r="O11" s="1571" t="s">
        <v>536</v>
      </c>
      <c r="P11" s="1571" t="s">
        <v>536</v>
      </c>
      <c r="Q11" s="1571" t="s">
        <v>536</v>
      </c>
      <c r="R11" s="1571"/>
      <c r="S11" s="1571" t="s">
        <v>536</v>
      </c>
      <c r="T11" s="1571" t="s">
        <v>536</v>
      </c>
      <c r="U11" s="1571" t="s">
        <v>536</v>
      </c>
      <c r="V11" s="1571" t="s">
        <v>536</v>
      </c>
      <c r="W11" s="1571" t="s">
        <v>536</v>
      </c>
      <c r="X11" s="1571" t="s">
        <v>536</v>
      </c>
      <c r="Y11" s="1571"/>
      <c r="Z11" s="1571" t="s">
        <v>536</v>
      </c>
      <c r="AA11" s="1571" t="s">
        <v>536</v>
      </c>
      <c r="AB11" s="1571" t="s">
        <v>536</v>
      </c>
      <c r="AC11" s="1571" t="s">
        <v>536</v>
      </c>
      <c r="AD11" s="1571" t="s">
        <v>536</v>
      </c>
      <c r="AE11" s="1571" t="s">
        <v>536</v>
      </c>
      <c r="AF11" s="1571"/>
      <c r="AG11" s="1571" t="s">
        <v>536</v>
      </c>
      <c r="AH11" s="1571" t="s">
        <v>536</v>
      </c>
      <c r="AI11" s="1571" t="s">
        <v>536</v>
      </c>
      <c r="AJ11" s="1590">
        <f t="shared" ref="AJ11:AJ16" si="1">COUNTIF(E11:AI11,"X")+COUNTIF(E11:AI11,"P")+COUNTIF(E11:AI11,"PT")</f>
        <v>27</v>
      </c>
      <c r="AK11" s="1590">
        <f t="shared" ref="AK11:AK16" si="2">COUNTIF(E11:AI11,"TT")</f>
        <v>0</v>
      </c>
      <c r="AL11" s="1590"/>
      <c r="AW11" s="1591" t="e">
        <f>+AK11-#REF!</f>
        <v>#REF!</v>
      </c>
    </row>
    <row r="12" spans="2:49" ht="21.75" customHeight="1">
      <c r="B12" s="1587">
        <v>2</v>
      </c>
      <c r="C12" s="1589" t="s">
        <v>3248</v>
      </c>
      <c r="D12" s="1589" t="s">
        <v>2997</v>
      </c>
      <c r="E12" s="1571" t="s">
        <v>536</v>
      </c>
      <c r="F12" s="1571" t="s">
        <v>536</v>
      </c>
      <c r="G12" s="1571" t="s">
        <v>536</v>
      </c>
      <c r="H12" s="1571" t="s">
        <v>536</v>
      </c>
      <c r="I12" s="1571" t="s">
        <v>536</v>
      </c>
      <c r="J12" s="1571" t="s">
        <v>536</v>
      </c>
      <c r="K12" s="1571"/>
      <c r="L12" s="1571" t="s">
        <v>536</v>
      </c>
      <c r="M12" s="1571" t="s">
        <v>536</v>
      </c>
      <c r="N12" s="1571" t="s">
        <v>536</v>
      </c>
      <c r="O12" s="1571" t="s">
        <v>536</v>
      </c>
      <c r="P12" s="1571" t="s">
        <v>536</v>
      </c>
      <c r="Q12" s="1571" t="s">
        <v>536</v>
      </c>
      <c r="R12" s="1571"/>
      <c r="S12" s="1571" t="s">
        <v>2336</v>
      </c>
      <c r="T12" s="1571" t="s">
        <v>2336</v>
      </c>
      <c r="U12" s="1571" t="s">
        <v>2336</v>
      </c>
      <c r="V12" s="1571" t="s">
        <v>536</v>
      </c>
      <c r="W12" s="1571" t="s">
        <v>536</v>
      </c>
      <c r="X12" s="1571" t="s">
        <v>536</v>
      </c>
      <c r="Y12" s="1571"/>
      <c r="Z12" s="1571" t="s">
        <v>536</v>
      </c>
      <c r="AA12" s="1571" t="s">
        <v>536</v>
      </c>
      <c r="AB12" s="1571" t="s">
        <v>536</v>
      </c>
      <c r="AC12" s="1571" t="s">
        <v>536</v>
      </c>
      <c r="AD12" s="1571" t="s">
        <v>536</v>
      </c>
      <c r="AE12" s="1571" t="s">
        <v>536</v>
      </c>
      <c r="AF12" s="1571"/>
      <c r="AG12" s="1571" t="s">
        <v>536</v>
      </c>
      <c r="AH12" s="1571" t="s">
        <v>536</v>
      </c>
      <c r="AI12" s="1571" t="s">
        <v>536</v>
      </c>
      <c r="AJ12" s="1590">
        <f t="shared" si="1"/>
        <v>27</v>
      </c>
      <c r="AK12" s="1590">
        <f t="shared" si="2"/>
        <v>0</v>
      </c>
      <c r="AL12" s="1590"/>
      <c r="AW12" s="1591" t="e">
        <f>+AK12-#REF!</f>
        <v>#REF!</v>
      </c>
    </row>
    <row r="13" spans="2:49" ht="21.75" customHeight="1">
      <c r="B13" s="1587">
        <v>3</v>
      </c>
      <c r="C13" s="1592" t="s">
        <v>3249</v>
      </c>
      <c r="D13" s="1589" t="s">
        <v>2997</v>
      </c>
      <c r="E13" s="1571" t="s">
        <v>536</v>
      </c>
      <c r="F13" s="1571" t="s">
        <v>536</v>
      </c>
      <c r="G13" s="1571" t="s">
        <v>536</v>
      </c>
      <c r="H13" s="1571" t="s">
        <v>536</v>
      </c>
      <c r="I13" s="1571" t="s">
        <v>536</v>
      </c>
      <c r="J13" s="1571" t="s">
        <v>536</v>
      </c>
      <c r="K13" s="1571"/>
      <c r="L13" s="1571" t="s">
        <v>536</v>
      </c>
      <c r="M13" s="1571" t="s">
        <v>536</v>
      </c>
      <c r="N13" s="1571" t="s">
        <v>536</v>
      </c>
      <c r="O13" s="1571" t="s">
        <v>536</v>
      </c>
      <c r="P13" s="1571" t="s">
        <v>536</v>
      </c>
      <c r="Q13" s="1571" t="s">
        <v>536</v>
      </c>
      <c r="R13" s="1571"/>
      <c r="S13" s="1571" t="s">
        <v>536</v>
      </c>
      <c r="T13" s="1571" t="s">
        <v>536</v>
      </c>
      <c r="U13" s="1571" t="s">
        <v>536</v>
      </c>
      <c r="V13" s="1571" t="s">
        <v>536</v>
      </c>
      <c r="W13" s="1571" t="s">
        <v>536</v>
      </c>
      <c r="X13" s="1571" t="s">
        <v>536</v>
      </c>
      <c r="Y13" s="1571"/>
      <c r="Z13" s="1571" t="s">
        <v>536</v>
      </c>
      <c r="AA13" s="1571" t="s">
        <v>536</v>
      </c>
      <c r="AB13" s="1571" t="s">
        <v>536</v>
      </c>
      <c r="AC13" s="1571" t="s">
        <v>536</v>
      </c>
      <c r="AD13" s="1571" t="s">
        <v>536</v>
      </c>
      <c r="AE13" s="1571" t="s">
        <v>536</v>
      </c>
      <c r="AF13" s="1571"/>
      <c r="AG13" s="1571" t="s">
        <v>536</v>
      </c>
      <c r="AH13" s="1571" t="s">
        <v>536</v>
      </c>
      <c r="AI13" s="1571" t="s">
        <v>536</v>
      </c>
      <c r="AJ13" s="1590">
        <f t="shared" ref="AJ13" si="3">COUNTIF(E13:AI13,"X")+COUNTIF(E13:AI13,"P")+COUNTIF(E13:AI13,"PT")</f>
        <v>27</v>
      </c>
      <c r="AK13" s="1590">
        <f>COUNTIF(E13:AI13,"TT")</f>
        <v>0</v>
      </c>
      <c r="AL13" s="1590"/>
      <c r="AW13" s="1591" t="e">
        <f>+AK13-#REF!</f>
        <v>#REF!</v>
      </c>
    </row>
    <row r="14" spans="2:49" ht="21.75" customHeight="1">
      <c r="B14" s="1587">
        <v>4</v>
      </c>
      <c r="C14" s="1589" t="s">
        <v>3250</v>
      </c>
      <c r="D14" s="1589" t="s">
        <v>3024</v>
      </c>
      <c r="E14" s="1571" t="s">
        <v>536</v>
      </c>
      <c r="F14" s="1571" t="s">
        <v>536</v>
      </c>
      <c r="G14" s="1571" t="s">
        <v>536</v>
      </c>
      <c r="H14" s="1571" t="s">
        <v>536</v>
      </c>
      <c r="I14" s="1571" t="s">
        <v>536</v>
      </c>
      <c r="J14" s="1571" t="s">
        <v>536</v>
      </c>
      <c r="K14" s="1571"/>
      <c r="L14" s="1571" t="s">
        <v>536</v>
      </c>
      <c r="M14" s="1571" t="s">
        <v>536</v>
      </c>
      <c r="N14" s="1571" t="s">
        <v>536</v>
      </c>
      <c r="O14" s="1571" t="s">
        <v>536</v>
      </c>
      <c r="P14" s="1571" t="s">
        <v>536</v>
      </c>
      <c r="Q14" s="1571" t="s">
        <v>536</v>
      </c>
      <c r="R14" s="1571"/>
      <c r="S14" s="1571" t="s">
        <v>536</v>
      </c>
      <c r="T14" s="1571" t="s">
        <v>536</v>
      </c>
      <c r="U14" s="1571" t="s">
        <v>536</v>
      </c>
      <c r="V14" s="1571" t="s">
        <v>536</v>
      </c>
      <c r="W14" s="1571" t="s">
        <v>536</v>
      </c>
      <c r="X14" s="1571" t="s">
        <v>536</v>
      </c>
      <c r="Y14" s="1571"/>
      <c r="Z14" s="1571" t="s">
        <v>536</v>
      </c>
      <c r="AA14" s="1571" t="s">
        <v>536</v>
      </c>
      <c r="AB14" s="1571" t="s">
        <v>536</v>
      </c>
      <c r="AC14" s="1571" t="s">
        <v>536</v>
      </c>
      <c r="AD14" s="1571" t="s">
        <v>536</v>
      </c>
      <c r="AE14" s="1571" t="s">
        <v>536</v>
      </c>
      <c r="AF14" s="1571"/>
      <c r="AG14" s="1571" t="s">
        <v>536</v>
      </c>
      <c r="AH14" s="1571" t="s">
        <v>536</v>
      </c>
      <c r="AI14" s="1571" t="s">
        <v>536</v>
      </c>
      <c r="AJ14" s="1590">
        <f t="shared" si="1"/>
        <v>27</v>
      </c>
      <c r="AK14" s="1590">
        <f t="shared" si="2"/>
        <v>0</v>
      </c>
      <c r="AL14" s="1590"/>
      <c r="AW14" s="1591" t="e">
        <f>+AK14-#REF!</f>
        <v>#REF!</v>
      </c>
    </row>
    <row r="15" spans="2:49" ht="21.75" customHeight="1">
      <c r="B15" s="1587">
        <v>5</v>
      </c>
      <c r="C15" s="1589" t="s">
        <v>3251</v>
      </c>
      <c r="D15" s="1589" t="s">
        <v>3024</v>
      </c>
      <c r="E15" s="1571" t="s">
        <v>536</v>
      </c>
      <c r="F15" s="1571" t="s">
        <v>536</v>
      </c>
      <c r="G15" s="1571" t="s">
        <v>536</v>
      </c>
      <c r="H15" s="1571" t="s">
        <v>536</v>
      </c>
      <c r="I15" s="1571" t="s">
        <v>536</v>
      </c>
      <c r="J15" s="1571" t="s">
        <v>536</v>
      </c>
      <c r="K15" s="1571"/>
      <c r="L15" s="1571" t="s">
        <v>536</v>
      </c>
      <c r="M15" s="1571" t="s">
        <v>536</v>
      </c>
      <c r="N15" s="1571" t="s">
        <v>536</v>
      </c>
      <c r="O15" s="1571" t="s">
        <v>536</v>
      </c>
      <c r="P15" s="1571" t="s">
        <v>536</v>
      </c>
      <c r="Q15" s="1571" t="s">
        <v>536</v>
      </c>
      <c r="R15" s="1571"/>
      <c r="S15" s="1571" t="s">
        <v>536</v>
      </c>
      <c r="T15" s="1571" t="s">
        <v>536</v>
      </c>
      <c r="U15" s="1571" t="s">
        <v>536</v>
      </c>
      <c r="V15" s="1571" t="s">
        <v>2336</v>
      </c>
      <c r="W15" s="1571" t="s">
        <v>2336</v>
      </c>
      <c r="X15" s="1571" t="s">
        <v>2336</v>
      </c>
      <c r="Y15" s="1571"/>
      <c r="Z15" s="1571" t="s">
        <v>536</v>
      </c>
      <c r="AA15" s="1571" t="s">
        <v>536</v>
      </c>
      <c r="AB15" s="1571" t="s">
        <v>536</v>
      </c>
      <c r="AC15" s="1571" t="s">
        <v>536</v>
      </c>
      <c r="AD15" s="1571" t="s">
        <v>536</v>
      </c>
      <c r="AE15" s="1571" t="s">
        <v>536</v>
      </c>
      <c r="AF15" s="1571"/>
      <c r="AG15" s="1571" t="s">
        <v>536</v>
      </c>
      <c r="AH15" s="1571" t="s">
        <v>536</v>
      </c>
      <c r="AI15" s="1571" t="s">
        <v>536</v>
      </c>
      <c r="AJ15" s="1590">
        <f t="shared" si="1"/>
        <v>27</v>
      </c>
      <c r="AK15" s="1590">
        <f t="shared" si="2"/>
        <v>0</v>
      </c>
      <c r="AL15" s="1590"/>
      <c r="AW15" s="1591" t="e">
        <f>+AK15-#REF!</f>
        <v>#REF!</v>
      </c>
    </row>
    <row r="16" spans="2:49" ht="21.75" customHeight="1">
      <c r="B16" s="1587">
        <v>6</v>
      </c>
      <c r="C16" s="1589" t="s">
        <v>3252</v>
      </c>
      <c r="D16" s="1589" t="s">
        <v>3024</v>
      </c>
      <c r="E16" s="1571" t="s">
        <v>536</v>
      </c>
      <c r="F16" s="1571" t="s">
        <v>536</v>
      </c>
      <c r="G16" s="1571" t="s">
        <v>536</v>
      </c>
      <c r="H16" s="1571" t="s">
        <v>536</v>
      </c>
      <c r="I16" s="1571" t="s">
        <v>2336</v>
      </c>
      <c r="J16" s="1571" t="s">
        <v>2336</v>
      </c>
      <c r="K16" s="1571"/>
      <c r="L16" s="1571" t="s">
        <v>2336</v>
      </c>
      <c r="M16" s="1571" t="s">
        <v>2336</v>
      </c>
      <c r="N16" s="1571" t="s">
        <v>2336</v>
      </c>
      <c r="O16" s="1571" t="s">
        <v>2336</v>
      </c>
      <c r="P16" s="1571" t="s">
        <v>2336</v>
      </c>
      <c r="Q16" s="1571" t="s">
        <v>536</v>
      </c>
      <c r="R16" s="1571"/>
      <c r="S16" s="1571" t="s">
        <v>536</v>
      </c>
      <c r="T16" s="1571" t="s">
        <v>536</v>
      </c>
      <c r="U16" s="1571" t="s">
        <v>536</v>
      </c>
      <c r="V16" s="1571" t="s">
        <v>536</v>
      </c>
      <c r="W16" s="1571" t="s">
        <v>536</v>
      </c>
      <c r="X16" s="1571" t="s">
        <v>536</v>
      </c>
      <c r="Y16" s="1571"/>
      <c r="Z16" s="1571" t="s">
        <v>536</v>
      </c>
      <c r="AA16" s="1571" t="s">
        <v>536</v>
      </c>
      <c r="AB16" s="1571" t="s">
        <v>536</v>
      </c>
      <c r="AC16" s="1571" t="s">
        <v>536</v>
      </c>
      <c r="AD16" s="1571" t="s">
        <v>536</v>
      </c>
      <c r="AE16" s="1571" t="s">
        <v>536</v>
      </c>
      <c r="AF16" s="1571"/>
      <c r="AG16" s="1571" t="s">
        <v>536</v>
      </c>
      <c r="AH16" s="1571" t="s">
        <v>536</v>
      </c>
      <c r="AI16" s="1571" t="s">
        <v>536</v>
      </c>
      <c r="AJ16" s="1590">
        <f t="shared" si="1"/>
        <v>27</v>
      </c>
      <c r="AK16" s="1590">
        <f t="shared" si="2"/>
        <v>0</v>
      </c>
      <c r="AL16" s="1590"/>
      <c r="AW16" s="1591" t="e">
        <f>+AK16-#REF!</f>
        <v>#REF!</v>
      </c>
    </row>
    <row r="17" spans="1:61" s="1593" customFormat="1" ht="21.75" customHeight="1">
      <c r="B17" s="1587">
        <v>7</v>
      </c>
      <c r="C17" s="1998" t="s">
        <v>3253</v>
      </c>
      <c r="D17" s="1594" t="s">
        <v>1851</v>
      </c>
      <c r="E17" s="1571" t="s">
        <v>536</v>
      </c>
      <c r="F17" s="1571" t="s">
        <v>536</v>
      </c>
      <c r="G17" s="1571" t="s">
        <v>536</v>
      </c>
      <c r="H17" s="1571" t="s">
        <v>536</v>
      </c>
      <c r="I17" s="1571" t="s">
        <v>536</v>
      </c>
      <c r="J17" s="1571" t="s">
        <v>536</v>
      </c>
      <c r="K17" s="1571"/>
      <c r="L17" s="1571" t="s">
        <v>536</v>
      </c>
      <c r="M17" s="1571" t="s">
        <v>536</v>
      </c>
      <c r="N17" s="1571" t="s">
        <v>536</v>
      </c>
      <c r="O17" s="1571" t="s">
        <v>536</v>
      </c>
      <c r="P17" s="1571" t="s">
        <v>536</v>
      </c>
      <c r="Q17" s="1571" t="s">
        <v>536</v>
      </c>
      <c r="R17" s="1571"/>
      <c r="S17" s="1571" t="s">
        <v>536</v>
      </c>
      <c r="T17" s="1571" t="s">
        <v>536</v>
      </c>
      <c r="U17" s="1571" t="s">
        <v>536</v>
      </c>
      <c r="V17" s="1571" t="s">
        <v>536</v>
      </c>
      <c r="W17" s="1571" t="s">
        <v>536</v>
      </c>
      <c r="X17" s="1571" t="s">
        <v>536</v>
      </c>
      <c r="Y17" s="1571"/>
      <c r="Z17" s="1571" t="s">
        <v>536</v>
      </c>
      <c r="AA17" s="1571" t="s">
        <v>536</v>
      </c>
      <c r="AB17" s="1571" t="s">
        <v>536</v>
      </c>
      <c r="AC17" s="1571" t="s">
        <v>536</v>
      </c>
      <c r="AD17" s="1571" t="s">
        <v>536</v>
      </c>
      <c r="AE17" s="1571" t="s">
        <v>536</v>
      </c>
      <c r="AF17" s="1571"/>
      <c r="AG17" s="1571" t="s">
        <v>536</v>
      </c>
      <c r="AH17" s="1571" t="s">
        <v>536</v>
      </c>
      <c r="AI17" s="1571" t="s">
        <v>536</v>
      </c>
      <c r="AJ17" s="1590">
        <f t="shared" ref="AJ17:AJ18" si="4">COUNTIF(E17:AI17,"X")+COUNTIF(E17:AI17,"P")+COUNTIF(E17:AI17,"PT")</f>
        <v>27</v>
      </c>
      <c r="AK17" s="1595">
        <f t="shared" ref="AK17:AK18" si="5">COUNTIF(E17:AI17,"TT")</f>
        <v>0</v>
      </c>
      <c r="AL17" s="1595"/>
      <c r="AW17" s="1591" t="e">
        <f>+AK17-#REF!</f>
        <v>#REF!</v>
      </c>
    </row>
    <row r="18" spans="1:61" ht="21.75" customHeight="1">
      <c r="B18" s="1587">
        <v>8</v>
      </c>
      <c r="C18" s="1589" t="s">
        <v>3254</v>
      </c>
      <c r="D18" s="1594" t="s">
        <v>1851</v>
      </c>
      <c r="E18" s="1571" t="s">
        <v>536</v>
      </c>
      <c r="F18" s="1571" t="s">
        <v>536</v>
      </c>
      <c r="G18" s="1571" t="s">
        <v>536</v>
      </c>
      <c r="H18" s="1571" t="s">
        <v>536</v>
      </c>
      <c r="I18" s="1571" t="s">
        <v>536</v>
      </c>
      <c r="J18" s="1571" t="s">
        <v>536</v>
      </c>
      <c r="K18" s="1571"/>
      <c r="L18" s="1571" t="s">
        <v>536</v>
      </c>
      <c r="M18" s="1571" t="s">
        <v>536</v>
      </c>
      <c r="N18" s="1571" t="s">
        <v>536</v>
      </c>
      <c r="O18" s="1571" t="s">
        <v>536</v>
      </c>
      <c r="P18" s="1571" t="s">
        <v>536</v>
      </c>
      <c r="Q18" s="1571" t="s">
        <v>536</v>
      </c>
      <c r="R18" s="1571"/>
      <c r="S18" s="1571" t="s">
        <v>536</v>
      </c>
      <c r="T18" s="1571" t="s">
        <v>536</v>
      </c>
      <c r="U18" s="1571" t="s">
        <v>536</v>
      </c>
      <c r="V18" s="1571" t="s">
        <v>536</v>
      </c>
      <c r="W18" s="1571" t="s">
        <v>536</v>
      </c>
      <c r="X18" s="1571" t="s">
        <v>536</v>
      </c>
      <c r="Y18" s="1571"/>
      <c r="Z18" s="1571" t="s">
        <v>536</v>
      </c>
      <c r="AA18" s="1571" t="s">
        <v>536</v>
      </c>
      <c r="AB18" s="1571" t="s">
        <v>536</v>
      </c>
      <c r="AC18" s="1571" t="s">
        <v>536</v>
      </c>
      <c r="AD18" s="1571" t="s">
        <v>536</v>
      </c>
      <c r="AE18" s="1571" t="s">
        <v>536</v>
      </c>
      <c r="AF18" s="1571"/>
      <c r="AG18" s="1571" t="s">
        <v>536</v>
      </c>
      <c r="AH18" s="1571" t="s">
        <v>536</v>
      </c>
      <c r="AI18" s="1571" t="s">
        <v>536</v>
      </c>
      <c r="AJ18" s="1590">
        <f t="shared" si="4"/>
        <v>27</v>
      </c>
      <c r="AK18" s="1590">
        <f t="shared" si="5"/>
        <v>0</v>
      </c>
      <c r="AL18" s="1590"/>
      <c r="AW18" s="1591" t="e">
        <f>+AK18-#REF!</f>
        <v>#REF!</v>
      </c>
      <c r="AX18" s="1586">
        <v>1</v>
      </c>
      <c r="BI18" s="1586">
        <f>6+6.25+4.2*2</f>
        <v>20.65</v>
      </c>
    </row>
    <row r="19" spans="1:61" s="1585" customFormat="1" ht="21.75" customHeight="1">
      <c r="B19" s="2736" t="s">
        <v>2532</v>
      </c>
      <c r="C19" s="2737"/>
      <c r="D19" s="1596"/>
      <c r="E19" s="1597">
        <f t="shared" ref="E19:AI19" si="6">COUNTIF(E11:E18,"X")+COUNTIF(E11:E18,"P")</f>
        <v>8</v>
      </c>
      <c r="F19" s="1597">
        <f t="shared" si="6"/>
        <v>8</v>
      </c>
      <c r="G19" s="1597">
        <f t="shared" si="6"/>
        <v>8</v>
      </c>
      <c r="H19" s="1597">
        <f t="shared" si="6"/>
        <v>8</v>
      </c>
      <c r="I19" s="1597">
        <f t="shared" si="6"/>
        <v>8</v>
      </c>
      <c r="J19" s="1597">
        <f t="shared" si="6"/>
        <v>8</v>
      </c>
      <c r="K19" s="1597">
        <f t="shared" si="6"/>
        <v>0</v>
      </c>
      <c r="L19" s="1597">
        <f t="shared" si="6"/>
        <v>8</v>
      </c>
      <c r="M19" s="1597">
        <f t="shared" si="6"/>
        <v>8</v>
      </c>
      <c r="N19" s="1597">
        <f t="shared" si="6"/>
        <v>8</v>
      </c>
      <c r="O19" s="1597">
        <f t="shared" si="6"/>
        <v>8</v>
      </c>
      <c r="P19" s="1597">
        <f t="shared" si="6"/>
        <v>8</v>
      </c>
      <c r="Q19" s="1597">
        <f t="shared" si="6"/>
        <v>8</v>
      </c>
      <c r="R19" s="1597">
        <f t="shared" si="6"/>
        <v>0</v>
      </c>
      <c r="S19" s="1597">
        <f t="shared" si="6"/>
        <v>8</v>
      </c>
      <c r="T19" s="1597">
        <f t="shared" si="6"/>
        <v>8</v>
      </c>
      <c r="U19" s="1597">
        <f t="shared" si="6"/>
        <v>8</v>
      </c>
      <c r="V19" s="1597">
        <f t="shared" si="6"/>
        <v>8</v>
      </c>
      <c r="W19" s="1597">
        <f t="shared" si="6"/>
        <v>8</v>
      </c>
      <c r="X19" s="1597">
        <f t="shared" si="6"/>
        <v>8</v>
      </c>
      <c r="Y19" s="1597">
        <f t="shared" si="6"/>
        <v>0</v>
      </c>
      <c r="Z19" s="1597">
        <f t="shared" si="6"/>
        <v>8</v>
      </c>
      <c r="AA19" s="1597">
        <f t="shared" si="6"/>
        <v>8</v>
      </c>
      <c r="AB19" s="1597">
        <f t="shared" si="6"/>
        <v>8</v>
      </c>
      <c r="AC19" s="1597">
        <f t="shared" si="6"/>
        <v>8</v>
      </c>
      <c r="AD19" s="1597">
        <f t="shared" si="6"/>
        <v>8</v>
      </c>
      <c r="AE19" s="1597">
        <f t="shared" si="6"/>
        <v>8</v>
      </c>
      <c r="AF19" s="1597">
        <f t="shared" si="6"/>
        <v>0</v>
      </c>
      <c r="AG19" s="1597">
        <f t="shared" si="6"/>
        <v>8</v>
      </c>
      <c r="AH19" s="1597">
        <f t="shared" si="6"/>
        <v>8</v>
      </c>
      <c r="AI19" s="1597">
        <f t="shared" si="6"/>
        <v>8</v>
      </c>
      <c r="AJ19" s="1598">
        <f>SUM(AJ11:AJ18)</f>
        <v>216</v>
      </c>
      <c r="AK19" s="1597" t="e">
        <f>SUM(#REF!,#REF!,#REF!,#REF!)</f>
        <v>#REF!</v>
      </c>
      <c r="AL19" s="1597"/>
      <c r="AW19" s="1585">
        <f>18*7</f>
        <v>126</v>
      </c>
    </row>
    <row r="20" spans="1:61" ht="14.45" customHeight="1">
      <c r="A20" s="2738" t="s">
        <v>2007</v>
      </c>
      <c r="B20" s="2738"/>
      <c r="C20" s="1586" t="s">
        <v>2533</v>
      </c>
      <c r="AJ20" s="1599"/>
      <c r="AK20" s="1599"/>
      <c r="AL20" s="1599"/>
    </row>
    <row r="21" spans="1:61" s="1585" customFormat="1" ht="16.5" customHeight="1">
      <c r="C21" s="1586" t="s">
        <v>2535</v>
      </c>
      <c r="D21" s="1586"/>
      <c r="AA21" s="2728"/>
      <c r="AB21" s="2728"/>
      <c r="AC21" s="2728"/>
      <c r="AD21" s="2728"/>
      <c r="AE21" s="2728"/>
      <c r="AF21" s="2728"/>
      <c r="AG21" s="2728"/>
      <c r="AH21" s="2728"/>
      <c r="AI21" s="2728"/>
      <c r="AJ21" s="2728"/>
      <c r="AK21" s="2728"/>
      <c r="AL21" s="2728"/>
    </row>
    <row r="22" spans="1:61" s="150" customFormat="1" ht="16.5" customHeight="1">
      <c r="C22" s="1250" t="s">
        <v>2534</v>
      </c>
      <c r="D22" s="1250"/>
      <c r="AA22" s="2729" t="s">
        <v>3469</v>
      </c>
      <c r="AB22" s="2729"/>
      <c r="AC22" s="2729"/>
      <c r="AD22" s="2729"/>
      <c r="AE22" s="2729"/>
      <c r="AF22" s="2729"/>
      <c r="AG22" s="2729"/>
      <c r="AH22" s="2729"/>
      <c r="AI22" s="2729"/>
      <c r="AJ22" s="2729"/>
      <c r="AK22" s="2729"/>
      <c r="AL22" s="2729"/>
    </row>
    <row r="23" spans="1:61" s="1250" customFormat="1">
      <c r="A23" s="2618" t="s">
        <v>2538</v>
      </c>
      <c r="B23" s="2618"/>
      <c r="C23" s="2618"/>
      <c r="D23" s="2618"/>
      <c r="E23" s="2618"/>
      <c r="F23" s="2618"/>
      <c r="G23" s="150"/>
      <c r="H23" s="150"/>
      <c r="I23" s="150" t="s">
        <v>3300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 t="s">
        <v>3301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2618" t="s">
        <v>612</v>
      </c>
      <c r="AG23" s="2618"/>
      <c r="AH23" s="2618"/>
      <c r="AI23" s="2618"/>
      <c r="AJ23" s="2618"/>
      <c r="AK23" s="2618"/>
      <c r="AL23" s="2618"/>
    </row>
    <row r="30" spans="1:61">
      <c r="AE30" s="2727"/>
      <c r="AF30" s="2727"/>
      <c r="AG30" s="2727"/>
      <c r="AH30" s="2727"/>
      <c r="AI30" s="2727"/>
      <c r="AJ30" s="2727"/>
      <c r="AK30" s="2727"/>
      <c r="AL30" s="2727"/>
    </row>
  </sheetData>
  <mergeCells count="22">
    <mergeCell ref="AA22:AL22"/>
    <mergeCell ref="C9:C10"/>
    <mergeCell ref="D9:D10"/>
    <mergeCell ref="B19:C19"/>
    <mergeCell ref="A20:B20"/>
    <mergeCell ref="AA21:AL21"/>
    <mergeCell ref="A23:F23"/>
    <mergeCell ref="AF23:AL23"/>
    <mergeCell ref="AE30:AL30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C14" sqref="C14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707" t="s">
        <v>0</v>
      </c>
      <c r="B1" s="2707"/>
      <c r="C1" s="2707"/>
      <c r="D1" s="2707"/>
      <c r="E1" s="2707"/>
      <c r="F1" s="2707"/>
      <c r="G1" s="2707"/>
      <c r="H1" s="270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707" t="s">
        <v>2030</v>
      </c>
      <c r="B2" s="2707"/>
      <c r="C2" s="2707"/>
      <c r="D2" s="2707"/>
      <c r="E2" s="2707"/>
      <c r="F2" s="2707"/>
      <c r="G2" s="2707"/>
      <c r="H2" s="270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708" t="s">
        <v>619</v>
      </c>
      <c r="B3" s="2707"/>
      <c r="C3" s="2707"/>
      <c r="D3" s="2707"/>
      <c r="E3" s="2707"/>
      <c r="F3" s="2707"/>
      <c r="G3" s="2707"/>
      <c r="H3" s="270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33" t="s">
        <v>3244</v>
      </c>
      <c r="B4" s="2833"/>
      <c r="C4" s="2833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618" t="s">
        <v>3234</v>
      </c>
      <c r="B5" s="2618"/>
      <c r="C5" s="2618"/>
      <c r="D5" s="150"/>
      <c r="E5" s="1250"/>
      <c r="F5" s="311"/>
      <c r="G5" s="1250"/>
      <c r="H5" s="1250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6" customFormat="1" ht="16.5">
      <c r="A6" s="448"/>
      <c r="B6" s="448"/>
      <c r="C6" s="448"/>
      <c r="D6" s="449"/>
      <c r="E6" s="449"/>
      <c r="F6" s="449"/>
      <c r="G6" s="450"/>
      <c r="H6" s="450"/>
    </row>
    <row r="7" spans="1:105" s="446" customFormat="1" ht="18.75">
      <c r="A7" s="2836" t="s">
        <v>3395</v>
      </c>
      <c r="B7" s="2836"/>
      <c r="C7" s="2836"/>
      <c r="D7" s="2836"/>
      <c r="E7" s="2836"/>
      <c r="F7" s="2836"/>
      <c r="G7" s="2836"/>
      <c r="H7" s="2836"/>
    </row>
    <row r="8" spans="1:105" s="427" customFormat="1" ht="15" customHeight="1">
      <c r="A8" s="1296"/>
      <c r="B8" s="1296"/>
      <c r="C8" s="1296"/>
      <c r="D8" s="1296"/>
      <c r="E8" s="1296"/>
      <c r="F8" s="1296"/>
      <c r="G8" s="2835" t="s">
        <v>3013</v>
      </c>
      <c r="H8" s="2835"/>
    </row>
    <row r="9" spans="1:105" s="427" customFormat="1" ht="15" customHeight="1">
      <c r="A9" s="2829" t="s">
        <v>6</v>
      </c>
      <c r="B9" s="2829" t="s">
        <v>356</v>
      </c>
      <c r="C9" s="2829" t="s">
        <v>3012</v>
      </c>
      <c r="D9" s="2830" t="s">
        <v>530</v>
      </c>
      <c r="E9" s="2830" t="s">
        <v>2357</v>
      </c>
      <c r="F9" s="2830" t="s">
        <v>2156</v>
      </c>
      <c r="G9" s="2830" t="s">
        <v>531</v>
      </c>
      <c r="H9" s="2830" t="s">
        <v>12</v>
      </c>
    </row>
    <row r="10" spans="1:105" s="427" customFormat="1" ht="12.75" customHeight="1">
      <c r="A10" s="2829"/>
      <c r="B10" s="2829"/>
      <c r="C10" s="2829"/>
      <c r="D10" s="2830"/>
      <c r="E10" s="2830"/>
      <c r="F10" s="2830"/>
      <c r="G10" s="2830"/>
      <c r="H10" s="2830"/>
    </row>
    <row r="11" spans="1:105" s="426" customFormat="1" ht="23.25" hidden="1" customHeight="1">
      <c r="A11" s="1288">
        <v>1</v>
      </c>
      <c r="B11" s="1927" t="s">
        <v>312</v>
      </c>
      <c r="C11" s="1289"/>
      <c r="D11" s="1290"/>
      <c r="E11" s="1291">
        <v>25000</v>
      </c>
      <c r="F11" s="1291">
        <f>D11*E11</f>
        <v>0</v>
      </c>
      <c r="G11" s="1292"/>
      <c r="H11" s="1292"/>
      <c r="I11" s="441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  <c r="BF11" s="427"/>
      <c r="BG11" s="427"/>
      <c r="BH11" s="427"/>
      <c r="BI11" s="427"/>
      <c r="BJ11" s="427"/>
      <c r="BK11" s="427"/>
      <c r="BL11" s="427"/>
      <c r="BM11" s="427"/>
      <c r="BN11" s="427"/>
      <c r="BO11" s="427"/>
      <c r="BP11" s="427"/>
      <c r="BQ11" s="427"/>
      <c r="BR11" s="427"/>
      <c r="BS11" s="427"/>
      <c r="BT11" s="427"/>
      <c r="BU11" s="427"/>
      <c r="BV11" s="427"/>
      <c r="BW11" s="427"/>
      <c r="BX11" s="427"/>
      <c r="BY11" s="427"/>
      <c r="BZ11" s="427"/>
      <c r="CA11" s="427"/>
      <c r="CB11" s="427"/>
      <c r="CC11" s="427"/>
      <c r="CD11" s="427"/>
      <c r="CE11" s="427"/>
      <c r="CF11" s="427"/>
      <c r="CG11" s="427"/>
      <c r="CH11" s="427"/>
      <c r="CI11" s="427"/>
      <c r="CJ11" s="427"/>
      <c r="CK11" s="427"/>
      <c r="CL11" s="427"/>
      <c r="CM11" s="427"/>
      <c r="CN11" s="427"/>
      <c r="CO11" s="427"/>
      <c r="CP11" s="427"/>
      <c r="CQ11" s="427"/>
      <c r="CR11" s="427"/>
      <c r="CS11" s="427"/>
      <c r="CT11" s="427"/>
      <c r="CU11" s="427"/>
      <c r="CV11" s="427"/>
      <c r="CW11" s="427"/>
      <c r="CX11" s="427"/>
      <c r="CY11" s="427"/>
      <c r="CZ11" s="427"/>
      <c r="DA11" s="427"/>
    </row>
    <row r="12" spans="1:105" s="426" customFormat="1" ht="23.25" hidden="1" customHeight="1">
      <c r="A12" s="2022"/>
      <c r="B12" s="1927"/>
      <c r="C12" s="2023"/>
      <c r="D12" s="2024"/>
      <c r="E12" s="2025"/>
      <c r="F12" s="2025"/>
      <c r="G12" s="2026"/>
      <c r="H12" s="2026"/>
      <c r="I12" s="441"/>
      <c r="J12" s="427"/>
      <c r="K12" s="427"/>
      <c r="L12" s="427"/>
      <c r="M12" s="427"/>
      <c r="N12" s="427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</row>
    <row r="13" spans="1:105" s="426" customFormat="1" ht="37.5" customHeight="1">
      <c r="A13" s="1288">
        <v>1</v>
      </c>
      <c r="B13" s="1927" t="s">
        <v>3298</v>
      </c>
      <c r="C13" s="1289" t="s">
        <v>3409</v>
      </c>
      <c r="D13" s="1290">
        <v>12</v>
      </c>
      <c r="E13" s="1291">
        <v>25000</v>
      </c>
      <c r="F13" s="1291">
        <f t="shared" ref="F13:F14" si="0">D13*E13</f>
        <v>300000</v>
      </c>
      <c r="G13" s="1292"/>
      <c r="H13" s="1292"/>
      <c r="I13" s="441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</row>
    <row r="14" spans="1:105" s="426" customFormat="1" ht="33.75" customHeight="1">
      <c r="A14" s="1288">
        <v>2</v>
      </c>
      <c r="B14" s="1927" t="s">
        <v>86</v>
      </c>
      <c r="C14" s="1289" t="s">
        <v>3406</v>
      </c>
      <c r="D14" s="1290">
        <v>40</v>
      </c>
      <c r="E14" s="1291">
        <v>25000</v>
      </c>
      <c r="F14" s="1291">
        <f t="shared" si="0"/>
        <v>1000000</v>
      </c>
      <c r="G14" s="1292"/>
      <c r="H14" s="1292"/>
      <c r="I14" s="441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</row>
    <row r="15" spans="1:105" s="426" customFormat="1" ht="23.25" hidden="1" customHeight="1">
      <c r="A15" s="1288"/>
      <c r="B15" s="1927"/>
      <c r="C15" s="1289"/>
      <c r="D15" s="1290"/>
      <c r="E15" s="1291"/>
      <c r="F15" s="1291"/>
      <c r="G15" s="1292"/>
      <c r="H15" s="1292"/>
      <c r="I15" s="441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</row>
    <row r="16" spans="1:105" s="426" customFormat="1" ht="20.25" customHeight="1">
      <c r="A16" s="2829" t="s">
        <v>349</v>
      </c>
      <c r="B16" s="2829"/>
      <c r="C16" s="2829"/>
      <c r="D16" s="1293">
        <f>+SUM(D11:D15)</f>
        <v>52</v>
      </c>
      <c r="E16" s="1294"/>
      <c r="F16" s="1295">
        <f>SUM(F11:F15)</f>
        <v>1300000</v>
      </c>
      <c r="G16" s="1293"/>
      <c r="H16" s="1293"/>
      <c r="I16" s="427"/>
      <c r="J16" s="14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</row>
    <row r="17" spans="1:105" s="163" customFormat="1" ht="24" customHeight="1">
      <c r="A17" s="2837" t="s">
        <v>3407</v>
      </c>
      <c r="B17" s="2837"/>
      <c r="C17" s="2837"/>
      <c r="D17" s="2837"/>
      <c r="E17" s="2837"/>
      <c r="F17" s="2837"/>
      <c r="G17" s="2837"/>
      <c r="H17" s="2837"/>
      <c r="I17" s="426"/>
      <c r="J17" s="458"/>
      <c r="K17" s="426"/>
      <c r="M17" s="459"/>
    </row>
    <row r="18" spans="1:105" s="163" customFormat="1" ht="18" customHeight="1">
      <c r="A18" s="1298"/>
      <c r="B18" s="1298"/>
      <c r="C18" s="1299"/>
      <c r="D18" s="1299"/>
      <c r="E18" s="2838" t="s">
        <v>3392</v>
      </c>
      <c r="F18" s="2838"/>
      <c r="G18" s="2838"/>
      <c r="H18" s="2838"/>
      <c r="I18" s="426"/>
      <c r="J18" s="145"/>
      <c r="K18" s="426"/>
      <c r="M18" s="459"/>
    </row>
    <row r="19" spans="1:105" ht="19.5" customHeight="1">
      <c r="A19" s="1297" t="s">
        <v>614</v>
      </c>
      <c r="B19" s="1297"/>
      <c r="C19" s="1300" t="s">
        <v>3042</v>
      </c>
      <c r="D19" s="147"/>
      <c r="E19" s="1300" t="s">
        <v>3051</v>
      </c>
      <c r="F19" s="147"/>
      <c r="G19" s="1298" t="s">
        <v>2988</v>
      </c>
      <c r="H19" s="1298"/>
      <c r="J19" s="145"/>
    </row>
    <row r="20" spans="1:105" s="145" customFormat="1" ht="15.75" customHeight="1">
      <c r="A20" s="2831"/>
      <c r="B20" s="2831"/>
      <c r="C20" s="2831"/>
      <c r="D20" s="446"/>
      <c r="E20" s="446"/>
      <c r="F20" s="446"/>
      <c r="G20" s="1301"/>
      <c r="H20" s="1301"/>
    </row>
    <row r="21" spans="1:105" s="145" customFormat="1" ht="15.75" customHeight="1">
      <c r="A21" s="1298"/>
      <c r="B21" s="1298"/>
      <c r="C21" s="1298"/>
      <c r="D21" s="1298"/>
      <c r="E21" s="1298"/>
      <c r="F21" s="1298"/>
      <c r="G21" s="1302"/>
      <c r="H21" s="130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4"/>
      <c r="H22" s="454"/>
    </row>
    <row r="23" spans="1:105" s="145" customFormat="1" ht="15">
      <c r="A23" s="164"/>
      <c r="B23" s="164"/>
      <c r="C23" s="164"/>
      <c r="D23" s="165"/>
      <c r="E23" s="165"/>
      <c r="F23" s="165"/>
      <c r="G23" s="455"/>
      <c r="H23" s="455"/>
    </row>
    <row r="24" spans="1:105">
      <c r="A24" s="2691"/>
      <c r="B24" s="2691"/>
      <c r="C24" s="151"/>
      <c r="F24" s="2832"/>
      <c r="G24" s="2832"/>
      <c r="H24" s="2832"/>
    </row>
    <row r="25" spans="1:105" s="145" customFormat="1" ht="15">
      <c r="A25" s="456"/>
      <c r="B25" s="456"/>
      <c r="C25" s="456"/>
      <c r="D25" s="163"/>
      <c r="E25" s="2834"/>
      <c r="F25" s="2834"/>
      <c r="G25" s="2834"/>
      <c r="H25" s="2834"/>
    </row>
    <row r="26" spans="1:105" s="145" customFormat="1" ht="15">
      <c r="C26" s="167"/>
      <c r="D26" s="169"/>
      <c r="E26" s="169"/>
      <c r="F26" s="2828"/>
      <c r="G26" s="2828"/>
      <c r="H26" s="2828"/>
    </row>
    <row r="27" spans="1:105" s="145" customFormat="1" ht="15"/>
    <row r="28" spans="1:105">
      <c r="A28" s="144"/>
      <c r="B28" s="144"/>
      <c r="C28" s="144"/>
      <c r="G28" s="456"/>
      <c r="H28" s="45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7"/>
      <c r="H29" s="45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opLeftCell="A4" workbookViewId="0">
      <selection activeCell="G19" sqref="G19"/>
    </sheetView>
  </sheetViews>
  <sheetFormatPr defaultColWidth="9.140625" defaultRowHeight="16.5"/>
  <cols>
    <col min="1" max="1" width="5" style="1889" customWidth="1"/>
    <col min="2" max="2" width="22.42578125" style="1889" customWidth="1"/>
    <col min="3" max="3" width="11.7109375" style="1889" customWidth="1"/>
    <col min="4" max="5" width="15.140625" style="1889" customWidth="1"/>
    <col min="6" max="8" width="16" style="1889" customWidth="1"/>
    <col min="9" max="9" width="16.7109375" style="1889" customWidth="1"/>
    <col min="10" max="10" width="11.140625" style="1889" customWidth="1"/>
    <col min="11" max="11" width="8.42578125" style="1889" customWidth="1"/>
    <col min="12" max="12" width="12.85546875" style="1889" customWidth="1"/>
    <col min="13" max="13" width="13.42578125" style="1889" customWidth="1"/>
    <col min="14" max="15" width="7.85546875" style="1889" customWidth="1"/>
    <col min="16" max="16" width="7.28515625" style="1889" customWidth="1"/>
    <col min="17" max="17" width="7.42578125" style="1889" customWidth="1"/>
    <col min="18" max="18" width="6.28515625" style="1889" customWidth="1"/>
    <col min="19" max="19" width="5.7109375" style="1889" customWidth="1"/>
    <col min="20" max="20" width="6" style="1889" customWidth="1"/>
    <col min="21" max="21" width="4.85546875" style="1889" customWidth="1"/>
    <col min="22" max="22" width="6" style="1889" customWidth="1"/>
    <col min="23" max="23" width="6.5703125" style="1889" customWidth="1"/>
    <col min="24" max="24" width="8.140625" style="1889" customWidth="1"/>
    <col min="25" max="25" width="6" style="1889" customWidth="1"/>
    <col min="26" max="26" width="8.140625" style="1889" customWidth="1"/>
    <col min="27" max="27" width="15" style="1889" bestFit="1" customWidth="1"/>
    <col min="28" max="28" width="17.85546875" style="1889" bestFit="1" customWidth="1"/>
    <col min="29" max="29" width="12.85546875" style="1889" bestFit="1" customWidth="1"/>
    <col min="30" max="16384" width="9.140625" style="1889"/>
  </cols>
  <sheetData>
    <row r="1" spans="1:29">
      <c r="A1" s="2848" t="s">
        <v>0</v>
      </c>
      <c r="B1" s="2848"/>
      <c r="C1" s="2848"/>
      <c r="D1" s="2848"/>
      <c r="E1" s="2848"/>
      <c r="F1" s="2848"/>
      <c r="G1" s="2848"/>
      <c r="H1" s="2848"/>
      <c r="I1" s="2848"/>
      <c r="J1" s="2848"/>
      <c r="K1" s="1887"/>
      <c r="L1" s="1887"/>
      <c r="M1" s="1887"/>
      <c r="N1" s="1888"/>
      <c r="P1" s="1887"/>
      <c r="Q1" s="1887"/>
      <c r="R1" s="1887"/>
      <c r="S1" s="1887"/>
      <c r="T1" s="1887"/>
      <c r="U1" s="1887"/>
      <c r="V1" s="1887"/>
      <c r="W1" s="1887"/>
      <c r="X1" s="1887"/>
      <c r="Y1" s="1887"/>
      <c r="Z1" s="1887"/>
    </row>
    <row r="2" spans="1:29">
      <c r="A2" s="2848" t="s">
        <v>1</v>
      </c>
      <c r="B2" s="2848"/>
      <c r="C2" s="2848"/>
      <c r="D2" s="2848"/>
      <c r="E2" s="2848"/>
      <c r="F2" s="2848"/>
      <c r="G2" s="2848"/>
      <c r="H2" s="2848"/>
      <c r="I2" s="2848"/>
      <c r="J2" s="2848"/>
      <c r="K2" s="1890"/>
      <c r="L2" s="1890"/>
      <c r="M2" s="1890"/>
      <c r="N2" s="1890"/>
      <c r="O2" s="1891"/>
      <c r="Q2" s="1890"/>
      <c r="R2" s="1890"/>
      <c r="S2" s="1890"/>
      <c r="T2" s="1890"/>
      <c r="U2" s="1890"/>
      <c r="V2" s="1890"/>
      <c r="W2" s="1890"/>
      <c r="X2" s="1890"/>
      <c r="Y2" s="1890"/>
      <c r="Z2" s="1891"/>
    </row>
    <row r="3" spans="1:29">
      <c r="A3" s="2849" t="s">
        <v>3262</v>
      </c>
      <c r="B3" s="2848"/>
      <c r="C3" s="2848"/>
      <c r="D3" s="2848"/>
      <c r="E3" s="2848"/>
      <c r="F3" s="2848"/>
      <c r="G3" s="2848"/>
      <c r="H3" s="2848"/>
      <c r="I3" s="2848"/>
      <c r="J3" s="2848"/>
      <c r="K3" s="1890"/>
      <c r="L3" s="1890"/>
      <c r="M3" s="1890"/>
      <c r="N3" s="1890"/>
      <c r="O3" s="1891"/>
      <c r="Q3" s="1890"/>
      <c r="R3" s="1890"/>
      <c r="S3" s="1890"/>
      <c r="T3" s="1890"/>
      <c r="U3" s="1890"/>
      <c r="V3" s="1890"/>
      <c r="W3" s="1890"/>
      <c r="X3" s="1890"/>
      <c r="Y3" s="1890"/>
      <c r="Z3" s="1891"/>
    </row>
    <row r="4" spans="1:29">
      <c r="A4" s="1892"/>
      <c r="B4" s="1892"/>
      <c r="C4" s="1892"/>
      <c r="D4" s="1892"/>
      <c r="E4" s="1892"/>
      <c r="F4" s="1892"/>
      <c r="G4" s="1892"/>
      <c r="H4" s="1892"/>
      <c r="I4" s="1893"/>
      <c r="J4" s="1893"/>
      <c r="K4" s="1894"/>
      <c r="L4" s="1894"/>
      <c r="M4" s="1894"/>
      <c r="N4" s="1895"/>
      <c r="O4" s="1896"/>
      <c r="P4" s="1897"/>
      <c r="Q4" s="1898"/>
      <c r="R4" s="1898"/>
      <c r="S4" s="1898"/>
      <c r="T4" s="1898"/>
      <c r="U4" s="1898"/>
      <c r="V4" s="1898"/>
      <c r="W4" s="1898"/>
      <c r="X4" s="1898"/>
      <c r="Y4" s="1898"/>
      <c r="Z4" s="1891"/>
      <c r="AA4" s="1899">
        <f>1372+388</f>
        <v>1760</v>
      </c>
      <c r="AB4" s="1889">
        <f>AA4*30000</f>
        <v>52800000</v>
      </c>
      <c r="AC4" s="1889" t="e">
        <f>AB4+#REF!+#REF!</f>
        <v>#REF!</v>
      </c>
    </row>
    <row r="5" spans="1:29">
      <c r="A5" s="2850" t="s">
        <v>3244</v>
      </c>
      <c r="B5" s="2850"/>
      <c r="C5" s="2850"/>
      <c r="D5" s="2850"/>
      <c r="E5" s="2850"/>
      <c r="F5" s="1900"/>
      <c r="G5" s="1900"/>
      <c r="H5" s="1900"/>
      <c r="I5" s="1893"/>
      <c r="J5" s="1893"/>
      <c r="K5" s="1894"/>
      <c r="L5" s="1894"/>
      <c r="M5" s="1894"/>
      <c r="N5" s="1895"/>
      <c r="O5" s="1896"/>
      <c r="P5" s="1897"/>
      <c r="Q5" s="1898"/>
      <c r="R5" s="1898"/>
      <c r="S5" s="1898"/>
      <c r="T5" s="1898"/>
      <c r="U5" s="1898"/>
      <c r="V5" s="1898"/>
      <c r="W5" s="1898"/>
      <c r="X5" s="1898"/>
      <c r="Y5" s="1898"/>
      <c r="Z5" s="1891"/>
      <c r="AA5" s="1899"/>
    </row>
    <row r="6" spans="1:29">
      <c r="A6" s="2851" t="s">
        <v>3071</v>
      </c>
      <c r="B6" s="2851"/>
      <c r="C6" s="2851"/>
      <c r="D6" s="2851"/>
      <c r="E6" s="2851"/>
      <c r="F6" s="1901"/>
      <c r="G6" s="1901"/>
      <c r="H6" s="1893"/>
      <c r="I6" s="1893"/>
      <c r="J6" s="1893"/>
      <c r="K6" s="1894"/>
      <c r="L6" s="1894"/>
      <c r="M6" s="1894"/>
      <c r="N6" s="1895"/>
      <c r="O6" s="1896"/>
      <c r="P6" s="1897"/>
      <c r="Q6" s="1898"/>
      <c r="R6" s="1898"/>
      <c r="S6" s="1898"/>
      <c r="T6" s="1898"/>
      <c r="U6" s="1898"/>
      <c r="V6" s="1898"/>
      <c r="W6" s="1898"/>
      <c r="X6" s="1898"/>
      <c r="Y6" s="1898"/>
      <c r="Z6" s="1891"/>
      <c r="AA6" s="1899"/>
    </row>
    <row r="7" spans="1:29">
      <c r="A7" s="1902"/>
      <c r="B7" s="1902"/>
      <c r="C7" s="1902"/>
      <c r="D7" s="1902"/>
      <c r="E7" s="1902"/>
      <c r="F7" s="1901"/>
      <c r="G7" s="1901"/>
      <c r="H7" s="1893"/>
      <c r="I7" s="1893"/>
      <c r="J7" s="1893"/>
      <c r="K7" s="1894"/>
      <c r="L7" s="1894"/>
      <c r="M7" s="1894"/>
      <c r="N7" s="1895"/>
      <c r="O7" s="1896"/>
      <c r="P7" s="1897"/>
      <c r="Q7" s="1898"/>
      <c r="R7" s="1898"/>
      <c r="S7" s="1898"/>
      <c r="T7" s="1898"/>
      <c r="U7" s="1898"/>
      <c r="V7" s="1898"/>
      <c r="W7" s="1898"/>
      <c r="X7" s="1898"/>
      <c r="Y7" s="1898"/>
      <c r="Z7" s="1891"/>
      <c r="AA7" s="1899"/>
    </row>
    <row r="8" spans="1:29" ht="18.75">
      <c r="A8" s="2846" t="s">
        <v>3394</v>
      </c>
      <c r="B8" s="2847"/>
      <c r="C8" s="2847"/>
      <c r="D8" s="2847"/>
      <c r="E8" s="2847"/>
      <c r="F8" s="2847"/>
      <c r="G8" s="2847"/>
      <c r="H8" s="2847"/>
      <c r="I8" s="2847"/>
      <c r="J8" s="2847"/>
      <c r="K8" s="1903"/>
      <c r="L8" s="1903"/>
      <c r="M8" s="1903"/>
      <c r="N8" s="1903"/>
      <c r="O8" s="1904"/>
      <c r="P8" s="1904"/>
      <c r="Q8" s="1904"/>
      <c r="R8" s="1904"/>
      <c r="S8" s="1904"/>
      <c r="T8" s="1904"/>
      <c r="U8" s="1904"/>
      <c r="V8" s="1904"/>
      <c r="W8" s="1904"/>
      <c r="X8" s="1904"/>
      <c r="Y8" s="1904"/>
      <c r="Z8" s="1904"/>
    </row>
    <row r="9" spans="1:29">
      <c r="A9" s="1905"/>
      <c r="B9" s="1906"/>
      <c r="C9" s="1906"/>
      <c r="D9" s="1905"/>
      <c r="E9" s="1905"/>
      <c r="F9" s="1905"/>
      <c r="G9" s="1905"/>
      <c r="H9" s="1905"/>
      <c r="I9" s="2840" t="s">
        <v>3263</v>
      </c>
      <c r="J9" s="2840"/>
      <c r="K9" s="1907"/>
      <c r="L9" s="1908"/>
      <c r="M9" s="1909"/>
    </row>
    <row r="10" spans="1:29" ht="21" customHeight="1">
      <c r="A10" s="2841" t="s">
        <v>6</v>
      </c>
      <c r="B10" s="2841" t="s">
        <v>3264</v>
      </c>
      <c r="C10" s="2841" t="s">
        <v>3265</v>
      </c>
      <c r="D10" s="2842" t="s">
        <v>529</v>
      </c>
      <c r="E10" s="2842" t="s">
        <v>2357</v>
      </c>
      <c r="F10" s="2842" t="s">
        <v>2156</v>
      </c>
      <c r="G10" s="2842" t="s">
        <v>2197</v>
      </c>
      <c r="H10" s="2843" t="s">
        <v>3266</v>
      </c>
      <c r="I10" s="2841" t="s">
        <v>2140</v>
      </c>
      <c r="J10" s="2841" t="s">
        <v>12</v>
      </c>
      <c r="K10" s="1910"/>
      <c r="L10" s="1911"/>
      <c r="M10" s="1912"/>
    </row>
    <row r="11" spans="1:29" ht="21" customHeight="1">
      <c r="A11" s="2841"/>
      <c r="B11" s="2841"/>
      <c r="C11" s="2841"/>
      <c r="D11" s="2842"/>
      <c r="E11" s="2842"/>
      <c r="F11" s="2842"/>
      <c r="G11" s="2842"/>
      <c r="H11" s="2843"/>
      <c r="I11" s="2841"/>
      <c r="J11" s="2841"/>
      <c r="K11" s="1913"/>
      <c r="L11" s="1911"/>
      <c r="M11" s="1912"/>
    </row>
    <row r="12" spans="1:29" ht="27" customHeight="1">
      <c r="A12" s="1914">
        <v>1</v>
      </c>
      <c r="B12" s="1915" t="s">
        <v>3267</v>
      </c>
      <c r="C12" s="1914" t="s">
        <v>15</v>
      </c>
      <c r="D12" s="1916">
        <v>31</v>
      </c>
      <c r="E12" s="1917">
        <f>2500000/31</f>
        <v>80645.161290322576</v>
      </c>
      <c r="F12" s="1917">
        <f>D12*E12</f>
        <v>2500000</v>
      </c>
      <c r="G12" s="1918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17">
        <f>+F12-G12</f>
        <v>2440000</v>
      </c>
      <c r="I12" s="1919"/>
      <c r="J12" s="1919"/>
      <c r="K12" s="1913"/>
      <c r="L12" s="1911"/>
      <c r="M12" s="1912"/>
    </row>
    <row r="13" spans="1:29" ht="27" customHeight="1">
      <c r="A13" s="1914">
        <v>2</v>
      </c>
      <c r="B13" s="1920" t="s">
        <v>3226</v>
      </c>
      <c r="C13" s="1914" t="s">
        <v>15</v>
      </c>
      <c r="D13" s="1916">
        <v>31</v>
      </c>
      <c r="E13" s="1917">
        <f>2500000/31</f>
        <v>80645.161290322576</v>
      </c>
      <c r="F13" s="1917">
        <f t="shared" ref="F13" si="0">D13*E13</f>
        <v>2500000</v>
      </c>
      <c r="G13" s="1918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17">
        <f>+F13-G13</f>
        <v>2440000</v>
      </c>
      <c r="I13" s="1919"/>
      <c r="J13" s="1919"/>
      <c r="K13" s="1913"/>
      <c r="L13" s="1911"/>
      <c r="M13" s="1912"/>
    </row>
    <row r="14" spans="1:29" ht="27" customHeight="1">
      <c r="A14" s="2841" t="s">
        <v>349</v>
      </c>
      <c r="B14" s="2841"/>
      <c r="C14" s="1919"/>
      <c r="D14" s="1921">
        <f>SUM(D12:D13)</f>
        <v>62</v>
      </c>
      <c r="E14" s="1922"/>
      <c r="F14" s="2013">
        <f>SUM(F12:F13)</f>
        <v>5000000</v>
      </c>
      <c r="G14" s="1923">
        <f>SUM(G12:G13)</f>
        <v>120000</v>
      </c>
      <c r="H14" s="1922">
        <f>SUM(H12:H13)</f>
        <v>4880000</v>
      </c>
      <c r="I14" s="1921"/>
      <c r="J14" s="1914"/>
      <c r="K14" s="1913"/>
      <c r="L14" s="1924"/>
      <c r="M14" s="1925"/>
    </row>
    <row r="15" spans="1:29" ht="27" customHeight="1">
      <c r="A15" s="2844" t="s">
        <v>3303</v>
      </c>
      <c r="B15" s="2844"/>
      <c r="C15" s="2844"/>
      <c r="D15" s="2844"/>
      <c r="E15" s="2844"/>
      <c r="F15" s="2844"/>
      <c r="G15" s="2844"/>
      <c r="H15" s="2844"/>
      <c r="I15" s="2844"/>
      <c r="J15" s="2844"/>
    </row>
    <row r="16" spans="1:29">
      <c r="F16" s="1984"/>
      <c r="G16" s="2845" t="s">
        <v>3392</v>
      </c>
      <c r="H16" s="2845"/>
      <c r="I16" s="2845"/>
      <c r="J16" s="2845"/>
      <c r="K16" s="1926"/>
      <c r="L16" s="1926"/>
      <c r="M16" s="1926"/>
      <c r="N16" s="1926"/>
      <c r="O16" s="1926"/>
    </row>
    <row r="17" spans="1:10">
      <c r="A17" s="2839" t="s">
        <v>3268</v>
      </c>
      <c r="B17" s="2839"/>
      <c r="C17" s="2839"/>
      <c r="D17" s="2839"/>
      <c r="E17" s="2839"/>
      <c r="F17" s="2839"/>
      <c r="G17" s="2839"/>
      <c r="H17" s="2839"/>
      <c r="I17" s="2839"/>
      <c r="J17" s="2839"/>
    </row>
    <row r="23" spans="1:10">
      <c r="H23" s="2839"/>
      <c r="I23" s="2839"/>
      <c r="J23" s="2839"/>
    </row>
    <row r="24" spans="1:10">
      <c r="D24" s="1889" t="s">
        <v>1920</v>
      </c>
    </row>
  </sheetData>
  <mergeCells count="22">
    <mergeCell ref="A8:J8"/>
    <mergeCell ref="A1:J1"/>
    <mergeCell ref="A2:J2"/>
    <mergeCell ref="A3:J3"/>
    <mergeCell ref="A5:E5"/>
    <mergeCell ref="A6:E6"/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</mergeCells>
  <pageMargins left="0.2" right="0.2" top="0.32" bottom="0.75" header="0.3" footer="0.3"/>
  <pageSetup paperSize="9" scale="98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50" customWidth="1"/>
    <col min="2" max="2" width="8.7109375" style="1250" customWidth="1"/>
    <col min="3" max="3" width="17" style="1250" customWidth="1"/>
    <col min="4" max="4" width="16.5703125" style="1250" customWidth="1"/>
    <col min="5" max="33" width="5" style="1250" customWidth="1"/>
    <col min="34" max="35" width="4.7109375" style="1250" customWidth="1"/>
    <col min="36" max="36" width="7.140625" style="1250" customWidth="1"/>
    <col min="37" max="37" width="5.85546875" style="1250" hidden="1" customWidth="1"/>
    <col min="38" max="38" width="11.5703125" style="1250" customWidth="1"/>
    <col min="39" max="47" width="9.140625" style="1250" hidden="1" customWidth="1"/>
    <col min="48" max="48" width="1.5703125" style="1250" customWidth="1"/>
    <col min="49" max="16384" width="9.140625" style="1250"/>
  </cols>
  <sheetData>
    <row r="1" spans="1:49" s="150" customFormat="1" ht="19.5" customHeight="1">
      <c r="B1" s="2618" t="s">
        <v>617</v>
      </c>
      <c r="C1" s="2618"/>
      <c r="D1" s="2618"/>
      <c r="E1" s="2618"/>
      <c r="F1" s="2618"/>
      <c r="G1" s="2618"/>
      <c r="H1" s="2618"/>
      <c r="I1" s="2618"/>
      <c r="J1" s="2618"/>
      <c r="K1" s="2618"/>
      <c r="L1" s="2618"/>
      <c r="M1" s="2618"/>
      <c r="N1" s="2618"/>
      <c r="O1" s="2618"/>
      <c r="P1" s="2618"/>
      <c r="Q1" s="2618"/>
      <c r="R1" s="2618"/>
      <c r="S1" s="2618"/>
      <c r="T1" s="2618"/>
      <c r="U1" s="2618"/>
      <c r="V1" s="2618"/>
      <c r="W1" s="2618"/>
      <c r="X1" s="2618"/>
      <c r="Y1" s="2618"/>
      <c r="Z1" s="2618"/>
      <c r="AA1" s="2618"/>
      <c r="AB1" s="2618"/>
      <c r="AC1" s="2618"/>
      <c r="AD1" s="2618"/>
      <c r="AE1" s="2618"/>
      <c r="AF1" s="2618"/>
      <c r="AG1" s="2618"/>
      <c r="AH1" s="2618"/>
      <c r="AI1" s="2618"/>
      <c r="AJ1" s="2618"/>
      <c r="AK1" s="2618"/>
      <c r="AL1" s="2618"/>
      <c r="AO1" s="1620">
        <v>1</v>
      </c>
      <c r="AP1" s="1620">
        <v>2</v>
      </c>
      <c r="AQ1" s="1620">
        <v>3</v>
      </c>
      <c r="AR1" s="1620">
        <v>4</v>
      </c>
      <c r="AS1" s="1620">
        <v>5</v>
      </c>
      <c r="AT1" s="1621">
        <v>6</v>
      </c>
      <c r="AU1" s="1621">
        <v>7</v>
      </c>
    </row>
    <row r="2" spans="1:49" s="150" customFormat="1" ht="19.5" customHeight="1">
      <c r="B2" s="2618" t="s">
        <v>618</v>
      </c>
      <c r="C2" s="2618"/>
      <c r="D2" s="2618"/>
      <c r="E2" s="2618"/>
      <c r="F2" s="2618"/>
      <c r="G2" s="2618"/>
      <c r="H2" s="2618"/>
      <c r="I2" s="2618"/>
      <c r="J2" s="2618"/>
      <c r="K2" s="2618"/>
      <c r="L2" s="2618"/>
      <c r="M2" s="2618"/>
      <c r="N2" s="2618"/>
      <c r="O2" s="2618"/>
      <c r="P2" s="2618"/>
      <c r="Q2" s="2618"/>
      <c r="R2" s="2618"/>
      <c r="S2" s="2618"/>
      <c r="T2" s="2618"/>
      <c r="U2" s="2618"/>
      <c r="V2" s="2618"/>
      <c r="W2" s="2618"/>
      <c r="X2" s="2618"/>
      <c r="Y2" s="2618"/>
      <c r="Z2" s="2618"/>
      <c r="AA2" s="2618"/>
      <c r="AB2" s="2618"/>
      <c r="AC2" s="2618"/>
      <c r="AD2" s="2618"/>
      <c r="AE2" s="2618"/>
      <c r="AF2" s="2618"/>
      <c r="AG2" s="2618"/>
      <c r="AH2" s="2618"/>
      <c r="AI2" s="2618"/>
      <c r="AJ2" s="2618"/>
      <c r="AK2" s="2618"/>
      <c r="AL2" s="2618"/>
      <c r="AO2" s="1620" t="s">
        <v>554</v>
      </c>
      <c r="AP2" s="1620" t="s">
        <v>2508</v>
      </c>
      <c r="AQ2" s="1620" t="s">
        <v>2509</v>
      </c>
      <c r="AR2" s="1620" t="s">
        <v>2510</v>
      </c>
      <c r="AS2" s="1620" t="s">
        <v>212</v>
      </c>
      <c r="AT2" s="1621" t="s">
        <v>2511</v>
      </c>
      <c r="AU2" s="1621" t="s">
        <v>2512</v>
      </c>
    </row>
    <row r="3" spans="1:49" s="150" customFormat="1" ht="19.5" customHeight="1">
      <c r="B3" s="2854" t="s">
        <v>619</v>
      </c>
      <c r="C3" s="2618"/>
      <c r="D3" s="2618"/>
      <c r="E3" s="2618"/>
      <c r="F3" s="2618"/>
      <c r="G3" s="2618"/>
      <c r="H3" s="2618"/>
      <c r="I3" s="2618"/>
      <c r="J3" s="2618"/>
      <c r="K3" s="2618"/>
      <c r="L3" s="2618"/>
      <c r="M3" s="2618"/>
      <c r="N3" s="2618"/>
      <c r="O3" s="2618"/>
      <c r="P3" s="2618"/>
      <c r="Q3" s="2618"/>
      <c r="R3" s="2618"/>
      <c r="S3" s="2618"/>
      <c r="T3" s="2618"/>
      <c r="U3" s="2618"/>
      <c r="V3" s="2618"/>
      <c r="W3" s="2618"/>
      <c r="X3" s="2618"/>
      <c r="Y3" s="2618"/>
      <c r="Z3" s="2618"/>
      <c r="AA3" s="2618"/>
      <c r="AB3" s="2618"/>
      <c r="AC3" s="2618"/>
      <c r="AD3" s="2618"/>
      <c r="AE3" s="2618"/>
      <c r="AF3" s="2618"/>
      <c r="AG3" s="2618"/>
      <c r="AH3" s="2618"/>
      <c r="AI3" s="2618"/>
      <c r="AJ3" s="2618"/>
      <c r="AK3" s="2618"/>
      <c r="AL3" s="2618"/>
      <c r="AO3" s="1620"/>
      <c r="AP3" s="1620"/>
      <c r="AQ3" s="1620"/>
      <c r="AR3" s="1620"/>
      <c r="AS3" s="1620"/>
      <c r="AT3" s="1621"/>
      <c r="AU3" s="1621"/>
    </row>
    <row r="4" spans="1:49" s="150" customFormat="1" ht="19.5" customHeight="1">
      <c r="B4" s="2618" t="s">
        <v>3</v>
      </c>
      <c r="C4" s="2618"/>
      <c r="D4" s="2618"/>
      <c r="E4" s="2618"/>
      <c r="F4" s="2618"/>
      <c r="G4" s="2618"/>
      <c r="H4" s="2618"/>
      <c r="I4" s="2618"/>
      <c r="J4" s="2618"/>
      <c r="K4" s="2618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O4" s="1620"/>
      <c r="AP4" s="1620"/>
      <c r="AQ4" s="1620"/>
      <c r="AR4" s="1620"/>
      <c r="AS4" s="1620"/>
      <c r="AT4" s="1621"/>
      <c r="AU4" s="1621"/>
    </row>
    <row r="5" spans="1:49" s="150" customFormat="1" ht="19.5" customHeight="1">
      <c r="B5" s="2618" t="s">
        <v>3016</v>
      </c>
      <c r="C5" s="2618"/>
      <c r="D5" s="2618"/>
      <c r="E5" s="2618"/>
      <c r="F5" s="2618"/>
      <c r="G5" s="2618"/>
      <c r="H5" s="2618"/>
      <c r="I5" s="2618"/>
      <c r="J5" s="2618"/>
      <c r="K5" s="2618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236"/>
      <c r="AO5" s="1620"/>
      <c r="AP5" s="1620"/>
      <c r="AQ5" s="1620"/>
      <c r="AR5" s="1620"/>
      <c r="AS5" s="1620"/>
      <c r="AT5" s="1621"/>
      <c r="AU5" s="1621"/>
    </row>
    <row r="6" spans="1:49" ht="20.25">
      <c r="A6" s="2617" t="s">
        <v>3053</v>
      </c>
      <c r="B6" s="2617"/>
      <c r="C6" s="2617"/>
      <c r="D6" s="2617"/>
      <c r="E6" s="2617"/>
      <c r="F6" s="2617"/>
      <c r="G6" s="2617"/>
      <c r="H6" s="2617"/>
      <c r="I6" s="2617"/>
      <c r="J6" s="2617"/>
      <c r="K6" s="2617"/>
      <c r="L6" s="2617"/>
      <c r="M6" s="2617"/>
      <c r="N6" s="2617"/>
      <c r="O6" s="2617"/>
      <c r="P6" s="2617"/>
      <c r="Q6" s="2617"/>
      <c r="R6" s="2617"/>
      <c r="S6" s="2617"/>
      <c r="T6" s="2617"/>
      <c r="U6" s="2617"/>
      <c r="V6" s="2617"/>
      <c r="W6" s="2617"/>
      <c r="X6" s="2617"/>
      <c r="Y6" s="2617"/>
      <c r="Z6" s="2617"/>
      <c r="AA6" s="2617"/>
      <c r="AB6" s="2617"/>
      <c r="AC6" s="2617"/>
      <c r="AD6" s="2617"/>
      <c r="AE6" s="2617"/>
      <c r="AF6" s="2617"/>
      <c r="AG6" s="2617"/>
      <c r="AH6" s="2617"/>
      <c r="AI6" s="2617"/>
      <c r="AJ6" s="2617"/>
      <c r="AK6" s="2617"/>
      <c r="AL6" s="2617"/>
      <c r="AO6" s="1544"/>
      <c r="AP6" s="1544"/>
      <c r="AQ6" s="1544"/>
      <c r="AR6" s="1544"/>
      <c r="AS6" s="1544"/>
    </row>
    <row r="7" spans="1:49" ht="16.5" customHeight="1">
      <c r="B7" s="1621" t="s">
        <v>2514</v>
      </c>
      <c r="C7" s="1622">
        <v>2025</v>
      </c>
      <c r="D7" s="1622"/>
      <c r="E7" s="2729" t="str">
        <f>"Tháng "&amp;IF(LEN($C$8)=1,"0"&amp;$C$8,$C$8)&amp;" năm "&amp;C7</f>
        <v>Tháng 05 năm 2025</v>
      </c>
      <c r="F7" s="2729"/>
      <c r="G7" s="2729"/>
      <c r="H7" s="2729"/>
      <c r="I7" s="2729"/>
      <c r="J7" s="2729"/>
      <c r="K7" s="2729"/>
      <c r="L7" s="2729"/>
      <c r="M7" s="2729"/>
      <c r="N7" s="2729"/>
      <c r="O7" s="2729"/>
      <c r="P7" s="2729"/>
      <c r="Q7" s="2729"/>
      <c r="R7" s="2729"/>
      <c r="S7" s="2729"/>
      <c r="T7" s="2729"/>
      <c r="U7" s="2729"/>
      <c r="V7" s="2729"/>
      <c r="W7" s="2729"/>
      <c r="X7" s="2729"/>
      <c r="Y7" s="2729"/>
      <c r="Z7" s="2729"/>
      <c r="AA7" s="2729"/>
      <c r="AB7" s="2729"/>
      <c r="AC7" s="2729"/>
      <c r="AD7" s="2729"/>
      <c r="AE7" s="2729"/>
      <c r="AF7" s="2729"/>
      <c r="AG7" s="1623"/>
      <c r="AH7" s="1623"/>
      <c r="AI7" s="1623"/>
    </row>
    <row r="8" spans="1:49">
      <c r="B8" s="1621" t="s">
        <v>2515</v>
      </c>
      <c r="C8" s="1622">
        <v>5</v>
      </c>
      <c r="D8" s="1622"/>
    </row>
    <row r="9" spans="1:49" ht="40.5" customHeight="1">
      <c r="B9" s="1610" t="s">
        <v>6</v>
      </c>
      <c r="C9" s="1345" t="s">
        <v>356</v>
      </c>
      <c r="D9" s="1609" t="s">
        <v>2989</v>
      </c>
      <c r="E9" s="1624">
        <v>1</v>
      </c>
      <c r="F9" s="1624">
        <v>2</v>
      </c>
      <c r="G9" s="1624">
        <v>3</v>
      </c>
      <c r="H9" s="1624">
        <v>4</v>
      </c>
      <c r="I9" s="1624">
        <v>5</v>
      </c>
      <c r="J9" s="1624">
        <v>6</v>
      </c>
      <c r="K9" s="1624">
        <v>7</v>
      </c>
      <c r="L9" s="1624">
        <v>8</v>
      </c>
      <c r="M9" s="1624">
        <v>9</v>
      </c>
      <c r="N9" s="1624">
        <v>10</v>
      </c>
      <c r="O9" s="1624">
        <v>11</v>
      </c>
      <c r="P9" s="1624">
        <v>12</v>
      </c>
      <c r="Q9" s="1624">
        <v>13</v>
      </c>
      <c r="R9" s="1624">
        <v>14</v>
      </c>
      <c r="S9" s="1624">
        <v>15</v>
      </c>
      <c r="T9" s="1624">
        <v>16</v>
      </c>
      <c r="U9" s="1624">
        <v>17</v>
      </c>
      <c r="V9" s="1624">
        <v>18</v>
      </c>
      <c r="W9" s="1624">
        <v>19</v>
      </c>
      <c r="X9" s="1624">
        <v>20</v>
      </c>
      <c r="Y9" s="1624">
        <v>21</v>
      </c>
      <c r="Z9" s="1624">
        <v>22</v>
      </c>
      <c r="AA9" s="1624">
        <v>23</v>
      </c>
      <c r="AB9" s="1624">
        <v>24</v>
      </c>
      <c r="AC9" s="1624">
        <v>25</v>
      </c>
      <c r="AD9" s="1624">
        <v>26</v>
      </c>
      <c r="AE9" s="1624">
        <v>27</v>
      </c>
      <c r="AF9" s="1624">
        <v>28</v>
      </c>
      <c r="AG9" s="1624">
        <f>IF(DAY(DATE(C7,C8+1,1)-1)&lt;29,"",29)</f>
        <v>29</v>
      </c>
      <c r="AH9" s="1624">
        <v>30</v>
      </c>
      <c r="AI9" s="1624">
        <v>31</v>
      </c>
      <c r="AJ9" s="1609" t="s">
        <v>530</v>
      </c>
      <c r="AK9" s="1609" t="s">
        <v>2517</v>
      </c>
      <c r="AL9" s="1609" t="s">
        <v>12</v>
      </c>
    </row>
    <row r="10" spans="1:49" ht="21.75" customHeight="1">
      <c r="B10" s="1245">
        <v>1</v>
      </c>
      <c r="C10" s="1243" t="s">
        <v>2224</v>
      </c>
      <c r="D10" s="1243" t="s">
        <v>3025</v>
      </c>
      <c r="E10" s="1245" t="s">
        <v>536</v>
      </c>
      <c r="F10" s="1245" t="s">
        <v>536</v>
      </c>
      <c r="G10" s="1245" t="s">
        <v>536</v>
      </c>
      <c r="H10" s="1245" t="s">
        <v>536</v>
      </c>
      <c r="I10" s="1245" t="s">
        <v>536</v>
      </c>
      <c r="J10" s="1245" t="s">
        <v>536</v>
      </c>
      <c r="K10" s="1245" t="s">
        <v>536</v>
      </c>
      <c r="L10" s="1245" t="s">
        <v>536</v>
      </c>
      <c r="M10" s="1245" t="s">
        <v>536</v>
      </c>
      <c r="N10" s="1245" t="s">
        <v>536</v>
      </c>
      <c r="O10" s="1245" t="s">
        <v>536</v>
      </c>
      <c r="P10" s="1245" t="s">
        <v>536</v>
      </c>
      <c r="Q10" s="1245" t="s">
        <v>536</v>
      </c>
      <c r="R10" s="1245" t="s">
        <v>536</v>
      </c>
      <c r="S10" s="1245" t="s">
        <v>536</v>
      </c>
      <c r="T10" s="1245" t="s">
        <v>536</v>
      </c>
      <c r="U10" s="1245" t="s">
        <v>536</v>
      </c>
      <c r="V10" s="1245" t="s">
        <v>536</v>
      </c>
      <c r="W10" s="1245" t="s">
        <v>536</v>
      </c>
      <c r="X10" s="1245" t="s">
        <v>536</v>
      </c>
      <c r="Y10" s="1245" t="s">
        <v>536</v>
      </c>
      <c r="Z10" s="1245" t="s">
        <v>536</v>
      </c>
      <c r="AA10" s="1245" t="s">
        <v>536</v>
      </c>
      <c r="AB10" s="1245" t="s">
        <v>536</v>
      </c>
      <c r="AC10" s="1245" t="s">
        <v>536</v>
      </c>
      <c r="AD10" s="1245" t="s">
        <v>536</v>
      </c>
      <c r="AE10" s="1245" t="s">
        <v>536</v>
      </c>
      <c r="AF10" s="1245" t="s">
        <v>536</v>
      </c>
      <c r="AG10" s="1245" t="s">
        <v>536</v>
      </c>
      <c r="AH10" s="1245" t="s">
        <v>536</v>
      </c>
      <c r="AI10" s="1245" t="s">
        <v>536</v>
      </c>
      <c r="AJ10" s="1590">
        <f>COUNTIF(E10:AI10,"X")+COUNTIF(E10:AI10,"P")</f>
        <v>31</v>
      </c>
      <c r="AK10" s="1590">
        <f>COUNTIF(E10:AI10,"TT")</f>
        <v>0</v>
      </c>
      <c r="AL10" s="1590"/>
      <c r="AW10" s="1625" t="s">
        <v>2223</v>
      </c>
    </row>
    <row r="11" spans="1:49" ht="21.75" customHeight="1">
      <c r="B11" s="1245">
        <v>2</v>
      </c>
      <c r="C11" s="1243" t="s">
        <v>2232</v>
      </c>
      <c r="D11" s="1243" t="s">
        <v>3026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 t="s">
        <v>536</v>
      </c>
      <c r="T11" s="1245" t="s">
        <v>536</v>
      </c>
      <c r="U11" s="1245" t="s">
        <v>536</v>
      </c>
      <c r="V11" s="1245" t="s">
        <v>536</v>
      </c>
      <c r="W11" s="1245" t="s">
        <v>536</v>
      </c>
      <c r="X11" s="1245" t="s">
        <v>536</v>
      </c>
      <c r="Y11" s="1245" t="s">
        <v>536</v>
      </c>
      <c r="Z11" s="1245" t="s">
        <v>536</v>
      </c>
      <c r="AA11" s="1245" t="s">
        <v>536</v>
      </c>
      <c r="AB11" s="1245" t="s">
        <v>536</v>
      </c>
      <c r="AC11" s="1245" t="s">
        <v>536</v>
      </c>
      <c r="AD11" s="1245" t="s">
        <v>536</v>
      </c>
      <c r="AE11" s="1245" t="s">
        <v>536</v>
      </c>
      <c r="AF11" s="1245" t="s">
        <v>536</v>
      </c>
      <c r="AG11" s="1245" t="s">
        <v>536</v>
      </c>
      <c r="AH11" s="1245" t="s">
        <v>536</v>
      </c>
      <c r="AI11" s="1245" t="s">
        <v>536</v>
      </c>
      <c r="AJ11" s="1590">
        <f>COUNTIF(E11:AI11,"X")+COUNTIF(E11:AI11,"P")</f>
        <v>31</v>
      </c>
      <c r="AK11" s="1590">
        <f t="shared" ref="AK11" si="0">COUNTIF(E11:AI11,"TT")</f>
        <v>0</v>
      </c>
      <c r="AL11" s="1590"/>
      <c r="AW11" s="1625" t="s">
        <v>2225</v>
      </c>
    </row>
    <row r="12" spans="1:49" ht="21.75" customHeight="1">
      <c r="B12" s="1245">
        <v>3</v>
      </c>
      <c r="C12" s="1243" t="s">
        <v>2229</v>
      </c>
      <c r="D12" s="1243" t="s">
        <v>2986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 t="s">
        <v>536</v>
      </c>
      <c r="T12" s="1245" t="s">
        <v>536</v>
      </c>
      <c r="U12" s="1245" t="s">
        <v>536</v>
      </c>
      <c r="V12" s="1245" t="s">
        <v>536</v>
      </c>
      <c r="W12" s="1245" t="s">
        <v>536</v>
      </c>
      <c r="X12" s="1245" t="s">
        <v>536</v>
      </c>
      <c r="Y12" s="1245" t="s">
        <v>536</v>
      </c>
      <c r="Z12" s="1245" t="s">
        <v>536</v>
      </c>
      <c r="AA12" s="1245" t="s">
        <v>536</v>
      </c>
      <c r="AB12" s="1245" t="s">
        <v>536</v>
      </c>
      <c r="AC12" s="1245" t="s">
        <v>536</v>
      </c>
      <c r="AD12" s="1245" t="s">
        <v>536</v>
      </c>
      <c r="AE12" s="1245" t="s">
        <v>536</v>
      </c>
      <c r="AF12" s="1245" t="s">
        <v>536</v>
      </c>
      <c r="AG12" s="1245" t="s">
        <v>536</v>
      </c>
      <c r="AH12" s="1245" t="s">
        <v>536</v>
      </c>
      <c r="AI12" s="1245" t="s">
        <v>536</v>
      </c>
      <c r="AJ12" s="1590">
        <f t="shared" ref="AJ12:AJ13" si="1">COUNTIF(E12:AI12,"X")+COUNTIF(E12:AI12,"P")</f>
        <v>31</v>
      </c>
      <c r="AK12" s="1590"/>
      <c r="AL12" s="1590"/>
      <c r="AW12" s="1625" t="s">
        <v>2230</v>
      </c>
    </row>
    <row r="13" spans="1:49" ht="21.75" customHeight="1">
      <c r="B13" s="1245">
        <v>4</v>
      </c>
      <c r="C13" s="1243" t="s">
        <v>3028</v>
      </c>
      <c r="D13" s="1243" t="s">
        <v>3029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 t="s">
        <v>536</v>
      </c>
      <c r="T13" s="1245" t="s">
        <v>536</v>
      </c>
      <c r="U13" s="1245" t="s">
        <v>536</v>
      </c>
      <c r="V13" s="1245" t="s">
        <v>536</v>
      </c>
      <c r="W13" s="1245" t="s">
        <v>536</v>
      </c>
      <c r="X13" s="1245" t="s">
        <v>536</v>
      </c>
      <c r="Y13" s="1245" t="s">
        <v>536</v>
      </c>
      <c r="Z13" s="1245" t="s">
        <v>536</v>
      </c>
      <c r="AA13" s="1245" t="s">
        <v>536</v>
      </c>
      <c r="AB13" s="1245" t="s">
        <v>536</v>
      </c>
      <c r="AC13" s="1245" t="s">
        <v>536</v>
      </c>
      <c r="AD13" s="1245" t="s">
        <v>536</v>
      </c>
      <c r="AE13" s="1245" t="s">
        <v>536</v>
      </c>
      <c r="AF13" s="1245" t="s">
        <v>536</v>
      </c>
      <c r="AG13" s="1245" t="s">
        <v>536</v>
      </c>
      <c r="AH13" s="1245" t="s">
        <v>536</v>
      </c>
      <c r="AI13" s="1245" t="s">
        <v>536</v>
      </c>
      <c r="AJ13" s="1590">
        <f t="shared" si="1"/>
        <v>31</v>
      </c>
      <c r="AK13" s="1590"/>
      <c r="AL13" s="1590"/>
      <c r="AW13" s="1625"/>
    </row>
    <row r="14" spans="1:49" ht="21.75" customHeight="1">
      <c r="B14" s="1245">
        <v>5</v>
      </c>
      <c r="C14" s="1243" t="s">
        <v>2231</v>
      </c>
      <c r="D14" s="1243" t="s">
        <v>3027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0">
        <f t="shared" ref="AJ14:AJ25" si="2">COUNTIF(E14:AI14,"X")+COUNTIF(E14:AI14,"P")</f>
        <v>14</v>
      </c>
      <c r="AK14" s="1590"/>
      <c r="AL14" s="1590"/>
      <c r="AW14" s="1625"/>
    </row>
    <row r="15" spans="1:49" ht="21.75" customHeight="1">
      <c r="B15" s="1245">
        <v>6</v>
      </c>
      <c r="C15" s="1243" t="s">
        <v>1275</v>
      </c>
      <c r="D15" s="1243" t="s">
        <v>3027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0">
        <f t="shared" si="2"/>
        <v>14</v>
      </c>
      <c r="AK15" s="1590"/>
      <c r="AL15" s="1590"/>
      <c r="AW15" s="1625"/>
    </row>
    <row r="16" spans="1:49" ht="21.75" customHeight="1">
      <c r="B16" s="1245">
        <v>7</v>
      </c>
      <c r="C16" s="1243" t="s">
        <v>166</v>
      </c>
      <c r="D16" s="1243" t="s">
        <v>3027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0">
        <f t="shared" si="2"/>
        <v>14</v>
      </c>
      <c r="AK16" s="1590"/>
      <c r="AL16" s="1590"/>
      <c r="AW16" s="1625"/>
    </row>
    <row r="17" spans="2:49" ht="21.75" customHeight="1">
      <c r="B17" s="1245">
        <v>8</v>
      </c>
      <c r="C17" s="1243" t="s">
        <v>1183</v>
      </c>
      <c r="D17" s="1243" t="s">
        <v>3027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0">
        <f t="shared" si="2"/>
        <v>14</v>
      </c>
      <c r="AK17" s="1590"/>
      <c r="AL17" s="1590"/>
      <c r="AW17" s="1625"/>
    </row>
    <row r="18" spans="2:49" ht="21.75" customHeight="1">
      <c r="B18" s="1245">
        <v>9</v>
      </c>
      <c r="C18" s="1243" t="s">
        <v>2233</v>
      </c>
      <c r="D18" s="1243" t="s">
        <v>3027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0">
        <f t="shared" si="2"/>
        <v>14</v>
      </c>
      <c r="AK18" s="1590"/>
      <c r="AL18" s="1590"/>
      <c r="AW18" s="1625"/>
    </row>
    <row r="19" spans="2:49" ht="21.75" customHeight="1">
      <c r="B19" s="1245">
        <v>10</v>
      </c>
      <c r="C19" s="1243" t="s">
        <v>271</v>
      </c>
      <c r="D19" s="1243" t="s">
        <v>3030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/>
      <c r="T19" s="1245"/>
      <c r="U19" s="1245"/>
      <c r="V19" s="1245"/>
      <c r="W19" s="1245"/>
      <c r="X19" s="1245"/>
      <c r="Y19" s="1245"/>
      <c r="Z19" s="1245"/>
      <c r="AA19" s="1245"/>
      <c r="AB19" s="1245"/>
      <c r="AC19" s="1245"/>
      <c r="AD19" s="1245"/>
      <c r="AE19" s="1245"/>
      <c r="AF19" s="1245"/>
      <c r="AG19" s="1245"/>
      <c r="AH19" s="1245"/>
      <c r="AI19" s="1245"/>
      <c r="AJ19" s="1590">
        <f t="shared" si="2"/>
        <v>14</v>
      </c>
      <c r="AK19" s="1590"/>
      <c r="AL19" s="1590"/>
      <c r="AW19" s="1625"/>
    </row>
    <row r="20" spans="2:49" ht="21.75" customHeight="1">
      <c r="B20" s="1245">
        <v>11</v>
      </c>
      <c r="C20" s="1243" t="s">
        <v>286</v>
      </c>
      <c r="D20" s="1243" t="s">
        <v>3030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 t="s">
        <v>536</v>
      </c>
      <c r="L20" s="1245" t="s">
        <v>536</v>
      </c>
      <c r="M20" s="1245" t="s">
        <v>536</v>
      </c>
      <c r="N20" s="1245" t="s">
        <v>536</v>
      </c>
      <c r="O20" s="1245" t="s">
        <v>536</v>
      </c>
      <c r="P20" s="1245" t="s">
        <v>536</v>
      </c>
      <c r="Q20" s="1245" t="s">
        <v>536</v>
      </c>
      <c r="R20" s="1245" t="s">
        <v>536</v>
      </c>
      <c r="S20" s="1245"/>
      <c r="T20" s="1245"/>
      <c r="U20" s="1245"/>
      <c r="V20" s="1245"/>
      <c r="W20" s="1245"/>
      <c r="X20" s="1245"/>
      <c r="Y20" s="1245"/>
      <c r="Z20" s="1245"/>
      <c r="AA20" s="1245"/>
      <c r="AB20" s="1245"/>
      <c r="AC20" s="1245"/>
      <c r="AD20" s="1245"/>
      <c r="AE20" s="1245"/>
      <c r="AF20" s="1245"/>
      <c r="AG20" s="1245"/>
      <c r="AH20" s="1245"/>
      <c r="AI20" s="1245"/>
      <c r="AJ20" s="1590">
        <f t="shared" si="2"/>
        <v>14</v>
      </c>
      <c r="AK20" s="1590"/>
      <c r="AL20" s="1590"/>
      <c r="AW20" s="1625"/>
    </row>
    <row r="21" spans="2:49" ht="21.75" customHeight="1">
      <c r="B21" s="1245">
        <v>12</v>
      </c>
      <c r="C21" s="1243" t="s">
        <v>2234</v>
      </c>
      <c r="D21" s="1243" t="s">
        <v>3030</v>
      </c>
      <c r="E21" s="1245" t="s">
        <v>536</v>
      </c>
      <c r="F21" s="1245" t="s">
        <v>536</v>
      </c>
      <c r="G21" s="1245" t="s">
        <v>536</v>
      </c>
      <c r="H21" s="1245" t="s">
        <v>536</v>
      </c>
      <c r="I21" s="1245" t="s">
        <v>536</v>
      </c>
      <c r="J21" s="1245" t="s">
        <v>536</v>
      </c>
      <c r="K21" s="1245" t="s">
        <v>536</v>
      </c>
      <c r="L21" s="1245" t="s">
        <v>536</v>
      </c>
      <c r="M21" s="1245" t="s">
        <v>536</v>
      </c>
      <c r="N21" s="1245" t="s">
        <v>536</v>
      </c>
      <c r="O21" s="1245" t="s">
        <v>536</v>
      </c>
      <c r="P21" s="1245" t="s">
        <v>536</v>
      </c>
      <c r="Q21" s="1245" t="s">
        <v>536</v>
      </c>
      <c r="R21" s="1245" t="s">
        <v>536</v>
      </c>
      <c r="S21" s="1245"/>
      <c r="T21" s="1245"/>
      <c r="U21" s="1245"/>
      <c r="V21" s="1245"/>
      <c r="W21" s="1245"/>
      <c r="X21" s="1245"/>
      <c r="Y21" s="1245"/>
      <c r="Z21" s="1245"/>
      <c r="AA21" s="1245"/>
      <c r="AB21" s="1245"/>
      <c r="AC21" s="1245"/>
      <c r="AD21" s="1245"/>
      <c r="AE21" s="1245"/>
      <c r="AF21" s="1245"/>
      <c r="AG21" s="1245"/>
      <c r="AH21" s="1245"/>
      <c r="AI21" s="1245"/>
      <c r="AJ21" s="1590">
        <f t="shared" si="2"/>
        <v>14</v>
      </c>
      <c r="AK21" s="1590"/>
      <c r="AL21" s="1590"/>
      <c r="AW21" s="1625"/>
    </row>
    <row r="22" spans="2:49" ht="21.75" customHeight="1">
      <c r="B22" s="1245">
        <v>13</v>
      </c>
      <c r="C22" s="1243" t="s">
        <v>2235</v>
      </c>
      <c r="D22" s="1243" t="s">
        <v>3030</v>
      </c>
      <c r="E22" s="1245" t="s">
        <v>536</v>
      </c>
      <c r="F22" s="1245" t="s">
        <v>536</v>
      </c>
      <c r="G22" s="1245" t="s">
        <v>536</v>
      </c>
      <c r="H22" s="1245" t="s">
        <v>536</v>
      </c>
      <c r="I22" s="1245" t="s">
        <v>536</v>
      </c>
      <c r="J22" s="1245" t="s">
        <v>536</v>
      </c>
      <c r="K22" s="1245" t="s">
        <v>536</v>
      </c>
      <c r="L22" s="1245" t="s">
        <v>536</v>
      </c>
      <c r="M22" s="1245" t="s">
        <v>536</v>
      </c>
      <c r="N22" s="1245" t="s">
        <v>536</v>
      </c>
      <c r="O22" s="1245" t="s">
        <v>536</v>
      </c>
      <c r="P22" s="1245" t="s">
        <v>536</v>
      </c>
      <c r="Q22" s="1245" t="s">
        <v>536</v>
      </c>
      <c r="R22" s="1245" t="s">
        <v>536</v>
      </c>
      <c r="S22" s="1245"/>
      <c r="T22" s="1245"/>
      <c r="U22" s="1245"/>
      <c r="V22" s="1245"/>
      <c r="W22" s="1245"/>
      <c r="X22" s="1245"/>
      <c r="Y22" s="1245"/>
      <c r="Z22" s="1245"/>
      <c r="AA22" s="1245"/>
      <c r="AB22" s="1245"/>
      <c r="AC22" s="1245"/>
      <c r="AD22" s="1245"/>
      <c r="AE22" s="1245"/>
      <c r="AF22" s="1245"/>
      <c r="AG22" s="1245"/>
      <c r="AH22" s="1245"/>
      <c r="AI22" s="1245"/>
      <c r="AJ22" s="1590">
        <f t="shared" si="2"/>
        <v>14</v>
      </c>
      <c r="AK22" s="1590"/>
      <c r="AL22" s="1590"/>
      <c r="AW22" s="1625"/>
    </row>
    <row r="23" spans="2:49" ht="21.75" customHeight="1">
      <c r="B23" s="1245">
        <v>14</v>
      </c>
      <c r="C23" s="1243" t="s">
        <v>2236</v>
      </c>
      <c r="D23" s="1243" t="s">
        <v>3030</v>
      </c>
      <c r="E23" s="1245" t="s">
        <v>536</v>
      </c>
      <c r="F23" s="1245" t="s">
        <v>536</v>
      </c>
      <c r="G23" s="1245" t="s">
        <v>536</v>
      </c>
      <c r="H23" s="1245" t="s">
        <v>536</v>
      </c>
      <c r="I23" s="1245" t="s">
        <v>536</v>
      </c>
      <c r="J23" s="1245" t="s">
        <v>536</v>
      </c>
      <c r="K23" s="1245" t="s">
        <v>536</v>
      </c>
      <c r="L23" s="1245" t="s">
        <v>536</v>
      </c>
      <c r="M23" s="1245" t="s">
        <v>536</v>
      </c>
      <c r="N23" s="1245" t="s">
        <v>536</v>
      </c>
      <c r="O23" s="1245" t="s">
        <v>536</v>
      </c>
      <c r="P23" s="1245" t="s">
        <v>536</v>
      </c>
      <c r="Q23" s="1245" t="s">
        <v>536</v>
      </c>
      <c r="R23" s="1245" t="s">
        <v>536</v>
      </c>
      <c r="S23" s="1245"/>
      <c r="T23" s="1245"/>
      <c r="U23" s="1245"/>
      <c r="V23" s="1245"/>
      <c r="W23" s="1245"/>
      <c r="X23" s="1245"/>
      <c r="Y23" s="1245"/>
      <c r="Z23" s="1245"/>
      <c r="AA23" s="1245"/>
      <c r="AB23" s="1245"/>
      <c r="AC23" s="1245"/>
      <c r="AD23" s="1245"/>
      <c r="AE23" s="1245"/>
      <c r="AF23" s="1245"/>
      <c r="AG23" s="1245"/>
      <c r="AH23" s="1245"/>
      <c r="AI23" s="1245"/>
      <c r="AJ23" s="1590">
        <f t="shared" ref="AJ23:AJ24" si="3">COUNTIF(E23:AI23,"X")+COUNTIF(E23:AI23,"P")</f>
        <v>14</v>
      </c>
      <c r="AK23" s="1590"/>
      <c r="AL23" s="1590"/>
      <c r="AW23" s="1625"/>
    </row>
    <row r="24" spans="2:49" ht="21.75" customHeight="1">
      <c r="B24" s="1245">
        <v>15</v>
      </c>
      <c r="C24" s="1243" t="s">
        <v>2237</v>
      </c>
      <c r="D24" s="1243" t="s">
        <v>3030</v>
      </c>
      <c r="E24" s="1245" t="s">
        <v>536</v>
      </c>
      <c r="F24" s="1245" t="s">
        <v>536</v>
      </c>
      <c r="G24" s="1245" t="s">
        <v>536</v>
      </c>
      <c r="H24" s="1245" t="s">
        <v>536</v>
      </c>
      <c r="I24" s="1245" t="s">
        <v>536</v>
      </c>
      <c r="J24" s="1245" t="s">
        <v>536</v>
      </c>
      <c r="K24" s="1245" t="s">
        <v>536</v>
      </c>
      <c r="L24" s="1245" t="s">
        <v>536</v>
      </c>
      <c r="M24" s="1245" t="s">
        <v>536</v>
      </c>
      <c r="N24" s="1245" t="s">
        <v>536</v>
      </c>
      <c r="O24" s="1245" t="s">
        <v>536</v>
      </c>
      <c r="P24" s="1245" t="s">
        <v>536</v>
      </c>
      <c r="Q24" s="1245" t="s">
        <v>536</v>
      </c>
      <c r="R24" s="1245" t="s">
        <v>536</v>
      </c>
      <c r="S24" s="1245"/>
      <c r="T24" s="1245"/>
      <c r="U24" s="1245"/>
      <c r="V24" s="1245"/>
      <c r="W24" s="1245"/>
      <c r="X24" s="1245"/>
      <c r="Y24" s="1245"/>
      <c r="Z24" s="1245"/>
      <c r="AA24" s="1245"/>
      <c r="AB24" s="1245"/>
      <c r="AC24" s="1245"/>
      <c r="AD24" s="1245"/>
      <c r="AE24" s="1245"/>
      <c r="AF24" s="1245"/>
      <c r="AG24" s="1245"/>
      <c r="AH24" s="1245"/>
      <c r="AI24" s="1245"/>
      <c r="AJ24" s="1590">
        <f t="shared" si="3"/>
        <v>14</v>
      </c>
      <c r="AK24" s="1590"/>
      <c r="AL24" s="1590"/>
      <c r="AW24" s="1625"/>
    </row>
    <row r="25" spans="2:49" ht="21.75" customHeight="1">
      <c r="B25" s="1245">
        <v>16</v>
      </c>
      <c r="C25" s="1243" t="s">
        <v>2238</v>
      </c>
      <c r="D25" s="1243" t="s">
        <v>3030</v>
      </c>
      <c r="E25" s="1245" t="s">
        <v>536</v>
      </c>
      <c r="F25" s="1245" t="s">
        <v>536</v>
      </c>
      <c r="G25" s="1245" t="s">
        <v>536</v>
      </c>
      <c r="H25" s="1245" t="s">
        <v>536</v>
      </c>
      <c r="I25" s="1245" t="s">
        <v>536</v>
      </c>
      <c r="J25" s="1245" t="s">
        <v>536</v>
      </c>
      <c r="K25" s="1245" t="s">
        <v>536</v>
      </c>
      <c r="L25" s="1245" t="s">
        <v>536</v>
      </c>
      <c r="M25" s="1245" t="s">
        <v>536</v>
      </c>
      <c r="N25" s="1245" t="s">
        <v>536</v>
      </c>
      <c r="O25" s="1245" t="s">
        <v>536</v>
      </c>
      <c r="P25" s="1245" t="s">
        <v>536</v>
      </c>
      <c r="Q25" s="1245" t="s">
        <v>536</v>
      </c>
      <c r="R25" s="1245" t="s">
        <v>536</v>
      </c>
      <c r="S25" s="1245"/>
      <c r="T25" s="1245"/>
      <c r="U25" s="1245"/>
      <c r="V25" s="1245"/>
      <c r="W25" s="1245"/>
      <c r="X25" s="1245"/>
      <c r="Y25" s="1245"/>
      <c r="Z25" s="1245"/>
      <c r="AA25" s="1245"/>
      <c r="AB25" s="1245"/>
      <c r="AC25" s="1245"/>
      <c r="AD25" s="1245"/>
      <c r="AE25" s="1245"/>
      <c r="AF25" s="1245"/>
      <c r="AG25" s="1245"/>
      <c r="AH25" s="1245"/>
      <c r="AI25" s="1245"/>
      <c r="AJ25" s="1590">
        <f t="shared" si="2"/>
        <v>14</v>
      </c>
      <c r="AK25" s="1590"/>
      <c r="AL25" s="1590"/>
      <c r="AW25" s="1625">
        <f>35*30</f>
        <v>1050</v>
      </c>
    </row>
    <row r="26" spans="2:49" s="150" customFormat="1" ht="21.75" customHeight="1">
      <c r="B26" s="2852" t="s">
        <v>2532</v>
      </c>
      <c r="C26" s="2853"/>
      <c r="D26" s="1475"/>
      <c r="E26" s="316">
        <f>COUNTIF(E10:E25,"X")+COUNTIF(E10:E25,"P")</f>
        <v>16</v>
      </c>
      <c r="F26" s="316">
        <f t="shared" ref="F26:AI26" si="4">COUNTIF(F10:F25,"X")+COUNTIF(F10:F25,"P")</f>
        <v>16</v>
      </c>
      <c r="G26" s="316">
        <f t="shared" si="4"/>
        <v>16</v>
      </c>
      <c r="H26" s="316">
        <f t="shared" si="4"/>
        <v>16</v>
      </c>
      <c r="I26" s="316">
        <f t="shared" si="4"/>
        <v>16</v>
      </c>
      <c r="J26" s="316">
        <f t="shared" si="4"/>
        <v>16</v>
      </c>
      <c r="K26" s="316">
        <f t="shared" si="4"/>
        <v>16</v>
      </c>
      <c r="L26" s="316">
        <f t="shared" si="4"/>
        <v>16</v>
      </c>
      <c r="M26" s="316">
        <f t="shared" si="4"/>
        <v>16</v>
      </c>
      <c r="N26" s="316">
        <f t="shared" si="4"/>
        <v>16</v>
      </c>
      <c r="O26" s="316">
        <f t="shared" si="4"/>
        <v>16</v>
      </c>
      <c r="P26" s="316">
        <f t="shared" si="4"/>
        <v>16</v>
      </c>
      <c r="Q26" s="316">
        <f t="shared" si="4"/>
        <v>16</v>
      </c>
      <c r="R26" s="316">
        <f t="shared" si="4"/>
        <v>16</v>
      </c>
      <c r="S26" s="316">
        <f t="shared" si="4"/>
        <v>4</v>
      </c>
      <c r="T26" s="316">
        <f t="shared" si="4"/>
        <v>4</v>
      </c>
      <c r="U26" s="316">
        <f t="shared" si="4"/>
        <v>4</v>
      </c>
      <c r="V26" s="316">
        <f t="shared" si="4"/>
        <v>4</v>
      </c>
      <c r="W26" s="316">
        <f t="shared" si="4"/>
        <v>4</v>
      </c>
      <c r="X26" s="316">
        <f t="shared" si="4"/>
        <v>4</v>
      </c>
      <c r="Y26" s="316">
        <f t="shared" si="4"/>
        <v>4</v>
      </c>
      <c r="Z26" s="316">
        <f t="shared" si="4"/>
        <v>4</v>
      </c>
      <c r="AA26" s="316">
        <f t="shared" si="4"/>
        <v>4</v>
      </c>
      <c r="AB26" s="316">
        <f t="shared" si="4"/>
        <v>4</v>
      </c>
      <c r="AC26" s="316">
        <f t="shared" si="4"/>
        <v>4</v>
      </c>
      <c r="AD26" s="316">
        <f t="shared" si="4"/>
        <v>4</v>
      </c>
      <c r="AE26" s="316">
        <f t="shared" si="4"/>
        <v>4</v>
      </c>
      <c r="AF26" s="316">
        <f t="shared" si="4"/>
        <v>4</v>
      </c>
      <c r="AG26" s="316">
        <f t="shared" si="4"/>
        <v>4</v>
      </c>
      <c r="AH26" s="316">
        <f t="shared" si="4"/>
        <v>4</v>
      </c>
      <c r="AI26" s="316">
        <f t="shared" si="4"/>
        <v>4</v>
      </c>
      <c r="AJ26" s="1612">
        <f>SUM(AJ10:AJ25)</f>
        <v>292</v>
      </c>
      <c r="AK26" s="318" t="e">
        <f>SUM(#REF!,#REF!)</f>
        <v>#REF!</v>
      </c>
      <c r="AL26" s="318"/>
    </row>
    <row r="27" spans="2:49">
      <c r="B27" s="1250" t="s">
        <v>2007</v>
      </c>
      <c r="C27" s="1250" t="s">
        <v>2533</v>
      </c>
      <c r="AJ27" s="1626"/>
      <c r="AK27" s="1626"/>
      <c r="AL27" s="1626"/>
    </row>
    <row r="28" spans="2:49" s="150" customFormat="1" ht="16.5" customHeight="1">
      <c r="C28" s="1250"/>
      <c r="D28" s="1250"/>
      <c r="AA28" s="2729" t="s">
        <v>3031</v>
      </c>
      <c r="AB28" s="2729"/>
      <c r="AC28" s="2729"/>
      <c r="AD28" s="2729"/>
      <c r="AE28" s="2729"/>
      <c r="AF28" s="2729"/>
      <c r="AG28" s="2729"/>
      <c r="AH28" s="2729"/>
      <c r="AI28" s="2729"/>
      <c r="AJ28" s="2729"/>
      <c r="AK28" s="2729"/>
      <c r="AL28" s="2729"/>
    </row>
    <row r="29" spans="2:49" ht="23.25" customHeight="1">
      <c r="B29" s="2618" t="s">
        <v>614</v>
      </c>
      <c r="C29" s="2618"/>
      <c r="D29" s="2618"/>
      <c r="E29" s="2618"/>
      <c r="F29" s="2618"/>
      <c r="G29" s="2618"/>
      <c r="H29" s="2618"/>
      <c r="I29" s="2618" t="s">
        <v>2538</v>
      </c>
      <c r="J29" s="2618"/>
      <c r="K29" s="2618"/>
      <c r="L29" s="2618"/>
      <c r="M29" s="2618"/>
      <c r="N29" s="2618"/>
      <c r="O29" s="150"/>
      <c r="P29" s="150"/>
      <c r="Q29" s="150"/>
      <c r="R29" s="2618" t="s">
        <v>2995</v>
      </c>
      <c r="S29" s="2618"/>
      <c r="T29" s="2618"/>
      <c r="U29" s="2618"/>
      <c r="V29" s="2618"/>
      <c r="W29" s="2618"/>
      <c r="X29" s="2618"/>
      <c r="Y29" s="2618" t="s">
        <v>2988</v>
      </c>
      <c r="Z29" s="2618"/>
      <c r="AA29" s="2618"/>
      <c r="AB29" s="2618"/>
      <c r="AC29" s="2618"/>
      <c r="AD29" s="2618"/>
      <c r="AE29" s="2618"/>
      <c r="AF29" s="2618" t="s">
        <v>612</v>
      </c>
      <c r="AG29" s="2618"/>
      <c r="AH29" s="2618"/>
      <c r="AI29" s="2618"/>
      <c r="AJ29" s="2618"/>
      <c r="AK29" s="2618"/>
      <c r="AL29" s="2618"/>
    </row>
    <row r="34" spans="26:38">
      <c r="Z34" s="2618"/>
      <c r="AA34" s="2618"/>
      <c r="AB34" s="2618"/>
      <c r="AC34" s="2618"/>
      <c r="AD34" s="2618"/>
      <c r="AE34" s="2618"/>
      <c r="AF34" s="2618"/>
      <c r="AG34" s="2618"/>
      <c r="AH34" s="2618"/>
      <c r="AI34" s="2618"/>
      <c r="AJ34" s="2618"/>
      <c r="AK34" s="2618"/>
      <c r="AL34" s="2618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1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3" customWidth="1"/>
    <col min="4" max="4" width="13.28515625" style="463" customWidth="1"/>
    <col min="5" max="5" width="14.7109375" style="46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865" t="s">
        <v>0</v>
      </c>
      <c r="B1" s="2865"/>
      <c r="C1" s="2865"/>
      <c r="D1" s="2865"/>
      <c r="E1" s="2865"/>
      <c r="F1" s="2865"/>
      <c r="G1" s="2865"/>
      <c r="H1" s="2865"/>
      <c r="I1" s="2865"/>
      <c r="J1" s="201"/>
    </row>
    <row r="2" spans="1:15">
      <c r="A2" s="2865" t="s">
        <v>2030</v>
      </c>
      <c r="B2" s="2865"/>
      <c r="C2" s="2865"/>
      <c r="D2" s="2865"/>
      <c r="E2" s="2865"/>
      <c r="F2" s="2865"/>
      <c r="G2" s="2865"/>
      <c r="H2" s="2865"/>
      <c r="I2" s="2865"/>
      <c r="J2" s="201"/>
    </row>
    <row r="3" spans="1:15" ht="13.9" customHeight="1">
      <c r="A3" s="2866" t="s">
        <v>619</v>
      </c>
      <c r="B3" s="2865"/>
      <c r="C3" s="2865"/>
      <c r="D3" s="2865"/>
      <c r="E3" s="2865"/>
      <c r="F3" s="2865"/>
      <c r="G3" s="2865"/>
      <c r="H3" s="2865"/>
      <c r="I3" s="2865"/>
      <c r="J3" s="201"/>
    </row>
    <row r="4" spans="1:15" s="193" customFormat="1" ht="27" customHeight="1">
      <c r="A4" s="2865" t="s">
        <v>2240</v>
      </c>
      <c r="B4" s="2865"/>
      <c r="C4" s="2865"/>
      <c r="D4" s="2865"/>
      <c r="E4" s="465"/>
      <c r="F4" s="466"/>
      <c r="G4" s="203"/>
      <c r="H4" s="203"/>
      <c r="I4" s="204"/>
      <c r="J4" s="204"/>
    </row>
    <row r="5" spans="1:15" s="193" customFormat="1" ht="16.899999999999999" customHeight="1">
      <c r="A5" s="2865" t="s">
        <v>2029</v>
      </c>
      <c r="B5" s="2865"/>
      <c r="C5" s="2865"/>
      <c r="D5" s="2865"/>
      <c r="E5" s="465"/>
      <c r="F5" s="466"/>
      <c r="G5" s="203"/>
      <c r="H5" s="203"/>
      <c r="I5" s="204"/>
      <c r="J5" s="204"/>
    </row>
    <row r="6" spans="1:15" ht="10.5" customHeight="1">
      <c r="D6" s="467"/>
      <c r="G6" s="205"/>
      <c r="H6" s="205"/>
      <c r="I6" s="206"/>
      <c r="J6" s="206"/>
    </row>
    <row r="7" spans="1:15" ht="10.5" customHeight="1">
      <c r="D7" s="467"/>
      <c r="G7" s="205"/>
      <c r="H7" s="205"/>
      <c r="I7" s="206"/>
      <c r="J7" s="206"/>
    </row>
    <row r="8" spans="1:15" s="193" customFormat="1" ht="29.25" customHeight="1">
      <c r="A8" s="2792" t="s">
        <v>2243</v>
      </c>
      <c r="B8" s="2792"/>
      <c r="C8" s="2792"/>
      <c r="D8" s="2792"/>
      <c r="E8" s="2792"/>
      <c r="F8" s="2792"/>
      <c r="G8" s="2792"/>
      <c r="H8" s="2792"/>
      <c r="I8" s="2792"/>
      <c r="J8" s="207"/>
    </row>
    <row r="9" spans="1:15" ht="15.75" customHeight="1">
      <c r="A9" s="2793" t="s">
        <v>2244</v>
      </c>
      <c r="B9" s="2793"/>
      <c r="C9" s="2793"/>
      <c r="D9" s="2793"/>
      <c r="E9" s="2793"/>
      <c r="F9" s="2793"/>
      <c r="G9" s="2793"/>
      <c r="H9" s="2793"/>
      <c r="I9" s="2793"/>
      <c r="J9" s="202"/>
      <c r="K9" s="198" t="s">
        <v>2245</v>
      </c>
      <c r="L9" s="198">
        <f>'LƯƠNG KT'!F8</f>
        <v>600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5" t="s">
        <v>1952</v>
      </c>
      <c r="L10" s="48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862" t="s">
        <v>2246</v>
      </c>
      <c r="I11" s="2862"/>
      <c r="J11" s="504"/>
    </row>
    <row r="12" spans="1:15" s="194" customFormat="1" ht="45.6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05"/>
      <c r="K12" s="2863" t="s">
        <v>1952</v>
      </c>
      <c r="L12" s="2863"/>
      <c r="M12" s="506" t="s">
        <v>2073</v>
      </c>
      <c r="N12" s="506" t="s">
        <v>2074</v>
      </c>
    </row>
    <row r="13" spans="1:15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7" t="s">
        <v>2013</v>
      </c>
      <c r="L13" s="508"/>
      <c r="M13" s="509">
        <f>THCKT!AO13</f>
        <v>0</v>
      </c>
      <c r="N13" s="509">
        <f>THCKT!AP13</f>
        <v>0</v>
      </c>
    </row>
    <row r="14" spans="1:15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 t="e">
        <f>'LƯƠNG KT'!AC185</f>
        <v>#VALUE!</v>
      </c>
      <c r="K14" s="507" t="s">
        <v>2014</v>
      </c>
      <c r="L14" s="508">
        <f>N14/M14</f>
        <v>0.49735663507109007</v>
      </c>
      <c r="M14" s="509">
        <f>THCKT!AO14</f>
        <v>3376</v>
      </c>
      <c r="N14" s="50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73"/>
      <c r="D15" s="215"/>
      <c r="E15" s="50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7" t="s">
        <v>2015</v>
      </c>
      <c r="L15" s="508">
        <f t="shared" ref="L15:L21" si="0">N15/M15</f>
        <v>0.50833693372589595</v>
      </c>
      <c r="M15" s="509">
        <f>THCKT!AO15</f>
        <v>9286</v>
      </c>
      <c r="N15" s="509">
        <f>THCKT!AP15</f>
        <v>4720.4167665786699</v>
      </c>
      <c r="O15" s="239"/>
    </row>
    <row r="16" spans="1:15" ht="22.15" customHeight="1">
      <c r="A16" s="2859" t="s">
        <v>521</v>
      </c>
      <c r="B16" s="214" t="s">
        <v>2258</v>
      </c>
      <c r="C16" s="474" t="s">
        <v>2259</v>
      </c>
      <c r="D16" s="215"/>
      <c r="E16" s="215" t="e">
        <f>SUMIF('LƯƠNG KT'!#REF!,"A",'LƯƠNG KT'!#REF!)</f>
        <v>#REF!</v>
      </c>
      <c r="F16" s="475">
        <f>6.1*$L$9</f>
        <v>3660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7" t="s">
        <v>2016</v>
      </c>
      <c r="L16" s="508">
        <f t="shared" si="0"/>
        <v>0.51797893982400645</v>
      </c>
      <c r="M16" s="509">
        <f>THCKT!AO16</f>
        <v>2174</v>
      </c>
      <c r="N16" s="509">
        <f>THCKT!AP16</f>
        <v>1126.0862151773899</v>
      </c>
    </row>
    <row r="17" spans="1:15" ht="22.15" customHeight="1">
      <c r="A17" s="2860"/>
      <c r="B17" s="214" t="s">
        <v>2260</v>
      </c>
      <c r="C17" s="473" t="s">
        <v>2259</v>
      </c>
      <c r="D17" s="215"/>
      <c r="E17" s="215" t="e">
        <f>SUMIF('LƯƠNG KT'!#REF!,"B",'LƯƠNG KT'!#REF!)*$L$15</f>
        <v>#REF!</v>
      </c>
      <c r="F17" s="475">
        <f>5.8*$L$9</f>
        <v>3480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0" t="s">
        <v>2017</v>
      </c>
      <c r="L17" s="508">
        <f t="shared" si="0"/>
        <v>0.52318624601064911</v>
      </c>
      <c r="M17" s="509">
        <f>THCKT!AO17</f>
        <v>3266</v>
      </c>
      <c r="N17" s="509">
        <f>THCKT!AP17</f>
        <v>1708.7262794707799</v>
      </c>
    </row>
    <row r="18" spans="1:15" ht="22.15" customHeight="1">
      <c r="A18" s="2860"/>
      <c r="B18" s="214" t="s">
        <v>2261</v>
      </c>
      <c r="C18" s="473" t="s">
        <v>2259</v>
      </c>
      <c r="D18" s="215"/>
      <c r="E18" s="215" t="e">
        <f>SUMIF('LƯƠNG KT'!#REF!,"C",'LƯƠNG KT'!#REF!)*$L$15</f>
        <v>#REF!</v>
      </c>
      <c r="F18" s="475">
        <f>5.5*$L$9</f>
        <v>3300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7" t="s">
        <v>2018</v>
      </c>
      <c r="L18" s="508">
        <f t="shared" si="0"/>
        <v>0.4866304358244653</v>
      </c>
      <c r="M18" s="509">
        <f>THCKT!AO18</f>
        <v>9323</v>
      </c>
      <c r="N18" s="509">
        <f>THCKT!AP18</f>
        <v>4536.8555531914899</v>
      </c>
    </row>
    <row r="19" spans="1:15" ht="22.15" customHeight="1">
      <c r="A19" s="2861"/>
      <c r="B19" s="214" t="s">
        <v>2262</v>
      </c>
      <c r="C19" s="474" t="s">
        <v>2259</v>
      </c>
      <c r="D19" s="215"/>
      <c r="E19" s="215" t="e">
        <f>SUMIF('LƯƠNG KT'!#REF!,"D",'LƯƠNG KT'!#REF!)*$L$15</f>
        <v>#REF!</v>
      </c>
      <c r="F19" s="475">
        <f>5.2*$L$9</f>
        <v>3120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7" t="s">
        <v>2019</v>
      </c>
      <c r="L19" s="508">
        <f t="shared" si="0"/>
        <v>0.46408510638297923</v>
      </c>
      <c r="M19" s="509">
        <f>THCKT!AO19</f>
        <v>385</v>
      </c>
      <c r="N19" s="509">
        <f>THCKT!AP19</f>
        <v>178.67276595744701</v>
      </c>
    </row>
    <row r="20" spans="1:15" ht="22.15" customHeight="1">
      <c r="A20" s="2859" t="s">
        <v>123</v>
      </c>
      <c r="B20" s="214" t="s">
        <v>2258</v>
      </c>
      <c r="C20" s="474" t="s">
        <v>2259</v>
      </c>
      <c r="D20" s="215"/>
      <c r="E20" s="215" t="e">
        <f>SUMIF('LƯƠNG KT'!#REF!,"A",'LƯƠNG KT'!#REF!)</f>
        <v>#REF!</v>
      </c>
      <c r="F20" s="475">
        <f>6.1*$L$9</f>
        <v>3660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1" t="s">
        <v>2020</v>
      </c>
      <c r="L20" s="508"/>
      <c r="M20" s="509">
        <f>THCKT!AO20</f>
        <v>0</v>
      </c>
      <c r="N20" s="509">
        <f>THCKT!AP20</f>
        <v>0</v>
      </c>
    </row>
    <row r="21" spans="1:15" ht="22.15" customHeight="1">
      <c r="A21" s="2860"/>
      <c r="B21" s="214" t="s">
        <v>2260</v>
      </c>
      <c r="C21" s="473" t="s">
        <v>2259</v>
      </c>
      <c r="D21" s="215"/>
      <c r="E21" s="215" t="e">
        <f>SUMIF('LƯƠNG KT'!#REF!,"B",'LƯƠNG KT'!#REF!)*$L$16</f>
        <v>#REF!</v>
      </c>
      <c r="F21" s="475">
        <f>5.8*$L$9</f>
        <v>3480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1" t="s">
        <v>2021</v>
      </c>
      <c r="L21" s="508">
        <f t="shared" si="0"/>
        <v>0.47778288100208866</v>
      </c>
      <c r="M21" s="509">
        <f>THCKT!AO21</f>
        <v>2978</v>
      </c>
      <c r="N21" s="509">
        <f>THCKT!AP21</f>
        <v>1422.83741962422</v>
      </c>
    </row>
    <row r="22" spans="1:15" ht="22.15" customHeight="1">
      <c r="A22" s="2860"/>
      <c r="B22" s="214" t="s">
        <v>2261</v>
      </c>
      <c r="C22" s="473" t="s">
        <v>2259</v>
      </c>
      <c r="D22" s="215"/>
      <c r="E22" s="215" t="e">
        <f>SUMIF('LƯƠNG KT'!#REF!,"C",'LƯƠNG KT'!#REF!)*$L$16</f>
        <v>#REF!</v>
      </c>
      <c r="F22" s="475">
        <f>5.5*$L$9</f>
        <v>3300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861"/>
      <c r="B23" s="214" t="s">
        <v>2262</v>
      </c>
      <c r="C23" s="474" t="s">
        <v>2259</v>
      </c>
      <c r="D23" s="215"/>
      <c r="E23" s="215" t="e">
        <f>SUMIF('LƯƠNG KT'!#REF!,"D",'LƯƠNG KT'!#REF!)*$L$16</f>
        <v>#REF!</v>
      </c>
      <c r="F23" s="475">
        <f>5.2*$L$9</f>
        <v>3120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859" t="s">
        <v>522</v>
      </c>
      <c r="B24" s="214" t="s">
        <v>2258</v>
      </c>
      <c r="C24" s="474" t="s">
        <v>2259</v>
      </c>
      <c r="D24" s="215"/>
      <c r="E24" s="215" t="e">
        <f>SUMIF('LƯƠNG KT'!#REF!,"A",'LƯƠNG KT'!#REF!)</f>
        <v>#REF!</v>
      </c>
      <c r="F24" s="475">
        <f>6.1*$L$9</f>
        <v>3660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860"/>
      <c r="B25" s="214" t="s">
        <v>2260</v>
      </c>
      <c r="C25" s="473" t="s">
        <v>2259</v>
      </c>
      <c r="D25" s="215"/>
      <c r="E25" s="215" t="e">
        <f>SUMIF('LƯƠNG KT'!#REF!,"B",'LƯƠNG KT'!#REF!)*$L$17</f>
        <v>#REF!</v>
      </c>
      <c r="F25" s="475">
        <f>5.8*$L$9</f>
        <v>3480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860"/>
      <c r="B26" s="214" t="s">
        <v>2261</v>
      </c>
      <c r="C26" s="473" t="s">
        <v>2259</v>
      </c>
      <c r="D26" s="215"/>
      <c r="E26" s="215" t="e">
        <f>SUMIF('LƯƠNG KT'!#REF!,"C",'LƯƠNG KT'!#REF!)*$L$17</f>
        <v>#REF!</v>
      </c>
      <c r="F26" s="475">
        <f>5.5*$L$9</f>
        <v>3300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861"/>
      <c r="B27" s="214" t="s">
        <v>2262</v>
      </c>
      <c r="C27" s="474" t="s">
        <v>2259</v>
      </c>
      <c r="D27" s="215"/>
      <c r="E27" s="215" t="e">
        <f>SUMIF('LƯƠNG KT'!#REF!,"D",'LƯƠNG KT'!#REF!)*$L$17</f>
        <v>#REF!</v>
      </c>
      <c r="F27" s="475">
        <f>5.2*$L$9</f>
        <v>3120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859" t="s">
        <v>2263</v>
      </c>
      <c r="B28" s="214" t="s">
        <v>2258</v>
      </c>
      <c r="C28" s="474" t="s">
        <v>2259</v>
      </c>
      <c r="D28" s="215"/>
      <c r="E28" s="215" t="e">
        <f>SUMIF('LƯƠNG KT'!#REF!,"A",'LƯƠNG KT'!#REF!)</f>
        <v>#REF!</v>
      </c>
      <c r="F28" s="475">
        <f>6.1*$L$9</f>
        <v>3660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860"/>
      <c r="B29" s="214" t="s">
        <v>2260</v>
      </c>
      <c r="C29" s="473" t="s">
        <v>2259</v>
      </c>
      <c r="D29" s="215"/>
      <c r="E29" s="215" t="e">
        <f>SUMIF('LƯƠNG KT'!#REF!,"B",'LƯƠNG KT'!#REF!)*$L$21</f>
        <v>#REF!</v>
      </c>
      <c r="F29" s="475">
        <f>5.8*$L$9</f>
        <v>3480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860"/>
      <c r="B30" s="214" t="s">
        <v>2261</v>
      </c>
      <c r="C30" s="473" t="s">
        <v>2259</v>
      </c>
      <c r="D30" s="215"/>
      <c r="E30" s="215" t="e">
        <f>SUMIF('LƯƠNG KT'!#REF!,"C",'LƯƠNG KT'!#REF!)*$L$21</f>
        <v>#REF!</v>
      </c>
      <c r="F30" s="475">
        <f>5.5*$L$9</f>
        <v>3300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861"/>
      <c r="B31" s="214" t="s">
        <v>2262</v>
      </c>
      <c r="C31" s="474" t="s">
        <v>2259</v>
      </c>
      <c r="D31" s="215"/>
      <c r="E31" s="215" t="e">
        <f>SUMIF('LƯƠNG KT'!#REF!,"D",'LƯƠNG KT'!#REF!)*$L$21</f>
        <v>#REF!</v>
      </c>
      <c r="F31" s="475">
        <f>5.2*$L$9</f>
        <v>3120</v>
      </c>
      <c r="G31" s="215" t="e">
        <f t="shared" si="8"/>
        <v>#REF!</v>
      </c>
      <c r="H31" s="215" t="e">
        <f t="shared" si="7"/>
        <v>#REF!</v>
      </c>
      <c r="I31" s="216"/>
      <c r="J31" s="512"/>
    </row>
    <row r="32" spans="1:15" s="502" customFormat="1" ht="22.15" customHeight="1">
      <c r="A32" s="213"/>
      <c r="B32" s="214" t="s">
        <v>2264</v>
      </c>
      <c r="C32" s="47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3"/>
      <c r="O32" s="514"/>
    </row>
    <row r="33" spans="1:15" s="502" customFormat="1" ht="22.15" customHeight="1">
      <c r="A33" s="213"/>
      <c r="B33" s="214" t="s">
        <v>2265</v>
      </c>
      <c r="C33" s="474" t="s">
        <v>2259</v>
      </c>
      <c r="D33" s="215"/>
      <c r="E33" s="215" t="e">
        <f>(SUMIF('LƯƠNG KT'!$M$110:$M$184,"A",'LƯƠNG KT'!#REF!)*L14)</f>
        <v>#REF!</v>
      </c>
      <c r="F33" s="475">
        <f>7.3*$L$9</f>
        <v>4380</v>
      </c>
      <c r="G33" s="215" t="e">
        <f>E33*F33</f>
        <v>#REF!</v>
      </c>
      <c r="H33" s="215" t="e">
        <f t="shared" si="5"/>
        <v>#REF!</v>
      </c>
      <c r="I33" s="216"/>
      <c r="J33" s="513"/>
      <c r="O33" s="515"/>
    </row>
    <row r="34" spans="1:15" s="502" customFormat="1" ht="22.15" customHeight="1">
      <c r="A34" s="213"/>
      <c r="B34" s="214" t="s">
        <v>2266</v>
      </c>
      <c r="C34" s="473" t="s">
        <v>2259</v>
      </c>
      <c r="D34" s="215"/>
      <c r="E34" s="215" t="e">
        <f>(SUMIF('LƯƠNG KT'!$M$110:$M$184,"B",'LƯƠNG KT'!#REF!)*L14)</f>
        <v>#REF!</v>
      </c>
      <c r="F34" s="475">
        <f>7*$L$9</f>
        <v>4200</v>
      </c>
      <c r="G34" s="215" t="e">
        <f t="shared" ref="G34:G36" si="9">E34*F34</f>
        <v>#REF!</v>
      </c>
      <c r="H34" s="215" t="e">
        <f t="shared" si="5"/>
        <v>#REF!</v>
      </c>
      <c r="I34" s="216"/>
      <c r="J34" s="513"/>
      <c r="K34" s="516"/>
      <c r="L34" s="517"/>
      <c r="M34" s="518"/>
    </row>
    <row r="35" spans="1:15" s="502" customFormat="1" ht="22.15" customHeight="1">
      <c r="A35" s="213"/>
      <c r="B35" s="214" t="s">
        <v>2267</v>
      </c>
      <c r="C35" s="473" t="s">
        <v>2259</v>
      </c>
      <c r="D35" s="215"/>
      <c r="E35" s="215" t="e">
        <f>(SUMIF('LƯƠNG KT'!$M$110:$M$184,"C",'LƯƠNG KT'!#REF!)*L14)</f>
        <v>#REF!</v>
      </c>
      <c r="F35" s="475">
        <f>6.7*$L$9</f>
        <v>4020</v>
      </c>
      <c r="G35" s="215" t="e">
        <f t="shared" si="9"/>
        <v>#REF!</v>
      </c>
      <c r="H35" s="215" t="e">
        <f t="shared" si="5"/>
        <v>#REF!</v>
      </c>
      <c r="I35" s="216"/>
      <c r="J35" s="513"/>
      <c r="K35" s="516"/>
      <c r="L35" s="517"/>
      <c r="M35" s="516"/>
      <c r="O35" s="515"/>
    </row>
    <row r="36" spans="1:15" s="502" customFormat="1" ht="22.15" customHeight="1">
      <c r="A36" s="213"/>
      <c r="B36" s="214" t="s">
        <v>2268</v>
      </c>
      <c r="C36" s="473" t="s">
        <v>2259</v>
      </c>
      <c r="D36" s="215"/>
      <c r="E36" s="215" t="e">
        <f>(SUMIF('LƯƠNG KT'!$M$110:$M$184,"D",'LƯƠNG KT'!#REF!)*L10)</f>
        <v>#REF!</v>
      </c>
      <c r="F36" s="475">
        <f>6.4*$L$9</f>
        <v>3840</v>
      </c>
      <c r="G36" s="215" t="e">
        <f t="shared" si="9"/>
        <v>#REF!</v>
      </c>
      <c r="H36" s="215" t="e">
        <f t="shared" si="5"/>
        <v>#REF!</v>
      </c>
      <c r="I36" s="216"/>
      <c r="J36" s="513"/>
      <c r="K36" s="516"/>
      <c r="L36" s="517"/>
      <c r="M36" s="516"/>
    </row>
    <row r="37" spans="1:15" s="195" customFormat="1" ht="22.15" customHeight="1">
      <c r="A37" s="213"/>
      <c r="B37" s="214" t="s">
        <v>2269</v>
      </c>
      <c r="C37" s="473"/>
      <c r="D37" s="215"/>
      <c r="E37" s="47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9"/>
      <c r="K37" s="520"/>
      <c r="L37" s="521"/>
      <c r="M37" s="522"/>
      <c r="N37" s="523"/>
      <c r="O37" s="524"/>
    </row>
    <row r="38" spans="1:15" ht="22.15" customHeight="1">
      <c r="A38" s="2859" t="s">
        <v>427</v>
      </c>
      <c r="B38" s="214" t="s">
        <v>2265</v>
      </c>
      <c r="C38" s="474" t="s">
        <v>2259</v>
      </c>
      <c r="D38" s="215"/>
      <c r="E38" s="215">
        <f>SUMIF('LƯƠNG KT'!$M$16:$M$108,"A",'LƯƠNG KT'!$H$16:$H$108)*$L$13</f>
        <v>0</v>
      </c>
      <c r="F38" s="475">
        <f>9.2*$L$9</f>
        <v>5520</v>
      </c>
      <c r="G38" s="215">
        <f>E38*F38</f>
        <v>0</v>
      </c>
      <c r="H38" s="215">
        <f t="shared" si="5"/>
        <v>0</v>
      </c>
      <c r="I38" s="216"/>
      <c r="J38" s="512"/>
      <c r="K38" s="218"/>
      <c r="L38" s="200"/>
      <c r="M38" s="217"/>
      <c r="N38" s="200"/>
    </row>
    <row r="39" spans="1:15" ht="22.15" customHeight="1">
      <c r="A39" s="2860"/>
      <c r="B39" s="214" t="s">
        <v>2270</v>
      </c>
      <c r="C39" s="473" t="s">
        <v>2259</v>
      </c>
      <c r="D39" s="215"/>
      <c r="E39" s="215">
        <f>SUMIF('LƯƠNG KT'!$M$16:$M$108,"B",'LƯƠNG KT'!$H$16:$H$108)*$L$13</f>
        <v>0</v>
      </c>
      <c r="F39" s="475">
        <f>8.9*$L$9</f>
        <v>5340</v>
      </c>
      <c r="G39" s="215">
        <f t="shared" ref="G39:G41" si="10">E39*F39</f>
        <v>0</v>
      </c>
      <c r="H39" s="215">
        <f t="shared" si="5"/>
        <v>0</v>
      </c>
      <c r="I39" s="216"/>
      <c r="J39" s="512"/>
      <c r="K39" s="218"/>
      <c r="L39" s="200"/>
      <c r="M39" s="218"/>
    </row>
    <row r="40" spans="1:15" ht="22.15" customHeight="1">
      <c r="A40" s="2861"/>
      <c r="B40" s="214" t="s">
        <v>2267</v>
      </c>
      <c r="C40" s="473" t="s">
        <v>2259</v>
      </c>
      <c r="D40" s="215"/>
      <c r="E40" s="215">
        <f>SUMIF('LƯƠNG KT'!$M$16:$M$108,"C",'LƯƠNG KT'!$H$16:$H$108)*$L$13</f>
        <v>0</v>
      </c>
      <c r="F40" s="475">
        <f>8.6*$L$9</f>
        <v>5160</v>
      </c>
      <c r="G40" s="215">
        <f t="shared" si="10"/>
        <v>0</v>
      </c>
      <c r="H40" s="215">
        <f t="shared" si="5"/>
        <v>0</v>
      </c>
      <c r="I40" s="216"/>
      <c r="J40" s="512"/>
      <c r="K40" s="218"/>
      <c r="L40" s="200"/>
      <c r="M40" s="218"/>
    </row>
    <row r="41" spans="1:15" ht="22.15" customHeight="1">
      <c r="A41" s="2859" t="s">
        <v>520</v>
      </c>
      <c r="B41" s="214" t="s">
        <v>2265</v>
      </c>
      <c r="C41" s="474" t="s">
        <v>2259</v>
      </c>
      <c r="D41" s="215"/>
      <c r="E41" s="215" t="e">
        <f>(SUMIF('LƯƠNG KT'!$M$110:$M$184,"A",'LƯƠNG KT'!#REF!)*$L$14)</f>
        <v>#REF!</v>
      </c>
      <c r="F41" s="475">
        <f>9.2*$L$9</f>
        <v>5520</v>
      </c>
      <c r="G41" s="215" t="e">
        <f t="shared" si="10"/>
        <v>#REF!</v>
      </c>
      <c r="H41" s="215" t="e">
        <f t="shared" ref="H41:H43" si="11">G41</f>
        <v>#REF!</v>
      </c>
      <c r="I41" s="216"/>
      <c r="J41" s="512"/>
      <c r="K41" s="218"/>
      <c r="L41" s="200"/>
      <c r="M41" s="217"/>
      <c r="N41" s="200"/>
    </row>
    <row r="42" spans="1:15" ht="22.15" customHeight="1">
      <c r="A42" s="2860"/>
      <c r="B42" s="214" t="s">
        <v>2270</v>
      </c>
      <c r="C42" s="473" t="s">
        <v>2259</v>
      </c>
      <c r="D42" s="215"/>
      <c r="E42" s="215" t="e">
        <f>(SUMIF('LƯƠNG KT'!$M$110:$M$184,"B",'LƯƠNG KT'!#REF!)*$L$14)</f>
        <v>#REF!</v>
      </c>
      <c r="F42" s="475">
        <f>8.9*$L$9</f>
        <v>5340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2"/>
      <c r="K42" s="218"/>
      <c r="L42" s="200"/>
      <c r="M42" s="218"/>
    </row>
    <row r="43" spans="1:15" ht="22.15" customHeight="1">
      <c r="A43" s="2861"/>
      <c r="B43" s="214" t="s">
        <v>2267</v>
      </c>
      <c r="C43" s="473" t="s">
        <v>2259</v>
      </c>
      <c r="D43" s="215"/>
      <c r="E43" s="215" t="e">
        <f>(SUMIF('LƯƠNG KT'!$M$110:$M$184,"C",'LƯƠNG KT'!#REF!)*$L$14)</f>
        <v>#REF!</v>
      </c>
      <c r="F43" s="475">
        <f>8.6*$L$9</f>
        <v>5160</v>
      </c>
      <c r="G43" s="215" t="e">
        <f t="shared" si="12"/>
        <v>#REF!</v>
      </c>
      <c r="H43" s="215" t="e">
        <f t="shared" si="11"/>
        <v>#REF!</v>
      </c>
      <c r="I43" s="216"/>
      <c r="J43" s="512"/>
      <c r="K43" s="218"/>
      <c r="L43" s="200"/>
      <c r="M43" s="218"/>
    </row>
    <row r="44" spans="1:15" ht="22.15" customHeight="1">
      <c r="A44" s="2859" t="s">
        <v>524</v>
      </c>
      <c r="B44" s="214" t="s">
        <v>2265</v>
      </c>
      <c r="C44" s="474" t="s">
        <v>2259</v>
      </c>
      <c r="D44" s="215"/>
      <c r="E44" s="215" t="e">
        <f>SUMIF('LƯƠNG KT'!#REF!,"A",'LƯƠNG KT'!#REF!)*$L$20</f>
        <v>#REF!</v>
      </c>
      <c r="F44" s="475">
        <f>8*$L$9</f>
        <v>4800</v>
      </c>
      <c r="G44" s="215" t="e">
        <f t="shared" si="12"/>
        <v>#REF!</v>
      </c>
      <c r="H44" s="215" t="e">
        <f t="shared" si="5"/>
        <v>#REF!</v>
      </c>
      <c r="I44" s="216"/>
      <c r="J44" s="512"/>
      <c r="K44" s="218"/>
      <c r="L44" s="200"/>
      <c r="M44" s="217"/>
      <c r="N44" s="200"/>
    </row>
    <row r="45" spans="1:15" ht="22.15" customHeight="1">
      <c r="A45" s="2860"/>
      <c r="B45" s="214" t="s">
        <v>2270</v>
      </c>
      <c r="C45" s="473" t="s">
        <v>2259</v>
      </c>
      <c r="D45" s="215"/>
      <c r="E45" s="215" t="e">
        <f>SUMIF('LƯƠNG KT'!#REF!,"B",'LƯƠNG KT'!#REF!)*$L$20</f>
        <v>#REF!</v>
      </c>
      <c r="F45" s="475">
        <f>7.7*$L$9</f>
        <v>4620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2"/>
      <c r="K45" s="218"/>
      <c r="L45" s="200"/>
      <c r="M45" s="218"/>
    </row>
    <row r="46" spans="1:15" ht="22.15" customHeight="1">
      <c r="A46" s="2861"/>
      <c r="B46" s="214" t="s">
        <v>2267</v>
      </c>
      <c r="C46" s="473" t="s">
        <v>2259</v>
      </c>
      <c r="D46" s="215"/>
      <c r="E46" s="215" t="e">
        <f>SUMIF('LƯƠNG KT'!#REF!,"C",'LƯƠNG KT'!#REF!)*$L$20</f>
        <v>#REF!</v>
      </c>
      <c r="F46" s="475">
        <f>7.4*$L$9</f>
        <v>4440</v>
      </c>
      <c r="G46" s="215" t="e">
        <f t="shared" si="13"/>
        <v>#REF!</v>
      </c>
      <c r="H46" s="215" t="e">
        <f t="shared" si="5"/>
        <v>#REF!</v>
      </c>
      <c r="I46" s="216"/>
      <c r="J46" s="512"/>
      <c r="K46" s="218"/>
      <c r="L46" s="200"/>
      <c r="M46" s="218"/>
    </row>
    <row r="47" spans="1:15" ht="22.15" hidden="1" customHeight="1">
      <c r="A47" s="213"/>
      <c r="B47" s="214" t="s">
        <v>2271</v>
      </c>
      <c r="C47" s="473" t="s">
        <v>2259</v>
      </c>
      <c r="D47" s="215"/>
      <c r="E47" s="215" t="e">
        <f>(SUMIF('LƯƠNG KT'!$M$110:$M$184,"D",'LƯƠNG KT'!#REF!)*0.4)+(SUMIF('LƯƠNG KT'!#REF!,"D",'LƯƠNG KT'!#REF!)*0.4)+(SUMIF('LƯƠNG KT'!$M$16:$M$108,"D",'LƯƠNG KT'!$H$16:$H$108)*0.4)</f>
        <v>#REF!</v>
      </c>
      <c r="F47" s="475">
        <f>7.1*$L$9</f>
        <v>4260</v>
      </c>
      <c r="G47" s="215" t="e">
        <f t="shared" si="13"/>
        <v>#REF!</v>
      </c>
      <c r="H47" s="215" t="e">
        <f t="shared" si="5"/>
        <v>#REF!</v>
      </c>
      <c r="I47" s="216"/>
      <c r="J47" s="512"/>
      <c r="K47" s="218"/>
      <c r="L47" s="200"/>
      <c r="M47" s="218"/>
    </row>
    <row r="48" spans="1:15" ht="22.15" customHeight="1">
      <c r="A48" s="213"/>
      <c r="B48" s="214" t="s">
        <v>2272</v>
      </c>
      <c r="C48" s="47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2"/>
      <c r="K48" s="218">
        <v>77228.165964566593</v>
      </c>
      <c r="L48" s="200" t="e">
        <f>+E48-K48</f>
        <v>#REF!</v>
      </c>
      <c r="M48" s="494"/>
      <c r="N48" s="221"/>
      <c r="O48" s="239"/>
    </row>
    <row r="49" spans="1:14" ht="22.15" customHeight="1">
      <c r="A49" s="2859" t="s">
        <v>520</v>
      </c>
      <c r="B49" s="214" t="s">
        <v>2265</v>
      </c>
      <c r="C49" s="474" t="s">
        <v>2259</v>
      </c>
      <c r="D49" s="215"/>
      <c r="E49" s="215" t="e">
        <f>(SUMIF('LƯƠNG KT'!$M$110:$M$184,"A",'LƯƠNG KT'!#REF!))</f>
        <v>#REF!</v>
      </c>
      <c r="F49" s="475">
        <f>6.7*L9</f>
        <v>4020</v>
      </c>
      <c r="G49" s="215" t="e">
        <f>E49*F49</f>
        <v>#REF!</v>
      </c>
      <c r="H49" s="215" t="e">
        <f t="shared" ref="H49:H52" si="14">G49</f>
        <v>#REF!</v>
      </c>
      <c r="I49" s="216"/>
      <c r="J49" s="512"/>
      <c r="K49" s="218"/>
      <c r="L49" s="200"/>
      <c r="M49" s="217"/>
      <c r="N49" s="200"/>
    </row>
    <row r="50" spans="1:14" ht="22.15" customHeight="1">
      <c r="A50" s="2860"/>
      <c r="B50" s="214" t="s">
        <v>2270</v>
      </c>
      <c r="C50" s="473" t="s">
        <v>2259</v>
      </c>
      <c r="D50" s="215"/>
      <c r="E50" s="215" t="e">
        <f>(SUMIF('LƯƠNG KT'!$M$110:$M$184,"b",'LƯƠNG KT'!#REF!)*$L$14)</f>
        <v>#REF!</v>
      </c>
      <c r="F50" s="475">
        <f>6.4*L9</f>
        <v>3840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2"/>
      <c r="K50" s="218" t="e">
        <f>'LƯƠNG KT'!#REF!</f>
        <v>#REF!</v>
      </c>
      <c r="L50" s="200"/>
    </row>
    <row r="51" spans="1:14" ht="22.15" customHeight="1">
      <c r="A51" s="2860"/>
      <c r="B51" s="214" t="s">
        <v>2273</v>
      </c>
      <c r="C51" s="473" t="s">
        <v>2259</v>
      </c>
      <c r="D51" s="215"/>
      <c r="E51" s="215" t="e">
        <f>(SUMIF('LƯƠNG KT'!$M$110:$M$184,"c",'LƯƠNG KT'!#REF!)*$L$14)</f>
        <v>#REF!</v>
      </c>
      <c r="F51" s="475">
        <f>6.1*L9</f>
        <v>3660</v>
      </c>
      <c r="G51" s="215" t="e">
        <f t="shared" si="15"/>
        <v>#REF!</v>
      </c>
      <c r="H51" s="215" t="e">
        <f t="shared" si="14"/>
        <v>#REF!</v>
      </c>
      <c r="I51" s="216"/>
      <c r="J51" s="512"/>
      <c r="K51" s="218" t="e">
        <f>+K50*L14</f>
        <v>#REF!</v>
      </c>
      <c r="L51" s="200"/>
      <c r="M51" s="218"/>
    </row>
    <row r="52" spans="1:14" ht="22.15" customHeight="1">
      <c r="A52" s="2861"/>
      <c r="B52" s="214" t="s">
        <v>2271</v>
      </c>
      <c r="C52" s="473" t="s">
        <v>2259</v>
      </c>
      <c r="D52" s="215"/>
      <c r="E52" s="215" t="e">
        <f>(SUMIF('LƯƠNG KT'!$M$110:$M$184,"d",'LƯƠNG KT'!#REF!)*$L$14)</f>
        <v>#REF!</v>
      </c>
      <c r="F52" s="475"/>
      <c r="G52" s="215" t="e">
        <f t="shared" si="15"/>
        <v>#REF!</v>
      </c>
      <c r="H52" s="215" t="e">
        <f t="shared" si="14"/>
        <v>#REF!</v>
      </c>
      <c r="I52" s="216"/>
      <c r="J52" s="512"/>
      <c r="K52" s="218"/>
      <c r="L52" s="218"/>
      <c r="M52" s="218"/>
    </row>
    <row r="53" spans="1:14" ht="22.15" customHeight="1">
      <c r="A53" s="2859" t="s">
        <v>524</v>
      </c>
      <c r="B53" s="214" t="s">
        <v>2265</v>
      </c>
      <c r="C53" s="474" t="s">
        <v>2259</v>
      </c>
      <c r="D53" s="215"/>
      <c r="E53" s="215" t="e">
        <f>SUMIF('LƯƠNG KT'!#REF!,"A",'LƯƠNG KT'!#REF!)*$L$20</f>
        <v>#REF!</v>
      </c>
      <c r="F53" s="475">
        <f>6.7*$L$9</f>
        <v>4020</v>
      </c>
      <c r="G53" s="215" t="e">
        <f t="shared" si="15"/>
        <v>#REF!</v>
      </c>
      <c r="H53" s="215" t="e">
        <f t="shared" si="5"/>
        <v>#REF!</v>
      </c>
      <c r="I53" s="216"/>
      <c r="J53" s="512"/>
      <c r="K53" s="218"/>
      <c r="L53" s="200"/>
      <c r="M53" s="217"/>
      <c r="N53" s="200"/>
    </row>
    <row r="54" spans="1:14" ht="22.15" customHeight="1">
      <c r="A54" s="2860"/>
      <c r="B54" s="214" t="s">
        <v>2270</v>
      </c>
      <c r="C54" s="473" t="s">
        <v>2259</v>
      </c>
      <c r="D54" s="215"/>
      <c r="E54" s="215" t="e">
        <f>SUMIF('LƯƠNG KT'!#REF!,"B",'LƯƠNG KT'!#REF!)*$L$20</f>
        <v>#REF!</v>
      </c>
      <c r="F54" s="475">
        <f>6.4*$L$9</f>
        <v>3840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2"/>
      <c r="K54" s="218"/>
      <c r="L54" s="200"/>
    </row>
    <row r="55" spans="1:14" ht="22.15" customHeight="1">
      <c r="A55" s="2860"/>
      <c r="B55" s="214" t="s">
        <v>2273</v>
      </c>
      <c r="C55" s="473" t="s">
        <v>2259</v>
      </c>
      <c r="D55" s="215"/>
      <c r="E55" s="215" t="e">
        <f>SUMIF('LƯƠNG KT'!#REF!,"C",'LƯƠNG KT'!#REF!)*$L$20</f>
        <v>#REF!</v>
      </c>
      <c r="F55" s="475">
        <f>6.1*$L$9</f>
        <v>3660</v>
      </c>
      <c r="G55" s="215" t="e">
        <f t="shared" si="16"/>
        <v>#REF!</v>
      </c>
      <c r="H55" s="215" t="e">
        <f t="shared" si="5"/>
        <v>#REF!</v>
      </c>
      <c r="I55" s="216"/>
      <c r="J55" s="512"/>
      <c r="K55" s="218" t="e">
        <f>SUM('LƯƠNG KT'!#REF!)</f>
        <v>#REF!</v>
      </c>
      <c r="L55" s="200"/>
      <c r="M55" s="218"/>
    </row>
    <row r="56" spans="1:14" ht="22.15" customHeight="1">
      <c r="A56" s="2861"/>
      <c r="B56" s="214" t="s">
        <v>2271</v>
      </c>
      <c r="C56" s="473" t="s">
        <v>2259</v>
      </c>
      <c r="D56" s="215"/>
      <c r="E56" s="215" t="e">
        <f>SUMIF('LƯƠNG KT'!#REF!,"D",'LƯƠNG KT'!#REF!)*$L$20</f>
        <v>#REF!</v>
      </c>
      <c r="F56" s="475">
        <f>5.8*$L$9</f>
        <v>3480</v>
      </c>
      <c r="G56" s="215" t="e">
        <f t="shared" si="16"/>
        <v>#REF!</v>
      </c>
      <c r="H56" s="215" t="e">
        <f t="shared" si="5"/>
        <v>#REF!</v>
      </c>
      <c r="I56" s="216"/>
      <c r="J56" s="512"/>
      <c r="K56" s="218"/>
      <c r="L56" s="218"/>
      <c r="M56" s="218"/>
    </row>
    <row r="57" spans="1:14" ht="22.15" customHeight="1">
      <c r="A57" s="2859" t="s">
        <v>523</v>
      </c>
      <c r="B57" s="214" t="s">
        <v>2265</v>
      </c>
      <c r="C57" s="474" t="s">
        <v>2259</v>
      </c>
      <c r="D57" s="215"/>
      <c r="E57" s="215" t="e">
        <f>SUMIF('LƯƠNG KT'!#REF!,"A",'LƯƠNG KT'!#REF!)</f>
        <v>#REF!</v>
      </c>
      <c r="F57" s="475">
        <f>6.7*$L$9</f>
        <v>4020</v>
      </c>
      <c r="G57" s="215" t="e">
        <f t="shared" si="16"/>
        <v>#REF!</v>
      </c>
      <c r="H57" s="215" t="e">
        <f t="shared" ref="H57:H60" si="17">G57</f>
        <v>#REF!</v>
      </c>
      <c r="I57" s="216"/>
      <c r="J57" s="512"/>
      <c r="K57" s="218"/>
      <c r="L57" s="200"/>
      <c r="M57" s="217"/>
      <c r="N57" s="200"/>
    </row>
    <row r="58" spans="1:14" ht="22.15" customHeight="1">
      <c r="A58" s="2860"/>
      <c r="B58" s="214" t="s">
        <v>2270</v>
      </c>
      <c r="C58" s="473" t="s">
        <v>2259</v>
      </c>
      <c r="D58" s="215"/>
      <c r="E58" s="215" t="e">
        <f>SUMIF('LƯƠNG KT'!#REF!,"B",'LƯƠNG KT'!#REF!)*$L$19</f>
        <v>#REF!</v>
      </c>
      <c r="F58" s="475">
        <f>6.4*$L$9</f>
        <v>3840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2"/>
      <c r="K58" s="218" t="e">
        <f>SUM('LƯƠNG KT'!#REF!)</f>
        <v>#REF!</v>
      </c>
      <c r="L58" s="200"/>
    </row>
    <row r="59" spans="1:14" ht="22.15" customHeight="1">
      <c r="A59" s="2860"/>
      <c r="B59" s="214" t="s">
        <v>2273</v>
      </c>
      <c r="C59" s="473" t="s">
        <v>2259</v>
      </c>
      <c r="D59" s="215"/>
      <c r="E59" s="215" t="e">
        <f>SUMIF('LƯƠNG KT'!#REF!,"C",'LƯƠNG KT'!#REF!)*$L$19</f>
        <v>#REF!</v>
      </c>
      <c r="F59" s="475">
        <f>6.1*$L$9</f>
        <v>3660</v>
      </c>
      <c r="G59" s="215" t="e">
        <f t="shared" si="18"/>
        <v>#REF!</v>
      </c>
      <c r="H59" s="215" t="e">
        <f t="shared" si="17"/>
        <v>#REF!</v>
      </c>
      <c r="I59" s="216"/>
      <c r="J59" s="512"/>
      <c r="K59" s="218" t="e">
        <f>+K58*#REF!</f>
        <v>#REF!</v>
      </c>
      <c r="L59" s="200"/>
      <c r="M59" s="218"/>
    </row>
    <row r="60" spans="1:14" ht="22.15" customHeight="1">
      <c r="A60" s="2861"/>
      <c r="B60" s="214" t="s">
        <v>2271</v>
      </c>
      <c r="C60" s="473" t="s">
        <v>2259</v>
      </c>
      <c r="D60" s="215"/>
      <c r="E60" s="215" t="e">
        <f>SUMIF('LƯƠNG KT'!#REF!,"D",'LƯƠNG KT'!#REF!)*$L$19</f>
        <v>#REF!</v>
      </c>
      <c r="F60" s="475">
        <f>5.8*$L$9</f>
        <v>3480</v>
      </c>
      <c r="G60" s="215" t="e">
        <f t="shared" si="18"/>
        <v>#REF!</v>
      </c>
      <c r="H60" s="215" t="e">
        <f t="shared" si="17"/>
        <v>#REF!</v>
      </c>
      <c r="I60" s="216"/>
      <c r="J60" s="512"/>
      <c r="K60" s="218"/>
      <c r="L60" s="218"/>
      <c r="M60" s="218"/>
    </row>
    <row r="61" spans="1:14" ht="22.15" customHeight="1">
      <c r="A61" s="2859" t="s">
        <v>285</v>
      </c>
      <c r="B61" s="214" t="s">
        <v>2265</v>
      </c>
      <c r="C61" s="474" t="s">
        <v>2259</v>
      </c>
      <c r="D61" s="215"/>
      <c r="E61" s="215" t="e">
        <f>SUMIF('LƯƠNG KT'!#REF!,"A",'LƯƠNG KT'!#REF!)</f>
        <v>#REF!</v>
      </c>
      <c r="F61" s="475">
        <f>6.7*$L$9</f>
        <v>4020</v>
      </c>
      <c r="G61" s="215" t="e">
        <f t="shared" si="18"/>
        <v>#REF!</v>
      </c>
      <c r="H61" s="215" t="e">
        <f t="shared" si="5"/>
        <v>#REF!</v>
      </c>
      <c r="I61" s="216"/>
      <c r="J61" s="512"/>
      <c r="K61" s="218"/>
      <c r="L61" s="200"/>
      <c r="M61" s="217"/>
      <c r="N61" s="200"/>
    </row>
    <row r="62" spans="1:14" ht="22.15" customHeight="1">
      <c r="A62" s="2860"/>
      <c r="B62" s="214" t="s">
        <v>2270</v>
      </c>
      <c r="C62" s="473" t="s">
        <v>2259</v>
      </c>
      <c r="D62" s="215"/>
      <c r="E62" s="215" t="e">
        <f>SUMIF('LƯƠNG KT'!#REF!,"B",'LƯƠNG KT'!#REF!)*$L$18</f>
        <v>#REF!</v>
      </c>
      <c r="F62" s="475">
        <f>6.4*$L$9</f>
        <v>3840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2"/>
      <c r="K62" s="218" t="e">
        <f>'LƯƠNG KT'!#REF!</f>
        <v>#REF!</v>
      </c>
      <c r="L62" s="200"/>
    </row>
    <row r="63" spans="1:14" ht="22.15" customHeight="1">
      <c r="A63" s="2860"/>
      <c r="B63" s="214" t="s">
        <v>2273</v>
      </c>
      <c r="C63" s="473" t="s">
        <v>2259</v>
      </c>
      <c r="D63" s="215"/>
      <c r="E63" s="215" t="e">
        <f>SUMIF('LƯƠNG KT'!#REF!,"C",'LƯƠNG KT'!#REF!)*$L$18</f>
        <v>#REF!</v>
      </c>
      <c r="F63" s="475">
        <f>6.1*$L$9</f>
        <v>3660</v>
      </c>
      <c r="G63" s="215" t="e">
        <f t="shared" si="19"/>
        <v>#REF!</v>
      </c>
      <c r="H63" s="215" t="e">
        <f t="shared" si="5"/>
        <v>#REF!</v>
      </c>
      <c r="I63" s="216"/>
      <c r="J63" s="512"/>
      <c r="K63" s="218" t="e">
        <f>+K62*#REF!</f>
        <v>#REF!</v>
      </c>
      <c r="L63" s="200"/>
      <c r="M63" s="218"/>
    </row>
    <row r="64" spans="1:14" ht="22.15" customHeight="1">
      <c r="A64" s="2861"/>
      <c r="B64" s="214" t="s">
        <v>2271</v>
      </c>
      <c r="C64" s="473" t="s">
        <v>2259</v>
      </c>
      <c r="D64" s="215"/>
      <c r="E64" s="215" t="e">
        <f>SUMIF('LƯƠNG KT'!#REF!,"D",'LƯƠNG KT'!#REF!)*$L$18</f>
        <v>#REF!</v>
      </c>
      <c r="F64" s="475">
        <f>5.8*$L$9</f>
        <v>3480</v>
      </c>
      <c r="G64" s="215" t="e">
        <f t="shared" si="19"/>
        <v>#REF!</v>
      </c>
      <c r="H64" s="215" t="e">
        <f t="shared" si="5"/>
        <v>#REF!</v>
      </c>
      <c r="I64" s="216"/>
      <c r="J64" s="512"/>
      <c r="K64" s="218"/>
      <c r="L64" s="218"/>
      <c r="M64" s="218"/>
    </row>
    <row r="65" spans="1:16" ht="22.15" customHeight="1">
      <c r="A65" s="213"/>
      <c r="B65" s="214" t="s">
        <v>2274</v>
      </c>
      <c r="C65" s="473" t="s">
        <v>2259</v>
      </c>
      <c r="D65" s="215"/>
      <c r="E65" s="216">
        <f>THCKT!X10*0.5</f>
        <v>0</v>
      </c>
      <c r="F65" s="215">
        <f>6.1*$L$9</f>
        <v>3660</v>
      </c>
      <c r="G65" s="215">
        <f t="shared" ref="G65" si="20">E65*F65</f>
        <v>0</v>
      </c>
      <c r="H65" s="215">
        <f t="shared" si="5"/>
        <v>0</v>
      </c>
      <c r="I65" s="476"/>
      <c r="J65" s="269"/>
      <c r="K65" s="219"/>
      <c r="L65" s="219"/>
    </row>
    <row r="66" spans="1:16" ht="22.15" customHeight="1">
      <c r="A66" s="213"/>
      <c r="B66" s="214" t="s">
        <v>2275</v>
      </c>
      <c r="C66" s="473" t="s">
        <v>2259</v>
      </c>
      <c r="D66" s="215"/>
      <c r="E66" s="216">
        <v>142.47734492223239</v>
      </c>
      <c r="F66" s="215">
        <f>6.1*$L$9</f>
        <v>3660</v>
      </c>
      <c r="G66" s="215">
        <f>E66*F66</f>
        <v>521467.08241537056</v>
      </c>
      <c r="H66" s="215">
        <f t="shared" si="5"/>
        <v>521467.08241537056</v>
      </c>
      <c r="I66" s="47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77" t="s">
        <v>2278</v>
      </c>
      <c r="D67" s="215" t="e">
        <f>SUM(D68:D74)</f>
        <v>#N/A</v>
      </c>
      <c r="E67" s="215"/>
      <c r="F67" s="215"/>
      <c r="G67" s="215" t="e">
        <f>SUM(G68:G76)</f>
        <v>#N/A</v>
      </c>
      <c r="H67" s="215" t="e">
        <f>SUM(H68:H76)</f>
        <v>#N/A</v>
      </c>
      <c r="I67" s="216"/>
      <c r="J67" s="512"/>
      <c r="K67" s="219"/>
      <c r="L67" s="219"/>
      <c r="M67" s="494"/>
      <c r="N67" s="220"/>
      <c r="O67" s="200"/>
    </row>
    <row r="68" spans="1:16" ht="22.15" customHeight="1">
      <c r="A68" s="213"/>
      <c r="B68" s="214" t="s">
        <v>2151</v>
      </c>
      <c r="C68" s="477" t="s">
        <v>2278</v>
      </c>
      <c r="D68" s="215">
        <f>'LƯƠNG KT'!O185</f>
        <v>3192</v>
      </c>
      <c r="E68" s="215"/>
      <c r="F68" s="215">
        <f>46.1*$L$9</f>
        <v>27660</v>
      </c>
      <c r="G68" s="215">
        <f t="shared" ref="G68:G74" si="21">D68*F68</f>
        <v>88290720</v>
      </c>
      <c r="H68" s="215">
        <f t="shared" si="5"/>
        <v>88290720</v>
      </c>
      <c r="I68" s="216"/>
      <c r="J68" s="512"/>
      <c r="K68" s="219"/>
      <c r="L68" s="219"/>
      <c r="M68" s="219"/>
    </row>
    <row r="69" spans="1:16" s="462" customFormat="1" ht="22.15" customHeight="1">
      <c r="A69" s="213"/>
      <c r="B69" s="214" t="s">
        <v>2152</v>
      </c>
      <c r="C69" s="477" t="s">
        <v>2278</v>
      </c>
      <c r="D69" s="215">
        <f>'LƯƠNG KT'!P185</f>
        <v>1215654</v>
      </c>
      <c r="E69" s="215"/>
      <c r="F69" s="215">
        <f>76.9*$L$9</f>
        <v>46140</v>
      </c>
      <c r="G69" s="215">
        <f t="shared" si="21"/>
        <v>56090275560</v>
      </c>
      <c r="H69" s="215">
        <f t="shared" si="5"/>
        <v>56090275560</v>
      </c>
      <c r="I69" s="216"/>
      <c r="J69" s="512"/>
      <c r="K69" s="495"/>
      <c r="L69" s="495"/>
    </row>
    <row r="70" spans="1:16" s="462" customFormat="1" ht="22.15" customHeight="1">
      <c r="A70" s="213"/>
      <c r="B70" s="214" t="s">
        <v>2279</v>
      </c>
      <c r="C70" s="477" t="s">
        <v>2278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2"/>
      <c r="K70" s="496"/>
      <c r="L70" s="496"/>
    </row>
    <row r="71" spans="1:16" s="462" customFormat="1" ht="22.15" customHeight="1">
      <c r="A71" s="213"/>
      <c r="B71" s="214" t="s">
        <v>369</v>
      </c>
      <c r="C71" s="477" t="s">
        <v>2278</v>
      </c>
      <c r="D71" s="215" t="e">
        <f>'LƯƠNG KT'!T185</f>
        <v>#N/A</v>
      </c>
      <c r="E71" s="215"/>
      <c r="F71" s="215">
        <f>46.1*$L$9*2</f>
        <v>55320</v>
      </c>
      <c r="G71" s="215" t="e">
        <f t="shared" si="21"/>
        <v>#N/A</v>
      </c>
      <c r="H71" s="215" t="e">
        <f t="shared" ref="H71:H73" si="22">G71</f>
        <v>#N/A</v>
      </c>
      <c r="I71" s="216"/>
      <c r="J71" s="512"/>
      <c r="K71" s="496"/>
      <c r="L71" s="496"/>
    </row>
    <row r="72" spans="1:16" s="462" customFormat="1" ht="22.15" customHeight="1">
      <c r="A72" s="213"/>
      <c r="B72" s="214" t="s">
        <v>2094</v>
      </c>
      <c r="C72" s="477" t="s">
        <v>2278</v>
      </c>
      <c r="D72" s="215" t="e">
        <f>'LƯƠNG KT'!U185</f>
        <v>#N/A</v>
      </c>
      <c r="E72" s="215"/>
      <c r="F72" s="215">
        <f>46.1*$L$9*2</f>
        <v>55320</v>
      </c>
      <c r="G72" s="215" t="e">
        <f t="shared" si="21"/>
        <v>#N/A</v>
      </c>
      <c r="H72" s="215" t="e">
        <f t="shared" ref="H72" si="23">G72</f>
        <v>#N/A</v>
      </c>
      <c r="I72" s="216"/>
      <c r="J72" s="512"/>
      <c r="K72" s="496"/>
      <c r="L72" s="496"/>
    </row>
    <row r="73" spans="1:16" s="462" customFormat="1" ht="22.15" customHeight="1">
      <c r="A73" s="213"/>
      <c r="B73" s="214" t="s">
        <v>2108</v>
      </c>
      <c r="C73" s="477" t="s">
        <v>2278</v>
      </c>
      <c r="D73" s="215">
        <f>'LƯƠNG KT'!V185</f>
        <v>1417</v>
      </c>
      <c r="E73" s="215"/>
      <c r="F73" s="215">
        <f>76.9*$L$9*2</f>
        <v>92280</v>
      </c>
      <c r="G73" s="215">
        <f t="shared" si="21"/>
        <v>130760760</v>
      </c>
      <c r="H73" s="215">
        <f t="shared" si="22"/>
        <v>130760760</v>
      </c>
      <c r="I73" s="216"/>
      <c r="J73" s="512"/>
      <c r="K73" s="496"/>
      <c r="L73" s="496"/>
    </row>
    <row r="74" spans="1:16" s="462" customFormat="1" ht="22.15" customHeight="1">
      <c r="A74" s="213"/>
      <c r="B74" s="214" t="s">
        <v>2109</v>
      </c>
      <c r="C74" s="477" t="s">
        <v>2278</v>
      </c>
      <c r="D74" s="215">
        <f>'LƯƠNG KT'!W185</f>
        <v>0</v>
      </c>
      <c r="E74" s="215"/>
      <c r="F74" s="215">
        <f>30.7*$L$9</f>
        <v>18420</v>
      </c>
      <c r="G74" s="215">
        <f t="shared" si="21"/>
        <v>0</v>
      </c>
      <c r="H74" s="215">
        <f t="shared" si="5"/>
        <v>0</v>
      </c>
      <c r="I74" s="216"/>
      <c r="J74" s="512"/>
      <c r="K74" s="496"/>
      <c r="L74" s="496"/>
    </row>
    <row r="75" spans="1:16" s="462" customFormat="1" ht="22.15" customHeight="1">
      <c r="A75" s="213"/>
      <c r="B75" s="214" t="s">
        <v>2155</v>
      </c>
      <c r="C75" s="477" t="s">
        <v>2280</v>
      </c>
      <c r="D75" s="215">
        <f>'LƯƠNG KT'!X185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2"/>
      <c r="K75" s="496"/>
      <c r="L75" s="496"/>
    </row>
    <row r="76" spans="1:16" s="462" customFormat="1" ht="22.15" customHeight="1">
      <c r="A76" s="213"/>
      <c r="B76" s="214" t="s">
        <v>2111</v>
      </c>
      <c r="C76" s="477" t="s">
        <v>2280</v>
      </c>
      <c r="D76" s="215">
        <f>'LƯƠNG KT'!Y185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2"/>
      <c r="K76" s="496"/>
      <c r="L76" s="496"/>
    </row>
    <row r="77" spans="1:16" ht="22.15" customHeight="1">
      <c r="A77" s="213" t="s">
        <v>2281</v>
      </c>
      <c r="B77" s="214" t="s">
        <v>2282</v>
      </c>
      <c r="C77" s="47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7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5"/>
      <c r="K78" s="487"/>
      <c r="N78" s="466"/>
      <c r="P78" s="466"/>
    </row>
    <row r="79" spans="1:16" s="193" customFormat="1" ht="22.15" customHeight="1">
      <c r="A79" s="469" t="s">
        <v>2216</v>
      </c>
      <c r="B79" s="470" t="s">
        <v>2284</v>
      </c>
      <c r="C79" s="471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5"/>
      <c r="K79" s="487"/>
      <c r="L79" s="487"/>
      <c r="N79" s="466"/>
      <c r="P79" s="466"/>
    </row>
    <row r="80" spans="1:16" ht="22.15" customHeight="1">
      <c r="A80" s="213">
        <v>1</v>
      </c>
      <c r="B80" s="214" t="s">
        <v>2285</v>
      </c>
      <c r="C80" s="47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2"/>
      <c r="K80" s="219"/>
      <c r="L80" s="219"/>
      <c r="N80" s="200"/>
      <c r="P80" s="200"/>
    </row>
    <row r="81" spans="1:16" s="193" customFormat="1" ht="22.15" customHeight="1">
      <c r="A81" s="469" t="s">
        <v>2286</v>
      </c>
      <c r="B81" s="470" t="s">
        <v>2287</v>
      </c>
      <c r="C81" s="477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5"/>
      <c r="K81" s="487"/>
      <c r="L81" s="487"/>
      <c r="N81" s="466"/>
      <c r="P81" s="466"/>
    </row>
    <row r="82" spans="1:16" s="193" customFormat="1" ht="22.15" customHeight="1">
      <c r="A82" s="213">
        <v>1</v>
      </c>
      <c r="B82" s="214" t="s">
        <v>2288</v>
      </c>
      <c r="C82" s="477" t="s">
        <v>2289</v>
      </c>
      <c r="D82" s="215"/>
      <c r="E82" s="216">
        <f>'TRẠM CÁN'!P20</f>
        <v>0</v>
      </c>
      <c r="F82" s="215">
        <f>123.1*$L$9</f>
        <v>73860</v>
      </c>
      <c r="G82" s="215">
        <f>F82*E82</f>
        <v>0</v>
      </c>
      <c r="H82" s="215">
        <f>+G82</f>
        <v>0</v>
      </c>
      <c r="I82" s="216"/>
      <c r="J82" s="512"/>
      <c r="K82" s="487"/>
      <c r="L82" s="487"/>
      <c r="N82" s="466"/>
      <c r="P82" s="466"/>
    </row>
    <row r="83" spans="1:16" s="193" customFormat="1" ht="22.15" customHeight="1">
      <c r="A83" s="213">
        <v>2</v>
      </c>
      <c r="B83" s="214" t="s">
        <v>1880</v>
      </c>
      <c r="C83" s="47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5"/>
      <c r="N83" s="466"/>
      <c r="P83" s="466"/>
    </row>
    <row r="84" spans="1:16" s="193" customFormat="1" ht="22.15" customHeight="1">
      <c r="A84" s="469" t="s">
        <v>2290</v>
      </c>
      <c r="B84" s="479" t="s">
        <v>2291</v>
      </c>
      <c r="C84" s="47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5"/>
      <c r="K84" s="487"/>
      <c r="L84" s="487"/>
      <c r="N84" s="466"/>
      <c r="P84" s="466"/>
    </row>
    <row r="85" spans="1:16" ht="21.95" customHeight="1">
      <c r="A85" s="2864" t="s">
        <v>2292</v>
      </c>
      <c r="B85" s="2864"/>
      <c r="C85" s="48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5"/>
      <c r="K85" s="497" t="e">
        <f>+#REF!</f>
        <v>#REF!</v>
      </c>
      <c r="L85" s="497" t="e">
        <f>+G85-K85</f>
        <v>#REF!</v>
      </c>
      <c r="M85" s="494" t="e">
        <f>+G85-K86</f>
        <v>#REF!</v>
      </c>
      <c r="N85" s="494"/>
      <c r="O85" s="200"/>
    </row>
    <row r="86" spans="1:16">
      <c r="A86" s="2855" t="s">
        <v>2293</v>
      </c>
      <c r="B86" s="2855"/>
      <c r="C86" s="2855"/>
      <c r="D86" s="2855"/>
      <c r="E86" s="2855"/>
      <c r="F86" s="2855"/>
      <c r="G86" s="2855"/>
      <c r="H86" s="2855"/>
      <c r="I86" s="2855"/>
      <c r="J86" s="526"/>
      <c r="K86" s="200" t="e">
        <f>+H85-K85</f>
        <v>#REF!</v>
      </c>
      <c r="M86" s="200"/>
      <c r="N86" s="498"/>
    </row>
    <row r="87" spans="1:16" s="196" customFormat="1" ht="18.75">
      <c r="A87" s="224"/>
      <c r="B87" s="224"/>
      <c r="C87" s="224"/>
      <c r="D87" s="481"/>
      <c r="E87" s="482"/>
      <c r="F87" s="2856" t="s">
        <v>2294</v>
      </c>
      <c r="G87" s="2856"/>
      <c r="H87" s="2856"/>
      <c r="I87" s="2856"/>
      <c r="J87" s="225"/>
      <c r="L87" s="2857" t="s">
        <v>2295</v>
      </c>
      <c r="M87" s="2857"/>
      <c r="N87" s="2857"/>
      <c r="O87" s="226"/>
    </row>
    <row r="88" spans="1:16" s="196" customFormat="1" ht="4.1500000000000004" customHeight="1">
      <c r="A88" s="227"/>
      <c r="B88" s="227"/>
      <c r="C88" s="227"/>
      <c r="D88" s="483"/>
      <c r="E88" s="482"/>
      <c r="F88" s="484"/>
      <c r="G88" s="228"/>
      <c r="H88" s="228"/>
      <c r="I88" s="229"/>
      <c r="J88" s="229"/>
      <c r="K88" s="499"/>
      <c r="L88" s="499"/>
      <c r="M88" s="527"/>
      <c r="N88" s="52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00"/>
      <c r="L89" s="529" t="s">
        <v>6</v>
      </c>
      <c r="M89" s="530" t="s">
        <v>2297</v>
      </c>
      <c r="N89" s="531" t="s">
        <v>2298</v>
      </c>
    </row>
    <row r="90" spans="1:16" s="196" customFormat="1" ht="18.75">
      <c r="A90" s="227"/>
      <c r="B90" s="227"/>
      <c r="C90" s="227"/>
      <c r="D90" s="483"/>
      <c r="E90" s="482"/>
      <c r="F90" s="484"/>
      <c r="G90" s="228"/>
      <c r="H90" s="228"/>
      <c r="I90" s="229"/>
      <c r="J90" s="229"/>
      <c r="K90" s="499"/>
      <c r="L90" s="532">
        <v>1</v>
      </c>
      <c r="M90" s="533" t="s">
        <v>628</v>
      </c>
      <c r="N90" s="534" t="e">
        <f>H85</f>
        <v>#REF!</v>
      </c>
    </row>
    <row r="91" spans="1:16" s="196" customFormat="1" ht="18.75">
      <c r="A91" s="227"/>
      <c r="B91" s="227"/>
      <c r="C91" s="227"/>
      <c r="D91" s="483"/>
      <c r="E91" s="482"/>
      <c r="F91" s="484"/>
      <c r="G91" s="228"/>
      <c r="H91" s="228"/>
      <c r="I91" s="229"/>
      <c r="J91" s="229"/>
      <c r="L91" s="532">
        <v>2</v>
      </c>
      <c r="M91" s="533" t="s">
        <v>2299</v>
      </c>
      <c r="N91" s="534">
        <v>29876000</v>
      </c>
    </row>
    <row r="92" spans="1:16" s="196" customFormat="1" ht="18.75">
      <c r="A92" s="227"/>
      <c r="B92" s="227"/>
      <c r="C92" s="227"/>
      <c r="D92" s="483"/>
      <c r="E92" s="482"/>
      <c r="F92" s="484"/>
      <c r="G92" s="228"/>
      <c r="H92" s="228"/>
      <c r="I92" s="229"/>
      <c r="J92" s="229"/>
      <c r="L92" s="532">
        <v>3</v>
      </c>
      <c r="M92" s="533" t="s">
        <v>2300</v>
      </c>
      <c r="N92" s="534">
        <v>24000000</v>
      </c>
    </row>
    <row r="93" spans="1:16" s="196" customFormat="1" ht="18.75">
      <c r="A93" s="227"/>
      <c r="B93" s="227"/>
      <c r="C93" s="227"/>
      <c r="D93" s="483"/>
      <c r="E93" s="482"/>
      <c r="F93" s="484"/>
      <c r="G93" s="228"/>
      <c r="H93" s="228"/>
      <c r="I93" s="229"/>
      <c r="J93" s="229"/>
      <c r="L93" s="532">
        <v>4</v>
      </c>
      <c r="M93" s="533" t="s">
        <v>2301</v>
      </c>
      <c r="N93" s="534">
        <v>150000000</v>
      </c>
    </row>
    <row r="94" spans="1:16" s="196" customFormat="1" ht="18.75" hidden="1">
      <c r="A94" s="227"/>
      <c r="B94" s="227"/>
      <c r="C94" s="227"/>
      <c r="D94" s="483"/>
      <c r="E94" s="482"/>
      <c r="F94" s="2858"/>
      <c r="G94" s="2858"/>
      <c r="H94" s="232"/>
      <c r="I94" s="232"/>
      <c r="J94" s="232"/>
    </row>
    <row r="95" spans="1:16" hidden="1">
      <c r="A95" s="233"/>
      <c r="B95" s="233"/>
      <c r="C95" s="233"/>
      <c r="D95" s="50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1"/>
      <c r="E96" s="236"/>
      <c r="F96" s="238"/>
      <c r="G96" s="237"/>
      <c r="H96" s="237"/>
      <c r="I96" s="238"/>
      <c r="J96" s="238"/>
      <c r="L96" s="532">
        <v>7</v>
      </c>
      <c r="M96" s="533"/>
      <c r="N96" s="534"/>
    </row>
    <row r="97" spans="11:14" ht="18.75" hidden="1">
      <c r="L97" s="532">
        <v>8</v>
      </c>
      <c r="M97" s="533"/>
      <c r="N97" s="534"/>
    </row>
    <row r="98" spans="11:14" ht="18.75" hidden="1">
      <c r="L98" s="532">
        <v>9</v>
      </c>
      <c r="M98" s="533"/>
      <c r="N98" s="534"/>
    </row>
    <row r="99" spans="11:14" ht="18.75" hidden="1">
      <c r="L99" s="532">
        <v>10</v>
      </c>
      <c r="M99" s="533"/>
      <c r="N99" s="534"/>
    </row>
    <row r="100" spans="11:14" ht="18.75">
      <c r="L100" s="535"/>
      <c r="M100" s="530" t="s">
        <v>525</v>
      </c>
      <c r="N100" s="53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3" customWidth="1"/>
    <col min="4" max="4" width="12.7109375" style="463" customWidth="1"/>
    <col min="5" max="5" width="15.140625" style="46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865" t="s">
        <v>0</v>
      </c>
      <c r="B1" s="2865"/>
      <c r="C1" s="2865"/>
      <c r="D1" s="2865"/>
      <c r="E1" s="2865"/>
      <c r="F1" s="2865"/>
      <c r="G1" s="2865"/>
      <c r="H1" s="2865"/>
    </row>
    <row r="2" spans="1:13">
      <c r="A2" s="2865" t="s">
        <v>2030</v>
      </c>
      <c r="B2" s="2865"/>
      <c r="C2" s="2865"/>
      <c r="D2" s="2865"/>
      <c r="E2" s="2865"/>
      <c r="F2" s="2865"/>
      <c r="G2" s="2865"/>
      <c r="H2" s="2865"/>
    </row>
    <row r="3" spans="1:13" ht="13.9" customHeight="1">
      <c r="A3" s="2866" t="s">
        <v>619</v>
      </c>
      <c r="B3" s="2865"/>
      <c r="C3" s="2865"/>
      <c r="D3" s="2865"/>
      <c r="E3" s="2865"/>
      <c r="F3" s="2865"/>
      <c r="G3" s="2865"/>
      <c r="H3" s="2865"/>
    </row>
    <row r="4" spans="1:13" s="193" customFormat="1" ht="27" customHeight="1">
      <c r="A4" s="2793" t="s">
        <v>2240</v>
      </c>
      <c r="B4" s="2793"/>
      <c r="C4" s="2793"/>
      <c r="D4" s="2793"/>
      <c r="E4" s="465"/>
      <c r="F4" s="466"/>
      <c r="G4" s="203"/>
      <c r="H4" s="204"/>
    </row>
    <row r="5" spans="1:13" s="193" customFormat="1" ht="16.899999999999999" customHeight="1">
      <c r="A5" s="2865" t="s">
        <v>2984</v>
      </c>
      <c r="B5" s="2865"/>
      <c r="C5" s="2865"/>
      <c r="D5" s="2865"/>
      <c r="E5" s="465"/>
      <c r="F5" s="466"/>
      <c r="G5" s="203"/>
      <c r="H5" s="204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792" t="s">
        <v>2990</v>
      </c>
      <c r="B8" s="2792"/>
      <c r="C8" s="2792"/>
      <c r="D8" s="2792"/>
      <c r="E8" s="2792"/>
      <c r="F8" s="2792"/>
      <c r="G8" s="2792"/>
      <c r="H8" s="2792"/>
    </row>
    <row r="9" spans="1:13" ht="15.75" customHeight="1">
      <c r="A9" s="2793"/>
      <c r="B9" s="2793"/>
      <c r="C9" s="2793"/>
      <c r="D9" s="2793"/>
      <c r="E9" s="2793"/>
      <c r="F9" s="2793"/>
      <c r="G9" s="2793"/>
      <c r="H9" s="2793"/>
      <c r="I9" s="198" t="s">
        <v>2245</v>
      </c>
      <c r="J9" s="198">
        <f>'LƯƠNG KT'!F8</f>
        <v>600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48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+G14+G51</f>
        <v>#REF!</v>
      </c>
      <c r="H13" s="223"/>
      <c r="I13" s="487"/>
      <c r="J13" s="487"/>
      <c r="K13" s="488" t="e">
        <f>+E15-K12</f>
        <v>#REF!</v>
      </c>
      <c r="L13" s="489"/>
    </row>
    <row r="14" spans="1:13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+G15+G39+G50</f>
        <v>#REF!</v>
      </c>
      <c r="H14" s="216"/>
      <c r="I14" s="490" t="e">
        <f>'LƯƠNG KT'!AC185</f>
        <v>#VALUE!</v>
      </c>
      <c r="J14" s="491" t="e">
        <f>+G14-I14</f>
        <v>#REF!</v>
      </c>
      <c r="K14" s="492"/>
    </row>
    <row r="15" spans="1:13" ht="22.15" customHeight="1">
      <c r="A15" s="213" t="s">
        <v>2256</v>
      </c>
      <c r="B15" s="214" t="s">
        <v>2257</v>
      </c>
      <c r="C15" s="47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KT'!N185</f>
        <v>883639293.00699997</v>
      </c>
      <c r="J15" s="493"/>
      <c r="K15" s="218"/>
      <c r="L15" s="221"/>
      <c r="M15" s="239"/>
    </row>
    <row r="16" spans="1:13" ht="22.15" customHeight="1">
      <c r="A16" s="213"/>
      <c r="B16" s="214" t="s">
        <v>2258</v>
      </c>
      <c r="C16" s="474" t="s">
        <v>2259</v>
      </c>
      <c r="D16" s="215"/>
      <c r="E16" s="216" t="e">
        <f>THPT!E16+THPT!E20+THPT!E24+THPT!E28</f>
        <v>#REF!</v>
      </c>
      <c r="F16" s="475">
        <f>6.1*J9</f>
        <v>3660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73" t="s">
        <v>2259</v>
      </c>
      <c r="D17" s="215"/>
      <c r="E17" s="216" t="e">
        <f>THPT!E17+THPT!E21+THPT!E25+THPT!E29</f>
        <v>#REF!</v>
      </c>
      <c r="F17" s="475">
        <f>5.8*J9</f>
        <v>3480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73" t="s">
        <v>2259</v>
      </c>
      <c r="D18" s="215"/>
      <c r="E18" s="216" t="e">
        <f>THPT!E18+THPT!E22+THPT!E26+THPT!E30</f>
        <v>#REF!</v>
      </c>
      <c r="F18" s="475">
        <f>5.5*J9</f>
        <v>3300</v>
      </c>
      <c r="G18" s="215" t="e">
        <f t="shared" si="0"/>
        <v>#REF!</v>
      </c>
      <c r="H18" s="216"/>
      <c r="I18" s="218" t="e">
        <f>G15+'[9]Phân toán  '!$G$15+'[10]PHAN TOAN'!$G$16+'[11]BẢNG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74" t="s">
        <v>2259</v>
      </c>
      <c r="D19" s="215"/>
      <c r="E19" s="216" t="e">
        <f>THPT!E19+THPT!E23+THPT!E27+THPT!E31</f>
        <v>#REF!</v>
      </c>
      <c r="F19" s="475">
        <f>5.2*J9</f>
        <v>3120</v>
      </c>
      <c r="G19" s="215" t="e">
        <f t="shared" ref="G19" si="1">E19*F19</f>
        <v>#REF!</v>
      </c>
      <c r="H19" s="216"/>
      <c r="I19" s="218" t="e">
        <f>G39+'[10]PHAN TOAN'!$G$24+'[9]Phân toán  '!$G$21+'[11]BẢNG PHÂN TOÁN'!$G$23</f>
        <v>#N/A</v>
      </c>
      <c r="J19" s="200"/>
      <c r="K19" s="218"/>
      <c r="L19" s="200"/>
    </row>
    <row r="20" spans="1:13" ht="22.15" hidden="1" customHeight="1">
      <c r="A20" s="213"/>
      <c r="B20" s="214" t="s">
        <v>2982</v>
      </c>
      <c r="C20" s="47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G50+'[10]PHAN TOAN'!$G$30+'[9]Phân toán  '!$G$30+'[11]BẢNG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74" t="s">
        <v>2259</v>
      </c>
      <c r="D21" s="215"/>
      <c r="E21" s="216" t="e">
        <f>THPT!E49</f>
        <v>#REF!</v>
      </c>
      <c r="F21" s="475">
        <f>7.7*$J$9</f>
        <v>4620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73" t="s">
        <v>2259</v>
      </c>
      <c r="D22" s="215"/>
      <c r="E22" s="216" t="e">
        <f>THPT!E34</f>
        <v>#REF!</v>
      </c>
      <c r="F22" s="475">
        <f>7*$J$9</f>
        <v>4200</v>
      </c>
      <c r="G22" s="215" t="e">
        <f t="shared" ref="G22:G23" si="2">ROUND((E22*F22),2)</f>
        <v>#REF!</v>
      </c>
      <c r="H22" s="216"/>
      <c r="I22" s="218">
        <f>'[10]PHAN TOAN'!$G$35+'[10]PHAN TOAN'!$G$38+'[10]PHAN TOAN'!$G$31</f>
        <v>116378229.835245</v>
      </c>
      <c r="J22" s="200"/>
      <c r="K22" s="490"/>
    </row>
    <row r="23" spans="1:13" ht="22.15" hidden="1" customHeight="1">
      <c r="A23" s="213"/>
      <c r="B23" s="214" t="s">
        <v>2267</v>
      </c>
      <c r="C23" s="473" t="s">
        <v>2259</v>
      </c>
      <c r="D23" s="215"/>
      <c r="E23" s="216" t="e">
        <f>THPT!E35</f>
        <v>#REF!</v>
      </c>
      <c r="F23" s="475">
        <f>6.7*$J$9</f>
        <v>4020</v>
      </c>
      <c r="G23" s="215" t="e">
        <f t="shared" si="2"/>
        <v>#REF!</v>
      </c>
      <c r="H23" s="216"/>
      <c r="I23" s="218">
        <f>'[9]Phân toán  '!$G$39+'[9]Phân toán  '!$G$37+'[9]Phân toán  '!$G$31+'[9]Phân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73" t="s">
        <v>2259</v>
      </c>
      <c r="D24" s="215"/>
      <c r="E24" s="216" t="e">
        <f>THPT!E36</f>
        <v>#REF!</v>
      </c>
      <c r="F24" s="475">
        <f>6.4*$J$9</f>
        <v>3840</v>
      </c>
      <c r="G24" s="215" t="e">
        <f t="shared" ref="G24" si="3">E24*F24</f>
        <v>#REF!</v>
      </c>
      <c r="H24" s="216"/>
      <c r="I24" s="218">
        <f>'[11]BẢNG PHÂN TOÁN'!$G$35+'[11]BẢNG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7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4"/>
      <c r="L25" s="221"/>
      <c r="M25" s="239"/>
    </row>
    <row r="26" spans="1:13" ht="22.15" hidden="1" customHeight="1">
      <c r="A26" s="213"/>
      <c r="B26" s="214" t="s">
        <v>2265</v>
      </c>
      <c r="C26" s="474" t="s">
        <v>2259</v>
      </c>
      <c r="D26" s="215"/>
      <c r="E26" s="216" t="e">
        <f>THPT!E38+THPT!E41</f>
        <v>#REF!</v>
      </c>
      <c r="F26" s="475">
        <f>9.2*$J$9</f>
        <v>5520</v>
      </c>
      <c r="G26" s="215" t="e">
        <f t="shared" ref="G26:G29" si="4">ROUND((E26*F26),2)</f>
        <v>#REF!</v>
      </c>
      <c r="H26" s="216"/>
      <c r="I26" s="200" t="e">
        <f>G58+'[10]PHAN TOAN'!$G$41+'[9]Phân toán  '!$G$43+'[11]BẢNG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73" t="s">
        <v>2259</v>
      </c>
      <c r="D27" s="215"/>
      <c r="E27" s="216" t="e">
        <f>THPT!E39+THPT!E42</f>
        <v>#REF!</v>
      </c>
      <c r="F27" s="475">
        <f>8.9*$J$9</f>
        <v>5340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73" t="s">
        <v>2259</v>
      </c>
      <c r="D28" s="215"/>
      <c r="E28" s="216" t="e">
        <f>THPT!E40+THPT!E43</f>
        <v>#REF!</v>
      </c>
      <c r="F28" s="475">
        <f>8.6*$J$9</f>
        <v>5160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73" t="s">
        <v>2259</v>
      </c>
      <c r="D29" s="215"/>
      <c r="E29" s="216"/>
      <c r="F29" s="475">
        <f>8.3*$J$9</f>
        <v>4980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7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4"/>
      <c r="L30" s="221"/>
      <c r="M30" s="239"/>
    </row>
    <row r="31" spans="1:13" ht="22.15" hidden="1" customHeight="1">
      <c r="A31" s="213"/>
      <c r="B31" s="214" t="s">
        <v>2265</v>
      </c>
      <c r="C31" s="474" t="s">
        <v>2259</v>
      </c>
      <c r="D31" s="215"/>
      <c r="E31" s="216" t="e">
        <f>THPT!E44</f>
        <v>#REF!</v>
      </c>
      <c r="F31" s="475">
        <f>8*$J$9</f>
        <v>4800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73" t="s">
        <v>2259</v>
      </c>
      <c r="D32" s="215"/>
      <c r="E32" s="216" t="e">
        <f>THPT!E45</f>
        <v>#REF!</v>
      </c>
      <c r="F32" s="475">
        <f>7.7*$J$9</f>
        <v>4620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73" t="s">
        <v>2259</v>
      </c>
      <c r="D33" s="215"/>
      <c r="E33" s="216" t="e">
        <f>THPT!E46</f>
        <v>#REF!</v>
      </c>
      <c r="F33" s="475">
        <f>7.4*$J$9</f>
        <v>4440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73" t="s">
        <v>2259</v>
      </c>
      <c r="D34" s="215"/>
      <c r="E34" s="216" t="e">
        <f>(SUMIF('LƯƠNG KT'!$M$110:$M$184,"D",'LƯƠNG KT'!#REF!)*0.4)+(SUMIF('LƯƠNG KT'!#REF!,"D",'LƯƠNG KT'!#REF!)*0.4)+(SUMIF('LƯƠNG KT'!$M$16:$M$108,"D",'LƯƠNG KT'!$H$16:$H$108)*0.4)</f>
        <v>#REF!</v>
      </c>
      <c r="F34" s="475">
        <f>7.1*$J$9</f>
        <v>4260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7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4"/>
      <c r="L35" s="221"/>
      <c r="M35" s="239"/>
    </row>
    <row r="36" spans="1:13" ht="22.15" hidden="1" customHeight="1">
      <c r="A36" s="213"/>
      <c r="B36" s="214" t="s">
        <v>2265</v>
      </c>
      <c r="C36" s="474" t="s">
        <v>2259</v>
      </c>
      <c r="D36" s="215"/>
      <c r="E36" s="216" t="e">
        <f>THPT!E53+THPT!E57+THPT!E61</f>
        <v>#REF!</v>
      </c>
      <c r="F36" s="475">
        <f>6.7*J9</f>
        <v>4020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73" t="s">
        <v>2259</v>
      </c>
      <c r="D37" s="215"/>
      <c r="E37" s="216" t="e">
        <f>THPT!E52+THPT!E56+THPT!E60+THPT!E64</f>
        <v>#REF!</v>
      </c>
      <c r="F37" s="475">
        <f>5.8*J9</f>
        <v>3480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73" t="s">
        <v>2259</v>
      </c>
      <c r="D38" s="215"/>
      <c r="E38" s="216">
        <f>THPT!E66</f>
        <v>142.47734492223239</v>
      </c>
      <c r="F38" s="215">
        <f>6.1*$J$9</f>
        <v>3660</v>
      </c>
      <c r="G38" s="215">
        <f>ROUND((E38*F38),0)</f>
        <v>521467</v>
      </c>
      <c r="H38" s="476"/>
      <c r="I38" s="219"/>
      <c r="J38" s="219"/>
    </row>
    <row r="39" spans="1:13" ht="22.15" customHeight="1">
      <c r="A39" s="213" t="s">
        <v>2276</v>
      </c>
      <c r="B39" s="214" t="s">
        <v>2277</v>
      </c>
      <c r="C39" s="477" t="s">
        <v>2278</v>
      </c>
      <c r="D39" s="215" t="e">
        <f>SUM(D40:D41,D44:D45)</f>
        <v>#N/A</v>
      </c>
      <c r="E39" s="215"/>
      <c r="F39" s="215"/>
      <c r="G39" s="215" t="e">
        <f>SUM(G40:G49)</f>
        <v>#N/A</v>
      </c>
      <c r="H39" s="216"/>
      <c r="I39" s="219" t="e">
        <f>+#REF!</f>
        <v>#REF!</v>
      </c>
      <c r="J39" s="219"/>
      <c r="K39" s="494"/>
      <c r="L39" s="220"/>
      <c r="M39" s="200"/>
    </row>
    <row r="40" spans="1:13" ht="22.15" customHeight="1">
      <c r="A40" s="213"/>
      <c r="B40" s="214" t="s">
        <v>2151</v>
      </c>
      <c r="C40" s="477" t="s">
        <v>2278</v>
      </c>
      <c r="D40" s="215">
        <f>'LƯƠNG KT'!O185</f>
        <v>3192</v>
      </c>
      <c r="E40" s="215"/>
      <c r="F40" s="215">
        <f>46.1*$J$9</f>
        <v>27660</v>
      </c>
      <c r="G40" s="215">
        <f>ROUND((D40*F40),0)</f>
        <v>88290720</v>
      </c>
      <c r="H40" s="216"/>
      <c r="I40" s="219" t="e">
        <f>+I39-G39</f>
        <v>#REF!</v>
      </c>
      <c r="J40" s="490"/>
      <c r="K40" s="219"/>
    </row>
    <row r="41" spans="1:13" s="462" customFormat="1" ht="22.15" customHeight="1">
      <c r="A41" s="213"/>
      <c r="B41" s="214" t="s">
        <v>2152</v>
      </c>
      <c r="C41" s="477" t="s">
        <v>2278</v>
      </c>
      <c r="D41" s="215">
        <f>'LƯƠNG KT'!P185</f>
        <v>1215654</v>
      </c>
      <c r="E41" s="215"/>
      <c r="F41" s="215">
        <f>76.9*$J$9</f>
        <v>46140</v>
      </c>
      <c r="G41" s="215">
        <f t="shared" ref="G41:G49" si="7">ROUND((D41*F41),0)</f>
        <v>56090275560</v>
      </c>
      <c r="H41" s="216"/>
      <c r="I41" s="495"/>
      <c r="J41" s="495"/>
    </row>
    <row r="42" spans="1:13" s="462" customFormat="1" ht="22.15" hidden="1" customHeight="1">
      <c r="A42" s="213"/>
      <c r="B42" s="214" t="s">
        <v>2153</v>
      </c>
      <c r="C42" s="477" t="s">
        <v>2278</v>
      </c>
      <c r="D42" s="215">
        <f>'LƯƠNG KT'!S185</f>
        <v>230</v>
      </c>
      <c r="E42" s="215"/>
      <c r="F42" s="215">
        <v>10000</v>
      </c>
      <c r="G42" s="215">
        <f t="shared" si="7"/>
        <v>2300000</v>
      </c>
      <c r="H42" s="216"/>
      <c r="I42" s="496"/>
      <c r="J42" s="496"/>
    </row>
    <row r="43" spans="1:13" s="462" customFormat="1" ht="22.15" hidden="1" customHeight="1">
      <c r="A43" s="213"/>
      <c r="B43" s="214" t="s">
        <v>369</v>
      </c>
      <c r="C43" s="477" t="s">
        <v>2278</v>
      </c>
      <c r="D43" s="215" t="e">
        <f>'LƯƠNG KT'!T185</f>
        <v>#N/A</v>
      </c>
      <c r="E43" s="215"/>
      <c r="F43" s="215">
        <f>46.1*$J$9*2</f>
        <v>55320</v>
      </c>
      <c r="G43" s="215" t="e">
        <f t="shared" si="7"/>
        <v>#N/A</v>
      </c>
      <c r="H43" s="216"/>
      <c r="I43" s="496"/>
      <c r="J43" s="496"/>
    </row>
    <row r="44" spans="1:13" s="462" customFormat="1" ht="22.15" hidden="1" customHeight="1">
      <c r="A44" s="213"/>
      <c r="B44" s="214" t="s">
        <v>2094</v>
      </c>
      <c r="C44" s="477" t="s">
        <v>2280</v>
      </c>
      <c r="D44" s="215" t="e">
        <f>'LƯƠNG KT'!U185</f>
        <v>#N/A</v>
      </c>
      <c r="E44" s="215"/>
      <c r="F44" s="215">
        <f>46.1*$J$9*2</f>
        <v>55320</v>
      </c>
      <c r="G44" s="215" t="e">
        <f t="shared" si="7"/>
        <v>#N/A</v>
      </c>
      <c r="H44" s="216"/>
      <c r="I44" s="496"/>
      <c r="J44" s="496"/>
    </row>
    <row r="45" spans="1:13" s="462" customFormat="1" ht="22.15" hidden="1" customHeight="1">
      <c r="A45" s="213"/>
      <c r="B45" s="214" t="s">
        <v>2108</v>
      </c>
      <c r="C45" s="477" t="s">
        <v>2280</v>
      </c>
      <c r="D45" s="215">
        <f>'LƯƠNG KT'!V185</f>
        <v>1417</v>
      </c>
      <c r="E45" s="215"/>
      <c r="F45" s="215">
        <f>76.9*$J$9*2</f>
        <v>92280</v>
      </c>
      <c r="G45" s="215">
        <f t="shared" si="7"/>
        <v>130760760</v>
      </c>
      <c r="H45" s="216"/>
      <c r="I45" s="496"/>
      <c r="J45" s="496"/>
    </row>
    <row r="46" spans="1:13" s="462" customFormat="1" ht="22.15" customHeight="1">
      <c r="A46" s="213"/>
      <c r="B46" s="214" t="s">
        <v>2109</v>
      </c>
      <c r="C46" s="477" t="s">
        <v>2280</v>
      </c>
      <c r="D46" s="215">
        <f>'LƯƠNG KT'!W185</f>
        <v>0</v>
      </c>
      <c r="E46" s="215"/>
      <c r="F46" s="215">
        <f>30.7*$J$9</f>
        <v>18420</v>
      </c>
      <c r="G46" s="215">
        <f t="shared" si="7"/>
        <v>0</v>
      </c>
      <c r="H46" s="216"/>
      <c r="I46" s="1218">
        <f>'[12]BẢNG PHÂN TOÁN'!$G$60</f>
        <v>1021948257.99535</v>
      </c>
      <c r="J46" s="496"/>
    </row>
    <row r="47" spans="1:13" s="462" customFormat="1" ht="22.15" customHeight="1">
      <c r="A47" s="213"/>
      <c r="B47" s="214" t="s">
        <v>2155</v>
      </c>
      <c r="C47" s="477" t="s">
        <v>2278</v>
      </c>
      <c r="D47" s="215">
        <f>'LƯƠNG KT'!X185</f>
        <v>0</v>
      </c>
      <c r="E47" s="215"/>
      <c r="F47" s="215">
        <v>20000</v>
      </c>
      <c r="G47" s="215">
        <f t="shared" si="7"/>
        <v>0</v>
      </c>
      <c r="H47" s="216"/>
      <c r="I47" s="1218" t="e">
        <f>+G58-I46</f>
        <v>#REF!</v>
      </c>
      <c r="J47" s="496"/>
    </row>
    <row r="48" spans="1:13" s="462" customFormat="1" ht="22.15" hidden="1" customHeight="1">
      <c r="A48" s="213"/>
      <c r="B48" s="214" t="s">
        <v>2305</v>
      </c>
      <c r="C48" s="477" t="s">
        <v>2278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6"/>
      <c r="J48" s="496"/>
    </row>
    <row r="49" spans="1:14" s="462" customFormat="1" ht="22.15" customHeight="1">
      <c r="A49" s="213"/>
      <c r="B49" s="214" t="s">
        <v>2111</v>
      </c>
      <c r="C49" s="477" t="s">
        <v>2278</v>
      </c>
      <c r="D49" s="215">
        <f>'LƯƠNG KT'!Y185</f>
        <v>0</v>
      </c>
      <c r="E49" s="215"/>
      <c r="F49" s="215">
        <v>20000</v>
      </c>
      <c r="G49" s="215">
        <f t="shared" si="7"/>
        <v>0</v>
      </c>
      <c r="H49" s="216"/>
      <c r="I49" s="496"/>
      <c r="J49" s="496"/>
    </row>
    <row r="50" spans="1:14" ht="22.15" customHeight="1">
      <c r="A50" s="213" t="s">
        <v>2281</v>
      </c>
      <c r="B50" s="214" t="s">
        <v>2282</v>
      </c>
      <c r="C50" s="477" t="s">
        <v>2278</v>
      </c>
      <c r="D50" s="47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7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7"/>
      <c r="L51" s="466"/>
      <c r="N51" s="466"/>
    </row>
    <row r="52" spans="1:14" s="193" customFormat="1" ht="22.15" hidden="1" customHeight="1">
      <c r="A52" s="469" t="s">
        <v>2216</v>
      </c>
      <c r="B52" s="470" t="s">
        <v>2284</v>
      </c>
      <c r="C52" s="471"/>
      <c r="D52" s="222"/>
      <c r="E52" s="222"/>
      <c r="F52" s="222"/>
      <c r="G52" s="222">
        <f>SUM(G53)</f>
        <v>0</v>
      </c>
      <c r="H52" s="223"/>
      <c r="I52" s="487"/>
      <c r="J52" s="487"/>
      <c r="L52" s="466"/>
      <c r="N52" s="466"/>
    </row>
    <row r="53" spans="1:14" ht="22.15" hidden="1" customHeight="1">
      <c r="A53" s="213">
        <v>1</v>
      </c>
      <c r="B53" s="214" t="s">
        <v>2285</v>
      </c>
      <c r="C53" s="47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9" t="s">
        <v>2216</v>
      </c>
      <c r="B54" s="470" t="s">
        <v>2306</v>
      </c>
      <c r="C54" s="477"/>
      <c r="D54" s="216"/>
      <c r="E54" s="215"/>
      <c r="F54" s="215"/>
      <c r="G54" s="222" t="e">
        <f>#REF!</f>
        <v>#REF!</v>
      </c>
      <c r="H54" s="223"/>
      <c r="I54" s="487" t="e">
        <f>#REF!</f>
        <v>#REF!</v>
      </c>
      <c r="J54" s="487"/>
      <c r="K54" s="487" t="e">
        <f>+#REF!</f>
        <v>#REF!</v>
      </c>
      <c r="L54" s="466"/>
      <c r="N54" s="466"/>
    </row>
    <row r="55" spans="1:14" s="193" customFormat="1" ht="22.15" hidden="1" customHeight="1">
      <c r="A55" s="469" t="s">
        <v>2286</v>
      </c>
      <c r="B55" s="470" t="s">
        <v>2287</v>
      </c>
      <c r="C55" s="47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7"/>
      <c r="K55" s="487" t="e">
        <f>+G58-K54</f>
        <v>#REF!</v>
      </c>
      <c r="L55" s="466"/>
      <c r="N55" s="466"/>
    </row>
    <row r="56" spans="1:14" s="193" customFormat="1" ht="22.15" hidden="1" customHeight="1">
      <c r="A56" s="213">
        <v>1</v>
      </c>
      <c r="B56" s="214" t="s">
        <v>1880</v>
      </c>
      <c r="C56" s="477" t="s">
        <v>2218</v>
      </c>
      <c r="D56" s="215"/>
      <c r="E56" s="215"/>
      <c r="F56" s="215"/>
      <c r="G56" s="215">
        <f>'TRẠM CÁN'!T19</f>
        <v>2000000.0000000002</v>
      </c>
      <c r="H56" s="223"/>
      <c r="L56" s="466"/>
      <c r="N56" s="466"/>
    </row>
    <row r="57" spans="1:14" s="193" customFormat="1" ht="22.15" hidden="1" customHeight="1">
      <c r="A57" s="469" t="s">
        <v>2290</v>
      </c>
      <c r="B57" s="479" t="s">
        <v>2291</v>
      </c>
      <c r="C57" s="477" t="s">
        <v>2280</v>
      </c>
      <c r="D57" s="215"/>
      <c r="E57" s="215"/>
      <c r="F57" s="215"/>
      <c r="G57" s="222" t="e">
        <f>'TRẠM CÁN'!T13</f>
        <v>#REF!</v>
      </c>
      <c r="H57" s="223"/>
      <c r="I57" s="487" t="e">
        <f>'TRẠM CÁN'!T13</f>
        <v>#REF!</v>
      </c>
      <c r="J57" s="487"/>
      <c r="L57" s="466"/>
      <c r="N57" s="466"/>
    </row>
    <row r="58" spans="1:14" ht="21.95" customHeight="1">
      <c r="A58" s="2864" t="s">
        <v>2292</v>
      </c>
      <c r="B58" s="2864"/>
      <c r="C58" s="480"/>
      <c r="D58" s="222"/>
      <c r="E58" s="215"/>
      <c r="F58" s="215"/>
      <c r="G58" s="222" t="e">
        <f>G13+G52+G55+G57+G54</f>
        <v>#REF!</v>
      </c>
      <c r="H58" s="223"/>
      <c r="I58" s="497" t="e">
        <f>#REF!</f>
        <v>#REF!</v>
      </c>
      <c r="J58" s="497" t="e">
        <f>+G58-I58</f>
        <v>#REF!</v>
      </c>
      <c r="K58" s="494" t="e">
        <f>+G58-I59</f>
        <v>#REF!</v>
      </c>
      <c r="L58" s="494"/>
      <c r="M58" s="200"/>
    </row>
    <row r="59" spans="1:14">
      <c r="A59" s="2855" t="s">
        <v>2983</v>
      </c>
      <c r="B59" s="2855"/>
      <c r="C59" s="2855"/>
      <c r="D59" s="2855"/>
      <c r="E59" s="2855"/>
      <c r="F59" s="2855"/>
      <c r="G59" s="2855"/>
      <c r="H59" s="2855"/>
      <c r="I59" s="200" t="e">
        <f>+G58-I58</f>
        <v>#REF!</v>
      </c>
      <c r="K59" s="200"/>
      <c r="L59" s="498"/>
    </row>
    <row r="60" spans="1:14" s="196" customFormat="1" ht="26.25" customHeight="1">
      <c r="A60" s="224"/>
      <c r="B60" s="224"/>
      <c r="C60" s="224"/>
      <c r="D60" s="481"/>
      <c r="E60" s="482"/>
      <c r="F60" s="2856" t="s">
        <v>2991</v>
      </c>
      <c r="G60" s="2856"/>
      <c r="H60" s="2856"/>
      <c r="J60" s="226"/>
    </row>
    <row r="61" spans="1:14" s="196" customFormat="1" ht="4.1500000000000004" customHeight="1">
      <c r="A61" s="227"/>
      <c r="B61" s="227"/>
      <c r="C61" s="227"/>
      <c r="D61" s="483"/>
      <c r="E61" s="482"/>
      <c r="F61" s="484"/>
      <c r="G61" s="228"/>
      <c r="H61" s="229"/>
      <c r="I61" s="499"/>
    </row>
    <row r="62" spans="1:14" s="197" customFormat="1" ht="18.75">
      <c r="A62" s="230" t="s">
        <v>2992</v>
      </c>
      <c r="C62" s="230"/>
      <c r="D62" s="230"/>
      <c r="E62" s="230"/>
      <c r="F62" s="230"/>
      <c r="G62" s="231"/>
      <c r="H62" s="232"/>
      <c r="I62" s="500"/>
    </row>
    <row r="63" spans="1:14" s="196" customFormat="1" ht="18.75">
      <c r="A63" s="227"/>
      <c r="B63" s="227"/>
      <c r="C63" s="227"/>
      <c r="D63" s="483"/>
      <c r="E63" s="482"/>
      <c r="F63" s="484"/>
      <c r="G63" s="228"/>
      <c r="H63" s="229"/>
      <c r="I63" s="499"/>
      <c r="J63" s="499" t="e">
        <f>+I58-'[13]BẢNG PHÂN TOÁN'!$I$62</f>
        <v>#REF!</v>
      </c>
    </row>
    <row r="64" spans="1:14" s="196" customFormat="1" ht="18.75">
      <c r="A64" s="227"/>
      <c r="B64" s="227"/>
      <c r="C64" s="227"/>
      <c r="D64" s="483"/>
      <c r="E64" s="482"/>
      <c r="F64" s="484"/>
      <c r="G64" s="228"/>
      <c r="H64" s="229"/>
    </row>
    <row r="65" spans="1:10" s="196" customFormat="1" ht="18.75">
      <c r="A65" s="227"/>
      <c r="B65" s="227"/>
      <c r="C65" s="227"/>
      <c r="D65" s="483"/>
      <c r="E65" s="482"/>
      <c r="F65" s="48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3"/>
      <c r="E66" s="482"/>
      <c r="F66" s="484"/>
      <c r="G66" s="228"/>
      <c r="H66" s="229"/>
      <c r="J66" s="499" t="e">
        <f>+J65-J63</f>
        <v>#REF!</v>
      </c>
    </row>
    <row r="67" spans="1:10" s="196" customFormat="1" ht="18.75" hidden="1">
      <c r="A67" s="227"/>
      <c r="B67" s="227"/>
      <c r="C67" s="227"/>
      <c r="D67" s="483"/>
      <c r="E67" s="482"/>
      <c r="F67" s="2858"/>
      <c r="G67" s="2858"/>
      <c r="H67" s="232"/>
    </row>
    <row r="68" spans="1:10" hidden="1">
      <c r="A68" s="233"/>
      <c r="B68" s="233"/>
      <c r="C68" s="233"/>
      <c r="D68" s="501"/>
      <c r="E68" s="233"/>
      <c r="F68" s="235"/>
      <c r="G68" s="234"/>
      <c r="H68" s="235"/>
    </row>
    <row r="69" spans="1:10" hidden="1">
      <c r="A69" s="233"/>
      <c r="B69" s="236"/>
      <c r="C69" s="233"/>
      <c r="D69" s="50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7" customWidth="1"/>
    <col min="2" max="2" width="12.28515625" style="427" customWidth="1"/>
    <col min="3" max="3" width="14.140625" style="427" hidden="1" customWidth="1"/>
    <col min="4" max="5" width="4.42578125" style="427" customWidth="1"/>
    <col min="6" max="6" width="2.28515625" style="427" customWidth="1"/>
    <col min="7" max="7" width="4.5703125" style="427" customWidth="1"/>
    <col min="8" max="9" width="2.28515625" style="427" customWidth="1"/>
    <col min="10" max="11" width="4.5703125" style="427" customWidth="1"/>
    <col min="12" max="12" width="2.28515625" style="427" customWidth="1"/>
    <col min="13" max="14" width="4.5703125" style="427" customWidth="1"/>
    <col min="15" max="15" width="3.42578125" style="427" customWidth="1"/>
    <col min="16" max="16" width="4.5703125" style="427" customWidth="1"/>
    <col min="17" max="17" width="4.42578125" style="427" customWidth="1"/>
    <col min="18" max="21" width="3.42578125" style="427" customWidth="1"/>
    <col min="22" max="29" width="4.5703125" style="427" customWidth="1"/>
    <col min="30" max="30" width="3.42578125" style="427" customWidth="1"/>
    <col min="31" max="33" width="4.5703125" style="427" customWidth="1"/>
    <col min="34" max="34" width="3.42578125" style="427" customWidth="1"/>
    <col min="35" max="35" width="11.42578125" style="427" customWidth="1"/>
    <col min="36" max="36" width="5.42578125" style="427" hidden="1" customWidth="1"/>
    <col min="37" max="16384" width="9.140625" style="427"/>
  </cols>
  <sheetData>
    <row r="1" spans="1:37" s="145" customFormat="1" ht="15">
      <c r="A1" s="2834" t="s">
        <v>1927</v>
      </c>
      <c r="B1" s="2834"/>
      <c r="C1" s="2834"/>
      <c r="D1" s="2834"/>
      <c r="E1" s="2834"/>
      <c r="F1" s="2834"/>
      <c r="G1" s="2834"/>
      <c r="H1" s="2834"/>
      <c r="I1" s="2834"/>
      <c r="J1" s="2834"/>
      <c r="K1" s="2834"/>
      <c r="L1" s="163"/>
      <c r="M1" s="163"/>
      <c r="N1" s="163"/>
      <c r="O1" s="2834" t="s">
        <v>0</v>
      </c>
      <c r="P1" s="2834"/>
      <c r="Q1" s="2834"/>
      <c r="R1" s="2834"/>
      <c r="S1" s="2834"/>
      <c r="T1" s="2834"/>
      <c r="U1" s="2834"/>
      <c r="V1" s="2834"/>
      <c r="W1" s="2834"/>
      <c r="X1" s="2834"/>
      <c r="Y1" s="2834"/>
      <c r="Z1" s="2834"/>
      <c r="AA1" s="2834"/>
      <c r="AB1" s="2834"/>
      <c r="AC1" s="2834"/>
      <c r="AD1" s="2834"/>
      <c r="AE1" s="2834"/>
      <c r="AF1" s="2834"/>
      <c r="AG1" s="2834"/>
      <c r="AH1" s="2834"/>
      <c r="AI1" s="2834"/>
    </row>
    <row r="2" spans="1:37" s="145" customFormat="1" ht="17.25" customHeight="1">
      <c r="A2" s="2834" t="s">
        <v>2029</v>
      </c>
      <c r="B2" s="2834"/>
      <c r="C2" s="2834"/>
      <c r="D2" s="2834"/>
      <c r="E2" s="2834"/>
      <c r="F2" s="2834"/>
      <c r="G2" s="2834"/>
      <c r="H2" s="2834"/>
      <c r="I2" s="2834"/>
      <c r="J2" s="2834"/>
      <c r="K2" s="2834"/>
      <c r="L2" s="163"/>
      <c r="M2" s="163"/>
      <c r="N2" s="163"/>
      <c r="O2" s="2834" t="s">
        <v>2316</v>
      </c>
      <c r="P2" s="2834"/>
      <c r="Q2" s="2834"/>
      <c r="R2" s="2834"/>
      <c r="S2" s="2834"/>
      <c r="T2" s="2834"/>
      <c r="U2" s="2834"/>
      <c r="V2" s="2834"/>
      <c r="W2" s="2834"/>
      <c r="X2" s="2834"/>
      <c r="Y2" s="2834"/>
      <c r="Z2" s="2834"/>
      <c r="AA2" s="2834"/>
      <c r="AB2" s="2834"/>
      <c r="AC2" s="2834"/>
      <c r="AD2" s="2834"/>
      <c r="AE2" s="2834"/>
      <c r="AF2" s="2834"/>
      <c r="AG2" s="2834"/>
      <c r="AH2" s="2834"/>
      <c r="AI2" s="2834"/>
      <c r="AJ2" s="163"/>
    </row>
    <row r="3" spans="1:37" ht="12" customHeight="1">
      <c r="A3" s="428"/>
      <c r="B3" s="428"/>
      <c r="C3" s="428"/>
      <c r="D3" s="428"/>
      <c r="E3" s="428"/>
      <c r="F3" s="428"/>
      <c r="G3" s="428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</row>
    <row r="4" spans="1:37" ht="24" customHeight="1">
      <c r="A4" s="2875" t="s">
        <v>2317</v>
      </c>
      <c r="B4" s="2875"/>
      <c r="C4" s="2875"/>
      <c r="D4" s="2875"/>
      <c r="E4" s="2875"/>
      <c r="F4" s="2875"/>
      <c r="G4" s="2875"/>
      <c r="H4" s="2875"/>
      <c r="I4" s="2875"/>
      <c r="J4" s="2875"/>
      <c r="K4" s="2875"/>
      <c r="L4" s="2875"/>
      <c r="M4" s="2875"/>
      <c r="N4" s="2875"/>
      <c r="O4" s="2875"/>
      <c r="P4" s="2875"/>
      <c r="Q4" s="2875"/>
      <c r="R4" s="2875"/>
      <c r="S4" s="2875"/>
      <c r="T4" s="2875"/>
      <c r="U4" s="2875"/>
      <c r="V4" s="2875"/>
      <c r="W4" s="2875"/>
      <c r="X4" s="2875"/>
      <c r="Y4" s="2875"/>
      <c r="Z4" s="2875"/>
      <c r="AA4" s="2875"/>
      <c r="AB4" s="2875"/>
      <c r="AC4" s="2875"/>
      <c r="AD4" s="2875"/>
      <c r="AE4" s="2875"/>
      <c r="AF4" s="2875"/>
      <c r="AG4" s="2875"/>
      <c r="AH4" s="2875"/>
      <c r="AI4" s="2875"/>
      <c r="AJ4" s="2875"/>
    </row>
    <row r="5" spans="1:37" ht="12.75" customHeight="1">
      <c r="A5" s="2868" t="s">
        <v>623</v>
      </c>
      <c r="B5" s="2868" t="s">
        <v>356</v>
      </c>
      <c r="C5" s="2868" t="s">
        <v>9</v>
      </c>
      <c r="D5" s="2868" t="s">
        <v>2318</v>
      </c>
      <c r="E5" s="2868"/>
      <c r="F5" s="2868"/>
      <c r="G5" s="2868"/>
      <c r="H5" s="2868"/>
      <c r="I5" s="2868"/>
      <c r="J5" s="2868"/>
      <c r="K5" s="2868"/>
      <c r="L5" s="2868"/>
      <c r="M5" s="2868"/>
      <c r="N5" s="2868"/>
      <c r="O5" s="2868"/>
      <c r="P5" s="2868"/>
      <c r="Q5" s="2868"/>
      <c r="R5" s="2868"/>
      <c r="S5" s="2868"/>
      <c r="T5" s="2868"/>
      <c r="U5" s="2868"/>
      <c r="V5" s="2868"/>
      <c r="W5" s="2868"/>
      <c r="X5" s="2868"/>
      <c r="Y5" s="2868"/>
      <c r="Z5" s="2868"/>
      <c r="AA5" s="2868"/>
      <c r="AB5" s="2868"/>
      <c r="AC5" s="2868"/>
      <c r="AD5" s="2868"/>
      <c r="AE5" s="2868"/>
      <c r="AF5" s="2868"/>
      <c r="AG5" s="2868"/>
      <c r="AH5" s="2868"/>
      <c r="AI5" s="2869" t="s">
        <v>349</v>
      </c>
      <c r="AJ5" s="2871" t="s">
        <v>12</v>
      </c>
    </row>
    <row r="6" spans="1:37" ht="16.5" customHeight="1">
      <c r="A6" s="2868"/>
      <c r="B6" s="2868" t="s">
        <v>2319</v>
      </c>
      <c r="C6" s="2868"/>
      <c r="D6" s="429">
        <v>1</v>
      </c>
      <c r="E6" s="429">
        <v>2</v>
      </c>
      <c r="F6" s="429">
        <v>3</v>
      </c>
      <c r="G6" s="429">
        <v>4</v>
      </c>
      <c r="H6" s="429">
        <v>5</v>
      </c>
      <c r="I6" s="429">
        <v>6</v>
      </c>
      <c r="J6" s="429">
        <v>7</v>
      </c>
      <c r="K6" s="429">
        <v>8</v>
      </c>
      <c r="L6" s="429">
        <v>9</v>
      </c>
      <c r="M6" s="429">
        <v>10</v>
      </c>
      <c r="N6" s="429">
        <v>11</v>
      </c>
      <c r="O6" s="429">
        <v>12</v>
      </c>
      <c r="P6" s="429">
        <v>13</v>
      </c>
      <c r="Q6" s="429">
        <v>14</v>
      </c>
      <c r="R6" s="429">
        <v>15</v>
      </c>
      <c r="S6" s="429">
        <v>16</v>
      </c>
      <c r="T6" s="429">
        <v>17</v>
      </c>
      <c r="U6" s="429">
        <v>18</v>
      </c>
      <c r="V6" s="429">
        <v>19</v>
      </c>
      <c r="W6" s="429">
        <v>20</v>
      </c>
      <c r="X6" s="429">
        <v>21</v>
      </c>
      <c r="Y6" s="429">
        <v>22</v>
      </c>
      <c r="Z6" s="429">
        <v>23</v>
      </c>
      <c r="AA6" s="429">
        <v>24</v>
      </c>
      <c r="AB6" s="429">
        <v>25</v>
      </c>
      <c r="AC6" s="429">
        <v>26</v>
      </c>
      <c r="AD6" s="429">
        <v>27</v>
      </c>
      <c r="AE6" s="429">
        <v>28</v>
      </c>
      <c r="AF6" s="429">
        <v>29</v>
      </c>
      <c r="AG6" s="429">
        <v>30</v>
      </c>
      <c r="AH6" s="429">
        <v>31</v>
      </c>
      <c r="AI6" s="2870"/>
      <c r="AJ6" s="2872"/>
    </row>
    <row r="7" spans="1:37" ht="18.75" customHeight="1">
      <c r="A7" s="429">
        <v>1</v>
      </c>
      <c r="B7" s="415" t="s">
        <v>2320</v>
      </c>
      <c r="C7" s="430"/>
      <c r="D7" s="431"/>
      <c r="E7" s="431">
        <v>1200</v>
      </c>
      <c r="F7" s="431">
        <v>1000</v>
      </c>
      <c r="G7" s="431"/>
      <c r="H7" s="431"/>
      <c r="I7" s="431">
        <v>1700</v>
      </c>
      <c r="J7" s="431">
        <v>1500</v>
      </c>
      <c r="K7" s="431">
        <v>1700</v>
      </c>
      <c r="L7" s="431">
        <v>1600</v>
      </c>
      <c r="M7" s="431"/>
      <c r="N7" s="431">
        <v>1400</v>
      </c>
      <c r="O7" s="431"/>
      <c r="P7" s="431">
        <v>1600</v>
      </c>
      <c r="Q7" s="431">
        <v>1500</v>
      </c>
      <c r="R7" s="431">
        <v>1300</v>
      </c>
      <c r="S7" s="431">
        <v>1300</v>
      </c>
      <c r="T7" s="431">
        <v>1500</v>
      </c>
      <c r="U7" s="431">
        <v>1500</v>
      </c>
      <c r="V7" s="431">
        <v>1600</v>
      </c>
      <c r="W7" s="431">
        <v>1600</v>
      </c>
      <c r="X7" s="431">
        <v>1500</v>
      </c>
      <c r="Y7" s="431"/>
      <c r="Z7" s="431">
        <v>1400</v>
      </c>
      <c r="AA7" s="431">
        <v>1500</v>
      </c>
      <c r="AB7" s="431">
        <v>1500</v>
      </c>
      <c r="AC7" s="431">
        <v>1500</v>
      </c>
      <c r="AD7" s="431">
        <v>1400</v>
      </c>
      <c r="AE7" s="431">
        <v>1400</v>
      </c>
      <c r="AF7" s="431">
        <v>1300</v>
      </c>
      <c r="AG7" s="431">
        <v>1600</v>
      </c>
      <c r="AH7" s="431"/>
      <c r="AI7" s="439">
        <f>ROUND(SUM(D7:AH7),0)</f>
        <v>35100</v>
      </c>
      <c r="AJ7" s="440"/>
      <c r="AK7" s="441">
        <f>AI7/1000</f>
        <v>35.1</v>
      </c>
    </row>
    <row r="8" spans="1:37" ht="18.75" customHeight="1">
      <c r="A8" s="429">
        <v>2</v>
      </c>
      <c r="B8" s="415" t="s">
        <v>2321</v>
      </c>
      <c r="C8" s="430"/>
      <c r="D8" s="431">
        <v>1600</v>
      </c>
      <c r="E8" s="431">
        <v>1200</v>
      </c>
      <c r="F8" s="431">
        <v>1000</v>
      </c>
      <c r="G8" s="431"/>
      <c r="H8" s="431"/>
      <c r="I8" s="431">
        <v>1700</v>
      </c>
      <c r="J8" s="431">
        <v>1500</v>
      </c>
      <c r="K8" s="431">
        <v>1700</v>
      </c>
      <c r="L8" s="431">
        <v>1600</v>
      </c>
      <c r="M8" s="431">
        <v>1600</v>
      </c>
      <c r="N8" s="431">
        <v>1400</v>
      </c>
      <c r="O8" s="431"/>
      <c r="P8" s="431">
        <v>800</v>
      </c>
      <c r="Q8" s="431">
        <v>1500</v>
      </c>
      <c r="R8" s="431">
        <v>1300</v>
      </c>
      <c r="S8" s="431"/>
      <c r="T8" s="431">
        <v>1500</v>
      </c>
      <c r="U8" s="431">
        <v>1500</v>
      </c>
      <c r="V8" s="431">
        <v>1600</v>
      </c>
      <c r="W8" s="431"/>
      <c r="X8" s="431"/>
      <c r="Y8" s="431"/>
      <c r="Z8" s="431"/>
      <c r="AA8" s="431"/>
      <c r="AB8" s="431">
        <v>1500</v>
      </c>
      <c r="AC8" s="431">
        <v>1500</v>
      </c>
      <c r="AD8" s="431">
        <v>1400</v>
      </c>
      <c r="AE8" s="431">
        <v>1400</v>
      </c>
      <c r="AF8" s="431">
        <v>1300</v>
      </c>
      <c r="AG8" s="431">
        <v>1600</v>
      </c>
      <c r="AH8" s="431"/>
      <c r="AI8" s="439">
        <f t="shared" ref="AI8:AI15" si="0">ROUND(SUM(D8:AH8),0)</f>
        <v>30200</v>
      </c>
      <c r="AJ8" s="440"/>
      <c r="AK8" s="441"/>
    </row>
    <row r="9" spans="1:37" ht="18.75" customHeight="1">
      <c r="A9" s="429">
        <v>3</v>
      </c>
      <c r="B9" s="415" t="s">
        <v>300</v>
      </c>
      <c r="C9" s="430"/>
      <c r="D9" s="431">
        <v>1600</v>
      </c>
      <c r="E9" s="431">
        <v>1200</v>
      </c>
      <c r="F9" s="431">
        <v>1000</v>
      </c>
      <c r="G9" s="431"/>
      <c r="H9" s="431"/>
      <c r="I9" s="431">
        <v>1700</v>
      </c>
      <c r="J9" s="431">
        <v>1500</v>
      </c>
      <c r="K9" s="431">
        <v>1700</v>
      </c>
      <c r="L9" s="431">
        <v>1600</v>
      </c>
      <c r="M9" s="431">
        <v>1600</v>
      </c>
      <c r="N9" s="431"/>
      <c r="O9" s="431"/>
      <c r="P9" s="431">
        <v>1600</v>
      </c>
      <c r="Q9" s="431">
        <v>1500</v>
      </c>
      <c r="R9" s="431">
        <v>1300</v>
      </c>
      <c r="S9" s="431">
        <v>1300</v>
      </c>
      <c r="T9" s="431">
        <v>1500</v>
      </c>
      <c r="U9" s="431">
        <v>1500</v>
      </c>
      <c r="V9" s="431">
        <v>1600</v>
      </c>
      <c r="W9" s="431">
        <v>1600</v>
      </c>
      <c r="X9" s="431">
        <v>1500</v>
      </c>
      <c r="Y9" s="431"/>
      <c r="Z9" s="431">
        <v>1400</v>
      </c>
      <c r="AA9" s="431">
        <v>1500</v>
      </c>
      <c r="AB9" s="431">
        <v>1500</v>
      </c>
      <c r="AC9" s="431">
        <v>1500</v>
      </c>
      <c r="AD9" s="431">
        <v>1400</v>
      </c>
      <c r="AE9" s="431"/>
      <c r="AF9" s="431">
        <v>1300</v>
      </c>
      <c r="AG9" s="431">
        <v>1600</v>
      </c>
      <c r="AH9" s="431"/>
      <c r="AI9" s="439">
        <f t="shared" si="0"/>
        <v>35500</v>
      </c>
      <c r="AJ9" s="440"/>
      <c r="AK9" s="441">
        <f t="shared" ref="AK9:AK15" si="1">AI9/1000</f>
        <v>35.5</v>
      </c>
    </row>
    <row r="10" spans="1:37" ht="18.75" customHeight="1">
      <c r="A10" s="429">
        <v>4</v>
      </c>
      <c r="B10" s="415" t="s">
        <v>1656</v>
      </c>
      <c r="C10" s="430"/>
      <c r="D10" s="431">
        <v>1600</v>
      </c>
      <c r="E10" s="431">
        <v>1200</v>
      </c>
      <c r="F10" s="431">
        <v>1000</v>
      </c>
      <c r="G10" s="431"/>
      <c r="H10" s="431"/>
      <c r="I10" s="431"/>
      <c r="J10" s="431">
        <v>1500</v>
      </c>
      <c r="K10" s="431">
        <v>1700</v>
      </c>
      <c r="L10" s="431">
        <v>1600</v>
      </c>
      <c r="M10" s="431">
        <v>1600</v>
      </c>
      <c r="N10" s="431">
        <v>1400</v>
      </c>
      <c r="O10" s="431"/>
      <c r="P10" s="431">
        <v>1600</v>
      </c>
      <c r="Q10" s="431">
        <v>1500</v>
      </c>
      <c r="R10" s="431">
        <v>1300</v>
      </c>
      <c r="S10" s="431">
        <v>1300</v>
      </c>
      <c r="T10" s="431">
        <v>1500</v>
      </c>
      <c r="U10" s="431">
        <v>1500</v>
      </c>
      <c r="V10" s="431">
        <v>1600</v>
      </c>
      <c r="W10" s="431">
        <v>1600</v>
      </c>
      <c r="X10" s="431">
        <v>1500</v>
      </c>
      <c r="Y10" s="431"/>
      <c r="Z10" s="431">
        <v>1400</v>
      </c>
      <c r="AA10" s="431">
        <v>1500</v>
      </c>
      <c r="AB10" s="431">
        <v>1500</v>
      </c>
      <c r="AC10" s="431">
        <v>1500</v>
      </c>
      <c r="AD10" s="431"/>
      <c r="AE10" s="431">
        <v>1400</v>
      </c>
      <c r="AF10" s="431">
        <v>1300</v>
      </c>
      <c r="AG10" s="431">
        <v>1600</v>
      </c>
      <c r="AH10" s="431"/>
      <c r="AI10" s="439">
        <f t="shared" si="0"/>
        <v>35200</v>
      </c>
      <c r="AJ10" s="440"/>
      <c r="AK10" s="441">
        <f t="shared" si="1"/>
        <v>35.200000000000003</v>
      </c>
    </row>
    <row r="11" spans="1:37" ht="18.75" customHeight="1">
      <c r="A11" s="429">
        <v>5</v>
      </c>
      <c r="B11" s="415" t="s">
        <v>2322</v>
      </c>
      <c r="C11" s="430"/>
      <c r="D11" s="431">
        <v>1600</v>
      </c>
      <c r="E11" s="431">
        <v>1200</v>
      </c>
      <c r="F11" s="431">
        <v>1000</v>
      </c>
      <c r="G11" s="431"/>
      <c r="H11" s="431"/>
      <c r="I11" s="431">
        <v>1700</v>
      </c>
      <c r="J11" s="431">
        <v>1500</v>
      </c>
      <c r="K11" s="431">
        <v>1700</v>
      </c>
      <c r="L11" s="431">
        <v>1600</v>
      </c>
      <c r="M11" s="431">
        <v>1600</v>
      </c>
      <c r="N11" s="431">
        <v>1400</v>
      </c>
      <c r="O11" s="431"/>
      <c r="P11" s="431">
        <v>1600</v>
      </c>
      <c r="Q11" s="431">
        <v>1500</v>
      </c>
      <c r="R11" s="431">
        <v>1300</v>
      </c>
      <c r="S11" s="431"/>
      <c r="T11" s="431"/>
      <c r="U11" s="431"/>
      <c r="V11" s="431"/>
      <c r="W11" s="431"/>
      <c r="X11" s="431"/>
      <c r="Y11" s="431"/>
      <c r="Z11" s="431"/>
      <c r="AA11" s="431">
        <v>1500</v>
      </c>
      <c r="AB11" s="431">
        <v>1500</v>
      </c>
      <c r="AC11" s="431">
        <v>1500</v>
      </c>
      <c r="AD11" s="431">
        <v>1400</v>
      </c>
      <c r="AE11" s="431">
        <v>1400</v>
      </c>
      <c r="AF11" s="431">
        <v>1300</v>
      </c>
      <c r="AG11" s="431">
        <v>1600</v>
      </c>
      <c r="AH11" s="431"/>
      <c r="AI11" s="439">
        <f t="shared" si="0"/>
        <v>27900</v>
      </c>
      <c r="AJ11" s="440"/>
      <c r="AK11" s="441">
        <f t="shared" si="1"/>
        <v>27.9</v>
      </c>
    </row>
    <row r="12" spans="1:37" ht="18.75" customHeight="1">
      <c r="A12" s="429">
        <v>6</v>
      </c>
      <c r="B12" s="415" t="s">
        <v>2323</v>
      </c>
      <c r="C12" s="430"/>
      <c r="D12" s="431">
        <v>1600</v>
      </c>
      <c r="E12" s="431">
        <v>1200</v>
      </c>
      <c r="F12" s="431"/>
      <c r="G12" s="431"/>
      <c r="H12" s="431"/>
      <c r="I12" s="431">
        <v>1700</v>
      </c>
      <c r="J12" s="431">
        <v>1500</v>
      </c>
      <c r="K12" s="431">
        <v>1700</v>
      </c>
      <c r="L12" s="431">
        <v>1600</v>
      </c>
      <c r="M12" s="431">
        <v>1600</v>
      </c>
      <c r="N12" s="431">
        <v>1400</v>
      </c>
      <c r="O12" s="431"/>
      <c r="P12" s="431">
        <v>1600</v>
      </c>
      <c r="Q12" s="431">
        <v>1500</v>
      </c>
      <c r="R12" s="431">
        <v>1300</v>
      </c>
      <c r="S12" s="431">
        <v>1300</v>
      </c>
      <c r="T12" s="431">
        <v>1500</v>
      </c>
      <c r="U12" s="431"/>
      <c r="V12" s="431">
        <v>1600</v>
      </c>
      <c r="W12" s="431">
        <v>1600</v>
      </c>
      <c r="X12" s="431">
        <v>1500</v>
      </c>
      <c r="Y12" s="431"/>
      <c r="Z12" s="431">
        <v>1400</v>
      </c>
      <c r="AA12" s="431">
        <v>1500</v>
      </c>
      <c r="AB12" s="431">
        <v>1500</v>
      </c>
      <c r="AC12" s="431"/>
      <c r="AD12" s="431">
        <v>1400</v>
      </c>
      <c r="AE12" s="431">
        <v>1400</v>
      </c>
      <c r="AF12" s="431">
        <v>1300</v>
      </c>
      <c r="AG12" s="431">
        <v>1600</v>
      </c>
      <c r="AH12" s="431"/>
      <c r="AI12" s="439">
        <f t="shared" si="0"/>
        <v>34300</v>
      </c>
      <c r="AJ12" s="440"/>
      <c r="AK12" s="441">
        <f t="shared" si="1"/>
        <v>34.299999999999997</v>
      </c>
    </row>
    <row r="13" spans="1:37" ht="18.75" customHeight="1">
      <c r="A13" s="429">
        <v>7</v>
      </c>
      <c r="B13" s="415" t="s">
        <v>2324</v>
      </c>
      <c r="C13" s="430"/>
      <c r="D13" s="431">
        <v>1600</v>
      </c>
      <c r="E13" s="431">
        <v>1200</v>
      </c>
      <c r="F13" s="431">
        <v>1000</v>
      </c>
      <c r="G13" s="431"/>
      <c r="H13" s="431"/>
      <c r="I13" s="431">
        <v>1700</v>
      </c>
      <c r="J13" s="431">
        <v>1500</v>
      </c>
      <c r="K13" s="431">
        <v>1700</v>
      </c>
      <c r="L13" s="431">
        <v>1600</v>
      </c>
      <c r="M13" s="431">
        <v>1600</v>
      </c>
      <c r="N13" s="431"/>
      <c r="O13" s="431"/>
      <c r="P13" s="431">
        <v>1600</v>
      </c>
      <c r="Q13" s="431">
        <v>1500</v>
      </c>
      <c r="R13" s="431"/>
      <c r="S13" s="431">
        <v>1300</v>
      </c>
      <c r="T13" s="431">
        <v>1500</v>
      </c>
      <c r="U13" s="431">
        <v>1500</v>
      </c>
      <c r="V13" s="431">
        <v>1600</v>
      </c>
      <c r="W13" s="431">
        <v>1600</v>
      </c>
      <c r="X13" s="431">
        <v>1500</v>
      </c>
      <c r="Y13" s="431"/>
      <c r="Z13" s="431">
        <v>1400</v>
      </c>
      <c r="AA13" s="431">
        <v>1500</v>
      </c>
      <c r="AB13" s="431">
        <v>1500</v>
      </c>
      <c r="AC13" s="431">
        <v>1500</v>
      </c>
      <c r="AD13" s="431">
        <v>1400</v>
      </c>
      <c r="AE13" s="431">
        <v>1400</v>
      </c>
      <c r="AF13" s="431">
        <v>1300</v>
      </c>
      <c r="AG13" s="431">
        <v>1600</v>
      </c>
      <c r="AH13" s="431"/>
      <c r="AI13" s="439">
        <f t="shared" si="0"/>
        <v>35600</v>
      </c>
      <c r="AJ13" s="440"/>
      <c r="AK13" s="441">
        <f t="shared" si="1"/>
        <v>35.6</v>
      </c>
    </row>
    <row r="14" spans="1:37" ht="18.75" customHeight="1">
      <c r="A14" s="429">
        <v>8</v>
      </c>
      <c r="B14" s="415" t="s">
        <v>2325</v>
      </c>
      <c r="C14" s="430"/>
      <c r="D14" s="431">
        <v>1600</v>
      </c>
      <c r="E14" s="431">
        <v>1200</v>
      </c>
      <c r="F14" s="431">
        <v>1000</v>
      </c>
      <c r="G14" s="431"/>
      <c r="H14" s="431"/>
      <c r="I14" s="431">
        <v>1700</v>
      </c>
      <c r="J14" s="431">
        <v>1500</v>
      </c>
      <c r="K14" s="431">
        <v>1700</v>
      </c>
      <c r="L14" s="431">
        <v>1600</v>
      </c>
      <c r="M14" s="431">
        <v>1600</v>
      </c>
      <c r="N14" s="431">
        <v>1400</v>
      </c>
      <c r="O14" s="431"/>
      <c r="P14" s="431">
        <v>1600</v>
      </c>
      <c r="Q14" s="431"/>
      <c r="R14" s="431">
        <v>1300</v>
      </c>
      <c r="S14" s="431">
        <v>1300</v>
      </c>
      <c r="T14" s="431">
        <v>1500</v>
      </c>
      <c r="U14" s="431">
        <v>1500</v>
      </c>
      <c r="V14" s="431">
        <v>1600</v>
      </c>
      <c r="W14" s="431">
        <v>1600</v>
      </c>
      <c r="X14" s="431">
        <v>1500</v>
      </c>
      <c r="Y14" s="431"/>
      <c r="Z14" s="431">
        <v>1400</v>
      </c>
      <c r="AA14" s="431">
        <v>1500</v>
      </c>
      <c r="AB14" s="431">
        <v>1500</v>
      </c>
      <c r="AC14" s="431">
        <v>1500</v>
      </c>
      <c r="AD14" s="431">
        <v>1400</v>
      </c>
      <c r="AE14" s="431">
        <v>1400</v>
      </c>
      <c r="AF14" s="431">
        <v>1300</v>
      </c>
      <c r="AG14" s="431">
        <v>1600</v>
      </c>
      <c r="AH14" s="431"/>
      <c r="AI14" s="439">
        <f t="shared" si="0"/>
        <v>36800</v>
      </c>
      <c r="AJ14" s="440"/>
      <c r="AK14" s="441">
        <f t="shared" si="1"/>
        <v>36.799999999999997</v>
      </c>
    </row>
    <row r="15" spans="1:37" ht="18.75" customHeight="1">
      <c r="A15" s="429">
        <v>9</v>
      </c>
      <c r="B15" s="415" t="s">
        <v>129</v>
      </c>
      <c r="C15" s="430"/>
      <c r="D15" s="431">
        <v>1600</v>
      </c>
      <c r="E15" s="431">
        <v>1200</v>
      </c>
      <c r="F15" s="431">
        <v>1000</v>
      </c>
      <c r="G15" s="431"/>
      <c r="H15" s="431"/>
      <c r="I15" s="431">
        <v>1700</v>
      </c>
      <c r="J15" s="431">
        <v>1500</v>
      </c>
      <c r="K15" s="431">
        <v>1700</v>
      </c>
      <c r="L15" s="431">
        <v>1600</v>
      </c>
      <c r="M15" s="431"/>
      <c r="N15" s="431">
        <v>1400</v>
      </c>
      <c r="O15" s="431"/>
      <c r="P15" s="431">
        <v>1600</v>
      </c>
      <c r="Q15" s="431">
        <v>1500</v>
      </c>
      <c r="R15" s="431">
        <v>1300</v>
      </c>
      <c r="S15" s="431">
        <v>1300</v>
      </c>
      <c r="T15" s="431"/>
      <c r="U15" s="431">
        <v>1500</v>
      </c>
      <c r="V15" s="431"/>
      <c r="W15" s="431">
        <v>1600</v>
      </c>
      <c r="X15" s="431">
        <v>1500</v>
      </c>
      <c r="Y15" s="431"/>
      <c r="Z15" s="431">
        <v>1400</v>
      </c>
      <c r="AA15" s="431">
        <v>1500</v>
      </c>
      <c r="AB15" s="431">
        <v>1500</v>
      </c>
      <c r="AC15" s="431">
        <v>1500</v>
      </c>
      <c r="AD15" s="431"/>
      <c r="AE15" s="431"/>
      <c r="AF15" s="431"/>
      <c r="AG15" s="431"/>
      <c r="AH15" s="431"/>
      <c r="AI15" s="439">
        <f t="shared" si="0"/>
        <v>27900</v>
      </c>
      <c r="AJ15" s="440"/>
      <c r="AK15" s="441">
        <f t="shared" si="1"/>
        <v>27.9</v>
      </c>
    </row>
    <row r="16" spans="1:37" ht="16.5" customHeight="1">
      <c r="A16" s="2873" t="s">
        <v>525</v>
      </c>
      <c r="B16" s="2873"/>
      <c r="C16" s="432"/>
      <c r="D16" s="433">
        <f t="shared" ref="D16:AH16" si="2">SUM(D7:D15)</f>
        <v>12800</v>
      </c>
      <c r="E16" s="433">
        <f t="shared" si="2"/>
        <v>10800</v>
      </c>
      <c r="F16" s="433">
        <f t="shared" si="2"/>
        <v>8000</v>
      </c>
      <c r="G16" s="433">
        <f t="shared" si="2"/>
        <v>0</v>
      </c>
      <c r="H16" s="433">
        <f t="shared" si="2"/>
        <v>0</v>
      </c>
      <c r="I16" s="433">
        <f t="shared" si="2"/>
        <v>13600</v>
      </c>
      <c r="J16" s="433">
        <f t="shared" si="2"/>
        <v>13500</v>
      </c>
      <c r="K16" s="433">
        <f t="shared" si="2"/>
        <v>15300</v>
      </c>
      <c r="L16" s="433">
        <f t="shared" si="2"/>
        <v>14400</v>
      </c>
      <c r="M16" s="433">
        <f t="shared" si="2"/>
        <v>11200</v>
      </c>
      <c r="N16" s="433">
        <f t="shared" si="2"/>
        <v>9800</v>
      </c>
      <c r="O16" s="433">
        <f t="shared" si="2"/>
        <v>0</v>
      </c>
      <c r="P16" s="433">
        <f t="shared" si="2"/>
        <v>13600</v>
      </c>
      <c r="Q16" s="433">
        <f t="shared" si="2"/>
        <v>12000</v>
      </c>
      <c r="R16" s="433">
        <f t="shared" si="2"/>
        <v>10400</v>
      </c>
      <c r="S16" s="433">
        <f t="shared" si="2"/>
        <v>9100</v>
      </c>
      <c r="T16" s="433">
        <f t="shared" si="2"/>
        <v>10500</v>
      </c>
      <c r="U16" s="433">
        <f t="shared" si="2"/>
        <v>10500</v>
      </c>
      <c r="V16" s="433">
        <f t="shared" si="2"/>
        <v>11200</v>
      </c>
      <c r="W16" s="433">
        <f t="shared" si="2"/>
        <v>11200</v>
      </c>
      <c r="X16" s="433">
        <f t="shared" si="2"/>
        <v>10500</v>
      </c>
      <c r="Y16" s="433">
        <f t="shared" si="2"/>
        <v>0</v>
      </c>
      <c r="Z16" s="433">
        <f t="shared" si="2"/>
        <v>9800</v>
      </c>
      <c r="AA16" s="433">
        <f t="shared" si="2"/>
        <v>12000</v>
      </c>
      <c r="AB16" s="433">
        <f t="shared" si="2"/>
        <v>13500</v>
      </c>
      <c r="AC16" s="433">
        <f t="shared" si="2"/>
        <v>12000</v>
      </c>
      <c r="AD16" s="433">
        <f t="shared" si="2"/>
        <v>9800</v>
      </c>
      <c r="AE16" s="433">
        <f t="shared" si="2"/>
        <v>9800</v>
      </c>
      <c r="AF16" s="433">
        <f t="shared" si="2"/>
        <v>10400</v>
      </c>
      <c r="AG16" s="433">
        <f t="shared" si="2"/>
        <v>12800</v>
      </c>
      <c r="AH16" s="433">
        <f t="shared" si="2"/>
        <v>0</v>
      </c>
      <c r="AI16" s="442">
        <f>ROUND(SUM(AI7:AI15),0)</f>
        <v>298500</v>
      </c>
      <c r="AJ16" s="443"/>
    </row>
    <row r="17" spans="1:36" ht="16.5" customHeight="1">
      <c r="A17" s="434"/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4"/>
      <c r="AC17" s="434"/>
      <c r="AD17" s="434"/>
      <c r="AE17" s="434"/>
      <c r="AF17" s="434"/>
      <c r="AG17" s="434"/>
      <c r="AH17" s="434"/>
      <c r="AI17" s="444"/>
      <c r="AJ17" s="445"/>
    </row>
    <row r="18" spans="1:36" ht="14.25" customHeight="1">
      <c r="X18" s="2874" t="s">
        <v>2326</v>
      </c>
      <c r="Y18" s="2874"/>
      <c r="Z18" s="2874"/>
      <c r="AA18" s="2874"/>
      <c r="AB18" s="2874"/>
      <c r="AC18" s="2874"/>
      <c r="AD18" s="2874"/>
      <c r="AE18" s="2874"/>
      <c r="AF18" s="2874"/>
      <c r="AG18" s="2874"/>
      <c r="AH18" s="2874"/>
      <c r="AI18" s="2874"/>
      <c r="AJ18" s="2874"/>
    </row>
    <row r="19" spans="1:36" ht="15.75">
      <c r="B19" s="144" t="s">
        <v>12</v>
      </c>
      <c r="C19" s="144"/>
      <c r="E19" s="144"/>
      <c r="F19" s="144"/>
      <c r="H19" s="144"/>
      <c r="I19" s="144"/>
      <c r="J19" s="2690" t="s">
        <v>2327</v>
      </c>
      <c r="K19" s="2690"/>
      <c r="L19" s="2690"/>
      <c r="M19" s="2690"/>
      <c r="N19" s="2690"/>
      <c r="O19" s="2690"/>
      <c r="P19" s="2690"/>
      <c r="Q19" s="2690"/>
      <c r="R19" s="2690"/>
      <c r="S19" s="2690"/>
      <c r="T19" s="2690"/>
      <c r="U19" s="2690"/>
      <c r="V19" s="2690"/>
      <c r="W19" s="426"/>
      <c r="X19" s="426"/>
      <c r="Y19" s="426"/>
      <c r="Z19" s="2690" t="s">
        <v>612</v>
      </c>
      <c r="AA19" s="2690"/>
      <c r="AB19" s="2690"/>
      <c r="AC19" s="2690"/>
      <c r="AD19" s="2690"/>
      <c r="AE19" s="2690"/>
      <c r="AF19" s="2690"/>
      <c r="AG19" s="2690"/>
      <c r="AH19" s="2690"/>
      <c r="AI19" s="2690"/>
      <c r="AJ19" s="2690"/>
    </row>
    <row r="20" spans="1:36">
      <c r="A20" s="435" t="s">
        <v>536</v>
      </c>
      <c r="B20" s="436" t="s">
        <v>2328</v>
      </c>
      <c r="C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26"/>
    </row>
    <row r="21" spans="1:36">
      <c r="A21" s="435" t="s">
        <v>2329</v>
      </c>
      <c r="B21" s="436" t="s">
        <v>2330</v>
      </c>
      <c r="C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</row>
    <row r="22" spans="1:36">
      <c r="A22" s="435" t="s">
        <v>2331</v>
      </c>
      <c r="B22" s="436" t="s">
        <v>2332</v>
      </c>
      <c r="C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</row>
    <row r="23" spans="1:36">
      <c r="A23" s="435" t="s">
        <v>2006</v>
      </c>
      <c r="B23" s="436" t="s">
        <v>2333</v>
      </c>
      <c r="C23" s="435"/>
    </row>
    <row r="24" spans="1:36">
      <c r="A24" s="435" t="s">
        <v>2334</v>
      </c>
      <c r="B24" s="436" t="s">
        <v>2335</v>
      </c>
      <c r="C24" s="435"/>
    </row>
    <row r="25" spans="1:36" ht="15.75">
      <c r="A25" s="146" t="s">
        <v>2336</v>
      </c>
      <c r="B25" s="437" t="s">
        <v>2337</v>
      </c>
      <c r="C25" s="147"/>
      <c r="D25" s="168"/>
      <c r="E25" s="168"/>
      <c r="F25" s="168"/>
      <c r="G25" s="2867"/>
      <c r="H25" s="2867"/>
      <c r="I25" s="2867"/>
      <c r="J25" s="2867"/>
      <c r="K25" s="2867"/>
      <c r="L25" s="2867"/>
      <c r="M25" s="2867"/>
      <c r="N25" s="2867"/>
      <c r="O25" s="2867"/>
      <c r="P25" s="2867"/>
      <c r="Z25" s="2690"/>
      <c r="AA25" s="2690"/>
      <c r="AB25" s="2690"/>
      <c r="AC25" s="2690"/>
      <c r="AD25" s="2690"/>
      <c r="AE25" s="2690"/>
      <c r="AF25" s="2690"/>
      <c r="AG25" s="2690"/>
      <c r="AH25" s="2690"/>
      <c r="AI25" s="2690"/>
      <c r="AJ25" s="2690"/>
    </row>
    <row r="26" spans="1:36" ht="15.75">
      <c r="A26" s="146" t="s">
        <v>2338</v>
      </c>
      <c r="B26" s="437" t="s">
        <v>2339</v>
      </c>
      <c r="C26" s="147"/>
      <c r="D26" s="147"/>
      <c r="E26" s="147"/>
      <c r="F26" s="147"/>
    </row>
    <row r="27" spans="1:36">
      <c r="A27" s="435" t="s">
        <v>2340</v>
      </c>
      <c r="B27" s="436" t="s">
        <v>2341</v>
      </c>
    </row>
    <row r="28" spans="1:36" s="425" customFormat="1">
      <c r="A28" s="435" t="s">
        <v>2342</v>
      </c>
      <c r="B28" s="436" t="s">
        <v>2343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</row>
    <row r="29" spans="1:36">
      <c r="A29" s="435" t="s">
        <v>2344</v>
      </c>
      <c r="B29" s="436" t="s">
        <v>2345</v>
      </c>
    </row>
    <row r="30" spans="1:36" s="426" customFormat="1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7.7109375" style="411" customWidth="1"/>
    <col min="3" max="3" width="14.140625" style="411" hidden="1" customWidth="1"/>
    <col min="4" max="34" width="3.28515625" style="411" customWidth="1"/>
    <col min="35" max="35" width="6.5703125" style="411" customWidth="1"/>
    <col min="36" max="36" width="5.42578125" style="411" customWidth="1"/>
    <col min="37" max="16384" width="9.140625" style="411"/>
  </cols>
  <sheetData>
    <row r="1" spans="1:36" ht="16.5">
      <c r="A1" s="2801" t="s">
        <v>1927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313"/>
      <c r="M1" s="313"/>
      <c r="N1" s="313"/>
      <c r="O1" s="2811" t="s">
        <v>0</v>
      </c>
      <c r="P1" s="2811"/>
      <c r="Q1" s="2811"/>
      <c r="R1" s="2811"/>
      <c r="S1" s="2811"/>
      <c r="T1" s="2811"/>
      <c r="U1" s="2811"/>
      <c r="V1" s="2811"/>
      <c r="W1" s="2811"/>
      <c r="X1" s="2811"/>
      <c r="Y1" s="2811"/>
      <c r="Z1" s="2811"/>
      <c r="AA1" s="2811"/>
      <c r="AB1" s="2811"/>
      <c r="AC1" s="2811"/>
      <c r="AD1" s="2811"/>
      <c r="AE1" s="2811"/>
      <c r="AF1" s="2811"/>
      <c r="AG1" s="2811"/>
      <c r="AH1" s="2811"/>
      <c r="AI1" s="2811"/>
      <c r="AJ1" s="313"/>
    </row>
    <row r="2" spans="1:36" ht="17.25" customHeight="1">
      <c r="A2" s="2885" t="s">
        <v>2029</v>
      </c>
      <c r="B2" s="2885"/>
      <c r="C2" s="2885"/>
      <c r="D2" s="2885"/>
      <c r="E2" s="2885"/>
      <c r="F2" s="2885"/>
      <c r="G2" s="2885"/>
      <c r="H2" s="2885"/>
      <c r="I2" s="2885"/>
      <c r="J2" s="2885"/>
      <c r="K2" s="2885"/>
      <c r="L2" s="312"/>
      <c r="M2" s="312"/>
      <c r="N2" s="312"/>
      <c r="O2" s="2801" t="s">
        <v>2346</v>
      </c>
      <c r="P2" s="2801"/>
      <c r="Q2" s="2801"/>
      <c r="R2" s="2801"/>
      <c r="S2" s="2801"/>
      <c r="T2" s="2801"/>
      <c r="U2" s="2801"/>
      <c r="V2" s="2801"/>
      <c r="W2" s="2801"/>
      <c r="X2" s="2801"/>
      <c r="Y2" s="2801"/>
      <c r="Z2" s="2801"/>
      <c r="AA2" s="2801"/>
      <c r="AB2" s="2801"/>
      <c r="AC2" s="2801"/>
      <c r="AD2" s="2801"/>
      <c r="AE2" s="2801"/>
      <c r="AF2" s="2801"/>
      <c r="AG2" s="2801"/>
      <c r="AH2" s="2801"/>
      <c r="AI2" s="2801"/>
      <c r="AJ2" s="312"/>
    </row>
    <row r="3" spans="1:36" ht="12" customHeight="1">
      <c r="A3" s="412"/>
      <c r="B3" s="412"/>
      <c r="C3" s="412"/>
      <c r="D3" s="412"/>
      <c r="E3" s="412"/>
      <c r="F3" s="412"/>
      <c r="G3" s="412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408" t="s">
        <v>2347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2408"/>
      <c r="R4" s="2408"/>
      <c r="S4" s="2408"/>
      <c r="T4" s="2408"/>
      <c r="U4" s="2408"/>
      <c r="V4" s="2408"/>
      <c r="W4" s="2408"/>
      <c r="X4" s="2408"/>
      <c r="Y4" s="2408"/>
      <c r="Z4" s="2408"/>
      <c r="AA4" s="2408"/>
      <c r="AB4" s="2408"/>
      <c r="AC4" s="2408"/>
      <c r="AD4" s="2408"/>
      <c r="AE4" s="2408"/>
      <c r="AF4" s="2408"/>
      <c r="AG4" s="2408"/>
      <c r="AH4" s="2408"/>
      <c r="AI4" s="2408"/>
      <c r="AJ4" s="2408"/>
    </row>
    <row r="5" spans="1:36" ht="12.75" customHeight="1">
      <c r="A5" s="2881" t="s">
        <v>623</v>
      </c>
      <c r="B5" s="2881" t="s">
        <v>356</v>
      </c>
      <c r="C5" s="2882" t="s">
        <v>9</v>
      </c>
      <c r="D5" s="2876" t="s">
        <v>2348</v>
      </c>
      <c r="E5" s="2877"/>
      <c r="F5" s="2877"/>
      <c r="G5" s="2877"/>
      <c r="H5" s="2877"/>
      <c r="I5" s="2877"/>
      <c r="J5" s="2877"/>
      <c r="K5" s="2877"/>
      <c r="L5" s="2877"/>
      <c r="M5" s="2877"/>
      <c r="N5" s="2877"/>
      <c r="O5" s="2877"/>
      <c r="P5" s="2877"/>
      <c r="Q5" s="2877"/>
      <c r="R5" s="2877"/>
      <c r="S5" s="2877"/>
      <c r="T5" s="2877"/>
      <c r="U5" s="2877"/>
      <c r="V5" s="2877"/>
      <c r="W5" s="2877"/>
      <c r="X5" s="2877"/>
      <c r="Y5" s="2877"/>
      <c r="Z5" s="2877"/>
      <c r="AA5" s="2877"/>
      <c r="AB5" s="2877"/>
      <c r="AC5" s="2877"/>
      <c r="AD5" s="2877"/>
      <c r="AE5" s="2877"/>
      <c r="AF5" s="2877"/>
      <c r="AG5" s="2877"/>
      <c r="AH5" s="2878"/>
      <c r="AI5" s="2884" t="s">
        <v>349</v>
      </c>
      <c r="AJ5" s="2884" t="s">
        <v>12</v>
      </c>
    </row>
    <row r="6" spans="1:36" ht="16.5" customHeight="1">
      <c r="A6" s="2881"/>
      <c r="B6" s="2881" t="s">
        <v>2319</v>
      </c>
      <c r="C6" s="2883"/>
      <c r="D6" s="414">
        <v>1</v>
      </c>
      <c r="E6" s="414">
        <v>2</v>
      </c>
      <c r="F6" s="414">
        <v>3</v>
      </c>
      <c r="G6" s="414">
        <v>4</v>
      </c>
      <c r="H6" s="414">
        <v>5</v>
      </c>
      <c r="I6" s="414">
        <v>6</v>
      </c>
      <c r="J6" s="414">
        <v>7</v>
      </c>
      <c r="K6" s="414">
        <v>8</v>
      </c>
      <c r="L6" s="414">
        <v>9</v>
      </c>
      <c r="M6" s="414">
        <v>10</v>
      </c>
      <c r="N6" s="414">
        <v>11</v>
      </c>
      <c r="O6" s="414">
        <v>12</v>
      </c>
      <c r="P6" s="414">
        <v>13</v>
      </c>
      <c r="Q6" s="414">
        <v>14</v>
      </c>
      <c r="R6" s="414">
        <v>15</v>
      </c>
      <c r="S6" s="414">
        <v>16</v>
      </c>
      <c r="T6" s="414">
        <v>17</v>
      </c>
      <c r="U6" s="414">
        <v>18</v>
      </c>
      <c r="V6" s="414">
        <v>19</v>
      </c>
      <c r="W6" s="414">
        <v>20</v>
      </c>
      <c r="X6" s="414">
        <v>21</v>
      </c>
      <c r="Y6" s="414">
        <v>22</v>
      </c>
      <c r="Z6" s="414">
        <v>23</v>
      </c>
      <c r="AA6" s="414">
        <v>24</v>
      </c>
      <c r="AB6" s="414">
        <v>25</v>
      </c>
      <c r="AC6" s="414">
        <v>26</v>
      </c>
      <c r="AD6" s="414">
        <v>27</v>
      </c>
      <c r="AE6" s="414">
        <v>28</v>
      </c>
      <c r="AF6" s="414">
        <v>29</v>
      </c>
      <c r="AG6" s="414">
        <v>30</v>
      </c>
      <c r="AH6" s="414">
        <v>31</v>
      </c>
      <c r="AI6" s="2881"/>
      <c r="AJ6" s="2881"/>
    </row>
    <row r="7" spans="1:36" ht="16.5" customHeight="1">
      <c r="A7" s="414">
        <v>1</v>
      </c>
      <c r="B7" s="415" t="s">
        <v>607</v>
      </c>
      <c r="C7" s="416"/>
      <c r="D7" s="417"/>
      <c r="E7" s="417"/>
      <c r="F7" s="417"/>
      <c r="G7" s="417" t="s">
        <v>536</v>
      </c>
      <c r="H7" s="417" t="s">
        <v>536</v>
      </c>
      <c r="I7" s="417"/>
      <c r="J7" s="417" t="s">
        <v>536</v>
      </c>
      <c r="K7" s="417" t="s">
        <v>536</v>
      </c>
      <c r="L7" s="417" t="s">
        <v>536</v>
      </c>
      <c r="M7" s="417"/>
      <c r="N7" s="417" t="s">
        <v>536</v>
      </c>
      <c r="O7" s="417" t="s">
        <v>536</v>
      </c>
      <c r="P7" s="417"/>
      <c r="Q7" s="417" t="s">
        <v>536</v>
      </c>
      <c r="R7" s="417" t="s">
        <v>536</v>
      </c>
      <c r="S7" s="417"/>
      <c r="T7" s="417" t="s">
        <v>536</v>
      </c>
      <c r="U7" s="417" t="s">
        <v>536</v>
      </c>
      <c r="V7" s="417" t="s">
        <v>536</v>
      </c>
      <c r="W7" s="417"/>
      <c r="X7" s="417"/>
      <c r="Y7" s="417"/>
      <c r="Z7" s="417"/>
      <c r="AA7" s="417" t="s">
        <v>536</v>
      </c>
      <c r="AB7" s="417" t="s">
        <v>536</v>
      </c>
      <c r="AC7" s="417" t="s">
        <v>536</v>
      </c>
      <c r="AD7" s="417" t="s">
        <v>536</v>
      </c>
      <c r="AE7" s="417" t="s">
        <v>536</v>
      </c>
      <c r="AF7" s="417" t="s">
        <v>536</v>
      </c>
      <c r="AG7" s="417"/>
      <c r="AH7" s="417" t="s">
        <v>536</v>
      </c>
      <c r="AI7" s="423">
        <f>COUNTIF(D7:AH7,"x")</f>
        <v>19</v>
      </c>
      <c r="AJ7" s="423"/>
    </row>
    <row r="8" spans="1:36" ht="16.5" customHeight="1">
      <c r="A8" s="414">
        <v>2</v>
      </c>
      <c r="B8" s="415" t="s">
        <v>2321</v>
      </c>
      <c r="C8" s="416"/>
      <c r="D8" s="417" t="s">
        <v>536</v>
      </c>
      <c r="E8" s="417"/>
      <c r="F8" s="417" t="s">
        <v>536</v>
      </c>
      <c r="G8" s="417" t="s">
        <v>536</v>
      </c>
      <c r="H8" s="417" t="s">
        <v>536</v>
      </c>
      <c r="I8" s="417"/>
      <c r="J8" s="417" t="s">
        <v>536</v>
      </c>
      <c r="K8" s="417" t="s">
        <v>536</v>
      </c>
      <c r="L8" s="417" t="s">
        <v>536</v>
      </c>
      <c r="M8" s="417"/>
      <c r="N8" s="417" t="s">
        <v>536</v>
      </c>
      <c r="O8" s="417" t="s">
        <v>536</v>
      </c>
      <c r="P8" s="417"/>
      <c r="Q8" s="417" t="s">
        <v>536</v>
      </c>
      <c r="R8" s="417" t="s">
        <v>536</v>
      </c>
      <c r="S8" s="417"/>
      <c r="T8" s="417" t="s">
        <v>536</v>
      </c>
      <c r="U8" s="417" t="s">
        <v>536</v>
      </c>
      <c r="V8" s="417" t="s">
        <v>536</v>
      </c>
      <c r="W8" s="417" t="s">
        <v>536</v>
      </c>
      <c r="X8" s="417"/>
      <c r="Y8" s="417" t="s">
        <v>536</v>
      </c>
      <c r="Z8" s="417"/>
      <c r="AA8" s="417" t="s">
        <v>536</v>
      </c>
      <c r="AB8" s="417" t="s">
        <v>536</v>
      </c>
      <c r="AC8" s="417" t="s">
        <v>536</v>
      </c>
      <c r="AD8" s="417" t="s">
        <v>536</v>
      </c>
      <c r="AE8" s="417"/>
      <c r="AF8" s="417" t="s">
        <v>536</v>
      </c>
      <c r="AG8" s="417"/>
      <c r="AH8" s="417" t="s">
        <v>536</v>
      </c>
      <c r="AI8" s="423">
        <f t="shared" ref="AI8:AI15" si="0">COUNTIF(D8:AH8,"x")</f>
        <v>22</v>
      </c>
      <c r="AJ8" s="423"/>
    </row>
    <row r="9" spans="1:36" ht="16.5" customHeight="1">
      <c r="A9" s="414">
        <v>3</v>
      </c>
      <c r="B9" s="415" t="s">
        <v>300</v>
      </c>
      <c r="C9" s="416"/>
      <c r="D9" s="417" t="s">
        <v>536</v>
      </c>
      <c r="E9" s="417"/>
      <c r="F9" s="417" t="s">
        <v>536</v>
      </c>
      <c r="G9" s="417" t="s">
        <v>536</v>
      </c>
      <c r="H9" s="417" t="s">
        <v>536</v>
      </c>
      <c r="I9" s="417"/>
      <c r="J9" s="417" t="s">
        <v>536</v>
      </c>
      <c r="K9" s="417" t="s">
        <v>536</v>
      </c>
      <c r="L9" s="417" t="s">
        <v>536</v>
      </c>
      <c r="M9" s="417"/>
      <c r="N9" s="417" t="s">
        <v>536</v>
      </c>
      <c r="O9" s="417" t="s">
        <v>536</v>
      </c>
      <c r="P9" s="417"/>
      <c r="Q9" s="417" t="s">
        <v>536</v>
      </c>
      <c r="R9" s="417" t="s">
        <v>536</v>
      </c>
      <c r="S9" s="417"/>
      <c r="T9" s="417" t="s">
        <v>536</v>
      </c>
      <c r="U9" s="417" t="s">
        <v>536</v>
      </c>
      <c r="V9" s="417" t="s">
        <v>536</v>
      </c>
      <c r="W9" s="417" t="s">
        <v>536</v>
      </c>
      <c r="X9" s="417" t="s">
        <v>536</v>
      </c>
      <c r="Y9" s="417" t="s">
        <v>536</v>
      </c>
      <c r="Z9" s="417" t="s">
        <v>536</v>
      </c>
      <c r="AA9" s="417" t="s">
        <v>536</v>
      </c>
      <c r="AB9" s="417" t="s">
        <v>536</v>
      </c>
      <c r="AC9" s="417" t="s">
        <v>536</v>
      </c>
      <c r="AD9" s="417"/>
      <c r="AE9" s="417" t="s">
        <v>536</v>
      </c>
      <c r="AF9" s="417" t="s">
        <v>536</v>
      </c>
      <c r="AG9" s="417"/>
      <c r="AH9" s="417" t="s">
        <v>536</v>
      </c>
      <c r="AI9" s="423">
        <f t="shared" si="0"/>
        <v>24</v>
      </c>
      <c r="AJ9" s="423"/>
    </row>
    <row r="10" spans="1:36" ht="16.5" customHeight="1">
      <c r="A10" s="414">
        <v>4</v>
      </c>
      <c r="B10" s="415" t="s">
        <v>1656</v>
      </c>
      <c r="C10" s="416"/>
      <c r="D10" s="417" t="s">
        <v>536</v>
      </c>
      <c r="E10" s="417"/>
      <c r="F10" s="417" t="s">
        <v>536</v>
      </c>
      <c r="G10" s="417" t="s">
        <v>536</v>
      </c>
      <c r="H10" s="417"/>
      <c r="I10" s="417"/>
      <c r="J10" s="417" t="s">
        <v>536</v>
      </c>
      <c r="K10" s="417" t="s">
        <v>536</v>
      </c>
      <c r="L10" s="417" t="s">
        <v>536</v>
      </c>
      <c r="M10" s="417"/>
      <c r="N10" s="417" t="s">
        <v>536</v>
      </c>
      <c r="O10" s="417"/>
      <c r="P10" s="417"/>
      <c r="Q10" s="417" t="s">
        <v>536</v>
      </c>
      <c r="R10" s="417" t="s">
        <v>536</v>
      </c>
      <c r="S10" s="417"/>
      <c r="T10" s="417" t="s">
        <v>536</v>
      </c>
      <c r="U10" s="417" t="s">
        <v>536</v>
      </c>
      <c r="V10" s="417"/>
      <c r="W10" s="417" t="s">
        <v>536</v>
      </c>
      <c r="X10" s="417" t="s">
        <v>536</v>
      </c>
      <c r="Y10" s="417" t="s">
        <v>536</v>
      </c>
      <c r="Z10" s="417" t="s">
        <v>536</v>
      </c>
      <c r="AA10" s="417" t="s">
        <v>536</v>
      </c>
      <c r="AB10" s="417" t="s">
        <v>536</v>
      </c>
      <c r="AC10" s="417" t="s">
        <v>536</v>
      </c>
      <c r="AD10" s="417" t="s">
        <v>536</v>
      </c>
      <c r="AE10" s="417" t="s">
        <v>536</v>
      </c>
      <c r="AF10" s="417" t="s">
        <v>536</v>
      </c>
      <c r="AG10" s="417"/>
      <c r="AH10" s="417" t="s">
        <v>536</v>
      </c>
      <c r="AI10" s="423">
        <f t="shared" si="0"/>
        <v>22</v>
      </c>
      <c r="AJ10" s="423"/>
    </row>
    <row r="11" spans="1:36" ht="16.5" customHeight="1">
      <c r="A11" s="414">
        <v>5</v>
      </c>
      <c r="B11" s="415" t="s">
        <v>2322</v>
      </c>
      <c r="C11" s="416"/>
      <c r="D11" s="417" t="s">
        <v>536</v>
      </c>
      <c r="E11" s="417"/>
      <c r="F11" s="417"/>
      <c r="G11" s="417" t="s">
        <v>536</v>
      </c>
      <c r="H11" s="417" t="s">
        <v>536</v>
      </c>
      <c r="I11" s="417"/>
      <c r="J11" s="417"/>
      <c r="K11" s="417"/>
      <c r="L11" s="417"/>
      <c r="M11" s="417"/>
      <c r="N11" s="417"/>
      <c r="O11" s="417" t="s">
        <v>536</v>
      </c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 t="s">
        <v>536</v>
      </c>
      <c r="AA11" s="417" t="s">
        <v>536</v>
      </c>
      <c r="AB11" s="417" t="s">
        <v>536</v>
      </c>
      <c r="AC11" s="417" t="s">
        <v>536</v>
      </c>
      <c r="AD11" s="417" t="s">
        <v>536</v>
      </c>
      <c r="AE11" s="417" t="s">
        <v>536</v>
      </c>
      <c r="AF11" s="417" t="s">
        <v>536</v>
      </c>
      <c r="AG11" s="417"/>
      <c r="AH11" s="417" t="s">
        <v>536</v>
      </c>
      <c r="AI11" s="423">
        <f t="shared" si="0"/>
        <v>12</v>
      </c>
      <c r="AJ11" s="423"/>
    </row>
    <row r="12" spans="1:36" ht="16.5" customHeight="1">
      <c r="A12" s="414">
        <v>6</v>
      </c>
      <c r="B12" s="415" t="s">
        <v>2323</v>
      </c>
      <c r="C12" s="416"/>
      <c r="D12" s="417" t="s">
        <v>536</v>
      </c>
      <c r="E12" s="417"/>
      <c r="F12" s="417" t="s">
        <v>536</v>
      </c>
      <c r="G12" s="417"/>
      <c r="H12" s="417" t="s">
        <v>536</v>
      </c>
      <c r="I12" s="417"/>
      <c r="J12" s="417" t="s">
        <v>536</v>
      </c>
      <c r="K12" s="417" t="s">
        <v>536</v>
      </c>
      <c r="L12" s="417" t="s">
        <v>536</v>
      </c>
      <c r="M12" s="417"/>
      <c r="N12" s="417" t="s">
        <v>536</v>
      </c>
      <c r="O12" s="417" t="s">
        <v>536</v>
      </c>
      <c r="P12" s="417"/>
      <c r="Q12" s="417" t="s">
        <v>536</v>
      </c>
      <c r="R12" s="417" t="s">
        <v>536</v>
      </c>
      <c r="S12" s="417"/>
      <c r="T12" s="417" t="s">
        <v>536</v>
      </c>
      <c r="U12" s="417"/>
      <c r="V12" s="417" t="s">
        <v>536</v>
      </c>
      <c r="W12" s="417" t="s">
        <v>536</v>
      </c>
      <c r="X12" s="417" t="s">
        <v>536</v>
      </c>
      <c r="Y12" s="417" t="s">
        <v>536</v>
      </c>
      <c r="Z12" s="417" t="s">
        <v>536</v>
      </c>
      <c r="AA12" s="417" t="s">
        <v>536</v>
      </c>
      <c r="AB12" s="417" t="s">
        <v>536</v>
      </c>
      <c r="AC12" s="417" t="s">
        <v>536</v>
      </c>
      <c r="AD12" s="417" t="s">
        <v>536</v>
      </c>
      <c r="AE12" s="417" t="s">
        <v>536</v>
      </c>
      <c r="AF12" s="417" t="s">
        <v>536</v>
      </c>
      <c r="AG12" s="417"/>
      <c r="AH12" s="417" t="s">
        <v>536</v>
      </c>
      <c r="AI12" s="423">
        <f t="shared" si="0"/>
        <v>23</v>
      </c>
      <c r="AJ12" s="423"/>
    </row>
    <row r="13" spans="1:36" ht="16.5" customHeight="1">
      <c r="A13" s="414">
        <v>7</v>
      </c>
      <c r="B13" s="415" t="s">
        <v>2324</v>
      </c>
      <c r="C13" s="416"/>
      <c r="D13" s="417" t="s">
        <v>536</v>
      </c>
      <c r="E13" s="417"/>
      <c r="F13" s="417"/>
      <c r="G13" s="417" t="s">
        <v>536</v>
      </c>
      <c r="H13" s="417" t="s">
        <v>536</v>
      </c>
      <c r="I13" s="417"/>
      <c r="J13" s="417" t="s">
        <v>536</v>
      </c>
      <c r="K13" s="417" t="s">
        <v>536</v>
      </c>
      <c r="L13" s="417" t="s">
        <v>536</v>
      </c>
      <c r="M13" s="417"/>
      <c r="N13" s="417" t="s">
        <v>536</v>
      </c>
      <c r="O13" s="417" t="s">
        <v>536</v>
      </c>
      <c r="P13" s="417"/>
      <c r="Q13" s="417" t="s">
        <v>536</v>
      </c>
      <c r="R13" s="417" t="s">
        <v>536</v>
      </c>
      <c r="S13" s="417"/>
      <c r="T13" s="417" t="s">
        <v>536</v>
      </c>
      <c r="U13" s="417" t="s">
        <v>536</v>
      </c>
      <c r="V13" s="417" t="s">
        <v>536</v>
      </c>
      <c r="W13" s="417" t="s">
        <v>536</v>
      </c>
      <c r="X13" s="417" t="s">
        <v>536</v>
      </c>
      <c r="Y13" s="417" t="s">
        <v>536</v>
      </c>
      <c r="Z13" s="417" t="s">
        <v>536</v>
      </c>
      <c r="AA13" s="417" t="s">
        <v>536</v>
      </c>
      <c r="AB13" s="417" t="s">
        <v>536</v>
      </c>
      <c r="AC13" s="417" t="s">
        <v>536</v>
      </c>
      <c r="AD13" s="417" t="s">
        <v>536</v>
      </c>
      <c r="AE13" s="417" t="s">
        <v>536</v>
      </c>
      <c r="AF13" s="417" t="s">
        <v>536</v>
      </c>
      <c r="AG13" s="417"/>
      <c r="AH13" s="417" t="s">
        <v>536</v>
      </c>
      <c r="AI13" s="423">
        <f t="shared" si="0"/>
        <v>24</v>
      </c>
      <c r="AJ13" s="423"/>
    </row>
    <row r="14" spans="1:36" ht="16.5" customHeight="1">
      <c r="A14" s="414">
        <v>8</v>
      </c>
      <c r="B14" s="415" t="s">
        <v>2325</v>
      </c>
      <c r="C14" s="416"/>
      <c r="D14" s="417" t="s">
        <v>536</v>
      </c>
      <c r="E14" s="417"/>
      <c r="F14" s="417" t="s">
        <v>536</v>
      </c>
      <c r="G14" s="417" t="s">
        <v>536</v>
      </c>
      <c r="H14" s="417" t="s">
        <v>536</v>
      </c>
      <c r="I14" s="417"/>
      <c r="J14" s="417" t="s">
        <v>536</v>
      </c>
      <c r="K14" s="417"/>
      <c r="L14" s="417" t="s">
        <v>536</v>
      </c>
      <c r="M14" s="417"/>
      <c r="N14" s="417" t="s">
        <v>536</v>
      </c>
      <c r="O14" s="417" t="s">
        <v>536</v>
      </c>
      <c r="P14" s="417"/>
      <c r="Q14" s="417" t="s">
        <v>536</v>
      </c>
      <c r="R14" s="417" t="s">
        <v>536</v>
      </c>
      <c r="S14" s="417"/>
      <c r="T14" s="417" t="s">
        <v>536</v>
      </c>
      <c r="U14" s="417" t="s">
        <v>536</v>
      </c>
      <c r="V14" s="417" t="s">
        <v>536</v>
      </c>
      <c r="W14" s="417" t="s">
        <v>536</v>
      </c>
      <c r="X14" s="417" t="s">
        <v>536</v>
      </c>
      <c r="Y14" s="417" t="s">
        <v>536</v>
      </c>
      <c r="Z14" s="417" t="s">
        <v>536</v>
      </c>
      <c r="AA14" s="417" t="s">
        <v>536</v>
      </c>
      <c r="AB14" s="417" t="s">
        <v>536</v>
      </c>
      <c r="AC14" s="417" t="s">
        <v>536</v>
      </c>
      <c r="AD14" s="417"/>
      <c r="AE14" s="417" t="s">
        <v>536</v>
      </c>
      <c r="AF14" s="417" t="s">
        <v>536</v>
      </c>
      <c r="AG14" s="417"/>
      <c r="AH14" s="417" t="s">
        <v>536</v>
      </c>
      <c r="AI14" s="423">
        <f t="shared" si="0"/>
        <v>23</v>
      </c>
      <c r="AJ14" s="423"/>
    </row>
    <row r="15" spans="1:36" ht="16.5" customHeight="1">
      <c r="A15" s="414">
        <v>9</v>
      </c>
      <c r="B15" s="415" t="s">
        <v>2349</v>
      </c>
      <c r="C15" s="416"/>
      <c r="D15" s="417"/>
      <c r="E15" s="417"/>
      <c r="F15" s="417"/>
      <c r="G15" s="417"/>
      <c r="H15" s="417"/>
      <c r="I15" s="417"/>
      <c r="J15" s="417" t="s">
        <v>536</v>
      </c>
      <c r="K15" s="417"/>
      <c r="L15" s="417" t="s">
        <v>536</v>
      </c>
      <c r="M15" s="417"/>
      <c r="N15" s="417" t="s">
        <v>536</v>
      </c>
      <c r="O15" s="417"/>
      <c r="P15" s="417"/>
      <c r="Q15" s="417" t="s">
        <v>536</v>
      </c>
      <c r="R15" s="417" t="s">
        <v>536</v>
      </c>
      <c r="S15" s="417"/>
      <c r="T15" s="417"/>
      <c r="U15" s="417"/>
      <c r="V15" s="417"/>
      <c r="W15" s="417"/>
      <c r="X15" s="417"/>
      <c r="Y15" s="417"/>
      <c r="Z15" s="417" t="s">
        <v>536</v>
      </c>
      <c r="AA15" s="417" t="s">
        <v>536</v>
      </c>
      <c r="AB15" s="417" t="s">
        <v>536</v>
      </c>
      <c r="AC15" s="417" t="s">
        <v>536</v>
      </c>
      <c r="AD15" s="417" t="s">
        <v>536</v>
      </c>
      <c r="AE15" s="417" t="s">
        <v>536</v>
      </c>
      <c r="AF15" s="417"/>
      <c r="AG15" s="417"/>
      <c r="AH15" s="417"/>
      <c r="AI15" s="423">
        <f t="shared" si="0"/>
        <v>11</v>
      </c>
      <c r="AJ15" s="423"/>
    </row>
    <row r="16" spans="1:36" ht="16.5" customHeight="1">
      <c r="A16" s="2876" t="s">
        <v>525</v>
      </c>
      <c r="B16" s="2877"/>
      <c r="C16" s="418"/>
      <c r="D16" s="413">
        <f>COUNTIF(D7:D15,"X")</f>
        <v>7</v>
      </c>
      <c r="E16" s="413">
        <f t="shared" ref="E16:AH16" si="1">COUNTIF(E9:E15,"X")</f>
        <v>0</v>
      </c>
      <c r="F16" s="413">
        <f t="shared" si="1"/>
        <v>4</v>
      </c>
      <c r="G16" s="413">
        <f t="shared" si="1"/>
        <v>5</v>
      </c>
      <c r="H16" s="413">
        <f t="shared" si="1"/>
        <v>5</v>
      </c>
      <c r="I16" s="413">
        <f t="shared" si="1"/>
        <v>0</v>
      </c>
      <c r="J16" s="413">
        <f t="shared" si="1"/>
        <v>6</v>
      </c>
      <c r="K16" s="413">
        <f t="shared" si="1"/>
        <v>4</v>
      </c>
      <c r="L16" s="413">
        <f t="shared" si="1"/>
        <v>6</v>
      </c>
      <c r="M16" s="413">
        <f t="shared" si="1"/>
        <v>0</v>
      </c>
      <c r="N16" s="413">
        <f t="shared" si="1"/>
        <v>6</v>
      </c>
      <c r="O16" s="413">
        <f t="shared" si="1"/>
        <v>5</v>
      </c>
      <c r="P16" s="413">
        <f t="shared" si="1"/>
        <v>0</v>
      </c>
      <c r="Q16" s="413">
        <f t="shared" si="1"/>
        <v>6</v>
      </c>
      <c r="R16" s="413">
        <f t="shared" si="1"/>
        <v>6</v>
      </c>
      <c r="S16" s="413">
        <f t="shared" si="1"/>
        <v>0</v>
      </c>
      <c r="T16" s="413">
        <f t="shared" si="1"/>
        <v>5</v>
      </c>
      <c r="U16" s="413">
        <f t="shared" si="1"/>
        <v>4</v>
      </c>
      <c r="V16" s="413">
        <f t="shared" si="1"/>
        <v>4</v>
      </c>
      <c r="W16" s="413">
        <f t="shared" si="1"/>
        <v>5</v>
      </c>
      <c r="X16" s="413">
        <f t="shared" si="1"/>
        <v>5</v>
      </c>
      <c r="Y16" s="413">
        <f t="shared" si="1"/>
        <v>5</v>
      </c>
      <c r="Z16" s="413">
        <f t="shared" si="1"/>
        <v>7</v>
      </c>
      <c r="AA16" s="413">
        <f t="shared" si="1"/>
        <v>7</v>
      </c>
      <c r="AB16" s="413">
        <f t="shared" si="1"/>
        <v>7</v>
      </c>
      <c r="AC16" s="413">
        <f t="shared" si="1"/>
        <v>7</v>
      </c>
      <c r="AD16" s="413">
        <f t="shared" si="1"/>
        <v>5</v>
      </c>
      <c r="AE16" s="413">
        <f t="shared" si="1"/>
        <v>7</v>
      </c>
      <c r="AF16" s="413">
        <f t="shared" si="1"/>
        <v>6</v>
      </c>
      <c r="AG16" s="413">
        <f t="shared" si="1"/>
        <v>0</v>
      </c>
      <c r="AH16" s="413">
        <f t="shared" si="1"/>
        <v>6</v>
      </c>
      <c r="AI16" s="413">
        <f>SUM(AI7:AI15)</f>
        <v>180</v>
      </c>
      <c r="AJ16" s="424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79" t="s">
        <v>2350</v>
      </c>
      <c r="Y18" s="2879"/>
      <c r="Z18" s="2879"/>
      <c r="AA18" s="2879"/>
      <c r="AB18" s="2879"/>
      <c r="AC18" s="2879"/>
      <c r="AD18" s="2879"/>
      <c r="AE18" s="2879"/>
      <c r="AF18" s="2879"/>
      <c r="AG18" s="2879"/>
      <c r="AH18" s="2879"/>
      <c r="AI18" s="2879"/>
      <c r="AJ18" s="2879"/>
    </row>
    <row r="19" spans="1:36" ht="15.75">
      <c r="B19" s="71" t="s">
        <v>12</v>
      </c>
      <c r="C19" s="71"/>
      <c r="E19" s="71"/>
      <c r="F19" s="71"/>
      <c r="G19" s="71" t="s">
        <v>2327</v>
      </c>
      <c r="H19" s="71"/>
      <c r="I19" s="71"/>
      <c r="J19" s="71"/>
      <c r="K19" s="71"/>
      <c r="L19" s="71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2459" t="s">
        <v>2351</v>
      </c>
      <c r="AA19" s="2459"/>
      <c r="AB19" s="2459"/>
      <c r="AC19" s="2459"/>
      <c r="AD19" s="2459"/>
      <c r="AE19" s="2459"/>
      <c r="AF19" s="2459"/>
      <c r="AG19" s="2459"/>
      <c r="AH19" s="2459"/>
      <c r="AI19" s="2459"/>
      <c r="AJ19" s="2459"/>
    </row>
    <row r="20" spans="1:36">
      <c r="A20" s="419" t="s">
        <v>536</v>
      </c>
      <c r="B20" s="420" t="s">
        <v>2328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2329</v>
      </c>
      <c r="B21" s="420" t="s">
        <v>2330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2331</v>
      </c>
      <c r="B22" s="420" t="s">
        <v>2332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2006</v>
      </c>
      <c r="B23" s="420" t="s">
        <v>2333</v>
      </c>
      <c r="C23" s="419"/>
    </row>
    <row r="24" spans="1:36">
      <c r="A24" s="419" t="s">
        <v>2334</v>
      </c>
      <c r="B24" s="420" t="s">
        <v>2335</v>
      </c>
      <c r="C24" s="419"/>
    </row>
    <row r="25" spans="1:36" ht="15.75">
      <c r="A25" s="92" t="s">
        <v>2336</v>
      </c>
      <c r="B25" s="421" t="s">
        <v>2337</v>
      </c>
      <c r="C25" s="246"/>
      <c r="D25" s="422"/>
      <c r="E25" s="422"/>
      <c r="F25" s="422"/>
      <c r="G25" s="2880"/>
      <c r="H25" s="2880"/>
      <c r="I25" s="2880"/>
      <c r="J25" s="2880"/>
      <c r="K25" s="2880"/>
      <c r="L25" s="2880"/>
      <c r="M25" s="2880"/>
      <c r="N25" s="2880"/>
      <c r="O25" s="2880"/>
      <c r="P25" s="2880"/>
      <c r="Z25" s="2459"/>
      <c r="AA25" s="2459"/>
      <c r="AB25" s="2459"/>
      <c r="AC25" s="2459"/>
      <c r="AD25" s="2459"/>
      <c r="AE25" s="2459"/>
      <c r="AF25" s="2459"/>
      <c r="AG25" s="2459"/>
      <c r="AH25" s="2459"/>
      <c r="AI25" s="2459"/>
      <c r="AJ25" s="2459"/>
    </row>
    <row r="26" spans="1:36" ht="15.75">
      <c r="A26" s="92" t="s">
        <v>2338</v>
      </c>
      <c r="B26" s="421" t="s">
        <v>2339</v>
      </c>
      <c r="C26" s="246"/>
      <c r="D26" s="246"/>
      <c r="E26" s="246"/>
      <c r="F26" s="246"/>
    </row>
    <row r="27" spans="1:36">
      <c r="A27" s="419" t="s">
        <v>2340</v>
      </c>
      <c r="B27" s="420" t="s">
        <v>2341</v>
      </c>
    </row>
    <row r="28" spans="1:36" s="174" customFormat="1">
      <c r="A28" s="419" t="s">
        <v>2342</v>
      </c>
      <c r="B28" s="420" t="s">
        <v>2343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2344</v>
      </c>
      <c r="B29" s="420" t="s">
        <v>2345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4" customWidth="1"/>
    <col min="2" max="2" width="43.42578125" style="384" customWidth="1"/>
    <col min="3" max="3" width="7.28515625" style="384" customWidth="1"/>
    <col min="4" max="4" width="8.7109375" style="384" customWidth="1"/>
    <col min="5" max="5" width="12.5703125" style="384" customWidth="1"/>
    <col min="6" max="6" width="8.7109375" style="384" customWidth="1"/>
    <col min="7" max="7" width="18.5703125" style="384" customWidth="1"/>
    <col min="8" max="8" width="7.5703125" style="384" customWidth="1"/>
    <col min="9" max="9" width="9.42578125" style="384" customWidth="1"/>
    <col min="10" max="10" width="13.140625" style="384" customWidth="1"/>
    <col min="11" max="11" width="18.5703125" style="384" customWidth="1"/>
    <col min="12" max="16384" width="9.140625" style="384"/>
  </cols>
  <sheetData>
    <row r="1" spans="1:15">
      <c r="A1" s="2887" t="s">
        <v>2352</v>
      </c>
      <c r="B1" s="2887"/>
    </row>
    <row r="2" spans="1:15" s="379" customFormat="1">
      <c r="A2" s="2888" t="s">
        <v>611</v>
      </c>
      <c r="B2" s="2888"/>
    </row>
    <row r="4" spans="1:15" s="380" customFormat="1" ht="22.5" customHeight="1">
      <c r="A4" s="2889" t="s">
        <v>2353</v>
      </c>
      <c r="B4" s="2889"/>
      <c r="C4" s="2889"/>
      <c r="D4" s="2889"/>
      <c r="E4" s="2889"/>
      <c r="F4" s="2889"/>
      <c r="G4" s="2889"/>
      <c r="H4" s="2889"/>
      <c r="I4" s="2889"/>
      <c r="J4" s="2889"/>
    </row>
    <row r="6" spans="1:15" s="381" customFormat="1" ht="65.25" customHeight="1">
      <c r="A6" s="385" t="s">
        <v>6</v>
      </c>
      <c r="B6" s="385" t="s">
        <v>2354</v>
      </c>
      <c r="C6" s="385" t="s">
        <v>2204</v>
      </c>
      <c r="D6" s="385" t="s">
        <v>2355</v>
      </c>
      <c r="E6" s="385" t="s">
        <v>2356</v>
      </c>
      <c r="F6" s="385" t="s">
        <v>2357</v>
      </c>
      <c r="G6" s="385" t="s">
        <v>2358</v>
      </c>
      <c r="H6" s="385" t="s">
        <v>2359</v>
      </c>
      <c r="I6" s="385" t="s">
        <v>2360</v>
      </c>
      <c r="J6" s="385" t="s">
        <v>12</v>
      </c>
    </row>
    <row r="7" spans="1:15" s="382" customFormat="1" ht="18.75" customHeight="1">
      <c r="A7" s="386" t="s">
        <v>1959</v>
      </c>
      <c r="B7" s="387" t="s">
        <v>2361</v>
      </c>
      <c r="C7" s="386" t="s">
        <v>2362</v>
      </c>
      <c r="D7" s="386"/>
      <c r="E7" s="386"/>
      <c r="F7" s="386"/>
      <c r="G7" s="388" t="e">
        <f>SUM(#REF!)</f>
        <v>#REF!</v>
      </c>
      <c r="H7" s="388"/>
      <c r="I7" s="396"/>
      <c r="J7" s="388"/>
    </row>
    <row r="8" spans="1:15" s="382" customFormat="1" ht="18.75" customHeight="1">
      <c r="A8" s="386" t="s">
        <v>1957</v>
      </c>
      <c r="B8" s="389" t="s">
        <v>2363</v>
      </c>
      <c r="C8" s="386" t="s">
        <v>2280</v>
      </c>
      <c r="D8" s="388"/>
      <c r="E8" s="388"/>
      <c r="F8" s="388"/>
      <c r="G8" s="388" t="e">
        <f>SUM(G9,G28,G31)</f>
        <v>#REF!</v>
      </c>
      <c r="H8" s="388"/>
      <c r="I8" s="396"/>
      <c r="J8" s="388"/>
    </row>
    <row r="9" spans="1:15" s="382" customFormat="1" ht="18.75" customHeight="1">
      <c r="A9" s="386">
        <v>1</v>
      </c>
      <c r="B9" s="389" t="s">
        <v>2364</v>
      </c>
      <c r="C9" s="386" t="s">
        <v>2280</v>
      </c>
      <c r="D9" s="388"/>
      <c r="E9" s="388"/>
      <c r="F9" s="388"/>
      <c r="G9" s="388" t="e">
        <f>SUM(G10,G23,G26,G27)</f>
        <v>#REF!</v>
      </c>
      <c r="H9" s="390"/>
      <c r="I9" s="396"/>
      <c r="J9" s="388"/>
    </row>
    <row r="10" spans="1:15" s="383" customFormat="1" ht="18.75" customHeight="1">
      <c r="A10" s="391">
        <v>1.1000000000000001</v>
      </c>
      <c r="B10" s="392" t="s">
        <v>2365</v>
      </c>
      <c r="C10" s="391" t="s">
        <v>2259</v>
      </c>
      <c r="D10" s="393" t="e">
        <f>SUM(D11:D22)</f>
        <v>#REF!</v>
      </c>
      <c r="E10" s="393" t="e">
        <f>SUM(E11:E22)</f>
        <v>#REF!</v>
      </c>
      <c r="F10" s="393"/>
      <c r="G10" s="393" t="e">
        <f>SUM(G11:G22)</f>
        <v>#REF!</v>
      </c>
      <c r="H10" s="393"/>
      <c r="I10" s="396"/>
      <c r="J10" s="393"/>
      <c r="L10" s="403" t="e">
        <f>+#REF!-'TH LƯƠNG NT1'!E10</f>
        <v>#REF!</v>
      </c>
    </row>
    <row r="11" spans="1:15" ht="18.75" customHeight="1">
      <c r="A11" s="394"/>
      <c r="B11" s="395" t="s">
        <v>2366</v>
      </c>
      <c r="C11" s="394" t="s">
        <v>2259</v>
      </c>
      <c r="D11" s="396" t="e">
        <f>+#REF!+#REF!+#REF!</f>
        <v>#REF!</v>
      </c>
      <c r="E11" s="396" t="e">
        <f>+'LƯƠNG KT'!#REF!+'LƯƠNG KT'!#REF!+'LƯƠNG KT'!#REF!</f>
        <v>#REF!</v>
      </c>
      <c r="F11" s="396">
        <v>1600</v>
      </c>
      <c r="G11" s="396" t="e">
        <f>F11*E11</f>
        <v>#REF!</v>
      </c>
      <c r="H11" s="396"/>
      <c r="I11" s="396"/>
      <c r="J11" s="396"/>
    </row>
    <row r="12" spans="1:15" ht="18.75" customHeight="1">
      <c r="A12" s="394"/>
      <c r="B12" s="395" t="s">
        <v>2367</v>
      </c>
      <c r="C12" s="394" t="s">
        <v>2259</v>
      </c>
      <c r="D12" s="396" t="e">
        <f>+#REF!</f>
        <v>#REF!</v>
      </c>
      <c r="E12" s="396" t="e">
        <f>+'LƯƠNG KT'!#REF!</f>
        <v>#REF!</v>
      </c>
      <c r="F12" s="396">
        <v>1900</v>
      </c>
      <c r="G12" s="396" t="e">
        <f t="shared" ref="G12:G22" si="0">F12*E12</f>
        <v>#REF!</v>
      </c>
      <c r="H12" s="396"/>
      <c r="I12" s="396"/>
      <c r="J12" s="396"/>
      <c r="L12" s="384" t="s">
        <v>2368</v>
      </c>
      <c r="M12" s="384" t="e">
        <f>+'LƯƠNG KT'!#REF!</f>
        <v>#REF!</v>
      </c>
      <c r="N12" s="401" t="e">
        <f>SUM(E11:E13)</f>
        <v>#REF!</v>
      </c>
      <c r="O12" s="401" t="e">
        <f>+M12-N12</f>
        <v>#REF!</v>
      </c>
    </row>
    <row r="13" spans="1:15" ht="18.75" customHeight="1">
      <c r="A13" s="394"/>
      <c r="B13" s="395" t="s">
        <v>2369</v>
      </c>
      <c r="C13" s="394" t="s">
        <v>2259</v>
      </c>
      <c r="D13" s="396" t="e">
        <f>+#REF!</f>
        <v>#REF!</v>
      </c>
      <c r="E13" s="396" t="e">
        <f>+'LƯƠNG KT'!#REF!</f>
        <v>#REF!</v>
      </c>
      <c r="F13" s="396">
        <v>1700</v>
      </c>
      <c r="G13" s="396" t="e">
        <f t="shared" si="0"/>
        <v>#REF!</v>
      </c>
      <c r="H13" s="396"/>
      <c r="I13" s="396"/>
      <c r="J13" s="396"/>
      <c r="L13" s="384" t="s">
        <v>2370</v>
      </c>
      <c r="M13" s="384" t="e">
        <f>+'LƯƠNG KT'!#REF!</f>
        <v>#REF!</v>
      </c>
      <c r="N13" s="401" t="e">
        <f>SUM(E14:E16)</f>
        <v>#REF!</v>
      </c>
      <c r="O13" s="401" t="e">
        <f>+M13-N13</f>
        <v>#REF!</v>
      </c>
    </row>
    <row r="14" spans="1:15" ht="18.75" customHeight="1">
      <c r="A14" s="394"/>
      <c r="B14" s="395" t="s">
        <v>2371</v>
      </c>
      <c r="C14" s="394" t="s">
        <v>2259</v>
      </c>
      <c r="D14" s="396" t="e">
        <f>+#REF!+#REF!+#REF!</f>
        <v>#REF!</v>
      </c>
      <c r="E14" s="396" t="e">
        <f>+'LƯƠNG KT'!#REF!+'LƯƠNG KT'!#REF!+'LƯƠNG KT'!#REF!</f>
        <v>#REF!</v>
      </c>
      <c r="F14" s="396">
        <v>1500</v>
      </c>
      <c r="G14" s="396" t="e">
        <f t="shared" si="0"/>
        <v>#REF!</v>
      </c>
      <c r="H14" s="396"/>
      <c r="I14" s="396"/>
      <c r="J14" s="396"/>
      <c r="L14" s="384" t="s">
        <v>2372</v>
      </c>
      <c r="M14" s="384" t="e">
        <f>+'LƯƠNG KT'!#REF!</f>
        <v>#REF!</v>
      </c>
      <c r="N14" s="401" t="e">
        <f>SUM(E17:E19)</f>
        <v>#REF!</v>
      </c>
      <c r="O14" s="401" t="e">
        <f>+M14-N14</f>
        <v>#REF!</v>
      </c>
    </row>
    <row r="15" spans="1:15" ht="18.75" customHeight="1">
      <c r="A15" s="394"/>
      <c r="B15" s="395" t="s">
        <v>2373</v>
      </c>
      <c r="C15" s="394" t="s">
        <v>2259</v>
      </c>
      <c r="D15" s="396" t="e">
        <f>+#REF!</f>
        <v>#REF!</v>
      </c>
      <c r="E15" s="397" t="e">
        <f>+'LƯƠNG KT'!#REF!</f>
        <v>#REF!</v>
      </c>
      <c r="F15" s="396">
        <v>1800</v>
      </c>
      <c r="G15" s="396" t="e">
        <f t="shared" si="0"/>
        <v>#REF!</v>
      </c>
      <c r="H15" s="396"/>
      <c r="I15" s="396"/>
      <c r="J15" s="396"/>
      <c r="L15" s="384" t="s">
        <v>2374</v>
      </c>
      <c r="M15" s="384" t="e">
        <f>+'LƯƠNG KT'!#REF!</f>
        <v>#REF!</v>
      </c>
      <c r="N15" s="401" t="e">
        <f>SUM(E20:E22)</f>
        <v>#REF!</v>
      </c>
      <c r="O15" s="401" t="e">
        <f>+M15-N15</f>
        <v>#REF!</v>
      </c>
    </row>
    <row r="16" spans="1:15" ht="18.75" customHeight="1">
      <c r="A16" s="394"/>
      <c r="B16" s="395" t="s">
        <v>2375</v>
      </c>
      <c r="C16" s="394" t="s">
        <v>2259</v>
      </c>
      <c r="D16" s="396" t="e">
        <f>+#REF!</f>
        <v>#REF!</v>
      </c>
      <c r="E16" s="396" t="e">
        <f>+'LƯƠNG KT'!#REF!</f>
        <v>#REF!</v>
      </c>
      <c r="F16" s="396">
        <v>1600</v>
      </c>
      <c r="G16" s="396" t="e">
        <f t="shared" si="0"/>
        <v>#REF!</v>
      </c>
      <c r="H16" s="396"/>
      <c r="I16" s="396"/>
      <c r="J16" s="396"/>
    </row>
    <row r="17" spans="1:14" ht="18.75" customHeight="1">
      <c r="A17" s="394"/>
      <c r="B17" s="395" t="s">
        <v>2376</v>
      </c>
      <c r="C17" s="394" t="s">
        <v>2259</v>
      </c>
      <c r="D17" s="396" t="e">
        <f>+#REF!+#REF!+#REF!</f>
        <v>#REF!</v>
      </c>
      <c r="E17" s="396" t="e">
        <f>+'LƯƠNG KT'!#REF!+'LƯƠNG KT'!#REF!+'LƯƠNG KT'!#REF!</f>
        <v>#REF!</v>
      </c>
      <c r="F17" s="396">
        <v>1400</v>
      </c>
      <c r="G17" s="396" t="e">
        <f t="shared" si="0"/>
        <v>#REF!</v>
      </c>
      <c r="H17" s="396"/>
      <c r="I17" s="396"/>
      <c r="J17" s="396"/>
      <c r="M17" s="384" t="e">
        <f>SUM(M12:M16)</f>
        <v>#REF!</v>
      </c>
      <c r="N17" s="384" t="e">
        <f>SUM(N12:N16)</f>
        <v>#REF!</v>
      </c>
    </row>
    <row r="18" spans="1:14" ht="18.75" customHeight="1">
      <c r="A18" s="394"/>
      <c r="B18" s="395" t="s">
        <v>2377</v>
      </c>
      <c r="C18" s="394" t="s">
        <v>2259</v>
      </c>
      <c r="D18" s="396" t="e">
        <f>+#REF!</f>
        <v>#REF!</v>
      </c>
      <c r="E18" s="396" t="e">
        <f>+'LƯƠNG KT'!#REF!</f>
        <v>#REF!</v>
      </c>
      <c r="F18" s="396">
        <v>1700</v>
      </c>
      <c r="G18" s="396" t="e">
        <f t="shared" si="0"/>
        <v>#REF!</v>
      </c>
      <c r="H18" s="396"/>
      <c r="I18" s="396"/>
      <c r="J18" s="396"/>
    </row>
    <row r="19" spans="1:14" ht="18.75" customHeight="1">
      <c r="A19" s="394"/>
      <c r="B19" s="395" t="s">
        <v>2378</v>
      </c>
      <c r="C19" s="394" t="s">
        <v>2259</v>
      </c>
      <c r="D19" s="396" t="e">
        <f>+#REF!</f>
        <v>#REF!</v>
      </c>
      <c r="E19" s="396" t="e">
        <f>+'LƯƠNG KT'!#REF!</f>
        <v>#REF!</v>
      </c>
      <c r="F19" s="396">
        <v>1500</v>
      </c>
      <c r="G19" s="396" t="e">
        <f t="shared" si="0"/>
        <v>#REF!</v>
      </c>
      <c r="H19" s="396"/>
      <c r="I19" s="396"/>
      <c r="J19" s="396"/>
    </row>
    <row r="20" spans="1:14" ht="18.75" customHeight="1">
      <c r="A20" s="394"/>
      <c r="B20" s="395" t="s">
        <v>2379</v>
      </c>
      <c r="C20" s="394" t="s">
        <v>2259</v>
      </c>
      <c r="D20" s="396" t="e">
        <f>+#REF!+#REF!+#REF!</f>
        <v>#REF!</v>
      </c>
      <c r="E20" s="396" t="e">
        <f>+'LƯƠNG KT'!#REF!+'LƯƠNG KT'!#REF!+'LƯƠNG KT'!#REF!</f>
        <v>#REF!</v>
      </c>
      <c r="F20" s="396">
        <v>1300</v>
      </c>
      <c r="G20" s="396" t="e">
        <f t="shared" si="0"/>
        <v>#REF!</v>
      </c>
      <c r="H20" s="396"/>
      <c r="I20" s="396"/>
      <c r="J20" s="396"/>
    </row>
    <row r="21" spans="1:14" ht="18.75" customHeight="1">
      <c r="A21" s="394"/>
      <c r="B21" s="395" t="s">
        <v>2380</v>
      </c>
      <c r="C21" s="394" t="s">
        <v>2259</v>
      </c>
      <c r="D21" s="396" t="e">
        <f>+#REF!</f>
        <v>#REF!</v>
      </c>
      <c r="E21" s="396" t="e">
        <f>+'LƯƠNG KT'!#REF!</f>
        <v>#REF!</v>
      </c>
      <c r="F21" s="396">
        <v>1600</v>
      </c>
      <c r="G21" s="396" t="e">
        <f t="shared" si="0"/>
        <v>#REF!</v>
      </c>
      <c r="H21" s="396"/>
      <c r="I21" s="396"/>
      <c r="J21" s="396"/>
    </row>
    <row r="22" spans="1:14" ht="18.75" customHeight="1">
      <c r="A22" s="394"/>
      <c r="B22" s="395" t="s">
        <v>2381</v>
      </c>
      <c r="C22" s="394" t="s">
        <v>2259</v>
      </c>
      <c r="D22" s="396" t="e">
        <f>+#REF!</f>
        <v>#REF!</v>
      </c>
      <c r="E22" s="396" t="e">
        <f>+'LƯƠNG KT'!#REF!</f>
        <v>#REF!</v>
      </c>
      <c r="F22" s="396">
        <v>1400</v>
      </c>
      <c r="G22" s="396" t="e">
        <f t="shared" si="0"/>
        <v>#REF!</v>
      </c>
      <c r="H22" s="396"/>
      <c r="I22" s="396"/>
      <c r="J22" s="396"/>
    </row>
    <row r="23" spans="1:14" s="383" customFormat="1" ht="18.75" customHeight="1">
      <c r="A23" s="391">
        <v>1.2</v>
      </c>
      <c r="B23" s="392" t="s">
        <v>2382</v>
      </c>
      <c r="C23" s="391" t="s">
        <v>2280</v>
      </c>
      <c r="D23" s="393" t="e">
        <f>SUM(D24:D25)</f>
        <v>#REF!</v>
      </c>
      <c r="E23" s="398"/>
      <c r="F23" s="393"/>
      <c r="G23" s="393" t="e">
        <f>SUM(G24:G25)</f>
        <v>#REF!</v>
      </c>
      <c r="H23" s="393"/>
      <c r="I23" s="393"/>
      <c r="J23" s="393"/>
    </row>
    <row r="24" spans="1:14" ht="18.75" customHeight="1">
      <c r="A24" s="394"/>
      <c r="B24" s="395" t="s">
        <v>2383</v>
      </c>
      <c r="C24" s="394" t="s">
        <v>2278</v>
      </c>
      <c r="D24" s="396" t="e">
        <f>+#REF!</f>
        <v>#REF!</v>
      </c>
      <c r="E24" s="399"/>
      <c r="F24" s="396">
        <v>25000</v>
      </c>
      <c r="G24" s="396" t="e">
        <f>F24*D24</f>
        <v>#REF!</v>
      </c>
      <c r="H24" s="396"/>
      <c r="I24" s="396"/>
      <c r="J24" s="396"/>
    </row>
    <row r="25" spans="1:14" ht="18.75" customHeight="1">
      <c r="A25" s="394"/>
      <c r="B25" s="395" t="s">
        <v>2384</v>
      </c>
      <c r="C25" s="394" t="s">
        <v>2278</v>
      </c>
      <c r="D25" s="396" t="e">
        <f>+#REF!</f>
        <v>#REF!</v>
      </c>
      <c r="E25" s="396"/>
      <c r="F25" s="396">
        <v>35000</v>
      </c>
      <c r="G25" s="396" t="e">
        <f>F25*D25</f>
        <v>#REF!</v>
      </c>
      <c r="H25" s="396"/>
      <c r="I25" s="396"/>
      <c r="J25" s="396"/>
    </row>
    <row r="26" spans="1:14" s="383" customFormat="1" ht="18.75" customHeight="1">
      <c r="A26" s="391">
        <v>1.3</v>
      </c>
      <c r="B26" s="392" t="s">
        <v>2385</v>
      </c>
      <c r="C26" s="391" t="s">
        <v>2278</v>
      </c>
      <c r="D26" s="393"/>
      <c r="E26" s="393"/>
      <c r="F26" s="393">
        <v>10000</v>
      </c>
      <c r="G26" s="393">
        <f>+D26*F26</f>
        <v>0</v>
      </c>
      <c r="H26" s="393"/>
      <c r="I26" s="393"/>
      <c r="J26" s="393"/>
    </row>
    <row r="27" spans="1:14" s="383" customFormat="1" ht="18.75" customHeight="1">
      <c r="A27" s="391">
        <v>1.4</v>
      </c>
      <c r="B27" s="392" t="s">
        <v>2386</v>
      </c>
      <c r="C27" s="391" t="s">
        <v>2278</v>
      </c>
      <c r="D27" s="400"/>
      <c r="E27" s="393"/>
      <c r="F27" s="393"/>
      <c r="G27" s="393" t="e">
        <f>SUM('LƯƠNG KT'!#REF!,'LƯƠNG KT'!#REF!,'LƯƠNG KT'!#REF!,'LƯƠNG KT'!#REF!,'LƯƠNG KT'!#REF!)</f>
        <v>#REF!</v>
      </c>
      <c r="H27" s="393"/>
      <c r="I27" s="393"/>
      <c r="J27" s="393"/>
    </row>
    <row r="28" spans="1:14" s="382" customFormat="1" ht="18.75" customHeight="1">
      <c r="A28" s="386">
        <v>2</v>
      </c>
      <c r="B28" s="389" t="s">
        <v>2387</v>
      </c>
      <c r="C28" s="386" t="s">
        <v>2280</v>
      </c>
      <c r="D28" s="388"/>
      <c r="E28" s="388"/>
      <c r="F28" s="388"/>
      <c r="G28" s="388" t="e">
        <f>SUM(G29,G30)</f>
        <v>#REF!</v>
      </c>
      <c r="H28" s="388"/>
      <c r="I28" s="388"/>
      <c r="J28" s="388"/>
    </row>
    <row r="29" spans="1:14" s="383" customFormat="1" ht="18.75" customHeight="1">
      <c r="A29" s="391">
        <v>2.1</v>
      </c>
      <c r="B29" s="392" t="s">
        <v>2388</v>
      </c>
      <c r="C29" s="391" t="s">
        <v>2280</v>
      </c>
      <c r="D29" s="393"/>
      <c r="E29" s="393"/>
      <c r="F29" s="393"/>
      <c r="G29" s="393" t="e">
        <f>SUM('LƯƠNG KT'!#REF!,'LƯƠNG KT'!#REF!,'LƯƠNG KT'!#REF!,'LƯƠNG KT'!#REF!,'LƯƠNG KT'!#REF!)</f>
        <v>#REF!</v>
      </c>
      <c r="H29" s="393"/>
      <c r="I29" s="393"/>
      <c r="J29" s="393"/>
    </row>
    <row r="30" spans="1:14" s="383" customFormat="1" ht="18.75" customHeight="1">
      <c r="A30" s="391">
        <v>2.2000000000000002</v>
      </c>
      <c r="B30" s="392" t="s">
        <v>2389</v>
      </c>
      <c r="C30" s="391" t="s">
        <v>2280</v>
      </c>
      <c r="D30" s="393"/>
      <c r="E30" s="393"/>
      <c r="F30" s="393"/>
      <c r="G30" s="393">
        <f>+F30*D30*31</f>
        <v>0</v>
      </c>
      <c r="H30" s="393"/>
      <c r="I30" s="393"/>
      <c r="J30" s="393"/>
    </row>
    <row r="31" spans="1:14" s="382" customFormat="1" ht="18.75" customHeight="1">
      <c r="A31" s="386">
        <v>3</v>
      </c>
      <c r="B31" s="389" t="s">
        <v>2390</v>
      </c>
      <c r="C31" s="386"/>
      <c r="D31" s="388"/>
      <c r="E31" s="388"/>
      <c r="F31" s="388"/>
      <c r="G31" s="388"/>
      <c r="H31" s="388"/>
      <c r="I31" s="388"/>
      <c r="J31" s="388"/>
    </row>
    <row r="32" spans="1:14" s="382" customFormat="1" ht="18.75" customHeight="1">
      <c r="A32" s="386" t="s">
        <v>1958</v>
      </c>
      <c r="B32" s="389" t="s">
        <v>2391</v>
      </c>
      <c r="C32" s="386" t="s">
        <v>2280</v>
      </c>
      <c r="D32" s="388"/>
      <c r="E32" s="388"/>
      <c r="F32" s="388"/>
      <c r="G32" s="388" t="e">
        <f>SUM(G33,G40,G51,G62,G65,G66)</f>
        <v>#REF!</v>
      </c>
      <c r="H32" s="388"/>
      <c r="I32" s="388"/>
      <c r="J32" s="388"/>
    </row>
    <row r="33" spans="1:10" s="382" customFormat="1" ht="18.75" customHeight="1">
      <c r="A33" s="386">
        <v>1</v>
      </c>
      <c r="B33" s="389" t="s">
        <v>2392</v>
      </c>
      <c r="C33" s="386" t="s">
        <v>2280</v>
      </c>
      <c r="D33" s="388"/>
      <c r="E33" s="388"/>
      <c r="F33" s="388"/>
      <c r="G33" s="388">
        <f>SUM(G35:G39)</f>
        <v>15883750</v>
      </c>
      <c r="H33" s="388"/>
      <c r="I33" s="388"/>
      <c r="J33" s="388"/>
    </row>
    <row r="34" spans="1:10" ht="18.75" customHeight="1">
      <c r="A34" s="394"/>
      <c r="B34" s="395" t="s">
        <v>2393</v>
      </c>
      <c r="C34" s="394" t="s">
        <v>2278</v>
      </c>
      <c r="D34" s="399"/>
      <c r="E34" s="396"/>
      <c r="F34" s="396"/>
      <c r="G34" s="401"/>
      <c r="H34" s="396"/>
      <c r="I34" s="396"/>
      <c r="J34" s="396"/>
    </row>
    <row r="35" spans="1:10" ht="18.75" customHeight="1">
      <c r="A35" s="394"/>
      <c r="B35" s="395" t="s">
        <v>2394</v>
      </c>
      <c r="C35" s="394" t="s">
        <v>2278</v>
      </c>
      <c r="D35" s="399">
        <v>309.43</v>
      </c>
      <c r="E35" s="396"/>
      <c r="F35" s="396">
        <v>25000</v>
      </c>
      <c r="G35" s="396">
        <f>+D35*F35</f>
        <v>7735750</v>
      </c>
      <c r="H35" s="396"/>
      <c r="I35" s="396"/>
      <c r="J35" s="396"/>
    </row>
    <row r="36" spans="1:10" ht="18.75" customHeight="1">
      <c r="A36" s="394"/>
      <c r="B36" s="395" t="s">
        <v>2395</v>
      </c>
      <c r="C36" s="394" t="s">
        <v>2278</v>
      </c>
      <c r="D36" s="396"/>
      <c r="E36" s="396"/>
      <c r="F36" s="396"/>
      <c r="G36" s="396"/>
      <c r="H36" s="396"/>
      <c r="I36" s="396"/>
      <c r="J36" s="396"/>
    </row>
    <row r="37" spans="1:10" ht="18.75" customHeight="1">
      <c r="A37" s="394"/>
      <c r="B37" s="395" t="s">
        <v>2396</v>
      </c>
      <c r="C37" s="394" t="s">
        <v>2278</v>
      </c>
      <c r="D37" s="399">
        <v>325.92</v>
      </c>
      <c r="E37" s="396"/>
      <c r="F37" s="396">
        <v>25000</v>
      </c>
      <c r="G37" s="396">
        <f>+D37*F37</f>
        <v>8148000</v>
      </c>
      <c r="H37" s="396"/>
      <c r="I37" s="396"/>
      <c r="J37" s="396"/>
    </row>
    <row r="38" spans="1:10" ht="18.75" customHeight="1">
      <c r="A38" s="394"/>
      <c r="B38" s="395" t="s">
        <v>2397</v>
      </c>
      <c r="C38" s="394" t="s">
        <v>2278</v>
      </c>
      <c r="D38" s="399"/>
      <c r="E38" s="396"/>
      <c r="F38" s="396">
        <v>25000</v>
      </c>
      <c r="G38" s="396">
        <f>+D38*F38</f>
        <v>0</v>
      </c>
      <c r="H38" s="396"/>
      <c r="I38" s="396"/>
      <c r="J38" s="396"/>
    </row>
    <row r="39" spans="1:10" ht="18.75" customHeight="1">
      <c r="A39" s="394"/>
      <c r="B39" s="395" t="s">
        <v>2398</v>
      </c>
      <c r="C39" s="394" t="s">
        <v>2278</v>
      </c>
      <c r="D39" s="399"/>
      <c r="E39" s="396"/>
      <c r="F39" s="396">
        <v>25000</v>
      </c>
      <c r="G39" s="396">
        <f>+D39*F39</f>
        <v>0</v>
      </c>
      <c r="H39" s="396"/>
      <c r="I39" s="396"/>
      <c r="J39" s="396"/>
    </row>
    <row r="40" spans="1:10" s="382" customFormat="1" ht="18.75" customHeight="1">
      <c r="A40" s="386">
        <v>2</v>
      </c>
      <c r="B40" s="389" t="s">
        <v>2399</v>
      </c>
      <c r="C40" s="386" t="s">
        <v>2280</v>
      </c>
      <c r="D40" s="402"/>
      <c r="E40" s="388"/>
      <c r="F40" s="388"/>
      <c r="G40" s="388">
        <f>SUM(G41:G50)</f>
        <v>0</v>
      </c>
      <c r="H40" s="388"/>
      <c r="I40" s="388"/>
      <c r="J40" s="388"/>
    </row>
    <row r="41" spans="1:10" ht="18.75" customHeight="1">
      <c r="A41" s="394"/>
      <c r="B41" s="395" t="s">
        <v>2400</v>
      </c>
      <c r="C41" s="394" t="s">
        <v>2278</v>
      </c>
      <c r="D41" s="399"/>
      <c r="E41" s="396"/>
      <c r="F41" s="396">
        <v>25000</v>
      </c>
      <c r="G41" s="396">
        <f t="shared" ref="G41:G48" si="1">+F41*D41</f>
        <v>0</v>
      </c>
      <c r="H41" s="396"/>
      <c r="I41" s="396"/>
      <c r="J41" s="396"/>
    </row>
    <row r="42" spans="1:10" ht="18.75" customHeight="1">
      <c r="A42" s="394"/>
      <c r="B42" s="395" t="s">
        <v>2401</v>
      </c>
      <c r="C42" s="394" t="s">
        <v>2278</v>
      </c>
      <c r="D42" s="399"/>
      <c r="E42" s="396"/>
      <c r="F42" s="396">
        <v>25000</v>
      </c>
      <c r="G42" s="396">
        <f t="shared" si="1"/>
        <v>0</v>
      </c>
      <c r="H42" s="396"/>
      <c r="I42" s="396"/>
      <c r="J42" s="396"/>
    </row>
    <row r="43" spans="1:10" ht="18.75" customHeight="1">
      <c r="A43" s="394"/>
      <c r="B43" s="395" t="s">
        <v>2402</v>
      </c>
      <c r="C43" s="394" t="s">
        <v>2278</v>
      </c>
      <c r="D43" s="399"/>
      <c r="E43" s="396"/>
      <c r="F43" s="396">
        <v>25000</v>
      </c>
      <c r="G43" s="396">
        <f t="shared" si="1"/>
        <v>0</v>
      </c>
      <c r="H43" s="396"/>
      <c r="I43" s="396"/>
      <c r="J43" s="396"/>
    </row>
    <row r="44" spans="1:10" ht="18.75" customHeight="1">
      <c r="A44" s="394"/>
      <c r="B44" s="395" t="s">
        <v>2403</v>
      </c>
      <c r="C44" s="394" t="s">
        <v>2278</v>
      </c>
      <c r="D44" s="399"/>
      <c r="E44" s="396"/>
      <c r="F44" s="396">
        <v>25000</v>
      </c>
      <c r="G44" s="396">
        <f t="shared" si="1"/>
        <v>0</v>
      </c>
      <c r="H44" s="396"/>
      <c r="I44" s="396"/>
      <c r="J44" s="396"/>
    </row>
    <row r="45" spans="1:10" ht="18.75" customHeight="1">
      <c r="A45" s="394"/>
      <c r="B45" s="395" t="s">
        <v>2404</v>
      </c>
      <c r="C45" s="394" t="s">
        <v>2278</v>
      </c>
      <c r="D45" s="399"/>
      <c r="E45" s="396"/>
      <c r="F45" s="396">
        <v>25000</v>
      </c>
      <c r="G45" s="396">
        <f t="shared" si="1"/>
        <v>0</v>
      </c>
      <c r="H45" s="396"/>
      <c r="I45" s="396"/>
      <c r="J45" s="396"/>
    </row>
    <row r="46" spans="1:10" ht="18.75" customHeight="1">
      <c r="A46" s="394"/>
      <c r="B46" s="395" t="s">
        <v>2405</v>
      </c>
      <c r="C46" s="394" t="s">
        <v>2278</v>
      </c>
      <c r="D46" s="399"/>
      <c r="E46" s="396"/>
      <c r="F46" s="396">
        <v>25000</v>
      </c>
      <c r="G46" s="396">
        <f t="shared" si="1"/>
        <v>0</v>
      </c>
      <c r="H46" s="396"/>
      <c r="I46" s="396"/>
      <c r="J46" s="396"/>
    </row>
    <row r="47" spans="1:10" ht="18.75" customHeight="1">
      <c r="A47" s="394"/>
      <c r="B47" s="395" t="s">
        <v>2406</v>
      </c>
      <c r="C47" s="394" t="s">
        <v>2278</v>
      </c>
      <c r="D47" s="399"/>
      <c r="E47" s="396"/>
      <c r="F47" s="396">
        <v>25000</v>
      </c>
      <c r="G47" s="396">
        <f t="shared" si="1"/>
        <v>0</v>
      </c>
      <c r="H47" s="396"/>
      <c r="I47" s="396"/>
      <c r="J47" s="396"/>
    </row>
    <row r="48" spans="1:10" ht="18.75" customHeight="1">
      <c r="A48" s="394"/>
      <c r="B48" s="395" t="s">
        <v>2407</v>
      </c>
      <c r="C48" s="394" t="s">
        <v>2278</v>
      </c>
      <c r="D48" s="396"/>
      <c r="E48" s="396"/>
      <c r="F48" s="396">
        <v>25000</v>
      </c>
      <c r="G48" s="396">
        <f t="shared" si="1"/>
        <v>0</v>
      </c>
      <c r="H48" s="396"/>
      <c r="I48" s="396"/>
      <c r="J48" s="396"/>
    </row>
    <row r="49" spans="1:10" ht="18.75" customHeight="1">
      <c r="A49" s="394"/>
      <c r="B49" s="395" t="s">
        <v>2408</v>
      </c>
      <c r="C49" s="394" t="s">
        <v>2278</v>
      </c>
      <c r="D49" s="396"/>
      <c r="E49" s="396"/>
      <c r="F49" s="396"/>
      <c r="G49" s="396"/>
      <c r="H49" s="396"/>
      <c r="I49" s="396"/>
      <c r="J49" s="396"/>
    </row>
    <row r="50" spans="1:10" ht="18.75" customHeight="1">
      <c r="A50" s="394"/>
      <c r="B50" s="395" t="s">
        <v>2409</v>
      </c>
      <c r="C50" s="394" t="s">
        <v>2278</v>
      </c>
      <c r="D50" s="396"/>
      <c r="E50" s="396"/>
      <c r="F50" s="396"/>
      <c r="G50" s="396"/>
      <c r="H50" s="396"/>
      <c r="I50" s="396"/>
      <c r="J50" s="396"/>
    </row>
    <row r="51" spans="1:10" s="382" customFormat="1" ht="18.75" customHeight="1">
      <c r="A51" s="386">
        <v>3</v>
      </c>
      <c r="B51" s="389" t="s">
        <v>2410</v>
      </c>
      <c r="C51" s="386" t="s">
        <v>2280</v>
      </c>
      <c r="D51" s="388"/>
      <c r="E51" s="388"/>
      <c r="F51" s="388"/>
      <c r="G51" s="388">
        <f>SUM(G52:G61)</f>
        <v>6588750</v>
      </c>
      <c r="H51" s="388"/>
      <c r="I51" s="388"/>
      <c r="J51" s="388"/>
    </row>
    <row r="52" spans="1:10" ht="18.75" customHeight="1">
      <c r="A52" s="394"/>
      <c r="B52" s="395" t="s">
        <v>2400</v>
      </c>
      <c r="C52" s="394" t="s">
        <v>2278</v>
      </c>
      <c r="D52" s="399">
        <v>67.98</v>
      </c>
      <c r="E52" s="396"/>
      <c r="F52" s="396">
        <v>25000</v>
      </c>
      <c r="G52" s="396">
        <f>+F52*D52</f>
        <v>1699500</v>
      </c>
      <c r="H52" s="396"/>
      <c r="I52" s="396"/>
      <c r="J52" s="396"/>
    </row>
    <row r="53" spans="1:10" ht="18.75" customHeight="1">
      <c r="A53" s="394"/>
      <c r="B53" s="395" t="s">
        <v>2401</v>
      </c>
      <c r="C53" s="394" t="s">
        <v>2278</v>
      </c>
      <c r="D53" s="399">
        <v>121.71</v>
      </c>
      <c r="E53" s="396"/>
      <c r="F53" s="396">
        <v>25000</v>
      </c>
      <c r="G53" s="396">
        <f>+F53*D53</f>
        <v>3042750</v>
      </c>
      <c r="H53" s="396"/>
      <c r="I53" s="396"/>
      <c r="J53" s="396"/>
    </row>
    <row r="54" spans="1:10" ht="18.75" customHeight="1">
      <c r="A54" s="394"/>
      <c r="B54" s="395" t="s">
        <v>2402</v>
      </c>
      <c r="C54" s="394" t="s">
        <v>2278</v>
      </c>
      <c r="D54" s="399"/>
      <c r="E54" s="396"/>
      <c r="F54" s="396">
        <v>25000</v>
      </c>
      <c r="G54" s="396">
        <f>+F54*D54</f>
        <v>0</v>
      </c>
      <c r="H54" s="396"/>
      <c r="I54" s="396"/>
      <c r="J54" s="396"/>
    </row>
    <row r="55" spans="1:10" ht="18.75" customHeight="1">
      <c r="A55" s="394"/>
      <c r="B55" s="395" t="s">
        <v>2403</v>
      </c>
      <c r="C55" s="394" t="s">
        <v>2278</v>
      </c>
      <c r="D55" s="399">
        <v>7.08</v>
      </c>
      <c r="E55" s="396"/>
      <c r="F55" s="396">
        <v>25000</v>
      </c>
      <c r="G55" s="396">
        <f>+F55*D55</f>
        <v>177000</v>
      </c>
      <c r="H55" s="396"/>
      <c r="I55" s="396"/>
      <c r="J55" s="396"/>
    </row>
    <row r="56" spans="1:10" ht="18.75" customHeight="1">
      <c r="A56" s="394"/>
      <c r="B56" s="395" t="s">
        <v>2404</v>
      </c>
      <c r="C56" s="394" t="s">
        <v>2278</v>
      </c>
      <c r="D56" s="399"/>
      <c r="E56" s="396"/>
      <c r="F56" s="396"/>
      <c r="G56" s="396"/>
      <c r="H56" s="396"/>
      <c r="I56" s="396"/>
      <c r="J56" s="396"/>
    </row>
    <row r="57" spans="1:10" ht="18.75" customHeight="1">
      <c r="A57" s="394"/>
      <c r="B57" s="395" t="s">
        <v>2405</v>
      </c>
      <c r="C57" s="394" t="s">
        <v>2278</v>
      </c>
      <c r="D57" s="399"/>
      <c r="E57" s="396"/>
      <c r="F57" s="396">
        <v>25000</v>
      </c>
      <c r="G57" s="396">
        <f>+D57*F57</f>
        <v>0</v>
      </c>
      <c r="H57" s="396"/>
      <c r="I57" s="396"/>
      <c r="J57" s="396"/>
    </row>
    <row r="58" spans="1:10" ht="18.75" customHeight="1">
      <c r="A58" s="394"/>
      <c r="B58" s="395" t="s">
        <v>2406</v>
      </c>
      <c r="C58" s="394" t="s">
        <v>2278</v>
      </c>
      <c r="D58" s="399">
        <f>31.83+34.95</f>
        <v>66.78</v>
      </c>
      <c r="E58" s="396"/>
      <c r="F58" s="396">
        <v>25000</v>
      </c>
      <c r="G58" s="396">
        <f>+D58*F58</f>
        <v>1669500</v>
      </c>
      <c r="H58" s="396"/>
      <c r="I58" s="396"/>
      <c r="J58" s="396"/>
    </row>
    <row r="59" spans="1:10" ht="18.75" customHeight="1">
      <c r="A59" s="394"/>
      <c r="B59" s="395" t="s">
        <v>2407</v>
      </c>
      <c r="C59" s="394" t="s">
        <v>2278</v>
      </c>
      <c r="D59" s="396"/>
      <c r="E59" s="396"/>
      <c r="F59" s="396"/>
      <c r="G59" s="396"/>
      <c r="H59" s="396"/>
      <c r="I59" s="396"/>
      <c r="J59" s="396"/>
    </row>
    <row r="60" spans="1:10" ht="18.75" customHeight="1">
      <c r="A60" s="394"/>
      <c r="B60" s="395" t="s">
        <v>2408</v>
      </c>
      <c r="C60" s="394" t="s">
        <v>2278</v>
      </c>
      <c r="D60" s="396"/>
      <c r="E60" s="396"/>
      <c r="F60" s="396"/>
      <c r="G60" s="396"/>
      <c r="H60" s="396"/>
      <c r="I60" s="396"/>
      <c r="J60" s="396"/>
    </row>
    <row r="61" spans="1:10" ht="18.75" customHeight="1">
      <c r="A61" s="394"/>
      <c r="B61" s="395" t="s">
        <v>2409</v>
      </c>
      <c r="C61" s="394" t="s">
        <v>2278</v>
      </c>
      <c r="D61" s="396"/>
      <c r="E61" s="396"/>
      <c r="F61" s="396"/>
      <c r="G61" s="396"/>
      <c r="H61" s="396"/>
      <c r="I61" s="396"/>
      <c r="J61" s="396"/>
    </row>
    <row r="62" spans="1:10" s="382" customFormat="1" ht="18.75" customHeight="1">
      <c r="A62" s="386">
        <v>4</v>
      </c>
      <c r="B62" s="389" t="s">
        <v>2411</v>
      </c>
      <c r="C62" s="386" t="s">
        <v>2280</v>
      </c>
      <c r="D62" s="388"/>
      <c r="E62" s="388"/>
      <c r="F62" s="388"/>
      <c r="G62" s="388">
        <f>SUM(G63:G64)</f>
        <v>0</v>
      </c>
      <c r="H62" s="388"/>
      <c r="I62" s="388"/>
      <c r="J62" s="388"/>
    </row>
    <row r="63" spans="1:10" ht="18.75" customHeight="1">
      <c r="A63" s="394"/>
      <c r="B63" s="395" t="s">
        <v>2412</v>
      </c>
      <c r="C63" s="394" t="s">
        <v>2278</v>
      </c>
      <c r="D63" s="396"/>
      <c r="E63" s="396"/>
      <c r="F63" s="396"/>
      <c r="G63" s="396"/>
      <c r="H63" s="396"/>
      <c r="I63" s="396"/>
      <c r="J63" s="396"/>
    </row>
    <row r="64" spans="1:10" ht="18.75" customHeight="1">
      <c r="A64" s="394"/>
      <c r="B64" s="395" t="s">
        <v>2409</v>
      </c>
      <c r="C64" s="394" t="s">
        <v>2278</v>
      </c>
      <c r="D64" s="396"/>
      <c r="E64" s="396"/>
      <c r="F64" s="396">
        <v>25000</v>
      </c>
      <c r="G64" s="396">
        <f>+F64*D64</f>
        <v>0</v>
      </c>
      <c r="H64" s="396"/>
      <c r="I64" s="396"/>
      <c r="J64" s="396"/>
    </row>
    <row r="65" spans="1:11" s="382" customFormat="1" ht="18.75" customHeight="1">
      <c r="A65" s="386">
        <v>5</v>
      </c>
      <c r="B65" s="389" t="s">
        <v>2413</v>
      </c>
      <c r="C65" s="386" t="s">
        <v>2280</v>
      </c>
      <c r="D65" s="402"/>
      <c r="E65" s="388"/>
      <c r="F65" s="388"/>
      <c r="G65" s="388"/>
      <c r="H65" s="388"/>
      <c r="I65" s="388"/>
      <c r="J65" s="388"/>
    </row>
    <row r="66" spans="1:11" s="382" customFormat="1" ht="18.75" customHeight="1">
      <c r="A66" s="404">
        <v>6</v>
      </c>
      <c r="B66" s="405" t="s">
        <v>2414</v>
      </c>
      <c r="C66" s="404" t="s">
        <v>2280</v>
      </c>
      <c r="D66" s="406"/>
      <c r="E66" s="406"/>
      <c r="F66" s="406"/>
      <c r="G66" s="406" t="e">
        <f>SUM(#REF!)</f>
        <v>#REF!</v>
      </c>
      <c r="H66" s="406"/>
      <c r="I66" s="406"/>
      <c r="J66" s="406"/>
    </row>
    <row r="67" spans="1:11" s="382" customFormat="1" ht="18.75" customHeight="1">
      <c r="A67" s="404" t="s">
        <v>2027</v>
      </c>
      <c r="B67" s="405" t="s">
        <v>2415</v>
      </c>
      <c r="C67" s="404"/>
      <c r="D67" s="406"/>
      <c r="E67" s="406"/>
      <c r="F67" s="406"/>
      <c r="G67" s="406" t="e">
        <f>SUM('TRẠM CÁN'!T20)</f>
        <v>#REF!</v>
      </c>
      <c r="H67" s="406"/>
      <c r="I67" s="406"/>
      <c r="J67" s="406"/>
    </row>
    <row r="68" spans="1:11" s="382" customFormat="1" ht="18.75" customHeight="1">
      <c r="A68" s="407"/>
      <c r="B68" s="408" t="s">
        <v>2416</v>
      </c>
      <c r="C68" s="407" t="s">
        <v>2280</v>
      </c>
      <c r="D68" s="409"/>
      <c r="E68" s="409"/>
      <c r="F68" s="409"/>
      <c r="G68" s="409" t="e">
        <f>SUM(G7,G32,G8,G67)</f>
        <v>#REF!</v>
      </c>
      <c r="H68" s="409"/>
      <c r="I68" s="409"/>
      <c r="J68" s="409"/>
      <c r="K68" s="390" t="e">
        <f>+#REF!-'TH LƯƠNG NT1'!G68</f>
        <v>#REF!</v>
      </c>
    </row>
    <row r="69" spans="1:11">
      <c r="G69" s="401"/>
    </row>
    <row r="70" spans="1:11">
      <c r="F70" s="2890" t="e">
        <f>+#REF!</f>
        <v>#REF!</v>
      </c>
      <c r="G70" s="2890"/>
      <c r="H70" s="2890"/>
      <c r="I70" s="2890"/>
      <c r="J70" s="2890"/>
    </row>
    <row r="71" spans="1:11" s="382" customFormat="1" ht="19.5" customHeight="1">
      <c r="B71" s="2891" t="s">
        <v>1946</v>
      </c>
      <c r="C71" s="2891"/>
      <c r="D71" s="2891"/>
      <c r="F71" s="2886" t="s">
        <v>612</v>
      </c>
      <c r="G71" s="2886"/>
      <c r="H71" s="2886"/>
      <c r="I71" s="2886"/>
      <c r="J71" s="2886"/>
    </row>
    <row r="77" spans="1:11" s="382" customFormat="1">
      <c r="B77" s="2886"/>
      <c r="C77" s="2886"/>
      <c r="D77" s="2886"/>
      <c r="G77" s="2886" t="s">
        <v>613</v>
      </c>
      <c r="H77" s="2886"/>
      <c r="I77" s="2886"/>
    </row>
    <row r="78" spans="1:11" s="382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1" customWidth="1"/>
    <col min="2" max="2" width="20.85546875" style="341" customWidth="1"/>
    <col min="3" max="3" width="27" style="341" customWidth="1"/>
    <col min="4" max="4" width="23" style="341" customWidth="1"/>
    <col min="5" max="5" width="19" style="341" customWidth="1"/>
    <col min="6" max="6" width="33.140625" style="341" customWidth="1"/>
    <col min="7" max="7" width="8.42578125" style="341" customWidth="1"/>
    <col min="8" max="8" width="12.85546875" style="341" customWidth="1"/>
    <col min="9" max="9" width="13.42578125" style="341" customWidth="1"/>
    <col min="10" max="11" width="7.85546875" style="341" customWidth="1"/>
    <col min="12" max="12" width="7.28515625" style="341" customWidth="1"/>
    <col min="13" max="13" width="7.42578125" style="341" customWidth="1"/>
    <col min="14" max="14" width="6.28515625" style="341" customWidth="1"/>
    <col min="15" max="15" width="5.7109375" style="341" customWidth="1"/>
    <col min="16" max="16" width="6" style="341" customWidth="1"/>
    <col min="17" max="17" width="4.85546875" style="341" customWidth="1"/>
    <col min="18" max="18" width="6" style="341" customWidth="1"/>
    <col min="19" max="19" width="6.5703125" style="341" customWidth="1"/>
    <col min="20" max="20" width="8.140625" style="341" customWidth="1"/>
    <col min="21" max="21" width="6" style="341" customWidth="1"/>
    <col min="22" max="22" width="8.140625" style="341" customWidth="1"/>
    <col min="23" max="23" width="15" style="341" customWidth="1"/>
    <col min="24" max="24" width="17.85546875" style="341" customWidth="1"/>
    <col min="25" max="25" width="12.85546875" style="341" customWidth="1"/>
    <col min="26" max="256" width="9.140625" style="341"/>
    <col min="257" max="257" width="4.7109375" style="341" customWidth="1"/>
    <col min="258" max="258" width="20.85546875" style="341" customWidth="1"/>
    <col min="259" max="259" width="27" style="341" customWidth="1"/>
    <col min="260" max="260" width="23" style="341" customWidth="1"/>
    <col min="261" max="261" width="19" style="341" customWidth="1"/>
    <col min="262" max="262" width="29.42578125" style="341" customWidth="1"/>
    <col min="263" max="263" width="8.42578125" style="341" customWidth="1"/>
    <col min="264" max="264" width="12.85546875" style="341" customWidth="1"/>
    <col min="265" max="265" width="13.42578125" style="341" customWidth="1"/>
    <col min="266" max="267" width="7.85546875" style="341" customWidth="1"/>
    <col min="268" max="268" width="7.28515625" style="341" customWidth="1"/>
    <col min="269" max="269" width="7.42578125" style="341" customWidth="1"/>
    <col min="270" max="270" width="6.28515625" style="341" customWidth="1"/>
    <col min="271" max="271" width="5.7109375" style="341" customWidth="1"/>
    <col min="272" max="272" width="6" style="341" customWidth="1"/>
    <col min="273" max="273" width="4.85546875" style="341" customWidth="1"/>
    <col min="274" max="274" width="6" style="341" customWidth="1"/>
    <col min="275" max="275" width="6.5703125" style="341" customWidth="1"/>
    <col min="276" max="276" width="8.140625" style="341" customWidth="1"/>
    <col min="277" max="277" width="6" style="341" customWidth="1"/>
    <col min="278" max="278" width="8.140625" style="341" customWidth="1"/>
    <col min="279" max="279" width="15" style="341" customWidth="1"/>
    <col min="280" max="280" width="17.85546875" style="341" customWidth="1"/>
    <col min="281" max="281" width="12.85546875" style="341" customWidth="1"/>
    <col min="282" max="512" width="9.140625" style="341"/>
    <col min="513" max="513" width="4.7109375" style="341" customWidth="1"/>
    <col min="514" max="514" width="20.85546875" style="341" customWidth="1"/>
    <col min="515" max="515" width="27" style="341" customWidth="1"/>
    <col min="516" max="516" width="23" style="341" customWidth="1"/>
    <col min="517" max="517" width="19" style="341" customWidth="1"/>
    <col min="518" max="518" width="29.42578125" style="341" customWidth="1"/>
    <col min="519" max="519" width="8.42578125" style="341" customWidth="1"/>
    <col min="520" max="520" width="12.85546875" style="341" customWidth="1"/>
    <col min="521" max="521" width="13.42578125" style="341" customWidth="1"/>
    <col min="522" max="523" width="7.85546875" style="341" customWidth="1"/>
    <col min="524" max="524" width="7.28515625" style="341" customWidth="1"/>
    <col min="525" max="525" width="7.42578125" style="341" customWidth="1"/>
    <col min="526" max="526" width="6.28515625" style="341" customWidth="1"/>
    <col min="527" max="527" width="5.7109375" style="341" customWidth="1"/>
    <col min="528" max="528" width="6" style="341" customWidth="1"/>
    <col min="529" max="529" width="4.85546875" style="341" customWidth="1"/>
    <col min="530" max="530" width="6" style="341" customWidth="1"/>
    <col min="531" max="531" width="6.5703125" style="341" customWidth="1"/>
    <col min="532" max="532" width="8.140625" style="341" customWidth="1"/>
    <col min="533" max="533" width="6" style="341" customWidth="1"/>
    <col min="534" max="534" width="8.140625" style="341" customWidth="1"/>
    <col min="535" max="535" width="15" style="341" customWidth="1"/>
    <col min="536" max="536" width="17.85546875" style="341" customWidth="1"/>
    <col min="537" max="537" width="12.85546875" style="341" customWidth="1"/>
    <col min="538" max="768" width="9.140625" style="341"/>
    <col min="769" max="769" width="4.7109375" style="341" customWidth="1"/>
    <col min="770" max="770" width="20.85546875" style="341" customWidth="1"/>
    <col min="771" max="771" width="27" style="341" customWidth="1"/>
    <col min="772" max="772" width="23" style="341" customWidth="1"/>
    <col min="773" max="773" width="19" style="341" customWidth="1"/>
    <col min="774" max="774" width="29.42578125" style="341" customWidth="1"/>
    <col min="775" max="775" width="8.42578125" style="341" customWidth="1"/>
    <col min="776" max="776" width="12.85546875" style="341" customWidth="1"/>
    <col min="777" max="777" width="13.42578125" style="341" customWidth="1"/>
    <col min="778" max="779" width="7.85546875" style="341" customWidth="1"/>
    <col min="780" max="780" width="7.28515625" style="341" customWidth="1"/>
    <col min="781" max="781" width="7.42578125" style="341" customWidth="1"/>
    <col min="782" max="782" width="6.28515625" style="341" customWidth="1"/>
    <col min="783" max="783" width="5.7109375" style="341" customWidth="1"/>
    <col min="784" max="784" width="6" style="341" customWidth="1"/>
    <col min="785" max="785" width="4.85546875" style="341" customWidth="1"/>
    <col min="786" max="786" width="6" style="341" customWidth="1"/>
    <col min="787" max="787" width="6.5703125" style="341" customWidth="1"/>
    <col min="788" max="788" width="8.140625" style="341" customWidth="1"/>
    <col min="789" max="789" width="6" style="341" customWidth="1"/>
    <col min="790" max="790" width="8.140625" style="341" customWidth="1"/>
    <col min="791" max="791" width="15" style="341" customWidth="1"/>
    <col min="792" max="792" width="17.85546875" style="341" customWidth="1"/>
    <col min="793" max="793" width="12.85546875" style="341" customWidth="1"/>
    <col min="794" max="1024" width="9.140625" style="341"/>
    <col min="1025" max="1025" width="4.7109375" style="341" customWidth="1"/>
    <col min="1026" max="1026" width="20.85546875" style="341" customWidth="1"/>
    <col min="1027" max="1027" width="27" style="341" customWidth="1"/>
    <col min="1028" max="1028" width="23" style="341" customWidth="1"/>
    <col min="1029" max="1029" width="19" style="341" customWidth="1"/>
    <col min="1030" max="1030" width="29.42578125" style="341" customWidth="1"/>
    <col min="1031" max="1031" width="8.42578125" style="341" customWidth="1"/>
    <col min="1032" max="1032" width="12.85546875" style="341" customWidth="1"/>
    <col min="1033" max="1033" width="13.42578125" style="341" customWidth="1"/>
    <col min="1034" max="1035" width="7.85546875" style="341" customWidth="1"/>
    <col min="1036" max="1036" width="7.28515625" style="341" customWidth="1"/>
    <col min="1037" max="1037" width="7.42578125" style="341" customWidth="1"/>
    <col min="1038" max="1038" width="6.28515625" style="341" customWidth="1"/>
    <col min="1039" max="1039" width="5.7109375" style="341" customWidth="1"/>
    <col min="1040" max="1040" width="6" style="341" customWidth="1"/>
    <col min="1041" max="1041" width="4.85546875" style="341" customWidth="1"/>
    <col min="1042" max="1042" width="6" style="341" customWidth="1"/>
    <col min="1043" max="1043" width="6.5703125" style="341" customWidth="1"/>
    <col min="1044" max="1044" width="8.140625" style="341" customWidth="1"/>
    <col min="1045" max="1045" width="6" style="341" customWidth="1"/>
    <col min="1046" max="1046" width="8.140625" style="341" customWidth="1"/>
    <col min="1047" max="1047" width="15" style="341" customWidth="1"/>
    <col min="1048" max="1048" width="17.85546875" style="341" customWidth="1"/>
    <col min="1049" max="1049" width="12.85546875" style="341" customWidth="1"/>
    <col min="1050" max="1280" width="9.140625" style="341"/>
    <col min="1281" max="1281" width="4.7109375" style="341" customWidth="1"/>
    <col min="1282" max="1282" width="20.85546875" style="341" customWidth="1"/>
    <col min="1283" max="1283" width="27" style="341" customWidth="1"/>
    <col min="1284" max="1284" width="23" style="341" customWidth="1"/>
    <col min="1285" max="1285" width="19" style="341" customWidth="1"/>
    <col min="1286" max="1286" width="29.42578125" style="341" customWidth="1"/>
    <col min="1287" max="1287" width="8.42578125" style="341" customWidth="1"/>
    <col min="1288" max="1288" width="12.85546875" style="341" customWidth="1"/>
    <col min="1289" max="1289" width="13.42578125" style="341" customWidth="1"/>
    <col min="1290" max="1291" width="7.85546875" style="341" customWidth="1"/>
    <col min="1292" max="1292" width="7.28515625" style="341" customWidth="1"/>
    <col min="1293" max="1293" width="7.42578125" style="341" customWidth="1"/>
    <col min="1294" max="1294" width="6.28515625" style="341" customWidth="1"/>
    <col min="1295" max="1295" width="5.7109375" style="341" customWidth="1"/>
    <col min="1296" max="1296" width="6" style="341" customWidth="1"/>
    <col min="1297" max="1297" width="4.85546875" style="341" customWidth="1"/>
    <col min="1298" max="1298" width="6" style="341" customWidth="1"/>
    <col min="1299" max="1299" width="6.5703125" style="341" customWidth="1"/>
    <col min="1300" max="1300" width="8.140625" style="341" customWidth="1"/>
    <col min="1301" max="1301" width="6" style="341" customWidth="1"/>
    <col min="1302" max="1302" width="8.140625" style="341" customWidth="1"/>
    <col min="1303" max="1303" width="15" style="341" customWidth="1"/>
    <col min="1304" max="1304" width="17.85546875" style="341" customWidth="1"/>
    <col min="1305" max="1305" width="12.85546875" style="341" customWidth="1"/>
    <col min="1306" max="1536" width="9.140625" style="341"/>
    <col min="1537" max="1537" width="4.7109375" style="341" customWidth="1"/>
    <col min="1538" max="1538" width="20.85546875" style="341" customWidth="1"/>
    <col min="1539" max="1539" width="27" style="341" customWidth="1"/>
    <col min="1540" max="1540" width="23" style="341" customWidth="1"/>
    <col min="1541" max="1541" width="19" style="341" customWidth="1"/>
    <col min="1542" max="1542" width="29.42578125" style="341" customWidth="1"/>
    <col min="1543" max="1543" width="8.42578125" style="341" customWidth="1"/>
    <col min="1544" max="1544" width="12.85546875" style="341" customWidth="1"/>
    <col min="1545" max="1545" width="13.42578125" style="341" customWidth="1"/>
    <col min="1546" max="1547" width="7.85546875" style="341" customWidth="1"/>
    <col min="1548" max="1548" width="7.28515625" style="341" customWidth="1"/>
    <col min="1549" max="1549" width="7.42578125" style="341" customWidth="1"/>
    <col min="1550" max="1550" width="6.28515625" style="341" customWidth="1"/>
    <col min="1551" max="1551" width="5.7109375" style="341" customWidth="1"/>
    <col min="1552" max="1552" width="6" style="341" customWidth="1"/>
    <col min="1553" max="1553" width="4.85546875" style="341" customWidth="1"/>
    <col min="1554" max="1554" width="6" style="341" customWidth="1"/>
    <col min="1555" max="1555" width="6.5703125" style="341" customWidth="1"/>
    <col min="1556" max="1556" width="8.140625" style="341" customWidth="1"/>
    <col min="1557" max="1557" width="6" style="341" customWidth="1"/>
    <col min="1558" max="1558" width="8.140625" style="341" customWidth="1"/>
    <col min="1559" max="1559" width="15" style="341" customWidth="1"/>
    <col min="1560" max="1560" width="17.85546875" style="341" customWidth="1"/>
    <col min="1561" max="1561" width="12.85546875" style="341" customWidth="1"/>
    <col min="1562" max="1792" width="9.140625" style="341"/>
    <col min="1793" max="1793" width="4.7109375" style="341" customWidth="1"/>
    <col min="1794" max="1794" width="20.85546875" style="341" customWidth="1"/>
    <col min="1795" max="1795" width="27" style="341" customWidth="1"/>
    <col min="1796" max="1796" width="23" style="341" customWidth="1"/>
    <col min="1797" max="1797" width="19" style="341" customWidth="1"/>
    <col min="1798" max="1798" width="29.42578125" style="341" customWidth="1"/>
    <col min="1799" max="1799" width="8.42578125" style="341" customWidth="1"/>
    <col min="1800" max="1800" width="12.85546875" style="341" customWidth="1"/>
    <col min="1801" max="1801" width="13.42578125" style="341" customWidth="1"/>
    <col min="1802" max="1803" width="7.85546875" style="341" customWidth="1"/>
    <col min="1804" max="1804" width="7.28515625" style="341" customWidth="1"/>
    <col min="1805" max="1805" width="7.42578125" style="341" customWidth="1"/>
    <col min="1806" max="1806" width="6.28515625" style="341" customWidth="1"/>
    <col min="1807" max="1807" width="5.7109375" style="341" customWidth="1"/>
    <col min="1808" max="1808" width="6" style="341" customWidth="1"/>
    <col min="1809" max="1809" width="4.85546875" style="341" customWidth="1"/>
    <col min="1810" max="1810" width="6" style="341" customWidth="1"/>
    <col min="1811" max="1811" width="6.5703125" style="341" customWidth="1"/>
    <col min="1812" max="1812" width="8.140625" style="341" customWidth="1"/>
    <col min="1813" max="1813" width="6" style="341" customWidth="1"/>
    <col min="1814" max="1814" width="8.140625" style="341" customWidth="1"/>
    <col min="1815" max="1815" width="15" style="341" customWidth="1"/>
    <col min="1816" max="1816" width="17.85546875" style="341" customWidth="1"/>
    <col min="1817" max="1817" width="12.85546875" style="341" customWidth="1"/>
    <col min="1818" max="2048" width="9.140625" style="341"/>
    <col min="2049" max="2049" width="4.7109375" style="341" customWidth="1"/>
    <col min="2050" max="2050" width="20.85546875" style="341" customWidth="1"/>
    <col min="2051" max="2051" width="27" style="341" customWidth="1"/>
    <col min="2052" max="2052" width="23" style="341" customWidth="1"/>
    <col min="2053" max="2053" width="19" style="341" customWidth="1"/>
    <col min="2054" max="2054" width="29.42578125" style="341" customWidth="1"/>
    <col min="2055" max="2055" width="8.42578125" style="341" customWidth="1"/>
    <col min="2056" max="2056" width="12.85546875" style="341" customWidth="1"/>
    <col min="2057" max="2057" width="13.42578125" style="341" customWidth="1"/>
    <col min="2058" max="2059" width="7.85546875" style="341" customWidth="1"/>
    <col min="2060" max="2060" width="7.28515625" style="341" customWidth="1"/>
    <col min="2061" max="2061" width="7.42578125" style="341" customWidth="1"/>
    <col min="2062" max="2062" width="6.28515625" style="341" customWidth="1"/>
    <col min="2063" max="2063" width="5.7109375" style="341" customWidth="1"/>
    <col min="2064" max="2064" width="6" style="341" customWidth="1"/>
    <col min="2065" max="2065" width="4.85546875" style="341" customWidth="1"/>
    <col min="2066" max="2066" width="6" style="341" customWidth="1"/>
    <col min="2067" max="2067" width="6.5703125" style="341" customWidth="1"/>
    <col min="2068" max="2068" width="8.140625" style="341" customWidth="1"/>
    <col min="2069" max="2069" width="6" style="341" customWidth="1"/>
    <col min="2070" max="2070" width="8.140625" style="341" customWidth="1"/>
    <col min="2071" max="2071" width="15" style="341" customWidth="1"/>
    <col min="2072" max="2072" width="17.85546875" style="341" customWidth="1"/>
    <col min="2073" max="2073" width="12.85546875" style="341" customWidth="1"/>
    <col min="2074" max="2304" width="9.140625" style="341"/>
    <col min="2305" max="2305" width="4.7109375" style="341" customWidth="1"/>
    <col min="2306" max="2306" width="20.85546875" style="341" customWidth="1"/>
    <col min="2307" max="2307" width="27" style="341" customWidth="1"/>
    <col min="2308" max="2308" width="23" style="341" customWidth="1"/>
    <col min="2309" max="2309" width="19" style="341" customWidth="1"/>
    <col min="2310" max="2310" width="29.42578125" style="341" customWidth="1"/>
    <col min="2311" max="2311" width="8.42578125" style="341" customWidth="1"/>
    <col min="2312" max="2312" width="12.85546875" style="341" customWidth="1"/>
    <col min="2313" max="2313" width="13.42578125" style="341" customWidth="1"/>
    <col min="2314" max="2315" width="7.85546875" style="341" customWidth="1"/>
    <col min="2316" max="2316" width="7.28515625" style="341" customWidth="1"/>
    <col min="2317" max="2317" width="7.42578125" style="341" customWidth="1"/>
    <col min="2318" max="2318" width="6.28515625" style="341" customWidth="1"/>
    <col min="2319" max="2319" width="5.7109375" style="341" customWidth="1"/>
    <col min="2320" max="2320" width="6" style="341" customWidth="1"/>
    <col min="2321" max="2321" width="4.85546875" style="341" customWidth="1"/>
    <col min="2322" max="2322" width="6" style="341" customWidth="1"/>
    <col min="2323" max="2323" width="6.5703125" style="341" customWidth="1"/>
    <col min="2324" max="2324" width="8.140625" style="341" customWidth="1"/>
    <col min="2325" max="2325" width="6" style="341" customWidth="1"/>
    <col min="2326" max="2326" width="8.140625" style="341" customWidth="1"/>
    <col min="2327" max="2327" width="15" style="341" customWidth="1"/>
    <col min="2328" max="2328" width="17.85546875" style="341" customWidth="1"/>
    <col min="2329" max="2329" width="12.85546875" style="341" customWidth="1"/>
    <col min="2330" max="2560" width="9.140625" style="341"/>
    <col min="2561" max="2561" width="4.7109375" style="341" customWidth="1"/>
    <col min="2562" max="2562" width="20.85546875" style="341" customWidth="1"/>
    <col min="2563" max="2563" width="27" style="341" customWidth="1"/>
    <col min="2564" max="2564" width="23" style="341" customWidth="1"/>
    <col min="2565" max="2565" width="19" style="341" customWidth="1"/>
    <col min="2566" max="2566" width="29.42578125" style="341" customWidth="1"/>
    <col min="2567" max="2567" width="8.42578125" style="341" customWidth="1"/>
    <col min="2568" max="2568" width="12.85546875" style="341" customWidth="1"/>
    <col min="2569" max="2569" width="13.42578125" style="341" customWidth="1"/>
    <col min="2570" max="2571" width="7.85546875" style="341" customWidth="1"/>
    <col min="2572" max="2572" width="7.28515625" style="341" customWidth="1"/>
    <col min="2573" max="2573" width="7.42578125" style="341" customWidth="1"/>
    <col min="2574" max="2574" width="6.28515625" style="341" customWidth="1"/>
    <col min="2575" max="2575" width="5.7109375" style="341" customWidth="1"/>
    <col min="2576" max="2576" width="6" style="341" customWidth="1"/>
    <col min="2577" max="2577" width="4.85546875" style="341" customWidth="1"/>
    <col min="2578" max="2578" width="6" style="341" customWidth="1"/>
    <col min="2579" max="2579" width="6.5703125" style="341" customWidth="1"/>
    <col min="2580" max="2580" width="8.140625" style="341" customWidth="1"/>
    <col min="2581" max="2581" width="6" style="341" customWidth="1"/>
    <col min="2582" max="2582" width="8.140625" style="341" customWidth="1"/>
    <col min="2583" max="2583" width="15" style="341" customWidth="1"/>
    <col min="2584" max="2584" width="17.85546875" style="341" customWidth="1"/>
    <col min="2585" max="2585" width="12.85546875" style="341" customWidth="1"/>
    <col min="2586" max="2816" width="9.140625" style="341"/>
    <col min="2817" max="2817" width="4.7109375" style="341" customWidth="1"/>
    <col min="2818" max="2818" width="20.85546875" style="341" customWidth="1"/>
    <col min="2819" max="2819" width="27" style="341" customWidth="1"/>
    <col min="2820" max="2820" width="23" style="341" customWidth="1"/>
    <col min="2821" max="2821" width="19" style="341" customWidth="1"/>
    <col min="2822" max="2822" width="29.42578125" style="341" customWidth="1"/>
    <col min="2823" max="2823" width="8.42578125" style="341" customWidth="1"/>
    <col min="2824" max="2824" width="12.85546875" style="341" customWidth="1"/>
    <col min="2825" max="2825" width="13.42578125" style="341" customWidth="1"/>
    <col min="2826" max="2827" width="7.85546875" style="341" customWidth="1"/>
    <col min="2828" max="2828" width="7.28515625" style="341" customWidth="1"/>
    <col min="2829" max="2829" width="7.42578125" style="341" customWidth="1"/>
    <col min="2830" max="2830" width="6.28515625" style="341" customWidth="1"/>
    <col min="2831" max="2831" width="5.7109375" style="341" customWidth="1"/>
    <col min="2832" max="2832" width="6" style="341" customWidth="1"/>
    <col min="2833" max="2833" width="4.85546875" style="341" customWidth="1"/>
    <col min="2834" max="2834" width="6" style="341" customWidth="1"/>
    <col min="2835" max="2835" width="6.5703125" style="341" customWidth="1"/>
    <col min="2836" max="2836" width="8.140625" style="341" customWidth="1"/>
    <col min="2837" max="2837" width="6" style="341" customWidth="1"/>
    <col min="2838" max="2838" width="8.140625" style="341" customWidth="1"/>
    <col min="2839" max="2839" width="15" style="341" customWidth="1"/>
    <col min="2840" max="2840" width="17.85546875" style="341" customWidth="1"/>
    <col min="2841" max="2841" width="12.85546875" style="341" customWidth="1"/>
    <col min="2842" max="3072" width="9.140625" style="341"/>
    <col min="3073" max="3073" width="4.7109375" style="341" customWidth="1"/>
    <col min="3074" max="3074" width="20.85546875" style="341" customWidth="1"/>
    <col min="3075" max="3075" width="27" style="341" customWidth="1"/>
    <col min="3076" max="3076" width="23" style="341" customWidth="1"/>
    <col min="3077" max="3077" width="19" style="341" customWidth="1"/>
    <col min="3078" max="3078" width="29.42578125" style="341" customWidth="1"/>
    <col min="3079" max="3079" width="8.42578125" style="341" customWidth="1"/>
    <col min="3080" max="3080" width="12.85546875" style="341" customWidth="1"/>
    <col min="3081" max="3081" width="13.42578125" style="341" customWidth="1"/>
    <col min="3082" max="3083" width="7.85546875" style="341" customWidth="1"/>
    <col min="3084" max="3084" width="7.28515625" style="341" customWidth="1"/>
    <col min="3085" max="3085" width="7.42578125" style="341" customWidth="1"/>
    <col min="3086" max="3086" width="6.28515625" style="341" customWidth="1"/>
    <col min="3087" max="3087" width="5.7109375" style="341" customWidth="1"/>
    <col min="3088" max="3088" width="6" style="341" customWidth="1"/>
    <col min="3089" max="3089" width="4.85546875" style="341" customWidth="1"/>
    <col min="3090" max="3090" width="6" style="341" customWidth="1"/>
    <col min="3091" max="3091" width="6.5703125" style="341" customWidth="1"/>
    <col min="3092" max="3092" width="8.140625" style="341" customWidth="1"/>
    <col min="3093" max="3093" width="6" style="341" customWidth="1"/>
    <col min="3094" max="3094" width="8.140625" style="341" customWidth="1"/>
    <col min="3095" max="3095" width="15" style="341" customWidth="1"/>
    <col min="3096" max="3096" width="17.85546875" style="341" customWidth="1"/>
    <col min="3097" max="3097" width="12.85546875" style="341" customWidth="1"/>
    <col min="3098" max="3328" width="9.140625" style="341"/>
    <col min="3329" max="3329" width="4.7109375" style="341" customWidth="1"/>
    <col min="3330" max="3330" width="20.85546875" style="341" customWidth="1"/>
    <col min="3331" max="3331" width="27" style="341" customWidth="1"/>
    <col min="3332" max="3332" width="23" style="341" customWidth="1"/>
    <col min="3333" max="3333" width="19" style="341" customWidth="1"/>
    <col min="3334" max="3334" width="29.42578125" style="341" customWidth="1"/>
    <col min="3335" max="3335" width="8.42578125" style="341" customWidth="1"/>
    <col min="3336" max="3336" width="12.85546875" style="341" customWidth="1"/>
    <col min="3337" max="3337" width="13.42578125" style="341" customWidth="1"/>
    <col min="3338" max="3339" width="7.85546875" style="341" customWidth="1"/>
    <col min="3340" max="3340" width="7.28515625" style="341" customWidth="1"/>
    <col min="3341" max="3341" width="7.42578125" style="341" customWidth="1"/>
    <col min="3342" max="3342" width="6.28515625" style="341" customWidth="1"/>
    <col min="3343" max="3343" width="5.7109375" style="341" customWidth="1"/>
    <col min="3344" max="3344" width="6" style="341" customWidth="1"/>
    <col min="3345" max="3345" width="4.85546875" style="341" customWidth="1"/>
    <col min="3346" max="3346" width="6" style="341" customWidth="1"/>
    <col min="3347" max="3347" width="6.5703125" style="341" customWidth="1"/>
    <col min="3348" max="3348" width="8.140625" style="341" customWidth="1"/>
    <col min="3349" max="3349" width="6" style="341" customWidth="1"/>
    <col min="3350" max="3350" width="8.140625" style="341" customWidth="1"/>
    <col min="3351" max="3351" width="15" style="341" customWidth="1"/>
    <col min="3352" max="3352" width="17.85546875" style="341" customWidth="1"/>
    <col min="3353" max="3353" width="12.85546875" style="341" customWidth="1"/>
    <col min="3354" max="3584" width="9.140625" style="341"/>
    <col min="3585" max="3585" width="4.7109375" style="341" customWidth="1"/>
    <col min="3586" max="3586" width="20.85546875" style="341" customWidth="1"/>
    <col min="3587" max="3587" width="27" style="341" customWidth="1"/>
    <col min="3588" max="3588" width="23" style="341" customWidth="1"/>
    <col min="3589" max="3589" width="19" style="341" customWidth="1"/>
    <col min="3590" max="3590" width="29.42578125" style="341" customWidth="1"/>
    <col min="3591" max="3591" width="8.42578125" style="341" customWidth="1"/>
    <col min="3592" max="3592" width="12.85546875" style="341" customWidth="1"/>
    <col min="3593" max="3593" width="13.42578125" style="341" customWidth="1"/>
    <col min="3594" max="3595" width="7.85546875" style="341" customWidth="1"/>
    <col min="3596" max="3596" width="7.28515625" style="341" customWidth="1"/>
    <col min="3597" max="3597" width="7.42578125" style="341" customWidth="1"/>
    <col min="3598" max="3598" width="6.28515625" style="341" customWidth="1"/>
    <col min="3599" max="3599" width="5.7109375" style="341" customWidth="1"/>
    <col min="3600" max="3600" width="6" style="341" customWidth="1"/>
    <col min="3601" max="3601" width="4.85546875" style="341" customWidth="1"/>
    <col min="3602" max="3602" width="6" style="341" customWidth="1"/>
    <col min="3603" max="3603" width="6.5703125" style="341" customWidth="1"/>
    <col min="3604" max="3604" width="8.140625" style="341" customWidth="1"/>
    <col min="3605" max="3605" width="6" style="341" customWidth="1"/>
    <col min="3606" max="3606" width="8.140625" style="341" customWidth="1"/>
    <col min="3607" max="3607" width="15" style="341" customWidth="1"/>
    <col min="3608" max="3608" width="17.85546875" style="341" customWidth="1"/>
    <col min="3609" max="3609" width="12.85546875" style="341" customWidth="1"/>
    <col min="3610" max="3840" width="9.140625" style="341"/>
    <col min="3841" max="3841" width="4.7109375" style="341" customWidth="1"/>
    <col min="3842" max="3842" width="20.85546875" style="341" customWidth="1"/>
    <col min="3843" max="3843" width="27" style="341" customWidth="1"/>
    <col min="3844" max="3844" width="23" style="341" customWidth="1"/>
    <col min="3845" max="3845" width="19" style="341" customWidth="1"/>
    <col min="3846" max="3846" width="29.42578125" style="341" customWidth="1"/>
    <col min="3847" max="3847" width="8.42578125" style="341" customWidth="1"/>
    <col min="3848" max="3848" width="12.85546875" style="341" customWidth="1"/>
    <col min="3849" max="3849" width="13.42578125" style="341" customWidth="1"/>
    <col min="3850" max="3851" width="7.85546875" style="341" customWidth="1"/>
    <col min="3852" max="3852" width="7.28515625" style="341" customWidth="1"/>
    <col min="3853" max="3853" width="7.42578125" style="341" customWidth="1"/>
    <col min="3854" max="3854" width="6.28515625" style="341" customWidth="1"/>
    <col min="3855" max="3855" width="5.7109375" style="341" customWidth="1"/>
    <col min="3856" max="3856" width="6" style="341" customWidth="1"/>
    <col min="3857" max="3857" width="4.85546875" style="341" customWidth="1"/>
    <col min="3858" max="3858" width="6" style="341" customWidth="1"/>
    <col min="3859" max="3859" width="6.5703125" style="341" customWidth="1"/>
    <col min="3860" max="3860" width="8.140625" style="341" customWidth="1"/>
    <col min="3861" max="3861" width="6" style="341" customWidth="1"/>
    <col min="3862" max="3862" width="8.140625" style="341" customWidth="1"/>
    <col min="3863" max="3863" width="15" style="341" customWidth="1"/>
    <col min="3864" max="3864" width="17.85546875" style="341" customWidth="1"/>
    <col min="3865" max="3865" width="12.85546875" style="341" customWidth="1"/>
    <col min="3866" max="4096" width="9.140625" style="341"/>
    <col min="4097" max="4097" width="4.7109375" style="341" customWidth="1"/>
    <col min="4098" max="4098" width="20.85546875" style="341" customWidth="1"/>
    <col min="4099" max="4099" width="27" style="341" customWidth="1"/>
    <col min="4100" max="4100" width="23" style="341" customWidth="1"/>
    <col min="4101" max="4101" width="19" style="341" customWidth="1"/>
    <col min="4102" max="4102" width="29.42578125" style="341" customWidth="1"/>
    <col min="4103" max="4103" width="8.42578125" style="341" customWidth="1"/>
    <col min="4104" max="4104" width="12.85546875" style="341" customWidth="1"/>
    <col min="4105" max="4105" width="13.42578125" style="341" customWidth="1"/>
    <col min="4106" max="4107" width="7.85546875" style="341" customWidth="1"/>
    <col min="4108" max="4108" width="7.28515625" style="341" customWidth="1"/>
    <col min="4109" max="4109" width="7.42578125" style="341" customWidth="1"/>
    <col min="4110" max="4110" width="6.28515625" style="341" customWidth="1"/>
    <col min="4111" max="4111" width="5.7109375" style="341" customWidth="1"/>
    <col min="4112" max="4112" width="6" style="341" customWidth="1"/>
    <col min="4113" max="4113" width="4.85546875" style="341" customWidth="1"/>
    <col min="4114" max="4114" width="6" style="341" customWidth="1"/>
    <col min="4115" max="4115" width="6.5703125" style="341" customWidth="1"/>
    <col min="4116" max="4116" width="8.140625" style="341" customWidth="1"/>
    <col min="4117" max="4117" width="6" style="341" customWidth="1"/>
    <col min="4118" max="4118" width="8.140625" style="341" customWidth="1"/>
    <col min="4119" max="4119" width="15" style="341" customWidth="1"/>
    <col min="4120" max="4120" width="17.85546875" style="341" customWidth="1"/>
    <col min="4121" max="4121" width="12.85546875" style="341" customWidth="1"/>
    <col min="4122" max="4352" width="9.140625" style="341"/>
    <col min="4353" max="4353" width="4.7109375" style="341" customWidth="1"/>
    <col min="4354" max="4354" width="20.85546875" style="341" customWidth="1"/>
    <col min="4355" max="4355" width="27" style="341" customWidth="1"/>
    <col min="4356" max="4356" width="23" style="341" customWidth="1"/>
    <col min="4357" max="4357" width="19" style="341" customWidth="1"/>
    <col min="4358" max="4358" width="29.42578125" style="341" customWidth="1"/>
    <col min="4359" max="4359" width="8.42578125" style="341" customWidth="1"/>
    <col min="4360" max="4360" width="12.85546875" style="341" customWidth="1"/>
    <col min="4361" max="4361" width="13.42578125" style="341" customWidth="1"/>
    <col min="4362" max="4363" width="7.85546875" style="341" customWidth="1"/>
    <col min="4364" max="4364" width="7.28515625" style="341" customWidth="1"/>
    <col min="4365" max="4365" width="7.42578125" style="341" customWidth="1"/>
    <col min="4366" max="4366" width="6.28515625" style="341" customWidth="1"/>
    <col min="4367" max="4367" width="5.7109375" style="341" customWidth="1"/>
    <col min="4368" max="4368" width="6" style="341" customWidth="1"/>
    <col min="4369" max="4369" width="4.85546875" style="341" customWidth="1"/>
    <col min="4370" max="4370" width="6" style="341" customWidth="1"/>
    <col min="4371" max="4371" width="6.5703125" style="341" customWidth="1"/>
    <col min="4372" max="4372" width="8.140625" style="341" customWidth="1"/>
    <col min="4373" max="4373" width="6" style="341" customWidth="1"/>
    <col min="4374" max="4374" width="8.140625" style="341" customWidth="1"/>
    <col min="4375" max="4375" width="15" style="341" customWidth="1"/>
    <col min="4376" max="4376" width="17.85546875" style="341" customWidth="1"/>
    <col min="4377" max="4377" width="12.85546875" style="341" customWidth="1"/>
    <col min="4378" max="4608" width="9.140625" style="341"/>
    <col min="4609" max="4609" width="4.7109375" style="341" customWidth="1"/>
    <col min="4610" max="4610" width="20.85546875" style="341" customWidth="1"/>
    <col min="4611" max="4611" width="27" style="341" customWidth="1"/>
    <col min="4612" max="4612" width="23" style="341" customWidth="1"/>
    <col min="4613" max="4613" width="19" style="341" customWidth="1"/>
    <col min="4614" max="4614" width="29.42578125" style="341" customWidth="1"/>
    <col min="4615" max="4615" width="8.42578125" style="341" customWidth="1"/>
    <col min="4616" max="4616" width="12.85546875" style="341" customWidth="1"/>
    <col min="4617" max="4617" width="13.42578125" style="341" customWidth="1"/>
    <col min="4618" max="4619" width="7.85546875" style="341" customWidth="1"/>
    <col min="4620" max="4620" width="7.28515625" style="341" customWidth="1"/>
    <col min="4621" max="4621" width="7.42578125" style="341" customWidth="1"/>
    <col min="4622" max="4622" width="6.28515625" style="341" customWidth="1"/>
    <col min="4623" max="4623" width="5.7109375" style="341" customWidth="1"/>
    <col min="4624" max="4624" width="6" style="341" customWidth="1"/>
    <col min="4625" max="4625" width="4.85546875" style="341" customWidth="1"/>
    <col min="4626" max="4626" width="6" style="341" customWidth="1"/>
    <col min="4627" max="4627" width="6.5703125" style="341" customWidth="1"/>
    <col min="4628" max="4628" width="8.140625" style="341" customWidth="1"/>
    <col min="4629" max="4629" width="6" style="341" customWidth="1"/>
    <col min="4630" max="4630" width="8.140625" style="341" customWidth="1"/>
    <col min="4631" max="4631" width="15" style="341" customWidth="1"/>
    <col min="4632" max="4632" width="17.85546875" style="341" customWidth="1"/>
    <col min="4633" max="4633" width="12.85546875" style="341" customWidth="1"/>
    <col min="4634" max="4864" width="9.140625" style="341"/>
    <col min="4865" max="4865" width="4.7109375" style="341" customWidth="1"/>
    <col min="4866" max="4866" width="20.85546875" style="341" customWidth="1"/>
    <col min="4867" max="4867" width="27" style="341" customWidth="1"/>
    <col min="4868" max="4868" width="23" style="341" customWidth="1"/>
    <col min="4869" max="4869" width="19" style="341" customWidth="1"/>
    <col min="4870" max="4870" width="29.42578125" style="341" customWidth="1"/>
    <col min="4871" max="4871" width="8.42578125" style="341" customWidth="1"/>
    <col min="4872" max="4872" width="12.85546875" style="341" customWidth="1"/>
    <col min="4873" max="4873" width="13.42578125" style="341" customWidth="1"/>
    <col min="4874" max="4875" width="7.85546875" style="341" customWidth="1"/>
    <col min="4876" max="4876" width="7.28515625" style="341" customWidth="1"/>
    <col min="4877" max="4877" width="7.42578125" style="341" customWidth="1"/>
    <col min="4878" max="4878" width="6.28515625" style="341" customWidth="1"/>
    <col min="4879" max="4879" width="5.7109375" style="341" customWidth="1"/>
    <col min="4880" max="4880" width="6" style="341" customWidth="1"/>
    <col min="4881" max="4881" width="4.85546875" style="341" customWidth="1"/>
    <col min="4882" max="4882" width="6" style="341" customWidth="1"/>
    <col min="4883" max="4883" width="6.5703125" style="341" customWidth="1"/>
    <col min="4884" max="4884" width="8.140625" style="341" customWidth="1"/>
    <col min="4885" max="4885" width="6" style="341" customWidth="1"/>
    <col min="4886" max="4886" width="8.140625" style="341" customWidth="1"/>
    <col min="4887" max="4887" width="15" style="341" customWidth="1"/>
    <col min="4888" max="4888" width="17.85546875" style="341" customWidth="1"/>
    <col min="4889" max="4889" width="12.85546875" style="341" customWidth="1"/>
    <col min="4890" max="5120" width="9.140625" style="341"/>
    <col min="5121" max="5121" width="4.7109375" style="341" customWidth="1"/>
    <col min="5122" max="5122" width="20.85546875" style="341" customWidth="1"/>
    <col min="5123" max="5123" width="27" style="341" customWidth="1"/>
    <col min="5124" max="5124" width="23" style="341" customWidth="1"/>
    <col min="5125" max="5125" width="19" style="341" customWidth="1"/>
    <col min="5126" max="5126" width="29.42578125" style="341" customWidth="1"/>
    <col min="5127" max="5127" width="8.42578125" style="341" customWidth="1"/>
    <col min="5128" max="5128" width="12.85546875" style="341" customWidth="1"/>
    <col min="5129" max="5129" width="13.42578125" style="341" customWidth="1"/>
    <col min="5130" max="5131" width="7.85546875" style="341" customWidth="1"/>
    <col min="5132" max="5132" width="7.28515625" style="341" customWidth="1"/>
    <col min="5133" max="5133" width="7.42578125" style="341" customWidth="1"/>
    <col min="5134" max="5134" width="6.28515625" style="341" customWidth="1"/>
    <col min="5135" max="5135" width="5.7109375" style="341" customWidth="1"/>
    <col min="5136" max="5136" width="6" style="341" customWidth="1"/>
    <col min="5137" max="5137" width="4.85546875" style="341" customWidth="1"/>
    <col min="5138" max="5138" width="6" style="341" customWidth="1"/>
    <col min="5139" max="5139" width="6.5703125" style="341" customWidth="1"/>
    <col min="5140" max="5140" width="8.140625" style="341" customWidth="1"/>
    <col min="5141" max="5141" width="6" style="341" customWidth="1"/>
    <col min="5142" max="5142" width="8.140625" style="341" customWidth="1"/>
    <col min="5143" max="5143" width="15" style="341" customWidth="1"/>
    <col min="5144" max="5144" width="17.85546875" style="341" customWidth="1"/>
    <col min="5145" max="5145" width="12.85546875" style="341" customWidth="1"/>
    <col min="5146" max="5376" width="9.140625" style="341"/>
    <col min="5377" max="5377" width="4.7109375" style="341" customWidth="1"/>
    <col min="5378" max="5378" width="20.85546875" style="341" customWidth="1"/>
    <col min="5379" max="5379" width="27" style="341" customWidth="1"/>
    <col min="5380" max="5380" width="23" style="341" customWidth="1"/>
    <col min="5381" max="5381" width="19" style="341" customWidth="1"/>
    <col min="5382" max="5382" width="29.42578125" style="341" customWidth="1"/>
    <col min="5383" max="5383" width="8.42578125" style="341" customWidth="1"/>
    <col min="5384" max="5384" width="12.85546875" style="341" customWidth="1"/>
    <col min="5385" max="5385" width="13.42578125" style="341" customWidth="1"/>
    <col min="5386" max="5387" width="7.85546875" style="341" customWidth="1"/>
    <col min="5388" max="5388" width="7.28515625" style="341" customWidth="1"/>
    <col min="5389" max="5389" width="7.42578125" style="341" customWidth="1"/>
    <col min="5390" max="5390" width="6.28515625" style="341" customWidth="1"/>
    <col min="5391" max="5391" width="5.7109375" style="341" customWidth="1"/>
    <col min="5392" max="5392" width="6" style="341" customWidth="1"/>
    <col min="5393" max="5393" width="4.85546875" style="341" customWidth="1"/>
    <col min="5394" max="5394" width="6" style="341" customWidth="1"/>
    <col min="5395" max="5395" width="6.5703125" style="341" customWidth="1"/>
    <col min="5396" max="5396" width="8.140625" style="341" customWidth="1"/>
    <col min="5397" max="5397" width="6" style="341" customWidth="1"/>
    <col min="5398" max="5398" width="8.140625" style="341" customWidth="1"/>
    <col min="5399" max="5399" width="15" style="341" customWidth="1"/>
    <col min="5400" max="5400" width="17.85546875" style="341" customWidth="1"/>
    <col min="5401" max="5401" width="12.85546875" style="341" customWidth="1"/>
    <col min="5402" max="5632" width="9.140625" style="341"/>
    <col min="5633" max="5633" width="4.7109375" style="341" customWidth="1"/>
    <col min="5634" max="5634" width="20.85546875" style="341" customWidth="1"/>
    <col min="5635" max="5635" width="27" style="341" customWidth="1"/>
    <col min="5636" max="5636" width="23" style="341" customWidth="1"/>
    <col min="5637" max="5637" width="19" style="341" customWidth="1"/>
    <col min="5638" max="5638" width="29.42578125" style="341" customWidth="1"/>
    <col min="5639" max="5639" width="8.42578125" style="341" customWidth="1"/>
    <col min="5640" max="5640" width="12.85546875" style="341" customWidth="1"/>
    <col min="5641" max="5641" width="13.42578125" style="341" customWidth="1"/>
    <col min="5642" max="5643" width="7.85546875" style="341" customWidth="1"/>
    <col min="5644" max="5644" width="7.28515625" style="341" customWidth="1"/>
    <col min="5645" max="5645" width="7.42578125" style="341" customWidth="1"/>
    <col min="5646" max="5646" width="6.28515625" style="341" customWidth="1"/>
    <col min="5647" max="5647" width="5.7109375" style="341" customWidth="1"/>
    <col min="5648" max="5648" width="6" style="341" customWidth="1"/>
    <col min="5649" max="5649" width="4.85546875" style="341" customWidth="1"/>
    <col min="5650" max="5650" width="6" style="341" customWidth="1"/>
    <col min="5651" max="5651" width="6.5703125" style="341" customWidth="1"/>
    <col min="5652" max="5652" width="8.140625" style="341" customWidth="1"/>
    <col min="5653" max="5653" width="6" style="341" customWidth="1"/>
    <col min="5654" max="5654" width="8.140625" style="341" customWidth="1"/>
    <col min="5655" max="5655" width="15" style="341" customWidth="1"/>
    <col min="5656" max="5656" width="17.85546875" style="341" customWidth="1"/>
    <col min="5657" max="5657" width="12.85546875" style="341" customWidth="1"/>
    <col min="5658" max="5888" width="9.140625" style="341"/>
    <col min="5889" max="5889" width="4.7109375" style="341" customWidth="1"/>
    <col min="5890" max="5890" width="20.85546875" style="341" customWidth="1"/>
    <col min="5891" max="5891" width="27" style="341" customWidth="1"/>
    <col min="5892" max="5892" width="23" style="341" customWidth="1"/>
    <col min="5893" max="5893" width="19" style="341" customWidth="1"/>
    <col min="5894" max="5894" width="29.42578125" style="341" customWidth="1"/>
    <col min="5895" max="5895" width="8.42578125" style="341" customWidth="1"/>
    <col min="5896" max="5896" width="12.85546875" style="341" customWidth="1"/>
    <col min="5897" max="5897" width="13.42578125" style="341" customWidth="1"/>
    <col min="5898" max="5899" width="7.85546875" style="341" customWidth="1"/>
    <col min="5900" max="5900" width="7.28515625" style="341" customWidth="1"/>
    <col min="5901" max="5901" width="7.42578125" style="341" customWidth="1"/>
    <col min="5902" max="5902" width="6.28515625" style="341" customWidth="1"/>
    <col min="5903" max="5903" width="5.7109375" style="341" customWidth="1"/>
    <col min="5904" max="5904" width="6" style="341" customWidth="1"/>
    <col min="5905" max="5905" width="4.85546875" style="341" customWidth="1"/>
    <col min="5906" max="5906" width="6" style="341" customWidth="1"/>
    <col min="5907" max="5907" width="6.5703125" style="341" customWidth="1"/>
    <col min="5908" max="5908" width="8.140625" style="341" customWidth="1"/>
    <col min="5909" max="5909" width="6" style="341" customWidth="1"/>
    <col min="5910" max="5910" width="8.140625" style="341" customWidth="1"/>
    <col min="5911" max="5911" width="15" style="341" customWidth="1"/>
    <col min="5912" max="5912" width="17.85546875" style="341" customWidth="1"/>
    <col min="5913" max="5913" width="12.85546875" style="341" customWidth="1"/>
    <col min="5914" max="6144" width="9.140625" style="341"/>
    <col min="6145" max="6145" width="4.7109375" style="341" customWidth="1"/>
    <col min="6146" max="6146" width="20.85546875" style="341" customWidth="1"/>
    <col min="6147" max="6147" width="27" style="341" customWidth="1"/>
    <col min="6148" max="6148" width="23" style="341" customWidth="1"/>
    <col min="6149" max="6149" width="19" style="341" customWidth="1"/>
    <col min="6150" max="6150" width="29.42578125" style="341" customWidth="1"/>
    <col min="6151" max="6151" width="8.42578125" style="341" customWidth="1"/>
    <col min="6152" max="6152" width="12.85546875" style="341" customWidth="1"/>
    <col min="6153" max="6153" width="13.42578125" style="341" customWidth="1"/>
    <col min="6154" max="6155" width="7.85546875" style="341" customWidth="1"/>
    <col min="6156" max="6156" width="7.28515625" style="341" customWidth="1"/>
    <col min="6157" max="6157" width="7.42578125" style="341" customWidth="1"/>
    <col min="6158" max="6158" width="6.28515625" style="341" customWidth="1"/>
    <col min="6159" max="6159" width="5.7109375" style="341" customWidth="1"/>
    <col min="6160" max="6160" width="6" style="341" customWidth="1"/>
    <col min="6161" max="6161" width="4.85546875" style="341" customWidth="1"/>
    <col min="6162" max="6162" width="6" style="341" customWidth="1"/>
    <col min="6163" max="6163" width="6.5703125" style="341" customWidth="1"/>
    <col min="6164" max="6164" width="8.140625" style="341" customWidth="1"/>
    <col min="6165" max="6165" width="6" style="341" customWidth="1"/>
    <col min="6166" max="6166" width="8.140625" style="341" customWidth="1"/>
    <col min="6167" max="6167" width="15" style="341" customWidth="1"/>
    <col min="6168" max="6168" width="17.85546875" style="341" customWidth="1"/>
    <col min="6169" max="6169" width="12.85546875" style="341" customWidth="1"/>
    <col min="6170" max="6400" width="9.140625" style="341"/>
    <col min="6401" max="6401" width="4.7109375" style="341" customWidth="1"/>
    <col min="6402" max="6402" width="20.85546875" style="341" customWidth="1"/>
    <col min="6403" max="6403" width="27" style="341" customWidth="1"/>
    <col min="6404" max="6404" width="23" style="341" customWidth="1"/>
    <col min="6405" max="6405" width="19" style="341" customWidth="1"/>
    <col min="6406" max="6406" width="29.42578125" style="341" customWidth="1"/>
    <col min="6407" max="6407" width="8.42578125" style="341" customWidth="1"/>
    <col min="6408" max="6408" width="12.85546875" style="341" customWidth="1"/>
    <col min="6409" max="6409" width="13.42578125" style="341" customWidth="1"/>
    <col min="6410" max="6411" width="7.85546875" style="341" customWidth="1"/>
    <col min="6412" max="6412" width="7.28515625" style="341" customWidth="1"/>
    <col min="6413" max="6413" width="7.42578125" style="341" customWidth="1"/>
    <col min="6414" max="6414" width="6.28515625" style="341" customWidth="1"/>
    <col min="6415" max="6415" width="5.7109375" style="341" customWidth="1"/>
    <col min="6416" max="6416" width="6" style="341" customWidth="1"/>
    <col min="6417" max="6417" width="4.85546875" style="341" customWidth="1"/>
    <col min="6418" max="6418" width="6" style="341" customWidth="1"/>
    <col min="6419" max="6419" width="6.5703125" style="341" customWidth="1"/>
    <col min="6420" max="6420" width="8.140625" style="341" customWidth="1"/>
    <col min="6421" max="6421" width="6" style="341" customWidth="1"/>
    <col min="6422" max="6422" width="8.140625" style="341" customWidth="1"/>
    <col min="6423" max="6423" width="15" style="341" customWidth="1"/>
    <col min="6424" max="6424" width="17.85546875" style="341" customWidth="1"/>
    <col min="6425" max="6425" width="12.85546875" style="341" customWidth="1"/>
    <col min="6426" max="6656" width="9.140625" style="341"/>
    <col min="6657" max="6657" width="4.7109375" style="341" customWidth="1"/>
    <col min="6658" max="6658" width="20.85546875" style="341" customWidth="1"/>
    <col min="6659" max="6659" width="27" style="341" customWidth="1"/>
    <col min="6660" max="6660" width="23" style="341" customWidth="1"/>
    <col min="6661" max="6661" width="19" style="341" customWidth="1"/>
    <col min="6662" max="6662" width="29.42578125" style="341" customWidth="1"/>
    <col min="6663" max="6663" width="8.42578125" style="341" customWidth="1"/>
    <col min="6664" max="6664" width="12.85546875" style="341" customWidth="1"/>
    <col min="6665" max="6665" width="13.42578125" style="341" customWidth="1"/>
    <col min="6666" max="6667" width="7.85546875" style="341" customWidth="1"/>
    <col min="6668" max="6668" width="7.28515625" style="341" customWidth="1"/>
    <col min="6669" max="6669" width="7.42578125" style="341" customWidth="1"/>
    <col min="6670" max="6670" width="6.28515625" style="341" customWidth="1"/>
    <col min="6671" max="6671" width="5.7109375" style="341" customWidth="1"/>
    <col min="6672" max="6672" width="6" style="341" customWidth="1"/>
    <col min="6673" max="6673" width="4.85546875" style="341" customWidth="1"/>
    <col min="6674" max="6674" width="6" style="341" customWidth="1"/>
    <col min="6675" max="6675" width="6.5703125" style="341" customWidth="1"/>
    <col min="6676" max="6676" width="8.140625" style="341" customWidth="1"/>
    <col min="6677" max="6677" width="6" style="341" customWidth="1"/>
    <col min="6678" max="6678" width="8.140625" style="341" customWidth="1"/>
    <col min="6679" max="6679" width="15" style="341" customWidth="1"/>
    <col min="6680" max="6680" width="17.85546875" style="341" customWidth="1"/>
    <col min="6681" max="6681" width="12.85546875" style="341" customWidth="1"/>
    <col min="6682" max="6912" width="9.140625" style="341"/>
    <col min="6913" max="6913" width="4.7109375" style="341" customWidth="1"/>
    <col min="6914" max="6914" width="20.85546875" style="341" customWidth="1"/>
    <col min="6915" max="6915" width="27" style="341" customWidth="1"/>
    <col min="6916" max="6916" width="23" style="341" customWidth="1"/>
    <col min="6917" max="6917" width="19" style="341" customWidth="1"/>
    <col min="6918" max="6918" width="29.42578125" style="341" customWidth="1"/>
    <col min="6919" max="6919" width="8.42578125" style="341" customWidth="1"/>
    <col min="6920" max="6920" width="12.85546875" style="341" customWidth="1"/>
    <col min="6921" max="6921" width="13.42578125" style="341" customWidth="1"/>
    <col min="6922" max="6923" width="7.85546875" style="341" customWidth="1"/>
    <col min="6924" max="6924" width="7.28515625" style="341" customWidth="1"/>
    <col min="6925" max="6925" width="7.42578125" style="341" customWidth="1"/>
    <col min="6926" max="6926" width="6.28515625" style="341" customWidth="1"/>
    <col min="6927" max="6927" width="5.7109375" style="341" customWidth="1"/>
    <col min="6928" max="6928" width="6" style="341" customWidth="1"/>
    <col min="6929" max="6929" width="4.85546875" style="341" customWidth="1"/>
    <col min="6930" max="6930" width="6" style="341" customWidth="1"/>
    <col min="6931" max="6931" width="6.5703125" style="341" customWidth="1"/>
    <col min="6932" max="6932" width="8.140625" style="341" customWidth="1"/>
    <col min="6933" max="6933" width="6" style="341" customWidth="1"/>
    <col min="6934" max="6934" width="8.140625" style="341" customWidth="1"/>
    <col min="6935" max="6935" width="15" style="341" customWidth="1"/>
    <col min="6936" max="6936" width="17.85546875" style="341" customWidth="1"/>
    <col min="6937" max="6937" width="12.85546875" style="341" customWidth="1"/>
    <col min="6938" max="7168" width="9.140625" style="341"/>
    <col min="7169" max="7169" width="4.7109375" style="341" customWidth="1"/>
    <col min="7170" max="7170" width="20.85546875" style="341" customWidth="1"/>
    <col min="7171" max="7171" width="27" style="341" customWidth="1"/>
    <col min="7172" max="7172" width="23" style="341" customWidth="1"/>
    <col min="7173" max="7173" width="19" style="341" customWidth="1"/>
    <col min="7174" max="7174" width="29.42578125" style="341" customWidth="1"/>
    <col min="7175" max="7175" width="8.42578125" style="341" customWidth="1"/>
    <col min="7176" max="7176" width="12.85546875" style="341" customWidth="1"/>
    <col min="7177" max="7177" width="13.42578125" style="341" customWidth="1"/>
    <col min="7178" max="7179" width="7.85546875" style="341" customWidth="1"/>
    <col min="7180" max="7180" width="7.28515625" style="341" customWidth="1"/>
    <col min="7181" max="7181" width="7.42578125" style="341" customWidth="1"/>
    <col min="7182" max="7182" width="6.28515625" style="341" customWidth="1"/>
    <col min="7183" max="7183" width="5.7109375" style="341" customWidth="1"/>
    <col min="7184" max="7184" width="6" style="341" customWidth="1"/>
    <col min="7185" max="7185" width="4.85546875" style="341" customWidth="1"/>
    <col min="7186" max="7186" width="6" style="341" customWidth="1"/>
    <col min="7187" max="7187" width="6.5703125" style="341" customWidth="1"/>
    <col min="7188" max="7188" width="8.140625" style="341" customWidth="1"/>
    <col min="7189" max="7189" width="6" style="341" customWidth="1"/>
    <col min="7190" max="7190" width="8.140625" style="341" customWidth="1"/>
    <col min="7191" max="7191" width="15" style="341" customWidth="1"/>
    <col min="7192" max="7192" width="17.85546875" style="341" customWidth="1"/>
    <col min="7193" max="7193" width="12.85546875" style="341" customWidth="1"/>
    <col min="7194" max="7424" width="9.140625" style="341"/>
    <col min="7425" max="7425" width="4.7109375" style="341" customWidth="1"/>
    <col min="7426" max="7426" width="20.85546875" style="341" customWidth="1"/>
    <col min="7427" max="7427" width="27" style="341" customWidth="1"/>
    <col min="7428" max="7428" width="23" style="341" customWidth="1"/>
    <col min="7429" max="7429" width="19" style="341" customWidth="1"/>
    <col min="7430" max="7430" width="29.42578125" style="341" customWidth="1"/>
    <col min="7431" max="7431" width="8.42578125" style="341" customWidth="1"/>
    <col min="7432" max="7432" width="12.85546875" style="341" customWidth="1"/>
    <col min="7433" max="7433" width="13.42578125" style="341" customWidth="1"/>
    <col min="7434" max="7435" width="7.85546875" style="341" customWidth="1"/>
    <col min="7436" max="7436" width="7.28515625" style="341" customWidth="1"/>
    <col min="7437" max="7437" width="7.42578125" style="341" customWidth="1"/>
    <col min="7438" max="7438" width="6.28515625" style="341" customWidth="1"/>
    <col min="7439" max="7439" width="5.7109375" style="341" customWidth="1"/>
    <col min="7440" max="7440" width="6" style="341" customWidth="1"/>
    <col min="7441" max="7441" width="4.85546875" style="341" customWidth="1"/>
    <col min="7442" max="7442" width="6" style="341" customWidth="1"/>
    <col min="7443" max="7443" width="6.5703125" style="341" customWidth="1"/>
    <col min="7444" max="7444" width="8.140625" style="341" customWidth="1"/>
    <col min="7445" max="7445" width="6" style="341" customWidth="1"/>
    <col min="7446" max="7446" width="8.140625" style="341" customWidth="1"/>
    <col min="7447" max="7447" width="15" style="341" customWidth="1"/>
    <col min="7448" max="7448" width="17.85546875" style="341" customWidth="1"/>
    <col min="7449" max="7449" width="12.85546875" style="341" customWidth="1"/>
    <col min="7450" max="7680" width="9.140625" style="341"/>
    <col min="7681" max="7681" width="4.7109375" style="341" customWidth="1"/>
    <col min="7682" max="7682" width="20.85546875" style="341" customWidth="1"/>
    <col min="7683" max="7683" width="27" style="341" customWidth="1"/>
    <col min="7684" max="7684" width="23" style="341" customWidth="1"/>
    <col min="7685" max="7685" width="19" style="341" customWidth="1"/>
    <col min="7686" max="7686" width="29.42578125" style="341" customWidth="1"/>
    <col min="7687" max="7687" width="8.42578125" style="341" customWidth="1"/>
    <col min="7688" max="7688" width="12.85546875" style="341" customWidth="1"/>
    <col min="7689" max="7689" width="13.42578125" style="341" customWidth="1"/>
    <col min="7690" max="7691" width="7.85546875" style="341" customWidth="1"/>
    <col min="7692" max="7692" width="7.28515625" style="341" customWidth="1"/>
    <col min="7693" max="7693" width="7.42578125" style="341" customWidth="1"/>
    <col min="7694" max="7694" width="6.28515625" style="341" customWidth="1"/>
    <col min="7695" max="7695" width="5.7109375" style="341" customWidth="1"/>
    <col min="7696" max="7696" width="6" style="341" customWidth="1"/>
    <col min="7697" max="7697" width="4.85546875" style="341" customWidth="1"/>
    <col min="7698" max="7698" width="6" style="341" customWidth="1"/>
    <col min="7699" max="7699" width="6.5703125" style="341" customWidth="1"/>
    <col min="7700" max="7700" width="8.140625" style="341" customWidth="1"/>
    <col min="7701" max="7701" width="6" style="341" customWidth="1"/>
    <col min="7702" max="7702" width="8.140625" style="341" customWidth="1"/>
    <col min="7703" max="7703" width="15" style="341" customWidth="1"/>
    <col min="7704" max="7704" width="17.85546875" style="341" customWidth="1"/>
    <col min="7705" max="7705" width="12.85546875" style="341" customWidth="1"/>
    <col min="7706" max="7936" width="9.140625" style="341"/>
    <col min="7937" max="7937" width="4.7109375" style="341" customWidth="1"/>
    <col min="7938" max="7938" width="20.85546875" style="341" customWidth="1"/>
    <col min="7939" max="7939" width="27" style="341" customWidth="1"/>
    <col min="7940" max="7940" width="23" style="341" customWidth="1"/>
    <col min="7941" max="7941" width="19" style="341" customWidth="1"/>
    <col min="7942" max="7942" width="29.42578125" style="341" customWidth="1"/>
    <col min="7943" max="7943" width="8.42578125" style="341" customWidth="1"/>
    <col min="7944" max="7944" width="12.85546875" style="341" customWidth="1"/>
    <col min="7945" max="7945" width="13.42578125" style="341" customWidth="1"/>
    <col min="7946" max="7947" width="7.85546875" style="341" customWidth="1"/>
    <col min="7948" max="7948" width="7.28515625" style="341" customWidth="1"/>
    <col min="7949" max="7949" width="7.42578125" style="341" customWidth="1"/>
    <col min="7950" max="7950" width="6.28515625" style="341" customWidth="1"/>
    <col min="7951" max="7951" width="5.7109375" style="341" customWidth="1"/>
    <col min="7952" max="7952" width="6" style="341" customWidth="1"/>
    <col min="7953" max="7953" width="4.85546875" style="341" customWidth="1"/>
    <col min="7954" max="7954" width="6" style="341" customWidth="1"/>
    <col min="7955" max="7955" width="6.5703125" style="341" customWidth="1"/>
    <col min="7956" max="7956" width="8.140625" style="341" customWidth="1"/>
    <col min="7957" max="7957" width="6" style="341" customWidth="1"/>
    <col min="7958" max="7958" width="8.140625" style="341" customWidth="1"/>
    <col min="7959" max="7959" width="15" style="341" customWidth="1"/>
    <col min="7960" max="7960" width="17.85546875" style="341" customWidth="1"/>
    <col min="7961" max="7961" width="12.85546875" style="341" customWidth="1"/>
    <col min="7962" max="8192" width="9.140625" style="341"/>
    <col min="8193" max="8193" width="4.7109375" style="341" customWidth="1"/>
    <col min="8194" max="8194" width="20.85546875" style="341" customWidth="1"/>
    <col min="8195" max="8195" width="27" style="341" customWidth="1"/>
    <col min="8196" max="8196" width="23" style="341" customWidth="1"/>
    <col min="8197" max="8197" width="19" style="341" customWidth="1"/>
    <col min="8198" max="8198" width="29.42578125" style="341" customWidth="1"/>
    <col min="8199" max="8199" width="8.42578125" style="341" customWidth="1"/>
    <col min="8200" max="8200" width="12.85546875" style="341" customWidth="1"/>
    <col min="8201" max="8201" width="13.42578125" style="341" customWidth="1"/>
    <col min="8202" max="8203" width="7.85546875" style="341" customWidth="1"/>
    <col min="8204" max="8204" width="7.28515625" style="341" customWidth="1"/>
    <col min="8205" max="8205" width="7.42578125" style="341" customWidth="1"/>
    <col min="8206" max="8206" width="6.28515625" style="341" customWidth="1"/>
    <col min="8207" max="8207" width="5.7109375" style="341" customWidth="1"/>
    <col min="8208" max="8208" width="6" style="341" customWidth="1"/>
    <col min="8209" max="8209" width="4.85546875" style="341" customWidth="1"/>
    <col min="8210" max="8210" width="6" style="341" customWidth="1"/>
    <col min="8211" max="8211" width="6.5703125" style="341" customWidth="1"/>
    <col min="8212" max="8212" width="8.140625" style="341" customWidth="1"/>
    <col min="8213" max="8213" width="6" style="341" customWidth="1"/>
    <col min="8214" max="8214" width="8.140625" style="341" customWidth="1"/>
    <col min="8215" max="8215" width="15" style="341" customWidth="1"/>
    <col min="8216" max="8216" width="17.85546875" style="341" customWidth="1"/>
    <col min="8217" max="8217" width="12.85546875" style="341" customWidth="1"/>
    <col min="8218" max="8448" width="9.140625" style="341"/>
    <col min="8449" max="8449" width="4.7109375" style="341" customWidth="1"/>
    <col min="8450" max="8450" width="20.85546875" style="341" customWidth="1"/>
    <col min="8451" max="8451" width="27" style="341" customWidth="1"/>
    <col min="8452" max="8452" width="23" style="341" customWidth="1"/>
    <col min="8453" max="8453" width="19" style="341" customWidth="1"/>
    <col min="8454" max="8454" width="29.42578125" style="341" customWidth="1"/>
    <col min="8455" max="8455" width="8.42578125" style="341" customWidth="1"/>
    <col min="8456" max="8456" width="12.85546875" style="341" customWidth="1"/>
    <col min="8457" max="8457" width="13.42578125" style="341" customWidth="1"/>
    <col min="8458" max="8459" width="7.85546875" style="341" customWidth="1"/>
    <col min="8460" max="8460" width="7.28515625" style="341" customWidth="1"/>
    <col min="8461" max="8461" width="7.42578125" style="341" customWidth="1"/>
    <col min="8462" max="8462" width="6.28515625" style="341" customWidth="1"/>
    <col min="8463" max="8463" width="5.7109375" style="341" customWidth="1"/>
    <col min="8464" max="8464" width="6" style="341" customWidth="1"/>
    <col min="8465" max="8465" width="4.85546875" style="341" customWidth="1"/>
    <col min="8466" max="8466" width="6" style="341" customWidth="1"/>
    <col min="8467" max="8467" width="6.5703125" style="341" customWidth="1"/>
    <col min="8468" max="8468" width="8.140625" style="341" customWidth="1"/>
    <col min="8469" max="8469" width="6" style="341" customWidth="1"/>
    <col min="8470" max="8470" width="8.140625" style="341" customWidth="1"/>
    <col min="8471" max="8471" width="15" style="341" customWidth="1"/>
    <col min="8472" max="8472" width="17.85546875" style="341" customWidth="1"/>
    <col min="8473" max="8473" width="12.85546875" style="341" customWidth="1"/>
    <col min="8474" max="8704" width="9.140625" style="341"/>
    <col min="8705" max="8705" width="4.7109375" style="341" customWidth="1"/>
    <col min="8706" max="8706" width="20.85546875" style="341" customWidth="1"/>
    <col min="8707" max="8707" width="27" style="341" customWidth="1"/>
    <col min="8708" max="8708" width="23" style="341" customWidth="1"/>
    <col min="8709" max="8709" width="19" style="341" customWidth="1"/>
    <col min="8710" max="8710" width="29.42578125" style="341" customWidth="1"/>
    <col min="8711" max="8711" width="8.42578125" style="341" customWidth="1"/>
    <col min="8712" max="8712" width="12.85546875" style="341" customWidth="1"/>
    <col min="8713" max="8713" width="13.42578125" style="341" customWidth="1"/>
    <col min="8714" max="8715" width="7.85546875" style="341" customWidth="1"/>
    <col min="8716" max="8716" width="7.28515625" style="341" customWidth="1"/>
    <col min="8717" max="8717" width="7.42578125" style="341" customWidth="1"/>
    <col min="8718" max="8718" width="6.28515625" style="341" customWidth="1"/>
    <col min="8719" max="8719" width="5.7109375" style="341" customWidth="1"/>
    <col min="8720" max="8720" width="6" style="341" customWidth="1"/>
    <col min="8721" max="8721" width="4.85546875" style="341" customWidth="1"/>
    <col min="8722" max="8722" width="6" style="341" customWidth="1"/>
    <col min="8723" max="8723" width="6.5703125" style="341" customWidth="1"/>
    <col min="8724" max="8724" width="8.140625" style="341" customWidth="1"/>
    <col min="8725" max="8725" width="6" style="341" customWidth="1"/>
    <col min="8726" max="8726" width="8.140625" style="341" customWidth="1"/>
    <col min="8727" max="8727" width="15" style="341" customWidth="1"/>
    <col min="8728" max="8728" width="17.85546875" style="341" customWidth="1"/>
    <col min="8729" max="8729" width="12.85546875" style="341" customWidth="1"/>
    <col min="8730" max="8960" width="9.140625" style="341"/>
    <col min="8961" max="8961" width="4.7109375" style="341" customWidth="1"/>
    <col min="8962" max="8962" width="20.85546875" style="341" customWidth="1"/>
    <col min="8963" max="8963" width="27" style="341" customWidth="1"/>
    <col min="8964" max="8964" width="23" style="341" customWidth="1"/>
    <col min="8965" max="8965" width="19" style="341" customWidth="1"/>
    <col min="8966" max="8966" width="29.42578125" style="341" customWidth="1"/>
    <col min="8967" max="8967" width="8.42578125" style="341" customWidth="1"/>
    <col min="8968" max="8968" width="12.85546875" style="341" customWidth="1"/>
    <col min="8969" max="8969" width="13.42578125" style="341" customWidth="1"/>
    <col min="8970" max="8971" width="7.85546875" style="341" customWidth="1"/>
    <col min="8972" max="8972" width="7.28515625" style="341" customWidth="1"/>
    <col min="8973" max="8973" width="7.42578125" style="341" customWidth="1"/>
    <col min="8974" max="8974" width="6.28515625" style="341" customWidth="1"/>
    <col min="8975" max="8975" width="5.7109375" style="341" customWidth="1"/>
    <col min="8976" max="8976" width="6" style="341" customWidth="1"/>
    <col min="8977" max="8977" width="4.85546875" style="341" customWidth="1"/>
    <col min="8978" max="8978" width="6" style="341" customWidth="1"/>
    <col min="8979" max="8979" width="6.5703125" style="341" customWidth="1"/>
    <col min="8980" max="8980" width="8.140625" style="341" customWidth="1"/>
    <col min="8981" max="8981" width="6" style="341" customWidth="1"/>
    <col min="8982" max="8982" width="8.140625" style="341" customWidth="1"/>
    <col min="8983" max="8983" width="15" style="341" customWidth="1"/>
    <col min="8984" max="8984" width="17.85546875" style="341" customWidth="1"/>
    <col min="8985" max="8985" width="12.85546875" style="341" customWidth="1"/>
    <col min="8986" max="9216" width="9.140625" style="341"/>
    <col min="9217" max="9217" width="4.7109375" style="341" customWidth="1"/>
    <col min="9218" max="9218" width="20.85546875" style="341" customWidth="1"/>
    <col min="9219" max="9219" width="27" style="341" customWidth="1"/>
    <col min="9220" max="9220" width="23" style="341" customWidth="1"/>
    <col min="9221" max="9221" width="19" style="341" customWidth="1"/>
    <col min="9222" max="9222" width="29.42578125" style="341" customWidth="1"/>
    <col min="9223" max="9223" width="8.42578125" style="341" customWidth="1"/>
    <col min="9224" max="9224" width="12.85546875" style="341" customWidth="1"/>
    <col min="9225" max="9225" width="13.42578125" style="341" customWidth="1"/>
    <col min="9226" max="9227" width="7.85546875" style="341" customWidth="1"/>
    <col min="9228" max="9228" width="7.28515625" style="341" customWidth="1"/>
    <col min="9229" max="9229" width="7.42578125" style="341" customWidth="1"/>
    <col min="9230" max="9230" width="6.28515625" style="341" customWidth="1"/>
    <col min="9231" max="9231" width="5.7109375" style="341" customWidth="1"/>
    <col min="9232" max="9232" width="6" style="341" customWidth="1"/>
    <col min="9233" max="9233" width="4.85546875" style="341" customWidth="1"/>
    <col min="9234" max="9234" width="6" style="341" customWidth="1"/>
    <col min="9235" max="9235" width="6.5703125" style="341" customWidth="1"/>
    <col min="9236" max="9236" width="8.140625" style="341" customWidth="1"/>
    <col min="9237" max="9237" width="6" style="341" customWidth="1"/>
    <col min="9238" max="9238" width="8.140625" style="341" customWidth="1"/>
    <col min="9239" max="9239" width="15" style="341" customWidth="1"/>
    <col min="9240" max="9240" width="17.85546875" style="341" customWidth="1"/>
    <col min="9241" max="9241" width="12.85546875" style="341" customWidth="1"/>
    <col min="9242" max="9472" width="9.140625" style="341"/>
    <col min="9473" max="9473" width="4.7109375" style="341" customWidth="1"/>
    <col min="9474" max="9474" width="20.85546875" style="341" customWidth="1"/>
    <col min="9475" max="9475" width="27" style="341" customWidth="1"/>
    <col min="9476" max="9476" width="23" style="341" customWidth="1"/>
    <col min="9477" max="9477" width="19" style="341" customWidth="1"/>
    <col min="9478" max="9478" width="29.42578125" style="341" customWidth="1"/>
    <col min="9479" max="9479" width="8.42578125" style="341" customWidth="1"/>
    <col min="9480" max="9480" width="12.85546875" style="341" customWidth="1"/>
    <col min="9481" max="9481" width="13.42578125" style="341" customWidth="1"/>
    <col min="9482" max="9483" width="7.85546875" style="341" customWidth="1"/>
    <col min="9484" max="9484" width="7.28515625" style="341" customWidth="1"/>
    <col min="9485" max="9485" width="7.42578125" style="341" customWidth="1"/>
    <col min="9486" max="9486" width="6.28515625" style="341" customWidth="1"/>
    <col min="9487" max="9487" width="5.7109375" style="341" customWidth="1"/>
    <col min="9488" max="9488" width="6" style="341" customWidth="1"/>
    <col min="9489" max="9489" width="4.85546875" style="341" customWidth="1"/>
    <col min="9490" max="9490" width="6" style="341" customWidth="1"/>
    <col min="9491" max="9491" width="6.5703125" style="341" customWidth="1"/>
    <col min="9492" max="9492" width="8.140625" style="341" customWidth="1"/>
    <col min="9493" max="9493" width="6" style="341" customWidth="1"/>
    <col min="9494" max="9494" width="8.140625" style="341" customWidth="1"/>
    <col min="9495" max="9495" width="15" style="341" customWidth="1"/>
    <col min="9496" max="9496" width="17.85546875" style="341" customWidth="1"/>
    <col min="9497" max="9497" width="12.85546875" style="341" customWidth="1"/>
    <col min="9498" max="9728" width="9.140625" style="341"/>
    <col min="9729" max="9729" width="4.7109375" style="341" customWidth="1"/>
    <col min="9730" max="9730" width="20.85546875" style="341" customWidth="1"/>
    <col min="9731" max="9731" width="27" style="341" customWidth="1"/>
    <col min="9732" max="9732" width="23" style="341" customWidth="1"/>
    <col min="9733" max="9733" width="19" style="341" customWidth="1"/>
    <col min="9734" max="9734" width="29.42578125" style="341" customWidth="1"/>
    <col min="9735" max="9735" width="8.42578125" style="341" customWidth="1"/>
    <col min="9736" max="9736" width="12.85546875" style="341" customWidth="1"/>
    <col min="9737" max="9737" width="13.42578125" style="341" customWidth="1"/>
    <col min="9738" max="9739" width="7.85546875" style="341" customWidth="1"/>
    <col min="9740" max="9740" width="7.28515625" style="341" customWidth="1"/>
    <col min="9741" max="9741" width="7.42578125" style="341" customWidth="1"/>
    <col min="9742" max="9742" width="6.28515625" style="341" customWidth="1"/>
    <col min="9743" max="9743" width="5.7109375" style="341" customWidth="1"/>
    <col min="9744" max="9744" width="6" style="341" customWidth="1"/>
    <col min="9745" max="9745" width="4.85546875" style="341" customWidth="1"/>
    <col min="9746" max="9746" width="6" style="341" customWidth="1"/>
    <col min="9747" max="9747" width="6.5703125" style="341" customWidth="1"/>
    <col min="9748" max="9748" width="8.140625" style="341" customWidth="1"/>
    <col min="9749" max="9749" width="6" style="341" customWidth="1"/>
    <col min="9750" max="9750" width="8.140625" style="341" customWidth="1"/>
    <col min="9751" max="9751" width="15" style="341" customWidth="1"/>
    <col min="9752" max="9752" width="17.85546875" style="341" customWidth="1"/>
    <col min="9753" max="9753" width="12.85546875" style="341" customWidth="1"/>
    <col min="9754" max="9984" width="9.140625" style="341"/>
    <col min="9985" max="9985" width="4.7109375" style="341" customWidth="1"/>
    <col min="9986" max="9986" width="20.85546875" style="341" customWidth="1"/>
    <col min="9987" max="9987" width="27" style="341" customWidth="1"/>
    <col min="9988" max="9988" width="23" style="341" customWidth="1"/>
    <col min="9989" max="9989" width="19" style="341" customWidth="1"/>
    <col min="9990" max="9990" width="29.42578125" style="341" customWidth="1"/>
    <col min="9991" max="9991" width="8.42578125" style="341" customWidth="1"/>
    <col min="9992" max="9992" width="12.85546875" style="341" customWidth="1"/>
    <col min="9993" max="9993" width="13.42578125" style="341" customWidth="1"/>
    <col min="9994" max="9995" width="7.85546875" style="341" customWidth="1"/>
    <col min="9996" max="9996" width="7.28515625" style="341" customWidth="1"/>
    <col min="9997" max="9997" width="7.42578125" style="341" customWidth="1"/>
    <col min="9998" max="9998" width="6.28515625" style="341" customWidth="1"/>
    <col min="9999" max="9999" width="5.7109375" style="341" customWidth="1"/>
    <col min="10000" max="10000" width="6" style="341" customWidth="1"/>
    <col min="10001" max="10001" width="4.85546875" style="341" customWidth="1"/>
    <col min="10002" max="10002" width="6" style="341" customWidth="1"/>
    <col min="10003" max="10003" width="6.5703125" style="341" customWidth="1"/>
    <col min="10004" max="10004" width="8.140625" style="341" customWidth="1"/>
    <col min="10005" max="10005" width="6" style="341" customWidth="1"/>
    <col min="10006" max="10006" width="8.140625" style="341" customWidth="1"/>
    <col min="10007" max="10007" width="15" style="341" customWidth="1"/>
    <col min="10008" max="10008" width="17.85546875" style="341" customWidth="1"/>
    <col min="10009" max="10009" width="12.85546875" style="341" customWidth="1"/>
    <col min="10010" max="10240" width="9.140625" style="341"/>
    <col min="10241" max="10241" width="4.7109375" style="341" customWidth="1"/>
    <col min="10242" max="10242" width="20.85546875" style="341" customWidth="1"/>
    <col min="10243" max="10243" width="27" style="341" customWidth="1"/>
    <col min="10244" max="10244" width="23" style="341" customWidth="1"/>
    <col min="10245" max="10245" width="19" style="341" customWidth="1"/>
    <col min="10246" max="10246" width="29.42578125" style="341" customWidth="1"/>
    <col min="10247" max="10247" width="8.42578125" style="341" customWidth="1"/>
    <col min="10248" max="10248" width="12.85546875" style="341" customWidth="1"/>
    <col min="10249" max="10249" width="13.42578125" style="341" customWidth="1"/>
    <col min="10250" max="10251" width="7.85546875" style="341" customWidth="1"/>
    <col min="10252" max="10252" width="7.28515625" style="341" customWidth="1"/>
    <col min="10253" max="10253" width="7.42578125" style="341" customWidth="1"/>
    <col min="10254" max="10254" width="6.28515625" style="341" customWidth="1"/>
    <col min="10255" max="10255" width="5.7109375" style="341" customWidth="1"/>
    <col min="10256" max="10256" width="6" style="341" customWidth="1"/>
    <col min="10257" max="10257" width="4.85546875" style="341" customWidth="1"/>
    <col min="10258" max="10258" width="6" style="341" customWidth="1"/>
    <col min="10259" max="10259" width="6.5703125" style="341" customWidth="1"/>
    <col min="10260" max="10260" width="8.140625" style="341" customWidth="1"/>
    <col min="10261" max="10261" width="6" style="341" customWidth="1"/>
    <col min="10262" max="10262" width="8.140625" style="341" customWidth="1"/>
    <col min="10263" max="10263" width="15" style="341" customWidth="1"/>
    <col min="10264" max="10264" width="17.85546875" style="341" customWidth="1"/>
    <col min="10265" max="10265" width="12.85546875" style="341" customWidth="1"/>
    <col min="10266" max="10496" width="9.140625" style="341"/>
    <col min="10497" max="10497" width="4.7109375" style="341" customWidth="1"/>
    <col min="10498" max="10498" width="20.85546875" style="341" customWidth="1"/>
    <col min="10499" max="10499" width="27" style="341" customWidth="1"/>
    <col min="10500" max="10500" width="23" style="341" customWidth="1"/>
    <col min="10501" max="10501" width="19" style="341" customWidth="1"/>
    <col min="10502" max="10502" width="29.42578125" style="341" customWidth="1"/>
    <col min="10503" max="10503" width="8.42578125" style="341" customWidth="1"/>
    <col min="10504" max="10504" width="12.85546875" style="341" customWidth="1"/>
    <col min="10505" max="10505" width="13.42578125" style="341" customWidth="1"/>
    <col min="10506" max="10507" width="7.85546875" style="341" customWidth="1"/>
    <col min="10508" max="10508" width="7.28515625" style="341" customWidth="1"/>
    <col min="10509" max="10509" width="7.42578125" style="341" customWidth="1"/>
    <col min="10510" max="10510" width="6.28515625" style="341" customWidth="1"/>
    <col min="10511" max="10511" width="5.7109375" style="341" customWidth="1"/>
    <col min="10512" max="10512" width="6" style="341" customWidth="1"/>
    <col min="10513" max="10513" width="4.85546875" style="341" customWidth="1"/>
    <col min="10514" max="10514" width="6" style="341" customWidth="1"/>
    <col min="10515" max="10515" width="6.5703125" style="341" customWidth="1"/>
    <col min="10516" max="10516" width="8.140625" style="341" customWidth="1"/>
    <col min="10517" max="10517" width="6" style="341" customWidth="1"/>
    <col min="10518" max="10518" width="8.140625" style="341" customWidth="1"/>
    <col min="10519" max="10519" width="15" style="341" customWidth="1"/>
    <col min="10520" max="10520" width="17.85546875" style="341" customWidth="1"/>
    <col min="10521" max="10521" width="12.85546875" style="341" customWidth="1"/>
    <col min="10522" max="10752" width="9.140625" style="341"/>
    <col min="10753" max="10753" width="4.7109375" style="341" customWidth="1"/>
    <col min="10754" max="10754" width="20.85546875" style="341" customWidth="1"/>
    <col min="10755" max="10755" width="27" style="341" customWidth="1"/>
    <col min="10756" max="10756" width="23" style="341" customWidth="1"/>
    <col min="10757" max="10757" width="19" style="341" customWidth="1"/>
    <col min="10758" max="10758" width="29.42578125" style="341" customWidth="1"/>
    <col min="10759" max="10759" width="8.42578125" style="341" customWidth="1"/>
    <col min="10760" max="10760" width="12.85546875" style="341" customWidth="1"/>
    <col min="10761" max="10761" width="13.42578125" style="341" customWidth="1"/>
    <col min="10762" max="10763" width="7.85546875" style="341" customWidth="1"/>
    <col min="10764" max="10764" width="7.28515625" style="341" customWidth="1"/>
    <col min="10765" max="10765" width="7.42578125" style="341" customWidth="1"/>
    <col min="10766" max="10766" width="6.28515625" style="341" customWidth="1"/>
    <col min="10767" max="10767" width="5.7109375" style="341" customWidth="1"/>
    <col min="10768" max="10768" width="6" style="341" customWidth="1"/>
    <col min="10769" max="10769" width="4.85546875" style="341" customWidth="1"/>
    <col min="10770" max="10770" width="6" style="341" customWidth="1"/>
    <col min="10771" max="10771" width="6.5703125" style="341" customWidth="1"/>
    <col min="10772" max="10772" width="8.140625" style="341" customWidth="1"/>
    <col min="10773" max="10773" width="6" style="341" customWidth="1"/>
    <col min="10774" max="10774" width="8.140625" style="341" customWidth="1"/>
    <col min="10775" max="10775" width="15" style="341" customWidth="1"/>
    <col min="10776" max="10776" width="17.85546875" style="341" customWidth="1"/>
    <col min="10777" max="10777" width="12.85546875" style="341" customWidth="1"/>
    <col min="10778" max="11008" width="9.140625" style="341"/>
    <col min="11009" max="11009" width="4.7109375" style="341" customWidth="1"/>
    <col min="11010" max="11010" width="20.85546875" style="341" customWidth="1"/>
    <col min="11011" max="11011" width="27" style="341" customWidth="1"/>
    <col min="11012" max="11012" width="23" style="341" customWidth="1"/>
    <col min="11013" max="11013" width="19" style="341" customWidth="1"/>
    <col min="11014" max="11014" width="29.42578125" style="341" customWidth="1"/>
    <col min="11015" max="11015" width="8.42578125" style="341" customWidth="1"/>
    <col min="11016" max="11016" width="12.85546875" style="341" customWidth="1"/>
    <col min="11017" max="11017" width="13.42578125" style="341" customWidth="1"/>
    <col min="11018" max="11019" width="7.85546875" style="341" customWidth="1"/>
    <col min="11020" max="11020" width="7.28515625" style="341" customWidth="1"/>
    <col min="11021" max="11021" width="7.42578125" style="341" customWidth="1"/>
    <col min="11022" max="11022" width="6.28515625" style="341" customWidth="1"/>
    <col min="11023" max="11023" width="5.7109375" style="341" customWidth="1"/>
    <col min="11024" max="11024" width="6" style="341" customWidth="1"/>
    <col min="11025" max="11025" width="4.85546875" style="341" customWidth="1"/>
    <col min="11026" max="11026" width="6" style="341" customWidth="1"/>
    <col min="11027" max="11027" width="6.5703125" style="341" customWidth="1"/>
    <col min="11028" max="11028" width="8.140625" style="341" customWidth="1"/>
    <col min="11029" max="11029" width="6" style="341" customWidth="1"/>
    <col min="11030" max="11030" width="8.140625" style="341" customWidth="1"/>
    <col min="11031" max="11031" width="15" style="341" customWidth="1"/>
    <col min="11032" max="11032" width="17.85546875" style="341" customWidth="1"/>
    <col min="11033" max="11033" width="12.85546875" style="341" customWidth="1"/>
    <col min="11034" max="11264" width="9.140625" style="341"/>
    <col min="11265" max="11265" width="4.7109375" style="341" customWidth="1"/>
    <col min="11266" max="11266" width="20.85546875" style="341" customWidth="1"/>
    <col min="11267" max="11267" width="27" style="341" customWidth="1"/>
    <col min="11268" max="11268" width="23" style="341" customWidth="1"/>
    <col min="11269" max="11269" width="19" style="341" customWidth="1"/>
    <col min="11270" max="11270" width="29.42578125" style="341" customWidth="1"/>
    <col min="11271" max="11271" width="8.42578125" style="341" customWidth="1"/>
    <col min="11272" max="11272" width="12.85546875" style="341" customWidth="1"/>
    <col min="11273" max="11273" width="13.42578125" style="341" customWidth="1"/>
    <col min="11274" max="11275" width="7.85546875" style="341" customWidth="1"/>
    <col min="11276" max="11276" width="7.28515625" style="341" customWidth="1"/>
    <col min="11277" max="11277" width="7.42578125" style="341" customWidth="1"/>
    <col min="11278" max="11278" width="6.28515625" style="341" customWidth="1"/>
    <col min="11279" max="11279" width="5.7109375" style="341" customWidth="1"/>
    <col min="11280" max="11280" width="6" style="341" customWidth="1"/>
    <col min="11281" max="11281" width="4.85546875" style="341" customWidth="1"/>
    <col min="11282" max="11282" width="6" style="341" customWidth="1"/>
    <col min="11283" max="11283" width="6.5703125" style="341" customWidth="1"/>
    <col min="11284" max="11284" width="8.140625" style="341" customWidth="1"/>
    <col min="11285" max="11285" width="6" style="341" customWidth="1"/>
    <col min="11286" max="11286" width="8.140625" style="341" customWidth="1"/>
    <col min="11287" max="11287" width="15" style="341" customWidth="1"/>
    <col min="11288" max="11288" width="17.85546875" style="341" customWidth="1"/>
    <col min="11289" max="11289" width="12.85546875" style="341" customWidth="1"/>
    <col min="11290" max="11520" width="9.140625" style="341"/>
    <col min="11521" max="11521" width="4.7109375" style="341" customWidth="1"/>
    <col min="11522" max="11522" width="20.85546875" style="341" customWidth="1"/>
    <col min="11523" max="11523" width="27" style="341" customWidth="1"/>
    <col min="11524" max="11524" width="23" style="341" customWidth="1"/>
    <col min="11525" max="11525" width="19" style="341" customWidth="1"/>
    <col min="11526" max="11526" width="29.42578125" style="341" customWidth="1"/>
    <col min="11527" max="11527" width="8.42578125" style="341" customWidth="1"/>
    <col min="11528" max="11528" width="12.85546875" style="341" customWidth="1"/>
    <col min="11529" max="11529" width="13.42578125" style="341" customWidth="1"/>
    <col min="11530" max="11531" width="7.85546875" style="341" customWidth="1"/>
    <col min="11532" max="11532" width="7.28515625" style="341" customWidth="1"/>
    <col min="11533" max="11533" width="7.42578125" style="341" customWidth="1"/>
    <col min="11534" max="11534" width="6.28515625" style="341" customWidth="1"/>
    <col min="11535" max="11535" width="5.7109375" style="341" customWidth="1"/>
    <col min="11536" max="11536" width="6" style="341" customWidth="1"/>
    <col min="11537" max="11537" width="4.85546875" style="341" customWidth="1"/>
    <col min="11538" max="11538" width="6" style="341" customWidth="1"/>
    <col min="11539" max="11539" width="6.5703125" style="341" customWidth="1"/>
    <col min="11540" max="11540" width="8.140625" style="341" customWidth="1"/>
    <col min="11541" max="11541" width="6" style="341" customWidth="1"/>
    <col min="11542" max="11542" width="8.140625" style="341" customWidth="1"/>
    <col min="11543" max="11543" width="15" style="341" customWidth="1"/>
    <col min="11544" max="11544" width="17.85546875" style="341" customWidth="1"/>
    <col min="11545" max="11545" width="12.85546875" style="341" customWidth="1"/>
    <col min="11546" max="11776" width="9.140625" style="341"/>
    <col min="11777" max="11777" width="4.7109375" style="341" customWidth="1"/>
    <col min="11778" max="11778" width="20.85546875" style="341" customWidth="1"/>
    <col min="11779" max="11779" width="27" style="341" customWidth="1"/>
    <col min="11780" max="11780" width="23" style="341" customWidth="1"/>
    <col min="11781" max="11781" width="19" style="341" customWidth="1"/>
    <col min="11782" max="11782" width="29.42578125" style="341" customWidth="1"/>
    <col min="11783" max="11783" width="8.42578125" style="341" customWidth="1"/>
    <col min="11784" max="11784" width="12.85546875" style="341" customWidth="1"/>
    <col min="11785" max="11785" width="13.42578125" style="341" customWidth="1"/>
    <col min="11786" max="11787" width="7.85546875" style="341" customWidth="1"/>
    <col min="11788" max="11788" width="7.28515625" style="341" customWidth="1"/>
    <col min="11789" max="11789" width="7.42578125" style="341" customWidth="1"/>
    <col min="11790" max="11790" width="6.28515625" style="341" customWidth="1"/>
    <col min="11791" max="11791" width="5.7109375" style="341" customWidth="1"/>
    <col min="11792" max="11792" width="6" style="341" customWidth="1"/>
    <col min="11793" max="11793" width="4.85546875" style="341" customWidth="1"/>
    <col min="11794" max="11794" width="6" style="341" customWidth="1"/>
    <col min="11795" max="11795" width="6.5703125" style="341" customWidth="1"/>
    <col min="11796" max="11796" width="8.140625" style="341" customWidth="1"/>
    <col min="11797" max="11797" width="6" style="341" customWidth="1"/>
    <col min="11798" max="11798" width="8.140625" style="341" customWidth="1"/>
    <col min="11799" max="11799" width="15" style="341" customWidth="1"/>
    <col min="11800" max="11800" width="17.85546875" style="341" customWidth="1"/>
    <col min="11801" max="11801" width="12.85546875" style="341" customWidth="1"/>
    <col min="11802" max="12032" width="9.140625" style="341"/>
    <col min="12033" max="12033" width="4.7109375" style="341" customWidth="1"/>
    <col min="12034" max="12034" width="20.85546875" style="341" customWidth="1"/>
    <col min="12035" max="12035" width="27" style="341" customWidth="1"/>
    <col min="12036" max="12036" width="23" style="341" customWidth="1"/>
    <col min="12037" max="12037" width="19" style="341" customWidth="1"/>
    <col min="12038" max="12038" width="29.42578125" style="341" customWidth="1"/>
    <col min="12039" max="12039" width="8.42578125" style="341" customWidth="1"/>
    <col min="12040" max="12040" width="12.85546875" style="341" customWidth="1"/>
    <col min="12041" max="12041" width="13.42578125" style="341" customWidth="1"/>
    <col min="12042" max="12043" width="7.85546875" style="341" customWidth="1"/>
    <col min="12044" max="12044" width="7.28515625" style="341" customWidth="1"/>
    <col min="12045" max="12045" width="7.42578125" style="341" customWidth="1"/>
    <col min="12046" max="12046" width="6.28515625" style="341" customWidth="1"/>
    <col min="12047" max="12047" width="5.7109375" style="341" customWidth="1"/>
    <col min="12048" max="12048" width="6" style="341" customWidth="1"/>
    <col min="12049" max="12049" width="4.85546875" style="341" customWidth="1"/>
    <col min="12050" max="12050" width="6" style="341" customWidth="1"/>
    <col min="12051" max="12051" width="6.5703125" style="341" customWidth="1"/>
    <col min="12052" max="12052" width="8.140625" style="341" customWidth="1"/>
    <col min="12053" max="12053" width="6" style="341" customWidth="1"/>
    <col min="12054" max="12054" width="8.140625" style="341" customWidth="1"/>
    <col min="12055" max="12055" width="15" style="341" customWidth="1"/>
    <col min="12056" max="12056" width="17.85546875" style="341" customWidth="1"/>
    <col min="12057" max="12057" width="12.85546875" style="341" customWidth="1"/>
    <col min="12058" max="12288" width="9.140625" style="341"/>
    <col min="12289" max="12289" width="4.7109375" style="341" customWidth="1"/>
    <col min="12290" max="12290" width="20.85546875" style="341" customWidth="1"/>
    <col min="12291" max="12291" width="27" style="341" customWidth="1"/>
    <col min="12292" max="12292" width="23" style="341" customWidth="1"/>
    <col min="12293" max="12293" width="19" style="341" customWidth="1"/>
    <col min="12294" max="12294" width="29.42578125" style="341" customWidth="1"/>
    <col min="12295" max="12295" width="8.42578125" style="341" customWidth="1"/>
    <col min="12296" max="12296" width="12.85546875" style="341" customWidth="1"/>
    <col min="12297" max="12297" width="13.42578125" style="341" customWidth="1"/>
    <col min="12298" max="12299" width="7.85546875" style="341" customWidth="1"/>
    <col min="12300" max="12300" width="7.28515625" style="341" customWidth="1"/>
    <col min="12301" max="12301" width="7.42578125" style="341" customWidth="1"/>
    <col min="12302" max="12302" width="6.28515625" style="341" customWidth="1"/>
    <col min="12303" max="12303" width="5.7109375" style="341" customWidth="1"/>
    <col min="12304" max="12304" width="6" style="341" customWidth="1"/>
    <col min="12305" max="12305" width="4.85546875" style="341" customWidth="1"/>
    <col min="12306" max="12306" width="6" style="341" customWidth="1"/>
    <col min="12307" max="12307" width="6.5703125" style="341" customWidth="1"/>
    <col min="12308" max="12308" width="8.140625" style="341" customWidth="1"/>
    <col min="12309" max="12309" width="6" style="341" customWidth="1"/>
    <col min="12310" max="12310" width="8.140625" style="341" customWidth="1"/>
    <col min="12311" max="12311" width="15" style="341" customWidth="1"/>
    <col min="12312" max="12312" width="17.85546875" style="341" customWidth="1"/>
    <col min="12313" max="12313" width="12.85546875" style="341" customWidth="1"/>
    <col min="12314" max="12544" width="9.140625" style="341"/>
    <col min="12545" max="12545" width="4.7109375" style="341" customWidth="1"/>
    <col min="12546" max="12546" width="20.85546875" style="341" customWidth="1"/>
    <col min="12547" max="12547" width="27" style="341" customWidth="1"/>
    <col min="12548" max="12548" width="23" style="341" customWidth="1"/>
    <col min="12549" max="12549" width="19" style="341" customWidth="1"/>
    <col min="12550" max="12550" width="29.42578125" style="341" customWidth="1"/>
    <col min="12551" max="12551" width="8.42578125" style="341" customWidth="1"/>
    <col min="12552" max="12552" width="12.85546875" style="341" customWidth="1"/>
    <col min="12553" max="12553" width="13.42578125" style="341" customWidth="1"/>
    <col min="12554" max="12555" width="7.85546875" style="341" customWidth="1"/>
    <col min="12556" max="12556" width="7.28515625" style="341" customWidth="1"/>
    <col min="12557" max="12557" width="7.42578125" style="341" customWidth="1"/>
    <col min="12558" max="12558" width="6.28515625" style="341" customWidth="1"/>
    <col min="12559" max="12559" width="5.7109375" style="341" customWidth="1"/>
    <col min="12560" max="12560" width="6" style="341" customWidth="1"/>
    <col min="12561" max="12561" width="4.85546875" style="341" customWidth="1"/>
    <col min="12562" max="12562" width="6" style="341" customWidth="1"/>
    <col min="12563" max="12563" width="6.5703125" style="341" customWidth="1"/>
    <col min="12564" max="12564" width="8.140625" style="341" customWidth="1"/>
    <col min="12565" max="12565" width="6" style="341" customWidth="1"/>
    <col min="12566" max="12566" width="8.140625" style="341" customWidth="1"/>
    <col min="12567" max="12567" width="15" style="341" customWidth="1"/>
    <col min="12568" max="12568" width="17.85546875" style="341" customWidth="1"/>
    <col min="12569" max="12569" width="12.85546875" style="341" customWidth="1"/>
    <col min="12570" max="12800" width="9.140625" style="341"/>
    <col min="12801" max="12801" width="4.7109375" style="341" customWidth="1"/>
    <col min="12802" max="12802" width="20.85546875" style="341" customWidth="1"/>
    <col min="12803" max="12803" width="27" style="341" customWidth="1"/>
    <col min="12804" max="12804" width="23" style="341" customWidth="1"/>
    <col min="12805" max="12805" width="19" style="341" customWidth="1"/>
    <col min="12806" max="12806" width="29.42578125" style="341" customWidth="1"/>
    <col min="12807" max="12807" width="8.42578125" style="341" customWidth="1"/>
    <col min="12808" max="12808" width="12.85546875" style="341" customWidth="1"/>
    <col min="12809" max="12809" width="13.42578125" style="341" customWidth="1"/>
    <col min="12810" max="12811" width="7.85546875" style="341" customWidth="1"/>
    <col min="12812" max="12812" width="7.28515625" style="341" customWidth="1"/>
    <col min="12813" max="12813" width="7.42578125" style="341" customWidth="1"/>
    <col min="12814" max="12814" width="6.28515625" style="341" customWidth="1"/>
    <col min="12815" max="12815" width="5.7109375" style="341" customWidth="1"/>
    <col min="12816" max="12816" width="6" style="341" customWidth="1"/>
    <col min="12817" max="12817" width="4.85546875" style="341" customWidth="1"/>
    <col min="12818" max="12818" width="6" style="341" customWidth="1"/>
    <col min="12819" max="12819" width="6.5703125" style="341" customWidth="1"/>
    <col min="12820" max="12820" width="8.140625" style="341" customWidth="1"/>
    <col min="12821" max="12821" width="6" style="341" customWidth="1"/>
    <col min="12822" max="12822" width="8.140625" style="341" customWidth="1"/>
    <col min="12823" max="12823" width="15" style="341" customWidth="1"/>
    <col min="12824" max="12824" width="17.85546875" style="341" customWidth="1"/>
    <col min="12825" max="12825" width="12.85546875" style="341" customWidth="1"/>
    <col min="12826" max="13056" width="9.140625" style="341"/>
    <col min="13057" max="13057" width="4.7109375" style="341" customWidth="1"/>
    <col min="13058" max="13058" width="20.85546875" style="341" customWidth="1"/>
    <col min="13059" max="13059" width="27" style="341" customWidth="1"/>
    <col min="13060" max="13060" width="23" style="341" customWidth="1"/>
    <col min="13061" max="13061" width="19" style="341" customWidth="1"/>
    <col min="13062" max="13062" width="29.42578125" style="341" customWidth="1"/>
    <col min="13063" max="13063" width="8.42578125" style="341" customWidth="1"/>
    <col min="13064" max="13064" width="12.85546875" style="341" customWidth="1"/>
    <col min="13065" max="13065" width="13.42578125" style="341" customWidth="1"/>
    <col min="13066" max="13067" width="7.85546875" style="341" customWidth="1"/>
    <col min="13068" max="13068" width="7.28515625" style="341" customWidth="1"/>
    <col min="13069" max="13069" width="7.42578125" style="341" customWidth="1"/>
    <col min="13070" max="13070" width="6.28515625" style="341" customWidth="1"/>
    <col min="13071" max="13071" width="5.7109375" style="341" customWidth="1"/>
    <col min="13072" max="13072" width="6" style="341" customWidth="1"/>
    <col min="13073" max="13073" width="4.85546875" style="341" customWidth="1"/>
    <col min="13074" max="13074" width="6" style="341" customWidth="1"/>
    <col min="13075" max="13075" width="6.5703125" style="341" customWidth="1"/>
    <col min="13076" max="13076" width="8.140625" style="341" customWidth="1"/>
    <col min="13077" max="13077" width="6" style="341" customWidth="1"/>
    <col min="13078" max="13078" width="8.140625" style="341" customWidth="1"/>
    <col min="13079" max="13079" width="15" style="341" customWidth="1"/>
    <col min="13080" max="13080" width="17.85546875" style="341" customWidth="1"/>
    <col min="13081" max="13081" width="12.85546875" style="341" customWidth="1"/>
    <col min="13082" max="13312" width="9.140625" style="341"/>
    <col min="13313" max="13313" width="4.7109375" style="341" customWidth="1"/>
    <col min="13314" max="13314" width="20.85546875" style="341" customWidth="1"/>
    <col min="13315" max="13315" width="27" style="341" customWidth="1"/>
    <col min="13316" max="13316" width="23" style="341" customWidth="1"/>
    <col min="13317" max="13317" width="19" style="341" customWidth="1"/>
    <col min="13318" max="13318" width="29.42578125" style="341" customWidth="1"/>
    <col min="13319" max="13319" width="8.42578125" style="341" customWidth="1"/>
    <col min="13320" max="13320" width="12.85546875" style="341" customWidth="1"/>
    <col min="13321" max="13321" width="13.42578125" style="341" customWidth="1"/>
    <col min="13322" max="13323" width="7.85546875" style="341" customWidth="1"/>
    <col min="13324" max="13324" width="7.28515625" style="341" customWidth="1"/>
    <col min="13325" max="13325" width="7.42578125" style="341" customWidth="1"/>
    <col min="13326" max="13326" width="6.28515625" style="341" customWidth="1"/>
    <col min="13327" max="13327" width="5.7109375" style="341" customWidth="1"/>
    <col min="13328" max="13328" width="6" style="341" customWidth="1"/>
    <col min="13329" max="13329" width="4.85546875" style="341" customWidth="1"/>
    <col min="13330" max="13330" width="6" style="341" customWidth="1"/>
    <col min="13331" max="13331" width="6.5703125" style="341" customWidth="1"/>
    <col min="13332" max="13332" width="8.140625" style="341" customWidth="1"/>
    <col min="13333" max="13333" width="6" style="341" customWidth="1"/>
    <col min="13334" max="13334" width="8.140625" style="341" customWidth="1"/>
    <col min="13335" max="13335" width="15" style="341" customWidth="1"/>
    <col min="13336" max="13336" width="17.85546875" style="341" customWidth="1"/>
    <col min="13337" max="13337" width="12.85546875" style="341" customWidth="1"/>
    <col min="13338" max="13568" width="9.140625" style="341"/>
    <col min="13569" max="13569" width="4.7109375" style="341" customWidth="1"/>
    <col min="13570" max="13570" width="20.85546875" style="341" customWidth="1"/>
    <col min="13571" max="13571" width="27" style="341" customWidth="1"/>
    <col min="13572" max="13572" width="23" style="341" customWidth="1"/>
    <col min="13573" max="13573" width="19" style="341" customWidth="1"/>
    <col min="13574" max="13574" width="29.42578125" style="341" customWidth="1"/>
    <col min="13575" max="13575" width="8.42578125" style="341" customWidth="1"/>
    <col min="13576" max="13576" width="12.85546875" style="341" customWidth="1"/>
    <col min="13577" max="13577" width="13.42578125" style="341" customWidth="1"/>
    <col min="13578" max="13579" width="7.85546875" style="341" customWidth="1"/>
    <col min="13580" max="13580" width="7.28515625" style="341" customWidth="1"/>
    <col min="13581" max="13581" width="7.42578125" style="341" customWidth="1"/>
    <col min="13582" max="13582" width="6.28515625" style="341" customWidth="1"/>
    <col min="13583" max="13583" width="5.7109375" style="341" customWidth="1"/>
    <col min="13584" max="13584" width="6" style="341" customWidth="1"/>
    <col min="13585" max="13585" width="4.85546875" style="341" customWidth="1"/>
    <col min="13586" max="13586" width="6" style="341" customWidth="1"/>
    <col min="13587" max="13587" width="6.5703125" style="341" customWidth="1"/>
    <col min="13588" max="13588" width="8.140625" style="341" customWidth="1"/>
    <col min="13589" max="13589" width="6" style="341" customWidth="1"/>
    <col min="13590" max="13590" width="8.140625" style="341" customWidth="1"/>
    <col min="13591" max="13591" width="15" style="341" customWidth="1"/>
    <col min="13592" max="13592" width="17.85546875" style="341" customWidth="1"/>
    <col min="13593" max="13593" width="12.85546875" style="341" customWidth="1"/>
    <col min="13594" max="13824" width="9.140625" style="341"/>
    <col min="13825" max="13825" width="4.7109375" style="341" customWidth="1"/>
    <col min="13826" max="13826" width="20.85546875" style="341" customWidth="1"/>
    <col min="13827" max="13827" width="27" style="341" customWidth="1"/>
    <col min="13828" max="13828" width="23" style="341" customWidth="1"/>
    <col min="13829" max="13829" width="19" style="341" customWidth="1"/>
    <col min="13830" max="13830" width="29.42578125" style="341" customWidth="1"/>
    <col min="13831" max="13831" width="8.42578125" style="341" customWidth="1"/>
    <col min="13832" max="13832" width="12.85546875" style="341" customWidth="1"/>
    <col min="13833" max="13833" width="13.42578125" style="341" customWidth="1"/>
    <col min="13834" max="13835" width="7.85546875" style="341" customWidth="1"/>
    <col min="13836" max="13836" width="7.28515625" style="341" customWidth="1"/>
    <col min="13837" max="13837" width="7.42578125" style="341" customWidth="1"/>
    <col min="13838" max="13838" width="6.28515625" style="341" customWidth="1"/>
    <col min="13839" max="13839" width="5.7109375" style="341" customWidth="1"/>
    <col min="13840" max="13840" width="6" style="341" customWidth="1"/>
    <col min="13841" max="13841" width="4.85546875" style="341" customWidth="1"/>
    <col min="13842" max="13842" width="6" style="341" customWidth="1"/>
    <col min="13843" max="13843" width="6.5703125" style="341" customWidth="1"/>
    <col min="13844" max="13844" width="8.140625" style="341" customWidth="1"/>
    <col min="13845" max="13845" width="6" style="341" customWidth="1"/>
    <col min="13846" max="13846" width="8.140625" style="341" customWidth="1"/>
    <col min="13847" max="13847" width="15" style="341" customWidth="1"/>
    <col min="13848" max="13848" width="17.85546875" style="341" customWidth="1"/>
    <col min="13849" max="13849" width="12.85546875" style="341" customWidth="1"/>
    <col min="13850" max="14080" width="9.140625" style="341"/>
    <col min="14081" max="14081" width="4.7109375" style="341" customWidth="1"/>
    <col min="14082" max="14082" width="20.85546875" style="341" customWidth="1"/>
    <col min="14083" max="14083" width="27" style="341" customWidth="1"/>
    <col min="14084" max="14084" width="23" style="341" customWidth="1"/>
    <col min="14085" max="14085" width="19" style="341" customWidth="1"/>
    <col min="14086" max="14086" width="29.42578125" style="341" customWidth="1"/>
    <col min="14087" max="14087" width="8.42578125" style="341" customWidth="1"/>
    <col min="14088" max="14088" width="12.85546875" style="341" customWidth="1"/>
    <col min="14089" max="14089" width="13.42578125" style="341" customWidth="1"/>
    <col min="14090" max="14091" width="7.85546875" style="341" customWidth="1"/>
    <col min="14092" max="14092" width="7.28515625" style="341" customWidth="1"/>
    <col min="14093" max="14093" width="7.42578125" style="341" customWidth="1"/>
    <col min="14094" max="14094" width="6.28515625" style="341" customWidth="1"/>
    <col min="14095" max="14095" width="5.7109375" style="341" customWidth="1"/>
    <col min="14096" max="14096" width="6" style="341" customWidth="1"/>
    <col min="14097" max="14097" width="4.85546875" style="341" customWidth="1"/>
    <col min="14098" max="14098" width="6" style="341" customWidth="1"/>
    <col min="14099" max="14099" width="6.5703125" style="341" customWidth="1"/>
    <col min="14100" max="14100" width="8.140625" style="341" customWidth="1"/>
    <col min="14101" max="14101" width="6" style="341" customWidth="1"/>
    <col min="14102" max="14102" width="8.140625" style="341" customWidth="1"/>
    <col min="14103" max="14103" width="15" style="341" customWidth="1"/>
    <col min="14104" max="14104" width="17.85546875" style="341" customWidth="1"/>
    <col min="14105" max="14105" width="12.85546875" style="341" customWidth="1"/>
    <col min="14106" max="14336" width="9.140625" style="341"/>
    <col min="14337" max="14337" width="4.7109375" style="341" customWidth="1"/>
    <col min="14338" max="14338" width="20.85546875" style="341" customWidth="1"/>
    <col min="14339" max="14339" width="27" style="341" customWidth="1"/>
    <col min="14340" max="14340" width="23" style="341" customWidth="1"/>
    <col min="14341" max="14341" width="19" style="341" customWidth="1"/>
    <col min="14342" max="14342" width="29.42578125" style="341" customWidth="1"/>
    <col min="14343" max="14343" width="8.42578125" style="341" customWidth="1"/>
    <col min="14344" max="14344" width="12.85546875" style="341" customWidth="1"/>
    <col min="14345" max="14345" width="13.42578125" style="341" customWidth="1"/>
    <col min="14346" max="14347" width="7.85546875" style="341" customWidth="1"/>
    <col min="14348" max="14348" width="7.28515625" style="341" customWidth="1"/>
    <col min="14349" max="14349" width="7.42578125" style="341" customWidth="1"/>
    <col min="14350" max="14350" width="6.28515625" style="341" customWidth="1"/>
    <col min="14351" max="14351" width="5.7109375" style="341" customWidth="1"/>
    <col min="14352" max="14352" width="6" style="341" customWidth="1"/>
    <col min="14353" max="14353" width="4.85546875" style="341" customWidth="1"/>
    <col min="14354" max="14354" width="6" style="341" customWidth="1"/>
    <col min="14355" max="14355" width="6.5703125" style="341" customWidth="1"/>
    <col min="14356" max="14356" width="8.140625" style="341" customWidth="1"/>
    <col min="14357" max="14357" width="6" style="341" customWidth="1"/>
    <col min="14358" max="14358" width="8.140625" style="341" customWidth="1"/>
    <col min="14359" max="14359" width="15" style="341" customWidth="1"/>
    <col min="14360" max="14360" width="17.85546875" style="341" customWidth="1"/>
    <col min="14361" max="14361" width="12.85546875" style="341" customWidth="1"/>
    <col min="14362" max="14592" width="9.140625" style="341"/>
    <col min="14593" max="14593" width="4.7109375" style="341" customWidth="1"/>
    <col min="14594" max="14594" width="20.85546875" style="341" customWidth="1"/>
    <col min="14595" max="14595" width="27" style="341" customWidth="1"/>
    <col min="14596" max="14596" width="23" style="341" customWidth="1"/>
    <col min="14597" max="14597" width="19" style="341" customWidth="1"/>
    <col min="14598" max="14598" width="29.42578125" style="341" customWidth="1"/>
    <col min="14599" max="14599" width="8.42578125" style="341" customWidth="1"/>
    <col min="14600" max="14600" width="12.85546875" style="341" customWidth="1"/>
    <col min="14601" max="14601" width="13.42578125" style="341" customWidth="1"/>
    <col min="14602" max="14603" width="7.85546875" style="341" customWidth="1"/>
    <col min="14604" max="14604" width="7.28515625" style="341" customWidth="1"/>
    <col min="14605" max="14605" width="7.42578125" style="341" customWidth="1"/>
    <col min="14606" max="14606" width="6.28515625" style="341" customWidth="1"/>
    <col min="14607" max="14607" width="5.7109375" style="341" customWidth="1"/>
    <col min="14608" max="14608" width="6" style="341" customWidth="1"/>
    <col min="14609" max="14609" width="4.85546875" style="341" customWidth="1"/>
    <col min="14610" max="14610" width="6" style="341" customWidth="1"/>
    <col min="14611" max="14611" width="6.5703125" style="341" customWidth="1"/>
    <col min="14612" max="14612" width="8.140625" style="341" customWidth="1"/>
    <col min="14613" max="14613" width="6" style="341" customWidth="1"/>
    <col min="14614" max="14614" width="8.140625" style="341" customWidth="1"/>
    <col min="14615" max="14615" width="15" style="341" customWidth="1"/>
    <col min="14616" max="14616" width="17.85546875" style="341" customWidth="1"/>
    <col min="14617" max="14617" width="12.85546875" style="341" customWidth="1"/>
    <col min="14618" max="14848" width="9.140625" style="341"/>
    <col min="14849" max="14849" width="4.7109375" style="341" customWidth="1"/>
    <col min="14850" max="14850" width="20.85546875" style="341" customWidth="1"/>
    <col min="14851" max="14851" width="27" style="341" customWidth="1"/>
    <col min="14852" max="14852" width="23" style="341" customWidth="1"/>
    <col min="14853" max="14853" width="19" style="341" customWidth="1"/>
    <col min="14854" max="14854" width="29.42578125" style="341" customWidth="1"/>
    <col min="14855" max="14855" width="8.42578125" style="341" customWidth="1"/>
    <col min="14856" max="14856" width="12.85546875" style="341" customWidth="1"/>
    <col min="14857" max="14857" width="13.42578125" style="341" customWidth="1"/>
    <col min="14858" max="14859" width="7.85546875" style="341" customWidth="1"/>
    <col min="14860" max="14860" width="7.28515625" style="341" customWidth="1"/>
    <col min="14861" max="14861" width="7.42578125" style="341" customWidth="1"/>
    <col min="14862" max="14862" width="6.28515625" style="341" customWidth="1"/>
    <col min="14863" max="14863" width="5.7109375" style="341" customWidth="1"/>
    <col min="14864" max="14864" width="6" style="341" customWidth="1"/>
    <col min="14865" max="14865" width="4.85546875" style="341" customWidth="1"/>
    <col min="14866" max="14866" width="6" style="341" customWidth="1"/>
    <col min="14867" max="14867" width="6.5703125" style="341" customWidth="1"/>
    <col min="14868" max="14868" width="8.140625" style="341" customWidth="1"/>
    <col min="14869" max="14869" width="6" style="341" customWidth="1"/>
    <col min="14870" max="14870" width="8.140625" style="341" customWidth="1"/>
    <col min="14871" max="14871" width="15" style="341" customWidth="1"/>
    <col min="14872" max="14872" width="17.85546875" style="341" customWidth="1"/>
    <col min="14873" max="14873" width="12.85546875" style="341" customWidth="1"/>
    <col min="14874" max="15104" width="9.140625" style="341"/>
    <col min="15105" max="15105" width="4.7109375" style="341" customWidth="1"/>
    <col min="15106" max="15106" width="20.85546875" style="341" customWidth="1"/>
    <col min="15107" max="15107" width="27" style="341" customWidth="1"/>
    <col min="15108" max="15108" width="23" style="341" customWidth="1"/>
    <col min="15109" max="15109" width="19" style="341" customWidth="1"/>
    <col min="15110" max="15110" width="29.42578125" style="341" customWidth="1"/>
    <col min="15111" max="15111" width="8.42578125" style="341" customWidth="1"/>
    <col min="15112" max="15112" width="12.85546875" style="341" customWidth="1"/>
    <col min="15113" max="15113" width="13.42578125" style="341" customWidth="1"/>
    <col min="15114" max="15115" width="7.85546875" style="341" customWidth="1"/>
    <col min="15116" max="15116" width="7.28515625" style="341" customWidth="1"/>
    <col min="15117" max="15117" width="7.42578125" style="341" customWidth="1"/>
    <col min="15118" max="15118" width="6.28515625" style="341" customWidth="1"/>
    <col min="15119" max="15119" width="5.7109375" style="341" customWidth="1"/>
    <col min="15120" max="15120" width="6" style="341" customWidth="1"/>
    <col min="15121" max="15121" width="4.85546875" style="341" customWidth="1"/>
    <col min="15122" max="15122" width="6" style="341" customWidth="1"/>
    <col min="15123" max="15123" width="6.5703125" style="341" customWidth="1"/>
    <col min="15124" max="15124" width="8.140625" style="341" customWidth="1"/>
    <col min="15125" max="15125" width="6" style="341" customWidth="1"/>
    <col min="15126" max="15126" width="8.140625" style="341" customWidth="1"/>
    <col min="15127" max="15127" width="15" style="341" customWidth="1"/>
    <col min="15128" max="15128" width="17.85546875" style="341" customWidth="1"/>
    <col min="15129" max="15129" width="12.85546875" style="341" customWidth="1"/>
    <col min="15130" max="15360" width="9.140625" style="341"/>
    <col min="15361" max="15361" width="4.7109375" style="341" customWidth="1"/>
    <col min="15362" max="15362" width="20.85546875" style="341" customWidth="1"/>
    <col min="15363" max="15363" width="27" style="341" customWidth="1"/>
    <col min="15364" max="15364" width="23" style="341" customWidth="1"/>
    <col min="15365" max="15365" width="19" style="341" customWidth="1"/>
    <col min="15366" max="15366" width="29.42578125" style="341" customWidth="1"/>
    <col min="15367" max="15367" width="8.42578125" style="341" customWidth="1"/>
    <col min="15368" max="15368" width="12.85546875" style="341" customWidth="1"/>
    <col min="15369" max="15369" width="13.42578125" style="341" customWidth="1"/>
    <col min="15370" max="15371" width="7.85546875" style="341" customWidth="1"/>
    <col min="15372" max="15372" width="7.28515625" style="341" customWidth="1"/>
    <col min="15373" max="15373" width="7.42578125" style="341" customWidth="1"/>
    <col min="15374" max="15374" width="6.28515625" style="341" customWidth="1"/>
    <col min="15375" max="15375" width="5.7109375" style="341" customWidth="1"/>
    <col min="15376" max="15376" width="6" style="341" customWidth="1"/>
    <col min="15377" max="15377" width="4.85546875" style="341" customWidth="1"/>
    <col min="15378" max="15378" width="6" style="341" customWidth="1"/>
    <col min="15379" max="15379" width="6.5703125" style="341" customWidth="1"/>
    <col min="15380" max="15380" width="8.140625" style="341" customWidth="1"/>
    <col min="15381" max="15381" width="6" style="341" customWidth="1"/>
    <col min="15382" max="15382" width="8.140625" style="341" customWidth="1"/>
    <col min="15383" max="15383" width="15" style="341" customWidth="1"/>
    <col min="15384" max="15384" width="17.85546875" style="341" customWidth="1"/>
    <col min="15385" max="15385" width="12.85546875" style="341" customWidth="1"/>
    <col min="15386" max="15616" width="9.140625" style="341"/>
    <col min="15617" max="15617" width="4.7109375" style="341" customWidth="1"/>
    <col min="15618" max="15618" width="20.85546875" style="341" customWidth="1"/>
    <col min="15619" max="15619" width="27" style="341" customWidth="1"/>
    <col min="15620" max="15620" width="23" style="341" customWidth="1"/>
    <col min="15621" max="15621" width="19" style="341" customWidth="1"/>
    <col min="15622" max="15622" width="29.42578125" style="341" customWidth="1"/>
    <col min="15623" max="15623" width="8.42578125" style="341" customWidth="1"/>
    <col min="15624" max="15624" width="12.85546875" style="341" customWidth="1"/>
    <col min="15625" max="15625" width="13.42578125" style="341" customWidth="1"/>
    <col min="15626" max="15627" width="7.85546875" style="341" customWidth="1"/>
    <col min="15628" max="15628" width="7.28515625" style="341" customWidth="1"/>
    <col min="15629" max="15629" width="7.42578125" style="341" customWidth="1"/>
    <col min="15630" max="15630" width="6.28515625" style="341" customWidth="1"/>
    <col min="15631" max="15631" width="5.7109375" style="341" customWidth="1"/>
    <col min="15632" max="15632" width="6" style="341" customWidth="1"/>
    <col min="15633" max="15633" width="4.85546875" style="341" customWidth="1"/>
    <col min="15634" max="15634" width="6" style="341" customWidth="1"/>
    <col min="15635" max="15635" width="6.5703125" style="341" customWidth="1"/>
    <col min="15636" max="15636" width="8.140625" style="341" customWidth="1"/>
    <col min="15637" max="15637" width="6" style="341" customWidth="1"/>
    <col min="15638" max="15638" width="8.140625" style="341" customWidth="1"/>
    <col min="15639" max="15639" width="15" style="341" customWidth="1"/>
    <col min="15640" max="15640" width="17.85546875" style="341" customWidth="1"/>
    <col min="15641" max="15641" width="12.85546875" style="341" customWidth="1"/>
    <col min="15642" max="15872" width="9.140625" style="341"/>
    <col min="15873" max="15873" width="4.7109375" style="341" customWidth="1"/>
    <col min="15874" max="15874" width="20.85546875" style="341" customWidth="1"/>
    <col min="15875" max="15875" width="27" style="341" customWidth="1"/>
    <col min="15876" max="15876" width="23" style="341" customWidth="1"/>
    <col min="15877" max="15877" width="19" style="341" customWidth="1"/>
    <col min="15878" max="15878" width="29.42578125" style="341" customWidth="1"/>
    <col min="15879" max="15879" width="8.42578125" style="341" customWidth="1"/>
    <col min="15880" max="15880" width="12.85546875" style="341" customWidth="1"/>
    <col min="15881" max="15881" width="13.42578125" style="341" customWidth="1"/>
    <col min="15882" max="15883" width="7.85546875" style="341" customWidth="1"/>
    <col min="15884" max="15884" width="7.28515625" style="341" customWidth="1"/>
    <col min="15885" max="15885" width="7.42578125" style="341" customWidth="1"/>
    <col min="15886" max="15886" width="6.28515625" style="341" customWidth="1"/>
    <col min="15887" max="15887" width="5.7109375" style="341" customWidth="1"/>
    <col min="15888" max="15888" width="6" style="341" customWidth="1"/>
    <col min="15889" max="15889" width="4.85546875" style="341" customWidth="1"/>
    <col min="15890" max="15890" width="6" style="341" customWidth="1"/>
    <col min="15891" max="15891" width="6.5703125" style="341" customWidth="1"/>
    <col min="15892" max="15892" width="8.140625" style="341" customWidth="1"/>
    <col min="15893" max="15893" width="6" style="341" customWidth="1"/>
    <col min="15894" max="15894" width="8.140625" style="341" customWidth="1"/>
    <col min="15895" max="15895" width="15" style="341" customWidth="1"/>
    <col min="15896" max="15896" width="17.85546875" style="341" customWidth="1"/>
    <col min="15897" max="15897" width="12.85546875" style="341" customWidth="1"/>
    <col min="15898" max="16128" width="9.140625" style="341"/>
    <col min="16129" max="16129" width="4.7109375" style="341" customWidth="1"/>
    <col min="16130" max="16130" width="20.85546875" style="341" customWidth="1"/>
    <col min="16131" max="16131" width="27" style="341" customWidth="1"/>
    <col min="16132" max="16132" width="23" style="341" customWidth="1"/>
    <col min="16133" max="16133" width="19" style="341" customWidth="1"/>
    <col min="16134" max="16134" width="29.42578125" style="341" customWidth="1"/>
    <col min="16135" max="16135" width="8.42578125" style="341" customWidth="1"/>
    <col min="16136" max="16136" width="12.85546875" style="341" customWidth="1"/>
    <col min="16137" max="16137" width="13.42578125" style="341" customWidth="1"/>
    <col min="16138" max="16139" width="7.85546875" style="341" customWidth="1"/>
    <col min="16140" max="16140" width="7.28515625" style="341" customWidth="1"/>
    <col min="16141" max="16141" width="7.42578125" style="341" customWidth="1"/>
    <col min="16142" max="16142" width="6.28515625" style="341" customWidth="1"/>
    <col min="16143" max="16143" width="5.7109375" style="341" customWidth="1"/>
    <col min="16144" max="16144" width="6" style="341" customWidth="1"/>
    <col min="16145" max="16145" width="4.85546875" style="341" customWidth="1"/>
    <col min="16146" max="16146" width="6" style="341" customWidth="1"/>
    <col min="16147" max="16147" width="6.5703125" style="341" customWidth="1"/>
    <col min="16148" max="16148" width="8.140625" style="341" customWidth="1"/>
    <col min="16149" max="16149" width="6" style="341" customWidth="1"/>
    <col min="16150" max="16150" width="8.140625" style="341" customWidth="1"/>
    <col min="16151" max="16151" width="15" style="341" customWidth="1"/>
    <col min="16152" max="16152" width="17.85546875" style="341" customWidth="1"/>
    <col min="16153" max="16153" width="12.85546875" style="341" customWidth="1"/>
    <col min="16154" max="16384" width="9.140625" style="341"/>
  </cols>
  <sheetData>
    <row r="2" spans="1:25" ht="16.5">
      <c r="A2" s="2901" t="s">
        <v>0</v>
      </c>
      <c r="B2" s="2901"/>
      <c r="C2" s="2901"/>
      <c r="D2" s="2901"/>
      <c r="E2" s="2901"/>
      <c r="F2" s="2901"/>
      <c r="G2" s="342"/>
      <c r="H2" s="342"/>
      <c r="I2" s="342"/>
      <c r="J2" s="365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</row>
    <row r="3" spans="1:25" ht="16.5">
      <c r="A3" s="2901" t="s">
        <v>1</v>
      </c>
      <c r="B3" s="2901"/>
      <c r="C3" s="2901"/>
      <c r="D3" s="2901"/>
      <c r="E3" s="2901"/>
      <c r="F3" s="2901"/>
      <c r="G3" s="343"/>
      <c r="H3" s="343"/>
      <c r="I3" s="343"/>
      <c r="J3" s="367"/>
      <c r="K3" s="368"/>
      <c r="M3" s="367"/>
      <c r="N3" s="367"/>
      <c r="O3" s="367"/>
      <c r="P3" s="367"/>
      <c r="Q3" s="367"/>
      <c r="R3" s="367"/>
      <c r="S3" s="367"/>
      <c r="T3" s="367"/>
      <c r="U3" s="367"/>
      <c r="V3" s="377"/>
    </row>
    <row r="4" spans="1:25" ht="16.5">
      <c r="A4" s="2902" t="s">
        <v>619</v>
      </c>
      <c r="B4" s="2901"/>
      <c r="C4" s="2901"/>
      <c r="D4" s="2901"/>
      <c r="E4" s="2901"/>
      <c r="F4" s="2901"/>
      <c r="G4" s="343"/>
      <c r="H4" s="343"/>
      <c r="I4" s="343"/>
      <c r="J4" s="367"/>
      <c r="K4" s="368"/>
      <c r="M4" s="367"/>
      <c r="N4" s="367"/>
      <c r="O4" s="367"/>
      <c r="P4" s="367"/>
      <c r="Q4" s="367"/>
      <c r="R4" s="367"/>
      <c r="S4" s="367"/>
      <c r="T4" s="367"/>
      <c r="U4" s="367"/>
      <c r="V4" s="377"/>
    </row>
    <row r="5" spans="1:25" ht="15.75">
      <c r="E5" s="344"/>
      <c r="F5" s="344"/>
      <c r="G5" s="344"/>
      <c r="H5" s="344"/>
      <c r="I5" s="344"/>
      <c r="J5" s="369"/>
      <c r="K5" s="370"/>
      <c r="L5" s="371"/>
      <c r="M5" s="372"/>
      <c r="N5" s="372"/>
      <c r="O5" s="372"/>
      <c r="P5" s="372"/>
      <c r="Q5" s="372"/>
      <c r="R5" s="372"/>
      <c r="S5" s="372"/>
      <c r="T5" s="372"/>
      <c r="U5" s="372"/>
      <c r="V5" s="377"/>
      <c r="W5" s="378">
        <f>1372+388</f>
        <v>1760</v>
      </c>
      <c r="X5" s="341">
        <f>W5*30000</f>
        <v>52800000</v>
      </c>
      <c r="Y5" s="341" t="e">
        <f>X5+#REF!+#REF!</f>
        <v>#REF!</v>
      </c>
    </row>
    <row r="6" spans="1:25" ht="15.75">
      <c r="A6" s="345" t="s">
        <v>3</v>
      </c>
      <c r="B6" s="346"/>
      <c r="C6" s="346"/>
      <c r="D6" s="345"/>
      <c r="E6" s="344"/>
      <c r="F6" s="344"/>
      <c r="G6" s="344"/>
      <c r="H6" s="344"/>
      <c r="I6" s="344"/>
      <c r="J6" s="369"/>
      <c r="K6" s="370"/>
      <c r="L6" s="371"/>
      <c r="M6" s="372"/>
      <c r="N6" s="372"/>
      <c r="O6" s="372"/>
      <c r="P6" s="372"/>
      <c r="Q6" s="372"/>
      <c r="R6" s="372"/>
      <c r="S6" s="372"/>
      <c r="T6" s="372"/>
      <c r="U6" s="372"/>
      <c r="V6" s="377"/>
      <c r="W6" s="378"/>
    </row>
    <row r="7" spans="1:25" ht="15.75">
      <c r="A7" s="2903" t="s">
        <v>2029</v>
      </c>
      <c r="B7" s="2903"/>
      <c r="C7" s="2903"/>
      <c r="D7" s="344"/>
      <c r="E7" s="344"/>
      <c r="F7" s="344"/>
      <c r="G7" s="344"/>
      <c r="H7" s="344"/>
      <c r="I7" s="344"/>
      <c r="J7" s="369"/>
      <c r="K7" s="370"/>
      <c r="L7" s="371"/>
      <c r="M7" s="372"/>
      <c r="N7" s="372"/>
      <c r="O7" s="372"/>
      <c r="P7" s="372"/>
      <c r="Q7" s="372"/>
      <c r="R7" s="372"/>
      <c r="S7" s="372"/>
      <c r="T7" s="372"/>
      <c r="U7" s="372"/>
      <c r="V7" s="377"/>
      <c r="W7" s="378"/>
    </row>
    <row r="8" spans="1:25" ht="15.75">
      <c r="A8" s="347"/>
      <c r="B8" s="347"/>
      <c r="C8" s="347"/>
      <c r="D8" s="344"/>
      <c r="E8" s="344"/>
      <c r="F8" s="344"/>
      <c r="G8" s="344"/>
      <c r="H8" s="344"/>
      <c r="I8" s="344"/>
      <c r="J8" s="369"/>
      <c r="K8" s="370"/>
      <c r="L8" s="371"/>
      <c r="M8" s="372"/>
      <c r="N8" s="372"/>
      <c r="O8" s="372"/>
      <c r="P8" s="372"/>
      <c r="Q8" s="372"/>
      <c r="R8" s="372"/>
      <c r="S8" s="372"/>
      <c r="T8" s="372"/>
      <c r="U8" s="372"/>
      <c r="V8" s="377"/>
      <c r="W8" s="378"/>
    </row>
    <row r="9" spans="1:25" ht="18.75">
      <c r="A9" s="2836" t="s">
        <v>2417</v>
      </c>
      <c r="B9" s="2904"/>
      <c r="C9" s="2904"/>
      <c r="D9" s="2904"/>
      <c r="E9" s="2904"/>
      <c r="F9" s="2904"/>
      <c r="G9" s="348"/>
      <c r="H9" s="348"/>
      <c r="I9" s="348"/>
      <c r="J9" s="348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</row>
    <row r="10" spans="1:25" ht="15.75">
      <c r="A10" s="349"/>
      <c r="B10" s="350"/>
      <c r="C10" s="349"/>
      <c r="D10" s="349"/>
      <c r="E10" s="350"/>
      <c r="F10" s="350"/>
      <c r="G10" s="148"/>
      <c r="H10" s="149"/>
      <c r="I10" s="374"/>
    </row>
    <row r="11" spans="1:25">
      <c r="A11" s="2892" t="s">
        <v>6</v>
      </c>
      <c r="B11" s="2892" t="s">
        <v>2418</v>
      </c>
      <c r="C11" s="2892" t="s">
        <v>9</v>
      </c>
      <c r="D11" s="2892" t="s">
        <v>2156</v>
      </c>
      <c r="E11" s="2892" t="s">
        <v>2140</v>
      </c>
      <c r="F11" s="2892" t="s">
        <v>12</v>
      </c>
      <c r="G11" s="351"/>
      <c r="H11" s="352"/>
      <c r="I11" s="375"/>
    </row>
    <row r="12" spans="1:25">
      <c r="A12" s="2893"/>
      <c r="B12" s="2893"/>
      <c r="C12" s="2893"/>
      <c r="D12" s="2893"/>
      <c r="E12" s="2893"/>
      <c r="F12" s="2893"/>
      <c r="G12" s="353"/>
      <c r="H12" s="352"/>
      <c r="I12" s="375"/>
    </row>
    <row r="13" spans="1:25" ht="27.6" customHeight="1">
      <c r="A13" s="354">
        <v>1</v>
      </c>
      <c r="B13" s="355" t="s">
        <v>2419</v>
      </c>
      <c r="C13" s="356" t="s">
        <v>2420</v>
      </c>
      <c r="D13" s="357">
        <v>500000</v>
      </c>
      <c r="E13" s="354"/>
      <c r="F13" s="354"/>
      <c r="G13" s="358"/>
      <c r="H13" s="359"/>
      <c r="I13" s="376"/>
    </row>
    <row r="14" spans="1:25" ht="27.6" customHeight="1">
      <c r="A14" s="2896" t="s">
        <v>349</v>
      </c>
      <c r="B14" s="2896"/>
      <c r="C14" s="360"/>
      <c r="D14" s="361">
        <f>SUM(D13:D13)</f>
        <v>500000</v>
      </c>
      <c r="E14" s="153"/>
      <c r="F14" s="154"/>
      <c r="G14" s="358"/>
      <c r="H14" s="362"/>
      <c r="I14" s="376"/>
    </row>
    <row r="15" spans="1:25" ht="20.25" customHeight="1">
      <c r="A15" s="2897" t="s">
        <v>2421</v>
      </c>
      <c r="B15" s="2897"/>
      <c r="C15" s="2897"/>
      <c r="D15" s="2897"/>
      <c r="E15" s="2897"/>
      <c r="F15" s="2897"/>
    </row>
    <row r="16" spans="1:25" ht="18" customHeight="1">
      <c r="D16" s="2898" t="s">
        <v>2422</v>
      </c>
      <c r="E16" s="2898"/>
      <c r="F16" s="2898"/>
    </row>
    <row r="17" spans="1:6" ht="15.75">
      <c r="A17" s="2899" t="s">
        <v>2423</v>
      </c>
      <c r="B17" s="2899"/>
      <c r="C17" s="363" t="s">
        <v>2424</v>
      </c>
      <c r="D17" s="2900" t="s">
        <v>2425</v>
      </c>
      <c r="E17" s="2900"/>
      <c r="F17" s="363" t="s">
        <v>2426</v>
      </c>
    </row>
    <row r="20" spans="1:6" ht="42.75" customHeight="1"/>
    <row r="23" spans="1:6">
      <c r="A23" s="2894" t="s">
        <v>1924</v>
      </c>
      <c r="B23" s="2894"/>
      <c r="C23" s="364" t="s">
        <v>2169</v>
      </c>
      <c r="D23" s="2895"/>
      <c r="E23" s="2895"/>
      <c r="F23" s="364" t="s">
        <v>613</v>
      </c>
    </row>
    <row r="24" spans="1:6">
      <c r="C24" s="341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>
      <c r="A1" s="2801" t="s">
        <v>617</v>
      </c>
      <c r="B1" s="2801"/>
      <c r="C1" s="2801"/>
      <c r="D1" s="2801"/>
      <c r="E1" s="2801"/>
      <c r="F1" s="2801"/>
      <c r="G1" s="2801"/>
      <c r="H1" s="2801"/>
    </row>
    <row r="2" spans="1:13">
      <c r="A2" s="2801" t="s">
        <v>618</v>
      </c>
      <c r="B2" s="2801"/>
      <c r="C2" s="2801"/>
      <c r="D2" s="2801"/>
      <c r="E2" s="2801"/>
      <c r="F2" s="2801"/>
      <c r="G2" s="2801"/>
      <c r="H2" s="2801"/>
    </row>
    <row r="3" spans="1:13">
      <c r="A3" s="2805" t="s">
        <v>619</v>
      </c>
      <c r="B3" s="2801"/>
      <c r="C3" s="2801"/>
      <c r="D3" s="2801"/>
      <c r="E3" s="2801"/>
      <c r="F3" s="2801"/>
      <c r="G3" s="2801"/>
      <c r="H3" s="2801"/>
    </row>
    <row r="4" spans="1:13">
      <c r="A4" s="2610" t="s">
        <v>3</v>
      </c>
      <c r="B4" s="2610"/>
      <c r="C4" s="2610"/>
      <c r="D4" s="2610"/>
      <c r="E4" s="2610"/>
      <c r="F4" s="2610"/>
      <c r="G4" s="2610"/>
      <c r="H4" s="2610"/>
    </row>
    <row r="5" spans="1:13">
      <c r="A5" s="2801" t="s">
        <v>611</v>
      </c>
      <c r="B5" s="2801"/>
      <c r="C5" s="2801"/>
      <c r="D5" s="2801"/>
      <c r="E5" s="2801"/>
      <c r="F5" s="2801"/>
      <c r="G5" s="312"/>
      <c r="H5" s="312"/>
    </row>
    <row r="6" spans="1:13">
      <c r="A6" s="2801"/>
      <c r="B6" s="2801"/>
      <c r="C6" s="2801"/>
      <c r="D6" s="2801"/>
      <c r="E6" s="2801"/>
      <c r="F6" s="2801"/>
      <c r="G6" s="2801"/>
      <c r="H6" s="2801"/>
    </row>
    <row r="7" spans="1:13" ht="20.25">
      <c r="A7" s="2806" t="s">
        <v>2427</v>
      </c>
      <c r="B7" s="2806"/>
      <c r="C7" s="2806"/>
      <c r="D7" s="2806"/>
      <c r="E7" s="2806"/>
      <c r="F7" s="2806"/>
      <c r="G7" s="2806"/>
      <c r="H7" s="2806"/>
      <c r="I7" s="314"/>
    </row>
    <row r="8" spans="1:13">
      <c r="I8" s="327"/>
      <c r="J8" s="327">
        <v>31</v>
      </c>
    </row>
    <row r="9" spans="1:13" ht="31.5" customHeight="1">
      <c r="A9" s="316" t="s">
        <v>6</v>
      </c>
      <c r="B9" s="317" t="s">
        <v>624</v>
      </c>
      <c r="C9" s="2905" t="s">
        <v>2307</v>
      </c>
      <c r="D9" s="2906"/>
      <c r="E9" s="317" t="s">
        <v>2308</v>
      </c>
      <c r="F9" s="317" t="s">
        <v>2428</v>
      </c>
      <c r="G9" s="317" t="s">
        <v>2429</v>
      </c>
      <c r="H9" s="318" t="s">
        <v>2026</v>
      </c>
      <c r="I9" s="328"/>
    </row>
    <row r="10" spans="1:13" s="311" customFormat="1" ht="21.75" customHeight="1">
      <c r="A10" s="319">
        <v>1</v>
      </c>
      <c r="B10" s="320" t="s">
        <v>2430</v>
      </c>
      <c r="C10" s="321" t="s">
        <v>2431</v>
      </c>
      <c r="D10" s="321" t="s">
        <v>1867</v>
      </c>
      <c r="E10" s="321" t="s">
        <v>1868</v>
      </c>
      <c r="F10" s="322" t="e">
        <f>VLOOKUP(D10,'TRẠM CÁN'!$E$14:$X$17,16,0)</f>
        <v>#REF!</v>
      </c>
      <c r="G10" s="322" t="e">
        <f>VLOOKUP(D10,'TRẠM CÁN'!$E$14:$X$17,17,0)</f>
        <v>#REF!</v>
      </c>
      <c r="H10" s="323"/>
      <c r="I10" s="329"/>
      <c r="J10" s="330" t="s">
        <v>2432</v>
      </c>
      <c r="K10" s="331"/>
      <c r="L10" s="330"/>
      <c r="M10" s="331"/>
    </row>
    <row r="11" spans="1:13" s="311" customFormat="1" ht="21.75" customHeight="1">
      <c r="A11" s="319">
        <v>2</v>
      </c>
      <c r="B11" s="320"/>
      <c r="C11" s="321" t="s">
        <v>1850</v>
      </c>
      <c r="D11" s="321" t="s">
        <v>1871</v>
      </c>
      <c r="E11" s="321" t="s">
        <v>1868</v>
      </c>
      <c r="F11" s="322" t="e">
        <f>VLOOKUP(D11,'TRẠM CÁN'!$E$14:$X$17,16,0)</f>
        <v>#REF!</v>
      </c>
      <c r="G11" s="322" t="e">
        <f>VLOOKUP(D11,'TRẠM CÁN'!$E$14:$X$17,17,0)</f>
        <v>#REF!</v>
      </c>
      <c r="H11" s="323"/>
      <c r="I11" s="329"/>
      <c r="J11" s="330" t="s">
        <v>2433</v>
      </c>
      <c r="K11" s="331"/>
      <c r="L11" s="330"/>
      <c r="M11" s="331"/>
    </row>
    <row r="12" spans="1:13" s="311" customFormat="1" ht="21.75" customHeight="1">
      <c r="A12" s="319">
        <v>3</v>
      </c>
      <c r="B12" s="320" t="s">
        <v>1852</v>
      </c>
      <c r="C12" s="321"/>
      <c r="D12" s="321" t="s">
        <v>1875</v>
      </c>
      <c r="E12" s="321" t="s">
        <v>1868</v>
      </c>
      <c r="F12" s="322" t="e">
        <f>VLOOKUP(D12,'TRẠM CÁN'!$E$14:$X$17,16,0)</f>
        <v>#REF!</v>
      </c>
      <c r="G12" s="322" t="e">
        <f>VLOOKUP(D12,'TRẠM CÁN'!$E$14:$X$17,17,0)</f>
        <v>#REF!</v>
      </c>
      <c r="H12" s="323"/>
      <c r="I12" s="329"/>
      <c r="J12" s="330" t="s">
        <v>2434</v>
      </c>
      <c r="K12" s="331"/>
      <c r="L12" s="330"/>
      <c r="M12" s="331"/>
    </row>
    <row r="13" spans="1:13" s="311" customFormat="1" ht="21.75" customHeight="1">
      <c r="A13" s="319">
        <v>4</v>
      </c>
      <c r="B13" s="320" t="s">
        <v>1853</v>
      </c>
      <c r="C13" s="321"/>
      <c r="D13" s="321" t="s">
        <v>2215</v>
      </c>
      <c r="E13" s="321" t="s">
        <v>1868</v>
      </c>
      <c r="F13" s="322" t="e">
        <f>VLOOKUP(D13,'TRẠM CÁN'!$E$14:$X$17,16,0)</f>
        <v>#REF!</v>
      </c>
      <c r="G13" s="322" t="e">
        <f>VLOOKUP(D13,'TRẠM CÁN'!$E$14:$X$17,17,0)</f>
        <v>#REF!</v>
      </c>
      <c r="H13" s="323"/>
      <c r="I13" s="329"/>
      <c r="J13" s="330" t="s">
        <v>2434</v>
      </c>
      <c r="K13" s="331" t="s">
        <v>2435</v>
      </c>
      <c r="L13" s="330"/>
      <c r="M13" s="331"/>
    </row>
    <row r="14" spans="1:13" s="311" customFormat="1" ht="21.75" customHeight="1">
      <c r="A14" s="319">
        <v>5</v>
      </c>
      <c r="B14" s="320" t="s">
        <v>1853</v>
      </c>
      <c r="C14" s="321"/>
      <c r="D14" s="321" t="s">
        <v>1905</v>
      </c>
      <c r="E14" s="321" t="s">
        <v>1906</v>
      </c>
      <c r="F14" s="322" t="e">
        <f>VLOOKUP(D14,#REF!,8,0)</f>
        <v>#REF!</v>
      </c>
      <c r="G14" s="322" t="e">
        <f>VLOOKUP(D14,#REF!,9,0)</f>
        <v>#REF!</v>
      </c>
      <c r="H14" s="323"/>
      <c r="I14" s="329"/>
      <c r="J14" s="330" t="s">
        <v>2434</v>
      </c>
      <c r="K14" s="331" t="s">
        <v>2435</v>
      </c>
      <c r="L14" s="330"/>
      <c r="M14" s="331"/>
    </row>
    <row r="15" spans="1:13" s="311" customFormat="1" ht="21.75" customHeight="1">
      <c r="A15" s="319">
        <v>6</v>
      </c>
      <c r="B15" s="320" t="s">
        <v>2430</v>
      </c>
      <c r="C15" s="321" t="s">
        <v>2431</v>
      </c>
      <c r="D15" s="321" t="s">
        <v>1907</v>
      </c>
      <c r="E15" s="321" t="s">
        <v>1908</v>
      </c>
      <c r="F15" s="322" t="e">
        <f>VLOOKUP(D15,#REF!,8,0)</f>
        <v>#REF!</v>
      </c>
      <c r="G15" s="322" t="e">
        <f>VLOOKUP(D15,#REF!,9,0)</f>
        <v>#REF!</v>
      </c>
      <c r="H15" s="323"/>
      <c r="I15" s="329"/>
      <c r="J15" s="330" t="s">
        <v>2432</v>
      </c>
      <c r="K15" s="331"/>
      <c r="L15" s="330"/>
      <c r="M15" s="331"/>
    </row>
    <row r="16" spans="1:13" s="311" customFormat="1" ht="21.75" customHeight="1">
      <c r="A16" s="319">
        <v>7</v>
      </c>
      <c r="B16" s="320"/>
      <c r="C16" s="321" t="s">
        <v>1850</v>
      </c>
      <c r="D16" s="321" t="s">
        <v>51</v>
      </c>
      <c r="E16" s="321" t="s">
        <v>1908</v>
      </c>
      <c r="F16" s="322" t="e">
        <f>VLOOKUP(D16,#REF!,8,0)</f>
        <v>#REF!</v>
      </c>
      <c r="G16" s="322" t="e">
        <f>VLOOKUP(D16,#REF!,9,0)</f>
        <v>#REF!</v>
      </c>
      <c r="H16" s="323"/>
      <c r="I16" s="329"/>
      <c r="J16" s="330" t="s">
        <v>2433</v>
      </c>
      <c r="K16" s="331"/>
      <c r="L16" s="330"/>
      <c r="M16" s="331"/>
    </row>
    <row r="17" spans="1:13" s="311" customFormat="1" ht="21.75" customHeight="1">
      <c r="A17" s="319">
        <v>9</v>
      </c>
      <c r="B17" s="320" t="s">
        <v>1853</v>
      </c>
      <c r="C17" s="321"/>
      <c r="D17" s="321" t="s">
        <v>1911</v>
      </c>
      <c r="E17" s="321" t="s">
        <v>1908</v>
      </c>
      <c r="F17" s="322" t="e">
        <f>VLOOKUP(D17,#REF!,8,0)</f>
        <v>#REF!</v>
      </c>
      <c r="G17" s="322" t="e">
        <f>VLOOKUP(D17,#REF!,9,0)</f>
        <v>#REF!</v>
      </c>
      <c r="H17" s="323"/>
      <c r="I17" s="329"/>
      <c r="J17" s="330" t="s">
        <v>2434</v>
      </c>
      <c r="K17" s="331" t="s">
        <v>2435</v>
      </c>
      <c r="L17" s="330"/>
      <c r="M17" s="331"/>
    </row>
    <row r="18" spans="1:13" s="311" customFormat="1" ht="21.75" customHeight="1">
      <c r="A18" s="2907" t="s">
        <v>608</v>
      </c>
      <c r="B18" s="2907"/>
      <c r="C18" s="2907"/>
      <c r="D18" s="2907"/>
      <c r="E18" s="2907"/>
      <c r="F18" s="324" t="e">
        <f>SUM(F10:F17)</f>
        <v>#REF!</v>
      </c>
      <c r="G18" s="324" t="e">
        <f>SUM(G10:G17)</f>
        <v>#REF!</v>
      </c>
      <c r="H18" s="316"/>
      <c r="I18" s="332" t="e">
        <f>+#REF!/25</f>
        <v>#REF!</v>
      </c>
      <c r="J18" s="333"/>
      <c r="K18" s="331">
        <f>14*1200</f>
        <v>16800</v>
      </c>
      <c r="L18" s="334">
        <f>1700/31*26</f>
        <v>1425.8064516129032</v>
      </c>
      <c r="M18" s="331"/>
    </row>
    <row r="19" spans="1:13" s="312" customFormat="1" ht="23.25" customHeight="1">
      <c r="A19" s="2908" t="s">
        <v>2436</v>
      </c>
      <c r="B19" s="2908"/>
      <c r="C19" s="2908"/>
      <c r="D19" s="2908"/>
      <c r="E19" s="2908"/>
      <c r="F19" s="2908"/>
      <c r="G19" s="2908"/>
      <c r="H19" s="2908"/>
      <c r="I19" s="325"/>
      <c r="J19" s="335"/>
      <c r="L19" s="336" t="e">
        <f>+L18/25+#REF!</f>
        <v>#REF!</v>
      </c>
    </row>
    <row r="20" spans="1:13" s="312" customFormat="1">
      <c r="E20" s="314"/>
      <c r="F20" s="314"/>
      <c r="G20" s="314"/>
      <c r="H20" s="314"/>
      <c r="I20" s="312">
        <f>900*14</f>
        <v>12600</v>
      </c>
      <c r="J20" s="335"/>
    </row>
    <row r="21" spans="1:13" ht="23.25" customHeight="1">
      <c r="A21" s="325"/>
      <c r="B21" s="325"/>
      <c r="D21" s="326"/>
      <c r="F21" s="2804" t="s">
        <v>2437</v>
      </c>
      <c r="G21" s="2804"/>
      <c r="H21" s="2804"/>
      <c r="I21" s="337"/>
      <c r="J21" s="338"/>
      <c r="K21" s="339" t="e">
        <f>+F18*20</f>
        <v>#REF!</v>
      </c>
      <c r="L21" s="340" t="e">
        <f>+'TRẠM CÁN'!U13</f>
        <v>#REF!</v>
      </c>
    </row>
    <row r="22" spans="1:13" s="312" customFormat="1" ht="23.25" customHeight="1">
      <c r="A22" s="312" t="s">
        <v>614</v>
      </c>
      <c r="E22" s="2610" t="s">
        <v>2438</v>
      </c>
      <c r="F22" s="2610"/>
      <c r="G22" s="2610"/>
      <c r="H22" s="315" t="s">
        <v>2439</v>
      </c>
      <c r="I22" s="314"/>
    </row>
    <row r="25" spans="1:13" ht="57.75" customHeight="1"/>
    <row r="27" spans="1:13" s="312" customFormat="1">
      <c r="A27" s="2801"/>
      <c r="B27" s="2801"/>
      <c r="C27" s="2801"/>
      <c r="D27" s="2801"/>
      <c r="E27" s="2801"/>
      <c r="F27" s="2801"/>
    </row>
    <row r="28" spans="1:13">
      <c r="I28" s="314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05" customWidth="1"/>
    <col min="2" max="2" width="51.7109375" style="1305" customWidth="1"/>
    <col min="3" max="3" width="35.7109375" style="1275" customWidth="1"/>
    <col min="4" max="4" width="33.85546875" style="1504" customWidth="1"/>
    <col min="5" max="5" width="28.28515625" style="1305" customWidth="1"/>
    <col min="6" max="6" width="17.28515625" style="1305" customWidth="1"/>
    <col min="7" max="7" width="34.7109375" style="1305" customWidth="1"/>
    <col min="8" max="8" width="21.85546875" style="1305" customWidth="1"/>
    <col min="9" max="9" width="15.7109375" style="1305" customWidth="1"/>
    <col min="10" max="10" width="17.7109375" style="1305" customWidth="1"/>
    <col min="11" max="253" width="8.7109375" style="1305"/>
    <col min="254" max="254" width="6.85546875" style="1305" customWidth="1"/>
    <col min="255" max="255" width="39.28515625" style="1305" customWidth="1"/>
    <col min="256" max="256" width="9.28515625" style="1305" customWidth="1"/>
    <col min="257" max="257" width="10.7109375" style="1305" customWidth="1"/>
    <col min="258" max="258" width="15" style="1305" customWidth="1"/>
    <col min="259" max="259" width="10.42578125" style="1305" customWidth="1"/>
    <col min="260" max="260" width="20.42578125" style="1305" customWidth="1"/>
    <col min="261" max="261" width="20.7109375" style="1305" customWidth="1"/>
    <col min="262" max="262" width="11.140625" style="1305" customWidth="1"/>
    <col min="263" max="263" width="24" style="1305" customWidth="1"/>
    <col min="264" max="264" width="20.28515625" style="1305" customWidth="1"/>
    <col min="265" max="265" width="14.85546875" style="1305" customWidth="1"/>
    <col min="266" max="266" width="11.28515625" style="1305" customWidth="1"/>
    <col min="267" max="509" width="8.7109375" style="1305"/>
    <col min="510" max="510" width="6.85546875" style="1305" customWidth="1"/>
    <col min="511" max="511" width="39.28515625" style="1305" customWidth="1"/>
    <col min="512" max="512" width="9.28515625" style="1305" customWidth="1"/>
    <col min="513" max="513" width="10.7109375" style="1305" customWidth="1"/>
    <col min="514" max="514" width="15" style="1305" customWidth="1"/>
    <col min="515" max="515" width="10.42578125" style="1305" customWidth="1"/>
    <col min="516" max="516" width="20.42578125" style="1305" customWidth="1"/>
    <col min="517" max="517" width="20.7109375" style="1305" customWidth="1"/>
    <col min="518" max="518" width="11.140625" style="1305" customWidth="1"/>
    <col min="519" max="519" width="24" style="1305" customWidth="1"/>
    <col min="520" max="520" width="20.28515625" style="1305" customWidth="1"/>
    <col min="521" max="521" width="14.85546875" style="1305" customWidth="1"/>
    <col min="522" max="522" width="11.28515625" style="1305" customWidth="1"/>
    <col min="523" max="765" width="8.7109375" style="1305"/>
    <col min="766" max="766" width="6.85546875" style="1305" customWidth="1"/>
    <col min="767" max="767" width="39.28515625" style="1305" customWidth="1"/>
    <col min="768" max="768" width="9.28515625" style="1305" customWidth="1"/>
    <col min="769" max="769" width="10.7109375" style="1305" customWidth="1"/>
    <col min="770" max="770" width="15" style="1305" customWidth="1"/>
    <col min="771" max="771" width="10.42578125" style="1305" customWidth="1"/>
    <col min="772" max="772" width="20.42578125" style="1305" customWidth="1"/>
    <col min="773" max="773" width="20.7109375" style="1305" customWidth="1"/>
    <col min="774" max="774" width="11.140625" style="1305" customWidth="1"/>
    <col min="775" max="775" width="24" style="1305" customWidth="1"/>
    <col min="776" max="776" width="20.28515625" style="1305" customWidth="1"/>
    <col min="777" max="777" width="14.85546875" style="1305" customWidth="1"/>
    <col min="778" max="778" width="11.28515625" style="1305" customWidth="1"/>
    <col min="779" max="1021" width="8.7109375" style="1305"/>
    <col min="1022" max="1022" width="6.85546875" style="1305" customWidth="1"/>
    <col min="1023" max="1023" width="39.28515625" style="1305" customWidth="1"/>
    <col min="1024" max="1024" width="9.28515625" style="1305" customWidth="1"/>
    <col min="1025" max="1025" width="10.7109375" style="1305" customWidth="1"/>
    <col min="1026" max="1026" width="15" style="1305" customWidth="1"/>
    <col min="1027" max="1027" width="10.42578125" style="1305" customWidth="1"/>
    <col min="1028" max="1028" width="20.42578125" style="1305" customWidth="1"/>
    <col min="1029" max="1029" width="20.7109375" style="1305" customWidth="1"/>
    <col min="1030" max="1030" width="11.140625" style="1305" customWidth="1"/>
    <col min="1031" max="1031" width="24" style="1305" customWidth="1"/>
    <col min="1032" max="1032" width="20.28515625" style="1305" customWidth="1"/>
    <col min="1033" max="1033" width="14.85546875" style="1305" customWidth="1"/>
    <col min="1034" max="1034" width="11.28515625" style="1305" customWidth="1"/>
    <col min="1035" max="1277" width="8.7109375" style="1305"/>
    <col min="1278" max="1278" width="6.85546875" style="1305" customWidth="1"/>
    <col min="1279" max="1279" width="39.28515625" style="1305" customWidth="1"/>
    <col min="1280" max="1280" width="9.28515625" style="1305" customWidth="1"/>
    <col min="1281" max="1281" width="10.7109375" style="1305" customWidth="1"/>
    <col min="1282" max="1282" width="15" style="1305" customWidth="1"/>
    <col min="1283" max="1283" width="10.42578125" style="1305" customWidth="1"/>
    <col min="1284" max="1284" width="20.42578125" style="1305" customWidth="1"/>
    <col min="1285" max="1285" width="20.7109375" style="1305" customWidth="1"/>
    <col min="1286" max="1286" width="11.140625" style="1305" customWidth="1"/>
    <col min="1287" max="1287" width="24" style="1305" customWidth="1"/>
    <col min="1288" max="1288" width="20.28515625" style="1305" customWidth="1"/>
    <col min="1289" max="1289" width="14.85546875" style="1305" customWidth="1"/>
    <col min="1290" max="1290" width="11.28515625" style="1305" customWidth="1"/>
    <col min="1291" max="1533" width="8.7109375" style="1305"/>
    <col min="1534" max="1534" width="6.85546875" style="1305" customWidth="1"/>
    <col min="1535" max="1535" width="39.28515625" style="1305" customWidth="1"/>
    <col min="1536" max="1536" width="9.28515625" style="1305" customWidth="1"/>
    <col min="1537" max="1537" width="10.7109375" style="1305" customWidth="1"/>
    <col min="1538" max="1538" width="15" style="1305" customWidth="1"/>
    <col min="1539" max="1539" width="10.42578125" style="1305" customWidth="1"/>
    <col min="1540" max="1540" width="20.42578125" style="1305" customWidth="1"/>
    <col min="1541" max="1541" width="20.7109375" style="1305" customWidth="1"/>
    <col min="1542" max="1542" width="11.140625" style="1305" customWidth="1"/>
    <col min="1543" max="1543" width="24" style="1305" customWidth="1"/>
    <col min="1544" max="1544" width="20.28515625" style="1305" customWidth="1"/>
    <col min="1545" max="1545" width="14.85546875" style="1305" customWidth="1"/>
    <col min="1546" max="1546" width="11.28515625" style="1305" customWidth="1"/>
    <col min="1547" max="1789" width="8.7109375" style="1305"/>
    <col min="1790" max="1790" width="6.85546875" style="1305" customWidth="1"/>
    <col min="1791" max="1791" width="39.28515625" style="1305" customWidth="1"/>
    <col min="1792" max="1792" width="9.28515625" style="1305" customWidth="1"/>
    <col min="1793" max="1793" width="10.7109375" style="1305" customWidth="1"/>
    <col min="1794" max="1794" width="15" style="1305" customWidth="1"/>
    <col min="1795" max="1795" width="10.42578125" style="1305" customWidth="1"/>
    <col min="1796" max="1796" width="20.42578125" style="1305" customWidth="1"/>
    <col min="1797" max="1797" width="20.7109375" style="1305" customWidth="1"/>
    <col min="1798" max="1798" width="11.140625" style="1305" customWidth="1"/>
    <col min="1799" max="1799" width="24" style="1305" customWidth="1"/>
    <col min="1800" max="1800" width="20.28515625" style="1305" customWidth="1"/>
    <col min="1801" max="1801" width="14.85546875" style="1305" customWidth="1"/>
    <col min="1802" max="1802" width="11.28515625" style="1305" customWidth="1"/>
    <col min="1803" max="2045" width="8.7109375" style="1305"/>
    <col min="2046" max="2046" width="6.85546875" style="1305" customWidth="1"/>
    <col min="2047" max="2047" width="39.28515625" style="1305" customWidth="1"/>
    <col min="2048" max="2048" width="9.28515625" style="1305" customWidth="1"/>
    <col min="2049" max="2049" width="10.7109375" style="1305" customWidth="1"/>
    <col min="2050" max="2050" width="15" style="1305" customWidth="1"/>
    <col min="2051" max="2051" width="10.42578125" style="1305" customWidth="1"/>
    <col min="2052" max="2052" width="20.42578125" style="1305" customWidth="1"/>
    <col min="2053" max="2053" width="20.7109375" style="1305" customWidth="1"/>
    <col min="2054" max="2054" width="11.140625" style="1305" customWidth="1"/>
    <col min="2055" max="2055" width="24" style="1305" customWidth="1"/>
    <col min="2056" max="2056" width="20.28515625" style="1305" customWidth="1"/>
    <col min="2057" max="2057" width="14.85546875" style="1305" customWidth="1"/>
    <col min="2058" max="2058" width="11.28515625" style="1305" customWidth="1"/>
    <col min="2059" max="2301" width="8.7109375" style="1305"/>
    <col min="2302" max="2302" width="6.85546875" style="1305" customWidth="1"/>
    <col min="2303" max="2303" width="39.28515625" style="1305" customWidth="1"/>
    <col min="2304" max="2304" width="9.28515625" style="1305" customWidth="1"/>
    <col min="2305" max="2305" width="10.7109375" style="1305" customWidth="1"/>
    <col min="2306" max="2306" width="15" style="1305" customWidth="1"/>
    <col min="2307" max="2307" width="10.42578125" style="1305" customWidth="1"/>
    <col min="2308" max="2308" width="20.42578125" style="1305" customWidth="1"/>
    <col min="2309" max="2309" width="20.7109375" style="1305" customWidth="1"/>
    <col min="2310" max="2310" width="11.140625" style="1305" customWidth="1"/>
    <col min="2311" max="2311" width="24" style="1305" customWidth="1"/>
    <col min="2312" max="2312" width="20.28515625" style="1305" customWidth="1"/>
    <col min="2313" max="2313" width="14.85546875" style="1305" customWidth="1"/>
    <col min="2314" max="2314" width="11.28515625" style="1305" customWidth="1"/>
    <col min="2315" max="2557" width="8.7109375" style="1305"/>
    <col min="2558" max="2558" width="6.85546875" style="1305" customWidth="1"/>
    <col min="2559" max="2559" width="39.28515625" style="1305" customWidth="1"/>
    <col min="2560" max="2560" width="9.28515625" style="1305" customWidth="1"/>
    <col min="2561" max="2561" width="10.7109375" style="1305" customWidth="1"/>
    <col min="2562" max="2562" width="15" style="1305" customWidth="1"/>
    <col min="2563" max="2563" width="10.42578125" style="1305" customWidth="1"/>
    <col min="2564" max="2564" width="20.42578125" style="1305" customWidth="1"/>
    <col min="2565" max="2565" width="20.7109375" style="1305" customWidth="1"/>
    <col min="2566" max="2566" width="11.140625" style="1305" customWidth="1"/>
    <col min="2567" max="2567" width="24" style="1305" customWidth="1"/>
    <col min="2568" max="2568" width="20.28515625" style="1305" customWidth="1"/>
    <col min="2569" max="2569" width="14.85546875" style="1305" customWidth="1"/>
    <col min="2570" max="2570" width="11.28515625" style="1305" customWidth="1"/>
    <col min="2571" max="2813" width="8.7109375" style="1305"/>
    <col min="2814" max="2814" width="6.85546875" style="1305" customWidth="1"/>
    <col min="2815" max="2815" width="39.28515625" style="1305" customWidth="1"/>
    <col min="2816" max="2816" width="9.28515625" style="1305" customWidth="1"/>
    <col min="2817" max="2817" width="10.7109375" style="1305" customWidth="1"/>
    <col min="2818" max="2818" width="15" style="1305" customWidth="1"/>
    <col min="2819" max="2819" width="10.42578125" style="1305" customWidth="1"/>
    <col min="2820" max="2820" width="20.42578125" style="1305" customWidth="1"/>
    <col min="2821" max="2821" width="20.7109375" style="1305" customWidth="1"/>
    <col min="2822" max="2822" width="11.140625" style="1305" customWidth="1"/>
    <col min="2823" max="2823" width="24" style="1305" customWidth="1"/>
    <col min="2824" max="2824" width="20.28515625" style="1305" customWidth="1"/>
    <col min="2825" max="2825" width="14.85546875" style="1305" customWidth="1"/>
    <col min="2826" max="2826" width="11.28515625" style="1305" customWidth="1"/>
    <col min="2827" max="3069" width="8.7109375" style="1305"/>
    <col min="3070" max="3070" width="6.85546875" style="1305" customWidth="1"/>
    <col min="3071" max="3071" width="39.28515625" style="1305" customWidth="1"/>
    <col min="3072" max="3072" width="9.28515625" style="1305" customWidth="1"/>
    <col min="3073" max="3073" width="10.7109375" style="1305" customWidth="1"/>
    <col min="3074" max="3074" width="15" style="1305" customWidth="1"/>
    <col min="3075" max="3075" width="10.42578125" style="1305" customWidth="1"/>
    <col min="3076" max="3076" width="20.42578125" style="1305" customWidth="1"/>
    <col min="3077" max="3077" width="20.7109375" style="1305" customWidth="1"/>
    <col min="3078" max="3078" width="11.140625" style="1305" customWidth="1"/>
    <col min="3079" max="3079" width="24" style="1305" customWidth="1"/>
    <col min="3080" max="3080" width="20.28515625" style="1305" customWidth="1"/>
    <col min="3081" max="3081" width="14.85546875" style="1305" customWidth="1"/>
    <col min="3082" max="3082" width="11.28515625" style="1305" customWidth="1"/>
    <col min="3083" max="3325" width="8.7109375" style="1305"/>
    <col min="3326" max="3326" width="6.85546875" style="1305" customWidth="1"/>
    <col min="3327" max="3327" width="39.28515625" style="1305" customWidth="1"/>
    <col min="3328" max="3328" width="9.28515625" style="1305" customWidth="1"/>
    <col min="3329" max="3329" width="10.7109375" style="1305" customWidth="1"/>
    <col min="3330" max="3330" width="15" style="1305" customWidth="1"/>
    <col min="3331" max="3331" width="10.42578125" style="1305" customWidth="1"/>
    <col min="3332" max="3332" width="20.42578125" style="1305" customWidth="1"/>
    <col min="3333" max="3333" width="20.7109375" style="1305" customWidth="1"/>
    <col min="3334" max="3334" width="11.140625" style="1305" customWidth="1"/>
    <col min="3335" max="3335" width="24" style="1305" customWidth="1"/>
    <col min="3336" max="3336" width="20.28515625" style="1305" customWidth="1"/>
    <col min="3337" max="3337" width="14.85546875" style="1305" customWidth="1"/>
    <col min="3338" max="3338" width="11.28515625" style="1305" customWidth="1"/>
    <col min="3339" max="3581" width="8.7109375" style="1305"/>
    <col min="3582" max="3582" width="6.85546875" style="1305" customWidth="1"/>
    <col min="3583" max="3583" width="39.28515625" style="1305" customWidth="1"/>
    <col min="3584" max="3584" width="9.28515625" style="1305" customWidth="1"/>
    <col min="3585" max="3585" width="10.7109375" style="1305" customWidth="1"/>
    <col min="3586" max="3586" width="15" style="1305" customWidth="1"/>
    <col min="3587" max="3587" width="10.42578125" style="1305" customWidth="1"/>
    <col min="3588" max="3588" width="20.42578125" style="1305" customWidth="1"/>
    <col min="3589" max="3589" width="20.7109375" style="1305" customWidth="1"/>
    <col min="3590" max="3590" width="11.140625" style="1305" customWidth="1"/>
    <col min="3591" max="3591" width="24" style="1305" customWidth="1"/>
    <col min="3592" max="3592" width="20.28515625" style="1305" customWidth="1"/>
    <col min="3593" max="3593" width="14.85546875" style="1305" customWidth="1"/>
    <col min="3594" max="3594" width="11.28515625" style="1305" customWidth="1"/>
    <col min="3595" max="3837" width="8.7109375" style="1305"/>
    <col min="3838" max="3838" width="6.85546875" style="1305" customWidth="1"/>
    <col min="3839" max="3839" width="39.28515625" style="1305" customWidth="1"/>
    <col min="3840" max="3840" width="9.28515625" style="1305" customWidth="1"/>
    <col min="3841" max="3841" width="10.7109375" style="1305" customWidth="1"/>
    <col min="3842" max="3842" width="15" style="1305" customWidth="1"/>
    <col min="3843" max="3843" width="10.42578125" style="1305" customWidth="1"/>
    <col min="3844" max="3844" width="20.42578125" style="1305" customWidth="1"/>
    <col min="3845" max="3845" width="20.7109375" style="1305" customWidth="1"/>
    <col min="3846" max="3846" width="11.140625" style="1305" customWidth="1"/>
    <col min="3847" max="3847" width="24" style="1305" customWidth="1"/>
    <col min="3848" max="3848" width="20.28515625" style="1305" customWidth="1"/>
    <col min="3849" max="3849" width="14.85546875" style="1305" customWidth="1"/>
    <col min="3850" max="3850" width="11.28515625" style="1305" customWidth="1"/>
    <col min="3851" max="4093" width="8.7109375" style="1305"/>
    <col min="4094" max="4094" width="6.85546875" style="1305" customWidth="1"/>
    <col min="4095" max="4095" width="39.28515625" style="1305" customWidth="1"/>
    <col min="4096" max="4096" width="9.28515625" style="1305" customWidth="1"/>
    <col min="4097" max="4097" width="10.7109375" style="1305" customWidth="1"/>
    <col min="4098" max="4098" width="15" style="1305" customWidth="1"/>
    <col min="4099" max="4099" width="10.42578125" style="1305" customWidth="1"/>
    <col min="4100" max="4100" width="20.42578125" style="1305" customWidth="1"/>
    <col min="4101" max="4101" width="20.7109375" style="1305" customWidth="1"/>
    <col min="4102" max="4102" width="11.140625" style="1305" customWidth="1"/>
    <col min="4103" max="4103" width="24" style="1305" customWidth="1"/>
    <col min="4104" max="4104" width="20.28515625" style="1305" customWidth="1"/>
    <col min="4105" max="4105" width="14.85546875" style="1305" customWidth="1"/>
    <col min="4106" max="4106" width="11.28515625" style="1305" customWidth="1"/>
    <col min="4107" max="4349" width="8.7109375" style="1305"/>
    <col min="4350" max="4350" width="6.85546875" style="1305" customWidth="1"/>
    <col min="4351" max="4351" width="39.28515625" style="1305" customWidth="1"/>
    <col min="4352" max="4352" width="9.28515625" style="1305" customWidth="1"/>
    <col min="4353" max="4353" width="10.7109375" style="1305" customWidth="1"/>
    <col min="4354" max="4354" width="15" style="1305" customWidth="1"/>
    <col min="4355" max="4355" width="10.42578125" style="1305" customWidth="1"/>
    <col min="4356" max="4356" width="20.42578125" style="1305" customWidth="1"/>
    <col min="4357" max="4357" width="20.7109375" style="1305" customWidth="1"/>
    <col min="4358" max="4358" width="11.140625" style="1305" customWidth="1"/>
    <col min="4359" max="4359" width="24" style="1305" customWidth="1"/>
    <col min="4360" max="4360" width="20.28515625" style="1305" customWidth="1"/>
    <col min="4361" max="4361" width="14.85546875" style="1305" customWidth="1"/>
    <col min="4362" max="4362" width="11.28515625" style="1305" customWidth="1"/>
    <col min="4363" max="4605" width="8.7109375" style="1305"/>
    <col min="4606" max="4606" width="6.85546875" style="1305" customWidth="1"/>
    <col min="4607" max="4607" width="39.28515625" style="1305" customWidth="1"/>
    <col min="4608" max="4608" width="9.28515625" style="1305" customWidth="1"/>
    <col min="4609" max="4609" width="10.7109375" style="1305" customWidth="1"/>
    <col min="4610" max="4610" width="15" style="1305" customWidth="1"/>
    <col min="4611" max="4611" width="10.42578125" style="1305" customWidth="1"/>
    <col min="4612" max="4612" width="20.42578125" style="1305" customWidth="1"/>
    <col min="4613" max="4613" width="20.7109375" style="1305" customWidth="1"/>
    <col min="4614" max="4614" width="11.140625" style="1305" customWidth="1"/>
    <col min="4615" max="4615" width="24" style="1305" customWidth="1"/>
    <col min="4616" max="4616" width="20.28515625" style="1305" customWidth="1"/>
    <col min="4617" max="4617" width="14.85546875" style="1305" customWidth="1"/>
    <col min="4618" max="4618" width="11.28515625" style="1305" customWidth="1"/>
    <col min="4619" max="4861" width="8.7109375" style="1305"/>
    <col min="4862" max="4862" width="6.85546875" style="1305" customWidth="1"/>
    <col min="4863" max="4863" width="39.28515625" style="1305" customWidth="1"/>
    <col min="4864" max="4864" width="9.28515625" style="1305" customWidth="1"/>
    <col min="4865" max="4865" width="10.7109375" style="1305" customWidth="1"/>
    <col min="4866" max="4866" width="15" style="1305" customWidth="1"/>
    <col min="4867" max="4867" width="10.42578125" style="1305" customWidth="1"/>
    <col min="4868" max="4868" width="20.42578125" style="1305" customWidth="1"/>
    <col min="4869" max="4869" width="20.7109375" style="1305" customWidth="1"/>
    <col min="4870" max="4870" width="11.140625" style="1305" customWidth="1"/>
    <col min="4871" max="4871" width="24" style="1305" customWidth="1"/>
    <col min="4872" max="4872" width="20.28515625" style="1305" customWidth="1"/>
    <col min="4873" max="4873" width="14.85546875" style="1305" customWidth="1"/>
    <col min="4874" max="4874" width="11.28515625" style="1305" customWidth="1"/>
    <col min="4875" max="5117" width="8.7109375" style="1305"/>
    <col min="5118" max="5118" width="6.85546875" style="1305" customWidth="1"/>
    <col min="5119" max="5119" width="39.28515625" style="1305" customWidth="1"/>
    <col min="5120" max="5120" width="9.28515625" style="1305" customWidth="1"/>
    <col min="5121" max="5121" width="10.7109375" style="1305" customWidth="1"/>
    <col min="5122" max="5122" width="15" style="1305" customWidth="1"/>
    <col min="5123" max="5123" width="10.42578125" style="1305" customWidth="1"/>
    <col min="5124" max="5124" width="20.42578125" style="1305" customWidth="1"/>
    <col min="5125" max="5125" width="20.7109375" style="1305" customWidth="1"/>
    <col min="5126" max="5126" width="11.140625" style="1305" customWidth="1"/>
    <col min="5127" max="5127" width="24" style="1305" customWidth="1"/>
    <col min="5128" max="5128" width="20.28515625" style="1305" customWidth="1"/>
    <col min="5129" max="5129" width="14.85546875" style="1305" customWidth="1"/>
    <col min="5130" max="5130" width="11.28515625" style="1305" customWidth="1"/>
    <col min="5131" max="5373" width="8.7109375" style="1305"/>
    <col min="5374" max="5374" width="6.85546875" style="1305" customWidth="1"/>
    <col min="5375" max="5375" width="39.28515625" style="1305" customWidth="1"/>
    <col min="5376" max="5376" width="9.28515625" style="1305" customWidth="1"/>
    <col min="5377" max="5377" width="10.7109375" style="1305" customWidth="1"/>
    <col min="5378" max="5378" width="15" style="1305" customWidth="1"/>
    <col min="5379" max="5379" width="10.42578125" style="1305" customWidth="1"/>
    <col min="5380" max="5380" width="20.42578125" style="1305" customWidth="1"/>
    <col min="5381" max="5381" width="20.7109375" style="1305" customWidth="1"/>
    <col min="5382" max="5382" width="11.140625" style="1305" customWidth="1"/>
    <col min="5383" max="5383" width="24" style="1305" customWidth="1"/>
    <col min="5384" max="5384" width="20.28515625" style="1305" customWidth="1"/>
    <col min="5385" max="5385" width="14.85546875" style="1305" customWidth="1"/>
    <col min="5386" max="5386" width="11.28515625" style="1305" customWidth="1"/>
    <col min="5387" max="5629" width="8.7109375" style="1305"/>
    <col min="5630" max="5630" width="6.85546875" style="1305" customWidth="1"/>
    <col min="5631" max="5631" width="39.28515625" style="1305" customWidth="1"/>
    <col min="5632" max="5632" width="9.28515625" style="1305" customWidth="1"/>
    <col min="5633" max="5633" width="10.7109375" style="1305" customWidth="1"/>
    <col min="5634" max="5634" width="15" style="1305" customWidth="1"/>
    <col min="5635" max="5635" width="10.42578125" style="1305" customWidth="1"/>
    <col min="5636" max="5636" width="20.42578125" style="1305" customWidth="1"/>
    <col min="5637" max="5637" width="20.7109375" style="1305" customWidth="1"/>
    <col min="5638" max="5638" width="11.140625" style="1305" customWidth="1"/>
    <col min="5639" max="5639" width="24" style="1305" customWidth="1"/>
    <col min="5640" max="5640" width="20.28515625" style="1305" customWidth="1"/>
    <col min="5641" max="5641" width="14.85546875" style="1305" customWidth="1"/>
    <col min="5642" max="5642" width="11.28515625" style="1305" customWidth="1"/>
    <col min="5643" max="5885" width="8.7109375" style="1305"/>
    <col min="5886" max="5886" width="6.85546875" style="1305" customWidth="1"/>
    <col min="5887" max="5887" width="39.28515625" style="1305" customWidth="1"/>
    <col min="5888" max="5888" width="9.28515625" style="1305" customWidth="1"/>
    <col min="5889" max="5889" width="10.7109375" style="1305" customWidth="1"/>
    <col min="5890" max="5890" width="15" style="1305" customWidth="1"/>
    <col min="5891" max="5891" width="10.42578125" style="1305" customWidth="1"/>
    <col min="5892" max="5892" width="20.42578125" style="1305" customWidth="1"/>
    <col min="5893" max="5893" width="20.7109375" style="1305" customWidth="1"/>
    <col min="5894" max="5894" width="11.140625" style="1305" customWidth="1"/>
    <col min="5895" max="5895" width="24" style="1305" customWidth="1"/>
    <col min="5896" max="5896" width="20.28515625" style="1305" customWidth="1"/>
    <col min="5897" max="5897" width="14.85546875" style="1305" customWidth="1"/>
    <col min="5898" max="5898" width="11.28515625" style="1305" customWidth="1"/>
    <col min="5899" max="6141" width="8.7109375" style="1305"/>
    <col min="6142" max="6142" width="6.85546875" style="1305" customWidth="1"/>
    <col min="6143" max="6143" width="39.28515625" style="1305" customWidth="1"/>
    <col min="6144" max="6144" width="9.28515625" style="1305" customWidth="1"/>
    <col min="6145" max="6145" width="10.7109375" style="1305" customWidth="1"/>
    <col min="6146" max="6146" width="15" style="1305" customWidth="1"/>
    <col min="6147" max="6147" width="10.42578125" style="1305" customWidth="1"/>
    <col min="6148" max="6148" width="20.42578125" style="1305" customWidth="1"/>
    <col min="6149" max="6149" width="20.7109375" style="1305" customWidth="1"/>
    <col min="6150" max="6150" width="11.140625" style="1305" customWidth="1"/>
    <col min="6151" max="6151" width="24" style="1305" customWidth="1"/>
    <col min="6152" max="6152" width="20.28515625" style="1305" customWidth="1"/>
    <col min="6153" max="6153" width="14.85546875" style="1305" customWidth="1"/>
    <col min="6154" max="6154" width="11.28515625" style="1305" customWidth="1"/>
    <col min="6155" max="6397" width="8.7109375" style="1305"/>
    <col min="6398" max="6398" width="6.85546875" style="1305" customWidth="1"/>
    <col min="6399" max="6399" width="39.28515625" style="1305" customWidth="1"/>
    <col min="6400" max="6400" width="9.28515625" style="1305" customWidth="1"/>
    <col min="6401" max="6401" width="10.7109375" style="1305" customWidth="1"/>
    <col min="6402" max="6402" width="15" style="1305" customWidth="1"/>
    <col min="6403" max="6403" width="10.42578125" style="1305" customWidth="1"/>
    <col min="6404" max="6404" width="20.42578125" style="1305" customWidth="1"/>
    <col min="6405" max="6405" width="20.7109375" style="1305" customWidth="1"/>
    <col min="6406" max="6406" width="11.140625" style="1305" customWidth="1"/>
    <col min="6407" max="6407" width="24" style="1305" customWidth="1"/>
    <col min="6408" max="6408" width="20.28515625" style="1305" customWidth="1"/>
    <col min="6409" max="6409" width="14.85546875" style="1305" customWidth="1"/>
    <col min="6410" max="6410" width="11.28515625" style="1305" customWidth="1"/>
    <col min="6411" max="6653" width="8.7109375" style="1305"/>
    <col min="6654" max="6654" width="6.85546875" style="1305" customWidth="1"/>
    <col min="6655" max="6655" width="39.28515625" style="1305" customWidth="1"/>
    <col min="6656" max="6656" width="9.28515625" style="1305" customWidth="1"/>
    <col min="6657" max="6657" width="10.7109375" style="1305" customWidth="1"/>
    <col min="6658" max="6658" width="15" style="1305" customWidth="1"/>
    <col min="6659" max="6659" width="10.42578125" style="1305" customWidth="1"/>
    <col min="6660" max="6660" width="20.42578125" style="1305" customWidth="1"/>
    <col min="6661" max="6661" width="20.7109375" style="1305" customWidth="1"/>
    <col min="6662" max="6662" width="11.140625" style="1305" customWidth="1"/>
    <col min="6663" max="6663" width="24" style="1305" customWidth="1"/>
    <col min="6664" max="6664" width="20.28515625" style="1305" customWidth="1"/>
    <col min="6665" max="6665" width="14.85546875" style="1305" customWidth="1"/>
    <col min="6666" max="6666" width="11.28515625" style="1305" customWidth="1"/>
    <col min="6667" max="6909" width="8.7109375" style="1305"/>
    <col min="6910" max="6910" width="6.85546875" style="1305" customWidth="1"/>
    <col min="6911" max="6911" width="39.28515625" style="1305" customWidth="1"/>
    <col min="6912" max="6912" width="9.28515625" style="1305" customWidth="1"/>
    <col min="6913" max="6913" width="10.7109375" style="1305" customWidth="1"/>
    <col min="6914" max="6914" width="15" style="1305" customWidth="1"/>
    <col min="6915" max="6915" width="10.42578125" style="1305" customWidth="1"/>
    <col min="6916" max="6916" width="20.42578125" style="1305" customWidth="1"/>
    <col min="6917" max="6917" width="20.7109375" style="1305" customWidth="1"/>
    <col min="6918" max="6918" width="11.140625" style="1305" customWidth="1"/>
    <col min="6919" max="6919" width="24" style="1305" customWidth="1"/>
    <col min="6920" max="6920" width="20.28515625" style="1305" customWidth="1"/>
    <col min="6921" max="6921" width="14.85546875" style="1305" customWidth="1"/>
    <col min="6922" max="6922" width="11.28515625" style="1305" customWidth="1"/>
    <col min="6923" max="7165" width="8.7109375" style="1305"/>
    <col min="7166" max="7166" width="6.85546875" style="1305" customWidth="1"/>
    <col min="7167" max="7167" width="39.28515625" style="1305" customWidth="1"/>
    <col min="7168" max="7168" width="9.28515625" style="1305" customWidth="1"/>
    <col min="7169" max="7169" width="10.7109375" style="1305" customWidth="1"/>
    <col min="7170" max="7170" width="15" style="1305" customWidth="1"/>
    <col min="7171" max="7171" width="10.42578125" style="1305" customWidth="1"/>
    <col min="7172" max="7172" width="20.42578125" style="1305" customWidth="1"/>
    <col min="7173" max="7173" width="20.7109375" style="1305" customWidth="1"/>
    <col min="7174" max="7174" width="11.140625" style="1305" customWidth="1"/>
    <col min="7175" max="7175" width="24" style="1305" customWidth="1"/>
    <col min="7176" max="7176" width="20.28515625" style="1305" customWidth="1"/>
    <col min="7177" max="7177" width="14.85546875" style="1305" customWidth="1"/>
    <col min="7178" max="7178" width="11.28515625" style="1305" customWidth="1"/>
    <col min="7179" max="7421" width="8.7109375" style="1305"/>
    <col min="7422" max="7422" width="6.85546875" style="1305" customWidth="1"/>
    <col min="7423" max="7423" width="39.28515625" style="1305" customWidth="1"/>
    <col min="7424" max="7424" width="9.28515625" style="1305" customWidth="1"/>
    <col min="7425" max="7425" width="10.7109375" style="1305" customWidth="1"/>
    <col min="7426" max="7426" width="15" style="1305" customWidth="1"/>
    <col min="7427" max="7427" width="10.42578125" style="1305" customWidth="1"/>
    <col min="7428" max="7428" width="20.42578125" style="1305" customWidth="1"/>
    <col min="7429" max="7429" width="20.7109375" style="1305" customWidth="1"/>
    <col min="7430" max="7430" width="11.140625" style="1305" customWidth="1"/>
    <col min="7431" max="7431" width="24" style="1305" customWidth="1"/>
    <col min="7432" max="7432" width="20.28515625" style="1305" customWidth="1"/>
    <col min="7433" max="7433" width="14.85546875" style="1305" customWidth="1"/>
    <col min="7434" max="7434" width="11.28515625" style="1305" customWidth="1"/>
    <col min="7435" max="7677" width="8.7109375" style="1305"/>
    <col min="7678" max="7678" width="6.85546875" style="1305" customWidth="1"/>
    <col min="7679" max="7679" width="39.28515625" style="1305" customWidth="1"/>
    <col min="7680" max="7680" width="9.28515625" style="1305" customWidth="1"/>
    <col min="7681" max="7681" width="10.7109375" style="1305" customWidth="1"/>
    <col min="7682" max="7682" width="15" style="1305" customWidth="1"/>
    <col min="7683" max="7683" width="10.42578125" style="1305" customWidth="1"/>
    <col min="7684" max="7684" width="20.42578125" style="1305" customWidth="1"/>
    <col min="7685" max="7685" width="20.7109375" style="1305" customWidth="1"/>
    <col min="7686" max="7686" width="11.140625" style="1305" customWidth="1"/>
    <col min="7687" max="7687" width="24" style="1305" customWidth="1"/>
    <col min="7688" max="7688" width="20.28515625" style="1305" customWidth="1"/>
    <col min="7689" max="7689" width="14.85546875" style="1305" customWidth="1"/>
    <col min="7690" max="7690" width="11.28515625" style="1305" customWidth="1"/>
    <col min="7691" max="7933" width="8.7109375" style="1305"/>
    <col min="7934" max="7934" width="6.85546875" style="1305" customWidth="1"/>
    <col min="7935" max="7935" width="39.28515625" style="1305" customWidth="1"/>
    <col min="7936" max="7936" width="9.28515625" style="1305" customWidth="1"/>
    <col min="7937" max="7937" width="10.7109375" style="1305" customWidth="1"/>
    <col min="7938" max="7938" width="15" style="1305" customWidth="1"/>
    <col min="7939" max="7939" width="10.42578125" style="1305" customWidth="1"/>
    <col min="7940" max="7940" width="20.42578125" style="1305" customWidth="1"/>
    <col min="7941" max="7941" width="20.7109375" style="1305" customWidth="1"/>
    <col min="7942" max="7942" width="11.140625" style="1305" customWidth="1"/>
    <col min="7943" max="7943" width="24" style="1305" customWidth="1"/>
    <col min="7944" max="7944" width="20.28515625" style="1305" customWidth="1"/>
    <col min="7945" max="7945" width="14.85546875" style="1305" customWidth="1"/>
    <col min="7946" max="7946" width="11.28515625" style="1305" customWidth="1"/>
    <col min="7947" max="8189" width="8.7109375" style="1305"/>
    <col min="8190" max="8190" width="6.85546875" style="1305" customWidth="1"/>
    <col min="8191" max="8191" width="39.28515625" style="1305" customWidth="1"/>
    <col min="8192" max="8192" width="9.28515625" style="1305" customWidth="1"/>
    <col min="8193" max="8193" width="10.7109375" style="1305" customWidth="1"/>
    <col min="8194" max="8194" width="15" style="1305" customWidth="1"/>
    <col min="8195" max="8195" width="10.42578125" style="1305" customWidth="1"/>
    <col min="8196" max="8196" width="20.42578125" style="1305" customWidth="1"/>
    <col min="8197" max="8197" width="20.7109375" style="1305" customWidth="1"/>
    <col min="8198" max="8198" width="11.140625" style="1305" customWidth="1"/>
    <col min="8199" max="8199" width="24" style="1305" customWidth="1"/>
    <col min="8200" max="8200" width="20.28515625" style="1305" customWidth="1"/>
    <col min="8201" max="8201" width="14.85546875" style="1305" customWidth="1"/>
    <col min="8202" max="8202" width="11.28515625" style="1305" customWidth="1"/>
    <col min="8203" max="8445" width="8.7109375" style="1305"/>
    <col min="8446" max="8446" width="6.85546875" style="1305" customWidth="1"/>
    <col min="8447" max="8447" width="39.28515625" style="1305" customWidth="1"/>
    <col min="8448" max="8448" width="9.28515625" style="1305" customWidth="1"/>
    <col min="8449" max="8449" width="10.7109375" style="1305" customWidth="1"/>
    <col min="8450" max="8450" width="15" style="1305" customWidth="1"/>
    <col min="8451" max="8451" width="10.42578125" style="1305" customWidth="1"/>
    <col min="8452" max="8452" width="20.42578125" style="1305" customWidth="1"/>
    <col min="8453" max="8453" width="20.7109375" style="1305" customWidth="1"/>
    <col min="8454" max="8454" width="11.140625" style="1305" customWidth="1"/>
    <col min="8455" max="8455" width="24" style="1305" customWidth="1"/>
    <col min="8456" max="8456" width="20.28515625" style="1305" customWidth="1"/>
    <col min="8457" max="8457" width="14.85546875" style="1305" customWidth="1"/>
    <col min="8458" max="8458" width="11.28515625" style="1305" customWidth="1"/>
    <col min="8459" max="8701" width="8.7109375" style="1305"/>
    <col min="8702" max="8702" width="6.85546875" style="1305" customWidth="1"/>
    <col min="8703" max="8703" width="39.28515625" style="1305" customWidth="1"/>
    <col min="8704" max="8704" width="9.28515625" style="1305" customWidth="1"/>
    <col min="8705" max="8705" width="10.7109375" style="1305" customWidth="1"/>
    <col min="8706" max="8706" width="15" style="1305" customWidth="1"/>
    <col min="8707" max="8707" width="10.42578125" style="1305" customWidth="1"/>
    <col min="8708" max="8708" width="20.42578125" style="1305" customWidth="1"/>
    <col min="8709" max="8709" width="20.7109375" style="1305" customWidth="1"/>
    <col min="8710" max="8710" width="11.140625" style="1305" customWidth="1"/>
    <col min="8711" max="8711" width="24" style="1305" customWidth="1"/>
    <col min="8712" max="8712" width="20.28515625" style="1305" customWidth="1"/>
    <col min="8713" max="8713" width="14.85546875" style="1305" customWidth="1"/>
    <col min="8714" max="8714" width="11.28515625" style="1305" customWidth="1"/>
    <col min="8715" max="8957" width="8.7109375" style="1305"/>
    <col min="8958" max="8958" width="6.85546875" style="1305" customWidth="1"/>
    <col min="8959" max="8959" width="39.28515625" style="1305" customWidth="1"/>
    <col min="8960" max="8960" width="9.28515625" style="1305" customWidth="1"/>
    <col min="8961" max="8961" width="10.7109375" style="1305" customWidth="1"/>
    <col min="8962" max="8962" width="15" style="1305" customWidth="1"/>
    <col min="8963" max="8963" width="10.42578125" style="1305" customWidth="1"/>
    <col min="8964" max="8964" width="20.42578125" style="1305" customWidth="1"/>
    <col min="8965" max="8965" width="20.7109375" style="1305" customWidth="1"/>
    <col min="8966" max="8966" width="11.140625" style="1305" customWidth="1"/>
    <col min="8967" max="8967" width="24" style="1305" customWidth="1"/>
    <col min="8968" max="8968" width="20.28515625" style="1305" customWidth="1"/>
    <col min="8969" max="8969" width="14.85546875" style="1305" customWidth="1"/>
    <col min="8970" max="8970" width="11.28515625" style="1305" customWidth="1"/>
    <col min="8971" max="9213" width="8.7109375" style="1305"/>
    <col min="9214" max="9214" width="6.85546875" style="1305" customWidth="1"/>
    <col min="9215" max="9215" width="39.28515625" style="1305" customWidth="1"/>
    <col min="9216" max="9216" width="9.28515625" style="1305" customWidth="1"/>
    <col min="9217" max="9217" width="10.7109375" style="1305" customWidth="1"/>
    <col min="9218" max="9218" width="15" style="1305" customWidth="1"/>
    <col min="9219" max="9219" width="10.42578125" style="1305" customWidth="1"/>
    <col min="9220" max="9220" width="20.42578125" style="1305" customWidth="1"/>
    <col min="9221" max="9221" width="20.7109375" style="1305" customWidth="1"/>
    <col min="9222" max="9222" width="11.140625" style="1305" customWidth="1"/>
    <col min="9223" max="9223" width="24" style="1305" customWidth="1"/>
    <col min="9224" max="9224" width="20.28515625" style="1305" customWidth="1"/>
    <col min="9225" max="9225" width="14.85546875" style="1305" customWidth="1"/>
    <col min="9226" max="9226" width="11.28515625" style="1305" customWidth="1"/>
    <col min="9227" max="9469" width="8.7109375" style="1305"/>
    <col min="9470" max="9470" width="6.85546875" style="1305" customWidth="1"/>
    <col min="9471" max="9471" width="39.28515625" style="1305" customWidth="1"/>
    <col min="9472" max="9472" width="9.28515625" style="1305" customWidth="1"/>
    <col min="9473" max="9473" width="10.7109375" style="1305" customWidth="1"/>
    <col min="9474" max="9474" width="15" style="1305" customWidth="1"/>
    <col min="9475" max="9475" width="10.42578125" style="1305" customWidth="1"/>
    <col min="9476" max="9476" width="20.42578125" style="1305" customWidth="1"/>
    <col min="9477" max="9477" width="20.7109375" style="1305" customWidth="1"/>
    <col min="9478" max="9478" width="11.140625" style="1305" customWidth="1"/>
    <col min="9479" max="9479" width="24" style="1305" customWidth="1"/>
    <col min="9480" max="9480" width="20.28515625" style="1305" customWidth="1"/>
    <col min="9481" max="9481" width="14.85546875" style="1305" customWidth="1"/>
    <col min="9482" max="9482" width="11.28515625" style="1305" customWidth="1"/>
    <col min="9483" max="9725" width="8.7109375" style="1305"/>
    <col min="9726" max="9726" width="6.85546875" style="1305" customWidth="1"/>
    <col min="9727" max="9727" width="39.28515625" style="1305" customWidth="1"/>
    <col min="9728" max="9728" width="9.28515625" style="1305" customWidth="1"/>
    <col min="9729" max="9729" width="10.7109375" style="1305" customWidth="1"/>
    <col min="9730" max="9730" width="15" style="1305" customWidth="1"/>
    <col min="9731" max="9731" width="10.42578125" style="1305" customWidth="1"/>
    <col min="9732" max="9732" width="20.42578125" style="1305" customWidth="1"/>
    <col min="9733" max="9733" width="20.7109375" style="1305" customWidth="1"/>
    <col min="9734" max="9734" width="11.140625" style="1305" customWidth="1"/>
    <col min="9735" max="9735" width="24" style="1305" customWidth="1"/>
    <col min="9736" max="9736" width="20.28515625" style="1305" customWidth="1"/>
    <col min="9737" max="9737" width="14.85546875" style="1305" customWidth="1"/>
    <col min="9738" max="9738" width="11.28515625" style="1305" customWidth="1"/>
    <col min="9739" max="9981" width="8.7109375" style="1305"/>
    <col min="9982" max="9982" width="6.85546875" style="1305" customWidth="1"/>
    <col min="9983" max="9983" width="39.28515625" style="1305" customWidth="1"/>
    <col min="9984" max="9984" width="9.28515625" style="1305" customWidth="1"/>
    <col min="9985" max="9985" width="10.7109375" style="1305" customWidth="1"/>
    <col min="9986" max="9986" width="15" style="1305" customWidth="1"/>
    <col min="9987" max="9987" width="10.42578125" style="1305" customWidth="1"/>
    <col min="9988" max="9988" width="20.42578125" style="1305" customWidth="1"/>
    <col min="9989" max="9989" width="20.7109375" style="1305" customWidth="1"/>
    <col min="9990" max="9990" width="11.140625" style="1305" customWidth="1"/>
    <col min="9991" max="9991" width="24" style="1305" customWidth="1"/>
    <col min="9992" max="9992" width="20.28515625" style="1305" customWidth="1"/>
    <col min="9993" max="9993" width="14.85546875" style="1305" customWidth="1"/>
    <col min="9994" max="9994" width="11.28515625" style="1305" customWidth="1"/>
    <col min="9995" max="10237" width="8.7109375" style="1305"/>
    <col min="10238" max="10238" width="6.85546875" style="1305" customWidth="1"/>
    <col min="10239" max="10239" width="39.28515625" style="1305" customWidth="1"/>
    <col min="10240" max="10240" width="9.28515625" style="1305" customWidth="1"/>
    <col min="10241" max="10241" width="10.7109375" style="1305" customWidth="1"/>
    <col min="10242" max="10242" width="15" style="1305" customWidth="1"/>
    <col min="10243" max="10243" width="10.42578125" style="1305" customWidth="1"/>
    <col min="10244" max="10244" width="20.42578125" style="1305" customWidth="1"/>
    <col min="10245" max="10245" width="20.7109375" style="1305" customWidth="1"/>
    <col min="10246" max="10246" width="11.140625" style="1305" customWidth="1"/>
    <col min="10247" max="10247" width="24" style="1305" customWidth="1"/>
    <col min="10248" max="10248" width="20.28515625" style="1305" customWidth="1"/>
    <col min="10249" max="10249" width="14.85546875" style="1305" customWidth="1"/>
    <col min="10250" max="10250" width="11.28515625" style="1305" customWidth="1"/>
    <col min="10251" max="10493" width="8.7109375" style="1305"/>
    <col min="10494" max="10494" width="6.85546875" style="1305" customWidth="1"/>
    <col min="10495" max="10495" width="39.28515625" style="1305" customWidth="1"/>
    <col min="10496" max="10496" width="9.28515625" style="1305" customWidth="1"/>
    <col min="10497" max="10497" width="10.7109375" style="1305" customWidth="1"/>
    <col min="10498" max="10498" width="15" style="1305" customWidth="1"/>
    <col min="10499" max="10499" width="10.42578125" style="1305" customWidth="1"/>
    <col min="10500" max="10500" width="20.42578125" style="1305" customWidth="1"/>
    <col min="10501" max="10501" width="20.7109375" style="1305" customWidth="1"/>
    <col min="10502" max="10502" width="11.140625" style="1305" customWidth="1"/>
    <col min="10503" max="10503" width="24" style="1305" customWidth="1"/>
    <col min="10504" max="10504" width="20.28515625" style="1305" customWidth="1"/>
    <col min="10505" max="10505" width="14.85546875" style="1305" customWidth="1"/>
    <col min="10506" max="10506" width="11.28515625" style="1305" customWidth="1"/>
    <col min="10507" max="10749" width="8.7109375" style="1305"/>
    <col min="10750" max="10750" width="6.85546875" style="1305" customWidth="1"/>
    <col min="10751" max="10751" width="39.28515625" style="1305" customWidth="1"/>
    <col min="10752" max="10752" width="9.28515625" style="1305" customWidth="1"/>
    <col min="10753" max="10753" width="10.7109375" style="1305" customWidth="1"/>
    <col min="10754" max="10754" width="15" style="1305" customWidth="1"/>
    <col min="10755" max="10755" width="10.42578125" style="1305" customWidth="1"/>
    <col min="10756" max="10756" width="20.42578125" style="1305" customWidth="1"/>
    <col min="10757" max="10757" width="20.7109375" style="1305" customWidth="1"/>
    <col min="10758" max="10758" width="11.140625" style="1305" customWidth="1"/>
    <col min="10759" max="10759" width="24" style="1305" customWidth="1"/>
    <col min="10760" max="10760" width="20.28515625" style="1305" customWidth="1"/>
    <col min="10761" max="10761" width="14.85546875" style="1305" customWidth="1"/>
    <col min="10762" max="10762" width="11.28515625" style="1305" customWidth="1"/>
    <col min="10763" max="11005" width="8.7109375" style="1305"/>
    <col min="11006" max="11006" width="6.85546875" style="1305" customWidth="1"/>
    <col min="11007" max="11007" width="39.28515625" style="1305" customWidth="1"/>
    <col min="11008" max="11008" width="9.28515625" style="1305" customWidth="1"/>
    <col min="11009" max="11009" width="10.7109375" style="1305" customWidth="1"/>
    <col min="11010" max="11010" width="15" style="1305" customWidth="1"/>
    <col min="11011" max="11011" width="10.42578125" style="1305" customWidth="1"/>
    <col min="11012" max="11012" width="20.42578125" style="1305" customWidth="1"/>
    <col min="11013" max="11013" width="20.7109375" style="1305" customWidth="1"/>
    <col min="11014" max="11014" width="11.140625" style="1305" customWidth="1"/>
    <col min="11015" max="11015" width="24" style="1305" customWidth="1"/>
    <col min="11016" max="11016" width="20.28515625" style="1305" customWidth="1"/>
    <col min="11017" max="11017" width="14.85546875" style="1305" customWidth="1"/>
    <col min="11018" max="11018" width="11.28515625" style="1305" customWidth="1"/>
    <col min="11019" max="11261" width="8.7109375" style="1305"/>
    <col min="11262" max="11262" width="6.85546875" style="1305" customWidth="1"/>
    <col min="11263" max="11263" width="39.28515625" style="1305" customWidth="1"/>
    <col min="11264" max="11264" width="9.28515625" style="1305" customWidth="1"/>
    <col min="11265" max="11265" width="10.7109375" style="1305" customWidth="1"/>
    <col min="11266" max="11266" width="15" style="1305" customWidth="1"/>
    <col min="11267" max="11267" width="10.42578125" style="1305" customWidth="1"/>
    <col min="11268" max="11268" width="20.42578125" style="1305" customWidth="1"/>
    <col min="11269" max="11269" width="20.7109375" style="1305" customWidth="1"/>
    <col min="11270" max="11270" width="11.140625" style="1305" customWidth="1"/>
    <col min="11271" max="11271" width="24" style="1305" customWidth="1"/>
    <col min="11272" max="11272" width="20.28515625" style="1305" customWidth="1"/>
    <col min="11273" max="11273" width="14.85546875" style="1305" customWidth="1"/>
    <col min="11274" max="11274" width="11.28515625" style="1305" customWidth="1"/>
    <col min="11275" max="11517" width="8.7109375" style="1305"/>
    <col min="11518" max="11518" width="6.85546875" style="1305" customWidth="1"/>
    <col min="11519" max="11519" width="39.28515625" style="1305" customWidth="1"/>
    <col min="11520" max="11520" width="9.28515625" style="1305" customWidth="1"/>
    <col min="11521" max="11521" width="10.7109375" style="1305" customWidth="1"/>
    <col min="11522" max="11522" width="15" style="1305" customWidth="1"/>
    <col min="11523" max="11523" width="10.42578125" style="1305" customWidth="1"/>
    <col min="11524" max="11524" width="20.42578125" style="1305" customWidth="1"/>
    <col min="11525" max="11525" width="20.7109375" style="1305" customWidth="1"/>
    <col min="11526" max="11526" width="11.140625" style="1305" customWidth="1"/>
    <col min="11527" max="11527" width="24" style="1305" customWidth="1"/>
    <col min="11528" max="11528" width="20.28515625" style="1305" customWidth="1"/>
    <col min="11529" max="11529" width="14.85546875" style="1305" customWidth="1"/>
    <col min="11530" max="11530" width="11.28515625" style="1305" customWidth="1"/>
    <col min="11531" max="11773" width="8.7109375" style="1305"/>
    <col min="11774" max="11774" width="6.85546875" style="1305" customWidth="1"/>
    <col min="11775" max="11775" width="39.28515625" style="1305" customWidth="1"/>
    <col min="11776" max="11776" width="9.28515625" style="1305" customWidth="1"/>
    <col min="11777" max="11777" width="10.7109375" style="1305" customWidth="1"/>
    <col min="11778" max="11778" width="15" style="1305" customWidth="1"/>
    <col min="11779" max="11779" width="10.42578125" style="1305" customWidth="1"/>
    <col min="11780" max="11780" width="20.42578125" style="1305" customWidth="1"/>
    <col min="11781" max="11781" width="20.7109375" style="1305" customWidth="1"/>
    <col min="11782" max="11782" width="11.140625" style="1305" customWidth="1"/>
    <col min="11783" max="11783" width="24" style="1305" customWidth="1"/>
    <col min="11784" max="11784" width="20.28515625" style="1305" customWidth="1"/>
    <col min="11785" max="11785" width="14.85546875" style="1305" customWidth="1"/>
    <col min="11786" max="11786" width="11.28515625" style="1305" customWidth="1"/>
    <col min="11787" max="12029" width="8.7109375" style="1305"/>
    <col min="12030" max="12030" width="6.85546875" style="1305" customWidth="1"/>
    <col min="12031" max="12031" width="39.28515625" style="1305" customWidth="1"/>
    <col min="12032" max="12032" width="9.28515625" style="1305" customWidth="1"/>
    <col min="12033" max="12033" width="10.7109375" style="1305" customWidth="1"/>
    <col min="12034" max="12034" width="15" style="1305" customWidth="1"/>
    <col min="12035" max="12035" width="10.42578125" style="1305" customWidth="1"/>
    <col min="12036" max="12036" width="20.42578125" style="1305" customWidth="1"/>
    <col min="12037" max="12037" width="20.7109375" style="1305" customWidth="1"/>
    <col min="12038" max="12038" width="11.140625" style="1305" customWidth="1"/>
    <col min="12039" max="12039" width="24" style="1305" customWidth="1"/>
    <col min="12040" max="12040" width="20.28515625" style="1305" customWidth="1"/>
    <col min="12041" max="12041" width="14.85546875" style="1305" customWidth="1"/>
    <col min="12042" max="12042" width="11.28515625" style="1305" customWidth="1"/>
    <col min="12043" max="12285" width="8.7109375" style="1305"/>
    <col min="12286" max="12286" width="6.85546875" style="1305" customWidth="1"/>
    <col min="12287" max="12287" width="39.28515625" style="1305" customWidth="1"/>
    <col min="12288" max="12288" width="9.28515625" style="1305" customWidth="1"/>
    <col min="12289" max="12289" width="10.7109375" style="1305" customWidth="1"/>
    <col min="12290" max="12290" width="15" style="1305" customWidth="1"/>
    <col min="12291" max="12291" width="10.42578125" style="1305" customWidth="1"/>
    <col min="12292" max="12292" width="20.42578125" style="1305" customWidth="1"/>
    <col min="12293" max="12293" width="20.7109375" style="1305" customWidth="1"/>
    <col min="12294" max="12294" width="11.140625" style="1305" customWidth="1"/>
    <col min="12295" max="12295" width="24" style="1305" customWidth="1"/>
    <col min="12296" max="12296" width="20.28515625" style="1305" customWidth="1"/>
    <col min="12297" max="12297" width="14.85546875" style="1305" customWidth="1"/>
    <col min="12298" max="12298" width="11.28515625" style="1305" customWidth="1"/>
    <col min="12299" max="12541" width="8.7109375" style="1305"/>
    <col min="12542" max="12542" width="6.85546875" style="1305" customWidth="1"/>
    <col min="12543" max="12543" width="39.28515625" style="1305" customWidth="1"/>
    <col min="12544" max="12544" width="9.28515625" style="1305" customWidth="1"/>
    <col min="12545" max="12545" width="10.7109375" style="1305" customWidth="1"/>
    <col min="12546" max="12546" width="15" style="1305" customWidth="1"/>
    <col min="12547" max="12547" width="10.42578125" style="1305" customWidth="1"/>
    <col min="12548" max="12548" width="20.42578125" style="1305" customWidth="1"/>
    <col min="12549" max="12549" width="20.7109375" style="1305" customWidth="1"/>
    <col min="12550" max="12550" width="11.140625" style="1305" customWidth="1"/>
    <col min="12551" max="12551" width="24" style="1305" customWidth="1"/>
    <col min="12552" max="12552" width="20.28515625" style="1305" customWidth="1"/>
    <col min="12553" max="12553" width="14.85546875" style="1305" customWidth="1"/>
    <col min="12554" max="12554" width="11.28515625" style="1305" customWidth="1"/>
    <col min="12555" max="12797" width="8.7109375" style="1305"/>
    <col min="12798" max="12798" width="6.85546875" style="1305" customWidth="1"/>
    <col min="12799" max="12799" width="39.28515625" style="1305" customWidth="1"/>
    <col min="12800" max="12800" width="9.28515625" style="1305" customWidth="1"/>
    <col min="12801" max="12801" width="10.7109375" style="1305" customWidth="1"/>
    <col min="12802" max="12802" width="15" style="1305" customWidth="1"/>
    <col min="12803" max="12803" width="10.42578125" style="1305" customWidth="1"/>
    <col min="12804" max="12804" width="20.42578125" style="1305" customWidth="1"/>
    <col min="12805" max="12805" width="20.7109375" style="1305" customWidth="1"/>
    <col min="12806" max="12806" width="11.140625" style="1305" customWidth="1"/>
    <col min="12807" max="12807" width="24" style="1305" customWidth="1"/>
    <col min="12808" max="12808" width="20.28515625" style="1305" customWidth="1"/>
    <col min="12809" max="12809" width="14.85546875" style="1305" customWidth="1"/>
    <col min="12810" max="12810" width="11.28515625" style="1305" customWidth="1"/>
    <col min="12811" max="13053" width="8.7109375" style="1305"/>
    <col min="13054" max="13054" width="6.85546875" style="1305" customWidth="1"/>
    <col min="13055" max="13055" width="39.28515625" style="1305" customWidth="1"/>
    <col min="13056" max="13056" width="9.28515625" style="1305" customWidth="1"/>
    <col min="13057" max="13057" width="10.7109375" style="1305" customWidth="1"/>
    <col min="13058" max="13058" width="15" style="1305" customWidth="1"/>
    <col min="13059" max="13059" width="10.42578125" style="1305" customWidth="1"/>
    <col min="13060" max="13060" width="20.42578125" style="1305" customWidth="1"/>
    <col min="13061" max="13061" width="20.7109375" style="1305" customWidth="1"/>
    <col min="13062" max="13062" width="11.140625" style="1305" customWidth="1"/>
    <col min="13063" max="13063" width="24" style="1305" customWidth="1"/>
    <col min="13064" max="13064" width="20.28515625" style="1305" customWidth="1"/>
    <col min="13065" max="13065" width="14.85546875" style="1305" customWidth="1"/>
    <col min="13066" max="13066" width="11.28515625" style="1305" customWidth="1"/>
    <col min="13067" max="13309" width="8.7109375" style="1305"/>
    <col min="13310" max="13310" width="6.85546875" style="1305" customWidth="1"/>
    <col min="13311" max="13311" width="39.28515625" style="1305" customWidth="1"/>
    <col min="13312" max="13312" width="9.28515625" style="1305" customWidth="1"/>
    <col min="13313" max="13313" width="10.7109375" style="1305" customWidth="1"/>
    <col min="13314" max="13314" width="15" style="1305" customWidth="1"/>
    <col min="13315" max="13315" width="10.42578125" style="1305" customWidth="1"/>
    <col min="13316" max="13316" width="20.42578125" style="1305" customWidth="1"/>
    <col min="13317" max="13317" width="20.7109375" style="1305" customWidth="1"/>
    <col min="13318" max="13318" width="11.140625" style="1305" customWidth="1"/>
    <col min="13319" max="13319" width="24" style="1305" customWidth="1"/>
    <col min="13320" max="13320" width="20.28515625" style="1305" customWidth="1"/>
    <col min="13321" max="13321" width="14.85546875" style="1305" customWidth="1"/>
    <col min="13322" max="13322" width="11.28515625" style="1305" customWidth="1"/>
    <col min="13323" max="13565" width="8.7109375" style="1305"/>
    <col min="13566" max="13566" width="6.85546875" style="1305" customWidth="1"/>
    <col min="13567" max="13567" width="39.28515625" style="1305" customWidth="1"/>
    <col min="13568" max="13568" width="9.28515625" style="1305" customWidth="1"/>
    <col min="13569" max="13569" width="10.7109375" style="1305" customWidth="1"/>
    <col min="13570" max="13570" width="15" style="1305" customWidth="1"/>
    <col min="13571" max="13571" width="10.42578125" style="1305" customWidth="1"/>
    <col min="13572" max="13572" width="20.42578125" style="1305" customWidth="1"/>
    <col min="13573" max="13573" width="20.7109375" style="1305" customWidth="1"/>
    <col min="13574" max="13574" width="11.140625" style="1305" customWidth="1"/>
    <col min="13575" max="13575" width="24" style="1305" customWidth="1"/>
    <col min="13576" max="13576" width="20.28515625" style="1305" customWidth="1"/>
    <col min="13577" max="13577" width="14.85546875" style="1305" customWidth="1"/>
    <col min="13578" max="13578" width="11.28515625" style="1305" customWidth="1"/>
    <col min="13579" max="13821" width="8.7109375" style="1305"/>
    <col min="13822" max="13822" width="6.85546875" style="1305" customWidth="1"/>
    <col min="13823" max="13823" width="39.28515625" style="1305" customWidth="1"/>
    <col min="13824" max="13824" width="9.28515625" style="1305" customWidth="1"/>
    <col min="13825" max="13825" width="10.7109375" style="1305" customWidth="1"/>
    <col min="13826" max="13826" width="15" style="1305" customWidth="1"/>
    <col min="13827" max="13827" width="10.42578125" style="1305" customWidth="1"/>
    <col min="13828" max="13828" width="20.42578125" style="1305" customWidth="1"/>
    <col min="13829" max="13829" width="20.7109375" style="1305" customWidth="1"/>
    <col min="13830" max="13830" width="11.140625" style="1305" customWidth="1"/>
    <col min="13831" max="13831" width="24" style="1305" customWidth="1"/>
    <col min="13832" max="13832" width="20.28515625" style="1305" customWidth="1"/>
    <col min="13833" max="13833" width="14.85546875" style="1305" customWidth="1"/>
    <col min="13834" max="13834" width="11.28515625" style="1305" customWidth="1"/>
    <col min="13835" max="14077" width="8.7109375" style="1305"/>
    <col min="14078" max="14078" width="6.85546875" style="1305" customWidth="1"/>
    <col min="14079" max="14079" width="39.28515625" style="1305" customWidth="1"/>
    <col min="14080" max="14080" width="9.28515625" style="1305" customWidth="1"/>
    <col min="14081" max="14081" width="10.7109375" style="1305" customWidth="1"/>
    <col min="14082" max="14082" width="15" style="1305" customWidth="1"/>
    <col min="14083" max="14083" width="10.42578125" style="1305" customWidth="1"/>
    <col min="14084" max="14084" width="20.42578125" style="1305" customWidth="1"/>
    <col min="14085" max="14085" width="20.7109375" style="1305" customWidth="1"/>
    <col min="14086" max="14086" width="11.140625" style="1305" customWidth="1"/>
    <col min="14087" max="14087" width="24" style="1305" customWidth="1"/>
    <col min="14088" max="14088" width="20.28515625" style="1305" customWidth="1"/>
    <col min="14089" max="14089" width="14.85546875" style="1305" customWidth="1"/>
    <col min="14090" max="14090" width="11.28515625" style="1305" customWidth="1"/>
    <col min="14091" max="14333" width="8.7109375" style="1305"/>
    <col min="14334" max="14334" width="6.85546875" style="1305" customWidth="1"/>
    <col min="14335" max="14335" width="39.28515625" style="1305" customWidth="1"/>
    <col min="14336" max="14336" width="9.28515625" style="1305" customWidth="1"/>
    <col min="14337" max="14337" width="10.7109375" style="1305" customWidth="1"/>
    <col min="14338" max="14338" width="15" style="1305" customWidth="1"/>
    <col min="14339" max="14339" width="10.42578125" style="1305" customWidth="1"/>
    <col min="14340" max="14340" width="20.42578125" style="1305" customWidth="1"/>
    <col min="14341" max="14341" width="20.7109375" style="1305" customWidth="1"/>
    <col min="14342" max="14342" width="11.140625" style="1305" customWidth="1"/>
    <col min="14343" max="14343" width="24" style="1305" customWidth="1"/>
    <col min="14344" max="14344" width="20.28515625" style="1305" customWidth="1"/>
    <col min="14345" max="14345" width="14.85546875" style="1305" customWidth="1"/>
    <col min="14346" max="14346" width="11.28515625" style="1305" customWidth="1"/>
    <col min="14347" max="14589" width="8.7109375" style="1305"/>
    <col min="14590" max="14590" width="6.85546875" style="1305" customWidth="1"/>
    <col min="14591" max="14591" width="39.28515625" style="1305" customWidth="1"/>
    <col min="14592" max="14592" width="9.28515625" style="1305" customWidth="1"/>
    <col min="14593" max="14593" width="10.7109375" style="1305" customWidth="1"/>
    <col min="14594" max="14594" width="15" style="1305" customWidth="1"/>
    <col min="14595" max="14595" width="10.42578125" style="1305" customWidth="1"/>
    <col min="14596" max="14596" width="20.42578125" style="1305" customWidth="1"/>
    <col min="14597" max="14597" width="20.7109375" style="1305" customWidth="1"/>
    <col min="14598" max="14598" width="11.140625" style="1305" customWidth="1"/>
    <col min="14599" max="14599" width="24" style="1305" customWidth="1"/>
    <col min="14600" max="14600" width="20.28515625" style="1305" customWidth="1"/>
    <col min="14601" max="14601" width="14.85546875" style="1305" customWidth="1"/>
    <col min="14602" max="14602" width="11.28515625" style="1305" customWidth="1"/>
    <col min="14603" max="14845" width="8.7109375" style="1305"/>
    <col min="14846" max="14846" width="6.85546875" style="1305" customWidth="1"/>
    <col min="14847" max="14847" width="39.28515625" style="1305" customWidth="1"/>
    <col min="14848" max="14848" width="9.28515625" style="1305" customWidth="1"/>
    <col min="14849" max="14849" width="10.7109375" style="1305" customWidth="1"/>
    <col min="14850" max="14850" width="15" style="1305" customWidth="1"/>
    <col min="14851" max="14851" width="10.42578125" style="1305" customWidth="1"/>
    <col min="14852" max="14852" width="20.42578125" style="1305" customWidth="1"/>
    <col min="14853" max="14853" width="20.7109375" style="1305" customWidth="1"/>
    <col min="14854" max="14854" width="11.140625" style="1305" customWidth="1"/>
    <col min="14855" max="14855" width="24" style="1305" customWidth="1"/>
    <col min="14856" max="14856" width="20.28515625" style="1305" customWidth="1"/>
    <col min="14857" max="14857" width="14.85546875" style="1305" customWidth="1"/>
    <col min="14858" max="14858" width="11.28515625" style="1305" customWidth="1"/>
    <col min="14859" max="15101" width="8.7109375" style="1305"/>
    <col min="15102" max="15102" width="6.85546875" style="1305" customWidth="1"/>
    <col min="15103" max="15103" width="39.28515625" style="1305" customWidth="1"/>
    <col min="15104" max="15104" width="9.28515625" style="1305" customWidth="1"/>
    <col min="15105" max="15105" width="10.7109375" style="1305" customWidth="1"/>
    <col min="15106" max="15106" width="15" style="1305" customWidth="1"/>
    <col min="15107" max="15107" width="10.42578125" style="1305" customWidth="1"/>
    <col min="15108" max="15108" width="20.42578125" style="1305" customWidth="1"/>
    <col min="15109" max="15109" width="20.7109375" style="1305" customWidth="1"/>
    <col min="15110" max="15110" width="11.140625" style="1305" customWidth="1"/>
    <col min="15111" max="15111" width="24" style="1305" customWidth="1"/>
    <col min="15112" max="15112" width="20.28515625" style="1305" customWidth="1"/>
    <col min="15113" max="15113" width="14.85546875" style="1305" customWidth="1"/>
    <col min="15114" max="15114" width="11.28515625" style="1305" customWidth="1"/>
    <col min="15115" max="15357" width="8.7109375" style="1305"/>
    <col min="15358" max="15358" width="6.85546875" style="1305" customWidth="1"/>
    <col min="15359" max="15359" width="39.28515625" style="1305" customWidth="1"/>
    <col min="15360" max="15360" width="9.28515625" style="1305" customWidth="1"/>
    <col min="15361" max="15361" width="10.7109375" style="1305" customWidth="1"/>
    <col min="15362" max="15362" width="15" style="1305" customWidth="1"/>
    <col min="15363" max="15363" width="10.42578125" style="1305" customWidth="1"/>
    <col min="15364" max="15364" width="20.42578125" style="1305" customWidth="1"/>
    <col min="15365" max="15365" width="20.7109375" style="1305" customWidth="1"/>
    <col min="15366" max="15366" width="11.140625" style="1305" customWidth="1"/>
    <col min="15367" max="15367" width="24" style="1305" customWidth="1"/>
    <col min="15368" max="15368" width="20.28515625" style="1305" customWidth="1"/>
    <col min="15369" max="15369" width="14.85546875" style="1305" customWidth="1"/>
    <col min="15370" max="15370" width="11.28515625" style="1305" customWidth="1"/>
    <col min="15371" max="15613" width="8.7109375" style="1305"/>
    <col min="15614" max="15614" width="6.85546875" style="1305" customWidth="1"/>
    <col min="15615" max="15615" width="39.28515625" style="1305" customWidth="1"/>
    <col min="15616" max="15616" width="9.28515625" style="1305" customWidth="1"/>
    <col min="15617" max="15617" width="10.7109375" style="1305" customWidth="1"/>
    <col min="15618" max="15618" width="15" style="1305" customWidth="1"/>
    <col min="15619" max="15619" width="10.42578125" style="1305" customWidth="1"/>
    <col min="15620" max="15620" width="20.42578125" style="1305" customWidth="1"/>
    <col min="15621" max="15621" width="20.7109375" style="1305" customWidth="1"/>
    <col min="15622" max="15622" width="11.140625" style="1305" customWidth="1"/>
    <col min="15623" max="15623" width="24" style="1305" customWidth="1"/>
    <col min="15624" max="15624" width="20.28515625" style="1305" customWidth="1"/>
    <col min="15625" max="15625" width="14.85546875" style="1305" customWidth="1"/>
    <col min="15626" max="15626" width="11.28515625" style="1305" customWidth="1"/>
    <col min="15627" max="15869" width="8.7109375" style="1305"/>
    <col min="15870" max="15870" width="6.85546875" style="1305" customWidth="1"/>
    <col min="15871" max="15871" width="39.28515625" style="1305" customWidth="1"/>
    <col min="15872" max="15872" width="9.28515625" style="1305" customWidth="1"/>
    <col min="15873" max="15873" width="10.7109375" style="1305" customWidth="1"/>
    <col min="15874" max="15874" width="15" style="1305" customWidth="1"/>
    <col min="15875" max="15875" width="10.42578125" style="1305" customWidth="1"/>
    <col min="15876" max="15876" width="20.42578125" style="1305" customWidth="1"/>
    <col min="15877" max="15877" width="20.7109375" style="1305" customWidth="1"/>
    <col min="15878" max="15878" width="11.140625" style="1305" customWidth="1"/>
    <col min="15879" max="15879" width="24" style="1305" customWidth="1"/>
    <col min="15880" max="15880" width="20.28515625" style="1305" customWidth="1"/>
    <col min="15881" max="15881" width="14.85546875" style="1305" customWidth="1"/>
    <col min="15882" max="15882" width="11.28515625" style="1305" customWidth="1"/>
    <col min="15883" max="16125" width="8.7109375" style="1305"/>
    <col min="16126" max="16126" width="6.85546875" style="1305" customWidth="1"/>
    <col min="16127" max="16127" width="39.28515625" style="1305" customWidth="1"/>
    <col min="16128" max="16128" width="9.28515625" style="1305" customWidth="1"/>
    <col min="16129" max="16129" width="10.7109375" style="1305" customWidth="1"/>
    <col min="16130" max="16130" width="15" style="1305" customWidth="1"/>
    <col min="16131" max="16131" width="10.42578125" style="1305" customWidth="1"/>
    <col min="16132" max="16132" width="20.42578125" style="1305" customWidth="1"/>
    <col min="16133" max="16133" width="20.7109375" style="1305" customWidth="1"/>
    <col min="16134" max="16134" width="11.140625" style="1305" customWidth="1"/>
    <col min="16135" max="16135" width="24" style="1305" customWidth="1"/>
    <col min="16136" max="16136" width="20.28515625" style="1305" customWidth="1"/>
    <col min="16137" max="16137" width="14.85546875" style="1305" customWidth="1"/>
    <col min="16138" max="16138" width="11.28515625" style="1305" customWidth="1"/>
    <col min="16139" max="16384" width="8.7109375" style="1305"/>
  </cols>
  <sheetData>
    <row r="1" spans="1:9">
      <c r="A1" s="2797" t="s">
        <v>0</v>
      </c>
      <c r="B1" s="2797"/>
      <c r="C1" s="2797"/>
      <c r="D1" s="2797"/>
    </row>
    <row r="2" spans="1:9">
      <c r="A2" s="2797" t="s">
        <v>2030</v>
      </c>
      <c r="B2" s="2797"/>
      <c r="C2" s="2797"/>
      <c r="D2" s="2797"/>
    </row>
    <row r="3" spans="1:9" ht="13.9" customHeight="1">
      <c r="A3" s="2798" t="s">
        <v>619</v>
      </c>
      <c r="B3" s="2797"/>
      <c r="C3" s="2797"/>
      <c r="D3" s="2797"/>
    </row>
    <row r="4" spans="1:9" s="1315" customFormat="1" ht="27" customHeight="1">
      <c r="A4" s="2799" t="s">
        <v>3</v>
      </c>
      <c r="B4" s="2799"/>
      <c r="C4" s="1522"/>
      <c r="D4" s="1523"/>
    </row>
    <row r="5" spans="1:9" s="1315" customFormat="1" ht="16.899999999999999" customHeight="1">
      <c r="A5" s="2797" t="s">
        <v>3016</v>
      </c>
      <c r="B5" s="2797"/>
      <c r="C5" s="1522"/>
      <c r="D5" s="1523"/>
    </row>
    <row r="6" spans="1:9" ht="10.5" customHeight="1">
      <c r="C6" s="1280"/>
      <c r="D6" s="1600"/>
    </row>
    <row r="7" spans="1:9" s="1315" customFormat="1" ht="29.25" customHeight="1">
      <c r="A7" s="2792" t="s">
        <v>3069</v>
      </c>
      <c r="B7" s="2792"/>
      <c r="C7" s="2792"/>
      <c r="D7" s="2792"/>
    </row>
    <row r="8" spans="1:9" ht="15.75" customHeight="1">
      <c r="A8" s="2799"/>
      <c r="B8" s="2799"/>
      <c r="C8" s="2799"/>
      <c r="D8" s="2799"/>
    </row>
    <row r="9" spans="1:9" ht="15.75" customHeight="1">
      <c r="A9" s="1476"/>
      <c r="B9" s="1476"/>
      <c r="C9" s="1280"/>
      <c r="D9" s="1601"/>
    </row>
    <row r="10" spans="1:9" s="1481" customFormat="1" ht="21.75" customHeight="1">
      <c r="A10" s="1306" t="s">
        <v>6</v>
      </c>
      <c r="B10" s="1306" t="s">
        <v>2247</v>
      </c>
      <c r="C10" s="1278" t="s">
        <v>2458</v>
      </c>
      <c r="D10" s="1307" t="s">
        <v>12</v>
      </c>
      <c r="G10" s="1482"/>
    </row>
    <row r="11" spans="1:9" ht="21.75" customHeight="1">
      <c r="A11" s="1308">
        <v>1</v>
      </c>
      <c r="B11" s="1309" t="s">
        <v>3015</v>
      </c>
      <c r="C11" s="1310" t="e">
        <f>#REF!</f>
        <v>#REF!</v>
      </c>
      <c r="D11" s="1311"/>
      <c r="E11" s="1504"/>
      <c r="F11" s="1309" t="s">
        <v>2299</v>
      </c>
      <c r="G11" s="1505"/>
      <c r="H11" s="1504"/>
    </row>
    <row r="12" spans="1:9" ht="21.75" customHeight="1">
      <c r="A12" s="1308">
        <v>2</v>
      </c>
      <c r="B12" s="1309" t="s">
        <v>2299</v>
      </c>
      <c r="C12" s="1310">
        <f>'TỔNG HỢP CVK'!F16</f>
        <v>1300000</v>
      </c>
      <c r="D12" s="1311"/>
      <c r="E12" s="1499"/>
      <c r="F12" s="1309" t="s">
        <v>2459</v>
      </c>
      <c r="H12" s="1506"/>
    </row>
    <row r="13" spans="1:9" ht="21.75" customHeight="1">
      <c r="A13" s="1308">
        <v>3</v>
      </c>
      <c r="B13" s="1309" t="s">
        <v>2460</v>
      </c>
      <c r="C13" s="1310">
        <v>5000000</v>
      </c>
      <c r="D13" s="1311"/>
      <c r="E13" s="1499"/>
      <c r="F13" s="1309" t="s">
        <v>2461</v>
      </c>
      <c r="G13" s="1499"/>
    </row>
    <row r="14" spans="1:9" ht="21.75" customHeight="1">
      <c r="A14" s="1308">
        <v>4</v>
      </c>
      <c r="B14" s="1309" t="s">
        <v>2459</v>
      </c>
      <c r="C14" s="1310">
        <f>'PCXĂNG XE'!J21</f>
        <v>3340000</v>
      </c>
      <c r="D14" s="1311"/>
      <c r="E14" s="1499"/>
      <c r="F14" s="1504"/>
      <c r="G14" s="1509"/>
      <c r="H14" s="1500"/>
      <c r="I14" s="1501"/>
    </row>
    <row r="15" spans="1:9" ht="21.75" customHeight="1">
      <c r="A15" s="2909" t="s">
        <v>2292</v>
      </c>
      <c r="B15" s="2909"/>
      <c r="C15" s="1312" t="e">
        <f>SUM(C11:C14)</f>
        <v>#REF!</v>
      </c>
      <c r="D15" s="1313"/>
      <c r="E15" s="1504"/>
      <c r="F15" s="1305">
        <f>12100+8985+16620+500+7611+4713+5000+5160</f>
        <v>60689</v>
      </c>
    </row>
    <row r="16" spans="1:9" ht="21.75" customHeight="1">
      <c r="A16" s="2910" t="s">
        <v>3046</v>
      </c>
      <c r="B16" s="2910"/>
      <c r="C16" s="2910"/>
      <c r="D16" s="2910"/>
    </row>
    <row r="17" spans="1:5" ht="18.75" customHeight="1">
      <c r="A17" s="1602"/>
      <c r="B17" s="1602"/>
      <c r="C17" s="2911" t="s">
        <v>2987</v>
      </c>
      <c r="D17" s="2911"/>
      <c r="E17" s="1603"/>
    </row>
    <row r="18" spans="1:5" ht="4.1500000000000004" customHeight="1">
      <c r="A18" s="1604"/>
      <c r="B18" s="1604"/>
      <c r="C18" s="1605"/>
      <c r="D18" s="1606"/>
    </row>
    <row r="19" spans="1:5" s="1315" customFormat="1">
      <c r="A19" s="1314" t="s">
        <v>3052</v>
      </c>
      <c r="C19" s="1316"/>
      <c r="D19" s="1317"/>
    </row>
    <row r="20" spans="1:5">
      <c r="A20" s="1604"/>
      <c r="B20" s="1604"/>
      <c r="C20" s="1605"/>
      <c r="D20" s="1606"/>
    </row>
    <row r="21" spans="1:5">
      <c r="A21" s="1604"/>
      <c r="B21" s="1604"/>
      <c r="C21" s="1605"/>
      <c r="D21" s="1606"/>
    </row>
    <row r="22" spans="1:5">
      <c r="A22" s="1604"/>
      <c r="B22" s="1604"/>
      <c r="C22" s="1605"/>
      <c r="D22" s="1606"/>
    </row>
    <row r="23" spans="1:5">
      <c r="A23" s="1604"/>
      <c r="B23" s="1604"/>
      <c r="C23" s="1605"/>
      <c r="D23" s="1606"/>
    </row>
    <row r="24" spans="1:5" hidden="1">
      <c r="A24" s="1604"/>
      <c r="B24" s="1604"/>
      <c r="C24" s="1317"/>
      <c r="D24" s="1317"/>
    </row>
    <row r="25" spans="1:5" hidden="1">
      <c r="A25" s="1604"/>
      <c r="B25" s="1604"/>
      <c r="C25" s="1605"/>
      <c r="D25" s="1606"/>
    </row>
    <row r="26" spans="1:5" hidden="1">
      <c r="A26" s="1604"/>
      <c r="B26" s="1314"/>
      <c r="C26" s="1316"/>
      <c r="D26" s="1607"/>
    </row>
    <row r="27" spans="1:5" hidden="1"/>
    <row r="28" spans="1:5" hidden="1"/>
    <row r="29" spans="1:5" hidden="1"/>
    <row r="34" spans="5:6">
      <c r="E34" s="1506"/>
      <c r="F34" s="1506"/>
    </row>
    <row r="36" spans="5:6">
      <c r="E36" s="1506"/>
      <c r="F36" s="1506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453" t="s">
        <v>617</v>
      </c>
      <c r="B1" s="2453"/>
      <c r="C1" s="2453"/>
      <c r="D1" s="2453"/>
      <c r="E1" s="2453"/>
      <c r="F1" s="2453"/>
      <c r="G1" s="2453"/>
      <c r="H1" s="2453"/>
      <c r="I1" s="2453"/>
      <c r="J1" s="2453"/>
      <c r="K1" s="2453"/>
      <c r="L1" s="2453"/>
      <c r="M1" s="2453"/>
      <c r="N1" s="2453"/>
      <c r="O1" s="2453"/>
      <c r="P1" s="2453"/>
      <c r="Q1" s="2453"/>
      <c r="R1" s="2453"/>
      <c r="S1" s="2453"/>
    </row>
    <row r="2" spans="1:24" s="51" customFormat="1" ht="22.5" customHeight="1">
      <c r="A2" s="2453" t="s">
        <v>618</v>
      </c>
      <c r="B2" s="2453"/>
      <c r="C2" s="2453"/>
      <c r="D2" s="2453"/>
      <c r="E2" s="2453"/>
      <c r="F2" s="2453"/>
      <c r="G2" s="2453"/>
      <c r="H2" s="2453"/>
      <c r="I2" s="2453"/>
      <c r="J2" s="2453"/>
      <c r="K2" s="2453"/>
      <c r="L2" s="2453"/>
      <c r="M2" s="2453"/>
      <c r="N2" s="2453"/>
      <c r="O2" s="2453"/>
      <c r="P2" s="2453"/>
      <c r="Q2" s="2453"/>
      <c r="R2" s="2453"/>
      <c r="S2" s="2453"/>
    </row>
    <row r="3" spans="1:24" s="51" customFormat="1" ht="22.5" customHeight="1">
      <c r="A3" s="2923" t="s">
        <v>619</v>
      </c>
      <c r="B3" s="2453"/>
      <c r="C3" s="2453"/>
      <c r="D3" s="2453"/>
      <c r="E3" s="2453"/>
      <c r="F3" s="2453"/>
      <c r="G3" s="2453"/>
      <c r="H3" s="2453"/>
      <c r="I3" s="2453"/>
      <c r="J3" s="2453"/>
      <c r="K3" s="2453"/>
      <c r="L3" s="2453"/>
      <c r="M3" s="2453"/>
      <c r="N3" s="2453"/>
      <c r="O3" s="2453"/>
      <c r="P3" s="2453"/>
      <c r="Q3" s="2453"/>
      <c r="R3" s="2453"/>
      <c r="S3" s="2453"/>
    </row>
    <row r="4" spans="1:24" s="51" customFormat="1" ht="22.5" customHeight="1">
      <c r="A4" s="2924" t="s">
        <v>3</v>
      </c>
      <c r="B4" s="2924"/>
      <c r="C4" s="2924"/>
      <c r="D4" s="2924"/>
      <c r="E4" s="2924"/>
      <c r="F4" s="2924"/>
      <c r="G4" s="2924"/>
      <c r="H4" s="2924"/>
      <c r="I4" s="2924"/>
      <c r="J4" s="2924"/>
      <c r="K4" s="2924"/>
      <c r="L4" s="2924"/>
      <c r="M4" s="2924"/>
      <c r="N4" s="2924"/>
      <c r="O4" s="2924"/>
      <c r="P4" s="2924"/>
      <c r="Q4" s="2924"/>
      <c r="R4" s="2924"/>
      <c r="S4" s="2924"/>
    </row>
    <row r="5" spans="1:24" s="51" customFormat="1" ht="22.5" customHeight="1">
      <c r="A5" s="2453" t="s">
        <v>611</v>
      </c>
      <c r="B5" s="2453"/>
      <c r="C5" s="2453"/>
      <c r="D5" s="2453"/>
      <c r="E5" s="2453"/>
      <c r="F5" s="2453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453"/>
      <c r="B6" s="2453"/>
      <c r="C6" s="2453"/>
      <c r="D6" s="2453"/>
      <c r="E6" s="2453"/>
      <c r="F6" s="2453"/>
      <c r="G6" s="2453"/>
      <c r="H6" s="2453"/>
      <c r="I6" s="2453"/>
      <c r="J6" s="2453"/>
      <c r="K6" s="2453"/>
      <c r="L6" s="2453"/>
      <c r="M6" s="2453"/>
      <c r="N6" s="2453"/>
      <c r="O6" s="2453"/>
      <c r="P6" s="2453"/>
      <c r="Q6" s="2453"/>
      <c r="R6" s="2453"/>
      <c r="S6" s="2453"/>
    </row>
    <row r="7" spans="1:24" ht="22.5" customHeight="1">
      <c r="A7" s="2454" t="s">
        <v>2462</v>
      </c>
      <c r="B7" s="2454"/>
      <c r="C7" s="2454"/>
      <c r="D7" s="2454"/>
      <c r="E7" s="2454"/>
      <c r="F7" s="2454"/>
      <c r="G7" s="2454"/>
      <c r="H7" s="2454"/>
      <c r="I7" s="2454"/>
      <c r="J7" s="2454"/>
      <c r="K7" s="2454"/>
      <c r="L7" s="2454"/>
      <c r="M7" s="2454"/>
      <c r="N7" s="2454"/>
      <c r="O7" s="2454"/>
      <c r="P7" s="2454"/>
      <c r="Q7" s="2454"/>
      <c r="R7" s="2454"/>
      <c r="S7" s="2454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912" t="s">
        <v>6</v>
      </c>
      <c r="B9" s="2913" t="s">
        <v>624</v>
      </c>
      <c r="C9" s="2916" t="s">
        <v>2220</v>
      </c>
      <c r="D9" s="2917"/>
      <c r="E9" s="2913" t="s">
        <v>9</v>
      </c>
      <c r="F9" s="2912" t="s">
        <v>628</v>
      </c>
      <c r="G9" s="2912"/>
      <c r="H9" s="2912"/>
      <c r="I9" s="2912"/>
      <c r="J9" s="2912"/>
      <c r="K9" s="2912"/>
      <c r="L9" s="2914" t="s">
        <v>2463</v>
      </c>
      <c r="M9" s="2913" t="s">
        <v>2464</v>
      </c>
      <c r="N9" s="2913" t="s">
        <v>631</v>
      </c>
      <c r="O9" s="2646" t="s">
        <v>2465</v>
      </c>
      <c r="P9" s="2913" t="s">
        <v>2466</v>
      </c>
      <c r="Q9" s="2913" t="s">
        <v>2467</v>
      </c>
      <c r="R9" s="2913" t="s">
        <v>2221</v>
      </c>
      <c r="S9" s="2913" t="s">
        <v>2222</v>
      </c>
      <c r="T9" s="80"/>
    </row>
    <row r="10" spans="1:24" ht="50.25" customHeight="1">
      <c r="A10" s="2912"/>
      <c r="B10" s="2913"/>
      <c r="C10" s="2918"/>
      <c r="D10" s="2919"/>
      <c r="E10" s="2913"/>
      <c r="F10" s="58" t="s">
        <v>2468</v>
      </c>
      <c r="G10" s="58" t="s">
        <v>2469</v>
      </c>
      <c r="H10" s="58" t="s">
        <v>2470</v>
      </c>
      <c r="I10" s="57" t="s">
        <v>2248</v>
      </c>
      <c r="J10" s="74" t="s">
        <v>2471</v>
      </c>
      <c r="K10" s="58" t="s">
        <v>2472</v>
      </c>
      <c r="L10" s="2915"/>
      <c r="M10" s="2913"/>
      <c r="N10" s="2912"/>
      <c r="O10" s="2646"/>
      <c r="P10" s="2912"/>
      <c r="Q10" s="2912"/>
      <c r="R10" s="2912"/>
      <c r="S10" s="2912"/>
      <c r="T10" s="81"/>
      <c r="U10" s="54"/>
      <c r="W10" s="82"/>
    </row>
    <row r="11" spans="1:24" s="41" customFormat="1" ht="29.25" customHeight="1">
      <c r="A11" s="59">
        <v>1</v>
      </c>
      <c r="B11" s="60" t="s">
        <v>2430</v>
      </c>
      <c r="C11" s="61" t="s">
        <v>2431</v>
      </c>
      <c r="D11" s="62" t="s">
        <v>2473</v>
      </c>
      <c r="E11" s="62" t="s">
        <v>2474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2475</v>
      </c>
      <c r="E12" s="62" t="s">
        <v>2476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2477</v>
      </c>
      <c r="E14" s="62" t="s">
        <v>2478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2434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2479</v>
      </c>
      <c r="E15" s="62" t="s">
        <v>2480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2434</v>
      </c>
      <c r="V15" s="87" t="s">
        <v>2435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2481</v>
      </c>
      <c r="E16" s="62" t="s">
        <v>2482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2434</v>
      </c>
      <c r="V16" s="87" t="s">
        <v>2435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2483</v>
      </c>
      <c r="E17" s="62" t="s">
        <v>2482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2484</v>
      </c>
      <c r="E18" s="62" t="s">
        <v>2482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2485</v>
      </c>
      <c r="E19" s="62" t="s">
        <v>2482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2434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2486</v>
      </c>
      <c r="E20" s="62" t="s">
        <v>2482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2434</v>
      </c>
      <c r="V20" s="87" t="s">
        <v>2435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2487</v>
      </c>
      <c r="E21" s="62" t="s">
        <v>2482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2434</v>
      </c>
      <c r="V21" s="87" t="s">
        <v>2435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2488</v>
      </c>
      <c r="E22" s="62" t="s">
        <v>2482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2489</v>
      </c>
      <c r="E23" s="62" t="s">
        <v>2482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2490</v>
      </c>
      <c r="E24" s="62" t="s">
        <v>2482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2434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2491</v>
      </c>
      <c r="E25" s="62" t="s">
        <v>2482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2434</v>
      </c>
      <c r="V25" s="87" t="s">
        <v>2435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2492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2434</v>
      </c>
      <c r="V26" s="87" t="s">
        <v>2435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2493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2434</v>
      </c>
      <c r="V27" s="87" t="s">
        <v>2435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2494</v>
      </c>
      <c r="E28" s="62" t="s">
        <v>2495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2434</v>
      </c>
      <c r="V28" s="87" t="s">
        <v>2435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2496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2497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2498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2434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2448</v>
      </c>
      <c r="E32" s="62" t="s">
        <v>2499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2434</v>
      </c>
      <c r="V32" s="87" t="s">
        <v>2435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2450</v>
      </c>
      <c r="E33" s="62" t="s">
        <v>2500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2434</v>
      </c>
      <c r="V33" s="87" t="s">
        <v>2435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2451</v>
      </c>
      <c r="E34" s="62" t="s">
        <v>2501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2434</v>
      </c>
      <c r="V34" s="87" t="s">
        <v>2435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2452</v>
      </c>
      <c r="E35" s="62" t="s">
        <v>2502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2434</v>
      </c>
      <c r="V35" s="87" t="s">
        <v>2435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2503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2504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2505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2434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2506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2434</v>
      </c>
      <c r="V39" s="87" t="s">
        <v>2435</v>
      </c>
      <c r="W39" s="86"/>
      <c r="X39" s="87"/>
    </row>
    <row r="40" spans="1:24" s="41" customFormat="1" ht="29.25" customHeight="1">
      <c r="A40" s="2912" t="s">
        <v>608</v>
      </c>
      <c r="B40" s="2912"/>
      <c r="C40" s="2912"/>
      <c r="D40" s="2912"/>
      <c r="E40" s="2912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922" t="s">
        <v>2507</v>
      </c>
      <c r="B41" s="2922"/>
      <c r="C41" s="2922"/>
      <c r="D41" s="2922"/>
      <c r="E41" s="2922"/>
      <c r="F41" s="2922"/>
      <c r="G41" s="2922"/>
      <c r="H41" s="2922"/>
      <c r="I41" s="2922"/>
      <c r="J41" s="2922"/>
      <c r="K41" s="2922"/>
      <c r="L41" s="2922"/>
      <c r="M41" s="2922"/>
      <c r="N41" s="2922"/>
      <c r="O41" s="2922"/>
      <c r="P41" s="2922"/>
      <c r="Q41" s="2922"/>
      <c r="R41" s="2922"/>
      <c r="S41" s="2922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920" t="s">
        <v>2166</v>
      </c>
      <c r="K43" s="2920"/>
      <c r="L43" s="2920"/>
      <c r="M43" s="2920"/>
      <c r="N43" s="2920"/>
      <c r="O43" s="2920"/>
      <c r="P43" s="2920"/>
      <c r="Q43" s="2920"/>
      <c r="R43" s="2920"/>
      <c r="S43" s="2920"/>
      <c r="T43" s="77"/>
      <c r="U43" s="95"/>
      <c r="V43" s="96" t="e">
        <f>+F40*20</f>
        <v>#N/A</v>
      </c>
    </row>
    <row r="44" spans="1:24" ht="15.75">
      <c r="A44" s="2459" t="s">
        <v>1921</v>
      </c>
      <c r="B44" s="2459"/>
      <c r="C44" s="2459"/>
      <c r="D44" s="2459"/>
      <c r="E44" s="2921" t="s">
        <v>616</v>
      </c>
      <c r="F44" s="2921"/>
      <c r="G44" s="71"/>
      <c r="H44" s="71"/>
      <c r="I44" s="71" t="s">
        <v>2439</v>
      </c>
      <c r="J44" s="71"/>
      <c r="K44" s="71"/>
      <c r="L44" s="71"/>
      <c r="M44" s="71"/>
      <c r="N44" s="2459" t="s">
        <v>612</v>
      </c>
      <c r="O44" s="2459"/>
      <c r="P44" s="2459"/>
      <c r="Q44" s="2459"/>
      <c r="R44" s="2459"/>
      <c r="S44" s="2459"/>
      <c r="T44" s="70"/>
      <c r="U44" s="71"/>
    </row>
    <row r="47" spans="1:24" ht="57.75" customHeight="1"/>
    <row r="49" spans="1:20" s="52" customFormat="1" ht="14.25">
      <c r="A49" s="2453" t="s">
        <v>1924</v>
      </c>
      <c r="B49" s="2453"/>
      <c r="C49" s="2453"/>
      <c r="D49" s="2453"/>
      <c r="E49" s="2453" t="s">
        <v>2169</v>
      </c>
      <c r="F49" s="2453"/>
      <c r="J49" s="78"/>
      <c r="Q49" s="2453" t="s">
        <v>613</v>
      </c>
      <c r="R49" s="2453"/>
      <c r="S49" s="2453"/>
    </row>
    <row r="50" spans="1:20">
      <c r="Q50" s="2453"/>
      <c r="R50" s="2453"/>
      <c r="S50" s="2453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405" t="s">
        <v>617</v>
      </c>
      <c r="C1" s="2405"/>
      <c r="D1" s="2405"/>
      <c r="E1" s="2405"/>
      <c r="F1" s="2405"/>
      <c r="G1" s="2405"/>
      <c r="H1" s="2405"/>
      <c r="I1" s="2405"/>
      <c r="J1" s="2405"/>
      <c r="K1" s="2405"/>
      <c r="L1" s="2405"/>
      <c r="M1" s="2405"/>
      <c r="N1" s="2405"/>
      <c r="O1" s="2405"/>
      <c r="P1" s="2405"/>
      <c r="Q1" s="2405"/>
      <c r="R1" s="2405"/>
      <c r="S1" s="2405"/>
      <c r="T1" s="2405"/>
      <c r="U1" s="2405"/>
      <c r="V1" s="2405"/>
      <c r="W1" s="2405"/>
      <c r="X1" s="2405"/>
      <c r="Y1" s="2405"/>
      <c r="Z1" s="2405"/>
      <c r="AA1" s="2405"/>
      <c r="AB1" s="2405"/>
      <c r="AC1" s="2405"/>
      <c r="AD1" s="2405"/>
      <c r="AE1" s="2405"/>
      <c r="AF1" s="2405"/>
      <c r="AG1" s="2405"/>
      <c r="AH1" s="2405"/>
      <c r="AI1" s="2405"/>
      <c r="AJ1" s="2405"/>
      <c r="AK1" s="2405"/>
      <c r="AL1" s="240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405" t="s">
        <v>618</v>
      </c>
      <c r="C2" s="2405"/>
      <c r="D2" s="2405"/>
      <c r="E2" s="2405"/>
      <c r="F2" s="2405"/>
      <c r="G2" s="2405"/>
      <c r="H2" s="2405"/>
      <c r="I2" s="2405"/>
      <c r="J2" s="2405"/>
      <c r="K2" s="2405"/>
      <c r="L2" s="2405"/>
      <c r="M2" s="2405"/>
      <c r="N2" s="2405"/>
      <c r="O2" s="2405"/>
      <c r="P2" s="2405"/>
      <c r="Q2" s="2405"/>
      <c r="R2" s="2405"/>
      <c r="S2" s="2405"/>
      <c r="T2" s="2405"/>
      <c r="U2" s="2405"/>
      <c r="V2" s="2405"/>
      <c r="W2" s="2405"/>
      <c r="X2" s="2405"/>
      <c r="Y2" s="2405"/>
      <c r="Z2" s="2405"/>
      <c r="AA2" s="2405"/>
      <c r="AB2" s="2405"/>
      <c r="AC2" s="2405"/>
      <c r="AD2" s="2405"/>
      <c r="AE2" s="2405"/>
      <c r="AF2" s="2405"/>
      <c r="AG2" s="2405"/>
      <c r="AH2" s="2405"/>
      <c r="AI2" s="2405"/>
      <c r="AJ2" s="2405"/>
      <c r="AK2" s="2405"/>
      <c r="AL2" s="2405"/>
      <c r="AO2" s="29" t="s">
        <v>554</v>
      </c>
      <c r="AP2" s="29" t="s">
        <v>2508</v>
      </c>
      <c r="AQ2" s="29" t="s">
        <v>2509</v>
      </c>
      <c r="AR2" s="29" t="s">
        <v>2510</v>
      </c>
      <c r="AS2" s="29" t="s">
        <v>212</v>
      </c>
      <c r="AT2" s="29" t="s">
        <v>2511</v>
      </c>
      <c r="AU2" s="29" t="s">
        <v>2512</v>
      </c>
    </row>
    <row r="3" spans="2:49" s="26" customFormat="1" ht="15.75">
      <c r="B3" s="2935" t="s">
        <v>619</v>
      </c>
      <c r="C3" s="2405"/>
      <c r="D3" s="2405"/>
      <c r="E3" s="2405"/>
      <c r="F3" s="2405"/>
      <c r="G3" s="2405"/>
      <c r="H3" s="2405"/>
      <c r="I3" s="2405"/>
      <c r="J3" s="2405"/>
      <c r="K3" s="2405"/>
      <c r="L3" s="2405"/>
      <c r="M3" s="2405"/>
      <c r="N3" s="2405"/>
      <c r="O3" s="2405"/>
      <c r="P3" s="2405"/>
      <c r="Q3" s="2405"/>
      <c r="R3" s="2405"/>
      <c r="S3" s="2405"/>
      <c r="T3" s="2405"/>
      <c r="U3" s="2405"/>
      <c r="V3" s="2405"/>
      <c r="W3" s="2405"/>
      <c r="X3" s="2405"/>
      <c r="Y3" s="2405"/>
      <c r="Z3" s="2405"/>
      <c r="AA3" s="2405"/>
      <c r="AB3" s="2405"/>
      <c r="AC3" s="2405"/>
      <c r="AD3" s="2405"/>
      <c r="AE3" s="2405"/>
      <c r="AF3" s="2405"/>
      <c r="AG3" s="2405"/>
      <c r="AH3" s="2405"/>
      <c r="AI3" s="2405"/>
      <c r="AJ3" s="2405"/>
      <c r="AK3" s="2405"/>
      <c r="AL3" s="240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405" t="s">
        <v>2352</v>
      </c>
      <c r="C4" s="2405"/>
      <c r="D4" s="2405"/>
      <c r="E4" s="2405"/>
      <c r="F4" s="2405"/>
      <c r="G4" s="2405"/>
      <c r="H4" s="2405"/>
      <c r="I4" s="2405"/>
      <c r="J4" s="2405"/>
      <c r="K4" s="240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405" t="s">
        <v>611</v>
      </c>
      <c r="C5" s="2405"/>
      <c r="D5" s="2405"/>
      <c r="E5" s="2405"/>
      <c r="F5" s="2405"/>
      <c r="G5" s="2405"/>
      <c r="H5" s="2405"/>
      <c r="I5" s="2405"/>
      <c r="J5" s="2405"/>
      <c r="K5" s="240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408" t="s">
        <v>2513</v>
      </c>
      <c r="F6" s="2408"/>
      <c r="G6" s="2408"/>
      <c r="H6" s="2408"/>
      <c r="I6" s="2408"/>
      <c r="J6" s="2408"/>
      <c r="K6" s="2408"/>
      <c r="L6" s="2408"/>
      <c r="M6" s="2408"/>
      <c r="N6" s="2408"/>
      <c r="O6" s="2408"/>
      <c r="P6" s="2408"/>
      <c r="Q6" s="2408"/>
      <c r="R6" s="2408"/>
      <c r="S6" s="2408"/>
      <c r="T6" s="2408"/>
      <c r="U6" s="2408"/>
      <c r="V6" s="2408"/>
      <c r="W6" s="2408"/>
      <c r="X6" s="2408"/>
      <c r="Y6" s="2408"/>
      <c r="Z6" s="2408"/>
      <c r="AA6" s="2408"/>
      <c r="AB6" s="2408"/>
      <c r="AC6" s="2408"/>
      <c r="AD6" s="2408"/>
      <c r="AE6" s="2408"/>
      <c r="AF6" s="2408"/>
      <c r="AG6" s="2408"/>
      <c r="AH6" s="2408"/>
      <c r="AI6" s="2408"/>
    </row>
    <row r="7" spans="2:49" ht="16.5" customHeight="1">
      <c r="B7" s="2390" t="s">
        <v>2514</v>
      </c>
      <c r="C7" s="2390"/>
      <c r="D7" s="42">
        <v>2025</v>
      </c>
      <c r="E7" s="2400" t="str">
        <f>"Tháng "&amp;IF(LEN($D$8)=1,"0"&amp;$D$8,$D$8)&amp;" năm "&amp;D7</f>
        <v>Tháng 04 năm 2025</v>
      </c>
      <c r="F7" s="2400"/>
      <c r="G7" s="2400"/>
      <c r="H7" s="2400"/>
      <c r="I7" s="2400"/>
      <c r="J7" s="2400"/>
      <c r="K7" s="2400"/>
      <c r="L7" s="2400"/>
      <c r="M7" s="2400"/>
      <c r="N7" s="2400"/>
      <c r="O7" s="2400"/>
      <c r="P7" s="2400"/>
      <c r="Q7" s="2400"/>
      <c r="R7" s="2400"/>
      <c r="S7" s="2400"/>
      <c r="T7" s="2400"/>
      <c r="U7" s="2400"/>
      <c r="V7" s="2400"/>
      <c r="W7" s="2400"/>
      <c r="X7" s="2400"/>
      <c r="Y7" s="2400"/>
      <c r="Z7" s="2400"/>
      <c r="AA7" s="2400"/>
      <c r="AB7" s="2400"/>
      <c r="AC7" s="2400"/>
      <c r="AD7" s="2400"/>
      <c r="AE7" s="2400"/>
      <c r="AF7" s="2400"/>
      <c r="AG7" s="2400"/>
      <c r="AH7" s="2400"/>
      <c r="AI7" s="2400"/>
    </row>
    <row r="8" spans="2:49">
      <c r="B8" s="2932" t="s">
        <v>2515</v>
      </c>
      <c r="C8" s="2932"/>
      <c r="D8" s="42">
        <v>4</v>
      </c>
    </row>
    <row r="9" spans="2:49" ht="22.5" customHeight="1">
      <c r="B9" s="2926" t="s">
        <v>6</v>
      </c>
      <c r="C9" s="2928" t="s">
        <v>2516</v>
      </c>
      <c r="D9" s="2930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914" t="s">
        <v>529</v>
      </c>
      <c r="AK9" s="2914" t="s">
        <v>2517</v>
      </c>
      <c r="AL9" s="2914" t="s">
        <v>12</v>
      </c>
    </row>
    <row r="10" spans="2:49" ht="42" customHeight="1">
      <c r="B10" s="2927"/>
      <c r="C10" s="2929"/>
      <c r="D10" s="2931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915"/>
      <c r="AK10" s="2915"/>
      <c r="AL10" s="2915"/>
    </row>
    <row r="11" spans="2:49" s="27" customFormat="1" ht="21.75" customHeight="1">
      <c r="B11" s="180" t="s">
        <v>2213</v>
      </c>
      <c r="C11" s="182" t="s">
        <v>2518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2473</v>
      </c>
      <c r="D12" s="36" t="s">
        <v>2474</v>
      </c>
      <c r="E12" s="35" t="str">
        <f>IF(WEEKDAY(DATE($D$7,$D$8,E$9),2)&gt;'[14]Khai báo'!$B$4,"","X")</f>
        <v>X</v>
      </c>
      <c r="F12" s="35" t="str">
        <f>IF(WEEKDAY(DATE($D$7,$D$8,F$9),2)&gt;'[14]Khai báo'!$B$4,"","X")</f>
        <v>X</v>
      </c>
      <c r="G12" s="35" t="str">
        <f>IF(WEEKDAY(DATE($D$7,$D$8,G$9),2)&gt;'[14]Khai báo'!$B$4,"","X")</f>
        <v>X</v>
      </c>
      <c r="H12" s="35" t="str">
        <f>IF(WEEKDAY(DATE($D$7,$D$8,H$9),2)&gt;'[14]Khai báo'!$B$4,"","X")</f>
        <v>X</v>
      </c>
      <c r="I12" s="35" t="str">
        <f>IF(WEEKDAY(DATE($D$7,$D$8,I$9),2)&gt;'[14]Khai báo'!$B$4,"","X")</f>
        <v>X</v>
      </c>
      <c r="J12" s="35" t="str">
        <f>IF(WEEKDAY(DATE($D$7,$D$8,J$9),2)&gt;'[14]Khai báo'!$B$4,"","X")</f>
        <v/>
      </c>
      <c r="K12" s="35" t="str">
        <f>IF(WEEKDAY(DATE($D$7,$D$8,K$9),2)&gt;'[14]Khai báo'!$B$4,"","X")</f>
        <v>X</v>
      </c>
      <c r="L12" s="35" t="str">
        <f>IF(WEEKDAY(DATE($D$7,$D$8,L$9),2)&gt;'[14]Khai báo'!$B$4,"","X")</f>
        <v>X</v>
      </c>
      <c r="M12" s="35" t="str">
        <f>IF(WEEKDAY(DATE($D$7,$D$8,M$9),2)&gt;'[14]Khai báo'!$B$4,"","X")</f>
        <v>X</v>
      </c>
      <c r="N12" s="35" t="str">
        <f>IF(WEEKDAY(DATE($D$7,$D$8,N$9),2)&gt;'[14]Khai báo'!$B$4,"","X")</f>
        <v>X</v>
      </c>
      <c r="O12" s="35" t="str">
        <f>IF(WEEKDAY(DATE($D$7,$D$8,O$9),2)&gt;'[14]Khai báo'!$B$4,"","X")</f>
        <v>X</v>
      </c>
      <c r="P12" s="35" t="str">
        <f>IF(WEEKDAY(DATE($D$7,$D$8,P$9),2)&gt;'[14]Khai báo'!$B$4,"","X")</f>
        <v>X</v>
      </c>
      <c r="Q12" s="35" t="str">
        <f>IF(WEEKDAY(DATE($D$7,$D$8,Q$9),2)&gt;'[14]Khai báo'!$B$4,"","X")</f>
        <v/>
      </c>
      <c r="R12" s="35" t="str">
        <f>IF(WEEKDAY(DATE($D$7,$D$8,R$9),2)&gt;'[14]Khai báo'!$B$4,"","X")</f>
        <v>X</v>
      </c>
      <c r="S12" s="35" t="str">
        <f>IF(WEEKDAY(DATE($D$7,$D$8,S$9),2)&gt;'[14]Khai báo'!$B$4,"","X")</f>
        <v>X</v>
      </c>
      <c r="T12" s="35" t="str">
        <f>IF(WEEKDAY(DATE($D$7,$D$8,T$9),2)&gt;'[14]Khai báo'!$B$4,"","X")</f>
        <v>X</v>
      </c>
      <c r="U12" s="35" t="str">
        <f>IF(WEEKDAY(DATE($D$7,$D$8,U$9),2)&gt;'[14]Khai báo'!$B$4,"","X")</f>
        <v>X</v>
      </c>
      <c r="V12" s="35" t="str">
        <f>IF(WEEKDAY(DATE($D$7,$D$8,V$9),2)&gt;'[14]Khai báo'!$B$4,"","X")</f>
        <v>X</v>
      </c>
      <c r="W12" s="35" t="str">
        <f>IF(WEEKDAY(DATE($D$7,$D$8,W$9),2)&gt;'[14]Khai báo'!$B$4,"","X")</f>
        <v>X</v>
      </c>
      <c r="X12" s="35" t="str">
        <f>IF(WEEKDAY(DATE($D$7,$D$8,X$9),2)&gt;'[14]Khai báo'!$B$4,"","X")</f>
        <v/>
      </c>
      <c r="Y12" s="35" t="str">
        <f>IF(WEEKDAY(DATE($D$7,$D$8,Y$9),2)&gt;'[14]Khai báo'!$B$4,"","X")</f>
        <v>X</v>
      </c>
      <c r="Z12" s="35" t="str">
        <f>IF(WEEKDAY(DATE($D$7,$D$8,Z$9),2)&gt;'[14]Khai báo'!$B$4,"","X")</f>
        <v>X</v>
      </c>
      <c r="AA12" s="35" t="str">
        <f>IF(WEEKDAY(DATE($D$7,$D$8,AA$9),2)&gt;'[14]Khai báo'!$B$4,"","X")</f>
        <v>X</v>
      </c>
      <c r="AB12" s="35" t="str">
        <f>IF(WEEKDAY(DATE($D$7,$D$8,AB$9),2)&gt;'[14]Khai báo'!$B$4,"","X")</f>
        <v>X</v>
      </c>
      <c r="AC12" s="35" t="str">
        <f>IF(WEEKDAY(DATE($D$7,$D$8,AC$9),2)&gt;'[14]Khai báo'!$B$4,"","X")</f>
        <v>X</v>
      </c>
      <c r="AD12" s="35" t="str">
        <f>IF(WEEKDAY(DATE($D$7,$D$8,AD$9),2)&gt;'[14]Khai báo'!$B$4,"","X")</f>
        <v>X</v>
      </c>
      <c r="AE12" s="35" t="str">
        <f>IF(WEEKDAY(DATE($D$7,$D$8,AE$9),2)&gt;'[14]Khai báo'!$B$4,"","X")</f>
        <v/>
      </c>
      <c r="AF12" s="35" t="str">
        <f>IF(WEEKDAY(DATE($D$7,$D$8,AF$9),2)&gt;'[14]Khai báo'!$B$4,"","X")</f>
        <v>X</v>
      </c>
      <c r="AG12" s="35" t="str">
        <f>IF(WEEKDAY(DATE($D$7,$D$8,AG$9),2)&gt;'[14]Khai báo'!$B$4,"","X")</f>
        <v>X</v>
      </c>
      <c r="AH12" s="35" t="str">
        <f>IF(WEEKDAY(DATE($D$7,$D$8,AH$9),2)&gt;'[14]Khai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2475</v>
      </c>
      <c r="D13" s="36" t="s">
        <v>2476</v>
      </c>
      <c r="E13" s="35" t="str">
        <f>IF(WEEKDAY(DATE($D$7,$D$8,E$9),2)&gt;'[14]Khai báo'!$B$4,"","X")</f>
        <v>X</v>
      </c>
      <c r="F13" s="35" t="str">
        <f>IF(WEEKDAY(DATE($D$7,$D$8,F$9),2)&gt;'[14]Khai báo'!$B$4,"","X")</f>
        <v>X</v>
      </c>
      <c r="G13" s="35" t="str">
        <f>IF(WEEKDAY(DATE($D$7,$D$8,G$9),2)&gt;'[14]Khai báo'!$B$4,"","X")</f>
        <v>X</v>
      </c>
      <c r="H13" s="35" t="str">
        <f>IF(WEEKDAY(DATE($D$7,$D$8,H$9),2)&gt;'[14]Khai báo'!$B$4,"","X")</f>
        <v>X</v>
      </c>
      <c r="I13" s="35" t="str">
        <f>IF(WEEKDAY(DATE($D$7,$D$8,I$9),2)&gt;'[14]Khai báo'!$B$4,"","X")</f>
        <v>X</v>
      </c>
      <c r="J13" s="35" t="str">
        <f>IF(WEEKDAY(DATE($D$7,$D$8,J$9),2)&gt;'[14]Khai báo'!$B$4,"","X")</f>
        <v/>
      </c>
      <c r="K13" s="35" t="str">
        <f>IF(WEEKDAY(DATE($D$7,$D$8,K$9),2)&gt;'[14]Khai báo'!$B$4,"","X")</f>
        <v>X</v>
      </c>
      <c r="L13" s="35" t="str">
        <f>IF(WEEKDAY(DATE($D$7,$D$8,L$9),2)&gt;'[14]Khai báo'!$B$4,"","X")</f>
        <v>X</v>
      </c>
      <c r="M13" s="35" t="str">
        <f>IF(WEEKDAY(DATE($D$7,$D$8,M$9),2)&gt;'[14]Khai báo'!$B$4,"","X")</f>
        <v>X</v>
      </c>
      <c r="N13" s="35" t="str">
        <f>IF(WEEKDAY(DATE($D$7,$D$8,N$9),2)&gt;'[14]Khai báo'!$B$4,"","X")</f>
        <v>X</v>
      </c>
      <c r="O13" s="35" t="str">
        <f>IF(WEEKDAY(DATE($D$7,$D$8,O$9),2)&gt;'[14]Khai báo'!$B$4,"","X")</f>
        <v>X</v>
      </c>
      <c r="P13" s="35" t="str">
        <f>IF(WEEKDAY(DATE($D$7,$D$8,P$9),2)&gt;'[14]Khai báo'!$B$4,"","X")</f>
        <v>X</v>
      </c>
      <c r="Q13" s="35" t="str">
        <f>IF(WEEKDAY(DATE($D$7,$D$8,Q$9),2)&gt;'[14]Khai báo'!$B$4,"","X")</f>
        <v/>
      </c>
      <c r="R13" s="35" t="str">
        <f>IF(WEEKDAY(DATE($D$7,$D$8,R$9),2)&gt;'[14]Khai báo'!$B$4,"","X")</f>
        <v>X</v>
      </c>
      <c r="S13" s="35" t="str">
        <f>IF(WEEKDAY(DATE($D$7,$D$8,S$9),2)&gt;'[14]Khai báo'!$B$4,"","X")</f>
        <v>X</v>
      </c>
      <c r="T13" s="35" t="str">
        <f>IF(WEEKDAY(DATE($D$7,$D$8,T$9),2)&gt;'[14]Khai báo'!$B$4,"","X")</f>
        <v>X</v>
      </c>
      <c r="U13" s="35" t="str">
        <f>IF(WEEKDAY(DATE($D$7,$D$8,U$9),2)&gt;'[14]Khai báo'!$B$4,"","X")</f>
        <v>X</v>
      </c>
      <c r="V13" s="35" t="str">
        <f>IF(WEEKDAY(DATE($D$7,$D$8,V$9),2)&gt;'[14]Khai báo'!$B$4,"","X")</f>
        <v>X</v>
      </c>
      <c r="W13" s="35" t="str">
        <f>IF(WEEKDAY(DATE($D$7,$D$8,W$9),2)&gt;'[14]Khai báo'!$B$4,"","X")</f>
        <v>X</v>
      </c>
      <c r="X13" s="35" t="str">
        <f>IF(WEEKDAY(DATE($D$7,$D$8,X$9),2)&gt;'[14]Khai báo'!$B$4,"","X")</f>
        <v/>
      </c>
      <c r="Y13" s="35" t="str">
        <f>IF(WEEKDAY(DATE($D$7,$D$8,Y$9),2)&gt;'[14]Khai báo'!$B$4,"","X")</f>
        <v>X</v>
      </c>
      <c r="Z13" s="35" t="str">
        <f>IF(WEEKDAY(DATE($D$7,$D$8,Z$9),2)&gt;'[14]Khai báo'!$B$4,"","X")</f>
        <v>X</v>
      </c>
      <c r="AA13" s="35" t="s">
        <v>2336</v>
      </c>
      <c r="AB13" s="35" t="s">
        <v>2336</v>
      </c>
      <c r="AC13" s="35" t="s">
        <v>2336</v>
      </c>
      <c r="AD13" s="35" t="str">
        <f>IF(WEEKDAY(DATE($D$7,$D$8,AD$9),2)&gt;'[14]Khai báo'!$B$4,"","X")</f>
        <v>X</v>
      </c>
      <c r="AE13" s="35" t="str">
        <f>IF(WEEKDAY(DATE($D$7,$D$8,AE$9),2)&gt;'[14]Khai báo'!$B$4,"","X")</f>
        <v/>
      </c>
      <c r="AF13" s="35" t="str">
        <f>IF(WEEKDAY(DATE($D$7,$D$8,AF$9),2)&gt;'[14]Khai báo'!$B$4,"","X")</f>
        <v>X</v>
      </c>
      <c r="AG13" s="35" t="str">
        <f>IF(WEEKDAY(DATE($D$7,$D$8,AG$9),2)&gt;'[14]Khai báo'!$B$4,"","X")</f>
        <v>X</v>
      </c>
      <c r="AH13" s="35" t="str">
        <f>IF(WEEKDAY(DATE($D$7,$D$8,AH$9),2)&gt;'[14]Khai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IF(WEEKDAY(DATE($D$7,$D$8,E$9),2)&gt;'[14]Khai báo'!$B$4,"","X")</f>
        <v>X</v>
      </c>
      <c r="F14" s="35" t="str">
        <f>IF(WEEKDAY(DATE($D$7,$D$8,F$9),2)&gt;'[14]Khai báo'!$B$4,"","X")</f>
        <v>X</v>
      </c>
      <c r="G14" s="35" t="str">
        <f>IF(WEEKDAY(DATE($D$7,$D$8,G$9),2)&gt;'[14]Khai báo'!$B$4,"","X")</f>
        <v>X</v>
      </c>
      <c r="H14" s="35" t="str">
        <f>IF(WEEKDAY(DATE($D$7,$D$8,H$9),2)&gt;'[14]Khai báo'!$B$4,"","X")</f>
        <v>X</v>
      </c>
      <c r="I14" s="35" t="str">
        <f>IF(WEEKDAY(DATE($D$7,$D$8,I$9),2)&gt;'[14]Khai báo'!$B$4,"","X")</f>
        <v>X</v>
      </c>
      <c r="J14" s="35" t="str">
        <f>IF(WEEKDAY(DATE($D$7,$D$8,J$9),2)&gt;'[14]Khai báo'!$B$4,"","X")</f>
        <v/>
      </c>
      <c r="K14" s="35" t="str">
        <f>IF(WEEKDAY(DATE($D$7,$D$8,K$9),2)&gt;'[14]Khai báo'!$B$4,"","X")</f>
        <v>X</v>
      </c>
      <c r="L14" s="35" t="str">
        <f>IF(WEEKDAY(DATE($D$7,$D$8,L$9),2)&gt;'[14]Khai báo'!$B$4,"","X")</f>
        <v>X</v>
      </c>
      <c r="M14" s="35" t="str">
        <f>IF(WEEKDAY(DATE($D$7,$D$8,M$9),2)&gt;'[14]Khai báo'!$B$4,"","X")</f>
        <v>X</v>
      </c>
      <c r="N14" s="35" t="str">
        <f>IF(WEEKDAY(DATE($D$7,$D$8,N$9),2)&gt;'[14]Khai báo'!$B$4,"","X")</f>
        <v>X</v>
      </c>
      <c r="O14" s="35" t="str">
        <f>IF(WEEKDAY(DATE($D$7,$D$8,O$9),2)&gt;'[14]Khai báo'!$B$4,"","X")</f>
        <v>X</v>
      </c>
      <c r="P14" s="35" t="str">
        <f>IF(WEEKDAY(DATE($D$7,$D$8,P$9),2)&gt;'[14]Khai báo'!$B$4,"","X")</f>
        <v>X</v>
      </c>
      <c r="Q14" s="35" t="str">
        <f>IF(WEEKDAY(DATE($D$7,$D$8,Q$9),2)&gt;'[14]Khai báo'!$B$4,"","X")</f>
        <v/>
      </c>
      <c r="R14" s="35" t="str">
        <f>IF(WEEKDAY(DATE($D$7,$D$8,R$9),2)&gt;'[14]Khai báo'!$B$4,"","X")</f>
        <v>X</v>
      </c>
      <c r="S14" s="35" t="str">
        <f>IF(WEEKDAY(DATE($D$7,$D$8,S$9),2)&gt;'[14]Khai báo'!$B$4,"","X")</f>
        <v>X</v>
      </c>
      <c r="T14" s="35" t="str">
        <f>IF(WEEKDAY(DATE($D$7,$D$8,T$9),2)&gt;'[14]Khai báo'!$B$4,"","X")</f>
        <v>X</v>
      </c>
      <c r="U14" s="35" t="str">
        <f>IF(WEEKDAY(DATE($D$7,$D$8,U$9),2)&gt;'[14]Khai báo'!$B$4,"","X")</f>
        <v>X</v>
      </c>
      <c r="V14" s="35" t="str">
        <f>IF(WEEKDAY(DATE($D$7,$D$8,V$9),2)&gt;'[14]Khai báo'!$B$4,"","X")</f>
        <v>X</v>
      </c>
      <c r="W14" s="35" t="str">
        <f>IF(WEEKDAY(DATE($D$7,$D$8,W$9),2)&gt;'[14]Khai báo'!$B$4,"","X")</f>
        <v>X</v>
      </c>
      <c r="X14" s="35" t="str">
        <f>IF(WEEKDAY(DATE($D$7,$D$8,X$9),2)&gt;'[14]Khai báo'!$B$4,"","X")</f>
        <v/>
      </c>
      <c r="Y14" s="35" t="str">
        <f>IF(WEEKDAY(DATE($D$7,$D$8,Y$9),2)&gt;'[14]Khai báo'!$B$4,"","X")</f>
        <v>X</v>
      </c>
      <c r="Z14" s="35" t="s">
        <v>2336</v>
      </c>
      <c r="AA14" s="35" t="s">
        <v>2336</v>
      </c>
      <c r="AB14" s="35" t="s">
        <v>2336</v>
      </c>
      <c r="AC14" s="35" t="str">
        <f>IF(WEEKDAY(DATE($D$7,$D$8,AC$9),2)&gt;'[14]Khai báo'!$B$4,"","X")</f>
        <v>X</v>
      </c>
      <c r="AD14" s="35" t="str">
        <f>IF(WEEKDAY(DATE($D$7,$D$8,AD$9),2)&gt;'[14]Khai báo'!$B$4,"","X")</f>
        <v>X</v>
      </c>
      <c r="AE14" s="35" t="str">
        <f>IF(WEEKDAY(DATE($D$7,$D$8,AE$9),2)&gt;'[14]Khai báo'!$B$4,"","X")</f>
        <v/>
      </c>
      <c r="AF14" s="35" t="str">
        <f>IF(WEEKDAY(DATE($D$7,$D$8,AF$9),2)&gt;'[14]Khai báo'!$B$4,"","X")</f>
        <v>X</v>
      </c>
      <c r="AG14" s="35" t="str">
        <f>IF(WEEKDAY(DATE($D$7,$D$8,AG$9),2)&gt;'[14]Khai báo'!$B$4,"","X")</f>
        <v>X</v>
      </c>
      <c r="AH14" s="35" t="str">
        <f>IF(WEEKDAY(DATE($D$7,$D$8,AH$9),2)&gt;'[14]Khai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2477</v>
      </c>
      <c r="D15" s="184" t="s">
        <v>2478</v>
      </c>
      <c r="E15" s="35" t="str">
        <f>IF(WEEKDAY(DATE($D$7,$D$8,E$9),2)&gt;'[14]Khai báo'!$B$4,"","X")</f>
        <v>X</v>
      </c>
      <c r="F15" s="35" t="str">
        <f>IF(WEEKDAY(DATE($D$7,$D$8,F$9),2)&gt;'[14]Khai báo'!$B$4,"","X")</f>
        <v>X</v>
      </c>
      <c r="G15" s="35" t="str">
        <f>IF(WEEKDAY(DATE($D$7,$D$8,G$9),2)&gt;'[14]Khai báo'!$B$4,"","X")</f>
        <v>X</v>
      </c>
      <c r="H15" s="35" t="str">
        <f>IF(WEEKDAY(DATE($D$7,$D$8,H$9),2)&gt;'[14]Khai báo'!$B$4,"","X")</f>
        <v>X</v>
      </c>
      <c r="I15" s="35" t="str">
        <f>IF(WEEKDAY(DATE($D$7,$D$8,I$9),2)&gt;'[14]Khai báo'!$B$4,"","X")</f>
        <v>X</v>
      </c>
      <c r="J15" s="35" t="str">
        <f>IF(WEEKDAY(DATE($D$7,$D$8,J$9),2)&gt;'[14]Khai báo'!$B$4,"","X")</f>
        <v/>
      </c>
      <c r="K15" s="35" t="str">
        <f>IF(WEEKDAY(DATE($D$7,$D$8,K$9),2)&gt;'[14]Khai báo'!$B$4,"","X")</f>
        <v>X</v>
      </c>
      <c r="L15" s="35" t="str">
        <f>IF(WEEKDAY(DATE($D$7,$D$8,L$9),2)&gt;'[14]Khai báo'!$B$4,"","X")</f>
        <v>X</v>
      </c>
      <c r="M15" s="35" t="str">
        <f>IF(WEEKDAY(DATE($D$7,$D$8,M$9),2)&gt;'[14]Khai báo'!$B$4,"","X")</f>
        <v>X</v>
      </c>
      <c r="N15" s="35" t="str">
        <f>IF(WEEKDAY(DATE($D$7,$D$8,N$9),2)&gt;'[14]Khai báo'!$B$4,"","X")</f>
        <v>X</v>
      </c>
      <c r="O15" s="35" t="str">
        <f>IF(WEEKDAY(DATE($D$7,$D$8,O$9),2)&gt;'[14]Khai báo'!$B$4,"","X")</f>
        <v>X</v>
      </c>
      <c r="P15" s="35" t="str">
        <f>IF(WEEKDAY(DATE($D$7,$D$8,P$9),2)&gt;'[14]Khai báo'!$B$4,"","X")</f>
        <v>X</v>
      </c>
      <c r="Q15" s="35" t="str">
        <f>IF(WEEKDAY(DATE($D$7,$D$8,Q$9),2)&gt;'[14]Khai báo'!$B$4,"","X")</f>
        <v/>
      </c>
      <c r="R15" s="35" t="str">
        <f>IF(WEEKDAY(DATE($D$7,$D$8,R$9),2)&gt;'[14]Khai báo'!$B$4,"","X")</f>
        <v>X</v>
      </c>
      <c r="S15" s="35" t="str">
        <f>IF(WEEKDAY(DATE($D$7,$D$8,S$9),2)&gt;'[14]Khai báo'!$B$4,"","X")</f>
        <v>X</v>
      </c>
      <c r="T15" s="35" t="str">
        <f>IF(WEEKDAY(DATE($D$7,$D$8,T$9),2)&gt;'[14]Khai báo'!$B$4,"","X")</f>
        <v>X</v>
      </c>
      <c r="U15" s="35" t="str">
        <f>IF(WEEKDAY(DATE($D$7,$D$8,U$9),2)&gt;'[14]Khai báo'!$B$4,"","X")</f>
        <v>X</v>
      </c>
      <c r="V15" s="35" t="str">
        <f>IF(WEEKDAY(DATE($D$7,$D$8,V$9),2)&gt;'[14]Khai báo'!$B$4,"","X")</f>
        <v>X</v>
      </c>
      <c r="W15" s="35" t="str">
        <f>IF(WEEKDAY(DATE($D$7,$D$8,W$9),2)&gt;'[14]Khai báo'!$B$4,"","X")</f>
        <v>X</v>
      </c>
      <c r="X15" s="35" t="str">
        <f>IF(WEEKDAY(DATE($D$7,$D$8,X$9),2)&gt;'[14]Khai báo'!$B$4,"","X")</f>
        <v/>
      </c>
      <c r="Y15" s="35" t="str">
        <f>IF(WEEKDAY(DATE($D$7,$D$8,Y$9),2)&gt;'[14]Khai báo'!$B$4,"","X")</f>
        <v>X</v>
      </c>
      <c r="Z15" s="35" t="str">
        <f>IF(WEEKDAY(DATE($D$7,$D$8,Z$9),2)&gt;'[14]Khai báo'!$B$4,"","X")</f>
        <v>X</v>
      </c>
      <c r="AA15" s="35" t="str">
        <f>IF(WEEKDAY(DATE($D$7,$D$8,AA$9),2)&gt;'[14]Khai báo'!$B$4,"","X")</f>
        <v>X</v>
      </c>
      <c r="AB15" s="35" t="str">
        <f>IF(WEEKDAY(DATE($D$7,$D$8,AB$9),2)&gt;'[14]Khai báo'!$B$4,"","X")</f>
        <v>X</v>
      </c>
      <c r="AC15" s="35" t="str">
        <f>IF(WEEKDAY(DATE($D$7,$D$8,AC$9),2)&gt;'[14]Khai báo'!$B$4,"","X")</f>
        <v>X</v>
      </c>
      <c r="AD15" s="35" t="str">
        <f>IF(WEEKDAY(DATE($D$7,$D$8,AD$9),2)&gt;'[14]Khai báo'!$B$4,"","X")</f>
        <v>X</v>
      </c>
      <c r="AE15" s="35" t="str">
        <f>IF(WEEKDAY(DATE($D$7,$D$8,AE$9),2)&gt;'[14]Khai báo'!$B$4,"","X")</f>
        <v/>
      </c>
      <c r="AF15" s="35" t="str">
        <f>IF(WEEKDAY(DATE($D$7,$D$8,AF$9),2)&gt;'[14]Khai báo'!$B$4,"","X")</f>
        <v>X</v>
      </c>
      <c r="AG15" s="35" t="str">
        <f>IF(WEEKDAY(DATE($D$7,$D$8,AG$9),2)&gt;'[14]Khai báo'!$B$4,"","X")</f>
        <v>X</v>
      </c>
      <c r="AH15" s="35" t="str">
        <f>IF(WEEKDAY(DATE($D$7,$D$8,AH$9),2)&gt;'[14]Khai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2479</v>
      </c>
      <c r="D16" s="184" t="s">
        <v>2480</v>
      </c>
      <c r="E16" s="35" t="str">
        <f>IF(WEEKDAY(DATE($D$7,$D$8,E$9),2)&gt;'[14]Khai báo'!$B$4,"","X")</f>
        <v>X</v>
      </c>
      <c r="F16" s="35" t="str">
        <f>IF(WEEKDAY(DATE($D$7,$D$8,F$9),2)&gt;'[14]Khai báo'!$B$4,"","X")</f>
        <v>X</v>
      </c>
      <c r="G16" s="35" t="str">
        <f>IF(WEEKDAY(DATE($D$7,$D$8,G$9),2)&gt;'[14]Khai báo'!$B$4,"","X")</f>
        <v>X</v>
      </c>
      <c r="H16" s="35" t="str">
        <f>IF(WEEKDAY(DATE($D$7,$D$8,H$9),2)&gt;'[14]Khai báo'!$B$4,"","X")</f>
        <v>X</v>
      </c>
      <c r="I16" s="35" t="str">
        <f>IF(WEEKDAY(DATE($D$7,$D$8,I$9),2)&gt;'[14]Khai báo'!$B$4,"","X")</f>
        <v>X</v>
      </c>
      <c r="J16" s="35" t="str">
        <f>IF(WEEKDAY(DATE($D$7,$D$8,J$9),2)&gt;'[14]Khai báo'!$B$4,"","X")</f>
        <v/>
      </c>
      <c r="K16" s="35" t="str">
        <f>IF(WEEKDAY(DATE($D$7,$D$8,K$9),2)&gt;'[14]Khai báo'!$B$4,"","X")</f>
        <v>X</v>
      </c>
      <c r="L16" s="35" t="str">
        <f>IF(WEEKDAY(DATE($D$7,$D$8,L$9),2)&gt;'[14]Khai báo'!$B$4,"","X")</f>
        <v>X</v>
      </c>
      <c r="M16" s="35" t="str">
        <f>IF(WEEKDAY(DATE($D$7,$D$8,M$9),2)&gt;'[14]Khai báo'!$B$4,"","X")</f>
        <v>X</v>
      </c>
      <c r="N16" s="35" t="str">
        <f>IF(WEEKDAY(DATE($D$7,$D$8,N$9),2)&gt;'[14]Khai báo'!$B$4,"","X")</f>
        <v>X</v>
      </c>
      <c r="O16" s="35" t="str">
        <f>IF(WEEKDAY(DATE($D$7,$D$8,O$9),2)&gt;'[14]Khai báo'!$B$4,"","X")</f>
        <v>X</v>
      </c>
      <c r="P16" s="35" t="str">
        <f>IF(WEEKDAY(DATE($D$7,$D$8,P$9),2)&gt;'[14]Khai báo'!$B$4,"","X")</f>
        <v>X</v>
      </c>
      <c r="Q16" s="35" t="str">
        <f>IF(WEEKDAY(DATE($D$7,$D$8,Q$9),2)&gt;'[14]Khai báo'!$B$4,"","X")</f>
        <v/>
      </c>
      <c r="R16" s="35" t="str">
        <f>IF(WEEKDAY(DATE($D$7,$D$8,R$9),2)&gt;'[14]Khai báo'!$B$4,"","X")</f>
        <v>X</v>
      </c>
      <c r="S16" s="35" t="str">
        <f>IF(WEEKDAY(DATE($D$7,$D$8,S$9),2)&gt;'[14]Khai báo'!$B$4,"","X")</f>
        <v>X</v>
      </c>
      <c r="T16" s="35" t="str">
        <f>IF(WEEKDAY(DATE($D$7,$D$8,T$9),2)&gt;'[14]Khai báo'!$B$4,"","X")</f>
        <v>X</v>
      </c>
      <c r="U16" s="35" t="str">
        <f>IF(WEEKDAY(DATE($D$7,$D$8,U$9),2)&gt;'[14]Khai báo'!$B$4,"","X")</f>
        <v>X</v>
      </c>
      <c r="V16" s="35" t="str">
        <f>IF(WEEKDAY(DATE($D$7,$D$8,V$9),2)&gt;'[14]Khai báo'!$B$4,"","X")</f>
        <v>X</v>
      </c>
      <c r="W16" s="35" t="str">
        <f>IF(WEEKDAY(DATE($D$7,$D$8,W$9),2)&gt;'[14]Khai báo'!$B$4,"","X")</f>
        <v>X</v>
      </c>
      <c r="X16" s="35" t="str">
        <f>IF(WEEKDAY(DATE($D$7,$D$8,X$9),2)&gt;'[14]Khai báo'!$B$4,"","X")</f>
        <v/>
      </c>
      <c r="Y16" s="35" t="str">
        <f>IF(WEEKDAY(DATE($D$7,$D$8,Y$9),2)&gt;'[14]Khai báo'!$B$4,"","X")</f>
        <v>X</v>
      </c>
      <c r="Z16" s="35" t="str">
        <f>IF(WEEKDAY(DATE($D$7,$D$8,Z$9),2)&gt;'[14]Khai báo'!$B$4,"","X")</f>
        <v>X</v>
      </c>
      <c r="AA16" s="35" t="str">
        <f>IF(WEEKDAY(DATE($D$7,$D$8,AA$9),2)&gt;'[14]Khai báo'!$B$4,"","X")</f>
        <v>X</v>
      </c>
      <c r="AB16" s="35" t="str">
        <f>IF(WEEKDAY(DATE($D$7,$D$8,AB$9),2)&gt;'[14]Khai báo'!$B$4,"","X")</f>
        <v>X</v>
      </c>
      <c r="AC16" s="35" t="str">
        <f>IF(WEEKDAY(DATE($D$7,$D$8,AC$9),2)&gt;'[14]Khai báo'!$B$4,"","X")</f>
        <v>X</v>
      </c>
      <c r="AD16" s="35" t="str">
        <f>IF(WEEKDAY(DATE($D$7,$D$8,AD$9),2)&gt;'[14]Khai báo'!$B$4,"","X")</f>
        <v>X</v>
      </c>
      <c r="AE16" s="35" t="str">
        <f>IF(WEEKDAY(DATE($D$7,$D$8,AE$9),2)&gt;'[14]Khai báo'!$B$4,"","X")</f>
        <v/>
      </c>
      <c r="AF16" s="35" t="str">
        <f>IF(WEEKDAY(DATE($D$7,$D$8,AF$9),2)&gt;'[14]Khai báo'!$B$4,"","X")</f>
        <v>X</v>
      </c>
      <c r="AG16" s="35" t="str">
        <f>IF(WEEKDAY(DATE($D$7,$D$8,AG$9),2)&gt;'[14]Khai báo'!$B$4,"","X")</f>
        <v>X</v>
      </c>
      <c r="AH16" s="35" t="str">
        <f>IF(WEEKDAY(DATE($D$7,$D$8,AH$9),2)&gt;'[14]Khai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2519</v>
      </c>
      <c r="D17" s="36" t="s">
        <v>2520</v>
      </c>
      <c r="E17" s="35" t="str">
        <f>IF(WEEKDAY(DATE($D$7,$D$8,E$9),2)&gt;'[14]Khai báo'!$B$4,"","X")</f>
        <v>X</v>
      </c>
      <c r="F17" s="35" t="str">
        <f>IF(WEEKDAY(DATE($D$7,$D$8,F$9),2)&gt;'[14]Khai báo'!$B$4,"","X")</f>
        <v>X</v>
      </c>
      <c r="G17" s="35" t="str">
        <f>IF(WEEKDAY(DATE($D$7,$D$8,G$9),2)&gt;'[14]Khai báo'!$B$4,"","X")</f>
        <v>X</v>
      </c>
      <c r="H17" s="35" t="str">
        <f>IF(WEEKDAY(DATE($D$7,$D$8,H$9),2)&gt;'[14]Khai báo'!$B$4,"","X")</f>
        <v>X</v>
      </c>
      <c r="I17" s="35" t="str">
        <f>IF(WEEKDAY(DATE($D$7,$D$8,I$9),2)&gt;'[14]Khai báo'!$B$4,"","X")</f>
        <v>X</v>
      </c>
      <c r="J17" s="35" t="str">
        <f>IF(WEEKDAY(DATE($D$7,$D$8,J$9),2)&gt;'[14]Khai báo'!$B$4,"","X")</f>
        <v/>
      </c>
      <c r="K17" s="35" t="str">
        <f>IF(WEEKDAY(DATE($D$7,$D$8,K$9),2)&gt;'[14]Khai báo'!$B$4,"","X")</f>
        <v>X</v>
      </c>
      <c r="L17" s="35" t="str">
        <f>IF(WEEKDAY(DATE($D$7,$D$8,L$9),2)&gt;'[14]Khai báo'!$B$4,"","X")</f>
        <v>X</v>
      </c>
      <c r="M17" s="35" t="str">
        <f>IF(WEEKDAY(DATE($D$7,$D$8,M$9),2)&gt;'[14]Khai báo'!$B$4,"","X")</f>
        <v>X</v>
      </c>
      <c r="N17" s="35" t="str">
        <f>IF(WEEKDAY(DATE($D$7,$D$8,N$9),2)&gt;'[14]Khai báo'!$B$4,"","X")</f>
        <v>X</v>
      </c>
      <c r="O17" s="35" t="str">
        <f>IF(WEEKDAY(DATE($D$7,$D$8,O$9),2)&gt;'[14]Khai báo'!$B$4,"","X")</f>
        <v>X</v>
      </c>
      <c r="P17" s="35" t="str">
        <f>IF(WEEKDAY(DATE($D$7,$D$8,P$9),2)&gt;'[14]Khai báo'!$B$4,"","X")</f>
        <v>X</v>
      </c>
      <c r="Q17" s="35" t="str">
        <f>IF(WEEKDAY(DATE($D$7,$D$8,Q$9),2)&gt;'[14]Khai báo'!$B$4,"","X")</f>
        <v/>
      </c>
      <c r="R17" s="35" t="str">
        <f>IF(WEEKDAY(DATE($D$7,$D$8,R$9),2)&gt;'[14]Khai báo'!$B$4,"","X")</f>
        <v>X</v>
      </c>
      <c r="S17" s="35" t="str">
        <f>IF(WEEKDAY(DATE($D$7,$D$8,S$9),2)&gt;'[14]Khai báo'!$B$4,"","X")</f>
        <v>X</v>
      </c>
      <c r="T17" s="35" t="str">
        <f>IF(WEEKDAY(DATE($D$7,$D$8,T$9),2)&gt;'[14]Khai báo'!$B$4,"","X")</f>
        <v>X</v>
      </c>
      <c r="U17" s="35" t="str">
        <f>IF(WEEKDAY(DATE($D$7,$D$8,U$9),2)&gt;'[14]Khai báo'!$B$4,"","X")</f>
        <v>X</v>
      </c>
      <c r="V17" s="35" t="str">
        <f>IF(WEEKDAY(DATE($D$7,$D$8,V$9),2)&gt;'[14]Khai báo'!$B$4,"","X")</f>
        <v>X</v>
      </c>
      <c r="W17" s="35" t="str">
        <f>IF(WEEKDAY(DATE($D$7,$D$8,W$9),2)&gt;'[14]Khai báo'!$B$4,"","X")</f>
        <v>X</v>
      </c>
      <c r="X17" s="35" t="str">
        <f>IF(WEEKDAY(DATE($D$7,$D$8,X$9),2)&gt;'[14]Khai báo'!$B$4,"","X")</f>
        <v/>
      </c>
      <c r="Y17" s="35" t="str">
        <f>IF(WEEKDAY(DATE($D$7,$D$8,Y$9),2)&gt;'[14]Khai báo'!$B$4,"","X")</f>
        <v>X</v>
      </c>
      <c r="Z17" s="35" t="str">
        <f>IF(WEEKDAY(DATE($D$7,$D$8,Z$9),2)&gt;'[14]Khai báo'!$B$4,"","X")</f>
        <v>X</v>
      </c>
      <c r="AA17" s="35" t="str">
        <f>IF(WEEKDAY(DATE($D$7,$D$8,AA$9),2)&gt;'[14]Khai báo'!$B$4,"","X")</f>
        <v>X</v>
      </c>
      <c r="AB17" s="35" t="str">
        <f>IF(WEEKDAY(DATE($D$7,$D$8,AB$9),2)&gt;'[14]Khai báo'!$B$4,"","X")</f>
        <v>X</v>
      </c>
      <c r="AC17" s="35" t="str">
        <f>IF(WEEKDAY(DATE($D$7,$D$8,AC$9),2)&gt;'[14]Khai báo'!$B$4,"","X")</f>
        <v>X</v>
      </c>
      <c r="AD17" s="35" t="str">
        <f>IF(WEEKDAY(DATE($D$7,$D$8,AD$9),2)&gt;'[14]Khai báo'!$B$4,"","X")</f>
        <v>X</v>
      </c>
      <c r="AE17" s="35" t="str">
        <f>IF(WEEKDAY(DATE($D$7,$D$8,AE$9),2)&gt;'[14]Khai báo'!$B$4,"","X")</f>
        <v/>
      </c>
      <c r="AF17" s="35" t="str">
        <f>IF(WEEKDAY(DATE($D$7,$D$8,AF$9),2)&gt;'[14]Khai báo'!$B$4,"","X")</f>
        <v>X</v>
      </c>
      <c r="AG17" s="35" t="str">
        <f>IF(WEEKDAY(DATE($D$7,$D$8,AG$9),2)&gt;'[14]Khai báo'!$B$4,"","X")</f>
        <v>X</v>
      </c>
      <c r="AH17" s="35" t="str">
        <f>IF(WEEKDAY(DATE($D$7,$D$8,AH$9),2)&gt;'[14]Khai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2419</v>
      </c>
      <c r="D18" s="36" t="s">
        <v>1868</v>
      </c>
      <c r="E18" s="35" t="str">
        <f>IF(WEEKDAY(DATE($D$7,$D$8,E$9),2)&gt;'[14]Khai báo'!$B$4,"","X")</f>
        <v>X</v>
      </c>
      <c r="F18" s="35" t="str">
        <f>IF(WEEKDAY(DATE($D$7,$D$8,F$9),2)&gt;'[14]Khai báo'!$B$4,"","X")</f>
        <v>X</v>
      </c>
      <c r="G18" s="35" t="str">
        <f>IF(WEEKDAY(DATE($D$7,$D$8,G$9),2)&gt;'[14]Khai báo'!$B$4,"","X")</f>
        <v>X</v>
      </c>
      <c r="H18" s="35" t="str">
        <f>IF(WEEKDAY(DATE($D$7,$D$8,H$9),2)&gt;'[14]Khai báo'!$B$4,"","X")</f>
        <v>X</v>
      </c>
      <c r="I18" s="35" t="str">
        <f>IF(WEEKDAY(DATE($D$7,$D$8,I$9),2)&gt;'[14]Khai báo'!$B$4,"","X")</f>
        <v>X</v>
      </c>
      <c r="J18" s="35" t="str">
        <f>IF(WEEKDAY(DATE($D$7,$D$8,J$9),2)&gt;'[14]Khai báo'!$B$4,"","X")</f>
        <v/>
      </c>
      <c r="K18" s="35" t="str">
        <f>IF(WEEKDAY(DATE($D$7,$D$8,K$9),2)&gt;'[14]Khai báo'!$B$4,"","X")</f>
        <v>X</v>
      </c>
      <c r="L18" s="35" t="str">
        <f>IF(WEEKDAY(DATE($D$7,$D$8,L$9),2)&gt;'[14]Khai báo'!$B$4,"","X")</f>
        <v>X</v>
      </c>
      <c r="M18" s="35" t="str">
        <f>IF(WEEKDAY(DATE($D$7,$D$8,M$9),2)&gt;'[14]Khai báo'!$B$4,"","X")</f>
        <v>X</v>
      </c>
      <c r="N18" s="35" t="str">
        <f>IF(WEEKDAY(DATE($D$7,$D$8,N$9),2)&gt;'[14]Khai báo'!$B$4,"","X")</f>
        <v>X</v>
      </c>
      <c r="O18" s="35" t="str">
        <f>IF(WEEKDAY(DATE($D$7,$D$8,O$9),2)&gt;'[14]Khai báo'!$B$4,"","X")</f>
        <v>X</v>
      </c>
      <c r="P18" s="35" t="str">
        <f>IF(WEEKDAY(DATE($D$7,$D$8,P$9),2)&gt;'[14]Khai báo'!$B$4,"","X")</f>
        <v>X</v>
      </c>
      <c r="Q18" s="35" t="str">
        <f>IF(WEEKDAY(DATE($D$7,$D$8,Q$9),2)&gt;'[14]Khai báo'!$B$4,"","X")</f>
        <v/>
      </c>
      <c r="R18" s="35" t="str">
        <f>IF(WEEKDAY(DATE($D$7,$D$8,R$9),2)&gt;'[14]Khai báo'!$B$4,"","X")</f>
        <v>X</v>
      </c>
      <c r="S18" s="35" t="str">
        <f>IF(WEEKDAY(DATE($D$7,$D$8,S$9),2)&gt;'[14]Khai báo'!$B$4,"","X")</f>
        <v>X</v>
      </c>
      <c r="T18" s="35" t="str">
        <f>IF(WEEKDAY(DATE($D$7,$D$8,T$9),2)&gt;'[14]Khai báo'!$B$4,"","X")</f>
        <v>X</v>
      </c>
      <c r="U18" s="35" t="str">
        <f>IF(WEEKDAY(DATE($D$7,$D$8,U$9),2)&gt;'[14]Khai báo'!$B$4,"","X")</f>
        <v>X</v>
      </c>
      <c r="V18" s="35" t="str">
        <f>IF(WEEKDAY(DATE($D$7,$D$8,V$9),2)&gt;'[14]Khai báo'!$B$4,"","X")</f>
        <v>X</v>
      </c>
      <c r="W18" s="35" t="str">
        <f>IF(WEEKDAY(DATE($D$7,$D$8,W$9),2)&gt;'[14]Khai báo'!$B$4,"","X")</f>
        <v>X</v>
      </c>
      <c r="X18" s="35" t="str">
        <f>IF(WEEKDAY(DATE($D$7,$D$8,X$9),2)&gt;'[14]Khai báo'!$B$4,"","X")</f>
        <v/>
      </c>
      <c r="Y18" s="35" t="str">
        <f>IF(WEEKDAY(DATE($D$7,$D$8,Y$9),2)&gt;'[14]Khai báo'!$B$4,"","X")</f>
        <v>X</v>
      </c>
      <c r="Z18" s="35" t="str">
        <f>IF(WEEKDAY(DATE($D$7,$D$8,Z$9),2)&gt;'[14]Khai báo'!$B$4,"","X")</f>
        <v>X</v>
      </c>
      <c r="AA18" s="35" t="str">
        <f>IF(WEEKDAY(DATE($D$7,$D$8,AA$9),2)&gt;'[14]Khai báo'!$B$4,"","X")</f>
        <v>X</v>
      </c>
      <c r="AB18" s="35" t="str">
        <f>IF(WEEKDAY(DATE($D$7,$D$8,AB$9),2)&gt;'[14]Khai báo'!$B$4,"","X")</f>
        <v>X</v>
      </c>
      <c r="AC18" s="35" t="str">
        <f>IF(WEEKDAY(DATE($D$7,$D$8,AC$9),2)&gt;'[14]Khai báo'!$B$4,"","X")</f>
        <v>X</v>
      </c>
      <c r="AD18" s="35" t="str">
        <f>IF(WEEKDAY(DATE($D$7,$D$8,AD$9),2)&gt;'[14]Khai báo'!$B$4,"","X")</f>
        <v>X</v>
      </c>
      <c r="AE18" s="35" t="str">
        <f>IF(WEEKDAY(DATE($D$7,$D$8,AE$9),2)&gt;'[14]Khai báo'!$B$4,"","X")</f>
        <v/>
      </c>
      <c r="AF18" s="35" t="str">
        <f>IF(WEEKDAY(DATE($D$7,$D$8,AF$9),2)&gt;'[14]Khai báo'!$B$4,"","X")</f>
        <v>X</v>
      </c>
      <c r="AG18" s="35" t="str">
        <f>IF(WEEKDAY(DATE($D$7,$D$8,AG$9),2)&gt;'[14]Khai báo'!$B$4,"","X")</f>
        <v>X</v>
      </c>
      <c r="AH18" s="35" t="str">
        <f>IF(WEEKDAY(DATE($D$7,$D$8,AH$9),2)&gt;'[14]Khai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2521</v>
      </c>
      <c r="D19" s="36" t="s">
        <v>2522</v>
      </c>
      <c r="E19" s="35" t="str">
        <f>IF(WEEKDAY(DATE($D$7,$D$8,E$9),2)&gt;'[14]Khai báo'!$B$4,"","X")</f>
        <v>X</v>
      </c>
      <c r="F19" s="35" t="str">
        <f>IF(WEEKDAY(DATE($D$7,$D$8,F$9),2)&gt;'[14]Khai báo'!$B$4,"","X")</f>
        <v>X</v>
      </c>
      <c r="G19" s="35" t="str">
        <f>IF(WEEKDAY(DATE($D$7,$D$8,G$9),2)&gt;'[14]Khai báo'!$B$4,"","X")</f>
        <v>X</v>
      </c>
      <c r="H19" s="35" t="str">
        <f>IF(WEEKDAY(DATE($D$7,$D$8,H$9),2)&gt;'[14]Khai báo'!$B$4,"","X")</f>
        <v>X</v>
      </c>
      <c r="I19" s="35" t="str">
        <f>IF(WEEKDAY(DATE($D$7,$D$8,I$9),2)&gt;'[14]Khai báo'!$B$4,"","X")</f>
        <v>X</v>
      </c>
      <c r="J19" s="35" t="str">
        <f>IF(WEEKDAY(DATE($D$7,$D$8,J$9),2)&gt;'[14]Khai báo'!$B$4,"","X")</f>
        <v/>
      </c>
      <c r="K19" s="35" t="str">
        <f>IF(WEEKDAY(DATE($D$7,$D$8,K$9),2)&gt;'[14]Khai báo'!$B$4,"","X")</f>
        <v>X</v>
      </c>
      <c r="L19" s="35" t="str">
        <f>IF(WEEKDAY(DATE($D$7,$D$8,L$9),2)&gt;'[14]Khai báo'!$B$4,"","X")</f>
        <v>X</v>
      </c>
      <c r="M19" s="35" t="str">
        <f>IF(WEEKDAY(DATE($D$7,$D$8,M$9),2)&gt;'[14]Khai báo'!$B$4,"","X")</f>
        <v>X</v>
      </c>
      <c r="N19" s="35" t="str">
        <f>IF(WEEKDAY(DATE($D$7,$D$8,N$9),2)&gt;'[14]Khai báo'!$B$4,"","X")</f>
        <v>X</v>
      </c>
      <c r="O19" s="35" t="str">
        <f>IF(WEEKDAY(DATE($D$7,$D$8,O$9),2)&gt;'[14]Khai báo'!$B$4,"","X")</f>
        <v>X</v>
      </c>
      <c r="P19" s="35" t="str">
        <f>IF(WEEKDAY(DATE($D$7,$D$8,P$9),2)&gt;'[14]Khai báo'!$B$4,"","X")</f>
        <v>X</v>
      </c>
      <c r="Q19" s="35" t="str">
        <f>IF(WEEKDAY(DATE($D$7,$D$8,Q$9),2)&gt;'[14]Khai báo'!$B$4,"","X")</f>
        <v/>
      </c>
      <c r="R19" s="35" t="str">
        <f>IF(WEEKDAY(DATE($D$7,$D$8,R$9),2)&gt;'[14]Khai báo'!$B$4,"","X")</f>
        <v>X</v>
      </c>
      <c r="S19" s="35" t="str">
        <f>IF(WEEKDAY(DATE($D$7,$D$8,S$9),2)&gt;'[14]Khai báo'!$B$4,"","X")</f>
        <v>X</v>
      </c>
      <c r="T19" s="35" t="str">
        <f>IF(WEEKDAY(DATE($D$7,$D$8,T$9),2)&gt;'[14]Khai báo'!$B$4,"","X")</f>
        <v>X</v>
      </c>
      <c r="U19" s="35" t="str">
        <f>IF(WEEKDAY(DATE($D$7,$D$8,U$9),2)&gt;'[14]Khai báo'!$B$4,"","X")</f>
        <v>X</v>
      </c>
      <c r="V19" s="35" t="str">
        <f>IF(WEEKDAY(DATE($D$7,$D$8,V$9),2)&gt;'[14]Khai báo'!$B$4,"","X")</f>
        <v>X</v>
      </c>
      <c r="W19" s="35" t="str">
        <f>IF(WEEKDAY(DATE($D$7,$D$8,W$9),2)&gt;'[14]Khai báo'!$B$4,"","X")</f>
        <v>X</v>
      </c>
      <c r="X19" s="35" t="str">
        <f>IF(WEEKDAY(DATE($D$7,$D$8,X$9),2)&gt;'[14]Khai báo'!$B$4,"","X")</f>
        <v/>
      </c>
      <c r="Y19" s="35" t="str">
        <f>IF(WEEKDAY(DATE($D$7,$D$8,Y$9),2)&gt;'[14]Khai báo'!$B$4,"","X")</f>
        <v>X</v>
      </c>
      <c r="Z19" s="35" t="str">
        <f>IF(WEEKDAY(DATE($D$7,$D$8,Z$9),2)&gt;'[14]Khai báo'!$B$4,"","X")</f>
        <v>X</v>
      </c>
      <c r="AA19" s="35" t="str">
        <f>IF(WEEKDAY(DATE($D$7,$D$8,AA$9),2)&gt;'[14]Khai báo'!$B$4,"","X")</f>
        <v>X</v>
      </c>
      <c r="AB19" s="35" t="str">
        <f>IF(WEEKDAY(DATE($D$7,$D$8,AB$9),2)&gt;'[14]Khai báo'!$B$4,"","X")</f>
        <v>X</v>
      </c>
      <c r="AC19" s="35" t="str">
        <f>IF(WEEKDAY(DATE($D$7,$D$8,AC$9),2)&gt;'[14]Khai báo'!$B$4,"","X")</f>
        <v>X</v>
      </c>
      <c r="AD19" s="35" t="str">
        <f>IF(WEEKDAY(DATE($D$7,$D$8,AD$9),2)&gt;'[14]Khai báo'!$B$4,"","X")</f>
        <v>X</v>
      </c>
      <c r="AE19" s="35" t="str">
        <f>IF(WEEKDAY(DATE($D$7,$D$8,AE$9),2)&gt;'[14]Khai báo'!$B$4,"","X")</f>
        <v/>
      </c>
      <c r="AF19" s="35" t="str">
        <f>IF(WEEKDAY(DATE($D$7,$D$8,AF$9),2)&gt;'[14]Khai báo'!$B$4,"","X")</f>
        <v>X</v>
      </c>
      <c r="AG19" s="35" t="str">
        <f>IF(WEEKDAY(DATE($D$7,$D$8,AG$9),2)&gt;'[14]Khai báo'!$B$4,"","X")</f>
        <v>X</v>
      </c>
      <c r="AH19" s="35" t="str">
        <f>IF(WEEKDAY(DATE($D$7,$D$8,AH$9),2)&gt;'[14]Khai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2523</v>
      </c>
      <c r="D20" s="36" t="s">
        <v>2495</v>
      </c>
      <c r="E20" s="35" t="str">
        <f>IF(WEEKDAY(DATE($D$7,$D$8,E$9),2)&gt;'[14]Khai báo'!$B$4,"","X")</f>
        <v>X</v>
      </c>
      <c r="F20" s="35" t="str">
        <f>IF(WEEKDAY(DATE($D$7,$D$8,F$9),2)&gt;'[14]Khai báo'!$B$4,"","X")</f>
        <v>X</v>
      </c>
      <c r="G20" s="35" t="str">
        <f>IF(WEEKDAY(DATE($D$7,$D$8,G$9),2)&gt;'[14]Khai báo'!$B$4,"","X")</f>
        <v>X</v>
      </c>
      <c r="H20" s="35" t="str">
        <f>IF(WEEKDAY(DATE($D$7,$D$8,H$9),2)&gt;'[14]Khai báo'!$B$4,"","X")</f>
        <v>X</v>
      </c>
      <c r="I20" s="35" t="str">
        <f>IF(WEEKDAY(DATE($D$7,$D$8,I$9),2)&gt;'[14]Khai báo'!$B$4,"","X")</f>
        <v>X</v>
      </c>
      <c r="J20" s="35" t="str">
        <f>IF(WEEKDAY(DATE($D$7,$D$8,J$9),2)&gt;'[14]Khai báo'!$B$4,"","X")</f>
        <v/>
      </c>
      <c r="K20" s="35" t="str">
        <f>IF(WEEKDAY(DATE($D$7,$D$8,K$9),2)&gt;'[14]Khai báo'!$B$4,"","X")</f>
        <v>X</v>
      </c>
      <c r="L20" s="35" t="str">
        <f>IF(WEEKDAY(DATE($D$7,$D$8,L$9),2)&gt;'[14]Khai báo'!$B$4,"","X")</f>
        <v>X</v>
      </c>
      <c r="M20" s="35" t="str">
        <f>IF(WEEKDAY(DATE($D$7,$D$8,M$9),2)&gt;'[14]Khai báo'!$B$4,"","X")</f>
        <v>X</v>
      </c>
      <c r="N20" s="35" t="str">
        <f>IF(WEEKDAY(DATE($D$7,$D$8,N$9),2)&gt;'[14]Khai báo'!$B$4,"","X")</f>
        <v>X</v>
      </c>
      <c r="O20" s="35" t="str">
        <f>IF(WEEKDAY(DATE($D$7,$D$8,O$9),2)&gt;'[14]Khai báo'!$B$4,"","X")</f>
        <v>X</v>
      </c>
      <c r="P20" s="35" t="str">
        <f>IF(WEEKDAY(DATE($D$7,$D$8,P$9),2)&gt;'[14]Khai báo'!$B$4,"","X")</f>
        <v>X</v>
      </c>
      <c r="Q20" s="35" t="str">
        <f>IF(WEEKDAY(DATE($D$7,$D$8,Q$9),2)&gt;'[14]Khai báo'!$B$4,"","X")</f>
        <v/>
      </c>
      <c r="R20" s="35" t="str">
        <f>IF(WEEKDAY(DATE($D$7,$D$8,R$9),2)&gt;'[14]Khai báo'!$B$4,"","X")</f>
        <v>X</v>
      </c>
      <c r="S20" s="35" t="str">
        <f>IF(WEEKDAY(DATE($D$7,$D$8,S$9),2)&gt;'[14]Khai báo'!$B$4,"","X")</f>
        <v>X</v>
      </c>
      <c r="T20" s="35" t="str">
        <f>IF(WEEKDAY(DATE($D$7,$D$8,T$9),2)&gt;'[14]Khai báo'!$B$4,"","X")</f>
        <v>X</v>
      </c>
      <c r="U20" s="35" t="str">
        <f>IF(WEEKDAY(DATE($D$7,$D$8,U$9),2)&gt;'[14]Khai báo'!$B$4,"","X")</f>
        <v>X</v>
      </c>
      <c r="V20" s="35" t="str">
        <f>IF(WEEKDAY(DATE($D$7,$D$8,V$9),2)&gt;'[14]Khai báo'!$B$4,"","X")</f>
        <v>X</v>
      </c>
      <c r="W20" s="35" t="str">
        <f>IF(WEEKDAY(DATE($D$7,$D$8,W$9),2)&gt;'[14]Khai báo'!$B$4,"","X")</f>
        <v>X</v>
      </c>
      <c r="X20" s="35" t="str">
        <f>IF(WEEKDAY(DATE($D$7,$D$8,X$9),2)&gt;'[14]Khai báo'!$B$4,"","X")</f>
        <v/>
      </c>
      <c r="Y20" s="35" t="str">
        <f>IF(WEEKDAY(DATE($D$7,$D$8,Y$9),2)&gt;'[14]Khai báo'!$B$4,"","X")</f>
        <v>X</v>
      </c>
      <c r="Z20" s="35" t="str">
        <f>IF(WEEKDAY(DATE($D$7,$D$8,Z$9),2)&gt;'[14]Khai báo'!$B$4,"","X")</f>
        <v>X</v>
      </c>
      <c r="AA20" s="35" t="str">
        <f>IF(WEEKDAY(DATE($D$7,$D$8,AA$9),2)&gt;'[14]Khai báo'!$B$4,"","X")</f>
        <v>X</v>
      </c>
      <c r="AB20" s="35" t="str">
        <f>IF(WEEKDAY(DATE($D$7,$D$8,AB$9),2)&gt;'[14]Khai báo'!$B$4,"","X")</f>
        <v>X</v>
      </c>
      <c r="AC20" s="35" t="str">
        <f>IF(WEEKDAY(DATE($D$7,$D$8,AC$9),2)&gt;'[14]Khai báo'!$B$4,"","X")</f>
        <v>X</v>
      </c>
      <c r="AD20" s="35" t="str">
        <f>IF(WEEKDAY(DATE($D$7,$D$8,AD$9),2)&gt;'[14]Khai báo'!$B$4,"","X")</f>
        <v>X</v>
      </c>
      <c r="AE20" s="35" t="str">
        <f>IF(WEEKDAY(DATE($D$7,$D$8,AE$9),2)&gt;'[14]Khai báo'!$B$4,"","X")</f>
        <v/>
      </c>
      <c r="AF20" s="35" t="str">
        <f>IF(WEEKDAY(DATE($D$7,$D$8,AF$9),2)&gt;'[14]Khai báo'!$B$4,"","X")</f>
        <v>X</v>
      </c>
      <c r="AG20" s="35" t="str">
        <f>IF(WEEKDAY(DATE($D$7,$D$8,AG$9),2)&gt;'[14]Khai báo'!$B$4,"","X")</f>
        <v>X</v>
      </c>
      <c r="AH20" s="35" t="str">
        <f>IF(WEEKDAY(DATE($D$7,$D$8,AH$9),2)&gt;'[14]Khai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2481</v>
      </c>
      <c r="D21" s="36" t="s">
        <v>2482</v>
      </c>
      <c r="E21" s="35" t="str">
        <f>IF(WEEKDAY(DATE($D$7,$D$8,E$9),2)&gt;'[14]Khai báo'!$B$4,"","X")</f>
        <v>X</v>
      </c>
      <c r="F21" s="35" t="str">
        <f>IF(WEEKDAY(DATE($D$7,$D$8,F$9),2)&gt;'[14]Khai báo'!$B$4,"","X")</f>
        <v>X</v>
      </c>
      <c r="G21" s="35" t="str">
        <f>IF(WEEKDAY(DATE($D$7,$D$8,G$9),2)&gt;'[14]Khai báo'!$B$4,"","X")</f>
        <v>X</v>
      </c>
      <c r="H21" s="35" t="str">
        <f>IF(WEEKDAY(DATE($D$7,$D$8,H$9),2)&gt;'[14]Khai báo'!$B$4,"","X")</f>
        <v>X</v>
      </c>
      <c r="I21" s="35" t="str">
        <f>IF(WEEKDAY(DATE($D$7,$D$8,I$9),2)&gt;'[14]Khai báo'!$B$4,"","X")</f>
        <v>X</v>
      </c>
      <c r="J21" s="35" t="str">
        <f>IF(WEEKDAY(DATE($D$7,$D$8,J$9),2)&gt;'[14]Khai báo'!$B$4,"","X")</f>
        <v/>
      </c>
      <c r="K21" s="35" t="str">
        <f>IF(WEEKDAY(DATE($D$7,$D$8,K$9),2)&gt;'[14]Khai báo'!$B$4,"","X")</f>
        <v>X</v>
      </c>
      <c r="L21" s="35" t="str">
        <f>IF(WEEKDAY(DATE($D$7,$D$8,L$9),2)&gt;'[14]Khai báo'!$B$4,"","X")</f>
        <v>X</v>
      </c>
      <c r="M21" s="35" t="str">
        <f>IF(WEEKDAY(DATE($D$7,$D$8,M$9),2)&gt;'[14]Khai báo'!$B$4,"","X")</f>
        <v>X</v>
      </c>
      <c r="N21" s="35" t="str">
        <f>IF(WEEKDAY(DATE($D$7,$D$8,N$9),2)&gt;'[14]Khai báo'!$B$4,"","X")</f>
        <v>X</v>
      </c>
      <c r="O21" s="35" t="str">
        <f>IF(WEEKDAY(DATE($D$7,$D$8,O$9),2)&gt;'[14]Khai báo'!$B$4,"","X")</f>
        <v>X</v>
      </c>
      <c r="P21" s="35" t="str">
        <f>IF(WEEKDAY(DATE($D$7,$D$8,P$9),2)&gt;'[14]Khai báo'!$B$4,"","X")</f>
        <v>X</v>
      </c>
      <c r="Q21" s="35" t="str">
        <f>IF(WEEKDAY(DATE($D$7,$D$8,Q$9),2)&gt;'[14]Khai báo'!$B$4,"","X")</f>
        <v/>
      </c>
      <c r="R21" s="35" t="str">
        <f>IF(WEEKDAY(DATE($D$7,$D$8,R$9),2)&gt;'[14]Khai báo'!$B$4,"","X")</f>
        <v>X</v>
      </c>
      <c r="S21" s="35" t="str">
        <f>IF(WEEKDAY(DATE($D$7,$D$8,S$9),2)&gt;'[14]Khai báo'!$B$4,"","X")</f>
        <v>X</v>
      </c>
      <c r="T21" s="35" t="str">
        <f>IF(WEEKDAY(DATE($D$7,$D$8,T$9),2)&gt;'[14]Khai báo'!$B$4,"","X")</f>
        <v>X</v>
      </c>
      <c r="U21" s="35" t="str">
        <f>IF(WEEKDAY(DATE($D$7,$D$8,U$9),2)&gt;'[14]Khai báo'!$B$4,"","X")</f>
        <v>X</v>
      </c>
      <c r="V21" s="35" t="str">
        <f>IF(WEEKDAY(DATE($D$7,$D$8,V$9),2)&gt;'[14]Khai báo'!$B$4,"","X")</f>
        <v>X</v>
      </c>
      <c r="W21" s="35" t="str">
        <f>IF(WEEKDAY(DATE($D$7,$D$8,W$9),2)&gt;'[14]Khai báo'!$B$4,"","X")</f>
        <v>X</v>
      </c>
      <c r="X21" s="35" t="str">
        <f>IF(WEEKDAY(DATE($D$7,$D$8,X$9),2)&gt;'[14]Khai báo'!$B$4,"","X")</f>
        <v/>
      </c>
      <c r="Y21" s="35" t="str">
        <f>IF(WEEKDAY(DATE($D$7,$D$8,Y$9),2)&gt;'[14]Khai báo'!$B$4,"","X")</f>
        <v>X</v>
      </c>
      <c r="Z21" s="35" t="str">
        <f>IF(WEEKDAY(DATE($D$7,$D$8,Z$9),2)&gt;'[14]Khai báo'!$B$4,"","X")</f>
        <v>X</v>
      </c>
      <c r="AA21" s="35" t="str">
        <f>IF(WEEKDAY(DATE($D$7,$D$8,AA$9),2)&gt;'[14]Khai báo'!$B$4,"","X")</f>
        <v>X</v>
      </c>
      <c r="AB21" s="35" t="str">
        <f>IF(WEEKDAY(DATE($D$7,$D$8,AB$9),2)&gt;'[14]Khai báo'!$B$4,"","X")</f>
        <v>X</v>
      </c>
      <c r="AC21" s="35" t="str">
        <f>IF(WEEKDAY(DATE($D$7,$D$8,AC$9),2)&gt;'[14]Khai báo'!$B$4,"","X")</f>
        <v>X</v>
      </c>
      <c r="AD21" s="35" t="str">
        <f>IF(WEEKDAY(DATE($D$7,$D$8,AD$9),2)&gt;'[14]Khai báo'!$B$4,"","X")</f>
        <v>X</v>
      </c>
      <c r="AE21" s="35" t="str">
        <f>IF(WEEKDAY(DATE($D$7,$D$8,AE$9),2)&gt;'[14]Khai báo'!$B$4,"","X")</f>
        <v/>
      </c>
      <c r="AF21" s="35" t="str">
        <f>IF(WEEKDAY(DATE($D$7,$D$8,AF$9),2)&gt;'[14]Khai báo'!$B$4,"","X")</f>
        <v>X</v>
      </c>
      <c r="AG21" s="35" t="str">
        <f>IF(WEEKDAY(DATE($D$7,$D$8,AG$9),2)&gt;'[14]Khai báo'!$B$4,"","X")</f>
        <v>X</v>
      </c>
      <c r="AH21" s="35" t="str">
        <f>IF(WEEKDAY(DATE($D$7,$D$8,AH$9),2)&gt;'[14]Khai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2483</v>
      </c>
      <c r="D22" s="36" t="s">
        <v>2482</v>
      </c>
      <c r="E22" s="35" t="str">
        <f>IF(WEEKDAY(DATE($D$7,$D$8,E$9),2)&gt;'[14]Khai báo'!$B$4,"","X")</f>
        <v>X</v>
      </c>
      <c r="F22" s="35" t="str">
        <f>IF(WEEKDAY(DATE($D$7,$D$8,F$9),2)&gt;'[14]Khai báo'!$B$4,"","X")</f>
        <v>X</v>
      </c>
      <c r="G22" s="35" t="str">
        <f>IF(WEEKDAY(DATE($D$7,$D$8,G$9),2)&gt;'[14]Khai báo'!$B$4,"","X")</f>
        <v>X</v>
      </c>
      <c r="H22" s="35" t="str">
        <f>IF(WEEKDAY(DATE($D$7,$D$8,H$9),2)&gt;'[14]Khai báo'!$B$4,"","X")</f>
        <v>X</v>
      </c>
      <c r="I22" s="35" t="str">
        <f>IF(WEEKDAY(DATE($D$7,$D$8,I$9),2)&gt;'[14]Khai báo'!$B$4,"","X")</f>
        <v>X</v>
      </c>
      <c r="J22" s="35" t="str">
        <f>IF(WEEKDAY(DATE($D$7,$D$8,J$9),2)&gt;'[14]Khai báo'!$B$4,"","X")</f>
        <v/>
      </c>
      <c r="K22" s="35" t="str">
        <f>IF(WEEKDAY(DATE($D$7,$D$8,K$9),2)&gt;'[14]Khai báo'!$B$4,"","X")</f>
        <v>X</v>
      </c>
      <c r="L22" s="35" t="str">
        <f>IF(WEEKDAY(DATE($D$7,$D$8,L$9),2)&gt;'[14]Khai báo'!$B$4,"","X")</f>
        <v>X</v>
      </c>
      <c r="M22" s="35" t="str">
        <f>IF(WEEKDAY(DATE($D$7,$D$8,M$9),2)&gt;'[14]Khai báo'!$B$4,"","X")</f>
        <v>X</v>
      </c>
      <c r="N22" s="35" t="str">
        <f>IF(WEEKDAY(DATE($D$7,$D$8,N$9),2)&gt;'[14]Khai báo'!$B$4,"","X")</f>
        <v>X</v>
      </c>
      <c r="O22" s="35" t="str">
        <f>IF(WEEKDAY(DATE($D$7,$D$8,O$9),2)&gt;'[14]Khai báo'!$B$4,"","X")</f>
        <v>X</v>
      </c>
      <c r="P22" s="35" t="str">
        <f>IF(WEEKDAY(DATE($D$7,$D$8,P$9),2)&gt;'[14]Khai báo'!$B$4,"","X")</f>
        <v>X</v>
      </c>
      <c r="Q22" s="35" t="str">
        <f>IF(WEEKDAY(DATE($D$7,$D$8,Q$9),2)&gt;'[14]Khai báo'!$B$4,"","X")</f>
        <v/>
      </c>
      <c r="R22" s="35" t="str">
        <f>IF(WEEKDAY(DATE($D$7,$D$8,R$9),2)&gt;'[14]Khai báo'!$B$4,"","X")</f>
        <v>X</v>
      </c>
      <c r="S22" s="35" t="str">
        <f>IF(WEEKDAY(DATE($D$7,$D$8,S$9),2)&gt;'[14]Khai báo'!$B$4,"","X")</f>
        <v>X</v>
      </c>
      <c r="T22" s="35" t="str">
        <f>IF(WEEKDAY(DATE($D$7,$D$8,T$9),2)&gt;'[14]Khai báo'!$B$4,"","X")</f>
        <v>X</v>
      </c>
      <c r="U22" s="35" t="str">
        <f>IF(WEEKDAY(DATE($D$7,$D$8,U$9),2)&gt;'[14]Khai báo'!$B$4,"","X")</f>
        <v>X</v>
      </c>
      <c r="V22" s="35" t="str">
        <f>IF(WEEKDAY(DATE($D$7,$D$8,V$9),2)&gt;'[14]Khai báo'!$B$4,"","X")</f>
        <v>X</v>
      </c>
      <c r="W22" s="35" t="str">
        <f>IF(WEEKDAY(DATE($D$7,$D$8,W$9),2)&gt;'[14]Khai báo'!$B$4,"","X")</f>
        <v>X</v>
      </c>
      <c r="X22" s="35" t="str">
        <f>IF(WEEKDAY(DATE($D$7,$D$8,X$9),2)&gt;'[14]Khai báo'!$B$4,"","X")</f>
        <v/>
      </c>
      <c r="Y22" s="35" t="str">
        <f>IF(WEEKDAY(DATE($D$7,$D$8,Y$9),2)&gt;'[14]Khai báo'!$B$4,"","X")</f>
        <v>X</v>
      </c>
      <c r="Z22" s="35" t="str">
        <f>IF(WEEKDAY(DATE($D$7,$D$8,Z$9),2)&gt;'[14]Khai báo'!$B$4,"","X")</f>
        <v>X</v>
      </c>
      <c r="AA22" s="35" t="str">
        <f>IF(WEEKDAY(DATE($D$7,$D$8,AA$9),2)&gt;'[14]Khai báo'!$B$4,"","X")</f>
        <v>X</v>
      </c>
      <c r="AB22" s="35" t="str">
        <f>IF(WEEKDAY(DATE($D$7,$D$8,AB$9),2)&gt;'[14]Khai báo'!$B$4,"","X")</f>
        <v>X</v>
      </c>
      <c r="AC22" s="35" t="str">
        <f>IF(WEEKDAY(DATE($D$7,$D$8,AC$9),2)&gt;'[14]Khai báo'!$B$4,"","X")</f>
        <v>X</v>
      </c>
      <c r="AD22" s="35" t="str">
        <f>IF(WEEKDAY(DATE($D$7,$D$8,AD$9),2)&gt;'[14]Khai báo'!$B$4,"","X")</f>
        <v>X</v>
      </c>
      <c r="AE22" s="35" t="str">
        <f>IF(WEEKDAY(DATE($D$7,$D$8,AE$9),2)&gt;'[14]Khai báo'!$B$4,"","X")</f>
        <v/>
      </c>
      <c r="AF22" s="35" t="str">
        <f>IF(WEEKDAY(DATE($D$7,$D$8,AF$9),2)&gt;'[14]Khai báo'!$B$4,"","X")</f>
        <v>X</v>
      </c>
      <c r="AG22" s="35" t="str">
        <f>IF(WEEKDAY(DATE($D$7,$D$8,AG$9),2)&gt;'[14]Khai báo'!$B$4,"","X")</f>
        <v>X</v>
      </c>
      <c r="AH22" s="35" t="str">
        <f>IF(WEEKDAY(DATE($D$7,$D$8,AH$9),2)&gt;'[14]Khai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2484</v>
      </c>
      <c r="D23" s="36" t="s">
        <v>2482</v>
      </c>
      <c r="E23" s="35" t="str">
        <f>IF(WEEKDAY(DATE($D$7,$D$8,E$9),2)&gt;'[14]Khai báo'!$B$4,"","X")</f>
        <v>X</v>
      </c>
      <c r="F23" s="35" t="str">
        <f>IF(WEEKDAY(DATE($D$7,$D$8,F$9),2)&gt;'[14]Khai báo'!$B$4,"","X")</f>
        <v>X</v>
      </c>
      <c r="G23" s="35" t="str">
        <f>IF(WEEKDAY(DATE($D$7,$D$8,G$9),2)&gt;'[14]Khai báo'!$B$4,"","X")</f>
        <v>X</v>
      </c>
      <c r="H23" s="35" t="str">
        <f>IF(WEEKDAY(DATE($D$7,$D$8,H$9),2)&gt;'[14]Khai báo'!$B$4,"","X")</f>
        <v>X</v>
      </c>
      <c r="I23" s="35" t="str">
        <f>IF(WEEKDAY(DATE($D$7,$D$8,I$9),2)&gt;'[14]Khai báo'!$B$4,"","X")</f>
        <v>X</v>
      </c>
      <c r="J23" s="35" t="str">
        <f>IF(WEEKDAY(DATE($D$7,$D$8,J$9),2)&gt;'[14]Khai báo'!$B$4,"","X")</f>
        <v/>
      </c>
      <c r="K23" s="35" t="str">
        <f>IF(WEEKDAY(DATE($D$7,$D$8,K$9),2)&gt;'[14]Khai báo'!$B$4,"","X")</f>
        <v>X</v>
      </c>
      <c r="L23" s="35" t="str">
        <f>IF(WEEKDAY(DATE($D$7,$D$8,L$9),2)&gt;'[14]Khai báo'!$B$4,"","X")</f>
        <v>X</v>
      </c>
      <c r="M23" s="35" t="str">
        <f>IF(WEEKDAY(DATE($D$7,$D$8,M$9),2)&gt;'[14]Khai báo'!$B$4,"","X")</f>
        <v>X</v>
      </c>
      <c r="N23" s="35" t="str">
        <f>IF(WEEKDAY(DATE($D$7,$D$8,N$9),2)&gt;'[14]Khai báo'!$B$4,"","X")</f>
        <v>X</v>
      </c>
      <c r="O23" s="35" t="str">
        <f>IF(WEEKDAY(DATE($D$7,$D$8,O$9),2)&gt;'[14]Khai báo'!$B$4,"","X")</f>
        <v>X</v>
      </c>
      <c r="P23" s="35" t="str">
        <f>IF(WEEKDAY(DATE($D$7,$D$8,P$9),2)&gt;'[14]Khai báo'!$B$4,"","X")</f>
        <v>X</v>
      </c>
      <c r="Q23" s="35" t="str">
        <f>IF(WEEKDAY(DATE($D$7,$D$8,Q$9),2)&gt;'[14]Khai báo'!$B$4,"","X")</f>
        <v/>
      </c>
      <c r="R23" s="35" t="str">
        <f>IF(WEEKDAY(DATE($D$7,$D$8,R$9),2)&gt;'[14]Khai báo'!$B$4,"","X")</f>
        <v>X</v>
      </c>
      <c r="S23" s="35" t="str">
        <f>IF(WEEKDAY(DATE($D$7,$D$8,S$9),2)&gt;'[14]Khai báo'!$B$4,"","X")</f>
        <v>X</v>
      </c>
      <c r="T23" s="35" t="str">
        <f>IF(WEEKDAY(DATE($D$7,$D$8,T$9),2)&gt;'[14]Khai báo'!$B$4,"","X")</f>
        <v>X</v>
      </c>
      <c r="U23" s="35" t="str">
        <f>IF(WEEKDAY(DATE($D$7,$D$8,U$9),2)&gt;'[14]Khai báo'!$B$4,"","X")</f>
        <v>X</v>
      </c>
      <c r="V23" s="35" t="str">
        <f>IF(WEEKDAY(DATE($D$7,$D$8,V$9),2)&gt;'[14]Khai báo'!$B$4,"","X")</f>
        <v>X</v>
      </c>
      <c r="W23" s="35" t="str">
        <f>IF(WEEKDAY(DATE($D$7,$D$8,W$9),2)&gt;'[14]Khai báo'!$B$4,"","X")</f>
        <v>X</v>
      </c>
      <c r="X23" s="35" t="str">
        <f>IF(WEEKDAY(DATE($D$7,$D$8,X$9),2)&gt;'[14]Khai báo'!$B$4,"","X")</f>
        <v/>
      </c>
      <c r="Y23" s="35" t="str">
        <f>IF(WEEKDAY(DATE($D$7,$D$8,Y$9),2)&gt;'[14]Khai báo'!$B$4,"","X")</f>
        <v>X</v>
      </c>
      <c r="Z23" s="35" t="str">
        <f>IF(WEEKDAY(DATE($D$7,$D$8,Z$9),2)&gt;'[14]Khai báo'!$B$4,"","X")</f>
        <v>X</v>
      </c>
      <c r="AA23" s="35" t="str">
        <f>IF(WEEKDAY(DATE($D$7,$D$8,AA$9),2)&gt;'[14]Khai báo'!$B$4,"","X")</f>
        <v>X</v>
      </c>
      <c r="AB23" s="35" t="str">
        <f>IF(WEEKDAY(DATE($D$7,$D$8,AB$9),2)&gt;'[14]Khai báo'!$B$4,"","X")</f>
        <v>X</v>
      </c>
      <c r="AC23" s="35" t="str">
        <f>IF(WEEKDAY(DATE($D$7,$D$8,AC$9),2)&gt;'[14]Khai báo'!$B$4,"","X")</f>
        <v>X</v>
      </c>
      <c r="AD23" s="35" t="str">
        <f>IF(WEEKDAY(DATE($D$7,$D$8,AD$9),2)&gt;'[14]Khai báo'!$B$4,"","X")</f>
        <v>X</v>
      </c>
      <c r="AE23" s="35" t="str">
        <f>IF(WEEKDAY(DATE($D$7,$D$8,AE$9),2)&gt;'[14]Khai báo'!$B$4,"","X")</f>
        <v/>
      </c>
      <c r="AF23" s="35" t="str">
        <f>IF(WEEKDAY(DATE($D$7,$D$8,AF$9),2)&gt;'[14]Khai báo'!$B$4,"","X")</f>
        <v>X</v>
      </c>
      <c r="AG23" s="35" t="str">
        <f>IF(WEEKDAY(DATE($D$7,$D$8,AG$9),2)&gt;'[14]Khai báo'!$B$4,"","X")</f>
        <v>X</v>
      </c>
      <c r="AH23" s="35" t="str">
        <f>IF(WEEKDAY(DATE($D$7,$D$8,AH$9),2)&gt;'[14]Khai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2485</v>
      </c>
      <c r="D24" s="36" t="s">
        <v>2482</v>
      </c>
      <c r="E24" s="35" t="str">
        <f>IF(WEEKDAY(DATE($D$7,$D$8,E$9),2)&gt;'[14]Khai báo'!$B$4,"","X")</f>
        <v>X</v>
      </c>
      <c r="F24" s="35" t="str">
        <f>IF(WEEKDAY(DATE($D$7,$D$8,F$9),2)&gt;'[14]Khai báo'!$B$4,"","X")</f>
        <v>X</v>
      </c>
      <c r="G24" s="35" t="str">
        <f>IF(WEEKDAY(DATE($D$7,$D$8,G$9),2)&gt;'[14]Khai báo'!$B$4,"","X")</f>
        <v>X</v>
      </c>
      <c r="H24" s="35" t="str">
        <f>IF(WEEKDAY(DATE($D$7,$D$8,H$9),2)&gt;'[14]Khai báo'!$B$4,"","X")</f>
        <v>X</v>
      </c>
      <c r="I24" s="35" t="str">
        <f>IF(WEEKDAY(DATE($D$7,$D$8,I$9),2)&gt;'[14]Khai báo'!$B$4,"","X")</f>
        <v>X</v>
      </c>
      <c r="J24" s="35" t="str">
        <f>IF(WEEKDAY(DATE($D$7,$D$8,J$9),2)&gt;'[14]Khai báo'!$B$4,"","X")</f>
        <v/>
      </c>
      <c r="K24" s="35" t="str">
        <f>IF(WEEKDAY(DATE($D$7,$D$8,K$9),2)&gt;'[14]Khai báo'!$B$4,"","X")</f>
        <v>X</v>
      </c>
      <c r="L24" s="35" t="str">
        <f>IF(WEEKDAY(DATE($D$7,$D$8,L$9),2)&gt;'[14]Khai báo'!$B$4,"","X")</f>
        <v>X</v>
      </c>
      <c r="M24" s="35" t="str">
        <f>IF(WEEKDAY(DATE($D$7,$D$8,M$9),2)&gt;'[14]Khai báo'!$B$4,"","X")</f>
        <v>X</v>
      </c>
      <c r="N24" s="35" t="str">
        <f>IF(WEEKDAY(DATE($D$7,$D$8,N$9),2)&gt;'[14]Khai báo'!$B$4,"","X")</f>
        <v>X</v>
      </c>
      <c r="O24" s="35" t="str">
        <f>IF(WEEKDAY(DATE($D$7,$D$8,O$9),2)&gt;'[14]Khai báo'!$B$4,"","X")</f>
        <v>X</v>
      </c>
      <c r="P24" s="35" t="str">
        <f>IF(WEEKDAY(DATE($D$7,$D$8,P$9),2)&gt;'[14]Khai báo'!$B$4,"","X")</f>
        <v>X</v>
      </c>
      <c r="Q24" s="35" t="str">
        <f>IF(WEEKDAY(DATE($D$7,$D$8,Q$9),2)&gt;'[14]Khai báo'!$B$4,"","X")</f>
        <v/>
      </c>
      <c r="R24" s="35" t="str">
        <f>IF(WEEKDAY(DATE($D$7,$D$8,R$9),2)&gt;'[14]Khai báo'!$B$4,"","X")</f>
        <v>X</v>
      </c>
      <c r="S24" s="35" t="str">
        <f>IF(WEEKDAY(DATE($D$7,$D$8,S$9),2)&gt;'[14]Khai báo'!$B$4,"","X")</f>
        <v>X</v>
      </c>
      <c r="T24" s="35" t="str">
        <f>IF(WEEKDAY(DATE($D$7,$D$8,T$9),2)&gt;'[14]Khai báo'!$B$4,"","X")</f>
        <v>X</v>
      </c>
      <c r="U24" s="35" t="str">
        <f>IF(WEEKDAY(DATE($D$7,$D$8,U$9),2)&gt;'[14]Khai báo'!$B$4,"","X")</f>
        <v>X</v>
      </c>
      <c r="V24" s="35" t="str">
        <f>IF(WEEKDAY(DATE($D$7,$D$8,V$9),2)&gt;'[14]Khai báo'!$B$4,"","X")</f>
        <v>X</v>
      </c>
      <c r="W24" s="35" t="str">
        <f>IF(WEEKDAY(DATE($D$7,$D$8,W$9),2)&gt;'[14]Khai báo'!$B$4,"","X")</f>
        <v>X</v>
      </c>
      <c r="X24" s="35" t="str">
        <f>IF(WEEKDAY(DATE($D$7,$D$8,X$9),2)&gt;'[14]Khai báo'!$B$4,"","X")</f>
        <v/>
      </c>
      <c r="Y24" s="35" t="str">
        <f>IF(WEEKDAY(DATE($D$7,$D$8,Y$9),2)&gt;'[14]Khai báo'!$B$4,"","X")</f>
        <v>X</v>
      </c>
      <c r="Z24" s="35" t="str">
        <f>IF(WEEKDAY(DATE($D$7,$D$8,Z$9),2)&gt;'[14]Khai báo'!$B$4,"","X")</f>
        <v>X</v>
      </c>
      <c r="AA24" s="35" t="str">
        <f>IF(WEEKDAY(DATE($D$7,$D$8,AA$9),2)&gt;'[14]Khai báo'!$B$4,"","X")</f>
        <v>X</v>
      </c>
      <c r="AB24" s="35" t="str">
        <f>IF(WEEKDAY(DATE($D$7,$D$8,AB$9),2)&gt;'[14]Khai báo'!$B$4,"","X")</f>
        <v>X</v>
      </c>
      <c r="AC24" s="35" t="str">
        <f>IF(WEEKDAY(DATE($D$7,$D$8,AC$9),2)&gt;'[14]Khai báo'!$B$4,"","X")</f>
        <v>X</v>
      </c>
      <c r="AD24" s="35" t="str">
        <f>IF(WEEKDAY(DATE($D$7,$D$8,AD$9),2)&gt;'[14]Khai báo'!$B$4,"","X")</f>
        <v>X</v>
      </c>
      <c r="AE24" s="35" t="str">
        <f>IF(WEEKDAY(DATE($D$7,$D$8,AE$9),2)&gt;'[14]Khai báo'!$B$4,"","X")</f>
        <v/>
      </c>
      <c r="AF24" s="35" t="str">
        <f>IF(WEEKDAY(DATE($D$7,$D$8,AF$9),2)&gt;'[14]Khai báo'!$B$4,"","X")</f>
        <v>X</v>
      </c>
      <c r="AG24" s="35" t="str">
        <f>IF(WEEKDAY(DATE($D$7,$D$8,AG$9),2)&gt;'[14]Khai báo'!$B$4,"","X")</f>
        <v>X</v>
      </c>
      <c r="AH24" s="35" t="str">
        <f>IF(WEEKDAY(DATE($D$7,$D$8,AH$9),2)&gt;'[14]Khai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2486</v>
      </c>
      <c r="D25" s="36" t="s">
        <v>2482</v>
      </c>
      <c r="E25" s="35" t="str">
        <f>IF(WEEKDAY(DATE($D$7,$D$8,E$9),2)&gt;'[14]Khai báo'!$B$4,"","X")</f>
        <v>X</v>
      </c>
      <c r="F25" s="35" t="str">
        <f>IF(WEEKDAY(DATE($D$7,$D$8,F$9),2)&gt;'[14]Khai báo'!$B$4,"","X")</f>
        <v>X</v>
      </c>
      <c r="G25" s="35" t="str">
        <f>IF(WEEKDAY(DATE($D$7,$D$8,G$9),2)&gt;'[14]Khai báo'!$B$4,"","X")</f>
        <v>X</v>
      </c>
      <c r="H25" s="35" t="str">
        <f>IF(WEEKDAY(DATE($D$7,$D$8,H$9),2)&gt;'[14]Khai báo'!$B$4,"","X")</f>
        <v>X</v>
      </c>
      <c r="I25" s="35" t="str">
        <f>IF(WEEKDAY(DATE($D$7,$D$8,I$9),2)&gt;'[14]Khai báo'!$B$4,"","X")</f>
        <v>X</v>
      </c>
      <c r="J25" s="35" t="str">
        <f>IF(WEEKDAY(DATE($D$7,$D$8,J$9),2)&gt;'[14]Khai báo'!$B$4,"","X")</f>
        <v/>
      </c>
      <c r="K25" s="35" t="str">
        <f>IF(WEEKDAY(DATE($D$7,$D$8,K$9),2)&gt;'[14]Khai báo'!$B$4,"","X")</f>
        <v>X</v>
      </c>
      <c r="L25" s="35" t="str">
        <f>IF(WEEKDAY(DATE($D$7,$D$8,L$9),2)&gt;'[14]Khai báo'!$B$4,"","X")</f>
        <v>X</v>
      </c>
      <c r="M25" s="35" t="str">
        <f>IF(WEEKDAY(DATE($D$7,$D$8,M$9),2)&gt;'[14]Khai báo'!$B$4,"","X")</f>
        <v>X</v>
      </c>
      <c r="N25" s="35" t="str">
        <f>IF(WEEKDAY(DATE($D$7,$D$8,N$9),2)&gt;'[14]Khai báo'!$B$4,"","X")</f>
        <v>X</v>
      </c>
      <c r="O25" s="35" t="str">
        <f>IF(WEEKDAY(DATE($D$7,$D$8,O$9),2)&gt;'[14]Khai báo'!$B$4,"","X")</f>
        <v>X</v>
      </c>
      <c r="P25" s="35" t="str">
        <f>IF(WEEKDAY(DATE($D$7,$D$8,P$9),2)&gt;'[14]Khai báo'!$B$4,"","X")</f>
        <v>X</v>
      </c>
      <c r="Q25" s="35" t="str">
        <f>IF(WEEKDAY(DATE($D$7,$D$8,Q$9),2)&gt;'[14]Khai báo'!$B$4,"","X")</f>
        <v/>
      </c>
      <c r="R25" s="35" t="str">
        <f>IF(WEEKDAY(DATE($D$7,$D$8,R$9),2)&gt;'[14]Khai báo'!$B$4,"","X")</f>
        <v>X</v>
      </c>
      <c r="S25" s="35" t="str">
        <f>IF(WEEKDAY(DATE($D$7,$D$8,S$9),2)&gt;'[14]Khai báo'!$B$4,"","X")</f>
        <v>X</v>
      </c>
      <c r="T25" s="35" t="str">
        <f>IF(WEEKDAY(DATE($D$7,$D$8,T$9),2)&gt;'[14]Khai báo'!$B$4,"","X")</f>
        <v>X</v>
      </c>
      <c r="U25" s="35" t="str">
        <f>IF(WEEKDAY(DATE($D$7,$D$8,U$9),2)&gt;'[14]Khai báo'!$B$4,"","X")</f>
        <v>X</v>
      </c>
      <c r="V25" s="35" t="str">
        <f>IF(WEEKDAY(DATE($D$7,$D$8,V$9),2)&gt;'[14]Khai báo'!$B$4,"","X")</f>
        <v>X</v>
      </c>
      <c r="W25" s="35" t="str">
        <f>IF(WEEKDAY(DATE($D$7,$D$8,W$9),2)&gt;'[14]Khai báo'!$B$4,"","X")</f>
        <v>X</v>
      </c>
      <c r="X25" s="35" t="str">
        <f>IF(WEEKDAY(DATE($D$7,$D$8,X$9),2)&gt;'[14]Khai báo'!$B$4,"","X")</f>
        <v/>
      </c>
      <c r="Y25" s="35" t="str">
        <f>IF(WEEKDAY(DATE($D$7,$D$8,Y$9),2)&gt;'[14]Khai báo'!$B$4,"","X")</f>
        <v>X</v>
      </c>
      <c r="Z25" s="35" t="str">
        <f>IF(WEEKDAY(DATE($D$7,$D$8,Z$9),2)&gt;'[14]Khai báo'!$B$4,"","X")</f>
        <v>X</v>
      </c>
      <c r="AA25" s="35" t="str">
        <f>IF(WEEKDAY(DATE($D$7,$D$8,AA$9),2)&gt;'[14]Khai báo'!$B$4,"","X")</f>
        <v>X</v>
      </c>
      <c r="AB25" s="35" t="str">
        <f>IF(WEEKDAY(DATE($D$7,$D$8,AB$9),2)&gt;'[14]Khai báo'!$B$4,"","X")</f>
        <v>X</v>
      </c>
      <c r="AC25" s="35" t="str">
        <f>IF(WEEKDAY(DATE($D$7,$D$8,AC$9),2)&gt;'[14]Khai báo'!$B$4,"","X")</f>
        <v>X</v>
      </c>
      <c r="AD25" s="35" t="str">
        <f>IF(WEEKDAY(DATE($D$7,$D$8,AD$9),2)&gt;'[14]Khai báo'!$B$4,"","X")</f>
        <v>X</v>
      </c>
      <c r="AE25" s="35" t="str">
        <f>IF(WEEKDAY(DATE($D$7,$D$8,AE$9),2)&gt;'[14]Khai báo'!$B$4,"","X")</f>
        <v/>
      </c>
      <c r="AF25" s="35" t="str">
        <f>IF(WEEKDAY(DATE($D$7,$D$8,AF$9),2)&gt;'[14]Khai báo'!$B$4,"","X")</f>
        <v>X</v>
      </c>
      <c r="AG25" s="35" t="str">
        <f>IF(WEEKDAY(DATE($D$7,$D$8,AG$9),2)&gt;'[14]Khai báo'!$B$4,"","X")</f>
        <v>X</v>
      </c>
      <c r="AH25" s="35" t="str">
        <f>IF(WEEKDAY(DATE($D$7,$D$8,AH$9),2)&gt;'[14]Khai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2487</v>
      </c>
      <c r="D26" s="36" t="s">
        <v>2482</v>
      </c>
      <c r="E26" s="35" t="str">
        <f>IF(WEEKDAY(DATE($D$7,$D$8,E$9),2)&gt;'[14]Khai báo'!$B$4,"","X")</f>
        <v>X</v>
      </c>
      <c r="F26" s="35" t="str">
        <f>IF(WEEKDAY(DATE($D$7,$D$8,F$9),2)&gt;'[14]Khai báo'!$B$4,"","X")</f>
        <v>X</v>
      </c>
      <c r="G26" s="35" t="str">
        <f>IF(WEEKDAY(DATE($D$7,$D$8,G$9),2)&gt;'[14]Khai báo'!$B$4,"","X")</f>
        <v>X</v>
      </c>
      <c r="H26" s="35" t="str">
        <f>IF(WEEKDAY(DATE($D$7,$D$8,H$9),2)&gt;'[14]Khai báo'!$B$4,"","X")</f>
        <v>X</v>
      </c>
      <c r="I26" s="35" t="str">
        <f>IF(WEEKDAY(DATE($D$7,$D$8,I$9),2)&gt;'[14]Khai báo'!$B$4,"","X")</f>
        <v>X</v>
      </c>
      <c r="J26" s="35" t="str">
        <f>IF(WEEKDAY(DATE($D$7,$D$8,J$9),2)&gt;'[14]Khai báo'!$B$4,"","X")</f>
        <v/>
      </c>
      <c r="K26" s="35" t="str">
        <f>IF(WEEKDAY(DATE($D$7,$D$8,K$9),2)&gt;'[14]Khai báo'!$B$4,"","X")</f>
        <v>X</v>
      </c>
      <c r="L26" s="35" t="str">
        <f>IF(WEEKDAY(DATE($D$7,$D$8,L$9),2)&gt;'[14]Khai báo'!$B$4,"","X")</f>
        <v>X</v>
      </c>
      <c r="M26" s="35" t="str">
        <f>IF(WEEKDAY(DATE($D$7,$D$8,M$9),2)&gt;'[14]Khai báo'!$B$4,"","X")</f>
        <v>X</v>
      </c>
      <c r="N26" s="35" t="str">
        <f>IF(WEEKDAY(DATE($D$7,$D$8,N$9),2)&gt;'[14]Khai báo'!$B$4,"","X")</f>
        <v>X</v>
      </c>
      <c r="O26" s="35" t="str">
        <f>IF(WEEKDAY(DATE($D$7,$D$8,O$9),2)&gt;'[14]Khai báo'!$B$4,"","X")</f>
        <v>X</v>
      </c>
      <c r="P26" s="35" t="str">
        <f>IF(WEEKDAY(DATE($D$7,$D$8,P$9),2)&gt;'[14]Khai báo'!$B$4,"","X")</f>
        <v>X</v>
      </c>
      <c r="Q26" s="35" t="str">
        <f>IF(WEEKDAY(DATE($D$7,$D$8,Q$9),2)&gt;'[14]Khai báo'!$B$4,"","X")</f>
        <v/>
      </c>
      <c r="R26" s="35" t="str">
        <f>IF(WEEKDAY(DATE($D$7,$D$8,R$9),2)&gt;'[14]Khai báo'!$B$4,"","X")</f>
        <v>X</v>
      </c>
      <c r="S26" s="35" t="str">
        <f>IF(WEEKDAY(DATE($D$7,$D$8,S$9),2)&gt;'[14]Khai báo'!$B$4,"","X")</f>
        <v>X</v>
      </c>
      <c r="T26" s="35" t="str">
        <f>IF(WEEKDAY(DATE($D$7,$D$8,T$9),2)&gt;'[14]Khai báo'!$B$4,"","X")</f>
        <v>X</v>
      </c>
      <c r="U26" s="35" t="str">
        <f>IF(WEEKDAY(DATE($D$7,$D$8,U$9),2)&gt;'[14]Khai báo'!$B$4,"","X")</f>
        <v>X</v>
      </c>
      <c r="V26" s="35" t="str">
        <f>IF(WEEKDAY(DATE($D$7,$D$8,V$9),2)&gt;'[14]Khai báo'!$B$4,"","X")</f>
        <v>X</v>
      </c>
      <c r="W26" s="35" t="str">
        <f>IF(WEEKDAY(DATE($D$7,$D$8,W$9),2)&gt;'[14]Khai báo'!$B$4,"","X")</f>
        <v>X</v>
      </c>
      <c r="X26" s="35" t="str">
        <f>IF(WEEKDAY(DATE($D$7,$D$8,X$9),2)&gt;'[14]Khai báo'!$B$4,"","X")</f>
        <v/>
      </c>
      <c r="Y26" s="35" t="str">
        <f>IF(WEEKDAY(DATE($D$7,$D$8,Y$9),2)&gt;'[14]Khai báo'!$B$4,"","X")</f>
        <v>X</v>
      </c>
      <c r="Z26" s="35" t="str">
        <f>IF(WEEKDAY(DATE($D$7,$D$8,Z$9),2)&gt;'[14]Khai báo'!$B$4,"","X")</f>
        <v>X</v>
      </c>
      <c r="AA26" s="35" t="str">
        <f>IF(WEEKDAY(DATE($D$7,$D$8,AA$9),2)&gt;'[14]Khai báo'!$B$4,"","X")</f>
        <v>X</v>
      </c>
      <c r="AB26" s="35" t="str">
        <f>IF(WEEKDAY(DATE($D$7,$D$8,AB$9),2)&gt;'[14]Khai báo'!$B$4,"","X")</f>
        <v>X</v>
      </c>
      <c r="AC26" s="35" t="str">
        <f>IF(WEEKDAY(DATE($D$7,$D$8,AC$9),2)&gt;'[14]Khai báo'!$B$4,"","X")</f>
        <v>X</v>
      </c>
      <c r="AD26" s="35" t="str">
        <f>IF(WEEKDAY(DATE($D$7,$D$8,AD$9),2)&gt;'[14]Khai báo'!$B$4,"","X")</f>
        <v>X</v>
      </c>
      <c r="AE26" s="35" t="str">
        <f>IF(WEEKDAY(DATE($D$7,$D$8,AE$9),2)&gt;'[14]Khai báo'!$B$4,"","X")</f>
        <v/>
      </c>
      <c r="AF26" s="35" t="str">
        <f>IF(WEEKDAY(DATE($D$7,$D$8,AF$9),2)&gt;'[14]Khai báo'!$B$4,"","X")</f>
        <v>X</v>
      </c>
      <c r="AG26" s="35" t="str">
        <f>IF(WEEKDAY(DATE($D$7,$D$8,AG$9),2)&gt;'[14]Khai báo'!$B$4,"","X")</f>
        <v>X</v>
      </c>
      <c r="AH26" s="35" t="str">
        <f>IF(WEEKDAY(DATE($D$7,$D$8,AH$9),2)&gt;'[14]Khai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2488</v>
      </c>
      <c r="D27" s="36" t="s">
        <v>2482</v>
      </c>
      <c r="E27" s="35" t="str">
        <f>IF(WEEKDAY(DATE($D$7,$D$8,E$9),2)&gt;'[14]Khai báo'!$B$4,"","X")</f>
        <v>X</v>
      </c>
      <c r="F27" s="35" t="str">
        <f>IF(WEEKDAY(DATE($D$7,$D$8,F$9),2)&gt;'[14]Khai báo'!$B$4,"","X")</f>
        <v>X</v>
      </c>
      <c r="G27" s="35" t="str">
        <f>IF(WEEKDAY(DATE($D$7,$D$8,G$9),2)&gt;'[14]Khai báo'!$B$4,"","X")</f>
        <v>X</v>
      </c>
      <c r="H27" s="35" t="str">
        <f>IF(WEEKDAY(DATE($D$7,$D$8,H$9),2)&gt;'[14]Khai báo'!$B$4,"","X")</f>
        <v>X</v>
      </c>
      <c r="I27" s="35" t="str">
        <f>IF(WEEKDAY(DATE($D$7,$D$8,I$9),2)&gt;'[14]Khai báo'!$B$4,"","X")</f>
        <v>X</v>
      </c>
      <c r="J27" s="35" t="str">
        <f>IF(WEEKDAY(DATE($D$7,$D$8,J$9),2)&gt;'[14]Khai báo'!$B$4,"","X")</f>
        <v/>
      </c>
      <c r="K27" s="35" t="str">
        <f>IF(WEEKDAY(DATE($D$7,$D$8,K$9),2)&gt;'[14]Khai báo'!$B$4,"","X")</f>
        <v>X</v>
      </c>
      <c r="L27" s="35" t="str">
        <f>IF(WEEKDAY(DATE($D$7,$D$8,L$9),2)&gt;'[14]Khai báo'!$B$4,"","X")</f>
        <v>X</v>
      </c>
      <c r="M27" s="35" t="str">
        <f>IF(WEEKDAY(DATE($D$7,$D$8,M$9),2)&gt;'[14]Khai báo'!$B$4,"","X")</f>
        <v>X</v>
      </c>
      <c r="N27" s="35" t="str">
        <f>IF(WEEKDAY(DATE($D$7,$D$8,N$9),2)&gt;'[14]Khai báo'!$B$4,"","X")</f>
        <v>X</v>
      </c>
      <c r="O27" s="35" t="str">
        <f>IF(WEEKDAY(DATE($D$7,$D$8,O$9),2)&gt;'[14]Khai báo'!$B$4,"","X")</f>
        <v>X</v>
      </c>
      <c r="P27" s="35" t="str">
        <f>IF(WEEKDAY(DATE($D$7,$D$8,P$9),2)&gt;'[14]Khai báo'!$B$4,"","X")</f>
        <v>X</v>
      </c>
      <c r="Q27" s="35" t="str">
        <f>IF(WEEKDAY(DATE($D$7,$D$8,Q$9),2)&gt;'[14]Khai báo'!$B$4,"","X")</f>
        <v/>
      </c>
      <c r="R27" s="35" t="str">
        <f>IF(WEEKDAY(DATE($D$7,$D$8,R$9),2)&gt;'[14]Khai báo'!$B$4,"","X")</f>
        <v>X</v>
      </c>
      <c r="S27" s="35" t="str">
        <f>IF(WEEKDAY(DATE($D$7,$D$8,S$9),2)&gt;'[14]Khai báo'!$B$4,"","X")</f>
        <v>X</v>
      </c>
      <c r="T27" s="35" t="str">
        <f>IF(WEEKDAY(DATE($D$7,$D$8,T$9),2)&gt;'[14]Khai báo'!$B$4,"","X")</f>
        <v>X</v>
      </c>
      <c r="U27" s="35" t="str">
        <f>IF(WEEKDAY(DATE($D$7,$D$8,U$9),2)&gt;'[14]Khai báo'!$B$4,"","X")</f>
        <v>X</v>
      </c>
      <c r="V27" s="35" t="str">
        <f>IF(WEEKDAY(DATE($D$7,$D$8,V$9),2)&gt;'[14]Khai báo'!$B$4,"","X")</f>
        <v>X</v>
      </c>
      <c r="W27" s="35" t="str">
        <f>IF(WEEKDAY(DATE($D$7,$D$8,W$9),2)&gt;'[14]Khai báo'!$B$4,"","X")</f>
        <v>X</v>
      </c>
      <c r="X27" s="35" t="str">
        <f>IF(WEEKDAY(DATE($D$7,$D$8,X$9),2)&gt;'[14]Khai báo'!$B$4,"","X")</f>
        <v/>
      </c>
      <c r="Y27" s="35" t="str">
        <f>IF(WEEKDAY(DATE($D$7,$D$8,Y$9),2)&gt;'[14]Khai báo'!$B$4,"","X")</f>
        <v>X</v>
      </c>
      <c r="Z27" s="35" t="str">
        <f>IF(WEEKDAY(DATE($D$7,$D$8,Z$9),2)&gt;'[14]Khai báo'!$B$4,"","X")</f>
        <v>X</v>
      </c>
      <c r="AA27" s="35" t="str">
        <f>IF(WEEKDAY(DATE($D$7,$D$8,AA$9),2)&gt;'[14]Khai báo'!$B$4,"","X")</f>
        <v>X</v>
      </c>
      <c r="AB27" s="35" t="str">
        <f>IF(WEEKDAY(DATE($D$7,$D$8,AB$9),2)&gt;'[14]Khai báo'!$B$4,"","X")</f>
        <v>X</v>
      </c>
      <c r="AC27" s="35" t="str">
        <f>IF(WEEKDAY(DATE($D$7,$D$8,AC$9),2)&gt;'[14]Khai báo'!$B$4,"","X")</f>
        <v>X</v>
      </c>
      <c r="AD27" s="35" t="str">
        <f>IF(WEEKDAY(DATE($D$7,$D$8,AD$9),2)&gt;'[14]Khai báo'!$B$4,"","X")</f>
        <v>X</v>
      </c>
      <c r="AE27" s="35" t="str">
        <f>IF(WEEKDAY(DATE($D$7,$D$8,AE$9),2)&gt;'[14]Khai báo'!$B$4,"","X")</f>
        <v/>
      </c>
      <c r="AF27" s="35" t="str">
        <f>IF(WEEKDAY(DATE($D$7,$D$8,AF$9),2)&gt;'[14]Khai báo'!$B$4,"","X")</f>
        <v>X</v>
      </c>
      <c r="AG27" s="35" t="str">
        <f>IF(WEEKDAY(DATE($D$7,$D$8,AG$9),2)&gt;'[14]Khai báo'!$B$4,"","X")</f>
        <v>X</v>
      </c>
      <c r="AH27" s="35" t="str">
        <f>IF(WEEKDAY(DATE($D$7,$D$8,AH$9),2)&gt;'[14]Khai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2489</v>
      </c>
      <c r="D28" s="36" t="s">
        <v>2482</v>
      </c>
      <c r="E28" s="35" t="str">
        <f>IF(WEEKDAY(DATE($D$7,$D$8,E$9),2)&gt;'[14]Khai báo'!$B$4,"","X")</f>
        <v>X</v>
      </c>
      <c r="F28" s="35" t="str">
        <f>IF(WEEKDAY(DATE($D$7,$D$8,F$9),2)&gt;'[14]Khai báo'!$B$4,"","X")</f>
        <v>X</v>
      </c>
      <c r="G28" s="35" t="str">
        <f>IF(WEEKDAY(DATE($D$7,$D$8,G$9),2)&gt;'[14]Khai báo'!$B$4,"","X")</f>
        <v>X</v>
      </c>
      <c r="H28" s="35" t="str">
        <f>IF(WEEKDAY(DATE($D$7,$D$8,H$9),2)&gt;'[14]Khai báo'!$B$4,"","X")</f>
        <v>X</v>
      </c>
      <c r="I28" s="35" t="str">
        <f>IF(WEEKDAY(DATE($D$7,$D$8,I$9),2)&gt;'[14]Khai báo'!$B$4,"","X")</f>
        <v>X</v>
      </c>
      <c r="J28" s="35" t="str">
        <f>IF(WEEKDAY(DATE($D$7,$D$8,J$9),2)&gt;'[14]Khai báo'!$B$4,"","X")</f>
        <v/>
      </c>
      <c r="K28" s="35" t="str">
        <f>IF(WEEKDAY(DATE($D$7,$D$8,K$9),2)&gt;'[14]Khai báo'!$B$4,"","X")</f>
        <v>X</v>
      </c>
      <c r="L28" s="35" t="str">
        <f>IF(WEEKDAY(DATE($D$7,$D$8,L$9),2)&gt;'[14]Khai báo'!$B$4,"","X")</f>
        <v>X</v>
      </c>
      <c r="M28" s="35" t="str">
        <f>IF(WEEKDAY(DATE($D$7,$D$8,M$9),2)&gt;'[14]Khai báo'!$B$4,"","X")</f>
        <v>X</v>
      </c>
      <c r="N28" s="35" t="str">
        <f>IF(WEEKDAY(DATE($D$7,$D$8,N$9),2)&gt;'[14]Khai báo'!$B$4,"","X")</f>
        <v>X</v>
      </c>
      <c r="O28" s="35" t="str">
        <f>IF(WEEKDAY(DATE($D$7,$D$8,O$9),2)&gt;'[14]Khai báo'!$B$4,"","X")</f>
        <v>X</v>
      </c>
      <c r="P28" s="35" t="str">
        <f>IF(WEEKDAY(DATE($D$7,$D$8,P$9),2)&gt;'[14]Khai báo'!$B$4,"","X")</f>
        <v>X</v>
      </c>
      <c r="Q28" s="35" t="str">
        <f>IF(WEEKDAY(DATE($D$7,$D$8,Q$9),2)&gt;'[14]Khai báo'!$B$4,"","X")</f>
        <v/>
      </c>
      <c r="R28" s="35" t="str">
        <f>IF(WEEKDAY(DATE($D$7,$D$8,R$9),2)&gt;'[14]Khai báo'!$B$4,"","X")</f>
        <v>X</v>
      </c>
      <c r="S28" s="35" t="str">
        <f>IF(WEEKDAY(DATE($D$7,$D$8,S$9),2)&gt;'[14]Khai báo'!$B$4,"","X")</f>
        <v>X</v>
      </c>
      <c r="T28" s="35" t="str">
        <f>IF(WEEKDAY(DATE($D$7,$D$8,T$9),2)&gt;'[14]Khai báo'!$B$4,"","X")</f>
        <v>X</v>
      </c>
      <c r="U28" s="35" t="str">
        <f>IF(WEEKDAY(DATE($D$7,$D$8,U$9),2)&gt;'[14]Khai báo'!$B$4,"","X")</f>
        <v>X</v>
      </c>
      <c r="V28" s="35" t="str">
        <f>IF(WEEKDAY(DATE($D$7,$D$8,V$9),2)&gt;'[14]Khai báo'!$B$4,"","X")</f>
        <v>X</v>
      </c>
      <c r="W28" s="35" t="str">
        <f>IF(WEEKDAY(DATE($D$7,$D$8,W$9),2)&gt;'[14]Khai báo'!$B$4,"","X")</f>
        <v>X</v>
      </c>
      <c r="X28" s="35" t="str">
        <f>IF(WEEKDAY(DATE($D$7,$D$8,X$9),2)&gt;'[14]Khai báo'!$B$4,"","X")</f>
        <v/>
      </c>
      <c r="Y28" s="35" t="str">
        <f>IF(WEEKDAY(DATE($D$7,$D$8,Y$9),2)&gt;'[14]Khai báo'!$B$4,"","X")</f>
        <v>X</v>
      </c>
      <c r="Z28" s="35" t="str">
        <f>IF(WEEKDAY(DATE($D$7,$D$8,Z$9),2)&gt;'[14]Khai báo'!$B$4,"","X")</f>
        <v>X</v>
      </c>
      <c r="AA28" s="35" t="str">
        <f>IF(WEEKDAY(DATE($D$7,$D$8,AA$9),2)&gt;'[14]Khai báo'!$B$4,"","X")</f>
        <v>X</v>
      </c>
      <c r="AB28" s="35" t="str">
        <f>IF(WEEKDAY(DATE($D$7,$D$8,AB$9),2)&gt;'[14]Khai báo'!$B$4,"","X")</f>
        <v>X</v>
      </c>
      <c r="AC28" s="35" t="str">
        <f>IF(WEEKDAY(DATE($D$7,$D$8,AC$9),2)&gt;'[14]Khai báo'!$B$4,"","X")</f>
        <v>X</v>
      </c>
      <c r="AD28" s="35" t="str">
        <f>IF(WEEKDAY(DATE($D$7,$D$8,AD$9),2)&gt;'[14]Khai báo'!$B$4,"","X")</f>
        <v>X</v>
      </c>
      <c r="AE28" s="35" t="str">
        <f>IF(WEEKDAY(DATE($D$7,$D$8,AE$9),2)&gt;'[14]Khai báo'!$B$4,"","X")</f>
        <v/>
      </c>
      <c r="AF28" s="35" t="str">
        <f>IF(WEEKDAY(DATE($D$7,$D$8,AF$9),2)&gt;'[14]Khai báo'!$B$4,"","X")</f>
        <v>X</v>
      </c>
      <c r="AG28" s="35" t="str">
        <f>IF(WEEKDAY(DATE($D$7,$D$8,AG$9),2)&gt;'[14]Khai báo'!$B$4,"","X")</f>
        <v>X</v>
      </c>
      <c r="AH28" s="35" t="str">
        <f>IF(WEEKDAY(DATE($D$7,$D$8,AH$9),2)&gt;'[14]Khai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2490</v>
      </c>
      <c r="D29" s="36" t="s">
        <v>2482</v>
      </c>
      <c r="E29" s="35" t="str">
        <f>IF(WEEKDAY(DATE($D$7,$D$8,E$9),2)&gt;'[14]Khai báo'!$B$4,"","X")</f>
        <v>X</v>
      </c>
      <c r="F29" s="35" t="str">
        <f>IF(WEEKDAY(DATE($D$7,$D$8,F$9),2)&gt;'[14]Khai báo'!$B$4,"","X")</f>
        <v>X</v>
      </c>
      <c r="G29" s="35" t="str">
        <f>IF(WEEKDAY(DATE($D$7,$D$8,G$9),2)&gt;'[14]Khai báo'!$B$4,"","X")</f>
        <v>X</v>
      </c>
      <c r="H29" s="35" t="str">
        <f>IF(WEEKDAY(DATE($D$7,$D$8,H$9),2)&gt;'[14]Khai báo'!$B$4,"","X")</f>
        <v>X</v>
      </c>
      <c r="I29" s="35" t="str">
        <f>IF(WEEKDAY(DATE($D$7,$D$8,I$9),2)&gt;'[14]Khai báo'!$B$4,"","X")</f>
        <v>X</v>
      </c>
      <c r="J29" s="35" t="str">
        <f>IF(WEEKDAY(DATE($D$7,$D$8,J$9),2)&gt;'[14]Khai báo'!$B$4,"","X")</f>
        <v/>
      </c>
      <c r="K29" s="35" t="str">
        <f>IF(WEEKDAY(DATE($D$7,$D$8,K$9),2)&gt;'[14]Khai báo'!$B$4,"","X")</f>
        <v>X</v>
      </c>
      <c r="L29" s="35" t="str">
        <f>IF(WEEKDAY(DATE($D$7,$D$8,L$9),2)&gt;'[14]Khai báo'!$B$4,"","X")</f>
        <v>X</v>
      </c>
      <c r="M29" s="35" t="str">
        <f>IF(WEEKDAY(DATE($D$7,$D$8,M$9),2)&gt;'[14]Khai báo'!$B$4,"","X")</f>
        <v>X</v>
      </c>
      <c r="N29" s="35" t="str">
        <f>IF(WEEKDAY(DATE($D$7,$D$8,N$9),2)&gt;'[14]Khai báo'!$B$4,"","X")</f>
        <v>X</v>
      </c>
      <c r="O29" s="35" t="str">
        <f>IF(WEEKDAY(DATE($D$7,$D$8,O$9),2)&gt;'[14]Khai báo'!$B$4,"","X")</f>
        <v>X</v>
      </c>
      <c r="P29" s="35" t="str">
        <f>IF(WEEKDAY(DATE($D$7,$D$8,P$9),2)&gt;'[14]Khai báo'!$B$4,"","X")</f>
        <v>X</v>
      </c>
      <c r="Q29" s="35" t="str">
        <f>IF(WEEKDAY(DATE($D$7,$D$8,Q$9),2)&gt;'[14]Khai báo'!$B$4,"","X")</f>
        <v/>
      </c>
      <c r="R29" s="35" t="str">
        <f>IF(WEEKDAY(DATE($D$7,$D$8,R$9),2)&gt;'[14]Khai báo'!$B$4,"","X")</f>
        <v>X</v>
      </c>
      <c r="S29" s="35" t="str">
        <f>IF(WEEKDAY(DATE($D$7,$D$8,S$9),2)&gt;'[14]Khai báo'!$B$4,"","X")</f>
        <v>X</v>
      </c>
      <c r="T29" s="35" t="str">
        <f>IF(WEEKDAY(DATE($D$7,$D$8,T$9),2)&gt;'[14]Khai báo'!$B$4,"","X")</f>
        <v>X</v>
      </c>
      <c r="U29" s="35" t="str">
        <f>IF(WEEKDAY(DATE($D$7,$D$8,U$9),2)&gt;'[14]Khai báo'!$B$4,"","X")</f>
        <v>X</v>
      </c>
      <c r="V29" s="35" t="str">
        <f>IF(WEEKDAY(DATE($D$7,$D$8,V$9),2)&gt;'[14]Khai báo'!$B$4,"","X")</f>
        <v>X</v>
      </c>
      <c r="W29" s="35" t="str">
        <f>IF(WEEKDAY(DATE($D$7,$D$8,W$9),2)&gt;'[14]Khai báo'!$B$4,"","X")</f>
        <v>X</v>
      </c>
      <c r="X29" s="35" t="str">
        <f>IF(WEEKDAY(DATE($D$7,$D$8,X$9),2)&gt;'[14]Khai báo'!$B$4,"","X")</f>
        <v/>
      </c>
      <c r="Y29" s="35" t="str">
        <f>IF(WEEKDAY(DATE($D$7,$D$8,Y$9),2)&gt;'[14]Khai báo'!$B$4,"","X")</f>
        <v>X</v>
      </c>
      <c r="Z29" s="35" t="str">
        <f>IF(WEEKDAY(DATE($D$7,$D$8,Z$9),2)&gt;'[14]Khai báo'!$B$4,"","X")</f>
        <v>X</v>
      </c>
      <c r="AA29" s="35" t="str">
        <f>IF(WEEKDAY(DATE($D$7,$D$8,AA$9),2)&gt;'[14]Khai báo'!$B$4,"","X")</f>
        <v>X</v>
      </c>
      <c r="AB29" s="35" t="str">
        <f>IF(WEEKDAY(DATE($D$7,$D$8,AB$9),2)&gt;'[14]Khai báo'!$B$4,"","X")</f>
        <v>X</v>
      </c>
      <c r="AC29" s="35" t="str">
        <f>IF(WEEKDAY(DATE($D$7,$D$8,AC$9),2)&gt;'[14]Khai báo'!$B$4,"","X")</f>
        <v>X</v>
      </c>
      <c r="AD29" s="35" t="str">
        <f>IF(WEEKDAY(DATE($D$7,$D$8,AD$9),2)&gt;'[14]Khai báo'!$B$4,"","X")</f>
        <v>X</v>
      </c>
      <c r="AE29" s="35" t="str">
        <f>IF(WEEKDAY(DATE($D$7,$D$8,AE$9),2)&gt;'[14]Khai báo'!$B$4,"","X")</f>
        <v/>
      </c>
      <c r="AF29" s="35" t="str">
        <f>IF(WEEKDAY(DATE($D$7,$D$8,AF$9),2)&gt;'[14]Khai báo'!$B$4,"","X")</f>
        <v>X</v>
      </c>
      <c r="AG29" s="35" t="str">
        <f>IF(WEEKDAY(DATE($D$7,$D$8,AG$9),2)&gt;'[14]Khai báo'!$B$4,"","X")</f>
        <v>X</v>
      </c>
      <c r="AH29" s="35" t="str">
        <f>IF(WEEKDAY(DATE($D$7,$D$8,AH$9),2)&gt;'[14]Khai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2491</v>
      </c>
      <c r="D30" s="36" t="s">
        <v>2482</v>
      </c>
      <c r="E30" s="35" t="str">
        <f>IF(WEEKDAY(DATE($D$7,$D$8,E$9),2)&gt;'[14]Khai báo'!$B$4,"","X")</f>
        <v>X</v>
      </c>
      <c r="F30" s="35" t="str">
        <f>IF(WEEKDAY(DATE($D$7,$D$8,F$9),2)&gt;'[14]Khai báo'!$B$4,"","X")</f>
        <v>X</v>
      </c>
      <c r="G30" s="35" t="str">
        <f>IF(WEEKDAY(DATE($D$7,$D$8,G$9),2)&gt;'[14]Khai báo'!$B$4,"","X")</f>
        <v>X</v>
      </c>
      <c r="H30" s="35" t="str">
        <f>IF(WEEKDAY(DATE($D$7,$D$8,H$9),2)&gt;'[14]Khai báo'!$B$4,"","X")</f>
        <v>X</v>
      </c>
      <c r="I30" s="35" t="str">
        <f>IF(WEEKDAY(DATE($D$7,$D$8,I$9),2)&gt;'[14]Khai báo'!$B$4,"","X")</f>
        <v>X</v>
      </c>
      <c r="J30" s="35" t="str">
        <f>IF(WEEKDAY(DATE($D$7,$D$8,J$9),2)&gt;'[14]Khai báo'!$B$4,"","X")</f>
        <v/>
      </c>
      <c r="K30" s="35" t="str">
        <f>IF(WEEKDAY(DATE($D$7,$D$8,K$9),2)&gt;'[14]Khai báo'!$B$4,"","X")</f>
        <v>X</v>
      </c>
      <c r="L30" s="35" t="str">
        <f>IF(WEEKDAY(DATE($D$7,$D$8,L$9),2)&gt;'[14]Khai báo'!$B$4,"","X")</f>
        <v>X</v>
      </c>
      <c r="M30" s="35" t="str">
        <f>IF(WEEKDAY(DATE($D$7,$D$8,M$9),2)&gt;'[14]Khai báo'!$B$4,"","X")</f>
        <v>X</v>
      </c>
      <c r="N30" s="35" t="str">
        <f>IF(WEEKDAY(DATE($D$7,$D$8,N$9),2)&gt;'[14]Khai báo'!$B$4,"","X")</f>
        <v>X</v>
      </c>
      <c r="O30" s="35" t="str">
        <f>IF(WEEKDAY(DATE($D$7,$D$8,O$9),2)&gt;'[14]Khai báo'!$B$4,"","X")</f>
        <v>X</v>
      </c>
      <c r="P30" s="35" t="str">
        <f>IF(WEEKDAY(DATE($D$7,$D$8,P$9),2)&gt;'[14]Khai báo'!$B$4,"","X")</f>
        <v>X</v>
      </c>
      <c r="Q30" s="35" t="str">
        <f>IF(WEEKDAY(DATE($D$7,$D$8,Q$9),2)&gt;'[14]Khai báo'!$B$4,"","X")</f>
        <v/>
      </c>
      <c r="R30" s="35" t="str">
        <f>IF(WEEKDAY(DATE($D$7,$D$8,R$9),2)&gt;'[14]Khai báo'!$B$4,"","X")</f>
        <v>X</v>
      </c>
      <c r="S30" s="35" t="str">
        <f>IF(WEEKDAY(DATE($D$7,$D$8,S$9),2)&gt;'[14]Khai báo'!$B$4,"","X")</f>
        <v>X</v>
      </c>
      <c r="T30" s="35" t="str">
        <f>IF(WEEKDAY(DATE($D$7,$D$8,T$9),2)&gt;'[14]Khai báo'!$B$4,"","X")</f>
        <v>X</v>
      </c>
      <c r="U30" s="35" t="str">
        <f>IF(WEEKDAY(DATE($D$7,$D$8,U$9),2)&gt;'[14]Khai báo'!$B$4,"","X")</f>
        <v>X</v>
      </c>
      <c r="V30" s="35" t="str">
        <f>IF(WEEKDAY(DATE($D$7,$D$8,V$9),2)&gt;'[14]Khai báo'!$B$4,"","X")</f>
        <v>X</v>
      </c>
      <c r="W30" s="35" t="str">
        <f>IF(WEEKDAY(DATE($D$7,$D$8,W$9),2)&gt;'[14]Khai báo'!$B$4,"","X")</f>
        <v>X</v>
      </c>
      <c r="X30" s="35" t="str">
        <f>IF(WEEKDAY(DATE($D$7,$D$8,X$9),2)&gt;'[14]Khai báo'!$B$4,"","X")</f>
        <v/>
      </c>
      <c r="Y30" s="35" t="str">
        <f>IF(WEEKDAY(DATE($D$7,$D$8,Y$9),2)&gt;'[14]Khai báo'!$B$4,"","X")</f>
        <v>X</v>
      </c>
      <c r="Z30" s="35" t="str">
        <f>IF(WEEKDAY(DATE($D$7,$D$8,Z$9),2)&gt;'[14]Khai báo'!$B$4,"","X")</f>
        <v>X</v>
      </c>
      <c r="AA30" s="35" t="str">
        <f>IF(WEEKDAY(DATE($D$7,$D$8,AA$9),2)&gt;'[14]Khai báo'!$B$4,"","X")</f>
        <v>X</v>
      </c>
      <c r="AB30" s="35" t="str">
        <f>IF(WEEKDAY(DATE($D$7,$D$8,AB$9),2)&gt;'[14]Khai báo'!$B$4,"","X")</f>
        <v>X</v>
      </c>
      <c r="AC30" s="35" t="str">
        <f>IF(WEEKDAY(DATE($D$7,$D$8,AC$9),2)&gt;'[14]Khai báo'!$B$4,"","X")</f>
        <v>X</v>
      </c>
      <c r="AD30" s="35" t="str">
        <f>IF(WEEKDAY(DATE($D$7,$D$8,AD$9),2)&gt;'[14]Khai báo'!$B$4,"","X")</f>
        <v>X</v>
      </c>
      <c r="AE30" s="35" t="str">
        <f>IF(WEEKDAY(DATE($D$7,$D$8,AE$9),2)&gt;'[14]Khai báo'!$B$4,"","X")</f>
        <v/>
      </c>
      <c r="AF30" s="35" t="str">
        <f>IF(WEEKDAY(DATE($D$7,$D$8,AF$9),2)&gt;'[14]Khai báo'!$B$4,"","X")</f>
        <v>X</v>
      </c>
      <c r="AG30" s="35" t="str">
        <f>IF(WEEKDAY(DATE($D$7,$D$8,AG$9),2)&gt;'[14]Khai báo'!$B$4,"","X")</f>
        <v>X</v>
      </c>
      <c r="AH30" s="35" t="str">
        <f>IF(WEEKDAY(DATE($D$7,$D$8,AH$9),2)&gt;'[14]Khai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2524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2525</v>
      </c>
      <c r="D32" s="36" t="s">
        <v>1851</v>
      </c>
      <c r="E32" s="35" t="str">
        <f>IF(WEEKDAY(DATE($D$7,$D$8,E$9),2)&gt;'[14]Khai báo'!$B$4,"","X")</f>
        <v>X</v>
      </c>
      <c r="F32" s="35" t="str">
        <f>IF(WEEKDAY(DATE($D$7,$D$8,F$9),2)&gt;'[14]Khai báo'!$B$4,"","X")</f>
        <v>X</v>
      </c>
      <c r="G32" s="35" t="str">
        <f>IF(WEEKDAY(DATE($D$7,$D$8,G$9),2)&gt;'[14]Khai báo'!$B$4,"","X")</f>
        <v>X</v>
      </c>
      <c r="H32" s="35" t="str">
        <f>IF(WEEKDAY(DATE($D$7,$D$8,H$9),2)&gt;'[14]Khai báo'!$B$4,"","X")</f>
        <v>X</v>
      </c>
      <c r="I32" s="35" t="str">
        <f>IF(WEEKDAY(DATE($D$7,$D$8,I$9),2)&gt;'[14]Khai báo'!$B$4,"","X")</f>
        <v>X</v>
      </c>
      <c r="J32" s="35" t="str">
        <f>IF(WEEKDAY(DATE($D$7,$D$8,J$9),2)&gt;'[14]Khai báo'!$B$4,"","X")</f>
        <v/>
      </c>
      <c r="K32" s="35" t="str">
        <f>IF(WEEKDAY(DATE($D$7,$D$8,K$9),2)&gt;'[14]Khai báo'!$B$4,"","X")</f>
        <v>X</v>
      </c>
      <c r="L32" s="35" t="str">
        <f>IF(WEEKDAY(DATE($D$7,$D$8,L$9),2)&gt;'[14]Khai báo'!$B$4,"","X")</f>
        <v>X</v>
      </c>
      <c r="M32" s="35" t="str">
        <f>IF(WEEKDAY(DATE($D$7,$D$8,M$9),2)&gt;'[14]Khai báo'!$B$4,"","X")</f>
        <v>X</v>
      </c>
      <c r="N32" s="35" t="str">
        <f>IF(WEEKDAY(DATE($D$7,$D$8,N$9),2)&gt;'[14]Khai báo'!$B$4,"","X")</f>
        <v>X</v>
      </c>
      <c r="O32" s="35" t="str">
        <f>IF(WEEKDAY(DATE($D$7,$D$8,O$9),2)&gt;'[14]Khai báo'!$B$4,"","X")</f>
        <v>X</v>
      </c>
      <c r="P32" s="35" t="str">
        <f>IF(WEEKDAY(DATE($D$7,$D$8,P$9),2)&gt;'[14]Khai báo'!$B$4,"","X")</f>
        <v>X</v>
      </c>
      <c r="Q32" s="35" t="str">
        <f>IF(WEEKDAY(DATE($D$7,$D$8,Q$9),2)&gt;'[14]Khai báo'!$B$4,"","X")</f>
        <v/>
      </c>
      <c r="R32" s="35" t="str">
        <f>IF(WEEKDAY(DATE($D$7,$D$8,R$9),2)&gt;'[14]Khai báo'!$B$4,"","X")</f>
        <v>X</v>
      </c>
      <c r="S32" s="35" t="str">
        <f>IF(WEEKDAY(DATE($D$7,$D$8,S$9),2)&gt;'[14]Khai báo'!$B$4,"","X")</f>
        <v>X</v>
      </c>
      <c r="T32" s="35" t="str">
        <f>IF(WEEKDAY(DATE($D$7,$D$8,T$9),2)&gt;'[14]Khai báo'!$B$4,"","X")</f>
        <v>X</v>
      </c>
      <c r="U32" s="35" t="str">
        <f>IF(WEEKDAY(DATE($D$7,$D$8,U$9),2)&gt;'[14]Khai báo'!$B$4,"","X")</f>
        <v>X</v>
      </c>
      <c r="V32" s="35" t="str">
        <f>IF(WEEKDAY(DATE($D$7,$D$8,V$9),2)&gt;'[14]Khai báo'!$B$4,"","X")</f>
        <v>X</v>
      </c>
      <c r="W32" s="35" t="str">
        <f>IF(WEEKDAY(DATE($D$7,$D$8,W$9),2)&gt;'[14]Khai báo'!$B$4,"","X")</f>
        <v>X</v>
      </c>
      <c r="X32" s="35" t="str">
        <f>IF(WEEKDAY(DATE($D$7,$D$8,X$9),2)&gt;'[14]Khai báo'!$B$4,"","X")</f>
        <v/>
      </c>
      <c r="Y32" s="35" t="str">
        <f>IF(WEEKDAY(DATE($D$7,$D$8,Y$9),2)&gt;'[14]Khai báo'!$B$4,"","X")</f>
        <v>X</v>
      </c>
      <c r="Z32" s="35" t="str">
        <f>IF(WEEKDAY(DATE($D$7,$D$8,Z$9),2)&gt;'[14]Khai báo'!$B$4,"","X")</f>
        <v>X</v>
      </c>
      <c r="AA32" s="35" t="str">
        <f>IF(WEEKDAY(DATE($D$7,$D$8,AA$9),2)&gt;'[14]Khai báo'!$B$4,"","X")</f>
        <v>X</v>
      </c>
      <c r="AB32" s="35" t="str">
        <f>IF(WEEKDAY(DATE($D$7,$D$8,AB$9),2)&gt;'[14]Khai báo'!$B$4,"","X")</f>
        <v>X</v>
      </c>
      <c r="AC32" s="35" t="str">
        <f>IF(WEEKDAY(DATE($D$7,$D$8,AC$9),2)&gt;'[14]Khai báo'!$B$4,"","X")</f>
        <v>X</v>
      </c>
      <c r="AD32" s="35" t="str">
        <f>IF(WEEKDAY(DATE($D$7,$D$8,AD$9),2)&gt;'[14]Khai báo'!$B$4,"","X")</f>
        <v>X</v>
      </c>
      <c r="AE32" s="35" t="str">
        <f>IF(WEEKDAY(DATE($D$7,$D$8,AE$9),2)&gt;'[14]Khai báo'!$B$4,"","X")</f>
        <v/>
      </c>
      <c r="AF32" s="35" t="str">
        <f>IF(WEEKDAY(DATE($D$7,$D$8,AF$9),2)&gt;'[14]Khai báo'!$B$4,"","X")</f>
        <v>X</v>
      </c>
      <c r="AG32" s="35" t="str">
        <f>IF(WEEKDAY(DATE($D$7,$D$8,AG$9),2)&gt;'[14]Khai báo'!$B$4,"","X")</f>
        <v>X</v>
      </c>
      <c r="AH32" s="35" t="str">
        <f>IF(WEEKDAY(DATE($D$7,$D$8,AH$9),2)&gt;'[14]Khai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2492</v>
      </c>
      <c r="D33" s="36" t="s">
        <v>1851</v>
      </c>
      <c r="E33" s="35" t="str">
        <f>IF(WEEKDAY(DATE($D$7,$D$8,E$9),2)&gt;'[14]Khai báo'!$B$4,"","X")</f>
        <v>X</v>
      </c>
      <c r="F33" s="35" t="str">
        <f>IF(WEEKDAY(DATE($D$7,$D$8,F$9),2)&gt;'[14]Khai báo'!$B$4,"","X")</f>
        <v>X</v>
      </c>
      <c r="G33" s="35" t="str">
        <f>IF(WEEKDAY(DATE($D$7,$D$8,G$9),2)&gt;'[14]Khai báo'!$B$4,"","X")</f>
        <v>X</v>
      </c>
      <c r="H33" s="35" t="str">
        <f>IF(WEEKDAY(DATE($D$7,$D$8,H$9),2)&gt;'[14]Khai báo'!$B$4,"","X")</f>
        <v>X</v>
      </c>
      <c r="I33" s="35" t="str">
        <f>IF(WEEKDAY(DATE($D$7,$D$8,I$9),2)&gt;'[14]Khai báo'!$B$4,"","X")</f>
        <v>X</v>
      </c>
      <c r="J33" s="35" t="str">
        <f>IF(WEEKDAY(DATE($D$7,$D$8,J$9),2)&gt;'[14]Khai báo'!$B$4,"","X")</f>
        <v/>
      </c>
      <c r="K33" s="35" t="str">
        <f>IF(WEEKDAY(DATE($D$7,$D$8,K$9),2)&gt;'[14]Khai báo'!$B$4,"","X")</f>
        <v>X</v>
      </c>
      <c r="L33" s="35" t="str">
        <f>IF(WEEKDAY(DATE($D$7,$D$8,L$9),2)&gt;'[14]Khai báo'!$B$4,"","X")</f>
        <v>X</v>
      </c>
      <c r="M33" s="35" t="str">
        <f>IF(WEEKDAY(DATE($D$7,$D$8,M$9),2)&gt;'[14]Khai báo'!$B$4,"","X")</f>
        <v>X</v>
      </c>
      <c r="N33" s="35" t="str">
        <f>IF(WEEKDAY(DATE($D$7,$D$8,N$9),2)&gt;'[14]Khai báo'!$B$4,"","X")</f>
        <v>X</v>
      </c>
      <c r="O33" s="35" t="str">
        <f>IF(WEEKDAY(DATE($D$7,$D$8,O$9),2)&gt;'[14]Khai báo'!$B$4,"","X")</f>
        <v>X</v>
      </c>
      <c r="P33" s="35" t="str">
        <f>IF(WEEKDAY(DATE($D$7,$D$8,P$9),2)&gt;'[14]Khai báo'!$B$4,"","X")</f>
        <v>X</v>
      </c>
      <c r="Q33" s="35" t="str">
        <f>IF(WEEKDAY(DATE($D$7,$D$8,Q$9),2)&gt;'[14]Khai báo'!$B$4,"","X")</f>
        <v/>
      </c>
      <c r="R33" s="35" t="str">
        <f>IF(WEEKDAY(DATE($D$7,$D$8,R$9),2)&gt;'[14]Khai báo'!$B$4,"","X")</f>
        <v>X</v>
      </c>
      <c r="S33" s="35" t="str">
        <f>IF(WEEKDAY(DATE($D$7,$D$8,S$9),2)&gt;'[14]Khai báo'!$B$4,"","X")</f>
        <v>X</v>
      </c>
      <c r="T33" s="35" t="str">
        <f>IF(WEEKDAY(DATE($D$7,$D$8,T$9),2)&gt;'[14]Khai báo'!$B$4,"","X")</f>
        <v>X</v>
      </c>
      <c r="U33" s="35" t="str">
        <f>IF(WEEKDAY(DATE($D$7,$D$8,U$9),2)&gt;'[14]Khai báo'!$B$4,"","X")</f>
        <v>X</v>
      </c>
      <c r="V33" s="35" t="str">
        <f>IF(WEEKDAY(DATE($D$7,$D$8,V$9),2)&gt;'[14]Khai báo'!$B$4,"","X")</f>
        <v>X</v>
      </c>
      <c r="W33" s="35" t="str">
        <f>IF(WEEKDAY(DATE($D$7,$D$8,W$9),2)&gt;'[14]Khai báo'!$B$4,"","X")</f>
        <v>X</v>
      </c>
      <c r="X33" s="35" t="str">
        <f>IF(WEEKDAY(DATE($D$7,$D$8,X$9),2)&gt;'[14]Khai báo'!$B$4,"","X")</f>
        <v/>
      </c>
      <c r="Y33" s="35" t="str">
        <f>IF(WEEKDAY(DATE($D$7,$D$8,Y$9),2)&gt;'[14]Khai báo'!$B$4,"","X")</f>
        <v>X</v>
      </c>
      <c r="Z33" s="35" t="str">
        <f>IF(WEEKDAY(DATE($D$7,$D$8,Z$9),2)&gt;'[14]Khai báo'!$B$4,"","X")</f>
        <v>X</v>
      </c>
      <c r="AA33" s="35" t="str">
        <f>IF(WEEKDAY(DATE($D$7,$D$8,AA$9),2)&gt;'[14]Khai báo'!$B$4,"","X")</f>
        <v>X</v>
      </c>
      <c r="AB33" s="35" t="str">
        <f>IF(WEEKDAY(DATE($D$7,$D$8,AB$9),2)&gt;'[14]Khai báo'!$B$4,"","X")</f>
        <v>X</v>
      </c>
      <c r="AC33" s="35" t="str">
        <f>IF(WEEKDAY(DATE($D$7,$D$8,AC$9),2)&gt;'[14]Khai báo'!$B$4,"","X")</f>
        <v>X</v>
      </c>
      <c r="AD33" s="35" t="str">
        <f>IF(WEEKDAY(DATE($D$7,$D$8,AD$9),2)&gt;'[14]Khai báo'!$B$4,"","X")</f>
        <v>X</v>
      </c>
      <c r="AE33" s="35" t="str">
        <f>IF(WEEKDAY(DATE($D$7,$D$8,AE$9),2)&gt;'[14]Khai báo'!$B$4,"","X")</f>
        <v/>
      </c>
      <c r="AF33" s="35" t="str">
        <f>IF(WEEKDAY(DATE($D$7,$D$8,AF$9),2)&gt;'[14]Khai báo'!$B$4,"","X")</f>
        <v>X</v>
      </c>
      <c r="AG33" s="35" t="str">
        <f>IF(WEEKDAY(DATE($D$7,$D$8,AG$9),2)&gt;'[14]Khai báo'!$B$4,"","X")</f>
        <v>X</v>
      </c>
      <c r="AH33" s="35" t="str">
        <f>IF(WEEKDAY(DATE($D$7,$D$8,AH$9),2)&gt;'[14]Khai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2493</v>
      </c>
      <c r="D34" s="186" t="s">
        <v>1851</v>
      </c>
      <c r="E34" s="35" t="str">
        <f>IF(WEEKDAY(DATE($D$7,$D$8,E$9),2)&gt;'[14]Khai báo'!$B$4,"","X")</f>
        <v>X</v>
      </c>
      <c r="F34" s="35" t="str">
        <f>IF(WEEKDAY(DATE($D$7,$D$8,F$9),2)&gt;'[14]Khai báo'!$B$4,"","X")</f>
        <v>X</v>
      </c>
      <c r="G34" s="35" t="str">
        <f>IF(WEEKDAY(DATE($D$7,$D$8,G$9),2)&gt;'[14]Khai báo'!$B$4,"","X")</f>
        <v>X</v>
      </c>
      <c r="H34" s="35" t="str">
        <f>IF(WEEKDAY(DATE($D$7,$D$8,H$9),2)&gt;'[14]Khai báo'!$B$4,"","X")</f>
        <v>X</v>
      </c>
      <c r="I34" s="35" t="str">
        <f>IF(WEEKDAY(DATE($D$7,$D$8,I$9),2)&gt;'[14]Khai báo'!$B$4,"","X")</f>
        <v>X</v>
      </c>
      <c r="J34" s="35" t="str">
        <f>IF(WEEKDAY(DATE($D$7,$D$8,J$9),2)&gt;'[14]Khai báo'!$B$4,"","X")</f>
        <v/>
      </c>
      <c r="K34" s="35" t="str">
        <f>IF(WEEKDAY(DATE($D$7,$D$8,K$9),2)&gt;'[14]Khai báo'!$B$4,"","X")</f>
        <v>X</v>
      </c>
      <c r="L34" s="35" t="str">
        <f>IF(WEEKDAY(DATE($D$7,$D$8,L$9),2)&gt;'[14]Khai báo'!$B$4,"","X")</f>
        <v>X</v>
      </c>
      <c r="M34" s="35" t="str">
        <f>IF(WEEKDAY(DATE($D$7,$D$8,M$9),2)&gt;'[14]Khai báo'!$B$4,"","X")</f>
        <v>X</v>
      </c>
      <c r="N34" s="35" t="str">
        <f>IF(WEEKDAY(DATE($D$7,$D$8,N$9),2)&gt;'[14]Khai báo'!$B$4,"","X")</f>
        <v>X</v>
      </c>
      <c r="O34" s="35" t="str">
        <f>IF(WEEKDAY(DATE($D$7,$D$8,O$9),2)&gt;'[14]Khai báo'!$B$4,"","X")</f>
        <v>X</v>
      </c>
      <c r="P34" s="35" t="str">
        <f>IF(WEEKDAY(DATE($D$7,$D$8,P$9),2)&gt;'[14]Khai báo'!$B$4,"","X")</f>
        <v>X</v>
      </c>
      <c r="Q34" s="35" t="str">
        <f>IF(WEEKDAY(DATE($D$7,$D$8,Q$9),2)&gt;'[14]Khai báo'!$B$4,"","X")</f>
        <v/>
      </c>
      <c r="R34" s="35" t="str">
        <f>IF(WEEKDAY(DATE($D$7,$D$8,R$9),2)&gt;'[14]Khai báo'!$B$4,"","X")</f>
        <v>X</v>
      </c>
      <c r="S34" s="35" t="str">
        <f>IF(WEEKDAY(DATE($D$7,$D$8,S$9),2)&gt;'[14]Khai báo'!$B$4,"","X")</f>
        <v>X</v>
      </c>
      <c r="T34" s="35" t="str">
        <f>IF(WEEKDAY(DATE($D$7,$D$8,T$9),2)&gt;'[14]Khai báo'!$B$4,"","X")</f>
        <v>X</v>
      </c>
      <c r="U34" s="35" t="str">
        <f>IF(WEEKDAY(DATE($D$7,$D$8,U$9),2)&gt;'[14]Khai báo'!$B$4,"","X")</f>
        <v>X</v>
      </c>
      <c r="V34" s="35" t="str">
        <f>IF(WEEKDAY(DATE($D$7,$D$8,V$9),2)&gt;'[14]Khai báo'!$B$4,"","X")</f>
        <v>X</v>
      </c>
      <c r="W34" s="35" t="str">
        <f>IF(WEEKDAY(DATE($D$7,$D$8,W$9),2)&gt;'[14]Khai báo'!$B$4,"","X")</f>
        <v>X</v>
      </c>
      <c r="X34" s="35" t="str">
        <f>IF(WEEKDAY(DATE($D$7,$D$8,X$9),2)&gt;'[14]Khai báo'!$B$4,"","X")</f>
        <v/>
      </c>
      <c r="Y34" s="35" t="str">
        <f>IF(WEEKDAY(DATE($D$7,$D$8,Y$9),2)&gt;'[14]Khai báo'!$B$4,"","X")</f>
        <v>X</v>
      </c>
      <c r="Z34" s="35" t="str">
        <f>IF(WEEKDAY(DATE($D$7,$D$8,Z$9),2)&gt;'[14]Khai báo'!$B$4,"","X")</f>
        <v>X</v>
      </c>
      <c r="AA34" s="35" t="str">
        <f>IF(WEEKDAY(DATE($D$7,$D$8,AA$9),2)&gt;'[14]Khai báo'!$B$4,"","X")</f>
        <v>X</v>
      </c>
      <c r="AB34" s="35" t="str">
        <f>IF(WEEKDAY(DATE($D$7,$D$8,AB$9),2)&gt;'[14]Khai báo'!$B$4,"","X")</f>
        <v>X</v>
      </c>
      <c r="AC34" s="35" t="str">
        <f>IF(WEEKDAY(DATE($D$7,$D$8,AC$9),2)&gt;'[14]Khai báo'!$B$4,"","X")</f>
        <v>X</v>
      </c>
      <c r="AD34" s="35" t="str">
        <f>IF(WEEKDAY(DATE($D$7,$D$8,AD$9),2)&gt;'[14]Khai báo'!$B$4,"","X")</f>
        <v>X</v>
      </c>
      <c r="AE34" s="35" t="str">
        <f>IF(WEEKDAY(DATE($D$7,$D$8,AE$9),2)&gt;'[14]Khai báo'!$B$4,"","X")</f>
        <v/>
      </c>
      <c r="AF34" s="35" t="str">
        <f>IF(WEEKDAY(DATE($D$7,$D$8,AF$9),2)&gt;'[14]Khai báo'!$B$4,"","X")</f>
        <v>X</v>
      </c>
      <c r="AG34" s="35" t="str">
        <f>IF(WEEKDAY(DATE($D$7,$D$8,AG$9),2)&gt;'[14]Khai báo'!$B$4,"","X")</f>
        <v>X</v>
      </c>
      <c r="AH34" s="35" t="str">
        <f>IF(WEEKDAY(DATE($D$7,$D$8,AH$9),2)&gt;'[14]Khai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2494</v>
      </c>
      <c r="D35" s="36" t="s">
        <v>2495</v>
      </c>
      <c r="E35" s="35" t="str">
        <f>IF(WEEKDAY(DATE($D$7,$D$8,E$9),2)&gt;'[14]Khai báo'!$B$4,"","X")</f>
        <v>X</v>
      </c>
      <c r="F35" s="35" t="str">
        <f>IF(WEEKDAY(DATE($D$7,$D$8,F$9),2)&gt;'[14]Khai báo'!$B$4,"","X")</f>
        <v>X</v>
      </c>
      <c r="G35" s="35" t="str">
        <f>IF(WEEKDAY(DATE($D$7,$D$8,G$9),2)&gt;'[14]Khai báo'!$B$4,"","X")</f>
        <v>X</v>
      </c>
      <c r="H35" s="35" t="str">
        <f>IF(WEEKDAY(DATE($D$7,$D$8,H$9),2)&gt;'[14]Khai báo'!$B$4,"","X")</f>
        <v>X</v>
      </c>
      <c r="I35" s="35" t="str">
        <f>IF(WEEKDAY(DATE($D$7,$D$8,I$9),2)&gt;'[14]Khai báo'!$B$4,"","X")</f>
        <v>X</v>
      </c>
      <c r="J35" s="35" t="str">
        <f>IF(WEEKDAY(DATE($D$7,$D$8,J$9),2)&gt;'[14]Khai báo'!$B$4,"","X")</f>
        <v/>
      </c>
      <c r="K35" s="35" t="str">
        <f>IF(WEEKDAY(DATE($D$7,$D$8,K$9),2)&gt;'[14]Khai báo'!$B$4,"","X")</f>
        <v>X</v>
      </c>
      <c r="L35" s="35" t="str">
        <f>IF(WEEKDAY(DATE($D$7,$D$8,L$9),2)&gt;'[14]Khai báo'!$B$4,"","X")</f>
        <v>X</v>
      </c>
      <c r="M35" s="35" t="str">
        <f>IF(WEEKDAY(DATE($D$7,$D$8,M$9),2)&gt;'[14]Khai báo'!$B$4,"","X")</f>
        <v>X</v>
      </c>
      <c r="N35" s="35" t="str">
        <f>IF(WEEKDAY(DATE($D$7,$D$8,N$9),2)&gt;'[14]Khai báo'!$B$4,"","X")</f>
        <v>X</v>
      </c>
      <c r="O35" s="35" t="str">
        <f>IF(WEEKDAY(DATE($D$7,$D$8,O$9),2)&gt;'[14]Khai báo'!$B$4,"","X")</f>
        <v>X</v>
      </c>
      <c r="P35" s="35" t="str">
        <f>IF(WEEKDAY(DATE($D$7,$D$8,P$9),2)&gt;'[14]Khai báo'!$B$4,"","X")</f>
        <v>X</v>
      </c>
      <c r="Q35" s="35" t="str">
        <f>IF(WEEKDAY(DATE($D$7,$D$8,Q$9),2)&gt;'[14]Khai báo'!$B$4,"","X")</f>
        <v/>
      </c>
      <c r="R35" s="35" t="str">
        <f>IF(WEEKDAY(DATE($D$7,$D$8,R$9),2)&gt;'[14]Khai báo'!$B$4,"","X")</f>
        <v>X</v>
      </c>
      <c r="S35" s="35" t="str">
        <f>IF(WEEKDAY(DATE($D$7,$D$8,S$9),2)&gt;'[14]Khai báo'!$B$4,"","X")</f>
        <v>X</v>
      </c>
      <c r="T35" s="35" t="str">
        <f>IF(WEEKDAY(DATE($D$7,$D$8,T$9),2)&gt;'[14]Khai báo'!$B$4,"","X")</f>
        <v>X</v>
      </c>
      <c r="U35" s="35" t="str">
        <f>IF(WEEKDAY(DATE($D$7,$D$8,U$9),2)&gt;'[14]Khai báo'!$B$4,"","X")</f>
        <v>X</v>
      </c>
      <c r="V35" s="35" t="str">
        <f>IF(WEEKDAY(DATE($D$7,$D$8,V$9),2)&gt;'[14]Khai báo'!$B$4,"","X")</f>
        <v>X</v>
      </c>
      <c r="W35" s="35" t="str">
        <f>IF(WEEKDAY(DATE($D$7,$D$8,W$9),2)&gt;'[14]Khai báo'!$B$4,"","X")</f>
        <v>X</v>
      </c>
      <c r="X35" s="35" t="str">
        <f>IF(WEEKDAY(DATE($D$7,$D$8,X$9),2)&gt;'[14]Khai báo'!$B$4,"","X")</f>
        <v/>
      </c>
      <c r="Y35" s="35" t="str">
        <f>IF(WEEKDAY(DATE($D$7,$D$8,Y$9),2)&gt;'[14]Khai báo'!$B$4,"","X")</f>
        <v>X</v>
      </c>
      <c r="Z35" s="35" t="str">
        <f>IF(WEEKDAY(DATE($D$7,$D$8,Z$9),2)&gt;'[14]Khai báo'!$B$4,"","X")</f>
        <v>X</v>
      </c>
      <c r="AA35" s="35" t="str">
        <f>IF(WEEKDAY(DATE($D$7,$D$8,AA$9),2)&gt;'[14]Khai báo'!$B$4,"","X")</f>
        <v>X</v>
      </c>
      <c r="AB35" s="35" t="str">
        <f>IF(WEEKDAY(DATE($D$7,$D$8,AB$9),2)&gt;'[14]Khai báo'!$B$4,"","X")</f>
        <v>X</v>
      </c>
      <c r="AC35" s="35" t="str">
        <f>IF(WEEKDAY(DATE($D$7,$D$8,AC$9),2)&gt;'[14]Khai báo'!$B$4,"","X")</f>
        <v>X</v>
      </c>
      <c r="AD35" s="35" t="str">
        <f>IF(WEEKDAY(DATE($D$7,$D$8,AD$9),2)&gt;'[14]Khai báo'!$B$4,"","X")</f>
        <v>X</v>
      </c>
      <c r="AE35" s="35" t="str">
        <f>IF(WEEKDAY(DATE($D$7,$D$8,AE$9),2)&gt;'[14]Khai báo'!$B$4,"","X")</f>
        <v/>
      </c>
      <c r="AF35" s="35" t="str">
        <f>IF(WEEKDAY(DATE($D$7,$D$8,AF$9),2)&gt;'[14]Khai báo'!$B$4,"","X")</f>
        <v>X</v>
      </c>
      <c r="AG35" s="35" t="str">
        <f>IF(WEEKDAY(DATE($D$7,$D$8,AG$9),2)&gt;'[14]Khai báo'!$B$4,"","X")</f>
        <v>X</v>
      </c>
      <c r="AH35" s="35" t="str">
        <f>IF(WEEKDAY(DATE($D$7,$D$8,AH$9),2)&gt;'[14]Khai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2496</v>
      </c>
      <c r="D36" s="36" t="s">
        <v>1851</v>
      </c>
      <c r="E36" s="35" t="str">
        <f>IF(WEEKDAY(DATE($D$7,$D$8,E$9),2)&gt;'[14]Khai báo'!$B$4,"","X")</f>
        <v>X</v>
      </c>
      <c r="F36" s="35" t="str">
        <f>IF(WEEKDAY(DATE($D$7,$D$8,F$9),2)&gt;'[14]Khai báo'!$B$4,"","X")</f>
        <v>X</v>
      </c>
      <c r="G36" s="35" t="str">
        <f>IF(WEEKDAY(DATE($D$7,$D$8,G$9),2)&gt;'[14]Khai báo'!$B$4,"","X")</f>
        <v>X</v>
      </c>
      <c r="H36" s="35" t="str">
        <f>IF(WEEKDAY(DATE($D$7,$D$8,H$9),2)&gt;'[14]Khai báo'!$B$4,"","X")</f>
        <v>X</v>
      </c>
      <c r="I36" s="35" t="str">
        <f>IF(WEEKDAY(DATE($D$7,$D$8,I$9),2)&gt;'[14]Khai báo'!$B$4,"","X")</f>
        <v>X</v>
      </c>
      <c r="J36" s="35" t="str">
        <f>IF(WEEKDAY(DATE($D$7,$D$8,J$9),2)&gt;'[14]Khai báo'!$B$4,"","X")</f>
        <v/>
      </c>
      <c r="K36" s="35" t="str">
        <f>IF(WEEKDAY(DATE($D$7,$D$8,K$9),2)&gt;'[14]Khai báo'!$B$4,"","X")</f>
        <v>X</v>
      </c>
      <c r="L36" s="35" t="str">
        <f>IF(WEEKDAY(DATE($D$7,$D$8,L$9),2)&gt;'[14]Khai báo'!$B$4,"","X")</f>
        <v>X</v>
      </c>
      <c r="M36" s="35" t="str">
        <f>IF(WEEKDAY(DATE($D$7,$D$8,M$9),2)&gt;'[14]Khai báo'!$B$4,"","X")</f>
        <v>X</v>
      </c>
      <c r="N36" s="35" t="str">
        <f>IF(WEEKDAY(DATE($D$7,$D$8,N$9),2)&gt;'[14]Khai báo'!$B$4,"","X")</f>
        <v>X</v>
      </c>
      <c r="O36" s="35" t="str">
        <f>IF(WEEKDAY(DATE($D$7,$D$8,O$9),2)&gt;'[14]Khai báo'!$B$4,"","X")</f>
        <v>X</v>
      </c>
      <c r="P36" s="35" t="str">
        <f>IF(WEEKDAY(DATE($D$7,$D$8,P$9),2)&gt;'[14]Khai báo'!$B$4,"","X")</f>
        <v>X</v>
      </c>
      <c r="Q36" s="35" t="str">
        <f>IF(WEEKDAY(DATE($D$7,$D$8,Q$9),2)&gt;'[14]Khai báo'!$B$4,"","X")</f>
        <v/>
      </c>
      <c r="R36" s="35" t="str">
        <f>IF(WEEKDAY(DATE($D$7,$D$8,R$9),2)&gt;'[14]Khai báo'!$B$4,"","X")</f>
        <v>X</v>
      </c>
      <c r="S36" s="35" t="str">
        <f>IF(WEEKDAY(DATE($D$7,$D$8,S$9),2)&gt;'[14]Khai báo'!$B$4,"","X")</f>
        <v>X</v>
      </c>
      <c r="T36" s="35" t="str">
        <f>IF(WEEKDAY(DATE($D$7,$D$8,T$9),2)&gt;'[14]Khai báo'!$B$4,"","X")</f>
        <v>X</v>
      </c>
      <c r="U36" s="35" t="str">
        <f>IF(WEEKDAY(DATE($D$7,$D$8,U$9),2)&gt;'[14]Khai báo'!$B$4,"","X")</f>
        <v>X</v>
      </c>
      <c r="V36" s="35" t="str">
        <f>IF(WEEKDAY(DATE($D$7,$D$8,V$9),2)&gt;'[14]Khai báo'!$B$4,"","X")</f>
        <v>X</v>
      </c>
      <c r="W36" s="35" t="str">
        <f>IF(WEEKDAY(DATE($D$7,$D$8,W$9),2)&gt;'[14]Khai báo'!$B$4,"","X")</f>
        <v>X</v>
      </c>
      <c r="X36" s="35" t="str">
        <f>IF(WEEKDAY(DATE($D$7,$D$8,X$9),2)&gt;'[14]Khai báo'!$B$4,"","X")</f>
        <v/>
      </c>
      <c r="Y36" s="35" t="str">
        <f>IF(WEEKDAY(DATE($D$7,$D$8,Y$9),2)&gt;'[14]Khai báo'!$B$4,"","X")</f>
        <v>X</v>
      </c>
      <c r="Z36" s="35" t="str">
        <f>IF(WEEKDAY(DATE($D$7,$D$8,Z$9),2)&gt;'[14]Khai báo'!$B$4,"","X")</f>
        <v>X</v>
      </c>
      <c r="AA36" s="35" t="str">
        <f>IF(WEEKDAY(DATE($D$7,$D$8,AA$9),2)&gt;'[14]Khai báo'!$B$4,"","X")</f>
        <v>X</v>
      </c>
      <c r="AB36" s="35" t="str">
        <f>IF(WEEKDAY(DATE($D$7,$D$8,AB$9),2)&gt;'[14]Khai báo'!$B$4,"","X")</f>
        <v>X</v>
      </c>
      <c r="AC36" s="35" t="str">
        <f>IF(WEEKDAY(DATE($D$7,$D$8,AC$9),2)&gt;'[14]Khai báo'!$B$4,"","X")</f>
        <v>X</v>
      </c>
      <c r="AD36" s="35" t="str">
        <f>IF(WEEKDAY(DATE($D$7,$D$8,AD$9),2)&gt;'[14]Khai báo'!$B$4,"","X")</f>
        <v>X</v>
      </c>
      <c r="AE36" s="35" t="str">
        <f>IF(WEEKDAY(DATE($D$7,$D$8,AE$9),2)&gt;'[14]Khai báo'!$B$4,"","X")</f>
        <v/>
      </c>
      <c r="AF36" s="35" t="str">
        <f>IF(WEEKDAY(DATE($D$7,$D$8,AF$9),2)&gt;'[14]Khai báo'!$B$4,"","X")</f>
        <v>X</v>
      </c>
      <c r="AG36" s="35" t="str">
        <f>IF(WEEKDAY(DATE($D$7,$D$8,AG$9),2)&gt;'[14]Khai báo'!$B$4,"","X")</f>
        <v>X</v>
      </c>
      <c r="AH36" s="35" t="str">
        <f>IF(WEEKDAY(DATE($D$7,$D$8,AH$9),2)&gt;'[14]Khai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2497</v>
      </c>
      <c r="D37" s="36" t="s">
        <v>1851</v>
      </c>
      <c r="E37" s="35" t="str">
        <f>IF(WEEKDAY(DATE($D$7,$D$8,E$9),2)&gt;'[14]Khai báo'!$B$4,"","X")</f>
        <v>X</v>
      </c>
      <c r="F37" s="35" t="str">
        <f>IF(WEEKDAY(DATE($D$7,$D$8,F$9),2)&gt;'[14]Khai báo'!$B$4,"","X")</f>
        <v>X</v>
      </c>
      <c r="G37" s="35" t="str">
        <f>IF(WEEKDAY(DATE($D$7,$D$8,G$9),2)&gt;'[14]Khai báo'!$B$4,"","X")</f>
        <v>X</v>
      </c>
      <c r="H37" s="35" t="str">
        <f>IF(WEEKDAY(DATE($D$7,$D$8,H$9),2)&gt;'[14]Khai báo'!$B$4,"","X")</f>
        <v>X</v>
      </c>
      <c r="I37" s="35" t="str">
        <f>IF(WEEKDAY(DATE($D$7,$D$8,I$9),2)&gt;'[14]Khai báo'!$B$4,"","X")</f>
        <v>X</v>
      </c>
      <c r="J37" s="35" t="str">
        <f>IF(WEEKDAY(DATE($D$7,$D$8,J$9),2)&gt;'[14]Khai báo'!$B$4,"","X")</f>
        <v/>
      </c>
      <c r="K37" s="35" t="str">
        <f>IF(WEEKDAY(DATE($D$7,$D$8,K$9),2)&gt;'[14]Khai báo'!$B$4,"","X")</f>
        <v>X</v>
      </c>
      <c r="L37" s="35" t="str">
        <f>IF(WEEKDAY(DATE($D$7,$D$8,L$9),2)&gt;'[14]Khai báo'!$B$4,"","X")</f>
        <v>X</v>
      </c>
      <c r="M37" s="35" t="str">
        <f>IF(WEEKDAY(DATE($D$7,$D$8,M$9),2)&gt;'[14]Khai báo'!$B$4,"","X")</f>
        <v>X</v>
      </c>
      <c r="N37" s="35" t="str">
        <f>IF(WEEKDAY(DATE($D$7,$D$8,N$9),2)&gt;'[14]Khai báo'!$B$4,"","X")</f>
        <v>X</v>
      </c>
      <c r="O37" s="35" t="str">
        <f>IF(WEEKDAY(DATE($D$7,$D$8,O$9),2)&gt;'[14]Khai báo'!$B$4,"","X")</f>
        <v>X</v>
      </c>
      <c r="P37" s="35" t="str">
        <f>IF(WEEKDAY(DATE($D$7,$D$8,P$9),2)&gt;'[14]Khai báo'!$B$4,"","X")</f>
        <v>X</v>
      </c>
      <c r="Q37" s="35" t="str">
        <f>IF(WEEKDAY(DATE($D$7,$D$8,Q$9),2)&gt;'[14]Khai báo'!$B$4,"","X")</f>
        <v/>
      </c>
      <c r="R37" s="35" t="str">
        <f>IF(WEEKDAY(DATE($D$7,$D$8,R$9),2)&gt;'[14]Khai báo'!$B$4,"","X")</f>
        <v>X</v>
      </c>
      <c r="S37" s="35" t="str">
        <f>IF(WEEKDAY(DATE($D$7,$D$8,S$9),2)&gt;'[14]Khai báo'!$B$4,"","X")</f>
        <v>X</v>
      </c>
      <c r="T37" s="35" t="str">
        <f>IF(WEEKDAY(DATE($D$7,$D$8,T$9),2)&gt;'[14]Khai báo'!$B$4,"","X")</f>
        <v>X</v>
      </c>
      <c r="U37" s="35" t="str">
        <f>IF(WEEKDAY(DATE($D$7,$D$8,U$9),2)&gt;'[14]Khai báo'!$B$4,"","X")</f>
        <v>X</v>
      </c>
      <c r="V37" s="35" t="str">
        <f>IF(WEEKDAY(DATE($D$7,$D$8,V$9),2)&gt;'[14]Khai báo'!$B$4,"","X")</f>
        <v>X</v>
      </c>
      <c r="W37" s="35" t="str">
        <f>IF(WEEKDAY(DATE($D$7,$D$8,W$9),2)&gt;'[14]Khai báo'!$B$4,"","X")</f>
        <v>X</v>
      </c>
      <c r="X37" s="35" t="str">
        <f>IF(WEEKDAY(DATE($D$7,$D$8,X$9),2)&gt;'[14]Khai báo'!$B$4,"","X")</f>
        <v/>
      </c>
      <c r="Y37" s="35" t="str">
        <f>IF(WEEKDAY(DATE($D$7,$D$8,Y$9),2)&gt;'[14]Khai báo'!$B$4,"","X")</f>
        <v>X</v>
      </c>
      <c r="Z37" s="35" t="str">
        <f>IF(WEEKDAY(DATE($D$7,$D$8,Z$9),2)&gt;'[14]Khai báo'!$B$4,"","X")</f>
        <v>X</v>
      </c>
      <c r="AA37" s="35" t="str">
        <f>IF(WEEKDAY(DATE($D$7,$D$8,AA$9),2)&gt;'[14]Khai báo'!$B$4,"","X")</f>
        <v>X</v>
      </c>
      <c r="AB37" s="35" t="str">
        <f>IF(WEEKDAY(DATE($D$7,$D$8,AB$9),2)&gt;'[14]Khai báo'!$B$4,"","X")</f>
        <v>X</v>
      </c>
      <c r="AC37" s="35" t="str">
        <f>IF(WEEKDAY(DATE($D$7,$D$8,AC$9),2)&gt;'[14]Khai báo'!$B$4,"","X")</f>
        <v>X</v>
      </c>
      <c r="AD37" s="35" t="str">
        <f>IF(WEEKDAY(DATE($D$7,$D$8,AD$9),2)&gt;'[14]Khai báo'!$B$4,"","X")</f>
        <v>X</v>
      </c>
      <c r="AE37" s="35" t="str">
        <f>IF(WEEKDAY(DATE($D$7,$D$8,AE$9),2)&gt;'[14]Khai báo'!$B$4,"","X")</f>
        <v/>
      </c>
      <c r="AF37" s="35" t="str">
        <f>IF(WEEKDAY(DATE($D$7,$D$8,AF$9),2)&gt;'[14]Khai báo'!$B$4,"","X")</f>
        <v>X</v>
      </c>
      <c r="AG37" s="35" t="str">
        <f>IF(WEEKDAY(DATE($D$7,$D$8,AG$9),2)&gt;'[14]Khai báo'!$B$4,"","X")</f>
        <v>X</v>
      </c>
      <c r="AH37" s="35" t="str">
        <f>IF(WEEKDAY(DATE($D$7,$D$8,AH$9),2)&gt;'[14]Khai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2498</v>
      </c>
      <c r="D38" s="36" t="s">
        <v>1851</v>
      </c>
      <c r="E38" s="35" t="str">
        <f>IF(WEEKDAY(DATE($D$7,$D$8,E$9),2)&gt;'[14]Khai báo'!$B$4,"","X")</f>
        <v>X</v>
      </c>
      <c r="F38" s="35" t="str">
        <f>IF(WEEKDAY(DATE($D$7,$D$8,F$9),2)&gt;'[14]Khai báo'!$B$4,"","X")</f>
        <v>X</v>
      </c>
      <c r="G38" s="35" t="str">
        <f>IF(WEEKDAY(DATE($D$7,$D$8,G$9),2)&gt;'[14]Khai báo'!$B$4,"","X")</f>
        <v>X</v>
      </c>
      <c r="H38" s="35" t="str">
        <f>IF(WEEKDAY(DATE($D$7,$D$8,H$9),2)&gt;'[14]Khai báo'!$B$4,"","X")</f>
        <v>X</v>
      </c>
      <c r="I38" s="35" t="str">
        <f>IF(WEEKDAY(DATE($D$7,$D$8,I$9),2)&gt;'[14]Khai báo'!$B$4,"","X")</f>
        <v>X</v>
      </c>
      <c r="J38" s="35" t="str">
        <f>IF(WEEKDAY(DATE($D$7,$D$8,J$9),2)&gt;'[14]Khai báo'!$B$4,"","X")</f>
        <v/>
      </c>
      <c r="K38" s="35" t="str">
        <f>IF(WEEKDAY(DATE($D$7,$D$8,K$9),2)&gt;'[14]Khai báo'!$B$4,"","X")</f>
        <v>X</v>
      </c>
      <c r="L38" s="35" t="str">
        <f>IF(WEEKDAY(DATE($D$7,$D$8,L$9),2)&gt;'[14]Khai báo'!$B$4,"","X")</f>
        <v>X</v>
      </c>
      <c r="M38" s="35" t="str">
        <f>IF(WEEKDAY(DATE($D$7,$D$8,M$9),2)&gt;'[14]Khai báo'!$B$4,"","X")</f>
        <v>X</v>
      </c>
      <c r="N38" s="35" t="str">
        <f>IF(WEEKDAY(DATE($D$7,$D$8,N$9),2)&gt;'[14]Khai báo'!$B$4,"","X")</f>
        <v>X</v>
      </c>
      <c r="O38" s="35" t="str">
        <f>IF(WEEKDAY(DATE($D$7,$D$8,O$9),2)&gt;'[14]Khai báo'!$B$4,"","X")</f>
        <v>X</v>
      </c>
      <c r="P38" s="35" t="str">
        <f>IF(WEEKDAY(DATE($D$7,$D$8,P$9),2)&gt;'[14]Khai báo'!$B$4,"","X")</f>
        <v>X</v>
      </c>
      <c r="Q38" s="35" t="str">
        <f>IF(WEEKDAY(DATE($D$7,$D$8,Q$9),2)&gt;'[14]Khai báo'!$B$4,"","X")</f>
        <v/>
      </c>
      <c r="R38" s="35" t="str">
        <f>IF(WEEKDAY(DATE($D$7,$D$8,R$9),2)&gt;'[14]Khai báo'!$B$4,"","X")</f>
        <v>X</v>
      </c>
      <c r="S38" s="35" t="str">
        <f>IF(WEEKDAY(DATE($D$7,$D$8,S$9),2)&gt;'[14]Khai báo'!$B$4,"","X")</f>
        <v>X</v>
      </c>
      <c r="T38" s="35" t="str">
        <f>IF(WEEKDAY(DATE($D$7,$D$8,T$9),2)&gt;'[14]Khai báo'!$B$4,"","X")</f>
        <v>X</v>
      </c>
      <c r="U38" s="35" t="str">
        <f>IF(WEEKDAY(DATE($D$7,$D$8,U$9),2)&gt;'[14]Khai báo'!$B$4,"","X")</f>
        <v>X</v>
      </c>
      <c r="V38" s="35" t="str">
        <f>IF(WEEKDAY(DATE($D$7,$D$8,V$9),2)&gt;'[14]Khai báo'!$B$4,"","X")</f>
        <v>X</v>
      </c>
      <c r="W38" s="35" t="str">
        <f>IF(WEEKDAY(DATE($D$7,$D$8,W$9),2)&gt;'[14]Khai báo'!$B$4,"","X")</f>
        <v>X</v>
      </c>
      <c r="X38" s="35" t="str">
        <f>IF(WEEKDAY(DATE($D$7,$D$8,X$9),2)&gt;'[14]Khai báo'!$B$4,"","X")</f>
        <v/>
      </c>
      <c r="Y38" s="35" t="str">
        <f>IF(WEEKDAY(DATE($D$7,$D$8,Y$9),2)&gt;'[14]Khai báo'!$B$4,"","X")</f>
        <v>X</v>
      </c>
      <c r="Z38" s="35" t="str">
        <f>IF(WEEKDAY(DATE($D$7,$D$8,Z$9),2)&gt;'[14]Khai báo'!$B$4,"","X")</f>
        <v>X</v>
      </c>
      <c r="AA38" s="35" t="str">
        <f>IF(WEEKDAY(DATE($D$7,$D$8,AA$9),2)&gt;'[14]Khai báo'!$B$4,"","X")</f>
        <v>X</v>
      </c>
      <c r="AB38" s="35" t="str">
        <f>IF(WEEKDAY(DATE($D$7,$D$8,AB$9),2)&gt;'[14]Khai báo'!$B$4,"","X")</f>
        <v>X</v>
      </c>
      <c r="AC38" s="35" t="str">
        <f>IF(WEEKDAY(DATE($D$7,$D$8,AC$9),2)&gt;'[14]Khai báo'!$B$4,"","X")</f>
        <v>X</v>
      </c>
      <c r="AD38" s="35" t="str">
        <f>IF(WEEKDAY(DATE($D$7,$D$8,AD$9),2)&gt;'[14]Khai báo'!$B$4,"","X")</f>
        <v>X</v>
      </c>
      <c r="AE38" s="35" t="str">
        <f>IF(WEEKDAY(DATE($D$7,$D$8,AE$9),2)&gt;'[14]Khai báo'!$B$4,"","X")</f>
        <v/>
      </c>
      <c r="AF38" s="35" t="str">
        <f>IF(WEEKDAY(DATE($D$7,$D$8,AF$9),2)&gt;'[14]Khai báo'!$B$4,"","X")</f>
        <v>X</v>
      </c>
      <c r="AG38" s="35" t="str">
        <f>IF(WEEKDAY(DATE($D$7,$D$8,AG$9),2)&gt;'[14]Khai báo'!$B$4,"","X")</f>
        <v>X</v>
      </c>
      <c r="AH38" s="35" t="str">
        <f>IF(WEEKDAY(DATE($D$7,$D$8,AH$9),2)&gt;'[14]Khai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2526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2448</v>
      </c>
      <c r="D40" s="184" t="s">
        <v>2499</v>
      </c>
      <c r="E40" s="35" t="str">
        <f>IF(WEEKDAY(DATE($D$7,$D$8,E$9),2)&gt;'[14]Khai báo'!$B$4,"","X")</f>
        <v>X</v>
      </c>
      <c r="F40" s="35" t="str">
        <f>IF(WEEKDAY(DATE($D$7,$D$8,F$9),2)&gt;'[14]Khai báo'!$B$4,"","X")</f>
        <v>X</v>
      </c>
      <c r="G40" s="35" t="str">
        <f>IF(WEEKDAY(DATE($D$7,$D$8,G$9),2)&gt;'[14]Khai báo'!$B$4,"","X")</f>
        <v>X</v>
      </c>
      <c r="H40" s="35" t="str">
        <f>IF(WEEKDAY(DATE($D$7,$D$8,H$9),2)&gt;'[14]Khai báo'!$B$4,"","X")</f>
        <v>X</v>
      </c>
      <c r="I40" s="35" t="str">
        <f>IF(WEEKDAY(DATE($D$7,$D$8,I$9),2)&gt;'[14]Khai báo'!$B$4,"","X")</f>
        <v>X</v>
      </c>
      <c r="J40" s="35" t="str">
        <f>IF(WEEKDAY(DATE($D$7,$D$8,J$9),2)&gt;'[14]Khai báo'!$B$4,"","X")</f>
        <v/>
      </c>
      <c r="K40" s="35" t="str">
        <f>IF(WEEKDAY(DATE($D$7,$D$8,K$9),2)&gt;'[14]Khai báo'!$B$4,"","X")</f>
        <v>X</v>
      </c>
      <c r="L40" s="35" t="str">
        <f>IF(WEEKDAY(DATE($D$7,$D$8,L$9),2)&gt;'[14]Khai báo'!$B$4,"","X")</f>
        <v>X</v>
      </c>
      <c r="M40" s="35" t="str">
        <f>IF(WEEKDAY(DATE($D$7,$D$8,M$9),2)&gt;'[14]Khai báo'!$B$4,"","X")</f>
        <v>X</v>
      </c>
      <c r="N40" s="35" t="str">
        <f>IF(WEEKDAY(DATE($D$7,$D$8,N$9),2)&gt;'[14]Khai báo'!$B$4,"","X")</f>
        <v>X</v>
      </c>
      <c r="O40" s="35" t="str">
        <f>IF(WEEKDAY(DATE($D$7,$D$8,O$9),2)&gt;'[14]Khai báo'!$B$4,"","X")</f>
        <v>X</v>
      </c>
      <c r="P40" s="35" t="str">
        <f>IF(WEEKDAY(DATE($D$7,$D$8,P$9),2)&gt;'[14]Khai báo'!$B$4,"","X")</f>
        <v>X</v>
      </c>
      <c r="Q40" s="35" t="str">
        <f>IF(WEEKDAY(DATE($D$7,$D$8,Q$9),2)&gt;'[14]Khai báo'!$B$4,"","X")</f>
        <v/>
      </c>
      <c r="R40" s="35" t="str">
        <f>IF(WEEKDAY(DATE($D$7,$D$8,R$9),2)&gt;'[14]Khai báo'!$B$4,"","X")</f>
        <v>X</v>
      </c>
      <c r="S40" s="35" t="str">
        <f>IF(WEEKDAY(DATE($D$7,$D$8,S$9),2)&gt;'[14]Khai báo'!$B$4,"","X")</f>
        <v>X</v>
      </c>
      <c r="T40" s="35" t="str">
        <f>IF(WEEKDAY(DATE($D$7,$D$8,T$9),2)&gt;'[14]Khai báo'!$B$4,"","X")</f>
        <v>X</v>
      </c>
      <c r="U40" s="35" t="str">
        <f>IF(WEEKDAY(DATE($D$7,$D$8,U$9),2)&gt;'[14]Khai báo'!$B$4,"","X")</f>
        <v>X</v>
      </c>
      <c r="V40" s="35" t="str">
        <f>IF(WEEKDAY(DATE($D$7,$D$8,V$9),2)&gt;'[14]Khai báo'!$B$4,"","X")</f>
        <v>X</v>
      </c>
      <c r="W40" s="35" t="str">
        <f>IF(WEEKDAY(DATE($D$7,$D$8,W$9),2)&gt;'[14]Khai báo'!$B$4,"","X")</f>
        <v>X</v>
      </c>
      <c r="X40" s="35" t="str">
        <f>IF(WEEKDAY(DATE($D$7,$D$8,X$9),2)&gt;'[14]Khai báo'!$B$4,"","X")</f>
        <v/>
      </c>
      <c r="Y40" s="35" t="str">
        <f>IF(WEEKDAY(DATE($D$7,$D$8,Y$9),2)&gt;'[14]Khai báo'!$B$4,"","X")</f>
        <v>X</v>
      </c>
      <c r="Z40" s="35" t="str">
        <f>IF(WEEKDAY(DATE($D$7,$D$8,Z$9),2)&gt;'[14]Khai báo'!$B$4,"","X")</f>
        <v>X</v>
      </c>
      <c r="AA40" s="35" t="str">
        <f>IF(WEEKDAY(DATE($D$7,$D$8,AA$9),2)&gt;'[14]Khai báo'!$B$4,"","X")</f>
        <v>X</v>
      </c>
      <c r="AB40" s="35" t="str">
        <f>IF(WEEKDAY(DATE($D$7,$D$8,AB$9),2)&gt;'[14]Khai báo'!$B$4,"","X")</f>
        <v>X</v>
      </c>
      <c r="AC40" s="35" t="str">
        <f>IF(WEEKDAY(DATE($D$7,$D$8,AC$9),2)&gt;'[14]Khai báo'!$B$4,"","X")</f>
        <v>X</v>
      </c>
      <c r="AD40" s="35" t="str">
        <f>IF(WEEKDAY(DATE($D$7,$D$8,AD$9),2)&gt;'[14]Khai báo'!$B$4,"","X")</f>
        <v>X</v>
      </c>
      <c r="AE40" s="35" t="str">
        <f>IF(WEEKDAY(DATE($D$7,$D$8,AE$9),2)&gt;'[14]Khai báo'!$B$4,"","X")</f>
        <v/>
      </c>
      <c r="AF40" s="35" t="str">
        <f>IF(WEEKDAY(DATE($D$7,$D$8,AF$9),2)&gt;'[14]Khai báo'!$B$4,"","X")</f>
        <v>X</v>
      </c>
      <c r="AG40" s="35" t="str">
        <f>IF(WEEKDAY(DATE($D$7,$D$8,AG$9),2)&gt;'[14]Khai báo'!$B$4,"","X")</f>
        <v>X</v>
      </c>
      <c r="AH40" s="35" t="str">
        <f>IF(WEEKDAY(DATE($D$7,$D$8,AH$9),2)&gt;'[14]Khai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2450</v>
      </c>
      <c r="D41" s="184" t="s">
        <v>2500</v>
      </c>
      <c r="E41" s="35" t="str">
        <f>IF(WEEKDAY(DATE($D$7,$D$8,E$9),2)&gt;'[14]Khai báo'!$B$4,"","X")</f>
        <v>X</v>
      </c>
      <c r="F41" s="35" t="str">
        <f>IF(WEEKDAY(DATE($D$7,$D$8,F$9),2)&gt;'[14]Khai báo'!$B$4,"","X")</f>
        <v>X</v>
      </c>
      <c r="G41" s="35" t="str">
        <f>IF(WEEKDAY(DATE($D$7,$D$8,G$9),2)&gt;'[14]Khai báo'!$B$4,"","X")</f>
        <v>X</v>
      </c>
      <c r="H41" s="35" t="str">
        <f>IF(WEEKDAY(DATE($D$7,$D$8,H$9),2)&gt;'[14]Khai báo'!$B$4,"","X")</f>
        <v>X</v>
      </c>
      <c r="I41" s="35" t="str">
        <f>IF(WEEKDAY(DATE($D$7,$D$8,I$9),2)&gt;'[14]Khai báo'!$B$4,"","X")</f>
        <v>X</v>
      </c>
      <c r="J41" s="35" t="str">
        <f>IF(WEEKDAY(DATE($D$7,$D$8,J$9),2)&gt;'[14]Khai báo'!$B$4,"","X")</f>
        <v/>
      </c>
      <c r="K41" s="35" t="str">
        <f>IF(WEEKDAY(DATE($D$7,$D$8,K$9),2)&gt;'[14]Khai báo'!$B$4,"","X")</f>
        <v>X</v>
      </c>
      <c r="L41" s="35" t="str">
        <f>IF(WEEKDAY(DATE($D$7,$D$8,L$9),2)&gt;'[14]Khai báo'!$B$4,"","X")</f>
        <v>X</v>
      </c>
      <c r="M41" s="35" t="str">
        <f>IF(WEEKDAY(DATE($D$7,$D$8,M$9),2)&gt;'[14]Khai báo'!$B$4,"","X")</f>
        <v>X</v>
      </c>
      <c r="N41" s="35" t="str">
        <f>IF(WEEKDAY(DATE($D$7,$D$8,N$9),2)&gt;'[14]Khai báo'!$B$4,"","X")</f>
        <v>X</v>
      </c>
      <c r="O41" s="35" t="str">
        <f>IF(WEEKDAY(DATE($D$7,$D$8,O$9),2)&gt;'[14]Khai báo'!$B$4,"","X")</f>
        <v>X</v>
      </c>
      <c r="P41" s="35" t="str">
        <f>IF(WEEKDAY(DATE($D$7,$D$8,P$9),2)&gt;'[14]Khai báo'!$B$4,"","X")</f>
        <v>X</v>
      </c>
      <c r="Q41" s="35" t="str">
        <f>IF(WEEKDAY(DATE($D$7,$D$8,Q$9),2)&gt;'[14]Khai báo'!$B$4,"","X")</f>
        <v/>
      </c>
      <c r="R41" s="35" t="str">
        <f>IF(WEEKDAY(DATE($D$7,$D$8,R$9),2)&gt;'[14]Khai báo'!$B$4,"","X")</f>
        <v>X</v>
      </c>
      <c r="S41" s="35" t="str">
        <f>IF(WEEKDAY(DATE($D$7,$D$8,S$9),2)&gt;'[14]Khai báo'!$B$4,"","X")</f>
        <v>X</v>
      </c>
      <c r="T41" s="35" t="str">
        <f>IF(WEEKDAY(DATE($D$7,$D$8,T$9),2)&gt;'[14]Khai báo'!$B$4,"","X")</f>
        <v>X</v>
      </c>
      <c r="U41" s="35" t="str">
        <f>IF(WEEKDAY(DATE($D$7,$D$8,U$9),2)&gt;'[14]Khai báo'!$B$4,"","X")</f>
        <v>X</v>
      </c>
      <c r="V41" s="35" t="str">
        <f>IF(WEEKDAY(DATE($D$7,$D$8,V$9),2)&gt;'[14]Khai báo'!$B$4,"","X")</f>
        <v>X</v>
      </c>
      <c r="W41" s="35" t="str">
        <f>IF(WEEKDAY(DATE($D$7,$D$8,W$9),2)&gt;'[14]Khai báo'!$B$4,"","X")</f>
        <v>X</v>
      </c>
      <c r="X41" s="35" t="str">
        <f>IF(WEEKDAY(DATE($D$7,$D$8,X$9),2)&gt;'[14]Khai báo'!$B$4,"","X")</f>
        <v/>
      </c>
      <c r="Y41" s="35" t="str">
        <f>IF(WEEKDAY(DATE($D$7,$D$8,Y$9),2)&gt;'[14]Khai báo'!$B$4,"","X")</f>
        <v>X</v>
      </c>
      <c r="Z41" s="35" t="str">
        <f>IF(WEEKDAY(DATE($D$7,$D$8,Z$9),2)&gt;'[14]Khai báo'!$B$4,"","X")</f>
        <v>X</v>
      </c>
      <c r="AA41" s="35" t="str">
        <f>IF(WEEKDAY(DATE($D$7,$D$8,AA$9),2)&gt;'[14]Khai báo'!$B$4,"","X")</f>
        <v>X</v>
      </c>
      <c r="AB41" s="35" t="str">
        <f>IF(WEEKDAY(DATE($D$7,$D$8,AB$9),2)&gt;'[14]Khai báo'!$B$4,"","X")</f>
        <v>X</v>
      </c>
      <c r="AC41" s="35" t="str">
        <f>IF(WEEKDAY(DATE($D$7,$D$8,AC$9),2)&gt;'[14]Khai báo'!$B$4,"","X")</f>
        <v>X</v>
      </c>
      <c r="AD41" s="35" t="str">
        <f>IF(WEEKDAY(DATE($D$7,$D$8,AD$9),2)&gt;'[14]Khai báo'!$B$4,"","X")</f>
        <v>X</v>
      </c>
      <c r="AE41" s="35" t="str">
        <f>IF(WEEKDAY(DATE($D$7,$D$8,AE$9),2)&gt;'[14]Khai báo'!$B$4,"","X")</f>
        <v/>
      </c>
      <c r="AF41" s="35" t="str">
        <f>IF(WEEKDAY(DATE($D$7,$D$8,AF$9),2)&gt;'[14]Khai báo'!$B$4,"","X")</f>
        <v>X</v>
      </c>
      <c r="AG41" s="35" t="str">
        <f>IF(WEEKDAY(DATE($D$7,$D$8,AG$9),2)&gt;'[14]Khai báo'!$B$4,"","X")</f>
        <v>X</v>
      </c>
      <c r="AH41" s="35" t="str">
        <f>IF(WEEKDAY(DATE($D$7,$D$8,AH$9),2)&gt;'[14]Khai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2451</v>
      </c>
      <c r="D42" s="184" t="s">
        <v>2501</v>
      </c>
      <c r="E42" s="35" t="str">
        <f>IF(WEEKDAY(DATE($D$7,$D$8,E$9),2)&gt;'[14]Khai báo'!$B$4,"","X")</f>
        <v>X</v>
      </c>
      <c r="F42" s="35" t="str">
        <f>IF(WEEKDAY(DATE($D$7,$D$8,F$9),2)&gt;'[14]Khai báo'!$B$4,"","X")</f>
        <v>X</v>
      </c>
      <c r="G42" s="35" t="str">
        <f>IF(WEEKDAY(DATE($D$7,$D$8,G$9),2)&gt;'[14]Khai báo'!$B$4,"","X")</f>
        <v>X</v>
      </c>
      <c r="H42" s="35" t="str">
        <f>IF(WEEKDAY(DATE($D$7,$D$8,H$9),2)&gt;'[14]Khai báo'!$B$4,"","X")</f>
        <v>X</v>
      </c>
      <c r="I42" s="35" t="str">
        <f>IF(WEEKDAY(DATE($D$7,$D$8,I$9),2)&gt;'[14]Khai báo'!$B$4,"","X")</f>
        <v>X</v>
      </c>
      <c r="J42" s="35" t="str">
        <f>IF(WEEKDAY(DATE($D$7,$D$8,J$9),2)&gt;'[14]Khai báo'!$B$4,"","X")</f>
        <v/>
      </c>
      <c r="K42" s="35" t="str">
        <f>IF(WEEKDAY(DATE($D$7,$D$8,K$9),2)&gt;'[14]Khai báo'!$B$4,"","X")</f>
        <v>X</v>
      </c>
      <c r="L42" s="35" t="str">
        <f>IF(WEEKDAY(DATE($D$7,$D$8,L$9),2)&gt;'[14]Khai báo'!$B$4,"","X")</f>
        <v>X</v>
      </c>
      <c r="M42" s="35" t="str">
        <f>IF(WEEKDAY(DATE($D$7,$D$8,M$9),2)&gt;'[14]Khai báo'!$B$4,"","X")</f>
        <v>X</v>
      </c>
      <c r="N42" s="35" t="str">
        <f>IF(WEEKDAY(DATE($D$7,$D$8,N$9),2)&gt;'[14]Khai báo'!$B$4,"","X")</f>
        <v>X</v>
      </c>
      <c r="O42" s="35" t="str">
        <f>IF(WEEKDAY(DATE($D$7,$D$8,O$9),2)&gt;'[14]Khai báo'!$B$4,"","X")</f>
        <v>X</v>
      </c>
      <c r="P42" s="35" t="str">
        <f>IF(WEEKDAY(DATE($D$7,$D$8,P$9),2)&gt;'[14]Khai báo'!$B$4,"","X")</f>
        <v>X</v>
      </c>
      <c r="Q42" s="35" t="str">
        <f>IF(WEEKDAY(DATE($D$7,$D$8,Q$9),2)&gt;'[14]Khai báo'!$B$4,"","X")</f>
        <v/>
      </c>
      <c r="R42" s="35" t="str">
        <f>IF(WEEKDAY(DATE($D$7,$D$8,R$9),2)&gt;'[14]Khai báo'!$B$4,"","X")</f>
        <v>X</v>
      </c>
      <c r="S42" s="35" t="str">
        <f>IF(WEEKDAY(DATE($D$7,$D$8,S$9),2)&gt;'[14]Khai báo'!$B$4,"","X")</f>
        <v>X</v>
      </c>
      <c r="T42" s="35" t="str">
        <f>IF(WEEKDAY(DATE($D$7,$D$8,T$9),2)&gt;'[14]Khai báo'!$B$4,"","X")</f>
        <v>X</v>
      </c>
      <c r="U42" s="35" t="str">
        <f>IF(WEEKDAY(DATE($D$7,$D$8,U$9),2)&gt;'[14]Khai báo'!$B$4,"","X")</f>
        <v>X</v>
      </c>
      <c r="V42" s="35" t="str">
        <f>IF(WEEKDAY(DATE($D$7,$D$8,V$9),2)&gt;'[14]Khai báo'!$B$4,"","X")</f>
        <v>X</v>
      </c>
      <c r="W42" s="35" t="str">
        <f>IF(WEEKDAY(DATE($D$7,$D$8,W$9),2)&gt;'[14]Khai báo'!$B$4,"","X")</f>
        <v>X</v>
      </c>
      <c r="X42" s="35" t="str">
        <f>IF(WEEKDAY(DATE($D$7,$D$8,X$9),2)&gt;'[14]Khai báo'!$B$4,"","X")</f>
        <v/>
      </c>
      <c r="Y42" s="35" t="str">
        <f>IF(WEEKDAY(DATE($D$7,$D$8,Y$9),2)&gt;'[14]Khai báo'!$B$4,"","X")</f>
        <v>X</v>
      </c>
      <c r="Z42" s="35" t="str">
        <f>IF(WEEKDAY(DATE($D$7,$D$8,Z$9),2)&gt;'[14]Khai báo'!$B$4,"","X")</f>
        <v>X</v>
      </c>
      <c r="AA42" s="35" t="str">
        <f>IF(WEEKDAY(DATE($D$7,$D$8,AA$9),2)&gt;'[14]Khai báo'!$B$4,"","X")</f>
        <v>X</v>
      </c>
      <c r="AB42" s="35" t="str">
        <f>IF(WEEKDAY(DATE($D$7,$D$8,AB$9),2)&gt;'[14]Khai báo'!$B$4,"","X")</f>
        <v>X</v>
      </c>
      <c r="AC42" s="35" t="str">
        <f>IF(WEEKDAY(DATE($D$7,$D$8,AC$9),2)&gt;'[14]Khai báo'!$B$4,"","X")</f>
        <v>X</v>
      </c>
      <c r="AD42" s="35" t="str">
        <f>IF(WEEKDAY(DATE($D$7,$D$8,AD$9),2)&gt;'[14]Khai báo'!$B$4,"","X")</f>
        <v>X</v>
      </c>
      <c r="AE42" s="35" t="str">
        <f>IF(WEEKDAY(DATE($D$7,$D$8,AE$9),2)&gt;'[14]Khai báo'!$B$4,"","X")</f>
        <v/>
      </c>
      <c r="AF42" s="35" t="str">
        <f>IF(WEEKDAY(DATE($D$7,$D$8,AF$9),2)&gt;'[14]Khai báo'!$B$4,"","X")</f>
        <v>X</v>
      </c>
      <c r="AG42" s="35" t="str">
        <f>IF(WEEKDAY(DATE($D$7,$D$8,AG$9),2)&gt;'[14]Khai báo'!$B$4,"","X")</f>
        <v>X</v>
      </c>
      <c r="AH42" s="35" t="str">
        <f>IF(WEEKDAY(DATE($D$7,$D$8,AH$9),2)&gt;'[14]Khai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2452</v>
      </c>
      <c r="D43" s="184" t="s">
        <v>2502</v>
      </c>
      <c r="E43" s="35" t="str">
        <f>IF(WEEKDAY(DATE($D$7,$D$8,E$9),2)&gt;'[14]Khai báo'!$B$4,"","X")</f>
        <v>X</v>
      </c>
      <c r="F43" s="35" t="str">
        <f>IF(WEEKDAY(DATE($D$7,$D$8,F$9),2)&gt;'[14]Khai báo'!$B$4,"","X")</f>
        <v>X</v>
      </c>
      <c r="G43" s="35" t="str">
        <f>IF(WEEKDAY(DATE($D$7,$D$8,G$9),2)&gt;'[14]Khai báo'!$B$4,"","X")</f>
        <v>X</v>
      </c>
      <c r="H43" s="35" t="str">
        <f>IF(WEEKDAY(DATE($D$7,$D$8,H$9),2)&gt;'[14]Khai báo'!$B$4,"","X")</f>
        <v>X</v>
      </c>
      <c r="I43" s="35" t="str">
        <f>IF(WEEKDAY(DATE($D$7,$D$8,I$9),2)&gt;'[14]Khai báo'!$B$4,"","X")</f>
        <v>X</v>
      </c>
      <c r="J43" s="35" t="str">
        <f>IF(WEEKDAY(DATE($D$7,$D$8,J$9),2)&gt;'[14]Khai báo'!$B$4,"","X")</f>
        <v/>
      </c>
      <c r="K43" s="35" t="str">
        <f>IF(WEEKDAY(DATE($D$7,$D$8,K$9),2)&gt;'[14]Khai báo'!$B$4,"","X")</f>
        <v>X</v>
      </c>
      <c r="L43" s="35" t="str">
        <f>IF(WEEKDAY(DATE($D$7,$D$8,L$9),2)&gt;'[14]Khai báo'!$B$4,"","X")</f>
        <v>X</v>
      </c>
      <c r="M43" s="35" t="s">
        <v>2329</v>
      </c>
      <c r="N43" s="35" t="s">
        <v>2329</v>
      </c>
      <c r="O43" s="35" t="s">
        <v>2329</v>
      </c>
      <c r="P43" s="35" t="s">
        <v>2329</v>
      </c>
      <c r="Q43" s="35"/>
      <c r="R43" s="35" t="s">
        <v>2329</v>
      </c>
      <c r="S43" s="35" t="s">
        <v>2329</v>
      </c>
      <c r="T43" s="35" t="s">
        <v>2329</v>
      </c>
      <c r="U43" s="35" t="s">
        <v>2329</v>
      </c>
      <c r="V43" s="35" t="s">
        <v>2329</v>
      </c>
      <c r="W43" s="35" t="s">
        <v>2336</v>
      </c>
      <c r="X43" s="35" t="str">
        <f>IF(WEEKDAY(DATE($D$7,$D$8,X$9),2)&gt;'[14]Khai báo'!$B$4,"","X")</f>
        <v/>
      </c>
      <c r="Y43" s="35" t="s">
        <v>2336</v>
      </c>
      <c r="Z43" s="35" t="s">
        <v>2336</v>
      </c>
      <c r="AA43" s="35" t="s">
        <v>2336</v>
      </c>
      <c r="AB43" s="35" t="s">
        <v>2336</v>
      </c>
      <c r="AC43" s="35" t="s">
        <v>2336</v>
      </c>
      <c r="AD43" s="35" t="s">
        <v>2336</v>
      </c>
      <c r="AE43" s="35" t="str">
        <f>IF(WEEKDAY(DATE($D$7,$D$8,AE$9),2)&gt;'[14]Khai báo'!$B$4,"","X")</f>
        <v/>
      </c>
      <c r="AF43" s="35" t="s">
        <v>2336</v>
      </c>
      <c r="AG43" s="35" t="s">
        <v>2336</v>
      </c>
      <c r="AH43" s="35" t="s">
        <v>2336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2527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2528</v>
      </c>
      <c r="D45" s="36" t="s">
        <v>2529</v>
      </c>
      <c r="E45" s="35" t="str">
        <f>IF(WEEKDAY(DATE($D$7,$D$8,E$9),2)&gt;'[14]Khai báo'!$B$4,"","X")</f>
        <v>X</v>
      </c>
      <c r="F45" s="35" t="str">
        <f>IF(WEEKDAY(DATE($D$7,$D$8,F$9),2)&gt;'[14]Khai báo'!$B$4,"","X")</f>
        <v>X</v>
      </c>
      <c r="G45" s="35" t="str">
        <f>IF(WEEKDAY(DATE($D$7,$D$8,G$9),2)&gt;'[14]Khai báo'!$B$4,"","X")</f>
        <v>X</v>
      </c>
      <c r="H45" s="35" t="str">
        <f>IF(WEEKDAY(DATE($D$7,$D$8,H$9),2)&gt;'[14]Khai báo'!$B$4,"","X")</f>
        <v>X</v>
      </c>
      <c r="I45" s="35" t="str">
        <f>IF(WEEKDAY(DATE($D$7,$D$8,I$9),2)&gt;'[14]Khai báo'!$B$4,"","X")</f>
        <v>X</v>
      </c>
      <c r="J45" s="35" t="str">
        <f>IF(WEEKDAY(DATE($D$7,$D$8,J$9),2)&gt;'[14]Khai báo'!$B$4,"","X")</f>
        <v/>
      </c>
      <c r="K45" s="35" t="s">
        <v>2336</v>
      </c>
      <c r="L45" s="35" t="s">
        <v>2336</v>
      </c>
      <c r="M45" s="35" t="s">
        <v>2336</v>
      </c>
      <c r="N45" s="35" t="s">
        <v>2336</v>
      </c>
      <c r="O45" s="35" t="str">
        <f>IF(WEEKDAY(DATE($D$7,$D$8,O$9),2)&gt;'[14]Khai báo'!$B$4,"","X")</f>
        <v>X</v>
      </c>
      <c r="P45" s="35" t="str">
        <f>IF(WEEKDAY(DATE($D$7,$D$8,P$9),2)&gt;'[14]Khai báo'!$B$4,"","X")</f>
        <v>X</v>
      </c>
      <c r="Q45" s="35" t="str">
        <f>IF(WEEKDAY(DATE($D$7,$D$8,Q$9),2)&gt;'[14]Khai báo'!$B$4,"","X")</f>
        <v/>
      </c>
      <c r="R45" s="35" t="str">
        <f>IF(WEEKDAY(DATE($D$7,$D$8,R$9),2)&gt;'[14]Khai báo'!$B$4,"","X")</f>
        <v>X</v>
      </c>
      <c r="S45" s="35" t="str">
        <f>IF(WEEKDAY(DATE($D$7,$D$8,S$9),2)&gt;'[14]Khai báo'!$B$4,"","X")</f>
        <v>X</v>
      </c>
      <c r="T45" s="35" t="str">
        <f>IF(WEEKDAY(DATE($D$7,$D$8,T$9),2)&gt;'[14]Khai báo'!$B$4,"","X")</f>
        <v>X</v>
      </c>
      <c r="U45" s="35" t="str">
        <f>IF(WEEKDAY(DATE($D$7,$D$8,U$9),2)&gt;'[14]Khai báo'!$B$4,"","X")</f>
        <v>X</v>
      </c>
      <c r="V45" s="35" t="str">
        <f>IF(WEEKDAY(DATE($D$7,$D$8,V$9),2)&gt;'[14]Khai báo'!$B$4,"","X")</f>
        <v>X</v>
      </c>
      <c r="W45" s="35" t="str">
        <f>IF(WEEKDAY(DATE($D$7,$D$8,W$9),2)&gt;'[14]Khai báo'!$B$4,"","X")</f>
        <v>X</v>
      </c>
      <c r="X45" s="35" t="str">
        <f>IF(WEEKDAY(DATE($D$7,$D$8,X$9),2)&gt;'[14]Khai báo'!$B$4,"","X")</f>
        <v/>
      </c>
      <c r="Y45" s="35" t="str">
        <f>IF(WEEKDAY(DATE($D$7,$D$8,Y$9),2)&gt;'[14]Khai báo'!$B$4,"","X")</f>
        <v>X</v>
      </c>
      <c r="Z45" s="35" t="str">
        <f>IF(WEEKDAY(DATE($D$7,$D$8,Z$9),2)&gt;'[14]Khai báo'!$B$4,"","X")</f>
        <v>X</v>
      </c>
      <c r="AA45" s="35" t="str">
        <f>IF(WEEKDAY(DATE($D$7,$D$8,AA$9),2)&gt;'[14]Khai báo'!$B$4,"","X")</f>
        <v>X</v>
      </c>
      <c r="AB45" s="35" t="str">
        <f>IF(WEEKDAY(DATE($D$7,$D$8,AB$9),2)&gt;'[14]Khai báo'!$B$4,"","X")</f>
        <v>X</v>
      </c>
      <c r="AC45" s="35" t="str">
        <f>IF(WEEKDAY(DATE($D$7,$D$8,AC$9),2)&gt;'[14]Khai báo'!$B$4,"","X")</f>
        <v>X</v>
      </c>
      <c r="AD45" s="35" t="str">
        <f>IF(WEEKDAY(DATE($D$7,$D$8,AD$9),2)&gt;'[14]Khai báo'!$B$4,"","X")</f>
        <v>X</v>
      </c>
      <c r="AE45" s="35" t="str">
        <f>IF(WEEKDAY(DATE($D$7,$D$8,AE$9),2)&gt;'[14]Khai báo'!$B$4,"","X")</f>
        <v/>
      </c>
      <c r="AF45" s="35" t="str">
        <f>IF(WEEKDAY(DATE($D$7,$D$8,AF$9),2)&gt;'[14]Khai báo'!$B$4,"","X")</f>
        <v>X</v>
      </c>
      <c r="AG45" s="35" t="str">
        <f>IF(WEEKDAY(DATE($D$7,$D$8,AG$9),2)&gt;'[14]Khai báo'!$B$4,"","X")</f>
        <v>X</v>
      </c>
      <c r="AH45" s="35" t="str">
        <f>IF(WEEKDAY(DATE($D$7,$D$8,AH$9),2)&gt;'[14]Khai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2530</v>
      </c>
      <c r="C46" s="39" t="s">
        <v>2531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2454</v>
      </c>
      <c r="E47" s="35" t="str">
        <f>IF(WEEKDAY(DATE($D$7,$D$8,E$9),2)&gt;'[14]Khai báo'!$B$4,"","X")</f>
        <v>X</v>
      </c>
      <c r="F47" s="35" t="str">
        <f>IF(WEEKDAY(DATE($D$7,$D$8,F$9),2)&gt;'[14]Khai báo'!$B$4,"","X")</f>
        <v>X</v>
      </c>
      <c r="G47" s="35" t="str">
        <f>IF(WEEKDAY(DATE($D$7,$D$8,G$9),2)&gt;'[14]Khai báo'!$B$4,"","X")</f>
        <v>X</v>
      </c>
      <c r="H47" s="35" t="str">
        <f>IF(WEEKDAY(DATE($D$7,$D$8,H$9),2)&gt;'[14]Khai báo'!$B$4,"","X")</f>
        <v>X</v>
      </c>
      <c r="I47" s="35" t="str">
        <f>IF(WEEKDAY(DATE($D$7,$D$8,I$9),2)&gt;'[14]Khai báo'!$B$4,"","X")</f>
        <v>X</v>
      </c>
      <c r="J47" s="35" t="str">
        <f>IF(WEEKDAY(DATE($D$7,$D$8,J$9),2)&gt;'[14]Khai báo'!$B$4,"","X")</f>
        <v/>
      </c>
      <c r="K47" s="35" t="str">
        <f>IF(WEEKDAY(DATE($D$7,$D$8,K$9),2)&gt;'[14]Khai báo'!$B$4,"","X")</f>
        <v>X</v>
      </c>
      <c r="L47" s="35" t="str">
        <f>IF(WEEKDAY(DATE($D$7,$D$8,L$9),2)&gt;'[14]Khai báo'!$B$4,"","X")</f>
        <v>X</v>
      </c>
      <c r="M47" s="35" t="str">
        <f>IF(WEEKDAY(DATE($D$7,$D$8,M$9),2)&gt;'[14]Khai báo'!$B$4,"","X")</f>
        <v>X</v>
      </c>
      <c r="N47" s="35" t="str">
        <f>IF(WEEKDAY(DATE($D$7,$D$8,N$9),2)&gt;'[14]Khai báo'!$B$4,"","X")</f>
        <v>X</v>
      </c>
      <c r="O47" s="35" t="str">
        <f>IF(WEEKDAY(DATE($D$7,$D$8,O$9),2)&gt;'[14]Khai báo'!$B$4,"","X")</f>
        <v>X</v>
      </c>
      <c r="P47" s="35" t="str">
        <f>IF(WEEKDAY(DATE($D$7,$D$8,P$9),2)&gt;'[14]Khai báo'!$B$4,"","X")</f>
        <v>X</v>
      </c>
      <c r="Q47" s="35" t="str">
        <f>IF(WEEKDAY(DATE($D$7,$D$8,Q$9),2)&gt;'[14]Khai báo'!$B$4,"","X")</f>
        <v/>
      </c>
      <c r="R47" s="35" t="str">
        <f>IF(WEEKDAY(DATE($D$7,$D$8,R$9),2)&gt;'[14]Khai báo'!$B$4,"","X")</f>
        <v>X</v>
      </c>
      <c r="S47" s="35" t="str">
        <f>IF(WEEKDAY(DATE($D$7,$D$8,S$9),2)&gt;'[14]Khai báo'!$B$4,"","X")</f>
        <v>X</v>
      </c>
      <c r="T47" s="35" t="str">
        <f>IF(WEEKDAY(DATE($D$7,$D$8,T$9),2)&gt;'[14]Khai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2455</v>
      </c>
      <c r="E48" s="35" t="str">
        <f>IF(WEEKDAY(DATE($D$7,$D$8,E$9),2)&gt;'[14]Khai báo'!$B$4,"","X")</f>
        <v>X</v>
      </c>
      <c r="F48" s="35" t="str">
        <f>IF(WEEKDAY(DATE($D$7,$D$8,F$9),2)&gt;'[14]Khai báo'!$B$4,"","X")</f>
        <v>X</v>
      </c>
      <c r="G48" s="35" t="str">
        <f>IF(WEEKDAY(DATE($D$7,$D$8,G$9),2)&gt;'[14]Khai báo'!$B$4,"","X")</f>
        <v>X</v>
      </c>
      <c r="H48" s="35" t="str">
        <f>IF(WEEKDAY(DATE($D$7,$D$8,H$9),2)&gt;'[14]Khai báo'!$B$4,"","X")</f>
        <v>X</v>
      </c>
      <c r="I48" s="35" t="str">
        <f>IF(WEEKDAY(DATE($D$7,$D$8,I$9),2)&gt;'[14]Khai báo'!$B$4,"","X")</f>
        <v>X</v>
      </c>
      <c r="J48" s="35" t="str">
        <f>IF(WEEKDAY(DATE($D$7,$D$8,J$9),2)&gt;'[14]Khai báo'!$B$4,"","X")</f>
        <v/>
      </c>
      <c r="K48" s="35" t="str">
        <f>IF(WEEKDAY(DATE($D$7,$D$8,K$9),2)&gt;'[14]Khai báo'!$B$4,"","X")</f>
        <v>X</v>
      </c>
      <c r="L48" s="35" t="str">
        <f>IF(WEEKDAY(DATE($D$7,$D$8,L$9),2)&gt;'[14]Khai báo'!$B$4,"","X")</f>
        <v>X</v>
      </c>
      <c r="M48" s="35" t="str">
        <f>IF(WEEKDAY(DATE($D$7,$D$8,M$9),2)&gt;'[14]Khai báo'!$B$4,"","X")</f>
        <v>X</v>
      </c>
      <c r="N48" s="35" t="str">
        <f>IF(WEEKDAY(DATE($D$7,$D$8,N$9),2)&gt;'[14]Khai báo'!$B$4,"","X")</f>
        <v>X</v>
      </c>
      <c r="O48" s="35" t="str">
        <f>IF(WEEKDAY(DATE($D$7,$D$8,O$9),2)&gt;'[14]Khai báo'!$B$4,"","X")</f>
        <v>X</v>
      </c>
      <c r="P48" s="35" t="str">
        <f>IF(WEEKDAY(DATE($D$7,$D$8,P$9),2)&gt;'[14]Khai báo'!$B$4,"","X")</f>
        <v>X</v>
      </c>
      <c r="Q48" s="35" t="str">
        <f>IF(WEEKDAY(DATE($D$7,$D$8,Q$9),2)&gt;'[14]Khai báo'!$B$4,"","X")</f>
        <v/>
      </c>
      <c r="R48" s="35" t="str">
        <f>IF(WEEKDAY(DATE($D$7,$D$8,R$9),2)&gt;'[14]Khai báo'!$B$4,"","X")</f>
        <v>X</v>
      </c>
      <c r="S48" s="35" t="str">
        <f>IF(WEEKDAY(DATE($D$7,$D$8,S$9),2)&gt;'[14]Khai báo'!$B$4,"","X")</f>
        <v>X</v>
      </c>
      <c r="T48" s="35" t="str">
        <f>IF(WEEKDAY(DATE($D$7,$D$8,T$9),2)&gt;'[14]Khai báo'!$B$4,"","X")</f>
        <v>X</v>
      </c>
      <c r="U48" s="35" t="str">
        <f>IF(WEEKDAY(DATE($D$7,$D$8,U$9),2)&gt;'[14]Khai báo'!$B$4,"","X")</f>
        <v>X</v>
      </c>
      <c r="V48" s="35" t="str">
        <f>IF(WEEKDAY(DATE($D$7,$D$8,V$9),2)&gt;'[14]Khai báo'!$B$4,"","X")</f>
        <v>X</v>
      </c>
      <c r="W48" s="35" t="str">
        <f>IF(WEEKDAY(DATE($D$7,$D$8,W$9),2)&gt;'[14]Khai báo'!$B$4,"","X")</f>
        <v>X</v>
      </c>
      <c r="X48" s="35" t="str">
        <f>IF(WEEKDAY(DATE($D$7,$D$8,X$9),2)&gt;'[14]Khai báo'!$B$4,"","X")</f>
        <v/>
      </c>
      <c r="Y48" s="35" t="str">
        <f>IF(WEEKDAY(DATE($D$7,$D$8,Y$9),2)&gt;'[14]Khai báo'!$B$4,"","X")</f>
        <v>X</v>
      </c>
      <c r="Z48" s="35" t="str">
        <f>IF(WEEKDAY(DATE($D$7,$D$8,Z$9),2)&gt;'[14]Khai báo'!$B$4,"","X")</f>
        <v>X</v>
      </c>
      <c r="AA48" s="35" t="str">
        <f>IF(WEEKDAY(DATE($D$7,$D$8,AA$9),2)&gt;'[14]Khai báo'!$B$4,"","X")</f>
        <v>X</v>
      </c>
      <c r="AB48" s="35" t="str">
        <f>IF(WEEKDAY(DATE($D$7,$D$8,AB$9),2)&gt;'[14]Khai báo'!$B$4,"","X")</f>
        <v>X</v>
      </c>
      <c r="AC48" s="35" t="str">
        <f>IF(WEEKDAY(DATE($D$7,$D$8,AC$9),2)&gt;'[14]Khai báo'!$B$4,"","X")</f>
        <v>X</v>
      </c>
      <c r="AD48" s="35" t="str">
        <f>IF(WEEKDAY(DATE($D$7,$D$8,AD$9),2)&gt;'[14]Khai báo'!$B$4,"","X")</f>
        <v>X</v>
      </c>
      <c r="AE48" s="35" t="str">
        <f>IF(WEEKDAY(DATE($D$7,$D$8,AE$9),2)&gt;'[14]Khai báo'!$B$4,"","X")</f>
        <v/>
      </c>
      <c r="AF48" s="35" t="str">
        <f>IF(WEEKDAY(DATE($D$7,$D$8,AF$9),2)&gt;'[14]Khai báo'!$B$4,"","X")</f>
        <v>X</v>
      </c>
      <c r="AG48" s="35" t="str">
        <f>IF(WEEKDAY(DATE($D$7,$D$8,AG$9),2)&gt;'[14]Khai báo'!$B$4,"","X")</f>
        <v>X</v>
      </c>
      <c r="AH48" s="35" t="str">
        <f>IF(WEEKDAY(DATE($D$7,$D$8,AH$9),2)&gt;'[14]Khai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2454</v>
      </c>
      <c r="E49" s="35" t="str">
        <f>IF(WEEKDAY(DATE($D$7,$D$8,E$9),2)&gt;'[14]Khai báo'!$B$4,"","X")</f>
        <v>X</v>
      </c>
      <c r="F49" s="35" t="str">
        <f>IF(WEEKDAY(DATE($D$7,$D$8,F$9),2)&gt;'[14]Khai báo'!$B$4,"","X")</f>
        <v>X</v>
      </c>
      <c r="G49" s="35" t="str">
        <f>IF(WEEKDAY(DATE($D$7,$D$8,G$9),2)&gt;'[14]Khai báo'!$B$4,"","X")</f>
        <v>X</v>
      </c>
      <c r="H49" s="35" t="str">
        <f>IF(WEEKDAY(DATE($D$7,$D$8,H$9),2)&gt;'[14]Khai báo'!$B$4,"","X")</f>
        <v>X</v>
      </c>
      <c r="I49" s="35" t="str">
        <f>IF(WEEKDAY(DATE($D$7,$D$8,I$9),2)&gt;'[14]Khai báo'!$B$4,"","X")</f>
        <v>X</v>
      </c>
      <c r="J49" s="35" t="str">
        <f>IF(WEEKDAY(DATE($D$7,$D$8,J$9),2)&gt;'[14]Khai báo'!$B$4,"","X")</f>
        <v/>
      </c>
      <c r="K49" s="35" t="str">
        <f>IF(WEEKDAY(DATE($D$7,$D$8,K$9),2)&gt;'[14]Khai báo'!$B$4,"","X")</f>
        <v>X</v>
      </c>
      <c r="L49" s="35" t="str">
        <f>IF(WEEKDAY(DATE($D$7,$D$8,L$9),2)&gt;'[14]Khai báo'!$B$4,"","X")</f>
        <v>X</v>
      </c>
      <c r="M49" s="35" t="str">
        <f>IF(WEEKDAY(DATE($D$7,$D$8,M$9),2)&gt;'[14]Khai báo'!$B$4,"","X")</f>
        <v>X</v>
      </c>
      <c r="N49" s="35" t="str">
        <f>IF(WEEKDAY(DATE($D$7,$D$8,N$9),2)&gt;'[14]Khai báo'!$B$4,"","X")</f>
        <v>X</v>
      </c>
      <c r="O49" s="35" t="str">
        <f>IF(WEEKDAY(DATE($D$7,$D$8,O$9),2)&gt;'[14]Khai báo'!$B$4,"","X")</f>
        <v>X</v>
      </c>
      <c r="P49" s="35" t="str">
        <f>IF(WEEKDAY(DATE($D$7,$D$8,P$9),2)&gt;'[14]Khai báo'!$B$4,"","X")</f>
        <v>X</v>
      </c>
      <c r="Q49" s="35" t="str">
        <f>IF(WEEKDAY(DATE($D$7,$D$8,Q$9),2)&gt;'[14]Khai báo'!$B$4,"","X")</f>
        <v/>
      </c>
      <c r="R49" s="35" t="str">
        <f>IF(WEEKDAY(DATE($D$7,$D$8,R$9),2)&gt;'[14]Khai báo'!$B$4,"","X")</f>
        <v>X</v>
      </c>
      <c r="S49" s="35" t="str">
        <f>IF(WEEKDAY(DATE($D$7,$D$8,S$9),2)&gt;'[14]Khai báo'!$B$4,"","X")</f>
        <v>X</v>
      </c>
      <c r="T49" s="35" t="str">
        <f>IF(WEEKDAY(DATE($D$7,$D$8,T$9),2)&gt;'[14]Khai báo'!$B$4,"","X")</f>
        <v>X</v>
      </c>
      <c r="U49" s="35" t="str">
        <f>IF(WEEKDAY(DATE($D$7,$D$8,U$9),2)&gt;'[14]Khai báo'!$B$4,"","X")</f>
        <v>X</v>
      </c>
      <c r="V49" s="35" t="str">
        <f>IF(WEEKDAY(DATE($D$7,$D$8,V$9),2)&gt;'[14]Khai báo'!$B$4,"","X")</f>
        <v>X</v>
      </c>
      <c r="W49" s="35" t="str">
        <f>IF(WEEKDAY(DATE($D$7,$D$8,W$9),2)&gt;'[14]Khai báo'!$B$4,"","X")</f>
        <v>X</v>
      </c>
      <c r="X49" s="35" t="str">
        <f>IF(WEEKDAY(DATE($D$7,$D$8,X$9),2)&gt;'[14]Khai báo'!$B$4,"","X")</f>
        <v/>
      </c>
      <c r="Y49" s="35" t="str">
        <f>IF(WEEKDAY(DATE($D$7,$D$8,Y$9),2)&gt;'[14]Khai báo'!$B$4,"","X")</f>
        <v>X</v>
      </c>
      <c r="Z49" s="35" t="str">
        <f>IF(WEEKDAY(DATE($D$7,$D$8,Z$9),2)&gt;'[14]Khai báo'!$B$4,"","X")</f>
        <v>X</v>
      </c>
      <c r="AA49" s="35" t="str">
        <f>IF(WEEKDAY(DATE($D$7,$D$8,AA$9),2)&gt;'[14]Khai báo'!$B$4,"","X")</f>
        <v>X</v>
      </c>
      <c r="AB49" s="35" t="str">
        <f>IF(WEEKDAY(DATE($D$7,$D$8,AB$9),2)&gt;'[14]Khai báo'!$B$4,"","X")</f>
        <v>X</v>
      </c>
      <c r="AC49" s="35" t="str">
        <f>IF(WEEKDAY(DATE($D$7,$D$8,AC$9),2)&gt;'[14]Khai báo'!$B$4,"","X")</f>
        <v>X</v>
      </c>
      <c r="AD49" s="35" t="str">
        <f>IF(WEEKDAY(DATE($D$7,$D$8,AD$9),2)&gt;'[14]Khai báo'!$B$4,"","X")</f>
        <v>X</v>
      </c>
      <c r="AE49" s="35" t="str">
        <f>IF(WEEKDAY(DATE($D$7,$D$8,AE$9),2)&gt;'[14]Khai báo'!$B$4,"","X")</f>
        <v/>
      </c>
      <c r="AF49" s="35" t="str">
        <f>IF(WEEKDAY(DATE($D$7,$D$8,AF$9),2)&gt;'[14]Khai báo'!$B$4,"","X")</f>
        <v>X</v>
      </c>
      <c r="AG49" s="35" t="str">
        <f>IF(WEEKDAY(DATE($D$7,$D$8,AG$9),2)&gt;'[14]Khai báo'!$B$4,"","X")</f>
        <v>X</v>
      </c>
      <c r="AH49" s="35" t="str">
        <f>IF(WEEKDAY(DATE($D$7,$D$8,AH$9),2)&gt;'[14]Khai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2454</v>
      </c>
      <c r="E50" s="35" t="str">
        <f>IF(WEEKDAY(DATE($D$7,$D$8,E$9),2)&gt;'[14]Khai báo'!$B$4,"","X")</f>
        <v>X</v>
      </c>
      <c r="F50" s="35" t="str">
        <f>IF(WEEKDAY(DATE($D$7,$D$8,F$9),2)&gt;'[14]Khai báo'!$B$4,"","X")</f>
        <v>X</v>
      </c>
      <c r="G50" s="35" t="str">
        <f>IF(WEEKDAY(DATE($D$7,$D$8,G$9),2)&gt;'[14]Khai báo'!$B$4,"","X")</f>
        <v>X</v>
      </c>
      <c r="H50" s="35" t="str">
        <f>IF(WEEKDAY(DATE($D$7,$D$8,H$9),2)&gt;'[14]Khai báo'!$B$4,"","X")</f>
        <v>X</v>
      </c>
      <c r="I50" s="35" t="str">
        <f>IF(WEEKDAY(DATE($D$7,$D$8,I$9),2)&gt;'[14]Khai báo'!$B$4,"","X")</f>
        <v>X</v>
      </c>
      <c r="J50" s="35" t="str">
        <f>IF(WEEKDAY(DATE($D$7,$D$8,J$9),2)&gt;'[14]Khai báo'!$B$4,"","X")</f>
        <v/>
      </c>
      <c r="K50" s="35" t="str">
        <f>IF(WEEKDAY(DATE($D$7,$D$8,K$9),2)&gt;'[14]Khai báo'!$B$4,"","X")</f>
        <v>X</v>
      </c>
      <c r="L50" s="35" t="str">
        <f>IF(WEEKDAY(DATE($D$7,$D$8,L$9),2)&gt;'[14]Khai báo'!$B$4,"","X")</f>
        <v>X</v>
      </c>
      <c r="M50" s="35" t="str">
        <f>IF(WEEKDAY(DATE($D$7,$D$8,M$9),2)&gt;'[14]Khai báo'!$B$4,"","X")</f>
        <v>X</v>
      </c>
      <c r="N50" s="35" t="str">
        <f>IF(WEEKDAY(DATE($D$7,$D$8,N$9),2)&gt;'[14]Khai báo'!$B$4,"","X")</f>
        <v>X</v>
      </c>
      <c r="O50" s="35" t="str">
        <f>IF(WEEKDAY(DATE($D$7,$D$8,O$9),2)&gt;'[14]Khai báo'!$B$4,"","X")</f>
        <v>X</v>
      </c>
      <c r="P50" s="35" t="str">
        <f>IF(WEEKDAY(DATE($D$7,$D$8,P$9),2)&gt;'[14]Khai báo'!$B$4,"","X")</f>
        <v>X</v>
      </c>
      <c r="Q50" s="35" t="str">
        <f>IF(WEEKDAY(DATE($D$7,$D$8,Q$9),2)&gt;'[14]Khai báo'!$B$4,"","X")</f>
        <v/>
      </c>
      <c r="R50" s="35" t="str">
        <f>IF(WEEKDAY(DATE($D$7,$D$8,R$9),2)&gt;'[14]Khai báo'!$B$4,"","X")</f>
        <v>X</v>
      </c>
      <c r="S50" s="35" t="str">
        <f>IF(WEEKDAY(DATE($D$7,$D$8,S$9),2)&gt;'[14]Khai báo'!$B$4,"","X")</f>
        <v>X</v>
      </c>
      <c r="T50" s="35" t="str">
        <f>IF(WEEKDAY(DATE($D$7,$D$8,T$9),2)&gt;'[14]Khai báo'!$B$4,"","X")</f>
        <v>X</v>
      </c>
      <c r="U50" s="35" t="str">
        <f>IF(WEEKDAY(DATE($D$7,$D$8,U$9),2)&gt;'[14]Khai báo'!$B$4,"","X")</f>
        <v>X</v>
      </c>
      <c r="V50" s="35" t="str">
        <f>IF(WEEKDAY(DATE($D$7,$D$8,V$9),2)&gt;'[14]Khai báo'!$B$4,"","X")</f>
        <v>X</v>
      </c>
      <c r="W50" s="35" t="str">
        <f>IF(WEEKDAY(DATE($D$7,$D$8,W$9),2)&gt;'[14]Khai báo'!$B$4,"","X")</f>
        <v>X</v>
      </c>
      <c r="X50" s="35" t="str">
        <f>IF(WEEKDAY(DATE($D$7,$D$8,X$9),2)&gt;'[14]Khai báo'!$B$4,"","X")</f>
        <v/>
      </c>
      <c r="Y50" s="35" t="str">
        <f>IF(WEEKDAY(DATE($D$7,$D$8,Y$9),2)&gt;'[14]Khai báo'!$B$4,"","X")</f>
        <v>X</v>
      </c>
      <c r="Z50" s="35" t="str">
        <f>IF(WEEKDAY(DATE($D$7,$D$8,Z$9),2)&gt;'[14]Khai báo'!$B$4,"","X")</f>
        <v>X</v>
      </c>
      <c r="AA50" s="35" t="str">
        <f>IF(WEEKDAY(DATE($D$7,$D$8,AA$9),2)&gt;'[14]Khai báo'!$B$4,"","X")</f>
        <v>X</v>
      </c>
      <c r="AB50" s="35" t="str">
        <f>IF(WEEKDAY(DATE($D$7,$D$8,AB$9),2)&gt;'[14]Khai báo'!$B$4,"","X")</f>
        <v>X</v>
      </c>
      <c r="AC50" s="35" t="str">
        <f>IF(WEEKDAY(DATE($D$7,$D$8,AC$9),2)&gt;'[14]Khai báo'!$B$4,"","X")</f>
        <v>X</v>
      </c>
      <c r="AD50" s="35" t="str">
        <f>IF(WEEKDAY(DATE($D$7,$D$8,AD$9),2)&gt;'[14]Khai báo'!$B$4,"","X")</f>
        <v>X</v>
      </c>
      <c r="AE50" s="35" t="str">
        <f>IF(WEEKDAY(DATE($D$7,$D$8,AE$9),2)&gt;'[14]Khai báo'!$B$4,"","X")</f>
        <v/>
      </c>
      <c r="AF50" s="35" t="str">
        <f>IF(WEEKDAY(DATE($D$7,$D$8,AF$9),2)&gt;'[14]Khai báo'!$B$4,"","X")</f>
        <v>X</v>
      </c>
      <c r="AG50" s="35" t="str">
        <f>IF(WEEKDAY(DATE($D$7,$D$8,AG$9),2)&gt;'[14]Khai báo'!$B$4,"","X")</f>
        <v>X</v>
      </c>
      <c r="AH50" s="35" t="str">
        <f>IF(WEEKDAY(DATE($D$7,$D$8,AH$9),2)&gt;'[14]Khai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933" t="s">
        <v>2532</v>
      </c>
      <c r="C51" s="2934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91" t="s">
        <v>2007</v>
      </c>
      <c r="B52" s="2391"/>
      <c r="C52" s="28" t="s">
        <v>2533</v>
      </c>
      <c r="AJ52" s="190"/>
      <c r="AK52" s="190"/>
      <c r="AL52" s="190"/>
    </row>
    <row r="53" spans="1:50" ht="15.75">
      <c r="C53" s="40" t="s">
        <v>2534</v>
      </c>
      <c r="Z53" s="40"/>
      <c r="AA53" s="2925"/>
      <c r="AB53" s="2925"/>
      <c r="AC53" s="2925"/>
      <c r="AD53" s="2925"/>
      <c r="AE53" s="2925"/>
      <c r="AF53" s="2925"/>
      <c r="AG53" s="2925"/>
      <c r="AH53" s="2925"/>
      <c r="AI53" s="2925"/>
      <c r="AJ53" s="2925"/>
      <c r="AK53" s="2925"/>
      <c r="AL53" s="2925"/>
    </row>
    <row r="54" spans="1:50" s="26" customFormat="1" ht="16.5" hidden="1" customHeight="1">
      <c r="C54" s="40" t="s">
        <v>2535</v>
      </c>
      <c r="D54" s="40"/>
      <c r="AA54" s="2925"/>
      <c r="AB54" s="2925"/>
      <c r="AC54" s="2925"/>
      <c r="AD54" s="2925"/>
      <c r="AE54" s="2925"/>
      <c r="AF54" s="2925"/>
      <c r="AG54" s="2925"/>
      <c r="AH54" s="2925"/>
      <c r="AI54" s="2925"/>
      <c r="AJ54" s="2925"/>
      <c r="AK54" s="2925"/>
      <c r="AL54" s="2925"/>
    </row>
    <row r="55" spans="1:50" s="26" customFormat="1" ht="16.5" customHeight="1">
      <c r="C55" s="40" t="s">
        <v>2536</v>
      </c>
      <c r="D55" s="40"/>
      <c r="AA55" s="2925"/>
      <c r="AB55" s="2925"/>
      <c r="AC55" s="2925"/>
      <c r="AD55" s="2925"/>
      <c r="AE55" s="2925"/>
      <c r="AF55" s="2925"/>
      <c r="AG55" s="2925"/>
      <c r="AH55" s="2925"/>
      <c r="AI55" s="2925"/>
      <c r="AJ55" s="2925"/>
      <c r="AK55" s="2925"/>
      <c r="AL55" s="2925"/>
      <c r="AW55" s="26">
        <f>18*8</f>
        <v>144</v>
      </c>
    </row>
    <row r="56" spans="1:50" s="26" customFormat="1" ht="16.5" customHeight="1">
      <c r="C56" s="40"/>
      <c r="D56" s="40"/>
      <c r="AA56" s="2925"/>
      <c r="AB56" s="2925"/>
      <c r="AC56" s="2925"/>
      <c r="AD56" s="2925"/>
      <c r="AE56" s="2925"/>
      <c r="AF56" s="2925"/>
      <c r="AG56" s="2925"/>
      <c r="AH56" s="2925"/>
      <c r="AI56" s="2925"/>
      <c r="AJ56" s="2925"/>
      <c r="AK56" s="2925"/>
      <c r="AL56" s="2925"/>
    </row>
    <row r="57" spans="1:50" s="26" customFormat="1" ht="16.5" customHeight="1">
      <c r="C57" s="40"/>
      <c r="D57" s="40"/>
      <c r="AA57" s="2925" t="s">
        <v>2537</v>
      </c>
      <c r="AB57" s="2925"/>
      <c r="AC57" s="2925"/>
      <c r="AD57" s="2925"/>
      <c r="AE57" s="2925"/>
      <c r="AF57" s="2925"/>
      <c r="AG57" s="2925"/>
      <c r="AH57" s="2925"/>
      <c r="AI57" s="2925"/>
      <c r="AJ57" s="2925"/>
      <c r="AK57" s="2925"/>
      <c r="AL57" s="2925"/>
    </row>
    <row r="58" spans="1:50" ht="15.75">
      <c r="B58" s="2400"/>
      <c r="C58" s="2391"/>
      <c r="D58" s="41"/>
      <c r="E58" s="26" t="s">
        <v>2538</v>
      </c>
      <c r="K58" s="26"/>
      <c r="L58" s="26"/>
      <c r="M58" s="26"/>
      <c r="N58" s="26"/>
      <c r="O58" s="26"/>
      <c r="P58" s="26"/>
      <c r="Q58" s="26"/>
      <c r="R58" s="26" t="s">
        <v>2327</v>
      </c>
      <c r="S58" s="26"/>
      <c r="T58" s="26"/>
      <c r="U58" s="26"/>
      <c r="V58" s="26"/>
      <c r="W58" s="26"/>
      <c r="X58" s="26"/>
      <c r="Y58" s="26"/>
      <c r="Z58" s="2405" t="s">
        <v>612</v>
      </c>
      <c r="AA58" s="2405"/>
      <c r="AB58" s="2405"/>
      <c r="AC58" s="2405"/>
      <c r="AD58" s="2405"/>
      <c r="AE58" s="2405"/>
      <c r="AF58" s="2405"/>
      <c r="AG58" s="2405"/>
      <c r="AH58" s="2405"/>
      <c r="AI58" s="2405"/>
      <c r="AJ58" s="2405"/>
      <c r="AK58" s="2405"/>
      <c r="AL58" s="2405"/>
    </row>
    <row r="63" spans="1:50">
      <c r="Z63" s="2390" t="s">
        <v>613</v>
      </c>
      <c r="AA63" s="2390"/>
      <c r="AB63" s="2390"/>
      <c r="AC63" s="2390"/>
      <c r="AD63" s="2390"/>
      <c r="AE63" s="2390"/>
      <c r="AF63" s="2390"/>
      <c r="AG63" s="2390"/>
      <c r="AH63" s="2390"/>
      <c r="AI63" s="2390"/>
      <c r="AJ63" s="2390"/>
      <c r="AK63" s="2390"/>
      <c r="AL63" s="2390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618" t="s">
        <v>617</v>
      </c>
      <c r="C1" s="2618"/>
      <c r="D1" s="2618"/>
      <c r="E1" s="2618"/>
      <c r="F1" s="2618"/>
      <c r="G1" s="2618"/>
      <c r="H1" s="2618"/>
      <c r="I1" s="2618"/>
      <c r="J1" s="2618"/>
      <c r="K1" s="2618"/>
      <c r="L1" s="2618"/>
      <c r="M1" s="2618"/>
      <c r="N1" s="2618"/>
      <c r="O1" s="2618"/>
      <c r="P1" s="2618"/>
      <c r="Q1" s="2618"/>
      <c r="R1" s="2618"/>
      <c r="S1" s="2618"/>
      <c r="T1" s="2618"/>
      <c r="U1" s="2618"/>
      <c r="V1" s="2618"/>
      <c r="W1" s="2618"/>
      <c r="X1" s="2618"/>
      <c r="Y1" s="2618"/>
      <c r="Z1" s="2618"/>
      <c r="AA1" s="2618"/>
      <c r="AB1" s="2618"/>
      <c r="AC1" s="2618"/>
      <c r="AD1" s="2618"/>
      <c r="AE1" s="2618"/>
      <c r="AF1" s="2618"/>
      <c r="AG1" s="2618"/>
      <c r="AH1" s="2618"/>
      <c r="AI1" s="2618"/>
      <c r="AJ1" s="2618"/>
      <c r="AK1" s="2618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618" t="s">
        <v>618</v>
      </c>
      <c r="C2" s="2618"/>
      <c r="D2" s="2618"/>
      <c r="E2" s="2618"/>
      <c r="F2" s="2618"/>
      <c r="G2" s="2618"/>
      <c r="H2" s="2618"/>
      <c r="I2" s="2618"/>
      <c r="J2" s="2618"/>
      <c r="K2" s="2618"/>
      <c r="L2" s="2618"/>
      <c r="M2" s="2618"/>
      <c r="N2" s="2618"/>
      <c r="O2" s="2618"/>
      <c r="P2" s="2618"/>
      <c r="Q2" s="2618"/>
      <c r="R2" s="2618"/>
      <c r="S2" s="2618"/>
      <c r="T2" s="2618"/>
      <c r="U2" s="2618"/>
      <c r="V2" s="2618"/>
      <c r="W2" s="2618"/>
      <c r="X2" s="2618"/>
      <c r="Y2" s="2618"/>
      <c r="Z2" s="2618"/>
      <c r="AA2" s="2618"/>
      <c r="AB2" s="2618"/>
      <c r="AC2" s="2618"/>
      <c r="AD2" s="2618"/>
      <c r="AE2" s="2618"/>
      <c r="AF2" s="2618"/>
      <c r="AG2" s="2618"/>
      <c r="AH2" s="2618"/>
      <c r="AI2" s="2618"/>
      <c r="AJ2" s="2618"/>
      <c r="AK2" s="2618"/>
      <c r="AL2" s="150"/>
      <c r="AN2" s="29" t="s">
        <v>554</v>
      </c>
      <c r="AO2" s="29" t="s">
        <v>2508</v>
      </c>
      <c r="AP2" s="29" t="s">
        <v>2509</v>
      </c>
      <c r="AQ2" s="29" t="s">
        <v>2510</v>
      </c>
      <c r="AR2" s="29" t="s">
        <v>212</v>
      </c>
      <c r="AS2" s="29" t="s">
        <v>2511</v>
      </c>
      <c r="AT2" s="29" t="s">
        <v>2512</v>
      </c>
    </row>
    <row r="3" spans="1:48" s="26" customFormat="1" ht="16.5">
      <c r="A3" s="150"/>
      <c r="B3" s="2854" t="s">
        <v>619</v>
      </c>
      <c r="C3" s="2618"/>
      <c r="D3" s="2618"/>
      <c r="E3" s="2618"/>
      <c r="F3" s="2618"/>
      <c r="G3" s="2618"/>
      <c r="H3" s="2618"/>
      <c r="I3" s="2618"/>
      <c r="J3" s="2618"/>
      <c r="K3" s="2618"/>
      <c r="L3" s="2618"/>
      <c r="M3" s="2618"/>
      <c r="N3" s="2618"/>
      <c r="O3" s="2618"/>
      <c r="P3" s="2618"/>
      <c r="Q3" s="2618"/>
      <c r="R3" s="2618"/>
      <c r="S3" s="2618"/>
      <c r="T3" s="2618"/>
      <c r="U3" s="2618"/>
      <c r="V3" s="2618"/>
      <c r="W3" s="2618"/>
      <c r="X3" s="2618"/>
      <c r="Y3" s="2618"/>
      <c r="Z3" s="2618"/>
      <c r="AA3" s="2618"/>
      <c r="AB3" s="2618"/>
      <c r="AC3" s="2618"/>
      <c r="AD3" s="2618"/>
      <c r="AE3" s="2618"/>
      <c r="AF3" s="2618"/>
      <c r="AG3" s="2618"/>
      <c r="AH3" s="2618"/>
      <c r="AI3" s="2618"/>
      <c r="AJ3" s="2618"/>
      <c r="AK3" s="2618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33" t="s">
        <v>3</v>
      </c>
      <c r="C4" s="2833"/>
      <c r="D4" s="2833"/>
      <c r="E4" s="2833"/>
      <c r="F4" s="2833"/>
      <c r="G4" s="2833"/>
      <c r="H4" s="2833"/>
      <c r="I4" s="2833"/>
      <c r="J4" s="2833"/>
      <c r="K4" s="2833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618" t="s">
        <v>3016</v>
      </c>
      <c r="C5" s="2618"/>
      <c r="D5" s="2618"/>
      <c r="E5" s="2618"/>
      <c r="F5" s="2618"/>
      <c r="G5" s="2618"/>
      <c r="H5" s="2618"/>
      <c r="I5" s="2618"/>
      <c r="J5" s="2618"/>
      <c r="K5" s="2618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50"/>
      <c r="B6" s="1250"/>
      <c r="C6" s="1250"/>
      <c r="D6" s="1250"/>
      <c r="E6" s="2617" t="s">
        <v>2539</v>
      </c>
      <c r="F6" s="2617"/>
      <c r="G6" s="2617"/>
      <c r="H6" s="2617"/>
      <c r="I6" s="2617"/>
      <c r="J6" s="2617"/>
      <c r="K6" s="2617"/>
      <c r="L6" s="2617"/>
      <c r="M6" s="2617"/>
      <c r="N6" s="2617"/>
      <c r="O6" s="2617"/>
      <c r="P6" s="2617"/>
      <c r="Q6" s="2617"/>
      <c r="R6" s="2617"/>
      <c r="S6" s="2617"/>
      <c r="T6" s="2617"/>
      <c r="U6" s="2617"/>
      <c r="V6" s="2617"/>
      <c r="W6" s="2617"/>
      <c r="X6" s="2617"/>
      <c r="Y6" s="2617"/>
      <c r="Z6" s="2617"/>
      <c r="AA6" s="2617"/>
      <c r="AB6" s="2617"/>
      <c r="AC6" s="2617"/>
      <c r="AD6" s="2617"/>
      <c r="AE6" s="2617"/>
      <c r="AF6" s="2617"/>
      <c r="AG6" s="2617"/>
      <c r="AH6" s="2617"/>
      <c r="AI6" s="2617"/>
      <c r="AJ6" s="1250"/>
      <c r="AK6" s="1250"/>
      <c r="AL6" s="1250"/>
    </row>
    <row r="7" spans="1:48" ht="16.5" customHeight="1">
      <c r="A7" s="1250"/>
      <c r="B7" s="2618" t="s">
        <v>2514</v>
      </c>
      <c r="C7" s="2618"/>
      <c r="D7" s="1236">
        <v>2025</v>
      </c>
      <c r="E7" s="2729" t="str">
        <f>"Tháng "&amp;IF(LEN($D$8)=1,"0"&amp;$D$8,$D$8)&amp;" năm "&amp;D7</f>
        <v>Tháng 05 năm 2025</v>
      </c>
      <c r="F7" s="2729"/>
      <c r="G7" s="2729"/>
      <c r="H7" s="2729"/>
      <c r="I7" s="2729"/>
      <c r="J7" s="2729"/>
      <c r="K7" s="2729"/>
      <c r="L7" s="2729"/>
      <c r="M7" s="2729"/>
      <c r="N7" s="2729"/>
      <c r="O7" s="2729"/>
      <c r="P7" s="2729"/>
      <c r="Q7" s="2729"/>
      <c r="R7" s="2729"/>
      <c r="S7" s="2729"/>
      <c r="T7" s="2729"/>
      <c r="U7" s="2729"/>
      <c r="V7" s="2729"/>
      <c r="W7" s="2729"/>
      <c r="X7" s="2729"/>
      <c r="Y7" s="2729"/>
      <c r="Z7" s="2729"/>
      <c r="AA7" s="2729"/>
      <c r="AB7" s="2729"/>
      <c r="AC7" s="2729"/>
      <c r="AD7" s="2729"/>
      <c r="AE7" s="2729"/>
      <c r="AF7" s="2729"/>
      <c r="AG7" s="2729"/>
      <c r="AH7" s="2729"/>
      <c r="AI7" s="2729"/>
      <c r="AJ7" s="1250"/>
      <c r="AK7" s="1250"/>
      <c r="AL7" s="1250"/>
    </row>
    <row r="8" spans="1:48" ht="16.5">
      <c r="A8" s="1250"/>
      <c r="B8" s="2938" t="s">
        <v>2515</v>
      </c>
      <c r="C8" s="2938"/>
      <c r="D8" s="1236">
        <v>5</v>
      </c>
      <c r="E8" s="1250"/>
      <c r="F8" s="1250"/>
      <c r="G8" s="1250"/>
      <c r="H8" s="1250"/>
      <c r="I8" s="1250"/>
      <c r="J8" s="1250"/>
      <c r="K8" s="1250"/>
      <c r="L8" s="1250"/>
      <c r="M8" s="1250"/>
      <c r="N8" s="1250"/>
      <c r="O8" s="1250"/>
      <c r="P8" s="1250"/>
      <c r="Q8" s="1250"/>
      <c r="R8" s="1250"/>
      <c r="S8" s="1250"/>
      <c r="T8" s="1250"/>
      <c r="U8" s="1250"/>
      <c r="V8" s="1250"/>
      <c r="W8" s="1250"/>
      <c r="X8" s="1250"/>
      <c r="Y8" s="1250"/>
      <c r="Z8" s="1250"/>
      <c r="AA8" s="1250"/>
      <c r="AB8" s="1250"/>
      <c r="AC8" s="1250"/>
      <c r="AD8" s="1250"/>
      <c r="AE8" s="1250"/>
      <c r="AF8" s="1250"/>
      <c r="AG8" s="1250"/>
      <c r="AH8" s="1250"/>
      <c r="AI8" s="1250"/>
      <c r="AJ8" s="1250"/>
      <c r="AK8" s="1250"/>
      <c r="AL8" s="1250"/>
    </row>
    <row r="9" spans="1:48" ht="22.5" customHeight="1">
      <c r="A9" s="1250"/>
      <c r="B9" s="2939" t="s">
        <v>6</v>
      </c>
      <c r="C9" s="2733" t="s">
        <v>356</v>
      </c>
      <c r="D9" s="2936" t="s">
        <v>9</v>
      </c>
      <c r="E9" s="1245">
        <v>1</v>
      </c>
      <c r="F9" s="1245">
        <v>2</v>
      </c>
      <c r="G9" s="1245">
        <v>3</v>
      </c>
      <c r="H9" s="1245">
        <v>4</v>
      </c>
      <c r="I9" s="1245">
        <v>5</v>
      </c>
      <c r="J9" s="1245">
        <v>6</v>
      </c>
      <c r="K9" s="1245">
        <v>7</v>
      </c>
      <c r="L9" s="1245">
        <v>8</v>
      </c>
      <c r="M9" s="1245">
        <v>9</v>
      </c>
      <c r="N9" s="1245">
        <v>10</v>
      </c>
      <c r="O9" s="1245">
        <v>11</v>
      </c>
      <c r="P9" s="1245">
        <v>12</v>
      </c>
      <c r="Q9" s="1245">
        <v>13</v>
      </c>
      <c r="R9" s="1245">
        <v>14</v>
      </c>
      <c r="S9" s="1245">
        <v>15</v>
      </c>
      <c r="T9" s="1245">
        <v>16</v>
      </c>
      <c r="U9" s="1245">
        <v>17</v>
      </c>
      <c r="V9" s="1245">
        <v>18</v>
      </c>
      <c r="W9" s="1245">
        <v>19</v>
      </c>
      <c r="X9" s="1245">
        <v>20</v>
      </c>
      <c r="Y9" s="1245">
        <v>21</v>
      </c>
      <c r="Z9" s="1245">
        <v>22</v>
      </c>
      <c r="AA9" s="1245">
        <v>23</v>
      </c>
      <c r="AB9" s="1245">
        <v>24</v>
      </c>
      <c r="AC9" s="1245">
        <v>25</v>
      </c>
      <c r="AD9" s="1245">
        <v>26</v>
      </c>
      <c r="AE9" s="1245">
        <v>27</v>
      </c>
      <c r="AF9" s="1245">
        <v>28</v>
      </c>
      <c r="AG9" s="1245">
        <f>IF(DAY(DATE(D7,D8+1,1)-1)&lt;29,"",29)</f>
        <v>29</v>
      </c>
      <c r="AH9" s="1245">
        <v>30</v>
      </c>
      <c r="AI9" s="1245">
        <v>31</v>
      </c>
      <c r="AJ9" s="2936" t="s">
        <v>529</v>
      </c>
      <c r="AK9" s="2936" t="s">
        <v>12</v>
      </c>
      <c r="AL9" s="1250"/>
    </row>
    <row r="10" spans="1:48" ht="42" customHeight="1">
      <c r="A10" s="1250"/>
      <c r="B10" s="2940"/>
      <c r="C10" s="2734"/>
      <c r="D10" s="2937"/>
      <c r="E10" s="1611" t="str">
        <f t="shared" ref="E10:AI10" si="0">IF(E9="","",HLOOKUP(WEEKDAY(DATE($D$7,$D$8,E9)),$AN$1:$AT$2,2,0))</f>
        <v>Năm</v>
      </c>
      <c r="F10" s="1611" t="str">
        <f t="shared" si="0"/>
        <v>Sáu</v>
      </c>
      <c r="G10" s="1611" t="str">
        <f t="shared" si="0"/>
        <v>Bảy</v>
      </c>
      <c r="H10" s="1611" t="str">
        <f t="shared" si="0"/>
        <v>CN</v>
      </c>
      <c r="I10" s="1611" t="str">
        <f t="shared" si="0"/>
        <v>Hai</v>
      </c>
      <c r="J10" s="1611" t="str">
        <f t="shared" si="0"/>
        <v>Ba</v>
      </c>
      <c r="K10" s="1611" t="str">
        <f t="shared" si="0"/>
        <v>Tư</v>
      </c>
      <c r="L10" s="1611" t="str">
        <f t="shared" si="0"/>
        <v>Năm</v>
      </c>
      <c r="M10" s="1611" t="str">
        <f t="shared" si="0"/>
        <v>Sáu</v>
      </c>
      <c r="N10" s="1611" t="str">
        <f t="shared" si="0"/>
        <v>Bảy</v>
      </c>
      <c r="O10" s="1611" t="str">
        <f t="shared" si="0"/>
        <v>CN</v>
      </c>
      <c r="P10" s="1611" t="str">
        <f t="shared" si="0"/>
        <v>Hai</v>
      </c>
      <c r="Q10" s="1611" t="str">
        <f t="shared" si="0"/>
        <v>Ba</v>
      </c>
      <c r="R10" s="1611" t="str">
        <f t="shared" si="0"/>
        <v>Tư</v>
      </c>
      <c r="S10" s="1611" t="str">
        <f t="shared" si="0"/>
        <v>Năm</v>
      </c>
      <c r="T10" s="1611" t="str">
        <f t="shared" si="0"/>
        <v>Sáu</v>
      </c>
      <c r="U10" s="1611" t="str">
        <f t="shared" si="0"/>
        <v>Bảy</v>
      </c>
      <c r="V10" s="1611" t="str">
        <f t="shared" si="0"/>
        <v>CN</v>
      </c>
      <c r="W10" s="1611" t="str">
        <f t="shared" si="0"/>
        <v>Hai</v>
      </c>
      <c r="X10" s="1611" t="str">
        <f t="shared" si="0"/>
        <v>Ba</v>
      </c>
      <c r="Y10" s="1611" t="str">
        <f t="shared" si="0"/>
        <v>Tư</v>
      </c>
      <c r="Z10" s="1611" t="str">
        <f t="shared" si="0"/>
        <v>Năm</v>
      </c>
      <c r="AA10" s="1611" t="str">
        <f t="shared" si="0"/>
        <v>Sáu</v>
      </c>
      <c r="AB10" s="1611" t="str">
        <f t="shared" si="0"/>
        <v>Bảy</v>
      </c>
      <c r="AC10" s="1611" t="str">
        <f t="shared" si="0"/>
        <v>CN</v>
      </c>
      <c r="AD10" s="1611" t="str">
        <f t="shared" si="0"/>
        <v>Hai</v>
      </c>
      <c r="AE10" s="1611" t="str">
        <f t="shared" si="0"/>
        <v>Ba</v>
      </c>
      <c r="AF10" s="1611" t="str">
        <f t="shared" si="0"/>
        <v>Tư</v>
      </c>
      <c r="AG10" s="1245" t="str">
        <f t="shared" si="0"/>
        <v>Năm</v>
      </c>
      <c r="AH10" s="1245" t="str">
        <f t="shared" si="0"/>
        <v>Sáu</v>
      </c>
      <c r="AI10" s="1245" t="str">
        <f t="shared" si="0"/>
        <v>Bảy</v>
      </c>
      <c r="AJ10" s="2937"/>
      <c r="AK10" s="2937"/>
      <c r="AL10" s="1250"/>
    </row>
    <row r="11" spans="1:48" ht="24.75" customHeight="1">
      <c r="A11" s="1250"/>
      <c r="B11" s="1245">
        <v>1</v>
      </c>
      <c r="C11" s="1243" t="s">
        <v>2475</v>
      </c>
      <c r="D11" s="1243" t="s">
        <v>2449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/>
      <c r="T11" s="1245"/>
      <c r="U11" s="1245"/>
      <c r="V11" s="1245"/>
      <c r="W11" s="1245"/>
      <c r="X11" s="1245"/>
      <c r="Y11" s="1245"/>
      <c r="Z11" s="1245"/>
      <c r="AA11" s="1245"/>
      <c r="AB11" s="1245"/>
      <c r="AC11" s="1245"/>
      <c r="AD11" s="1245"/>
      <c r="AE11" s="1245"/>
      <c r="AF11" s="1245"/>
      <c r="AG11" s="1245"/>
      <c r="AH11" s="1245"/>
      <c r="AI11" s="1245"/>
      <c r="AJ11" s="1590">
        <f t="shared" ref="AJ11:AJ20" si="1">COUNTIF(E11:AI11,"X")+COUNTIF(E11:AI11,"P")+COUNTIF(E11:AI11,"PT")</f>
        <v>14</v>
      </c>
      <c r="AK11" s="1590"/>
      <c r="AL11" s="1250"/>
      <c r="AV11" s="191" t="e">
        <f>+#REF!-#REF!</f>
        <v>#REF!</v>
      </c>
    </row>
    <row r="12" spans="1:48" ht="24.75" customHeight="1">
      <c r="A12" s="1250"/>
      <c r="B12" s="1245">
        <v>2</v>
      </c>
      <c r="C12" s="1243" t="s">
        <v>613</v>
      </c>
      <c r="D12" s="1243" t="s">
        <v>3023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/>
      <c r="T12" s="1245"/>
      <c r="U12" s="1245"/>
      <c r="V12" s="1245"/>
      <c r="W12" s="1245"/>
      <c r="X12" s="1245"/>
      <c r="Y12" s="1245"/>
      <c r="Z12" s="1245"/>
      <c r="AA12" s="1245"/>
      <c r="AB12" s="1245"/>
      <c r="AC12" s="1245"/>
      <c r="AD12" s="1245"/>
      <c r="AE12" s="1245"/>
      <c r="AF12" s="1245"/>
      <c r="AG12" s="1245"/>
      <c r="AH12" s="1245"/>
      <c r="AI12" s="1245"/>
      <c r="AJ12" s="1590">
        <f t="shared" si="1"/>
        <v>14</v>
      </c>
      <c r="AK12" s="1590"/>
      <c r="AL12" s="1250"/>
      <c r="AV12" s="191" t="e">
        <f>+#REF!-#REF!</f>
        <v>#REF!</v>
      </c>
    </row>
    <row r="13" spans="1:48" ht="24.75" customHeight="1">
      <c r="A13" s="1250"/>
      <c r="B13" s="1245">
        <v>3</v>
      </c>
      <c r="C13" s="321" t="s">
        <v>2450</v>
      </c>
      <c r="D13" s="321" t="s">
        <v>2997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/>
      <c r="T13" s="1245"/>
      <c r="U13" s="1245"/>
      <c r="V13" s="1245"/>
      <c r="W13" s="1245"/>
      <c r="X13" s="1245"/>
      <c r="Y13" s="1245"/>
      <c r="Z13" s="1245"/>
      <c r="AA13" s="1245"/>
      <c r="AB13" s="1245"/>
      <c r="AC13" s="1245"/>
      <c r="AD13" s="1245"/>
      <c r="AE13" s="1245"/>
      <c r="AF13" s="1245"/>
      <c r="AG13" s="1245"/>
      <c r="AH13" s="1245"/>
      <c r="AI13" s="1245"/>
      <c r="AJ13" s="1590">
        <f t="shared" si="1"/>
        <v>14</v>
      </c>
      <c r="AK13" s="1590"/>
      <c r="AL13" s="1250"/>
      <c r="AV13" s="191" t="e">
        <f>+#REF!-#REF!</f>
        <v>#REF!</v>
      </c>
    </row>
    <row r="14" spans="1:48" ht="24.75" customHeight="1">
      <c r="A14" s="1250"/>
      <c r="B14" s="1245">
        <v>4</v>
      </c>
      <c r="C14" s="1243" t="s">
        <v>2481</v>
      </c>
      <c r="D14" s="1243" t="s">
        <v>2997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0">
        <f t="shared" si="1"/>
        <v>14</v>
      </c>
      <c r="AK14" s="1590"/>
      <c r="AL14" s="1250"/>
      <c r="AV14" s="191" t="e">
        <f>+#REF!-#REF!</f>
        <v>#REF!</v>
      </c>
    </row>
    <row r="15" spans="1:48" ht="24.75" customHeight="1">
      <c r="A15" s="1250"/>
      <c r="B15" s="1245">
        <v>5</v>
      </c>
      <c r="C15" s="1243" t="s">
        <v>2483</v>
      </c>
      <c r="D15" s="1243" t="s">
        <v>2997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0">
        <f t="shared" si="1"/>
        <v>14</v>
      </c>
      <c r="AK15" s="1590"/>
      <c r="AL15" s="1250"/>
      <c r="AV15" s="191" t="e">
        <f>+#REF!-#REF!</f>
        <v>#REF!</v>
      </c>
    </row>
    <row r="16" spans="1:48" ht="24.75" customHeight="1">
      <c r="A16" s="1250"/>
      <c r="B16" s="1245">
        <v>6</v>
      </c>
      <c r="C16" s="1243" t="s">
        <v>2488</v>
      </c>
      <c r="D16" s="1243" t="s">
        <v>2997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0">
        <f t="shared" si="1"/>
        <v>14</v>
      </c>
      <c r="AK16" s="1590"/>
      <c r="AL16" s="1250"/>
      <c r="AV16" s="191" t="e">
        <f>+#REF!-#REF!</f>
        <v>#REF!</v>
      </c>
    </row>
    <row r="17" spans="1:48" ht="24.75" customHeight="1">
      <c r="A17" s="1250"/>
      <c r="B17" s="1245">
        <v>7</v>
      </c>
      <c r="C17" s="321" t="s">
        <v>2490</v>
      </c>
      <c r="D17" s="1243" t="s">
        <v>3024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0">
        <f t="shared" si="1"/>
        <v>14</v>
      </c>
      <c r="AK17" s="1590"/>
      <c r="AL17" s="1250"/>
      <c r="AV17" s="191" t="e">
        <f>+#REF!-#REF!</f>
        <v>#REF!</v>
      </c>
    </row>
    <row r="18" spans="1:48" ht="24.75" customHeight="1">
      <c r="A18" s="1250"/>
      <c r="B18" s="1245">
        <v>8</v>
      </c>
      <c r="C18" s="1243" t="s">
        <v>3049</v>
      </c>
      <c r="D18" s="1243" t="s">
        <v>3024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0">
        <f t="shared" si="1"/>
        <v>14</v>
      </c>
      <c r="AK18" s="1590"/>
      <c r="AL18" s="1250"/>
      <c r="AV18" s="191" t="e">
        <f>+#REF!-#REF!</f>
        <v>#REF!</v>
      </c>
    </row>
    <row r="19" spans="1:48" ht="24.75" customHeight="1">
      <c r="A19" s="1250"/>
      <c r="B19" s="1245">
        <v>9</v>
      </c>
      <c r="C19" s="1243" t="s">
        <v>2493</v>
      </c>
      <c r="D19" s="1243" t="s">
        <v>1851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 t="s">
        <v>536</v>
      </c>
      <c r="T19" s="1245" t="s">
        <v>536</v>
      </c>
      <c r="U19" s="1245" t="s">
        <v>536</v>
      </c>
      <c r="V19" s="1245" t="s">
        <v>536</v>
      </c>
      <c r="W19" s="1245" t="s">
        <v>536</v>
      </c>
      <c r="X19" s="1245" t="s">
        <v>536</v>
      </c>
      <c r="Y19" s="1245" t="s">
        <v>536</v>
      </c>
      <c r="Z19" s="1245" t="s">
        <v>536</v>
      </c>
      <c r="AA19" s="1245" t="s">
        <v>536</v>
      </c>
      <c r="AB19" s="1245" t="s">
        <v>536</v>
      </c>
      <c r="AC19" s="1245" t="s">
        <v>536</v>
      </c>
      <c r="AD19" s="1245" t="s">
        <v>536</v>
      </c>
      <c r="AE19" s="1245" t="s">
        <v>536</v>
      </c>
      <c r="AF19" s="1245" t="s">
        <v>536</v>
      </c>
      <c r="AG19" s="1245" t="s">
        <v>536</v>
      </c>
      <c r="AH19" s="1245" t="s">
        <v>536</v>
      </c>
      <c r="AI19" s="1245" t="s">
        <v>536</v>
      </c>
      <c r="AJ19" s="1590">
        <f t="shared" si="1"/>
        <v>31</v>
      </c>
      <c r="AK19" s="1590"/>
      <c r="AL19" s="1250"/>
      <c r="AV19" s="191" t="e">
        <f>+#REF!-#REF!</f>
        <v>#REF!</v>
      </c>
    </row>
    <row r="20" spans="1:48" ht="24.75" customHeight="1">
      <c r="A20" s="1250"/>
      <c r="B20" s="1245">
        <v>10</v>
      </c>
      <c r="C20" s="1243" t="s">
        <v>2494</v>
      </c>
      <c r="D20" s="1243" t="s">
        <v>1851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/>
      <c r="L20" s="1245"/>
      <c r="M20" s="1245"/>
      <c r="N20" s="1245"/>
      <c r="O20" s="1245"/>
      <c r="P20" s="1245"/>
      <c r="Q20" s="1245"/>
      <c r="R20" s="1245" t="s">
        <v>536</v>
      </c>
      <c r="S20" s="1245" t="s">
        <v>536</v>
      </c>
      <c r="T20" s="1245" t="s">
        <v>536</v>
      </c>
      <c r="U20" s="1245" t="s">
        <v>536</v>
      </c>
      <c r="V20" s="1245" t="s">
        <v>536</v>
      </c>
      <c r="W20" s="1245" t="s">
        <v>536</v>
      </c>
      <c r="X20" s="1245" t="s">
        <v>536</v>
      </c>
      <c r="Y20" s="1245" t="s">
        <v>536</v>
      </c>
      <c r="Z20" s="1245" t="s">
        <v>536</v>
      </c>
      <c r="AA20" s="1245" t="s">
        <v>536</v>
      </c>
      <c r="AB20" s="1245" t="s">
        <v>536</v>
      </c>
      <c r="AC20" s="1245" t="s">
        <v>536</v>
      </c>
      <c r="AD20" s="1245" t="s">
        <v>536</v>
      </c>
      <c r="AE20" s="1245" t="s">
        <v>536</v>
      </c>
      <c r="AF20" s="1245" t="s">
        <v>536</v>
      </c>
      <c r="AG20" s="1245" t="s">
        <v>536</v>
      </c>
      <c r="AH20" s="1245" t="s">
        <v>536</v>
      </c>
      <c r="AI20" s="1245" t="s">
        <v>536</v>
      </c>
      <c r="AJ20" s="1590">
        <f t="shared" si="1"/>
        <v>24</v>
      </c>
      <c r="AK20" s="1590"/>
      <c r="AL20" s="1250"/>
      <c r="AV20" s="191" t="e">
        <f>+#REF!-#REF!</f>
        <v>#REF!</v>
      </c>
    </row>
    <row r="21" spans="1:48" s="27" customFormat="1" ht="24.75" customHeight="1">
      <c r="A21" s="150"/>
      <c r="B21" s="2852" t="s">
        <v>2532</v>
      </c>
      <c r="C21" s="2853"/>
      <c r="D21" s="1475"/>
      <c r="E21" s="316">
        <f>COUNTIF(E11:E20,"X")+COUNTIF(E11:E20,"P")</f>
        <v>10</v>
      </c>
      <c r="F21" s="316">
        <f t="shared" ref="F21:AI21" si="2">COUNTIF(F11:F20,"X")+COUNTIF(F11:F20,"P")</f>
        <v>10</v>
      </c>
      <c r="G21" s="316">
        <f t="shared" si="2"/>
        <v>10</v>
      </c>
      <c r="H21" s="316">
        <f t="shared" si="2"/>
        <v>10</v>
      </c>
      <c r="I21" s="316">
        <f t="shared" si="2"/>
        <v>10</v>
      </c>
      <c r="J21" s="316">
        <f t="shared" si="2"/>
        <v>10</v>
      </c>
      <c r="K21" s="316">
        <f t="shared" si="2"/>
        <v>9</v>
      </c>
      <c r="L21" s="316">
        <f t="shared" si="2"/>
        <v>9</v>
      </c>
      <c r="M21" s="316">
        <f t="shared" si="2"/>
        <v>9</v>
      </c>
      <c r="N21" s="316">
        <f t="shared" si="2"/>
        <v>9</v>
      </c>
      <c r="O21" s="316">
        <f t="shared" si="2"/>
        <v>9</v>
      </c>
      <c r="P21" s="316">
        <f t="shared" si="2"/>
        <v>9</v>
      </c>
      <c r="Q21" s="316">
        <f t="shared" si="2"/>
        <v>9</v>
      </c>
      <c r="R21" s="316">
        <f t="shared" si="2"/>
        <v>10</v>
      </c>
      <c r="S21" s="316">
        <f t="shared" si="2"/>
        <v>2</v>
      </c>
      <c r="T21" s="316">
        <f t="shared" si="2"/>
        <v>2</v>
      </c>
      <c r="U21" s="316">
        <f t="shared" si="2"/>
        <v>2</v>
      </c>
      <c r="V21" s="316">
        <f t="shared" si="2"/>
        <v>2</v>
      </c>
      <c r="W21" s="316">
        <f t="shared" si="2"/>
        <v>2</v>
      </c>
      <c r="X21" s="316">
        <f t="shared" si="2"/>
        <v>2</v>
      </c>
      <c r="Y21" s="316">
        <f t="shared" si="2"/>
        <v>2</v>
      </c>
      <c r="Z21" s="316">
        <f t="shared" si="2"/>
        <v>2</v>
      </c>
      <c r="AA21" s="316">
        <f t="shared" si="2"/>
        <v>2</v>
      </c>
      <c r="AB21" s="316">
        <f t="shared" si="2"/>
        <v>2</v>
      </c>
      <c r="AC21" s="316">
        <f t="shared" si="2"/>
        <v>2</v>
      </c>
      <c r="AD21" s="316">
        <f t="shared" si="2"/>
        <v>2</v>
      </c>
      <c r="AE21" s="316">
        <f t="shared" si="2"/>
        <v>2</v>
      </c>
      <c r="AF21" s="316">
        <f t="shared" si="2"/>
        <v>2</v>
      </c>
      <c r="AG21" s="316">
        <f t="shared" si="2"/>
        <v>2</v>
      </c>
      <c r="AH21" s="316">
        <f t="shared" si="2"/>
        <v>2</v>
      </c>
      <c r="AI21" s="316">
        <f t="shared" si="2"/>
        <v>2</v>
      </c>
      <c r="AJ21" s="1612">
        <f>SUM(AJ11:AJ20)</f>
        <v>167</v>
      </c>
      <c r="AK21" s="318"/>
      <c r="AL21" s="150"/>
      <c r="AV21" s="27">
        <f>18*7</f>
        <v>126</v>
      </c>
    </row>
    <row r="22" spans="1:48" ht="21.75" customHeight="1">
      <c r="A22" s="2833" t="s">
        <v>2007</v>
      </c>
      <c r="B22" s="2833"/>
      <c r="C22" s="1250" t="s">
        <v>2533</v>
      </c>
      <c r="D22" s="1250"/>
      <c r="E22" s="1250"/>
      <c r="F22" s="1250"/>
      <c r="G22" s="1250"/>
      <c r="H22" s="1250"/>
      <c r="I22" s="1250"/>
      <c r="J22" s="1250"/>
      <c r="K22" s="1250"/>
      <c r="L22" s="1250"/>
      <c r="M22" s="1250"/>
      <c r="N22" s="1250"/>
      <c r="O22" s="1250"/>
      <c r="P22" s="1250"/>
      <c r="Q22" s="1250"/>
      <c r="R22" s="1250"/>
      <c r="S22" s="1250"/>
      <c r="T22" s="1250"/>
      <c r="U22" s="1250"/>
      <c r="V22" s="1250"/>
      <c r="W22" s="1250"/>
      <c r="X22" s="1250"/>
      <c r="Y22" s="1250"/>
      <c r="Z22" s="1250"/>
      <c r="AA22" s="1250"/>
      <c r="AB22" s="1250"/>
      <c r="AC22" s="1250"/>
      <c r="AD22" s="1250"/>
      <c r="AE22" s="1250"/>
      <c r="AF22" s="1250"/>
      <c r="AG22" s="1250"/>
      <c r="AH22" s="1250"/>
      <c r="AI22" s="1250"/>
      <c r="AJ22" s="1613"/>
      <c r="AK22" s="1613"/>
      <c r="AL22" s="1250"/>
    </row>
    <row r="23" spans="1:48" s="26" customFormat="1" ht="16.5" customHeight="1">
      <c r="A23" s="150"/>
      <c r="B23" s="150"/>
      <c r="C23" s="1250"/>
      <c r="D23" s="12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729" t="s">
        <v>2993</v>
      </c>
      <c r="AB23" s="2729"/>
      <c r="AC23" s="2729"/>
      <c r="AD23" s="2729"/>
      <c r="AE23" s="2729"/>
      <c r="AF23" s="2729"/>
      <c r="AG23" s="2729"/>
      <c r="AH23" s="2729"/>
      <c r="AI23" s="2729"/>
      <c r="AJ23" s="2729"/>
      <c r="AK23" s="2729"/>
      <c r="AL23" s="2729"/>
    </row>
    <row r="24" spans="1:48" ht="22.5" customHeight="1">
      <c r="A24" s="1250"/>
      <c r="B24" s="2618" t="s">
        <v>614</v>
      </c>
      <c r="C24" s="2618"/>
      <c r="D24" s="2618"/>
      <c r="E24" s="150"/>
      <c r="F24" s="150"/>
      <c r="G24" s="150" t="s">
        <v>2538</v>
      </c>
      <c r="H24" s="150"/>
      <c r="I24" s="1250"/>
      <c r="J24" s="150"/>
      <c r="K24" s="150"/>
      <c r="L24" s="150"/>
      <c r="M24" s="150"/>
      <c r="N24" s="150"/>
      <c r="O24" s="150" t="s">
        <v>2995</v>
      </c>
      <c r="P24" s="150"/>
      <c r="Q24" s="150"/>
      <c r="R24" s="1250"/>
      <c r="S24" s="150"/>
      <c r="T24" s="150"/>
      <c r="U24" s="150"/>
      <c r="V24" s="150"/>
      <c r="W24" s="150"/>
      <c r="X24" s="150" t="s">
        <v>2988</v>
      </c>
      <c r="Y24" s="1250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90" t="s">
        <v>613</v>
      </c>
      <c r="AF31" s="2390"/>
      <c r="AG31" s="2390"/>
      <c r="AH31" s="2390"/>
      <c r="AI31" s="2390"/>
      <c r="AJ31" s="2390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49" customWidth="1"/>
    <col min="2" max="2" width="7" style="1549" hidden="1" customWidth="1"/>
    <col min="3" max="3" width="5.7109375" style="1549" hidden="1" customWidth="1"/>
    <col min="4" max="4" width="25" style="1549" customWidth="1"/>
    <col min="5" max="5" width="14.5703125" style="1549" customWidth="1"/>
    <col min="6" max="6" width="7.140625" style="1549" customWidth="1"/>
    <col min="7" max="7" width="9.5703125" style="1549" customWidth="1"/>
    <col min="8" max="8" width="3.85546875" style="1549" hidden="1" customWidth="1"/>
    <col min="9" max="9" width="7.7109375" style="1549" customWidth="1"/>
    <col min="10" max="10" width="13.28515625" style="1551" customWidth="1"/>
    <col min="11" max="11" width="13.140625" style="1549" hidden="1" customWidth="1"/>
    <col min="12" max="12" width="11.140625" style="1549" hidden="1" customWidth="1"/>
    <col min="13" max="13" width="13.140625" style="1549" hidden="1" customWidth="1"/>
    <col min="14" max="14" width="6.85546875" style="1549" hidden="1" customWidth="1"/>
    <col min="15" max="15" width="9.140625" style="1549" hidden="1" customWidth="1"/>
    <col min="16" max="16" width="11.42578125" style="1549" hidden="1" customWidth="1"/>
    <col min="17" max="17" width="13.85546875" style="1549" hidden="1" customWidth="1"/>
    <col min="18" max="18" width="13.5703125" style="1549" customWidth="1"/>
    <col min="19" max="19" width="13.7109375" style="1549" customWidth="1"/>
    <col min="20" max="20" width="10.28515625" style="1549" customWidth="1"/>
    <col min="21" max="21" width="7.42578125" style="1549" customWidth="1"/>
    <col min="22" max="22" width="10" style="1549" customWidth="1"/>
    <col min="23" max="23" width="17.85546875" style="1549" customWidth="1"/>
    <col min="24" max="24" width="15.7109375" style="1549" customWidth="1"/>
    <col min="25" max="16384" width="9.140625" style="1549"/>
  </cols>
  <sheetData>
    <row r="1" spans="1:24" ht="22.5" customHeight="1">
      <c r="A1" s="2800" t="s">
        <v>617</v>
      </c>
      <c r="B1" s="2800"/>
      <c r="C1" s="2800"/>
      <c r="D1" s="2800"/>
      <c r="E1" s="2800"/>
      <c r="F1" s="2800"/>
      <c r="G1" s="2800"/>
      <c r="H1" s="2800"/>
      <c r="I1" s="2800"/>
      <c r="J1" s="2800"/>
      <c r="K1" s="2800"/>
      <c r="L1" s="2800"/>
      <c r="M1" s="2800"/>
      <c r="N1" s="2800"/>
      <c r="O1" s="2800"/>
      <c r="P1" s="2800"/>
      <c r="Q1" s="2800"/>
      <c r="R1" s="2800"/>
      <c r="S1" s="2800"/>
    </row>
    <row r="2" spans="1:24" ht="22.5" customHeight="1">
      <c r="A2" s="2800" t="s">
        <v>618</v>
      </c>
      <c r="B2" s="2800"/>
      <c r="C2" s="2800"/>
      <c r="D2" s="2800"/>
      <c r="E2" s="2800"/>
      <c r="F2" s="2800"/>
      <c r="G2" s="2800"/>
      <c r="H2" s="2800"/>
      <c r="I2" s="2800"/>
      <c r="J2" s="2800"/>
      <c r="K2" s="2800"/>
      <c r="L2" s="2800"/>
      <c r="M2" s="2800"/>
      <c r="N2" s="2800"/>
      <c r="O2" s="2800"/>
      <c r="P2" s="2800"/>
      <c r="Q2" s="2800"/>
      <c r="R2" s="2800"/>
      <c r="S2" s="2800"/>
    </row>
    <row r="3" spans="1:24" ht="22.5" customHeight="1">
      <c r="A3" s="2944" t="s">
        <v>619</v>
      </c>
      <c r="B3" s="2800"/>
      <c r="C3" s="2800"/>
      <c r="D3" s="2800"/>
      <c r="E3" s="2800"/>
      <c r="F3" s="2800"/>
      <c r="G3" s="2800"/>
      <c r="H3" s="2800"/>
      <c r="I3" s="2800"/>
      <c r="J3" s="2800"/>
      <c r="K3" s="2800"/>
      <c r="L3" s="2800"/>
      <c r="M3" s="2800"/>
      <c r="N3" s="2800"/>
      <c r="O3" s="2800"/>
      <c r="P3" s="2800"/>
      <c r="Q3" s="2800"/>
      <c r="R3" s="2800"/>
      <c r="S3" s="2800"/>
    </row>
    <row r="4" spans="1:24" ht="22.5" customHeight="1">
      <c r="A4" s="2945" t="s">
        <v>3</v>
      </c>
      <c r="B4" s="2945"/>
      <c r="C4" s="2945"/>
      <c r="D4" s="2945"/>
      <c r="E4" s="2945"/>
      <c r="F4" s="2945"/>
      <c r="G4" s="2945"/>
      <c r="H4" s="2945"/>
      <c r="I4" s="2945"/>
      <c r="J4" s="2945"/>
      <c r="K4" s="2945"/>
      <c r="L4" s="2945"/>
      <c r="M4" s="2945"/>
      <c r="N4" s="2945"/>
      <c r="O4" s="2945"/>
      <c r="P4" s="2945"/>
      <c r="Q4" s="2945"/>
      <c r="R4" s="2945"/>
      <c r="S4" s="2945"/>
    </row>
    <row r="5" spans="1:24" ht="22.5" customHeight="1">
      <c r="A5" s="2800" t="s">
        <v>3016</v>
      </c>
      <c r="B5" s="2800"/>
      <c r="C5" s="2800"/>
      <c r="D5" s="2800"/>
      <c r="E5" s="2800"/>
      <c r="F5" s="2800"/>
      <c r="G5" s="1550"/>
      <c r="H5" s="1550"/>
      <c r="I5" s="1550"/>
      <c r="J5" s="1550"/>
      <c r="K5" s="1550"/>
      <c r="L5" s="1550"/>
      <c r="M5" s="1550"/>
      <c r="N5" s="1550"/>
      <c r="O5" s="1550"/>
      <c r="P5" s="1550"/>
      <c r="Q5" s="1550"/>
      <c r="R5" s="1550"/>
      <c r="S5" s="1550"/>
    </row>
    <row r="6" spans="1:24" ht="22.5" customHeight="1">
      <c r="A6" s="2800"/>
      <c r="B6" s="2800"/>
      <c r="C6" s="2800"/>
      <c r="D6" s="2800"/>
      <c r="E6" s="2800"/>
      <c r="F6" s="2800"/>
      <c r="G6" s="2800"/>
      <c r="H6" s="2800"/>
      <c r="I6" s="2800"/>
      <c r="J6" s="2800"/>
      <c r="K6" s="2800"/>
      <c r="L6" s="2800"/>
      <c r="M6" s="2800"/>
      <c r="N6" s="2800"/>
      <c r="O6" s="2800"/>
      <c r="P6" s="2800"/>
      <c r="Q6" s="2800"/>
      <c r="R6" s="2800"/>
      <c r="S6" s="2800"/>
    </row>
    <row r="7" spans="1:24" ht="22.5" customHeight="1">
      <c r="A7" s="2946" t="s">
        <v>3043</v>
      </c>
      <c r="B7" s="2946"/>
      <c r="C7" s="2946"/>
      <c r="D7" s="2946"/>
      <c r="E7" s="2946"/>
      <c r="F7" s="2946"/>
      <c r="G7" s="2946"/>
      <c r="H7" s="2946"/>
      <c r="I7" s="2946"/>
      <c r="J7" s="2946"/>
      <c r="K7" s="2946"/>
      <c r="L7" s="2946"/>
      <c r="M7" s="2946"/>
      <c r="N7" s="2946"/>
      <c r="O7" s="2946"/>
      <c r="P7" s="2946"/>
      <c r="Q7" s="2946"/>
      <c r="R7" s="2946"/>
      <c r="S7" s="2946"/>
      <c r="T7" s="1548"/>
    </row>
    <row r="8" spans="1:24">
      <c r="S8" s="1552"/>
      <c r="T8" s="1552"/>
      <c r="U8" s="1552">
        <v>31</v>
      </c>
    </row>
    <row r="9" spans="1:24" ht="15.75" customHeight="1">
      <c r="A9" s="2941" t="s">
        <v>6</v>
      </c>
      <c r="B9" s="2942" t="s">
        <v>624</v>
      </c>
      <c r="C9" s="2948" t="s">
        <v>2220</v>
      </c>
      <c r="D9" s="2949"/>
      <c r="E9" s="2942" t="s">
        <v>9</v>
      </c>
      <c r="F9" s="2941" t="s">
        <v>628</v>
      </c>
      <c r="G9" s="2941"/>
      <c r="H9" s="2941"/>
      <c r="I9" s="2941"/>
      <c r="J9" s="2941"/>
      <c r="K9" s="2941"/>
      <c r="L9" s="2733" t="s">
        <v>2463</v>
      </c>
      <c r="M9" s="2942" t="s">
        <v>2464</v>
      </c>
      <c r="N9" s="2942" t="s">
        <v>631</v>
      </c>
      <c r="O9" s="2942" t="s">
        <v>2465</v>
      </c>
      <c r="P9" s="2942" t="s">
        <v>2466</v>
      </c>
      <c r="Q9" s="2942" t="s">
        <v>2467</v>
      </c>
      <c r="R9" s="2942" t="s">
        <v>2221</v>
      </c>
      <c r="S9" s="2942" t="s">
        <v>2222</v>
      </c>
      <c r="T9" s="1555"/>
    </row>
    <row r="10" spans="1:24" ht="50.25" customHeight="1">
      <c r="A10" s="2941"/>
      <c r="B10" s="2942"/>
      <c r="C10" s="2950"/>
      <c r="D10" s="2951"/>
      <c r="E10" s="2942"/>
      <c r="F10" s="1554" t="s">
        <v>2468</v>
      </c>
      <c r="G10" s="1554" t="s">
        <v>2469</v>
      </c>
      <c r="H10" s="1554" t="s">
        <v>2470</v>
      </c>
      <c r="I10" s="1553" t="s">
        <v>2248</v>
      </c>
      <c r="J10" s="1556" t="s">
        <v>2471</v>
      </c>
      <c r="K10" s="1554" t="s">
        <v>2472</v>
      </c>
      <c r="L10" s="2734"/>
      <c r="M10" s="2942"/>
      <c r="N10" s="2941"/>
      <c r="O10" s="2942"/>
      <c r="P10" s="2941"/>
      <c r="Q10" s="2941"/>
      <c r="R10" s="2941"/>
      <c r="S10" s="2941"/>
      <c r="T10" s="1557"/>
      <c r="U10" s="1551"/>
      <c r="W10" s="1558"/>
    </row>
    <row r="11" spans="1:24" s="1570" customFormat="1" ht="24.75" customHeight="1">
      <c r="A11" s="1559">
        <v>1</v>
      </c>
      <c r="B11" s="1560" t="s">
        <v>2430</v>
      </c>
      <c r="C11" s="1561" t="s">
        <v>2431</v>
      </c>
      <c r="D11" s="1561" t="s">
        <v>2475</v>
      </c>
      <c r="E11" s="1561" t="s">
        <v>2449</v>
      </c>
      <c r="F11" s="1562">
        <f>VLOOKUP(D11,'Chấm công XĂNG XE'!C11:$AJ$20,34,0)</f>
        <v>14</v>
      </c>
      <c r="G11" s="1563">
        <v>20000</v>
      </c>
      <c r="H11" s="1562"/>
      <c r="I11" s="1562" t="s">
        <v>2218</v>
      </c>
      <c r="J11" s="1564">
        <f t="shared" ref="J11:J20" si="0">F11*G11</f>
        <v>280000</v>
      </c>
      <c r="K11" s="1564"/>
      <c r="L11" s="1564"/>
      <c r="M11" s="1564">
        <f t="shared" ref="M11:M20" si="1">+K11+L11</f>
        <v>0</v>
      </c>
      <c r="N11" s="1564"/>
      <c r="O11" s="1564"/>
      <c r="P11" s="1564"/>
      <c r="Q11" s="1564">
        <f t="shared" ref="Q11:Q20" si="2">M11-N11-P11</f>
        <v>0</v>
      </c>
      <c r="R11" s="1565"/>
      <c r="S11" s="1566"/>
      <c r="T11" s="1567"/>
      <c r="U11" s="1568" t="s">
        <v>2432</v>
      </c>
      <c r="V11" s="1569"/>
      <c r="W11" s="1568"/>
      <c r="X11" s="1569"/>
    </row>
    <row r="12" spans="1:24" s="1570" customFormat="1" ht="24.75" customHeight="1">
      <c r="A12" s="1559">
        <v>2</v>
      </c>
      <c r="B12" s="1560"/>
      <c r="C12" s="1561" t="s">
        <v>1850</v>
      </c>
      <c r="D12" s="1561" t="s">
        <v>613</v>
      </c>
      <c r="E12" s="1561" t="s">
        <v>3023</v>
      </c>
      <c r="F12" s="1562">
        <f>VLOOKUP(D12,'Chấm công XĂNG XE'!C12:$AJ$20,34,0)</f>
        <v>14</v>
      </c>
      <c r="G12" s="1563">
        <v>20000</v>
      </c>
      <c r="H12" s="1562"/>
      <c r="I12" s="1562" t="s">
        <v>2218</v>
      </c>
      <c r="J12" s="1564">
        <f t="shared" si="0"/>
        <v>280000</v>
      </c>
      <c r="K12" s="1564"/>
      <c r="L12" s="1564"/>
      <c r="M12" s="1564">
        <f t="shared" si="1"/>
        <v>0</v>
      </c>
      <c r="N12" s="1564"/>
      <c r="O12" s="1564"/>
      <c r="P12" s="1564"/>
      <c r="Q12" s="1564">
        <f t="shared" si="2"/>
        <v>0</v>
      </c>
      <c r="R12" s="1571"/>
      <c r="S12" s="1566"/>
      <c r="T12" s="1567"/>
      <c r="U12" s="1568" t="s">
        <v>2433</v>
      </c>
      <c r="V12" s="1569"/>
      <c r="W12" s="1568"/>
      <c r="X12" s="1569"/>
    </row>
    <row r="13" spans="1:24" s="1570" customFormat="1" ht="24.75" customHeight="1">
      <c r="A13" s="1559">
        <v>3</v>
      </c>
      <c r="B13" s="1560"/>
      <c r="C13" s="1561" t="s">
        <v>1850</v>
      </c>
      <c r="D13" s="1561" t="s">
        <v>2450</v>
      </c>
      <c r="E13" s="1561" t="s">
        <v>2997</v>
      </c>
      <c r="F13" s="1562">
        <f>VLOOKUP(D13,'Chấm công XĂNG XE'!C13:$AJ$20,34,0)</f>
        <v>14</v>
      </c>
      <c r="G13" s="1563">
        <v>20000</v>
      </c>
      <c r="H13" s="1562"/>
      <c r="I13" s="1562" t="s">
        <v>2218</v>
      </c>
      <c r="J13" s="1564">
        <f t="shared" si="0"/>
        <v>280000</v>
      </c>
      <c r="K13" s="1564"/>
      <c r="L13" s="1564"/>
      <c r="M13" s="1564">
        <f t="shared" si="1"/>
        <v>0</v>
      </c>
      <c r="N13" s="1564"/>
      <c r="O13" s="1564"/>
      <c r="P13" s="1564"/>
      <c r="Q13" s="1564">
        <f t="shared" si="2"/>
        <v>0</v>
      </c>
      <c r="R13" s="1571"/>
      <c r="S13" s="1566"/>
      <c r="T13" s="1567"/>
      <c r="U13" s="1568" t="s">
        <v>2433</v>
      </c>
      <c r="V13" s="1569"/>
      <c r="W13" s="1568"/>
      <c r="X13" s="1569"/>
    </row>
    <row r="14" spans="1:24" s="1570" customFormat="1" ht="24.75" customHeight="1">
      <c r="A14" s="1559">
        <v>4</v>
      </c>
      <c r="B14" s="1560" t="s">
        <v>1852</v>
      </c>
      <c r="C14" s="1561"/>
      <c r="D14" s="1561" t="s">
        <v>2481</v>
      </c>
      <c r="E14" s="1561" t="s">
        <v>2997</v>
      </c>
      <c r="F14" s="1562">
        <f>VLOOKUP(D14,'Chấm công XĂNG XE'!C14:$AJ$20,34,0)</f>
        <v>14</v>
      </c>
      <c r="G14" s="1563">
        <v>20000</v>
      </c>
      <c r="H14" s="1562"/>
      <c r="I14" s="1562" t="s">
        <v>2218</v>
      </c>
      <c r="J14" s="1564">
        <f t="shared" si="0"/>
        <v>280000</v>
      </c>
      <c r="K14" s="1564"/>
      <c r="L14" s="1564"/>
      <c r="M14" s="1564">
        <f t="shared" si="1"/>
        <v>0</v>
      </c>
      <c r="N14" s="1564"/>
      <c r="O14" s="1564"/>
      <c r="P14" s="1564"/>
      <c r="Q14" s="1564">
        <f t="shared" si="2"/>
        <v>0</v>
      </c>
      <c r="R14" s="1571"/>
      <c r="S14" s="1566"/>
      <c r="T14" s="1567"/>
      <c r="U14" s="1568" t="s">
        <v>2434</v>
      </c>
      <c r="V14" s="1569"/>
      <c r="W14" s="1568"/>
      <c r="X14" s="1569"/>
    </row>
    <row r="15" spans="1:24" s="1570" customFormat="1" ht="24.75" customHeight="1">
      <c r="A15" s="1559">
        <v>5</v>
      </c>
      <c r="B15" s="1560" t="s">
        <v>1853</v>
      </c>
      <c r="C15" s="1561"/>
      <c r="D15" s="1561" t="s">
        <v>2483</v>
      </c>
      <c r="E15" s="1561" t="s">
        <v>2997</v>
      </c>
      <c r="F15" s="1562">
        <f>VLOOKUP(D15,'Chấm công XĂNG XE'!C15:$AJ$20,34,0)</f>
        <v>14</v>
      </c>
      <c r="G15" s="1563">
        <v>20000</v>
      </c>
      <c r="H15" s="1562"/>
      <c r="I15" s="1562" t="s">
        <v>2218</v>
      </c>
      <c r="J15" s="1564">
        <f t="shared" si="0"/>
        <v>280000</v>
      </c>
      <c r="K15" s="1564"/>
      <c r="L15" s="1564"/>
      <c r="M15" s="1564">
        <f t="shared" si="1"/>
        <v>0</v>
      </c>
      <c r="N15" s="1564"/>
      <c r="O15" s="1564"/>
      <c r="P15" s="1564"/>
      <c r="Q15" s="1564">
        <f t="shared" si="2"/>
        <v>0</v>
      </c>
      <c r="R15" s="1571"/>
      <c r="S15" s="1566"/>
      <c r="T15" s="1567"/>
      <c r="U15" s="1568" t="s">
        <v>2434</v>
      </c>
      <c r="V15" s="1569" t="s">
        <v>2435</v>
      </c>
      <c r="W15" s="1568"/>
      <c r="X15" s="1569"/>
    </row>
    <row r="16" spans="1:24" s="1570" customFormat="1" ht="24.75" customHeight="1">
      <c r="A16" s="1559">
        <v>6</v>
      </c>
      <c r="B16" s="1560" t="s">
        <v>1853</v>
      </c>
      <c r="C16" s="1561"/>
      <c r="D16" s="1561" t="s">
        <v>2488</v>
      </c>
      <c r="E16" s="1561" t="s">
        <v>2997</v>
      </c>
      <c r="F16" s="1562">
        <f>VLOOKUP(D16,'Chấm công XĂNG XE'!C16:$AJ$20,34,0)</f>
        <v>14</v>
      </c>
      <c r="G16" s="1563">
        <v>20000</v>
      </c>
      <c r="H16" s="1562"/>
      <c r="I16" s="1562" t="s">
        <v>2218</v>
      </c>
      <c r="J16" s="1564">
        <f t="shared" si="0"/>
        <v>280000</v>
      </c>
      <c r="K16" s="1564"/>
      <c r="L16" s="1564"/>
      <c r="M16" s="1564">
        <f t="shared" si="1"/>
        <v>0</v>
      </c>
      <c r="N16" s="1564"/>
      <c r="O16" s="1564"/>
      <c r="P16" s="1564"/>
      <c r="Q16" s="1564">
        <f t="shared" si="2"/>
        <v>0</v>
      </c>
      <c r="R16" s="1571"/>
      <c r="S16" s="1566"/>
      <c r="T16" s="1567"/>
      <c r="U16" s="1568" t="s">
        <v>2434</v>
      </c>
      <c r="V16" s="1569" t="s">
        <v>2435</v>
      </c>
      <c r="W16" s="1568"/>
      <c r="X16" s="1569"/>
    </row>
    <row r="17" spans="1:24" s="1570" customFormat="1" ht="24.75" customHeight="1">
      <c r="A17" s="1559">
        <v>7</v>
      </c>
      <c r="B17" s="1560"/>
      <c r="C17" s="1561" t="s">
        <v>1850</v>
      </c>
      <c r="D17" s="1561" t="s">
        <v>2490</v>
      </c>
      <c r="E17" s="1561" t="s">
        <v>3024</v>
      </c>
      <c r="F17" s="1562">
        <f>VLOOKUP(D17,'Chấm công XĂNG XE'!C17:$AJ$20,34,0)</f>
        <v>14</v>
      </c>
      <c r="G17" s="1563">
        <v>20000</v>
      </c>
      <c r="H17" s="1562"/>
      <c r="I17" s="1562" t="s">
        <v>2218</v>
      </c>
      <c r="J17" s="1564">
        <f t="shared" si="0"/>
        <v>280000</v>
      </c>
      <c r="K17" s="1564"/>
      <c r="L17" s="1564"/>
      <c r="M17" s="1564">
        <f t="shared" si="1"/>
        <v>0</v>
      </c>
      <c r="N17" s="1564"/>
      <c r="O17" s="1564"/>
      <c r="P17" s="1564"/>
      <c r="Q17" s="1564">
        <f t="shared" si="2"/>
        <v>0</v>
      </c>
      <c r="R17" s="1571"/>
      <c r="S17" s="1566"/>
      <c r="T17" s="1567"/>
      <c r="U17" s="1568" t="s">
        <v>2433</v>
      </c>
      <c r="V17" s="1569"/>
      <c r="W17" s="1568"/>
      <c r="X17" s="1569"/>
    </row>
    <row r="18" spans="1:24" s="1570" customFormat="1" ht="24.75" customHeight="1">
      <c r="A18" s="1559">
        <v>8</v>
      </c>
      <c r="B18" s="1560"/>
      <c r="C18" s="1561" t="s">
        <v>1850</v>
      </c>
      <c r="D18" s="1561" t="s">
        <v>3049</v>
      </c>
      <c r="E18" s="1561" t="s">
        <v>3024</v>
      </c>
      <c r="F18" s="1562">
        <f>VLOOKUP(D18,'Chấm công XĂNG XE'!C18:$AJ$20,34,0)</f>
        <v>14</v>
      </c>
      <c r="G18" s="1563">
        <v>20000</v>
      </c>
      <c r="H18" s="1562"/>
      <c r="I18" s="1562" t="s">
        <v>2218</v>
      </c>
      <c r="J18" s="1564">
        <f t="shared" si="0"/>
        <v>280000</v>
      </c>
      <c r="K18" s="1564"/>
      <c r="L18" s="1564"/>
      <c r="M18" s="1564">
        <f t="shared" si="1"/>
        <v>0</v>
      </c>
      <c r="N18" s="1564"/>
      <c r="O18" s="1564"/>
      <c r="P18" s="1564"/>
      <c r="Q18" s="1564">
        <f t="shared" si="2"/>
        <v>0</v>
      </c>
      <c r="R18" s="1571"/>
      <c r="S18" s="1566"/>
      <c r="T18" s="1567"/>
      <c r="U18" s="1568" t="s">
        <v>2433</v>
      </c>
      <c r="V18" s="1569"/>
      <c r="W18" s="1568"/>
      <c r="X18" s="1569"/>
    </row>
    <row r="19" spans="1:24" s="1570" customFormat="1" ht="24.75" customHeight="1">
      <c r="A19" s="1559">
        <v>9</v>
      </c>
      <c r="B19" s="1560" t="s">
        <v>1852</v>
      </c>
      <c r="C19" s="1561"/>
      <c r="D19" s="1561" t="s">
        <v>2493</v>
      </c>
      <c r="E19" s="1561" t="s">
        <v>1851</v>
      </c>
      <c r="F19" s="1562">
        <f>VLOOKUP(D19,'Chấm công XĂNG XE'!C19:$AJ$20,34,0)</f>
        <v>31</v>
      </c>
      <c r="G19" s="1563">
        <v>20000</v>
      </c>
      <c r="H19" s="1562"/>
      <c r="I19" s="1562" t="s">
        <v>2218</v>
      </c>
      <c r="J19" s="1564">
        <f t="shared" si="0"/>
        <v>620000</v>
      </c>
      <c r="K19" s="1564"/>
      <c r="L19" s="1564"/>
      <c r="M19" s="1564">
        <f t="shared" si="1"/>
        <v>0</v>
      </c>
      <c r="N19" s="1564"/>
      <c r="O19" s="1564"/>
      <c r="P19" s="1564"/>
      <c r="Q19" s="1564">
        <f t="shared" si="2"/>
        <v>0</v>
      </c>
      <c r="R19" s="1571"/>
      <c r="S19" s="1566"/>
      <c r="T19" s="1567"/>
      <c r="U19" s="1568" t="s">
        <v>2434</v>
      </c>
      <c r="V19" s="1569"/>
      <c r="W19" s="1568"/>
      <c r="X19" s="1569"/>
    </row>
    <row r="20" spans="1:24" s="1570" customFormat="1" ht="24.75" customHeight="1">
      <c r="A20" s="1559">
        <v>10</v>
      </c>
      <c r="B20" s="1560" t="s">
        <v>1853</v>
      </c>
      <c r="C20" s="1561"/>
      <c r="D20" s="1561" t="s">
        <v>2494</v>
      </c>
      <c r="E20" s="1561" t="s">
        <v>1851</v>
      </c>
      <c r="F20" s="1562">
        <f>VLOOKUP(D20,'Chấm công XĂNG XE'!C20:$AJ$20,34,0)</f>
        <v>24</v>
      </c>
      <c r="G20" s="1563">
        <v>20000</v>
      </c>
      <c r="H20" s="1562"/>
      <c r="I20" s="1562" t="s">
        <v>2218</v>
      </c>
      <c r="J20" s="1564">
        <f t="shared" si="0"/>
        <v>480000</v>
      </c>
      <c r="K20" s="1564"/>
      <c r="L20" s="1564"/>
      <c r="M20" s="1564">
        <f t="shared" si="1"/>
        <v>0</v>
      </c>
      <c r="N20" s="1564"/>
      <c r="O20" s="1564"/>
      <c r="P20" s="1564"/>
      <c r="Q20" s="1564">
        <f t="shared" si="2"/>
        <v>0</v>
      </c>
      <c r="R20" s="1571"/>
      <c r="S20" s="1566"/>
      <c r="T20" s="1567"/>
      <c r="U20" s="1568" t="s">
        <v>2434</v>
      </c>
      <c r="V20" s="1569" t="s">
        <v>2435</v>
      </c>
      <c r="W20" s="1568"/>
      <c r="X20" s="1569"/>
    </row>
    <row r="21" spans="1:24" s="1570" customFormat="1" ht="29.25" customHeight="1">
      <c r="A21" s="2941" t="s">
        <v>608</v>
      </c>
      <c r="B21" s="2941"/>
      <c r="C21" s="2941"/>
      <c r="D21" s="2941"/>
      <c r="E21" s="2941"/>
      <c r="F21" s="1572">
        <f>SUM(F11:F20)</f>
        <v>167</v>
      </c>
      <c r="G21" s="1572"/>
      <c r="H21" s="1553"/>
      <c r="I21" s="1553"/>
      <c r="J21" s="1573">
        <f t="shared" ref="J21:Q21" si="3">SUM(J11:J20)</f>
        <v>3340000</v>
      </c>
      <c r="K21" s="1573">
        <f t="shared" si="3"/>
        <v>0</v>
      </c>
      <c r="L21" s="1573">
        <f t="shared" si="3"/>
        <v>0</v>
      </c>
      <c r="M21" s="1573">
        <f t="shared" si="3"/>
        <v>0</v>
      </c>
      <c r="N21" s="1573">
        <f t="shared" si="3"/>
        <v>0</v>
      </c>
      <c r="O21" s="1573">
        <f t="shared" si="3"/>
        <v>0</v>
      </c>
      <c r="P21" s="1573">
        <f t="shared" si="3"/>
        <v>0</v>
      </c>
      <c r="Q21" s="1573">
        <f t="shared" si="3"/>
        <v>0</v>
      </c>
      <c r="R21" s="1553"/>
      <c r="S21" s="1553"/>
      <c r="T21" s="1574">
        <f>+Q21/25</f>
        <v>0</v>
      </c>
      <c r="U21" s="1575"/>
      <c r="V21" s="1569">
        <f>14*1200</f>
        <v>16800</v>
      </c>
      <c r="W21" s="1576">
        <f>1700/31*26</f>
        <v>1425.8064516129032</v>
      </c>
      <c r="X21" s="1569"/>
    </row>
    <row r="22" spans="1:24" s="1550" customFormat="1" ht="15.75" customHeight="1">
      <c r="A22" s="2947" t="s">
        <v>3044</v>
      </c>
      <c r="B22" s="2947"/>
      <c r="C22" s="2947"/>
      <c r="D22" s="2947"/>
      <c r="E22" s="2947"/>
      <c r="F22" s="2947"/>
      <c r="G22" s="2947"/>
      <c r="H22" s="2947"/>
      <c r="I22" s="2947"/>
      <c r="J22" s="2947"/>
      <c r="K22" s="2947"/>
      <c r="L22" s="2947"/>
      <c r="M22" s="2947"/>
      <c r="N22" s="2947"/>
      <c r="O22" s="2947"/>
      <c r="P22" s="2947"/>
      <c r="Q22" s="2947"/>
      <c r="R22" s="2947"/>
      <c r="S22" s="2947"/>
      <c r="T22" s="1577"/>
      <c r="U22" s="1578"/>
      <c r="W22" s="1579" t="e">
        <f>+W21/25+#REF!</f>
        <v>#REF!</v>
      </c>
    </row>
    <row r="23" spans="1:24" s="1550" customFormat="1">
      <c r="E23" s="1548"/>
      <c r="F23" s="1548"/>
      <c r="G23" s="1548"/>
      <c r="H23" s="1548"/>
      <c r="I23" s="1548"/>
      <c r="J23" s="1548"/>
      <c r="K23" s="1548"/>
      <c r="L23" s="1548"/>
      <c r="M23" s="1548"/>
      <c r="N23" s="1548"/>
      <c r="O23" s="1548"/>
      <c r="P23" s="1548"/>
      <c r="Q23" s="1548"/>
      <c r="T23" s="1550">
        <f>900*14</f>
        <v>12600</v>
      </c>
      <c r="U23" s="1578"/>
    </row>
    <row r="24" spans="1:24" ht="15" customHeight="1">
      <c r="A24" s="1577"/>
      <c r="B24" s="1577"/>
      <c r="D24" s="1580"/>
      <c r="F24" s="1581"/>
      <c r="I24" s="2943" t="s">
        <v>2987</v>
      </c>
      <c r="J24" s="2943"/>
      <c r="K24" s="2943"/>
      <c r="L24" s="2943"/>
      <c r="M24" s="2943"/>
      <c r="N24" s="2943"/>
      <c r="O24" s="2943"/>
      <c r="P24" s="2943"/>
      <c r="Q24" s="2943"/>
      <c r="R24" s="2943"/>
      <c r="S24" s="2943"/>
      <c r="T24" s="1582"/>
      <c r="U24" s="1583"/>
      <c r="V24" s="1558">
        <f>+F21*20</f>
        <v>3340</v>
      </c>
    </row>
    <row r="25" spans="1:24">
      <c r="A25" s="2800" t="s">
        <v>3014</v>
      </c>
      <c r="B25" s="2800"/>
      <c r="C25" s="2800"/>
      <c r="D25" s="2800"/>
      <c r="E25" s="1550"/>
      <c r="F25" s="2800" t="s">
        <v>2988</v>
      </c>
      <c r="G25" s="2800"/>
      <c r="H25" s="2800"/>
      <c r="I25" s="2800"/>
      <c r="J25" s="1550"/>
      <c r="K25" s="1550"/>
      <c r="L25" s="1550"/>
      <c r="M25" s="1550"/>
      <c r="N25" s="2800" t="s">
        <v>612</v>
      </c>
      <c r="O25" s="2800"/>
      <c r="P25" s="2800"/>
      <c r="Q25" s="2800"/>
      <c r="R25" s="2800"/>
      <c r="S25" s="2800"/>
      <c r="T25" s="1548"/>
      <c r="U25" s="1550"/>
    </row>
    <row r="28" spans="1:24" ht="57.75" customHeight="1"/>
    <row r="30" spans="1:24" s="1550" customFormat="1">
      <c r="A30" s="2800"/>
      <c r="B30" s="2800"/>
      <c r="C30" s="2800"/>
      <c r="D30" s="2800"/>
      <c r="E30" s="2800"/>
      <c r="F30" s="2800"/>
      <c r="J30" s="1584"/>
      <c r="Q30" s="2800" t="s">
        <v>613</v>
      </c>
      <c r="R30" s="2800"/>
      <c r="S30" s="2800"/>
    </row>
    <row r="31" spans="1:24">
      <c r="Q31" s="2800"/>
      <c r="R31" s="2800"/>
      <c r="S31" s="2800"/>
      <c r="T31" s="1548"/>
    </row>
    <row r="32" spans="1:24" s="1550" customFormat="1">
      <c r="A32" s="1550" t="s">
        <v>614</v>
      </c>
      <c r="F32" s="2800" t="s">
        <v>3045</v>
      </c>
      <c r="G32" s="2800"/>
      <c r="H32" s="2800"/>
      <c r="I32" s="2800"/>
      <c r="J32" s="1584"/>
      <c r="R32" s="2800" t="s">
        <v>616</v>
      </c>
      <c r="S32" s="2800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1452" zoomScaleNormal="100" workbookViewId="0">
      <selection activeCell="H1467" sqref="H1467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1979" t="s">
        <v>3295</v>
      </c>
      <c r="B1" s="1980">
        <v>668.23</v>
      </c>
      <c r="C1" s="1980">
        <f>'BẢNG PHÂN TOÁN '!J9</f>
        <v>667.96</v>
      </c>
    </row>
    <row r="2" spans="1:11" ht="19.5" customHeight="1">
      <c r="A2" s="2952" t="s">
        <v>3242</v>
      </c>
      <c r="B2" s="2952"/>
      <c r="C2" s="2952"/>
      <c r="D2" s="2952"/>
      <c r="E2" s="2952"/>
      <c r="F2" s="2952"/>
      <c r="G2" s="2952"/>
      <c r="H2" s="2952"/>
      <c r="I2" s="2952"/>
      <c r="J2" s="2952"/>
      <c r="K2" s="2952"/>
    </row>
    <row r="3" spans="1:11" ht="12.75" customHeight="1">
      <c r="A3" s="2953" t="s">
        <v>3356</v>
      </c>
      <c r="B3" s="2954"/>
      <c r="C3" s="2954"/>
      <c r="D3" s="2954"/>
      <c r="E3" s="1955">
        <f>VLOOKUP(B4,'LƯƠNG KT'!$D$16:$AD$108,25,0)</f>
        <v>0</v>
      </c>
      <c r="G3" s="2953" t="s">
        <v>3356</v>
      </c>
      <c r="H3" s="2954"/>
      <c r="I3" s="2954"/>
      <c r="J3" s="2954"/>
      <c r="K3" s="1955">
        <f>VLOOKUP(H4,'LƯƠNG KT'!$D$16:$AD$108,25,0)</f>
        <v>0</v>
      </c>
    </row>
    <row r="4" spans="1:11" ht="12.75" customHeight="1">
      <c r="A4" s="1956" t="s">
        <v>356</v>
      </c>
      <c r="B4" s="1956" t="str">
        <f>'LƯƠNG KT'!D16</f>
        <v>T. Lê</v>
      </c>
      <c r="C4" s="1957"/>
      <c r="D4" s="1958" t="s">
        <v>2357</v>
      </c>
      <c r="E4" s="1958" t="s">
        <v>2156</v>
      </c>
      <c r="G4" s="1956" t="s">
        <v>356</v>
      </c>
      <c r="H4" s="1956" t="str">
        <f>'LƯƠNG KT'!D17</f>
        <v xml:space="preserve">Nang On Teng </v>
      </c>
      <c r="I4" s="1957"/>
      <c r="J4" s="1958" t="s">
        <v>2357</v>
      </c>
      <c r="K4" s="1958" t="s">
        <v>2156</v>
      </c>
    </row>
    <row r="5" spans="1:11" ht="12.75" customHeight="1">
      <c r="A5" s="1959" t="s">
        <v>3005</v>
      </c>
      <c r="B5" s="1960" t="s">
        <v>3278</v>
      </c>
      <c r="C5" s="1961">
        <f>VLOOKUP(B4,'LƯƠNG KT'!$D$16:$M$108,8,0)</f>
        <v>258.44560223458501</v>
      </c>
      <c r="D5" s="1962"/>
      <c r="E5" s="1962"/>
      <c r="G5" s="1959" t="s">
        <v>3005</v>
      </c>
      <c r="H5" s="1960" t="s">
        <v>3278</v>
      </c>
      <c r="I5" s="1961">
        <f>VLOOKUP($H$4,'LƯƠNG KT'!$D$16:$M$108,8,0)</f>
        <v>208.79511122005275</v>
      </c>
      <c r="J5" s="1962"/>
      <c r="K5" s="1962"/>
    </row>
    <row r="6" spans="1:11" ht="12.75" customHeight="1">
      <c r="A6" s="1959" t="s">
        <v>359</v>
      </c>
      <c r="B6" s="1963" t="s">
        <v>2090</v>
      </c>
      <c r="C6" s="1961">
        <f>VLOOKUP(B4,'LƯƠNG KT'!$D$16:$V$108,3,0)</f>
        <v>0</v>
      </c>
      <c r="D6" s="1964">
        <v>25000</v>
      </c>
      <c r="E6" s="1962">
        <f>C6*D6</f>
        <v>0</v>
      </c>
      <c r="G6" s="1959" t="s">
        <v>359</v>
      </c>
      <c r="H6" s="1963" t="s">
        <v>2090</v>
      </c>
      <c r="I6" s="1961">
        <f>VLOOKUP(H4,'LƯƠNG KT'!$D$16:$V$108,3,0)</f>
        <v>0</v>
      </c>
      <c r="J6" s="1964">
        <v>25000</v>
      </c>
      <c r="K6" s="1962">
        <f>I6*J6</f>
        <v>0</v>
      </c>
    </row>
    <row r="7" spans="1:11" ht="12.75" customHeight="1">
      <c r="A7" s="1959" t="s">
        <v>3279</v>
      </c>
      <c r="B7" s="1965" t="s">
        <v>3280</v>
      </c>
      <c r="C7" s="1961" t="str">
        <f>VLOOKUP(B4,'LƯƠNG KT'!$D$16:$V$108,10,0)</f>
        <v>B</v>
      </c>
      <c r="D7" s="1967">
        <f>46.1*$C$1</f>
        <v>30792.956000000002</v>
      </c>
      <c r="E7" s="1962" t="e">
        <f t="shared" ref="E7:E11" si="0">C7*D7</f>
        <v>#VALUE!</v>
      </c>
      <c r="G7" s="1959" t="s">
        <v>3279</v>
      </c>
      <c r="H7" s="1965" t="s">
        <v>3280</v>
      </c>
      <c r="I7" s="1961" t="str">
        <f>VLOOKUP(H4,'LƯƠNG KT'!$D$16:$V$108,10,0)</f>
        <v>A</v>
      </c>
      <c r="J7" s="1967">
        <f>46.1*$C$1</f>
        <v>30792.956000000002</v>
      </c>
      <c r="K7" s="1962" t="e">
        <f t="shared" ref="K7:K11" si="1">I7*J7</f>
        <v>#VALUE!</v>
      </c>
    </row>
    <row r="8" spans="1:11" ht="12.75" customHeight="1">
      <c r="A8" s="1959" t="s">
        <v>3281</v>
      </c>
      <c r="B8" s="1965" t="s">
        <v>3282</v>
      </c>
      <c r="C8" s="1961">
        <f>VLOOKUP(B4,'LƯƠNG KT'!$D$16:$V$108,11,0)</f>
        <v>7874809</v>
      </c>
      <c r="D8" s="1964">
        <f>76.9*$C$1</f>
        <v>51366.124000000003</v>
      </c>
      <c r="E8" s="1962">
        <f t="shared" si="0"/>
        <v>404498415570.31604</v>
      </c>
      <c r="G8" s="1959" t="s">
        <v>3281</v>
      </c>
      <c r="H8" s="1965" t="s">
        <v>3282</v>
      </c>
      <c r="I8" s="1961">
        <f>VLOOKUP(H4,'LƯƠNG KT'!$D$16:$V$108,11,0)</f>
        <v>6691031</v>
      </c>
      <c r="J8" s="1964">
        <f>76.9*$C$1</f>
        <v>51366.124000000003</v>
      </c>
      <c r="K8" s="1962">
        <f t="shared" si="1"/>
        <v>343692328033.84399</v>
      </c>
    </row>
    <row r="9" spans="1:11" ht="12.75" customHeight="1">
      <c r="A9" s="1959" t="s">
        <v>374</v>
      </c>
      <c r="B9" s="1965" t="s">
        <v>3283</v>
      </c>
      <c r="C9" s="1961">
        <f>VLOOKUP(B4,'LƯƠNG KT'!$D$16:$V$108,7,0)</f>
        <v>2004.4306367838908</v>
      </c>
      <c r="D9" s="1964">
        <f>IF(C5="A",6.1,IF(C5="B",5.8,IF(C5="C",5.5,IF(C5="C.",5.5,IF(C5="D",5.2)))))*$C$1</f>
        <v>0</v>
      </c>
      <c r="E9" s="1962">
        <f t="shared" si="0"/>
        <v>0</v>
      </c>
      <c r="G9" s="1959" t="s">
        <v>374</v>
      </c>
      <c r="H9" s="1965" t="s">
        <v>3283</v>
      </c>
      <c r="I9" s="1961">
        <f>VLOOKUP(H4,'LƯƠNG KT'!$D$16:$V$108,7,0)</f>
        <v>1619.3555398953824</v>
      </c>
      <c r="J9" s="1964">
        <f>IF(I5="A",6.1,IF(I5="B",5.8,IF(I5="C",5.5,IF(I5="C.",5.5,IF(I5="D",5.2)))))*$C$1</f>
        <v>0</v>
      </c>
      <c r="K9" s="1962">
        <f t="shared" si="1"/>
        <v>0</v>
      </c>
    </row>
    <row r="10" spans="1:11" ht="12.75" customHeight="1">
      <c r="A10" s="1959" t="s">
        <v>3296</v>
      </c>
      <c r="B10" s="1965" t="s">
        <v>3285</v>
      </c>
      <c r="C10" s="1961">
        <f>VLOOKUP(B4,'LƯƠNG KT'!$D$16:$V$108,12,0)</f>
        <v>27</v>
      </c>
      <c r="D10" s="1967">
        <f>92.2*$C$1</f>
        <v>61585.912000000004</v>
      </c>
      <c r="E10" s="1962">
        <f t="shared" si="0"/>
        <v>1662819.6240000001</v>
      </c>
      <c r="G10" s="1959" t="s">
        <v>3284</v>
      </c>
      <c r="H10" s="1965" t="s">
        <v>3285</v>
      </c>
      <c r="I10" s="1961">
        <f>VLOOKUP(H4,'LƯƠNG KT'!$D$16:$V$108,12,0)</f>
        <v>24</v>
      </c>
      <c r="J10" s="1967">
        <f>92.2*$C$1</f>
        <v>61585.912000000004</v>
      </c>
      <c r="K10" s="1962">
        <f t="shared" si="1"/>
        <v>1478061.888</v>
      </c>
    </row>
    <row r="11" spans="1:11" ht="12.75" customHeight="1">
      <c r="A11" s="1959" t="s">
        <v>3297</v>
      </c>
      <c r="B11" s="1965" t="s">
        <v>3287</v>
      </c>
      <c r="C11" s="1961">
        <f>VLOOKUP(B4,'LƯƠNG KT'!$D$16:$V$108,13,0)</f>
        <v>4</v>
      </c>
      <c r="D11" s="1964">
        <f>153.8*$C$1</f>
        <v>102732.24800000001</v>
      </c>
      <c r="E11" s="1962">
        <f t="shared" si="0"/>
        <v>410928.99200000003</v>
      </c>
      <c r="G11" s="1959" t="s">
        <v>3286</v>
      </c>
      <c r="H11" s="1965" t="s">
        <v>3287</v>
      </c>
      <c r="I11" s="1961">
        <f>VLOOKUP(H4,'LƯƠNG KT'!$D$16:$V$108,13,0)</f>
        <v>4</v>
      </c>
      <c r="J11" s="1964">
        <f>153.8*$C$1</f>
        <v>102732.24800000001</v>
      </c>
      <c r="K11" s="1962">
        <f t="shared" si="1"/>
        <v>410928.99200000003</v>
      </c>
    </row>
    <row r="12" spans="1:11" ht="12.75" customHeight="1">
      <c r="A12" s="1959" t="s">
        <v>3354</v>
      </c>
      <c r="B12" s="1965" t="s">
        <v>3288</v>
      </c>
      <c r="C12" s="1961">
        <f>VLOOKUP(B4,'LƯƠNG KT'!$D$16:$V$108,14,0)</f>
        <v>0</v>
      </c>
      <c r="D12" s="1964">
        <v>100000</v>
      </c>
      <c r="E12" s="1962">
        <f>C12*D12</f>
        <v>0</v>
      </c>
      <c r="G12" s="1959" t="s">
        <v>370</v>
      </c>
      <c r="H12" s="1965" t="s">
        <v>3288</v>
      </c>
      <c r="I12" s="1961">
        <f>VLOOKUP(H4,'LƯƠNG KT'!$D$16:$V$108,14,0)</f>
        <v>0</v>
      </c>
      <c r="J12" s="1964">
        <v>100000</v>
      </c>
      <c r="K12" s="1962">
        <f>I12*J12</f>
        <v>0</v>
      </c>
    </row>
    <row r="13" spans="1:11" ht="12.75" customHeight="1">
      <c r="A13" s="1959" t="s">
        <v>3355</v>
      </c>
      <c r="B13" s="1965" t="s">
        <v>3288</v>
      </c>
      <c r="C13" s="1961">
        <f>VLOOKUP(B4,'LƯƠNG KT'!$D$16:$V$108,17,0)</f>
        <v>0</v>
      </c>
      <c r="D13" s="1964">
        <v>20000</v>
      </c>
      <c r="E13" s="1962">
        <f>C13*D13</f>
        <v>0</v>
      </c>
      <c r="G13" s="1959" t="s">
        <v>370</v>
      </c>
      <c r="H13" s="1965" t="s">
        <v>3288</v>
      </c>
      <c r="I13" s="1961">
        <f>VLOOKUP(H4,'LƯƠNG KT'!$D$16:$V$108,17,0)</f>
        <v>0</v>
      </c>
      <c r="J13" s="1964">
        <v>20000</v>
      </c>
      <c r="K13" s="1962">
        <f>I13*J13</f>
        <v>0</v>
      </c>
    </row>
    <row r="14" spans="1:11" ht="12.75" customHeight="1">
      <c r="A14" s="1959" t="s">
        <v>3289</v>
      </c>
      <c r="B14" s="1965" t="s">
        <v>3290</v>
      </c>
      <c r="C14" s="1966"/>
      <c r="D14" s="1964"/>
      <c r="E14" s="1962"/>
      <c r="G14" s="1959" t="s">
        <v>3289</v>
      </c>
      <c r="H14" s="1965" t="s">
        <v>3290</v>
      </c>
      <c r="I14" s="1966"/>
      <c r="J14" s="1964"/>
      <c r="K14" s="1962"/>
    </row>
    <row r="15" spans="1:11" ht="12.75" customHeight="1">
      <c r="A15" s="1968" t="s">
        <v>377</v>
      </c>
      <c r="B15" s="1969" t="s">
        <v>3291</v>
      </c>
      <c r="C15" s="1970"/>
      <c r="D15" s="1971"/>
      <c r="E15" s="1970"/>
      <c r="G15" s="1968" t="s">
        <v>377</v>
      </c>
      <c r="H15" s="1969" t="s">
        <v>3291</v>
      </c>
      <c r="I15" s="1970"/>
      <c r="J15" s="1971"/>
      <c r="K15" s="1970"/>
    </row>
    <row r="16" spans="1:11" ht="12.75" customHeight="1">
      <c r="A16" s="1972" t="s">
        <v>379</v>
      </c>
      <c r="B16" s="1973" t="s">
        <v>3292</v>
      </c>
      <c r="C16" s="1970"/>
      <c r="D16" s="1970"/>
      <c r="E16" s="1970"/>
      <c r="G16" s="1972" t="s">
        <v>379</v>
      </c>
      <c r="H16" s="1973" t="s">
        <v>3292</v>
      </c>
      <c r="I16" s="1970"/>
      <c r="J16" s="1970"/>
      <c r="K16" s="1970"/>
    </row>
    <row r="17" spans="1:11" ht="12.75" customHeight="1">
      <c r="A17" s="1972" t="s">
        <v>381</v>
      </c>
      <c r="B17" s="1974" t="s">
        <v>3293</v>
      </c>
      <c r="C17" s="1970"/>
      <c r="D17" s="1970"/>
      <c r="E17" s="1962">
        <f>SUM(E16)</f>
        <v>0</v>
      </c>
      <c r="G17" s="1972" t="s">
        <v>381</v>
      </c>
      <c r="H17" s="1974" t="s">
        <v>3293</v>
      </c>
      <c r="I17" s="1970"/>
      <c r="J17" s="1970"/>
      <c r="K17" s="1962">
        <f>SUM(K16)</f>
        <v>0</v>
      </c>
    </row>
    <row r="18" spans="1:11" ht="12.75" customHeight="1">
      <c r="A18" s="1975" t="s">
        <v>383</v>
      </c>
      <c r="B18" s="1976" t="s">
        <v>3294</v>
      </c>
      <c r="C18" s="1977"/>
      <c r="D18" s="1977"/>
      <c r="E18" s="1978" t="e">
        <f>(E6+E7+E8+E9+E10+E11+E12+E13+E14)-E17</f>
        <v>#VALUE!</v>
      </c>
      <c r="G18" s="1975" t="s">
        <v>383</v>
      </c>
      <c r="H18" s="1976" t="s">
        <v>3294</v>
      </c>
      <c r="I18" s="1977"/>
      <c r="J18" s="1977"/>
      <c r="K18" s="1978" t="e">
        <f>(K6+K7+K8+K9+K10+K11+K12+K13+K14)-K17</f>
        <v>#VALUE!</v>
      </c>
    </row>
    <row r="20" spans="1:11" ht="12.75" customHeight="1">
      <c r="A20" s="2953" t="s">
        <v>3356</v>
      </c>
      <c r="B20" s="2954"/>
      <c r="C20" s="2954"/>
      <c r="D20" s="2954"/>
      <c r="E20" s="1955">
        <f>VLOOKUP(B21,'LƯƠNG KT'!$D$16:$AD$108,25,0)</f>
        <v>0</v>
      </c>
      <c r="G20" s="2953" t="s">
        <v>3356</v>
      </c>
      <c r="H20" s="2954"/>
      <c r="I20" s="2954"/>
      <c r="J20" s="2954"/>
      <c r="K20" s="1955">
        <f>VLOOKUP(H21,'LƯƠNG KT'!$D$16:$AD$108,25,0)</f>
        <v>0</v>
      </c>
    </row>
    <row r="21" spans="1:11" ht="12.75" customHeight="1">
      <c r="A21" s="1956" t="s">
        <v>356</v>
      </c>
      <c r="B21" s="1989" t="str">
        <f>'LƯƠNG KT'!D18</f>
        <v>T. Đôn Ma</v>
      </c>
      <c r="C21" s="1957"/>
      <c r="D21" s="1958" t="s">
        <v>2357</v>
      </c>
      <c r="E21" s="1958" t="s">
        <v>2156</v>
      </c>
      <c r="G21" s="1956" t="s">
        <v>356</v>
      </c>
      <c r="H21" s="1990" t="str">
        <f>'LƯƠNG KT'!D19</f>
        <v>N. La Ty</v>
      </c>
      <c r="I21" s="1957"/>
      <c r="J21" s="1958" t="s">
        <v>2357</v>
      </c>
      <c r="K21" s="1958" t="s">
        <v>2156</v>
      </c>
    </row>
    <row r="22" spans="1:11" ht="12.75" customHeight="1">
      <c r="A22" s="1959" t="s">
        <v>3005</v>
      </c>
      <c r="B22" s="1960" t="s">
        <v>3278</v>
      </c>
      <c r="C22" s="1961">
        <f>VLOOKUP($B$21,'LƯƠNG KT'!$D$16:$M$108,8,0)</f>
        <v>209.23352615174841</v>
      </c>
      <c r="D22" s="1962"/>
      <c r="E22" s="1962"/>
      <c r="G22" s="1959" t="s">
        <v>3005</v>
      </c>
      <c r="H22" s="1960" t="s">
        <v>3278</v>
      </c>
      <c r="I22" s="1961">
        <f>VLOOKUP($H$21,'LƯƠNG KT'!$D$16:$M$108,8,0)</f>
        <v>246.88240841111224</v>
      </c>
      <c r="J22" s="1962"/>
      <c r="K22" s="1962"/>
    </row>
    <row r="23" spans="1:11" ht="12.75" customHeight="1">
      <c r="A23" s="1959" t="s">
        <v>359</v>
      </c>
      <c r="B23" s="1963" t="s">
        <v>2090</v>
      </c>
      <c r="C23" s="1961">
        <f>VLOOKUP(B21,'LƯƠNG KT'!$D$16:$V$108,3,0)</f>
        <v>0</v>
      </c>
      <c r="D23" s="1964">
        <v>25000</v>
      </c>
      <c r="E23" s="1962">
        <f>C23*D23</f>
        <v>0</v>
      </c>
      <c r="G23" s="1959" t="s">
        <v>359</v>
      </c>
      <c r="H23" s="1963" t="s">
        <v>2090</v>
      </c>
      <c r="I23" s="1961">
        <f>VLOOKUP(H21,'LƯƠNG KT'!$D$16:$V$108,3,0)</f>
        <v>0</v>
      </c>
      <c r="J23" s="1964">
        <v>25000</v>
      </c>
      <c r="K23" s="1962">
        <f>I23*J23</f>
        <v>0</v>
      </c>
    </row>
    <row r="24" spans="1:11" ht="12.75" customHeight="1">
      <c r="A24" s="1959" t="s">
        <v>3279</v>
      </c>
      <c r="B24" s="1965" t="s">
        <v>3280</v>
      </c>
      <c r="C24" s="1961" t="str">
        <f>VLOOKUP(B21,'LƯƠNG KT'!$D$16:$V$108,10,0)</f>
        <v>A</v>
      </c>
      <c r="D24" s="1967">
        <f>46.1*$C$1</f>
        <v>30792.956000000002</v>
      </c>
      <c r="E24" s="1962" t="e">
        <f t="shared" ref="E24:E28" si="2">C24*D24</f>
        <v>#VALUE!</v>
      </c>
      <c r="G24" s="1959" t="s">
        <v>3279</v>
      </c>
      <c r="H24" s="1965" t="s">
        <v>3280</v>
      </c>
      <c r="I24" s="1961" t="str">
        <f>VLOOKUP(H21,'LƯƠNG KT'!$D$16:$V$108,10,0)</f>
        <v>A</v>
      </c>
      <c r="J24" s="1967">
        <f>46.1*$C$1</f>
        <v>30792.956000000002</v>
      </c>
      <c r="K24" s="1962" t="e">
        <f t="shared" ref="K24:K28" si="3">I24*J24</f>
        <v>#VALUE!</v>
      </c>
    </row>
    <row r="25" spans="1:11" ht="12.75" customHeight="1">
      <c r="A25" s="1959" t="s">
        <v>3281</v>
      </c>
      <c r="B25" s="1965" t="s">
        <v>3282</v>
      </c>
      <c r="C25" s="1961">
        <f>VLOOKUP(B21,'LƯƠNG KT'!$D$16:$V$108,11,0)</f>
        <v>6705081</v>
      </c>
      <c r="D25" s="1964">
        <f>76.9*$C$1</f>
        <v>51366.124000000003</v>
      </c>
      <c r="E25" s="1962">
        <f t="shared" si="2"/>
        <v>344414022076.04401</v>
      </c>
      <c r="G25" s="1959" t="s">
        <v>3281</v>
      </c>
      <c r="H25" s="1965" t="s">
        <v>3282</v>
      </c>
      <c r="I25" s="1961">
        <f>VLOOKUP(H21,'LƯƠNG KT'!$D$16:$V$108,11,0)</f>
        <v>7911574</v>
      </c>
      <c r="J25" s="1964">
        <f>76.9*$C$1</f>
        <v>51366.124000000003</v>
      </c>
      <c r="K25" s="1962">
        <f t="shared" si="3"/>
        <v>406386891119.17603</v>
      </c>
    </row>
    <row r="26" spans="1:11" ht="12.75" customHeight="1">
      <c r="A26" s="1959" t="s">
        <v>374</v>
      </c>
      <c r="B26" s="1965" t="s">
        <v>3283</v>
      </c>
      <c r="C26" s="1961">
        <f>VLOOKUP(B21,'LƯƠNG KT'!$D$16:$V$108,7,0)</f>
        <v>1622.7557615014621</v>
      </c>
      <c r="D26" s="1964">
        <f>IF(C22="A",6.1,IF(C22="B",5.8,IF(C22="C",5.5,IF(C22="C.",5.5,IF(C22="D",5.2)))))*$C$1</f>
        <v>0</v>
      </c>
      <c r="E26" s="1962">
        <f t="shared" si="2"/>
        <v>0</v>
      </c>
      <c r="G26" s="1959" t="s">
        <v>374</v>
      </c>
      <c r="H26" s="1965" t="s">
        <v>3283</v>
      </c>
      <c r="I26" s="1961">
        <f>VLOOKUP(H21,'LƯƠNG KT'!$D$16:$V$108,7,0)</f>
        <v>1914.7497919235427</v>
      </c>
      <c r="J26" s="1964">
        <f>IF(I22="A",6.1,IF(I22="B",5.8,IF(I22="C",5.5,IF(I22="C.",5.5,IF(I22="D",5.2)))))*$C$1</f>
        <v>0</v>
      </c>
      <c r="K26" s="1962">
        <f t="shared" si="3"/>
        <v>0</v>
      </c>
    </row>
    <row r="27" spans="1:11" ht="12.75" customHeight="1">
      <c r="A27" s="1959" t="s">
        <v>3296</v>
      </c>
      <c r="B27" s="1965" t="s">
        <v>3285</v>
      </c>
      <c r="C27" s="1961">
        <f>VLOOKUP(B21,'LƯƠNG KT'!$D$16:$V$108,12,0)</f>
        <v>24</v>
      </c>
      <c r="D27" s="1967">
        <f>92.2*$C$1</f>
        <v>61585.912000000004</v>
      </c>
      <c r="E27" s="1962">
        <f t="shared" si="2"/>
        <v>1478061.888</v>
      </c>
      <c r="G27" s="1959" t="s">
        <v>3296</v>
      </c>
      <c r="H27" s="1965" t="s">
        <v>3285</v>
      </c>
      <c r="I27" s="1961">
        <f>VLOOKUP(H21,'LƯƠNG KT'!$D$16:$V$108,12,0)</f>
        <v>27</v>
      </c>
      <c r="J27" s="1967">
        <f>92.2*$C$1</f>
        <v>61585.912000000004</v>
      </c>
      <c r="K27" s="1962">
        <f t="shared" si="3"/>
        <v>1662819.6240000001</v>
      </c>
    </row>
    <row r="28" spans="1:11" ht="12.75" customHeight="1">
      <c r="A28" s="1959" t="s">
        <v>3297</v>
      </c>
      <c r="B28" s="1965" t="s">
        <v>3287</v>
      </c>
      <c r="C28" s="1961">
        <f>VLOOKUP(B21,'LƯƠNG KT'!$D$16:$V$108,13,0)</f>
        <v>4</v>
      </c>
      <c r="D28" s="1964">
        <f>153.8*$C$1</f>
        <v>102732.24800000001</v>
      </c>
      <c r="E28" s="1962">
        <f t="shared" si="2"/>
        <v>410928.99200000003</v>
      </c>
      <c r="G28" s="1959" t="s">
        <v>3297</v>
      </c>
      <c r="H28" s="1965" t="s">
        <v>3287</v>
      </c>
      <c r="I28" s="1961">
        <f>VLOOKUP(H21,'LƯƠNG KT'!$D$16:$V$108,13,0)</f>
        <v>4</v>
      </c>
      <c r="J28" s="1964">
        <f>153.8*$C$1</f>
        <v>102732.24800000001</v>
      </c>
      <c r="K28" s="1962">
        <f t="shared" si="3"/>
        <v>410928.99200000003</v>
      </c>
    </row>
    <row r="29" spans="1:11" ht="12.75" customHeight="1">
      <c r="A29" s="1959" t="s">
        <v>3354</v>
      </c>
      <c r="B29" s="1965" t="s">
        <v>3288</v>
      </c>
      <c r="C29" s="1961">
        <f>VLOOKUP(B21,'LƯƠNG KT'!$D$16:$V$108,14,0)</f>
        <v>0</v>
      </c>
      <c r="D29" s="1964">
        <v>100000</v>
      </c>
      <c r="E29" s="1962">
        <f>C29*D29</f>
        <v>0</v>
      </c>
      <c r="G29" s="1959" t="s">
        <v>3354</v>
      </c>
      <c r="H29" s="1965" t="s">
        <v>3288</v>
      </c>
      <c r="I29" s="1961">
        <f>VLOOKUP(H21,'LƯƠNG KT'!$D$16:$V$108,14,0)</f>
        <v>0</v>
      </c>
      <c r="J29" s="1964">
        <v>100000</v>
      </c>
      <c r="K29" s="1962">
        <f>I29*J29</f>
        <v>0</v>
      </c>
    </row>
    <row r="30" spans="1:11" ht="12.75" customHeight="1">
      <c r="A30" s="1959" t="s">
        <v>3355</v>
      </c>
      <c r="B30" s="1965" t="s">
        <v>3288</v>
      </c>
      <c r="C30" s="1961">
        <f>VLOOKUP(B21,'LƯƠNG KT'!$D$16:$V$108,17,0)</f>
        <v>0</v>
      </c>
      <c r="D30" s="1964">
        <v>20000</v>
      </c>
      <c r="E30" s="1962">
        <f>C30*D30</f>
        <v>0</v>
      </c>
      <c r="G30" s="1959" t="s">
        <v>3355</v>
      </c>
      <c r="H30" s="1965" t="s">
        <v>3288</v>
      </c>
      <c r="I30" s="1961">
        <f>VLOOKUP(H21,'LƯƠNG KT'!$D$16:$V$108,17,0)</f>
        <v>0</v>
      </c>
      <c r="J30" s="1964">
        <v>20000</v>
      </c>
      <c r="K30" s="1962">
        <f>I30*J30</f>
        <v>0</v>
      </c>
    </row>
    <row r="31" spans="1:11" ht="12.75" customHeight="1">
      <c r="A31" s="1959" t="s">
        <v>3289</v>
      </c>
      <c r="B31" s="1965" t="s">
        <v>3290</v>
      </c>
      <c r="C31" s="1966"/>
      <c r="D31" s="1964"/>
      <c r="E31" s="1962"/>
      <c r="G31" s="1959" t="s">
        <v>3289</v>
      </c>
      <c r="H31" s="1965" t="s">
        <v>3290</v>
      </c>
      <c r="I31" s="1966"/>
      <c r="J31" s="1964"/>
      <c r="K31" s="1962"/>
    </row>
    <row r="32" spans="1:11" ht="12.75" customHeight="1">
      <c r="A32" s="1968" t="s">
        <v>377</v>
      </c>
      <c r="B32" s="1969" t="s">
        <v>3291</v>
      </c>
      <c r="C32" s="1970"/>
      <c r="D32" s="1971"/>
      <c r="E32" s="1970"/>
      <c r="G32" s="1968" t="s">
        <v>377</v>
      </c>
      <c r="H32" s="1969" t="s">
        <v>3291</v>
      </c>
      <c r="I32" s="1970"/>
      <c r="J32" s="1971"/>
      <c r="K32" s="1970"/>
    </row>
    <row r="33" spans="1:11" ht="12.75" customHeight="1">
      <c r="A33" s="1972" t="s">
        <v>379</v>
      </c>
      <c r="B33" s="1973" t="s">
        <v>3292</v>
      </c>
      <c r="C33" s="1970"/>
      <c r="D33" s="1970"/>
      <c r="E33" s="1970"/>
      <c r="G33" s="1972" t="s">
        <v>379</v>
      </c>
      <c r="H33" s="1973" t="s">
        <v>3292</v>
      </c>
      <c r="I33" s="1970"/>
      <c r="J33" s="1970"/>
      <c r="K33" s="1970"/>
    </row>
    <row r="34" spans="1:11" ht="12.75" customHeight="1">
      <c r="A34" s="1972" t="s">
        <v>381</v>
      </c>
      <c r="B34" s="1974" t="s">
        <v>3293</v>
      </c>
      <c r="C34" s="1970"/>
      <c r="D34" s="1970"/>
      <c r="E34" s="1962">
        <f>SUM(E33)</f>
        <v>0</v>
      </c>
      <c r="G34" s="1972" t="s">
        <v>381</v>
      </c>
      <c r="H34" s="1974" t="s">
        <v>3293</v>
      </c>
      <c r="I34" s="1970"/>
      <c r="J34" s="1970"/>
      <c r="K34" s="1962">
        <f>SUM(K33)</f>
        <v>0</v>
      </c>
    </row>
    <row r="35" spans="1:11" ht="12.75" customHeight="1">
      <c r="A35" s="1975" t="s">
        <v>383</v>
      </c>
      <c r="B35" s="1976" t="s">
        <v>3294</v>
      </c>
      <c r="C35" s="1977"/>
      <c r="D35" s="1977"/>
      <c r="E35" s="1978" t="e">
        <f>(E23+E24+E25+E26+E27+E28+E29+E30+E31)-E34</f>
        <v>#VALUE!</v>
      </c>
      <c r="G35" s="1975" t="s">
        <v>383</v>
      </c>
      <c r="H35" s="1976" t="s">
        <v>3294</v>
      </c>
      <c r="I35" s="1977"/>
      <c r="J35" s="1977"/>
      <c r="K35" s="1978" t="e">
        <f>(K23+K24+K25+K26+K27+K28+K29+K30+K31)-K34</f>
        <v>#VALUE!</v>
      </c>
    </row>
    <row r="37" spans="1:11" ht="12.75" customHeight="1">
      <c r="A37" s="2953" t="s">
        <v>3356</v>
      </c>
      <c r="B37" s="2954"/>
      <c r="C37" s="2954"/>
      <c r="D37" s="2954"/>
      <c r="E37" s="1955">
        <f>VLOOKUP(B38,'LƯƠNG KT'!$D$16:$AD$108,25,0)</f>
        <v>0</v>
      </c>
      <c r="G37" s="2953" t="s">
        <v>3356</v>
      </c>
      <c r="H37" s="2954"/>
      <c r="I37" s="2954"/>
      <c r="J37" s="2954"/>
      <c r="K37" s="1955">
        <f>VLOOKUP(H38,'LƯƠNG KT'!$D$16:$AD$108,25,0)</f>
        <v>0</v>
      </c>
    </row>
    <row r="38" spans="1:11" ht="12.75" customHeight="1">
      <c r="A38" s="1956" t="s">
        <v>356</v>
      </c>
      <c r="B38" s="1990" t="str">
        <f>'LƯƠNG KT'!$D$20</f>
        <v>Thong Say</v>
      </c>
      <c r="C38" s="1957"/>
      <c r="D38" s="1958" t="s">
        <v>2357</v>
      </c>
      <c r="E38" s="1958" t="s">
        <v>2156</v>
      </c>
      <c r="G38" s="1956" t="s">
        <v>356</v>
      </c>
      <c r="H38" s="1990" t="str">
        <f>'LƯƠNG KT'!$D$21</f>
        <v>Phon Xa Văn</v>
      </c>
      <c r="I38" s="1957"/>
      <c r="J38" s="1958" t="s">
        <v>2357</v>
      </c>
      <c r="K38" s="1958" t="s">
        <v>2156</v>
      </c>
    </row>
    <row r="39" spans="1:11" ht="12.75" customHeight="1">
      <c r="A39" s="1959" t="s">
        <v>3005</v>
      </c>
      <c r="B39" s="1960" t="s">
        <v>3278</v>
      </c>
      <c r="C39" s="1961">
        <f>VLOOKUP($B$38,'LƯƠNG KT'!$D$16:$M$108,8,0)</f>
        <v>215.97415572656899</v>
      </c>
      <c r="D39" s="1962"/>
      <c r="E39" s="1962"/>
      <c r="G39" s="1959" t="s">
        <v>3005</v>
      </c>
      <c r="H39" s="1960" t="s">
        <v>3278</v>
      </c>
      <c r="I39" s="1961">
        <f>VLOOKUP($H$38,'LƯƠNG KT'!$D$16:$M$108,8,0)</f>
        <v>242.38865536123186</v>
      </c>
      <c r="J39" s="1962"/>
      <c r="K39" s="1962"/>
    </row>
    <row r="40" spans="1:11" ht="12.75" customHeight="1">
      <c r="A40" s="1959" t="s">
        <v>359</v>
      </c>
      <c r="B40" s="1963" t="s">
        <v>2090</v>
      </c>
      <c r="C40" s="1961">
        <f>VLOOKUP(B38,'LƯƠNG KT'!$D$16:$V$108,3,0)</f>
        <v>0</v>
      </c>
      <c r="D40" s="1964">
        <v>25000</v>
      </c>
      <c r="E40" s="1962">
        <f>C40*D40</f>
        <v>0</v>
      </c>
      <c r="G40" s="1959" t="s">
        <v>359</v>
      </c>
      <c r="H40" s="1963" t="s">
        <v>2090</v>
      </c>
      <c r="I40" s="1961">
        <f>VLOOKUP(H38,'LƯƠNG KT'!$D$16:$V$108,3,0)</f>
        <v>0</v>
      </c>
      <c r="J40" s="1964">
        <v>25000</v>
      </c>
      <c r="K40" s="1962">
        <f>I40*J40</f>
        <v>0</v>
      </c>
    </row>
    <row r="41" spans="1:11" ht="12.75" customHeight="1">
      <c r="A41" s="1959" t="s">
        <v>3279</v>
      </c>
      <c r="B41" s="1965" t="s">
        <v>3280</v>
      </c>
      <c r="C41" s="1961" t="str">
        <f>VLOOKUP(B38,'LƯƠNG KT'!$D$16:$V$108,10,0)</f>
        <v>B</v>
      </c>
      <c r="D41" s="1967">
        <f>46.1*$C$1</f>
        <v>30792.956000000002</v>
      </c>
      <c r="E41" s="1962" t="e">
        <f t="shared" ref="E41:E45" si="4">C41*D41</f>
        <v>#VALUE!</v>
      </c>
      <c r="G41" s="1959" t="s">
        <v>3279</v>
      </c>
      <c r="H41" s="1965" t="s">
        <v>3280</v>
      </c>
      <c r="I41" s="1961" t="str">
        <f>VLOOKUP(H38,'LƯƠNG KT'!$D$16:$V$108,10,0)</f>
        <v>A</v>
      </c>
      <c r="J41" s="1967">
        <f>46.1*$C$1</f>
        <v>30792.956000000002</v>
      </c>
      <c r="K41" s="1962" t="e">
        <f t="shared" ref="K41:K45" si="5">I41*J41</f>
        <v>#VALUE!</v>
      </c>
    </row>
    <row r="42" spans="1:11" ht="12.75" customHeight="1">
      <c r="A42" s="1959" t="s">
        <v>3281</v>
      </c>
      <c r="B42" s="1965" t="s">
        <v>3282</v>
      </c>
      <c r="C42" s="1961">
        <f>VLOOKUP(B38,'LƯƠNG KT'!$D$16:$V$108,11,0)</f>
        <v>6580709</v>
      </c>
      <c r="D42" s="1964">
        <f>76.9*$C$1</f>
        <v>51366.124000000003</v>
      </c>
      <c r="E42" s="1962">
        <f t="shared" si="4"/>
        <v>338025514501.91602</v>
      </c>
      <c r="G42" s="1959" t="s">
        <v>3281</v>
      </c>
      <c r="H42" s="1965" t="s">
        <v>3282</v>
      </c>
      <c r="I42" s="1961">
        <f>VLOOKUP(H38,'LƯƠNG KT'!$D$16:$V$108,11,0)</f>
        <v>7767567</v>
      </c>
      <c r="J42" s="1964">
        <f>76.9*$C$1</f>
        <v>51366.124000000003</v>
      </c>
      <c r="K42" s="1962">
        <f t="shared" si="5"/>
        <v>398989809700.30804</v>
      </c>
    </row>
    <row r="43" spans="1:11" ht="12.75" customHeight="1">
      <c r="A43" s="1959" t="s">
        <v>374</v>
      </c>
      <c r="B43" s="1965" t="s">
        <v>3283</v>
      </c>
      <c r="C43" s="1961">
        <f>VLOOKUP(B38,'LƯƠNG KT'!$D$16:$V$108,7,0)</f>
        <v>1675.034168694935</v>
      </c>
      <c r="D43" s="1964">
        <f>IF(C39="A",6.1,IF(C39="B",5.8,IF(C39="C",5.5,IF(C39="C.",5.5,IF(C39="D",5.2)))))*$C$1</f>
        <v>0</v>
      </c>
      <c r="E43" s="1962">
        <f t="shared" si="4"/>
        <v>0</v>
      </c>
      <c r="G43" s="1959" t="s">
        <v>374</v>
      </c>
      <c r="H43" s="1965" t="s">
        <v>3283</v>
      </c>
      <c r="I43" s="1961">
        <f>VLOOKUP(H38,'LƯƠNG KT'!$D$16:$V$108,7,0)</f>
        <v>1879.8975204612275</v>
      </c>
      <c r="J43" s="1964">
        <f>IF(I39="A",6.1,IF(I39="B",5.8,IF(I39="C",5.5,IF(I39="C.",5.5,IF(I39="D",5.2)))))*$C$1</f>
        <v>0</v>
      </c>
      <c r="K43" s="1962">
        <f t="shared" si="5"/>
        <v>0</v>
      </c>
    </row>
    <row r="44" spans="1:11" ht="12.75" customHeight="1">
      <c r="A44" s="1959" t="s">
        <v>3296</v>
      </c>
      <c r="B44" s="1965" t="s">
        <v>3285</v>
      </c>
      <c r="C44" s="1961">
        <f>VLOOKUP(B38,'LƯƠNG KT'!$D$16:$V$108,12,0)</f>
        <v>27</v>
      </c>
      <c r="D44" s="1967">
        <f>92.2*$C$1</f>
        <v>61585.912000000004</v>
      </c>
      <c r="E44" s="1962">
        <f t="shared" si="4"/>
        <v>1662819.6240000001</v>
      </c>
      <c r="G44" s="1959" t="s">
        <v>3296</v>
      </c>
      <c r="H44" s="1965" t="s">
        <v>3285</v>
      </c>
      <c r="I44" s="1961">
        <f>VLOOKUP(H38,'LƯƠNG KT'!$D$16:$V$108,12,0)</f>
        <v>27</v>
      </c>
      <c r="J44" s="1967">
        <f>92.2*$C$1</f>
        <v>61585.912000000004</v>
      </c>
      <c r="K44" s="1962">
        <f t="shared" si="5"/>
        <v>1662819.6240000001</v>
      </c>
    </row>
    <row r="45" spans="1:11" ht="12.75" customHeight="1">
      <c r="A45" s="1959" t="s">
        <v>3297</v>
      </c>
      <c r="B45" s="1965" t="s">
        <v>3287</v>
      </c>
      <c r="C45" s="1961">
        <f>VLOOKUP(B38,'LƯƠNG KT'!$D$16:$V$108,13,0)</f>
        <v>4</v>
      </c>
      <c r="D45" s="1964">
        <f>153.8*$C$1</f>
        <v>102732.24800000001</v>
      </c>
      <c r="E45" s="1962">
        <f t="shared" si="4"/>
        <v>410928.99200000003</v>
      </c>
      <c r="G45" s="1959" t="s">
        <v>3297</v>
      </c>
      <c r="H45" s="1965" t="s">
        <v>3287</v>
      </c>
      <c r="I45" s="1961">
        <f>VLOOKUP(H38,'LƯƠNG KT'!$D$16:$V$108,13,0)</f>
        <v>4</v>
      </c>
      <c r="J45" s="1964">
        <f>153.8*$C$1</f>
        <v>102732.24800000001</v>
      </c>
      <c r="K45" s="1962">
        <f t="shared" si="5"/>
        <v>410928.99200000003</v>
      </c>
    </row>
    <row r="46" spans="1:11" ht="12.75" customHeight="1">
      <c r="A46" s="1959" t="s">
        <v>3354</v>
      </c>
      <c r="B46" s="1965" t="s">
        <v>3288</v>
      </c>
      <c r="C46" s="1961">
        <f>VLOOKUP(B38,'LƯƠNG KT'!$D$16:$V$108,14,0)</f>
        <v>0</v>
      </c>
      <c r="D46" s="1964">
        <v>100000</v>
      </c>
      <c r="E46" s="1962">
        <f>C46*D46</f>
        <v>0</v>
      </c>
      <c r="G46" s="1959" t="s">
        <v>3354</v>
      </c>
      <c r="H46" s="1965" t="s">
        <v>3288</v>
      </c>
      <c r="I46" s="1961">
        <f>VLOOKUP(H38,'LƯƠNG KT'!$D$16:$V$108,14,0)</f>
        <v>0</v>
      </c>
      <c r="J46" s="1964">
        <v>100000</v>
      </c>
      <c r="K46" s="1962">
        <f>I46*J46</f>
        <v>0</v>
      </c>
    </row>
    <row r="47" spans="1:11" ht="12.75" customHeight="1">
      <c r="A47" s="1959" t="s">
        <v>3355</v>
      </c>
      <c r="B47" s="1965" t="s">
        <v>3288</v>
      </c>
      <c r="C47" s="1961">
        <f>VLOOKUP(B38,'LƯƠNG KT'!$D$16:$V$108,17,0)</f>
        <v>0</v>
      </c>
      <c r="D47" s="1964">
        <v>20000</v>
      </c>
      <c r="E47" s="1962">
        <f>C47*D47</f>
        <v>0</v>
      </c>
      <c r="G47" s="1959" t="s">
        <v>3355</v>
      </c>
      <c r="H47" s="1965" t="s">
        <v>3288</v>
      </c>
      <c r="I47" s="1961">
        <f>VLOOKUP(H38,'LƯƠNG KT'!$D$16:$V$108,17,0)</f>
        <v>0</v>
      </c>
      <c r="J47" s="1964">
        <v>20000</v>
      </c>
      <c r="K47" s="1962">
        <f>I47*J47</f>
        <v>0</v>
      </c>
    </row>
    <row r="48" spans="1:11" ht="12.75" customHeight="1">
      <c r="A48" s="1959" t="s">
        <v>3289</v>
      </c>
      <c r="B48" s="1965" t="s">
        <v>3290</v>
      </c>
      <c r="C48" s="1966"/>
      <c r="D48" s="1964"/>
      <c r="E48" s="1962"/>
      <c r="G48" s="1959" t="s">
        <v>3289</v>
      </c>
      <c r="H48" s="1965" t="s">
        <v>3290</v>
      </c>
      <c r="I48" s="1966"/>
      <c r="J48" s="1964"/>
      <c r="K48" s="1962"/>
    </row>
    <row r="49" spans="1:11" ht="12.75" customHeight="1">
      <c r="A49" s="1968" t="s">
        <v>377</v>
      </c>
      <c r="B49" s="1969" t="s">
        <v>3291</v>
      </c>
      <c r="C49" s="1970"/>
      <c r="D49" s="1971"/>
      <c r="E49" s="1970"/>
      <c r="G49" s="1968" t="s">
        <v>377</v>
      </c>
      <c r="H49" s="1969" t="s">
        <v>3291</v>
      </c>
      <c r="I49" s="1970"/>
      <c r="J49" s="1971"/>
      <c r="K49" s="1970"/>
    </row>
    <row r="50" spans="1:11" ht="12.75" customHeight="1">
      <c r="A50" s="1972" t="s">
        <v>379</v>
      </c>
      <c r="B50" s="1973" t="s">
        <v>3292</v>
      </c>
      <c r="C50" s="1970"/>
      <c r="D50" s="1970"/>
      <c r="E50" s="1970"/>
      <c r="G50" s="1972" t="s">
        <v>379</v>
      </c>
      <c r="H50" s="1973" t="s">
        <v>3292</v>
      </c>
      <c r="I50" s="1970"/>
      <c r="J50" s="1970"/>
      <c r="K50" s="1970"/>
    </row>
    <row r="51" spans="1:11" ht="12.75" customHeight="1">
      <c r="A51" s="1972" t="s">
        <v>381</v>
      </c>
      <c r="B51" s="1974" t="s">
        <v>3293</v>
      </c>
      <c r="C51" s="1970"/>
      <c r="D51" s="1970"/>
      <c r="E51" s="1962">
        <f>SUM(E50)</f>
        <v>0</v>
      </c>
      <c r="G51" s="1972" t="s">
        <v>381</v>
      </c>
      <c r="H51" s="1974" t="s">
        <v>3293</v>
      </c>
      <c r="I51" s="1970"/>
      <c r="J51" s="1970"/>
      <c r="K51" s="1962">
        <f>SUM(K50)</f>
        <v>0</v>
      </c>
    </row>
    <row r="52" spans="1:11" ht="12.75" customHeight="1">
      <c r="A52" s="1975" t="s">
        <v>383</v>
      </c>
      <c r="B52" s="1976" t="s">
        <v>3294</v>
      </c>
      <c r="C52" s="1977"/>
      <c r="D52" s="1977"/>
      <c r="E52" s="1978" t="e">
        <f>(E40+E41+E42+E43+E44+E45+E46+E47+E48)-E51</f>
        <v>#VALUE!</v>
      </c>
      <c r="G52" s="1975" t="s">
        <v>383</v>
      </c>
      <c r="H52" s="1976" t="s">
        <v>3294</v>
      </c>
      <c r="I52" s="1977"/>
      <c r="J52" s="1977"/>
      <c r="K52" s="1978" t="e">
        <f>(K40+K41+K42+K43+K44+K45+K46+K47+K48)-K51</f>
        <v>#VALUE!</v>
      </c>
    </row>
    <row r="54" spans="1:11" ht="12.75" customHeight="1">
      <c r="A54" s="2953" t="s">
        <v>3356</v>
      </c>
      <c r="B54" s="2954"/>
      <c r="C54" s="2954"/>
      <c r="D54" s="2954"/>
      <c r="E54" s="1955">
        <f>VLOOKUP(B55,'LƯƠNG KT'!$D$16:$AD$108,25,0)</f>
        <v>0</v>
      </c>
      <c r="G54" s="2953" t="s">
        <v>3356</v>
      </c>
      <c r="H54" s="2954"/>
      <c r="I54" s="2954"/>
      <c r="J54" s="2954"/>
      <c r="K54" s="1955">
        <f>VLOOKUP(H55,'LƯƠNG KT'!$D$16:$AD$108,25,0)</f>
        <v>0</v>
      </c>
    </row>
    <row r="55" spans="1:11" ht="12.75" customHeight="1">
      <c r="A55" s="1956" t="s">
        <v>356</v>
      </c>
      <c r="B55" s="1990" t="str">
        <f>'LƯƠNG KT'!$D$22</f>
        <v>N. Tỏi</v>
      </c>
      <c r="C55" s="1957"/>
      <c r="D55" s="1958" t="s">
        <v>2357</v>
      </c>
      <c r="E55" s="1958" t="s">
        <v>2156</v>
      </c>
      <c r="G55" s="1956" t="s">
        <v>356</v>
      </c>
      <c r="H55" s="1990" t="str">
        <f>'LƯƠNG KT'!$D$23</f>
        <v>Na Ly</v>
      </c>
      <c r="I55" s="1957"/>
      <c r="J55" s="1958" t="s">
        <v>2357</v>
      </c>
      <c r="K55" s="1958" t="s">
        <v>2156</v>
      </c>
    </row>
    <row r="56" spans="1:11" ht="12.75" customHeight="1">
      <c r="A56" s="1959" t="s">
        <v>3005</v>
      </c>
      <c r="B56" s="1960" t="s">
        <v>3278</v>
      </c>
      <c r="C56" s="1961">
        <f>VLOOKUP($B$55,'LƯƠNG KT'!$D$16:$M$108,8,0)</f>
        <v>221.39954050630266</v>
      </c>
      <c r="D56" s="1962"/>
      <c r="E56" s="1962"/>
      <c r="G56" s="1959" t="s">
        <v>3005</v>
      </c>
      <c r="H56" s="1960" t="s">
        <v>3278</v>
      </c>
      <c r="I56" s="1961">
        <f>VLOOKUP($H$55,'LƯƠNG KT'!$D$16:$M$108,8,0)</f>
        <v>260.52807316013929</v>
      </c>
      <c r="J56" s="1962"/>
      <c r="K56" s="1962"/>
    </row>
    <row r="57" spans="1:11" ht="12.75" customHeight="1">
      <c r="A57" s="1959" t="s">
        <v>359</v>
      </c>
      <c r="B57" s="1963" t="s">
        <v>2090</v>
      </c>
      <c r="C57" s="1961">
        <f>VLOOKUP(B55,'LƯƠNG KT'!$D$16:$V$108,3,0)</f>
        <v>0</v>
      </c>
      <c r="D57" s="1964">
        <v>25000</v>
      </c>
      <c r="E57" s="1962">
        <f>C57*D57</f>
        <v>0</v>
      </c>
      <c r="G57" s="1959" t="s">
        <v>359</v>
      </c>
      <c r="H57" s="1963" t="s">
        <v>2090</v>
      </c>
      <c r="I57" s="1961">
        <f>VLOOKUP(H55,'LƯƠNG KT'!$D$16:$V$108,3,0)</f>
        <v>0</v>
      </c>
      <c r="J57" s="1964">
        <v>25000</v>
      </c>
      <c r="K57" s="1962">
        <f>I57*J57</f>
        <v>0</v>
      </c>
    </row>
    <row r="58" spans="1:11" ht="12.75" customHeight="1">
      <c r="A58" s="1959" t="s">
        <v>3279</v>
      </c>
      <c r="B58" s="1965" t="s">
        <v>3280</v>
      </c>
      <c r="C58" s="1961" t="str">
        <f>VLOOKUP(B55,'LƯƠNG KT'!$D$16:$V$108,10,0)</f>
        <v>A</v>
      </c>
      <c r="D58" s="1967">
        <f>46.1*$C$1</f>
        <v>30792.956000000002</v>
      </c>
      <c r="E58" s="1962" t="e">
        <f t="shared" ref="E58:E62" si="6">C58*D58</f>
        <v>#VALUE!</v>
      </c>
      <c r="G58" s="1959" t="s">
        <v>3279</v>
      </c>
      <c r="H58" s="1965" t="s">
        <v>3280</v>
      </c>
      <c r="I58" s="1961" t="str">
        <f>VLOOKUP(H55,'LƯƠNG KT'!$D$16:$V$108,10,0)</f>
        <v>A</v>
      </c>
      <c r="J58" s="1967">
        <f>46.1*$C$1</f>
        <v>30792.956000000002</v>
      </c>
      <c r="K58" s="1962" t="e">
        <f t="shared" ref="K58:K62" si="7">I58*J58</f>
        <v>#VALUE!</v>
      </c>
    </row>
    <row r="59" spans="1:11" ht="12.75" customHeight="1">
      <c r="A59" s="1959" t="s">
        <v>3281</v>
      </c>
      <c r="B59" s="1965" t="s">
        <v>3282</v>
      </c>
      <c r="C59" s="1961">
        <f>VLOOKUP(B55,'LƯƠNG KT'!$D$16:$V$108,11,0)</f>
        <v>7094952</v>
      </c>
      <c r="D59" s="1964">
        <f>76.9*$C$1</f>
        <v>51366.124000000003</v>
      </c>
      <c r="E59" s="1962">
        <f t="shared" si="6"/>
        <v>364440184206.04803</v>
      </c>
      <c r="G59" s="1959" t="s">
        <v>3281</v>
      </c>
      <c r="H59" s="1965" t="s">
        <v>3282</v>
      </c>
      <c r="I59" s="1961">
        <f>VLOOKUP(H55,'LƯƠNG KT'!$D$16:$V$108,11,0)</f>
        <v>8348862</v>
      </c>
      <c r="J59" s="1964">
        <f>76.9*$C$1</f>
        <v>51366.124000000003</v>
      </c>
      <c r="K59" s="1962">
        <f t="shared" si="7"/>
        <v>428848680750.888</v>
      </c>
    </row>
    <row r="60" spans="1:11" ht="12.75" customHeight="1">
      <c r="A60" s="1959" t="s">
        <v>374</v>
      </c>
      <c r="B60" s="1965" t="s">
        <v>3283</v>
      </c>
      <c r="C60" s="1961">
        <f>VLOOKUP(B55,'LƯƠNG KT'!$D$16:$V$108,7,0)</f>
        <v>1717.1119110701693</v>
      </c>
      <c r="D60" s="1964">
        <f>IF(C56="A",6.1,IF(C56="B",5.8,IF(C56="C",5.5,IF(C56="C.",5.5,IF(C56="D",5.2)))))*$C$1</f>
        <v>0</v>
      </c>
      <c r="E60" s="1962">
        <f t="shared" si="6"/>
        <v>0</v>
      </c>
      <c r="G60" s="1959" t="s">
        <v>374</v>
      </c>
      <c r="H60" s="1965" t="s">
        <v>3283</v>
      </c>
      <c r="I60" s="1961">
        <f>VLOOKUP(H55,'LƯƠNG KT'!$D$16:$V$108,7,0)</f>
        <v>2020.5816894127686</v>
      </c>
      <c r="J60" s="1964">
        <f>IF(I56="A",6.1,IF(I56="B",5.8,IF(I56="C",5.5,IF(I56="C.",5.5,IF(I56="D",5.2)))))*$C$1</f>
        <v>0</v>
      </c>
      <c r="K60" s="1962">
        <f t="shared" si="7"/>
        <v>0</v>
      </c>
    </row>
    <row r="61" spans="1:11" ht="12.75" customHeight="1">
      <c r="A61" s="1959" t="s">
        <v>3296</v>
      </c>
      <c r="B61" s="1965" t="s">
        <v>3285</v>
      </c>
      <c r="C61" s="1961">
        <f>VLOOKUP(B55,'LƯƠNG KT'!$D$16:$V$108,12,0)</f>
        <v>25</v>
      </c>
      <c r="D61" s="1967">
        <f>92.2*$C$1</f>
        <v>61585.912000000004</v>
      </c>
      <c r="E61" s="1962">
        <f t="shared" si="6"/>
        <v>1539647.8</v>
      </c>
      <c r="G61" s="1959" t="s">
        <v>3296</v>
      </c>
      <c r="H61" s="1965" t="s">
        <v>3285</v>
      </c>
      <c r="I61" s="1961">
        <f>VLOOKUP(H55,'LƯƠNG KT'!$D$16:$V$108,12,0)</f>
        <v>27</v>
      </c>
      <c r="J61" s="1967">
        <f>92.2*$C$1</f>
        <v>61585.912000000004</v>
      </c>
      <c r="K61" s="1962">
        <f t="shared" si="7"/>
        <v>1662819.6240000001</v>
      </c>
    </row>
    <row r="62" spans="1:11" ht="12.75" customHeight="1">
      <c r="A62" s="1959" t="s">
        <v>3297</v>
      </c>
      <c r="B62" s="1965" t="s">
        <v>3287</v>
      </c>
      <c r="C62" s="1961">
        <f>VLOOKUP(B55,'LƯƠNG KT'!$D$16:$V$108,13,0)</f>
        <v>4</v>
      </c>
      <c r="D62" s="1964">
        <f>153.8*$C$1</f>
        <v>102732.24800000001</v>
      </c>
      <c r="E62" s="1962">
        <f t="shared" si="6"/>
        <v>410928.99200000003</v>
      </c>
      <c r="G62" s="1959" t="s">
        <v>3297</v>
      </c>
      <c r="H62" s="1965" t="s">
        <v>3287</v>
      </c>
      <c r="I62" s="1961">
        <f>VLOOKUP(H55,'LƯƠNG KT'!$D$16:$V$108,13,0)</f>
        <v>4</v>
      </c>
      <c r="J62" s="1964">
        <f>153.8*$C$1</f>
        <v>102732.24800000001</v>
      </c>
      <c r="K62" s="1962">
        <f t="shared" si="7"/>
        <v>410928.99200000003</v>
      </c>
    </row>
    <row r="63" spans="1:11" ht="12.75" customHeight="1">
      <c r="A63" s="1959" t="s">
        <v>3354</v>
      </c>
      <c r="B63" s="1965" t="s">
        <v>3288</v>
      </c>
      <c r="C63" s="1961">
        <f>VLOOKUP(B55,'LƯƠNG KT'!$D$16:$V$108,14,0)</f>
        <v>0</v>
      </c>
      <c r="D63" s="1964">
        <v>100000</v>
      </c>
      <c r="E63" s="1962">
        <f>C63*D63</f>
        <v>0</v>
      </c>
      <c r="G63" s="1959" t="s">
        <v>3354</v>
      </c>
      <c r="H63" s="1965" t="s">
        <v>3288</v>
      </c>
      <c r="I63" s="1961">
        <f>VLOOKUP(H55,'LƯƠNG KT'!$D$16:$V$108,14,0)</f>
        <v>0</v>
      </c>
      <c r="J63" s="1964">
        <v>100000</v>
      </c>
      <c r="K63" s="1962">
        <f>I63*J63</f>
        <v>0</v>
      </c>
    </row>
    <row r="64" spans="1:11" ht="12.75" customHeight="1">
      <c r="A64" s="1959" t="s">
        <v>3355</v>
      </c>
      <c r="B64" s="1965" t="s">
        <v>3288</v>
      </c>
      <c r="C64" s="1961">
        <f>VLOOKUP(B55,'LƯƠNG KT'!$D$16:$V$108,17,0)</f>
        <v>0</v>
      </c>
      <c r="D64" s="1964">
        <v>20000</v>
      </c>
      <c r="E64" s="1962">
        <f>C64*D64</f>
        <v>0</v>
      </c>
      <c r="G64" s="1959" t="s">
        <v>3355</v>
      </c>
      <c r="H64" s="1965" t="s">
        <v>3288</v>
      </c>
      <c r="I64" s="1961">
        <f>VLOOKUP(H55,'LƯƠNG KT'!$D$16:$V$108,17,0)</f>
        <v>0</v>
      </c>
      <c r="J64" s="1964">
        <v>20000</v>
      </c>
      <c r="K64" s="1962">
        <f>I64*J64</f>
        <v>0</v>
      </c>
    </row>
    <row r="65" spans="1:11" ht="12.75" customHeight="1">
      <c r="A65" s="1959" t="s">
        <v>3289</v>
      </c>
      <c r="B65" s="1965" t="s">
        <v>3290</v>
      </c>
      <c r="C65" s="1966"/>
      <c r="D65" s="1964"/>
      <c r="E65" s="1962"/>
      <c r="G65" s="1959" t="s">
        <v>3289</v>
      </c>
      <c r="H65" s="1965" t="s">
        <v>3290</v>
      </c>
      <c r="I65" s="1966"/>
      <c r="J65" s="1964"/>
      <c r="K65" s="1962"/>
    </row>
    <row r="66" spans="1:11" ht="12.75" customHeight="1">
      <c r="A66" s="1968" t="s">
        <v>377</v>
      </c>
      <c r="B66" s="1969" t="s">
        <v>3291</v>
      </c>
      <c r="C66" s="1970"/>
      <c r="D66" s="1971"/>
      <c r="E66" s="1970"/>
      <c r="G66" s="1968" t="s">
        <v>377</v>
      </c>
      <c r="H66" s="1969" t="s">
        <v>3291</v>
      </c>
      <c r="I66" s="1970"/>
      <c r="J66" s="1971"/>
      <c r="K66" s="1970"/>
    </row>
    <row r="67" spans="1:11" ht="12.75" customHeight="1">
      <c r="A67" s="1972" t="s">
        <v>379</v>
      </c>
      <c r="B67" s="1973" t="s">
        <v>3292</v>
      </c>
      <c r="C67" s="1970"/>
      <c r="D67" s="1970"/>
      <c r="E67" s="1970"/>
      <c r="G67" s="1972" t="s">
        <v>379</v>
      </c>
      <c r="H67" s="1973" t="s">
        <v>3292</v>
      </c>
      <c r="I67" s="1970"/>
      <c r="J67" s="1970"/>
      <c r="K67" s="1970"/>
    </row>
    <row r="68" spans="1:11" ht="12.75" customHeight="1">
      <c r="A68" s="1972" t="s">
        <v>381</v>
      </c>
      <c r="B68" s="1974" t="s">
        <v>3293</v>
      </c>
      <c r="C68" s="1970"/>
      <c r="D68" s="1970"/>
      <c r="E68" s="1962">
        <f>SUM(E67)</f>
        <v>0</v>
      </c>
      <c r="G68" s="1972" t="s">
        <v>381</v>
      </c>
      <c r="H68" s="1974" t="s">
        <v>3293</v>
      </c>
      <c r="I68" s="1970"/>
      <c r="J68" s="1970"/>
      <c r="K68" s="1962">
        <f>SUM(K67)</f>
        <v>0</v>
      </c>
    </row>
    <row r="69" spans="1:11" ht="12.75" customHeight="1">
      <c r="A69" s="1975" t="s">
        <v>383</v>
      </c>
      <c r="B69" s="1976" t="s">
        <v>3294</v>
      </c>
      <c r="C69" s="1977"/>
      <c r="D69" s="1977"/>
      <c r="E69" s="1978" t="e">
        <f>(E57+E58+E59+E60+E61+E62+E63+E64+E65)-E68</f>
        <v>#VALUE!</v>
      </c>
      <c r="G69" s="1975" t="s">
        <v>383</v>
      </c>
      <c r="H69" s="1976" t="s">
        <v>3294</v>
      </c>
      <c r="I69" s="1977"/>
      <c r="J69" s="1977"/>
      <c r="K69" s="1978" t="e">
        <f>(K57+K58+K59+K60+K61+K62+K63+K64+K65)-K68</f>
        <v>#VALUE!</v>
      </c>
    </row>
    <row r="71" spans="1:11" ht="12.75" customHeight="1">
      <c r="A71" s="2953" t="s">
        <v>3356</v>
      </c>
      <c r="B71" s="2954"/>
      <c r="C71" s="2954"/>
      <c r="D71" s="2954"/>
      <c r="E71" s="1955">
        <f>VLOOKUP(B72,'LƯƠNG KT'!$D$16:$AD$108,25,0)</f>
        <v>0</v>
      </c>
      <c r="G71" s="2953" t="s">
        <v>3356</v>
      </c>
      <c r="H71" s="2954"/>
      <c r="I71" s="2954"/>
      <c r="J71" s="2954"/>
      <c r="K71" s="1955">
        <f>VLOOKUP(H72,'LƯƠNG KT'!$D$16:$AD$108,25,0)</f>
        <v>0</v>
      </c>
    </row>
    <row r="72" spans="1:11" ht="12.75" customHeight="1">
      <c r="A72" s="1956" t="s">
        <v>356</v>
      </c>
      <c r="B72" s="1956" t="str">
        <f>'LƯƠNG KT'!$D$24</f>
        <v>Thảo Lẹ</v>
      </c>
      <c r="C72" s="1957"/>
      <c r="D72" s="1958" t="s">
        <v>2357</v>
      </c>
      <c r="E72" s="1958" t="s">
        <v>2156</v>
      </c>
      <c r="G72" s="1956" t="s">
        <v>356</v>
      </c>
      <c r="H72" s="1956" t="str">
        <f>'LƯƠNG KT'!$D$25</f>
        <v>N. Đeng (2)</v>
      </c>
      <c r="I72" s="1957"/>
      <c r="J72" s="1958" t="s">
        <v>2357</v>
      </c>
      <c r="K72" s="1958" t="s">
        <v>2156</v>
      </c>
    </row>
    <row r="73" spans="1:11" ht="12.75" customHeight="1">
      <c r="A73" s="1959" t="s">
        <v>3005</v>
      </c>
      <c r="B73" s="1960" t="s">
        <v>3278</v>
      </c>
      <c r="C73" s="1961">
        <f>VLOOKUP($B$72,'LƯƠNG KT'!$D$16:$M$108,8,0)</f>
        <v>295.21765463055755</v>
      </c>
      <c r="D73" s="1962"/>
      <c r="E73" s="1962"/>
      <c r="G73" s="1959" t="s">
        <v>3005</v>
      </c>
      <c r="H73" s="1960" t="s">
        <v>3278</v>
      </c>
      <c r="I73" s="1961">
        <f>VLOOKUP($H$72,'LƯƠNG KT'!$D$16:$M$108,8,0)</f>
        <v>238.88133590766665</v>
      </c>
      <c r="J73" s="1962"/>
      <c r="K73" s="1962"/>
    </row>
    <row r="74" spans="1:11" ht="12.75" customHeight="1">
      <c r="A74" s="1959" t="s">
        <v>359</v>
      </c>
      <c r="B74" s="1963" t="s">
        <v>2090</v>
      </c>
      <c r="C74" s="1961">
        <f>VLOOKUP(B72,'LƯƠNG KT'!$D$16:$V$108,3,0)</f>
        <v>0</v>
      </c>
      <c r="D74" s="1964">
        <v>25000</v>
      </c>
      <c r="E74" s="1962">
        <f>C74*D74</f>
        <v>0</v>
      </c>
      <c r="G74" s="1959" t="s">
        <v>359</v>
      </c>
      <c r="H74" s="1963" t="s">
        <v>2090</v>
      </c>
      <c r="I74" s="1961">
        <f>VLOOKUP(H72,'LƯƠNG KT'!$D$16:$V$108,3,0)</f>
        <v>0</v>
      </c>
      <c r="J74" s="1964">
        <v>25000</v>
      </c>
      <c r="K74" s="1962">
        <f>I74*J74</f>
        <v>0</v>
      </c>
    </row>
    <row r="75" spans="1:11" ht="12.75" customHeight="1">
      <c r="A75" s="1959" t="s">
        <v>3279</v>
      </c>
      <c r="B75" s="1965" t="s">
        <v>3280</v>
      </c>
      <c r="C75" s="1961" t="str">
        <f>VLOOKUP(B72,'LƯƠNG KT'!$D$16:$V$108,10,0)</f>
        <v>B</v>
      </c>
      <c r="D75" s="1967">
        <f>46.1*$C$1</f>
        <v>30792.956000000002</v>
      </c>
      <c r="E75" s="1962" t="e">
        <f t="shared" ref="E75:E79" si="8">C75*D75</f>
        <v>#VALUE!</v>
      </c>
      <c r="G75" s="1959" t="s">
        <v>3279</v>
      </c>
      <c r="H75" s="1965" t="s">
        <v>3280</v>
      </c>
      <c r="I75" s="1961" t="str">
        <f>VLOOKUP(H72,'LƯƠNG KT'!$D$16:$V$108,10,0)</f>
        <v>B</v>
      </c>
      <c r="J75" s="1967">
        <f>46.1*$C$1</f>
        <v>30792.956000000002</v>
      </c>
      <c r="K75" s="1962" t="e">
        <f t="shared" ref="K75:K79" si="9">I75*J75</f>
        <v>#VALUE!</v>
      </c>
    </row>
    <row r="76" spans="1:11" ht="12.75" customHeight="1">
      <c r="A76" s="1959" t="s">
        <v>3281</v>
      </c>
      <c r="B76" s="1965" t="s">
        <v>3282</v>
      </c>
      <c r="C76" s="1961">
        <f>VLOOKUP(B72,'LƯƠNG KT'!$D$16:$V$108,11,0)</f>
        <v>8995250</v>
      </c>
      <c r="D76" s="1964">
        <f>76.9*$C$1</f>
        <v>51366.124000000003</v>
      </c>
      <c r="E76" s="1962">
        <f t="shared" si="8"/>
        <v>462051126911.00006</v>
      </c>
      <c r="G76" s="1959" t="s">
        <v>3281</v>
      </c>
      <c r="H76" s="1965" t="s">
        <v>3282</v>
      </c>
      <c r="I76" s="1961">
        <f>VLOOKUP(H72,'LƯƠNG KT'!$D$16:$V$108,11,0)</f>
        <v>7278688</v>
      </c>
      <c r="J76" s="1964">
        <f>76.9*$C$1</f>
        <v>51366.124000000003</v>
      </c>
      <c r="K76" s="1962">
        <f t="shared" si="9"/>
        <v>373877990365.31201</v>
      </c>
    </row>
    <row r="77" spans="1:11" ht="12.75" customHeight="1">
      <c r="A77" s="1959" t="s">
        <v>374</v>
      </c>
      <c r="B77" s="1965" t="s">
        <v>3283</v>
      </c>
      <c r="C77" s="1961">
        <f>VLOOKUP(B72,'LƯƠNG KT'!$D$16:$V$108,7,0)</f>
        <v>2289.6242239938124</v>
      </c>
      <c r="D77" s="1964">
        <f>IF(C73="A",6.1,IF(C73="B",5.8,IF(C73="C",5.5,IF(C73="C.",5.5,IF(C73="D",5.2)))))*$C$1</f>
        <v>0</v>
      </c>
      <c r="E77" s="1962">
        <f t="shared" si="8"/>
        <v>0</v>
      </c>
      <c r="G77" s="1959" t="s">
        <v>374</v>
      </c>
      <c r="H77" s="1965" t="s">
        <v>3283</v>
      </c>
      <c r="I77" s="1961">
        <f>VLOOKUP(H72,'LƯƠNG KT'!$D$16:$V$108,7,0)</f>
        <v>1852.695747612591</v>
      </c>
      <c r="J77" s="1964">
        <f>IF(I73="A",6.1,IF(I73="B",5.8,IF(I73="C",5.5,IF(I73="C.",5.5,IF(I73="D",5.2)))))*$C$1</f>
        <v>0</v>
      </c>
      <c r="K77" s="1962">
        <f t="shared" si="9"/>
        <v>0</v>
      </c>
    </row>
    <row r="78" spans="1:11" ht="12.75" customHeight="1">
      <c r="A78" s="1959" t="s">
        <v>3296</v>
      </c>
      <c r="B78" s="1965" t="s">
        <v>3285</v>
      </c>
      <c r="C78" s="1961">
        <f>VLOOKUP(B72,'LƯƠNG KT'!$D$16:$V$108,12,0)</f>
        <v>27</v>
      </c>
      <c r="D78" s="1967">
        <f>92.2*$C$1</f>
        <v>61585.912000000004</v>
      </c>
      <c r="E78" s="1962">
        <f t="shared" si="8"/>
        <v>1662819.6240000001</v>
      </c>
      <c r="G78" s="1959" t="s">
        <v>3296</v>
      </c>
      <c r="H78" s="1965" t="s">
        <v>3285</v>
      </c>
      <c r="I78" s="1961">
        <f>VLOOKUP(H72,'LƯƠNG KT'!$D$16:$V$108,12,0)</f>
        <v>27</v>
      </c>
      <c r="J78" s="1967">
        <f>92.2*$C$1</f>
        <v>61585.912000000004</v>
      </c>
      <c r="K78" s="1962">
        <f t="shared" si="9"/>
        <v>1662819.6240000001</v>
      </c>
    </row>
    <row r="79" spans="1:11" ht="12.75" customHeight="1">
      <c r="A79" s="1959" t="s">
        <v>3297</v>
      </c>
      <c r="B79" s="1965" t="s">
        <v>3287</v>
      </c>
      <c r="C79" s="1961">
        <f>VLOOKUP(B72,'LƯƠNG KT'!$D$16:$V$108,13,0)</f>
        <v>4</v>
      </c>
      <c r="D79" s="1964">
        <f>153.8*$C$1</f>
        <v>102732.24800000001</v>
      </c>
      <c r="E79" s="1962">
        <f t="shared" si="8"/>
        <v>410928.99200000003</v>
      </c>
      <c r="G79" s="1959" t="s">
        <v>3297</v>
      </c>
      <c r="H79" s="1965" t="s">
        <v>3287</v>
      </c>
      <c r="I79" s="1961">
        <f>VLOOKUP(H72,'LƯƠNG KT'!$D$16:$V$108,13,0)</f>
        <v>4</v>
      </c>
      <c r="J79" s="1964">
        <f>153.8*$C$1</f>
        <v>102732.24800000001</v>
      </c>
      <c r="K79" s="1962">
        <f t="shared" si="9"/>
        <v>410928.99200000003</v>
      </c>
    </row>
    <row r="80" spans="1:11" ht="12.75" customHeight="1">
      <c r="A80" s="1959" t="s">
        <v>3354</v>
      </c>
      <c r="B80" s="1965" t="s">
        <v>3288</v>
      </c>
      <c r="C80" s="1961">
        <f>VLOOKUP(B72,'LƯƠNG KT'!$D$16:$V$108,14,0)</f>
        <v>0</v>
      </c>
      <c r="D80" s="1964">
        <v>100000</v>
      </c>
      <c r="E80" s="1962">
        <f>C80*D80</f>
        <v>0</v>
      </c>
      <c r="G80" s="1959" t="s">
        <v>3354</v>
      </c>
      <c r="H80" s="1965" t="s">
        <v>3288</v>
      </c>
      <c r="I80" s="1961">
        <f>VLOOKUP(H72,'LƯƠNG KT'!$D$16:$V$108,14,0)</f>
        <v>0</v>
      </c>
      <c r="J80" s="1964">
        <v>100000</v>
      </c>
      <c r="K80" s="1962">
        <f>I80*J80</f>
        <v>0</v>
      </c>
    </row>
    <row r="81" spans="1:11" ht="12.75" customHeight="1">
      <c r="A81" s="1959" t="s">
        <v>3355</v>
      </c>
      <c r="B81" s="1965" t="s">
        <v>3288</v>
      </c>
      <c r="C81" s="1961">
        <f>VLOOKUP(B72,'LƯƠNG KT'!$D$16:$V$108,17,0)</f>
        <v>0</v>
      </c>
      <c r="D81" s="1964">
        <v>20000</v>
      </c>
      <c r="E81" s="1962">
        <f>C81*D81</f>
        <v>0</v>
      </c>
      <c r="G81" s="1959" t="s">
        <v>3355</v>
      </c>
      <c r="H81" s="1965" t="s">
        <v>3288</v>
      </c>
      <c r="I81" s="1961">
        <f>VLOOKUP(H72,'LƯƠNG KT'!$D$16:$V$108,17,0)</f>
        <v>0</v>
      </c>
      <c r="J81" s="1964">
        <v>20000</v>
      </c>
      <c r="K81" s="1962">
        <f>I81*J81</f>
        <v>0</v>
      </c>
    </row>
    <row r="82" spans="1:11" ht="12.75" customHeight="1">
      <c r="A82" s="1959" t="s">
        <v>3289</v>
      </c>
      <c r="B82" s="1965" t="s">
        <v>3290</v>
      </c>
      <c r="C82" s="1966"/>
      <c r="D82" s="1964"/>
      <c r="E82" s="1962"/>
      <c r="G82" s="1959" t="s">
        <v>3289</v>
      </c>
      <c r="H82" s="1965" t="s">
        <v>3290</v>
      </c>
      <c r="I82" s="1966"/>
      <c r="J82" s="1964"/>
      <c r="K82" s="1962"/>
    </row>
    <row r="83" spans="1:11" ht="12.75" customHeight="1">
      <c r="A83" s="1968" t="s">
        <v>377</v>
      </c>
      <c r="B83" s="1969" t="s">
        <v>3291</v>
      </c>
      <c r="C83" s="1970"/>
      <c r="D83" s="1971"/>
      <c r="E83" s="1970"/>
      <c r="G83" s="1968" t="s">
        <v>377</v>
      </c>
      <c r="H83" s="1969" t="s">
        <v>3291</v>
      </c>
      <c r="I83" s="1970"/>
      <c r="J83" s="1971"/>
      <c r="K83" s="1970"/>
    </row>
    <row r="84" spans="1:11" ht="12.75" customHeight="1">
      <c r="A84" s="1972" t="s">
        <v>379</v>
      </c>
      <c r="B84" s="1973" t="s">
        <v>3292</v>
      </c>
      <c r="C84" s="1970"/>
      <c r="D84" s="1970"/>
      <c r="E84" s="1970"/>
      <c r="G84" s="1972" t="s">
        <v>379</v>
      </c>
      <c r="H84" s="1973" t="s">
        <v>3292</v>
      </c>
      <c r="I84" s="1970"/>
      <c r="J84" s="1970"/>
      <c r="K84" s="1970"/>
    </row>
    <row r="85" spans="1:11" ht="12.75" customHeight="1">
      <c r="A85" s="1972" t="s">
        <v>381</v>
      </c>
      <c r="B85" s="1974" t="s">
        <v>3293</v>
      </c>
      <c r="C85" s="1970"/>
      <c r="D85" s="1970"/>
      <c r="E85" s="1962">
        <f>SUM(E84)</f>
        <v>0</v>
      </c>
      <c r="G85" s="1972" t="s">
        <v>381</v>
      </c>
      <c r="H85" s="1974" t="s">
        <v>3293</v>
      </c>
      <c r="I85" s="1970"/>
      <c r="J85" s="1970"/>
      <c r="K85" s="1962">
        <f>SUM(K84)</f>
        <v>0</v>
      </c>
    </row>
    <row r="86" spans="1:11" ht="12.75" customHeight="1">
      <c r="A86" s="1975" t="s">
        <v>383</v>
      </c>
      <c r="B86" s="1976" t="s">
        <v>3294</v>
      </c>
      <c r="C86" s="1977"/>
      <c r="D86" s="1977"/>
      <c r="E86" s="1978" t="e">
        <f>(E74+E75+E76+E77+E78+E79+E80+E81+E82)-E85</f>
        <v>#VALUE!</v>
      </c>
      <c r="G86" s="1975" t="s">
        <v>383</v>
      </c>
      <c r="H86" s="1976" t="s">
        <v>3294</v>
      </c>
      <c r="I86" s="1977"/>
      <c r="J86" s="1977"/>
      <c r="K86" s="1978" t="e">
        <f>(K74+K75+K76+K77+K78+K79+K80+K81+K82)-K85</f>
        <v>#VALUE!</v>
      </c>
    </row>
    <row r="88" spans="1:11" ht="12.75" customHeight="1">
      <c r="A88" s="2953" t="s">
        <v>3356</v>
      </c>
      <c r="B88" s="2954"/>
      <c r="C88" s="2954"/>
      <c r="D88" s="2954"/>
      <c r="E88" s="1955">
        <f>VLOOKUP(B89,'LƯƠNG KT'!$D$16:$AD$108,25,0)</f>
        <v>0</v>
      </c>
      <c r="G88" s="2953" t="s">
        <v>3356</v>
      </c>
      <c r="H88" s="2954"/>
      <c r="I88" s="2954"/>
      <c r="J88" s="2954"/>
      <c r="K88" s="1955">
        <f>VLOOKUP(H89,'LƯƠNG KT'!$D$16:$AD$108,25,0)</f>
        <v>0</v>
      </c>
    </row>
    <row r="89" spans="1:11" ht="12.75" customHeight="1">
      <c r="A89" s="1956" t="s">
        <v>356</v>
      </c>
      <c r="B89" s="1956" t="str">
        <f>'LƯƠNG KT'!$D$26</f>
        <v>T. May</v>
      </c>
      <c r="C89" s="1957"/>
      <c r="D89" s="1958" t="s">
        <v>2357</v>
      </c>
      <c r="E89" s="1958" t="s">
        <v>2156</v>
      </c>
      <c r="G89" s="1956" t="s">
        <v>356</v>
      </c>
      <c r="H89" s="1956" t="str">
        <f>'LƯƠNG KT'!$D$27</f>
        <v>N. Bay</v>
      </c>
      <c r="I89" s="1957"/>
      <c r="J89" s="1958" t="s">
        <v>2357</v>
      </c>
      <c r="K89" s="1958" t="s">
        <v>2156</v>
      </c>
    </row>
    <row r="90" spans="1:11" ht="12.75" customHeight="1">
      <c r="A90" s="1959" t="s">
        <v>3005</v>
      </c>
      <c r="B90" s="1960" t="s">
        <v>3278</v>
      </c>
      <c r="C90" s="1961">
        <f>VLOOKUP(B89,'LƯƠNG KT'!$D$16:$M$108,8,0)</f>
        <v>294.39562663362818</v>
      </c>
      <c r="D90" s="1962"/>
      <c r="E90" s="1962"/>
      <c r="G90" s="1959" t="s">
        <v>3005</v>
      </c>
      <c r="H90" s="1960" t="s">
        <v>3278</v>
      </c>
      <c r="I90" s="1961">
        <f>VLOOKUP(H89,'LƯƠNG KT'!$D$16:$M$108,8,0)</f>
        <v>166.049655379727</v>
      </c>
      <c r="J90" s="1962"/>
      <c r="K90" s="1962"/>
    </row>
    <row r="91" spans="1:11" ht="12.75" customHeight="1">
      <c r="A91" s="1959" t="s">
        <v>359</v>
      </c>
      <c r="B91" s="1963" t="s">
        <v>2090</v>
      </c>
      <c r="C91" s="1961">
        <f>VLOOKUP(B89,'LƯƠNG KT'!$D$16:$V$108,3,0)</f>
        <v>0</v>
      </c>
      <c r="D91" s="1964">
        <v>25000</v>
      </c>
      <c r="E91" s="1962">
        <f>C91*D91</f>
        <v>0</v>
      </c>
      <c r="G91" s="1959" t="s">
        <v>359</v>
      </c>
      <c r="H91" s="1963" t="s">
        <v>2090</v>
      </c>
      <c r="I91" s="1961">
        <f>VLOOKUP(H89,'LƯƠNG KT'!$D$16:$V$108,3,0)</f>
        <v>0</v>
      </c>
      <c r="J91" s="1964">
        <v>25000</v>
      </c>
      <c r="K91" s="1962">
        <f>I91*J91</f>
        <v>0</v>
      </c>
    </row>
    <row r="92" spans="1:11" ht="12.75" customHeight="1">
      <c r="A92" s="1959" t="s">
        <v>3279</v>
      </c>
      <c r="B92" s="1965" t="s">
        <v>3280</v>
      </c>
      <c r="C92" s="1961" t="str">
        <f>VLOOKUP(B89,'LƯƠNG KT'!$D$16:$V$108,10,0)</f>
        <v>A</v>
      </c>
      <c r="D92" s="1967">
        <f>46.1*$C$1</f>
        <v>30792.956000000002</v>
      </c>
      <c r="E92" s="1962" t="e">
        <f t="shared" ref="E92:E96" si="10">C92*D92</f>
        <v>#VALUE!</v>
      </c>
      <c r="G92" s="1959" t="s">
        <v>3279</v>
      </c>
      <c r="H92" s="1965" t="s">
        <v>3280</v>
      </c>
      <c r="I92" s="1961" t="str">
        <f>VLOOKUP(H89,'LƯƠNG KT'!$D$16:$V$108,10,0)</f>
        <v>B</v>
      </c>
      <c r="J92" s="1967">
        <f>46.1*$C$1</f>
        <v>30792.956000000002</v>
      </c>
      <c r="K92" s="1962" t="e">
        <f t="shared" ref="K92:K96" si="11">I92*J92</f>
        <v>#VALUE!</v>
      </c>
    </row>
    <row r="93" spans="1:11" ht="12.75" customHeight="1">
      <c r="A93" s="1959" t="s">
        <v>3281</v>
      </c>
      <c r="B93" s="1965" t="s">
        <v>3282</v>
      </c>
      <c r="C93" s="1961">
        <f>VLOOKUP(B89,'LƯƠNG KT'!$D$16:$V$108,11,0)</f>
        <v>9434179</v>
      </c>
      <c r="D93" s="1964">
        <f>76.9*$C$1</f>
        <v>51366.124000000003</v>
      </c>
      <c r="E93" s="1962">
        <f t="shared" si="10"/>
        <v>484597208352.19604</v>
      </c>
      <c r="G93" s="1959" t="s">
        <v>3281</v>
      </c>
      <c r="H93" s="1965" t="s">
        <v>3282</v>
      </c>
      <c r="I93" s="1961">
        <f>VLOOKUP(H89,'LƯƠNG KT'!$D$16:$V$108,11,0)</f>
        <v>5059515</v>
      </c>
      <c r="J93" s="1964">
        <f>76.9*$C$1</f>
        <v>51366.124000000003</v>
      </c>
      <c r="K93" s="1962">
        <f t="shared" si="11"/>
        <v>259887674869.86002</v>
      </c>
    </row>
    <row r="94" spans="1:11" ht="12.75" customHeight="1">
      <c r="A94" s="1959" t="s">
        <v>374</v>
      </c>
      <c r="B94" s="1965" t="s">
        <v>3283</v>
      </c>
      <c r="C94" s="1961">
        <f>VLOOKUP(B89,'LƯƠNG KT'!$D$16:$V$108,7,0)</f>
        <v>2283.2488084824131</v>
      </c>
      <c r="D94" s="1964">
        <f>IF(C90="A",6.1,IF(C90="B",5.8,IF(C90="C",5.5,IF(C90="C.",5.5,IF(C90="D",5.2)))))*$C$1</f>
        <v>0</v>
      </c>
      <c r="E94" s="1962">
        <f t="shared" si="10"/>
        <v>0</v>
      </c>
      <c r="G94" s="1959" t="s">
        <v>374</v>
      </c>
      <c r="H94" s="1965" t="s">
        <v>3283</v>
      </c>
      <c r="I94" s="1961">
        <f>VLOOKUP(H89,'LƯƠNG KT'!$D$16:$V$108,7,0)</f>
        <v>1287.833933302627</v>
      </c>
      <c r="J94" s="1964">
        <f>IF(I90="A",6.1,IF(I90="B",5.8,IF(I90="C",5.5,IF(I90="C.",5.5,IF(I90="D",5.2)))))*$C$1</f>
        <v>0</v>
      </c>
      <c r="K94" s="1962">
        <f t="shared" si="11"/>
        <v>0</v>
      </c>
    </row>
    <row r="95" spans="1:11" ht="12.75" customHeight="1">
      <c r="A95" s="1959" t="s">
        <v>3296</v>
      </c>
      <c r="B95" s="1965" t="s">
        <v>3285</v>
      </c>
      <c r="C95" s="1961">
        <f>VLOOKUP(B89,'LƯƠNG KT'!$D$16:$V$108,12,0)</f>
        <v>27</v>
      </c>
      <c r="D95" s="1967">
        <f>92.2*$C$1</f>
        <v>61585.912000000004</v>
      </c>
      <c r="E95" s="1962">
        <f t="shared" si="10"/>
        <v>1662819.6240000001</v>
      </c>
      <c r="G95" s="1959" t="s">
        <v>3296</v>
      </c>
      <c r="H95" s="1965" t="s">
        <v>3285</v>
      </c>
      <c r="I95" s="1961">
        <f>VLOOKUP(H89,'LƯƠNG KT'!$D$16:$V$108,12,0)</f>
        <v>27</v>
      </c>
      <c r="J95" s="1967">
        <f>92.2*$C$1</f>
        <v>61585.912000000004</v>
      </c>
      <c r="K95" s="1962">
        <f t="shared" si="11"/>
        <v>1662819.6240000001</v>
      </c>
    </row>
    <row r="96" spans="1:11" ht="12.75" customHeight="1">
      <c r="A96" s="1959" t="s">
        <v>3297</v>
      </c>
      <c r="B96" s="1965" t="s">
        <v>3287</v>
      </c>
      <c r="C96" s="1961">
        <f>VLOOKUP(B89,'LƯƠNG KT'!$D$16:$V$108,13,0)</f>
        <v>4</v>
      </c>
      <c r="D96" s="1964">
        <f>153.8*$C$1</f>
        <v>102732.24800000001</v>
      </c>
      <c r="E96" s="1962">
        <f t="shared" si="10"/>
        <v>410928.99200000003</v>
      </c>
      <c r="G96" s="1959" t="s">
        <v>3297</v>
      </c>
      <c r="H96" s="1965" t="s">
        <v>3287</v>
      </c>
      <c r="I96" s="1961">
        <f>VLOOKUP(H89,'LƯƠNG KT'!$D$16:$V$108,13,0)</f>
        <v>4</v>
      </c>
      <c r="J96" s="1964">
        <f>153.8*$C$1</f>
        <v>102732.24800000001</v>
      </c>
      <c r="K96" s="1962">
        <f t="shared" si="11"/>
        <v>410928.99200000003</v>
      </c>
    </row>
    <row r="97" spans="1:11" ht="12.75" customHeight="1">
      <c r="A97" s="1959" t="s">
        <v>3354</v>
      </c>
      <c r="B97" s="1965" t="s">
        <v>3288</v>
      </c>
      <c r="C97" s="1961">
        <f>VLOOKUP(B89,'LƯƠNG KT'!$D$16:$V$108,14,0)</f>
        <v>0</v>
      </c>
      <c r="D97" s="1964">
        <v>100000</v>
      </c>
      <c r="E97" s="1962">
        <f>C97*D97</f>
        <v>0</v>
      </c>
      <c r="G97" s="1959" t="s">
        <v>3354</v>
      </c>
      <c r="H97" s="1965" t="s">
        <v>3288</v>
      </c>
      <c r="I97" s="1961">
        <f>VLOOKUP(H89,'LƯƠNG KT'!$D$16:$V$108,14,0)</f>
        <v>0</v>
      </c>
      <c r="J97" s="1964">
        <v>100000</v>
      </c>
      <c r="K97" s="1962">
        <f>I97*J97</f>
        <v>0</v>
      </c>
    </row>
    <row r="98" spans="1:11" ht="12.75" customHeight="1">
      <c r="A98" s="1959" t="s">
        <v>3355</v>
      </c>
      <c r="B98" s="1965" t="s">
        <v>3288</v>
      </c>
      <c r="C98" s="1961">
        <f>VLOOKUP(B89,'LƯƠNG KT'!$D$16:$V$108,17,0)</f>
        <v>0</v>
      </c>
      <c r="D98" s="1964">
        <v>20000</v>
      </c>
      <c r="E98" s="1962">
        <f>C98*D98</f>
        <v>0</v>
      </c>
      <c r="G98" s="1959" t="s">
        <v>3355</v>
      </c>
      <c r="H98" s="1965" t="s">
        <v>3288</v>
      </c>
      <c r="I98" s="1961">
        <f>VLOOKUP(H89,'LƯƠNG KT'!$D$16:$V$108,17,0)</f>
        <v>0</v>
      </c>
      <c r="J98" s="1964">
        <v>20000</v>
      </c>
      <c r="K98" s="1962">
        <f>I98*J98</f>
        <v>0</v>
      </c>
    </row>
    <row r="99" spans="1:11" ht="12.75" customHeight="1">
      <c r="A99" s="1959" t="s">
        <v>3289</v>
      </c>
      <c r="B99" s="1965" t="s">
        <v>3290</v>
      </c>
      <c r="C99" s="1966"/>
      <c r="D99" s="1964"/>
      <c r="E99" s="1962"/>
      <c r="G99" s="1959" t="s">
        <v>3289</v>
      </c>
      <c r="H99" s="1965" t="s">
        <v>3290</v>
      </c>
      <c r="I99" s="1966"/>
      <c r="J99" s="1964"/>
      <c r="K99" s="1962"/>
    </row>
    <row r="100" spans="1:11" ht="12.75" customHeight="1">
      <c r="A100" s="1968" t="s">
        <v>377</v>
      </c>
      <c r="B100" s="1969" t="s">
        <v>3291</v>
      </c>
      <c r="C100" s="1970"/>
      <c r="D100" s="1971"/>
      <c r="E100" s="1970"/>
      <c r="G100" s="1968" t="s">
        <v>377</v>
      </c>
      <c r="H100" s="1969" t="s">
        <v>3291</v>
      </c>
      <c r="I100" s="1970"/>
      <c r="J100" s="1971"/>
      <c r="K100" s="1970"/>
    </row>
    <row r="101" spans="1:11" ht="12.75" customHeight="1">
      <c r="A101" s="1972" t="s">
        <v>379</v>
      </c>
      <c r="B101" s="1973" t="s">
        <v>3292</v>
      </c>
      <c r="C101" s="1970"/>
      <c r="D101" s="1970"/>
      <c r="E101" s="1970"/>
      <c r="G101" s="1972" t="s">
        <v>379</v>
      </c>
      <c r="H101" s="1973" t="s">
        <v>3292</v>
      </c>
      <c r="I101" s="1970"/>
      <c r="J101" s="1970"/>
      <c r="K101" s="1970"/>
    </row>
    <row r="102" spans="1:11" ht="12.75" customHeight="1">
      <c r="A102" s="1972" t="s">
        <v>381</v>
      </c>
      <c r="B102" s="1974" t="s">
        <v>3293</v>
      </c>
      <c r="C102" s="1970"/>
      <c r="D102" s="1970"/>
      <c r="E102" s="1962">
        <f>SUM(E101)</f>
        <v>0</v>
      </c>
      <c r="G102" s="1972" t="s">
        <v>381</v>
      </c>
      <c r="H102" s="1974" t="s">
        <v>3293</v>
      </c>
      <c r="I102" s="1970"/>
      <c r="J102" s="1970"/>
      <c r="K102" s="1962">
        <f>SUM(K101)</f>
        <v>0</v>
      </c>
    </row>
    <row r="103" spans="1:11" ht="12.75" customHeight="1">
      <c r="A103" s="1975" t="s">
        <v>383</v>
      </c>
      <c r="B103" s="1976" t="s">
        <v>3294</v>
      </c>
      <c r="C103" s="1977"/>
      <c r="D103" s="1977"/>
      <c r="E103" s="1978" t="e">
        <f>(E91+E92+E93+E94+E95+E96+E97+E98+E99)-E102</f>
        <v>#VALUE!</v>
      </c>
      <c r="G103" s="1975" t="s">
        <v>383</v>
      </c>
      <c r="H103" s="1976" t="s">
        <v>3294</v>
      </c>
      <c r="I103" s="1977"/>
      <c r="J103" s="1977"/>
      <c r="K103" s="1978" t="e">
        <f>(K91+K92+K93+K94+K95+K96+K97+K98+K99)-K102</f>
        <v>#VALUE!</v>
      </c>
    </row>
    <row r="105" spans="1:11" ht="12.75" customHeight="1">
      <c r="A105" s="2953" t="s">
        <v>3356</v>
      </c>
      <c r="B105" s="2954"/>
      <c r="C105" s="2954"/>
      <c r="D105" s="2954"/>
      <c r="E105" s="1955">
        <f>VLOOKUP(B106,'LƯƠNG KT'!$D$16:$AD$108,25,0)</f>
        <v>0</v>
      </c>
      <c r="G105" s="2953" t="s">
        <v>3356</v>
      </c>
      <c r="H105" s="2954"/>
      <c r="I105" s="2954"/>
      <c r="J105" s="2954"/>
      <c r="K105" s="1955">
        <f>VLOOKUP(H106,'LƯƠNG KT'!$D$16:$AD$108,25,0)</f>
        <v>0</v>
      </c>
    </row>
    <row r="106" spans="1:11" ht="12.75" customHeight="1">
      <c r="A106" s="1956" t="s">
        <v>356</v>
      </c>
      <c r="B106" s="1956" t="str">
        <f>'LƯƠNG KT'!$D$28</f>
        <v>T Núc</v>
      </c>
      <c r="C106" s="1957"/>
      <c r="D106" s="1958" t="s">
        <v>2357</v>
      </c>
      <c r="E106" s="1958" t="s">
        <v>2156</v>
      </c>
      <c r="G106" s="1956" t="s">
        <v>356</v>
      </c>
      <c r="H106" s="1956" t="str">
        <f>'LƯƠNG KT'!$D$29</f>
        <v>T. Cô</v>
      </c>
      <c r="I106" s="1957"/>
      <c r="J106" s="1958" t="s">
        <v>2357</v>
      </c>
      <c r="K106" s="1958" t="s">
        <v>2156</v>
      </c>
    </row>
    <row r="107" spans="1:11" ht="12.75" customHeight="1">
      <c r="A107" s="1959" t="s">
        <v>3005</v>
      </c>
      <c r="B107" s="1960" t="s">
        <v>3278</v>
      </c>
      <c r="C107" s="1961">
        <f>VLOOKUP(B106,'LƯƠNG KT'!$D$16:$M$108,8,0)</f>
        <v>166.59767404434655</v>
      </c>
      <c r="D107" s="1962"/>
      <c r="E107" s="1962"/>
      <c r="G107" s="1959" t="s">
        <v>3005</v>
      </c>
      <c r="H107" s="1960" t="s">
        <v>3278</v>
      </c>
      <c r="I107" s="1961">
        <f>VLOOKUP(H106,'LƯƠNG KT'!$D$16:$M$108,8,0)</f>
        <v>241.0734105661449</v>
      </c>
      <c r="J107" s="1962"/>
      <c r="K107" s="1962"/>
    </row>
    <row r="108" spans="1:11" ht="12.75" customHeight="1">
      <c r="A108" s="1959" t="s">
        <v>359</v>
      </c>
      <c r="B108" s="1963" t="s">
        <v>2090</v>
      </c>
      <c r="C108" s="1961">
        <f>VLOOKUP(B106,'LƯƠNG KT'!$D$16:$V$108,3,0)</f>
        <v>0</v>
      </c>
      <c r="D108" s="1964">
        <v>25000</v>
      </c>
      <c r="E108" s="1962">
        <f>C108*D108</f>
        <v>0</v>
      </c>
      <c r="G108" s="1959" t="s">
        <v>359</v>
      </c>
      <c r="H108" s="1963" t="s">
        <v>2090</v>
      </c>
      <c r="I108" s="1961">
        <f>VLOOKUP(H106,'LƯƠNG KT'!$D$16:$V$108,3,0)</f>
        <v>0</v>
      </c>
      <c r="J108" s="1964">
        <v>25000</v>
      </c>
      <c r="K108" s="1962">
        <f>I108*J108</f>
        <v>0</v>
      </c>
    </row>
    <row r="109" spans="1:11" ht="12.75" customHeight="1">
      <c r="A109" s="1959" t="s">
        <v>3279</v>
      </c>
      <c r="B109" s="1965" t="s">
        <v>3280</v>
      </c>
      <c r="C109" s="1961" t="str">
        <f>VLOOKUP(B106,'LƯƠNG KT'!$D$16:$V$108,10,0)</f>
        <v>B</v>
      </c>
      <c r="D109" s="1967">
        <f>46.1*$C$1</f>
        <v>30792.956000000002</v>
      </c>
      <c r="E109" s="1962" t="e">
        <f t="shared" ref="E109:E113" si="12">C109*D109</f>
        <v>#VALUE!</v>
      </c>
      <c r="G109" s="1959" t="s">
        <v>3279</v>
      </c>
      <c r="H109" s="1965" t="s">
        <v>3280</v>
      </c>
      <c r="I109" s="1961" t="str">
        <f>VLOOKUP(H106,'LƯƠNG KT'!$D$16:$V$108,10,0)</f>
        <v>A</v>
      </c>
      <c r="J109" s="1967">
        <f>46.1*$C$1</f>
        <v>30792.956000000002</v>
      </c>
      <c r="K109" s="1962" t="e">
        <f t="shared" ref="K109:K113" si="13">I109*J109</f>
        <v>#VALUE!</v>
      </c>
    </row>
    <row r="110" spans="1:11" ht="12.75" customHeight="1">
      <c r="A110" s="1959" t="s">
        <v>3281</v>
      </c>
      <c r="B110" s="1965" t="s">
        <v>3282</v>
      </c>
      <c r="C110" s="1961">
        <f>VLOOKUP(B106,'LƯƠNG KT'!$D$16:$V$108,11,0)</f>
        <v>5076213</v>
      </c>
      <c r="D110" s="1964">
        <f>76.9*$C$1</f>
        <v>51366.124000000003</v>
      </c>
      <c r="E110" s="1962">
        <f t="shared" si="12"/>
        <v>260745386408.41202</v>
      </c>
      <c r="G110" s="1959" t="s">
        <v>3281</v>
      </c>
      <c r="H110" s="1965" t="s">
        <v>3282</v>
      </c>
      <c r="I110" s="1961">
        <f>VLOOKUP(H106,'LƯƠNG KT'!$D$16:$V$108,11,0)</f>
        <v>7725419</v>
      </c>
      <c r="J110" s="1964">
        <f>76.9*$C$1</f>
        <v>51366.124000000003</v>
      </c>
      <c r="K110" s="1962">
        <f t="shared" si="13"/>
        <v>396824830305.95605</v>
      </c>
    </row>
    <row r="111" spans="1:11" ht="12.75" customHeight="1">
      <c r="A111" s="1959" t="s">
        <v>374</v>
      </c>
      <c r="B111" s="1965" t="s">
        <v>3283</v>
      </c>
      <c r="C111" s="1961">
        <f>VLOOKUP(B106,'LƯƠNG KT'!$D$16:$V$108,7,0)</f>
        <v>1292.0842103102264</v>
      </c>
      <c r="D111" s="1964">
        <f>IF(C107="A",6.1,IF(C107="B",5.8,IF(C107="C",5.5,IF(C107="C.",5.5,IF(C107="D",5.2)))))*$C$1</f>
        <v>0</v>
      </c>
      <c r="E111" s="1962">
        <f t="shared" si="12"/>
        <v>0</v>
      </c>
      <c r="G111" s="1959" t="s">
        <v>374</v>
      </c>
      <c r="H111" s="1965" t="s">
        <v>3283</v>
      </c>
      <c r="I111" s="1961">
        <f>VLOOKUP(H106,'LƯƠNG KT'!$D$16:$V$108,7,0)</f>
        <v>1869.6968556429888</v>
      </c>
      <c r="J111" s="1964">
        <f>IF(I107="A",6.1,IF(I107="B",5.8,IF(I107="C",5.5,IF(I107="C.",5.5,IF(I107="D",5.2)))))*$C$1</f>
        <v>0</v>
      </c>
      <c r="K111" s="1962">
        <f t="shared" si="13"/>
        <v>0</v>
      </c>
    </row>
    <row r="112" spans="1:11" ht="12.75" customHeight="1">
      <c r="A112" s="1959" t="s">
        <v>3296</v>
      </c>
      <c r="B112" s="1965" t="s">
        <v>3285</v>
      </c>
      <c r="C112" s="1961">
        <f>VLOOKUP(B106,'LƯƠNG KT'!$D$16:$V$108,12,0)</f>
        <v>27</v>
      </c>
      <c r="D112" s="1967">
        <f>92.2*$C$1</f>
        <v>61585.912000000004</v>
      </c>
      <c r="E112" s="1962">
        <f t="shared" si="12"/>
        <v>1662819.6240000001</v>
      </c>
      <c r="G112" s="1959" t="s">
        <v>3296</v>
      </c>
      <c r="H112" s="1965" t="s">
        <v>3285</v>
      </c>
      <c r="I112" s="1961">
        <f>VLOOKUP(H106,'LƯƠNG KT'!$D$16:$V$108,12,0)</f>
        <v>27</v>
      </c>
      <c r="J112" s="1967">
        <f>92.2*$C$1</f>
        <v>61585.912000000004</v>
      </c>
      <c r="K112" s="1962">
        <f t="shared" si="13"/>
        <v>1662819.6240000001</v>
      </c>
    </row>
    <row r="113" spans="1:11" ht="12.75" customHeight="1">
      <c r="A113" s="1959" t="s">
        <v>3297</v>
      </c>
      <c r="B113" s="1965" t="s">
        <v>3287</v>
      </c>
      <c r="C113" s="1961">
        <f>VLOOKUP(B106,'LƯƠNG KT'!$D$16:$V$108,13,0)</f>
        <v>4</v>
      </c>
      <c r="D113" s="1964">
        <f>153.8*$C$1</f>
        <v>102732.24800000001</v>
      </c>
      <c r="E113" s="1962">
        <f t="shared" si="12"/>
        <v>410928.99200000003</v>
      </c>
      <c r="G113" s="1959" t="s">
        <v>3297</v>
      </c>
      <c r="H113" s="1965" t="s">
        <v>3287</v>
      </c>
      <c r="I113" s="1961">
        <f>VLOOKUP(H106,'LƯƠNG KT'!$D$16:$V$108,13,0)</f>
        <v>4</v>
      </c>
      <c r="J113" s="1964">
        <f>153.8*$C$1</f>
        <v>102732.24800000001</v>
      </c>
      <c r="K113" s="1962">
        <f t="shared" si="13"/>
        <v>410928.99200000003</v>
      </c>
    </row>
    <row r="114" spans="1:11" ht="12.75" customHeight="1">
      <c r="A114" s="1959" t="s">
        <v>3354</v>
      </c>
      <c r="B114" s="1965" t="s">
        <v>3288</v>
      </c>
      <c r="C114" s="1961">
        <f>VLOOKUP(B106,'LƯƠNG KT'!$D$16:$V$108,14,0)</f>
        <v>0</v>
      </c>
      <c r="D114" s="1964">
        <v>100000</v>
      </c>
      <c r="E114" s="1962">
        <f>C114*D114</f>
        <v>0</v>
      </c>
      <c r="G114" s="1959" t="s">
        <v>3354</v>
      </c>
      <c r="H114" s="1965" t="s">
        <v>3288</v>
      </c>
      <c r="I114" s="1961">
        <f>VLOOKUP(H106,'LƯƠNG KT'!$D$16:$V$108,14,0)</f>
        <v>0</v>
      </c>
      <c r="J114" s="1964">
        <v>100000</v>
      </c>
      <c r="K114" s="1962">
        <f>I114*J114</f>
        <v>0</v>
      </c>
    </row>
    <row r="115" spans="1:11" ht="12.75" customHeight="1">
      <c r="A115" s="1959" t="s">
        <v>3355</v>
      </c>
      <c r="B115" s="1965" t="s">
        <v>3288</v>
      </c>
      <c r="C115" s="1961">
        <f>VLOOKUP(B106,'LƯƠNG KT'!$D$16:$V$108,17,0)</f>
        <v>0</v>
      </c>
      <c r="D115" s="1964">
        <v>20000</v>
      </c>
      <c r="E115" s="1962">
        <f>C115*D115</f>
        <v>0</v>
      </c>
      <c r="G115" s="1959" t="s">
        <v>3355</v>
      </c>
      <c r="H115" s="1965" t="s">
        <v>3288</v>
      </c>
      <c r="I115" s="1961">
        <f>VLOOKUP(H106,'LƯƠNG KT'!$D$16:$V$108,17,0)</f>
        <v>0</v>
      </c>
      <c r="J115" s="1964">
        <v>20000</v>
      </c>
      <c r="K115" s="1962">
        <f>I115*J115</f>
        <v>0</v>
      </c>
    </row>
    <row r="116" spans="1:11" ht="12.75" customHeight="1">
      <c r="A116" s="1959" t="s">
        <v>3289</v>
      </c>
      <c r="B116" s="1965" t="s">
        <v>3290</v>
      </c>
      <c r="C116" s="1966"/>
      <c r="D116" s="1964"/>
      <c r="E116" s="1962"/>
      <c r="G116" s="1959" t="s">
        <v>3289</v>
      </c>
      <c r="H116" s="1965" t="s">
        <v>3290</v>
      </c>
      <c r="I116" s="1966"/>
      <c r="J116" s="1964"/>
      <c r="K116" s="1962"/>
    </row>
    <row r="117" spans="1:11" ht="12.75" customHeight="1">
      <c r="A117" s="1968" t="s">
        <v>377</v>
      </c>
      <c r="B117" s="1969" t="s">
        <v>3291</v>
      </c>
      <c r="C117" s="1970"/>
      <c r="D117" s="1971"/>
      <c r="E117" s="1970"/>
      <c r="G117" s="1968" t="s">
        <v>377</v>
      </c>
      <c r="H117" s="1969" t="s">
        <v>3291</v>
      </c>
      <c r="I117" s="1970"/>
      <c r="J117" s="1971"/>
      <c r="K117" s="1970"/>
    </row>
    <row r="118" spans="1:11" ht="12.75" customHeight="1">
      <c r="A118" s="1972" t="s">
        <v>379</v>
      </c>
      <c r="B118" s="1973" t="s">
        <v>3292</v>
      </c>
      <c r="C118" s="1970"/>
      <c r="D118" s="1970"/>
      <c r="E118" s="1970"/>
      <c r="G118" s="1972" t="s">
        <v>379</v>
      </c>
      <c r="H118" s="1973" t="s">
        <v>3292</v>
      </c>
      <c r="I118" s="1970"/>
      <c r="J118" s="1970"/>
      <c r="K118" s="1970"/>
    </row>
    <row r="119" spans="1:11" ht="12.75" customHeight="1">
      <c r="A119" s="1972" t="s">
        <v>381</v>
      </c>
      <c r="B119" s="1974" t="s">
        <v>3293</v>
      </c>
      <c r="C119" s="1970"/>
      <c r="D119" s="1970"/>
      <c r="E119" s="1962">
        <f>SUM(E118)</f>
        <v>0</v>
      </c>
      <c r="G119" s="1972" t="s">
        <v>381</v>
      </c>
      <c r="H119" s="1974" t="s">
        <v>3293</v>
      </c>
      <c r="I119" s="1970"/>
      <c r="J119" s="1970"/>
      <c r="K119" s="1962">
        <f>SUM(K118)</f>
        <v>0</v>
      </c>
    </row>
    <row r="120" spans="1:11" ht="12.75" customHeight="1">
      <c r="A120" s="1975" t="s">
        <v>383</v>
      </c>
      <c r="B120" s="1976" t="s">
        <v>3294</v>
      </c>
      <c r="C120" s="1977"/>
      <c r="D120" s="1977"/>
      <c r="E120" s="1978" t="e">
        <f>(E108+E109+E110+E111+E112+E113+E114+E115+E116)-E119</f>
        <v>#VALUE!</v>
      </c>
      <c r="G120" s="1975" t="s">
        <v>383</v>
      </c>
      <c r="H120" s="1976" t="s">
        <v>3294</v>
      </c>
      <c r="I120" s="1977"/>
      <c r="J120" s="1977"/>
      <c r="K120" s="1978" t="e">
        <f>(K108+K109+K110+K111+K112+K113+K114+K115+K116)-K119</f>
        <v>#VALUE!</v>
      </c>
    </row>
    <row r="122" spans="1:11" ht="12.75" customHeight="1">
      <c r="A122" s="2953" t="s">
        <v>3356</v>
      </c>
      <c r="B122" s="2954"/>
      <c r="C122" s="2954"/>
      <c r="D122" s="2954"/>
      <c r="E122" s="1955">
        <f>VLOOKUP(B123,'LƯƠNG KT'!$D$16:$AD$108,25,0)</f>
        <v>0</v>
      </c>
      <c r="G122" s="2953" t="s">
        <v>3356</v>
      </c>
      <c r="H122" s="2954"/>
      <c r="I122" s="2954"/>
      <c r="J122" s="2954"/>
      <c r="K122" s="1955">
        <f>VLOOKUP(H123,'LƯƠNG KT'!$D$16:$AD$108,25,0)</f>
        <v>0</v>
      </c>
    </row>
    <row r="123" spans="1:11" ht="12.75" customHeight="1">
      <c r="A123" s="1956" t="s">
        <v>356</v>
      </c>
      <c r="B123" s="1956" t="str">
        <f>'LƯƠNG KT'!$D$30</f>
        <v>T. Nả</v>
      </c>
      <c r="C123" s="1957"/>
      <c r="D123" s="1958" t="s">
        <v>2357</v>
      </c>
      <c r="E123" s="1958" t="s">
        <v>2156</v>
      </c>
      <c r="G123" s="1956" t="s">
        <v>356</v>
      </c>
      <c r="H123" s="1956" t="str">
        <f>'LƯƠNG KT'!$D$31</f>
        <v>N. Túc</v>
      </c>
      <c r="I123" s="1957"/>
      <c r="J123" s="1958" t="s">
        <v>2357</v>
      </c>
      <c r="K123" s="1958" t="s">
        <v>2156</v>
      </c>
    </row>
    <row r="124" spans="1:11" ht="12.75" customHeight="1">
      <c r="A124" s="1959" t="s">
        <v>3005</v>
      </c>
      <c r="B124" s="1960" t="s">
        <v>3278</v>
      </c>
      <c r="C124" s="1961">
        <f>VLOOKUP(B123,'LƯƠNG KT'!$D$16:$M$108,8,0)</f>
        <v>234.27797912486233</v>
      </c>
      <c r="D124" s="1962"/>
      <c r="E124" s="1962"/>
      <c r="G124" s="1959" t="s">
        <v>3005</v>
      </c>
      <c r="H124" s="1960" t="s">
        <v>3278</v>
      </c>
      <c r="I124" s="1961">
        <f>VLOOKUP(H123,'LƯƠNG KT'!$D$16:$M$108,8,0)</f>
        <v>248.30725693912311</v>
      </c>
      <c r="J124" s="1962"/>
      <c r="K124" s="1962"/>
    </row>
    <row r="125" spans="1:11" ht="12.75" customHeight="1">
      <c r="A125" s="1959" t="s">
        <v>359</v>
      </c>
      <c r="B125" s="1963" t="s">
        <v>2090</v>
      </c>
      <c r="C125" s="1961">
        <f>VLOOKUP(B123,'LƯƠNG KT'!$D$16:$V$108,3,0)</f>
        <v>0</v>
      </c>
      <c r="D125" s="1964">
        <v>25000</v>
      </c>
      <c r="E125" s="1962">
        <f>C125*D125</f>
        <v>0</v>
      </c>
      <c r="G125" s="1959" t="s">
        <v>359</v>
      </c>
      <c r="H125" s="1963" t="s">
        <v>2090</v>
      </c>
      <c r="I125" s="1961">
        <f>VLOOKUP(H123,'LƯƠNG KT'!$D$16:$V$108,3,0)</f>
        <v>0</v>
      </c>
      <c r="J125" s="1964">
        <v>25000</v>
      </c>
      <c r="K125" s="1962">
        <f>I125*J125</f>
        <v>0</v>
      </c>
    </row>
    <row r="126" spans="1:11" ht="12.75" customHeight="1">
      <c r="A126" s="1959" t="s">
        <v>3279</v>
      </c>
      <c r="B126" s="1965" t="s">
        <v>3280</v>
      </c>
      <c r="C126" s="1961" t="str">
        <f>VLOOKUP(B123,'LƯƠNG KT'!$D$16:$V$108,10,0)</f>
        <v>B</v>
      </c>
      <c r="D126" s="1967">
        <f>46.1*$C$1</f>
        <v>30792.956000000002</v>
      </c>
      <c r="E126" s="1962" t="e">
        <f t="shared" ref="E126:E130" si="14">C126*D126</f>
        <v>#VALUE!</v>
      </c>
      <c r="G126" s="1959" t="s">
        <v>3279</v>
      </c>
      <c r="H126" s="1965" t="s">
        <v>3280</v>
      </c>
      <c r="I126" s="1961" t="str">
        <f>VLOOKUP(H123,'LƯƠNG KT'!$D$16:$V$108,10,0)</f>
        <v>A</v>
      </c>
      <c r="J126" s="1967">
        <f>46.1*$C$1</f>
        <v>30792.956000000002</v>
      </c>
      <c r="K126" s="1962" t="e">
        <f t="shared" ref="K126:K130" si="15">I126*J126</f>
        <v>#VALUE!</v>
      </c>
    </row>
    <row r="127" spans="1:11" ht="12.75" customHeight="1">
      <c r="A127" s="1959" t="s">
        <v>3281</v>
      </c>
      <c r="B127" s="1965" t="s">
        <v>3282</v>
      </c>
      <c r="C127" s="1961">
        <f>VLOOKUP(B123,'LƯƠNG KT'!$D$16:$V$108,11,0)</f>
        <v>7138424</v>
      </c>
      <c r="D127" s="1964">
        <f>76.9*$C$1</f>
        <v>51366.124000000003</v>
      </c>
      <c r="E127" s="1962">
        <f t="shared" si="14"/>
        <v>366673172348.57605</v>
      </c>
      <c r="G127" s="1959" t="s">
        <v>3281</v>
      </c>
      <c r="H127" s="1965" t="s">
        <v>3282</v>
      </c>
      <c r="I127" s="1961">
        <f>VLOOKUP(H123,'LƯƠNG KT'!$D$16:$V$108,11,0)</f>
        <v>7957234</v>
      </c>
      <c r="J127" s="1964">
        <f>76.9*$C$1</f>
        <v>51366.124000000003</v>
      </c>
      <c r="K127" s="1962">
        <f t="shared" si="15"/>
        <v>408732268341.01605</v>
      </c>
    </row>
    <row r="128" spans="1:11" ht="12.75" customHeight="1">
      <c r="A128" s="1959" t="s">
        <v>374</v>
      </c>
      <c r="B128" s="1965" t="s">
        <v>3283</v>
      </c>
      <c r="C128" s="1961">
        <f>VLOOKUP(B123,'LƯƠNG KT'!$D$16:$V$108,7,0)</f>
        <v>1816.9934207487559</v>
      </c>
      <c r="D128" s="1964">
        <f>IF(C124="A",6.1,IF(C124="B",5.8,IF(C124="C",5.5,IF(C124="C.",5.5,IF(C124="D",5.2)))))*$C$1</f>
        <v>0</v>
      </c>
      <c r="E128" s="1962">
        <f t="shared" si="14"/>
        <v>0</v>
      </c>
      <c r="G128" s="1959" t="s">
        <v>374</v>
      </c>
      <c r="H128" s="1965" t="s">
        <v>3283</v>
      </c>
      <c r="I128" s="1961">
        <f>VLOOKUP(H123,'LƯƠNG KT'!$D$16:$V$108,7,0)</f>
        <v>1925.8005121433011</v>
      </c>
      <c r="J128" s="1964">
        <f>IF(I124="A",6.1,IF(I124="B",5.8,IF(I124="C",5.5,IF(I124="C.",5.5,IF(I124="D",5.2)))))*$C$1</f>
        <v>0</v>
      </c>
      <c r="K128" s="1962">
        <f t="shared" si="15"/>
        <v>0</v>
      </c>
    </row>
    <row r="129" spans="1:11" ht="12.75" customHeight="1">
      <c r="A129" s="1959" t="s">
        <v>3296</v>
      </c>
      <c r="B129" s="1965" t="s">
        <v>3285</v>
      </c>
      <c r="C129" s="1961">
        <f>VLOOKUP(B123,'LƯƠNG KT'!$D$16:$V$108,12,0)</f>
        <v>27</v>
      </c>
      <c r="D129" s="1967">
        <f>92.2*$C$1</f>
        <v>61585.912000000004</v>
      </c>
      <c r="E129" s="1962">
        <f t="shared" si="14"/>
        <v>1662819.6240000001</v>
      </c>
      <c r="G129" s="1959" t="s">
        <v>3296</v>
      </c>
      <c r="H129" s="1965" t="s">
        <v>3285</v>
      </c>
      <c r="I129" s="1961">
        <f>VLOOKUP(H123,'LƯƠNG KT'!$D$16:$V$108,12,0)</f>
        <v>27</v>
      </c>
      <c r="J129" s="1967">
        <f>92.2*$C$1</f>
        <v>61585.912000000004</v>
      </c>
      <c r="K129" s="1962">
        <f t="shared" si="15"/>
        <v>1662819.6240000001</v>
      </c>
    </row>
    <row r="130" spans="1:11" ht="12.75" customHeight="1">
      <c r="A130" s="1959" t="s">
        <v>3297</v>
      </c>
      <c r="B130" s="1965" t="s">
        <v>3287</v>
      </c>
      <c r="C130" s="1961">
        <f>VLOOKUP(B123,'LƯƠNG KT'!$D$16:$V$108,13,0)</f>
        <v>4</v>
      </c>
      <c r="D130" s="1964">
        <f>153.8*$C$1</f>
        <v>102732.24800000001</v>
      </c>
      <c r="E130" s="1962">
        <f t="shared" si="14"/>
        <v>410928.99200000003</v>
      </c>
      <c r="G130" s="1959" t="s">
        <v>3297</v>
      </c>
      <c r="H130" s="1965" t="s">
        <v>3287</v>
      </c>
      <c r="I130" s="1961">
        <f>VLOOKUP(H123,'LƯƠNG KT'!$D$16:$V$108,13,0)</f>
        <v>4</v>
      </c>
      <c r="J130" s="1964">
        <f>153.8*$C$1</f>
        <v>102732.24800000001</v>
      </c>
      <c r="K130" s="1962">
        <f t="shared" si="15"/>
        <v>410928.99200000003</v>
      </c>
    </row>
    <row r="131" spans="1:11" ht="12.75" customHeight="1">
      <c r="A131" s="1959" t="s">
        <v>3354</v>
      </c>
      <c r="B131" s="1965" t="s">
        <v>3288</v>
      </c>
      <c r="C131" s="1961">
        <f>VLOOKUP(B123,'LƯƠNG KT'!$D$16:$V$108,14,0)</f>
        <v>0</v>
      </c>
      <c r="D131" s="1964">
        <v>100000</v>
      </c>
      <c r="E131" s="1962">
        <f>C131*D131</f>
        <v>0</v>
      </c>
      <c r="G131" s="1959" t="s">
        <v>3354</v>
      </c>
      <c r="H131" s="1965" t="s">
        <v>3288</v>
      </c>
      <c r="I131" s="1961">
        <f>VLOOKUP(H123,'LƯƠNG KT'!$D$16:$V$108,14,0)</f>
        <v>0</v>
      </c>
      <c r="J131" s="1964">
        <v>100000</v>
      </c>
      <c r="K131" s="1962">
        <f>I131*J131</f>
        <v>0</v>
      </c>
    </row>
    <row r="132" spans="1:11" ht="12.75" customHeight="1">
      <c r="A132" s="1959" t="s">
        <v>3355</v>
      </c>
      <c r="B132" s="1965" t="s">
        <v>3288</v>
      </c>
      <c r="C132" s="1961">
        <f>VLOOKUP(B123,'LƯƠNG KT'!$D$16:$V$108,17,0)</f>
        <v>0</v>
      </c>
      <c r="D132" s="1964">
        <v>20000</v>
      </c>
      <c r="E132" s="1962">
        <f>C132*D132</f>
        <v>0</v>
      </c>
      <c r="G132" s="1959" t="s">
        <v>3355</v>
      </c>
      <c r="H132" s="1965" t="s">
        <v>3288</v>
      </c>
      <c r="I132" s="1961">
        <f>VLOOKUP(H123,'LƯƠNG KT'!$D$16:$V$108,17,0)</f>
        <v>0</v>
      </c>
      <c r="J132" s="1964">
        <v>20000</v>
      </c>
      <c r="K132" s="1962">
        <f>I132*J132</f>
        <v>0</v>
      </c>
    </row>
    <row r="133" spans="1:11" ht="12.75" customHeight="1">
      <c r="A133" s="1959" t="s">
        <v>3289</v>
      </c>
      <c r="B133" s="1965" t="s">
        <v>3290</v>
      </c>
      <c r="C133" s="1966"/>
      <c r="D133" s="1964"/>
      <c r="E133" s="1962"/>
      <c r="G133" s="1959" t="s">
        <v>3289</v>
      </c>
      <c r="H133" s="1965" t="s">
        <v>3290</v>
      </c>
      <c r="I133" s="1966"/>
      <c r="J133" s="1964"/>
      <c r="K133" s="1962"/>
    </row>
    <row r="134" spans="1:11" ht="12.75" customHeight="1">
      <c r="A134" s="1968" t="s">
        <v>377</v>
      </c>
      <c r="B134" s="1969" t="s">
        <v>3291</v>
      </c>
      <c r="C134" s="1970"/>
      <c r="D134" s="1971"/>
      <c r="E134" s="1970"/>
      <c r="G134" s="1968" t="s">
        <v>377</v>
      </c>
      <c r="H134" s="1969" t="s">
        <v>3291</v>
      </c>
      <c r="I134" s="1970"/>
      <c r="J134" s="1971"/>
      <c r="K134" s="1970"/>
    </row>
    <row r="135" spans="1:11" ht="12.75" customHeight="1">
      <c r="A135" s="1972" t="s">
        <v>379</v>
      </c>
      <c r="B135" s="1973" t="s">
        <v>3292</v>
      </c>
      <c r="C135" s="1970"/>
      <c r="D135" s="1970"/>
      <c r="E135" s="1970"/>
      <c r="G135" s="1972" t="s">
        <v>379</v>
      </c>
      <c r="H135" s="1973" t="s">
        <v>3292</v>
      </c>
      <c r="I135" s="1970"/>
      <c r="J135" s="1970"/>
      <c r="K135" s="1970"/>
    </row>
    <row r="136" spans="1:11" ht="12.75" customHeight="1">
      <c r="A136" s="1972" t="s">
        <v>381</v>
      </c>
      <c r="B136" s="1974" t="s">
        <v>3293</v>
      </c>
      <c r="C136" s="1970"/>
      <c r="D136" s="1970"/>
      <c r="E136" s="1962">
        <f>SUM(E135)</f>
        <v>0</v>
      </c>
      <c r="G136" s="1972" t="s">
        <v>381</v>
      </c>
      <c r="H136" s="1974" t="s">
        <v>3293</v>
      </c>
      <c r="I136" s="1970"/>
      <c r="J136" s="1970"/>
      <c r="K136" s="1962">
        <f>SUM(K135)</f>
        <v>0</v>
      </c>
    </row>
    <row r="137" spans="1:11" ht="12.75" customHeight="1">
      <c r="A137" s="1975" t="s">
        <v>383</v>
      </c>
      <c r="B137" s="1976" t="s">
        <v>3294</v>
      </c>
      <c r="C137" s="1977"/>
      <c r="D137" s="1977"/>
      <c r="E137" s="1978" t="e">
        <f>(E125+E126+E127+E128+E129+E130+E131+E132+E133)-E136</f>
        <v>#VALUE!</v>
      </c>
      <c r="G137" s="1975" t="s">
        <v>383</v>
      </c>
      <c r="H137" s="1976" t="s">
        <v>3294</v>
      </c>
      <c r="I137" s="1977"/>
      <c r="J137" s="1977"/>
      <c r="K137" s="1978" t="e">
        <f>(K125+K126+K127+K128+K129+K130+K131+K132+K133)-K136</f>
        <v>#VALUE!</v>
      </c>
    </row>
    <row r="139" spans="1:11" ht="12.75" customHeight="1">
      <c r="A139" s="2953" t="s">
        <v>3356</v>
      </c>
      <c r="B139" s="2954"/>
      <c r="C139" s="2954"/>
      <c r="D139" s="2954"/>
      <c r="E139" s="1955">
        <f>VLOOKUP(B140,'LƯƠNG KT'!$D$16:$AD$108,25,0)</f>
        <v>0</v>
      </c>
      <c r="G139" s="2953" t="s">
        <v>3356</v>
      </c>
      <c r="H139" s="2954"/>
      <c r="I139" s="2954"/>
      <c r="J139" s="2954"/>
      <c r="K139" s="1955">
        <f>VLOOKUP(H140,'LƯƠNG KT'!$D$16:$AD$108,25,0)</f>
        <v>0</v>
      </c>
    </row>
    <row r="140" spans="1:11" ht="12.75" customHeight="1">
      <c r="A140" s="1956" t="s">
        <v>356</v>
      </c>
      <c r="B140" s="1956" t="str">
        <f>'LƯƠNG KT'!$D$32</f>
        <v>Thảo Phút</v>
      </c>
      <c r="C140" s="1957"/>
      <c r="D140" s="1958" t="s">
        <v>2357</v>
      </c>
      <c r="E140" s="1958" t="s">
        <v>2156</v>
      </c>
      <c r="G140" s="1956" t="s">
        <v>356</v>
      </c>
      <c r="H140" s="1956" t="str">
        <f>'LƯƠNG KT'!$D$33</f>
        <v>T. Lu</v>
      </c>
      <c r="I140" s="1957"/>
      <c r="J140" s="1958" t="s">
        <v>2357</v>
      </c>
      <c r="K140" s="1958" t="s">
        <v>2156</v>
      </c>
    </row>
    <row r="141" spans="1:11" ht="12.75" customHeight="1">
      <c r="A141" s="1959" t="s">
        <v>3005</v>
      </c>
      <c r="B141" s="1960" t="s">
        <v>3278</v>
      </c>
      <c r="C141" s="1961">
        <f>VLOOKUP(B140,'LƯƠNG KT'!$D$16:$M$108,8,0)</f>
        <v>244.85473935201986</v>
      </c>
      <c r="D141" s="1962"/>
      <c r="E141" s="1962"/>
      <c r="G141" s="1959" t="s">
        <v>3005</v>
      </c>
      <c r="H141" s="1960" t="s">
        <v>3278</v>
      </c>
      <c r="I141" s="1961">
        <f>VLOOKUP(H140,'LƯƠNG KT'!$D$16:$M$108,8,0)</f>
        <v>185.66872357310729</v>
      </c>
      <c r="J141" s="1962"/>
      <c r="K141" s="1962"/>
    </row>
    <row r="142" spans="1:11" ht="12.75" customHeight="1">
      <c r="A142" s="1959" t="s">
        <v>359</v>
      </c>
      <c r="B142" s="1963" t="s">
        <v>2090</v>
      </c>
      <c r="C142" s="1961">
        <f>VLOOKUP(B140,'LƯƠNG KT'!$D$16:$V$108,3,0)</f>
        <v>0</v>
      </c>
      <c r="D142" s="1964">
        <v>25000</v>
      </c>
      <c r="E142" s="1962">
        <f>C142*D142</f>
        <v>0</v>
      </c>
      <c r="G142" s="1959" t="s">
        <v>359</v>
      </c>
      <c r="H142" s="1963" t="s">
        <v>2090</v>
      </c>
      <c r="I142" s="1961">
        <f>VLOOKUP(H140,'LƯƠNG KT'!$D$16:$V$108,3,0)</f>
        <v>0</v>
      </c>
      <c r="J142" s="1964">
        <v>25000</v>
      </c>
      <c r="K142" s="1962">
        <f>I142*J142</f>
        <v>0</v>
      </c>
    </row>
    <row r="143" spans="1:11" ht="12.75" customHeight="1">
      <c r="A143" s="1959" t="s">
        <v>3279</v>
      </c>
      <c r="B143" s="1965" t="s">
        <v>3280</v>
      </c>
      <c r="C143" s="1961" t="str">
        <f>VLOOKUP(B140,'LƯƠNG KT'!$D$16:$V$108,10,0)</f>
        <v>A</v>
      </c>
      <c r="D143" s="1967">
        <f>46.1*$C$1</f>
        <v>30792.956000000002</v>
      </c>
      <c r="E143" s="1962" t="e">
        <f t="shared" ref="E143:E147" si="16">C143*D143</f>
        <v>#VALUE!</v>
      </c>
      <c r="G143" s="1959" t="s">
        <v>3279</v>
      </c>
      <c r="H143" s="1965" t="s">
        <v>3280</v>
      </c>
      <c r="I143" s="1961" t="str">
        <f>VLOOKUP(H140,'LƯƠNG KT'!$D$16:$V$108,10,0)</f>
        <v>B</v>
      </c>
      <c r="J143" s="1967">
        <f>46.1*$C$1</f>
        <v>30792.956000000002</v>
      </c>
      <c r="K143" s="1962" t="e">
        <f t="shared" ref="K143:K147" si="17">I143*J143</f>
        <v>#VALUE!</v>
      </c>
    </row>
    <row r="144" spans="1:11" ht="12.75" customHeight="1">
      <c r="A144" s="1959" t="s">
        <v>3281</v>
      </c>
      <c r="B144" s="1965" t="s">
        <v>3282</v>
      </c>
      <c r="C144" s="1961">
        <f>VLOOKUP(B140,'LƯƠNG KT'!$D$16:$V$108,11,0)</f>
        <v>7846595</v>
      </c>
      <c r="D144" s="1964">
        <f>76.9*$C$1</f>
        <v>51366.124000000003</v>
      </c>
      <c r="E144" s="1962">
        <f t="shared" si="16"/>
        <v>403049171747.78003</v>
      </c>
      <c r="G144" s="1959" t="s">
        <v>3281</v>
      </c>
      <c r="H144" s="1965" t="s">
        <v>3282</v>
      </c>
      <c r="I144" s="1961">
        <f>VLOOKUP(H140,'LƯƠNG KT'!$D$16:$V$108,11,0)</f>
        <v>5657306</v>
      </c>
      <c r="J144" s="1964">
        <f>76.9*$C$1</f>
        <v>51366.124000000003</v>
      </c>
      <c r="K144" s="1962">
        <f t="shared" si="17"/>
        <v>290593881501.94403</v>
      </c>
    </row>
    <row r="145" spans="1:11" ht="12.75" customHeight="1">
      <c r="A145" s="1959" t="s">
        <v>374</v>
      </c>
      <c r="B145" s="1965" t="s">
        <v>3283</v>
      </c>
      <c r="C145" s="1961">
        <f>VLOOKUP(B140,'LƯƠNG KT'!$D$16:$V$108,7,0)</f>
        <v>1899.0237669954249</v>
      </c>
      <c r="D145" s="1964">
        <f>IF(C141="A",6.1,IF(C141="B",5.8,IF(C141="C",5.5,IF(C141="C.",5.5,IF(C141="D",5.2)))))*$C$1</f>
        <v>0</v>
      </c>
      <c r="E145" s="1962">
        <f t="shared" si="16"/>
        <v>0</v>
      </c>
      <c r="G145" s="1959" t="s">
        <v>374</v>
      </c>
      <c r="H145" s="1965" t="s">
        <v>3283</v>
      </c>
      <c r="I145" s="1961">
        <f>VLOOKUP(H140,'LƯƠNG KT'!$D$16:$V$108,7,0)</f>
        <v>1439.9938501746865</v>
      </c>
      <c r="J145" s="1964">
        <f>IF(I141="A",6.1,IF(I141="B",5.8,IF(I141="C",5.5,IF(I141="C.",5.5,IF(I141="D",5.2)))))*$C$1</f>
        <v>0</v>
      </c>
      <c r="K145" s="1962">
        <f t="shared" si="17"/>
        <v>0</v>
      </c>
    </row>
    <row r="146" spans="1:11" ht="12.75" customHeight="1">
      <c r="A146" s="1959" t="s">
        <v>3296</v>
      </c>
      <c r="B146" s="1965" t="s">
        <v>3285</v>
      </c>
      <c r="C146" s="1961">
        <f>VLOOKUP(B140,'LƯƠNG KT'!$D$16:$V$108,12,0)</f>
        <v>27</v>
      </c>
      <c r="D146" s="1967">
        <f>92.2*$C$1</f>
        <v>61585.912000000004</v>
      </c>
      <c r="E146" s="1962">
        <f t="shared" si="16"/>
        <v>1662819.6240000001</v>
      </c>
      <c r="G146" s="1959" t="s">
        <v>3296</v>
      </c>
      <c r="H146" s="1965" t="s">
        <v>3285</v>
      </c>
      <c r="I146" s="1961">
        <f>VLOOKUP(H140,'LƯƠNG KT'!$D$16:$V$108,12,0)</f>
        <v>24</v>
      </c>
      <c r="J146" s="1967">
        <f>92.2*$C$1</f>
        <v>61585.912000000004</v>
      </c>
      <c r="K146" s="1962">
        <f t="shared" si="17"/>
        <v>1478061.888</v>
      </c>
    </row>
    <row r="147" spans="1:11" ht="12.75" customHeight="1">
      <c r="A147" s="1959" t="s">
        <v>3297</v>
      </c>
      <c r="B147" s="1965" t="s">
        <v>3287</v>
      </c>
      <c r="C147" s="1961">
        <f>VLOOKUP(B140,'LƯƠNG KT'!$D$16:$V$108,13,0)</f>
        <v>4</v>
      </c>
      <c r="D147" s="1964">
        <f>153.8*$C$1</f>
        <v>102732.24800000001</v>
      </c>
      <c r="E147" s="1962">
        <f t="shared" si="16"/>
        <v>410928.99200000003</v>
      </c>
      <c r="G147" s="1959" t="s">
        <v>3297</v>
      </c>
      <c r="H147" s="1965" t="s">
        <v>3287</v>
      </c>
      <c r="I147" s="1961">
        <f>VLOOKUP(H140,'LƯƠNG KT'!$D$16:$V$108,13,0)</f>
        <v>4</v>
      </c>
      <c r="J147" s="1964">
        <f>153.8*$C$1</f>
        <v>102732.24800000001</v>
      </c>
      <c r="K147" s="1962">
        <f t="shared" si="17"/>
        <v>410928.99200000003</v>
      </c>
    </row>
    <row r="148" spans="1:11" ht="12.75" customHeight="1">
      <c r="A148" s="1959" t="s">
        <v>3354</v>
      </c>
      <c r="B148" s="1965" t="s">
        <v>3288</v>
      </c>
      <c r="C148" s="1961">
        <f>VLOOKUP(B140,'LƯƠNG KT'!$D$16:$V$108,14,0)</f>
        <v>0</v>
      </c>
      <c r="D148" s="1964">
        <v>100000</v>
      </c>
      <c r="E148" s="1962">
        <f>C148*D148</f>
        <v>0</v>
      </c>
      <c r="G148" s="1959" t="s">
        <v>3354</v>
      </c>
      <c r="H148" s="1965" t="s">
        <v>3288</v>
      </c>
      <c r="I148" s="1961">
        <f>VLOOKUP(H140,'LƯƠNG KT'!$D$16:$V$108,14,0)</f>
        <v>0</v>
      </c>
      <c r="J148" s="1964">
        <v>100000</v>
      </c>
      <c r="K148" s="1962">
        <f>I148*J148</f>
        <v>0</v>
      </c>
    </row>
    <row r="149" spans="1:11" ht="12.75" customHeight="1">
      <c r="A149" s="1959" t="s">
        <v>3355</v>
      </c>
      <c r="B149" s="1965" t="s">
        <v>3288</v>
      </c>
      <c r="C149" s="1961">
        <f>VLOOKUP(B140,'LƯƠNG KT'!$D$16:$V$108,17,0)</f>
        <v>0</v>
      </c>
      <c r="D149" s="1964">
        <v>20000</v>
      </c>
      <c r="E149" s="1962">
        <f>C149*D149</f>
        <v>0</v>
      </c>
      <c r="G149" s="1959" t="s">
        <v>3355</v>
      </c>
      <c r="H149" s="1965" t="s">
        <v>3288</v>
      </c>
      <c r="I149" s="1961">
        <f>VLOOKUP(H140,'LƯƠNG KT'!$D$16:$V$108,17,0)</f>
        <v>0</v>
      </c>
      <c r="J149" s="1964">
        <v>20000</v>
      </c>
      <c r="K149" s="1962">
        <f>I149*J149</f>
        <v>0</v>
      </c>
    </row>
    <row r="150" spans="1:11" ht="12.75" customHeight="1">
      <c r="A150" s="1959" t="s">
        <v>3289</v>
      </c>
      <c r="B150" s="1965" t="s">
        <v>3290</v>
      </c>
      <c r="C150" s="1966"/>
      <c r="D150" s="1964"/>
      <c r="E150" s="1962"/>
      <c r="G150" s="1959" t="s">
        <v>3289</v>
      </c>
      <c r="H150" s="1965" t="s">
        <v>3290</v>
      </c>
      <c r="I150" s="1966"/>
      <c r="J150" s="1964"/>
      <c r="K150" s="1962"/>
    </row>
    <row r="151" spans="1:11" ht="12.75" customHeight="1">
      <c r="A151" s="1968" t="s">
        <v>377</v>
      </c>
      <c r="B151" s="1969" t="s">
        <v>3291</v>
      </c>
      <c r="C151" s="1970"/>
      <c r="D151" s="1971"/>
      <c r="E151" s="1970"/>
      <c r="G151" s="1968" t="s">
        <v>377</v>
      </c>
      <c r="H151" s="1969" t="s">
        <v>3291</v>
      </c>
      <c r="I151" s="1970"/>
      <c r="J151" s="1971"/>
      <c r="K151" s="1970"/>
    </row>
    <row r="152" spans="1:11" ht="12.75" customHeight="1">
      <c r="A152" s="1972" t="s">
        <v>379</v>
      </c>
      <c r="B152" s="1973" t="s">
        <v>3292</v>
      </c>
      <c r="C152" s="1970"/>
      <c r="D152" s="1970"/>
      <c r="E152" s="1970"/>
      <c r="G152" s="1972" t="s">
        <v>379</v>
      </c>
      <c r="H152" s="1973" t="s">
        <v>3292</v>
      </c>
      <c r="I152" s="1970"/>
      <c r="J152" s="1970"/>
      <c r="K152" s="1970"/>
    </row>
    <row r="153" spans="1:11" ht="12.75" customHeight="1">
      <c r="A153" s="1972" t="s">
        <v>381</v>
      </c>
      <c r="B153" s="1974" t="s">
        <v>3293</v>
      </c>
      <c r="C153" s="1970"/>
      <c r="D153" s="1970"/>
      <c r="E153" s="1962">
        <f>SUM(E152)</f>
        <v>0</v>
      </c>
      <c r="G153" s="1972" t="s">
        <v>381</v>
      </c>
      <c r="H153" s="1974" t="s">
        <v>3293</v>
      </c>
      <c r="I153" s="1970"/>
      <c r="J153" s="1970"/>
      <c r="K153" s="1962">
        <f>SUM(K152)</f>
        <v>0</v>
      </c>
    </row>
    <row r="154" spans="1:11" ht="12.75" customHeight="1">
      <c r="A154" s="1975" t="s">
        <v>383</v>
      </c>
      <c r="B154" s="1976" t="s">
        <v>3294</v>
      </c>
      <c r="C154" s="1977"/>
      <c r="D154" s="1977"/>
      <c r="E154" s="1978" t="e">
        <f>(E142+E143+E144+E145+E146+E147+E148+E149+E150)-E153</f>
        <v>#VALUE!</v>
      </c>
      <c r="G154" s="1975" t="s">
        <v>383</v>
      </c>
      <c r="H154" s="1976" t="s">
        <v>3294</v>
      </c>
      <c r="I154" s="1977"/>
      <c r="J154" s="1977"/>
      <c r="K154" s="1978" t="e">
        <f>(K142+K143+K144+K145+K146+K147+K148+K149+K150)-K153</f>
        <v>#VALUE!</v>
      </c>
    </row>
    <row r="156" spans="1:11" ht="12.75" customHeight="1">
      <c r="A156" s="2953" t="s">
        <v>3356</v>
      </c>
      <c r="B156" s="2954"/>
      <c r="C156" s="2954"/>
      <c r="D156" s="2954"/>
      <c r="E156" s="1955">
        <f>VLOOKUP(B157,'LƯƠNG KT'!$D$16:$AD$108,25,0)</f>
        <v>0</v>
      </c>
      <c r="G156" s="2953" t="s">
        <v>3356</v>
      </c>
      <c r="H156" s="2954"/>
      <c r="I156" s="2954"/>
      <c r="J156" s="2954"/>
      <c r="K156" s="1955">
        <f>VLOOKUP(H157,'LƯƠNG KT'!$D$16:$AD$108,25,0)</f>
        <v>0</v>
      </c>
    </row>
    <row r="157" spans="1:11" ht="12.75" customHeight="1">
      <c r="A157" s="1956" t="s">
        <v>356</v>
      </c>
      <c r="B157" s="1956" t="str">
        <f>'LƯƠNG KT'!$D$34</f>
        <v>T. Say</v>
      </c>
      <c r="C157" s="1957"/>
      <c r="D157" s="1958" t="s">
        <v>2357</v>
      </c>
      <c r="E157" s="1958" t="s">
        <v>2156</v>
      </c>
      <c r="G157" s="1956" t="s">
        <v>356</v>
      </c>
      <c r="H157" s="1956" t="str">
        <f>'LƯƠNG KT'!$D$35</f>
        <v>N. Khun Mi</v>
      </c>
      <c r="I157" s="1957"/>
      <c r="J157" s="1958" t="s">
        <v>2357</v>
      </c>
      <c r="K157" s="1958" t="s">
        <v>2156</v>
      </c>
    </row>
    <row r="158" spans="1:11" ht="12.75" customHeight="1">
      <c r="A158" s="1959" t="s">
        <v>3005</v>
      </c>
      <c r="B158" s="1960" t="s">
        <v>3278</v>
      </c>
      <c r="C158" s="1961">
        <f>VLOOKUP(B157,'LƯƠNG KT'!$D$16:$M$108,8,0)</f>
        <v>231.81189513407432</v>
      </c>
      <c r="D158" s="1962"/>
      <c r="E158" s="1962"/>
      <c r="G158" s="1959" t="s">
        <v>3005</v>
      </c>
      <c r="H158" s="1960" t="s">
        <v>3278</v>
      </c>
      <c r="I158" s="1961">
        <f>VLOOKUP(H157,'LƯƠNG KT'!$D$16:$M$108,8,0)</f>
        <v>218.16623038504724</v>
      </c>
      <c r="J158" s="1962"/>
      <c r="K158" s="1962"/>
    </row>
    <row r="159" spans="1:11" ht="12.75" customHeight="1">
      <c r="A159" s="1959" t="s">
        <v>359</v>
      </c>
      <c r="B159" s="1963" t="s">
        <v>2090</v>
      </c>
      <c r="C159" s="1961">
        <f>VLOOKUP(B157,'LƯƠNG KT'!$D$16:$V$108,3,0)</f>
        <v>0</v>
      </c>
      <c r="D159" s="1964">
        <v>25000</v>
      </c>
      <c r="E159" s="1962">
        <f>C159*D159</f>
        <v>0</v>
      </c>
      <c r="G159" s="1959" t="s">
        <v>359</v>
      </c>
      <c r="H159" s="1963" t="s">
        <v>2090</v>
      </c>
      <c r="I159" s="1961">
        <f>VLOOKUP(H157,'LƯƠNG KT'!$D$16:$V$108,3,0)</f>
        <v>0</v>
      </c>
      <c r="J159" s="1964">
        <v>25000</v>
      </c>
      <c r="K159" s="1962">
        <f>I159*J159</f>
        <v>0</v>
      </c>
    </row>
    <row r="160" spans="1:11" ht="12.75" customHeight="1">
      <c r="A160" s="1959" t="s">
        <v>3279</v>
      </c>
      <c r="B160" s="1965" t="s">
        <v>3280</v>
      </c>
      <c r="C160" s="1961" t="str">
        <f>VLOOKUP(B157,'LƯƠNG KT'!$D$16:$V$108,10,0)</f>
        <v>A</v>
      </c>
      <c r="D160" s="1967">
        <f>46.1*$C$1</f>
        <v>30792.956000000002</v>
      </c>
      <c r="E160" s="1962" t="e">
        <f t="shared" ref="E160:E164" si="18">C160*D160</f>
        <v>#VALUE!</v>
      </c>
      <c r="G160" s="1959" t="s">
        <v>3279</v>
      </c>
      <c r="H160" s="1965" t="s">
        <v>3280</v>
      </c>
      <c r="I160" s="1961" t="str">
        <f>VLOOKUP(H157,'LƯƠNG KT'!$D$16:$V$108,10,0)</f>
        <v>B</v>
      </c>
      <c r="J160" s="1967">
        <f>46.1*$C$1</f>
        <v>30792.956000000002</v>
      </c>
      <c r="K160" s="1962" t="e">
        <f t="shared" ref="K160:K164" si="19">I160*J160</f>
        <v>#VALUE!</v>
      </c>
    </row>
    <row r="161" spans="1:11" ht="12.75" customHeight="1">
      <c r="A161" s="1959" t="s">
        <v>3281</v>
      </c>
      <c r="B161" s="1965" t="s">
        <v>3282</v>
      </c>
      <c r="C161" s="1961">
        <f>VLOOKUP(B157,'LƯƠNG KT'!$D$16:$V$108,11,0)</f>
        <v>7428625</v>
      </c>
      <c r="D161" s="1964">
        <f>76.9*$C$1</f>
        <v>51366.124000000003</v>
      </c>
      <c r="E161" s="1962">
        <f t="shared" si="18"/>
        <v>381579672899.5</v>
      </c>
      <c r="G161" s="1959" t="s">
        <v>3281</v>
      </c>
      <c r="H161" s="1965" t="s">
        <v>3282</v>
      </c>
      <c r="I161" s="1961">
        <f>VLOOKUP(H157,'LƯƠNG KT'!$D$16:$V$108,11,0)</f>
        <v>6647501</v>
      </c>
      <c r="J161" s="1964">
        <f>76.9*$C$1</f>
        <v>51366.124000000003</v>
      </c>
      <c r="K161" s="1962">
        <f t="shared" si="19"/>
        <v>341456360656.12402</v>
      </c>
    </row>
    <row r="162" spans="1:11" ht="12.75" customHeight="1">
      <c r="A162" s="1959" t="s">
        <v>374</v>
      </c>
      <c r="B162" s="1965" t="s">
        <v>3283</v>
      </c>
      <c r="C162" s="1961">
        <f>VLOOKUP(B157,'LƯƠNG KT'!$D$16:$V$108,7,0)</f>
        <v>1797.8671742145584</v>
      </c>
      <c r="D162" s="1964">
        <f>IF(C158="A",6.1,IF(C158="B",5.8,IF(C158="C",5.5,IF(C158="C.",5.5,IF(C158="D",5.2)))))*$C$1</f>
        <v>0</v>
      </c>
      <c r="E162" s="1962">
        <f t="shared" si="18"/>
        <v>0</v>
      </c>
      <c r="G162" s="1959" t="s">
        <v>374</v>
      </c>
      <c r="H162" s="1965" t="s">
        <v>3283</v>
      </c>
      <c r="I162" s="1961">
        <f>VLOOKUP(H157,'LƯƠNG KT'!$D$16:$V$108,7,0)</f>
        <v>1692.0352767253326</v>
      </c>
      <c r="J162" s="1964">
        <f>IF(I158="A",6.1,IF(I158="B",5.8,IF(I158="C",5.5,IF(I158="C.",5.5,IF(I158="D",5.2)))))*$C$1</f>
        <v>0</v>
      </c>
      <c r="K162" s="1962">
        <f t="shared" si="19"/>
        <v>0</v>
      </c>
    </row>
    <row r="163" spans="1:11" ht="12.75" customHeight="1">
      <c r="A163" s="1959" t="s">
        <v>3296</v>
      </c>
      <c r="B163" s="1965" t="s">
        <v>3285</v>
      </c>
      <c r="C163" s="1961">
        <f>VLOOKUP(B157,'LƯƠNG KT'!$D$16:$V$108,12,0)</f>
        <v>27</v>
      </c>
      <c r="D163" s="1967">
        <f>92.2*$C$1</f>
        <v>61585.912000000004</v>
      </c>
      <c r="E163" s="1962">
        <f t="shared" si="18"/>
        <v>1662819.6240000001</v>
      </c>
      <c r="G163" s="1959" t="s">
        <v>3296</v>
      </c>
      <c r="H163" s="1965" t="s">
        <v>3285</v>
      </c>
      <c r="I163" s="1961">
        <f>VLOOKUP(H157,'LƯƠNG KT'!$D$16:$V$108,12,0)</f>
        <v>27</v>
      </c>
      <c r="J163" s="1967">
        <f>92.2*$C$1</f>
        <v>61585.912000000004</v>
      </c>
      <c r="K163" s="1962">
        <f t="shared" si="19"/>
        <v>1662819.6240000001</v>
      </c>
    </row>
    <row r="164" spans="1:11" ht="12.75" customHeight="1">
      <c r="A164" s="1959" t="s">
        <v>3297</v>
      </c>
      <c r="B164" s="1965" t="s">
        <v>3287</v>
      </c>
      <c r="C164" s="1961">
        <f>VLOOKUP(B157,'LƯƠNG KT'!$D$16:$V$108,13,0)</f>
        <v>4</v>
      </c>
      <c r="D164" s="1964">
        <f>153.8*$C$1</f>
        <v>102732.24800000001</v>
      </c>
      <c r="E164" s="1962">
        <f t="shared" si="18"/>
        <v>410928.99200000003</v>
      </c>
      <c r="G164" s="1959" t="s">
        <v>3297</v>
      </c>
      <c r="H164" s="1965" t="s">
        <v>3287</v>
      </c>
      <c r="I164" s="1961">
        <f>VLOOKUP(H157,'LƯƠNG KT'!$D$16:$V$108,13,0)</f>
        <v>4</v>
      </c>
      <c r="J164" s="1964">
        <f>153.8*$C$1</f>
        <v>102732.24800000001</v>
      </c>
      <c r="K164" s="1962">
        <f t="shared" si="19"/>
        <v>410928.99200000003</v>
      </c>
    </row>
    <row r="165" spans="1:11" ht="12.75" customHeight="1">
      <c r="A165" s="1959" t="s">
        <v>3354</v>
      </c>
      <c r="B165" s="1965" t="s">
        <v>3288</v>
      </c>
      <c r="C165" s="1961">
        <f>VLOOKUP(B157,'LƯƠNG KT'!$D$16:$V$108,14,0)</f>
        <v>0</v>
      </c>
      <c r="D165" s="1964">
        <v>100000</v>
      </c>
      <c r="E165" s="1962">
        <f>C165*D165</f>
        <v>0</v>
      </c>
      <c r="G165" s="1959" t="s">
        <v>3354</v>
      </c>
      <c r="H165" s="1965" t="s">
        <v>3288</v>
      </c>
      <c r="I165" s="1961">
        <f>VLOOKUP(H157,'LƯƠNG KT'!$D$16:$V$108,14,0)</f>
        <v>0</v>
      </c>
      <c r="J165" s="1964">
        <v>100000</v>
      </c>
      <c r="K165" s="1962">
        <f>I165*J165</f>
        <v>0</v>
      </c>
    </row>
    <row r="166" spans="1:11" ht="12.75" customHeight="1">
      <c r="A166" s="1959" t="s">
        <v>3355</v>
      </c>
      <c r="B166" s="1965" t="s">
        <v>3288</v>
      </c>
      <c r="C166" s="1961">
        <f>VLOOKUP(B157,'LƯƠNG KT'!$D$16:$V$108,17,0)</f>
        <v>0</v>
      </c>
      <c r="D166" s="1964">
        <v>20000</v>
      </c>
      <c r="E166" s="1962">
        <f>C166*D166</f>
        <v>0</v>
      </c>
      <c r="G166" s="1959" t="s">
        <v>3355</v>
      </c>
      <c r="H166" s="1965" t="s">
        <v>3288</v>
      </c>
      <c r="I166" s="1961">
        <f>VLOOKUP(H157,'LƯƠNG KT'!$D$16:$V$108,17,0)</f>
        <v>0</v>
      </c>
      <c r="J166" s="1964">
        <v>20000</v>
      </c>
      <c r="K166" s="1962">
        <f>I166*J166</f>
        <v>0</v>
      </c>
    </row>
    <row r="167" spans="1:11" ht="12.75" customHeight="1">
      <c r="A167" s="1959" t="s">
        <v>3289</v>
      </c>
      <c r="B167" s="1965" t="s">
        <v>3290</v>
      </c>
      <c r="C167" s="1966"/>
      <c r="D167" s="1964"/>
      <c r="E167" s="1962"/>
      <c r="G167" s="1959" t="s">
        <v>3289</v>
      </c>
      <c r="H167" s="1965" t="s">
        <v>3290</v>
      </c>
      <c r="I167" s="1966"/>
      <c r="J167" s="1964"/>
      <c r="K167" s="1962"/>
    </row>
    <row r="168" spans="1:11" ht="12.75" customHeight="1">
      <c r="A168" s="1968" t="s">
        <v>377</v>
      </c>
      <c r="B168" s="1969" t="s">
        <v>3291</v>
      </c>
      <c r="C168" s="1970"/>
      <c r="D168" s="1971"/>
      <c r="E168" s="1970"/>
      <c r="G168" s="1968" t="s">
        <v>377</v>
      </c>
      <c r="H168" s="1969" t="s">
        <v>3291</v>
      </c>
      <c r="I168" s="1970"/>
      <c r="J168" s="1971"/>
      <c r="K168" s="1970"/>
    </row>
    <row r="169" spans="1:11" ht="12.75" customHeight="1">
      <c r="A169" s="1972" t="s">
        <v>379</v>
      </c>
      <c r="B169" s="1973" t="s">
        <v>3292</v>
      </c>
      <c r="C169" s="1970"/>
      <c r="D169" s="1970"/>
      <c r="E169" s="1970"/>
      <c r="G169" s="1972" t="s">
        <v>379</v>
      </c>
      <c r="H169" s="1973" t="s">
        <v>3292</v>
      </c>
      <c r="I169" s="1970"/>
      <c r="J169" s="1970"/>
      <c r="K169" s="1970"/>
    </row>
    <row r="170" spans="1:11" ht="12.75" customHeight="1">
      <c r="A170" s="1972" t="s">
        <v>381</v>
      </c>
      <c r="B170" s="1974" t="s">
        <v>3293</v>
      </c>
      <c r="C170" s="1970"/>
      <c r="D170" s="1970"/>
      <c r="E170" s="1962">
        <f>SUM(E169)</f>
        <v>0</v>
      </c>
      <c r="G170" s="1972" t="s">
        <v>381</v>
      </c>
      <c r="H170" s="1974" t="s">
        <v>3293</v>
      </c>
      <c r="I170" s="1970"/>
      <c r="J170" s="1970"/>
      <c r="K170" s="1962">
        <f>SUM(K169)</f>
        <v>0</v>
      </c>
    </row>
    <row r="171" spans="1:11" ht="12.75" customHeight="1">
      <c r="A171" s="1975" t="s">
        <v>383</v>
      </c>
      <c r="B171" s="1976" t="s">
        <v>3294</v>
      </c>
      <c r="C171" s="1977"/>
      <c r="D171" s="1977"/>
      <c r="E171" s="1978" t="e">
        <f>(E159+E160+E161+E162+E163+E164+E165+E166+E167)-E170</f>
        <v>#VALUE!</v>
      </c>
      <c r="G171" s="1975" t="s">
        <v>383</v>
      </c>
      <c r="H171" s="1976" t="s">
        <v>3294</v>
      </c>
      <c r="I171" s="1977"/>
      <c r="J171" s="1977"/>
      <c r="K171" s="1978" t="e">
        <f>(K159+K160+K161+K162+K163+K164+K165+K166+K167)-K170</f>
        <v>#VALUE!</v>
      </c>
    </row>
    <row r="172" spans="1:11" ht="54.75" customHeight="1"/>
    <row r="173" spans="1:11" ht="12.75" customHeight="1">
      <c r="A173" s="2953" t="s">
        <v>3356</v>
      </c>
      <c r="B173" s="2954"/>
      <c r="C173" s="2954"/>
      <c r="D173" s="2954"/>
      <c r="E173" s="1955">
        <f>VLOOKUP(B174,'LƯƠNG KT'!$D$16:$AD$108,25,0)</f>
        <v>0</v>
      </c>
      <c r="G173" s="2953" t="s">
        <v>3356</v>
      </c>
      <c r="H173" s="2954"/>
      <c r="I173" s="2954"/>
      <c r="J173" s="2954"/>
      <c r="K173" s="1955">
        <f>VLOOKUP(H174,'LƯƠNG KT'!$D$16:$AD$108,25,0)</f>
        <v>0</v>
      </c>
    </row>
    <row r="174" spans="1:11" ht="12.75" customHeight="1">
      <c r="A174" s="1956" t="s">
        <v>356</v>
      </c>
      <c r="B174" s="1956" t="str">
        <f>'LƯƠNG KT'!$D$36</f>
        <v>A Tền</v>
      </c>
      <c r="C174" s="1957"/>
      <c r="D174" s="1958" t="s">
        <v>2357</v>
      </c>
      <c r="E174" s="1958" t="s">
        <v>2156</v>
      </c>
      <c r="G174" s="1956" t="s">
        <v>356</v>
      </c>
      <c r="H174" s="1956" t="str">
        <f>'LƯƠNG KT'!$D$37</f>
        <v>T. Pon</v>
      </c>
      <c r="I174" s="1957"/>
      <c r="J174" s="1958" t="s">
        <v>2357</v>
      </c>
      <c r="K174" s="1958" t="s">
        <v>2156</v>
      </c>
    </row>
    <row r="175" spans="1:11" ht="12.75" customHeight="1">
      <c r="A175" s="1959" t="s">
        <v>3005</v>
      </c>
      <c r="B175" s="1960" t="s">
        <v>3278</v>
      </c>
      <c r="C175" s="1961">
        <f>VLOOKUP(B174,'LƯƠNG KT'!$D$16:$M$108,8,0)</f>
        <v>202.54769844338975</v>
      </c>
      <c r="D175" s="1962"/>
      <c r="E175" s="1962"/>
      <c r="G175" s="1959" t="s">
        <v>3005</v>
      </c>
      <c r="H175" s="1960" t="s">
        <v>3278</v>
      </c>
      <c r="I175" s="1961">
        <f>VLOOKUP(H174,'LƯƠNG KT'!$D$16:$M$108,8,0)</f>
        <v>242.22424976184598</v>
      </c>
      <c r="J175" s="1962"/>
      <c r="K175" s="1962"/>
    </row>
    <row r="176" spans="1:11" ht="12.75" customHeight="1">
      <c r="A176" s="1959" t="s">
        <v>359</v>
      </c>
      <c r="B176" s="1963" t="s">
        <v>2090</v>
      </c>
      <c r="C176" s="1961">
        <f>VLOOKUP(B174,'LƯƠNG KT'!$D$16:$V$108,3,0)</f>
        <v>0</v>
      </c>
      <c r="D176" s="1964">
        <v>25000</v>
      </c>
      <c r="E176" s="1962">
        <f>C176*D176</f>
        <v>0</v>
      </c>
      <c r="G176" s="1959" t="s">
        <v>359</v>
      </c>
      <c r="H176" s="1963" t="s">
        <v>2090</v>
      </c>
      <c r="I176" s="1961">
        <f>VLOOKUP(H174,'LƯƠNG KT'!$D$16:$V$108,3,0)</f>
        <v>0</v>
      </c>
      <c r="J176" s="1964">
        <v>25000</v>
      </c>
      <c r="K176" s="1962">
        <f>I176*J176</f>
        <v>0</v>
      </c>
    </row>
    <row r="177" spans="1:11" ht="12.75" customHeight="1">
      <c r="A177" s="1959" t="s">
        <v>3279</v>
      </c>
      <c r="B177" s="1965" t="s">
        <v>3280</v>
      </c>
      <c r="C177" s="1961" t="str">
        <f>VLOOKUP(B174,'LƯƠNG KT'!$D$16:$V$108,10,0)</f>
        <v>B</v>
      </c>
      <c r="D177" s="1967">
        <f>46.1*$C$1</f>
        <v>30792.956000000002</v>
      </c>
      <c r="E177" s="1962" t="e">
        <f t="shared" ref="E177:E181" si="20">C177*D177</f>
        <v>#VALUE!</v>
      </c>
      <c r="G177" s="1959" t="s">
        <v>3279</v>
      </c>
      <c r="H177" s="1965" t="s">
        <v>3280</v>
      </c>
      <c r="I177" s="1961" t="str">
        <f>VLOOKUP(H174,'LƯƠNG KT'!$D$16:$V$108,10,0)</f>
        <v>B</v>
      </c>
      <c r="J177" s="1967">
        <f>46.1*$C$1</f>
        <v>30792.956000000002</v>
      </c>
      <c r="K177" s="1962" t="e">
        <f t="shared" ref="K177:K181" si="21">I177*J177</f>
        <v>#VALUE!</v>
      </c>
    </row>
    <row r="178" spans="1:11" ht="12.75" customHeight="1">
      <c r="A178" s="1959" t="s">
        <v>3281</v>
      </c>
      <c r="B178" s="1965" t="s">
        <v>3282</v>
      </c>
      <c r="C178" s="1961">
        <f>VLOOKUP(B174,'LƯƠNG KT'!$D$16:$V$108,11,0)</f>
        <v>6171606</v>
      </c>
      <c r="D178" s="1964">
        <f>76.9*$C$1</f>
        <v>51366.124000000003</v>
      </c>
      <c r="E178" s="1962">
        <f t="shared" si="20"/>
        <v>317011479075.14404</v>
      </c>
      <c r="G178" s="1959" t="s">
        <v>3281</v>
      </c>
      <c r="H178" s="1965" t="s">
        <v>3282</v>
      </c>
      <c r="I178" s="1961">
        <f>VLOOKUP(H174,'LƯƠNG KT'!$D$16:$V$108,11,0)</f>
        <v>7380546</v>
      </c>
      <c r="J178" s="1964">
        <f>76.9*$C$1</f>
        <v>51366.124000000003</v>
      </c>
      <c r="K178" s="1962">
        <f t="shared" si="21"/>
        <v>379110041023.70404</v>
      </c>
    </row>
    <row r="179" spans="1:11" ht="12.75" customHeight="1">
      <c r="A179" s="1959" t="s">
        <v>374</v>
      </c>
      <c r="B179" s="1965" t="s">
        <v>3283</v>
      </c>
      <c r="C179" s="1961">
        <f>VLOOKUP(B174,'LƯƠNG KT'!$D$16:$V$108,7,0)</f>
        <v>1570.9023820087489</v>
      </c>
      <c r="D179" s="1964">
        <f>IF(C175="A",6.1,IF(C175="B",5.8,IF(C175="C",5.5,IF(C175="C.",5.5,IF(C175="D",5.2)))))*$C$1</f>
        <v>0</v>
      </c>
      <c r="E179" s="1962">
        <f t="shared" si="20"/>
        <v>0</v>
      </c>
      <c r="G179" s="1959" t="s">
        <v>374</v>
      </c>
      <c r="H179" s="1965" t="s">
        <v>3283</v>
      </c>
      <c r="I179" s="1961">
        <f>VLOOKUP(H174,'LƯƠNG KT'!$D$16:$V$108,7,0)</f>
        <v>1878.6224373589475</v>
      </c>
      <c r="J179" s="1964">
        <f>IF(I175="A",6.1,IF(I175="B",5.8,IF(I175="C",5.5,IF(I175="C.",5.5,IF(I175="D",5.2)))))*$C$1</f>
        <v>0</v>
      </c>
      <c r="K179" s="1962">
        <f t="shared" si="21"/>
        <v>0</v>
      </c>
    </row>
    <row r="180" spans="1:11" ht="12.75" customHeight="1">
      <c r="A180" s="1959" t="s">
        <v>3296</v>
      </c>
      <c r="B180" s="1965" t="s">
        <v>3285</v>
      </c>
      <c r="C180" s="1961">
        <f>VLOOKUP(B174,'LƯƠNG KT'!$D$16:$V$108,12,0)</f>
        <v>27</v>
      </c>
      <c r="D180" s="1967">
        <f>92.2*$C$1</f>
        <v>61585.912000000004</v>
      </c>
      <c r="E180" s="1962">
        <f t="shared" si="20"/>
        <v>1662819.6240000001</v>
      </c>
      <c r="G180" s="1959" t="s">
        <v>3296</v>
      </c>
      <c r="H180" s="1965" t="s">
        <v>3285</v>
      </c>
      <c r="I180" s="1961">
        <f>VLOOKUP(H174,'LƯƠNG KT'!$D$16:$V$108,12,0)</f>
        <v>27</v>
      </c>
      <c r="J180" s="1967">
        <f>92.2*$C$1</f>
        <v>61585.912000000004</v>
      </c>
      <c r="K180" s="1962">
        <f t="shared" si="21"/>
        <v>1662819.6240000001</v>
      </c>
    </row>
    <row r="181" spans="1:11" ht="12.75" customHeight="1">
      <c r="A181" s="1959" t="s">
        <v>3297</v>
      </c>
      <c r="B181" s="1965" t="s">
        <v>3287</v>
      </c>
      <c r="C181" s="1961">
        <f>VLOOKUP(B174,'LƯƠNG KT'!$D$16:$V$108,13,0)</f>
        <v>4</v>
      </c>
      <c r="D181" s="1964">
        <f>153.8*$C$1</f>
        <v>102732.24800000001</v>
      </c>
      <c r="E181" s="1962">
        <f t="shared" si="20"/>
        <v>410928.99200000003</v>
      </c>
      <c r="G181" s="1959" t="s">
        <v>3297</v>
      </c>
      <c r="H181" s="1965" t="s">
        <v>3287</v>
      </c>
      <c r="I181" s="1961">
        <f>VLOOKUP(H174,'LƯƠNG KT'!$D$16:$V$108,13,0)</f>
        <v>4</v>
      </c>
      <c r="J181" s="1964">
        <f>153.8*$C$1</f>
        <v>102732.24800000001</v>
      </c>
      <c r="K181" s="1962">
        <f t="shared" si="21"/>
        <v>410928.99200000003</v>
      </c>
    </row>
    <row r="182" spans="1:11" ht="12.75" customHeight="1">
      <c r="A182" s="1959" t="s">
        <v>3354</v>
      </c>
      <c r="B182" s="1965" t="s">
        <v>3288</v>
      </c>
      <c r="C182" s="1961">
        <f>VLOOKUP(B174,'LƯƠNG KT'!$D$16:$V$108,14,0)</f>
        <v>0</v>
      </c>
      <c r="D182" s="1964">
        <v>100000</v>
      </c>
      <c r="E182" s="1962">
        <f>C182*D182</f>
        <v>0</v>
      </c>
      <c r="G182" s="1959" t="s">
        <v>3354</v>
      </c>
      <c r="H182" s="1965" t="s">
        <v>3288</v>
      </c>
      <c r="I182" s="1961">
        <f>VLOOKUP(H174,'LƯƠNG KT'!$D$16:$V$108,14,0)</f>
        <v>0</v>
      </c>
      <c r="J182" s="1964">
        <v>100000</v>
      </c>
      <c r="K182" s="1962">
        <f>I182*J182</f>
        <v>0</v>
      </c>
    </row>
    <row r="183" spans="1:11" ht="12.75" customHeight="1">
      <c r="A183" s="1959" t="s">
        <v>3355</v>
      </c>
      <c r="B183" s="1965" t="s">
        <v>3288</v>
      </c>
      <c r="C183" s="1961">
        <f>VLOOKUP(B174,'LƯƠNG KT'!$D$16:$V$108,17,0)</f>
        <v>0</v>
      </c>
      <c r="D183" s="1964">
        <v>20000</v>
      </c>
      <c r="E183" s="1962">
        <f>C183*D183</f>
        <v>0</v>
      </c>
      <c r="G183" s="1959" t="s">
        <v>3355</v>
      </c>
      <c r="H183" s="1965" t="s">
        <v>3288</v>
      </c>
      <c r="I183" s="1961">
        <f>VLOOKUP(H174,'LƯƠNG KT'!$D$16:$V$108,17,0)</f>
        <v>0</v>
      </c>
      <c r="J183" s="1964">
        <v>20000</v>
      </c>
      <c r="K183" s="1962">
        <f>I183*J183</f>
        <v>0</v>
      </c>
    </row>
    <row r="184" spans="1:11" ht="12.75" customHeight="1">
      <c r="A184" s="1959" t="s">
        <v>3289</v>
      </c>
      <c r="B184" s="1965" t="s">
        <v>3290</v>
      </c>
      <c r="C184" s="1966"/>
      <c r="D184" s="1964"/>
      <c r="E184" s="1962"/>
      <c r="G184" s="1959" t="s">
        <v>3289</v>
      </c>
      <c r="H184" s="1965" t="s">
        <v>3290</v>
      </c>
      <c r="I184" s="1966"/>
      <c r="J184" s="1964"/>
      <c r="K184" s="1962"/>
    </row>
    <row r="185" spans="1:11" ht="12.75" customHeight="1">
      <c r="A185" s="1968" t="s">
        <v>377</v>
      </c>
      <c r="B185" s="1969" t="s">
        <v>3291</v>
      </c>
      <c r="C185" s="1970"/>
      <c r="D185" s="1971"/>
      <c r="E185" s="1970"/>
      <c r="G185" s="1968" t="s">
        <v>377</v>
      </c>
      <c r="H185" s="1969" t="s">
        <v>3291</v>
      </c>
      <c r="I185" s="1970"/>
      <c r="J185" s="1971"/>
      <c r="K185" s="1970"/>
    </row>
    <row r="186" spans="1:11" ht="12.75" customHeight="1">
      <c r="A186" s="1972" t="s">
        <v>379</v>
      </c>
      <c r="B186" s="1973" t="s">
        <v>3292</v>
      </c>
      <c r="C186" s="1970"/>
      <c r="D186" s="1970"/>
      <c r="E186" s="1970"/>
      <c r="G186" s="1972" t="s">
        <v>379</v>
      </c>
      <c r="H186" s="1973" t="s">
        <v>3292</v>
      </c>
      <c r="I186" s="1970"/>
      <c r="J186" s="1970"/>
      <c r="K186" s="1970"/>
    </row>
    <row r="187" spans="1:11" ht="12.75" customHeight="1">
      <c r="A187" s="1972" t="s">
        <v>381</v>
      </c>
      <c r="B187" s="1974" t="s">
        <v>3293</v>
      </c>
      <c r="C187" s="1970"/>
      <c r="D187" s="1970"/>
      <c r="E187" s="1962">
        <f>SUM(E186)</f>
        <v>0</v>
      </c>
      <c r="G187" s="1972" t="s">
        <v>381</v>
      </c>
      <c r="H187" s="1974" t="s">
        <v>3293</v>
      </c>
      <c r="I187" s="1970"/>
      <c r="J187" s="1970"/>
      <c r="K187" s="1962">
        <f>SUM(K186)</f>
        <v>0</v>
      </c>
    </row>
    <row r="188" spans="1:11" ht="12.75" customHeight="1">
      <c r="A188" s="1975" t="s">
        <v>383</v>
      </c>
      <c r="B188" s="1976" t="s">
        <v>3294</v>
      </c>
      <c r="C188" s="1977"/>
      <c r="D188" s="1977"/>
      <c r="E188" s="1978" t="e">
        <f>(E176+E177+E178+E179+E180+E181+E182+E183+E184)-E187</f>
        <v>#VALUE!</v>
      </c>
      <c r="G188" s="1975" t="s">
        <v>383</v>
      </c>
      <c r="H188" s="1976" t="s">
        <v>3294</v>
      </c>
      <c r="I188" s="1977"/>
      <c r="J188" s="1977"/>
      <c r="K188" s="1978" t="e">
        <f>(K176+K177+K178+K179+K180+K181+K182+K183+K184)-K187</f>
        <v>#VALUE!</v>
      </c>
    </row>
    <row r="190" spans="1:11" ht="12.75" customHeight="1">
      <c r="A190" s="2953" t="s">
        <v>3356</v>
      </c>
      <c r="B190" s="2954"/>
      <c r="C190" s="2954"/>
      <c r="D190" s="2954"/>
      <c r="E190" s="1955">
        <f>VLOOKUP(B191,'LƯƠNG KT'!$D$16:$AD$108,25,0)</f>
        <v>0</v>
      </c>
      <c r="G190" s="2953" t="s">
        <v>3356</v>
      </c>
      <c r="H190" s="2954"/>
      <c r="I190" s="2954"/>
      <c r="J190" s="2954"/>
      <c r="K190" s="1955">
        <f>VLOOKUP(H191,'LƯƠNG KT'!$D$16:$AD$108,25,0)</f>
        <v>0</v>
      </c>
    </row>
    <row r="191" spans="1:11" ht="12.75" customHeight="1">
      <c r="A191" s="1956" t="s">
        <v>356</v>
      </c>
      <c r="B191" s="1956" t="str">
        <f>'LƯƠNG KT'!$D$38</f>
        <v>T. Ly</v>
      </c>
      <c r="C191" s="1957"/>
      <c r="D191" s="1958" t="s">
        <v>2357</v>
      </c>
      <c r="E191" s="1958" t="s">
        <v>2156</v>
      </c>
      <c r="G191" s="1956" t="s">
        <v>356</v>
      </c>
      <c r="H191" s="1956" t="str">
        <f>'LƯƠNG KT'!$D$39</f>
        <v>Văn Đi</v>
      </c>
      <c r="I191" s="1957"/>
      <c r="J191" s="1958" t="s">
        <v>2357</v>
      </c>
      <c r="K191" s="1958" t="s">
        <v>2156</v>
      </c>
    </row>
    <row r="192" spans="1:11" ht="12.75" customHeight="1">
      <c r="A192" s="1959" t="s">
        <v>3005</v>
      </c>
      <c r="B192" s="1960" t="s">
        <v>3278</v>
      </c>
      <c r="C192" s="1961">
        <f>VLOOKUP(B191,'LƯƠNG KT'!$D$16:$M$108,8,0)</f>
        <v>187.09357210111813</v>
      </c>
      <c r="D192" s="1962"/>
      <c r="E192" s="1962"/>
      <c r="G192" s="1959" t="s">
        <v>3005</v>
      </c>
      <c r="H192" s="1960" t="s">
        <v>3278</v>
      </c>
      <c r="I192" s="1961">
        <f>VLOOKUP(H191,'LƯƠNG KT'!$D$16:$M$108,8,0)</f>
        <v>259.32243209797628</v>
      </c>
      <c r="J192" s="1962"/>
      <c r="K192" s="1962"/>
    </row>
    <row r="193" spans="1:11" ht="12.75" customHeight="1">
      <c r="A193" s="1959" t="s">
        <v>359</v>
      </c>
      <c r="B193" s="1963" t="s">
        <v>2090</v>
      </c>
      <c r="C193" s="1961">
        <f>VLOOKUP(B191,'LƯƠNG KT'!$D$16:$V$108,3,0)</f>
        <v>0</v>
      </c>
      <c r="D193" s="1964">
        <v>25000</v>
      </c>
      <c r="E193" s="1962">
        <f>C193*D193</f>
        <v>0</v>
      </c>
      <c r="G193" s="1959" t="s">
        <v>359</v>
      </c>
      <c r="H193" s="1963" t="s">
        <v>2090</v>
      </c>
      <c r="I193" s="1961">
        <f>VLOOKUP(H191,'LƯƠNG KT'!$D$16:$V$108,3,0)</f>
        <v>0</v>
      </c>
      <c r="J193" s="1964">
        <v>25000</v>
      </c>
      <c r="K193" s="1962">
        <f>I193*J193</f>
        <v>0</v>
      </c>
    </row>
    <row r="194" spans="1:11" ht="12.75" customHeight="1">
      <c r="A194" s="1959" t="s">
        <v>3279</v>
      </c>
      <c r="B194" s="1965" t="s">
        <v>3280</v>
      </c>
      <c r="C194" s="1961" t="str">
        <f>VLOOKUP(B191,'LƯƠNG KT'!$D$16:$V$108,10,0)</f>
        <v>A</v>
      </c>
      <c r="D194" s="1967">
        <f>46.1*$C$1</f>
        <v>30792.956000000002</v>
      </c>
      <c r="E194" s="1962" t="e">
        <f t="shared" ref="E194:E198" si="22">C194*D194</f>
        <v>#VALUE!</v>
      </c>
      <c r="G194" s="1959" t="s">
        <v>3279</v>
      </c>
      <c r="H194" s="1965" t="s">
        <v>3280</v>
      </c>
      <c r="I194" s="1961" t="str">
        <f>VLOOKUP(H191,'LƯƠNG KT'!$D$16:$V$108,10,0)</f>
        <v>A</v>
      </c>
      <c r="J194" s="1967">
        <f>46.1*$C$1</f>
        <v>30792.956000000002</v>
      </c>
      <c r="K194" s="1962" t="e">
        <f t="shared" ref="K194:K198" si="23">I194*J194</f>
        <v>#VALUE!</v>
      </c>
    </row>
    <row r="195" spans="1:11" ht="12.75" customHeight="1">
      <c r="A195" s="1959" t="s">
        <v>3281</v>
      </c>
      <c r="B195" s="1965" t="s">
        <v>3282</v>
      </c>
      <c r="C195" s="1961">
        <f>VLOOKUP(B191,'LƯƠNG KT'!$D$16:$V$108,11,0)</f>
        <v>5995586</v>
      </c>
      <c r="D195" s="1964">
        <f>76.9*$C$1</f>
        <v>51366.124000000003</v>
      </c>
      <c r="E195" s="1962">
        <f t="shared" si="22"/>
        <v>307970013928.664</v>
      </c>
      <c r="G195" s="1959" t="s">
        <v>3281</v>
      </c>
      <c r="H195" s="1965" t="s">
        <v>3282</v>
      </c>
      <c r="I195" s="1961">
        <f>VLOOKUP(H191,'LƯƠNG KT'!$D$16:$V$108,11,0)</f>
        <v>8310226</v>
      </c>
      <c r="J195" s="1964">
        <f>76.9*$C$1</f>
        <v>51366.124000000003</v>
      </c>
      <c r="K195" s="1962">
        <f t="shared" si="23"/>
        <v>426864099184.02405</v>
      </c>
    </row>
    <row r="196" spans="1:11" ht="12.75" customHeight="1">
      <c r="A196" s="1959" t="s">
        <v>374</v>
      </c>
      <c r="B196" s="1965" t="s">
        <v>3283</v>
      </c>
      <c r="C196" s="1961">
        <f>VLOOKUP(B191,'LƯƠNG KT'!$D$16:$V$108,7,0)</f>
        <v>1451.0445703944451</v>
      </c>
      <c r="D196" s="1964">
        <f>IF(C192="A",6.1,IF(C192="B",5.8,IF(C192="C",5.5,IF(C192="C.",5.5,IF(C192="D",5.2)))))*$C$1</f>
        <v>0</v>
      </c>
      <c r="E196" s="1962">
        <f t="shared" si="22"/>
        <v>0</v>
      </c>
      <c r="G196" s="1959" t="s">
        <v>374</v>
      </c>
      <c r="H196" s="1965" t="s">
        <v>3283</v>
      </c>
      <c r="I196" s="1961">
        <f>VLOOKUP(H191,'LƯƠNG KT'!$D$16:$V$108,7,0)</f>
        <v>2011.2310799960499</v>
      </c>
      <c r="J196" s="1964">
        <f>IF(I192="A",6.1,IF(I192="B",5.8,IF(I192="C",5.5,IF(I192="C.",5.5,IF(I192="D",5.2)))))*$C$1</f>
        <v>0</v>
      </c>
      <c r="K196" s="1962">
        <f t="shared" si="23"/>
        <v>0</v>
      </c>
    </row>
    <row r="197" spans="1:11" ht="12.75" customHeight="1">
      <c r="A197" s="1959" t="s">
        <v>3296</v>
      </c>
      <c r="B197" s="1965" t="s">
        <v>3285</v>
      </c>
      <c r="C197" s="1961">
        <f>VLOOKUP(B191,'LƯƠNG KT'!$D$16:$V$108,12,0)</f>
        <v>24</v>
      </c>
      <c r="D197" s="1967">
        <f>92.2*$C$1</f>
        <v>61585.912000000004</v>
      </c>
      <c r="E197" s="1962">
        <f t="shared" si="22"/>
        <v>1478061.888</v>
      </c>
      <c r="G197" s="1959" t="s">
        <v>3296</v>
      </c>
      <c r="H197" s="1965" t="s">
        <v>3285</v>
      </c>
      <c r="I197" s="1961">
        <f>VLOOKUP(H191,'LƯƠNG KT'!$D$16:$V$108,12,0)</f>
        <v>27</v>
      </c>
      <c r="J197" s="1967">
        <f>92.2*$C$1</f>
        <v>61585.912000000004</v>
      </c>
      <c r="K197" s="1962">
        <f t="shared" si="23"/>
        <v>1662819.6240000001</v>
      </c>
    </row>
    <row r="198" spans="1:11" ht="12.75" customHeight="1">
      <c r="A198" s="1959" t="s">
        <v>3297</v>
      </c>
      <c r="B198" s="1965" t="s">
        <v>3287</v>
      </c>
      <c r="C198" s="1961">
        <f>VLOOKUP(B191,'LƯƠNG KT'!$D$16:$V$108,13,0)</f>
        <v>4</v>
      </c>
      <c r="D198" s="1964">
        <f>153.8*$C$1</f>
        <v>102732.24800000001</v>
      </c>
      <c r="E198" s="1962">
        <f t="shared" si="22"/>
        <v>410928.99200000003</v>
      </c>
      <c r="G198" s="1959" t="s">
        <v>3297</v>
      </c>
      <c r="H198" s="1965" t="s">
        <v>3287</v>
      </c>
      <c r="I198" s="1961">
        <f>VLOOKUP(H191,'LƯƠNG KT'!$D$16:$V$108,13,0)</f>
        <v>4</v>
      </c>
      <c r="J198" s="1964">
        <f>153.8*$C$1</f>
        <v>102732.24800000001</v>
      </c>
      <c r="K198" s="1962">
        <f t="shared" si="23"/>
        <v>410928.99200000003</v>
      </c>
    </row>
    <row r="199" spans="1:11" ht="12.75" customHeight="1">
      <c r="A199" s="1959" t="s">
        <v>3354</v>
      </c>
      <c r="B199" s="1965" t="s">
        <v>3288</v>
      </c>
      <c r="C199" s="1961">
        <f>VLOOKUP(B191,'LƯƠNG KT'!$D$16:$V$108,14,0)</f>
        <v>0</v>
      </c>
      <c r="D199" s="1964">
        <v>100000</v>
      </c>
      <c r="E199" s="1962">
        <f>C199*D199</f>
        <v>0</v>
      </c>
      <c r="G199" s="1959" t="s">
        <v>3354</v>
      </c>
      <c r="H199" s="1965" t="s">
        <v>3288</v>
      </c>
      <c r="I199" s="1961">
        <f>VLOOKUP(H191,'LƯƠNG KT'!$D$16:$V$108,14,0)</f>
        <v>0</v>
      </c>
      <c r="J199" s="1964">
        <v>100000</v>
      </c>
      <c r="K199" s="1962">
        <f>I199*J199</f>
        <v>0</v>
      </c>
    </row>
    <row r="200" spans="1:11" ht="12.75" customHeight="1">
      <c r="A200" s="1959" t="s">
        <v>3355</v>
      </c>
      <c r="B200" s="1965" t="s">
        <v>3288</v>
      </c>
      <c r="C200" s="1961">
        <f>VLOOKUP(B191,'LƯƠNG KT'!$D$16:$V$108,17,0)</f>
        <v>0</v>
      </c>
      <c r="D200" s="1964">
        <v>20000</v>
      </c>
      <c r="E200" s="1962">
        <f>C200*D200</f>
        <v>0</v>
      </c>
      <c r="G200" s="1959" t="s">
        <v>3355</v>
      </c>
      <c r="H200" s="1965" t="s">
        <v>3288</v>
      </c>
      <c r="I200" s="1961">
        <f>VLOOKUP(H191,'LƯƠNG KT'!$D$16:$V$108,17,0)</f>
        <v>0</v>
      </c>
      <c r="J200" s="1964">
        <v>20000</v>
      </c>
      <c r="K200" s="1962">
        <f>I200*J200</f>
        <v>0</v>
      </c>
    </row>
    <row r="201" spans="1:11" ht="12.75" customHeight="1">
      <c r="A201" s="1959" t="s">
        <v>3289</v>
      </c>
      <c r="B201" s="1965" t="s">
        <v>3290</v>
      </c>
      <c r="C201" s="1966"/>
      <c r="D201" s="1964"/>
      <c r="E201" s="1962"/>
      <c r="G201" s="1959" t="s">
        <v>3289</v>
      </c>
      <c r="H201" s="1965" t="s">
        <v>3290</v>
      </c>
      <c r="I201" s="1966"/>
      <c r="J201" s="1964"/>
      <c r="K201" s="1962"/>
    </row>
    <row r="202" spans="1:11" ht="12.75" customHeight="1">
      <c r="A202" s="1968" t="s">
        <v>377</v>
      </c>
      <c r="B202" s="1969" t="s">
        <v>3291</v>
      </c>
      <c r="C202" s="1970"/>
      <c r="D202" s="1971"/>
      <c r="E202" s="1970"/>
      <c r="G202" s="1968" t="s">
        <v>377</v>
      </c>
      <c r="H202" s="1969" t="s">
        <v>3291</v>
      </c>
      <c r="I202" s="1970"/>
      <c r="J202" s="1971"/>
      <c r="K202" s="1970"/>
    </row>
    <row r="203" spans="1:11" ht="12.75" customHeight="1">
      <c r="A203" s="1972" t="s">
        <v>379</v>
      </c>
      <c r="B203" s="1973" t="s">
        <v>3292</v>
      </c>
      <c r="C203" s="1970"/>
      <c r="D203" s="1970"/>
      <c r="E203" s="1970"/>
      <c r="G203" s="1972" t="s">
        <v>379</v>
      </c>
      <c r="H203" s="1973" t="s">
        <v>3292</v>
      </c>
      <c r="I203" s="1970"/>
      <c r="J203" s="1970"/>
      <c r="K203" s="1970"/>
    </row>
    <row r="204" spans="1:11" ht="12.75" customHeight="1">
      <c r="A204" s="1972" t="s">
        <v>381</v>
      </c>
      <c r="B204" s="1974" t="s">
        <v>3293</v>
      </c>
      <c r="C204" s="1970"/>
      <c r="D204" s="1970"/>
      <c r="E204" s="1962">
        <f>SUM(E203)</f>
        <v>0</v>
      </c>
      <c r="G204" s="1972" t="s">
        <v>381</v>
      </c>
      <c r="H204" s="1974" t="s">
        <v>3293</v>
      </c>
      <c r="I204" s="1970"/>
      <c r="J204" s="1970"/>
      <c r="K204" s="1962">
        <f>SUM(K203)</f>
        <v>0</v>
      </c>
    </row>
    <row r="205" spans="1:11" ht="12.75" customHeight="1">
      <c r="A205" s="1975" t="s">
        <v>383</v>
      </c>
      <c r="B205" s="1976" t="s">
        <v>3294</v>
      </c>
      <c r="C205" s="1977"/>
      <c r="D205" s="1977"/>
      <c r="E205" s="1978" t="e">
        <f>(E193+E194+E195+E196+E197+E198+E199+E200+E201)-E204</f>
        <v>#VALUE!</v>
      </c>
      <c r="G205" s="1975" t="s">
        <v>383</v>
      </c>
      <c r="H205" s="1976" t="s">
        <v>3294</v>
      </c>
      <c r="I205" s="1977"/>
      <c r="J205" s="1977"/>
      <c r="K205" s="1978" t="e">
        <f>(K193+K194+K195+K196+K197+K198+K199+K200+K201)-K204</f>
        <v>#VALUE!</v>
      </c>
    </row>
    <row r="207" spans="1:11" ht="12.75" customHeight="1">
      <c r="A207" s="2953" t="s">
        <v>3356</v>
      </c>
      <c r="B207" s="2954"/>
      <c r="C207" s="2954"/>
      <c r="D207" s="2954"/>
      <c r="E207" s="1955">
        <f>VLOOKUP(B208,'LƯƠNG KT'!$D$16:$AD$108,25,0)</f>
        <v>0</v>
      </c>
      <c r="G207" s="2953" t="s">
        <v>3356</v>
      </c>
      <c r="H207" s="2954"/>
      <c r="I207" s="2954"/>
      <c r="J207" s="2954"/>
      <c r="K207" s="1955">
        <f>VLOOKUP(H208,'LƯƠNG KT'!$D$16:$AD$108,25,0)</f>
        <v>0</v>
      </c>
    </row>
    <row r="208" spans="1:11" ht="12.75" customHeight="1">
      <c r="A208" s="1956" t="s">
        <v>356</v>
      </c>
      <c r="B208" s="1956" t="str">
        <f>'LƯƠNG KT'!$D$40</f>
        <v xml:space="preserve">Chày </v>
      </c>
      <c r="C208" s="1957"/>
      <c r="D208" s="1958" t="s">
        <v>2357</v>
      </c>
      <c r="E208" s="1958" t="s">
        <v>2156</v>
      </c>
      <c r="G208" s="1956" t="s">
        <v>356</v>
      </c>
      <c r="H208" s="1956" t="str">
        <f>'LƯƠNG KT'!$D$41</f>
        <v>Thảo Thủy</v>
      </c>
      <c r="I208" s="1957"/>
      <c r="J208" s="1958" t="s">
        <v>2357</v>
      </c>
      <c r="K208" s="1958" t="s">
        <v>2156</v>
      </c>
    </row>
    <row r="209" spans="1:11" ht="12.75" customHeight="1">
      <c r="A209" s="1959" t="s">
        <v>3005</v>
      </c>
      <c r="B209" s="1960" t="s">
        <v>3278</v>
      </c>
      <c r="C209" s="1961">
        <f>VLOOKUP(B208,'LƯƠNG KT'!$D$16:$M$108,8,0)</f>
        <v>294.77923969886189</v>
      </c>
      <c r="D209" s="1962"/>
      <c r="E209" s="1962"/>
      <c r="G209" s="1959" t="s">
        <v>3005</v>
      </c>
      <c r="H209" s="1960" t="s">
        <v>3278</v>
      </c>
      <c r="I209" s="1961">
        <f>VLOOKUP(H208,'LƯƠNG KT'!$D$16:$M$108,8,0)</f>
        <v>276.09180323533485</v>
      </c>
      <c r="J209" s="1962"/>
      <c r="K209" s="1962"/>
    </row>
    <row r="210" spans="1:11" ht="12.75" customHeight="1">
      <c r="A210" s="1959" t="s">
        <v>359</v>
      </c>
      <c r="B210" s="1963" t="s">
        <v>2090</v>
      </c>
      <c r="C210" s="1961">
        <f>VLOOKUP(B208,'LƯƠNG KT'!$D$16:$V$108,3,0)</f>
        <v>0</v>
      </c>
      <c r="D210" s="1964">
        <v>25000</v>
      </c>
      <c r="E210" s="1962">
        <f>C210*D210</f>
        <v>0</v>
      </c>
      <c r="G210" s="1959" t="s">
        <v>359</v>
      </c>
      <c r="H210" s="1963" t="s">
        <v>2090</v>
      </c>
      <c r="I210" s="1961">
        <f>VLOOKUP(H208,'LƯƠNG KT'!$D$16:$V$108,3,0)</f>
        <v>0</v>
      </c>
      <c r="J210" s="1964">
        <v>25000</v>
      </c>
      <c r="K210" s="1962">
        <f>I210*J210</f>
        <v>0</v>
      </c>
    </row>
    <row r="211" spans="1:11" ht="12.75" customHeight="1">
      <c r="A211" s="1959" t="s">
        <v>3279</v>
      </c>
      <c r="B211" s="1965" t="s">
        <v>3280</v>
      </c>
      <c r="C211" s="1961" t="str">
        <f>VLOOKUP(B208,'LƯƠNG KT'!$D$16:$V$108,10,0)</f>
        <v>A</v>
      </c>
      <c r="D211" s="1967">
        <f>46.1*$C$1</f>
        <v>30792.956000000002</v>
      </c>
      <c r="E211" s="1962" t="e">
        <f t="shared" ref="E211:E215" si="24">C211*D211</f>
        <v>#VALUE!</v>
      </c>
      <c r="G211" s="1959" t="s">
        <v>3279</v>
      </c>
      <c r="H211" s="1965" t="s">
        <v>3280</v>
      </c>
      <c r="I211" s="1961" t="str">
        <f>VLOOKUP(H208,'LƯƠNG KT'!$D$16:$V$108,10,0)</f>
        <v>A</v>
      </c>
      <c r="J211" s="1967">
        <f>46.1*$C$1</f>
        <v>30792.956000000002</v>
      </c>
      <c r="K211" s="1962" t="e">
        <f t="shared" ref="K211:K215" si="25">I211*J211</f>
        <v>#VALUE!</v>
      </c>
    </row>
    <row r="212" spans="1:11" ht="12.75" customHeight="1">
      <c r="A212" s="1959" t="s">
        <v>3281</v>
      </c>
      <c r="B212" s="1965" t="s">
        <v>3282</v>
      </c>
      <c r="C212" s="1961">
        <f>VLOOKUP(B208,'LƯƠNG KT'!$D$16:$V$108,11,0)</f>
        <v>9446472</v>
      </c>
      <c r="D212" s="1964">
        <f>76.9*$C$1</f>
        <v>51366.124000000003</v>
      </c>
      <c r="E212" s="1962">
        <f t="shared" si="24"/>
        <v>485228652114.52802</v>
      </c>
      <c r="G212" s="1959" t="s">
        <v>3281</v>
      </c>
      <c r="H212" s="1965" t="s">
        <v>3282</v>
      </c>
      <c r="I212" s="1961">
        <f>VLOOKUP(H208,'LƯƠNG KT'!$D$16:$V$108,11,0)</f>
        <v>8847616</v>
      </c>
      <c r="J212" s="1964">
        <f>76.9*$C$1</f>
        <v>51366.124000000003</v>
      </c>
      <c r="K212" s="1962">
        <f t="shared" si="25"/>
        <v>454467740560.38403</v>
      </c>
    </row>
    <row r="213" spans="1:11" ht="12.75" customHeight="1">
      <c r="A213" s="1959" t="s">
        <v>374</v>
      </c>
      <c r="B213" s="1965" t="s">
        <v>3283</v>
      </c>
      <c r="C213" s="1961">
        <f>VLOOKUP(B208,'LƯƠNG KT'!$D$16:$V$108,7,0)</f>
        <v>2286.224002387733</v>
      </c>
      <c r="D213" s="1964">
        <f>IF(C209="A",6.1,IF(C209="B",5.8,IF(C209="C",5.5,IF(C209="C.",5.5,IF(C209="D",5.2)))))*$C$1</f>
        <v>0</v>
      </c>
      <c r="E213" s="1962">
        <f t="shared" si="24"/>
        <v>0</v>
      </c>
      <c r="G213" s="1959" t="s">
        <v>374</v>
      </c>
      <c r="H213" s="1965" t="s">
        <v>3283</v>
      </c>
      <c r="I213" s="1961">
        <f>VLOOKUP(H208,'LƯƠNG KT'!$D$16:$V$108,7,0)</f>
        <v>2141.2895564285923</v>
      </c>
      <c r="J213" s="1964">
        <f>IF(I209="A",6.1,IF(I209="B",5.8,IF(I209="C",5.5,IF(I209="C.",5.5,IF(I209="D",5.2)))))*$C$1</f>
        <v>0</v>
      </c>
      <c r="K213" s="1962">
        <f t="shared" si="25"/>
        <v>0</v>
      </c>
    </row>
    <row r="214" spans="1:11" ht="12.75" customHeight="1">
      <c r="A214" s="1959" t="s">
        <v>3296</v>
      </c>
      <c r="B214" s="1965" t="s">
        <v>3285</v>
      </c>
      <c r="C214" s="1961">
        <f>VLOOKUP(B208,'LƯƠNG KT'!$D$16:$V$108,12,0)</f>
        <v>27</v>
      </c>
      <c r="D214" s="1967">
        <f>92.2*$C$1</f>
        <v>61585.912000000004</v>
      </c>
      <c r="E214" s="1962">
        <f t="shared" si="24"/>
        <v>1662819.6240000001</v>
      </c>
      <c r="G214" s="1959" t="s">
        <v>3296</v>
      </c>
      <c r="H214" s="1965" t="s">
        <v>3285</v>
      </c>
      <c r="I214" s="1961">
        <f>VLOOKUP(H208,'LƯƠNG KT'!$D$16:$V$108,12,0)</f>
        <v>27</v>
      </c>
      <c r="J214" s="1967">
        <f>92.2*$C$1</f>
        <v>61585.912000000004</v>
      </c>
      <c r="K214" s="1962">
        <f t="shared" si="25"/>
        <v>1662819.6240000001</v>
      </c>
    </row>
    <row r="215" spans="1:11" ht="12.75" customHeight="1">
      <c r="A215" s="1959" t="s">
        <v>3297</v>
      </c>
      <c r="B215" s="1965" t="s">
        <v>3287</v>
      </c>
      <c r="C215" s="1961">
        <f>VLOOKUP(B208,'LƯƠNG KT'!$D$16:$V$108,13,0)</f>
        <v>4</v>
      </c>
      <c r="D215" s="1964">
        <f>153.8*$C$1</f>
        <v>102732.24800000001</v>
      </c>
      <c r="E215" s="1962">
        <f t="shared" si="24"/>
        <v>410928.99200000003</v>
      </c>
      <c r="G215" s="1959" t="s">
        <v>3297</v>
      </c>
      <c r="H215" s="1965" t="s">
        <v>3287</v>
      </c>
      <c r="I215" s="1961">
        <f>VLOOKUP(H208,'LƯƠNG KT'!$D$16:$V$108,13,0)</f>
        <v>4</v>
      </c>
      <c r="J215" s="1964">
        <f>153.8*$C$1</f>
        <v>102732.24800000001</v>
      </c>
      <c r="K215" s="1962">
        <f t="shared" si="25"/>
        <v>410928.99200000003</v>
      </c>
    </row>
    <row r="216" spans="1:11" ht="12.75" customHeight="1">
      <c r="A216" s="1959" t="s">
        <v>3354</v>
      </c>
      <c r="B216" s="1965" t="s">
        <v>3288</v>
      </c>
      <c r="C216" s="1961">
        <f>VLOOKUP(B208,'LƯƠNG KT'!$D$16:$V$108,14,0)</f>
        <v>0</v>
      </c>
      <c r="D216" s="1964">
        <v>100000</v>
      </c>
      <c r="E216" s="1962">
        <f>C216*D216</f>
        <v>0</v>
      </c>
      <c r="G216" s="1959" t="s">
        <v>3354</v>
      </c>
      <c r="H216" s="1965" t="s">
        <v>3288</v>
      </c>
      <c r="I216" s="1961">
        <f>VLOOKUP(H208,'LƯƠNG KT'!$D$16:$V$108,14,0)</f>
        <v>0</v>
      </c>
      <c r="J216" s="1964">
        <v>100000</v>
      </c>
      <c r="K216" s="1962">
        <f>I216*J216</f>
        <v>0</v>
      </c>
    </row>
    <row r="217" spans="1:11" ht="12.75" customHeight="1">
      <c r="A217" s="1959" t="s">
        <v>3355</v>
      </c>
      <c r="B217" s="1965" t="s">
        <v>3288</v>
      </c>
      <c r="C217" s="1961">
        <f>VLOOKUP(B208,'LƯƠNG KT'!$D$16:$V$108,17,0)</f>
        <v>0</v>
      </c>
      <c r="D217" s="1964">
        <v>20000</v>
      </c>
      <c r="E217" s="1962">
        <f>C217*D217</f>
        <v>0</v>
      </c>
      <c r="G217" s="1959" t="s">
        <v>3355</v>
      </c>
      <c r="H217" s="1965" t="s">
        <v>3288</v>
      </c>
      <c r="I217" s="1961">
        <f>VLOOKUP(H208,'LƯƠNG KT'!$D$16:$V$108,17,0)</f>
        <v>0</v>
      </c>
      <c r="J217" s="1964">
        <v>20000</v>
      </c>
      <c r="K217" s="1962">
        <f>I217*J217</f>
        <v>0</v>
      </c>
    </row>
    <row r="218" spans="1:11" ht="12.75" customHeight="1">
      <c r="A218" s="1959" t="s">
        <v>3289</v>
      </c>
      <c r="B218" s="1965" t="s">
        <v>3290</v>
      </c>
      <c r="C218" s="1966"/>
      <c r="D218" s="1964"/>
      <c r="E218" s="1962"/>
      <c r="G218" s="1959" t="s">
        <v>3289</v>
      </c>
      <c r="H218" s="1965" t="s">
        <v>3290</v>
      </c>
      <c r="I218" s="1966"/>
      <c r="J218" s="1964"/>
      <c r="K218" s="1962"/>
    </row>
    <row r="219" spans="1:11" ht="12.75" customHeight="1">
      <c r="A219" s="1968" t="s">
        <v>377</v>
      </c>
      <c r="B219" s="1969" t="s">
        <v>3291</v>
      </c>
      <c r="C219" s="1970"/>
      <c r="D219" s="1971"/>
      <c r="E219" s="1970"/>
      <c r="G219" s="1968" t="s">
        <v>377</v>
      </c>
      <c r="H219" s="1969" t="s">
        <v>3291</v>
      </c>
      <c r="I219" s="1970"/>
      <c r="J219" s="1971"/>
      <c r="K219" s="1970"/>
    </row>
    <row r="220" spans="1:11" ht="12.75" customHeight="1">
      <c r="A220" s="1972" t="s">
        <v>379</v>
      </c>
      <c r="B220" s="1973" t="s">
        <v>3292</v>
      </c>
      <c r="C220" s="1970"/>
      <c r="D220" s="1970"/>
      <c r="E220" s="1970"/>
      <c r="G220" s="1972" t="s">
        <v>379</v>
      </c>
      <c r="H220" s="1973" t="s">
        <v>3292</v>
      </c>
      <c r="I220" s="1970"/>
      <c r="J220" s="1970"/>
      <c r="K220" s="1970"/>
    </row>
    <row r="221" spans="1:11" ht="12.75" customHeight="1">
      <c r="A221" s="1972" t="s">
        <v>381</v>
      </c>
      <c r="B221" s="1974" t="s">
        <v>3293</v>
      </c>
      <c r="C221" s="1970"/>
      <c r="D221" s="1970"/>
      <c r="E221" s="1962">
        <f>SUM(E220)</f>
        <v>0</v>
      </c>
      <c r="G221" s="1972" t="s">
        <v>381</v>
      </c>
      <c r="H221" s="1974" t="s">
        <v>3293</v>
      </c>
      <c r="I221" s="1970"/>
      <c r="J221" s="1970"/>
      <c r="K221" s="1962">
        <f>SUM(K220)</f>
        <v>0</v>
      </c>
    </row>
    <row r="222" spans="1:11" ht="12.75" customHeight="1">
      <c r="A222" s="1975" t="s">
        <v>383</v>
      </c>
      <c r="B222" s="1976" t="s">
        <v>3294</v>
      </c>
      <c r="C222" s="1977"/>
      <c r="D222" s="1977"/>
      <c r="E222" s="1978" t="e">
        <f>(E210+E211+E212+E213+E214+E215+E216+E217+E218)-E221</f>
        <v>#VALUE!</v>
      </c>
      <c r="G222" s="1975" t="s">
        <v>383</v>
      </c>
      <c r="H222" s="1976" t="s">
        <v>3294</v>
      </c>
      <c r="I222" s="1977"/>
      <c r="J222" s="1977"/>
      <c r="K222" s="1978" t="e">
        <f>(K210+K211+K212+K213+K214+K215+K216+K217+K218)-K221</f>
        <v>#VALUE!</v>
      </c>
    </row>
    <row r="224" spans="1:11" ht="12.75" customHeight="1">
      <c r="A224" s="2953" t="s">
        <v>3356</v>
      </c>
      <c r="B224" s="2954"/>
      <c r="C224" s="2954"/>
      <c r="D224" s="2954"/>
      <c r="E224" s="1955">
        <f>VLOOKUP(B225,'LƯƠNG KT'!$D$16:$AD$108,25,0)</f>
        <v>0</v>
      </c>
      <c r="G224" s="2953" t="s">
        <v>3356</v>
      </c>
      <c r="H224" s="2954"/>
      <c r="I224" s="2954"/>
      <c r="J224" s="2954"/>
      <c r="K224" s="1955">
        <f>VLOOKUP(H225,'LƯƠNG KT'!$D$16:$AD$108,25,0)</f>
        <v>0</v>
      </c>
    </row>
    <row r="225" spans="1:11" ht="12.75" customHeight="1">
      <c r="A225" s="1956" t="s">
        <v>356</v>
      </c>
      <c r="B225" s="1956" t="str">
        <f>'LƯƠNG KT'!$D$42</f>
        <v>Thảo Ngân</v>
      </c>
      <c r="C225" s="1957"/>
      <c r="D225" s="1958" t="s">
        <v>2357</v>
      </c>
      <c r="E225" s="1958" t="s">
        <v>2156</v>
      </c>
      <c r="G225" s="1956" t="s">
        <v>356</v>
      </c>
      <c r="H225" s="1956" t="str">
        <f>'LƯƠNG KT'!$D$43</f>
        <v>T Đeng</v>
      </c>
      <c r="I225" s="1957"/>
      <c r="J225" s="1958" t="s">
        <v>2357</v>
      </c>
      <c r="K225" s="1958" t="s">
        <v>2156</v>
      </c>
    </row>
    <row r="226" spans="1:11" ht="12.75" customHeight="1">
      <c r="A226" s="1959" t="s">
        <v>3005</v>
      </c>
      <c r="B226" s="1960" t="s">
        <v>3278</v>
      </c>
      <c r="C226" s="1961">
        <f>VLOOKUP(B225,'LƯƠNG KT'!$D$16:$M$108,8,0)</f>
        <v>257.34956490534586</v>
      </c>
      <c r="D226" s="1962"/>
      <c r="E226" s="1962"/>
      <c r="G226" s="1959" t="s">
        <v>3005</v>
      </c>
      <c r="H226" s="1960" t="s">
        <v>3278</v>
      </c>
      <c r="I226" s="1961">
        <f>VLOOKUP(H225,'LƯƠNG KT'!$D$16:$M$108,8,0)</f>
        <v>308.37010258142698</v>
      </c>
      <c r="J226" s="1962"/>
      <c r="K226" s="1962"/>
    </row>
    <row r="227" spans="1:11" ht="12.75" customHeight="1">
      <c r="A227" s="1959" t="s">
        <v>359</v>
      </c>
      <c r="B227" s="1963" t="s">
        <v>2090</v>
      </c>
      <c r="C227" s="1961">
        <f>VLOOKUP(B225,'LƯƠNG KT'!$D$16:$V$108,3,0)</f>
        <v>0</v>
      </c>
      <c r="D227" s="1964">
        <v>25000</v>
      </c>
      <c r="E227" s="1962">
        <f>C227*D227</f>
        <v>0</v>
      </c>
      <c r="G227" s="1959" t="s">
        <v>359</v>
      </c>
      <c r="H227" s="1963" t="s">
        <v>2090</v>
      </c>
      <c r="I227" s="1961">
        <f>VLOOKUP(H225,'LƯƠNG KT'!$D$16:$V$108,3,0)</f>
        <v>0</v>
      </c>
      <c r="J227" s="1964">
        <v>25000</v>
      </c>
      <c r="K227" s="1962">
        <f>I227*J227</f>
        <v>0</v>
      </c>
    </row>
    <row r="228" spans="1:11" ht="12.75" customHeight="1">
      <c r="A228" s="1959" t="s">
        <v>3279</v>
      </c>
      <c r="B228" s="1965" t="s">
        <v>3280</v>
      </c>
      <c r="C228" s="1961" t="str">
        <f>VLOOKUP(B225,'LƯƠNG KT'!$D$16:$V$108,10,0)</f>
        <v>A</v>
      </c>
      <c r="D228" s="1967">
        <f>46.1*$C$1</f>
        <v>30792.956000000002</v>
      </c>
      <c r="E228" s="1962" t="e">
        <f t="shared" ref="E228:E232" si="26">C228*D228</f>
        <v>#VALUE!</v>
      </c>
      <c r="G228" s="1959" t="s">
        <v>3279</v>
      </c>
      <c r="H228" s="1965" t="s">
        <v>3280</v>
      </c>
      <c r="I228" s="1961" t="str">
        <f>VLOOKUP(H225,'LƯƠNG KT'!$D$16:$V$108,10,0)</f>
        <v>B</v>
      </c>
      <c r="J228" s="1967">
        <f>46.1*$C$1</f>
        <v>30792.956000000002</v>
      </c>
      <c r="K228" s="1962" t="e">
        <f t="shared" ref="K228:K232" si="27">I228*J228</f>
        <v>#VALUE!</v>
      </c>
    </row>
    <row r="229" spans="1:11" ht="12.75" customHeight="1">
      <c r="A229" s="1959" t="s">
        <v>3281</v>
      </c>
      <c r="B229" s="1965" t="s">
        <v>3282</v>
      </c>
      <c r="C229" s="1961">
        <f>VLOOKUP(B225,'LƯƠNG KT'!$D$16:$V$108,11,0)</f>
        <v>8247004</v>
      </c>
      <c r="D229" s="1964">
        <f>76.9*$C$1</f>
        <v>51366.124000000003</v>
      </c>
      <c r="E229" s="1962">
        <f t="shared" si="26"/>
        <v>423616630092.49603</v>
      </c>
      <c r="G229" s="1959" t="s">
        <v>3281</v>
      </c>
      <c r="H229" s="1965" t="s">
        <v>3282</v>
      </c>
      <c r="I229" s="1961">
        <f>VLOOKUP(H225,'LƯƠNG KT'!$D$16:$V$108,11,0)</f>
        <v>9396003</v>
      </c>
      <c r="J229" s="1964">
        <f>76.9*$C$1</f>
        <v>51366.124000000003</v>
      </c>
      <c r="K229" s="1962">
        <f t="shared" si="27"/>
        <v>482636255202.37201</v>
      </c>
    </row>
    <row r="230" spans="1:11" ht="12.75" customHeight="1">
      <c r="A230" s="1959" t="s">
        <v>374</v>
      </c>
      <c r="B230" s="1965" t="s">
        <v>3283</v>
      </c>
      <c r="C230" s="1961">
        <f>VLOOKUP(B225,'LƯƠNG KT'!$D$16:$V$108,7,0)</f>
        <v>1995.9300827686918</v>
      </c>
      <c r="D230" s="1964">
        <f>IF(C226="A",6.1,IF(C226="B",5.8,IF(C226="C",5.5,IF(C226="C.",5.5,IF(C226="D",5.2)))))*$C$1</f>
        <v>0</v>
      </c>
      <c r="E230" s="1962">
        <f t="shared" si="26"/>
        <v>0</v>
      </c>
      <c r="G230" s="1959" t="s">
        <v>374</v>
      </c>
      <c r="H230" s="1965" t="s">
        <v>3283</v>
      </c>
      <c r="I230" s="1961">
        <f>VLOOKUP(H225,'LƯƠNG KT'!$D$16:$V$108,7,0)</f>
        <v>2391.6308721761989</v>
      </c>
      <c r="J230" s="1964">
        <f>IF(I226="A",6.1,IF(I226="B",5.8,IF(I226="C",5.5,IF(I226="C.",5.5,IF(I226="D",5.2)))))*$C$1</f>
        <v>0</v>
      </c>
      <c r="K230" s="1962">
        <f t="shared" si="27"/>
        <v>0</v>
      </c>
    </row>
    <row r="231" spans="1:11" ht="12.75" customHeight="1">
      <c r="A231" s="1959" t="s">
        <v>3296</v>
      </c>
      <c r="B231" s="1965" t="s">
        <v>3285</v>
      </c>
      <c r="C231" s="1961">
        <f>VLOOKUP(B225,'LƯƠNG KT'!$D$16:$V$108,12,0)</f>
        <v>27</v>
      </c>
      <c r="D231" s="1967">
        <f>92.2*$C$1</f>
        <v>61585.912000000004</v>
      </c>
      <c r="E231" s="1962">
        <f t="shared" si="26"/>
        <v>1662819.6240000001</v>
      </c>
      <c r="G231" s="1959" t="s">
        <v>3296</v>
      </c>
      <c r="H231" s="1965" t="s">
        <v>3285</v>
      </c>
      <c r="I231" s="1961">
        <f>VLOOKUP(H225,'LƯƠNG KT'!$D$16:$V$108,12,0)</f>
        <v>27</v>
      </c>
      <c r="J231" s="1967">
        <f>92.2*$C$1</f>
        <v>61585.912000000004</v>
      </c>
      <c r="K231" s="1962">
        <f t="shared" si="27"/>
        <v>1662819.6240000001</v>
      </c>
    </row>
    <row r="232" spans="1:11" ht="12.75" customHeight="1">
      <c r="A232" s="1959" t="s">
        <v>3297</v>
      </c>
      <c r="B232" s="1965" t="s">
        <v>3287</v>
      </c>
      <c r="C232" s="1961">
        <f>VLOOKUP(B225,'LƯƠNG KT'!$D$16:$V$108,13,0)</f>
        <v>4</v>
      </c>
      <c r="D232" s="1964">
        <f>153.8*$C$1</f>
        <v>102732.24800000001</v>
      </c>
      <c r="E232" s="1962">
        <f t="shared" si="26"/>
        <v>410928.99200000003</v>
      </c>
      <c r="G232" s="1959" t="s">
        <v>3297</v>
      </c>
      <c r="H232" s="1965" t="s">
        <v>3287</v>
      </c>
      <c r="I232" s="1961">
        <f>VLOOKUP(H225,'LƯƠNG KT'!$D$16:$V$108,13,0)</f>
        <v>4</v>
      </c>
      <c r="J232" s="1964">
        <f>153.8*$C$1</f>
        <v>102732.24800000001</v>
      </c>
      <c r="K232" s="1962">
        <f t="shared" si="27"/>
        <v>410928.99200000003</v>
      </c>
    </row>
    <row r="233" spans="1:11" ht="12.75" customHeight="1">
      <c r="A233" s="1959" t="s">
        <v>3354</v>
      </c>
      <c r="B233" s="1965" t="s">
        <v>3288</v>
      </c>
      <c r="C233" s="1961">
        <f>VLOOKUP(B225,'LƯƠNG KT'!$D$16:$V$108,14,0)</f>
        <v>0</v>
      </c>
      <c r="D233" s="1964">
        <v>100000</v>
      </c>
      <c r="E233" s="1962">
        <f>C233*D233</f>
        <v>0</v>
      </c>
      <c r="G233" s="1959" t="s">
        <v>3354</v>
      </c>
      <c r="H233" s="1965" t="s">
        <v>3288</v>
      </c>
      <c r="I233" s="1961">
        <f>VLOOKUP(H225,'LƯƠNG KT'!$D$16:$V$108,14,0)</f>
        <v>0</v>
      </c>
      <c r="J233" s="1964">
        <v>100000</v>
      </c>
      <c r="K233" s="1962">
        <f>I233*J233</f>
        <v>0</v>
      </c>
    </row>
    <row r="234" spans="1:11" ht="12.75" customHeight="1">
      <c r="A234" s="1959" t="s">
        <v>3355</v>
      </c>
      <c r="B234" s="1965" t="s">
        <v>3288</v>
      </c>
      <c r="C234" s="1961">
        <f>VLOOKUP(B225,'LƯƠNG KT'!$D$16:$V$108,17,0)</f>
        <v>0</v>
      </c>
      <c r="D234" s="1964">
        <v>20000</v>
      </c>
      <c r="E234" s="1962">
        <f>C234*D234</f>
        <v>0</v>
      </c>
      <c r="G234" s="1959" t="s">
        <v>3355</v>
      </c>
      <c r="H234" s="1965" t="s">
        <v>3288</v>
      </c>
      <c r="I234" s="1961">
        <f>VLOOKUP(H225,'LƯƠNG KT'!$D$16:$V$108,17,0)</f>
        <v>0</v>
      </c>
      <c r="J234" s="1964">
        <v>20000</v>
      </c>
      <c r="K234" s="1962">
        <f>I234*J234</f>
        <v>0</v>
      </c>
    </row>
    <row r="235" spans="1:11" ht="12.75" customHeight="1">
      <c r="A235" s="1959" t="s">
        <v>3289</v>
      </c>
      <c r="B235" s="1965" t="s">
        <v>3290</v>
      </c>
      <c r="C235" s="1966"/>
      <c r="D235" s="1964"/>
      <c r="E235" s="1962"/>
      <c r="G235" s="1959" t="s">
        <v>3289</v>
      </c>
      <c r="H235" s="1965" t="s">
        <v>3290</v>
      </c>
      <c r="I235" s="1966"/>
      <c r="J235" s="1964"/>
      <c r="K235" s="1962"/>
    </row>
    <row r="236" spans="1:11" ht="12.75" customHeight="1">
      <c r="A236" s="1968" t="s">
        <v>377</v>
      </c>
      <c r="B236" s="1969" t="s">
        <v>3291</v>
      </c>
      <c r="C236" s="1970"/>
      <c r="D236" s="1971"/>
      <c r="E236" s="1970"/>
      <c r="G236" s="1968" t="s">
        <v>377</v>
      </c>
      <c r="H236" s="1969" t="s">
        <v>3291</v>
      </c>
      <c r="I236" s="1970"/>
      <c r="J236" s="1971"/>
      <c r="K236" s="1970"/>
    </row>
    <row r="237" spans="1:11" ht="12.75" customHeight="1">
      <c r="A237" s="1972" t="s">
        <v>379</v>
      </c>
      <c r="B237" s="1973" t="s">
        <v>3292</v>
      </c>
      <c r="C237" s="1970"/>
      <c r="D237" s="1970"/>
      <c r="E237" s="1970"/>
      <c r="G237" s="1972" t="s">
        <v>379</v>
      </c>
      <c r="H237" s="1973" t="s">
        <v>3292</v>
      </c>
      <c r="I237" s="1970"/>
      <c r="J237" s="1970"/>
      <c r="K237" s="1970"/>
    </row>
    <row r="238" spans="1:11" ht="12.75" customHeight="1">
      <c r="A238" s="1972" t="s">
        <v>381</v>
      </c>
      <c r="B238" s="1974" t="s">
        <v>3293</v>
      </c>
      <c r="C238" s="1970"/>
      <c r="D238" s="1970"/>
      <c r="E238" s="1962">
        <f>SUM(E237)</f>
        <v>0</v>
      </c>
      <c r="G238" s="1972" t="s">
        <v>381</v>
      </c>
      <c r="H238" s="1974" t="s">
        <v>3293</v>
      </c>
      <c r="I238" s="1970"/>
      <c r="J238" s="1970"/>
      <c r="K238" s="1962">
        <f>SUM(K237)</f>
        <v>0</v>
      </c>
    </row>
    <row r="239" spans="1:11" ht="12.75" customHeight="1">
      <c r="A239" s="1975" t="s">
        <v>383</v>
      </c>
      <c r="B239" s="1976" t="s">
        <v>3294</v>
      </c>
      <c r="C239" s="1977"/>
      <c r="D239" s="1977"/>
      <c r="E239" s="1978" t="e">
        <f>(E227+E228+E229+E230+E231+E232+E233+E234+E235)-E238</f>
        <v>#VALUE!</v>
      </c>
      <c r="G239" s="1975" t="s">
        <v>383</v>
      </c>
      <c r="H239" s="1976" t="s">
        <v>3294</v>
      </c>
      <c r="I239" s="1977"/>
      <c r="J239" s="1977"/>
      <c r="K239" s="1978" t="e">
        <f>(K227+K228+K229+K230+K231+K232+K233+K234+K235)-K238</f>
        <v>#VALUE!</v>
      </c>
    </row>
    <row r="241" spans="1:11" ht="12.75" customHeight="1">
      <c r="A241" s="2953" t="s">
        <v>3356</v>
      </c>
      <c r="B241" s="2954"/>
      <c r="C241" s="2954"/>
      <c r="D241" s="2954"/>
      <c r="E241" s="1955">
        <f>VLOOKUP(B242,'LƯƠNG KT'!$D$16:$AD$108,25,0)</f>
        <v>0</v>
      </c>
      <c r="G241" s="2953" t="s">
        <v>3356</v>
      </c>
      <c r="H241" s="2954"/>
      <c r="I241" s="2954"/>
      <c r="J241" s="2954"/>
      <c r="K241" s="1955">
        <f>VLOOKUP(H242,'LƯƠNG KT'!$D$16:$AD$108,25,0)</f>
        <v>0</v>
      </c>
    </row>
    <row r="242" spans="1:11" ht="12.75" customHeight="1">
      <c r="A242" s="1956" t="s">
        <v>356</v>
      </c>
      <c r="B242" s="1956" t="str">
        <f>'LƯƠNG KT'!$D$44</f>
        <v>Thảo Xiều</v>
      </c>
      <c r="C242" s="1957"/>
      <c r="D242" s="1958" t="s">
        <v>2357</v>
      </c>
      <c r="E242" s="1958" t="s">
        <v>2156</v>
      </c>
      <c r="G242" s="1956" t="s">
        <v>356</v>
      </c>
      <c r="H242" s="1956" t="str">
        <f>'LƯƠNG KT'!$D$45</f>
        <v>Văn Na Nọi</v>
      </c>
      <c r="I242" s="1957"/>
      <c r="J242" s="1958" t="s">
        <v>2357</v>
      </c>
      <c r="K242" s="1958" t="s">
        <v>2156</v>
      </c>
    </row>
    <row r="243" spans="1:11" ht="12.75" customHeight="1">
      <c r="A243" s="1959" t="s">
        <v>3005</v>
      </c>
      <c r="B243" s="1960" t="s">
        <v>3278</v>
      </c>
      <c r="C243" s="1961">
        <f>VLOOKUP(B242,'LƯƠNG KT'!$D$16:$M$108,8,0)</f>
        <v>246.27958788003073</v>
      </c>
      <c r="D243" s="1962"/>
      <c r="E243" s="1962"/>
      <c r="G243" s="1959" t="s">
        <v>3005</v>
      </c>
      <c r="H243" s="1960" t="s">
        <v>3278</v>
      </c>
      <c r="I243" s="1961">
        <f>VLOOKUP(H242,'LƯƠNG KT'!$D$16:$M$108,8,0)</f>
        <v>280.64035815167722</v>
      </c>
      <c r="J243" s="1962"/>
      <c r="K243" s="1962"/>
    </row>
    <row r="244" spans="1:11" ht="12.75" customHeight="1">
      <c r="A244" s="1959" t="s">
        <v>359</v>
      </c>
      <c r="B244" s="1963" t="s">
        <v>2090</v>
      </c>
      <c r="C244" s="1961">
        <f>VLOOKUP(B242,'LƯƠNG KT'!$D$16:$V$108,3,0)</f>
        <v>0</v>
      </c>
      <c r="D244" s="1964">
        <v>25000</v>
      </c>
      <c r="E244" s="1962">
        <f>C244*D244</f>
        <v>0</v>
      </c>
      <c r="G244" s="1959" t="s">
        <v>359</v>
      </c>
      <c r="H244" s="1963" t="s">
        <v>2090</v>
      </c>
      <c r="I244" s="1961">
        <f>VLOOKUP(H242,'LƯƠNG KT'!$D$16:$V$108,3,0)</f>
        <v>0</v>
      </c>
      <c r="J244" s="1964">
        <v>25000</v>
      </c>
      <c r="K244" s="1962">
        <f>I244*J244</f>
        <v>0</v>
      </c>
    </row>
    <row r="245" spans="1:11" ht="12.75" customHeight="1">
      <c r="A245" s="1959" t="s">
        <v>3279</v>
      </c>
      <c r="B245" s="1965" t="s">
        <v>3280</v>
      </c>
      <c r="C245" s="1961" t="str">
        <f>VLOOKUP(B242,'LƯƠNG KT'!$D$16:$V$108,10,0)</f>
        <v>A</v>
      </c>
      <c r="D245" s="1967">
        <f>46.1*$C$1</f>
        <v>30792.956000000002</v>
      </c>
      <c r="E245" s="1962" t="e">
        <f t="shared" ref="E245:E249" si="28">C245*D245</f>
        <v>#VALUE!</v>
      </c>
      <c r="G245" s="1959" t="s">
        <v>3279</v>
      </c>
      <c r="H245" s="1965" t="s">
        <v>3280</v>
      </c>
      <c r="I245" s="1961" t="str">
        <f>VLOOKUP(H242,'LƯƠNG KT'!$D$16:$V$108,10,0)</f>
        <v>A</v>
      </c>
      <c r="J245" s="1967">
        <f>46.1*$C$1</f>
        <v>30792.956000000002</v>
      </c>
      <c r="K245" s="1962" t="e">
        <f t="shared" ref="K245:K249" si="29">I245*J245</f>
        <v>#VALUE!</v>
      </c>
    </row>
    <row r="246" spans="1:11" ht="12.75" customHeight="1">
      <c r="A246" s="1959" t="s">
        <v>3281</v>
      </c>
      <c r="B246" s="1965" t="s">
        <v>3282</v>
      </c>
      <c r="C246" s="1961">
        <f>VLOOKUP(B242,'LƯƠNG KT'!$D$16:$V$108,11,0)</f>
        <v>7892256</v>
      </c>
      <c r="D246" s="1964">
        <f>76.9*$C$1</f>
        <v>51366.124000000003</v>
      </c>
      <c r="E246" s="1962">
        <f t="shared" si="28"/>
        <v>405394600335.74402</v>
      </c>
      <c r="G246" s="1959" t="s">
        <v>3281</v>
      </c>
      <c r="H246" s="1965" t="s">
        <v>3282</v>
      </c>
      <c r="I246" s="1961">
        <f>VLOOKUP(H242,'LƯƠNG KT'!$D$16:$V$108,11,0)</f>
        <v>8993378</v>
      </c>
      <c r="J246" s="1964">
        <f>76.9*$C$1</f>
        <v>51366.124000000003</v>
      </c>
      <c r="K246" s="1962">
        <f t="shared" si="29"/>
        <v>461954969526.87201</v>
      </c>
    </row>
    <row r="247" spans="1:11" ht="12.75" customHeight="1">
      <c r="A247" s="1959" t="s">
        <v>374</v>
      </c>
      <c r="B247" s="1965" t="s">
        <v>3283</v>
      </c>
      <c r="C247" s="1961">
        <f>VLOOKUP(B242,'LƯƠNG KT'!$D$16:$V$108,7,0)</f>
        <v>1910.0744872151834</v>
      </c>
      <c r="D247" s="1964">
        <f>IF(C243="A",6.1,IF(C243="B",5.8,IF(C243="C",5.5,IF(C243="C.",5.5,IF(C243="D",5.2)))))*$C$1</f>
        <v>0</v>
      </c>
      <c r="E247" s="1962">
        <f t="shared" si="28"/>
        <v>0</v>
      </c>
      <c r="G247" s="1959" t="s">
        <v>374</v>
      </c>
      <c r="H247" s="1965" t="s">
        <v>3283</v>
      </c>
      <c r="I247" s="1961">
        <f>VLOOKUP(H242,'LƯƠNG KT'!$D$16:$V$108,7,0)</f>
        <v>2176.5668555916677</v>
      </c>
      <c r="J247" s="1964">
        <f>IF(I243="A",6.1,IF(I243="B",5.8,IF(I243="C",5.5,IF(I243="C.",5.5,IF(I243="D",5.2)))))*$C$1</f>
        <v>0</v>
      </c>
      <c r="K247" s="1962">
        <f t="shared" si="29"/>
        <v>0</v>
      </c>
    </row>
    <row r="248" spans="1:11" ht="12.75" customHeight="1">
      <c r="A248" s="1959" t="s">
        <v>3296</v>
      </c>
      <c r="B248" s="1965" t="s">
        <v>3285</v>
      </c>
      <c r="C248" s="1961">
        <f>VLOOKUP(B242,'LƯƠNG KT'!$D$16:$V$108,12,0)</f>
        <v>27</v>
      </c>
      <c r="D248" s="1967">
        <f>92.2*$C$1</f>
        <v>61585.912000000004</v>
      </c>
      <c r="E248" s="1962">
        <f t="shared" si="28"/>
        <v>1662819.6240000001</v>
      </c>
      <c r="G248" s="1959" t="s">
        <v>3296</v>
      </c>
      <c r="H248" s="1965" t="s">
        <v>3285</v>
      </c>
      <c r="I248" s="1961">
        <f>VLOOKUP(H242,'LƯƠNG KT'!$D$16:$V$108,12,0)</f>
        <v>27</v>
      </c>
      <c r="J248" s="1967">
        <f>92.2*$C$1</f>
        <v>61585.912000000004</v>
      </c>
      <c r="K248" s="1962">
        <f t="shared" si="29"/>
        <v>1662819.6240000001</v>
      </c>
    </row>
    <row r="249" spans="1:11" ht="12.75" customHeight="1">
      <c r="A249" s="1959" t="s">
        <v>3297</v>
      </c>
      <c r="B249" s="1965" t="s">
        <v>3287</v>
      </c>
      <c r="C249" s="1961">
        <f>VLOOKUP(B242,'LƯƠNG KT'!$D$16:$V$108,13,0)</f>
        <v>4</v>
      </c>
      <c r="D249" s="1964">
        <f>153.8*$C$1</f>
        <v>102732.24800000001</v>
      </c>
      <c r="E249" s="1962">
        <f t="shared" si="28"/>
        <v>410928.99200000003</v>
      </c>
      <c r="G249" s="1959" t="s">
        <v>3297</v>
      </c>
      <c r="H249" s="1965" t="s">
        <v>3287</v>
      </c>
      <c r="I249" s="1961">
        <f>VLOOKUP(H242,'LƯƠNG KT'!$D$16:$V$108,13,0)</f>
        <v>4</v>
      </c>
      <c r="J249" s="1964">
        <f>153.8*$C$1</f>
        <v>102732.24800000001</v>
      </c>
      <c r="K249" s="1962">
        <f t="shared" si="29"/>
        <v>410928.99200000003</v>
      </c>
    </row>
    <row r="250" spans="1:11" ht="12.75" customHeight="1">
      <c r="A250" s="1959" t="s">
        <v>3354</v>
      </c>
      <c r="B250" s="1965" t="s">
        <v>3288</v>
      </c>
      <c r="C250" s="1961">
        <f>VLOOKUP(B242,'LƯƠNG KT'!$D$16:$V$108,14,0)</f>
        <v>0</v>
      </c>
      <c r="D250" s="1964">
        <v>100000</v>
      </c>
      <c r="E250" s="1962">
        <f>C250*D250</f>
        <v>0</v>
      </c>
      <c r="G250" s="1959" t="s">
        <v>3354</v>
      </c>
      <c r="H250" s="1965" t="s">
        <v>3288</v>
      </c>
      <c r="I250" s="1961">
        <f>VLOOKUP(H242,'LƯƠNG KT'!$D$16:$V$108,14,0)</f>
        <v>0</v>
      </c>
      <c r="J250" s="1964">
        <v>100000</v>
      </c>
      <c r="K250" s="1962">
        <f>I250*J250</f>
        <v>0</v>
      </c>
    </row>
    <row r="251" spans="1:11" ht="12.75" customHeight="1">
      <c r="A251" s="1959" t="s">
        <v>3355</v>
      </c>
      <c r="B251" s="1965" t="s">
        <v>3288</v>
      </c>
      <c r="C251" s="1961">
        <f>VLOOKUP(B242,'LƯƠNG KT'!$D$16:$V$108,17,0)</f>
        <v>0</v>
      </c>
      <c r="D251" s="1964">
        <v>20000</v>
      </c>
      <c r="E251" s="1962">
        <f>C251*D251</f>
        <v>0</v>
      </c>
      <c r="G251" s="1959" t="s">
        <v>3355</v>
      </c>
      <c r="H251" s="1965" t="s">
        <v>3288</v>
      </c>
      <c r="I251" s="1961">
        <f>VLOOKUP(H242,'LƯƠNG KT'!$D$16:$V$108,17,0)</f>
        <v>0</v>
      </c>
      <c r="J251" s="1964">
        <v>20000</v>
      </c>
      <c r="K251" s="1962">
        <f>I251*J251</f>
        <v>0</v>
      </c>
    </row>
    <row r="252" spans="1:11" ht="12.75" customHeight="1">
      <c r="A252" s="1959" t="s">
        <v>3289</v>
      </c>
      <c r="B252" s="1965" t="s">
        <v>3290</v>
      </c>
      <c r="C252" s="1966"/>
      <c r="D252" s="1964"/>
      <c r="E252" s="1962"/>
      <c r="G252" s="1959" t="s">
        <v>3289</v>
      </c>
      <c r="H252" s="1965" t="s">
        <v>3290</v>
      </c>
      <c r="I252" s="1966"/>
      <c r="J252" s="1964"/>
      <c r="K252" s="1962"/>
    </row>
    <row r="253" spans="1:11" ht="12.75" customHeight="1">
      <c r="A253" s="1968" t="s">
        <v>377</v>
      </c>
      <c r="B253" s="1969" t="s">
        <v>3291</v>
      </c>
      <c r="C253" s="1970"/>
      <c r="D253" s="1971"/>
      <c r="E253" s="1970"/>
      <c r="G253" s="1968" t="s">
        <v>377</v>
      </c>
      <c r="H253" s="1969" t="s">
        <v>3291</v>
      </c>
      <c r="I253" s="1970"/>
      <c r="J253" s="1971"/>
      <c r="K253" s="1970"/>
    </row>
    <row r="254" spans="1:11" ht="12.75" customHeight="1">
      <c r="A254" s="1972" t="s">
        <v>379</v>
      </c>
      <c r="B254" s="1973" t="s">
        <v>3292</v>
      </c>
      <c r="C254" s="1970"/>
      <c r="D254" s="1970"/>
      <c r="E254" s="1970"/>
      <c r="G254" s="1972" t="s">
        <v>379</v>
      </c>
      <c r="H254" s="1973" t="s">
        <v>3292</v>
      </c>
      <c r="I254" s="1970"/>
      <c r="J254" s="1970"/>
      <c r="K254" s="1970"/>
    </row>
    <row r="255" spans="1:11" ht="12.75" customHeight="1">
      <c r="A255" s="1972" t="s">
        <v>381</v>
      </c>
      <c r="B255" s="1974" t="s">
        <v>3293</v>
      </c>
      <c r="C255" s="1970"/>
      <c r="D255" s="1970"/>
      <c r="E255" s="1962">
        <f>SUM(E254)</f>
        <v>0</v>
      </c>
      <c r="G255" s="1972" t="s">
        <v>381</v>
      </c>
      <c r="H255" s="1974" t="s">
        <v>3293</v>
      </c>
      <c r="I255" s="1970"/>
      <c r="J255" s="1970"/>
      <c r="K255" s="1962">
        <f>SUM(K254)</f>
        <v>0</v>
      </c>
    </row>
    <row r="256" spans="1:11" ht="12.75" customHeight="1">
      <c r="A256" s="1975" t="s">
        <v>383</v>
      </c>
      <c r="B256" s="1976" t="s">
        <v>3294</v>
      </c>
      <c r="C256" s="1977"/>
      <c r="D256" s="1977"/>
      <c r="E256" s="1978" t="e">
        <f>(E244+E245+E246+E247+E248+E249+E250+E251+E252)-E255</f>
        <v>#VALUE!</v>
      </c>
      <c r="G256" s="1975" t="s">
        <v>383</v>
      </c>
      <c r="H256" s="1976" t="s">
        <v>3294</v>
      </c>
      <c r="I256" s="1977"/>
      <c r="J256" s="1977"/>
      <c r="K256" s="1978" t="e">
        <f>(K244+K245+K246+K247+K248+K249+K250+K251+K252)-K255</f>
        <v>#VALUE!</v>
      </c>
    </row>
    <row r="257" spans="1:11" ht="55.5" customHeight="1"/>
    <row r="258" spans="1:11" ht="12.75" customHeight="1">
      <c r="A258" s="2953" t="s">
        <v>3356</v>
      </c>
      <c r="B258" s="2954"/>
      <c r="C258" s="2954"/>
      <c r="D258" s="2954"/>
      <c r="E258" s="1955">
        <f>VLOOKUP(B259,'LƯƠNG KT'!$D$16:$AD$108,25,0)</f>
        <v>0</v>
      </c>
      <c r="G258" s="2953" t="s">
        <v>3356</v>
      </c>
      <c r="H258" s="2954"/>
      <c r="I258" s="2954"/>
      <c r="J258" s="2954"/>
      <c r="K258" s="1955">
        <f>VLOOKUP(H259,'LƯƠNG KT'!$D$16:$AD$108,25,0)</f>
        <v>0</v>
      </c>
    </row>
    <row r="259" spans="1:11" ht="12.75" customHeight="1">
      <c r="A259" s="1956" t="s">
        <v>356</v>
      </c>
      <c r="B259" s="1956" t="str">
        <f>'LƯƠNG KT'!$D$46</f>
        <v>T. Ta</v>
      </c>
      <c r="C259" s="1957"/>
      <c r="D259" s="1958" t="s">
        <v>2357</v>
      </c>
      <c r="E259" s="1958" t="s">
        <v>2156</v>
      </c>
      <c r="G259" s="1956" t="s">
        <v>356</v>
      </c>
      <c r="H259" s="1956" t="str">
        <f>'LƯƠNG KT'!$D$47</f>
        <v>Phon Xa May</v>
      </c>
      <c r="I259" s="1957"/>
      <c r="J259" s="1958" t="s">
        <v>2357</v>
      </c>
      <c r="K259" s="1958" t="s">
        <v>2156</v>
      </c>
    </row>
    <row r="260" spans="1:11" ht="12.75" customHeight="1">
      <c r="A260" s="1959" t="s">
        <v>3005</v>
      </c>
      <c r="B260" s="1960" t="s">
        <v>3278</v>
      </c>
      <c r="C260" s="1961">
        <f>VLOOKUP(B259,'LƯƠNG KT'!$D$16:$M$108,8,0)</f>
        <v>253.40383052008502</v>
      </c>
      <c r="D260" s="1962"/>
      <c r="E260" s="1962"/>
      <c r="G260" s="1959" t="s">
        <v>3005</v>
      </c>
      <c r="H260" s="1960" t="s">
        <v>3278</v>
      </c>
      <c r="I260" s="1961">
        <f>VLOOKUP(H259,'LƯƠNG KT'!$D$16:$M$108,8,0)</f>
        <v>254.11625478409044</v>
      </c>
      <c r="J260" s="1962"/>
      <c r="K260" s="1962"/>
    </row>
    <row r="261" spans="1:11" ht="12.75" customHeight="1">
      <c r="A261" s="1959" t="s">
        <v>359</v>
      </c>
      <c r="B261" s="1963" t="s">
        <v>2090</v>
      </c>
      <c r="C261" s="1961">
        <f>VLOOKUP(B259,'LƯƠNG KT'!$D$16:$V$108,3,0)</f>
        <v>0</v>
      </c>
      <c r="D261" s="1964">
        <v>25000</v>
      </c>
      <c r="E261" s="1962">
        <f>C261*D261</f>
        <v>0</v>
      </c>
      <c r="G261" s="1959" t="s">
        <v>359</v>
      </c>
      <c r="H261" s="1963" t="s">
        <v>2090</v>
      </c>
      <c r="I261" s="1961">
        <f>VLOOKUP(H259,'LƯƠNG KT'!$D$16:$V$108,3,0)</f>
        <v>0</v>
      </c>
      <c r="J261" s="1964">
        <v>25000</v>
      </c>
      <c r="K261" s="1962">
        <f>I261*J261</f>
        <v>0</v>
      </c>
    </row>
    <row r="262" spans="1:11" ht="12.75" customHeight="1">
      <c r="A262" s="1959" t="s">
        <v>3279</v>
      </c>
      <c r="B262" s="1965" t="s">
        <v>3280</v>
      </c>
      <c r="C262" s="1961" t="str">
        <f>VLOOKUP(B259,'LƯƠNG KT'!$D$16:$V$108,10,0)</f>
        <v>A</v>
      </c>
      <c r="D262" s="1967">
        <f>46.1*$C$1</f>
        <v>30792.956000000002</v>
      </c>
      <c r="E262" s="1962" t="e">
        <f t="shared" ref="E262:E266" si="30">C262*D262</f>
        <v>#VALUE!</v>
      </c>
      <c r="G262" s="1959" t="s">
        <v>3279</v>
      </c>
      <c r="H262" s="1965" t="s">
        <v>3280</v>
      </c>
      <c r="I262" s="1961" t="str">
        <f>VLOOKUP(H259,'LƯƠNG KT'!$D$16:$V$108,10,0)</f>
        <v>A</v>
      </c>
      <c r="J262" s="1967">
        <f>46.1*$C$1</f>
        <v>30792.956000000002</v>
      </c>
      <c r="K262" s="1962" t="e">
        <f t="shared" ref="K262:K266" si="31">I262*J262</f>
        <v>#VALUE!</v>
      </c>
    </row>
    <row r="263" spans="1:11" ht="12.75" customHeight="1">
      <c r="A263" s="1959" t="s">
        <v>3281</v>
      </c>
      <c r="B263" s="1965" t="s">
        <v>3282</v>
      </c>
      <c r="C263" s="1961">
        <f>VLOOKUP(B259,'LƯƠNG KT'!$D$16:$V$108,11,0)</f>
        <v>8120559</v>
      </c>
      <c r="D263" s="1964">
        <f>76.9*$C$1</f>
        <v>51366.124000000003</v>
      </c>
      <c r="E263" s="1962">
        <f t="shared" si="30"/>
        <v>417121640543.31604</v>
      </c>
      <c r="G263" s="1959" t="s">
        <v>3281</v>
      </c>
      <c r="H263" s="1965" t="s">
        <v>3282</v>
      </c>
      <c r="I263" s="1961">
        <f>VLOOKUP(H259,'LƯƠNG KT'!$D$16:$V$108,11,0)</f>
        <v>8143389</v>
      </c>
      <c r="J263" s="1964">
        <f>76.9*$C$1</f>
        <v>51366.124000000003</v>
      </c>
      <c r="K263" s="1962">
        <f t="shared" si="31"/>
        <v>418294329154.23602</v>
      </c>
    </row>
    <row r="264" spans="1:11" ht="12.75" customHeight="1">
      <c r="A264" s="1959" t="s">
        <v>374</v>
      </c>
      <c r="B264" s="1965" t="s">
        <v>3283</v>
      </c>
      <c r="C264" s="1961">
        <f>VLOOKUP(B259,'LƯƠNG KT'!$D$16:$V$108,7,0)</f>
        <v>1965.328088313976</v>
      </c>
      <c r="D264" s="1964">
        <f>IF(C260="A",6.1,IF(C260="B",5.8,IF(C260="C",5.5,IF(C260="C.",5.5,IF(C260="D",5.2)))))*$C$1</f>
        <v>0</v>
      </c>
      <c r="E264" s="1962">
        <f t="shared" si="30"/>
        <v>0</v>
      </c>
      <c r="G264" s="1959" t="s">
        <v>374</v>
      </c>
      <c r="H264" s="1965" t="s">
        <v>3283</v>
      </c>
      <c r="I264" s="1961">
        <f>VLOOKUP(H259,'LƯƠNG KT'!$D$16:$V$108,7,0)</f>
        <v>1970.8534484238553</v>
      </c>
      <c r="J264" s="1964">
        <f>IF(I260="A",6.1,IF(I260="B",5.8,IF(I260="C",5.5,IF(I260="C.",5.5,IF(I260="D",5.2)))))*$C$1</f>
        <v>0</v>
      </c>
      <c r="K264" s="1962">
        <f t="shared" si="31"/>
        <v>0</v>
      </c>
    </row>
    <row r="265" spans="1:11" ht="12.75" customHeight="1">
      <c r="A265" s="1959" t="s">
        <v>3296</v>
      </c>
      <c r="B265" s="1965" t="s">
        <v>3285</v>
      </c>
      <c r="C265" s="1961">
        <f>VLOOKUP(B259,'LƯƠNG KT'!$D$16:$V$108,12,0)</f>
        <v>27</v>
      </c>
      <c r="D265" s="1967">
        <f>92.2*$C$1</f>
        <v>61585.912000000004</v>
      </c>
      <c r="E265" s="1962">
        <f t="shared" si="30"/>
        <v>1662819.6240000001</v>
      </c>
      <c r="G265" s="1959" t="s">
        <v>3296</v>
      </c>
      <c r="H265" s="1965" t="s">
        <v>3285</v>
      </c>
      <c r="I265" s="1961">
        <f>VLOOKUP(H259,'LƯƠNG KT'!$D$16:$V$108,12,0)</f>
        <v>27</v>
      </c>
      <c r="J265" s="1967">
        <f>92.2*$C$1</f>
        <v>61585.912000000004</v>
      </c>
      <c r="K265" s="1962">
        <f t="shared" si="31"/>
        <v>1662819.6240000001</v>
      </c>
    </row>
    <row r="266" spans="1:11" ht="12.75" customHeight="1">
      <c r="A266" s="1959" t="s">
        <v>3297</v>
      </c>
      <c r="B266" s="1965" t="s">
        <v>3287</v>
      </c>
      <c r="C266" s="1961">
        <f>VLOOKUP(B259,'LƯƠNG KT'!$D$16:$V$108,13,0)</f>
        <v>4</v>
      </c>
      <c r="D266" s="1964">
        <f>153.8*$C$1</f>
        <v>102732.24800000001</v>
      </c>
      <c r="E266" s="1962">
        <f t="shared" si="30"/>
        <v>410928.99200000003</v>
      </c>
      <c r="G266" s="1959" t="s">
        <v>3297</v>
      </c>
      <c r="H266" s="1965" t="s">
        <v>3287</v>
      </c>
      <c r="I266" s="1961">
        <f>VLOOKUP(H259,'LƯƠNG KT'!$D$16:$V$108,13,0)</f>
        <v>4</v>
      </c>
      <c r="J266" s="1964">
        <f>153.8*$C$1</f>
        <v>102732.24800000001</v>
      </c>
      <c r="K266" s="1962">
        <f t="shared" si="31"/>
        <v>410928.99200000003</v>
      </c>
    </row>
    <row r="267" spans="1:11" ht="12.75" customHeight="1">
      <c r="A267" s="1959" t="s">
        <v>3354</v>
      </c>
      <c r="B267" s="1965" t="s">
        <v>3288</v>
      </c>
      <c r="C267" s="1961">
        <f>VLOOKUP(B259,'LƯƠNG KT'!$D$16:$V$108,14,0)</f>
        <v>0</v>
      </c>
      <c r="D267" s="1964">
        <v>100000</v>
      </c>
      <c r="E267" s="1962">
        <f>C267*D267</f>
        <v>0</v>
      </c>
      <c r="G267" s="1959" t="s">
        <v>3354</v>
      </c>
      <c r="H267" s="1965" t="s">
        <v>3288</v>
      </c>
      <c r="I267" s="1961">
        <f>VLOOKUP(H259,'LƯƠNG KT'!$D$16:$V$108,14,0)</f>
        <v>0</v>
      </c>
      <c r="J267" s="1964">
        <v>100000</v>
      </c>
      <c r="K267" s="1962">
        <f>I267*J267</f>
        <v>0</v>
      </c>
    </row>
    <row r="268" spans="1:11" ht="12.75" customHeight="1">
      <c r="A268" s="1959" t="s">
        <v>3355</v>
      </c>
      <c r="B268" s="1965" t="s">
        <v>3288</v>
      </c>
      <c r="C268" s="1961">
        <f>VLOOKUP(B259,'LƯƠNG KT'!$D$16:$V$108,17,0)</f>
        <v>0</v>
      </c>
      <c r="D268" s="1964">
        <v>20000</v>
      </c>
      <c r="E268" s="1962">
        <f>C268*D268</f>
        <v>0</v>
      </c>
      <c r="G268" s="1959" t="s">
        <v>3355</v>
      </c>
      <c r="H268" s="1965" t="s">
        <v>3288</v>
      </c>
      <c r="I268" s="1961">
        <f>VLOOKUP(H259,'LƯƠNG KT'!$D$16:$V$108,17,0)</f>
        <v>0</v>
      </c>
      <c r="J268" s="1964">
        <v>20000</v>
      </c>
      <c r="K268" s="1962">
        <f>I268*J268</f>
        <v>0</v>
      </c>
    </row>
    <row r="269" spans="1:11" ht="12.75" customHeight="1">
      <c r="A269" s="1959" t="s">
        <v>3289</v>
      </c>
      <c r="B269" s="1965" t="s">
        <v>3290</v>
      </c>
      <c r="C269" s="1966"/>
      <c r="D269" s="1964"/>
      <c r="E269" s="1962"/>
      <c r="G269" s="1959" t="s">
        <v>3289</v>
      </c>
      <c r="H269" s="1965" t="s">
        <v>3290</v>
      </c>
      <c r="I269" s="1966"/>
      <c r="J269" s="1964"/>
      <c r="K269" s="1962"/>
    </row>
    <row r="270" spans="1:11" ht="12.75" customHeight="1">
      <c r="A270" s="1968" t="s">
        <v>377</v>
      </c>
      <c r="B270" s="1969" t="s">
        <v>3291</v>
      </c>
      <c r="C270" s="1970"/>
      <c r="D270" s="1971"/>
      <c r="E270" s="1970"/>
      <c r="G270" s="1968" t="s">
        <v>377</v>
      </c>
      <c r="H270" s="1969" t="s">
        <v>3291</v>
      </c>
      <c r="I270" s="1970"/>
      <c r="J270" s="1971"/>
      <c r="K270" s="1970"/>
    </row>
    <row r="271" spans="1:11" ht="12.75" customHeight="1">
      <c r="A271" s="1972" t="s">
        <v>379</v>
      </c>
      <c r="B271" s="1973" t="s">
        <v>3292</v>
      </c>
      <c r="C271" s="1970"/>
      <c r="D271" s="1970"/>
      <c r="E271" s="1970"/>
      <c r="G271" s="1972" t="s">
        <v>379</v>
      </c>
      <c r="H271" s="1973" t="s">
        <v>3292</v>
      </c>
      <c r="I271" s="1970"/>
      <c r="J271" s="1970"/>
      <c r="K271" s="1970"/>
    </row>
    <row r="272" spans="1:11" ht="12.75" customHeight="1">
      <c r="A272" s="1972" t="s">
        <v>381</v>
      </c>
      <c r="B272" s="1974" t="s">
        <v>3293</v>
      </c>
      <c r="C272" s="1970"/>
      <c r="D272" s="1970"/>
      <c r="E272" s="1962">
        <f>SUM(E271)</f>
        <v>0</v>
      </c>
      <c r="G272" s="1972" t="s">
        <v>381</v>
      </c>
      <c r="H272" s="1974" t="s">
        <v>3293</v>
      </c>
      <c r="I272" s="1970"/>
      <c r="J272" s="1970"/>
      <c r="K272" s="1962">
        <f>SUM(K271)</f>
        <v>0</v>
      </c>
    </row>
    <row r="273" spans="1:11" ht="12.75" customHeight="1">
      <c r="A273" s="1975" t="s">
        <v>383</v>
      </c>
      <c r="B273" s="1976" t="s">
        <v>3294</v>
      </c>
      <c r="C273" s="1977"/>
      <c r="D273" s="1977"/>
      <c r="E273" s="1978" t="e">
        <f>(E261+E262+E263+E264+E265+E266+E267+E268+E269)-E272</f>
        <v>#VALUE!</v>
      </c>
      <c r="G273" s="1975" t="s">
        <v>383</v>
      </c>
      <c r="H273" s="1976" t="s">
        <v>3294</v>
      </c>
      <c r="I273" s="1977"/>
      <c r="J273" s="1977"/>
      <c r="K273" s="1978" t="e">
        <f>(K261+K262+K263+K264+K265+K266+K267+K268+K269)-K272</f>
        <v>#VALUE!</v>
      </c>
    </row>
    <row r="275" spans="1:11" ht="12.75" customHeight="1">
      <c r="A275" s="2953" t="s">
        <v>3356</v>
      </c>
      <c r="B275" s="2954"/>
      <c r="C275" s="2954"/>
      <c r="D275" s="2954"/>
      <c r="E275" s="1955">
        <f>VLOOKUP(B276,'LƯƠNG KT'!$D$16:$AD$108,25,0)</f>
        <v>0</v>
      </c>
      <c r="G275" s="2953" t="s">
        <v>3356</v>
      </c>
      <c r="H275" s="2954"/>
      <c r="I275" s="2954"/>
      <c r="J275" s="2954"/>
      <c r="K275" s="1955">
        <f>VLOOKUP(H276,'LƯƠNG KT'!$D$16:$AD$108,25,0)</f>
        <v>0</v>
      </c>
    </row>
    <row r="276" spans="1:11" ht="12.75" customHeight="1">
      <c r="A276" s="1956" t="s">
        <v>356</v>
      </c>
      <c r="B276" s="1956" t="str">
        <f>'LƯƠNG KT'!$D$48</f>
        <v>T. Ừm</v>
      </c>
      <c r="C276" s="1957"/>
      <c r="D276" s="1958" t="s">
        <v>2357</v>
      </c>
      <c r="E276" s="1958" t="s">
        <v>2156</v>
      </c>
      <c r="G276" s="1956" t="s">
        <v>356</v>
      </c>
      <c r="H276" s="1956" t="str">
        <f>'LƯƠNG KT'!$D$49</f>
        <v>T. Phù</v>
      </c>
      <c r="I276" s="1957"/>
      <c r="J276" s="1958" t="s">
        <v>2357</v>
      </c>
      <c r="K276" s="1958" t="s">
        <v>2156</v>
      </c>
    </row>
    <row r="277" spans="1:11" ht="12.75" customHeight="1">
      <c r="A277" s="1959" t="s">
        <v>3005</v>
      </c>
      <c r="B277" s="1960" t="s">
        <v>3278</v>
      </c>
      <c r="C277" s="1961">
        <f>VLOOKUP(B276,'LƯƠNG KT'!$D$16:$M$108,8,0)</f>
        <v>208.52110188774296</v>
      </c>
      <c r="D277" s="1962"/>
      <c r="E277" s="1962"/>
      <c r="G277" s="1959" t="s">
        <v>3005</v>
      </c>
      <c r="H277" s="1960" t="s">
        <v>3278</v>
      </c>
      <c r="I277" s="1961">
        <f>VLOOKUP(H276,'LƯƠNG KT'!$D$16:$M$108,8,0)</f>
        <v>224.63285062755807</v>
      </c>
      <c r="J277" s="1962"/>
      <c r="K277" s="1962"/>
    </row>
    <row r="278" spans="1:11" ht="12.75" customHeight="1">
      <c r="A278" s="1959" t="s">
        <v>359</v>
      </c>
      <c r="B278" s="1963" t="s">
        <v>2090</v>
      </c>
      <c r="C278" s="1961">
        <f>VLOOKUP(B276,'LƯƠNG KT'!$D$16:$V$108,3,0)</f>
        <v>0</v>
      </c>
      <c r="D278" s="1964">
        <v>25000</v>
      </c>
      <c r="E278" s="1962">
        <f>C278*D278</f>
        <v>0</v>
      </c>
      <c r="G278" s="1959" t="s">
        <v>359</v>
      </c>
      <c r="H278" s="1963" t="s">
        <v>2090</v>
      </c>
      <c r="I278" s="1961">
        <f>VLOOKUP(H276,'LƯƠNG KT'!$D$16:$V$108,3,0)</f>
        <v>0</v>
      </c>
      <c r="J278" s="1964">
        <v>25000</v>
      </c>
      <c r="K278" s="1962">
        <f>I278*J278</f>
        <v>0</v>
      </c>
    </row>
    <row r="279" spans="1:11" ht="12.75" customHeight="1">
      <c r="A279" s="1959" t="s">
        <v>3279</v>
      </c>
      <c r="B279" s="1965" t="s">
        <v>3280</v>
      </c>
      <c r="C279" s="1961" t="str">
        <f>VLOOKUP(B276,'LƯƠNG KT'!$D$16:$V$108,10,0)</f>
        <v>B</v>
      </c>
      <c r="D279" s="1967">
        <f>46.1*$C$1</f>
        <v>30792.956000000002</v>
      </c>
      <c r="E279" s="1962" t="e">
        <f t="shared" ref="E279:E283" si="32">C279*D279</f>
        <v>#VALUE!</v>
      </c>
      <c r="G279" s="1959" t="s">
        <v>3279</v>
      </c>
      <c r="H279" s="1965" t="s">
        <v>3280</v>
      </c>
      <c r="I279" s="1961" t="str">
        <f>VLOOKUP(H276,'LƯƠNG KT'!$D$16:$V$108,10,0)</f>
        <v>B</v>
      </c>
      <c r="J279" s="1967">
        <f>46.1*$C$1</f>
        <v>30792.956000000002</v>
      </c>
      <c r="K279" s="1962" t="e">
        <f t="shared" ref="K279:K283" si="33">I279*J279</f>
        <v>#VALUE!</v>
      </c>
    </row>
    <row r="280" spans="1:11" ht="12.75" customHeight="1">
      <c r="A280" s="1959" t="s">
        <v>3281</v>
      </c>
      <c r="B280" s="1965" t="s">
        <v>3282</v>
      </c>
      <c r="C280" s="1961">
        <f>VLOOKUP(B276,'LƯƠNG KT'!$D$16:$V$108,11,0)</f>
        <v>6353615</v>
      </c>
      <c r="D280" s="1964">
        <f>76.9*$C$1</f>
        <v>51366.124000000003</v>
      </c>
      <c r="E280" s="1962">
        <f t="shared" si="32"/>
        <v>326360575938.26001</v>
      </c>
      <c r="G280" s="1959" t="s">
        <v>3281</v>
      </c>
      <c r="H280" s="1965" t="s">
        <v>3282</v>
      </c>
      <c r="I280" s="1961">
        <f>VLOOKUP(H276,'LƯƠNG KT'!$D$16:$V$108,11,0)</f>
        <v>6844538</v>
      </c>
      <c r="J280" s="1964">
        <f>76.9*$C$1</f>
        <v>51366.124000000003</v>
      </c>
      <c r="K280" s="1962">
        <f t="shared" si="33"/>
        <v>351577387630.71204</v>
      </c>
    </row>
    <row r="281" spans="1:11" ht="12.75" customHeight="1">
      <c r="A281" s="1959" t="s">
        <v>374</v>
      </c>
      <c r="B281" s="1965" t="s">
        <v>3283</v>
      </c>
      <c r="C281" s="1961">
        <f>VLOOKUP(B276,'LƯƠNG KT'!$D$16:$V$108,7,0)</f>
        <v>1617.2304013915827</v>
      </c>
      <c r="D281" s="1964">
        <f>IF(C277="A",6.1,IF(C277="B",5.8,IF(C277="C",5.5,IF(C277="C.",5.5,IF(C277="D",5.2)))))*$C$1</f>
        <v>0</v>
      </c>
      <c r="E281" s="1962">
        <f t="shared" si="32"/>
        <v>0</v>
      </c>
      <c r="G281" s="1959" t="s">
        <v>374</v>
      </c>
      <c r="H281" s="1965" t="s">
        <v>3283</v>
      </c>
      <c r="I281" s="1961">
        <f>VLOOKUP(H276,'LƯƠNG KT'!$D$16:$V$108,7,0)</f>
        <v>1742.1885454150058</v>
      </c>
      <c r="J281" s="1964">
        <f>IF(I277="A",6.1,IF(I277="B",5.8,IF(I277="C",5.5,IF(I277="C.",5.5,IF(I277="D",5.2)))))*$C$1</f>
        <v>0</v>
      </c>
      <c r="K281" s="1962">
        <f t="shared" si="33"/>
        <v>0</v>
      </c>
    </row>
    <row r="282" spans="1:11" ht="12.75" customHeight="1">
      <c r="A282" s="1959" t="s">
        <v>3296</v>
      </c>
      <c r="B282" s="1965" t="s">
        <v>3285</v>
      </c>
      <c r="C282" s="1961">
        <f>VLOOKUP(B276,'LƯƠNG KT'!$D$16:$V$108,12,0)</f>
        <v>27</v>
      </c>
      <c r="D282" s="1967">
        <f>92.2*$C$1</f>
        <v>61585.912000000004</v>
      </c>
      <c r="E282" s="1962">
        <f t="shared" si="32"/>
        <v>1662819.6240000001</v>
      </c>
      <c r="G282" s="1959" t="s">
        <v>3296</v>
      </c>
      <c r="H282" s="1965" t="s">
        <v>3285</v>
      </c>
      <c r="I282" s="1961">
        <f>VLOOKUP(H276,'LƯƠNG KT'!$D$16:$V$108,12,0)</f>
        <v>25</v>
      </c>
      <c r="J282" s="1967">
        <f>92.2*$C$1</f>
        <v>61585.912000000004</v>
      </c>
      <c r="K282" s="1962">
        <f t="shared" si="33"/>
        <v>1539647.8</v>
      </c>
    </row>
    <row r="283" spans="1:11" ht="12.75" customHeight="1">
      <c r="A283" s="1959" t="s">
        <v>3297</v>
      </c>
      <c r="B283" s="1965" t="s">
        <v>3287</v>
      </c>
      <c r="C283" s="1961">
        <f>VLOOKUP(B276,'LƯƠNG KT'!$D$16:$V$108,13,0)</f>
        <v>4</v>
      </c>
      <c r="D283" s="1964">
        <f>153.8*$C$1</f>
        <v>102732.24800000001</v>
      </c>
      <c r="E283" s="1962">
        <f t="shared" si="32"/>
        <v>410928.99200000003</v>
      </c>
      <c r="G283" s="1959" t="s">
        <v>3297</v>
      </c>
      <c r="H283" s="1965" t="s">
        <v>3287</v>
      </c>
      <c r="I283" s="1961">
        <f>VLOOKUP(H276,'LƯƠNG KT'!$D$16:$V$108,13,0)</f>
        <v>4</v>
      </c>
      <c r="J283" s="1964">
        <f>153.8*$C$1</f>
        <v>102732.24800000001</v>
      </c>
      <c r="K283" s="1962">
        <f t="shared" si="33"/>
        <v>410928.99200000003</v>
      </c>
    </row>
    <row r="284" spans="1:11" ht="12.75" customHeight="1">
      <c r="A284" s="1959" t="s">
        <v>3354</v>
      </c>
      <c r="B284" s="1965" t="s">
        <v>3288</v>
      </c>
      <c r="C284" s="1961">
        <f>VLOOKUP(B276,'LƯƠNG KT'!$D$16:$V$108,14,0)</f>
        <v>0</v>
      </c>
      <c r="D284" s="1964">
        <v>100000</v>
      </c>
      <c r="E284" s="1962">
        <f>C284*D284</f>
        <v>0</v>
      </c>
      <c r="G284" s="1959" t="s">
        <v>3354</v>
      </c>
      <c r="H284" s="1965" t="s">
        <v>3288</v>
      </c>
      <c r="I284" s="1961">
        <f>VLOOKUP(H276,'LƯƠNG KT'!$D$16:$V$108,14,0)</f>
        <v>0</v>
      </c>
      <c r="J284" s="1964">
        <v>100000</v>
      </c>
      <c r="K284" s="1962">
        <f>I284*J284</f>
        <v>0</v>
      </c>
    </row>
    <row r="285" spans="1:11" ht="12.75" customHeight="1">
      <c r="A285" s="1959" t="s">
        <v>3355</v>
      </c>
      <c r="B285" s="1965" t="s">
        <v>3288</v>
      </c>
      <c r="C285" s="1961">
        <f>VLOOKUP(B276,'LƯƠNG KT'!$D$16:$V$108,17,0)</f>
        <v>0</v>
      </c>
      <c r="D285" s="1964">
        <v>20000</v>
      </c>
      <c r="E285" s="1962">
        <f>C285*D285</f>
        <v>0</v>
      </c>
      <c r="G285" s="1959" t="s">
        <v>3355</v>
      </c>
      <c r="H285" s="1965" t="s">
        <v>3288</v>
      </c>
      <c r="I285" s="1961">
        <f>VLOOKUP(H276,'LƯƠNG KT'!$D$16:$V$108,17,0)</f>
        <v>0</v>
      </c>
      <c r="J285" s="1964">
        <v>20000</v>
      </c>
      <c r="K285" s="1962">
        <f>I285*J285</f>
        <v>0</v>
      </c>
    </row>
    <row r="286" spans="1:11" ht="12.75" customHeight="1">
      <c r="A286" s="1959" t="s">
        <v>3289</v>
      </c>
      <c r="B286" s="1965" t="s">
        <v>3290</v>
      </c>
      <c r="C286" s="1966"/>
      <c r="D286" s="1964"/>
      <c r="E286" s="1962"/>
      <c r="G286" s="1959" t="s">
        <v>3289</v>
      </c>
      <c r="H286" s="1965" t="s">
        <v>3290</v>
      </c>
      <c r="I286" s="1966"/>
      <c r="J286" s="1964"/>
      <c r="K286" s="1962"/>
    </row>
    <row r="287" spans="1:11" ht="12.75" customHeight="1">
      <c r="A287" s="1968" t="s">
        <v>377</v>
      </c>
      <c r="B287" s="1969" t="s">
        <v>3291</v>
      </c>
      <c r="C287" s="1970"/>
      <c r="D287" s="1971"/>
      <c r="E287" s="1970"/>
      <c r="G287" s="1968" t="s">
        <v>377</v>
      </c>
      <c r="H287" s="1969" t="s">
        <v>3291</v>
      </c>
      <c r="I287" s="1970"/>
      <c r="J287" s="1971"/>
      <c r="K287" s="1970"/>
    </row>
    <row r="288" spans="1:11" ht="12.75" customHeight="1">
      <c r="A288" s="1972" t="s">
        <v>379</v>
      </c>
      <c r="B288" s="1973" t="s">
        <v>3292</v>
      </c>
      <c r="C288" s="1970"/>
      <c r="D288" s="1970"/>
      <c r="E288" s="1970"/>
      <c r="G288" s="1972" t="s">
        <v>379</v>
      </c>
      <c r="H288" s="1973" t="s">
        <v>3292</v>
      </c>
      <c r="I288" s="1970"/>
      <c r="J288" s="1970"/>
      <c r="K288" s="1970"/>
    </row>
    <row r="289" spans="1:11" ht="12.75" customHeight="1">
      <c r="A289" s="1972" t="s">
        <v>381</v>
      </c>
      <c r="B289" s="1974" t="s">
        <v>3293</v>
      </c>
      <c r="C289" s="1970"/>
      <c r="D289" s="1970"/>
      <c r="E289" s="1962">
        <f>SUM(E288)</f>
        <v>0</v>
      </c>
      <c r="G289" s="1972" t="s">
        <v>381</v>
      </c>
      <c r="H289" s="1974" t="s">
        <v>3293</v>
      </c>
      <c r="I289" s="1970"/>
      <c r="J289" s="1970"/>
      <c r="K289" s="1962">
        <f>SUM(K288)</f>
        <v>0</v>
      </c>
    </row>
    <row r="290" spans="1:11" ht="12.75" customHeight="1">
      <c r="A290" s="1975" t="s">
        <v>383</v>
      </c>
      <c r="B290" s="1976" t="s">
        <v>3294</v>
      </c>
      <c r="C290" s="1977"/>
      <c r="D290" s="1977"/>
      <c r="E290" s="1978" t="e">
        <f>(E278+E279+E280+E281+E282+E283+E284+E285+E286)-E289</f>
        <v>#VALUE!</v>
      </c>
      <c r="G290" s="1975" t="s">
        <v>383</v>
      </c>
      <c r="H290" s="1976" t="s">
        <v>3294</v>
      </c>
      <c r="I290" s="1977"/>
      <c r="J290" s="1977"/>
      <c r="K290" s="1978" t="e">
        <f>(K278+K279+K280+K281+K282+K283+K284+K285+K286)-K289</f>
        <v>#VALUE!</v>
      </c>
    </row>
    <row r="292" spans="1:11" ht="12.75" customHeight="1">
      <c r="A292" s="2953" t="s">
        <v>3356</v>
      </c>
      <c r="B292" s="2954"/>
      <c r="C292" s="2954"/>
      <c r="D292" s="2954"/>
      <c r="E292" s="1955">
        <f>VLOOKUP(B293,'LƯƠNG KT'!$D$16:$AD$108,25,0)</f>
        <v>0</v>
      </c>
      <c r="G292" s="2953" t="s">
        <v>3356</v>
      </c>
      <c r="H292" s="2954"/>
      <c r="I292" s="2954"/>
      <c r="J292" s="2954"/>
      <c r="K292" s="1955">
        <f>VLOOKUP(H293,'LƯƠNG KT'!$D$16:$AD$108,25,0)</f>
        <v>0</v>
      </c>
    </row>
    <row r="293" spans="1:11" ht="12.75" customHeight="1">
      <c r="A293" s="1956" t="s">
        <v>356</v>
      </c>
      <c r="B293" s="1956" t="str">
        <f>'LƯƠNG KT'!$D$50</f>
        <v>N. Công Say</v>
      </c>
      <c r="C293" s="1957"/>
      <c r="D293" s="1958" t="s">
        <v>2357</v>
      </c>
      <c r="E293" s="1958" t="s">
        <v>2156</v>
      </c>
      <c r="G293" s="1956" t="s">
        <v>356</v>
      </c>
      <c r="H293" s="1956" t="str">
        <f>'LƯƠNG KT'!$D$51</f>
        <v>N. Xi Xộm</v>
      </c>
      <c r="I293" s="1957"/>
      <c r="J293" s="1958" t="s">
        <v>2357</v>
      </c>
      <c r="K293" s="1958" t="s">
        <v>2156</v>
      </c>
    </row>
    <row r="294" spans="1:11" ht="12.75" customHeight="1">
      <c r="A294" s="1959" t="s">
        <v>3005</v>
      </c>
      <c r="B294" s="1960" t="s">
        <v>3278</v>
      </c>
      <c r="C294" s="1961">
        <f>VLOOKUP(B293,'LƯƠNG KT'!$D$16:$M$108,8,0)</f>
        <v>267.43310833434577</v>
      </c>
      <c r="D294" s="1962"/>
      <c r="E294" s="1962"/>
      <c r="G294" s="1959" t="s">
        <v>3005</v>
      </c>
      <c r="H294" s="1960" t="s">
        <v>3278</v>
      </c>
      <c r="I294" s="1961">
        <f>VLOOKUP(H293,'LƯƠNG KT'!$D$16:$M$108,8,0)</f>
        <v>260.03485636198172</v>
      </c>
      <c r="J294" s="1962"/>
      <c r="K294" s="1962"/>
    </row>
    <row r="295" spans="1:11" ht="12.75" customHeight="1">
      <c r="A295" s="1959" t="s">
        <v>359</v>
      </c>
      <c r="B295" s="1963" t="s">
        <v>2090</v>
      </c>
      <c r="C295" s="1961">
        <f>VLOOKUP(B293,'LƯƠNG KT'!$D$16:$V$108,3,0)</f>
        <v>0</v>
      </c>
      <c r="D295" s="1964">
        <v>25000</v>
      </c>
      <c r="E295" s="1962">
        <f>C295*D295</f>
        <v>0</v>
      </c>
      <c r="G295" s="1959" t="s">
        <v>359</v>
      </c>
      <c r="H295" s="1963" t="s">
        <v>2090</v>
      </c>
      <c r="I295" s="1961">
        <f>VLOOKUP(H293,'LƯƠNG KT'!$D$16:$V$108,3,0)</f>
        <v>0</v>
      </c>
      <c r="J295" s="1964">
        <v>25000</v>
      </c>
      <c r="K295" s="1962">
        <f>I295*J295</f>
        <v>0</v>
      </c>
    </row>
    <row r="296" spans="1:11" ht="12.75" customHeight="1">
      <c r="A296" s="1959" t="s">
        <v>3279</v>
      </c>
      <c r="B296" s="1965" t="s">
        <v>3280</v>
      </c>
      <c r="C296" s="1961" t="str">
        <f>VLOOKUP(B293,'LƯƠNG KT'!$D$16:$V$108,10,0)</f>
        <v>A</v>
      </c>
      <c r="D296" s="1967">
        <f>46.1*$C$1</f>
        <v>30792.956000000002</v>
      </c>
      <c r="E296" s="1962" t="e">
        <f t="shared" ref="E296:E300" si="34">C296*D296</f>
        <v>#VALUE!</v>
      </c>
      <c r="G296" s="1959" t="s">
        <v>3279</v>
      </c>
      <c r="H296" s="1965" t="s">
        <v>3280</v>
      </c>
      <c r="I296" s="1961" t="str">
        <f>VLOOKUP(H293,'LƯƠNG KT'!$D$16:$V$108,10,0)</f>
        <v>A</v>
      </c>
      <c r="J296" s="1967">
        <f>46.1*$C$1</f>
        <v>30792.956000000002</v>
      </c>
      <c r="K296" s="1962" t="e">
        <f t="shared" ref="K296:K300" si="35">I296*J296</f>
        <v>#VALUE!</v>
      </c>
    </row>
    <row r="297" spans="1:11" ht="12.75" customHeight="1">
      <c r="A297" s="1959" t="s">
        <v>3281</v>
      </c>
      <c r="B297" s="1965" t="s">
        <v>3282</v>
      </c>
      <c r="C297" s="1961">
        <f>VLOOKUP(B293,'LƯƠNG KT'!$D$16:$V$108,11,0)</f>
        <v>8570140</v>
      </c>
      <c r="D297" s="1964">
        <f>76.9*$C$1</f>
        <v>51366.124000000003</v>
      </c>
      <c r="E297" s="1962">
        <f t="shared" si="34"/>
        <v>440214873937.36005</v>
      </c>
      <c r="G297" s="1959" t="s">
        <v>3281</v>
      </c>
      <c r="H297" s="1965" t="s">
        <v>3282</v>
      </c>
      <c r="I297" s="1961">
        <f>VLOOKUP(H293,'LƯƠNG KT'!$D$16:$V$108,11,0)</f>
        <v>8333056</v>
      </c>
      <c r="J297" s="1964">
        <f>76.9*$C$1</f>
        <v>51366.124000000003</v>
      </c>
      <c r="K297" s="1962">
        <f t="shared" si="35"/>
        <v>428036787794.94403</v>
      </c>
    </row>
    <row r="298" spans="1:11" ht="12.75" customHeight="1">
      <c r="A298" s="1959" t="s">
        <v>374</v>
      </c>
      <c r="B298" s="1965" t="s">
        <v>3283</v>
      </c>
      <c r="C298" s="1961">
        <f>VLOOKUP(B293,'LƯƠNG KT'!$D$16:$V$108,7,0)</f>
        <v>2074.1351797085213</v>
      </c>
      <c r="D298" s="1964">
        <f>IF(C294="A",6.1,IF(C294="B",5.8,IF(C294="C",5.5,IF(C294="C.",5.5,IF(C294="D",5.2)))))*$C$1</f>
        <v>0</v>
      </c>
      <c r="E298" s="1962">
        <f t="shared" si="34"/>
        <v>0</v>
      </c>
      <c r="G298" s="1959" t="s">
        <v>374</v>
      </c>
      <c r="H298" s="1965" t="s">
        <v>3283</v>
      </c>
      <c r="I298" s="1961">
        <f>VLOOKUP(H293,'LƯƠNG KT'!$D$16:$V$108,7,0)</f>
        <v>2016.756440105929</v>
      </c>
      <c r="J298" s="1964">
        <f>IF(I294="A",6.1,IF(I294="B",5.8,IF(I294="C",5.5,IF(I294="C.",5.5,IF(I294="D",5.2)))))*$C$1</f>
        <v>0</v>
      </c>
      <c r="K298" s="1962">
        <f t="shared" si="35"/>
        <v>0</v>
      </c>
    </row>
    <row r="299" spans="1:11" ht="12.75" customHeight="1">
      <c r="A299" s="1959" t="s">
        <v>3296</v>
      </c>
      <c r="B299" s="1965" t="s">
        <v>3285</v>
      </c>
      <c r="C299" s="1961">
        <f>VLOOKUP(B293,'LƯƠNG KT'!$D$16:$V$108,12,0)</f>
        <v>27</v>
      </c>
      <c r="D299" s="1967">
        <f>92.2*$C$1</f>
        <v>61585.912000000004</v>
      </c>
      <c r="E299" s="1962">
        <f t="shared" si="34"/>
        <v>1662819.6240000001</v>
      </c>
      <c r="G299" s="1959" t="s">
        <v>3296</v>
      </c>
      <c r="H299" s="1965" t="s">
        <v>3285</v>
      </c>
      <c r="I299" s="1961">
        <f>VLOOKUP(H293,'LƯƠNG KT'!$D$16:$V$108,12,0)</f>
        <v>27</v>
      </c>
      <c r="J299" s="1967">
        <f>92.2*$C$1</f>
        <v>61585.912000000004</v>
      </c>
      <c r="K299" s="1962">
        <f t="shared" si="35"/>
        <v>1662819.6240000001</v>
      </c>
    </row>
    <row r="300" spans="1:11" ht="12.75" customHeight="1">
      <c r="A300" s="1959" t="s">
        <v>3297</v>
      </c>
      <c r="B300" s="1965" t="s">
        <v>3287</v>
      </c>
      <c r="C300" s="1961">
        <f>VLOOKUP(B293,'LƯƠNG KT'!$D$16:$V$108,13,0)</f>
        <v>4</v>
      </c>
      <c r="D300" s="1964">
        <f>153.8*$C$1</f>
        <v>102732.24800000001</v>
      </c>
      <c r="E300" s="1962">
        <f t="shared" si="34"/>
        <v>410928.99200000003</v>
      </c>
      <c r="G300" s="1959" t="s">
        <v>3297</v>
      </c>
      <c r="H300" s="1965" t="s">
        <v>3287</v>
      </c>
      <c r="I300" s="1961">
        <f>VLOOKUP(H293,'LƯƠNG KT'!$D$16:$V$108,13,0)</f>
        <v>4</v>
      </c>
      <c r="J300" s="1964">
        <f>153.8*$C$1</f>
        <v>102732.24800000001</v>
      </c>
      <c r="K300" s="1962">
        <f t="shared" si="35"/>
        <v>410928.99200000003</v>
      </c>
    </row>
    <row r="301" spans="1:11" ht="12.75" customHeight="1">
      <c r="A301" s="1959" t="s">
        <v>3354</v>
      </c>
      <c r="B301" s="1965" t="s">
        <v>3288</v>
      </c>
      <c r="C301" s="1961">
        <f>VLOOKUP(B293,'LƯƠNG KT'!$D$16:$V$108,14,0)</f>
        <v>0</v>
      </c>
      <c r="D301" s="1964">
        <v>100000</v>
      </c>
      <c r="E301" s="1962">
        <f>C301*D301</f>
        <v>0</v>
      </c>
      <c r="G301" s="1959" t="s">
        <v>3354</v>
      </c>
      <c r="H301" s="1965" t="s">
        <v>3288</v>
      </c>
      <c r="I301" s="1961">
        <f>VLOOKUP(H293,'LƯƠNG KT'!$D$16:$V$108,14,0)</f>
        <v>0</v>
      </c>
      <c r="J301" s="1964">
        <v>100000</v>
      </c>
      <c r="K301" s="1962">
        <f>I301*J301</f>
        <v>0</v>
      </c>
    </row>
    <row r="302" spans="1:11" ht="12.75" customHeight="1">
      <c r="A302" s="1959" t="s">
        <v>3355</v>
      </c>
      <c r="B302" s="1965" t="s">
        <v>3288</v>
      </c>
      <c r="C302" s="1961">
        <f>VLOOKUP(B293,'LƯƠNG KT'!$D$16:$V$108,17,0)</f>
        <v>0</v>
      </c>
      <c r="D302" s="1964">
        <v>20000</v>
      </c>
      <c r="E302" s="1962">
        <f>C302*D302</f>
        <v>0</v>
      </c>
      <c r="G302" s="1959" t="s">
        <v>3355</v>
      </c>
      <c r="H302" s="1965" t="s">
        <v>3288</v>
      </c>
      <c r="I302" s="1961">
        <f>VLOOKUP(H293,'LƯƠNG KT'!$D$16:$V$108,17,0)</f>
        <v>0</v>
      </c>
      <c r="J302" s="1964">
        <v>20000</v>
      </c>
      <c r="K302" s="1962">
        <f>I302*J302</f>
        <v>0</v>
      </c>
    </row>
    <row r="303" spans="1:11" ht="12.75" customHeight="1">
      <c r="A303" s="1959" t="s">
        <v>3289</v>
      </c>
      <c r="B303" s="1965" t="s">
        <v>3290</v>
      </c>
      <c r="C303" s="1966"/>
      <c r="D303" s="1964"/>
      <c r="E303" s="1962"/>
      <c r="G303" s="1959" t="s">
        <v>3289</v>
      </c>
      <c r="H303" s="1965" t="s">
        <v>3290</v>
      </c>
      <c r="I303" s="1966"/>
      <c r="J303" s="1964"/>
      <c r="K303" s="1962"/>
    </row>
    <row r="304" spans="1:11" ht="12.75" customHeight="1">
      <c r="A304" s="1968" t="s">
        <v>377</v>
      </c>
      <c r="B304" s="1969" t="s">
        <v>3291</v>
      </c>
      <c r="C304" s="1970"/>
      <c r="D304" s="1971"/>
      <c r="E304" s="1970"/>
      <c r="G304" s="1968" t="s">
        <v>377</v>
      </c>
      <c r="H304" s="1969" t="s">
        <v>3291</v>
      </c>
      <c r="I304" s="1970"/>
      <c r="J304" s="1971"/>
      <c r="K304" s="1970"/>
    </row>
    <row r="305" spans="1:11" ht="12.75" customHeight="1">
      <c r="A305" s="1972" t="s">
        <v>379</v>
      </c>
      <c r="B305" s="1973" t="s">
        <v>3292</v>
      </c>
      <c r="C305" s="1970"/>
      <c r="D305" s="1970"/>
      <c r="E305" s="1970"/>
      <c r="G305" s="1972" t="s">
        <v>379</v>
      </c>
      <c r="H305" s="1973" t="s">
        <v>3292</v>
      </c>
      <c r="I305" s="1970"/>
      <c r="J305" s="1970"/>
      <c r="K305" s="1970"/>
    </row>
    <row r="306" spans="1:11" ht="12.75" customHeight="1">
      <c r="A306" s="1972" t="s">
        <v>381</v>
      </c>
      <c r="B306" s="1974" t="s">
        <v>3293</v>
      </c>
      <c r="C306" s="1970"/>
      <c r="D306" s="1970"/>
      <c r="E306" s="1962">
        <f>SUM(E305)</f>
        <v>0</v>
      </c>
      <c r="G306" s="1972" t="s">
        <v>381</v>
      </c>
      <c r="H306" s="1974" t="s">
        <v>3293</v>
      </c>
      <c r="I306" s="1970"/>
      <c r="J306" s="1970"/>
      <c r="K306" s="1962">
        <f>SUM(K305)</f>
        <v>0</v>
      </c>
    </row>
    <row r="307" spans="1:11" ht="12.75" customHeight="1">
      <c r="A307" s="1975" t="s">
        <v>383</v>
      </c>
      <c r="B307" s="1976" t="s">
        <v>3294</v>
      </c>
      <c r="C307" s="1977"/>
      <c r="D307" s="1977"/>
      <c r="E307" s="1978" t="e">
        <f>(E295+E296+E297+E298+E299+E300+E301+E302+E303)-E306</f>
        <v>#VALUE!</v>
      </c>
      <c r="G307" s="1975" t="s">
        <v>383</v>
      </c>
      <c r="H307" s="1976" t="s">
        <v>3294</v>
      </c>
      <c r="I307" s="1977"/>
      <c r="J307" s="1977"/>
      <c r="K307" s="1978" t="e">
        <f>(K295+K296+K297+K298+K299+K300+K301+K302+K303)-K306</f>
        <v>#VALUE!</v>
      </c>
    </row>
    <row r="309" spans="1:11" ht="12.75" customHeight="1">
      <c r="A309" s="2953" t="s">
        <v>3356</v>
      </c>
      <c r="B309" s="2954"/>
      <c r="C309" s="2954"/>
      <c r="D309" s="2954"/>
      <c r="E309" s="1955">
        <f>VLOOKUP(B310,'LƯƠNG KT'!$D$16:$AD$108,25,0)</f>
        <v>0</v>
      </c>
      <c r="G309" s="2953" t="s">
        <v>3356</v>
      </c>
      <c r="H309" s="2954"/>
      <c r="I309" s="2954"/>
      <c r="J309" s="2954"/>
      <c r="K309" s="1955">
        <f>VLOOKUP(H310,'LƯƠNG KT'!$D$16:$AD$108,25,0)</f>
        <v>0</v>
      </c>
    </row>
    <row r="310" spans="1:11" ht="12.75" customHeight="1">
      <c r="A310" s="1956" t="s">
        <v>356</v>
      </c>
      <c r="B310" s="1956" t="str">
        <f>'LƯƠNG KT'!$D$52</f>
        <v>Son Xa May</v>
      </c>
      <c r="C310" s="1957"/>
      <c r="D310" s="1958" t="s">
        <v>2357</v>
      </c>
      <c r="E310" s="1958" t="s">
        <v>2156</v>
      </c>
      <c r="G310" s="1956" t="s">
        <v>356</v>
      </c>
      <c r="H310" s="1956" t="str">
        <f>'LƯƠNG KT'!$D$53</f>
        <v>T . Pheng</v>
      </c>
      <c r="I310" s="1957"/>
      <c r="J310" s="1958" t="s">
        <v>2357</v>
      </c>
      <c r="K310" s="1958" t="s">
        <v>2156</v>
      </c>
    </row>
    <row r="311" spans="1:11" ht="12.75" customHeight="1">
      <c r="A311" s="1959" t="s">
        <v>3005</v>
      </c>
      <c r="B311" s="1960" t="s">
        <v>3278</v>
      </c>
      <c r="C311" s="1961">
        <f>VLOOKUP(B310,'LƯƠNG KT'!$D$16:$M$108,8,0)</f>
        <v>230.05823540729173</v>
      </c>
      <c r="D311" s="1962"/>
      <c r="E311" s="1962"/>
      <c r="G311" s="1959" t="s">
        <v>3005</v>
      </c>
      <c r="H311" s="1960" t="s">
        <v>3278</v>
      </c>
      <c r="I311" s="1961">
        <f>VLOOKUP(H310,'LƯƠNG KT'!$D$16:$M$108,8,0)</f>
        <v>147.85543571435755</v>
      </c>
      <c r="J311" s="1962"/>
      <c r="K311" s="1962"/>
    </row>
    <row r="312" spans="1:11" ht="12.75" customHeight="1">
      <c r="A312" s="1959" t="s">
        <v>359</v>
      </c>
      <c r="B312" s="1963" t="s">
        <v>2090</v>
      </c>
      <c r="C312" s="1961">
        <f>VLOOKUP(B310,'LƯƠNG KT'!$D$16:$V$108,3,0)</f>
        <v>0</v>
      </c>
      <c r="D312" s="1964">
        <v>25000</v>
      </c>
      <c r="E312" s="1962">
        <f>C312*D312</f>
        <v>0</v>
      </c>
      <c r="G312" s="1959" t="s">
        <v>359</v>
      </c>
      <c r="H312" s="1963" t="s">
        <v>2090</v>
      </c>
      <c r="I312" s="1961">
        <f>VLOOKUP(H310,'LƯƠNG KT'!$D$16:$V$108,3,0)</f>
        <v>0</v>
      </c>
      <c r="J312" s="1964">
        <v>25000</v>
      </c>
      <c r="K312" s="1962">
        <f>I312*J312</f>
        <v>0</v>
      </c>
    </row>
    <row r="313" spans="1:11" ht="12.75" customHeight="1">
      <c r="A313" s="1959" t="s">
        <v>3279</v>
      </c>
      <c r="B313" s="1965" t="s">
        <v>3280</v>
      </c>
      <c r="C313" s="1961" t="str">
        <f>VLOOKUP(B310,'LƯƠNG KT'!$D$16:$V$108,10,0)</f>
        <v>A</v>
      </c>
      <c r="D313" s="1967">
        <f>46.1*$C$1</f>
        <v>30792.956000000002</v>
      </c>
      <c r="E313" s="1962" t="e">
        <f t="shared" ref="E313:E317" si="36">C313*D313</f>
        <v>#VALUE!</v>
      </c>
      <c r="G313" s="1959" t="s">
        <v>3279</v>
      </c>
      <c r="H313" s="1965" t="s">
        <v>3280</v>
      </c>
      <c r="I313" s="1961" t="str">
        <f>VLOOKUP(H310,'LƯƠNG KT'!$D$16:$V$108,10,0)</f>
        <v>B</v>
      </c>
      <c r="J313" s="1967">
        <f>46.1*$C$1</f>
        <v>30792.956000000002</v>
      </c>
      <c r="K313" s="1962" t="e">
        <f t="shared" ref="K313:K317" si="37">I313*J313</f>
        <v>#VALUE!</v>
      </c>
    </row>
    <row r="314" spans="1:11" ht="12.75" customHeight="1">
      <c r="A314" s="1959" t="s">
        <v>3281</v>
      </c>
      <c r="B314" s="1965" t="s">
        <v>3282</v>
      </c>
      <c r="C314" s="1961">
        <f>VLOOKUP(B310,'LƯƠNG KT'!$D$16:$V$108,11,0)</f>
        <v>7372428</v>
      </c>
      <c r="D314" s="1964">
        <f>76.9*$C$1</f>
        <v>51366.124000000003</v>
      </c>
      <c r="E314" s="1962">
        <f t="shared" si="36"/>
        <v>378693050829.07202</v>
      </c>
      <c r="G314" s="1959" t="s">
        <v>3281</v>
      </c>
      <c r="H314" s="1965" t="s">
        <v>3282</v>
      </c>
      <c r="I314" s="1961">
        <f>VLOOKUP(H310,'LƯƠNG KT'!$D$16:$V$108,11,0)</f>
        <v>4505139</v>
      </c>
      <c r="J314" s="1964">
        <f>76.9*$C$1</f>
        <v>51366.124000000003</v>
      </c>
      <c r="K314" s="1962">
        <f t="shared" si="37"/>
        <v>231411528511.23602</v>
      </c>
    </row>
    <row r="315" spans="1:11" ht="12.75" customHeight="1">
      <c r="A315" s="1959" t="s">
        <v>374</v>
      </c>
      <c r="B315" s="1965" t="s">
        <v>3283</v>
      </c>
      <c r="C315" s="1961">
        <f>VLOOKUP(B310,'LƯƠNG KT'!$D$16:$V$108,7,0)</f>
        <v>1784.2662877902403</v>
      </c>
      <c r="D315" s="1964">
        <f>IF(C311="A",6.1,IF(C311="B",5.8,IF(C311="C",5.5,IF(C311="C.",5.5,IF(C311="D",5.2)))))*$C$1</f>
        <v>0</v>
      </c>
      <c r="E315" s="1962">
        <f t="shared" si="36"/>
        <v>0</v>
      </c>
      <c r="G315" s="1959" t="s">
        <v>374</v>
      </c>
      <c r="H315" s="1965" t="s">
        <v>3283</v>
      </c>
      <c r="I315" s="1961">
        <f>VLOOKUP(H310,'LƯƠNG KT'!$D$16:$V$108,7,0)</f>
        <v>1146.7247366503259</v>
      </c>
      <c r="J315" s="1964">
        <f>IF(I311="A",6.1,IF(I311="B",5.8,IF(I311="C",5.5,IF(I311="C.",5.5,IF(I311="D",5.2)))))*$C$1</f>
        <v>0</v>
      </c>
      <c r="K315" s="1962">
        <f t="shared" si="37"/>
        <v>0</v>
      </c>
    </row>
    <row r="316" spans="1:11" ht="12.75" customHeight="1">
      <c r="A316" s="1959" t="s">
        <v>3296</v>
      </c>
      <c r="B316" s="1965" t="s">
        <v>3285</v>
      </c>
      <c r="C316" s="1961">
        <f>VLOOKUP(B310,'LƯƠNG KT'!$D$16:$V$108,12,0)</f>
        <v>27</v>
      </c>
      <c r="D316" s="1967">
        <f>92.2*$C$1</f>
        <v>61585.912000000004</v>
      </c>
      <c r="E316" s="1962">
        <f t="shared" si="36"/>
        <v>1662819.6240000001</v>
      </c>
      <c r="G316" s="1959" t="s">
        <v>3296</v>
      </c>
      <c r="H316" s="1965" t="s">
        <v>3285</v>
      </c>
      <c r="I316" s="1961">
        <f>VLOOKUP(H310,'LƯƠNG KT'!$D$16:$V$108,12,0)</f>
        <v>18</v>
      </c>
      <c r="J316" s="1967">
        <f>92.2*$C$1</f>
        <v>61585.912000000004</v>
      </c>
      <c r="K316" s="1962">
        <f t="shared" si="37"/>
        <v>1108546.416</v>
      </c>
    </row>
    <row r="317" spans="1:11" ht="12.75" customHeight="1">
      <c r="A317" s="1959" t="s">
        <v>3297</v>
      </c>
      <c r="B317" s="1965" t="s">
        <v>3287</v>
      </c>
      <c r="C317" s="1961">
        <f>VLOOKUP(B310,'LƯƠNG KT'!$D$16:$V$108,13,0)</f>
        <v>4</v>
      </c>
      <c r="D317" s="1964">
        <f>153.8*$C$1</f>
        <v>102732.24800000001</v>
      </c>
      <c r="E317" s="1962">
        <f t="shared" si="36"/>
        <v>410928.99200000003</v>
      </c>
      <c r="G317" s="1959" t="s">
        <v>3297</v>
      </c>
      <c r="H317" s="1965" t="s">
        <v>3287</v>
      </c>
      <c r="I317" s="1961">
        <f>VLOOKUP(H310,'LƯƠNG KT'!$D$16:$V$108,13,0)</f>
        <v>3</v>
      </c>
      <c r="J317" s="1964">
        <f>153.8*$C$1</f>
        <v>102732.24800000001</v>
      </c>
      <c r="K317" s="1962">
        <f t="shared" si="37"/>
        <v>308196.74400000001</v>
      </c>
    </row>
    <row r="318" spans="1:11" ht="12.75" customHeight="1">
      <c r="A318" s="1959" t="s">
        <v>3354</v>
      </c>
      <c r="B318" s="1965" t="s">
        <v>3288</v>
      </c>
      <c r="C318" s="1961">
        <f>VLOOKUP(B310,'LƯƠNG KT'!$D$16:$V$108,14,0)</f>
        <v>0</v>
      </c>
      <c r="D318" s="1964">
        <v>100000</v>
      </c>
      <c r="E318" s="1962">
        <f>C318*D318</f>
        <v>0</v>
      </c>
      <c r="G318" s="1959" t="s">
        <v>3354</v>
      </c>
      <c r="H318" s="1965" t="s">
        <v>3288</v>
      </c>
      <c r="I318" s="1961">
        <f>VLOOKUP(H310,'LƯƠNG KT'!$D$16:$V$108,14,0)</f>
        <v>0</v>
      </c>
      <c r="J318" s="1964">
        <v>100000</v>
      </c>
      <c r="K318" s="1962">
        <f>I318*J318</f>
        <v>0</v>
      </c>
    </row>
    <row r="319" spans="1:11" ht="12.75" customHeight="1">
      <c r="A319" s="1959" t="s">
        <v>3355</v>
      </c>
      <c r="B319" s="1965" t="s">
        <v>3288</v>
      </c>
      <c r="C319" s="1961">
        <f>VLOOKUP(B310,'LƯƠNG KT'!$D$16:$V$108,17,0)</f>
        <v>0</v>
      </c>
      <c r="D319" s="1964">
        <v>20000</v>
      </c>
      <c r="E319" s="1962">
        <f>C319*D319</f>
        <v>0</v>
      </c>
      <c r="G319" s="1959" t="s">
        <v>3355</v>
      </c>
      <c r="H319" s="1965" t="s">
        <v>3288</v>
      </c>
      <c r="I319" s="1961">
        <f>VLOOKUP(H310,'LƯƠNG KT'!$D$16:$V$108,17,0)</f>
        <v>0</v>
      </c>
      <c r="J319" s="1964">
        <v>20000</v>
      </c>
      <c r="K319" s="1962">
        <f>I319*J319</f>
        <v>0</v>
      </c>
    </row>
    <row r="320" spans="1:11" ht="12.75" customHeight="1">
      <c r="A320" s="1959" t="s">
        <v>3289</v>
      </c>
      <c r="B320" s="1965" t="s">
        <v>3290</v>
      </c>
      <c r="C320" s="1966"/>
      <c r="D320" s="1964"/>
      <c r="E320" s="1962"/>
      <c r="G320" s="1959" t="s">
        <v>3289</v>
      </c>
      <c r="H320" s="1965" t="s">
        <v>3290</v>
      </c>
      <c r="I320" s="1966"/>
      <c r="J320" s="1964"/>
      <c r="K320" s="1962"/>
    </row>
    <row r="321" spans="1:11" ht="12.75" customHeight="1">
      <c r="A321" s="1968" t="s">
        <v>377</v>
      </c>
      <c r="B321" s="1969" t="s">
        <v>3291</v>
      </c>
      <c r="C321" s="1970"/>
      <c r="D321" s="1971"/>
      <c r="E321" s="1970"/>
      <c r="G321" s="1968" t="s">
        <v>377</v>
      </c>
      <c r="H321" s="1969" t="s">
        <v>3291</v>
      </c>
      <c r="I321" s="1970"/>
      <c r="J321" s="1971"/>
      <c r="K321" s="1970"/>
    </row>
    <row r="322" spans="1:11" ht="12.75" customHeight="1">
      <c r="A322" s="1972" t="s">
        <v>379</v>
      </c>
      <c r="B322" s="1973" t="s">
        <v>3292</v>
      </c>
      <c r="C322" s="1970"/>
      <c r="D322" s="1970"/>
      <c r="E322" s="1970"/>
      <c r="G322" s="1972" t="s">
        <v>379</v>
      </c>
      <c r="H322" s="1973" t="s">
        <v>3292</v>
      </c>
      <c r="I322" s="1970"/>
      <c r="J322" s="1970"/>
      <c r="K322" s="1970"/>
    </row>
    <row r="323" spans="1:11" ht="12.75" customHeight="1">
      <c r="A323" s="1972" t="s">
        <v>381</v>
      </c>
      <c r="B323" s="1974" t="s">
        <v>3293</v>
      </c>
      <c r="C323" s="1970"/>
      <c r="D323" s="1970"/>
      <c r="E323" s="1962">
        <f>SUM(E322)</f>
        <v>0</v>
      </c>
      <c r="G323" s="1972" t="s">
        <v>381</v>
      </c>
      <c r="H323" s="1974" t="s">
        <v>3293</v>
      </c>
      <c r="I323" s="1970"/>
      <c r="J323" s="1970"/>
      <c r="K323" s="1962">
        <f>SUM(K322)</f>
        <v>0</v>
      </c>
    </row>
    <row r="324" spans="1:11" ht="12.75" customHeight="1">
      <c r="A324" s="1975" t="s">
        <v>383</v>
      </c>
      <c r="B324" s="1976" t="s">
        <v>3294</v>
      </c>
      <c r="C324" s="1977"/>
      <c r="D324" s="1977"/>
      <c r="E324" s="1978" t="e">
        <f>(E312+E313+E314+E315+E316+E317+E318+E319+E320)-E323</f>
        <v>#VALUE!</v>
      </c>
      <c r="G324" s="1975" t="s">
        <v>383</v>
      </c>
      <c r="H324" s="1976" t="s">
        <v>3294</v>
      </c>
      <c r="I324" s="1977"/>
      <c r="J324" s="1977"/>
      <c r="K324" s="1978" t="e">
        <f>(K312+K313+K314+K315+K316+K317+K318+K319+K320)-K323</f>
        <v>#VALUE!</v>
      </c>
    </row>
    <row r="326" spans="1:11" ht="12.75" customHeight="1">
      <c r="A326" s="2953" t="s">
        <v>3356</v>
      </c>
      <c r="B326" s="2954"/>
      <c r="C326" s="2954"/>
      <c r="D326" s="2954"/>
      <c r="E326" s="1955">
        <f>VLOOKUP(B327,'LƯƠNG KT'!$D$16:$AD$108,25,0)</f>
        <v>0</v>
      </c>
      <c r="G326" s="2953" t="s">
        <v>3356</v>
      </c>
      <c r="H326" s="2954"/>
      <c r="I326" s="2954"/>
      <c r="J326" s="2954"/>
      <c r="K326" s="1955">
        <f>VLOOKUP(H327,'LƯƠNG KT'!$D$16:$AD$108,25,0)</f>
        <v>0</v>
      </c>
    </row>
    <row r="327" spans="1:11" ht="12.75" customHeight="1">
      <c r="A327" s="1956" t="s">
        <v>356</v>
      </c>
      <c r="B327" s="1956" t="str">
        <f>'LƯƠNG KT'!$D$54</f>
        <v>T. Nọi Ê</v>
      </c>
      <c r="C327" s="1957"/>
      <c r="D327" s="1958" t="s">
        <v>2357</v>
      </c>
      <c r="E327" s="1958" t="s">
        <v>2156</v>
      </c>
      <c r="G327" s="1956" t="s">
        <v>356</v>
      </c>
      <c r="H327" s="1956" t="str">
        <f>'LƯƠNG KT'!$D$55</f>
        <v>N. Đeng</v>
      </c>
      <c r="I327" s="1957"/>
      <c r="J327" s="1958" t="s">
        <v>2357</v>
      </c>
      <c r="K327" s="1958" t="s">
        <v>2156</v>
      </c>
    </row>
    <row r="328" spans="1:11" ht="12.75" customHeight="1">
      <c r="A328" s="1959" t="s">
        <v>3005</v>
      </c>
      <c r="B328" s="1960" t="s">
        <v>3278</v>
      </c>
      <c r="C328" s="1961">
        <f>VLOOKUP(B327,'LƯƠNG KT'!$D$16:$M$108,8,0)</f>
        <v>267.87152326604144</v>
      </c>
      <c r="D328" s="1962"/>
      <c r="E328" s="1962"/>
      <c r="G328" s="1959" t="s">
        <v>3005</v>
      </c>
      <c r="H328" s="1960" t="s">
        <v>3278</v>
      </c>
      <c r="I328" s="1961">
        <f>VLOOKUP(H327,'LƯƠNG KT'!$D$16:$M$108,8,0)</f>
        <v>239.70336390459599</v>
      </c>
      <c r="J328" s="1962"/>
      <c r="K328" s="1962"/>
    </row>
    <row r="329" spans="1:11" ht="12.75" customHeight="1">
      <c r="A329" s="1959" t="s">
        <v>359</v>
      </c>
      <c r="B329" s="1963" t="s">
        <v>2090</v>
      </c>
      <c r="C329" s="1961">
        <f>VLOOKUP(B327,'LƯƠNG KT'!$D$16:$V$108,3,0)</f>
        <v>0</v>
      </c>
      <c r="D329" s="1964">
        <v>25000</v>
      </c>
      <c r="E329" s="1962">
        <f>C329*D329</f>
        <v>0</v>
      </c>
      <c r="G329" s="1959" t="s">
        <v>359</v>
      </c>
      <c r="H329" s="1963" t="s">
        <v>2090</v>
      </c>
      <c r="I329" s="1961">
        <f>VLOOKUP(H327,'LƯƠNG KT'!$D$16:$V$108,3,0)</f>
        <v>0</v>
      </c>
      <c r="J329" s="1964">
        <v>25000</v>
      </c>
      <c r="K329" s="1962">
        <f>I329*J329</f>
        <v>0</v>
      </c>
    </row>
    <row r="330" spans="1:11" ht="12.75" customHeight="1">
      <c r="A330" s="1959" t="s">
        <v>3279</v>
      </c>
      <c r="B330" s="1965" t="s">
        <v>3280</v>
      </c>
      <c r="C330" s="1961" t="str">
        <f>VLOOKUP(B327,'LƯƠNG KT'!$D$16:$V$108,10,0)</f>
        <v>A</v>
      </c>
      <c r="D330" s="1967">
        <f>46.1*$C$1</f>
        <v>30792.956000000002</v>
      </c>
      <c r="E330" s="1962" t="e">
        <f t="shared" ref="E330:E334" si="38">C330*D330</f>
        <v>#VALUE!</v>
      </c>
      <c r="G330" s="1959" t="s">
        <v>3279</v>
      </c>
      <c r="H330" s="1965" t="s">
        <v>3280</v>
      </c>
      <c r="I330" s="1961" t="str">
        <f>VLOOKUP(H327,'LƯƠNG KT'!$D$16:$V$108,10,0)</f>
        <v>A</v>
      </c>
      <c r="J330" s="1967">
        <f>46.1*$C$1</f>
        <v>30792.956000000002</v>
      </c>
      <c r="K330" s="1962" t="e">
        <f t="shared" ref="K330:K334" si="39">I330*J330</f>
        <v>#VALUE!</v>
      </c>
    </row>
    <row r="331" spans="1:11" ht="12.75" customHeight="1">
      <c r="A331" s="1959" t="s">
        <v>3281</v>
      </c>
      <c r="B331" s="1965" t="s">
        <v>3282</v>
      </c>
      <c r="C331" s="1961">
        <f>VLOOKUP(B327,'LƯƠNG KT'!$D$16:$V$108,11,0)</f>
        <v>8584189</v>
      </c>
      <c r="D331" s="1964">
        <f>76.9*$C$1</f>
        <v>51366.124000000003</v>
      </c>
      <c r="E331" s="1962">
        <f t="shared" si="38"/>
        <v>440936516613.43604</v>
      </c>
      <c r="G331" s="1959" t="s">
        <v>3281</v>
      </c>
      <c r="H331" s="1965" t="s">
        <v>3282</v>
      </c>
      <c r="I331" s="1961">
        <f>VLOOKUP(H327,'LƯƠNG KT'!$D$16:$V$108,11,0)</f>
        <v>7681515</v>
      </c>
      <c r="J331" s="1964">
        <f>76.9*$C$1</f>
        <v>51366.124000000003</v>
      </c>
      <c r="K331" s="1962">
        <f t="shared" si="39"/>
        <v>394569651997.86005</v>
      </c>
    </row>
    <row r="332" spans="1:11" ht="12.75" customHeight="1">
      <c r="A332" s="1959" t="s">
        <v>374</v>
      </c>
      <c r="B332" s="1965" t="s">
        <v>3283</v>
      </c>
      <c r="C332" s="1961">
        <f>VLOOKUP(B327,'LƯƠNG KT'!$D$16:$V$108,7,0)</f>
        <v>2077.5354013146007</v>
      </c>
      <c r="D332" s="1964">
        <f>IF(C328="A",6.1,IF(C328="B",5.8,IF(C328="C",5.5,IF(C328="C.",5.5,IF(C328="D",5.2)))))*$C$1</f>
        <v>0</v>
      </c>
      <c r="E332" s="1962">
        <f t="shared" si="38"/>
        <v>0</v>
      </c>
      <c r="G332" s="1959" t="s">
        <v>374</v>
      </c>
      <c r="H332" s="1965" t="s">
        <v>3283</v>
      </c>
      <c r="I332" s="1961">
        <f>VLOOKUP(H327,'LƯƠNG KT'!$D$16:$V$108,7,0)</f>
        <v>1859.0711631239901</v>
      </c>
      <c r="J332" s="1964">
        <f>IF(I328="A",6.1,IF(I328="B",5.8,IF(I328="C",5.5,IF(I328="C.",5.5,IF(I328="D",5.2)))))*$C$1</f>
        <v>0</v>
      </c>
      <c r="K332" s="1962">
        <f t="shared" si="39"/>
        <v>0</v>
      </c>
    </row>
    <row r="333" spans="1:11" ht="12.75" customHeight="1">
      <c r="A333" s="1959" t="s">
        <v>3296</v>
      </c>
      <c r="B333" s="1965" t="s">
        <v>3285</v>
      </c>
      <c r="C333" s="1961">
        <f>VLOOKUP(B327,'LƯƠNG KT'!$D$16:$V$108,12,0)</f>
        <v>27</v>
      </c>
      <c r="D333" s="1967">
        <f>92.2*$C$1</f>
        <v>61585.912000000004</v>
      </c>
      <c r="E333" s="1962">
        <f t="shared" si="38"/>
        <v>1662819.6240000001</v>
      </c>
      <c r="G333" s="1959" t="s">
        <v>3296</v>
      </c>
      <c r="H333" s="1965" t="s">
        <v>3285</v>
      </c>
      <c r="I333" s="1961">
        <f>VLOOKUP(H327,'LƯƠNG KT'!$D$16:$V$108,12,0)</f>
        <v>27</v>
      </c>
      <c r="J333" s="1967">
        <f>92.2*$C$1</f>
        <v>61585.912000000004</v>
      </c>
      <c r="K333" s="1962">
        <f t="shared" si="39"/>
        <v>1662819.6240000001</v>
      </c>
    </row>
    <row r="334" spans="1:11" ht="12.75" customHeight="1">
      <c r="A334" s="1959" t="s">
        <v>3297</v>
      </c>
      <c r="B334" s="1965" t="s">
        <v>3287</v>
      </c>
      <c r="C334" s="1961">
        <f>VLOOKUP(B327,'LƯƠNG KT'!$D$16:$V$108,13,0)</f>
        <v>4</v>
      </c>
      <c r="D334" s="1964">
        <f>153.8*$C$1</f>
        <v>102732.24800000001</v>
      </c>
      <c r="E334" s="1962">
        <f t="shared" si="38"/>
        <v>410928.99200000003</v>
      </c>
      <c r="G334" s="1959" t="s">
        <v>3297</v>
      </c>
      <c r="H334" s="1965" t="s">
        <v>3287</v>
      </c>
      <c r="I334" s="1961">
        <f>VLOOKUP(H327,'LƯƠNG KT'!$D$16:$V$108,13,0)</f>
        <v>4</v>
      </c>
      <c r="J334" s="1964">
        <f>153.8*$C$1</f>
        <v>102732.24800000001</v>
      </c>
      <c r="K334" s="1962">
        <f t="shared" si="39"/>
        <v>410928.99200000003</v>
      </c>
    </row>
    <row r="335" spans="1:11" ht="12.75" customHeight="1">
      <c r="A335" s="1959" t="s">
        <v>3354</v>
      </c>
      <c r="B335" s="1965" t="s">
        <v>3288</v>
      </c>
      <c r="C335" s="1961">
        <f>VLOOKUP(B327,'LƯƠNG KT'!$D$16:$V$108,14,0)</f>
        <v>0</v>
      </c>
      <c r="D335" s="1964">
        <v>100000</v>
      </c>
      <c r="E335" s="1962">
        <f>C335*D335</f>
        <v>0</v>
      </c>
      <c r="G335" s="1959" t="s">
        <v>3354</v>
      </c>
      <c r="H335" s="1965" t="s">
        <v>3288</v>
      </c>
      <c r="I335" s="1961">
        <f>VLOOKUP(H327,'LƯƠNG KT'!$D$16:$V$108,14,0)</f>
        <v>0</v>
      </c>
      <c r="J335" s="1964">
        <v>100000</v>
      </c>
      <c r="K335" s="1962">
        <f>I335*J335</f>
        <v>0</v>
      </c>
    </row>
    <row r="336" spans="1:11" ht="12.75" customHeight="1">
      <c r="A336" s="1959" t="s">
        <v>3355</v>
      </c>
      <c r="B336" s="1965" t="s">
        <v>3288</v>
      </c>
      <c r="C336" s="1961">
        <f>VLOOKUP(B327,'LƯƠNG KT'!$D$16:$V$108,17,0)</f>
        <v>0</v>
      </c>
      <c r="D336" s="1964">
        <v>20000</v>
      </c>
      <c r="E336" s="1962">
        <f>C336*D336</f>
        <v>0</v>
      </c>
      <c r="G336" s="1959" t="s">
        <v>3355</v>
      </c>
      <c r="H336" s="1965" t="s">
        <v>3288</v>
      </c>
      <c r="I336" s="1961">
        <f>VLOOKUP(H327,'LƯƠNG KT'!$D$16:$V$108,17,0)</f>
        <v>0</v>
      </c>
      <c r="J336" s="1964">
        <v>20000</v>
      </c>
      <c r="K336" s="1962">
        <f>I336*J336</f>
        <v>0</v>
      </c>
    </row>
    <row r="337" spans="1:11" ht="12.75" customHeight="1">
      <c r="A337" s="1959" t="s">
        <v>3289</v>
      </c>
      <c r="B337" s="1965" t="s">
        <v>3290</v>
      </c>
      <c r="C337" s="1966"/>
      <c r="D337" s="1964"/>
      <c r="E337" s="1962"/>
      <c r="G337" s="1959" t="s">
        <v>3289</v>
      </c>
      <c r="H337" s="1965" t="s">
        <v>3290</v>
      </c>
      <c r="I337" s="1966"/>
      <c r="J337" s="1964"/>
      <c r="K337" s="1962"/>
    </row>
    <row r="338" spans="1:11" ht="12.75" customHeight="1">
      <c r="A338" s="1968" t="s">
        <v>377</v>
      </c>
      <c r="B338" s="1969" t="s">
        <v>3291</v>
      </c>
      <c r="C338" s="1970"/>
      <c r="D338" s="1971"/>
      <c r="E338" s="1970"/>
      <c r="G338" s="1968" t="s">
        <v>377</v>
      </c>
      <c r="H338" s="1969" t="s">
        <v>3291</v>
      </c>
      <c r="I338" s="1970"/>
      <c r="J338" s="1971"/>
      <c r="K338" s="1970"/>
    </row>
    <row r="339" spans="1:11" ht="12.75" customHeight="1">
      <c r="A339" s="1972" t="s">
        <v>379</v>
      </c>
      <c r="B339" s="1973" t="s">
        <v>3292</v>
      </c>
      <c r="C339" s="1970"/>
      <c r="D339" s="1970"/>
      <c r="E339" s="1970"/>
      <c r="G339" s="1972" t="s">
        <v>379</v>
      </c>
      <c r="H339" s="1973" t="s">
        <v>3292</v>
      </c>
      <c r="I339" s="1970"/>
      <c r="J339" s="1970"/>
      <c r="K339" s="1970"/>
    </row>
    <row r="340" spans="1:11" ht="12.75" customHeight="1">
      <c r="A340" s="1972" t="s">
        <v>381</v>
      </c>
      <c r="B340" s="1974" t="s">
        <v>3293</v>
      </c>
      <c r="C340" s="1970"/>
      <c r="D340" s="1970"/>
      <c r="E340" s="1962">
        <f>SUM(E339)</f>
        <v>0</v>
      </c>
      <c r="G340" s="1972" t="s">
        <v>381</v>
      </c>
      <c r="H340" s="1974" t="s">
        <v>3293</v>
      </c>
      <c r="I340" s="1970"/>
      <c r="J340" s="1970"/>
      <c r="K340" s="1962">
        <f>SUM(K339)</f>
        <v>0</v>
      </c>
    </row>
    <row r="341" spans="1:11" ht="12.75" customHeight="1">
      <c r="A341" s="1975" t="s">
        <v>383</v>
      </c>
      <c r="B341" s="1976" t="s">
        <v>3294</v>
      </c>
      <c r="C341" s="1977"/>
      <c r="D341" s="1977"/>
      <c r="E341" s="1978" t="e">
        <f>(E329+E330+E331+E332+E333+E334+E335+E336+E337)-E340</f>
        <v>#VALUE!</v>
      </c>
      <c r="G341" s="1975" t="s">
        <v>383</v>
      </c>
      <c r="H341" s="1976" t="s">
        <v>3294</v>
      </c>
      <c r="I341" s="1977"/>
      <c r="J341" s="1977"/>
      <c r="K341" s="1978" t="e">
        <f>(K329+K330+K331+K332+K333+K334+K335+K336+K337)-K340</f>
        <v>#VALUE!</v>
      </c>
    </row>
    <row r="342" spans="1:11" ht="51.75" customHeight="1"/>
    <row r="343" spans="1:11" ht="12.75" customHeight="1">
      <c r="A343" s="2953" t="s">
        <v>3356</v>
      </c>
      <c r="B343" s="2954"/>
      <c r="C343" s="2954"/>
      <c r="D343" s="2954"/>
      <c r="E343" s="1955">
        <f>VLOOKUP(B344,'LƯƠNG KT'!$D$16:$AD$108,25,0)</f>
        <v>0</v>
      </c>
      <c r="G343" s="2953" t="s">
        <v>3356</v>
      </c>
      <c r="H343" s="2954"/>
      <c r="I343" s="2954"/>
      <c r="J343" s="2954"/>
      <c r="K343" s="1955">
        <f>VLOOKUP(H344,'LƯƠNG KT'!$D$16:$AD$108,25,0)</f>
        <v>0</v>
      </c>
    </row>
    <row r="344" spans="1:11" ht="12.75" customHeight="1">
      <c r="A344" s="1956" t="s">
        <v>356</v>
      </c>
      <c r="B344" s="1956" t="str">
        <f>'LƯƠNG KT'!$D$56</f>
        <v>Thảo Buồng</v>
      </c>
      <c r="C344" s="1957"/>
      <c r="D344" s="1958" t="s">
        <v>2357</v>
      </c>
      <c r="E344" s="1958" t="s">
        <v>2156</v>
      </c>
      <c r="G344" s="1956" t="s">
        <v>356</v>
      </c>
      <c r="H344" s="1956" t="str">
        <f>'LƯƠNG KT'!$D$57</f>
        <v>T. Om</v>
      </c>
      <c r="I344" s="1957"/>
      <c r="J344" s="1958" t="s">
        <v>2357</v>
      </c>
      <c r="K344" s="1958" t="s">
        <v>2156</v>
      </c>
    </row>
    <row r="345" spans="1:11" ht="12.75" customHeight="1">
      <c r="A345" s="1959" t="s">
        <v>3005</v>
      </c>
      <c r="B345" s="1960" t="s">
        <v>3278</v>
      </c>
      <c r="C345" s="1961">
        <f>VLOOKUP(B344,'LƯƠNG KT'!$D$16:$M$108,8,0)</f>
        <v>286.17534666433477</v>
      </c>
      <c r="D345" s="1962"/>
      <c r="E345" s="1962"/>
      <c r="G345" s="1959" t="s">
        <v>3005</v>
      </c>
      <c r="H345" s="1960" t="s">
        <v>3278</v>
      </c>
      <c r="I345" s="1961">
        <f>VLOOKUP(H344,'LƯƠNG KT'!$D$16:$M$108,8,0)</f>
        <v>255.21229211332957</v>
      </c>
      <c r="J345" s="1962"/>
      <c r="K345" s="1962"/>
    </row>
    <row r="346" spans="1:11" ht="12.75" customHeight="1">
      <c r="A346" s="1959" t="s">
        <v>359</v>
      </c>
      <c r="B346" s="1963" t="s">
        <v>2090</v>
      </c>
      <c r="C346" s="1961">
        <f>VLOOKUP(B344,'LƯƠNG KT'!$D$16:$V$108,3,0)</f>
        <v>0</v>
      </c>
      <c r="D346" s="1964">
        <v>25000</v>
      </c>
      <c r="E346" s="1962">
        <f>C346*D346</f>
        <v>0</v>
      </c>
      <c r="G346" s="1959" t="s">
        <v>359</v>
      </c>
      <c r="H346" s="1963" t="s">
        <v>2090</v>
      </c>
      <c r="I346" s="1961">
        <f>VLOOKUP(H344,'LƯƠNG KT'!$D$16:$V$108,3,0)</f>
        <v>0</v>
      </c>
      <c r="J346" s="1964">
        <v>25000</v>
      </c>
      <c r="K346" s="1962">
        <f>I346*J346</f>
        <v>0</v>
      </c>
    </row>
    <row r="347" spans="1:11" ht="12.75" customHeight="1">
      <c r="A347" s="1959" t="s">
        <v>3279</v>
      </c>
      <c r="B347" s="1965" t="s">
        <v>3280</v>
      </c>
      <c r="C347" s="1961" t="str">
        <f>VLOOKUP(B344,'LƯƠNG KT'!$D$16:$V$108,10,0)</f>
        <v>A</v>
      </c>
      <c r="D347" s="1967">
        <f>46.1*$C$1</f>
        <v>30792.956000000002</v>
      </c>
      <c r="E347" s="1962" t="e">
        <f t="shared" ref="E347:E351" si="40">C347*D347</f>
        <v>#VALUE!</v>
      </c>
      <c r="G347" s="1959" t="s">
        <v>3279</v>
      </c>
      <c r="H347" s="1965" t="s">
        <v>3280</v>
      </c>
      <c r="I347" s="1961" t="str">
        <f>VLOOKUP(H344,'LƯƠNG KT'!$D$16:$V$108,10,0)</f>
        <v>A</v>
      </c>
      <c r="J347" s="1967">
        <f>46.1*$C$1</f>
        <v>30792.956000000002</v>
      </c>
      <c r="K347" s="1962" t="e">
        <f t="shared" ref="K347:K351" si="41">I347*J347</f>
        <v>#VALUE!</v>
      </c>
    </row>
    <row r="348" spans="1:11" ht="12.75" customHeight="1">
      <c r="A348" s="1959" t="s">
        <v>3281</v>
      </c>
      <c r="B348" s="1965" t="s">
        <v>3282</v>
      </c>
      <c r="C348" s="1961">
        <f>VLOOKUP(B344,'LƯƠNG KT'!$D$16:$V$108,11,0)</f>
        <v>9170752</v>
      </c>
      <c r="D348" s="1964">
        <f>76.9*$C$1</f>
        <v>51366.124000000003</v>
      </c>
      <c r="E348" s="1962">
        <f t="shared" si="40"/>
        <v>471065984405.24805</v>
      </c>
      <c r="G348" s="1959" t="s">
        <v>3281</v>
      </c>
      <c r="H348" s="1965" t="s">
        <v>3282</v>
      </c>
      <c r="I348" s="1961">
        <f>VLOOKUP(H344,'LƯƠNG KT'!$D$16:$V$108,11,0)</f>
        <v>8178513</v>
      </c>
      <c r="J348" s="1964">
        <f>76.9*$C$1</f>
        <v>51366.124000000003</v>
      </c>
      <c r="K348" s="1962">
        <f t="shared" si="41"/>
        <v>420098512893.612</v>
      </c>
    </row>
    <row r="349" spans="1:11" ht="12.75" customHeight="1">
      <c r="A349" s="1959" t="s">
        <v>374</v>
      </c>
      <c r="B349" s="1965" t="s">
        <v>3283</v>
      </c>
      <c r="C349" s="1961">
        <f>VLOOKUP(B344,'LƯƠNG KT'!$D$16:$V$108,7,0)</f>
        <v>2219.494653368422</v>
      </c>
      <c r="D349" s="1964">
        <f>IF(C345="A",6.1,IF(C345="B",5.8,IF(C345="C",5.5,IF(C345="C.",5.5,IF(C345="D",5.2)))))*$C$1</f>
        <v>0</v>
      </c>
      <c r="E349" s="1962">
        <f t="shared" si="40"/>
        <v>0</v>
      </c>
      <c r="G349" s="1959" t="s">
        <v>374</v>
      </c>
      <c r="H349" s="1965" t="s">
        <v>3283</v>
      </c>
      <c r="I349" s="1961">
        <f>VLOOKUP(H344,'LƯƠNG KT'!$D$16:$V$108,7,0)</f>
        <v>1979.3540024390541</v>
      </c>
      <c r="J349" s="1964">
        <f>IF(I345="A",6.1,IF(I345="B",5.8,IF(I345="C",5.5,IF(I345="C.",5.5,IF(I345="D",5.2)))))*$C$1</f>
        <v>0</v>
      </c>
      <c r="K349" s="1962">
        <f t="shared" si="41"/>
        <v>0</v>
      </c>
    </row>
    <row r="350" spans="1:11" ht="12.75" customHeight="1">
      <c r="A350" s="1959" t="s">
        <v>3296</v>
      </c>
      <c r="B350" s="1965" t="s">
        <v>3285</v>
      </c>
      <c r="C350" s="1961">
        <f>VLOOKUP(B344,'LƯƠNG KT'!$D$16:$V$108,12,0)</f>
        <v>27</v>
      </c>
      <c r="D350" s="1967">
        <f>92.2*$C$1</f>
        <v>61585.912000000004</v>
      </c>
      <c r="E350" s="1962">
        <f t="shared" si="40"/>
        <v>1662819.6240000001</v>
      </c>
      <c r="G350" s="1959" t="s">
        <v>3296</v>
      </c>
      <c r="H350" s="1965" t="s">
        <v>3285</v>
      </c>
      <c r="I350" s="1961">
        <f>VLOOKUP(H344,'LƯƠNG KT'!$D$16:$V$108,12,0)</f>
        <v>25</v>
      </c>
      <c r="J350" s="1967">
        <f>92.2*$C$1</f>
        <v>61585.912000000004</v>
      </c>
      <c r="K350" s="1962">
        <f t="shared" si="41"/>
        <v>1539647.8</v>
      </c>
    </row>
    <row r="351" spans="1:11" ht="12.75" customHeight="1">
      <c r="A351" s="1959" t="s">
        <v>3297</v>
      </c>
      <c r="B351" s="1965" t="s">
        <v>3287</v>
      </c>
      <c r="C351" s="1961">
        <f>VLOOKUP(B344,'LƯƠNG KT'!$D$16:$V$108,13,0)</f>
        <v>4</v>
      </c>
      <c r="D351" s="1964">
        <f>153.8*$C$1</f>
        <v>102732.24800000001</v>
      </c>
      <c r="E351" s="1962">
        <f t="shared" si="40"/>
        <v>410928.99200000003</v>
      </c>
      <c r="G351" s="1959" t="s">
        <v>3297</v>
      </c>
      <c r="H351" s="1965" t="s">
        <v>3287</v>
      </c>
      <c r="I351" s="1961">
        <f>VLOOKUP(H344,'LƯƠNG KT'!$D$16:$V$108,13,0)</f>
        <v>4</v>
      </c>
      <c r="J351" s="1964">
        <f>153.8*$C$1</f>
        <v>102732.24800000001</v>
      </c>
      <c r="K351" s="1962">
        <f t="shared" si="41"/>
        <v>410928.99200000003</v>
      </c>
    </row>
    <row r="352" spans="1:11" ht="12.75" customHeight="1">
      <c r="A352" s="1959" t="s">
        <v>3354</v>
      </c>
      <c r="B352" s="1965" t="s">
        <v>3288</v>
      </c>
      <c r="C352" s="1961">
        <f>VLOOKUP(B344,'LƯƠNG KT'!$D$16:$V$108,14,0)</f>
        <v>0</v>
      </c>
      <c r="D352" s="1964">
        <v>100000</v>
      </c>
      <c r="E352" s="1962">
        <f>C352*D352</f>
        <v>0</v>
      </c>
      <c r="G352" s="1959" t="s">
        <v>3354</v>
      </c>
      <c r="H352" s="1965" t="s">
        <v>3288</v>
      </c>
      <c r="I352" s="1961">
        <f>VLOOKUP(H344,'LƯƠNG KT'!$D$16:$V$108,14,0)</f>
        <v>0</v>
      </c>
      <c r="J352" s="1964">
        <v>100000</v>
      </c>
      <c r="K352" s="1962">
        <f>I352*J352</f>
        <v>0</v>
      </c>
    </row>
    <row r="353" spans="1:11" ht="12.75" customHeight="1">
      <c r="A353" s="1959" t="s">
        <v>3355</v>
      </c>
      <c r="B353" s="1965" t="s">
        <v>3288</v>
      </c>
      <c r="C353" s="1961">
        <f>VLOOKUP(B344,'LƯƠNG KT'!$D$16:$V$108,17,0)</f>
        <v>0</v>
      </c>
      <c r="D353" s="1964">
        <v>20000</v>
      </c>
      <c r="E353" s="1962">
        <f>C353*D353</f>
        <v>0</v>
      </c>
      <c r="G353" s="1959" t="s">
        <v>3355</v>
      </c>
      <c r="H353" s="1965" t="s">
        <v>3288</v>
      </c>
      <c r="I353" s="1961">
        <f>VLOOKUP(H344,'LƯƠNG KT'!$D$16:$V$108,17,0)</f>
        <v>0</v>
      </c>
      <c r="J353" s="1964">
        <v>20000</v>
      </c>
      <c r="K353" s="1962">
        <f>I353*J353</f>
        <v>0</v>
      </c>
    </row>
    <row r="354" spans="1:11" ht="12.75" customHeight="1">
      <c r="A354" s="1959" t="s">
        <v>3289</v>
      </c>
      <c r="B354" s="1965" t="s">
        <v>3290</v>
      </c>
      <c r="C354" s="1966"/>
      <c r="D354" s="1964"/>
      <c r="E354" s="1962"/>
      <c r="G354" s="1959" t="s">
        <v>3289</v>
      </c>
      <c r="H354" s="1965" t="s">
        <v>3290</v>
      </c>
      <c r="I354" s="1966"/>
      <c r="J354" s="1964"/>
      <c r="K354" s="1962"/>
    </row>
    <row r="355" spans="1:11" ht="12.75" customHeight="1">
      <c r="A355" s="1968" t="s">
        <v>377</v>
      </c>
      <c r="B355" s="1969" t="s">
        <v>3291</v>
      </c>
      <c r="C355" s="1970"/>
      <c r="D355" s="1971"/>
      <c r="E355" s="1970"/>
      <c r="G355" s="1968" t="s">
        <v>377</v>
      </c>
      <c r="H355" s="1969" t="s">
        <v>3291</v>
      </c>
      <c r="I355" s="1970"/>
      <c r="J355" s="1971"/>
      <c r="K355" s="1970"/>
    </row>
    <row r="356" spans="1:11" ht="12.75" customHeight="1">
      <c r="A356" s="1972" t="s">
        <v>379</v>
      </c>
      <c r="B356" s="1973" t="s">
        <v>3292</v>
      </c>
      <c r="C356" s="1970"/>
      <c r="D356" s="1970"/>
      <c r="E356" s="1970"/>
      <c r="G356" s="1972" t="s">
        <v>379</v>
      </c>
      <c r="H356" s="1973" t="s">
        <v>3292</v>
      </c>
      <c r="I356" s="1970"/>
      <c r="J356" s="1970"/>
      <c r="K356" s="1970"/>
    </row>
    <row r="357" spans="1:11" ht="12.75" customHeight="1">
      <c r="A357" s="1972" t="s">
        <v>381</v>
      </c>
      <c r="B357" s="1974" t="s">
        <v>3293</v>
      </c>
      <c r="C357" s="1970"/>
      <c r="D357" s="1970"/>
      <c r="E357" s="1962">
        <f>SUM(E356)</f>
        <v>0</v>
      </c>
      <c r="G357" s="1972" t="s">
        <v>381</v>
      </c>
      <c r="H357" s="1974" t="s">
        <v>3293</v>
      </c>
      <c r="I357" s="1970"/>
      <c r="J357" s="1970"/>
      <c r="K357" s="1962">
        <f>SUM(K356)</f>
        <v>0</v>
      </c>
    </row>
    <row r="358" spans="1:11" ht="12.75" customHeight="1">
      <c r="A358" s="1975" t="s">
        <v>383</v>
      </c>
      <c r="B358" s="1976" t="s">
        <v>3294</v>
      </c>
      <c r="C358" s="1977"/>
      <c r="D358" s="1977"/>
      <c r="E358" s="1978" t="e">
        <f>(E346+E347+E348+E349+E350+E351+E352+E353+E354)-E357</f>
        <v>#VALUE!</v>
      </c>
      <c r="G358" s="1975" t="s">
        <v>383</v>
      </c>
      <c r="H358" s="1976" t="s">
        <v>3294</v>
      </c>
      <c r="I358" s="1977"/>
      <c r="J358" s="1977"/>
      <c r="K358" s="1978" t="e">
        <f>(K346+K347+K348+K349+K350+K351+K352+K353+K354)-K357</f>
        <v>#VALUE!</v>
      </c>
    </row>
    <row r="360" spans="1:11" ht="12.75" customHeight="1">
      <c r="A360" s="2953" t="s">
        <v>3356</v>
      </c>
      <c r="B360" s="2954"/>
      <c r="C360" s="2954"/>
      <c r="D360" s="2954"/>
      <c r="E360" s="1955">
        <f>VLOOKUP(B361,'LƯƠNG KT'!$D$16:$AD$108,25,0)</f>
        <v>0</v>
      </c>
      <c r="G360" s="2953" t="s">
        <v>3356</v>
      </c>
      <c r="H360" s="2954"/>
      <c r="I360" s="2954"/>
      <c r="J360" s="2954"/>
      <c r="K360" s="1955">
        <f>VLOOKUP(H361,'LƯƠNG KT'!$D$16:$AD$108,25,0)</f>
        <v>0</v>
      </c>
    </row>
    <row r="361" spans="1:11" ht="12.75" customHeight="1">
      <c r="A361" s="1956" t="s">
        <v>356</v>
      </c>
      <c r="B361" s="1956" t="str">
        <f>'LƯƠNG KT'!$D$58</f>
        <v>T Xinh</v>
      </c>
      <c r="C361" s="1957"/>
      <c r="D361" s="1958" t="s">
        <v>2357</v>
      </c>
      <c r="E361" s="1958" t="s">
        <v>2156</v>
      </c>
      <c r="G361" s="1956" t="s">
        <v>356</v>
      </c>
      <c r="H361" s="1956" t="str">
        <f>'LƯƠNG KT'!$D$59</f>
        <v>T. Thong A</v>
      </c>
      <c r="I361" s="1957"/>
      <c r="J361" s="1958" t="s">
        <v>2357</v>
      </c>
      <c r="K361" s="1958" t="s">
        <v>2156</v>
      </c>
    </row>
    <row r="362" spans="1:11" ht="12.75" customHeight="1">
      <c r="A362" s="1959" t="s">
        <v>3005</v>
      </c>
      <c r="B362" s="1960" t="s">
        <v>3278</v>
      </c>
      <c r="C362" s="1961">
        <f>VLOOKUP(B361,'LƯƠNG KT'!$D$16:$M$108,8,0)</f>
        <v>254.1710566505524</v>
      </c>
      <c r="D362" s="1962"/>
      <c r="E362" s="1962"/>
      <c r="G362" s="1959" t="s">
        <v>3005</v>
      </c>
      <c r="H362" s="1960" t="s">
        <v>3278</v>
      </c>
      <c r="I362" s="1961">
        <f>VLOOKUP(H361,'LƯƠNG KT'!$D$16:$M$108,8,0)</f>
        <v>208.68550748712883</v>
      </c>
      <c r="J362" s="1962"/>
      <c r="K362" s="1962"/>
    </row>
    <row r="363" spans="1:11" ht="12.75" customHeight="1">
      <c r="A363" s="1959" t="s">
        <v>359</v>
      </c>
      <c r="B363" s="1963" t="s">
        <v>2090</v>
      </c>
      <c r="C363" s="1961">
        <f>VLOOKUP(B361,'LƯƠNG KT'!$D$16:$V$108,3,0)</f>
        <v>0</v>
      </c>
      <c r="D363" s="1964">
        <v>25000</v>
      </c>
      <c r="E363" s="1962">
        <f>C363*D363</f>
        <v>0</v>
      </c>
      <c r="G363" s="1959" t="s">
        <v>359</v>
      </c>
      <c r="H363" s="1963" t="s">
        <v>2090</v>
      </c>
      <c r="I363" s="1961">
        <f>VLOOKUP(H361,'LƯƠNG KT'!$D$16:$V$108,3,0)</f>
        <v>0</v>
      </c>
      <c r="J363" s="1964">
        <v>25000</v>
      </c>
      <c r="K363" s="1962">
        <f>I363*J363</f>
        <v>0</v>
      </c>
    </row>
    <row r="364" spans="1:11" ht="12.75" customHeight="1">
      <c r="A364" s="1959" t="s">
        <v>3279</v>
      </c>
      <c r="B364" s="1965" t="s">
        <v>3280</v>
      </c>
      <c r="C364" s="1961" t="str">
        <f>VLOOKUP(B361,'LƯƠNG KT'!$D$16:$V$108,10,0)</f>
        <v>B</v>
      </c>
      <c r="D364" s="1967">
        <f>46.1*$C$1</f>
        <v>30792.956000000002</v>
      </c>
      <c r="E364" s="1962" t="e">
        <f t="shared" ref="E364:E368" si="42">C364*D364</f>
        <v>#VALUE!</v>
      </c>
      <c r="G364" s="1959" t="s">
        <v>3279</v>
      </c>
      <c r="H364" s="1965" t="s">
        <v>3280</v>
      </c>
      <c r="I364" s="1961" t="str">
        <f>VLOOKUP(H361,'LƯƠNG KT'!$D$16:$V$108,10,0)</f>
        <v>B</v>
      </c>
      <c r="J364" s="1967">
        <f>46.1*$C$1</f>
        <v>30792.956000000002</v>
      </c>
      <c r="K364" s="1962" t="e">
        <f t="shared" ref="K364:K368" si="43">I364*J364</f>
        <v>#VALUE!</v>
      </c>
    </row>
    <row r="365" spans="1:11" ht="12.75" customHeight="1">
      <c r="A365" s="1959" t="s">
        <v>3281</v>
      </c>
      <c r="B365" s="1965" t="s">
        <v>3282</v>
      </c>
      <c r="C365" s="1961">
        <f>VLOOKUP(B361,'LƯƠNG KT'!$D$16:$V$108,11,0)</f>
        <v>7744564</v>
      </c>
      <c r="D365" s="1964">
        <f>76.9*$C$1</f>
        <v>51366.124000000003</v>
      </c>
      <c r="E365" s="1962">
        <f t="shared" si="42"/>
        <v>397808234749.93604</v>
      </c>
      <c r="G365" s="1959" t="s">
        <v>3281</v>
      </c>
      <c r="H365" s="1965" t="s">
        <v>3282</v>
      </c>
      <c r="I365" s="1961">
        <f>VLOOKUP(H361,'LƯƠNG KT'!$D$16:$V$108,11,0)</f>
        <v>6358625</v>
      </c>
      <c r="J365" s="1964">
        <f>76.9*$C$1</f>
        <v>51366.124000000003</v>
      </c>
      <c r="K365" s="1962">
        <f t="shared" si="43"/>
        <v>326617920219.5</v>
      </c>
    </row>
    <row r="366" spans="1:11" ht="12.75" customHeight="1">
      <c r="A366" s="1959" t="s">
        <v>374</v>
      </c>
      <c r="B366" s="1965" t="s">
        <v>3283</v>
      </c>
      <c r="C366" s="1961">
        <f>VLOOKUP(B361,'LƯƠNG KT'!$D$16:$V$108,7,0)</f>
        <v>1971.2784761246151</v>
      </c>
      <c r="D366" s="1964">
        <f>IF(C362="A",6.1,IF(C362="B",5.8,IF(C362="C",5.5,IF(C362="C.",5.5,IF(C362="D",5.2)))))*$C$1</f>
        <v>0</v>
      </c>
      <c r="E366" s="1962">
        <f t="shared" si="42"/>
        <v>0</v>
      </c>
      <c r="G366" s="1959" t="s">
        <v>374</v>
      </c>
      <c r="H366" s="1965" t="s">
        <v>3283</v>
      </c>
      <c r="I366" s="1961">
        <f>VLOOKUP(H361,'LƯƠNG KT'!$D$16:$V$108,7,0)</f>
        <v>1618.5054844938625</v>
      </c>
      <c r="J366" s="1964">
        <f>IF(I362="A",6.1,IF(I362="B",5.8,IF(I362="C",5.5,IF(I362="C.",5.5,IF(I362="D",5.2)))))*$C$1</f>
        <v>0</v>
      </c>
      <c r="K366" s="1962">
        <f t="shared" si="43"/>
        <v>0</v>
      </c>
    </row>
    <row r="367" spans="1:11" ht="12.75" customHeight="1">
      <c r="A367" s="1959" t="s">
        <v>3296</v>
      </c>
      <c r="B367" s="1965" t="s">
        <v>3285</v>
      </c>
      <c r="C367" s="1961">
        <f>VLOOKUP(B361,'LƯƠNG KT'!$D$16:$V$108,12,0)</f>
        <v>27</v>
      </c>
      <c r="D367" s="1967">
        <f>92.2*$C$1</f>
        <v>61585.912000000004</v>
      </c>
      <c r="E367" s="1962">
        <f t="shared" si="42"/>
        <v>1662819.6240000001</v>
      </c>
      <c r="G367" s="1959" t="s">
        <v>3296</v>
      </c>
      <c r="H367" s="1965" t="s">
        <v>3285</v>
      </c>
      <c r="I367" s="1961">
        <f>VLOOKUP(H361,'LƯƠNG KT'!$D$16:$V$108,12,0)</f>
        <v>22</v>
      </c>
      <c r="J367" s="1967">
        <f>92.2*$C$1</f>
        <v>61585.912000000004</v>
      </c>
      <c r="K367" s="1962">
        <f t="shared" si="43"/>
        <v>1354890.064</v>
      </c>
    </row>
    <row r="368" spans="1:11" ht="12.75" customHeight="1">
      <c r="A368" s="1959" t="s">
        <v>3297</v>
      </c>
      <c r="B368" s="1965" t="s">
        <v>3287</v>
      </c>
      <c r="C368" s="1961">
        <f>VLOOKUP(B361,'LƯƠNG KT'!$D$16:$V$108,13,0)</f>
        <v>4</v>
      </c>
      <c r="D368" s="1964">
        <f>153.8*$C$1</f>
        <v>102732.24800000001</v>
      </c>
      <c r="E368" s="1962">
        <f t="shared" si="42"/>
        <v>410928.99200000003</v>
      </c>
      <c r="G368" s="1959" t="s">
        <v>3297</v>
      </c>
      <c r="H368" s="1965" t="s">
        <v>3287</v>
      </c>
      <c r="I368" s="1961">
        <f>VLOOKUP(H361,'LƯƠNG KT'!$D$16:$V$108,13,0)</f>
        <v>4</v>
      </c>
      <c r="J368" s="1964">
        <f>153.8*$C$1</f>
        <v>102732.24800000001</v>
      </c>
      <c r="K368" s="1962">
        <f t="shared" si="43"/>
        <v>410928.99200000003</v>
      </c>
    </row>
    <row r="369" spans="1:11" ht="12.75" customHeight="1">
      <c r="A369" s="1959" t="s">
        <v>3354</v>
      </c>
      <c r="B369" s="1965" t="s">
        <v>3288</v>
      </c>
      <c r="C369" s="1961">
        <f>VLOOKUP(B361,'LƯƠNG KT'!$D$16:$V$108,14,0)</f>
        <v>0</v>
      </c>
      <c r="D369" s="1964">
        <v>100000</v>
      </c>
      <c r="E369" s="1962">
        <f>C369*D369</f>
        <v>0</v>
      </c>
      <c r="G369" s="1959" t="s">
        <v>3354</v>
      </c>
      <c r="H369" s="1965" t="s">
        <v>3288</v>
      </c>
      <c r="I369" s="1961">
        <f>VLOOKUP(H361,'LƯƠNG KT'!$D$16:$V$108,14,0)</f>
        <v>0</v>
      </c>
      <c r="J369" s="1964">
        <v>100000</v>
      </c>
      <c r="K369" s="1962">
        <f>I369*J369</f>
        <v>0</v>
      </c>
    </row>
    <row r="370" spans="1:11" ht="12.75" customHeight="1">
      <c r="A370" s="1959" t="s">
        <v>3355</v>
      </c>
      <c r="B370" s="1965" t="s">
        <v>3288</v>
      </c>
      <c r="C370" s="1961">
        <f>VLOOKUP(B361,'LƯƠNG KT'!$D$16:$V$108,17,0)</f>
        <v>0</v>
      </c>
      <c r="D370" s="1964">
        <v>20000</v>
      </c>
      <c r="E370" s="1962">
        <f>C370*D370</f>
        <v>0</v>
      </c>
      <c r="G370" s="1959" t="s">
        <v>3355</v>
      </c>
      <c r="H370" s="1965" t="s">
        <v>3288</v>
      </c>
      <c r="I370" s="1961">
        <f>VLOOKUP(H361,'LƯƠNG KT'!$D$16:$V$108,17,0)</f>
        <v>0</v>
      </c>
      <c r="J370" s="1964">
        <v>20000</v>
      </c>
      <c r="K370" s="1962">
        <f>I370*J370</f>
        <v>0</v>
      </c>
    </row>
    <row r="371" spans="1:11" ht="12.75" customHeight="1">
      <c r="A371" s="1959" t="s">
        <v>3289</v>
      </c>
      <c r="B371" s="1965" t="s">
        <v>3290</v>
      </c>
      <c r="C371" s="1966"/>
      <c r="D371" s="1964"/>
      <c r="E371" s="1962"/>
      <c r="G371" s="1959" t="s">
        <v>3289</v>
      </c>
      <c r="H371" s="1965" t="s">
        <v>3290</v>
      </c>
      <c r="I371" s="1966"/>
      <c r="J371" s="1964"/>
      <c r="K371" s="1962"/>
    </row>
    <row r="372" spans="1:11" ht="12.75" customHeight="1">
      <c r="A372" s="1968" t="s">
        <v>377</v>
      </c>
      <c r="B372" s="1969" t="s">
        <v>3291</v>
      </c>
      <c r="C372" s="1970"/>
      <c r="D372" s="1971"/>
      <c r="E372" s="1970"/>
      <c r="G372" s="1968" t="s">
        <v>377</v>
      </c>
      <c r="H372" s="1969" t="s">
        <v>3291</v>
      </c>
      <c r="I372" s="1970"/>
      <c r="J372" s="1971"/>
      <c r="K372" s="1970"/>
    </row>
    <row r="373" spans="1:11" ht="12.75" customHeight="1">
      <c r="A373" s="1972" t="s">
        <v>379</v>
      </c>
      <c r="B373" s="1973" t="s">
        <v>3292</v>
      </c>
      <c r="C373" s="1970"/>
      <c r="D373" s="1970"/>
      <c r="E373" s="1970"/>
      <c r="G373" s="1972" t="s">
        <v>379</v>
      </c>
      <c r="H373" s="1973" t="s">
        <v>3292</v>
      </c>
      <c r="I373" s="1970"/>
      <c r="J373" s="1970"/>
      <c r="K373" s="1970"/>
    </row>
    <row r="374" spans="1:11" ht="12.75" customHeight="1">
      <c r="A374" s="1972" t="s">
        <v>381</v>
      </c>
      <c r="B374" s="1974" t="s">
        <v>3293</v>
      </c>
      <c r="C374" s="1970"/>
      <c r="D374" s="1970"/>
      <c r="E374" s="1962">
        <f>SUM(E373)</f>
        <v>0</v>
      </c>
      <c r="G374" s="1972" t="s">
        <v>381</v>
      </c>
      <c r="H374" s="1974" t="s">
        <v>3293</v>
      </c>
      <c r="I374" s="1970"/>
      <c r="J374" s="1970"/>
      <c r="K374" s="1962">
        <f>SUM(K373)</f>
        <v>0</v>
      </c>
    </row>
    <row r="375" spans="1:11" ht="12.75" customHeight="1">
      <c r="A375" s="1975" t="s">
        <v>383</v>
      </c>
      <c r="B375" s="1976" t="s">
        <v>3294</v>
      </c>
      <c r="C375" s="1977"/>
      <c r="D375" s="1977"/>
      <c r="E375" s="1978" t="e">
        <f>(E363+E364+E365+E366+E367+E368+E369+E370+E371)-E374</f>
        <v>#VALUE!</v>
      </c>
      <c r="G375" s="1975" t="s">
        <v>383</v>
      </c>
      <c r="H375" s="1976" t="s">
        <v>3294</v>
      </c>
      <c r="I375" s="1977"/>
      <c r="J375" s="1977"/>
      <c r="K375" s="1978" t="e">
        <f>(K363+K364+K365+K366+K367+K368+K369+K370+K371)-K374</f>
        <v>#VALUE!</v>
      </c>
    </row>
    <row r="377" spans="1:11" ht="12.75" customHeight="1">
      <c r="A377" s="2953" t="s">
        <v>3356</v>
      </c>
      <c r="B377" s="2954"/>
      <c r="C377" s="2954"/>
      <c r="D377" s="2954"/>
      <c r="E377" s="1955">
        <f>VLOOKUP(B378,'LƯƠNG KT'!$D$16:$AD$108,25,0)</f>
        <v>0</v>
      </c>
      <c r="G377" s="2953" t="s">
        <v>3356</v>
      </c>
      <c r="H377" s="2954"/>
      <c r="I377" s="2954"/>
      <c r="J377" s="2954"/>
      <c r="K377" s="1955">
        <f>VLOOKUP(H378,'LƯƠNG KT'!$D$16:$AD$108,25,0)</f>
        <v>0</v>
      </c>
    </row>
    <row r="378" spans="1:11" ht="12.75" customHeight="1">
      <c r="A378" s="1956" t="s">
        <v>356</v>
      </c>
      <c r="B378" s="1956" t="str">
        <f>'LƯƠNG KT'!$D$60</f>
        <v>N. Đôn</v>
      </c>
      <c r="C378" s="1957"/>
      <c r="D378" s="1958" t="s">
        <v>2357</v>
      </c>
      <c r="E378" s="1958" t="s">
        <v>2156</v>
      </c>
      <c r="G378" s="1956" t="s">
        <v>356</v>
      </c>
      <c r="H378" s="1956" t="str">
        <f>'LƯƠNG KT'!$D$61</f>
        <v>Viêng Khăm</v>
      </c>
      <c r="I378" s="1957"/>
      <c r="J378" s="1958" t="s">
        <v>2357</v>
      </c>
      <c r="K378" s="1958" t="s">
        <v>2156</v>
      </c>
    </row>
    <row r="379" spans="1:11" ht="12.75" customHeight="1">
      <c r="A379" s="1959" t="s">
        <v>3005</v>
      </c>
      <c r="B379" s="1960" t="s">
        <v>3278</v>
      </c>
      <c r="C379" s="1961">
        <f>VLOOKUP(B378,'LƯƠNG KT'!$D$16:$M$108,8,0)</f>
        <v>280.47595255229135</v>
      </c>
      <c r="D379" s="1962"/>
      <c r="E379" s="1962"/>
      <c r="G379" s="1959" t="s">
        <v>3005</v>
      </c>
      <c r="H379" s="1960" t="s">
        <v>3278</v>
      </c>
      <c r="I379" s="1961">
        <f>VLOOKUP(H378,'LƯƠNG KT'!$D$16:$M$108,8,0)</f>
        <v>220.35830504352549</v>
      </c>
      <c r="J379" s="1962"/>
      <c r="K379" s="1962"/>
    </row>
    <row r="380" spans="1:11" ht="12.75" customHeight="1">
      <c r="A380" s="1959" t="s">
        <v>359</v>
      </c>
      <c r="B380" s="1963" t="s">
        <v>2090</v>
      </c>
      <c r="C380" s="1961">
        <f>VLOOKUP(B378,'LƯƠNG KT'!$D$16:$V$108,3,0)</f>
        <v>0</v>
      </c>
      <c r="D380" s="1964">
        <v>25000</v>
      </c>
      <c r="E380" s="1962">
        <f>C380*D380</f>
        <v>0</v>
      </c>
      <c r="G380" s="1959" t="s">
        <v>359</v>
      </c>
      <c r="H380" s="1963" t="s">
        <v>2090</v>
      </c>
      <c r="I380" s="1961">
        <f>VLOOKUP(H378,'LƯƠNG KT'!$D$16:$V$108,3,0)</f>
        <v>0</v>
      </c>
      <c r="J380" s="1964">
        <v>25000</v>
      </c>
      <c r="K380" s="1962">
        <f>I380*J380</f>
        <v>0</v>
      </c>
    </row>
    <row r="381" spans="1:11" ht="12.75" customHeight="1">
      <c r="A381" s="1959" t="s">
        <v>3279</v>
      </c>
      <c r="B381" s="1965" t="s">
        <v>3280</v>
      </c>
      <c r="C381" s="1961" t="str">
        <f>VLOOKUP(B378,'LƯƠNG KT'!$D$16:$V$108,10,0)</f>
        <v>A</v>
      </c>
      <c r="D381" s="1967">
        <f>46.1*$C$1</f>
        <v>30792.956000000002</v>
      </c>
      <c r="E381" s="1962" t="e">
        <f t="shared" ref="E381:E385" si="44">C381*D381</f>
        <v>#VALUE!</v>
      </c>
      <c r="G381" s="1959" t="s">
        <v>3279</v>
      </c>
      <c r="H381" s="1965" t="s">
        <v>3280</v>
      </c>
      <c r="I381" s="1961" t="str">
        <f>VLOOKUP(H378,'LƯƠNG KT'!$D$16:$V$108,10,0)</f>
        <v>B</v>
      </c>
      <c r="J381" s="1967">
        <f>46.1*$C$1</f>
        <v>30792.956000000002</v>
      </c>
      <c r="K381" s="1962" t="e">
        <f t="shared" ref="K381:K385" si="45">I381*J381</f>
        <v>#VALUE!</v>
      </c>
    </row>
    <row r="382" spans="1:11" ht="12.75" customHeight="1">
      <c r="A382" s="1959" t="s">
        <v>3281</v>
      </c>
      <c r="B382" s="1965" t="s">
        <v>3282</v>
      </c>
      <c r="C382" s="1961">
        <f>VLOOKUP(B378,'LƯƠNG KT'!$D$16:$V$108,11,0)</f>
        <v>8988110</v>
      </c>
      <c r="D382" s="1964">
        <f>76.9*$C$1</f>
        <v>51366.124000000003</v>
      </c>
      <c r="E382" s="1962">
        <f t="shared" si="44"/>
        <v>461684372785.64001</v>
      </c>
      <c r="G382" s="1959" t="s">
        <v>3281</v>
      </c>
      <c r="H382" s="1965" t="s">
        <v>3282</v>
      </c>
      <c r="I382" s="1961">
        <f>VLOOKUP(H378,'LƯƠNG KT'!$D$16:$V$108,11,0)</f>
        <v>6714294</v>
      </c>
      <c r="J382" s="1964">
        <f>76.9*$C$1</f>
        <v>51366.124000000003</v>
      </c>
      <c r="K382" s="1962">
        <f t="shared" si="45"/>
        <v>344887258176.45599</v>
      </c>
    </row>
    <row r="383" spans="1:11" ht="12.75" customHeight="1">
      <c r="A383" s="1959" t="s">
        <v>374</v>
      </c>
      <c r="B383" s="1965" t="s">
        <v>3283</v>
      </c>
      <c r="C383" s="1961">
        <f>VLOOKUP(B378,'LƯƠNG KT'!$D$16:$V$108,7,0)</f>
        <v>2175.2917724893878</v>
      </c>
      <c r="D383" s="1964">
        <f>IF(C379="A",6.1,IF(C379="B",5.8,IF(C379="C",5.5,IF(C379="C.",5.5,IF(C379="D",5.2)))))*$C$1</f>
        <v>0</v>
      </c>
      <c r="E383" s="1962">
        <f t="shared" si="44"/>
        <v>0</v>
      </c>
      <c r="G383" s="1959" t="s">
        <v>374</v>
      </c>
      <c r="H383" s="1965" t="s">
        <v>3283</v>
      </c>
      <c r="I383" s="1961">
        <f>VLOOKUP(H378,'LƯƠNG KT'!$D$16:$V$108,7,0)</f>
        <v>1709.0363847557303</v>
      </c>
      <c r="J383" s="1964">
        <f>IF(I379="A",6.1,IF(I379="B",5.8,IF(I379="C",5.5,IF(I379="C.",5.5,IF(I379="D",5.2)))))*$C$1</f>
        <v>0</v>
      </c>
      <c r="K383" s="1962">
        <f t="shared" si="45"/>
        <v>0</v>
      </c>
    </row>
    <row r="384" spans="1:11" ht="12.75" customHeight="1">
      <c r="A384" s="1959" t="s">
        <v>3296</v>
      </c>
      <c r="B384" s="1965" t="s">
        <v>3285</v>
      </c>
      <c r="C384" s="1961">
        <f>VLOOKUP(B378,'LƯƠNG KT'!$D$16:$V$108,12,0)</f>
        <v>27</v>
      </c>
      <c r="D384" s="1967">
        <f>92.2*$C$1</f>
        <v>61585.912000000004</v>
      </c>
      <c r="E384" s="1962">
        <f t="shared" si="44"/>
        <v>1662819.6240000001</v>
      </c>
      <c r="G384" s="1959" t="s">
        <v>3296</v>
      </c>
      <c r="H384" s="1965" t="s">
        <v>3285</v>
      </c>
      <c r="I384" s="1961">
        <f>VLOOKUP(H378,'LƯƠNG KT'!$D$16:$V$108,12,0)</f>
        <v>27</v>
      </c>
      <c r="J384" s="1967">
        <f>92.2*$C$1</f>
        <v>61585.912000000004</v>
      </c>
      <c r="K384" s="1962">
        <f t="shared" si="45"/>
        <v>1662819.6240000001</v>
      </c>
    </row>
    <row r="385" spans="1:11" ht="12.75" customHeight="1">
      <c r="A385" s="1959" t="s">
        <v>3297</v>
      </c>
      <c r="B385" s="1965" t="s">
        <v>3287</v>
      </c>
      <c r="C385" s="1961">
        <f>VLOOKUP(B378,'LƯƠNG KT'!$D$16:$V$108,13,0)</f>
        <v>4</v>
      </c>
      <c r="D385" s="1964">
        <f>153.8*$C$1</f>
        <v>102732.24800000001</v>
      </c>
      <c r="E385" s="1962">
        <f t="shared" si="44"/>
        <v>410928.99200000003</v>
      </c>
      <c r="G385" s="1959" t="s">
        <v>3297</v>
      </c>
      <c r="H385" s="1965" t="s">
        <v>3287</v>
      </c>
      <c r="I385" s="1961">
        <f>VLOOKUP(H378,'LƯƠNG KT'!$D$16:$V$108,13,0)</f>
        <v>4</v>
      </c>
      <c r="J385" s="1964">
        <f>153.8*$C$1</f>
        <v>102732.24800000001</v>
      </c>
      <c r="K385" s="1962">
        <f t="shared" si="45"/>
        <v>410928.99200000003</v>
      </c>
    </row>
    <row r="386" spans="1:11" ht="12.75" customHeight="1">
      <c r="A386" s="1959" t="s">
        <v>3354</v>
      </c>
      <c r="B386" s="1965" t="s">
        <v>3288</v>
      </c>
      <c r="C386" s="1961">
        <f>VLOOKUP(B378,'LƯƠNG KT'!$D$16:$V$108,14,0)</f>
        <v>0</v>
      </c>
      <c r="D386" s="1964">
        <v>100000</v>
      </c>
      <c r="E386" s="1962">
        <f>C386*D386</f>
        <v>0</v>
      </c>
      <c r="G386" s="1959" t="s">
        <v>3354</v>
      </c>
      <c r="H386" s="1965" t="s">
        <v>3288</v>
      </c>
      <c r="I386" s="1961">
        <f>VLOOKUP(H378,'LƯƠNG KT'!$D$16:$V$108,14,0)</f>
        <v>0</v>
      </c>
      <c r="J386" s="1964">
        <v>100000</v>
      </c>
      <c r="K386" s="1962">
        <f>I386*J386</f>
        <v>0</v>
      </c>
    </row>
    <row r="387" spans="1:11" ht="12.75" customHeight="1">
      <c r="A387" s="1959" t="s">
        <v>3355</v>
      </c>
      <c r="B387" s="1965" t="s">
        <v>3288</v>
      </c>
      <c r="C387" s="1961">
        <f>VLOOKUP(B378,'LƯƠNG KT'!$D$16:$V$108,17,0)</f>
        <v>0</v>
      </c>
      <c r="D387" s="1964">
        <v>20000</v>
      </c>
      <c r="E387" s="1962">
        <f>C387*D387</f>
        <v>0</v>
      </c>
      <c r="G387" s="1959" t="s">
        <v>3355</v>
      </c>
      <c r="H387" s="1965" t="s">
        <v>3288</v>
      </c>
      <c r="I387" s="1961">
        <f>VLOOKUP(H378,'LƯƠNG KT'!$D$16:$V$108,17,0)</f>
        <v>0</v>
      </c>
      <c r="J387" s="1964">
        <v>20000</v>
      </c>
      <c r="K387" s="1962">
        <f>I387*J387</f>
        <v>0</v>
      </c>
    </row>
    <row r="388" spans="1:11" ht="12.75" customHeight="1">
      <c r="A388" s="1959" t="s">
        <v>3289</v>
      </c>
      <c r="B388" s="1965" t="s">
        <v>3290</v>
      </c>
      <c r="C388" s="1966"/>
      <c r="D388" s="1964"/>
      <c r="E388" s="1962"/>
      <c r="G388" s="1959" t="s">
        <v>3289</v>
      </c>
      <c r="H388" s="1965" t="s">
        <v>3290</v>
      </c>
      <c r="I388" s="1966"/>
      <c r="J388" s="1964"/>
      <c r="K388" s="1962"/>
    </row>
    <row r="389" spans="1:11" ht="12.75" customHeight="1">
      <c r="A389" s="1968" t="s">
        <v>377</v>
      </c>
      <c r="B389" s="1969" t="s">
        <v>3291</v>
      </c>
      <c r="C389" s="1970"/>
      <c r="D389" s="1971"/>
      <c r="E389" s="1970"/>
      <c r="G389" s="1968" t="s">
        <v>377</v>
      </c>
      <c r="H389" s="1969" t="s">
        <v>3291</v>
      </c>
      <c r="I389" s="1970"/>
      <c r="J389" s="1971"/>
      <c r="K389" s="1970"/>
    </row>
    <row r="390" spans="1:11" ht="12.75" customHeight="1">
      <c r="A390" s="1972" t="s">
        <v>379</v>
      </c>
      <c r="B390" s="1973" t="s">
        <v>3292</v>
      </c>
      <c r="C390" s="1970"/>
      <c r="D390" s="1970"/>
      <c r="E390" s="1970"/>
      <c r="G390" s="1972" t="s">
        <v>379</v>
      </c>
      <c r="H390" s="1973" t="s">
        <v>3292</v>
      </c>
      <c r="I390" s="1970"/>
      <c r="J390" s="1970"/>
      <c r="K390" s="1970"/>
    </row>
    <row r="391" spans="1:11" ht="12.75" customHeight="1">
      <c r="A391" s="1972" t="s">
        <v>381</v>
      </c>
      <c r="B391" s="1974" t="s">
        <v>3293</v>
      </c>
      <c r="C391" s="1970"/>
      <c r="D391" s="1970"/>
      <c r="E391" s="1962">
        <f>SUM(E390)</f>
        <v>0</v>
      </c>
      <c r="G391" s="1972" t="s">
        <v>381</v>
      </c>
      <c r="H391" s="1974" t="s">
        <v>3293</v>
      </c>
      <c r="I391" s="1970"/>
      <c r="J391" s="1970"/>
      <c r="K391" s="1962">
        <f>SUM(K390)</f>
        <v>0</v>
      </c>
    </row>
    <row r="392" spans="1:11" ht="12.75" customHeight="1">
      <c r="A392" s="1975" t="s">
        <v>383</v>
      </c>
      <c r="B392" s="1976" t="s">
        <v>3294</v>
      </c>
      <c r="C392" s="1977"/>
      <c r="D392" s="1977"/>
      <c r="E392" s="1978" t="e">
        <f>(E380+E381+E382+E383+E384+E385+E386+E387+E388)-E391</f>
        <v>#VALUE!</v>
      </c>
      <c r="G392" s="1975" t="s">
        <v>383</v>
      </c>
      <c r="H392" s="1976" t="s">
        <v>3294</v>
      </c>
      <c r="I392" s="1977"/>
      <c r="J392" s="1977"/>
      <c r="K392" s="1978" t="e">
        <f>(K380+K381+K382+K383+K384+K385+K386+K387+K388)-K391</f>
        <v>#VALUE!</v>
      </c>
    </row>
    <row r="394" spans="1:11" ht="12.75" customHeight="1">
      <c r="A394" s="2953" t="s">
        <v>3356</v>
      </c>
      <c r="B394" s="2954"/>
      <c r="C394" s="2954"/>
      <c r="D394" s="2954"/>
      <c r="E394" s="1955">
        <f>VLOOKUP(B395,'LƯƠNG KT'!$D$16:$AD$108,25,0)</f>
        <v>0</v>
      </c>
      <c r="G394" s="2953" t="s">
        <v>3356</v>
      </c>
      <c r="H394" s="2954"/>
      <c r="I394" s="2954"/>
      <c r="J394" s="2954"/>
      <c r="K394" s="1955">
        <f>VLOOKUP(H395,'LƯƠNG KT'!$D$16:$AD$108,25,0)</f>
        <v>0</v>
      </c>
    </row>
    <row r="395" spans="1:11" ht="12.75" customHeight="1">
      <c r="A395" s="1956" t="s">
        <v>356</v>
      </c>
      <c r="B395" s="1956" t="str">
        <f>'LƯƠNG KT'!$D$62</f>
        <v>Veo Khăm</v>
      </c>
      <c r="C395" s="1957"/>
      <c r="D395" s="1958" t="s">
        <v>2357</v>
      </c>
      <c r="E395" s="1958" t="s">
        <v>2156</v>
      </c>
      <c r="G395" s="1956" t="s">
        <v>356</v>
      </c>
      <c r="H395" s="1956" t="str">
        <f>'LƯƠNG KT'!$D$63</f>
        <v>Chăn Đen</v>
      </c>
      <c r="I395" s="1957"/>
      <c r="J395" s="1958" t="s">
        <v>2357</v>
      </c>
      <c r="K395" s="1958" t="s">
        <v>2156</v>
      </c>
    </row>
    <row r="396" spans="1:11" ht="12.75" customHeight="1">
      <c r="A396" s="1959" t="s">
        <v>3005</v>
      </c>
      <c r="B396" s="1960" t="s">
        <v>3278</v>
      </c>
      <c r="C396" s="1961">
        <f>VLOOKUP(B395,'LƯƠNG KT'!$D$16:$M$108,8,0)</f>
        <v>221.23513490691678</v>
      </c>
      <c r="D396" s="1962"/>
      <c r="E396" s="1962"/>
      <c r="G396" s="1959" t="s">
        <v>3005</v>
      </c>
      <c r="H396" s="1960" t="s">
        <v>3278</v>
      </c>
      <c r="I396" s="1961">
        <f>VLOOKUP(H395,'LƯƠNG KT'!$D$16:$M$108,8,0)</f>
        <v>218.98825838197658</v>
      </c>
      <c r="J396" s="1962"/>
      <c r="K396" s="1962"/>
    </row>
    <row r="397" spans="1:11" ht="12.75" customHeight="1">
      <c r="A397" s="1959" t="s">
        <v>359</v>
      </c>
      <c r="B397" s="1963" t="s">
        <v>2090</v>
      </c>
      <c r="C397" s="1961">
        <f>VLOOKUP(B395,'LƯƠNG KT'!$D$16:$V$108,3,0)</f>
        <v>0</v>
      </c>
      <c r="D397" s="1964">
        <v>25000</v>
      </c>
      <c r="E397" s="1962">
        <f>C397*D397</f>
        <v>0</v>
      </c>
      <c r="G397" s="1959" t="s">
        <v>359</v>
      </c>
      <c r="H397" s="1963" t="s">
        <v>2090</v>
      </c>
      <c r="I397" s="1961">
        <f>VLOOKUP(H395,'LƯƠNG KT'!$D$16:$V$108,3,0)</f>
        <v>0</v>
      </c>
      <c r="J397" s="1964">
        <v>25000</v>
      </c>
      <c r="K397" s="1962">
        <f>I397*J397</f>
        <v>0</v>
      </c>
    </row>
    <row r="398" spans="1:11" ht="12.75" customHeight="1">
      <c r="A398" s="1959" t="s">
        <v>3279</v>
      </c>
      <c r="B398" s="1965" t="s">
        <v>3280</v>
      </c>
      <c r="C398" s="1961" t="str">
        <f>VLOOKUP(B395,'LƯƠNG KT'!$D$16:$V$108,10,0)</f>
        <v>B</v>
      </c>
      <c r="D398" s="1967">
        <f>46.1*$C$1</f>
        <v>30792.956000000002</v>
      </c>
      <c r="E398" s="1962" t="e">
        <f t="shared" ref="E398:E402" si="46">C398*D398</f>
        <v>#VALUE!</v>
      </c>
      <c r="G398" s="1959" t="s">
        <v>3279</v>
      </c>
      <c r="H398" s="1965" t="s">
        <v>3280</v>
      </c>
      <c r="I398" s="1961" t="str">
        <f>VLOOKUP(H395,'LƯƠNG KT'!$D$16:$V$108,10,0)</f>
        <v>B</v>
      </c>
      <c r="J398" s="1967">
        <f>46.1*$C$1</f>
        <v>30792.956000000002</v>
      </c>
      <c r="K398" s="1962" t="e">
        <f t="shared" ref="K398:K402" si="47">I398*J398</f>
        <v>#VALUE!</v>
      </c>
    </row>
    <row r="399" spans="1:11" ht="12.75" customHeight="1">
      <c r="A399" s="1959" t="s">
        <v>3281</v>
      </c>
      <c r="B399" s="1965" t="s">
        <v>3282</v>
      </c>
      <c r="C399" s="1961">
        <f>VLOOKUP(B395,'LƯƠNG KT'!$D$16:$V$108,11,0)</f>
        <v>6741010</v>
      </c>
      <c r="D399" s="1964">
        <f>76.9*$C$1</f>
        <v>51366.124000000003</v>
      </c>
      <c r="E399" s="1962">
        <f t="shared" si="46"/>
        <v>346259555545.24005</v>
      </c>
      <c r="G399" s="1959" t="s">
        <v>3281</v>
      </c>
      <c r="H399" s="1965" t="s">
        <v>3282</v>
      </c>
      <c r="I399" s="1961">
        <f>VLOOKUP(H395,'LƯƠNG KT'!$D$16:$V$108,11,0)</f>
        <v>6672548</v>
      </c>
      <c r="J399" s="1964">
        <f>76.9*$C$1</f>
        <v>51366.124000000003</v>
      </c>
      <c r="K399" s="1962">
        <f t="shared" si="47"/>
        <v>342742927963.95203</v>
      </c>
    </row>
    <row r="400" spans="1:11" ht="12.75" customHeight="1">
      <c r="A400" s="1959" t="s">
        <v>374</v>
      </c>
      <c r="B400" s="1965" t="s">
        <v>3283</v>
      </c>
      <c r="C400" s="1961">
        <f>VLOOKUP(B395,'LƯƠNG KT'!$D$16:$V$108,7,0)</f>
        <v>1715.8368279678896</v>
      </c>
      <c r="D400" s="1964">
        <f>IF(C396="A",6.1,IF(C396="B",5.8,IF(C396="C",5.5,IF(C396="C.",5.5,IF(C396="D",5.2)))))*$C$1</f>
        <v>0</v>
      </c>
      <c r="E400" s="1962">
        <f t="shared" si="46"/>
        <v>0</v>
      </c>
      <c r="G400" s="1959" t="s">
        <v>374</v>
      </c>
      <c r="H400" s="1965" t="s">
        <v>3283</v>
      </c>
      <c r="I400" s="1961">
        <f>VLOOKUP(H395,'LƯƠNG KT'!$D$16:$V$108,7,0)</f>
        <v>1698.4106922367318</v>
      </c>
      <c r="J400" s="1964">
        <f>IF(I396="A",6.1,IF(I396="B",5.8,IF(I396="C",5.5,IF(I396="C.",5.5,IF(I396="D",5.2)))))*$C$1</f>
        <v>0</v>
      </c>
      <c r="K400" s="1962">
        <f t="shared" si="47"/>
        <v>0</v>
      </c>
    </row>
    <row r="401" spans="1:11" ht="12.75" customHeight="1">
      <c r="A401" s="1959" t="s">
        <v>3296</v>
      </c>
      <c r="B401" s="1965" t="s">
        <v>3285</v>
      </c>
      <c r="C401" s="1961">
        <f>VLOOKUP(B395,'LƯƠNG KT'!$D$16:$V$108,12,0)</f>
        <v>27</v>
      </c>
      <c r="D401" s="1967">
        <f>92.2*$C$1</f>
        <v>61585.912000000004</v>
      </c>
      <c r="E401" s="1962">
        <f t="shared" si="46"/>
        <v>1662819.6240000001</v>
      </c>
      <c r="G401" s="1959" t="s">
        <v>3296</v>
      </c>
      <c r="H401" s="1965" t="s">
        <v>3285</v>
      </c>
      <c r="I401" s="1961">
        <f>VLOOKUP(H395,'LƯƠNG KT'!$D$16:$V$108,12,0)</f>
        <v>22</v>
      </c>
      <c r="J401" s="1967">
        <f>92.2*$C$1</f>
        <v>61585.912000000004</v>
      </c>
      <c r="K401" s="1962">
        <f t="shared" si="47"/>
        <v>1354890.064</v>
      </c>
    </row>
    <row r="402" spans="1:11" ht="12.75" customHeight="1">
      <c r="A402" s="1959" t="s">
        <v>3297</v>
      </c>
      <c r="B402" s="1965" t="s">
        <v>3287</v>
      </c>
      <c r="C402" s="1961">
        <f>VLOOKUP(B395,'LƯƠNG KT'!$D$16:$V$108,13,0)</f>
        <v>4</v>
      </c>
      <c r="D402" s="1964">
        <f>153.8*$C$1</f>
        <v>102732.24800000001</v>
      </c>
      <c r="E402" s="1962">
        <f t="shared" si="46"/>
        <v>410928.99200000003</v>
      </c>
      <c r="G402" s="1959" t="s">
        <v>3297</v>
      </c>
      <c r="H402" s="1965" t="s">
        <v>3287</v>
      </c>
      <c r="I402" s="1961">
        <f>VLOOKUP(H395,'LƯƠNG KT'!$D$16:$V$108,13,0)</f>
        <v>3</v>
      </c>
      <c r="J402" s="1964">
        <f>153.8*$C$1</f>
        <v>102732.24800000001</v>
      </c>
      <c r="K402" s="1962">
        <f t="shared" si="47"/>
        <v>308196.74400000001</v>
      </c>
    </row>
    <row r="403" spans="1:11" ht="12.75" customHeight="1">
      <c r="A403" s="1959" t="s">
        <v>3354</v>
      </c>
      <c r="B403" s="1965" t="s">
        <v>3288</v>
      </c>
      <c r="C403" s="1961">
        <f>VLOOKUP(B395,'LƯƠNG KT'!$D$16:$V$108,14,0)</f>
        <v>0</v>
      </c>
      <c r="D403" s="1964">
        <v>100000</v>
      </c>
      <c r="E403" s="1962">
        <f>C403*D403</f>
        <v>0</v>
      </c>
      <c r="G403" s="1959" t="s">
        <v>3354</v>
      </c>
      <c r="H403" s="1965" t="s">
        <v>3288</v>
      </c>
      <c r="I403" s="1961">
        <f>VLOOKUP(H395,'LƯƠNG KT'!$D$16:$V$108,14,0)</f>
        <v>0</v>
      </c>
      <c r="J403" s="1964">
        <v>100000</v>
      </c>
      <c r="K403" s="1962">
        <f>I403*J403</f>
        <v>0</v>
      </c>
    </row>
    <row r="404" spans="1:11" ht="12.75" customHeight="1">
      <c r="A404" s="1959" t="s">
        <v>3355</v>
      </c>
      <c r="B404" s="1965" t="s">
        <v>3288</v>
      </c>
      <c r="C404" s="1961">
        <f>VLOOKUP(B395,'LƯƠNG KT'!$D$16:$V$108,17,0)</f>
        <v>0</v>
      </c>
      <c r="D404" s="1964">
        <v>20000</v>
      </c>
      <c r="E404" s="1962">
        <f>C404*D404</f>
        <v>0</v>
      </c>
      <c r="G404" s="1959" t="s">
        <v>3355</v>
      </c>
      <c r="H404" s="1965" t="s">
        <v>3288</v>
      </c>
      <c r="I404" s="1961">
        <f>VLOOKUP(H395,'LƯƠNG KT'!$D$16:$V$108,17,0)</f>
        <v>0</v>
      </c>
      <c r="J404" s="1964">
        <v>20000</v>
      </c>
      <c r="K404" s="1962">
        <f>I404*J404</f>
        <v>0</v>
      </c>
    </row>
    <row r="405" spans="1:11" ht="12.75" customHeight="1">
      <c r="A405" s="1959" t="s">
        <v>3289</v>
      </c>
      <c r="B405" s="1965" t="s">
        <v>3290</v>
      </c>
      <c r="C405" s="1966"/>
      <c r="D405" s="1964"/>
      <c r="E405" s="1962"/>
      <c r="G405" s="1959" t="s">
        <v>3289</v>
      </c>
      <c r="H405" s="1965" t="s">
        <v>3290</v>
      </c>
      <c r="I405" s="1966"/>
      <c r="J405" s="1964"/>
      <c r="K405" s="1962"/>
    </row>
    <row r="406" spans="1:11" ht="12.75" customHeight="1">
      <c r="A406" s="1968" t="s">
        <v>377</v>
      </c>
      <c r="B406" s="1969" t="s">
        <v>3291</v>
      </c>
      <c r="C406" s="1970"/>
      <c r="D406" s="1971"/>
      <c r="E406" s="1970"/>
      <c r="G406" s="1968" t="s">
        <v>377</v>
      </c>
      <c r="H406" s="1969" t="s">
        <v>3291</v>
      </c>
      <c r="I406" s="1970"/>
      <c r="J406" s="1971"/>
      <c r="K406" s="1970"/>
    </row>
    <row r="407" spans="1:11" ht="12.75" customHeight="1">
      <c r="A407" s="1972" t="s">
        <v>379</v>
      </c>
      <c r="B407" s="1973" t="s">
        <v>3292</v>
      </c>
      <c r="C407" s="1970"/>
      <c r="D407" s="1970"/>
      <c r="E407" s="1970"/>
      <c r="G407" s="1972" t="s">
        <v>379</v>
      </c>
      <c r="H407" s="1973" t="s">
        <v>3292</v>
      </c>
      <c r="I407" s="1970"/>
      <c r="J407" s="1970"/>
      <c r="K407" s="1970"/>
    </row>
    <row r="408" spans="1:11" ht="12.75" customHeight="1">
      <c r="A408" s="1972" t="s">
        <v>381</v>
      </c>
      <c r="B408" s="1974" t="s">
        <v>3293</v>
      </c>
      <c r="C408" s="1970"/>
      <c r="D408" s="1970"/>
      <c r="E408" s="1962">
        <f>SUM(E407)</f>
        <v>0</v>
      </c>
      <c r="G408" s="1972" t="s">
        <v>381</v>
      </c>
      <c r="H408" s="1974" t="s">
        <v>3293</v>
      </c>
      <c r="I408" s="1970"/>
      <c r="J408" s="1970"/>
      <c r="K408" s="1962">
        <f>SUM(K407)</f>
        <v>0</v>
      </c>
    </row>
    <row r="409" spans="1:11" ht="12.75" customHeight="1">
      <c r="A409" s="1975" t="s">
        <v>383</v>
      </c>
      <c r="B409" s="1976" t="s">
        <v>3294</v>
      </c>
      <c r="C409" s="1977"/>
      <c r="D409" s="1977"/>
      <c r="E409" s="1978" t="e">
        <f>(E397+E398+E399+E400+E401+E402+E403+E404+E405)-E408</f>
        <v>#VALUE!</v>
      </c>
      <c r="G409" s="1975" t="s">
        <v>383</v>
      </c>
      <c r="H409" s="1976" t="s">
        <v>3294</v>
      </c>
      <c r="I409" s="1977"/>
      <c r="J409" s="1977"/>
      <c r="K409" s="1978" t="e">
        <f>(K397+K398+K399+K400+K401+K402+K403+K404+K405)-K408</f>
        <v>#VALUE!</v>
      </c>
    </row>
    <row r="411" spans="1:11" ht="12.75" customHeight="1">
      <c r="A411" s="2953" t="s">
        <v>3356</v>
      </c>
      <c r="B411" s="2954"/>
      <c r="C411" s="2954"/>
      <c r="D411" s="2954"/>
      <c r="E411" s="1955">
        <f>VLOOKUP(B412,'LƯƠNG KT'!$D$16:$AD$108,25,0)</f>
        <v>0</v>
      </c>
      <c r="G411" s="2953" t="s">
        <v>3356</v>
      </c>
      <c r="H411" s="2954"/>
      <c r="I411" s="2954"/>
      <c r="J411" s="2954"/>
      <c r="K411" s="1955">
        <f>VLOOKUP(H412,'LƯƠNG KT'!$D$16:$AD$108,25,0)</f>
        <v>0</v>
      </c>
    </row>
    <row r="412" spans="1:11" ht="12.75" customHeight="1">
      <c r="A412" s="1956" t="s">
        <v>356</v>
      </c>
      <c r="B412" s="1956" t="str">
        <f>'LƯƠNG KT'!$D$64</f>
        <v>N. Nun</v>
      </c>
      <c r="C412" s="1957"/>
      <c r="D412" s="1958" t="s">
        <v>2357</v>
      </c>
      <c r="E412" s="1958" t="s">
        <v>2156</v>
      </c>
      <c r="G412" s="1956" t="s">
        <v>356</v>
      </c>
      <c r="H412" s="1956" t="str">
        <f>'LƯƠNG KT'!$D$65</f>
        <v>In Pông</v>
      </c>
      <c r="I412" s="1957"/>
      <c r="J412" s="1958" t="s">
        <v>2357</v>
      </c>
      <c r="K412" s="1958" t="s">
        <v>2156</v>
      </c>
    </row>
    <row r="413" spans="1:11" ht="12.75" customHeight="1">
      <c r="A413" s="1959" t="s">
        <v>3005</v>
      </c>
      <c r="B413" s="1960" t="s">
        <v>3278</v>
      </c>
      <c r="C413" s="1961">
        <f>VLOOKUP(B412,'LƯƠNG KT'!$D$16:$M$108,8,0)</f>
        <v>243.32028709108511</v>
      </c>
      <c r="D413" s="1962"/>
      <c r="E413" s="1962"/>
      <c r="G413" s="1959" t="s">
        <v>3005</v>
      </c>
      <c r="H413" s="1960" t="s">
        <v>3278</v>
      </c>
      <c r="I413" s="1961">
        <f>VLOOKUP(H412,'LƯƠNG KT'!$D$16:$M$108,8,0)</f>
        <v>203.75333950555279</v>
      </c>
      <c r="J413" s="1962"/>
      <c r="K413" s="1962"/>
    </row>
    <row r="414" spans="1:11" ht="12.75" customHeight="1">
      <c r="A414" s="1959" t="s">
        <v>359</v>
      </c>
      <c r="B414" s="1963" t="s">
        <v>2090</v>
      </c>
      <c r="C414" s="1961">
        <f>VLOOKUP(B412,'LƯƠNG KT'!$D$16:$V$108,3,0)</f>
        <v>0</v>
      </c>
      <c r="D414" s="1964">
        <v>25000</v>
      </c>
      <c r="E414" s="1962">
        <f>C414*D414</f>
        <v>0</v>
      </c>
      <c r="G414" s="1959" t="s">
        <v>359</v>
      </c>
      <c r="H414" s="1963" t="s">
        <v>2090</v>
      </c>
      <c r="I414" s="1961">
        <f>VLOOKUP(H412,'LƯƠNG KT'!$D$16:$M$108,3,0)</f>
        <v>0</v>
      </c>
      <c r="J414" s="1964">
        <v>25000</v>
      </c>
      <c r="K414" s="1962">
        <f>I414*J414</f>
        <v>0</v>
      </c>
    </row>
    <row r="415" spans="1:11" ht="12.75" customHeight="1">
      <c r="A415" s="1959" t="s">
        <v>3279</v>
      </c>
      <c r="B415" s="1965" t="s">
        <v>3280</v>
      </c>
      <c r="C415" s="1961" t="str">
        <f>VLOOKUP(B412,'LƯƠNG KT'!$D$16:$V$108,10,0)</f>
        <v>A</v>
      </c>
      <c r="D415" s="1967">
        <f>46.1*$C$1</f>
        <v>30792.956000000002</v>
      </c>
      <c r="E415" s="1962" t="e">
        <f t="shared" ref="E415:E419" si="48">C415*D415</f>
        <v>#VALUE!</v>
      </c>
      <c r="G415" s="1959" t="s">
        <v>3279</v>
      </c>
      <c r="H415" s="1965" t="s">
        <v>3280</v>
      </c>
      <c r="I415" s="1961" t="str">
        <f>VLOOKUP(H412,'LƯƠNG KT'!$D$16:$Q$108,10,0)</f>
        <v>A</v>
      </c>
      <c r="J415" s="1967">
        <f>46.1*$C$1</f>
        <v>30792.956000000002</v>
      </c>
      <c r="K415" s="1962" t="e">
        <f t="shared" ref="K415:K419" si="49">I415*J415</f>
        <v>#VALUE!</v>
      </c>
    </row>
    <row r="416" spans="1:11" ht="12.75" customHeight="1">
      <c r="A416" s="1959" t="s">
        <v>3281</v>
      </c>
      <c r="B416" s="1965" t="s">
        <v>3282</v>
      </c>
      <c r="C416" s="1961">
        <f>VLOOKUP(B412,'LƯƠNG KT'!$D$16:$V$108,11,0)</f>
        <v>7797422</v>
      </c>
      <c r="D416" s="1964">
        <f>76.9*$C$1</f>
        <v>51366.124000000003</v>
      </c>
      <c r="E416" s="1962">
        <f t="shared" si="48"/>
        <v>400523345332.328</v>
      </c>
      <c r="G416" s="1959" t="s">
        <v>3281</v>
      </c>
      <c r="H416" s="1965" t="s">
        <v>3282</v>
      </c>
      <c r="I416" s="1961">
        <f>VLOOKUP(H412,'LƯƠNG KT'!$D$16:$Q$108,11,0)</f>
        <v>6529463</v>
      </c>
      <c r="J416" s="1964">
        <f>76.9*$C$1</f>
        <v>51366.124000000003</v>
      </c>
      <c r="K416" s="1962">
        <f t="shared" si="49"/>
        <v>335393206111.41205</v>
      </c>
    </row>
    <row r="417" spans="1:11" ht="12.75" customHeight="1">
      <c r="A417" s="1959" t="s">
        <v>374</v>
      </c>
      <c r="B417" s="1965" t="s">
        <v>3283</v>
      </c>
      <c r="C417" s="1961">
        <f>VLOOKUP(B412,'LƯƠNG KT'!$D$16:$V$108,7,0)</f>
        <v>1887.1229913741465</v>
      </c>
      <c r="D417" s="1964">
        <f>IF(C413="A",6.1,IF(C413="B",5.8,IF(C413="C",5.5,IF(C413="C.",5.5,IF(C413="D",5.2)))))*$C$1</f>
        <v>0</v>
      </c>
      <c r="E417" s="1962">
        <f t="shared" si="48"/>
        <v>0</v>
      </c>
      <c r="G417" s="1959" t="s">
        <v>374</v>
      </c>
      <c r="H417" s="1965" t="s">
        <v>3283</v>
      </c>
      <c r="I417" s="1961">
        <f>VLOOKUP(H412,'LƯƠNG KT'!$D$16:$M$108,7,0)</f>
        <v>1580.2529914254676</v>
      </c>
      <c r="J417" s="1964">
        <f>IF(I413="A",6.1,IF(I413="B",5.8,IF(I413="C",5.5,IF(I413="C.",5.5,IF(I413="D",5.2)))))*$C$1</f>
        <v>0</v>
      </c>
      <c r="K417" s="1962">
        <f t="shared" si="49"/>
        <v>0</v>
      </c>
    </row>
    <row r="418" spans="1:11" ht="12.75" customHeight="1">
      <c r="A418" s="1959" t="s">
        <v>3296</v>
      </c>
      <c r="B418" s="1965" t="s">
        <v>3285</v>
      </c>
      <c r="C418" s="1961">
        <f>VLOOKUP(B412,'LƯƠNG KT'!$D$16:$V$108,12,0)</f>
        <v>27</v>
      </c>
      <c r="D418" s="1967">
        <f>92.2*$C$1</f>
        <v>61585.912000000004</v>
      </c>
      <c r="E418" s="1962">
        <f t="shared" si="48"/>
        <v>1662819.6240000001</v>
      </c>
      <c r="G418" s="1959" t="s">
        <v>3284</v>
      </c>
      <c r="H418" s="1965" t="s">
        <v>3285</v>
      </c>
      <c r="I418" s="1961">
        <f>VLOOKUP(H412,'LƯƠNG KT'!$D$16:$Q$108,12,0)</f>
        <v>25</v>
      </c>
      <c r="J418" s="1967">
        <f>92.2*$C$1</f>
        <v>61585.912000000004</v>
      </c>
      <c r="K418" s="1962">
        <f t="shared" si="49"/>
        <v>1539647.8</v>
      </c>
    </row>
    <row r="419" spans="1:11" ht="12.75" customHeight="1">
      <c r="A419" s="1959" t="s">
        <v>3297</v>
      </c>
      <c r="B419" s="1965" t="s">
        <v>3287</v>
      </c>
      <c r="C419" s="1961">
        <f>VLOOKUP(B412,'LƯƠNG KT'!$D$16:$V$108,13,0)</f>
        <v>4</v>
      </c>
      <c r="D419" s="1964">
        <f>153.8*$C$1</f>
        <v>102732.24800000001</v>
      </c>
      <c r="E419" s="1962">
        <f t="shared" si="48"/>
        <v>410928.99200000003</v>
      </c>
      <c r="G419" s="1959" t="s">
        <v>3286</v>
      </c>
      <c r="H419" s="1965" t="s">
        <v>3287</v>
      </c>
      <c r="I419" s="1961">
        <f>VLOOKUP(H412,'LƯƠNG KT'!$D$16:$T$108,13,0)</f>
        <v>4</v>
      </c>
      <c r="J419" s="1964">
        <f>153.8*$C$1</f>
        <v>102732.24800000001</v>
      </c>
      <c r="K419" s="1962">
        <f t="shared" si="49"/>
        <v>410928.99200000003</v>
      </c>
    </row>
    <row r="420" spans="1:11" ht="12.75" customHeight="1">
      <c r="A420" s="1959" t="s">
        <v>3354</v>
      </c>
      <c r="B420" s="1965" t="s">
        <v>3288</v>
      </c>
      <c r="C420" s="1961">
        <f>VLOOKUP(B412,'LƯƠNG KT'!$D$16:$V$108,14,0)</f>
        <v>0</v>
      </c>
      <c r="D420" s="1964">
        <v>100000</v>
      </c>
      <c r="E420" s="1962">
        <f>C420*D420</f>
        <v>0</v>
      </c>
      <c r="G420" s="1959" t="s">
        <v>370</v>
      </c>
      <c r="H420" s="1965" t="s">
        <v>3288</v>
      </c>
      <c r="I420" s="1961">
        <f>VLOOKUP(H412,'LƯƠNG KT'!$D$16:$V$108,16,0)</f>
        <v>0</v>
      </c>
      <c r="J420" s="1964">
        <v>10000</v>
      </c>
      <c r="K420" s="1962">
        <f>I420*J420</f>
        <v>0</v>
      </c>
    </row>
    <row r="421" spans="1:11" ht="12.75" customHeight="1">
      <c r="A421" s="1959" t="s">
        <v>3355</v>
      </c>
      <c r="B421" s="1965" t="s">
        <v>3288</v>
      </c>
      <c r="C421" s="1961">
        <f>VLOOKUP(B412,'LƯƠNG KT'!$D$16:$V$108,17,0)</f>
        <v>0</v>
      </c>
      <c r="D421" s="1964">
        <v>20000</v>
      </c>
      <c r="E421" s="1962">
        <f>C421*D421</f>
        <v>0</v>
      </c>
      <c r="G421" s="1959" t="s">
        <v>370</v>
      </c>
      <c r="H421" s="1965" t="s">
        <v>3288</v>
      </c>
      <c r="I421" s="1961">
        <f>VLOOKUP(H412,'LƯƠNG KT'!$D$16:$W$108,17,0)</f>
        <v>0</v>
      </c>
      <c r="J421" s="1964">
        <v>20000</v>
      </c>
      <c r="K421" s="1962">
        <f>I421*J421</f>
        <v>0</v>
      </c>
    </row>
    <row r="422" spans="1:11" ht="12.75" customHeight="1">
      <c r="A422" s="1959" t="s">
        <v>3289</v>
      </c>
      <c r="B422" s="1965" t="s">
        <v>3290</v>
      </c>
      <c r="C422" s="1966"/>
      <c r="D422" s="1964"/>
      <c r="E422" s="1962"/>
      <c r="G422" s="1959" t="s">
        <v>3289</v>
      </c>
      <c r="H422" s="1965" t="s">
        <v>3290</v>
      </c>
      <c r="I422" s="1966"/>
      <c r="J422" s="1964"/>
      <c r="K422" s="1962"/>
    </row>
    <row r="423" spans="1:11" ht="12.75" customHeight="1">
      <c r="A423" s="1968" t="s">
        <v>377</v>
      </c>
      <c r="B423" s="1969" t="s">
        <v>3291</v>
      </c>
      <c r="C423" s="1970"/>
      <c r="D423" s="1971"/>
      <c r="E423" s="1970"/>
      <c r="G423" s="1968" t="s">
        <v>377</v>
      </c>
      <c r="H423" s="1969" t="s">
        <v>3291</v>
      </c>
      <c r="I423" s="1970"/>
      <c r="J423" s="1971"/>
      <c r="K423" s="1970"/>
    </row>
    <row r="424" spans="1:11" ht="12.75" customHeight="1">
      <c r="A424" s="1972" t="s">
        <v>379</v>
      </c>
      <c r="B424" s="1973" t="s">
        <v>3292</v>
      </c>
      <c r="C424" s="1970"/>
      <c r="D424" s="1970"/>
      <c r="E424" s="1970"/>
      <c r="G424" s="1972" t="s">
        <v>379</v>
      </c>
      <c r="H424" s="1973" t="s">
        <v>3292</v>
      </c>
      <c r="I424" s="1970"/>
      <c r="J424" s="1970"/>
      <c r="K424" s="1970"/>
    </row>
    <row r="425" spans="1:11" ht="12.75" customHeight="1">
      <c r="A425" s="1972" t="s">
        <v>381</v>
      </c>
      <c r="B425" s="1974" t="s">
        <v>3293</v>
      </c>
      <c r="C425" s="1970"/>
      <c r="D425" s="1970"/>
      <c r="E425" s="1962">
        <f>SUM(E424)</f>
        <v>0</v>
      </c>
      <c r="G425" s="1972" t="s">
        <v>381</v>
      </c>
      <c r="H425" s="1974" t="s">
        <v>3293</v>
      </c>
      <c r="I425" s="1970"/>
      <c r="J425" s="1970"/>
      <c r="K425" s="1962">
        <f>SUM(K424)</f>
        <v>0</v>
      </c>
    </row>
    <row r="426" spans="1:11" ht="12.75" customHeight="1">
      <c r="A426" s="1975" t="s">
        <v>383</v>
      </c>
      <c r="B426" s="1976" t="s">
        <v>3294</v>
      </c>
      <c r="C426" s="1977"/>
      <c r="D426" s="1977"/>
      <c r="E426" s="1978" t="e">
        <f>(E414+E415+E416+E417+E418+E419+E420+E421+E422)-E425</f>
        <v>#VALUE!</v>
      </c>
      <c r="G426" s="1975" t="s">
        <v>383</v>
      </c>
      <c r="H426" s="1976" t="s">
        <v>3294</v>
      </c>
      <c r="I426" s="1977"/>
      <c r="J426" s="1977"/>
      <c r="K426" s="1978" t="e">
        <f>(K414+K415+K416+K417+K418+K419+K420+K421+K422)-K425</f>
        <v>#VALUE!</v>
      </c>
    </row>
    <row r="427" spans="1:11" ht="55.5" customHeight="1"/>
    <row r="428" spans="1:11" ht="12.75" customHeight="1">
      <c r="A428" s="2953" t="s">
        <v>3356</v>
      </c>
      <c r="B428" s="2954"/>
      <c r="C428" s="2954"/>
      <c r="D428" s="2954"/>
      <c r="E428" s="1955">
        <f>VLOOKUP(B429,'LƯƠNG KT'!$D$16:$AD$108,25,0)</f>
        <v>0</v>
      </c>
      <c r="G428" s="2953" t="s">
        <v>3356</v>
      </c>
      <c r="H428" s="2954"/>
      <c r="I428" s="2954"/>
      <c r="J428" s="2954"/>
      <c r="K428" s="1955">
        <f>VLOOKUP(H429,'LƯƠNG KT'!$D$16:$AD$108,25,0)</f>
        <v>0</v>
      </c>
    </row>
    <row r="429" spans="1:11" ht="12.75" customHeight="1">
      <c r="A429" s="1956" t="s">
        <v>356</v>
      </c>
      <c r="B429" s="1956" t="str">
        <f>'LƯƠNG KT'!$D$66</f>
        <v>Pha Đi</v>
      </c>
      <c r="C429" s="1957"/>
      <c r="D429" s="1958" t="s">
        <v>2357</v>
      </c>
      <c r="E429" s="1958" t="s">
        <v>2156</v>
      </c>
      <c r="G429" s="1956" t="s">
        <v>356</v>
      </c>
      <c r="H429" s="1956" t="str">
        <f>'LƯƠNG KT'!$D$67</f>
        <v>Thảo Nọi B</v>
      </c>
      <c r="I429" s="1957"/>
      <c r="J429" s="1958" t="s">
        <v>2357</v>
      </c>
      <c r="K429" s="1958" t="s">
        <v>2156</v>
      </c>
    </row>
    <row r="430" spans="1:11" ht="12.75" customHeight="1">
      <c r="A430" s="1959" t="s">
        <v>3005</v>
      </c>
      <c r="B430" s="1960" t="s">
        <v>3278</v>
      </c>
      <c r="C430" s="1961">
        <f>VLOOKUP(B429,'LƯƠNG KT'!$D$16:$M$108,8,0)</f>
        <v>208.63070562066687</v>
      </c>
      <c r="D430" s="1962"/>
      <c r="E430" s="1962"/>
      <c r="G430" s="1959" t="s">
        <v>3005</v>
      </c>
      <c r="H430" s="1960" t="s">
        <v>3278</v>
      </c>
      <c r="I430" s="1961">
        <f>VLOOKUP(H429,'LƯƠNG KT'!$D$16:$M$108,8,0)</f>
        <v>230.77065967129715</v>
      </c>
      <c r="J430" s="1962"/>
      <c r="K430" s="1962"/>
    </row>
    <row r="431" spans="1:11" ht="12.75" customHeight="1">
      <c r="A431" s="1959" t="s">
        <v>359</v>
      </c>
      <c r="B431" s="1963" t="s">
        <v>2090</v>
      </c>
      <c r="C431" s="1961">
        <f>VLOOKUP(B429,'LƯƠNG KT'!$D$16:$V$108,3,0)</f>
        <v>0</v>
      </c>
      <c r="D431" s="1964">
        <v>25000</v>
      </c>
      <c r="E431" s="1962">
        <f>C431*D431</f>
        <v>0</v>
      </c>
      <c r="G431" s="1959" t="s">
        <v>359</v>
      </c>
      <c r="H431" s="1963" t="s">
        <v>2090</v>
      </c>
      <c r="I431" s="1961">
        <f>VLOOKUP(H429,'LƯƠNG KT'!$D$16:$V$108,3,0)</f>
        <v>0</v>
      </c>
      <c r="J431" s="1964">
        <v>25000</v>
      </c>
      <c r="K431" s="1962">
        <f>I431*J431</f>
        <v>0</v>
      </c>
    </row>
    <row r="432" spans="1:11" ht="12.75" customHeight="1">
      <c r="A432" s="1959" t="s">
        <v>3279</v>
      </c>
      <c r="B432" s="1965" t="s">
        <v>3280</v>
      </c>
      <c r="C432" s="1961" t="str">
        <f>VLOOKUP(B429,'LƯƠNG KT'!$D$16:$V$108,10,0)</f>
        <v>A</v>
      </c>
      <c r="D432" s="1967">
        <f>46.1*$C$1</f>
        <v>30792.956000000002</v>
      </c>
      <c r="E432" s="1962" t="e">
        <f t="shared" ref="E432:E436" si="50">C432*D432</f>
        <v>#VALUE!</v>
      </c>
      <c r="G432" s="1959" t="s">
        <v>3279</v>
      </c>
      <c r="H432" s="1965" t="s">
        <v>3280</v>
      </c>
      <c r="I432" s="1961" t="str">
        <f>VLOOKUP(H429,'LƯƠNG KT'!$D$16:$V$108,10,0)</f>
        <v>B</v>
      </c>
      <c r="J432" s="1967">
        <f>46.1*$C$1</f>
        <v>30792.956000000002</v>
      </c>
      <c r="K432" s="1962" t="e">
        <f t="shared" ref="K432:K436" si="51">I432*J432</f>
        <v>#VALUE!</v>
      </c>
    </row>
    <row r="433" spans="1:12" ht="12.75" customHeight="1">
      <c r="A433" s="1959" t="s">
        <v>3281</v>
      </c>
      <c r="B433" s="1965" t="s">
        <v>3282</v>
      </c>
      <c r="C433" s="1961">
        <f>VLOOKUP(B429,'LƯƠNG KT'!$D$16:$V$108,11,0)</f>
        <v>6685763</v>
      </c>
      <c r="D433" s="1964">
        <f>76.9*$C$1</f>
        <v>51366.124000000003</v>
      </c>
      <c r="E433" s="1962">
        <f t="shared" si="50"/>
        <v>343421731292.612</v>
      </c>
      <c r="G433" s="1959" t="s">
        <v>3281</v>
      </c>
      <c r="H433" s="1965" t="s">
        <v>3282</v>
      </c>
      <c r="I433" s="1961">
        <f>VLOOKUP(H429,'LƯƠNG KT'!$D$16:$V$108,11,0)</f>
        <v>7031557</v>
      </c>
      <c r="J433" s="1964">
        <f>76.9*$C$1</f>
        <v>51366.124000000003</v>
      </c>
      <c r="K433" s="1962">
        <f t="shared" si="51"/>
        <v>361183828775.06805</v>
      </c>
    </row>
    <row r="434" spans="1:12" ht="12.75" customHeight="1">
      <c r="A434" s="1959" t="s">
        <v>374</v>
      </c>
      <c r="B434" s="1965" t="s">
        <v>3283</v>
      </c>
      <c r="C434" s="1961">
        <f>VLOOKUP(B429,'LƯƠNG KT'!$D$16:$V$108,7,0)</f>
        <v>1618.0804567931027</v>
      </c>
      <c r="D434" s="1964">
        <f>IF(C430="A",6.1,IF(C430="B",5.8,IF(C430="C",5.5,IF(C430="C.",5.5,IF(C430="D",5.2)))))*$C$1</f>
        <v>0</v>
      </c>
      <c r="E434" s="1962">
        <f t="shared" si="50"/>
        <v>0</v>
      </c>
      <c r="G434" s="1959" t="s">
        <v>374</v>
      </c>
      <c r="H434" s="1965" t="s">
        <v>3283</v>
      </c>
      <c r="I434" s="1961">
        <f>VLOOKUP(H429,'LƯƠNG KT'!$D$16:$V$108,7,0)</f>
        <v>1789.7916479001196</v>
      </c>
      <c r="J434" s="1964">
        <f>IF(I430="A",6.1,IF(I430="B",5.8,IF(I430="C",5.5,IF(I430="C.",5.5,IF(I430="D",5.2)))))*$C$1</f>
        <v>0</v>
      </c>
      <c r="K434" s="1962">
        <f t="shared" si="51"/>
        <v>0</v>
      </c>
    </row>
    <row r="435" spans="1:12" ht="12.75" customHeight="1">
      <c r="A435" s="1959" t="s">
        <v>3296</v>
      </c>
      <c r="B435" s="1965" t="s">
        <v>3285</v>
      </c>
      <c r="C435" s="1961">
        <f>VLOOKUP(B429,'LƯƠNG KT'!$D$16:$V$108,12,0)</f>
        <v>26</v>
      </c>
      <c r="D435" s="1967">
        <f>92.2*$C$1</f>
        <v>61585.912000000004</v>
      </c>
      <c r="E435" s="1962">
        <f t="shared" si="50"/>
        <v>1601233.7120000001</v>
      </c>
      <c r="G435" s="1959" t="s">
        <v>3296</v>
      </c>
      <c r="H435" s="1965" t="s">
        <v>3285</v>
      </c>
      <c r="I435" s="1961">
        <f>VLOOKUP(H429,'LƯƠNG KT'!$D$16:$V$108,12,0)</f>
        <v>27</v>
      </c>
      <c r="J435" s="1967">
        <f>92.2*$C$1</f>
        <v>61585.912000000004</v>
      </c>
      <c r="K435" s="1962">
        <f t="shared" si="51"/>
        <v>1662819.6240000001</v>
      </c>
    </row>
    <row r="436" spans="1:12" ht="12.75" customHeight="1">
      <c r="A436" s="1959" t="s">
        <v>3297</v>
      </c>
      <c r="B436" s="1965" t="s">
        <v>3287</v>
      </c>
      <c r="C436" s="1961">
        <f>VLOOKUP(B429,'LƯƠNG KT'!$D$16:$V$108,13,0)</f>
        <v>4</v>
      </c>
      <c r="D436" s="1964">
        <f>153.8*$C$1</f>
        <v>102732.24800000001</v>
      </c>
      <c r="E436" s="1962">
        <f t="shared" si="50"/>
        <v>410928.99200000003</v>
      </c>
      <c r="G436" s="1959" t="s">
        <v>3297</v>
      </c>
      <c r="H436" s="1965" t="s">
        <v>3287</v>
      </c>
      <c r="I436" s="1961">
        <f>VLOOKUP(H429,'LƯƠNG KT'!$D$16:$V$108,13,0)</f>
        <v>4</v>
      </c>
      <c r="J436" s="1964">
        <f>153.8*$C$1</f>
        <v>102732.24800000001</v>
      </c>
      <c r="K436" s="1962">
        <f t="shared" si="51"/>
        <v>410928.99200000003</v>
      </c>
    </row>
    <row r="437" spans="1:12" ht="12.75" customHeight="1">
      <c r="A437" s="1959" t="s">
        <v>3354</v>
      </c>
      <c r="B437" s="1965" t="s">
        <v>3288</v>
      </c>
      <c r="C437" s="1961">
        <f>VLOOKUP(B429,'LƯƠNG KT'!$D$16:$V$108,14,0)</f>
        <v>0</v>
      </c>
      <c r="D437" s="1964">
        <v>100000</v>
      </c>
      <c r="E437" s="1962">
        <f>C437*D437</f>
        <v>0</v>
      </c>
      <c r="G437" s="1959" t="s">
        <v>3354</v>
      </c>
      <c r="H437" s="1965" t="s">
        <v>3288</v>
      </c>
      <c r="I437" s="1961">
        <f>VLOOKUP(H429,'LƯƠNG KT'!$D$16:$V$108,14,0)</f>
        <v>0</v>
      </c>
      <c r="J437" s="1964">
        <v>100000</v>
      </c>
      <c r="K437" s="1962">
        <f>I437*J437</f>
        <v>0</v>
      </c>
    </row>
    <row r="438" spans="1:12" ht="12.75" customHeight="1">
      <c r="A438" s="1959" t="s">
        <v>3355</v>
      </c>
      <c r="B438" s="1965" t="s">
        <v>3288</v>
      </c>
      <c r="C438" s="1961">
        <f>VLOOKUP(B429,'LƯƠNG KT'!$D$16:$V$108,17,0)</f>
        <v>0</v>
      </c>
      <c r="D438" s="1964">
        <v>20000</v>
      </c>
      <c r="E438" s="1962">
        <f>C438*D438</f>
        <v>0</v>
      </c>
      <c r="G438" s="1959" t="s">
        <v>3355</v>
      </c>
      <c r="H438" s="1965" t="s">
        <v>3288</v>
      </c>
      <c r="I438" s="1961">
        <f>VLOOKUP(H429,'LƯƠNG KT'!$D$16:$V$108,17,0)</f>
        <v>0</v>
      </c>
      <c r="J438" s="1964">
        <v>20000</v>
      </c>
      <c r="K438" s="1962">
        <f>I438*J438</f>
        <v>0</v>
      </c>
    </row>
    <row r="439" spans="1:12" ht="12.75" customHeight="1">
      <c r="A439" s="1959" t="s">
        <v>3289</v>
      </c>
      <c r="B439" s="1965" t="s">
        <v>3290</v>
      </c>
      <c r="C439" s="1966"/>
      <c r="D439" s="1964"/>
      <c r="E439" s="1962"/>
      <c r="G439" s="1959" t="s">
        <v>3289</v>
      </c>
      <c r="H439" s="1965" t="s">
        <v>3290</v>
      </c>
      <c r="I439" s="1966"/>
      <c r="J439" s="1964"/>
      <c r="K439" s="1962"/>
      <c r="L439" s="1980"/>
    </row>
    <row r="440" spans="1:12" ht="12.75" customHeight="1">
      <c r="A440" s="1968" t="s">
        <v>377</v>
      </c>
      <c r="B440" s="1969" t="s">
        <v>3291</v>
      </c>
      <c r="C440" s="1970"/>
      <c r="D440" s="1971"/>
      <c r="E440" s="1970"/>
      <c r="G440" s="1968" t="s">
        <v>377</v>
      </c>
      <c r="H440" s="1969" t="s">
        <v>3291</v>
      </c>
      <c r="I440" s="1970"/>
      <c r="J440" s="1971"/>
      <c r="K440" s="1970"/>
      <c r="L440" s="1980"/>
    </row>
    <row r="441" spans="1:12" ht="12.75" customHeight="1">
      <c r="A441" s="1972" t="s">
        <v>379</v>
      </c>
      <c r="B441" s="1973" t="s">
        <v>3292</v>
      </c>
      <c r="C441" s="1970"/>
      <c r="D441" s="1970"/>
      <c r="E441" s="1970"/>
      <c r="G441" s="1972" t="s">
        <v>379</v>
      </c>
      <c r="H441" s="1973" t="s">
        <v>3292</v>
      </c>
      <c r="I441" s="1970"/>
      <c r="J441" s="1970"/>
      <c r="K441" s="1970"/>
      <c r="L441" s="1980"/>
    </row>
    <row r="442" spans="1:12" ht="12.75" customHeight="1">
      <c r="A442" s="1972" t="s">
        <v>381</v>
      </c>
      <c r="B442" s="1974" t="s">
        <v>3293</v>
      </c>
      <c r="C442" s="1970"/>
      <c r="D442" s="1970"/>
      <c r="E442" s="1962">
        <f>SUM(E441)</f>
        <v>0</v>
      </c>
      <c r="G442" s="1972" t="s">
        <v>381</v>
      </c>
      <c r="H442" s="1974" t="s">
        <v>3293</v>
      </c>
      <c r="I442" s="1970"/>
      <c r="J442" s="1970"/>
      <c r="K442" s="1962">
        <f>SUM(K441)</f>
        <v>0</v>
      </c>
      <c r="L442" s="1980"/>
    </row>
    <row r="443" spans="1:12" ht="12.75" customHeight="1">
      <c r="A443" s="1975" t="s">
        <v>383</v>
      </c>
      <c r="B443" s="1976" t="s">
        <v>3294</v>
      </c>
      <c r="C443" s="1977"/>
      <c r="D443" s="1977"/>
      <c r="E443" s="1978" t="e">
        <f>(E431+E432+E433+E434+E435+E436+E437+E438+E439)-E442</f>
        <v>#VALUE!</v>
      </c>
      <c r="G443" s="1975" t="s">
        <v>383</v>
      </c>
      <c r="H443" s="1976" t="s">
        <v>3294</v>
      </c>
      <c r="I443" s="1977"/>
      <c r="J443" s="1977"/>
      <c r="K443" s="1978" t="e">
        <f>(K431+K432+K433+K434+K435+K436+K437+K438+K439)-K442</f>
        <v>#VALUE!</v>
      </c>
      <c r="L443" s="1980">
        <v>4917</v>
      </c>
    </row>
    <row r="445" spans="1:12" ht="12.75" customHeight="1">
      <c r="A445" s="2953" t="s">
        <v>3356</v>
      </c>
      <c r="B445" s="2954"/>
      <c r="C445" s="2954"/>
      <c r="D445" s="2954"/>
      <c r="E445" s="1955">
        <f>VLOOKUP(B446,'LƯƠNG KT'!$D$16:$AD$108,25,0)</f>
        <v>0</v>
      </c>
      <c r="G445" s="2953" t="s">
        <v>3356</v>
      </c>
      <c r="H445" s="2954"/>
      <c r="I445" s="2954"/>
      <c r="J445" s="2954"/>
      <c r="K445" s="1955">
        <f>VLOOKUP(H446,'LƯƠNG KT'!$D$16:$AD$108,25,0)</f>
        <v>0</v>
      </c>
    </row>
    <row r="446" spans="1:12" ht="12.75" customHeight="1">
      <c r="A446" s="1956" t="s">
        <v>356</v>
      </c>
      <c r="B446" s="1956" t="str">
        <f>'LƯƠNG KT'!$D$68</f>
        <v xml:space="preserve">T. Lăm  </v>
      </c>
      <c r="C446" s="1957"/>
      <c r="D446" s="1958" t="s">
        <v>2357</v>
      </c>
      <c r="E446" s="1958" t="s">
        <v>2156</v>
      </c>
      <c r="G446" s="1956" t="s">
        <v>356</v>
      </c>
      <c r="H446" s="1956" t="str">
        <f>'LƯƠNG KT'!$D$69</f>
        <v>Khăm Phiêng</v>
      </c>
      <c r="I446" s="1957"/>
      <c r="J446" s="1958" t="s">
        <v>2357</v>
      </c>
      <c r="K446" s="1958" t="s">
        <v>2156</v>
      </c>
    </row>
    <row r="447" spans="1:12" ht="12.75" customHeight="1">
      <c r="A447" s="1959" t="s">
        <v>3005</v>
      </c>
      <c r="B447" s="1960" t="s">
        <v>3278</v>
      </c>
      <c r="C447" s="1961">
        <f>VLOOKUP(B446,'LƯƠNG KT'!$D$16:$M$108,8,0)</f>
        <v>173.61231295147692</v>
      </c>
      <c r="D447" s="1962"/>
      <c r="E447" s="1962"/>
      <c r="G447" s="1959" t="s">
        <v>3005</v>
      </c>
      <c r="H447" s="1960" t="s">
        <v>3278</v>
      </c>
      <c r="I447" s="1961">
        <f>VLOOKUP(H446,'LƯƠNG KT'!$D$16:$M$108,8,0)</f>
        <v>253.51343425300894</v>
      </c>
      <c r="J447" s="1962"/>
      <c r="K447" s="1962"/>
    </row>
    <row r="448" spans="1:12" ht="12.75" customHeight="1">
      <c r="A448" s="1959" t="s">
        <v>359</v>
      </c>
      <c r="B448" s="1963" t="s">
        <v>2090</v>
      </c>
      <c r="C448" s="1961">
        <f>VLOOKUP(B446,'LƯƠNG KT'!$D$16:$V$108,3,0)</f>
        <v>0</v>
      </c>
      <c r="D448" s="1964">
        <v>25000</v>
      </c>
      <c r="E448" s="1962">
        <f>C448*D448</f>
        <v>0</v>
      </c>
      <c r="G448" s="1959" t="s">
        <v>359</v>
      </c>
      <c r="H448" s="1963" t="s">
        <v>2090</v>
      </c>
      <c r="I448" s="1961">
        <f>VLOOKUP(H446,'LƯƠNG KT'!$D$16:$V$108,3,0)</f>
        <v>0</v>
      </c>
      <c r="J448" s="1964">
        <v>25000</v>
      </c>
      <c r="K448" s="1962">
        <f>I448*J448</f>
        <v>0</v>
      </c>
    </row>
    <row r="449" spans="1:11" ht="12.75" customHeight="1">
      <c r="A449" s="1959" t="s">
        <v>3279</v>
      </c>
      <c r="B449" s="1965" t="s">
        <v>3280</v>
      </c>
      <c r="C449" s="1961" t="str">
        <f>VLOOKUP(B446,'LƯƠNG KT'!$D$16:$V$108,10,0)</f>
        <v>B</v>
      </c>
      <c r="D449" s="1967">
        <f>46.1*$C$1</f>
        <v>30792.956000000002</v>
      </c>
      <c r="E449" s="1962" t="e">
        <f t="shared" ref="E449:E453" si="52">C449*D449</f>
        <v>#VALUE!</v>
      </c>
      <c r="G449" s="1959" t="s">
        <v>3279</v>
      </c>
      <c r="H449" s="1965" t="s">
        <v>3280</v>
      </c>
      <c r="I449" s="1961" t="str">
        <f>VLOOKUP(H446,'LƯƠNG KT'!$D$16:$V$108,10,0)</f>
        <v>A</v>
      </c>
      <c r="J449" s="1967">
        <f>46.1*$C$1</f>
        <v>30792.956000000002</v>
      </c>
      <c r="K449" s="1962" t="e">
        <f t="shared" ref="K449:K453" si="53">I449*J449</f>
        <v>#VALUE!</v>
      </c>
    </row>
    <row r="450" spans="1:11" ht="12.75" customHeight="1">
      <c r="A450" s="1959" t="s">
        <v>3281</v>
      </c>
      <c r="B450" s="1965" t="s">
        <v>3282</v>
      </c>
      <c r="C450" s="1961">
        <f>VLOOKUP(B446,'LƯƠNG KT'!$D$16:$V$108,11,0)</f>
        <v>5289948</v>
      </c>
      <c r="D450" s="1964">
        <f>76.9*$C$1</f>
        <v>51366.124000000003</v>
      </c>
      <c r="E450" s="1962">
        <f t="shared" si="52"/>
        <v>271724124921.55203</v>
      </c>
      <c r="G450" s="1959" t="s">
        <v>3281</v>
      </c>
      <c r="H450" s="1965" t="s">
        <v>3282</v>
      </c>
      <c r="I450" s="1961">
        <f>VLOOKUP(H446,'LƯƠNG KT'!$D$16:$V$108,11,0)</f>
        <v>8124071</v>
      </c>
      <c r="J450" s="1964">
        <f>76.9*$C$1</f>
        <v>51366.124000000003</v>
      </c>
      <c r="K450" s="1962">
        <f t="shared" si="53"/>
        <v>417302038370.80402</v>
      </c>
    </row>
    <row r="451" spans="1:11" ht="12.75" customHeight="1">
      <c r="A451" s="1959" t="s">
        <v>374</v>
      </c>
      <c r="B451" s="1965" t="s">
        <v>3283</v>
      </c>
      <c r="C451" s="1961">
        <f>VLOOKUP(B446,'LƯƠNG KT'!$D$16:$V$108,7,0)</f>
        <v>1346.487756007499</v>
      </c>
      <c r="D451" s="1964">
        <f>IF(C447="A",6.1,IF(C447="B",5.8,IF(C447="C",5.5,IF(C447="C.",5.5,IF(C447="D",5.2)))))*$C$1</f>
        <v>0</v>
      </c>
      <c r="E451" s="1962">
        <f t="shared" si="52"/>
        <v>0</v>
      </c>
      <c r="G451" s="1959" t="s">
        <v>374</v>
      </c>
      <c r="H451" s="1965" t="s">
        <v>3283</v>
      </c>
      <c r="I451" s="1961">
        <f>VLOOKUP(H446,'LƯƠNG KT'!$D$16:$V$108,7,0)</f>
        <v>1966.1781437154959</v>
      </c>
      <c r="J451" s="1964">
        <f>IF(I447="A",6.1,IF(I447="B",5.8,IF(I447="C",5.5,IF(I447="C.",5.5,IF(I447="D",5.2)))))*$C$1</f>
        <v>0</v>
      </c>
      <c r="K451" s="1962">
        <f t="shared" si="53"/>
        <v>0</v>
      </c>
    </row>
    <row r="452" spans="1:11" ht="12.75" customHeight="1">
      <c r="A452" s="1959" t="s">
        <v>3296</v>
      </c>
      <c r="B452" s="1965" t="s">
        <v>3285</v>
      </c>
      <c r="C452" s="1961">
        <f>VLOOKUP(B446,'LƯƠNG KT'!$D$16:$V$108,12,0)</f>
        <v>27</v>
      </c>
      <c r="D452" s="1967">
        <f>92.2*$C$1</f>
        <v>61585.912000000004</v>
      </c>
      <c r="E452" s="1962">
        <f t="shared" si="52"/>
        <v>1662819.6240000001</v>
      </c>
      <c r="G452" s="1959" t="s">
        <v>3296</v>
      </c>
      <c r="H452" s="1965" t="s">
        <v>3285</v>
      </c>
      <c r="I452" s="1961">
        <f>VLOOKUP(H446,'LƯƠNG KT'!$D$16:$V$108,12,0)</f>
        <v>27</v>
      </c>
      <c r="J452" s="1967">
        <f>92.2*$C$1</f>
        <v>61585.912000000004</v>
      </c>
      <c r="K452" s="1962">
        <f t="shared" si="53"/>
        <v>1662819.6240000001</v>
      </c>
    </row>
    <row r="453" spans="1:11" ht="12.75" customHeight="1">
      <c r="A453" s="1959" t="s">
        <v>3297</v>
      </c>
      <c r="B453" s="1965" t="s">
        <v>3287</v>
      </c>
      <c r="C453" s="1961">
        <f>VLOOKUP(B446,'LƯƠNG KT'!$D$16:$V$108,13,0)</f>
        <v>4</v>
      </c>
      <c r="D453" s="1964">
        <f>153.8*$C$1</f>
        <v>102732.24800000001</v>
      </c>
      <c r="E453" s="1962">
        <f t="shared" si="52"/>
        <v>410928.99200000003</v>
      </c>
      <c r="G453" s="1959" t="s">
        <v>3297</v>
      </c>
      <c r="H453" s="1965" t="s">
        <v>3287</v>
      </c>
      <c r="I453" s="1961">
        <f>VLOOKUP(H446,'LƯƠNG KT'!$D$16:$V$108,13,0)</f>
        <v>4</v>
      </c>
      <c r="J453" s="1964">
        <f>153.8*$C$1</f>
        <v>102732.24800000001</v>
      </c>
      <c r="K453" s="1962">
        <f t="shared" si="53"/>
        <v>410928.99200000003</v>
      </c>
    </row>
    <row r="454" spans="1:11" ht="12.75" customHeight="1">
      <c r="A454" s="1959" t="s">
        <v>3354</v>
      </c>
      <c r="B454" s="1965" t="s">
        <v>3288</v>
      </c>
      <c r="C454" s="1961">
        <f>VLOOKUP(B446,'LƯƠNG KT'!$D$16:$V$108,14,0)</f>
        <v>0</v>
      </c>
      <c r="D454" s="1964">
        <v>100000</v>
      </c>
      <c r="E454" s="1962">
        <f>C454*D454</f>
        <v>0</v>
      </c>
      <c r="G454" s="1959" t="s">
        <v>3354</v>
      </c>
      <c r="H454" s="1965" t="s">
        <v>3288</v>
      </c>
      <c r="I454" s="1961">
        <f>VLOOKUP(H446,'LƯƠNG KT'!$D$16:$V$108,14,0)</f>
        <v>0</v>
      </c>
      <c r="J454" s="1964">
        <v>100000</v>
      </c>
      <c r="K454" s="1962">
        <f>I454*J454</f>
        <v>0</v>
      </c>
    </row>
    <row r="455" spans="1:11" ht="12.75" customHeight="1">
      <c r="A455" s="1959" t="s">
        <v>3355</v>
      </c>
      <c r="B455" s="1965" t="s">
        <v>3288</v>
      </c>
      <c r="C455" s="1961">
        <f>VLOOKUP(B446,'LƯƠNG KT'!$D$16:$V$108,17,0)</f>
        <v>0</v>
      </c>
      <c r="D455" s="1964">
        <v>20000</v>
      </c>
      <c r="E455" s="1962">
        <f>C455*D455</f>
        <v>0</v>
      </c>
      <c r="G455" s="1959" t="s">
        <v>3355</v>
      </c>
      <c r="H455" s="1965" t="s">
        <v>3288</v>
      </c>
      <c r="I455" s="1961">
        <f>VLOOKUP(H446,'LƯƠNG KT'!$D$16:$V$108,17,0)</f>
        <v>0</v>
      </c>
      <c r="J455" s="1964">
        <v>20000</v>
      </c>
      <c r="K455" s="1962">
        <f>I455*J455</f>
        <v>0</v>
      </c>
    </row>
    <row r="456" spans="1:11" ht="12.75" customHeight="1">
      <c r="A456" s="1959" t="s">
        <v>3289</v>
      </c>
      <c r="B456" s="1965" t="s">
        <v>3290</v>
      </c>
      <c r="C456" s="1966"/>
      <c r="D456" s="1964"/>
      <c r="E456" s="1962"/>
      <c r="G456" s="1959" t="s">
        <v>3289</v>
      </c>
      <c r="H456" s="1965" t="s">
        <v>3290</v>
      </c>
      <c r="I456" s="1966"/>
      <c r="J456" s="1964"/>
      <c r="K456" s="1962"/>
    </row>
    <row r="457" spans="1:11" ht="12.75" customHeight="1">
      <c r="A457" s="1968" t="s">
        <v>377</v>
      </c>
      <c r="B457" s="1969" t="s">
        <v>3291</v>
      </c>
      <c r="C457" s="1970"/>
      <c r="D457" s="1971"/>
      <c r="E457" s="1970"/>
      <c r="G457" s="1968" t="s">
        <v>377</v>
      </c>
      <c r="H457" s="1969" t="s">
        <v>3291</v>
      </c>
      <c r="I457" s="1970"/>
      <c r="J457" s="1971"/>
      <c r="K457" s="1970"/>
    </row>
    <row r="458" spans="1:11" ht="12.75" customHeight="1">
      <c r="A458" s="1972" t="s">
        <v>379</v>
      </c>
      <c r="B458" s="1973" t="s">
        <v>3292</v>
      </c>
      <c r="C458" s="1970"/>
      <c r="D458" s="1970"/>
      <c r="E458" s="1970"/>
      <c r="G458" s="1972" t="s">
        <v>379</v>
      </c>
      <c r="H458" s="1973" t="s">
        <v>3292</v>
      </c>
      <c r="I458" s="1970"/>
      <c r="J458" s="1970"/>
      <c r="K458" s="1970"/>
    </row>
    <row r="459" spans="1:11" ht="12.75" customHeight="1">
      <c r="A459" s="1972" t="s">
        <v>381</v>
      </c>
      <c r="B459" s="1974" t="s">
        <v>3293</v>
      </c>
      <c r="C459" s="1970"/>
      <c r="D459" s="1970"/>
      <c r="E459" s="1962">
        <f>SUM(E458)</f>
        <v>0</v>
      </c>
      <c r="G459" s="1972" t="s">
        <v>381</v>
      </c>
      <c r="H459" s="1974" t="s">
        <v>3293</v>
      </c>
      <c r="I459" s="1970"/>
      <c r="J459" s="1970"/>
      <c r="K459" s="1962">
        <f>SUM(K458)</f>
        <v>0</v>
      </c>
    </row>
    <row r="460" spans="1:11" ht="12.75" customHeight="1">
      <c r="A460" s="1975" t="s">
        <v>383</v>
      </c>
      <c r="B460" s="1976" t="s">
        <v>3294</v>
      </c>
      <c r="C460" s="1977"/>
      <c r="D460" s="1977"/>
      <c r="E460" s="1978" t="e">
        <f>(E448+E449+E450+E451+E452+E453+E454+E455+E456)-E459</f>
        <v>#VALUE!</v>
      </c>
      <c r="G460" s="1975" t="s">
        <v>383</v>
      </c>
      <c r="H460" s="1976" t="s">
        <v>3294</v>
      </c>
      <c r="I460" s="1977"/>
      <c r="J460" s="1977"/>
      <c r="K460" s="1978" t="e">
        <f>(K448+K449+K450+K451+K452+K453+K454+K455+K456)-K459</f>
        <v>#VALUE!</v>
      </c>
    </row>
    <row r="462" spans="1:11" ht="12.75" customHeight="1">
      <c r="A462" s="2953" t="s">
        <v>3356</v>
      </c>
      <c r="B462" s="2954"/>
      <c r="C462" s="2954"/>
      <c r="D462" s="2954"/>
      <c r="E462" s="1955">
        <f>VLOOKUP(B463,'LƯƠNG KT'!$D$16:$AD$108,25,0)</f>
        <v>0</v>
      </c>
      <c r="G462" s="2953" t="s">
        <v>3356</v>
      </c>
      <c r="H462" s="2954"/>
      <c r="I462" s="2954"/>
      <c r="J462" s="2954"/>
      <c r="K462" s="1955">
        <f>VLOOKUP(H463,'LƯƠNG KT'!$D$16:$AD$108,25,0)</f>
        <v>0</v>
      </c>
    </row>
    <row r="463" spans="1:11" ht="12.75" customHeight="1">
      <c r="A463" s="1956" t="s">
        <v>356</v>
      </c>
      <c r="B463" s="1956" t="str">
        <f>'LƯƠNG KT'!$D$70</f>
        <v>Khiêng Khăm</v>
      </c>
      <c r="C463" s="1957"/>
      <c r="D463" s="1958" t="s">
        <v>2357</v>
      </c>
      <c r="E463" s="1958" t="s">
        <v>2156</v>
      </c>
      <c r="G463" s="1956" t="s">
        <v>356</v>
      </c>
      <c r="H463" s="1956" t="str">
        <f>'LƯƠNG KT'!$D$71</f>
        <v>T. Kỷ</v>
      </c>
      <c r="I463" s="1957"/>
      <c r="J463" s="1958" t="s">
        <v>2357</v>
      </c>
      <c r="K463" s="1958" t="s">
        <v>2156</v>
      </c>
    </row>
    <row r="464" spans="1:11" ht="12.75" customHeight="1">
      <c r="A464" s="1959" t="s">
        <v>3005</v>
      </c>
      <c r="B464" s="1960" t="s">
        <v>3278</v>
      </c>
      <c r="C464" s="1961">
        <f>VLOOKUP(B463,'LƯƠNG KT'!$D$16:$M$108,8,0)</f>
        <v>253.5682361194709</v>
      </c>
      <c r="D464" s="1962"/>
      <c r="E464" s="1962"/>
      <c r="G464" s="1959" t="s">
        <v>3005</v>
      </c>
      <c r="H464" s="1960" t="s">
        <v>3278</v>
      </c>
      <c r="I464" s="1961">
        <f>VLOOKUP(H463,'LƯƠNG KT'!$D$16:$M$108,8,0)</f>
        <v>279.54432082243807</v>
      </c>
      <c r="J464" s="1962"/>
      <c r="K464" s="1962"/>
    </row>
    <row r="465" spans="1:11" ht="12.75" customHeight="1">
      <c r="A465" s="1959" t="s">
        <v>359</v>
      </c>
      <c r="B465" s="1963" t="s">
        <v>2090</v>
      </c>
      <c r="C465" s="1961">
        <f>VLOOKUP(B463,'LƯƠNG KT'!$D$16:$V$108,3,0)</f>
        <v>0</v>
      </c>
      <c r="D465" s="1964">
        <v>25000</v>
      </c>
      <c r="E465" s="1962">
        <f>C465*D465</f>
        <v>0</v>
      </c>
      <c r="G465" s="1959" t="s">
        <v>359</v>
      </c>
      <c r="H465" s="1963" t="s">
        <v>2090</v>
      </c>
      <c r="I465" s="1961">
        <f>VLOOKUP(H463,'LƯƠNG KT'!$D$16:$V$108,3,0)</f>
        <v>0</v>
      </c>
      <c r="J465" s="1964">
        <v>25000</v>
      </c>
      <c r="K465" s="1962">
        <f>I465*J465</f>
        <v>0</v>
      </c>
    </row>
    <row r="466" spans="1:11" ht="12.75" customHeight="1">
      <c r="A466" s="1959" t="s">
        <v>3279</v>
      </c>
      <c r="B466" s="1965" t="s">
        <v>3280</v>
      </c>
      <c r="C466" s="1961" t="str">
        <f>VLOOKUP(B463,'LƯƠNG KT'!$D$16:$V$108,10,0)</f>
        <v>A</v>
      </c>
      <c r="D466" s="1967">
        <f>46.1*$C$1</f>
        <v>30792.956000000002</v>
      </c>
      <c r="E466" s="1962" t="e">
        <f t="shared" ref="E466:E470" si="54">C466*D466</f>
        <v>#VALUE!</v>
      </c>
      <c r="G466" s="1959" t="s">
        <v>3279</v>
      </c>
      <c r="H466" s="1965" t="s">
        <v>3280</v>
      </c>
      <c r="I466" s="1961" t="str">
        <f>VLOOKUP(H463,'LƯƠNG KT'!$D$16:$V$108,10,0)</f>
        <v>A</v>
      </c>
      <c r="J466" s="1967">
        <f>46.1*$C$1</f>
        <v>30792.956000000002</v>
      </c>
      <c r="K466" s="1962" t="e">
        <f t="shared" ref="K466:K470" si="55">I466*J466</f>
        <v>#VALUE!</v>
      </c>
    </row>
    <row r="467" spans="1:11" ht="12.75" customHeight="1">
      <c r="A467" s="1959" t="s">
        <v>3281</v>
      </c>
      <c r="B467" s="1965" t="s">
        <v>3282</v>
      </c>
      <c r="C467" s="1961">
        <f>VLOOKUP(B463,'LƯƠNG KT'!$D$16:$V$108,11,0)</f>
        <v>8125827</v>
      </c>
      <c r="D467" s="1964">
        <f>76.9*$C$1</f>
        <v>51366.124000000003</v>
      </c>
      <c r="E467" s="1962">
        <f t="shared" si="54"/>
        <v>417392237284.54803</v>
      </c>
      <c r="G467" s="1959" t="s">
        <v>3281</v>
      </c>
      <c r="H467" s="1965" t="s">
        <v>3282</v>
      </c>
      <c r="I467" s="1961">
        <f>VLOOKUP(H463,'LƯƠNG KT'!$D$16:$V$108,11,0)</f>
        <v>8958255</v>
      </c>
      <c r="J467" s="1964">
        <f>76.9*$C$1</f>
        <v>51366.124000000003</v>
      </c>
      <c r="K467" s="1962">
        <f t="shared" si="55"/>
        <v>460150837153.62006</v>
      </c>
    </row>
    <row r="468" spans="1:11" ht="12.75" customHeight="1">
      <c r="A468" s="1959" t="s">
        <v>374</v>
      </c>
      <c r="B468" s="1965" t="s">
        <v>3283</v>
      </c>
      <c r="C468" s="1961">
        <f>VLOOKUP(B463,'LƯƠNG KT'!$D$16:$V$108,7,0)</f>
        <v>1966.6031714162557</v>
      </c>
      <c r="D468" s="1964">
        <f>IF(C464="A",6.1,IF(C464="B",5.8,IF(C464="C",5.5,IF(C464="C.",5.5,IF(C464="D",5.2)))))*$C$1</f>
        <v>0</v>
      </c>
      <c r="E468" s="1962">
        <f t="shared" si="54"/>
        <v>0</v>
      </c>
      <c r="G468" s="1959" t="s">
        <v>374</v>
      </c>
      <c r="H468" s="1965" t="s">
        <v>3283</v>
      </c>
      <c r="I468" s="1961">
        <f>VLOOKUP(H463,'LƯƠNG KT'!$D$16:$V$108,7,0)</f>
        <v>2168.0663015764685</v>
      </c>
      <c r="J468" s="1964">
        <f>IF(I464="A",6.1,IF(I464="B",5.8,IF(I464="C",5.5,IF(I464="C.",5.5,IF(I464="D",5.2)))))*$C$1</f>
        <v>0</v>
      </c>
      <c r="K468" s="1962">
        <f t="shared" si="55"/>
        <v>0</v>
      </c>
    </row>
    <row r="469" spans="1:11" ht="12.75" customHeight="1">
      <c r="A469" s="1959" t="s">
        <v>3296</v>
      </c>
      <c r="B469" s="1965" t="s">
        <v>3285</v>
      </c>
      <c r="C469" s="1961">
        <f>VLOOKUP(B463,'LƯƠNG KT'!$D$16:$V$108,12,0)</f>
        <v>27</v>
      </c>
      <c r="D469" s="1967">
        <f>92.2*$C$1</f>
        <v>61585.912000000004</v>
      </c>
      <c r="E469" s="1962">
        <f t="shared" si="54"/>
        <v>1662819.6240000001</v>
      </c>
      <c r="G469" s="1959" t="s">
        <v>3296</v>
      </c>
      <c r="H469" s="1965" t="s">
        <v>3285</v>
      </c>
      <c r="I469" s="1961">
        <f>VLOOKUP(H463,'LƯƠNG KT'!$D$16:$V$108,12,0)</f>
        <v>26</v>
      </c>
      <c r="J469" s="1967">
        <f>92.2*$C$1</f>
        <v>61585.912000000004</v>
      </c>
      <c r="K469" s="1962">
        <f t="shared" si="55"/>
        <v>1601233.7120000001</v>
      </c>
    </row>
    <row r="470" spans="1:11" ht="12.75" customHeight="1">
      <c r="A470" s="1959" t="s">
        <v>3297</v>
      </c>
      <c r="B470" s="1965" t="s">
        <v>3287</v>
      </c>
      <c r="C470" s="1961">
        <f>VLOOKUP(B463,'LƯƠNG KT'!$D$16:$V$108,13,0)</f>
        <v>4</v>
      </c>
      <c r="D470" s="1964">
        <f>153.8*$C$1</f>
        <v>102732.24800000001</v>
      </c>
      <c r="E470" s="1962">
        <f t="shared" si="54"/>
        <v>410928.99200000003</v>
      </c>
      <c r="G470" s="1959" t="s">
        <v>3297</v>
      </c>
      <c r="H470" s="1965" t="s">
        <v>3287</v>
      </c>
      <c r="I470" s="1961">
        <f>VLOOKUP(H463,'LƯƠNG KT'!$D$16:$V$108,13,0)</f>
        <v>4</v>
      </c>
      <c r="J470" s="1964">
        <f>153.8*$C$1</f>
        <v>102732.24800000001</v>
      </c>
      <c r="K470" s="1962">
        <f t="shared" si="55"/>
        <v>410928.99200000003</v>
      </c>
    </row>
    <row r="471" spans="1:11" ht="12.75" customHeight="1">
      <c r="A471" s="1959" t="s">
        <v>3354</v>
      </c>
      <c r="B471" s="1965" t="s">
        <v>3288</v>
      </c>
      <c r="C471" s="1961">
        <f>VLOOKUP(B463,'LƯƠNG KT'!$D$16:$V$108,14,0)</f>
        <v>0</v>
      </c>
      <c r="D471" s="1964">
        <v>100000</v>
      </c>
      <c r="E471" s="1962">
        <f>C471*D471</f>
        <v>0</v>
      </c>
      <c r="G471" s="1959" t="s">
        <v>3354</v>
      </c>
      <c r="H471" s="1965" t="s">
        <v>3288</v>
      </c>
      <c r="I471" s="1961">
        <f>VLOOKUP(H463,'LƯƠNG KT'!$D$16:$V$108,14,0)</f>
        <v>0</v>
      </c>
      <c r="J471" s="1964">
        <v>100000</v>
      </c>
      <c r="K471" s="1962">
        <f>I471*J471</f>
        <v>0</v>
      </c>
    </row>
    <row r="472" spans="1:11" ht="12.75" customHeight="1">
      <c r="A472" s="1959" t="s">
        <v>3355</v>
      </c>
      <c r="B472" s="1965" t="s">
        <v>3288</v>
      </c>
      <c r="C472" s="1961">
        <f>VLOOKUP(B463,'LƯƠNG KT'!$D$16:$V$108,17,0)</f>
        <v>0</v>
      </c>
      <c r="D472" s="1964">
        <v>20000</v>
      </c>
      <c r="E472" s="1962">
        <f>C472*D472</f>
        <v>0</v>
      </c>
      <c r="G472" s="1959" t="s">
        <v>3355</v>
      </c>
      <c r="H472" s="1965" t="s">
        <v>3288</v>
      </c>
      <c r="I472" s="1961">
        <f>VLOOKUP(H463,'LƯƠNG KT'!$D$16:$V$108,17,0)</f>
        <v>0</v>
      </c>
      <c r="J472" s="1964">
        <v>20000</v>
      </c>
      <c r="K472" s="1962">
        <f>I472*J472</f>
        <v>0</v>
      </c>
    </row>
    <row r="473" spans="1:11" ht="12.75" customHeight="1">
      <c r="A473" s="1959" t="s">
        <v>3289</v>
      </c>
      <c r="B473" s="1965" t="s">
        <v>3290</v>
      </c>
      <c r="C473" s="1966"/>
      <c r="D473" s="1964"/>
      <c r="E473" s="1962"/>
      <c r="G473" s="1959" t="s">
        <v>3289</v>
      </c>
      <c r="H473" s="1965" t="s">
        <v>3290</v>
      </c>
      <c r="I473" s="1966"/>
      <c r="J473" s="1964"/>
      <c r="K473" s="1962"/>
    </row>
    <row r="474" spans="1:11" ht="12.75" customHeight="1">
      <c r="A474" s="1968" t="s">
        <v>377</v>
      </c>
      <c r="B474" s="1969" t="s">
        <v>3291</v>
      </c>
      <c r="C474" s="1970"/>
      <c r="D474" s="1971"/>
      <c r="E474" s="1970"/>
      <c r="G474" s="1968" t="s">
        <v>377</v>
      </c>
      <c r="H474" s="1969" t="s">
        <v>3291</v>
      </c>
      <c r="I474" s="1970"/>
      <c r="J474" s="1971"/>
      <c r="K474" s="1970"/>
    </row>
    <row r="475" spans="1:11" ht="12.75" customHeight="1">
      <c r="A475" s="1972" t="s">
        <v>379</v>
      </c>
      <c r="B475" s="1973" t="s">
        <v>3292</v>
      </c>
      <c r="C475" s="1970"/>
      <c r="D475" s="1970"/>
      <c r="E475" s="1970"/>
      <c r="G475" s="1972" t="s">
        <v>379</v>
      </c>
      <c r="H475" s="1973" t="s">
        <v>3292</v>
      </c>
      <c r="I475" s="1970"/>
      <c r="J475" s="1970"/>
      <c r="K475" s="1970"/>
    </row>
    <row r="476" spans="1:11" ht="12.75" customHeight="1">
      <c r="A476" s="1972" t="s">
        <v>381</v>
      </c>
      <c r="B476" s="1974" t="s">
        <v>3293</v>
      </c>
      <c r="C476" s="1970"/>
      <c r="D476" s="1970"/>
      <c r="E476" s="1962">
        <f>SUM(E475)</f>
        <v>0</v>
      </c>
      <c r="G476" s="1972" t="s">
        <v>381</v>
      </c>
      <c r="H476" s="1974" t="s">
        <v>3293</v>
      </c>
      <c r="I476" s="1970"/>
      <c r="J476" s="1970"/>
      <c r="K476" s="1962">
        <f>SUM(K475)</f>
        <v>0</v>
      </c>
    </row>
    <row r="477" spans="1:11" ht="12.75" customHeight="1">
      <c r="A477" s="1975" t="s">
        <v>383</v>
      </c>
      <c r="B477" s="1976" t="s">
        <v>3294</v>
      </c>
      <c r="C477" s="1977"/>
      <c r="D477" s="1977"/>
      <c r="E477" s="1978" t="e">
        <f>(E465+E466+E467+E468+E469+E470+E471+E472+E473)-E476</f>
        <v>#VALUE!</v>
      </c>
      <c r="G477" s="1975" t="s">
        <v>383</v>
      </c>
      <c r="H477" s="1976" t="s">
        <v>3294</v>
      </c>
      <c r="I477" s="1977"/>
      <c r="J477" s="1977"/>
      <c r="K477" s="1978" t="e">
        <f>(K465+K466+K467+K468+K469+K470+K471+K472+K473)-K476</f>
        <v>#VALUE!</v>
      </c>
    </row>
    <row r="479" spans="1:11" ht="12.75" customHeight="1">
      <c r="A479" s="2953" t="s">
        <v>3356</v>
      </c>
      <c r="B479" s="2954"/>
      <c r="C479" s="2954"/>
      <c r="D479" s="2954"/>
      <c r="E479" s="1955">
        <f>VLOOKUP(B480,'LƯƠNG KT'!$D$16:$AD$108,25,0)</f>
        <v>0</v>
      </c>
      <c r="G479" s="2953" t="s">
        <v>3356</v>
      </c>
      <c r="H479" s="2954"/>
      <c r="I479" s="2954"/>
      <c r="J479" s="2954"/>
      <c r="K479" s="1955">
        <f>VLOOKUP(H480,'LƯƠNG KT'!$D$16:$AD$108,25,0)</f>
        <v>0</v>
      </c>
    </row>
    <row r="480" spans="1:11" ht="12.75" customHeight="1">
      <c r="A480" s="1956" t="s">
        <v>356</v>
      </c>
      <c r="B480" s="1956" t="str">
        <f>'LƯƠNG KT'!$D$72</f>
        <v>T. Vi Lai Văn</v>
      </c>
      <c r="C480" s="1957"/>
      <c r="D480" s="1958" t="s">
        <v>2357</v>
      </c>
      <c r="E480" s="1958" t="s">
        <v>2156</v>
      </c>
      <c r="G480" s="1956" t="s">
        <v>356</v>
      </c>
      <c r="H480" s="1956" t="str">
        <f>'LƯƠNG KT'!$D$73</f>
        <v>T. Ê</v>
      </c>
      <c r="I480" s="1957"/>
      <c r="J480" s="1958" t="s">
        <v>2357</v>
      </c>
      <c r="K480" s="1958" t="s">
        <v>2156</v>
      </c>
    </row>
    <row r="481" spans="1:11" ht="12.75" customHeight="1">
      <c r="A481" s="1959" t="s">
        <v>3005</v>
      </c>
      <c r="B481" s="1960" t="s">
        <v>3278</v>
      </c>
      <c r="C481" s="1961">
        <f>VLOOKUP(B480,'LƯƠNG KT'!$D$16:$M$108,8,0)</f>
        <v>243.53949455693291</v>
      </c>
      <c r="D481" s="1962"/>
      <c r="E481" s="1962"/>
      <c r="G481" s="1959" t="s">
        <v>3005</v>
      </c>
      <c r="H481" s="1960" t="s">
        <v>3278</v>
      </c>
      <c r="I481" s="1961">
        <f>VLOOKUP(H480,'LƯƠNG KT'!$D$16:$M$108,8,0)</f>
        <v>338.40152540257895</v>
      </c>
      <c r="J481" s="1962"/>
      <c r="K481" s="1962"/>
    </row>
    <row r="482" spans="1:11" ht="12.75" customHeight="1">
      <c r="A482" s="1959" t="s">
        <v>359</v>
      </c>
      <c r="B482" s="1963" t="s">
        <v>2090</v>
      </c>
      <c r="C482" s="1961">
        <f>VLOOKUP(B480,'LƯƠNG KT'!$D$16:$V$108,3,0)</f>
        <v>0</v>
      </c>
      <c r="D482" s="1964">
        <v>25000</v>
      </c>
      <c r="E482" s="1962">
        <f>C482*D482</f>
        <v>0</v>
      </c>
      <c r="G482" s="1959" t="s">
        <v>359</v>
      </c>
      <c r="H482" s="1963" t="s">
        <v>2090</v>
      </c>
      <c r="I482" s="1961">
        <f>VLOOKUP(H480,'LƯƠNG KT'!$D$16:$V$108,3,0)</f>
        <v>0</v>
      </c>
      <c r="J482" s="1964">
        <v>25000</v>
      </c>
      <c r="K482" s="1962">
        <f>I482*J482</f>
        <v>0</v>
      </c>
    </row>
    <row r="483" spans="1:11" ht="12.75" customHeight="1">
      <c r="A483" s="1959" t="s">
        <v>3279</v>
      </c>
      <c r="B483" s="1965" t="s">
        <v>3280</v>
      </c>
      <c r="C483" s="1961" t="str">
        <f>VLOOKUP(B480,'LƯƠNG KT'!$D$16:$V$108,10,0)</f>
        <v>A</v>
      </c>
      <c r="D483" s="1967">
        <f>46.1*$C$1</f>
        <v>30792.956000000002</v>
      </c>
      <c r="E483" s="1962" t="e">
        <f t="shared" ref="E483:E487" si="56">C483*D483</f>
        <v>#VALUE!</v>
      </c>
      <c r="G483" s="1959" t="s">
        <v>3279</v>
      </c>
      <c r="H483" s="1965" t="s">
        <v>3280</v>
      </c>
      <c r="I483" s="1961" t="str">
        <f>VLOOKUP(H480,'LƯƠNG KT'!$D$16:$V$108,10,0)</f>
        <v>A</v>
      </c>
      <c r="J483" s="1967">
        <f>46.1*$C$1</f>
        <v>30792.956000000002</v>
      </c>
      <c r="K483" s="1962" t="e">
        <f t="shared" ref="K483:K487" si="57">I483*J483</f>
        <v>#VALUE!</v>
      </c>
    </row>
    <row r="484" spans="1:11" ht="12.75" customHeight="1">
      <c r="A484" s="1959" t="s">
        <v>3281</v>
      </c>
      <c r="B484" s="1965" t="s">
        <v>3282</v>
      </c>
      <c r="C484" s="1961">
        <f>VLOOKUP(B480,'LƯƠNG KT'!$D$16:$V$108,11,0)</f>
        <v>7804447</v>
      </c>
      <c r="D484" s="1964">
        <f>76.9*$C$1</f>
        <v>51366.124000000003</v>
      </c>
      <c r="E484" s="1962">
        <f t="shared" si="56"/>
        <v>400884192353.42804</v>
      </c>
      <c r="G484" s="1959" t="s">
        <v>3281</v>
      </c>
      <c r="H484" s="1965" t="s">
        <v>3282</v>
      </c>
      <c r="I484" s="1961">
        <f>VLOOKUP(H480,'LƯƠNG KT'!$D$16:$V$108,11,0)</f>
        <v>10844388</v>
      </c>
      <c r="J484" s="1964">
        <f>76.9*$C$1</f>
        <v>51366.124000000003</v>
      </c>
      <c r="K484" s="1962">
        <f t="shared" si="57"/>
        <v>557034178712.11206</v>
      </c>
    </row>
    <row r="485" spans="1:11" ht="12.75" customHeight="1">
      <c r="A485" s="1959" t="s">
        <v>374</v>
      </c>
      <c r="B485" s="1965" t="s">
        <v>3283</v>
      </c>
      <c r="C485" s="1961">
        <f>VLOOKUP(B480,'LƯƠNG KT'!$D$16:$V$108,7,0)</f>
        <v>1888.8231021771862</v>
      </c>
      <c r="D485" s="1964">
        <f>IF(C481="A",6.1,IF(C481="B",5.8,IF(C481="C",5.5,IF(C481="C.",5.5,IF(C481="D",5.2)))))*$C$1</f>
        <v>0</v>
      </c>
      <c r="E485" s="1962">
        <f t="shared" si="56"/>
        <v>0</v>
      </c>
      <c r="G485" s="1959" t="s">
        <v>374</v>
      </c>
      <c r="H485" s="1965" t="s">
        <v>3283</v>
      </c>
      <c r="I485" s="1961">
        <f>VLOOKUP(H480,'LƯƠNG KT'!$D$16:$V$108,7,0)</f>
        <v>2624.5460521926475</v>
      </c>
      <c r="J485" s="1964">
        <f>IF(I481="A",6.1,IF(I481="B",5.8,IF(I481="C",5.5,IF(I481="C.",5.5,IF(I481="D",5.2)))))*$C$1</f>
        <v>0</v>
      </c>
      <c r="K485" s="1962">
        <f t="shared" si="57"/>
        <v>0</v>
      </c>
    </row>
    <row r="486" spans="1:11" ht="12.75" customHeight="1">
      <c r="A486" s="1959" t="s">
        <v>3296</v>
      </c>
      <c r="B486" s="1965" t="s">
        <v>3285</v>
      </c>
      <c r="C486" s="1961">
        <f>VLOOKUP(B480,'LƯƠNG KT'!$D$16:$V$108,12,0)</f>
        <v>27</v>
      </c>
      <c r="D486" s="1967">
        <f>92.2*$C$1</f>
        <v>61585.912000000004</v>
      </c>
      <c r="E486" s="1962">
        <f t="shared" si="56"/>
        <v>1662819.6240000001</v>
      </c>
      <c r="G486" s="1959" t="s">
        <v>3296</v>
      </c>
      <c r="H486" s="1965" t="s">
        <v>3285</v>
      </c>
      <c r="I486" s="1961">
        <f>VLOOKUP(H480,'LƯƠNG KT'!$D$16:$V$108,12,0)</f>
        <v>27</v>
      </c>
      <c r="J486" s="1967">
        <f>92.2*$C$1</f>
        <v>61585.912000000004</v>
      </c>
      <c r="K486" s="1962">
        <f t="shared" si="57"/>
        <v>1662819.6240000001</v>
      </c>
    </row>
    <row r="487" spans="1:11" ht="12.75" customHeight="1">
      <c r="A487" s="1959" t="s">
        <v>3297</v>
      </c>
      <c r="B487" s="1965" t="s">
        <v>3287</v>
      </c>
      <c r="C487" s="1961">
        <f>VLOOKUP(B480,'LƯƠNG KT'!$D$16:$V$108,13,0)</f>
        <v>4</v>
      </c>
      <c r="D487" s="1964">
        <f>153.8*$C$1</f>
        <v>102732.24800000001</v>
      </c>
      <c r="E487" s="1962">
        <f t="shared" si="56"/>
        <v>410928.99200000003</v>
      </c>
      <c r="G487" s="1959" t="s">
        <v>3297</v>
      </c>
      <c r="H487" s="1965" t="s">
        <v>3287</v>
      </c>
      <c r="I487" s="1961">
        <f>VLOOKUP(H480,'LƯƠNG KT'!$D$16:$V$108,13,0)</f>
        <v>4</v>
      </c>
      <c r="J487" s="1964">
        <f>153.8*$C$1</f>
        <v>102732.24800000001</v>
      </c>
      <c r="K487" s="1962">
        <f t="shared" si="57"/>
        <v>410928.99200000003</v>
      </c>
    </row>
    <row r="488" spans="1:11" ht="12.75" customHeight="1">
      <c r="A488" s="1959" t="s">
        <v>3354</v>
      </c>
      <c r="B488" s="1965" t="s">
        <v>3288</v>
      </c>
      <c r="C488" s="1961">
        <f>VLOOKUP(B480,'LƯƠNG KT'!$D$16:$V$108,14,0)</f>
        <v>0</v>
      </c>
      <c r="D488" s="1964">
        <v>100000</v>
      </c>
      <c r="E488" s="1962">
        <f>C488*D488</f>
        <v>0</v>
      </c>
      <c r="G488" s="1959" t="s">
        <v>3354</v>
      </c>
      <c r="H488" s="1965" t="s">
        <v>3288</v>
      </c>
      <c r="I488" s="1961">
        <f>VLOOKUP(H480,'LƯƠNG KT'!$D$16:$V$108,14,0)</f>
        <v>0</v>
      </c>
      <c r="J488" s="1964">
        <v>100000</v>
      </c>
      <c r="K488" s="1962">
        <f>I488*J488</f>
        <v>0</v>
      </c>
    </row>
    <row r="489" spans="1:11" ht="12.75" customHeight="1">
      <c r="A489" s="1959" t="s">
        <v>3355</v>
      </c>
      <c r="B489" s="1965" t="s">
        <v>3288</v>
      </c>
      <c r="C489" s="1961">
        <f>VLOOKUP(B480,'LƯƠNG KT'!$D$16:$V$108,17,0)</f>
        <v>0</v>
      </c>
      <c r="D489" s="1964">
        <v>20000</v>
      </c>
      <c r="E489" s="1962">
        <f>C489*D489</f>
        <v>0</v>
      </c>
      <c r="G489" s="1959" t="s">
        <v>3355</v>
      </c>
      <c r="H489" s="1965" t="s">
        <v>3288</v>
      </c>
      <c r="I489" s="1961">
        <f>VLOOKUP(H480,'LƯƠNG KT'!$D$16:$V$108,17,0)</f>
        <v>0</v>
      </c>
      <c r="J489" s="1964">
        <v>20000</v>
      </c>
      <c r="K489" s="1962">
        <f>I489*J489</f>
        <v>0</v>
      </c>
    </row>
    <row r="490" spans="1:11" ht="12.75" customHeight="1">
      <c r="A490" s="1959" t="s">
        <v>3289</v>
      </c>
      <c r="B490" s="1965" t="s">
        <v>3290</v>
      </c>
      <c r="C490" s="1966"/>
      <c r="D490" s="1964"/>
      <c r="E490" s="1962"/>
      <c r="G490" s="1959" t="s">
        <v>3289</v>
      </c>
      <c r="H490" s="1965" t="s">
        <v>3290</v>
      </c>
      <c r="I490" s="1966"/>
      <c r="J490" s="1964"/>
      <c r="K490" s="1962"/>
    </row>
    <row r="491" spans="1:11" ht="12.75" customHeight="1">
      <c r="A491" s="1968" t="s">
        <v>377</v>
      </c>
      <c r="B491" s="1969" t="s">
        <v>3291</v>
      </c>
      <c r="C491" s="1970"/>
      <c r="D491" s="1971"/>
      <c r="E491" s="1970"/>
      <c r="G491" s="1968" t="s">
        <v>377</v>
      </c>
      <c r="H491" s="1969" t="s">
        <v>3291</v>
      </c>
      <c r="I491" s="1970"/>
      <c r="J491" s="1971"/>
      <c r="K491" s="1970"/>
    </row>
    <row r="492" spans="1:11" ht="12.75" customHeight="1">
      <c r="A492" s="1972" t="s">
        <v>379</v>
      </c>
      <c r="B492" s="1973" t="s">
        <v>3292</v>
      </c>
      <c r="C492" s="1970"/>
      <c r="D492" s="1970"/>
      <c r="E492" s="1970"/>
      <c r="G492" s="1972" t="s">
        <v>379</v>
      </c>
      <c r="H492" s="1973" t="s">
        <v>3292</v>
      </c>
      <c r="I492" s="1970"/>
      <c r="J492" s="1970"/>
      <c r="K492" s="1970"/>
    </row>
    <row r="493" spans="1:11" ht="12.75" customHeight="1">
      <c r="A493" s="1972" t="s">
        <v>381</v>
      </c>
      <c r="B493" s="1974" t="s">
        <v>3293</v>
      </c>
      <c r="C493" s="1970"/>
      <c r="D493" s="1970"/>
      <c r="E493" s="1962">
        <f>SUM(E492)</f>
        <v>0</v>
      </c>
      <c r="G493" s="1972" t="s">
        <v>381</v>
      </c>
      <c r="H493" s="1974" t="s">
        <v>3293</v>
      </c>
      <c r="I493" s="1970"/>
      <c r="J493" s="1970"/>
      <c r="K493" s="1962">
        <f>SUM(K492)</f>
        <v>0</v>
      </c>
    </row>
    <row r="494" spans="1:11" ht="12.75" customHeight="1">
      <c r="A494" s="1975" t="s">
        <v>383</v>
      </c>
      <c r="B494" s="1976" t="s">
        <v>3294</v>
      </c>
      <c r="C494" s="1977"/>
      <c r="D494" s="1977"/>
      <c r="E494" s="1978" t="e">
        <f>(E482+E483+E484+E485+E486+E487+E488+E489+E490)-E493</f>
        <v>#VALUE!</v>
      </c>
      <c r="G494" s="1975" t="s">
        <v>383</v>
      </c>
      <c r="H494" s="1976" t="s">
        <v>3294</v>
      </c>
      <c r="I494" s="1977"/>
      <c r="J494" s="1977"/>
      <c r="K494" s="1978" t="e">
        <f>(K482+K483+K484+K485+K486+K487+K488+K489+K490)-K493</f>
        <v>#VALUE!</v>
      </c>
    </row>
    <row r="496" spans="1:11" ht="12.75" customHeight="1">
      <c r="A496" s="2953" t="s">
        <v>3356</v>
      </c>
      <c r="B496" s="2954"/>
      <c r="C496" s="2954"/>
      <c r="D496" s="2954"/>
      <c r="E496" s="1955">
        <f>VLOOKUP(B497,'LƯƠNG KT'!$D$16:$AD$108,25,0)</f>
        <v>0</v>
      </c>
      <c r="G496" s="2953" t="s">
        <v>3356</v>
      </c>
      <c r="H496" s="2954"/>
      <c r="I496" s="2954"/>
      <c r="J496" s="2954"/>
      <c r="K496" s="1955">
        <f>VLOOKUP(H497,'LƯƠNG KT'!$D$16:$AD$108,25,0)</f>
        <v>0</v>
      </c>
    </row>
    <row r="497" spans="1:11" ht="12.75" customHeight="1">
      <c r="A497" s="1956" t="s">
        <v>356</v>
      </c>
      <c r="B497" s="1956" t="str">
        <f>'LƯƠNG KT'!$D$74</f>
        <v>N. Lắt Đa</v>
      </c>
      <c r="C497" s="1957"/>
      <c r="D497" s="1958" t="s">
        <v>2357</v>
      </c>
      <c r="E497" s="1958" t="s">
        <v>2156</v>
      </c>
      <c r="G497" s="1956" t="s">
        <v>356</v>
      </c>
      <c r="H497" s="1956" t="str">
        <f>'LƯƠNG KT'!$D$75</f>
        <v>N. Tieng Na</v>
      </c>
      <c r="I497" s="1957"/>
      <c r="J497" s="1958" t="s">
        <v>2357</v>
      </c>
      <c r="K497" s="1958" t="s">
        <v>2156</v>
      </c>
    </row>
    <row r="498" spans="1:11" ht="12.75" customHeight="1">
      <c r="A498" s="1959" t="s">
        <v>3005</v>
      </c>
      <c r="B498" s="1960" t="s">
        <v>3278</v>
      </c>
      <c r="C498" s="1961">
        <f>VLOOKUP(B497,'LƯƠNG KT'!$D$16:$M$108,8,0)</f>
        <v>346.4573997724865</v>
      </c>
      <c r="D498" s="1962"/>
      <c r="E498" s="1962"/>
      <c r="G498" s="1959" t="s">
        <v>3005</v>
      </c>
      <c r="H498" s="1960" t="s">
        <v>3278</v>
      </c>
      <c r="I498" s="1961">
        <f>VLOOKUP(H497,'LƯƠNG KT'!$D$16:$M$108,8,0)</f>
        <v>254.11625478409044</v>
      </c>
      <c r="J498" s="1962"/>
      <c r="K498" s="1962"/>
    </row>
    <row r="499" spans="1:11" ht="12.75" customHeight="1">
      <c r="A499" s="1959" t="s">
        <v>359</v>
      </c>
      <c r="B499" s="1963" t="s">
        <v>2090</v>
      </c>
      <c r="C499" s="1961">
        <f>VLOOKUP(B497,'LƯƠNG KT'!$D$16:$V$108,3,0)</f>
        <v>0</v>
      </c>
      <c r="D499" s="1964">
        <v>25000</v>
      </c>
      <c r="E499" s="1962">
        <f>C499*D499</f>
        <v>0</v>
      </c>
      <c r="G499" s="1959" t="s">
        <v>359</v>
      </c>
      <c r="H499" s="1963" t="s">
        <v>2090</v>
      </c>
      <c r="I499" s="1961">
        <f>VLOOKUP(H497,'LƯƠNG KT'!$D$16:$V$108,3,0)</f>
        <v>0</v>
      </c>
      <c r="J499" s="1964">
        <v>25000</v>
      </c>
      <c r="K499" s="1962">
        <f>I499*J499</f>
        <v>0</v>
      </c>
    </row>
    <row r="500" spans="1:11" ht="12.75" customHeight="1">
      <c r="A500" s="1959" t="s">
        <v>3279</v>
      </c>
      <c r="B500" s="1965" t="s">
        <v>3280</v>
      </c>
      <c r="C500" s="1961" t="str">
        <f>VLOOKUP(B497,'LƯƠNG KT'!$D$16:$V$108,10,0)</f>
        <v>A</v>
      </c>
      <c r="D500" s="1967">
        <f>46.1*$C$1</f>
        <v>30792.956000000002</v>
      </c>
      <c r="E500" s="1962" t="e">
        <f t="shared" ref="E500:E504" si="58">C500*D500</f>
        <v>#VALUE!</v>
      </c>
      <c r="G500" s="1959" t="s">
        <v>3279</v>
      </c>
      <c r="H500" s="1965" t="s">
        <v>3280</v>
      </c>
      <c r="I500" s="1961" t="str">
        <f>VLOOKUP(H497,'LƯƠNG KT'!$D$16:$V$108,10,0)</f>
        <v>A</v>
      </c>
      <c r="J500" s="1967">
        <f>46.1*$C$1</f>
        <v>30792.956000000002</v>
      </c>
      <c r="K500" s="1962" t="e">
        <f t="shared" ref="K500:K504" si="59">I500*J500</f>
        <v>#VALUE!</v>
      </c>
    </row>
    <row r="501" spans="1:11" ht="12.75" customHeight="1">
      <c r="A501" s="1959" t="s">
        <v>3281</v>
      </c>
      <c r="B501" s="1965" t="s">
        <v>3282</v>
      </c>
      <c r="C501" s="1961">
        <f>VLOOKUP(B497,'LƯƠNG KT'!$D$16:$V$108,11,0)</f>
        <v>11102546</v>
      </c>
      <c r="D501" s="1964">
        <f>76.9*$C$1</f>
        <v>51366.124000000003</v>
      </c>
      <c r="E501" s="1962">
        <f t="shared" si="58"/>
        <v>570294754551.70398</v>
      </c>
      <c r="G501" s="1959" t="s">
        <v>3281</v>
      </c>
      <c r="H501" s="1965" t="s">
        <v>3282</v>
      </c>
      <c r="I501" s="1961">
        <f>VLOOKUP(H497,'LƯƠNG KT'!$D$16:$V$108,11,0)</f>
        <v>8143389</v>
      </c>
      <c r="J501" s="1964">
        <f>76.9*$C$1</f>
        <v>51366.124000000003</v>
      </c>
      <c r="K501" s="1962">
        <f t="shared" si="59"/>
        <v>418294329154.23602</v>
      </c>
    </row>
    <row r="502" spans="1:11" ht="12.75" customHeight="1">
      <c r="A502" s="1959" t="s">
        <v>374</v>
      </c>
      <c r="B502" s="1965" t="s">
        <v>3283</v>
      </c>
      <c r="C502" s="1961">
        <f>VLOOKUP(B497,'LƯƠNG KT'!$D$16:$V$108,7,0)</f>
        <v>2687.0251242043591</v>
      </c>
      <c r="D502" s="1964">
        <f>IF(C498="A",6.1,IF(C498="B",5.8,IF(C498="C",5.5,IF(C498="C.",5.5,IF(C498="D",5.2)))))*$C$1</f>
        <v>0</v>
      </c>
      <c r="E502" s="1962">
        <f t="shared" si="58"/>
        <v>0</v>
      </c>
      <c r="G502" s="1959" t="s">
        <v>374</v>
      </c>
      <c r="H502" s="1965" t="s">
        <v>3283</v>
      </c>
      <c r="I502" s="1961">
        <f>VLOOKUP(H497,'LƯƠNG KT'!$D$16:$V$108,7,0)</f>
        <v>1970.8534484238553</v>
      </c>
      <c r="J502" s="1964">
        <f>IF(I498="A",6.1,IF(I498="B",5.8,IF(I498="C",5.5,IF(I498="C.",5.5,IF(I498="D",5.2)))))*$C$1</f>
        <v>0</v>
      </c>
      <c r="K502" s="1962">
        <f t="shared" si="59"/>
        <v>0</v>
      </c>
    </row>
    <row r="503" spans="1:11" ht="12.75" customHeight="1">
      <c r="A503" s="1959" t="s">
        <v>3296</v>
      </c>
      <c r="B503" s="1965" t="s">
        <v>3285</v>
      </c>
      <c r="C503" s="1961">
        <f>VLOOKUP(B497,'LƯƠNG KT'!$D$16:$V$108,12,0)</f>
        <v>27</v>
      </c>
      <c r="D503" s="1967">
        <f>92.2*$C$1</f>
        <v>61585.912000000004</v>
      </c>
      <c r="E503" s="1962">
        <f t="shared" si="58"/>
        <v>1662819.6240000001</v>
      </c>
      <c r="G503" s="1959" t="s">
        <v>3296</v>
      </c>
      <c r="H503" s="1965" t="s">
        <v>3285</v>
      </c>
      <c r="I503" s="1961">
        <f>VLOOKUP(H497,'LƯƠNG KT'!$D$16:$V$108,12,0)</f>
        <v>27</v>
      </c>
      <c r="J503" s="1967">
        <f>92.2*$C$1</f>
        <v>61585.912000000004</v>
      </c>
      <c r="K503" s="1962">
        <f t="shared" si="59"/>
        <v>1662819.6240000001</v>
      </c>
    </row>
    <row r="504" spans="1:11" ht="12.75" customHeight="1">
      <c r="A504" s="1959" t="s">
        <v>3297</v>
      </c>
      <c r="B504" s="1965" t="s">
        <v>3287</v>
      </c>
      <c r="C504" s="1961">
        <f>VLOOKUP(B497,'LƯƠNG KT'!$D$16:$V$108,13,0)</f>
        <v>4</v>
      </c>
      <c r="D504" s="1964">
        <f>153.8*$C$1</f>
        <v>102732.24800000001</v>
      </c>
      <c r="E504" s="1962">
        <f t="shared" si="58"/>
        <v>410928.99200000003</v>
      </c>
      <c r="G504" s="1959" t="s">
        <v>3297</v>
      </c>
      <c r="H504" s="1965" t="s">
        <v>3287</v>
      </c>
      <c r="I504" s="1961">
        <f>VLOOKUP(H497,'LƯƠNG KT'!$D$16:$V$108,13,0)</f>
        <v>4</v>
      </c>
      <c r="J504" s="1964">
        <f>153.8*$C$1</f>
        <v>102732.24800000001</v>
      </c>
      <c r="K504" s="1962">
        <f t="shared" si="59"/>
        <v>410928.99200000003</v>
      </c>
    </row>
    <row r="505" spans="1:11" ht="12.75" customHeight="1">
      <c r="A505" s="1959" t="s">
        <v>3354</v>
      </c>
      <c r="B505" s="1965" t="s">
        <v>3288</v>
      </c>
      <c r="C505" s="1961">
        <f>VLOOKUP(B497,'LƯƠNG KT'!$D$16:$V$108,14,0)</f>
        <v>0</v>
      </c>
      <c r="D505" s="1964">
        <v>100000</v>
      </c>
      <c r="E505" s="1962">
        <f>C505*D505</f>
        <v>0</v>
      </c>
      <c r="G505" s="1959" t="s">
        <v>3354</v>
      </c>
      <c r="H505" s="1965" t="s">
        <v>3288</v>
      </c>
      <c r="I505" s="1961">
        <f>VLOOKUP(H497,'LƯƠNG KT'!$D$16:$V$108,14,0)</f>
        <v>0</v>
      </c>
      <c r="J505" s="1964">
        <v>100000</v>
      </c>
      <c r="K505" s="1962">
        <f>I505*J505</f>
        <v>0</v>
      </c>
    </row>
    <row r="506" spans="1:11" ht="12.75" customHeight="1">
      <c r="A506" s="1959" t="s">
        <v>3355</v>
      </c>
      <c r="B506" s="1965" t="s">
        <v>3288</v>
      </c>
      <c r="C506" s="1961">
        <f>VLOOKUP(B497,'LƯƠNG KT'!$D$16:$V$108,17,0)</f>
        <v>0</v>
      </c>
      <c r="D506" s="1964">
        <v>20000</v>
      </c>
      <c r="E506" s="1962">
        <f>C506*D506</f>
        <v>0</v>
      </c>
      <c r="G506" s="1959" t="s">
        <v>3355</v>
      </c>
      <c r="H506" s="1965" t="s">
        <v>3288</v>
      </c>
      <c r="I506" s="1961">
        <f>VLOOKUP(H497,'LƯƠNG KT'!$D$16:$V$108,17,0)</f>
        <v>0</v>
      </c>
      <c r="J506" s="1964">
        <v>20000</v>
      </c>
      <c r="K506" s="1962">
        <f>I506*J506</f>
        <v>0</v>
      </c>
    </row>
    <row r="507" spans="1:11" ht="12.75" customHeight="1">
      <c r="A507" s="1959" t="s">
        <v>3289</v>
      </c>
      <c r="B507" s="1965" t="s">
        <v>3290</v>
      </c>
      <c r="C507" s="1966"/>
      <c r="D507" s="1964"/>
      <c r="E507" s="1962"/>
      <c r="G507" s="1959" t="s">
        <v>3289</v>
      </c>
      <c r="H507" s="1965" t="s">
        <v>3290</v>
      </c>
      <c r="I507" s="1966"/>
      <c r="J507" s="1964"/>
      <c r="K507" s="1962"/>
    </row>
    <row r="508" spans="1:11" ht="12.75" customHeight="1">
      <c r="A508" s="1968" t="s">
        <v>377</v>
      </c>
      <c r="B508" s="1969" t="s">
        <v>3291</v>
      </c>
      <c r="C508" s="1970"/>
      <c r="D508" s="1971"/>
      <c r="E508" s="1970"/>
      <c r="G508" s="1968" t="s">
        <v>377</v>
      </c>
      <c r="H508" s="1969" t="s">
        <v>3291</v>
      </c>
      <c r="I508" s="1970"/>
      <c r="J508" s="1971"/>
      <c r="K508" s="1970"/>
    </row>
    <row r="509" spans="1:11" ht="12.75" customHeight="1">
      <c r="A509" s="1972" t="s">
        <v>379</v>
      </c>
      <c r="B509" s="1973" t="s">
        <v>3292</v>
      </c>
      <c r="C509" s="1970"/>
      <c r="D509" s="1970"/>
      <c r="E509" s="1970"/>
      <c r="G509" s="1972" t="s">
        <v>379</v>
      </c>
      <c r="H509" s="1973" t="s">
        <v>3292</v>
      </c>
      <c r="I509" s="1970"/>
      <c r="J509" s="1970"/>
      <c r="K509" s="1970"/>
    </row>
    <row r="510" spans="1:11" ht="12.75" customHeight="1">
      <c r="A510" s="1972" t="s">
        <v>381</v>
      </c>
      <c r="B510" s="1974" t="s">
        <v>3293</v>
      </c>
      <c r="C510" s="1970"/>
      <c r="D510" s="1970"/>
      <c r="E510" s="1962">
        <f>SUM(E509)</f>
        <v>0</v>
      </c>
      <c r="G510" s="1972" t="s">
        <v>381</v>
      </c>
      <c r="H510" s="1974" t="s">
        <v>3293</v>
      </c>
      <c r="I510" s="1970"/>
      <c r="J510" s="1970"/>
      <c r="K510" s="1962">
        <f>SUM(K509)</f>
        <v>0</v>
      </c>
    </row>
    <row r="511" spans="1:11" ht="12.75" customHeight="1">
      <c r="A511" s="1975" t="s">
        <v>383</v>
      </c>
      <c r="B511" s="1976" t="s">
        <v>3294</v>
      </c>
      <c r="C511" s="1977"/>
      <c r="D511" s="1977"/>
      <c r="E511" s="1978" t="e">
        <f>(E499+E500+E501+E502+E503+E504+E505+E506+E507)-E510</f>
        <v>#VALUE!</v>
      </c>
      <c r="G511" s="1975" t="s">
        <v>383</v>
      </c>
      <c r="H511" s="1976" t="s">
        <v>3294</v>
      </c>
      <c r="I511" s="1977"/>
      <c r="J511" s="1977"/>
      <c r="K511" s="1978" t="e">
        <f>(K499+K500+K501+K502+K503+K504+K505+K506+K507)-K510</f>
        <v>#VALUE!</v>
      </c>
    </row>
    <row r="512" spans="1:11" ht="53.25" customHeight="1"/>
    <row r="513" spans="1:11" ht="12.75" customHeight="1">
      <c r="A513" s="2953" t="s">
        <v>3356</v>
      </c>
      <c r="B513" s="2954"/>
      <c r="C513" s="2954"/>
      <c r="D513" s="2954"/>
      <c r="E513" s="1955">
        <f>VLOOKUP(B514,'LƯƠNG KT'!$D$16:$AD$108,25,0)</f>
        <v>0</v>
      </c>
      <c r="G513" s="2953" t="s">
        <v>3356</v>
      </c>
      <c r="H513" s="2954"/>
      <c r="I513" s="2954"/>
      <c r="J513" s="2954"/>
      <c r="K513" s="1955">
        <f>VLOOKUP(H514,'LƯƠNG KT'!$D$16:$AD$108,25,0)</f>
        <v>0</v>
      </c>
    </row>
    <row r="514" spans="1:11" ht="12.75" customHeight="1">
      <c r="A514" s="1956" t="s">
        <v>356</v>
      </c>
      <c r="B514" s="1956" t="str">
        <f>'LƯƠNG KT'!$D$76</f>
        <v>A Nha</v>
      </c>
      <c r="C514" s="1957"/>
      <c r="D514" s="1958" t="s">
        <v>2357</v>
      </c>
      <c r="E514" s="1958" t="s">
        <v>2156</v>
      </c>
      <c r="G514" s="1956" t="s">
        <v>356</v>
      </c>
      <c r="H514" s="1956" t="str">
        <f>'LƯƠNG KT'!$D$77</f>
        <v>T. Un</v>
      </c>
      <c r="I514" s="1957"/>
      <c r="J514" s="1958" t="s">
        <v>2357</v>
      </c>
      <c r="K514" s="1958" t="s">
        <v>2156</v>
      </c>
    </row>
    <row r="515" spans="1:11" ht="12.75" customHeight="1">
      <c r="A515" s="1959" t="s">
        <v>3005</v>
      </c>
      <c r="B515" s="1960" t="s">
        <v>3278</v>
      </c>
      <c r="C515" s="1961">
        <f>VLOOKUP(B514,'LƯƠNG KT'!$D$16:$M$108,8,0)</f>
        <v>169.72138043267805</v>
      </c>
      <c r="D515" s="1962"/>
      <c r="E515" s="1962"/>
      <c r="G515" s="1959" t="s">
        <v>3005</v>
      </c>
      <c r="H515" s="1960" t="s">
        <v>3278</v>
      </c>
      <c r="I515" s="1961">
        <f>VLOOKUP(H514,'LƯƠNG KT'!$D$16:$M$108,8,0)</f>
        <v>313.90509109408458</v>
      </c>
      <c r="J515" s="1962"/>
      <c r="K515" s="1962"/>
    </row>
    <row r="516" spans="1:11" ht="12.75" customHeight="1">
      <c r="A516" s="1959" t="s">
        <v>359</v>
      </c>
      <c r="B516" s="1963" t="s">
        <v>2090</v>
      </c>
      <c r="C516" s="1961">
        <f>VLOOKUP(B514,'LƯƠNG KT'!$D$16:$V$108,3,0)</f>
        <v>0</v>
      </c>
      <c r="D516" s="1964">
        <v>25000</v>
      </c>
      <c r="E516" s="1962">
        <f>C516*D516</f>
        <v>0</v>
      </c>
      <c r="G516" s="1959" t="s">
        <v>359</v>
      </c>
      <c r="H516" s="1963" t="s">
        <v>2090</v>
      </c>
      <c r="I516" s="1961">
        <f>VLOOKUP(H514,'LƯƠNG KT'!$D$16:$V$108,3,0)</f>
        <v>0</v>
      </c>
      <c r="J516" s="1964">
        <v>25000</v>
      </c>
      <c r="K516" s="1962">
        <f>I516*J516</f>
        <v>0</v>
      </c>
    </row>
    <row r="517" spans="1:11" ht="12.75" customHeight="1">
      <c r="A517" s="1959" t="s">
        <v>3279</v>
      </c>
      <c r="B517" s="1965" t="s">
        <v>3280</v>
      </c>
      <c r="C517" s="1961" t="str">
        <f>VLOOKUP(B514,'LƯƠNG KT'!$D$16:$V$108,10,0)</f>
        <v>B</v>
      </c>
      <c r="D517" s="1967">
        <f>46.1*$C$1</f>
        <v>30792.956000000002</v>
      </c>
      <c r="E517" s="1962" t="e">
        <f t="shared" ref="E517:E521" si="60">C517*D517</f>
        <v>#VALUE!</v>
      </c>
      <c r="G517" s="1959" t="s">
        <v>3279</v>
      </c>
      <c r="H517" s="1965" t="s">
        <v>3280</v>
      </c>
      <c r="I517" s="1961" t="str">
        <f>VLOOKUP(H514,'LƯƠNG KT'!$D$16:$V$108,10,0)</f>
        <v>B</v>
      </c>
      <c r="J517" s="1967">
        <f>46.1*$C$1</f>
        <v>30792.956000000002</v>
      </c>
      <c r="K517" s="1962" t="e">
        <f t="shared" ref="K517:K521" si="61">I517*J517</f>
        <v>#VALUE!</v>
      </c>
    </row>
    <row r="518" spans="1:11" ht="12.75" customHeight="1">
      <c r="A518" s="1959" t="s">
        <v>3281</v>
      </c>
      <c r="B518" s="1965" t="s">
        <v>3282</v>
      </c>
      <c r="C518" s="1961">
        <f>VLOOKUP(B514,'LƯƠNG KT'!$D$16:$V$108,11,0)</f>
        <v>5171392</v>
      </c>
      <c r="D518" s="1964">
        <f>76.9*$C$1</f>
        <v>51366.124000000003</v>
      </c>
      <c r="E518" s="1962">
        <f t="shared" si="60"/>
        <v>265634362724.60803</v>
      </c>
      <c r="G518" s="1959" t="s">
        <v>3281</v>
      </c>
      <c r="H518" s="1965" t="s">
        <v>3282</v>
      </c>
      <c r="I518" s="1961">
        <f>VLOOKUP(H514,'LƯƠNG KT'!$D$16:$V$108,11,0)</f>
        <v>9564654</v>
      </c>
      <c r="J518" s="1964">
        <f>76.9*$C$1</f>
        <v>51366.124000000003</v>
      </c>
      <c r="K518" s="1962">
        <f t="shared" si="61"/>
        <v>491299203381.09601</v>
      </c>
    </row>
    <row r="519" spans="1:11" ht="12.75" customHeight="1">
      <c r="A519" s="1959" t="s">
        <v>374</v>
      </c>
      <c r="B519" s="1965" t="s">
        <v>3283</v>
      </c>
      <c r="C519" s="1961">
        <f>VLOOKUP(B514,'LƯƠNG KT'!$D$16:$V$108,7,0)</f>
        <v>1316.3107892535431</v>
      </c>
      <c r="D519" s="1964">
        <f>IF(C515="A",6.1,IF(C515="B",5.8,IF(C515="C",5.5,IF(C515="C.",5.5,IF(C515="D",5.2)))))*$C$1</f>
        <v>0</v>
      </c>
      <c r="E519" s="1962">
        <f t="shared" si="60"/>
        <v>0</v>
      </c>
      <c r="G519" s="1959" t="s">
        <v>374</v>
      </c>
      <c r="H519" s="1965" t="s">
        <v>3283</v>
      </c>
      <c r="I519" s="1961">
        <f>VLOOKUP(H514,'LƯƠNG KT'!$D$16:$V$108,7,0)</f>
        <v>2434.5586699529531</v>
      </c>
      <c r="J519" s="1964">
        <f>IF(I515="A",6.1,IF(I515="B",5.8,IF(I515="C",5.5,IF(I515="C.",5.5,IF(I515="D",5.2)))))*$C$1</f>
        <v>0</v>
      </c>
      <c r="K519" s="1962">
        <f t="shared" si="61"/>
        <v>0</v>
      </c>
    </row>
    <row r="520" spans="1:11" ht="12.75" customHeight="1">
      <c r="A520" s="1959" t="s">
        <v>3296</v>
      </c>
      <c r="B520" s="1965" t="s">
        <v>3285</v>
      </c>
      <c r="C520" s="1961">
        <f>VLOOKUP(B514,'LƯƠNG KT'!$D$16:$V$108,12,0)</f>
        <v>21</v>
      </c>
      <c r="D520" s="1967">
        <f>92.2*$C$1</f>
        <v>61585.912000000004</v>
      </c>
      <c r="E520" s="1962">
        <f t="shared" si="60"/>
        <v>1293304.152</v>
      </c>
      <c r="G520" s="1959" t="s">
        <v>3296</v>
      </c>
      <c r="H520" s="1965" t="s">
        <v>3285</v>
      </c>
      <c r="I520" s="1961">
        <f>VLOOKUP(H514,'LƯƠNG KT'!$D$16:$V$108,12,0)</f>
        <v>27</v>
      </c>
      <c r="J520" s="1967">
        <f>92.2*$C$1</f>
        <v>61585.912000000004</v>
      </c>
      <c r="K520" s="1962">
        <f t="shared" si="61"/>
        <v>1662819.6240000001</v>
      </c>
    </row>
    <row r="521" spans="1:11" ht="12.75" customHeight="1">
      <c r="A521" s="1959" t="s">
        <v>3297</v>
      </c>
      <c r="B521" s="1965" t="s">
        <v>3287</v>
      </c>
      <c r="C521" s="1961">
        <f>VLOOKUP(B514,'LƯƠNG KT'!$D$16:$V$108,13,0)</f>
        <v>4</v>
      </c>
      <c r="D521" s="1964">
        <f>153.8*$C$1</f>
        <v>102732.24800000001</v>
      </c>
      <c r="E521" s="1962">
        <f t="shared" si="60"/>
        <v>410928.99200000003</v>
      </c>
      <c r="G521" s="1959" t="s">
        <v>3297</v>
      </c>
      <c r="H521" s="1965" t="s">
        <v>3287</v>
      </c>
      <c r="I521" s="1961">
        <f>VLOOKUP(H514,'LƯƠNG KT'!$D$16:$V$108,13,0)</f>
        <v>4</v>
      </c>
      <c r="J521" s="1964">
        <f>153.8*$C$1</f>
        <v>102732.24800000001</v>
      </c>
      <c r="K521" s="1962">
        <f t="shared" si="61"/>
        <v>410928.99200000003</v>
      </c>
    </row>
    <row r="522" spans="1:11" ht="12.75" customHeight="1">
      <c r="A522" s="1959" t="s">
        <v>3354</v>
      </c>
      <c r="B522" s="1965" t="s">
        <v>3288</v>
      </c>
      <c r="C522" s="1961">
        <f>VLOOKUP(B514,'LƯƠNG KT'!$D$16:$V$108,14,0)</f>
        <v>0</v>
      </c>
      <c r="D522" s="1964">
        <v>100000</v>
      </c>
      <c r="E522" s="1962">
        <f>C522*D522</f>
        <v>0</v>
      </c>
      <c r="G522" s="1959" t="s">
        <v>3354</v>
      </c>
      <c r="H522" s="1965" t="s">
        <v>3288</v>
      </c>
      <c r="I522" s="1961">
        <f>VLOOKUP(H514,'LƯƠNG KT'!$D$16:$V$108,14,0)</f>
        <v>0</v>
      </c>
      <c r="J522" s="1964">
        <v>100000</v>
      </c>
      <c r="K522" s="1962">
        <f>I522*J522</f>
        <v>0</v>
      </c>
    </row>
    <row r="523" spans="1:11" ht="12.75" customHeight="1">
      <c r="A523" s="1959" t="s">
        <v>3355</v>
      </c>
      <c r="B523" s="1965" t="s">
        <v>3288</v>
      </c>
      <c r="C523" s="1961">
        <f>VLOOKUP(B514,'LƯƠNG KT'!$D$16:$V$108,17,0)</f>
        <v>0</v>
      </c>
      <c r="D523" s="1964">
        <v>20000</v>
      </c>
      <c r="E523" s="1962">
        <f>C523*D523</f>
        <v>0</v>
      </c>
      <c r="G523" s="1959" t="s">
        <v>3355</v>
      </c>
      <c r="H523" s="1965" t="s">
        <v>3288</v>
      </c>
      <c r="I523" s="1961">
        <f>VLOOKUP(H514,'LƯƠNG KT'!$D$16:$V$108,17,0)</f>
        <v>0</v>
      </c>
      <c r="J523" s="1964">
        <v>20000</v>
      </c>
      <c r="K523" s="1962">
        <f>I523*J523</f>
        <v>0</v>
      </c>
    </row>
    <row r="524" spans="1:11" ht="12.75" customHeight="1">
      <c r="A524" s="1959" t="s">
        <v>3289</v>
      </c>
      <c r="B524" s="1965" t="s">
        <v>3290</v>
      </c>
      <c r="C524" s="1966"/>
      <c r="D524" s="1964"/>
      <c r="E524" s="1962"/>
      <c r="G524" s="1959" t="s">
        <v>3289</v>
      </c>
      <c r="H524" s="1965" t="s">
        <v>3290</v>
      </c>
      <c r="I524" s="1966"/>
      <c r="J524" s="1964"/>
      <c r="K524" s="1962"/>
    </row>
    <row r="525" spans="1:11" ht="12.75" customHeight="1">
      <c r="A525" s="1968" t="s">
        <v>377</v>
      </c>
      <c r="B525" s="1969" t="s">
        <v>3291</v>
      </c>
      <c r="C525" s="1970"/>
      <c r="D525" s="1971"/>
      <c r="E525" s="1970"/>
      <c r="G525" s="1968" t="s">
        <v>377</v>
      </c>
      <c r="H525" s="1969" t="s">
        <v>3291</v>
      </c>
      <c r="I525" s="1970"/>
      <c r="J525" s="1971"/>
      <c r="K525" s="1970"/>
    </row>
    <row r="526" spans="1:11" ht="12.75" customHeight="1">
      <c r="A526" s="1972" t="s">
        <v>379</v>
      </c>
      <c r="B526" s="1973" t="s">
        <v>3292</v>
      </c>
      <c r="C526" s="1970"/>
      <c r="D526" s="1970"/>
      <c r="E526" s="1970"/>
      <c r="G526" s="1972" t="s">
        <v>379</v>
      </c>
      <c r="H526" s="1973" t="s">
        <v>3292</v>
      </c>
      <c r="I526" s="1970"/>
      <c r="J526" s="1970"/>
      <c r="K526" s="1970"/>
    </row>
    <row r="527" spans="1:11" ht="12.75" customHeight="1">
      <c r="A527" s="1972" t="s">
        <v>381</v>
      </c>
      <c r="B527" s="1974" t="s">
        <v>3293</v>
      </c>
      <c r="C527" s="1970"/>
      <c r="D527" s="1970"/>
      <c r="E527" s="1962">
        <f>SUM(E526)</f>
        <v>0</v>
      </c>
      <c r="G527" s="1972" t="s">
        <v>381</v>
      </c>
      <c r="H527" s="1974" t="s">
        <v>3293</v>
      </c>
      <c r="I527" s="1970"/>
      <c r="J527" s="1970"/>
      <c r="K527" s="1962">
        <f>SUM(K526)</f>
        <v>0</v>
      </c>
    </row>
    <row r="528" spans="1:11" ht="12.75" customHeight="1">
      <c r="A528" s="1975" t="s">
        <v>383</v>
      </c>
      <c r="B528" s="1976" t="s">
        <v>3294</v>
      </c>
      <c r="C528" s="1977"/>
      <c r="D528" s="1977"/>
      <c r="E528" s="1978" t="e">
        <f>(E516+E517+E518+E519+E520+E521+E522+E523+E524)-E527</f>
        <v>#VALUE!</v>
      </c>
      <c r="G528" s="1975" t="s">
        <v>383</v>
      </c>
      <c r="H528" s="1976" t="s">
        <v>3294</v>
      </c>
      <c r="I528" s="1977"/>
      <c r="J528" s="1977"/>
      <c r="K528" s="1978" t="e">
        <f>(K516+K517+K518+K519+K520+K521+K522+K523+K524)-K527</f>
        <v>#VALUE!</v>
      </c>
    </row>
    <row r="530" spans="1:11" ht="12.75" customHeight="1">
      <c r="A530" s="2953" t="s">
        <v>3356</v>
      </c>
      <c r="B530" s="2954"/>
      <c r="C530" s="2954"/>
      <c r="D530" s="2954"/>
      <c r="E530" s="1955">
        <f>VLOOKUP(B531,'LƯƠNG KT'!$D$16:$AD$108,25,0)</f>
        <v>0</v>
      </c>
      <c r="G530" s="2953" t="s">
        <v>3356</v>
      </c>
      <c r="H530" s="2954"/>
      <c r="I530" s="2954"/>
      <c r="J530" s="2954"/>
      <c r="K530" s="1955">
        <f>VLOOKUP(H531,'LƯƠNG KT'!$D$16:$AD$108,25,0)</f>
        <v>0</v>
      </c>
    </row>
    <row r="531" spans="1:11" ht="12.75" customHeight="1">
      <c r="A531" s="1956" t="s">
        <v>356</v>
      </c>
      <c r="B531" s="1956" t="str">
        <f>'LƯƠNG KT'!$D$78</f>
        <v>T. Sinh</v>
      </c>
      <c r="C531" s="1957"/>
      <c r="D531" s="1958" t="s">
        <v>2357</v>
      </c>
      <c r="E531" s="1958" t="s">
        <v>2156</v>
      </c>
      <c r="G531" s="1956" t="s">
        <v>356</v>
      </c>
      <c r="H531" s="1956" t="str">
        <f>'LƯƠNG KT'!$D$79</f>
        <v>T. Khăm Công</v>
      </c>
      <c r="I531" s="1957"/>
      <c r="J531" s="1958" t="s">
        <v>2357</v>
      </c>
      <c r="K531" s="1958" t="s">
        <v>2156</v>
      </c>
    </row>
    <row r="532" spans="1:11" ht="12.75" customHeight="1">
      <c r="A532" s="1959" t="s">
        <v>3005</v>
      </c>
      <c r="B532" s="1960" t="s">
        <v>3278</v>
      </c>
      <c r="C532" s="1961">
        <f>VLOOKUP(B531,'LƯƠNG KT'!$D$16:$M$108,8,0)</f>
        <v>248.96487933666657</v>
      </c>
      <c r="D532" s="1962"/>
      <c r="E532" s="1962"/>
      <c r="G532" s="1959" t="s">
        <v>3005</v>
      </c>
      <c r="H532" s="1960" t="s">
        <v>3278</v>
      </c>
      <c r="I532" s="1961">
        <f>VLOOKUP(H531,'LƯƠNG KT'!$D$16:$M$108,8,0)</f>
        <v>233.12713992916127</v>
      </c>
      <c r="J532" s="1962"/>
      <c r="K532" s="1962"/>
    </row>
    <row r="533" spans="1:11" ht="12.75" customHeight="1">
      <c r="A533" s="1959" t="s">
        <v>359</v>
      </c>
      <c r="B533" s="1963" t="s">
        <v>2090</v>
      </c>
      <c r="C533" s="1961">
        <f>VLOOKUP(B531,'LƯƠNG KT'!$D$16:$V$108,3,0)</f>
        <v>0</v>
      </c>
      <c r="D533" s="1964">
        <v>25000</v>
      </c>
      <c r="E533" s="1962">
        <f>C533*D533</f>
        <v>0</v>
      </c>
      <c r="G533" s="1959" t="s">
        <v>359</v>
      </c>
      <c r="H533" s="1963" t="s">
        <v>2090</v>
      </c>
      <c r="I533" s="1961">
        <f>VLOOKUP(H531,'LƯƠNG KT'!$D$16:$V$108,3,0)</f>
        <v>0</v>
      </c>
      <c r="J533" s="1964">
        <v>25000</v>
      </c>
      <c r="K533" s="1962">
        <f>I533*J533</f>
        <v>0</v>
      </c>
    </row>
    <row r="534" spans="1:11" ht="12.75" customHeight="1">
      <c r="A534" s="1959" t="s">
        <v>3279</v>
      </c>
      <c r="B534" s="1965" t="s">
        <v>3280</v>
      </c>
      <c r="C534" s="1961" t="str">
        <f>VLOOKUP(B531,'LƯƠNG KT'!$D$16:$V$108,10,0)</f>
        <v>A</v>
      </c>
      <c r="D534" s="1967">
        <f>46.1*$C$1</f>
        <v>30792.956000000002</v>
      </c>
      <c r="E534" s="1962" t="e">
        <f t="shared" ref="E534:E538" si="62">C534*D534</f>
        <v>#VALUE!</v>
      </c>
      <c r="G534" s="1959" t="s">
        <v>3279</v>
      </c>
      <c r="H534" s="1965" t="s">
        <v>3280</v>
      </c>
      <c r="I534" s="1961" t="str">
        <f>VLOOKUP(H531,'LƯƠNG KT'!$D$16:$V$108,10,0)</f>
        <v>B</v>
      </c>
      <c r="J534" s="1967">
        <f>46.1*$C$1</f>
        <v>30792.956000000002</v>
      </c>
      <c r="K534" s="1962" t="e">
        <f t="shared" ref="K534:K538" si="63">I534*J534</f>
        <v>#VALUE!</v>
      </c>
    </row>
    <row r="535" spans="1:11" ht="12.75" customHeight="1">
      <c r="A535" s="1959" t="s">
        <v>3281</v>
      </c>
      <c r="B535" s="1965" t="s">
        <v>3282</v>
      </c>
      <c r="C535" s="1961">
        <f>VLOOKUP(B531,'LƯƠNG KT'!$D$16:$V$108,11,0)</f>
        <v>7978309</v>
      </c>
      <c r="D535" s="1964">
        <f>76.9*$C$1</f>
        <v>51366.124000000003</v>
      </c>
      <c r="E535" s="1962">
        <f t="shared" si="62"/>
        <v>409814809404.31604</v>
      </c>
      <c r="G535" s="1959" t="s">
        <v>3281</v>
      </c>
      <c r="H535" s="1965" t="s">
        <v>3282</v>
      </c>
      <c r="I535" s="1961">
        <f>VLOOKUP(H531,'LƯƠNG KT'!$D$16:$V$108,11,0)</f>
        <v>7103359</v>
      </c>
      <c r="J535" s="1964">
        <f>76.9*$C$1</f>
        <v>51366.124000000003</v>
      </c>
      <c r="K535" s="1962">
        <f t="shared" si="63"/>
        <v>364872019210.51605</v>
      </c>
    </row>
    <row r="536" spans="1:11" ht="12.75" customHeight="1">
      <c r="A536" s="1959" t="s">
        <v>374</v>
      </c>
      <c r="B536" s="1965" t="s">
        <v>3283</v>
      </c>
      <c r="C536" s="1961">
        <f>VLOOKUP(B531,'LƯƠNG KT'!$D$16:$V$108,7,0)</f>
        <v>1930.9008445524205</v>
      </c>
      <c r="D536" s="1964">
        <f>IF(C532="A",6.1,IF(C532="B",5.8,IF(C532="C",5.5,IF(C532="C.",5.5,IF(C532="D",5.2)))))*$C$1</f>
        <v>0</v>
      </c>
      <c r="E536" s="1962">
        <f t="shared" si="62"/>
        <v>0</v>
      </c>
      <c r="G536" s="1959" t="s">
        <v>374</v>
      </c>
      <c r="H536" s="1965" t="s">
        <v>3283</v>
      </c>
      <c r="I536" s="1961">
        <f>VLOOKUP(H531,'LƯƠNG KT'!$D$16:$V$108,7,0)</f>
        <v>1808.0678390327971</v>
      </c>
      <c r="J536" s="1964">
        <f>IF(I532="A",6.1,IF(I532="B",5.8,IF(I532="C",5.5,IF(I532="C.",5.5,IF(I532="D",5.2)))))*$C$1</f>
        <v>0</v>
      </c>
      <c r="K536" s="1962">
        <f t="shared" si="63"/>
        <v>0</v>
      </c>
    </row>
    <row r="537" spans="1:11" ht="12.75" customHeight="1">
      <c r="A537" s="1959" t="s">
        <v>3296</v>
      </c>
      <c r="B537" s="1965" t="s">
        <v>3285</v>
      </c>
      <c r="C537" s="1961">
        <f>VLOOKUP(B531,'LƯƠNG KT'!$D$16:$V$108,12,0)</f>
        <v>26</v>
      </c>
      <c r="D537" s="1967">
        <f>92.2*$C$1</f>
        <v>61585.912000000004</v>
      </c>
      <c r="E537" s="1962">
        <f t="shared" si="62"/>
        <v>1601233.7120000001</v>
      </c>
      <c r="G537" s="1959" t="s">
        <v>3296</v>
      </c>
      <c r="H537" s="1965" t="s">
        <v>3285</v>
      </c>
      <c r="I537" s="1961">
        <f>VLOOKUP(H531,'LƯƠNG KT'!$D$16:$V$108,12,0)</f>
        <v>20</v>
      </c>
      <c r="J537" s="1967">
        <f>92.2*$C$1</f>
        <v>61585.912000000004</v>
      </c>
      <c r="K537" s="1962">
        <f t="shared" si="63"/>
        <v>1231718.24</v>
      </c>
    </row>
    <row r="538" spans="1:11" ht="12.75" customHeight="1">
      <c r="A538" s="1959" t="s">
        <v>3297</v>
      </c>
      <c r="B538" s="1965" t="s">
        <v>3287</v>
      </c>
      <c r="C538" s="1961">
        <f>VLOOKUP(B531,'LƯƠNG KT'!$D$16:$V$108,13,0)</f>
        <v>4</v>
      </c>
      <c r="D538" s="1964">
        <f>153.8*$C$1</f>
        <v>102732.24800000001</v>
      </c>
      <c r="E538" s="1962">
        <f t="shared" si="62"/>
        <v>410928.99200000003</v>
      </c>
      <c r="G538" s="1959" t="s">
        <v>3297</v>
      </c>
      <c r="H538" s="1965" t="s">
        <v>3287</v>
      </c>
      <c r="I538" s="1961">
        <f>VLOOKUP(H531,'LƯƠNG KT'!$D$16:$V$108,13,0)</f>
        <v>4</v>
      </c>
      <c r="J538" s="1964">
        <f>153.8*$C$1</f>
        <v>102732.24800000001</v>
      </c>
      <c r="K538" s="1962">
        <f t="shared" si="63"/>
        <v>410928.99200000003</v>
      </c>
    </row>
    <row r="539" spans="1:11" ht="12.75" customHeight="1">
      <c r="A539" s="1959" t="s">
        <v>3354</v>
      </c>
      <c r="B539" s="1965" t="s">
        <v>3288</v>
      </c>
      <c r="C539" s="1961">
        <f>VLOOKUP(B531,'LƯƠNG KT'!$D$16:$V$108,14,0)</f>
        <v>0</v>
      </c>
      <c r="D539" s="1964">
        <v>100000</v>
      </c>
      <c r="E539" s="1962">
        <f>C539*D539</f>
        <v>0</v>
      </c>
      <c r="G539" s="1959" t="s">
        <v>3354</v>
      </c>
      <c r="H539" s="1965" t="s">
        <v>3288</v>
      </c>
      <c r="I539" s="1961">
        <f>VLOOKUP(H531,'LƯƠNG KT'!$D$16:$V$108,14,0)</f>
        <v>0</v>
      </c>
      <c r="J539" s="1964">
        <v>100000</v>
      </c>
      <c r="K539" s="1962">
        <f>I539*J539</f>
        <v>0</v>
      </c>
    </row>
    <row r="540" spans="1:11" ht="12.75" customHeight="1">
      <c r="A540" s="1959" t="s">
        <v>3355</v>
      </c>
      <c r="B540" s="1965" t="s">
        <v>3288</v>
      </c>
      <c r="C540" s="1961">
        <f>VLOOKUP(B531,'LƯƠNG KT'!$D$16:$V$108,17,0)</f>
        <v>0</v>
      </c>
      <c r="D540" s="1964">
        <v>20000</v>
      </c>
      <c r="E540" s="1962">
        <f>C540*D540</f>
        <v>0</v>
      </c>
      <c r="G540" s="1959" t="s">
        <v>3355</v>
      </c>
      <c r="H540" s="1965" t="s">
        <v>3288</v>
      </c>
      <c r="I540" s="1961">
        <f>VLOOKUP(H531,'LƯƠNG KT'!$D$16:$V$108,17,0)</f>
        <v>0</v>
      </c>
      <c r="J540" s="1964">
        <v>20000</v>
      </c>
      <c r="K540" s="1962">
        <f>I540*J540</f>
        <v>0</v>
      </c>
    </row>
    <row r="541" spans="1:11" ht="12.75" customHeight="1">
      <c r="A541" s="1959" t="s">
        <v>3289</v>
      </c>
      <c r="B541" s="1965" t="s">
        <v>3290</v>
      </c>
      <c r="C541" s="1966"/>
      <c r="D541" s="1964"/>
      <c r="E541" s="1962"/>
      <c r="G541" s="1959" t="s">
        <v>3289</v>
      </c>
      <c r="H541" s="1965" t="s">
        <v>3290</v>
      </c>
      <c r="I541" s="1966"/>
      <c r="J541" s="1964"/>
      <c r="K541" s="1962"/>
    </row>
    <row r="542" spans="1:11" ht="12.75" customHeight="1">
      <c r="A542" s="1968" t="s">
        <v>377</v>
      </c>
      <c r="B542" s="1969" t="s">
        <v>3291</v>
      </c>
      <c r="C542" s="1970"/>
      <c r="D542" s="1971"/>
      <c r="E542" s="1970"/>
      <c r="G542" s="1968" t="s">
        <v>377</v>
      </c>
      <c r="H542" s="1969" t="s">
        <v>3291</v>
      </c>
      <c r="I542" s="1970"/>
      <c r="J542" s="1971"/>
      <c r="K542" s="1970"/>
    </row>
    <row r="543" spans="1:11" ht="12.75" customHeight="1">
      <c r="A543" s="1972" t="s">
        <v>379</v>
      </c>
      <c r="B543" s="1973" t="s">
        <v>3292</v>
      </c>
      <c r="C543" s="1970"/>
      <c r="D543" s="1970"/>
      <c r="E543" s="1970"/>
      <c r="G543" s="1972" t="s">
        <v>379</v>
      </c>
      <c r="H543" s="1973" t="s">
        <v>3292</v>
      </c>
      <c r="I543" s="1970"/>
      <c r="J543" s="1970"/>
      <c r="K543" s="1970"/>
    </row>
    <row r="544" spans="1:11" ht="12.75" customHeight="1">
      <c r="A544" s="1972" t="s">
        <v>381</v>
      </c>
      <c r="B544" s="1974" t="s">
        <v>3293</v>
      </c>
      <c r="C544" s="1970"/>
      <c r="D544" s="1970"/>
      <c r="E544" s="1962">
        <f>SUM(E543)</f>
        <v>0</v>
      </c>
      <c r="G544" s="1972" t="s">
        <v>381</v>
      </c>
      <c r="H544" s="1974" t="s">
        <v>3293</v>
      </c>
      <c r="I544" s="1970"/>
      <c r="J544" s="1970"/>
      <c r="K544" s="1962">
        <f>SUM(K543)</f>
        <v>0</v>
      </c>
    </row>
    <row r="545" spans="1:11" ht="12.75" customHeight="1">
      <c r="A545" s="1975" t="s">
        <v>383</v>
      </c>
      <c r="B545" s="1976" t="s">
        <v>3294</v>
      </c>
      <c r="C545" s="1977"/>
      <c r="D545" s="1977"/>
      <c r="E545" s="1978" t="e">
        <f>(E533+E534+E535+E536+E537+E538+E539+E540+E541)-E544</f>
        <v>#VALUE!</v>
      </c>
      <c r="G545" s="1975" t="s">
        <v>383</v>
      </c>
      <c r="H545" s="1976" t="s">
        <v>3294</v>
      </c>
      <c r="I545" s="1977"/>
      <c r="J545" s="1977"/>
      <c r="K545" s="1978" t="e">
        <f>(K533+K534+K535+K536+K537+K538+K539+K540+K541)-K544</f>
        <v>#VALUE!</v>
      </c>
    </row>
    <row r="547" spans="1:11" ht="12.75" customHeight="1">
      <c r="A547" s="2953" t="s">
        <v>3356</v>
      </c>
      <c r="B547" s="2954"/>
      <c r="C547" s="2954"/>
      <c r="D547" s="2954"/>
      <c r="E547" s="1955">
        <f>VLOOKUP(B548,'LƯƠNG KT'!$D$16:$AD$108,25,0)</f>
        <v>0</v>
      </c>
      <c r="G547" s="2953" t="s">
        <v>3356</v>
      </c>
      <c r="H547" s="2954"/>
      <c r="I547" s="2954"/>
      <c r="J547" s="2954"/>
      <c r="K547" s="1955">
        <f>VLOOKUP(H548,'LƯƠNG KT'!$D$16:$AD$108,25,0)</f>
        <v>0</v>
      </c>
    </row>
    <row r="548" spans="1:11" ht="12.75" customHeight="1">
      <c r="A548" s="1956" t="s">
        <v>356</v>
      </c>
      <c r="B548" s="1956" t="str">
        <f>'LƯƠNG KT'!$D$80</f>
        <v>Un Seng</v>
      </c>
      <c r="C548" s="1957"/>
      <c r="D548" s="1958" t="s">
        <v>2357</v>
      </c>
      <c r="E548" s="1958" t="s">
        <v>2156</v>
      </c>
      <c r="G548" s="1956" t="s">
        <v>356</v>
      </c>
      <c r="H548" s="1956" t="str">
        <f>'LƯƠNG KT'!$D$81</f>
        <v>N . Lạ</v>
      </c>
      <c r="I548" s="1957"/>
      <c r="J548" s="1958" t="s">
        <v>2357</v>
      </c>
      <c r="K548" s="1958" t="s">
        <v>2156</v>
      </c>
    </row>
    <row r="549" spans="1:11" ht="12.75" customHeight="1">
      <c r="A549" s="1959" t="s">
        <v>3005</v>
      </c>
      <c r="B549" s="1960" t="s">
        <v>3278</v>
      </c>
      <c r="C549" s="1961">
        <f>VLOOKUP(B548,'LƯƠNG KT'!$D$16:$M$108,8,0)</f>
        <v>206.82224402742233</v>
      </c>
      <c r="D549" s="1962"/>
      <c r="E549" s="1962"/>
      <c r="G549" s="1959" t="s">
        <v>3005</v>
      </c>
      <c r="H549" s="1960" t="s">
        <v>3278</v>
      </c>
      <c r="I549" s="1961">
        <f>VLOOKUP(H548,'LƯƠNG KT'!$D$16:$M$108,8,0)</f>
        <v>274.94096403963374</v>
      </c>
      <c r="J549" s="1962"/>
      <c r="K549" s="1962"/>
    </row>
    <row r="550" spans="1:11" ht="12.75" customHeight="1">
      <c r="A550" s="1959" t="s">
        <v>359</v>
      </c>
      <c r="B550" s="1963" t="s">
        <v>2090</v>
      </c>
      <c r="C550" s="1961">
        <f>VLOOKUP(B548,'LƯƠNG KT'!$D$16:$V$108,3,0)</f>
        <v>0</v>
      </c>
      <c r="D550" s="1964">
        <v>25000</v>
      </c>
      <c r="E550" s="1962">
        <f>C550*D550</f>
        <v>0</v>
      </c>
      <c r="G550" s="1959" t="s">
        <v>359</v>
      </c>
      <c r="H550" s="1963" t="s">
        <v>2090</v>
      </c>
      <c r="I550" s="1961">
        <f>VLOOKUP(H548,'LƯƠNG KT'!$D$16:$V$108,3,0)</f>
        <v>0</v>
      </c>
      <c r="J550" s="1964">
        <v>25000</v>
      </c>
      <c r="K550" s="1962">
        <f>I550*J550</f>
        <v>0</v>
      </c>
    </row>
    <row r="551" spans="1:11" ht="12.75" customHeight="1">
      <c r="A551" s="1959" t="s">
        <v>3279</v>
      </c>
      <c r="B551" s="1965" t="s">
        <v>3280</v>
      </c>
      <c r="C551" s="1961" t="str">
        <f>VLOOKUP(B548,'LƯƠNG KT'!$D$16:$V$108,10,0)</f>
        <v>B</v>
      </c>
      <c r="D551" s="1967">
        <f>46.1*$C$1</f>
        <v>30792.956000000002</v>
      </c>
      <c r="E551" s="1962" t="e">
        <f t="shared" ref="E551:E555" si="64">C551*D551</f>
        <v>#VALUE!</v>
      </c>
      <c r="G551" s="1959" t="s">
        <v>3279</v>
      </c>
      <c r="H551" s="1965" t="s">
        <v>3280</v>
      </c>
      <c r="I551" s="1961" t="str">
        <f>VLOOKUP(H548,'LƯƠNG KT'!$D$16:$V$108,10,0)</f>
        <v>A</v>
      </c>
      <c r="J551" s="1967">
        <f>46.1*$C$1</f>
        <v>30792.956000000002</v>
      </c>
      <c r="K551" s="1962" t="e">
        <f t="shared" ref="K551:K555" si="65">I551*J551</f>
        <v>#VALUE!</v>
      </c>
    </row>
    <row r="552" spans="1:11" ht="12.75" customHeight="1">
      <c r="A552" s="1959" t="s">
        <v>3281</v>
      </c>
      <c r="B552" s="1965" t="s">
        <v>3282</v>
      </c>
      <c r="C552" s="1961">
        <f>VLOOKUP(B548,'LƯƠNG KT'!$D$16:$V$108,11,0)</f>
        <v>6301851</v>
      </c>
      <c r="D552" s="1964">
        <f>76.9*$C$1</f>
        <v>51366.124000000003</v>
      </c>
      <c r="E552" s="1962">
        <f t="shared" si="64"/>
        <v>323701659895.52405</v>
      </c>
      <c r="G552" s="1959" t="s">
        <v>3281</v>
      </c>
      <c r="H552" s="1965" t="s">
        <v>3282</v>
      </c>
      <c r="I552" s="1961">
        <f>VLOOKUP(H548,'LƯƠNG KT'!$D$16:$V$108,11,0)</f>
        <v>8810736</v>
      </c>
      <c r="J552" s="1964">
        <f>76.9*$C$1</f>
        <v>51366.124000000003</v>
      </c>
      <c r="K552" s="1962">
        <f t="shared" si="65"/>
        <v>452573357907.26404</v>
      </c>
    </row>
    <row r="553" spans="1:11" ht="12.75" customHeight="1">
      <c r="A553" s="1959" t="s">
        <v>374</v>
      </c>
      <c r="B553" s="1965" t="s">
        <v>3283</v>
      </c>
      <c r="C553" s="1961">
        <f>VLOOKUP(B548,'LƯƠNG KT'!$D$16:$V$108,7,0)</f>
        <v>1604.0545426680244</v>
      </c>
      <c r="D553" s="1964">
        <f>IF(C549="A",6.1,IF(C549="B",5.8,IF(C549="C",5.5,IF(C549="C.",5.5,IF(C549="D",5.2)))))*$C$1</f>
        <v>0</v>
      </c>
      <c r="E553" s="1962">
        <f t="shared" si="64"/>
        <v>0</v>
      </c>
      <c r="G553" s="1959" t="s">
        <v>374</v>
      </c>
      <c r="H553" s="1965" t="s">
        <v>3283</v>
      </c>
      <c r="I553" s="1961">
        <f>VLOOKUP(H548,'LƯƠNG KT'!$D$16:$V$108,7,0)</f>
        <v>2132.3639747126335</v>
      </c>
      <c r="J553" s="1964">
        <f>IF(I549="A",6.1,IF(I549="B",5.8,IF(I549="C",5.5,IF(I549="C.",5.5,IF(I549="D",5.2)))))*$C$1</f>
        <v>0</v>
      </c>
      <c r="K553" s="1962">
        <f t="shared" si="65"/>
        <v>0</v>
      </c>
    </row>
    <row r="554" spans="1:11" ht="12.75" customHeight="1">
      <c r="A554" s="1959" t="s">
        <v>3296</v>
      </c>
      <c r="B554" s="1965" t="s">
        <v>3285</v>
      </c>
      <c r="C554" s="1961">
        <f>VLOOKUP(B548,'LƯƠNG KT'!$D$16:$V$108,12,0)</f>
        <v>26</v>
      </c>
      <c r="D554" s="1967">
        <f>92.2*$C$1</f>
        <v>61585.912000000004</v>
      </c>
      <c r="E554" s="1962">
        <f t="shared" si="64"/>
        <v>1601233.7120000001</v>
      </c>
      <c r="G554" s="1959" t="s">
        <v>3296</v>
      </c>
      <c r="H554" s="1965" t="s">
        <v>3285</v>
      </c>
      <c r="I554" s="1961">
        <f>VLOOKUP(H548,'LƯƠNG KT'!$D$16:$V$108,12,0)</f>
        <v>27</v>
      </c>
      <c r="J554" s="1967">
        <f>92.2*$C$1</f>
        <v>61585.912000000004</v>
      </c>
      <c r="K554" s="1962">
        <f t="shared" si="65"/>
        <v>1662819.6240000001</v>
      </c>
    </row>
    <row r="555" spans="1:11" ht="12.75" customHeight="1">
      <c r="A555" s="1959" t="s">
        <v>3297</v>
      </c>
      <c r="B555" s="1965" t="s">
        <v>3287</v>
      </c>
      <c r="C555" s="1961">
        <f>VLOOKUP(B548,'LƯƠNG KT'!$D$16:$V$108,13,0)</f>
        <v>4</v>
      </c>
      <c r="D555" s="1964">
        <f>153.8*$C$1</f>
        <v>102732.24800000001</v>
      </c>
      <c r="E555" s="1962">
        <f t="shared" si="64"/>
        <v>410928.99200000003</v>
      </c>
      <c r="G555" s="1959" t="s">
        <v>3297</v>
      </c>
      <c r="H555" s="1965" t="s">
        <v>3287</v>
      </c>
      <c r="I555" s="1961">
        <f>VLOOKUP(H548,'LƯƠNG KT'!$D$16:$V$108,13,0)</f>
        <v>4</v>
      </c>
      <c r="J555" s="1964">
        <f>153.8*$C$1</f>
        <v>102732.24800000001</v>
      </c>
      <c r="K555" s="1962">
        <f t="shared" si="65"/>
        <v>410928.99200000003</v>
      </c>
    </row>
    <row r="556" spans="1:11" ht="12.75" customHeight="1">
      <c r="A556" s="1959" t="s">
        <v>3354</v>
      </c>
      <c r="B556" s="1965" t="s">
        <v>3288</v>
      </c>
      <c r="C556" s="1961">
        <f>VLOOKUP(B548,'LƯƠNG KT'!$D$16:$V$108,14,0)</f>
        <v>0</v>
      </c>
      <c r="D556" s="1964">
        <v>100000</v>
      </c>
      <c r="E556" s="1962">
        <f>C556*D556</f>
        <v>0</v>
      </c>
      <c r="G556" s="1959" t="s">
        <v>3354</v>
      </c>
      <c r="H556" s="1965" t="s">
        <v>3288</v>
      </c>
      <c r="I556" s="1961">
        <f>VLOOKUP(H548,'LƯƠNG KT'!$D$16:$V$108,14,0)</f>
        <v>0</v>
      </c>
      <c r="J556" s="1964">
        <v>100000</v>
      </c>
      <c r="K556" s="1962">
        <f>I556*J556</f>
        <v>0</v>
      </c>
    </row>
    <row r="557" spans="1:11" ht="12.75" customHeight="1">
      <c r="A557" s="1959" t="s">
        <v>3355</v>
      </c>
      <c r="B557" s="1965" t="s">
        <v>3288</v>
      </c>
      <c r="C557" s="1961">
        <f>VLOOKUP(B548,'LƯƠNG KT'!$D$16:$V$108,17,0)</f>
        <v>0</v>
      </c>
      <c r="D557" s="1964">
        <v>20000</v>
      </c>
      <c r="E557" s="1962">
        <f>C557*D557</f>
        <v>0</v>
      </c>
      <c r="G557" s="1959" t="s">
        <v>3355</v>
      </c>
      <c r="H557" s="1965" t="s">
        <v>3288</v>
      </c>
      <c r="I557" s="1961">
        <f>VLOOKUP(H548,'LƯƠNG KT'!$D$16:$V$108,17,0)</f>
        <v>0</v>
      </c>
      <c r="J557" s="1964">
        <v>20000</v>
      </c>
      <c r="K557" s="1962">
        <f>I557*J557</f>
        <v>0</v>
      </c>
    </row>
    <row r="558" spans="1:11" ht="12.75" customHeight="1">
      <c r="A558" s="1959" t="s">
        <v>3289</v>
      </c>
      <c r="B558" s="1965" t="s">
        <v>3290</v>
      </c>
      <c r="C558" s="1966"/>
      <c r="D558" s="1964"/>
      <c r="E558" s="1962"/>
      <c r="G558" s="1959" t="s">
        <v>3289</v>
      </c>
      <c r="H558" s="1965" t="s">
        <v>3290</v>
      </c>
      <c r="I558" s="1966"/>
      <c r="J558" s="1964"/>
      <c r="K558" s="1962"/>
    </row>
    <row r="559" spans="1:11" ht="12.75" customHeight="1">
      <c r="A559" s="1968" t="s">
        <v>377</v>
      </c>
      <c r="B559" s="1969" t="s">
        <v>3291</v>
      </c>
      <c r="C559" s="1970"/>
      <c r="D559" s="1971"/>
      <c r="E559" s="1970"/>
      <c r="G559" s="1968" t="s">
        <v>377</v>
      </c>
      <c r="H559" s="1969" t="s">
        <v>3291</v>
      </c>
      <c r="I559" s="1970"/>
      <c r="J559" s="1971"/>
      <c r="K559" s="1970"/>
    </row>
    <row r="560" spans="1:11" ht="12.75" customHeight="1">
      <c r="A560" s="1972" t="s">
        <v>379</v>
      </c>
      <c r="B560" s="1973" t="s">
        <v>3292</v>
      </c>
      <c r="C560" s="1970"/>
      <c r="D560" s="1970"/>
      <c r="E560" s="1970"/>
      <c r="G560" s="1972" t="s">
        <v>379</v>
      </c>
      <c r="H560" s="1973" t="s">
        <v>3292</v>
      </c>
      <c r="I560" s="1970"/>
      <c r="J560" s="1970"/>
      <c r="K560" s="1970"/>
    </row>
    <row r="561" spans="1:11" ht="12.75" customHeight="1">
      <c r="A561" s="1972" t="s">
        <v>381</v>
      </c>
      <c r="B561" s="1974" t="s">
        <v>3293</v>
      </c>
      <c r="C561" s="1970"/>
      <c r="D561" s="1970"/>
      <c r="E561" s="1962">
        <f>SUM(E560)</f>
        <v>0</v>
      </c>
      <c r="G561" s="1972" t="s">
        <v>381</v>
      </c>
      <c r="H561" s="1974" t="s">
        <v>3293</v>
      </c>
      <c r="I561" s="1970"/>
      <c r="J561" s="1970"/>
      <c r="K561" s="1962">
        <f>SUM(K560)</f>
        <v>0</v>
      </c>
    </row>
    <row r="562" spans="1:11" ht="12.75" customHeight="1">
      <c r="A562" s="1975" t="s">
        <v>383</v>
      </c>
      <c r="B562" s="1976" t="s">
        <v>3294</v>
      </c>
      <c r="C562" s="1977"/>
      <c r="D562" s="1977"/>
      <c r="E562" s="1978" t="e">
        <f>(E550+E551+E552+E553+E554+E555+E556+E557+E558)-E561</f>
        <v>#VALUE!</v>
      </c>
      <c r="G562" s="1975" t="s">
        <v>383</v>
      </c>
      <c r="H562" s="1976" t="s">
        <v>3294</v>
      </c>
      <c r="I562" s="1977"/>
      <c r="J562" s="1977"/>
      <c r="K562" s="1978" t="e">
        <f>(K550+K551+K552+K553+K554+K555+K556+K557+K558)-K561</f>
        <v>#VALUE!</v>
      </c>
    </row>
    <row r="564" spans="1:11" ht="12.75" customHeight="1">
      <c r="A564" s="2953" t="s">
        <v>3356</v>
      </c>
      <c r="B564" s="2954"/>
      <c r="C564" s="2954"/>
      <c r="D564" s="2954"/>
      <c r="E564" s="1955">
        <f>VLOOKUP(B565,'LƯƠNG KT'!$D$16:$AD$108,25,0)</f>
        <v>0</v>
      </c>
      <c r="G564" s="2953" t="s">
        <v>3356</v>
      </c>
      <c r="H564" s="2954"/>
      <c r="I564" s="2954"/>
      <c r="J564" s="2954"/>
      <c r="K564" s="1955">
        <f>VLOOKUP(H565,'LƯƠNG KT'!$D$16:$AD$108,25,0)</f>
        <v>0</v>
      </c>
    </row>
    <row r="565" spans="1:11" ht="12.75" customHeight="1">
      <c r="A565" s="1956" t="s">
        <v>356</v>
      </c>
      <c r="B565" s="1956" t="str">
        <f>'LƯƠNG KT'!$D$82</f>
        <v>T. Chỏ</v>
      </c>
      <c r="C565" s="1957"/>
      <c r="D565" s="1958" t="s">
        <v>2357</v>
      </c>
      <c r="E565" s="1958" t="s">
        <v>2156</v>
      </c>
      <c r="G565" s="1956" t="s">
        <v>356</v>
      </c>
      <c r="H565" s="1956" t="str">
        <f>'LƯƠNG KT'!$D$83</f>
        <v>N. Xôm Pheng</v>
      </c>
      <c r="I565" s="1957"/>
      <c r="J565" s="1958" t="s">
        <v>2357</v>
      </c>
      <c r="K565" s="1958" t="s">
        <v>2156</v>
      </c>
    </row>
    <row r="566" spans="1:11" ht="12.75" customHeight="1">
      <c r="A566" s="1959" t="s">
        <v>3005</v>
      </c>
      <c r="B566" s="1960" t="s">
        <v>3278</v>
      </c>
      <c r="C566" s="1961">
        <f>VLOOKUP(B565,'LƯƠNG KT'!$D$16:$M$108,8,0)</f>
        <v>163.80277885478679</v>
      </c>
      <c r="D566" s="1962"/>
      <c r="E566" s="1962"/>
      <c r="G566" s="1959" t="s">
        <v>3005</v>
      </c>
      <c r="H566" s="1960" t="s">
        <v>3278</v>
      </c>
      <c r="I566" s="1961">
        <f>VLOOKUP(H565,'LƯƠNG KT'!$D$16:$M$108,8,0)</f>
        <v>206.54823469511254</v>
      </c>
      <c r="J566" s="1962"/>
      <c r="K566" s="1962"/>
    </row>
    <row r="567" spans="1:11" ht="12.75" customHeight="1">
      <c r="A567" s="1959" t="s">
        <v>359</v>
      </c>
      <c r="B567" s="1963" t="s">
        <v>2090</v>
      </c>
      <c r="C567" s="1961">
        <f>VLOOKUP(B565,'LƯƠNG KT'!$D$16:$V$108,3,0)</f>
        <v>0</v>
      </c>
      <c r="D567" s="1964">
        <v>25000</v>
      </c>
      <c r="E567" s="1962">
        <f>C567*D567</f>
        <v>0</v>
      </c>
      <c r="G567" s="1959" t="s">
        <v>359</v>
      </c>
      <c r="H567" s="1963" t="s">
        <v>2090</v>
      </c>
      <c r="I567" s="1961">
        <f>VLOOKUP(H565,'LƯƠNG KT'!$D$16:$V$108,3,0)</f>
        <v>0</v>
      </c>
      <c r="J567" s="1964">
        <v>25000</v>
      </c>
      <c r="K567" s="1962">
        <f>I567*J567</f>
        <v>0</v>
      </c>
    </row>
    <row r="568" spans="1:11" ht="12.75" customHeight="1">
      <c r="A568" s="1959" t="s">
        <v>3279</v>
      </c>
      <c r="B568" s="1965" t="s">
        <v>3280</v>
      </c>
      <c r="C568" s="1961" t="str">
        <f>VLOOKUP(B565,'LƯƠNG KT'!$D$16:$V$108,10,0)</f>
        <v>B</v>
      </c>
      <c r="D568" s="1967">
        <f>46.1*$C$1</f>
        <v>30792.956000000002</v>
      </c>
      <c r="E568" s="1962" t="e">
        <f t="shared" ref="E568:E572" si="66">C568*D568</f>
        <v>#VALUE!</v>
      </c>
      <c r="G568" s="1959" t="s">
        <v>3279</v>
      </c>
      <c r="H568" s="1965" t="s">
        <v>3280</v>
      </c>
      <c r="I568" s="1961" t="str">
        <f>VLOOKUP(H565,'LƯƠNG KT'!$D$16:$V$108,10,0)</f>
        <v>B</v>
      </c>
      <c r="J568" s="1967">
        <f>46.1*$C$1</f>
        <v>30792.956000000002</v>
      </c>
      <c r="K568" s="1962" t="e">
        <f t="shared" ref="K568:K572" si="67">I568*J568</f>
        <v>#VALUE!</v>
      </c>
    </row>
    <row r="569" spans="1:11" ht="12.75" customHeight="1">
      <c r="A569" s="1959" t="s">
        <v>3281</v>
      </c>
      <c r="B569" s="1965" t="s">
        <v>3282</v>
      </c>
      <c r="C569" s="1961">
        <f>VLOOKUP(B565,'LƯƠNG KT'!$D$16:$V$108,11,0)</f>
        <v>4991053</v>
      </c>
      <c r="D569" s="1964">
        <f>76.9*$C$1</f>
        <v>51366.124000000003</v>
      </c>
      <c r="E569" s="1962">
        <f t="shared" si="66"/>
        <v>256371047288.57202</v>
      </c>
      <c r="G569" s="1959" t="s">
        <v>3281</v>
      </c>
      <c r="H569" s="1965" t="s">
        <v>3282</v>
      </c>
      <c r="I569" s="1961">
        <f>VLOOKUP(H565,'LƯƠNG KT'!$D$16:$V$108,11,0)</f>
        <v>6293502</v>
      </c>
      <c r="J569" s="1964">
        <f>76.9*$C$1</f>
        <v>51366.124000000003</v>
      </c>
      <c r="K569" s="1962">
        <f t="shared" si="67"/>
        <v>323272804126.24805</v>
      </c>
    </row>
    <row r="570" spans="1:11" ht="12.75" customHeight="1">
      <c r="A570" s="1959" t="s">
        <v>374</v>
      </c>
      <c r="B570" s="1965" t="s">
        <v>3283</v>
      </c>
      <c r="C570" s="1961">
        <f>VLOOKUP(B565,'LƯƠNG KT'!$D$16:$V$108,7,0)</f>
        <v>1270.4077975714692</v>
      </c>
      <c r="D570" s="1964">
        <f>IF(C566="A",6.1,IF(C566="B",5.8,IF(C566="C",5.5,IF(C566="C.",5.5,IF(C566="D",5.2)))))*$C$1</f>
        <v>0</v>
      </c>
      <c r="E570" s="1962">
        <f t="shared" si="66"/>
        <v>0</v>
      </c>
      <c r="G570" s="1959" t="s">
        <v>374</v>
      </c>
      <c r="H570" s="1965" t="s">
        <v>3283</v>
      </c>
      <c r="I570" s="1961">
        <f>VLOOKUP(H565,'LƯƠNG KT'!$D$16:$V$108,7,0)</f>
        <v>1601.9294041642247</v>
      </c>
      <c r="J570" s="1964">
        <f>IF(I566="A",6.1,IF(I566="B",5.8,IF(I566="C",5.5,IF(I566="C.",5.5,IF(I566="D",5.2)))))*$C$1</f>
        <v>0</v>
      </c>
      <c r="K570" s="1962">
        <f t="shared" si="67"/>
        <v>0</v>
      </c>
    </row>
    <row r="571" spans="1:11" ht="12.75" customHeight="1">
      <c r="A571" s="1959" t="s">
        <v>3296</v>
      </c>
      <c r="B571" s="1965" t="s">
        <v>3285</v>
      </c>
      <c r="C571" s="1961">
        <f>VLOOKUP(B565,'LƯƠNG KT'!$D$16:$V$108,12,0)</f>
        <v>21</v>
      </c>
      <c r="D571" s="1967">
        <f>92.2*$C$1</f>
        <v>61585.912000000004</v>
      </c>
      <c r="E571" s="1962">
        <f t="shared" si="66"/>
        <v>1293304.152</v>
      </c>
      <c r="G571" s="1959" t="s">
        <v>3296</v>
      </c>
      <c r="H571" s="1965" t="s">
        <v>3285</v>
      </c>
      <c r="I571" s="1961">
        <f>VLOOKUP(H565,'LƯƠNG KT'!$D$16:$V$108,12,0)</f>
        <v>27</v>
      </c>
      <c r="J571" s="1967">
        <f>92.2*$C$1</f>
        <v>61585.912000000004</v>
      </c>
      <c r="K571" s="1962">
        <f t="shared" si="67"/>
        <v>1662819.6240000001</v>
      </c>
    </row>
    <row r="572" spans="1:11" ht="12.75" customHeight="1">
      <c r="A572" s="1959" t="s">
        <v>3297</v>
      </c>
      <c r="B572" s="1965" t="s">
        <v>3287</v>
      </c>
      <c r="C572" s="1961">
        <f>VLOOKUP(B565,'LƯƠNG KT'!$D$16:$V$108,13,0)</f>
        <v>4</v>
      </c>
      <c r="D572" s="1964">
        <f>153.8*$C$1</f>
        <v>102732.24800000001</v>
      </c>
      <c r="E572" s="1962">
        <f t="shared" si="66"/>
        <v>410928.99200000003</v>
      </c>
      <c r="G572" s="1959" t="s">
        <v>3297</v>
      </c>
      <c r="H572" s="1965" t="s">
        <v>3287</v>
      </c>
      <c r="I572" s="1961">
        <f>VLOOKUP(H565,'LƯƠNG KT'!$D$16:$V$108,13,0)</f>
        <v>4</v>
      </c>
      <c r="J572" s="1964">
        <f>153.8*$C$1</f>
        <v>102732.24800000001</v>
      </c>
      <c r="K572" s="1962">
        <f t="shared" si="67"/>
        <v>410928.99200000003</v>
      </c>
    </row>
    <row r="573" spans="1:11" ht="12.75" customHeight="1">
      <c r="A573" s="1959" t="s">
        <v>3354</v>
      </c>
      <c r="B573" s="1965" t="s">
        <v>3288</v>
      </c>
      <c r="C573" s="1961">
        <f>VLOOKUP(B565,'LƯƠNG KT'!$D$16:$V$108,14,0)</f>
        <v>0</v>
      </c>
      <c r="D573" s="1964">
        <v>100000</v>
      </c>
      <c r="E573" s="1962">
        <f>C573*D573</f>
        <v>0</v>
      </c>
      <c r="G573" s="1959" t="s">
        <v>3354</v>
      </c>
      <c r="H573" s="1965" t="s">
        <v>3288</v>
      </c>
      <c r="I573" s="1961">
        <f>VLOOKUP(H565,'LƯƠNG KT'!$D$16:$V$108,14,0)</f>
        <v>0</v>
      </c>
      <c r="J573" s="1964">
        <v>100000</v>
      </c>
      <c r="K573" s="1962">
        <f>I573*J573</f>
        <v>0</v>
      </c>
    </row>
    <row r="574" spans="1:11" ht="12.75" customHeight="1">
      <c r="A574" s="1959" t="s">
        <v>3355</v>
      </c>
      <c r="B574" s="1965" t="s">
        <v>3288</v>
      </c>
      <c r="C574" s="1961">
        <f>VLOOKUP(B565,'LƯƠNG KT'!$D$16:$V$108,17,0)</f>
        <v>0</v>
      </c>
      <c r="D574" s="1964">
        <v>20000</v>
      </c>
      <c r="E574" s="1962">
        <f>C574*D574</f>
        <v>0</v>
      </c>
      <c r="G574" s="1959" t="s">
        <v>3355</v>
      </c>
      <c r="H574" s="1965" t="s">
        <v>3288</v>
      </c>
      <c r="I574" s="1961">
        <f>VLOOKUP(H565,'LƯƠNG KT'!$D$16:$V$108,17,0)</f>
        <v>0</v>
      </c>
      <c r="J574" s="1964">
        <v>20000</v>
      </c>
      <c r="K574" s="1962">
        <f>I574*J574</f>
        <v>0</v>
      </c>
    </row>
    <row r="575" spans="1:11" ht="12.75" customHeight="1">
      <c r="A575" s="1959" t="s">
        <v>3289</v>
      </c>
      <c r="B575" s="1965" t="s">
        <v>3290</v>
      </c>
      <c r="C575" s="1966"/>
      <c r="D575" s="1964"/>
      <c r="E575" s="1962"/>
      <c r="G575" s="1959" t="s">
        <v>3289</v>
      </c>
      <c r="H575" s="1965" t="s">
        <v>3290</v>
      </c>
      <c r="I575" s="1966"/>
      <c r="J575" s="1964"/>
      <c r="K575" s="1962"/>
    </row>
    <row r="576" spans="1:11" ht="12.75" customHeight="1">
      <c r="A576" s="1968" t="s">
        <v>377</v>
      </c>
      <c r="B576" s="1969" t="s">
        <v>3291</v>
      </c>
      <c r="C576" s="1970"/>
      <c r="D576" s="1971"/>
      <c r="E576" s="1970"/>
      <c r="G576" s="1968" t="s">
        <v>377</v>
      </c>
      <c r="H576" s="1969" t="s">
        <v>3291</v>
      </c>
      <c r="I576" s="1970"/>
      <c r="J576" s="1971"/>
      <c r="K576" s="1970"/>
    </row>
    <row r="577" spans="1:11" ht="12.75" customHeight="1">
      <c r="A577" s="1972" t="s">
        <v>379</v>
      </c>
      <c r="B577" s="1973" t="s">
        <v>3292</v>
      </c>
      <c r="C577" s="1970"/>
      <c r="D577" s="1970"/>
      <c r="E577" s="1970"/>
      <c r="G577" s="1972" t="s">
        <v>379</v>
      </c>
      <c r="H577" s="1973" t="s">
        <v>3292</v>
      </c>
      <c r="I577" s="1970"/>
      <c r="J577" s="1970"/>
      <c r="K577" s="1970"/>
    </row>
    <row r="578" spans="1:11" ht="12.75" customHeight="1">
      <c r="A578" s="1972" t="s">
        <v>381</v>
      </c>
      <c r="B578" s="1974" t="s">
        <v>3293</v>
      </c>
      <c r="C578" s="1970"/>
      <c r="D578" s="1970"/>
      <c r="E578" s="1962">
        <f>SUM(E577)</f>
        <v>0</v>
      </c>
      <c r="G578" s="1972" t="s">
        <v>381</v>
      </c>
      <c r="H578" s="1974" t="s">
        <v>3293</v>
      </c>
      <c r="I578" s="1970"/>
      <c r="J578" s="1970"/>
      <c r="K578" s="1962">
        <f>SUM(K577)</f>
        <v>0</v>
      </c>
    </row>
    <row r="579" spans="1:11" ht="12.75" customHeight="1">
      <c r="A579" s="1975" t="s">
        <v>383</v>
      </c>
      <c r="B579" s="1976" t="s">
        <v>3294</v>
      </c>
      <c r="C579" s="1977"/>
      <c r="D579" s="1977"/>
      <c r="E579" s="1978" t="e">
        <f>(E567+E568+E569+E570+E571+E572+E573+E574+E575)-E578</f>
        <v>#VALUE!</v>
      </c>
      <c r="G579" s="1975" t="s">
        <v>383</v>
      </c>
      <c r="H579" s="1976" t="s">
        <v>3294</v>
      </c>
      <c r="I579" s="1977"/>
      <c r="J579" s="1977"/>
      <c r="K579" s="1978" t="e">
        <f>(K567+K568+K569+K570+K571+K572+K573+K574+K575)-K578</f>
        <v>#VALUE!</v>
      </c>
    </row>
    <row r="581" spans="1:11" ht="12.75" customHeight="1">
      <c r="A581" s="2953" t="s">
        <v>3356</v>
      </c>
      <c r="B581" s="2954"/>
      <c r="C581" s="2954"/>
      <c r="D581" s="2954"/>
      <c r="E581" s="1955">
        <f>VLOOKUP(B582,'LƯƠNG KT'!$D$16:$AD$108,25,0)</f>
        <v>0</v>
      </c>
      <c r="G581" s="2953" t="s">
        <v>3356</v>
      </c>
      <c r="H581" s="2954"/>
      <c r="I581" s="2954"/>
      <c r="J581" s="2954"/>
      <c r="K581" s="1955">
        <f>VLOOKUP(H582,'LƯƠNG KT'!$D$16:$AD$108,25,0)</f>
        <v>0</v>
      </c>
    </row>
    <row r="582" spans="1:11" ht="12.75" customHeight="1">
      <c r="A582" s="1956" t="s">
        <v>356</v>
      </c>
      <c r="B582" s="1956" t="str">
        <f>'LƯƠNG KT'!$D$84</f>
        <v>T. Vôn</v>
      </c>
      <c r="C582" s="1957"/>
      <c r="D582" s="1958" t="s">
        <v>2357</v>
      </c>
      <c r="E582" s="1958" t="s">
        <v>2156</v>
      </c>
      <c r="G582" s="1956" t="s">
        <v>356</v>
      </c>
      <c r="H582" s="1956" t="str">
        <f>'LƯƠNG KT'!$D$85</f>
        <v>Đa Ly</v>
      </c>
      <c r="I582" s="1957"/>
      <c r="J582" s="1958" t="s">
        <v>2357</v>
      </c>
      <c r="K582" s="1958" t="s">
        <v>2156</v>
      </c>
    </row>
    <row r="583" spans="1:11" ht="12.75" customHeight="1">
      <c r="A583" s="1959" t="s">
        <v>3005</v>
      </c>
      <c r="B583" s="1960" t="s">
        <v>3278</v>
      </c>
      <c r="C583" s="1961">
        <f>VLOOKUP(B582,'LƯƠNG KT'!$D$16:$M$108,8,0)</f>
        <v>341.74443925675826</v>
      </c>
      <c r="D583" s="1962"/>
      <c r="E583" s="1962"/>
      <c r="G583" s="1959" t="s">
        <v>3005</v>
      </c>
      <c r="H583" s="1960" t="s">
        <v>3278</v>
      </c>
      <c r="I583" s="1961">
        <f>VLOOKUP(H582,'LƯƠNG KT'!$D$16:$M$108,8,0)</f>
        <v>345.47096617617126</v>
      </c>
      <c r="J583" s="1962"/>
      <c r="K583" s="1962"/>
    </row>
    <row r="584" spans="1:11" ht="12.75" customHeight="1">
      <c r="A584" s="1959" t="s">
        <v>359</v>
      </c>
      <c r="B584" s="1963" t="s">
        <v>2090</v>
      </c>
      <c r="C584" s="1961">
        <f>VLOOKUP(B582,'LƯƠNG KT'!$D$16:$V$108,3,0)</f>
        <v>0</v>
      </c>
      <c r="D584" s="1964">
        <v>25000</v>
      </c>
      <c r="E584" s="1962">
        <f>C584*D584</f>
        <v>0</v>
      </c>
      <c r="G584" s="1959" t="s">
        <v>359</v>
      </c>
      <c r="H584" s="1963" t="s">
        <v>2090</v>
      </c>
      <c r="I584" s="1961">
        <f>VLOOKUP(H582,'LƯƠNG KT'!$D$16:$V$108,3,0)</f>
        <v>0</v>
      </c>
      <c r="J584" s="1964">
        <v>25000</v>
      </c>
      <c r="K584" s="1962">
        <f>I584*J584</f>
        <v>0</v>
      </c>
    </row>
    <row r="585" spans="1:11" ht="12.75" customHeight="1">
      <c r="A585" s="1959" t="s">
        <v>3279</v>
      </c>
      <c r="B585" s="1965" t="s">
        <v>3280</v>
      </c>
      <c r="C585" s="1961" t="str">
        <f>VLOOKUP(B582,'LƯƠNG KT'!$D$16:$V$108,10,0)</f>
        <v>A</v>
      </c>
      <c r="D585" s="1967">
        <f>46.1*$C$1</f>
        <v>30792.956000000002</v>
      </c>
      <c r="E585" s="1962" t="e">
        <f t="shared" ref="E585:E589" si="68">C585*D585</f>
        <v>#VALUE!</v>
      </c>
      <c r="G585" s="1959" t="s">
        <v>3279</v>
      </c>
      <c r="H585" s="1965" t="s">
        <v>3280</v>
      </c>
      <c r="I585" s="1961" t="str">
        <f>VLOOKUP(H582,'LƯƠNG KT'!$D$16:$V$108,10,0)</f>
        <v>A</v>
      </c>
      <c r="J585" s="1967">
        <f>46.1*$C$1</f>
        <v>30792.956000000002</v>
      </c>
      <c r="K585" s="1962" t="e">
        <f t="shared" ref="K585:K589" si="69">I585*J585</f>
        <v>#VALUE!</v>
      </c>
    </row>
    <row r="586" spans="1:11" ht="12.75" customHeight="1">
      <c r="A586" s="1959" t="s">
        <v>3281</v>
      </c>
      <c r="B586" s="1965" t="s">
        <v>3282</v>
      </c>
      <c r="C586" s="1961">
        <f>VLOOKUP(B582,'LƯƠNG KT'!$D$16:$V$108,11,0)</f>
        <v>10951515</v>
      </c>
      <c r="D586" s="1964">
        <f>76.9*$C$1</f>
        <v>51366.124000000003</v>
      </c>
      <c r="E586" s="1962">
        <f t="shared" si="68"/>
        <v>562536877477.85999</v>
      </c>
      <c r="G586" s="1959" t="s">
        <v>3281</v>
      </c>
      <c r="H586" s="1965" t="s">
        <v>3282</v>
      </c>
      <c r="I586" s="1961">
        <f>VLOOKUP(H582,'LƯƠNG KT'!$D$16:$V$108,11,0)</f>
        <v>11070935</v>
      </c>
      <c r="J586" s="1964">
        <f>76.9*$C$1</f>
        <v>51366.124000000003</v>
      </c>
      <c r="K586" s="1962">
        <f t="shared" si="69"/>
        <v>568671020005.94006</v>
      </c>
    </row>
    <row r="587" spans="1:11" ht="12.75" customHeight="1">
      <c r="A587" s="1959" t="s">
        <v>374</v>
      </c>
      <c r="B587" s="1965" t="s">
        <v>3283</v>
      </c>
      <c r="C587" s="1961">
        <f>VLOOKUP(B582,'LƯƠNG KT'!$D$16:$V$108,7,0)</f>
        <v>2650.4727419390038</v>
      </c>
      <c r="D587" s="1964">
        <f>IF(C583="A",6.1,IF(C583="B",5.8,IF(C583="C",5.5,IF(C583="C.",5.5,IF(C583="D",5.2)))))*$C$1</f>
        <v>0</v>
      </c>
      <c r="E587" s="1962">
        <f t="shared" si="68"/>
        <v>0</v>
      </c>
      <c r="G587" s="1959" t="s">
        <v>374</v>
      </c>
      <c r="H587" s="1965" t="s">
        <v>3283</v>
      </c>
      <c r="I587" s="1961">
        <f>VLOOKUP(H582,'LƯƠNG KT'!$D$16:$V$108,7,0)</f>
        <v>2679.3746255906799</v>
      </c>
      <c r="J587" s="1964">
        <f>IF(I583="A",6.1,IF(I583="B",5.8,IF(I583="C",5.5,IF(I583="C.",5.5,IF(I583="D",5.2)))))*$C$1</f>
        <v>0</v>
      </c>
      <c r="K587" s="1962">
        <f t="shared" si="69"/>
        <v>0</v>
      </c>
    </row>
    <row r="588" spans="1:11" ht="12.75" customHeight="1">
      <c r="A588" s="1959" t="s">
        <v>3296</v>
      </c>
      <c r="B588" s="1965" t="s">
        <v>3285</v>
      </c>
      <c r="C588" s="1961">
        <f>VLOOKUP(B582,'LƯƠNG KT'!$D$16:$V$108,12,0)</f>
        <v>27</v>
      </c>
      <c r="D588" s="1967">
        <f>92.2*$C$1</f>
        <v>61585.912000000004</v>
      </c>
      <c r="E588" s="1962">
        <f t="shared" si="68"/>
        <v>1662819.6240000001</v>
      </c>
      <c r="G588" s="1959" t="s">
        <v>3296</v>
      </c>
      <c r="H588" s="1965" t="s">
        <v>3285</v>
      </c>
      <c r="I588" s="1961">
        <f>VLOOKUP(H582,'LƯƠNG KT'!$D$16:$V$108,12,0)</f>
        <v>27</v>
      </c>
      <c r="J588" s="1967">
        <f>92.2*$C$1</f>
        <v>61585.912000000004</v>
      </c>
      <c r="K588" s="1962">
        <f t="shared" si="69"/>
        <v>1662819.6240000001</v>
      </c>
    </row>
    <row r="589" spans="1:11" ht="12.75" customHeight="1">
      <c r="A589" s="1959" t="s">
        <v>3297</v>
      </c>
      <c r="B589" s="1965" t="s">
        <v>3287</v>
      </c>
      <c r="C589" s="1961">
        <f>VLOOKUP(B582,'LƯƠNG KT'!$D$16:$V$108,13,0)</f>
        <v>4</v>
      </c>
      <c r="D589" s="1964">
        <f>153.8*$C$1</f>
        <v>102732.24800000001</v>
      </c>
      <c r="E589" s="1962">
        <f t="shared" si="68"/>
        <v>410928.99200000003</v>
      </c>
      <c r="G589" s="1959" t="s">
        <v>3297</v>
      </c>
      <c r="H589" s="1965" t="s">
        <v>3287</v>
      </c>
      <c r="I589" s="1961">
        <f>VLOOKUP(H582,'LƯƠNG KT'!$D$16:$V$108,13,0)</f>
        <v>4</v>
      </c>
      <c r="J589" s="1964">
        <f>153.8*$C$1</f>
        <v>102732.24800000001</v>
      </c>
      <c r="K589" s="1962">
        <f t="shared" si="69"/>
        <v>410928.99200000003</v>
      </c>
    </row>
    <row r="590" spans="1:11" ht="12.75" customHeight="1">
      <c r="A590" s="1959" t="s">
        <v>3354</v>
      </c>
      <c r="B590" s="1965" t="s">
        <v>3288</v>
      </c>
      <c r="C590" s="1961">
        <f>VLOOKUP(B582,'LƯƠNG KT'!$D$16:$V$108,14,0)</f>
        <v>0</v>
      </c>
      <c r="D590" s="1964">
        <v>100000</v>
      </c>
      <c r="E590" s="1962">
        <f>C590*D590</f>
        <v>0</v>
      </c>
      <c r="G590" s="1959" t="s">
        <v>3354</v>
      </c>
      <c r="H590" s="1965" t="s">
        <v>3288</v>
      </c>
      <c r="I590" s="1961">
        <f>VLOOKUP(H582,'LƯƠNG KT'!$D$16:$V$108,14,0)</f>
        <v>0</v>
      </c>
      <c r="J590" s="1964">
        <v>100000</v>
      </c>
      <c r="K590" s="1962">
        <f>I590*J590</f>
        <v>0</v>
      </c>
    </row>
    <row r="591" spans="1:11" ht="12.75" customHeight="1">
      <c r="A591" s="1959" t="s">
        <v>3355</v>
      </c>
      <c r="B591" s="1965" t="s">
        <v>3288</v>
      </c>
      <c r="C591" s="1961">
        <f>VLOOKUP(B582,'LƯƠNG KT'!$D$16:$V$108,17,0)</f>
        <v>0</v>
      </c>
      <c r="D591" s="1964">
        <v>20000</v>
      </c>
      <c r="E591" s="1962">
        <f>C591*D591</f>
        <v>0</v>
      </c>
      <c r="G591" s="1959" t="s">
        <v>3355</v>
      </c>
      <c r="H591" s="1965" t="s">
        <v>3288</v>
      </c>
      <c r="I591" s="1961">
        <f>VLOOKUP(H582,'LƯƠNG KT'!$D$16:$V$108,17,0)</f>
        <v>0</v>
      </c>
      <c r="J591" s="1964">
        <v>20000</v>
      </c>
      <c r="K591" s="1962">
        <f>I591*J591</f>
        <v>0</v>
      </c>
    </row>
    <row r="592" spans="1:11" ht="12.75" customHeight="1">
      <c r="A592" s="1959" t="s">
        <v>3289</v>
      </c>
      <c r="B592" s="1965" t="s">
        <v>3290</v>
      </c>
      <c r="C592" s="1966"/>
      <c r="D592" s="1964"/>
      <c r="E592" s="1962"/>
      <c r="G592" s="1959" t="s">
        <v>3289</v>
      </c>
      <c r="H592" s="1965" t="s">
        <v>3290</v>
      </c>
      <c r="I592" s="1966"/>
      <c r="J592" s="1964"/>
      <c r="K592" s="1962"/>
    </row>
    <row r="593" spans="1:11" ht="12.75" customHeight="1">
      <c r="A593" s="1968" t="s">
        <v>377</v>
      </c>
      <c r="B593" s="1969" t="s">
        <v>3291</v>
      </c>
      <c r="C593" s="1970"/>
      <c r="D593" s="1971"/>
      <c r="E593" s="1970"/>
      <c r="G593" s="1968" t="s">
        <v>377</v>
      </c>
      <c r="H593" s="1969" t="s">
        <v>3291</v>
      </c>
      <c r="I593" s="1970"/>
      <c r="J593" s="1971"/>
      <c r="K593" s="1970"/>
    </row>
    <row r="594" spans="1:11" ht="12.75" customHeight="1">
      <c r="A594" s="1972" t="s">
        <v>379</v>
      </c>
      <c r="B594" s="1973" t="s">
        <v>3292</v>
      </c>
      <c r="C594" s="1970"/>
      <c r="D594" s="1970"/>
      <c r="E594" s="1970"/>
      <c r="G594" s="1972" t="s">
        <v>379</v>
      </c>
      <c r="H594" s="1973" t="s">
        <v>3292</v>
      </c>
      <c r="I594" s="1970"/>
      <c r="J594" s="1970"/>
      <c r="K594" s="1970"/>
    </row>
    <row r="595" spans="1:11" ht="12.75" customHeight="1">
      <c r="A595" s="1972" t="s">
        <v>381</v>
      </c>
      <c r="B595" s="1974" t="s">
        <v>3293</v>
      </c>
      <c r="C595" s="1970"/>
      <c r="D595" s="1970"/>
      <c r="E595" s="1962">
        <f>SUM(E594)</f>
        <v>0</v>
      </c>
      <c r="G595" s="1972" t="s">
        <v>381</v>
      </c>
      <c r="H595" s="1974" t="s">
        <v>3293</v>
      </c>
      <c r="I595" s="1970"/>
      <c r="J595" s="1970"/>
      <c r="K595" s="1962">
        <f>SUM(K594)</f>
        <v>0</v>
      </c>
    </row>
    <row r="596" spans="1:11" ht="12.75" customHeight="1">
      <c r="A596" s="1975" t="s">
        <v>383</v>
      </c>
      <c r="B596" s="1976" t="s">
        <v>3294</v>
      </c>
      <c r="C596" s="1977"/>
      <c r="D596" s="1977"/>
      <c r="E596" s="1978" t="e">
        <f>(E584+E585+E586+E587+E588+E589+E590+E591+E592)-E595</f>
        <v>#VALUE!</v>
      </c>
      <c r="G596" s="1975" t="s">
        <v>383</v>
      </c>
      <c r="H596" s="1976" t="s">
        <v>3294</v>
      </c>
      <c r="I596" s="1977"/>
      <c r="J596" s="1977"/>
      <c r="K596" s="1978" t="e">
        <f>(K584+K585+K586+K587+K588+K589+K590+K591+K592)-K595</f>
        <v>#VALUE!</v>
      </c>
    </row>
    <row r="597" spans="1:11" ht="52.5" customHeight="1"/>
    <row r="598" spans="1:11" ht="12.75" customHeight="1">
      <c r="A598" s="2953" t="s">
        <v>3356</v>
      </c>
      <c r="B598" s="2954"/>
      <c r="C598" s="2954"/>
      <c r="D598" s="2954"/>
      <c r="E598" s="1955">
        <f>VLOOKUP(B599,'LƯƠNG KT'!$D$16:$AD$108,25,0)</f>
        <v>0</v>
      </c>
      <c r="G598" s="2953" t="s">
        <v>3356</v>
      </c>
      <c r="H598" s="2954"/>
      <c r="I598" s="2954"/>
      <c r="J598" s="2954"/>
      <c r="K598" s="1955">
        <f>VLOOKUP(H599,'LƯƠNG KT'!$D$16:$AD$108,25,0)</f>
        <v>0</v>
      </c>
    </row>
    <row r="599" spans="1:11" ht="12.75" customHeight="1">
      <c r="A599" s="1956" t="s">
        <v>356</v>
      </c>
      <c r="B599" s="1956" t="str">
        <f>'LƯƠNG KT'!$D$86</f>
        <v>Khút Thong</v>
      </c>
      <c r="C599" s="1957"/>
      <c r="D599" s="1958" t="s">
        <v>2357</v>
      </c>
      <c r="E599" s="1958" t="s">
        <v>2156</v>
      </c>
      <c r="G599" s="1956" t="s">
        <v>356</v>
      </c>
      <c r="H599" s="1956" t="str">
        <f>'LƯƠNG KT'!$D$87</f>
        <v>Lắc Xa Mi</v>
      </c>
      <c r="I599" s="1957"/>
      <c r="J599" s="1958" t="s">
        <v>2357</v>
      </c>
      <c r="K599" s="1958" t="s">
        <v>2156</v>
      </c>
    </row>
    <row r="600" spans="1:11" ht="12.75" customHeight="1">
      <c r="A600" s="1959" t="s">
        <v>3005</v>
      </c>
      <c r="B600" s="1960" t="s">
        <v>3278</v>
      </c>
      <c r="C600" s="1961">
        <f>VLOOKUP(B599,'LƯƠNG KT'!$D$16:$M$108,8,0)</f>
        <v>243.75870202278074</v>
      </c>
      <c r="D600" s="1962"/>
      <c r="E600" s="1962"/>
      <c r="G600" s="1959" t="s">
        <v>3005</v>
      </c>
      <c r="H600" s="1960" t="s">
        <v>3278</v>
      </c>
      <c r="I600" s="1961">
        <f>VLOOKUP(H599,'LƯƠNG KT'!$D$16:$M$108,8,0)</f>
        <v>230.7158578048352</v>
      </c>
      <c r="J600" s="1962"/>
      <c r="K600" s="1962"/>
    </row>
    <row r="601" spans="1:11" ht="12.75" customHeight="1">
      <c r="A601" s="1959" t="s">
        <v>359</v>
      </c>
      <c r="B601" s="1963" t="s">
        <v>2090</v>
      </c>
      <c r="C601" s="1961">
        <f>VLOOKUP(B599,'LƯƠNG KT'!$D$16:$V$108,3,0)</f>
        <v>0</v>
      </c>
      <c r="D601" s="1964">
        <v>25000</v>
      </c>
      <c r="E601" s="1962">
        <f>C601*D601</f>
        <v>0</v>
      </c>
      <c r="G601" s="1959" t="s">
        <v>359</v>
      </c>
      <c r="H601" s="1963" t="s">
        <v>2090</v>
      </c>
      <c r="I601" s="1961">
        <f>VLOOKUP(H599,'LƯƠNG KT'!$D$16:$V$108,3,0)</f>
        <v>0</v>
      </c>
      <c r="J601" s="1964">
        <v>25000</v>
      </c>
      <c r="K601" s="1962">
        <f>I601*J601</f>
        <v>0</v>
      </c>
    </row>
    <row r="602" spans="1:11" ht="12.75" customHeight="1">
      <c r="A602" s="1959" t="s">
        <v>3279</v>
      </c>
      <c r="B602" s="1965" t="s">
        <v>3280</v>
      </c>
      <c r="C602" s="1961" t="str">
        <f>VLOOKUP(B599,'LƯƠNG KT'!$D$16:$V$108,10,0)</f>
        <v>A</v>
      </c>
      <c r="D602" s="1967">
        <f>46.1*$C$1</f>
        <v>30792.956000000002</v>
      </c>
      <c r="E602" s="1962" t="e">
        <f t="shared" ref="E602:E606" si="70">C602*D602</f>
        <v>#VALUE!</v>
      </c>
      <c r="G602" s="1959" t="s">
        <v>3279</v>
      </c>
      <c r="H602" s="1965" t="s">
        <v>3280</v>
      </c>
      <c r="I602" s="1961" t="str">
        <f>VLOOKUP(H599,'LƯƠNG KT'!$D$16:$V$108,10,0)</f>
        <v>A</v>
      </c>
      <c r="J602" s="1967">
        <f>46.1*$C$1</f>
        <v>30792.956000000002</v>
      </c>
      <c r="K602" s="1962" t="e">
        <f t="shared" ref="K602:K606" si="71">I602*J602</f>
        <v>#VALUE!</v>
      </c>
    </row>
    <row r="603" spans="1:11" ht="12.75" customHeight="1">
      <c r="A603" s="1959" t="s">
        <v>3281</v>
      </c>
      <c r="B603" s="1965" t="s">
        <v>3282</v>
      </c>
      <c r="C603" s="1961">
        <f>VLOOKUP(B599,'LƯƠNG KT'!$D$16:$V$108,11,0)</f>
        <v>7811472</v>
      </c>
      <c r="D603" s="1964">
        <f>76.9*$C$1</f>
        <v>51366.124000000003</v>
      </c>
      <c r="E603" s="1962">
        <f t="shared" si="70"/>
        <v>401245039374.52802</v>
      </c>
      <c r="G603" s="1959" t="s">
        <v>3281</v>
      </c>
      <c r="H603" s="1965" t="s">
        <v>3282</v>
      </c>
      <c r="I603" s="1961">
        <f>VLOOKUP(H599,'LƯƠNG KT'!$D$16:$V$108,11,0)</f>
        <v>7393502</v>
      </c>
      <c r="J603" s="1964">
        <f>76.9*$C$1</f>
        <v>51366.124000000003</v>
      </c>
      <c r="K603" s="1962">
        <f t="shared" si="71"/>
        <v>379775540526.24805</v>
      </c>
    </row>
    <row r="604" spans="1:11" ht="12.75" customHeight="1">
      <c r="A604" s="1959" t="s">
        <v>374</v>
      </c>
      <c r="B604" s="1965" t="s">
        <v>3283</v>
      </c>
      <c r="C604" s="1961">
        <f>VLOOKUP(B599,'LƯƠNG KT'!$D$16:$V$108,7,0)</f>
        <v>1890.5232129802259</v>
      </c>
      <c r="D604" s="1964">
        <f>IF(C600="A",6.1,IF(C600="B",5.8,IF(C600="C",5.5,IF(C600="C.",5.5,IF(C600="D",5.2)))))*$C$1</f>
        <v>0</v>
      </c>
      <c r="E604" s="1962">
        <f t="shared" si="70"/>
        <v>0</v>
      </c>
      <c r="G604" s="1959" t="s">
        <v>374</v>
      </c>
      <c r="H604" s="1965" t="s">
        <v>3283</v>
      </c>
      <c r="I604" s="1961">
        <f>VLOOKUP(H599,'LƯƠNG KT'!$D$16:$V$108,7,0)</f>
        <v>1789.3666201993597</v>
      </c>
      <c r="J604" s="1964">
        <f>IF(I600="A",6.1,IF(I600="B",5.8,IF(I600="C",5.5,IF(I600="C.",5.5,IF(I600="D",5.2)))))*$C$1</f>
        <v>0</v>
      </c>
      <c r="K604" s="1962">
        <f t="shared" si="71"/>
        <v>0</v>
      </c>
    </row>
    <row r="605" spans="1:11" ht="12.75" customHeight="1">
      <c r="A605" s="1959" t="s">
        <v>3296</v>
      </c>
      <c r="B605" s="1965" t="s">
        <v>3285</v>
      </c>
      <c r="C605" s="1961">
        <f>VLOOKUP(B599,'LƯƠNG KT'!$D$16:$V$108,12,0)</f>
        <v>27</v>
      </c>
      <c r="D605" s="1967">
        <f>92.2*$C$1</f>
        <v>61585.912000000004</v>
      </c>
      <c r="E605" s="1962">
        <f t="shared" si="70"/>
        <v>1662819.6240000001</v>
      </c>
      <c r="G605" s="1959" t="s">
        <v>3296</v>
      </c>
      <c r="H605" s="1965" t="s">
        <v>3285</v>
      </c>
      <c r="I605" s="1961">
        <f>VLOOKUP(H599,'LƯƠNG KT'!$D$16:$V$108,12,0)</f>
        <v>27</v>
      </c>
      <c r="J605" s="1967">
        <f>92.2*$C$1</f>
        <v>61585.912000000004</v>
      </c>
      <c r="K605" s="1962">
        <f t="shared" si="71"/>
        <v>1662819.6240000001</v>
      </c>
    </row>
    <row r="606" spans="1:11" ht="12.75" customHeight="1">
      <c r="A606" s="1959" t="s">
        <v>3297</v>
      </c>
      <c r="B606" s="1965" t="s">
        <v>3287</v>
      </c>
      <c r="C606" s="1961">
        <f>VLOOKUP(B599,'LƯƠNG KT'!$D$16:$V$108,13,0)</f>
        <v>3</v>
      </c>
      <c r="D606" s="1964">
        <f>153.8*$C$1</f>
        <v>102732.24800000001</v>
      </c>
      <c r="E606" s="1962">
        <f t="shared" si="70"/>
        <v>308196.74400000001</v>
      </c>
      <c r="G606" s="1959" t="s">
        <v>3297</v>
      </c>
      <c r="H606" s="1965" t="s">
        <v>3287</v>
      </c>
      <c r="I606" s="1961">
        <f>VLOOKUP(H599,'LƯƠNG KT'!$D$16:$V$108,13,0)</f>
        <v>4</v>
      </c>
      <c r="J606" s="1964">
        <f>153.8*$C$1</f>
        <v>102732.24800000001</v>
      </c>
      <c r="K606" s="1962">
        <f t="shared" si="71"/>
        <v>410928.99200000003</v>
      </c>
    </row>
    <row r="607" spans="1:11" ht="12.75" customHeight="1">
      <c r="A607" s="1959" t="s">
        <v>3354</v>
      </c>
      <c r="B607" s="1965" t="s">
        <v>3288</v>
      </c>
      <c r="C607" s="1961">
        <f>VLOOKUP(B599,'LƯƠNG KT'!$D$16:$V$108,14,0)</f>
        <v>0</v>
      </c>
      <c r="D607" s="1964">
        <v>100000</v>
      </c>
      <c r="E607" s="1962">
        <f>C607*D607</f>
        <v>0</v>
      </c>
      <c r="G607" s="1959" t="s">
        <v>3354</v>
      </c>
      <c r="H607" s="1965" t="s">
        <v>3288</v>
      </c>
      <c r="I607" s="1961">
        <f>VLOOKUP(H599,'LƯƠNG KT'!$D$16:$V$108,14,0)</f>
        <v>0</v>
      </c>
      <c r="J607" s="1964">
        <v>100000</v>
      </c>
      <c r="K607" s="1962">
        <f>I607*J607</f>
        <v>0</v>
      </c>
    </row>
    <row r="608" spans="1:11" ht="12.75" customHeight="1">
      <c r="A608" s="1959" t="s">
        <v>3355</v>
      </c>
      <c r="B608" s="1965" t="s">
        <v>3288</v>
      </c>
      <c r="C608" s="1961">
        <f>VLOOKUP(B599,'LƯƠNG KT'!$D$16:$V$108,17,0)</f>
        <v>0</v>
      </c>
      <c r="D608" s="1964">
        <v>20000</v>
      </c>
      <c r="E608" s="1962">
        <f>C608*D608</f>
        <v>0</v>
      </c>
      <c r="G608" s="1959" t="s">
        <v>3355</v>
      </c>
      <c r="H608" s="1965" t="s">
        <v>3288</v>
      </c>
      <c r="I608" s="1961">
        <f>VLOOKUP(H599,'LƯƠNG KT'!$D$16:$V$108,17,0)</f>
        <v>0</v>
      </c>
      <c r="J608" s="1964">
        <v>20000</v>
      </c>
      <c r="K608" s="1962">
        <f>I608*J608</f>
        <v>0</v>
      </c>
    </row>
    <row r="609" spans="1:11" ht="12.75" customHeight="1">
      <c r="A609" s="1959" t="s">
        <v>3289</v>
      </c>
      <c r="B609" s="1965" t="s">
        <v>3290</v>
      </c>
      <c r="C609" s="1966"/>
      <c r="D609" s="1964"/>
      <c r="E609" s="1962"/>
      <c r="G609" s="1959" t="s">
        <v>3289</v>
      </c>
      <c r="H609" s="1965" t="s">
        <v>3290</v>
      </c>
      <c r="I609" s="1966"/>
      <c r="J609" s="1964"/>
      <c r="K609" s="1962"/>
    </row>
    <row r="610" spans="1:11" ht="12.75" customHeight="1">
      <c r="A610" s="1968" t="s">
        <v>377</v>
      </c>
      <c r="B610" s="1969" t="s">
        <v>3291</v>
      </c>
      <c r="C610" s="1970"/>
      <c r="D610" s="1971"/>
      <c r="E610" s="1970"/>
      <c r="G610" s="1968" t="s">
        <v>377</v>
      </c>
      <c r="H610" s="1969" t="s">
        <v>3291</v>
      </c>
      <c r="I610" s="1970"/>
      <c r="J610" s="1971"/>
      <c r="K610" s="1970"/>
    </row>
    <row r="611" spans="1:11" ht="12.75" customHeight="1">
      <c r="A611" s="1972" t="s">
        <v>379</v>
      </c>
      <c r="B611" s="1973" t="s">
        <v>3292</v>
      </c>
      <c r="C611" s="1970"/>
      <c r="D611" s="1970"/>
      <c r="E611" s="1970"/>
      <c r="G611" s="1972" t="s">
        <v>379</v>
      </c>
      <c r="H611" s="1973" t="s">
        <v>3292</v>
      </c>
      <c r="I611" s="1970"/>
      <c r="J611" s="1970"/>
      <c r="K611" s="1970"/>
    </row>
    <row r="612" spans="1:11" ht="12.75" customHeight="1">
      <c r="A612" s="1972" t="s">
        <v>381</v>
      </c>
      <c r="B612" s="1974" t="s">
        <v>3293</v>
      </c>
      <c r="C612" s="1970"/>
      <c r="D612" s="1970"/>
      <c r="E612" s="1962">
        <f>SUM(E611)</f>
        <v>0</v>
      </c>
      <c r="G612" s="1972" t="s">
        <v>381</v>
      </c>
      <c r="H612" s="1974" t="s">
        <v>3293</v>
      </c>
      <c r="I612" s="1970"/>
      <c r="J612" s="1970"/>
      <c r="K612" s="1962">
        <f>SUM(K611)</f>
        <v>0</v>
      </c>
    </row>
    <row r="613" spans="1:11" ht="12.75" customHeight="1">
      <c r="A613" s="1975" t="s">
        <v>383</v>
      </c>
      <c r="B613" s="1976" t="s">
        <v>3294</v>
      </c>
      <c r="C613" s="1977"/>
      <c r="D613" s="1977"/>
      <c r="E613" s="1978" t="e">
        <f>(E601+E602+E603+E604+E605+E606+E607+E608+E609)-E612</f>
        <v>#VALUE!</v>
      </c>
      <c r="G613" s="1975" t="s">
        <v>383</v>
      </c>
      <c r="H613" s="1976" t="s">
        <v>3294</v>
      </c>
      <c r="I613" s="1977"/>
      <c r="J613" s="1977"/>
      <c r="K613" s="1978" t="e">
        <f>(K601+K602+K603+K604+K605+K606+K607+K608+K609)-K612</f>
        <v>#VALUE!</v>
      </c>
    </row>
    <row r="615" spans="1:11" ht="12.75" customHeight="1">
      <c r="A615" s="2953" t="s">
        <v>3356</v>
      </c>
      <c r="B615" s="2954"/>
      <c r="C615" s="2954"/>
      <c r="D615" s="2954"/>
      <c r="E615" s="1955">
        <f>VLOOKUP(B616,'LƯƠNG KT'!$D$16:$AD$108,25,0)</f>
        <v>0</v>
      </c>
      <c r="G615" s="2953" t="s">
        <v>3356</v>
      </c>
      <c r="H615" s="2954"/>
      <c r="I615" s="2954"/>
      <c r="J615" s="2954"/>
      <c r="K615" s="1955">
        <f>VLOOKUP(H616,'LƯƠNG KT'!$D$16:$AD$108,25,0)</f>
        <v>0</v>
      </c>
    </row>
    <row r="616" spans="1:11" ht="12.75" customHeight="1">
      <c r="A616" s="1956" t="s">
        <v>356</v>
      </c>
      <c r="B616" s="1956" t="str">
        <f>'LƯƠNG KT'!$D$88</f>
        <v>A Xít</v>
      </c>
      <c r="C616" s="1957"/>
      <c r="D616" s="1958" t="s">
        <v>2357</v>
      </c>
      <c r="E616" s="1958" t="s">
        <v>2156</v>
      </c>
      <c r="G616" s="1956" t="s">
        <v>356</v>
      </c>
      <c r="H616" s="1956" t="str">
        <f>'LƯƠNG KT'!$D$89</f>
        <v>A. Nóc</v>
      </c>
      <c r="I616" s="1957"/>
      <c r="J616" s="1958" t="s">
        <v>2357</v>
      </c>
      <c r="K616" s="1958" t="s">
        <v>2156</v>
      </c>
    </row>
    <row r="617" spans="1:11" ht="12.75" customHeight="1">
      <c r="A617" s="1959" t="s">
        <v>3005</v>
      </c>
      <c r="B617" s="1960" t="s">
        <v>3278</v>
      </c>
      <c r="C617" s="1961">
        <f>VLOOKUP(B616,'LƯƠNG KT'!$D$16:$M$108,8,0)</f>
        <v>147.14301145035213</v>
      </c>
      <c r="D617" s="1962"/>
      <c r="E617" s="1962"/>
      <c r="G617" s="1959" t="s">
        <v>3005</v>
      </c>
      <c r="H617" s="1960" t="s">
        <v>3278</v>
      </c>
      <c r="I617" s="1961">
        <f>VLOOKUP(H616,'LƯƠNG KT'!$D$16:$M$108,8,0)</f>
        <v>200.57483125075933</v>
      </c>
      <c r="J617" s="1962"/>
      <c r="K617" s="1962"/>
    </row>
    <row r="618" spans="1:11" ht="12.75" customHeight="1">
      <c r="A618" s="1959" t="s">
        <v>359</v>
      </c>
      <c r="B618" s="1963" t="s">
        <v>2090</v>
      </c>
      <c r="C618" s="1961">
        <f>VLOOKUP(B616,'LƯƠNG KT'!$D$16:$V$108,3,0)</f>
        <v>0</v>
      </c>
      <c r="D618" s="1964">
        <v>25000</v>
      </c>
      <c r="E618" s="1962">
        <f>C618*D618</f>
        <v>0</v>
      </c>
      <c r="G618" s="1959" t="s">
        <v>359</v>
      </c>
      <c r="H618" s="1963" t="s">
        <v>2090</v>
      </c>
      <c r="I618" s="1961">
        <f>VLOOKUP(H616,'LƯƠNG KT'!$D$16:$V$108,3,0)</f>
        <v>0</v>
      </c>
      <c r="J618" s="1964">
        <v>25000</v>
      </c>
      <c r="K618" s="1962">
        <f>I618*J618</f>
        <v>0</v>
      </c>
    </row>
    <row r="619" spans="1:11" ht="12.75" customHeight="1">
      <c r="A619" s="1959" t="s">
        <v>3279</v>
      </c>
      <c r="B619" s="1965" t="s">
        <v>3280</v>
      </c>
      <c r="C619" s="1961" t="str">
        <f>VLOOKUP(B616,'LƯƠNG KT'!$D$16:$V$108,10,0)</f>
        <v>B</v>
      </c>
      <c r="D619" s="1967">
        <f>46.1*$C$1</f>
        <v>30792.956000000002</v>
      </c>
      <c r="E619" s="1962" t="e">
        <f t="shared" ref="E619:E623" si="72">C619*D619</f>
        <v>#VALUE!</v>
      </c>
      <c r="G619" s="1959" t="s">
        <v>3279</v>
      </c>
      <c r="H619" s="1965" t="s">
        <v>3280</v>
      </c>
      <c r="I619" s="1961" t="str">
        <f>VLOOKUP(H616,'LƯƠNG KT'!$D$16:$V$108,10,0)</f>
        <v>B</v>
      </c>
      <c r="J619" s="1967">
        <f>46.1*$C$1</f>
        <v>30792.956000000002</v>
      </c>
      <c r="K619" s="1962" t="e">
        <f t="shared" ref="K619:K623" si="73">I619*J619</f>
        <v>#VALUE!</v>
      </c>
    </row>
    <row r="620" spans="1:11" ht="12.75" customHeight="1">
      <c r="A620" s="1959" t="s">
        <v>3281</v>
      </c>
      <c r="B620" s="1965" t="s">
        <v>3282</v>
      </c>
      <c r="C620" s="1961">
        <f>VLOOKUP(B616,'LƯƠNG KT'!$D$16:$V$108,11,0)</f>
        <v>4483432</v>
      </c>
      <c r="D620" s="1964">
        <f>76.9*$C$1</f>
        <v>51366.124000000003</v>
      </c>
      <c r="E620" s="1962">
        <f t="shared" si="72"/>
        <v>230296524057.56802</v>
      </c>
      <c r="G620" s="1959" t="s">
        <v>3281</v>
      </c>
      <c r="H620" s="1965" t="s">
        <v>3282</v>
      </c>
      <c r="I620" s="1961">
        <f>VLOOKUP(H616,'LƯƠNG KT'!$D$16:$V$108,11,0)</f>
        <v>6111493</v>
      </c>
      <c r="J620" s="1964">
        <f>76.9*$C$1</f>
        <v>51366.124000000003</v>
      </c>
      <c r="K620" s="1962">
        <f t="shared" si="73"/>
        <v>313923707263.13202</v>
      </c>
    </row>
    <row r="621" spans="1:11" ht="12.75" customHeight="1">
      <c r="A621" s="1959" t="s">
        <v>374</v>
      </c>
      <c r="B621" s="1965" t="s">
        <v>3283</v>
      </c>
      <c r="C621" s="1961">
        <f>VLOOKUP(B616,'LƯƠNG KT'!$D$16:$V$108,7,0)</f>
        <v>1141.1993765404466</v>
      </c>
      <c r="D621" s="1964">
        <f>IF(C617="A",6.1,IF(C617="B",5.8,IF(C617="C",5.5,IF(C617="C.",5.5,IF(C617="D",5.2)))))*$C$1</f>
        <v>0</v>
      </c>
      <c r="E621" s="1962">
        <f t="shared" si="72"/>
        <v>0</v>
      </c>
      <c r="G621" s="1959" t="s">
        <v>374</v>
      </c>
      <c r="H621" s="1965" t="s">
        <v>3283</v>
      </c>
      <c r="I621" s="1961">
        <f>VLOOKUP(H616,'LƯƠNG KT'!$D$16:$V$108,7,0)</f>
        <v>1555.6013847813911</v>
      </c>
      <c r="J621" s="1964">
        <f>IF(I617="A",6.1,IF(I617="B",5.8,IF(I617="C",5.5,IF(I617="C.",5.5,IF(I617="D",5.2)))))*$C$1</f>
        <v>0</v>
      </c>
      <c r="K621" s="1962">
        <f t="shared" si="73"/>
        <v>0</v>
      </c>
    </row>
    <row r="622" spans="1:11" ht="12.75" customHeight="1">
      <c r="A622" s="1959" t="s">
        <v>3296</v>
      </c>
      <c r="B622" s="1965" t="s">
        <v>3285</v>
      </c>
      <c r="C622" s="1961">
        <f>VLOOKUP(B616,'LƯƠNG KT'!$D$16:$V$108,12,0)</f>
        <v>16</v>
      </c>
      <c r="D622" s="1967">
        <f>92.2*$C$1</f>
        <v>61585.912000000004</v>
      </c>
      <c r="E622" s="1962">
        <f t="shared" si="72"/>
        <v>985374.59200000006</v>
      </c>
      <c r="G622" s="1959" t="s">
        <v>3296</v>
      </c>
      <c r="H622" s="1965" t="s">
        <v>3285</v>
      </c>
      <c r="I622" s="1961">
        <f>VLOOKUP(H616,'LƯƠNG KT'!$D$16:$V$108,12,0)</f>
        <v>24</v>
      </c>
      <c r="J622" s="1967">
        <f>92.2*$C$1</f>
        <v>61585.912000000004</v>
      </c>
      <c r="K622" s="1962">
        <f t="shared" si="73"/>
        <v>1478061.888</v>
      </c>
    </row>
    <row r="623" spans="1:11" ht="12.75" customHeight="1">
      <c r="A623" s="1959" t="s">
        <v>3297</v>
      </c>
      <c r="B623" s="1965" t="s">
        <v>3287</v>
      </c>
      <c r="C623" s="1961">
        <f>VLOOKUP(B616,'LƯƠNG KT'!$D$16:$V$108,13,0)</f>
        <v>2</v>
      </c>
      <c r="D623" s="1964">
        <f>153.8*$C$1</f>
        <v>102732.24800000001</v>
      </c>
      <c r="E623" s="1962">
        <f t="shared" si="72"/>
        <v>205464.49600000001</v>
      </c>
      <c r="G623" s="1959" t="s">
        <v>3297</v>
      </c>
      <c r="H623" s="1965" t="s">
        <v>3287</v>
      </c>
      <c r="I623" s="1961">
        <f>VLOOKUP(H616,'LƯƠNG KT'!$D$16:$V$108,13,0)</f>
        <v>3</v>
      </c>
      <c r="J623" s="1964">
        <f>153.8*$C$1</f>
        <v>102732.24800000001</v>
      </c>
      <c r="K623" s="1962">
        <f t="shared" si="73"/>
        <v>308196.74400000001</v>
      </c>
    </row>
    <row r="624" spans="1:11" ht="12.75" customHeight="1">
      <c r="A624" s="1959" t="s">
        <v>3354</v>
      </c>
      <c r="B624" s="1965" t="s">
        <v>3288</v>
      </c>
      <c r="C624" s="1961">
        <f>VLOOKUP(B616,'LƯƠNG KT'!$D$16:$V$108,14,0)</f>
        <v>0</v>
      </c>
      <c r="D624" s="1964">
        <v>100000</v>
      </c>
      <c r="E624" s="1962">
        <f>C624*D624</f>
        <v>0</v>
      </c>
      <c r="G624" s="1959" t="s">
        <v>3354</v>
      </c>
      <c r="H624" s="1965" t="s">
        <v>3288</v>
      </c>
      <c r="I624" s="1961">
        <f>VLOOKUP(H616,'LƯƠNG KT'!$D$16:$V$108,14,0)</f>
        <v>0</v>
      </c>
      <c r="J624" s="1964">
        <v>100000</v>
      </c>
      <c r="K624" s="1962">
        <f>I624*J624</f>
        <v>0</v>
      </c>
    </row>
    <row r="625" spans="1:11" ht="12.75" customHeight="1">
      <c r="A625" s="1959" t="s">
        <v>3355</v>
      </c>
      <c r="B625" s="1965" t="s">
        <v>3288</v>
      </c>
      <c r="C625" s="1961">
        <f>VLOOKUP(B616,'LƯƠNG KT'!$D$16:$V$108,17,0)</f>
        <v>0</v>
      </c>
      <c r="D625" s="1964">
        <v>20000</v>
      </c>
      <c r="E625" s="1962">
        <f>C625*D625</f>
        <v>0</v>
      </c>
      <c r="G625" s="1959" t="s">
        <v>3355</v>
      </c>
      <c r="H625" s="1965" t="s">
        <v>3288</v>
      </c>
      <c r="I625" s="1961">
        <f>VLOOKUP(H616,'LƯƠNG KT'!$D$16:$V$108,17,0)</f>
        <v>0</v>
      </c>
      <c r="J625" s="1964">
        <v>20000</v>
      </c>
      <c r="K625" s="1962">
        <f>I625*J625</f>
        <v>0</v>
      </c>
    </row>
    <row r="626" spans="1:11" ht="12.75" customHeight="1">
      <c r="A626" s="1959" t="s">
        <v>3289</v>
      </c>
      <c r="B626" s="1965" t="s">
        <v>3290</v>
      </c>
      <c r="C626" s="1966"/>
      <c r="D626" s="1964"/>
      <c r="E626" s="1962"/>
      <c r="G626" s="1959" t="s">
        <v>3289</v>
      </c>
      <c r="H626" s="1965" t="s">
        <v>3290</v>
      </c>
      <c r="I626" s="1966"/>
      <c r="J626" s="1964"/>
      <c r="K626" s="1962"/>
    </row>
    <row r="627" spans="1:11" ht="12.75" customHeight="1">
      <c r="A627" s="1968" t="s">
        <v>377</v>
      </c>
      <c r="B627" s="1969" t="s">
        <v>3291</v>
      </c>
      <c r="C627" s="1970"/>
      <c r="D627" s="1971"/>
      <c r="E627" s="1970"/>
      <c r="G627" s="1968" t="s">
        <v>377</v>
      </c>
      <c r="H627" s="1969" t="s">
        <v>3291</v>
      </c>
      <c r="I627" s="1970"/>
      <c r="J627" s="1971"/>
      <c r="K627" s="1970"/>
    </row>
    <row r="628" spans="1:11" ht="12.75" customHeight="1">
      <c r="A628" s="1972" t="s">
        <v>379</v>
      </c>
      <c r="B628" s="1973" t="s">
        <v>3292</v>
      </c>
      <c r="C628" s="1970"/>
      <c r="D628" s="1970"/>
      <c r="E628" s="1970"/>
      <c r="G628" s="1972" t="s">
        <v>379</v>
      </c>
      <c r="H628" s="1973" t="s">
        <v>3292</v>
      </c>
      <c r="I628" s="1970"/>
      <c r="J628" s="1970"/>
      <c r="K628" s="1970"/>
    </row>
    <row r="629" spans="1:11" ht="12.75" customHeight="1">
      <c r="A629" s="1972" t="s">
        <v>381</v>
      </c>
      <c r="B629" s="1974" t="s">
        <v>3293</v>
      </c>
      <c r="C629" s="1970"/>
      <c r="D629" s="1970"/>
      <c r="E629" s="1962">
        <f>SUM(E628)</f>
        <v>0</v>
      </c>
      <c r="G629" s="1972" t="s">
        <v>381</v>
      </c>
      <c r="H629" s="1974" t="s">
        <v>3293</v>
      </c>
      <c r="I629" s="1970"/>
      <c r="J629" s="1970"/>
      <c r="K629" s="1962">
        <f>SUM(K628)</f>
        <v>0</v>
      </c>
    </row>
    <row r="630" spans="1:11" ht="12.75" customHeight="1">
      <c r="A630" s="1975" t="s">
        <v>383</v>
      </c>
      <c r="B630" s="1976" t="s">
        <v>3294</v>
      </c>
      <c r="C630" s="1977"/>
      <c r="D630" s="1977"/>
      <c r="E630" s="1978" t="e">
        <f>(E618+E619+E620+E621+E622+E623+E624+E625+E626)-E629</f>
        <v>#VALUE!</v>
      </c>
      <c r="G630" s="1975" t="s">
        <v>383</v>
      </c>
      <c r="H630" s="1976" t="s">
        <v>3294</v>
      </c>
      <c r="I630" s="1977"/>
      <c r="J630" s="1977"/>
      <c r="K630" s="1978" t="e">
        <f>(K618+K619+K620+K621+K622+K623+K624+K625+K626)-K629</f>
        <v>#VALUE!</v>
      </c>
    </row>
    <row r="632" spans="1:11" ht="12.75" customHeight="1">
      <c r="A632" s="2953" t="s">
        <v>3356</v>
      </c>
      <c r="B632" s="2954"/>
      <c r="C632" s="2954"/>
      <c r="D632" s="2954"/>
      <c r="E632" s="1955">
        <f>VLOOKUP(B633,'LƯƠNG KT'!$D$16:$AD$108,25,0)</f>
        <v>0</v>
      </c>
      <c r="G632" s="2953" t="s">
        <v>3356</v>
      </c>
      <c r="H632" s="2954"/>
      <c r="I632" s="2954"/>
      <c r="J632" s="2954"/>
      <c r="K632" s="1955">
        <f>VLOOKUP(H633,'LƯƠNG KT'!$D$16:$AD$108,25,0)</f>
        <v>0</v>
      </c>
    </row>
    <row r="633" spans="1:11" ht="12.75" customHeight="1">
      <c r="A633" s="1956" t="s">
        <v>356</v>
      </c>
      <c r="B633" s="1956" t="str">
        <f>'LƯƠNG KT'!$D$90</f>
        <v>Nàng Keo (63)</v>
      </c>
      <c r="C633" s="1957"/>
      <c r="D633" s="1958" t="s">
        <v>2357</v>
      </c>
      <c r="E633" s="1958" t="s">
        <v>2156</v>
      </c>
      <c r="G633" s="1956" t="s">
        <v>356</v>
      </c>
      <c r="H633" s="1956" t="str">
        <f>'LƯƠNG KT'!$D$91</f>
        <v>avan</v>
      </c>
      <c r="I633" s="1957"/>
      <c r="J633" s="1958" t="s">
        <v>2357</v>
      </c>
      <c r="K633" s="1958" t="s">
        <v>2156</v>
      </c>
    </row>
    <row r="634" spans="1:11" ht="12.75" customHeight="1">
      <c r="A634" s="1959" t="s">
        <v>3005</v>
      </c>
      <c r="B634" s="1960" t="s">
        <v>3278</v>
      </c>
      <c r="C634" s="1961">
        <f>VLOOKUP(B633,'LƯƠNG KT'!$D$16:$M$108,8,0)</f>
        <v>221.07072930753091</v>
      </c>
      <c r="D634" s="1962"/>
      <c r="E634" s="1962"/>
      <c r="G634" s="1959" t="s">
        <v>3005</v>
      </c>
      <c r="H634" s="1960" t="s">
        <v>3278</v>
      </c>
      <c r="I634" s="1961">
        <f>VLOOKUP(H633,'LƯƠNG KT'!$D$16:$M$108,8,0)</f>
        <v>198.82117152397674</v>
      </c>
      <c r="J634" s="1962"/>
      <c r="K634" s="1962"/>
    </row>
    <row r="635" spans="1:11" ht="12.75" customHeight="1">
      <c r="A635" s="1959" t="s">
        <v>359</v>
      </c>
      <c r="B635" s="1963" t="s">
        <v>2090</v>
      </c>
      <c r="C635" s="1961">
        <f>VLOOKUP(B633,'LƯƠNG KT'!$D$16:$V$108,3,0)</f>
        <v>0</v>
      </c>
      <c r="D635" s="1964">
        <v>25000</v>
      </c>
      <c r="E635" s="1962">
        <f>C635*D635</f>
        <v>0</v>
      </c>
      <c r="G635" s="1959" t="s">
        <v>359</v>
      </c>
      <c r="H635" s="1963" t="s">
        <v>2090</v>
      </c>
      <c r="I635" s="1961">
        <f>VLOOKUP(H633,'LƯƠNG KT'!$D$16:$V$108,3,0)</f>
        <v>0</v>
      </c>
      <c r="J635" s="1964">
        <v>25000</v>
      </c>
      <c r="K635" s="1962">
        <f>I635*J635</f>
        <v>0</v>
      </c>
    </row>
    <row r="636" spans="1:11" ht="12.75" customHeight="1">
      <c r="A636" s="1959" t="s">
        <v>3279</v>
      </c>
      <c r="B636" s="1965" t="s">
        <v>3280</v>
      </c>
      <c r="C636" s="1961" t="str">
        <f>VLOOKUP(B633,'LƯƠNG KT'!$D$16:$V$108,10,0)</f>
        <v>C.</v>
      </c>
      <c r="D636" s="1967">
        <f>46.1*$C$1</f>
        <v>30792.956000000002</v>
      </c>
      <c r="E636" s="1962" t="e">
        <f t="shared" ref="E636:E640" si="74">C636*D636</f>
        <v>#VALUE!</v>
      </c>
      <c r="G636" s="1959" t="s">
        <v>3279</v>
      </c>
      <c r="H636" s="1965" t="s">
        <v>3280</v>
      </c>
      <c r="I636" s="1961" t="str">
        <f>VLOOKUP(H633,'LƯƠNG KT'!$D$16:$V$108,10,0)</f>
        <v>C.</v>
      </c>
      <c r="J636" s="1967">
        <f>46.1*$C$1</f>
        <v>30792.956000000002</v>
      </c>
      <c r="K636" s="1962" t="e">
        <f t="shared" ref="K636:K640" si="75">I636*J636</f>
        <v>#VALUE!</v>
      </c>
    </row>
    <row r="637" spans="1:11" ht="12.75" customHeight="1">
      <c r="A637" s="1959" t="s">
        <v>3281</v>
      </c>
      <c r="B637" s="1965" t="s">
        <v>3282</v>
      </c>
      <c r="C637" s="1961">
        <f>VLOOKUP(B633,'LƯƠNG KT'!$D$16:$V$108,11,0)</f>
        <v>6387587</v>
      </c>
      <c r="D637" s="1964">
        <f>76.9*$C$1</f>
        <v>51366.124000000003</v>
      </c>
      <c r="E637" s="1962">
        <f t="shared" si="74"/>
        <v>328105585902.78802</v>
      </c>
      <c r="G637" s="1959" t="s">
        <v>3281</v>
      </c>
      <c r="H637" s="1965" t="s">
        <v>3282</v>
      </c>
      <c r="I637" s="1961">
        <f>VLOOKUP(H633,'LƯƠNG KT'!$D$16:$V$108,11,0)</f>
        <v>5744712</v>
      </c>
      <c r="J637" s="1964">
        <f>76.9*$C$1</f>
        <v>51366.124000000003</v>
      </c>
      <c r="K637" s="1962">
        <f t="shared" si="75"/>
        <v>295083588936.28802</v>
      </c>
    </row>
    <row r="638" spans="1:11" ht="12.75" customHeight="1">
      <c r="A638" s="1959" t="s">
        <v>374</v>
      </c>
      <c r="B638" s="1965" t="s">
        <v>3283</v>
      </c>
      <c r="C638" s="1961">
        <f>VLOOKUP(B633,'LƯƠNG KT'!$D$16:$V$108,7,0)</f>
        <v>1714.5617448656096</v>
      </c>
      <c r="D638" s="1964">
        <f>IF(C634="A",6.1,IF(C634="B",5.8,IF(C634="C",5.5,IF(C634="C.",5.5,IF(C634="D",5.2)))))*$C$1</f>
        <v>0</v>
      </c>
      <c r="E638" s="1962">
        <f t="shared" si="74"/>
        <v>0</v>
      </c>
      <c r="G638" s="1959" t="s">
        <v>374</v>
      </c>
      <c r="H638" s="1965" t="s">
        <v>3283</v>
      </c>
      <c r="I638" s="1961">
        <f>VLOOKUP(H633,'LƯƠNG KT'!$D$16:$V$108,7,0)</f>
        <v>1542.0004983570727</v>
      </c>
      <c r="J638" s="1964">
        <f>IF(I634="A",6.1,IF(I634="B",5.8,IF(I634="C",5.5,IF(I634="C.",5.5,IF(I634="D",5.2)))))*$C$1</f>
        <v>0</v>
      </c>
      <c r="K638" s="1962">
        <f t="shared" si="75"/>
        <v>0</v>
      </c>
    </row>
    <row r="639" spans="1:11" ht="12.75" customHeight="1">
      <c r="A639" s="1959" t="s">
        <v>3296</v>
      </c>
      <c r="B639" s="1965" t="s">
        <v>3285</v>
      </c>
      <c r="C639" s="1961">
        <f>VLOOKUP(B633,'LƯƠNG KT'!$D$16:$V$108,12,0)</f>
        <v>20</v>
      </c>
      <c r="D639" s="1967">
        <f>92.2*$C$1</f>
        <v>61585.912000000004</v>
      </c>
      <c r="E639" s="1962">
        <f t="shared" si="74"/>
        <v>1231718.24</v>
      </c>
      <c r="G639" s="1959" t="s">
        <v>3296</v>
      </c>
      <c r="H639" s="1965" t="s">
        <v>3285</v>
      </c>
      <c r="I639" s="1961">
        <f>VLOOKUP(H633,'LƯƠNG KT'!$D$16:$V$108,12,0)</f>
        <v>18</v>
      </c>
      <c r="J639" s="1967">
        <f>92.2*$C$1</f>
        <v>61585.912000000004</v>
      </c>
      <c r="K639" s="1962">
        <f t="shared" si="75"/>
        <v>1108546.416</v>
      </c>
    </row>
    <row r="640" spans="1:11" ht="12.75" customHeight="1">
      <c r="A640" s="1959" t="s">
        <v>3297</v>
      </c>
      <c r="B640" s="1965" t="s">
        <v>3287</v>
      </c>
      <c r="C640" s="1961">
        <f>VLOOKUP(B633,'LƯƠNG KT'!$D$16:$V$108,13,0)</f>
        <v>2</v>
      </c>
      <c r="D640" s="1964">
        <f>153.8*$C$1</f>
        <v>102732.24800000001</v>
      </c>
      <c r="E640" s="1962">
        <f t="shared" si="74"/>
        <v>205464.49600000001</v>
      </c>
      <c r="G640" s="1959" t="s">
        <v>3297</v>
      </c>
      <c r="H640" s="1965" t="s">
        <v>3287</v>
      </c>
      <c r="I640" s="1961">
        <f>VLOOKUP(H633,'LƯƠNG KT'!$D$16:$V$108,13,0)</f>
        <v>1</v>
      </c>
      <c r="J640" s="1964">
        <f>153.8*$C$1</f>
        <v>102732.24800000001</v>
      </c>
      <c r="K640" s="1962">
        <f t="shared" si="75"/>
        <v>102732.24800000001</v>
      </c>
    </row>
    <row r="641" spans="1:11" ht="12.75" customHeight="1">
      <c r="A641" s="1959" t="s">
        <v>3354</v>
      </c>
      <c r="B641" s="1965" t="s">
        <v>3288</v>
      </c>
      <c r="C641" s="1961">
        <f>VLOOKUP(B633,'LƯƠNG KT'!$D$16:$V$108,14,0)</f>
        <v>0</v>
      </c>
      <c r="D641" s="1964">
        <v>100000</v>
      </c>
      <c r="E641" s="1962">
        <f>C641*D641</f>
        <v>0</v>
      </c>
      <c r="G641" s="1959" t="s">
        <v>3354</v>
      </c>
      <c r="H641" s="1965" t="s">
        <v>3288</v>
      </c>
      <c r="I641" s="1961">
        <f>VLOOKUP(H633,'LƯƠNG KT'!$D$16:$V$108,14,0)</f>
        <v>0</v>
      </c>
      <c r="J641" s="1964">
        <v>100000</v>
      </c>
      <c r="K641" s="1962">
        <f>I641*J641</f>
        <v>0</v>
      </c>
    </row>
    <row r="642" spans="1:11" ht="12.75" customHeight="1">
      <c r="A642" s="1959" t="s">
        <v>3355</v>
      </c>
      <c r="B642" s="1965" t="s">
        <v>3288</v>
      </c>
      <c r="C642" s="1961">
        <f>VLOOKUP(B633,'LƯƠNG KT'!$D$16:$V$108,17,0)</f>
        <v>0</v>
      </c>
      <c r="D642" s="1964">
        <v>20000</v>
      </c>
      <c r="E642" s="1962">
        <f>C642*D642</f>
        <v>0</v>
      </c>
      <c r="G642" s="1959" t="s">
        <v>3355</v>
      </c>
      <c r="H642" s="1965" t="s">
        <v>3288</v>
      </c>
      <c r="I642" s="1961">
        <f>VLOOKUP(H633,'LƯƠNG KT'!$D$16:$V$108,17,0)</f>
        <v>0</v>
      </c>
      <c r="J642" s="1964">
        <v>20000</v>
      </c>
      <c r="K642" s="1962">
        <f>I642*J642</f>
        <v>0</v>
      </c>
    </row>
    <row r="643" spans="1:11" ht="12.75" customHeight="1">
      <c r="A643" s="1959" t="s">
        <v>3289</v>
      </c>
      <c r="B643" s="1965" t="s">
        <v>3290</v>
      </c>
      <c r="C643" s="1966"/>
      <c r="D643" s="1964"/>
      <c r="E643" s="1962"/>
      <c r="G643" s="1959" t="s">
        <v>3289</v>
      </c>
      <c r="H643" s="1965" t="s">
        <v>3290</v>
      </c>
      <c r="I643" s="1966"/>
      <c r="J643" s="1964"/>
      <c r="K643" s="1962"/>
    </row>
    <row r="644" spans="1:11" ht="12.75" customHeight="1">
      <c r="A644" s="1968" t="s">
        <v>377</v>
      </c>
      <c r="B644" s="1969" t="s">
        <v>3291</v>
      </c>
      <c r="C644" s="1970"/>
      <c r="D644" s="1971"/>
      <c r="E644" s="1970"/>
      <c r="G644" s="1968" t="s">
        <v>377</v>
      </c>
      <c r="H644" s="1969" t="s">
        <v>3291</v>
      </c>
      <c r="I644" s="1970"/>
      <c r="J644" s="1971"/>
      <c r="K644" s="1970"/>
    </row>
    <row r="645" spans="1:11" ht="12.75" customHeight="1">
      <c r="A645" s="1972" t="s">
        <v>379</v>
      </c>
      <c r="B645" s="1973" t="s">
        <v>3292</v>
      </c>
      <c r="C645" s="1970"/>
      <c r="D645" s="1970"/>
      <c r="E645" s="1970"/>
      <c r="G645" s="1972" t="s">
        <v>379</v>
      </c>
      <c r="H645" s="1973" t="s">
        <v>3292</v>
      </c>
      <c r="I645" s="1970"/>
      <c r="J645" s="1970"/>
      <c r="K645" s="1970"/>
    </row>
    <row r="646" spans="1:11" ht="12.75" customHeight="1">
      <c r="A646" s="1972" t="s">
        <v>381</v>
      </c>
      <c r="B646" s="1974" t="s">
        <v>3293</v>
      </c>
      <c r="C646" s="1970"/>
      <c r="D646" s="1970"/>
      <c r="E646" s="1962">
        <f>SUM(E645)</f>
        <v>0</v>
      </c>
      <c r="G646" s="1972" t="s">
        <v>381</v>
      </c>
      <c r="H646" s="1974" t="s">
        <v>3293</v>
      </c>
      <c r="I646" s="1970"/>
      <c r="J646" s="1970"/>
      <c r="K646" s="1962">
        <f>SUM(K645)</f>
        <v>0</v>
      </c>
    </row>
    <row r="647" spans="1:11" ht="12.75" customHeight="1">
      <c r="A647" s="1975" t="s">
        <v>383</v>
      </c>
      <c r="B647" s="1976" t="s">
        <v>3294</v>
      </c>
      <c r="C647" s="1977"/>
      <c r="D647" s="1977"/>
      <c r="E647" s="1978" t="e">
        <f>(E635+E636+E637+E638+E639+E640+E641+E642+E643)-E646</f>
        <v>#VALUE!</v>
      </c>
      <c r="G647" s="1975" t="s">
        <v>383</v>
      </c>
      <c r="H647" s="1976" t="s">
        <v>3294</v>
      </c>
      <c r="I647" s="1977"/>
      <c r="J647" s="1977"/>
      <c r="K647" s="1978" t="e">
        <f>(K635+K636+K637+K638+K639+K640+K641+K642+K643)-K646</f>
        <v>#VALUE!</v>
      </c>
    </row>
    <row r="649" spans="1:11" ht="12.75" customHeight="1">
      <c r="A649" s="2953" t="s">
        <v>3356</v>
      </c>
      <c r="B649" s="2954"/>
      <c r="C649" s="2954"/>
      <c r="D649" s="2954"/>
      <c r="E649" s="1955">
        <f>VLOOKUP(B650,'LƯƠNG KT'!$D$16:$AD$108,25,0)</f>
        <v>0</v>
      </c>
      <c r="G649" s="2953" t="s">
        <v>3356</v>
      </c>
      <c r="H649" s="2954"/>
      <c r="I649" s="2954"/>
      <c r="J649" s="2954"/>
      <c r="K649" s="1955">
        <f>VLOOKUP(H650,'LƯƠNG KT'!$D$16:$AD$108,25,0)</f>
        <v>0</v>
      </c>
    </row>
    <row r="650" spans="1:11" ht="12.75" customHeight="1">
      <c r="A650" s="1956" t="s">
        <v>356</v>
      </c>
      <c r="B650" s="1956" t="str">
        <f>'LƯƠNG KT'!$D$92</f>
        <v>A thít</v>
      </c>
      <c r="C650" s="1957"/>
      <c r="D650" s="1958" t="s">
        <v>2357</v>
      </c>
      <c r="E650" s="1958" t="s">
        <v>2156</v>
      </c>
      <c r="G650" s="1956" t="s">
        <v>356</v>
      </c>
      <c r="H650" s="1956" t="str">
        <f>'LƯƠNG KT'!$D$93</f>
        <v>Món</v>
      </c>
      <c r="I650" s="1957"/>
      <c r="J650" s="1958" t="s">
        <v>2357</v>
      </c>
      <c r="K650" s="1958" t="s">
        <v>2156</v>
      </c>
    </row>
    <row r="651" spans="1:11" ht="12.75" customHeight="1">
      <c r="A651" s="1959" t="s">
        <v>3005</v>
      </c>
      <c r="B651" s="1960" t="s">
        <v>3278</v>
      </c>
      <c r="C651" s="1961">
        <f>VLOOKUP(B650,'LƯƠNG KT'!$D$16:$M$108,8,0)</f>
        <v>120.78331368215125</v>
      </c>
      <c r="D651" s="1962"/>
      <c r="E651" s="1962"/>
      <c r="G651" s="1959" t="s">
        <v>3005</v>
      </c>
      <c r="H651" s="1960" t="s">
        <v>3278</v>
      </c>
      <c r="I651" s="1961">
        <f>VLOOKUP(H650,'LƯƠNG KT'!$D$16:$M$108,8,0)</f>
        <v>50.472519011461571</v>
      </c>
      <c r="J651" s="1962"/>
      <c r="K651" s="1962"/>
    </row>
    <row r="652" spans="1:11" ht="12.75" customHeight="1">
      <c r="A652" s="1959" t="s">
        <v>359</v>
      </c>
      <c r="B652" s="1963" t="s">
        <v>2090</v>
      </c>
      <c r="C652" s="1961">
        <f>VLOOKUP(B650,'LƯƠNG KT'!$D$16:$V$108,3,0)</f>
        <v>0</v>
      </c>
      <c r="D652" s="1964">
        <v>25000</v>
      </c>
      <c r="E652" s="1962">
        <f>C652*D652</f>
        <v>0</v>
      </c>
      <c r="G652" s="1959" t="s">
        <v>359</v>
      </c>
      <c r="H652" s="1963" t="s">
        <v>2090</v>
      </c>
      <c r="I652" s="1961">
        <f>VLOOKUP(H650,'LƯƠNG KT'!$D$16:$V$108,3,0)</f>
        <v>0</v>
      </c>
      <c r="J652" s="1964">
        <v>25000</v>
      </c>
      <c r="K652" s="1962">
        <f>I652*J652</f>
        <v>0</v>
      </c>
    </row>
    <row r="653" spans="1:11" ht="12.75" customHeight="1">
      <c r="A653" s="1959" t="s">
        <v>3279</v>
      </c>
      <c r="B653" s="1965" t="s">
        <v>3280</v>
      </c>
      <c r="C653" s="1961" t="str">
        <f>VLOOKUP(B650,'LƯƠNG KT'!$D$16:$V$108,10,0)</f>
        <v>C.</v>
      </c>
      <c r="D653" s="1967">
        <f>46.1*$C$1</f>
        <v>30792.956000000002</v>
      </c>
      <c r="E653" s="1962" t="e">
        <f t="shared" ref="E653:E657" si="76">C653*D653</f>
        <v>#VALUE!</v>
      </c>
      <c r="G653" s="1959" t="s">
        <v>3279</v>
      </c>
      <c r="H653" s="1965" t="s">
        <v>3280</v>
      </c>
      <c r="I653" s="1961" t="str">
        <f>VLOOKUP(H650,'LƯƠNG KT'!$D$16:$V$108,10,0)</f>
        <v>C.</v>
      </c>
      <c r="J653" s="1967">
        <f>46.1*$C$1</f>
        <v>30792.956000000002</v>
      </c>
      <c r="K653" s="1962" t="e">
        <f t="shared" ref="K653:K657" si="77">I653*J653</f>
        <v>#VALUE!</v>
      </c>
    </row>
    <row r="654" spans="1:11" ht="12.75" customHeight="1">
      <c r="A654" s="1959" t="s">
        <v>3281</v>
      </c>
      <c r="B654" s="1965" t="s">
        <v>3282</v>
      </c>
      <c r="C654" s="1961">
        <f>VLOOKUP(B650,'LƯƠNG KT'!$D$16:$V$108,11,0)</f>
        <v>3489896</v>
      </c>
      <c r="D654" s="1964">
        <f>76.9*$C$1</f>
        <v>51366.124000000003</v>
      </c>
      <c r="E654" s="1962">
        <f t="shared" si="76"/>
        <v>179262430683.104</v>
      </c>
      <c r="G654" s="1959" t="s">
        <v>3281</v>
      </c>
      <c r="H654" s="1965" t="s">
        <v>3282</v>
      </c>
      <c r="I654" s="1961">
        <f>VLOOKUP(H650,'LƯƠNG KT'!$D$16:$V$108,11,0)</f>
        <v>1458346</v>
      </c>
      <c r="J654" s="1964">
        <f>76.9*$C$1</f>
        <v>51366.124000000003</v>
      </c>
      <c r="K654" s="1962">
        <f t="shared" si="77"/>
        <v>74909581470.904007</v>
      </c>
    </row>
    <row r="655" spans="1:11" ht="12.75" customHeight="1">
      <c r="A655" s="1959" t="s">
        <v>374</v>
      </c>
      <c r="B655" s="1965" t="s">
        <v>3283</v>
      </c>
      <c r="C655" s="1961">
        <f>VLOOKUP(B650,'LƯƠNG KT'!$D$16:$V$108,7,0)</f>
        <v>936.7610524749141</v>
      </c>
      <c r="D655" s="1964">
        <f>IF(C651="A",6.1,IF(C651="B",5.8,IF(C651="C",5.5,IF(C651="C.",5.5,IF(C651="D",5.2)))))*$C$1</f>
        <v>0</v>
      </c>
      <c r="E655" s="1962">
        <f t="shared" si="76"/>
        <v>0</v>
      </c>
      <c r="G655" s="1959" t="s">
        <v>374</v>
      </c>
      <c r="H655" s="1965" t="s">
        <v>3283</v>
      </c>
      <c r="I655" s="1961">
        <f>VLOOKUP(H650,'LƯƠNG KT'!$D$16:$V$108,7,0)</f>
        <v>391.45051239990738</v>
      </c>
      <c r="J655" s="1964">
        <f>IF(I651="A",6.1,IF(I651="B",5.8,IF(I651="C",5.5,IF(I651="C.",5.5,IF(I651="D",5.2)))))*$C$1</f>
        <v>0</v>
      </c>
      <c r="K655" s="1962">
        <f t="shared" si="77"/>
        <v>0</v>
      </c>
    </row>
    <row r="656" spans="1:11" ht="12.75" customHeight="1">
      <c r="A656" s="1959" t="s">
        <v>3296</v>
      </c>
      <c r="B656" s="1965" t="s">
        <v>3285</v>
      </c>
      <c r="C656" s="1961">
        <f>VLOOKUP(B650,'LƯƠNG KT'!$D$16:$V$108,12,0)</f>
        <v>14</v>
      </c>
      <c r="D656" s="1967">
        <f>92.2*$C$1</f>
        <v>61585.912000000004</v>
      </c>
      <c r="E656" s="1962">
        <f t="shared" si="76"/>
        <v>862202.76800000004</v>
      </c>
      <c r="G656" s="1959" t="s">
        <v>3296</v>
      </c>
      <c r="H656" s="1965" t="s">
        <v>3285</v>
      </c>
      <c r="I656" s="1961">
        <f>VLOOKUP(H650,'LƯƠNG KT'!$D$16:$V$108,12,0)</f>
        <v>9</v>
      </c>
      <c r="J656" s="1967">
        <f>92.2*$C$1</f>
        <v>61585.912000000004</v>
      </c>
      <c r="K656" s="1962">
        <f t="shared" si="77"/>
        <v>554273.20799999998</v>
      </c>
    </row>
    <row r="657" spans="1:11" ht="12.75" customHeight="1">
      <c r="A657" s="1959" t="s">
        <v>3297</v>
      </c>
      <c r="B657" s="1965" t="s">
        <v>3287</v>
      </c>
      <c r="C657" s="1961">
        <f>VLOOKUP(B650,'LƯƠNG KT'!$D$16:$V$108,13,0)</f>
        <v>1</v>
      </c>
      <c r="D657" s="1964">
        <f>153.8*$C$1</f>
        <v>102732.24800000001</v>
      </c>
      <c r="E657" s="1962">
        <f t="shared" si="76"/>
        <v>102732.24800000001</v>
      </c>
      <c r="G657" s="1959" t="s">
        <v>3297</v>
      </c>
      <c r="H657" s="1965" t="s">
        <v>3287</v>
      </c>
      <c r="I657" s="1961">
        <f>VLOOKUP(H650,'LƯƠNG KT'!$D$16:$V$108,13,0)</f>
        <v>2</v>
      </c>
      <c r="J657" s="1964">
        <f>153.8*$C$1</f>
        <v>102732.24800000001</v>
      </c>
      <c r="K657" s="1962">
        <f t="shared" si="77"/>
        <v>205464.49600000001</v>
      </c>
    </row>
    <row r="658" spans="1:11" ht="12.75" customHeight="1">
      <c r="A658" s="1959" t="s">
        <v>3354</v>
      </c>
      <c r="B658" s="1965" t="s">
        <v>3288</v>
      </c>
      <c r="C658" s="1961">
        <f>VLOOKUP(B650,'LƯƠNG KT'!$D$16:$V$108,14,0)</f>
        <v>0</v>
      </c>
      <c r="D658" s="1964">
        <v>100000</v>
      </c>
      <c r="E658" s="1962">
        <f>C658*D658</f>
        <v>0</v>
      </c>
      <c r="G658" s="1959" t="s">
        <v>3354</v>
      </c>
      <c r="H658" s="1965" t="s">
        <v>3288</v>
      </c>
      <c r="I658" s="1961">
        <f>VLOOKUP(H650,'LƯƠNG KT'!$D$16:$V$108,14,0)</f>
        <v>0</v>
      </c>
      <c r="J658" s="1964">
        <v>100000</v>
      </c>
      <c r="K658" s="1962">
        <f>I658*J658</f>
        <v>0</v>
      </c>
    </row>
    <row r="659" spans="1:11" ht="12.75" customHeight="1">
      <c r="A659" s="1959" t="s">
        <v>3355</v>
      </c>
      <c r="B659" s="1965" t="s">
        <v>3288</v>
      </c>
      <c r="C659" s="1961">
        <f>VLOOKUP(B650,'LƯƠNG KT'!$D$16:$V$108,17,0)</f>
        <v>0</v>
      </c>
      <c r="D659" s="1964">
        <v>20000</v>
      </c>
      <c r="E659" s="1962">
        <f>C659*D659</f>
        <v>0</v>
      </c>
      <c r="G659" s="1959" t="s">
        <v>3355</v>
      </c>
      <c r="H659" s="1965" t="s">
        <v>3288</v>
      </c>
      <c r="I659" s="1961">
        <f>VLOOKUP(H650,'LƯƠNG KT'!$D$16:$V$108,17,0)</f>
        <v>0</v>
      </c>
      <c r="J659" s="1964">
        <v>20000</v>
      </c>
      <c r="K659" s="1962">
        <f>I659*J659</f>
        <v>0</v>
      </c>
    </row>
    <row r="660" spans="1:11" ht="12.75" customHeight="1">
      <c r="A660" s="1959" t="s">
        <v>3289</v>
      </c>
      <c r="B660" s="1965" t="s">
        <v>3290</v>
      </c>
      <c r="C660" s="1966"/>
      <c r="D660" s="1964"/>
      <c r="E660" s="1962"/>
      <c r="G660" s="1959" t="s">
        <v>3289</v>
      </c>
      <c r="H660" s="1965" t="s">
        <v>3290</v>
      </c>
      <c r="I660" s="1966"/>
      <c r="J660" s="1964"/>
      <c r="K660" s="1962"/>
    </row>
    <row r="661" spans="1:11" ht="12.75" customHeight="1">
      <c r="A661" s="1968" t="s">
        <v>377</v>
      </c>
      <c r="B661" s="1969" t="s">
        <v>3291</v>
      </c>
      <c r="C661" s="1970"/>
      <c r="D661" s="1971"/>
      <c r="E661" s="1970"/>
      <c r="G661" s="1968" t="s">
        <v>377</v>
      </c>
      <c r="H661" s="1969" t="s">
        <v>3291</v>
      </c>
      <c r="I661" s="1970"/>
      <c r="J661" s="1971"/>
      <c r="K661" s="1970"/>
    </row>
    <row r="662" spans="1:11" ht="12.75" customHeight="1">
      <c r="A662" s="1972" t="s">
        <v>379</v>
      </c>
      <c r="B662" s="1973" t="s">
        <v>3292</v>
      </c>
      <c r="C662" s="1970"/>
      <c r="D662" s="1970"/>
      <c r="E662" s="1970"/>
      <c r="G662" s="1972" t="s">
        <v>379</v>
      </c>
      <c r="H662" s="1973" t="s">
        <v>3292</v>
      </c>
      <c r="I662" s="1970"/>
      <c r="J662" s="1970"/>
      <c r="K662" s="1970"/>
    </row>
    <row r="663" spans="1:11" ht="12.75" customHeight="1">
      <c r="A663" s="1972" t="s">
        <v>381</v>
      </c>
      <c r="B663" s="1974" t="s">
        <v>3293</v>
      </c>
      <c r="C663" s="1970"/>
      <c r="D663" s="1970"/>
      <c r="E663" s="1962">
        <f>SUM(E662)</f>
        <v>0</v>
      </c>
      <c r="G663" s="1972" t="s">
        <v>381</v>
      </c>
      <c r="H663" s="1974" t="s">
        <v>3293</v>
      </c>
      <c r="I663" s="1970"/>
      <c r="J663" s="1970"/>
      <c r="K663" s="1962">
        <f>SUM(K662)</f>
        <v>0</v>
      </c>
    </row>
    <row r="664" spans="1:11" ht="12.75" customHeight="1">
      <c r="A664" s="1975" t="s">
        <v>383</v>
      </c>
      <c r="B664" s="1976" t="s">
        <v>3294</v>
      </c>
      <c r="C664" s="1977"/>
      <c r="D664" s="1977"/>
      <c r="E664" s="1978" t="e">
        <f>(E652+E653+E654+E655+E656+E657+E658+E659+E660)-E663</f>
        <v>#VALUE!</v>
      </c>
      <c r="G664" s="1975" t="s">
        <v>383</v>
      </c>
      <c r="H664" s="1976" t="s">
        <v>3294</v>
      </c>
      <c r="I664" s="1977"/>
      <c r="J664" s="1977"/>
      <c r="K664" s="1978" t="e">
        <f>(K652+K653+K654+K655+K656+K657+K658+K659+K660)-K663</f>
        <v>#VALUE!</v>
      </c>
    </row>
    <row r="666" spans="1:11" ht="12.75" customHeight="1">
      <c r="A666" s="2953" t="s">
        <v>3356</v>
      </c>
      <c r="B666" s="2954"/>
      <c r="C666" s="2954"/>
      <c r="D666" s="2954"/>
      <c r="E666" s="1955">
        <f>VLOOKUP(B667,'LƯƠNG KT'!$D$16:$AD$108,25,0)</f>
        <v>0</v>
      </c>
      <c r="G666" s="2953" t="s">
        <v>3356</v>
      </c>
      <c r="H666" s="2954"/>
      <c r="I666" s="2954"/>
      <c r="J666" s="2954"/>
      <c r="K666" s="1955">
        <f>VLOOKUP(H667,'LƯƠNG KT'!$D$16:$AD$108,25,0)</f>
        <v>0</v>
      </c>
    </row>
    <row r="667" spans="1:11" ht="12.75" customHeight="1">
      <c r="A667" s="1956" t="s">
        <v>356</v>
      </c>
      <c r="B667" s="1956" t="str">
        <f>'LƯƠNG KT'!$D$94</f>
        <v>A tèng</v>
      </c>
      <c r="C667" s="1957"/>
      <c r="D667" s="1958" t="s">
        <v>2357</v>
      </c>
      <c r="E667" s="1958" t="s">
        <v>2156</v>
      </c>
      <c r="G667" s="1956" t="s">
        <v>356</v>
      </c>
      <c r="H667" s="1956" t="str">
        <f>'LƯƠNG KT'!$D$95</f>
        <v xml:space="preserve">Đao </v>
      </c>
      <c r="I667" s="1957"/>
      <c r="J667" s="1958" t="s">
        <v>2357</v>
      </c>
      <c r="K667" s="1958" t="s">
        <v>2156</v>
      </c>
    </row>
    <row r="668" spans="1:11" ht="12.75" customHeight="1">
      <c r="A668" s="1959" t="s">
        <v>3005</v>
      </c>
      <c r="B668" s="1960" t="s">
        <v>3278</v>
      </c>
      <c r="C668" s="1961">
        <f>VLOOKUP(B667,'LƯƠNG KT'!$D$16:$M$108,8,0)</f>
        <v>23.126387646945474</v>
      </c>
      <c r="D668" s="1962"/>
      <c r="E668" s="1962"/>
      <c r="G668" s="1959" t="s">
        <v>3005</v>
      </c>
      <c r="H668" s="1960" t="s">
        <v>3278</v>
      </c>
      <c r="I668" s="1961">
        <f>VLOOKUP(H667,'LƯƠNG KT'!$D$16:$M$108,8,0)</f>
        <v>9.5903266308423181</v>
      </c>
      <c r="J668" s="1962"/>
      <c r="K668" s="1962"/>
    </row>
    <row r="669" spans="1:11" ht="12.75" customHeight="1">
      <c r="A669" s="1959" t="s">
        <v>359</v>
      </c>
      <c r="B669" s="1963" t="s">
        <v>2090</v>
      </c>
      <c r="C669" s="1961">
        <f>VLOOKUP(B667,'LƯƠNG KT'!$D$16:$V$108,3,0)</f>
        <v>0</v>
      </c>
      <c r="D669" s="1964">
        <v>25000</v>
      </c>
      <c r="E669" s="1962">
        <f>C669*D669</f>
        <v>0</v>
      </c>
      <c r="G669" s="1959" t="s">
        <v>359</v>
      </c>
      <c r="H669" s="1963" t="s">
        <v>2090</v>
      </c>
      <c r="I669" s="1961">
        <f>VLOOKUP(H667,'LƯƠNG KT'!$D$16:$V$108,3,0)</f>
        <v>0</v>
      </c>
      <c r="J669" s="1964">
        <v>25000</v>
      </c>
      <c r="K669" s="1962">
        <f>I669*J669</f>
        <v>0</v>
      </c>
    </row>
    <row r="670" spans="1:11" ht="12.75" customHeight="1">
      <c r="A670" s="1959" t="s">
        <v>3279</v>
      </c>
      <c r="B670" s="1965" t="s">
        <v>3280</v>
      </c>
      <c r="C670" s="1961" t="str">
        <f>VLOOKUP(B667,'LƯƠNG KT'!$D$16:$V$108,10,0)</f>
        <v>C.</v>
      </c>
      <c r="D670" s="1967">
        <f>46.1*$C$1</f>
        <v>30792.956000000002</v>
      </c>
      <c r="E670" s="1962" t="e">
        <f t="shared" ref="E670:E674" si="78">C670*D670</f>
        <v>#VALUE!</v>
      </c>
      <c r="G670" s="1959" t="s">
        <v>3279</v>
      </c>
      <c r="H670" s="1965" t="s">
        <v>3280</v>
      </c>
      <c r="I670" s="1961" t="str">
        <f>VLOOKUP(H667,'LƯƠNG KT'!$D$16:$V$108,10,0)</f>
        <v>C.</v>
      </c>
      <c r="J670" s="1967">
        <f>46.1*$C$1</f>
        <v>30792.956000000002</v>
      </c>
      <c r="K670" s="1962" t="e">
        <f t="shared" ref="K670:K674" si="79">I670*J670</f>
        <v>#VALUE!</v>
      </c>
    </row>
    <row r="671" spans="1:11" ht="12.75" customHeight="1">
      <c r="A671" s="1959" t="s">
        <v>3281</v>
      </c>
      <c r="B671" s="1965" t="s">
        <v>3282</v>
      </c>
      <c r="C671" s="1961">
        <f>VLOOKUP(B667,'LƯƠNG KT'!$D$16:$V$108,11,0)</f>
        <v>668211</v>
      </c>
      <c r="D671" s="1964">
        <f>76.9*$C$1</f>
        <v>51366.124000000003</v>
      </c>
      <c r="E671" s="1962">
        <f t="shared" si="78"/>
        <v>34323409084.164001</v>
      </c>
      <c r="G671" s="1959" t="s">
        <v>3281</v>
      </c>
      <c r="H671" s="1965" t="s">
        <v>3282</v>
      </c>
      <c r="I671" s="1961">
        <f>VLOOKUP(H667,'LƯƠNG KT'!$D$16:$V$108,11,0)</f>
        <v>277102</v>
      </c>
      <c r="J671" s="1964">
        <f>76.9*$C$1</f>
        <v>51366.124000000003</v>
      </c>
      <c r="K671" s="1962">
        <f t="shared" si="79"/>
        <v>14233655692.648001</v>
      </c>
    </row>
    <row r="672" spans="1:11" ht="12.75" customHeight="1">
      <c r="A672" s="1959" t="s">
        <v>374</v>
      </c>
      <c r="B672" s="1965" t="s">
        <v>3283</v>
      </c>
      <c r="C672" s="1961">
        <f>VLOOKUP(B667,'LƯƠNG KT'!$D$16:$V$108,7,0)</f>
        <v>179.36168972069589</v>
      </c>
      <c r="D672" s="1964">
        <f>IF(C668="A",6.1,IF(C668="B",5.8,IF(C668="C",5.5,IF(C668="C.",5.5,IF(C668="D",5.2)))))*$C$1</f>
        <v>0</v>
      </c>
      <c r="E672" s="1962">
        <f t="shared" si="78"/>
        <v>0</v>
      </c>
      <c r="G672" s="1959" t="s">
        <v>374</v>
      </c>
      <c r="H672" s="1965" t="s">
        <v>3283</v>
      </c>
      <c r="I672" s="1961">
        <f>VLOOKUP(H667,'LƯƠNG KT'!$D$16:$V$108,7,0)</f>
        <v>74.379847632990007</v>
      </c>
      <c r="J672" s="1964">
        <f>IF(I668="A",6.1,IF(I668="B",5.8,IF(I668="C",5.5,IF(I668="C.",5.5,IF(I668="D",5.2)))))*$C$1</f>
        <v>0</v>
      </c>
      <c r="K672" s="1962">
        <f t="shared" si="79"/>
        <v>0</v>
      </c>
    </row>
    <row r="673" spans="1:11" ht="12.75" customHeight="1">
      <c r="A673" s="1959" t="s">
        <v>3296</v>
      </c>
      <c r="B673" s="1965" t="s">
        <v>3285</v>
      </c>
      <c r="C673" s="1961">
        <f>VLOOKUP(B667,'LƯƠNG KT'!$D$16:$V$108,12,0)</f>
        <v>9</v>
      </c>
      <c r="D673" s="1967">
        <f>92.2*$C$1</f>
        <v>61585.912000000004</v>
      </c>
      <c r="E673" s="1962">
        <f t="shared" si="78"/>
        <v>554273.20799999998</v>
      </c>
      <c r="G673" s="1959" t="s">
        <v>3296</v>
      </c>
      <c r="H673" s="1965" t="s">
        <v>3285</v>
      </c>
      <c r="I673" s="1961">
        <f>VLOOKUP(H667,'LƯƠNG KT'!$D$16:$V$108,12,0)</f>
        <v>5</v>
      </c>
      <c r="J673" s="1967">
        <f>92.2*$C$1</f>
        <v>61585.912000000004</v>
      </c>
      <c r="K673" s="1962">
        <f t="shared" si="79"/>
        <v>307929.56</v>
      </c>
    </row>
    <row r="674" spans="1:11" ht="12.75" customHeight="1">
      <c r="A674" s="1959" t="s">
        <v>3297</v>
      </c>
      <c r="B674" s="1965" t="s">
        <v>3287</v>
      </c>
      <c r="C674" s="1961">
        <f>VLOOKUP(B667,'LƯƠNG KT'!$D$16:$V$108,13,0)</f>
        <v>0</v>
      </c>
      <c r="D674" s="1964">
        <f>153.8*$C$1</f>
        <v>102732.24800000001</v>
      </c>
      <c r="E674" s="1962">
        <f t="shared" si="78"/>
        <v>0</v>
      </c>
      <c r="G674" s="1959" t="s">
        <v>3297</v>
      </c>
      <c r="H674" s="1965" t="s">
        <v>3287</v>
      </c>
      <c r="I674" s="1961">
        <f>VLOOKUP(H667,'LƯƠNG KT'!$D$16:$V$108,13,0)</f>
        <v>0</v>
      </c>
      <c r="J674" s="1964">
        <f>153.8*$C$1</f>
        <v>102732.24800000001</v>
      </c>
      <c r="K674" s="1962">
        <f t="shared" si="79"/>
        <v>0</v>
      </c>
    </row>
    <row r="675" spans="1:11" ht="12.75" customHeight="1">
      <c r="A675" s="1959" t="s">
        <v>3354</v>
      </c>
      <c r="B675" s="1965" t="s">
        <v>3288</v>
      </c>
      <c r="C675" s="1961">
        <f>VLOOKUP(B667,'LƯƠNG KT'!$D$16:$V$108,14,0)</f>
        <v>0</v>
      </c>
      <c r="D675" s="1964">
        <v>100000</v>
      </c>
      <c r="E675" s="1962">
        <f>C675*D675</f>
        <v>0</v>
      </c>
      <c r="G675" s="1959" t="s">
        <v>3354</v>
      </c>
      <c r="H675" s="1965" t="s">
        <v>3288</v>
      </c>
      <c r="I675" s="1961">
        <f>VLOOKUP(H667,'LƯƠNG KT'!$D$16:$V$108,14,0)</f>
        <v>0</v>
      </c>
      <c r="J675" s="1964">
        <v>100000</v>
      </c>
      <c r="K675" s="1962">
        <f>I675*J675</f>
        <v>0</v>
      </c>
    </row>
    <row r="676" spans="1:11" ht="12.75" customHeight="1">
      <c r="A676" s="1959" t="s">
        <v>3355</v>
      </c>
      <c r="B676" s="1965" t="s">
        <v>3288</v>
      </c>
      <c r="C676" s="1961">
        <f>VLOOKUP(B667,'LƯƠNG KT'!$D$16:$V$108,17,0)</f>
        <v>0</v>
      </c>
      <c r="D676" s="1964">
        <v>20000</v>
      </c>
      <c r="E676" s="1962">
        <f>C676*D676</f>
        <v>0</v>
      </c>
      <c r="G676" s="1959" t="s">
        <v>3355</v>
      </c>
      <c r="H676" s="1965" t="s">
        <v>3288</v>
      </c>
      <c r="I676" s="1961">
        <f>VLOOKUP(H667,'LƯƠNG KT'!$D$16:$V$108,17,0)</f>
        <v>0</v>
      </c>
      <c r="J676" s="1964">
        <v>20000</v>
      </c>
      <c r="K676" s="1962">
        <f>I676*J676</f>
        <v>0</v>
      </c>
    </row>
    <row r="677" spans="1:11" ht="12.75" customHeight="1">
      <c r="A677" s="1959" t="s">
        <v>3289</v>
      </c>
      <c r="B677" s="1965" t="s">
        <v>3290</v>
      </c>
      <c r="C677" s="1966"/>
      <c r="D677" s="1964"/>
      <c r="E677" s="1962"/>
      <c r="G677" s="1959" t="s">
        <v>3289</v>
      </c>
      <c r="H677" s="1965" t="s">
        <v>3290</v>
      </c>
      <c r="I677" s="1966"/>
      <c r="J677" s="1964"/>
      <c r="K677" s="1962"/>
    </row>
    <row r="678" spans="1:11" ht="12.75" customHeight="1">
      <c r="A678" s="1968" t="s">
        <v>377</v>
      </c>
      <c r="B678" s="1969" t="s">
        <v>3291</v>
      </c>
      <c r="C678" s="1970"/>
      <c r="D678" s="1971"/>
      <c r="E678" s="1970"/>
      <c r="G678" s="1968" t="s">
        <v>377</v>
      </c>
      <c r="H678" s="1969" t="s">
        <v>3291</v>
      </c>
      <c r="I678" s="1970"/>
      <c r="J678" s="1971"/>
      <c r="K678" s="1970"/>
    </row>
    <row r="679" spans="1:11" ht="12.75" customHeight="1">
      <c r="A679" s="1972" t="s">
        <v>379</v>
      </c>
      <c r="B679" s="1973" t="s">
        <v>3292</v>
      </c>
      <c r="C679" s="1970"/>
      <c r="D679" s="1970"/>
      <c r="E679" s="1970"/>
      <c r="G679" s="1972" t="s">
        <v>379</v>
      </c>
      <c r="H679" s="1973" t="s">
        <v>3292</v>
      </c>
      <c r="I679" s="1970"/>
      <c r="J679" s="1970"/>
      <c r="K679" s="1970"/>
    </row>
    <row r="680" spans="1:11" ht="12.75" customHeight="1">
      <c r="A680" s="1972" t="s">
        <v>381</v>
      </c>
      <c r="B680" s="1974" t="s">
        <v>3293</v>
      </c>
      <c r="C680" s="1970"/>
      <c r="D680" s="1970"/>
      <c r="E680" s="1962">
        <f>SUM(E679)</f>
        <v>0</v>
      </c>
      <c r="G680" s="1972" t="s">
        <v>381</v>
      </c>
      <c r="H680" s="1974" t="s">
        <v>3293</v>
      </c>
      <c r="I680" s="1970"/>
      <c r="J680" s="1970"/>
      <c r="K680" s="1962">
        <f>SUM(K679)</f>
        <v>0</v>
      </c>
    </row>
    <row r="681" spans="1:11" ht="12.75" customHeight="1">
      <c r="A681" s="1975" t="s">
        <v>383</v>
      </c>
      <c r="B681" s="1976" t="s">
        <v>3294</v>
      </c>
      <c r="C681" s="1977"/>
      <c r="D681" s="1977"/>
      <c r="E681" s="1978" t="e">
        <f>(E669+E670+E671+E672+E673+E674+E675+E676+E677)-E680</f>
        <v>#VALUE!</v>
      </c>
      <c r="G681" s="1975" t="s">
        <v>383</v>
      </c>
      <c r="H681" s="1976" t="s">
        <v>3294</v>
      </c>
      <c r="I681" s="1977"/>
      <c r="J681" s="1977"/>
      <c r="K681" s="1978" t="e">
        <f>(K669+K670+K671+K672+K673+K674+K675+K676+K677)-K680</f>
        <v>#VALUE!</v>
      </c>
    </row>
    <row r="682" spans="1:11" ht="52.5" customHeight="1"/>
    <row r="683" spans="1:11" ht="12.75" customHeight="1">
      <c r="A683" s="2953" t="s">
        <v>3356</v>
      </c>
      <c r="B683" s="2954"/>
      <c r="C683" s="2954"/>
      <c r="D683" s="2954"/>
      <c r="E683" s="1955">
        <f>VLOOKUP(B684,'LƯƠNG KT'!$D$16:$AD$108,25,0)</f>
        <v>0</v>
      </c>
      <c r="G683" s="2953" t="s">
        <v>3356</v>
      </c>
      <c r="H683" s="2954"/>
      <c r="I683" s="2954"/>
      <c r="J683" s="2954"/>
      <c r="K683" s="1955">
        <f>VLOOKUP(H684,'LƯƠNG KT'!$D$16:$AD$108,25,0)</f>
        <v>0</v>
      </c>
    </row>
    <row r="684" spans="1:11" ht="12.75" customHeight="1">
      <c r="A684" s="1956" t="s">
        <v>356</v>
      </c>
      <c r="B684" s="1956" t="str">
        <f>'LƯƠNG KT'!$D$96</f>
        <v>Lôn</v>
      </c>
      <c r="C684" s="1957"/>
      <c r="D684" s="1958" t="s">
        <v>2357</v>
      </c>
      <c r="E684" s="1958" t="s">
        <v>2156</v>
      </c>
      <c r="G684" s="1956" t="s">
        <v>356</v>
      </c>
      <c r="H684" s="1956" t="str">
        <f>'LƯƠNG KT'!$D$97</f>
        <v>Phay A</v>
      </c>
      <c r="I684" s="1957"/>
      <c r="J684" s="1958" t="s">
        <v>2357</v>
      </c>
      <c r="K684" s="1958" t="s">
        <v>2156</v>
      </c>
    </row>
    <row r="685" spans="1:11" ht="12.75" customHeight="1">
      <c r="A685" s="1959" t="s">
        <v>3005</v>
      </c>
      <c r="B685" s="1960" t="s">
        <v>3278</v>
      </c>
      <c r="C685" s="1961">
        <f>VLOOKUP(B684,'LƯƠNG KT'!$D$16:$M$108,8,0)</f>
        <v>0</v>
      </c>
      <c r="D685" s="1962"/>
      <c r="E685" s="1962"/>
      <c r="G685" s="1959" t="s">
        <v>3005</v>
      </c>
      <c r="H685" s="1960" t="s">
        <v>3278</v>
      </c>
      <c r="I685" s="1961">
        <f>VLOOKUP(H684,'LƯƠNG KT'!$D$16:$M$108,8,0)</f>
        <v>0</v>
      </c>
      <c r="J685" s="1962"/>
      <c r="K685" s="1962"/>
    </row>
    <row r="686" spans="1:11" ht="12.75" customHeight="1">
      <c r="A686" s="1959" t="s">
        <v>359</v>
      </c>
      <c r="B686" s="1963" t="s">
        <v>2090</v>
      </c>
      <c r="C686" s="1961">
        <f>VLOOKUP(B684,'LƯƠNG KT'!$D$16:$V$108,3,0)</f>
        <v>0</v>
      </c>
      <c r="D686" s="1964">
        <v>25000</v>
      </c>
      <c r="E686" s="1962">
        <f>C686*D686</f>
        <v>0</v>
      </c>
      <c r="G686" s="1959" t="s">
        <v>359</v>
      </c>
      <c r="H686" s="1963" t="s">
        <v>2090</v>
      </c>
      <c r="I686" s="1961">
        <f>VLOOKUP(H684,'LƯƠNG KT'!$D$16:$V$108,3,0)</f>
        <v>0</v>
      </c>
      <c r="J686" s="1964">
        <v>25000</v>
      </c>
      <c r="K686" s="1962">
        <f>I686*J686</f>
        <v>0</v>
      </c>
    </row>
    <row r="687" spans="1:11" ht="12.75" customHeight="1">
      <c r="A687" s="1959" t="s">
        <v>3279</v>
      </c>
      <c r="B687" s="1965" t="s">
        <v>3280</v>
      </c>
      <c r="C687" s="1961">
        <f>VLOOKUP(B684,'LƯƠNG KT'!$D$16:$V$108,10,0)</f>
        <v>0</v>
      </c>
      <c r="D687" s="1967">
        <f>46.1*$C$1</f>
        <v>30792.956000000002</v>
      </c>
      <c r="E687" s="1962">
        <f t="shared" ref="E687:E691" si="80">C687*D687</f>
        <v>0</v>
      </c>
      <c r="G687" s="1959" t="s">
        <v>3279</v>
      </c>
      <c r="H687" s="1965" t="s">
        <v>3280</v>
      </c>
      <c r="I687" s="1961">
        <f>VLOOKUP(H684,'LƯƠNG KT'!$D$16:$V$108,10,0)</f>
        <v>0</v>
      </c>
      <c r="J687" s="1967">
        <f>46.1*$C$1</f>
        <v>30792.956000000002</v>
      </c>
      <c r="K687" s="1962">
        <f t="shared" ref="K687:K691" si="81">I687*J687</f>
        <v>0</v>
      </c>
    </row>
    <row r="688" spans="1:11" ht="12.75" customHeight="1">
      <c r="A688" s="1959" t="s">
        <v>3281</v>
      </c>
      <c r="B688" s="1965" t="s">
        <v>3282</v>
      </c>
      <c r="C688" s="1961">
        <f>VLOOKUP(B684,'LƯƠNG KT'!$D$16:$V$108,11,0)</f>
        <v>0</v>
      </c>
      <c r="D688" s="1964">
        <f>76.9*$C$1</f>
        <v>51366.124000000003</v>
      </c>
      <c r="E688" s="1962">
        <f t="shared" si="80"/>
        <v>0</v>
      </c>
      <c r="G688" s="1959" t="s">
        <v>3281</v>
      </c>
      <c r="H688" s="1965" t="s">
        <v>3282</v>
      </c>
      <c r="I688" s="1961">
        <f>VLOOKUP(H684,'LƯƠNG KT'!$D$16:$V$108,11,0)</f>
        <v>0</v>
      </c>
      <c r="J688" s="1964">
        <f>76.9*$C$1</f>
        <v>51366.124000000003</v>
      </c>
      <c r="K688" s="1962">
        <f t="shared" si="81"/>
        <v>0</v>
      </c>
    </row>
    <row r="689" spans="1:11" ht="12.75" customHeight="1">
      <c r="A689" s="1959" t="s">
        <v>374</v>
      </c>
      <c r="B689" s="1965" t="s">
        <v>3283</v>
      </c>
      <c r="C689" s="1961">
        <f>VLOOKUP(B684,'LƯƠNG KT'!$D$16:$V$108,7,0)</f>
        <v>0</v>
      </c>
      <c r="D689" s="1964">
        <f>IF(C685="A",6.1,IF(C685="B",5.8,IF(C685="C",5.5,IF(C685="C.",5.5,IF(C685="D",5.2)))))*$C$1</f>
        <v>0</v>
      </c>
      <c r="E689" s="1962">
        <f t="shared" si="80"/>
        <v>0</v>
      </c>
      <c r="G689" s="1959" t="s">
        <v>374</v>
      </c>
      <c r="H689" s="1965" t="s">
        <v>3283</v>
      </c>
      <c r="I689" s="1961">
        <f>VLOOKUP(H684,'LƯƠNG KT'!$D$16:$V$108,7,0)</f>
        <v>0</v>
      </c>
      <c r="J689" s="1964">
        <f>IF(I685="A",6.1,IF(I685="B",5.8,IF(I685="C",5.5,IF(I685="C.",5.5,IF(I685="D",5.2)))))*$C$1</f>
        <v>0</v>
      </c>
      <c r="K689" s="1962">
        <f t="shared" si="81"/>
        <v>0</v>
      </c>
    </row>
    <row r="690" spans="1:11" ht="12.75" customHeight="1">
      <c r="A690" s="1959" t="s">
        <v>3296</v>
      </c>
      <c r="B690" s="1965" t="s">
        <v>3285</v>
      </c>
      <c r="C690" s="1961">
        <f>VLOOKUP(B684,'LƯƠNG KT'!$D$16:$V$108,12,0)</f>
        <v>1</v>
      </c>
      <c r="D690" s="1967">
        <f>92.2*$C$1</f>
        <v>61585.912000000004</v>
      </c>
      <c r="E690" s="1962">
        <f t="shared" si="80"/>
        <v>61585.912000000004</v>
      </c>
      <c r="G690" s="1959" t="s">
        <v>3296</v>
      </c>
      <c r="H690" s="1965" t="s">
        <v>3285</v>
      </c>
      <c r="I690" s="1961">
        <f>VLOOKUP(H684,'LƯƠNG KT'!$D$16:$V$108,12,0)</f>
        <v>0</v>
      </c>
      <c r="J690" s="1967">
        <f>92.2*$C$1</f>
        <v>61585.912000000004</v>
      </c>
      <c r="K690" s="1962">
        <f t="shared" si="81"/>
        <v>0</v>
      </c>
    </row>
    <row r="691" spans="1:11" ht="12.75" customHeight="1">
      <c r="A691" s="1959" t="s">
        <v>3297</v>
      </c>
      <c r="B691" s="1965" t="s">
        <v>3287</v>
      </c>
      <c r="C691" s="1961">
        <f>VLOOKUP(B684,'LƯƠNG KT'!$D$16:$V$108,13,0)</f>
        <v>0</v>
      </c>
      <c r="D691" s="1964">
        <f>153.8*$C$1</f>
        <v>102732.24800000001</v>
      </c>
      <c r="E691" s="1962">
        <f t="shared" si="80"/>
        <v>0</v>
      </c>
      <c r="G691" s="1959" t="s">
        <v>3297</v>
      </c>
      <c r="H691" s="1965" t="s">
        <v>3287</v>
      </c>
      <c r="I691" s="1961">
        <f>VLOOKUP(H684,'LƯƠNG KT'!$D$16:$V$108,13,0)</f>
        <v>0</v>
      </c>
      <c r="J691" s="1964">
        <f>153.8*$C$1</f>
        <v>102732.24800000001</v>
      </c>
      <c r="K691" s="1962">
        <f t="shared" si="81"/>
        <v>0</v>
      </c>
    </row>
    <row r="692" spans="1:11" ht="12.75" customHeight="1">
      <c r="A692" s="1959" t="s">
        <v>3354</v>
      </c>
      <c r="B692" s="1965" t="s">
        <v>3288</v>
      </c>
      <c r="C692" s="1961">
        <f>VLOOKUP(B684,'LƯƠNG KT'!$D$16:$V$108,14,0)</f>
        <v>0</v>
      </c>
      <c r="D692" s="1964">
        <v>100000</v>
      </c>
      <c r="E692" s="1962">
        <f>C692*D692</f>
        <v>0</v>
      </c>
      <c r="G692" s="1959" t="s">
        <v>3354</v>
      </c>
      <c r="H692" s="1965" t="s">
        <v>3288</v>
      </c>
      <c r="I692" s="1961">
        <f>VLOOKUP(H684,'LƯƠNG KT'!$D$16:$V$108,14,0)</f>
        <v>0</v>
      </c>
      <c r="J692" s="1964">
        <v>100000</v>
      </c>
      <c r="K692" s="1962">
        <f>I692*J692</f>
        <v>0</v>
      </c>
    </row>
    <row r="693" spans="1:11" ht="12.75" customHeight="1">
      <c r="A693" s="1959" t="s">
        <v>3355</v>
      </c>
      <c r="B693" s="1965" t="s">
        <v>3288</v>
      </c>
      <c r="C693" s="1961">
        <f>VLOOKUP(B684,'LƯƠNG KT'!$D$16:$V$108,17,0)</f>
        <v>0</v>
      </c>
      <c r="D693" s="1964">
        <v>20000</v>
      </c>
      <c r="E693" s="1962">
        <f>C693*D693</f>
        <v>0</v>
      </c>
      <c r="G693" s="1959" t="s">
        <v>3355</v>
      </c>
      <c r="H693" s="1965" t="s">
        <v>3288</v>
      </c>
      <c r="I693" s="1961">
        <f>VLOOKUP(H684,'LƯƠNG KT'!$D$16:$V$108,17,0)</f>
        <v>0</v>
      </c>
      <c r="J693" s="1964">
        <v>20000</v>
      </c>
      <c r="K693" s="1962">
        <f>I693*J693</f>
        <v>0</v>
      </c>
    </row>
    <row r="694" spans="1:11" ht="12.75" customHeight="1">
      <c r="A694" s="1959" t="s">
        <v>3289</v>
      </c>
      <c r="B694" s="1965" t="s">
        <v>3290</v>
      </c>
      <c r="C694" s="1966"/>
      <c r="D694" s="1964"/>
      <c r="E694" s="1962"/>
      <c r="G694" s="1959" t="s">
        <v>3289</v>
      </c>
      <c r="H694" s="1965" t="s">
        <v>3290</v>
      </c>
      <c r="I694" s="1966"/>
      <c r="J694" s="1964"/>
      <c r="K694" s="1962"/>
    </row>
    <row r="695" spans="1:11" ht="12.75" customHeight="1">
      <c r="A695" s="1968" t="s">
        <v>377</v>
      </c>
      <c r="B695" s="1969" t="s">
        <v>3291</v>
      </c>
      <c r="C695" s="1970"/>
      <c r="D695" s="1971"/>
      <c r="E695" s="1970"/>
      <c r="G695" s="1968" t="s">
        <v>377</v>
      </c>
      <c r="H695" s="1969" t="s">
        <v>3291</v>
      </c>
      <c r="I695" s="1970"/>
      <c r="J695" s="1971"/>
      <c r="K695" s="1970"/>
    </row>
    <row r="696" spans="1:11" ht="12.75" customHeight="1">
      <c r="A696" s="1972" t="s">
        <v>379</v>
      </c>
      <c r="B696" s="1973" t="s">
        <v>3292</v>
      </c>
      <c r="C696" s="1970"/>
      <c r="D696" s="1970"/>
      <c r="E696" s="1970"/>
      <c r="G696" s="1972" t="s">
        <v>379</v>
      </c>
      <c r="H696" s="1973" t="s">
        <v>3292</v>
      </c>
      <c r="I696" s="1970"/>
      <c r="J696" s="1970"/>
      <c r="K696" s="1970"/>
    </row>
    <row r="697" spans="1:11" ht="12.75" customHeight="1">
      <c r="A697" s="1972" t="s">
        <v>381</v>
      </c>
      <c r="B697" s="1974" t="s">
        <v>3293</v>
      </c>
      <c r="C697" s="1970"/>
      <c r="D697" s="1970"/>
      <c r="E697" s="1962">
        <f>SUM(E696)</f>
        <v>0</v>
      </c>
      <c r="G697" s="1972" t="s">
        <v>381</v>
      </c>
      <c r="H697" s="1974" t="s">
        <v>3293</v>
      </c>
      <c r="I697" s="1970"/>
      <c r="J697" s="1970"/>
      <c r="K697" s="1962">
        <f>SUM(K696)</f>
        <v>0</v>
      </c>
    </row>
    <row r="698" spans="1:11" ht="12.75" customHeight="1">
      <c r="A698" s="1975" t="s">
        <v>383</v>
      </c>
      <c r="B698" s="1976" t="s">
        <v>3294</v>
      </c>
      <c r="C698" s="1977"/>
      <c r="D698" s="1977"/>
      <c r="E698" s="1978">
        <f>(E686+E687+E688+E689+E690+E691+E692+E693+E694)-E697</f>
        <v>61585.912000000004</v>
      </c>
      <c r="G698" s="1975" t="s">
        <v>383</v>
      </c>
      <c r="H698" s="1976" t="s">
        <v>3294</v>
      </c>
      <c r="I698" s="1977"/>
      <c r="J698" s="1977"/>
      <c r="K698" s="1978">
        <f>(K686+K687+K688+K689+K690+K691+K692+K693+K694)-K697</f>
        <v>0</v>
      </c>
    </row>
    <row r="700" spans="1:11" ht="12.75" customHeight="1">
      <c r="A700" s="2953" t="s">
        <v>3356</v>
      </c>
      <c r="B700" s="2954"/>
      <c r="C700" s="2954"/>
      <c r="D700" s="2954"/>
      <c r="E700" s="1955">
        <f>VLOOKUP(B701,'LƯƠNG KT'!$D$16:$AD$108,25,0)</f>
        <v>0</v>
      </c>
      <c r="G700" s="2953" t="s">
        <v>3356</v>
      </c>
      <c r="H700" s="2954"/>
      <c r="I700" s="2954"/>
      <c r="J700" s="2954"/>
      <c r="K700" s="1955">
        <f>VLOOKUP(H701,'LƯƠNG KT'!$D$16:$AD$108,25,0)</f>
        <v>0</v>
      </c>
    </row>
    <row r="701" spans="1:11" ht="12.75" customHeight="1">
      <c r="A701" s="1956" t="s">
        <v>356</v>
      </c>
      <c r="B701" s="1956" t="str">
        <f>'LƯƠNG KT'!$D$98</f>
        <v>Chày A</v>
      </c>
      <c r="C701" s="1957"/>
      <c r="D701" s="1958" t="s">
        <v>2357</v>
      </c>
      <c r="E701" s="1958" t="s">
        <v>2156</v>
      </c>
      <c r="G701" s="1956" t="s">
        <v>356</v>
      </c>
      <c r="H701" s="1956" t="str">
        <f>'LƯƠNG KT'!$D$99</f>
        <v>MayA</v>
      </c>
      <c r="I701" s="1957"/>
      <c r="J701" s="1958" t="s">
        <v>2357</v>
      </c>
      <c r="K701" s="1958" t="s">
        <v>2156</v>
      </c>
    </row>
    <row r="702" spans="1:11" ht="12.75" customHeight="1">
      <c r="A702" s="1959" t="s">
        <v>3005</v>
      </c>
      <c r="B702" s="1960" t="s">
        <v>3278</v>
      </c>
      <c r="C702" s="1961">
        <f>VLOOKUP(B701,'LƯƠNG KT'!$D$16:$M$108,8,0)</f>
        <v>0</v>
      </c>
      <c r="D702" s="1962"/>
      <c r="E702" s="1962"/>
      <c r="G702" s="1959" t="s">
        <v>3005</v>
      </c>
      <c r="H702" s="1960" t="s">
        <v>3278</v>
      </c>
      <c r="I702" s="1961">
        <f>VLOOKUP(H701,'LƯƠNG KT'!$D$16:$M$108,8,0)</f>
        <v>0</v>
      </c>
      <c r="J702" s="1962"/>
      <c r="K702" s="1962"/>
    </row>
    <row r="703" spans="1:11" ht="12.75" customHeight="1">
      <c r="A703" s="1959" t="s">
        <v>359</v>
      </c>
      <c r="B703" s="1963" t="s">
        <v>2090</v>
      </c>
      <c r="C703" s="1961">
        <f>VLOOKUP(B701,'LƯƠNG KT'!$D$16:$V$108,3,0)</f>
        <v>0</v>
      </c>
      <c r="D703" s="1964">
        <v>25000</v>
      </c>
      <c r="E703" s="1962">
        <f>C703*D703</f>
        <v>0</v>
      </c>
      <c r="G703" s="1959" t="s">
        <v>359</v>
      </c>
      <c r="H703" s="1963" t="s">
        <v>2090</v>
      </c>
      <c r="I703" s="1961">
        <f>VLOOKUP(H701,'LƯƠNG KT'!$D$16:$V$108,3,0)</f>
        <v>0</v>
      </c>
      <c r="J703" s="1964">
        <v>25000</v>
      </c>
      <c r="K703" s="1962">
        <f>I703*J703</f>
        <v>0</v>
      </c>
    </row>
    <row r="704" spans="1:11" ht="12.75" customHeight="1">
      <c r="A704" s="1959" t="s">
        <v>3279</v>
      </c>
      <c r="B704" s="1965" t="s">
        <v>3280</v>
      </c>
      <c r="C704" s="1961">
        <f>VLOOKUP(B701,'LƯƠNG KT'!$D$16:$V$108,10,0)</f>
        <v>0</v>
      </c>
      <c r="D704" s="1967">
        <f>46.1*$C$1</f>
        <v>30792.956000000002</v>
      </c>
      <c r="E704" s="1962">
        <f t="shared" ref="E704:E708" si="82">C704*D704</f>
        <v>0</v>
      </c>
      <c r="G704" s="1959" t="s">
        <v>3279</v>
      </c>
      <c r="H704" s="1965" t="s">
        <v>3280</v>
      </c>
      <c r="I704" s="1961">
        <f>VLOOKUP(H701,'LƯƠNG KT'!$D$16:$V$108,10,0)</f>
        <v>0</v>
      </c>
      <c r="J704" s="1967">
        <f>46.1*$C$1</f>
        <v>30792.956000000002</v>
      </c>
      <c r="K704" s="1962">
        <f t="shared" ref="K704:K708" si="83">I704*J704</f>
        <v>0</v>
      </c>
    </row>
    <row r="705" spans="1:11" ht="12.75" customHeight="1">
      <c r="A705" s="1959" t="s">
        <v>3281</v>
      </c>
      <c r="B705" s="1965" t="s">
        <v>3282</v>
      </c>
      <c r="C705" s="1961">
        <f>VLOOKUP(B701,'LƯƠNG KT'!$D$16:$V$108,11,0)</f>
        <v>0</v>
      </c>
      <c r="D705" s="1964">
        <f>76.9*$C$1</f>
        <v>51366.124000000003</v>
      </c>
      <c r="E705" s="1962">
        <f t="shared" si="82"/>
        <v>0</v>
      </c>
      <c r="G705" s="1959" t="s">
        <v>3281</v>
      </c>
      <c r="H705" s="1965" t="s">
        <v>3282</v>
      </c>
      <c r="I705" s="1961">
        <f>VLOOKUP(H701,'LƯƠNG KT'!$D$16:$V$108,11,0)</f>
        <v>0</v>
      </c>
      <c r="J705" s="1964">
        <f>76.9*$C$1</f>
        <v>51366.124000000003</v>
      </c>
      <c r="K705" s="1962">
        <f t="shared" si="83"/>
        <v>0</v>
      </c>
    </row>
    <row r="706" spans="1:11" ht="12.75" customHeight="1">
      <c r="A706" s="1959" t="s">
        <v>374</v>
      </c>
      <c r="B706" s="1965" t="s">
        <v>3283</v>
      </c>
      <c r="C706" s="1961">
        <f>VLOOKUP(B701,'LƯƠNG KT'!$D$16:$V$108,7,0)</f>
        <v>0</v>
      </c>
      <c r="D706" s="1964">
        <f>IF(C702="A",6.1,IF(C702="B",5.8,IF(C702="C",5.5,IF(C702="C.",5.5,IF(C702="D",5.2)))))*$C$1</f>
        <v>0</v>
      </c>
      <c r="E706" s="1962">
        <f t="shared" si="82"/>
        <v>0</v>
      </c>
      <c r="G706" s="1959" t="s">
        <v>374</v>
      </c>
      <c r="H706" s="1965" t="s">
        <v>3283</v>
      </c>
      <c r="I706" s="1961">
        <f>VLOOKUP(H701,'LƯƠNG KT'!$D$16:$V$108,7,0)</f>
        <v>0</v>
      </c>
      <c r="J706" s="1964">
        <f>IF(I702="A",6.1,IF(I702="B",5.8,IF(I702="C",5.5,IF(I702="C.",5.5,IF(I702="D",5.2)))))*$C$1</f>
        <v>0</v>
      </c>
      <c r="K706" s="1962">
        <f t="shared" si="83"/>
        <v>0</v>
      </c>
    </row>
    <row r="707" spans="1:11" ht="12.75" customHeight="1">
      <c r="A707" s="1959" t="s">
        <v>3296</v>
      </c>
      <c r="B707" s="1965" t="s">
        <v>3285</v>
      </c>
      <c r="C707" s="1961">
        <f>VLOOKUP(B701,'LƯƠNG KT'!$D$16:$V$108,12,0)</f>
        <v>0</v>
      </c>
      <c r="D707" s="1967">
        <f>92.2*$C$1</f>
        <v>61585.912000000004</v>
      </c>
      <c r="E707" s="1962">
        <f t="shared" si="82"/>
        <v>0</v>
      </c>
      <c r="G707" s="1959" t="s">
        <v>3296</v>
      </c>
      <c r="H707" s="1965" t="s">
        <v>3285</v>
      </c>
      <c r="I707" s="1961">
        <f>VLOOKUP(H701,'LƯƠNG KT'!$D$16:$V$108,12,0)</f>
        <v>0</v>
      </c>
      <c r="J707" s="1967">
        <f>92.2*$C$1</f>
        <v>61585.912000000004</v>
      </c>
      <c r="K707" s="1962">
        <f t="shared" si="83"/>
        <v>0</v>
      </c>
    </row>
    <row r="708" spans="1:11" ht="12.75" customHeight="1">
      <c r="A708" s="1959" t="s">
        <v>3297</v>
      </c>
      <c r="B708" s="1965" t="s">
        <v>3287</v>
      </c>
      <c r="C708" s="1961">
        <f>VLOOKUP(B701,'LƯƠNG KT'!$D$16:$V$108,13,0)</f>
        <v>0</v>
      </c>
      <c r="D708" s="1964">
        <f>153.8*$C$1</f>
        <v>102732.24800000001</v>
      </c>
      <c r="E708" s="1962">
        <f t="shared" si="82"/>
        <v>0</v>
      </c>
      <c r="G708" s="1959" t="s">
        <v>3297</v>
      </c>
      <c r="H708" s="1965" t="s">
        <v>3287</v>
      </c>
      <c r="I708" s="1961">
        <f>VLOOKUP(H701,'LƯƠNG KT'!$D$16:$V$108,13,0)</f>
        <v>0</v>
      </c>
      <c r="J708" s="1964">
        <f>153.8*$C$1</f>
        <v>102732.24800000001</v>
      </c>
      <c r="K708" s="1962">
        <f t="shared" si="83"/>
        <v>0</v>
      </c>
    </row>
    <row r="709" spans="1:11" ht="12.75" customHeight="1">
      <c r="A709" s="1959" t="s">
        <v>3354</v>
      </c>
      <c r="B709" s="1965" t="s">
        <v>3288</v>
      </c>
      <c r="C709" s="1961">
        <f>VLOOKUP(B701,'LƯƠNG KT'!$D$16:$V$108,14,0)</f>
        <v>0</v>
      </c>
      <c r="D709" s="1964">
        <v>100000</v>
      </c>
      <c r="E709" s="1962">
        <f>C709*D709</f>
        <v>0</v>
      </c>
      <c r="G709" s="1959" t="s">
        <v>3354</v>
      </c>
      <c r="H709" s="1965" t="s">
        <v>3288</v>
      </c>
      <c r="I709" s="1961">
        <f>VLOOKUP(H701,'LƯƠNG KT'!$D$16:$V$108,14,0)</f>
        <v>0</v>
      </c>
      <c r="J709" s="1964">
        <v>100000</v>
      </c>
      <c r="K709" s="1962">
        <f>I709*J709</f>
        <v>0</v>
      </c>
    </row>
    <row r="710" spans="1:11" ht="12.75" customHeight="1">
      <c r="A710" s="1959" t="s">
        <v>3355</v>
      </c>
      <c r="B710" s="1965" t="s">
        <v>3288</v>
      </c>
      <c r="C710" s="1961">
        <f>VLOOKUP(B701,'LƯƠNG KT'!$D$16:$V$108,17,0)</f>
        <v>0</v>
      </c>
      <c r="D710" s="1964">
        <v>20000</v>
      </c>
      <c r="E710" s="1962">
        <f>C710*D710</f>
        <v>0</v>
      </c>
      <c r="G710" s="1959" t="s">
        <v>3355</v>
      </c>
      <c r="H710" s="1965" t="s">
        <v>3288</v>
      </c>
      <c r="I710" s="1961">
        <f>VLOOKUP(H701,'LƯƠNG KT'!$D$16:$V$108,17,0)</f>
        <v>0</v>
      </c>
      <c r="J710" s="1964">
        <v>20000</v>
      </c>
      <c r="K710" s="1962">
        <f>I710*J710</f>
        <v>0</v>
      </c>
    </row>
    <row r="711" spans="1:11" ht="12.75" customHeight="1">
      <c r="A711" s="1959" t="s">
        <v>3289</v>
      </c>
      <c r="B711" s="1965" t="s">
        <v>3290</v>
      </c>
      <c r="C711" s="1966"/>
      <c r="D711" s="1964"/>
      <c r="E711" s="1962"/>
      <c r="G711" s="1959" t="s">
        <v>3289</v>
      </c>
      <c r="H711" s="1965" t="s">
        <v>3290</v>
      </c>
      <c r="I711" s="1966"/>
      <c r="J711" s="1964"/>
      <c r="K711" s="1962"/>
    </row>
    <row r="712" spans="1:11" ht="12.75" customHeight="1">
      <c r="A712" s="1968" t="s">
        <v>377</v>
      </c>
      <c r="B712" s="1969" t="s">
        <v>3291</v>
      </c>
      <c r="C712" s="1970"/>
      <c r="D712" s="1971"/>
      <c r="E712" s="1970"/>
      <c r="G712" s="1968" t="s">
        <v>377</v>
      </c>
      <c r="H712" s="1969" t="s">
        <v>3291</v>
      </c>
      <c r="I712" s="1970"/>
      <c r="J712" s="1971"/>
      <c r="K712" s="1970"/>
    </row>
    <row r="713" spans="1:11" ht="12.75" customHeight="1">
      <c r="A713" s="1972" t="s">
        <v>379</v>
      </c>
      <c r="B713" s="1973" t="s">
        <v>3292</v>
      </c>
      <c r="C713" s="1970"/>
      <c r="D713" s="1970"/>
      <c r="E713" s="1970"/>
      <c r="G713" s="1972" t="s">
        <v>379</v>
      </c>
      <c r="H713" s="1973" t="s">
        <v>3292</v>
      </c>
      <c r="I713" s="1970"/>
      <c r="J713" s="1970"/>
      <c r="K713" s="1970"/>
    </row>
    <row r="714" spans="1:11" ht="12.75" customHeight="1">
      <c r="A714" s="1972" t="s">
        <v>381</v>
      </c>
      <c r="B714" s="1974" t="s">
        <v>3293</v>
      </c>
      <c r="C714" s="1970"/>
      <c r="D714" s="1970"/>
      <c r="E714" s="1962">
        <f>SUM(E713)</f>
        <v>0</v>
      </c>
      <c r="G714" s="1972" t="s">
        <v>381</v>
      </c>
      <c r="H714" s="1974" t="s">
        <v>3293</v>
      </c>
      <c r="I714" s="1970"/>
      <c r="J714" s="1970"/>
      <c r="K714" s="1962">
        <f>SUM(K713)</f>
        <v>0</v>
      </c>
    </row>
    <row r="715" spans="1:11" ht="12.75" customHeight="1">
      <c r="A715" s="1975" t="s">
        <v>383</v>
      </c>
      <c r="B715" s="1976" t="s">
        <v>3294</v>
      </c>
      <c r="C715" s="1977"/>
      <c r="D715" s="1977"/>
      <c r="E715" s="1978">
        <f>(E703+E704+E705+E706+E707+E708+E709+E710+E711)-E714</f>
        <v>0</v>
      </c>
      <c r="G715" s="1975" t="s">
        <v>383</v>
      </c>
      <c r="H715" s="1976" t="s">
        <v>3294</v>
      </c>
      <c r="I715" s="1977"/>
      <c r="J715" s="1977"/>
      <c r="K715" s="1978">
        <f>(K703+K704+K705+K706+K707+K708+K709+K710+K711)-K714</f>
        <v>0</v>
      </c>
    </row>
    <row r="717" spans="1:11" ht="12.75" customHeight="1">
      <c r="A717" s="2953" t="s">
        <v>3356</v>
      </c>
      <c r="B717" s="2954"/>
      <c r="C717" s="2954"/>
      <c r="D717" s="2954"/>
      <c r="E717" s="1955">
        <f>VLOOKUP(B718,'LƯƠNG KT'!$D$16:$AD$108,25,0)</f>
        <v>0</v>
      </c>
      <c r="G717" s="2953" t="s">
        <v>3356</v>
      </c>
      <c r="H717" s="2954"/>
      <c r="I717" s="2954"/>
      <c r="J717" s="2954"/>
      <c r="K717" s="1955">
        <f>VLOOKUP(H718,'LƯƠNG KT'!$D$16:$AD$108,25,0)</f>
        <v>0</v>
      </c>
    </row>
    <row r="718" spans="1:11" ht="12.75" customHeight="1">
      <c r="A718" s="1956" t="s">
        <v>356</v>
      </c>
      <c r="B718" s="1956" t="str">
        <f>'LƯƠNG KT'!$D$100</f>
        <v>Mủ sirum</v>
      </c>
      <c r="C718" s="1957"/>
      <c r="D718" s="1958" t="s">
        <v>2357</v>
      </c>
      <c r="E718" s="1958" t="s">
        <v>2156</v>
      </c>
      <c r="G718" s="1956" t="s">
        <v>356</v>
      </c>
      <c r="H718" s="1956" t="str">
        <f>'LƯƠNG KT'!$D$107</f>
        <v>Con</v>
      </c>
      <c r="I718" s="1957"/>
      <c r="J718" s="1958" t="s">
        <v>2357</v>
      </c>
      <c r="K718" s="1958" t="s">
        <v>2156</v>
      </c>
    </row>
    <row r="719" spans="1:11" ht="12.75" customHeight="1">
      <c r="A719" s="1959" t="s">
        <v>3005</v>
      </c>
      <c r="B719" s="1960" t="s">
        <v>3278</v>
      </c>
      <c r="C719" s="1961">
        <f>VLOOKUP(B718,'LƯƠNG KT'!$D$16:$M$108,8,0)</f>
        <v>0</v>
      </c>
      <c r="D719" s="1962"/>
      <c r="E719" s="1962"/>
      <c r="G719" s="1959" t="s">
        <v>3005</v>
      </c>
      <c r="H719" s="1960" t="s">
        <v>3278</v>
      </c>
      <c r="I719" s="1961">
        <f>VLOOKUP(H718,'LƯƠNG KT'!$D$16:$M$108,8,0)</f>
        <v>0</v>
      </c>
      <c r="J719" s="1962"/>
      <c r="K719" s="1962"/>
    </row>
    <row r="720" spans="1:11" ht="12.75" customHeight="1">
      <c r="A720" s="1959" t="s">
        <v>359</v>
      </c>
      <c r="B720" s="1963" t="s">
        <v>2090</v>
      </c>
      <c r="C720" s="1961">
        <f>VLOOKUP(B718,'LƯƠNG KT'!$D$16:$V$108,3,0)</f>
        <v>0</v>
      </c>
      <c r="D720" s="1964">
        <v>25000</v>
      </c>
      <c r="E720" s="1962">
        <f>C720*D720</f>
        <v>0</v>
      </c>
      <c r="G720" s="1959" t="s">
        <v>359</v>
      </c>
      <c r="H720" s="1963" t="s">
        <v>2090</v>
      </c>
      <c r="I720" s="1961">
        <f>VLOOKUP(H718,'LƯƠNG KT'!$D$16:$V$108,3,0)</f>
        <v>0</v>
      </c>
      <c r="J720" s="1964">
        <v>25000</v>
      </c>
      <c r="K720" s="1962">
        <f>I720*J720</f>
        <v>0</v>
      </c>
    </row>
    <row r="721" spans="1:11" ht="12.75" customHeight="1">
      <c r="A721" s="1959" t="s">
        <v>3279</v>
      </c>
      <c r="B721" s="1965" t="s">
        <v>3280</v>
      </c>
      <c r="C721" s="1961" t="str">
        <f>VLOOKUP(B718,'LƯƠNG KT'!$D$16:$V$108,10,0)</f>
        <v>A</v>
      </c>
      <c r="D721" s="1967">
        <f>46.1*$C$1</f>
        <v>30792.956000000002</v>
      </c>
      <c r="E721" s="1962" t="e">
        <f t="shared" ref="E721:E725" si="84">C721*D721</f>
        <v>#VALUE!</v>
      </c>
      <c r="G721" s="1959" t="s">
        <v>3279</v>
      </c>
      <c r="H721" s="1965" t="s">
        <v>3280</v>
      </c>
      <c r="I721" s="1961">
        <f>VLOOKUP(H718,'LƯƠNG KT'!$D$16:$V$108,10,0)</f>
        <v>0</v>
      </c>
      <c r="J721" s="1967">
        <f>46.1*$C$1</f>
        <v>30792.956000000002</v>
      </c>
      <c r="K721" s="1962">
        <f t="shared" ref="K721:K725" si="85">I721*J721</f>
        <v>0</v>
      </c>
    </row>
    <row r="722" spans="1:11" ht="12.75" customHeight="1">
      <c r="A722" s="1959" t="s">
        <v>3281</v>
      </c>
      <c r="B722" s="1965" t="s">
        <v>3282</v>
      </c>
      <c r="C722" s="1961">
        <f>VLOOKUP(B718,'LƯƠNG KT'!$D$16:$V$108,11,0)</f>
        <v>1741296</v>
      </c>
      <c r="D722" s="1964">
        <f>76.9*$C$1</f>
        <v>51366.124000000003</v>
      </c>
      <c r="E722" s="1962">
        <f t="shared" si="84"/>
        <v>89443626256.70401</v>
      </c>
      <c r="G722" s="1959" t="s">
        <v>3281</v>
      </c>
      <c r="H722" s="1965" t="s">
        <v>3282</v>
      </c>
      <c r="I722" s="1961">
        <f>VLOOKUP(H718,'LƯƠNG KT'!$D$16:$V$108,11,0)</f>
        <v>0</v>
      </c>
      <c r="J722" s="1964">
        <f>76.9*$C$1</f>
        <v>51366.124000000003</v>
      </c>
      <c r="K722" s="1962">
        <f t="shared" si="85"/>
        <v>0</v>
      </c>
    </row>
    <row r="723" spans="1:11" ht="12.75" customHeight="1">
      <c r="A723" s="1959" t="s">
        <v>374</v>
      </c>
      <c r="B723" s="1965" t="s">
        <v>3283</v>
      </c>
      <c r="C723" s="1961">
        <f>VLOOKUP(B718,'LƯƠNG KT'!$D$16:$V$108,7,0)</f>
        <v>475.76400000000001</v>
      </c>
      <c r="D723" s="1964">
        <f>IF(C719="A",6.1,IF(C719="B",5.8,IF(C719="C",5.5,IF(C719="C.",5.5,IF(C719="D",5.2)))))*$C$1</f>
        <v>0</v>
      </c>
      <c r="E723" s="1962">
        <f t="shared" si="84"/>
        <v>0</v>
      </c>
      <c r="G723" s="1959" t="s">
        <v>374</v>
      </c>
      <c r="H723" s="1965" t="s">
        <v>3283</v>
      </c>
      <c r="I723" s="1961">
        <f>VLOOKUP(H718,'LƯƠNG KT'!$D$16:$V$108,7,0)</f>
        <v>0</v>
      </c>
      <c r="J723" s="1964">
        <f>IF(I719="A",6.1,IF(I719="B",5.8,IF(I719="C",5.5,IF(I719="C.",5.5,IF(I719="D",5.2)))))*$C$1</f>
        <v>0</v>
      </c>
      <c r="K723" s="1962">
        <f t="shared" si="85"/>
        <v>0</v>
      </c>
    </row>
    <row r="724" spans="1:11" ht="12.75" customHeight="1">
      <c r="A724" s="1959" t="s">
        <v>3296</v>
      </c>
      <c r="B724" s="1965" t="s">
        <v>3285</v>
      </c>
      <c r="C724" s="1961">
        <f>VLOOKUP(B718,'LƯƠNG KT'!$D$16:$V$108,12,0)</f>
        <v>0</v>
      </c>
      <c r="D724" s="1967">
        <f>92.2*$C$1</f>
        <v>61585.912000000004</v>
      </c>
      <c r="E724" s="1962">
        <f t="shared" si="84"/>
        <v>0</v>
      </c>
      <c r="G724" s="1959" t="s">
        <v>3296</v>
      </c>
      <c r="H724" s="1965" t="s">
        <v>3285</v>
      </c>
      <c r="I724" s="1961">
        <f>VLOOKUP(H718,'LƯƠNG KT'!$D$16:$V$108,12,0)</f>
        <v>0</v>
      </c>
      <c r="J724" s="1967">
        <f>92.2*$C$1</f>
        <v>61585.912000000004</v>
      </c>
      <c r="K724" s="1962">
        <f t="shared" si="85"/>
        <v>0</v>
      </c>
    </row>
    <row r="725" spans="1:11" ht="12.75" customHeight="1">
      <c r="A725" s="1959" t="s">
        <v>3297</v>
      </c>
      <c r="B725" s="1965" t="s">
        <v>3287</v>
      </c>
      <c r="C725" s="1961">
        <f>VLOOKUP(B718,'LƯƠNG KT'!$D$16:$V$108,13,0)</f>
        <v>0</v>
      </c>
      <c r="D725" s="1964">
        <f>153.8*$C$1</f>
        <v>102732.24800000001</v>
      </c>
      <c r="E725" s="1962">
        <f t="shared" si="84"/>
        <v>0</v>
      </c>
      <c r="G725" s="1959" t="s">
        <v>3297</v>
      </c>
      <c r="H725" s="1965" t="s">
        <v>3287</v>
      </c>
      <c r="I725" s="1961">
        <f>VLOOKUP(H718,'LƯƠNG KT'!$D$16:$V$108,13,0)</f>
        <v>0</v>
      </c>
      <c r="J725" s="1964">
        <f>153.8*$C$1</f>
        <v>102732.24800000001</v>
      </c>
      <c r="K725" s="1962">
        <f t="shared" si="85"/>
        <v>0</v>
      </c>
    </row>
    <row r="726" spans="1:11" ht="12.75" customHeight="1">
      <c r="A726" s="1959" t="s">
        <v>3354</v>
      </c>
      <c r="B726" s="1965" t="s">
        <v>3288</v>
      </c>
      <c r="C726" s="1961">
        <f>VLOOKUP(B718,'LƯƠNG KT'!$D$16:$V$108,14,0)</f>
        <v>0</v>
      </c>
      <c r="D726" s="1964">
        <v>100000</v>
      </c>
      <c r="E726" s="1962">
        <f>C726*D726</f>
        <v>0</v>
      </c>
      <c r="G726" s="1959" t="s">
        <v>3354</v>
      </c>
      <c r="H726" s="1965" t="s">
        <v>3288</v>
      </c>
      <c r="I726" s="1961">
        <f>VLOOKUP(H718,'LƯƠNG KT'!$D$16:$V$108,14,0)</f>
        <v>0</v>
      </c>
      <c r="J726" s="1964">
        <v>100000</v>
      </c>
      <c r="K726" s="1962">
        <f>I726*J726</f>
        <v>0</v>
      </c>
    </row>
    <row r="727" spans="1:11" ht="12.75" customHeight="1">
      <c r="A727" s="1959" t="s">
        <v>3355</v>
      </c>
      <c r="B727" s="1965" t="s">
        <v>3288</v>
      </c>
      <c r="C727" s="1961">
        <f>VLOOKUP(B718,'LƯƠNG KT'!$D$16:$V$108,17,0)</f>
        <v>0</v>
      </c>
      <c r="D727" s="1964">
        <v>20000</v>
      </c>
      <c r="E727" s="1962">
        <f>C727*D727</f>
        <v>0</v>
      </c>
      <c r="G727" s="1959" t="s">
        <v>3355</v>
      </c>
      <c r="H727" s="1965" t="s">
        <v>3288</v>
      </c>
      <c r="I727" s="1961">
        <f>VLOOKUP(H718,'LƯƠNG KT'!$D$16:$V$108,17,0)</f>
        <v>0</v>
      </c>
      <c r="J727" s="1964">
        <v>20000</v>
      </c>
      <c r="K727" s="1962">
        <f>I727*J727</f>
        <v>0</v>
      </c>
    </row>
    <row r="728" spans="1:11" ht="12.75" customHeight="1">
      <c r="A728" s="1959" t="s">
        <v>3289</v>
      </c>
      <c r="B728" s="1965" t="s">
        <v>3290</v>
      </c>
      <c r="C728" s="1966"/>
      <c r="D728" s="1964"/>
      <c r="E728" s="1962"/>
      <c r="G728" s="1959" t="s">
        <v>3289</v>
      </c>
      <c r="H728" s="1965" t="s">
        <v>3290</v>
      </c>
      <c r="I728" s="1966"/>
      <c r="J728" s="1964"/>
      <c r="K728" s="1962"/>
    </row>
    <row r="729" spans="1:11" ht="12.75" customHeight="1">
      <c r="A729" s="1968" t="s">
        <v>377</v>
      </c>
      <c r="B729" s="1969" t="s">
        <v>3291</v>
      </c>
      <c r="C729" s="1970"/>
      <c r="D729" s="1971"/>
      <c r="E729" s="1970"/>
      <c r="G729" s="1968" t="s">
        <v>377</v>
      </c>
      <c r="H729" s="1969" t="s">
        <v>3291</v>
      </c>
      <c r="I729" s="1970"/>
      <c r="J729" s="1971"/>
      <c r="K729" s="1970"/>
    </row>
    <row r="730" spans="1:11" ht="12.75" customHeight="1">
      <c r="A730" s="1972" t="s">
        <v>379</v>
      </c>
      <c r="B730" s="1973" t="s">
        <v>3292</v>
      </c>
      <c r="C730" s="1970"/>
      <c r="D730" s="1970"/>
      <c r="E730" s="1970"/>
      <c r="G730" s="1972" t="s">
        <v>379</v>
      </c>
      <c r="H730" s="1973" t="s">
        <v>3292</v>
      </c>
      <c r="I730" s="1970"/>
      <c r="J730" s="1970"/>
      <c r="K730" s="1970"/>
    </row>
    <row r="731" spans="1:11" ht="12.75" customHeight="1">
      <c r="A731" s="1972" t="s">
        <v>381</v>
      </c>
      <c r="B731" s="1974" t="s">
        <v>3293</v>
      </c>
      <c r="C731" s="1970"/>
      <c r="D731" s="1970"/>
      <c r="E731" s="1962">
        <f>SUM(E730)</f>
        <v>0</v>
      </c>
      <c r="G731" s="1972" t="s">
        <v>381</v>
      </c>
      <c r="H731" s="1974" t="s">
        <v>3293</v>
      </c>
      <c r="I731" s="1970"/>
      <c r="J731" s="1970"/>
      <c r="K731" s="1962">
        <f>SUM(K730)</f>
        <v>0</v>
      </c>
    </row>
    <row r="732" spans="1:11" ht="12.75" customHeight="1">
      <c r="A732" s="1975" t="s">
        <v>383</v>
      </c>
      <c r="B732" s="1976" t="s">
        <v>3294</v>
      </c>
      <c r="C732" s="1977"/>
      <c r="D732" s="1977"/>
      <c r="E732" s="1978" t="e">
        <f>(E720+E721+E722+E723+E724+E725+E726+E727+E728)-E731</f>
        <v>#VALUE!</v>
      </c>
      <c r="G732" s="1975" t="s">
        <v>383</v>
      </c>
      <c r="H732" s="1976" t="s">
        <v>3294</v>
      </c>
      <c r="I732" s="1977"/>
      <c r="J732" s="1977"/>
      <c r="K732" s="1978">
        <f>(K720+K721+K722+K723+K724+K725+K726+K727+K728)-K731</f>
        <v>0</v>
      </c>
    </row>
    <row r="734" spans="1:11" ht="12.75" customHeight="1">
      <c r="A734" s="2953" t="s">
        <v>3356</v>
      </c>
      <c r="B734" s="2954"/>
      <c r="C734" s="2954"/>
      <c r="D734" s="2954"/>
      <c r="E734" s="1955">
        <f>VLOOKUP(B735,'LƯƠNG KT'!$D$16:$AD$108,25,0)</f>
        <v>0</v>
      </c>
      <c r="G734" s="2953" t="s">
        <v>3356</v>
      </c>
      <c r="H734" s="2954"/>
      <c r="I734" s="2954"/>
      <c r="J734" s="2954"/>
      <c r="K734" s="1955" t="e">
        <f>VLOOKUP(H735,'LƯƠNG KT'!$D$16:$AD$108,25,0)</f>
        <v>#REF!</v>
      </c>
    </row>
    <row r="735" spans="1:11" ht="12.75" customHeight="1">
      <c r="A735" s="1956" t="s">
        <v>356</v>
      </c>
      <c r="B735" s="1956" t="str">
        <f>'LƯƠNG KT'!$D$108</f>
        <v>Đăm</v>
      </c>
      <c r="C735" s="1957"/>
      <c r="D735" s="1958" t="s">
        <v>2357</v>
      </c>
      <c r="E735" s="1958" t="s">
        <v>2156</v>
      </c>
      <c r="G735" s="1956" t="s">
        <v>356</v>
      </c>
      <c r="H735" s="1956" t="e">
        <f>'LƯƠNG KT'!#REF!</f>
        <v>#REF!</v>
      </c>
      <c r="I735" s="1957"/>
      <c r="J735" s="1958" t="s">
        <v>2357</v>
      </c>
      <c r="K735" s="1958" t="s">
        <v>2156</v>
      </c>
    </row>
    <row r="736" spans="1:11" ht="12.75" customHeight="1">
      <c r="A736" s="1959" t="s">
        <v>3005</v>
      </c>
      <c r="B736" s="1960" t="s">
        <v>3278</v>
      </c>
      <c r="C736" s="1961">
        <f>VLOOKUP(B735,'LƯƠNG KT'!$D$16:$M$108,8,0)</f>
        <v>0</v>
      </c>
      <c r="D736" s="1962"/>
      <c r="E736" s="1962"/>
      <c r="G736" s="1959" t="s">
        <v>3005</v>
      </c>
      <c r="H736" s="1960" t="s">
        <v>3278</v>
      </c>
      <c r="I736" s="1961" t="e">
        <f>VLOOKUP(H735,'LƯƠNG KT'!$D$16:$M$108,8,0)</f>
        <v>#REF!</v>
      </c>
      <c r="J736" s="1962"/>
      <c r="K736" s="1962"/>
    </row>
    <row r="737" spans="1:11" ht="12.75" customHeight="1">
      <c r="A737" s="1959" t="s">
        <v>359</v>
      </c>
      <c r="B737" s="1963" t="s">
        <v>2090</v>
      </c>
      <c r="C737" s="1961">
        <f>VLOOKUP(B735,'LƯƠNG KT'!$D$16:$V$108,3,0)</f>
        <v>0</v>
      </c>
      <c r="D737" s="1964">
        <v>25000</v>
      </c>
      <c r="E737" s="1962">
        <f>C737*D737</f>
        <v>0</v>
      </c>
      <c r="G737" s="1959" t="s">
        <v>359</v>
      </c>
      <c r="H737" s="1963" t="s">
        <v>2090</v>
      </c>
      <c r="I737" s="1961" t="e">
        <f>VLOOKUP(H735,'LƯƠNG KT'!$D$16:$V$108,3,0)</f>
        <v>#REF!</v>
      </c>
      <c r="J737" s="1964">
        <v>25000</v>
      </c>
      <c r="K737" s="1962" t="e">
        <f>I737*J737</f>
        <v>#REF!</v>
      </c>
    </row>
    <row r="738" spans="1:11" ht="12.75" customHeight="1">
      <c r="A738" s="1959" t="s">
        <v>3279</v>
      </c>
      <c r="B738" s="1965" t="s">
        <v>3280</v>
      </c>
      <c r="C738" s="1961">
        <f>VLOOKUP(B735,'LƯƠNG KT'!$D$16:$V$108,10,0)</f>
        <v>0</v>
      </c>
      <c r="D738" s="1967">
        <f>46.1*$C$1</f>
        <v>30792.956000000002</v>
      </c>
      <c r="E738" s="1962">
        <f t="shared" ref="E738:E742" si="86">C738*D738</f>
        <v>0</v>
      </c>
      <c r="G738" s="1959" t="s">
        <v>3279</v>
      </c>
      <c r="H738" s="1965" t="s">
        <v>3280</v>
      </c>
      <c r="I738" s="1961" t="e">
        <f>VLOOKUP(H735,'LƯƠNG KT'!$D$16:$V$108,10,0)</f>
        <v>#REF!</v>
      </c>
      <c r="J738" s="1967">
        <f>46.1*$C$1</f>
        <v>30792.956000000002</v>
      </c>
      <c r="K738" s="1962" t="e">
        <f t="shared" ref="K738:K742" si="87">I738*J738</f>
        <v>#REF!</v>
      </c>
    </row>
    <row r="739" spans="1:11" ht="12.75" customHeight="1">
      <c r="A739" s="1959" t="s">
        <v>3281</v>
      </c>
      <c r="B739" s="1965" t="s">
        <v>3282</v>
      </c>
      <c r="C739" s="1961">
        <f>VLOOKUP(B735,'LƯƠNG KT'!$D$16:$V$108,11,0)</f>
        <v>0</v>
      </c>
      <c r="D739" s="1964">
        <f>76.9*$C$1</f>
        <v>51366.124000000003</v>
      </c>
      <c r="E739" s="1962">
        <f t="shared" si="86"/>
        <v>0</v>
      </c>
      <c r="G739" s="1959" t="s">
        <v>3281</v>
      </c>
      <c r="H739" s="1965" t="s">
        <v>3282</v>
      </c>
      <c r="I739" s="1961" t="e">
        <f>VLOOKUP(H735,'LƯƠNG KT'!$D$16:$V$108,11,0)</f>
        <v>#REF!</v>
      </c>
      <c r="J739" s="1964">
        <f>76.9*$C$1</f>
        <v>51366.124000000003</v>
      </c>
      <c r="K739" s="1962" t="e">
        <f t="shared" si="87"/>
        <v>#REF!</v>
      </c>
    </row>
    <row r="740" spans="1:11" ht="12.75" customHeight="1">
      <c r="A740" s="1959" t="s">
        <v>374</v>
      </c>
      <c r="B740" s="1965" t="s">
        <v>3283</v>
      </c>
      <c r="C740" s="1961">
        <f>VLOOKUP(B735,'LƯƠNG KT'!$D$16:$V$108,7,0)</f>
        <v>0</v>
      </c>
      <c r="D740" s="1964">
        <f>IF(C736="A",6.1,IF(C736="B",5.8,IF(C736="C",5.5,IF(C736="C.",5.5,IF(C736="D",5.2)))))*$C$1</f>
        <v>0</v>
      </c>
      <c r="E740" s="1962">
        <f t="shared" si="86"/>
        <v>0</v>
      </c>
      <c r="G740" s="1959" t="s">
        <v>374</v>
      </c>
      <c r="H740" s="1965" t="s">
        <v>3283</v>
      </c>
      <c r="I740" s="1961" t="e">
        <f>VLOOKUP(H735,'LƯƠNG KT'!$D$16:$V$108,7,0)</f>
        <v>#REF!</v>
      </c>
      <c r="J740" s="1964" t="e">
        <f>IF(I736="A",6.1,IF(I736="B",5.8,IF(I736="C",5.5,IF(I736="C.",5.5,IF(I736="D",5.2)))))*$C$1</f>
        <v>#REF!</v>
      </c>
      <c r="K740" s="1962" t="e">
        <f t="shared" si="87"/>
        <v>#REF!</v>
      </c>
    </row>
    <row r="741" spans="1:11" ht="12.75" customHeight="1">
      <c r="A741" s="1959" t="s">
        <v>3296</v>
      </c>
      <c r="B741" s="1965" t="s">
        <v>3285</v>
      </c>
      <c r="C741" s="1961">
        <f>VLOOKUP(B735,'LƯƠNG KT'!$D$16:$V$108,12,0)</f>
        <v>0</v>
      </c>
      <c r="D741" s="1967">
        <f>92.2*$C$1</f>
        <v>61585.912000000004</v>
      </c>
      <c r="E741" s="1962">
        <f t="shared" si="86"/>
        <v>0</v>
      </c>
      <c r="G741" s="1959" t="s">
        <v>3296</v>
      </c>
      <c r="H741" s="1965" t="s">
        <v>3285</v>
      </c>
      <c r="I741" s="1961" t="e">
        <f>VLOOKUP(H735,'LƯƠNG KT'!$D$16:$V$108,12,0)</f>
        <v>#REF!</v>
      </c>
      <c r="J741" s="1967">
        <f>92.2*$C$1</f>
        <v>61585.912000000004</v>
      </c>
      <c r="K741" s="1962" t="e">
        <f t="shared" si="87"/>
        <v>#REF!</v>
      </c>
    </row>
    <row r="742" spans="1:11" ht="12.75" customHeight="1">
      <c r="A742" s="1959" t="s">
        <v>3297</v>
      </c>
      <c r="B742" s="1965" t="s">
        <v>3287</v>
      </c>
      <c r="C742" s="1961">
        <f>VLOOKUP(B735,'LƯƠNG KT'!$D$16:$V$108,13,0)</f>
        <v>0</v>
      </c>
      <c r="D742" s="1964">
        <f>153.8*$C$1</f>
        <v>102732.24800000001</v>
      </c>
      <c r="E742" s="1962">
        <f t="shared" si="86"/>
        <v>0</v>
      </c>
      <c r="G742" s="1959" t="s">
        <v>3297</v>
      </c>
      <c r="H742" s="1965" t="s">
        <v>3287</v>
      </c>
      <c r="I742" s="1961" t="e">
        <f>VLOOKUP(H735,'LƯƠNG KT'!$D$16:$V$108,13,0)</f>
        <v>#REF!</v>
      </c>
      <c r="J742" s="1964">
        <f>153.8*$C$1</f>
        <v>102732.24800000001</v>
      </c>
      <c r="K742" s="1962" t="e">
        <f t="shared" si="87"/>
        <v>#REF!</v>
      </c>
    </row>
    <row r="743" spans="1:11" ht="12.75" customHeight="1">
      <c r="A743" s="1959" t="s">
        <v>3354</v>
      </c>
      <c r="B743" s="1965" t="s">
        <v>3288</v>
      </c>
      <c r="C743" s="1961">
        <f>VLOOKUP(B735,'LƯƠNG KT'!$D$16:$V$108,14,0)</f>
        <v>0</v>
      </c>
      <c r="D743" s="1964">
        <v>100000</v>
      </c>
      <c r="E743" s="1962">
        <f>C743*D743</f>
        <v>0</v>
      </c>
      <c r="G743" s="1959" t="s">
        <v>3354</v>
      </c>
      <c r="H743" s="1965" t="s">
        <v>3288</v>
      </c>
      <c r="I743" s="1961" t="e">
        <f>VLOOKUP(H735,'LƯƠNG KT'!$D$16:$V$108,14,0)</f>
        <v>#REF!</v>
      </c>
      <c r="J743" s="1964">
        <v>100000</v>
      </c>
      <c r="K743" s="1962" t="e">
        <f>I743*J743</f>
        <v>#REF!</v>
      </c>
    </row>
    <row r="744" spans="1:11" ht="12.75" customHeight="1">
      <c r="A744" s="1959" t="s">
        <v>3355</v>
      </c>
      <c r="B744" s="1965" t="s">
        <v>3288</v>
      </c>
      <c r="C744" s="1961">
        <f>VLOOKUP(B735,'LƯƠNG KT'!$D$16:$V$108,17,0)</f>
        <v>0</v>
      </c>
      <c r="D744" s="1964">
        <v>20000</v>
      </c>
      <c r="E744" s="1962">
        <f>C744*D744</f>
        <v>0</v>
      </c>
      <c r="G744" s="1959" t="s">
        <v>3355</v>
      </c>
      <c r="H744" s="1965" t="s">
        <v>3288</v>
      </c>
      <c r="I744" s="1961" t="e">
        <f>VLOOKUP(H735,'LƯƠNG KT'!$D$16:$V$108,17,0)</f>
        <v>#REF!</v>
      </c>
      <c r="J744" s="1964">
        <v>20000</v>
      </c>
      <c r="K744" s="1962" t="e">
        <f>I744*J744</f>
        <v>#REF!</v>
      </c>
    </row>
    <row r="745" spans="1:11" ht="12.75" customHeight="1">
      <c r="A745" s="1959" t="s">
        <v>3289</v>
      </c>
      <c r="B745" s="1965" t="s">
        <v>3290</v>
      </c>
      <c r="C745" s="1966"/>
      <c r="D745" s="1964"/>
      <c r="E745" s="1962"/>
      <c r="G745" s="1959" t="s">
        <v>3289</v>
      </c>
      <c r="H745" s="1965" t="s">
        <v>3290</v>
      </c>
      <c r="I745" s="1966"/>
      <c r="J745" s="1964"/>
      <c r="K745" s="1962"/>
    </row>
    <row r="746" spans="1:11" ht="12.75" customHeight="1">
      <c r="A746" s="1968" t="s">
        <v>377</v>
      </c>
      <c r="B746" s="1969" t="s">
        <v>3291</v>
      </c>
      <c r="C746" s="1970"/>
      <c r="D746" s="1971"/>
      <c r="E746" s="1970"/>
      <c r="G746" s="1968" t="s">
        <v>377</v>
      </c>
      <c r="H746" s="1969" t="s">
        <v>3291</v>
      </c>
      <c r="I746" s="1970"/>
      <c r="J746" s="1971"/>
      <c r="K746" s="1970"/>
    </row>
    <row r="747" spans="1:11" ht="12.75" customHeight="1">
      <c r="A747" s="1972" t="s">
        <v>379</v>
      </c>
      <c r="B747" s="1973" t="s">
        <v>3292</v>
      </c>
      <c r="C747" s="1970"/>
      <c r="D747" s="1970"/>
      <c r="E747" s="1970"/>
      <c r="G747" s="1972" t="s">
        <v>379</v>
      </c>
      <c r="H747" s="1973" t="s">
        <v>3292</v>
      </c>
      <c r="I747" s="1970"/>
      <c r="J747" s="1970"/>
      <c r="K747" s="1970"/>
    </row>
    <row r="748" spans="1:11" ht="12.75" customHeight="1">
      <c r="A748" s="1972" t="s">
        <v>381</v>
      </c>
      <c r="B748" s="1974" t="s">
        <v>3293</v>
      </c>
      <c r="C748" s="1970"/>
      <c r="D748" s="1970"/>
      <c r="E748" s="1962">
        <f>SUM(E747)</f>
        <v>0</v>
      </c>
      <c r="G748" s="1972" t="s">
        <v>381</v>
      </c>
      <c r="H748" s="1974" t="s">
        <v>3293</v>
      </c>
      <c r="I748" s="1970"/>
      <c r="J748" s="1970"/>
      <c r="K748" s="1962">
        <f>SUM(K747)</f>
        <v>0</v>
      </c>
    </row>
    <row r="749" spans="1:11" ht="12.75" customHeight="1">
      <c r="A749" s="1975" t="s">
        <v>383</v>
      </c>
      <c r="B749" s="1976" t="s">
        <v>3294</v>
      </c>
      <c r="C749" s="1977"/>
      <c r="D749" s="1977"/>
      <c r="E749" s="1978">
        <f>(E737+E738+E739+E740+E741+E742+E743+E744+E745)-E748</f>
        <v>0</v>
      </c>
      <c r="G749" s="1975" t="s">
        <v>383</v>
      </c>
      <c r="H749" s="1976" t="s">
        <v>3294</v>
      </c>
      <c r="I749" s="1977"/>
      <c r="J749" s="1977"/>
      <c r="K749" s="1978" t="e">
        <f>(K737+K738+K739+K740+K741+K742+K743+K744+K745)-K748</f>
        <v>#REF!</v>
      </c>
    </row>
    <row r="751" spans="1:11" ht="12.75" hidden="1" customHeight="1">
      <c r="A751" s="2955" t="s">
        <v>3356</v>
      </c>
      <c r="B751" s="2956"/>
      <c r="C751" s="2956"/>
      <c r="D751" s="2956"/>
      <c r="E751" s="1981" t="e">
        <f>VLOOKUP(B752,'LƯƠNG KT'!$D$16:$AD$108,25,0)</f>
        <v>#N/A</v>
      </c>
      <c r="F751" s="1980"/>
      <c r="G751" s="2955" t="s">
        <v>3356</v>
      </c>
      <c r="H751" s="2956"/>
      <c r="I751" s="2956"/>
      <c r="J751" s="2956"/>
      <c r="K751" s="1981" t="e">
        <f>VLOOKUP(H752,'LƯƠNG KT'!$D$16:$AD$108,25,0)</f>
        <v>#N/A</v>
      </c>
    </row>
    <row r="752" spans="1:11" ht="12.75" hidden="1" customHeight="1">
      <c r="A752" s="1956" t="s">
        <v>356</v>
      </c>
      <c r="B752" s="1956"/>
      <c r="C752" s="1957"/>
      <c r="D752" s="1958" t="s">
        <v>2357</v>
      </c>
      <c r="E752" s="1958" t="s">
        <v>2156</v>
      </c>
      <c r="G752" s="1956" t="s">
        <v>356</v>
      </c>
      <c r="H752" s="1956"/>
      <c r="I752" s="1957"/>
      <c r="J752" s="1958" t="s">
        <v>2357</v>
      </c>
      <c r="K752" s="1958" t="s">
        <v>2156</v>
      </c>
    </row>
    <row r="753" spans="1:11" ht="12.75" hidden="1" customHeight="1">
      <c r="A753" s="1959" t="s">
        <v>3005</v>
      </c>
      <c r="B753" s="1960" t="s">
        <v>3278</v>
      </c>
      <c r="C753" s="1961">
        <f>VLOOKUP($B$4,'LƯƠNG KT'!$D$16:$M$108,8,0)</f>
        <v>258.44560223458501</v>
      </c>
      <c r="D753" s="1962"/>
      <c r="E753" s="1962"/>
      <c r="G753" s="1959" t="s">
        <v>3005</v>
      </c>
      <c r="H753" s="1960" t="s">
        <v>3278</v>
      </c>
      <c r="I753" s="1961">
        <f>VLOOKUP($H$4,'LƯƠNG KT'!$D$16:$M$108,8,0)</f>
        <v>208.79511122005275</v>
      </c>
      <c r="J753" s="1962"/>
      <c r="K753" s="1962"/>
    </row>
    <row r="754" spans="1:11" ht="12.75" hidden="1" customHeight="1">
      <c r="A754" s="1959" t="s">
        <v>359</v>
      </c>
      <c r="B754" s="1963" t="s">
        <v>2090</v>
      </c>
      <c r="C754" s="1961">
        <f>VLOOKUP($B$4,'LƯƠNG KT'!$D$16:$M$108,3,0)</f>
        <v>0</v>
      </c>
      <c r="D754" s="1964">
        <v>25000</v>
      </c>
      <c r="E754" s="1962">
        <f>C754*D754</f>
        <v>0</v>
      </c>
      <c r="G754" s="1959" t="s">
        <v>359</v>
      </c>
      <c r="H754" s="1963" t="s">
        <v>2090</v>
      </c>
      <c r="I754" s="1961">
        <f>VLOOKUP($H$4,'LƯƠNG KT'!$D$16:$M$108,3,0)</f>
        <v>0</v>
      </c>
      <c r="J754" s="1964">
        <v>25000</v>
      </c>
      <c r="K754" s="1962">
        <f>I754*J754</f>
        <v>0</v>
      </c>
    </row>
    <row r="755" spans="1:11" ht="12.75" hidden="1" customHeight="1">
      <c r="A755" s="1959" t="s">
        <v>3279</v>
      </c>
      <c r="B755" s="1965" t="s">
        <v>3280</v>
      </c>
      <c r="C755" s="1961" t="str">
        <f>VLOOKUP($B$4,'LƯƠNG KT'!$D$16:$Q$108,10,0)</f>
        <v>B</v>
      </c>
      <c r="D755" s="1967">
        <f>46.1*$C$1</f>
        <v>30792.956000000002</v>
      </c>
      <c r="E755" s="1962" t="e">
        <f t="shared" ref="E755:E759" si="88">C755*D755</f>
        <v>#VALUE!</v>
      </c>
      <c r="G755" s="1959" t="s">
        <v>3279</v>
      </c>
      <c r="H755" s="1965" t="s">
        <v>3280</v>
      </c>
      <c r="I755" s="1961" t="str">
        <f>VLOOKUP($H$4,'LƯƠNG KT'!$D$16:$Q$108,10,0)</f>
        <v>A</v>
      </c>
      <c r="J755" s="1967">
        <f>46.1*$C$1</f>
        <v>30792.956000000002</v>
      </c>
      <c r="K755" s="1962" t="e">
        <f t="shared" ref="K755:K759" si="89">I755*J755</f>
        <v>#VALUE!</v>
      </c>
    </row>
    <row r="756" spans="1:11" ht="12.75" hidden="1" customHeight="1">
      <c r="A756" s="1959" t="s">
        <v>3281</v>
      </c>
      <c r="B756" s="1965" t="s">
        <v>3282</v>
      </c>
      <c r="C756" s="1961">
        <f>VLOOKUP($B$4,'LƯƠNG KT'!$D$16:$Q$108,11,0)</f>
        <v>7874809</v>
      </c>
      <c r="D756" s="1964">
        <f>76.9*$C$1</f>
        <v>51366.124000000003</v>
      </c>
      <c r="E756" s="1962">
        <f t="shared" si="88"/>
        <v>404498415570.31604</v>
      </c>
      <c r="G756" s="1959" t="s">
        <v>3281</v>
      </c>
      <c r="H756" s="1965" t="s">
        <v>3282</v>
      </c>
      <c r="I756" s="1961">
        <f>VLOOKUP($H$4,'LƯƠNG KT'!$D$16:$Q$108,11,0)</f>
        <v>6691031</v>
      </c>
      <c r="J756" s="1964">
        <f>76.9*$C$1</f>
        <v>51366.124000000003</v>
      </c>
      <c r="K756" s="1962">
        <f t="shared" si="89"/>
        <v>343692328033.84399</v>
      </c>
    </row>
    <row r="757" spans="1:11" ht="12.75" hidden="1" customHeight="1">
      <c r="A757" s="1959" t="s">
        <v>374</v>
      </c>
      <c r="B757" s="1965" t="s">
        <v>3283</v>
      </c>
      <c r="C757" s="1961">
        <f>VLOOKUP($B$4,'LƯƠNG KT'!$D$16:$M$108,7,0)</f>
        <v>2004.4306367838908</v>
      </c>
      <c r="D757" s="1964">
        <f>IF(C753="A",6.1,IF(C753="B",5.8,IF(C753="C",5.5,IF(C753="C.",5.5,IF(C753="D",5.2)))))*$C$1</f>
        <v>0</v>
      </c>
      <c r="E757" s="1962">
        <f t="shared" si="88"/>
        <v>0</v>
      </c>
      <c r="G757" s="1959" t="s">
        <v>374</v>
      </c>
      <c r="H757" s="1965" t="s">
        <v>3283</v>
      </c>
      <c r="I757" s="1961">
        <f>VLOOKUP($H$4,'LƯƠNG KT'!$D$16:$M$108,7,0)</f>
        <v>1619.3555398953824</v>
      </c>
      <c r="J757" s="1964">
        <f>IF(I753="A",6.1,IF(I753="B",5.8,IF(I753="C",5.5,IF(I753="C.",5.5,IF(I753="D",5.2)))))*$C$1</f>
        <v>0</v>
      </c>
      <c r="K757" s="1962">
        <f t="shared" si="89"/>
        <v>0</v>
      </c>
    </row>
    <row r="758" spans="1:11" ht="12.75" hidden="1" customHeight="1">
      <c r="A758" s="1959" t="s">
        <v>3296</v>
      </c>
      <c r="B758" s="1965" t="s">
        <v>3285</v>
      </c>
      <c r="C758" s="1961">
        <f>VLOOKUP($B$4,'LƯƠNG KT'!$D$16:$Q$108,12,0)</f>
        <v>27</v>
      </c>
      <c r="D758" s="1967">
        <f>92.2*$C$1</f>
        <v>61585.912000000004</v>
      </c>
      <c r="E758" s="1962">
        <f t="shared" si="88"/>
        <v>1662819.6240000001</v>
      </c>
      <c r="G758" s="1959" t="s">
        <v>3284</v>
      </c>
      <c r="H758" s="1965" t="s">
        <v>3285</v>
      </c>
      <c r="I758" s="1961">
        <f>VLOOKUP($H$4,'LƯƠNG KT'!$D$16:$Q$108,12,0)</f>
        <v>24</v>
      </c>
      <c r="J758" s="1967">
        <f>92.2*$C$1</f>
        <v>61585.912000000004</v>
      </c>
      <c r="K758" s="1962">
        <f t="shared" si="89"/>
        <v>1478061.888</v>
      </c>
    </row>
    <row r="759" spans="1:11" ht="12.75" hidden="1" customHeight="1">
      <c r="A759" s="1959" t="s">
        <v>3297</v>
      </c>
      <c r="B759" s="1965" t="s">
        <v>3287</v>
      </c>
      <c r="C759" s="1961">
        <f>VLOOKUP($B$4,'LƯƠNG KT'!$D$16:$T$108,13,0)</f>
        <v>4</v>
      </c>
      <c r="D759" s="1964">
        <f>153.8*$C$1</f>
        <v>102732.24800000001</v>
      </c>
      <c r="E759" s="1962">
        <f t="shared" si="88"/>
        <v>410928.99200000003</v>
      </c>
      <c r="G759" s="1959" t="s">
        <v>3286</v>
      </c>
      <c r="H759" s="1965" t="s">
        <v>3287</v>
      </c>
      <c r="I759" s="1961">
        <f>VLOOKUP($H$4,'LƯƠNG KT'!$D$16:$T$108,13,0)</f>
        <v>4</v>
      </c>
      <c r="J759" s="1964">
        <f>153.8*$C$1</f>
        <v>102732.24800000001</v>
      </c>
      <c r="K759" s="1962">
        <f t="shared" si="89"/>
        <v>410928.99200000003</v>
      </c>
    </row>
    <row r="760" spans="1:11" ht="12.75" hidden="1" customHeight="1">
      <c r="A760" s="1959" t="s">
        <v>370</v>
      </c>
      <c r="B760" s="1965" t="s">
        <v>3288</v>
      </c>
      <c r="C760" s="1961">
        <f>VLOOKUP($B$4,'LƯƠNG KT'!$D$16:$V$108,16,0)</f>
        <v>0</v>
      </c>
      <c r="D760" s="1964">
        <v>10000</v>
      </c>
      <c r="E760" s="1962">
        <f>C760*D760</f>
        <v>0</v>
      </c>
      <c r="G760" s="1959" t="s">
        <v>370</v>
      </c>
      <c r="H760" s="1965" t="s">
        <v>3288</v>
      </c>
      <c r="I760" s="1961">
        <f>VLOOKUP($H$4,'LƯƠNG KT'!$D$16:$V$108,16,0)</f>
        <v>0</v>
      </c>
      <c r="J760" s="1964">
        <v>10000</v>
      </c>
      <c r="K760" s="1962">
        <f>I760*J760</f>
        <v>0</v>
      </c>
    </row>
    <row r="761" spans="1:11" ht="12.75" hidden="1" customHeight="1">
      <c r="A761" s="1959" t="s">
        <v>370</v>
      </c>
      <c r="B761" s="1965" t="s">
        <v>3288</v>
      </c>
      <c r="C761" s="1961">
        <f>VLOOKUP($B$4,'LƯƠNG KT'!$D$16:$W$108,17,0)</f>
        <v>0</v>
      </c>
      <c r="D761" s="1964">
        <v>20000</v>
      </c>
      <c r="E761" s="1962">
        <f>C761*D761</f>
        <v>0</v>
      </c>
      <c r="G761" s="1959" t="s">
        <v>370</v>
      </c>
      <c r="H761" s="1965" t="s">
        <v>3288</v>
      </c>
      <c r="I761" s="1961">
        <f>VLOOKUP($H$4,'LƯƠNG KT'!$D$16:$W$108,17,0)</f>
        <v>0</v>
      </c>
      <c r="J761" s="1964">
        <v>20000</v>
      </c>
      <c r="K761" s="1962">
        <f>I761*J761</f>
        <v>0</v>
      </c>
    </row>
    <row r="762" spans="1:11" ht="12.75" hidden="1" customHeight="1">
      <c r="A762" s="1959" t="s">
        <v>3289</v>
      </c>
      <c r="B762" s="1965" t="s">
        <v>3290</v>
      </c>
      <c r="C762" s="1966"/>
      <c r="D762" s="1964"/>
      <c r="E762" s="1962"/>
      <c r="G762" s="1959" t="s">
        <v>3289</v>
      </c>
      <c r="H762" s="1965" t="s">
        <v>3290</v>
      </c>
      <c r="I762" s="1966"/>
      <c r="J762" s="1964"/>
      <c r="K762" s="1962"/>
    </row>
    <row r="763" spans="1:11" ht="12.75" hidden="1" customHeight="1">
      <c r="A763" s="1968" t="s">
        <v>377</v>
      </c>
      <c r="B763" s="1969" t="s">
        <v>3291</v>
      </c>
      <c r="C763" s="1970"/>
      <c r="D763" s="1971"/>
      <c r="E763" s="1970"/>
      <c r="G763" s="1968" t="s">
        <v>377</v>
      </c>
      <c r="H763" s="1969" t="s">
        <v>3291</v>
      </c>
      <c r="I763" s="1970"/>
      <c r="J763" s="1971"/>
      <c r="K763" s="1970"/>
    </row>
    <row r="764" spans="1:11" ht="12.75" hidden="1" customHeight="1">
      <c r="A764" s="1972" t="s">
        <v>379</v>
      </c>
      <c r="B764" s="1973" t="s">
        <v>3292</v>
      </c>
      <c r="C764" s="1970"/>
      <c r="D764" s="1970"/>
      <c r="E764" s="1970"/>
      <c r="G764" s="1972" t="s">
        <v>379</v>
      </c>
      <c r="H764" s="1973" t="s">
        <v>3292</v>
      </c>
      <c r="I764" s="1970"/>
      <c r="J764" s="1970"/>
      <c r="K764" s="1970"/>
    </row>
    <row r="765" spans="1:11" ht="12.75" hidden="1" customHeight="1">
      <c r="A765" s="1972" t="s">
        <v>381</v>
      </c>
      <c r="B765" s="1974" t="s">
        <v>3293</v>
      </c>
      <c r="C765" s="1970"/>
      <c r="D765" s="1970"/>
      <c r="E765" s="1962">
        <f>SUM(E764)</f>
        <v>0</v>
      </c>
      <c r="G765" s="1972" t="s">
        <v>381</v>
      </c>
      <c r="H765" s="1974" t="s">
        <v>3293</v>
      </c>
      <c r="I765" s="1970"/>
      <c r="J765" s="1970"/>
      <c r="K765" s="1962">
        <f>SUM(K764)</f>
        <v>0</v>
      </c>
    </row>
    <row r="766" spans="1:11" ht="12.75" hidden="1" customHeight="1">
      <c r="A766" s="1975" t="s">
        <v>383</v>
      </c>
      <c r="B766" s="1976" t="s">
        <v>3294</v>
      </c>
      <c r="C766" s="1977"/>
      <c r="D766" s="1977"/>
      <c r="E766" s="1978" t="e">
        <f>(E754+E755+E756+E757+E758+E759+E760+E761+E762)-E765</f>
        <v>#VALUE!</v>
      </c>
      <c r="G766" s="1975" t="s">
        <v>383</v>
      </c>
      <c r="H766" s="1976" t="s">
        <v>3294</v>
      </c>
      <c r="I766" s="1977"/>
      <c r="J766" s="1977"/>
      <c r="K766" s="1978" t="e">
        <f>(K754+K755+K756+K757+K758+K759+K760+K761+K762)-K765</f>
        <v>#VALUE!</v>
      </c>
    </row>
    <row r="767" spans="1:11" hidden="1"/>
    <row r="768" spans="1:11" ht="12.75" hidden="1" customHeight="1">
      <c r="A768" s="2955" t="s">
        <v>3356</v>
      </c>
      <c r="B768" s="2956"/>
      <c r="C768" s="2956"/>
      <c r="D768" s="2956"/>
      <c r="E768" s="1981" t="e">
        <f>VLOOKUP(B769,'LƯƠNG KT'!$D$16:$AD$108,25,0)</f>
        <v>#N/A</v>
      </c>
      <c r="F768" s="1980"/>
      <c r="G768" s="2955" t="s">
        <v>3356</v>
      </c>
      <c r="H768" s="2956"/>
      <c r="I768" s="2956"/>
      <c r="J768" s="2956"/>
      <c r="K768" s="1981" t="e">
        <f>VLOOKUP(H769,'LƯƠNG KT'!$D$16:$AD$108,25,0)</f>
        <v>#N/A</v>
      </c>
    </row>
    <row r="769" spans="1:11" ht="12.75" hidden="1" customHeight="1">
      <c r="A769" s="1956" t="s">
        <v>356</v>
      </c>
      <c r="B769" s="1956"/>
      <c r="C769" s="1957"/>
      <c r="D769" s="1958" t="s">
        <v>2357</v>
      </c>
      <c r="E769" s="1958" t="s">
        <v>2156</v>
      </c>
      <c r="G769" s="1956" t="s">
        <v>356</v>
      </c>
      <c r="H769" s="1956"/>
      <c r="I769" s="1957"/>
      <c r="J769" s="1958" t="s">
        <v>2357</v>
      </c>
      <c r="K769" s="1958" t="s">
        <v>2156</v>
      </c>
    </row>
    <row r="770" spans="1:11" ht="12.75" hidden="1" customHeight="1">
      <c r="A770" s="1959" t="s">
        <v>3005</v>
      </c>
      <c r="B770" s="1960" t="s">
        <v>3278</v>
      </c>
      <c r="C770" s="1961">
        <f>VLOOKUP($B$4,'LƯƠNG KT'!$D$16:$M$108,8,0)</f>
        <v>258.44560223458501</v>
      </c>
      <c r="D770" s="1962"/>
      <c r="E770" s="1962"/>
      <c r="G770" s="1959" t="s">
        <v>3005</v>
      </c>
      <c r="H770" s="1960" t="s">
        <v>3278</v>
      </c>
      <c r="I770" s="1961">
        <f>VLOOKUP($H$4,'LƯƠNG KT'!$D$16:$M$108,8,0)</f>
        <v>208.79511122005275</v>
      </c>
      <c r="J770" s="1962"/>
      <c r="K770" s="1962"/>
    </row>
    <row r="771" spans="1:11" ht="12.75" hidden="1" customHeight="1">
      <c r="A771" s="1959" t="s">
        <v>359</v>
      </c>
      <c r="B771" s="1963" t="s">
        <v>2090</v>
      </c>
      <c r="C771" s="1961">
        <f>VLOOKUP($B$4,'LƯƠNG KT'!$D$16:$M$108,3,0)</f>
        <v>0</v>
      </c>
      <c r="D771" s="1964">
        <v>25000</v>
      </c>
      <c r="E771" s="1962">
        <f>C771*D771</f>
        <v>0</v>
      </c>
      <c r="G771" s="1959" t="s">
        <v>359</v>
      </c>
      <c r="H771" s="1963" t="s">
        <v>2090</v>
      </c>
      <c r="I771" s="1961">
        <f>VLOOKUP($H$4,'LƯƠNG KT'!$D$16:$M$108,3,0)</f>
        <v>0</v>
      </c>
      <c r="J771" s="1964">
        <v>25000</v>
      </c>
      <c r="K771" s="1962">
        <f>I771*J771</f>
        <v>0</v>
      </c>
    </row>
    <row r="772" spans="1:11" ht="12.75" hidden="1" customHeight="1">
      <c r="A772" s="1959" t="s">
        <v>3279</v>
      </c>
      <c r="B772" s="1965" t="s">
        <v>3280</v>
      </c>
      <c r="C772" s="1961" t="str">
        <f>VLOOKUP($B$4,'LƯƠNG KT'!$D$16:$Q$108,10,0)</f>
        <v>B</v>
      </c>
      <c r="D772" s="1967">
        <f>46.1*$C$1</f>
        <v>30792.956000000002</v>
      </c>
      <c r="E772" s="1962" t="e">
        <f t="shared" ref="E772:E776" si="90">C772*D772</f>
        <v>#VALUE!</v>
      </c>
      <c r="G772" s="1959" t="s">
        <v>3279</v>
      </c>
      <c r="H772" s="1965" t="s">
        <v>3280</v>
      </c>
      <c r="I772" s="1961" t="str">
        <f>VLOOKUP($H$4,'LƯƠNG KT'!$D$16:$Q$108,10,0)</f>
        <v>A</v>
      </c>
      <c r="J772" s="1967">
        <f>46.1*$C$1</f>
        <v>30792.956000000002</v>
      </c>
      <c r="K772" s="1962" t="e">
        <f t="shared" ref="K772:K776" si="91">I772*J772</f>
        <v>#VALUE!</v>
      </c>
    </row>
    <row r="773" spans="1:11" ht="12.75" hidden="1" customHeight="1">
      <c r="A773" s="1959" t="s">
        <v>3281</v>
      </c>
      <c r="B773" s="1965" t="s">
        <v>3282</v>
      </c>
      <c r="C773" s="1961">
        <f>VLOOKUP($B$4,'LƯƠNG KT'!$D$16:$Q$108,11,0)</f>
        <v>7874809</v>
      </c>
      <c r="D773" s="1964">
        <f>76.9*$C$1</f>
        <v>51366.124000000003</v>
      </c>
      <c r="E773" s="1962">
        <f t="shared" si="90"/>
        <v>404498415570.31604</v>
      </c>
      <c r="G773" s="1959" t="s">
        <v>3281</v>
      </c>
      <c r="H773" s="1965" t="s">
        <v>3282</v>
      </c>
      <c r="I773" s="1961">
        <f>VLOOKUP($H$4,'LƯƠNG KT'!$D$16:$Q$108,11,0)</f>
        <v>6691031</v>
      </c>
      <c r="J773" s="1964">
        <f>76.9*$C$1</f>
        <v>51366.124000000003</v>
      </c>
      <c r="K773" s="1962">
        <f t="shared" si="91"/>
        <v>343692328033.84399</v>
      </c>
    </row>
    <row r="774" spans="1:11" ht="12.75" hidden="1" customHeight="1">
      <c r="A774" s="1959" t="s">
        <v>374</v>
      </c>
      <c r="B774" s="1965" t="s">
        <v>3283</v>
      </c>
      <c r="C774" s="1961">
        <f>VLOOKUP($B$4,'LƯƠNG KT'!$D$16:$M$108,7,0)</f>
        <v>2004.4306367838908</v>
      </c>
      <c r="D774" s="1964">
        <f>IF(C770="A",6.1,IF(C770="B",5.8,IF(C770="C",5.5,IF(C770="C.",5.5,IF(C770="D",5.2)))))*$C$1</f>
        <v>0</v>
      </c>
      <c r="E774" s="1962">
        <f t="shared" si="90"/>
        <v>0</v>
      </c>
      <c r="G774" s="1959" t="s">
        <v>374</v>
      </c>
      <c r="H774" s="1965" t="s">
        <v>3283</v>
      </c>
      <c r="I774" s="1961">
        <f>VLOOKUP($H$4,'LƯƠNG KT'!$D$16:$M$108,7,0)</f>
        <v>1619.3555398953824</v>
      </c>
      <c r="J774" s="1964">
        <f>IF(I770="A",6.1,IF(I770="B",5.8,IF(I770="C",5.5,IF(I770="C.",5.5,IF(I770="D",5.2)))))*$C$1</f>
        <v>0</v>
      </c>
      <c r="K774" s="1962">
        <f t="shared" si="91"/>
        <v>0</v>
      </c>
    </row>
    <row r="775" spans="1:11" ht="12.75" hidden="1" customHeight="1">
      <c r="A775" s="1959" t="s">
        <v>3296</v>
      </c>
      <c r="B775" s="1965" t="s">
        <v>3285</v>
      </c>
      <c r="C775" s="1961">
        <f>VLOOKUP($B$4,'LƯƠNG KT'!$D$16:$Q$108,12,0)</f>
        <v>27</v>
      </c>
      <c r="D775" s="1967">
        <f>92.2*$C$1</f>
        <v>61585.912000000004</v>
      </c>
      <c r="E775" s="1962">
        <f t="shared" si="90"/>
        <v>1662819.6240000001</v>
      </c>
      <c r="G775" s="1959" t="s">
        <v>3284</v>
      </c>
      <c r="H775" s="1965" t="s">
        <v>3285</v>
      </c>
      <c r="I775" s="1961">
        <f>VLOOKUP($H$4,'LƯƠNG KT'!$D$16:$Q$108,12,0)</f>
        <v>24</v>
      </c>
      <c r="J775" s="1967">
        <f>92.2*$C$1</f>
        <v>61585.912000000004</v>
      </c>
      <c r="K775" s="1962">
        <f t="shared" si="91"/>
        <v>1478061.888</v>
      </c>
    </row>
    <row r="776" spans="1:11" ht="12.75" hidden="1" customHeight="1">
      <c r="A776" s="1959" t="s">
        <v>3297</v>
      </c>
      <c r="B776" s="1965" t="s">
        <v>3287</v>
      </c>
      <c r="C776" s="1961">
        <f>VLOOKUP($B$4,'LƯƠNG KT'!$D$16:$T$108,13,0)</f>
        <v>4</v>
      </c>
      <c r="D776" s="1964">
        <f>153.8*$C$1</f>
        <v>102732.24800000001</v>
      </c>
      <c r="E776" s="1962">
        <f t="shared" si="90"/>
        <v>410928.99200000003</v>
      </c>
      <c r="G776" s="1959" t="s">
        <v>3286</v>
      </c>
      <c r="H776" s="1965" t="s">
        <v>3287</v>
      </c>
      <c r="I776" s="1961">
        <f>VLOOKUP($H$4,'LƯƠNG KT'!$D$16:$T$108,13,0)</f>
        <v>4</v>
      </c>
      <c r="J776" s="1964">
        <f>153.8*$C$1</f>
        <v>102732.24800000001</v>
      </c>
      <c r="K776" s="1962">
        <f t="shared" si="91"/>
        <v>410928.99200000003</v>
      </c>
    </row>
    <row r="777" spans="1:11" ht="12.75" hidden="1" customHeight="1">
      <c r="A777" s="1959" t="s">
        <v>370</v>
      </c>
      <c r="B777" s="1965" t="s">
        <v>3288</v>
      </c>
      <c r="C777" s="1961">
        <f>VLOOKUP($B$4,'LƯƠNG KT'!$D$16:$V$108,16,0)</f>
        <v>0</v>
      </c>
      <c r="D777" s="1964">
        <v>10000</v>
      </c>
      <c r="E777" s="1962">
        <f>C777*D777</f>
        <v>0</v>
      </c>
      <c r="G777" s="1959" t="s">
        <v>370</v>
      </c>
      <c r="H777" s="1965" t="s">
        <v>3288</v>
      </c>
      <c r="I777" s="1961">
        <f>VLOOKUP($H$4,'LƯƠNG KT'!$D$16:$V$108,16,0)</f>
        <v>0</v>
      </c>
      <c r="J777" s="1964">
        <v>10000</v>
      </c>
      <c r="K777" s="1962">
        <f>I777*J777</f>
        <v>0</v>
      </c>
    </row>
    <row r="778" spans="1:11" ht="12.75" hidden="1" customHeight="1">
      <c r="A778" s="1959" t="s">
        <v>370</v>
      </c>
      <c r="B778" s="1965" t="s">
        <v>3288</v>
      </c>
      <c r="C778" s="1961">
        <f>VLOOKUP($B$4,'LƯƠNG KT'!$D$16:$W$108,17,0)</f>
        <v>0</v>
      </c>
      <c r="D778" s="1964">
        <v>20000</v>
      </c>
      <c r="E778" s="1962">
        <f>C778*D778</f>
        <v>0</v>
      </c>
      <c r="G778" s="1959" t="s">
        <v>370</v>
      </c>
      <c r="H778" s="1965" t="s">
        <v>3288</v>
      </c>
      <c r="I778" s="1961">
        <f>VLOOKUP($H$4,'LƯƠNG KT'!$D$16:$W$108,17,0)</f>
        <v>0</v>
      </c>
      <c r="J778" s="1964">
        <v>20000</v>
      </c>
      <c r="K778" s="1962">
        <f>I778*J778</f>
        <v>0</v>
      </c>
    </row>
    <row r="779" spans="1:11" ht="12.75" hidden="1" customHeight="1">
      <c r="A779" s="1959" t="s">
        <v>3289</v>
      </c>
      <c r="B779" s="1965" t="s">
        <v>3290</v>
      </c>
      <c r="C779" s="1966"/>
      <c r="D779" s="1964"/>
      <c r="E779" s="1962"/>
      <c r="G779" s="1959" t="s">
        <v>3289</v>
      </c>
      <c r="H779" s="1965" t="s">
        <v>3290</v>
      </c>
      <c r="I779" s="1966"/>
      <c r="J779" s="1964"/>
      <c r="K779" s="1962"/>
    </row>
    <row r="780" spans="1:11" ht="12.75" hidden="1" customHeight="1">
      <c r="A780" s="1968" t="s">
        <v>377</v>
      </c>
      <c r="B780" s="1969" t="s">
        <v>3291</v>
      </c>
      <c r="C780" s="1970"/>
      <c r="D780" s="1971"/>
      <c r="E780" s="1970"/>
      <c r="G780" s="1968" t="s">
        <v>377</v>
      </c>
      <c r="H780" s="1969" t="s">
        <v>3291</v>
      </c>
      <c r="I780" s="1970"/>
      <c r="J780" s="1971"/>
      <c r="K780" s="1970"/>
    </row>
    <row r="781" spans="1:11" ht="12.75" hidden="1" customHeight="1">
      <c r="A781" s="1972" t="s">
        <v>379</v>
      </c>
      <c r="B781" s="1973" t="s">
        <v>3292</v>
      </c>
      <c r="C781" s="1970"/>
      <c r="D781" s="1970"/>
      <c r="E781" s="1970"/>
      <c r="G781" s="1972" t="s">
        <v>379</v>
      </c>
      <c r="H781" s="1973" t="s">
        <v>3292</v>
      </c>
      <c r="I781" s="1970"/>
      <c r="J781" s="1970"/>
      <c r="K781" s="1970"/>
    </row>
    <row r="782" spans="1:11" ht="12.75" hidden="1" customHeight="1">
      <c r="A782" s="1972" t="s">
        <v>381</v>
      </c>
      <c r="B782" s="1974" t="s">
        <v>3293</v>
      </c>
      <c r="C782" s="1970"/>
      <c r="D782" s="1970"/>
      <c r="E782" s="1962">
        <f>SUM(E781)</f>
        <v>0</v>
      </c>
      <c r="G782" s="1972" t="s">
        <v>381</v>
      </c>
      <c r="H782" s="1974" t="s">
        <v>3293</v>
      </c>
      <c r="I782" s="1970"/>
      <c r="J782" s="1970"/>
      <c r="K782" s="1962">
        <f>SUM(K781)</f>
        <v>0</v>
      </c>
    </row>
    <row r="783" spans="1:11" ht="12.75" hidden="1" customHeight="1">
      <c r="A783" s="1975" t="s">
        <v>383</v>
      </c>
      <c r="B783" s="1976" t="s">
        <v>3294</v>
      </c>
      <c r="C783" s="1977"/>
      <c r="D783" s="1977"/>
      <c r="E783" s="1978" t="e">
        <f>(E771+E772+E773+E774+E775+E776+E777+E778+E779)-E782</f>
        <v>#VALUE!</v>
      </c>
      <c r="G783" s="1975" t="s">
        <v>383</v>
      </c>
      <c r="H783" s="1976" t="s">
        <v>3294</v>
      </c>
      <c r="I783" s="1977"/>
      <c r="J783" s="1977"/>
      <c r="K783" s="1978" t="e">
        <f>(K771+K772+K773+K774+K775+K776+K777+K778+K779)-K782</f>
        <v>#VALUE!</v>
      </c>
    </row>
    <row r="784" spans="1:11" hidden="1"/>
    <row r="785" spans="1:11" ht="12.75" hidden="1" customHeight="1">
      <c r="A785" s="2955" t="s">
        <v>3356</v>
      </c>
      <c r="B785" s="2956"/>
      <c r="C785" s="2956"/>
      <c r="D785" s="2956"/>
      <c r="E785" s="1981" t="e">
        <f>VLOOKUP(B786,'LƯƠNG KT'!$D$16:$AD$108,25,0)</f>
        <v>#N/A</v>
      </c>
      <c r="F785" s="1980"/>
      <c r="G785" s="2955" t="s">
        <v>3356</v>
      </c>
      <c r="H785" s="2956"/>
      <c r="I785" s="2956"/>
      <c r="J785" s="2956"/>
      <c r="K785" s="1981" t="e">
        <f>VLOOKUP(H786,'LƯƠNG KT'!$D$16:$AD$108,25,0)</f>
        <v>#N/A</v>
      </c>
    </row>
    <row r="786" spans="1:11" ht="12.75" hidden="1" customHeight="1">
      <c r="A786" s="1956" t="s">
        <v>356</v>
      </c>
      <c r="B786" s="1956"/>
      <c r="C786" s="1957"/>
      <c r="D786" s="1958" t="s">
        <v>2357</v>
      </c>
      <c r="E786" s="1958" t="s">
        <v>2156</v>
      </c>
      <c r="G786" s="1956" t="s">
        <v>356</v>
      </c>
      <c r="H786" s="1956"/>
      <c r="I786" s="1957"/>
      <c r="J786" s="1958" t="s">
        <v>2357</v>
      </c>
      <c r="K786" s="1958" t="s">
        <v>2156</v>
      </c>
    </row>
    <row r="787" spans="1:11" ht="12.75" hidden="1" customHeight="1">
      <c r="A787" s="1959" t="s">
        <v>3005</v>
      </c>
      <c r="B787" s="1960" t="s">
        <v>3278</v>
      </c>
      <c r="C787" s="1961">
        <f>VLOOKUP($B$4,'LƯƠNG KT'!$D$16:$M$108,8,0)</f>
        <v>258.44560223458501</v>
      </c>
      <c r="D787" s="1962"/>
      <c r="E787" s="1962"/>
      <c r="G787" s="1959" t="s">
        <v>3005</v>
      </c>
      <c r="H787" s="1960" t="s">
        <v>3278</v>
      </c>
      <c r="I787" s="1961">
        <f>VLOOKUP($H$4,'LƯƠNG KT'!$D$16:$M$108,8,0)</f>
        <v>208.79511122005275</v>
      </c>
      <c r="J787" s="1962"/>
      <c r="K787" s="1962"/>
    </row>
    <row r="788" spans="1:11" ht="12.75" hidden="1" customHeight="1">
      <c r="A788" s="1959" t="s">
        <v>359</v>
      </c>
      <c r="B788" s="1963" t="s">
        <v>2090</v>
      </c>
      <c r="C788" s="1961">
        <f>VLOOKUP($B$4,'LƯƠNG KT'!$D$16:$M$108,3,0)</f>
        <v>0</v>
      </c>
      <c r="D788" s="1964">
        <v>25000</v>
      </c>
      <c r="E788" s="1962">
        <f>C788*D788</f>
        <v>0</v>
      </c>
      <c r="G788" s="1959" t="s">
        <v>359</v>
      </c>
      <c r="H788" s="1963" t="s">
        <v>2090</v>
      </c>
      <c r="I788" s="1961">
        <f>VLOOKUP($H$4,'LƯƠNG KT'!$D$16:$M$108,3,0)</f>
        <v>0</v>
      </c>
      <c r="J788" s="1964">
        <v>25000</v>
      </c>
      <c r="K788" s="1962">
        <f>I788*J788</f>
        <v>0</v>
      </c>
    </row>
    <row r="789" spans="1:11" ht="12.75" hidden="1" customHeight="1">
      <c r="A789" s="1959" t="s">
        <v>3279</v>
      </c>
      <c r="B789" s="1965" t="s">
        <v>3280</v>
      </c>
      <c r="C789" s="1961" t="str">
        <f>VLOOKUP($B$4,'LƯƠNG KT'!$D$16:$Q$108,10,0)</f>
        <v>B</v>
      </c>
      <c r="D789" s="1967">
        <f>46.1*$C$1</f>
        <v>30792.956000000002</v>
      </c>
      <c r="E789" s="1962" t="e">
        <f t="shared" ref="E789:E793" si="92">C789*D789</f>
        <v>#VALUE!</v>
      </c>
      <c r="G789" s="1959" t="s">
        <v>3279</v>
      </c>
      <c r="H789" s="1965" t="s">
        <v>3280</v>
      </c>
      <c r="I789" s="1961" t="str">
        <f>VLOOKUP($H$4,'LƯƠNG KT'!$D$16:$Q$108,10,0)</f>
        <v>A</v>
      </c>
      <c r="J789" s="1967">
        <f>46.1*$C$1</f>
        <v>30792.956000000002</v>
      </c>
      <c r="K789" s="1962" t="e">
        <f t="shared" ref="K789:K793" si="93">I789*J789</f>
        <v>#VALUE!</v>
      </c>
    </row>
    <row r="790" spans="1:11" ht="12.75" hidden="1" customHeight="1">
      <c r="A790" s="1959" t="s">
        <v>3281</v>
      </c>
      <c r="B790" s="1965" t="s">
        <v>3282</v>
      </c>
      <c r="C790" s="1961">
        <f>VLOOKUP($B$4,'LƯƠNG KT'!$D$16:$Q$108,11,0)</f>
        <v>7874809</v>
      </c>
      <c r="D790" s="1964">
        <f>76.9*$C$1</f>
        <v>51366.124000000003</v>
      </c>
      <c r="E790" s="1962">
        <f t="shared" si="92"/>
        <v>404498415570.31604</v>
      </c>
      <c r="G790" s="1959" t="s">
        <v>3281</v>
      </c>
      <c r="H790" s="1965" t="s">
        <v>3282</v>
      </c>
      <c r="I790" s="1961">
        <f>VLOOKUP($H$4,'LƯƠNG KT'!$D$16:$Q$108,11,0)</f>
        <v>6691031</v>
      </c>
      <c r="J790" s="1964">
        <f>76.9*$C$1</f>
        <v>51366.124000000003</v>
      </c>
      <c r="K790" s="1962">
        <f t="shared" si="93"/>
        <v>343692328033.84399</v>
      </c>
    </row>
    <row r="791" spans="1:11" ht="12.75" hidden="1" customHeight="1">
      <c r="A791" s="1959" t="s">
        <v>374</v>
      </c>
      <c r="B791" s="1965" t="s">
        <v>3283</v>
      </c>
      <c r="C791" s="1961">
        <f>VLOOKUP($B$4,'LƯƠNG KT'!$D$16:$M$108,7,0)</f>
        <v>2004.4306367838908</v>
      </c>
      <c r="D791" s="1964">
        <f>IF(C787="A",6.1,IF(C787="B",5.8,IF(C787="C",5.5,IF(C787="C.",5.5,IF(C787="D",5.2)))))*$C$1</f>
        <v>0</v>
      </c>
      <c r="E791" s="1962">
        <f t="shared" si="92"/>
        <v>0</v>
      </c>
      <c r="G791" s="1959" t="s">
        <v>374</v>
      </c>
      <c r="H791" s="1965" t="s">
        <v>3283</v>
      </c>
      <c r="I791" s="1961">
        <f>VLOOKUP($H$4,'LƯƠNG KT'!$D$16:$M$108,7,0)</f>
        <v>1619.3555398953824</v>
      </c>
      <c r="J791" s="1964">
        <f>IF(I787="A",6.1,IF(I787="B",5.8,IF(I787="C",5.5,IF(I787="C.",5.5,IF(I787="D",5.2)))))*$C$1</f>
        <v>0</v>
      </c>
      <c r="K791" s="1962">
        <f t="shared" si="93"/>
        <v>0</v>
      </c>
    </row>
    <row r="792" spans="1:11" ht="12.75" hidden="1" customHeight="1">
      <c r="A792" s="1959" t="s">
        <v>3296</v>
      </c>
      <c r="B792" s="1965" t="s">
        <v>3285</v>
      </c>
      <c r="C792" s="1961">
        <f>VLOOKUP($B$4,'LƯƠNG KT'!$D$16:$Q$108,12,0)</f>
        <v>27</v>
      </c>
      <c r="D792" s="1967">
        <f>92.2*$C$1</f>
        <v>61585.912000000004</v>
      </c>
      <c r="E792" s="1962">
        <f t="shared" si="92"/>
        <v>1662819.6240000001</v>
      </c>
      <c r="G792" s="1959" t="s">
        <v>3284</v>
      </c>
      <c r="H792" s="1965" t="s">
        <v>3285</v>
      </c>
      <c r="I792" s="1961">
        <f>VLOOKUP($H$4,'LƯƠNG KT'!$D$16:$Q$108,12,0)</f>
        <v>24</v>
      </c>
      <c r="J792" s="1967">
        <f>92.2*$C$1</f>
        <v>61585.912000000004</v>
      </c>
      <c r="K792" s="1962">
        <f t="shared" si="93"/>
        <v>1478061.888</v>
      </c>
    </row>
    <row r="793" spans="1:11" ht="12.75" hidden="1" customHeight="1">
      <c r="A793" s="1959" t="s">
        <v>3297</v>
      </c>
      <c r="B793" s="1965" t="s">
        <v>3287</v>
      </c>
      <c r="C793" s="1961">
        <f>VLOOKUP($B$4,'LƯƠNG KT'!$D$16:$T$108,13,0)</f>
        <v>4</v>
      </c>
      <c r="D793" s="1964">
        <f>153.8*$C$1</f>
        <v>102732.24800000001</v>
      </c>
      <c r="E793" s="1962">
        <f t="shared" si="92"/>
        <v>410928.99200000003</v>
      </c>
      <c r="G793" s="1959" t="s">
        <v>3286</v>
      </c>
      <c r="H793" s="1965" t="s">
        <v>3287</v>
      </c>
      <c r="I793" s="1961">
        <f>VLOOKUP($H$4,'LƯƠNG KT'!$D$16:$T$108,13,0)</f>
        <v>4</v>
      </c>
      <c r="J793" s="1964">
        <f>153.8*$C$1</f>
        <v>102732.24800000001</v>
      </c>
      <c r="K793" s="1962">
        <f t="shared" si="93"/>
        <v>410928.99200000003</v>
      </c>
    </row>
    <row r="794" spans="1:11" ht="12.75" hidden="1" customHeight="1">
      <c r="A794" s="1959" t="s">
        <v>370</v>
      </c>
      <c r="B794" s="1965" t="s">
        <v>3288</v>
      </c>
      <c r="C794" s="1961">
        <f>VLOOKUP($B$4,'LƯƠNG KT'!$D$16:$V$108,16,0)</f>
        <v>0</v>
      </c>
      <c r="D794" s="1964">
        <v>10000</v>
      </c>
      <c r="E794" s="1962">
        <f>C794*D794</f>
        <v>0</v>
      </c>
      <c r="G794" s="1959" t="s">
        <v>370</v>
      </c>
      <c r="H794" s="1965" t="s">
        <v>3288</v>
      </c>
      <c r="I794" s="1961">
        <f>VLOOKUP($H$4,'LƯƠNG KT'!$D$16:$V$108,16,0)</f>
        <v>0</v>
      </c>
      <c r="J794" s="1964">
        <v>10000</v>
      </c>
      <c r="K794" s="1962">
        <f>I794*J794</f>
        <v>0</v>
      </c>
    </row>
    <row r="795" spans="1:11" ht="12.75" hidden="1" customHeight="1">
      <c r="A795" s="1959" t="s">
        <v>370</v>
      </c>
      <c r="B795" s="1965" t="s">
        <v>3288</v>
      </c>
      <c r="C795" s="1961">
        <f>VLOOKUP($B$4,'LƯƠNG KT'!$D$16:$W$108,17,0)</f>
        <v>0</v>
      </c>
      <c r="D795" s="1964">
        <v>20000</v>
      </c>
      <c r="E795" s="1962">
        <f>C795*D795</f>
        <v>0</v>
      </c>
      <c r="G795" s="1959" t="s">
        <v>370</v>
      </c>
      <c r="H795" s="1965" t="s">
        <v>3288</v>
      </c>
      <c r="I795" s="1961">
        <f>VLOOKUP($H$4,'LƯƠNG KT'!$D$16:$W$108,17,0)</f>
        <v>0</v>
      </c>
      <c r="J795" s="1964">
        <v>20000</v>
      </c>
      <c r="K795" s="1962">
        <f>I795*J795</f>
        <v>0</v>
      </c>
    </row>
    <row r="796" spans="1:11" ht="12.75" hidden="1" customHeight="1">
      <c r="A796" s="1959" t="s">
        <v>3289</v>
      </c>
      <c r="B796" s="1965" t="s">
        <v>3290</v>
      </c>
      <c r="C796" s="1966"/>
      <c r="D796" s="1964"/>
      <c r="E796" s="1962"/>
      <c r="G796" s="1959" t="s">
        <v>3289</v>
      </c>
      <c r="H796" s="1965" t="s">
        <v>3290</v>
      </c>
      <c r="I796" s="1966"/>
      <c r="J796" s="1964"/>
      <c r="K796" s="1962"/>
    </row>
    <row r="797" spans="1:11" ht="12.75" hidden="1" customHeight="1">
      <c r="A797" s="1968" t="s">
        <v>377</v>
      </c>
      <c r="B797" s="1969" t="s">
        <v>3291</v>
      </c>
      <c r="C797" s="1970"/>
      <c r="D797" s="1971"/>
      <c r="E797" s="1970"/>
      <c r="G797" s="1968" t="s">
        <v>377</v>
      </c>
      <c r="H797" s="1969" t="s">
        <v>3291</v>
      </c>
      <c r="I797" s="1970"/>
      <c r="J797" s="1971"/>
      <c r="K797" s="1970"/>
    </row>
    <row r="798" spans="1:11" ht="12.75" hidden="1" customHeight="1">
      <c r="A798" s="1972" t="s">
        <v>379</v>
      </c>
      <c r="B798" s="1973" t="s">
        <v>3292</v>
      </c>
      <c r="C798" s="1970"/>
      <c r="D798" s="1970"/>
      <c r="E798" s="1970"/>
      <c r="G798" s="1972" t="s">
        <v>379</v>
      </c>
      <c r="H798" s="1973" t="s">
        <v>3292</v>
      </c>
      <c r="I798" s="1970"/>
      <c r="J798" s="1970"/>
      <c r="K798" s="1970"/>
    </row>
    <row r="799" spans="1:11" ht="12.75" hidden="1" customHeight="1">
      <c r="A799" s="1972" t="s">
        <v>381</v>
      </c>
      <c r="B799" s="1974" t="s">
        <v>3293</v>
      </c>
      <c r="C799" s="1970"/>
      <c r="D799" s="1970"/>
      <c r="E799" s="1962">
        <f>SUM(E798)</f>
        <v>0</v>
      </c>
      <c r="G799" s="1972" t="s">
        <v>381</v>
      </c>
      <c r="H799" s="1974" t="s">
        <v>3293</v>
      </c>
      <c r="I799" s="1970"/>
      <c r="J799" s="1970"/>
      <c r="K799" s="1962">
        <f>SUM(K798)</f>
        <v>0</v>
      </c>
    </row>
    <row r="800" spans="1:11" ht="12.75" hidden="1" customHeight="1">
      <c r="A800" s="1975" t="s">
        <v>383</v>
      </c>
      <c r="B800" s="1976" t="s">
        <v>3294</v>
      </c>
      <c r="C800" s="1977"/>
      <c r="D800" s="1977"/>
      <c r="E800" s="1978" t="e">
        <f>(E788+E789+E790+E791+E792+E793+E794+E795+E796)-E799</f>
        <v>#VALUE!</v>
      </c>
      <c r="G800" s="1975" t="s">
        <v>383</v>
      </c>
      <c r="H800" s="1976" t="s">
        <v>3294</v>
      </c>
      <c r="I800" s="1977"/>
      <c r="J800" s="1977"/>
      <c r="K800" s="1978" t="e">
        <f>(K788+K789+K790+K791+K792+K793+K794+K795+K796)-K799</f>
        <v>#VALUE!</v>
      </c>
    </row>
    <row r="801" spans="1:11" hidden="1"/>
    <row r="802" spans="1:11" ht="12.75" hidden="1" customHeight="1">
      <c r="A802" s="2955" t="s">
        <v>3356</v>
      </c>
      <c r="B802" s="2956"/>
      <c r="C802" s="2956"/>
      <c r="D802" s="2956"/>
      <c r="E802" s="1981" t="e">
        <f>VLOOKUP(B803,'LƯƠNG KT'!$D$16:$AD$108,25,0)</f>
        <v>#N/A</v>
      </c>
      <c r="F802" s="1980"/>
      <c r="G802" s="2955" t="s">
        <v>3356</v>
      </c>
      <c r="H802" s="2956"/>
      <c r="I802" s="2956"/>
      <c r="J802" s="2956"/>
      <c r="K802" s="1981" t="e">
        <f>VLOOKUP(H803,'LƯƠNG KT'!$D$16:$AD$108,25,0)</f>
        <v>#N/A</v>
      </c>
    </row>
    <row r="803" spans="1:11" ht="12.75" hidden="1" customHeight="1">
      <c r="A803" s="1956" t="s">
        <v>356</v>
      </c>
      <c r="B803" s="1956"/>
      <c r="C803" s="1957"/>
      <c r="D803" s="1958" t="s">
        <v>2357</v>
      </c>
      <c r="E803" s="1958" t="s">
        <v>2156</v>
      </c>
      <c r="G803" s="1956" t="s">
        <v>356</v>
      </c>
      <c r="H803" s="1956"/>
      <c r="I803" s="1957"/>
      <c r="J803" s="1958" t="s">
        <v>2357</v>
      </c>
      <c r="K803" s="1958" t="s">
        <v>2156</v>
      </c>
    </row>
    <row r="804" spans="1:11" ht="12.75" hidden="1" customHeight="1">
      <c r="A804" s="1959" t="s">
        <v>3005</v>
      </c>
      <c r="B804" s="1960" t="s">
        <v>3278</v>
      </c>
      <c r="C804" s="1961">
        <f>VLOOKUP($B$4,'LƯƠNG KT'!$D$16:$M$108,8,0)</f>
        <v>258.44560223458501</v>
      </c>
      <c r="D804" s="1962"/>
      <c r="E804" s="1962"/>
      <c r="G804" s="1959" t="s">
        <v>3005</v>
      </c>
      <c r="H804" s="1960" t="s">
        <v>3278</v>
      </c>
      <c r="I804" s="1961">
        <f>VLOOKUP($H$4,'LƯƠNG KT'!$D$16:$M$108,8,0)</f>
        <v>208.79511122005275</v>
      </c>
      <c r="J804" s="1962"/>
      <c r="K804" s="1962"/>
    </row>
    <row r="805" spans="1:11" ht="12.75" hidden="1" customHeight="1">
      <c r="A805" s="1959" t="s">
        <v>359</v>
      </c>
      <c r="B805" s="1963" t="s">
        <v>2090</v>
      </c>
      <c r="C805" s="1961">
        <f>VLOOKUP($B$4,'LƯƠNG KT'!$D$16:$M$108,3,0)</f>
        <v>0</v>
      </c>
      <c r="D805" s="1964">
        <v>25000</v>
      </c>
      <c r="E805" s="1962">
        <f>C805*D805</f>
        <v>0</v>
      </c>
      <c r="G805" s="1959" t="s">
        <v>359</v>
      </c>
      <c r="H805" s="1963" t="s">
        <v>2090</v>
      </c>
      <c r="I805" s="1961">
        <f>VLOOKUP($H$4,'LƯƠNG KT'!$D$16:$M$108,3,0)</f>
        <v>0</v>
      </c>
      <c r="J805" s="1964">
        <v>25000</v>
      </c>
      <c r="K805" s="1962">
        <f>I805*J805</f>
        <v>0</v>
      </c>
    </row>
    <row r="806" spans="1:11" ht="12.75" hidden="1" customHeight="1">
      <c r="A806" s="1959" t="s">
        <v>3279</v>
      </c>
      <c r="B806" s="1965" t="s">
        <v>3280</v>
      </c>
      <c r="C806" s="1961" t="str">
        <f>VLOOKUP($B$4,'LƯƠNG KT'!$D$16:$Q$108,10,0)</f>
        <v>B</v>
      </c>
      <c r="D806" s="1967">
        <f>46.1*$C$1</f>
        <v>30792.956000000002</v>
      </c>
      <c r="E806" s="1962" t="e">
        <f t="shared" ref="E806:E810" si="94">C806*D806</f>
        <v>#VALUE!</v>
      </c>
      <c r="G806" s="1959" t="s">
        <v>3279</v>
      </c>
      <c r="H806" s="1965" t="s">
        <v>3280</v>
      </c>
      <c r="I806" s="1961" t="str">
        <f>VLOOKUP($H$4,'LƯƠNG KT'!$D$16:$Q$108,10,0)</f>
        <v>A</v>
      </c>
      <c r="J806" s="1967">
        <f>46.1*$C$1</f>
        <v>30792.956000000002</v>
      </c>
      <c r="K806" s="1962" t="e">
        <f t="shared" ref="K806:K810" si="95">I806*J806</f>
        <v>#VALUE!</v>
      </c>
    </row>
    <row r="807" spans="1:11" ht="12.75" hidden="1" customHeight="1">
      <c r="A807" s="1959" t="s">
        <v>3281</v>
      </c>
      <c r="B807" s="1965" t="s">
        <v>3282</v>
      </c>
      <c r="C807" s="1961">
        <f>VLOOKUP($B$4,'LƯƠNG KT'!$D$16:$Q$108,11,0)</f>
        <v>7874809</v>
      </c>
      <c r="D807" s="1964">
        <f>76.9*$C$1</f>
        <v>51366.124000000003</v>
      </c>
      <c r="E807" s="1962">
        <f t="shared" si="94"/>
        <v>404498415570.31604</v>
      </c>
      <c r="G807" s="1959" t="s">
        <v>3281</v>
      </c>
      <c r="H807" s="1965" t="s">
        <v>3282</v>
      </c>
      <c r="I807" s="1961">
        <f>VLOOKUP($H$4,'LƯƠNG KT'!$D$16:$Q$108,11,0)</f>
        <v>6691031</v>
      </c>
      <c r="J807" s="1964">
        <f>76.9*$C$1</f>
        <v>51366.124000000003</v>
      </c>
      <c r="K807" s="1962">
        <f t="shared" si="95"/>
        <v>343692328033.84399</v>
      </c>
    </row>
    <row r="808" spans="1:11" ht="12.75" hidden="1" customHeight="1">
      <c r="A808" s="1959" t="s">
        <v>374</v>
      </c>
      <c r="B808" s="1965" t="s">
        <v>3283</v>
      </c>
      <c r="C808" s="1961">
        <f>VLOOKUP($B$4,'LƯƠNG KT'!$D$16:$M$108,7,0)</f>
        <v>2004.4306367838908</v>
      </c>
      <c r="D808" s="1964">
        <f>IF(C804="A",6.1,IF(C804="B",5.8,IF(C804="C",5.5,IF(C804="C.",5.5,IF(C804="D",5.2)))))*$C$1</f>
        <v>0</v>
      </c>
      <c r="E808" s="1962">
        <f t="shared" si="94"/>
        <v>0</v>
      </c>
      <c r="G808" s="1959" t="s">
        <v>374</v>
      </c>
      <c r="H808" s="1965" t="s">
        <v>3283</v>
      </c>
      <c r="I808" s="1961">
        <f>VLOOKUP($H$4,'LƯƠNG KT'!$D$16:$M$108,7,0)</f>
        <v>1619.3555398953824</v>
      </c>
      <c r="J808" s="1964">
        <f>IF(I804="A",6.1,IF(I804="B",5.8,IF(I804="C",5.5,IF(I804="C.",5.5,IF(I804="D",5.2)))))*$C$1</f>
        <v>0</v>
      </c>
      <c r="K808" s="1962">
        <f t="shared" si="95"/>
        <v>0</v>
      </c>
    </row>
    <row r="809" spans="1:11" ht="12.75" hidden="1" customHeight="1">
      <c r="A809" s="1959" t="s">
        <v>3296</v>
      </c>
      <c r="B809" s="1965" t="s">
        <v>3285</v>
      </c>
      <c r="C809" s="1961">
        <f>VLOOKUP($B$4,'LƯƠNG KT'!$D$16:$Q$108,12,0)</f>
        <v>27</v>
      </c>
      <c r="D809" s="1967">
        <f>92.2*$C$1</f>
        <v>61585.912000000004</v>
      </c>
      <c r="E809" s="1962">
        <f t="shared" si="94"/>
        <v>1662819.6240000001</v>
      </c>
      <c r="G809" s="1959" t="s">
        <v>3284</v>
      </c>
      <c r="H809" s="1965" t="s">
        <v>3285</v>
      </c>
      <c r="I809" s="1961">
        <f>VLOOKUP($H$4,'LƯƠNG KT'!$D$16:$Q$108,12,0)</f>
        <v>24</v>
      </c>
      <c r="J809" s="1967">
        <f>92.2*$C$1</f>
        <v>61585.912000000004</v>
      </c>
      <c r="K809" s="1962">
        <f t="shared" si="95"/>
        <v>1478061.888</v>
      </c>
    </row>
    <row r="810" spans="1:11" ht="12.75" hidden="1" customHeight="1">
      <c r="A810" s="1959" t="s">
        <v>3297</v>
      </c>
      <c r="B810" s="1965" t="s">
        <v>3287</v>
      </c>
      <c r="C810" s="1961">
        <f>VLOOKUP($B$4,'LƯƠNG KT'!$D$16:$T$108,13,0)</f>
        <v>4</v>
      </c>
      <c r="D810" s="1964">
        <f>153.8*$C$1</f>
        <v>102732.24800000001</v>
      </c>
      <c r="E810" s="1962">
        <f t="shared" si="94"/>
        <v>410928.99200000003</v>
      </c>
      <c r="G810" s="1959" t="s">
        <v>3286</v>
      </c>
      <c r="H810" s="1965" t="s">
        <v>3287</v>
      </c>
      <c r="I810" s="1961">
        <f>VLOOKUP($H$4,'LƯƠNG KT'!$D$16:$T$108,13,0)</f>
        <v>4</v>
      </c>
      <c r="J810" s="1964">
        <f>153.8*$C$1</f>
        <v>102732.24800000001</v>
      </c>
      <c r="K810" s="1962">
        <f t="shared" si="95"/>
        <v>410928.99200000003</v>
      </c>
    </row>
    <row r="811" spans="1:11" ht="12.75" hidden="1" customHeight="1">
      <c r="A811" s="1959" t="s">
        <v>370</v>
      </c>
      <c r="B811" s="1965" t="s">
        <v>3288</v>
      </c>
      <c r="C811" s="1961">
        <f>VLOOKUP($B$4,'LƯƠNG KT'!$D$16:$V$108,16,0)</f>
        <v>0</v>
      </c>
      <c r="D811" s="1964">
        <v>10000</v>
      </c>
      <c r="E811" s="1962">
        <f>C811*D811</f>
        <v>0</v>
      </c>
      <c r="G811" s="1959" t="s">
        <v>370</v>
      </c>
      <c r="H811" s="1965" t="s">
        <v>3288</v>
      </c>
      <c r="I811" s="1961">
        <f>VLOOKUP($H$4,'LƯƠNG KT'!$D$16:$V$108,16,0)</f>
        <v>0</v>
      </c>
      <c r="J811" s="1964">
        <v>10000</v>
      </c>
      <c r="K811" s="1962">
        <f>I811*J811</f>
        <v>0</v>
      </c>
    </row>
    <row r="812" spans="1:11" ht="12.75" hidden="1" customHeight="1">
      <c r="A812" s="1959" t="s">
        <v>370</v>
      </c>
      <c r="B812" s="1965" t="s">
        <v>3288</v>
      </c>
      <c r="C812" s="1961">
        <f>VLOOKUP($B$4,'LƯƠNG KT'!$D$16:$W$108,17,0)</f>
        <v>0</v>
      </c>
      <c r="D812" s="1964">
        <v>20000</v>
      </c>
      <c r="E812" s="1962">
        <f>C812*D812</f>
        <v>0</v>
      </c>
      <c r="G812" s="1959" t="s">
        <v>370</v>
      </c>
      <c r="H812" s="1965" t="s">
        <v>3288</v>
      </c>
      <c r="I812" s="1961">
        <f>VLOOKUP($H$4,'LƯƠNG KT'!$D$16:$W$108,17,0)</f>
        <v>0</v>
      </c>
      <c r="J812" s="1964">
        <v>20000</v>
      </c>
      <c r="K812" s="1962">
        <f>I812*J812</f>
        <v>0</v>
      </c>
    </row>
    <row r="813" spans="1:11" ht="12.75" hidden="1" customHeight="1">
      <c r="A813" s="1959" t="s">
        <v>3289</v>
      </c>
      <c r="B813" s="1965" t="s">
        <v>3290</v>
      </c>
      <c r="C813" s="1966"/>
      <c r="D813" s="1964"/>
      <c r="E813" s="1962"/>
      <c r="G813" s="1959" t="s">
        <v>3289</v>
      </c>
      <c r="H813" s="1965" t="s">
        <v>3290</v>
      </c>
      <c r="I813" s="1966"/>
      <c r="J813" s="1964"/>
      <c r="K813" s="1962"/>
    </row>
    <row r="814" spans="1:11" ht="12.75" hidden="1" customHeight="1">
      <c r="A814" s="1968" t="s">
        <v>377</v>
      </c>
      <c r="B814" s="1969" t="s">
        <v>3291</v>
      </c>
      <c r="C814" s="1970"/>
      <c r="D814" s="1971"/>
      <c r="E814" s="1970"/>
      <c r="G814" s="1968" t="s">
        <v>377</v>
      </c>
      <c r="H814" s="1969" t="s">
        <v>3291</v>
      </c>
      <c r="I814" s="1970"/>
      <c r="J814" s="1971"/>
      <c r="K814" s="1970"/>
    </row>
    <row r="815" spans="1:11" ht="12.75" hidden="1" customHeight="1">
      <c r="A815" s="1972" t="s">
        <v>379</v>
      </c>
      <c r="B815" s="1973" t="s">
        <v>3292</v>
      </c>
      <c r="C815" s="1970"/>
      <c r="D815" s="1970"/>
      <c r="E815" s="1970"/>
      <c r="G815" s="1972" t="s">
        <v>379</v>
      </c>
      <c r="H815" s="1973" t="s">
        <v>3292</v>
      </c>
      <c r="I815" s="1970"/>
      <c r="J815" s="1970"/>
      <c r="K815" s="1970"/>
    </row>
    <row r="816" spans="1:11" ht="12.75" hidden="1" customHeight="1">
      <c r="A816" s="1972" t="s">
        <v>381</v>
      </c>
      <c r="B816" s="1974" t="s">
        <v>3293</v>
      </c>
      <c r="C816" s="1970"/>
      <c r="D816" s="1970"/>
      <c r="E816" s="1962">
        <f>SUM(E815)</f>
        <v>0</v>
      </c>
      <c r="G816" s="1972" t="s">
        <v>381</v>
      </c>
      <c r="H816" s="1974" t="s">
        <v>3293</v>
      </c>
      <c r="I816" s="1970"/>
      <c r="J816" s="1970"/>
      <c r="K816" s="1962">
        <f>SUM(K815)</f>
        <v>0</v>
      </c>
    </row>
    <row r="817" spans="1:11" ht="12.75" hidden="1" customHeight="1">
      <c r="A817" s="1975" t="s">
        <v>383</v>
      </c>
      <c r="B817" s="1976" t="s">
        <v>3294</v>
      </c>
      <c r="C817" s="1977"/>
      <c r="D817" s="1977"/>
      <c r="E817" s="1978" t="e">
        <f>(E805+E806+E807+E808+E809+E810+E811+E812+E813)-E816</f>
        <v>#VALUE!</v>
      </c>
      <c r="G817" s="1975" t="s">
        <v>383</v>
      </c>
      <c r="H817" s="1976" t="s">
        <v>3294</v>
      </c>
      <c r="I817" s="1977"/>
      <c r="J817" s="1977"/>
      <c r="K817" s="1978" t="e">
        <f>(K805+K806+K807+K808+K809+K810+K811+K812+K813)-K816</f>
        <v>#VALUE!</v>
      </c>
    </row>
    <row r="818" spans="1:11" hidden="1"/>
    <row r="819" spans="1:11" ht="12.75" hidden="1" customHeight="1">
      <c r="A819" s="2955" t="s">
        <v>3356</v>
      </c>
      <c r="B819" s="2956"/>
      <c r="C819" s="2956"/>
      <c r="D819" s="2956"/>
      <c r="E819" s="1981" t="e">
        <f>VLOOKUP(B820,'LƯƠNG KT'!$D$16:$AD$108,25,0)</f>
        <v>#N/A</v>
      </c>
      <c r="F819" s="1980"/>
      <c r="G819" s="2955" t="s">
        <v>3356</v>
      </c>
      <c r="H819" s="2956"/>
      <c r="I819" s="2956"/>
      <c r="J819" s="2956"/>
      <c r="K819" s="1981" t="e">
        <f>VLOOKUP(H820,'LƯƠNG KT'!$D$16:$AD$108,25,0)</f>
        <v>#N/A</v>
      </c>
    </row>
    <row r="820" spans="1:11" ht="12.75" hidden="1" customHeight="1">
      <c r="A820" s="1956" t="s">
        <v>356</v>
      </c>
      <c r="B820" s="1956"/>
      <c r="C820" s="1957"/>
      <c r="D820" s="1958" t="s">
        <v>2357</v>
      </c>
      <c r="E820" s="1958" t="s">
        <v>2156</v>
      </c>
      <c r="G820" s="1956" t="s">
        <v>356</v>
      </c>
      <c r="H820" s="1956"/>
      <c r="I820" s="1957"/>
      <c r="J820" s="1958" t="s">
        <v>2357</v>
      </c>
      <c r="K820" s="1958" t="s">
        <v>2156</v>
      </c>
    </row>
    <row r="821" spans="1:11" ht="12.75" hidden="1" customHeight="1">
      <c r="A821" s="1959" t="s">
        <v>3005</v>
      </c>
      <c r="B821" s="1960" t="s">
        <v>3278</v>
      </c>
      <c r="C821" s="1961">
        <f>VLOOKUP($B$4,'LƯƠNG KT'!$D$16:$M$108,8,0)</f>
        <v>258.44560223458501</v>
      </c>
      <c r="D821" s="1962"/>
      <c r="E821" s="1962"/>
      <c r="G821" s="1959" t="s">
        <v>3005</v>
      </c>
      <c r="H821" s="1960" t="s">
        <v>3278</v>
      </c>
      <c r="I821" s="1961">
        <f>VLOOKUP($H$4,'LƯƠNG KT'!$D$16:$M$108,8,0)</f>
        <v>208.79511122005275</v>
      </c>
      <c r="J821" s="1962"/>
      <c r="K821" s="1962"/>
    </row>
    <row r="822" spans="1:11" ht="12.75" hidden="1" customHeight="1">
      <c r="A822" s="1959" t="s">
        <v>359</v>
      </c>
      <c r="B822" s="1963" t="s">
        <v>2090</v>
      </c>
      <c r="C822" s="1961">
        <f>VLOOKUP($B$4,'LƯƠNG KT'!$D$16:$M$108,3,0)</f>
        <v>0</v>
      </c>
      <c r="D822" s="1964">
        <v>25000</v>
      </c>
      <c r="E822" s="1962">
        <f>C822*D822</f>
        <v>0</v>
      </c>
      <c r="G822" s="1959" t="s">
        <v>359</v>
      </c>
      <c r="H822" s="1963" t="s">
        <v>2090</v>
      </c>
      <c r="I822" s="1961">
        <f>VLOOKUP($H$4,'LƯƠNG KT'!$D$16:$M$108,3,0)</f>
        <v>0</v>
      </c>
      <c r="J822" s="1964">
        <v>25000</v>
      </c>
      <c r="K822" s="1962">
        <f>I822*J822</f>
        <v>0</v>
      </c>
    </row>
    <row r="823" spans="1:11" ht="12.75" hidden="1" customHeight="1">
      <c r="A823" s="1959" t="s">
        <v>3279</v>
      </c>
      <c r="B823" s="1965" t="s">
        <v>3280</v>
      </c>
      <c r="C823" s="1961" t="str">
        <f>VLOOKUP($B$4,'LƯƠNG KT'!$D$16:$Q$108,10,0)</f>
        <v>B</v>
      </c>
      <c r="D823" s="1967">
        <f>46.1*$C$1</f>
        <v>30792.956000000002</v>
      </c>
      <c r="E823" s="1962" t="e">
        <f t="shared" ref="E823:E827" si="96">C823*D823</f>
        <v>#VALUE!</v>
      </c>
      <c r="G823" s="1959" t="s">
        <v>3279</v>
      </c>
      <c r="H823" s="1965" t="s">
        <v>3280</v>
      </c>
      <c r="I823" s="1961" t="str">
        <f>VLOOKUP($H$4,'LƯƠNG KT'!$D$16:$Q$108,10,0)</f>
        <v>A</v>
      </c>
      <c r="J823" s="1967">
        <f>46.1*$C$1</f>
        <v>30792.956000000002</v>
      </c>
      <c r="K823" s="1962" t="e">
        <f t="shared" ref="K823:K827" si="97">I823*J823</f>
        <v>#VALUE!</v>
      </c>
    </row>
    <row r="824" spans="1:11" ht="12.75" hidden="1" customHeight="1">
      <c r="A824" s="1959" t="s">
        <v>3281</v>
      </c>
      <c r="B824" s="1965" t="s">
        <v>3282</v>
      </c>
      <c r="C824" s="1961">
        <f>VLOOKUP($B$4,'LƯƠNG KT'!$D$16:$Q$108,11,0)</f>
        <v>7874809</v>
      </c>
      <c r="D824" s="1964">
        <f>76.9*$C$1</f>
        <v>51366.124000000003</v>
      </c>
      <c r="E824" s="1962">
        <f t="shared" si="96"/>
        <v>404498415570.31604</v>
      </c>
      <c r="G824" s="1959" t="s">
        <v>3281</v>
      </c>
      <c r="H824" s="1965" t="s">
        <v>3282</v>
      </c>
      <c r="I824" s="1961">
        <f>VLOOKUP($H$4,'LƯƠNG KT'!$D$16:$Q$108,11,0)</f>
        <v>6691031</v>
      </c>
      <c r="J824" s="1964">
        <f>76.9*$C$1</f>
        <v>51366.124000000003</v>
      </c>
      <c r="K824" s="1962">
        <f t="shared" si="97"/>
        <v>343692328033.84399</v>
      </c>
    </row>
    <row r="825" spans="1:11" ht="12.75" hidden="1" customHeight="1">
      <c r="A825" s="1959" t="s">
        <v>374</v>
      </c>
      <c r="B825" s="1965" t="s">
        <v>3283</v>
      </c>
      <c r="C825" s="1961">
        <f>VLOOKUP($B$4,'LƯƠNG KT'!$D$16:$M$108,7,0)</f>
        <v>2004.4306367838908</v>
      </c>
      <c r="D825" s="1964">
        <f>IF(C821="A",6.1,IF(C821="B",5.8,IF(C821="C",5.5,IF(C821="C.",5.5,IF(C821="D",5.2)))))*$C$1</f>
        <v>0</v>
      </c>
      <c r="E825" s="1962">
        <f t="shared" si="96"/>
        <v>0</v>
      </c>
      <c r="G825" s="1959" t="s">
        <v>374</v>
      </c>
      <c r="H825" s="1965" t="s">
        <v>3283</v>
      </c>
      <c r="I825" s="1961">
        <f>VLOOKUP($H$4,'LƯƠNG KT'!$D$16:$M$108,7,0)</f>
        <v>1619.3555398953824</v>
      </c>
      <c r="J825" s="1964">
        <f>IF(I821="A",6.1,IF(I821="B",5.8,IF(I821="C",5.5,IF(I821="C.",5.5,IF(I821="D",5.2)))))*$C$1</f>
        <v>0</v>
      </c>
      <c r="K825" s="1962">
        <f t="shared" si="97"/>
        <v>0</v>
      </c>
    </row>
    <row r="826" spans="1:11" ht="12.75" hidden="1" customHeight="1">
      <c r="A826" s="1959" t="s">
        <v>3296</v>
      </c>
      <c r="B826" s="1965" t="s">
        <v>3285</v>
      </c>
      <c r="C826" s="1961">
        <f>VLOOKUP($B$4,'LƯƠNG KT'!$D$16:$Q$108,12,0)</f>
        <v>27</v>
      </c>
      <c r="D826" s="1967">
        <f>92.2*$C$1</f>
        <v>61585.912000000004</v>
      </c>
      <c r="E826" s="1962">
        <f t="shared" si="96"/>
        <v>1662819.6240000001</v>
      </c>
      <c r="G826" s="1959" t="s">
        <v>3284</v>
      </c>
      <c r="H826" s="1965" t="s">
        <v>3285</v>
      </c>
      <c r="I826" s="1961">
        <f>VLOOKUP($H$4,'LƯƠNG KT'!$D$16:$Q$108,12,0)</f>
        <v>24</v>
      </c>
      <c r="J826" s="1967">
        <f>92.2*$C$1</f>
        <v>61585.912000000004</v>
      </c>
      <c r="K826" s="1962">
        <f t="shared" si="97"/>
        <v>1478061.888</v>
      </c>
    </row>
    <row r="827" spans="1:11" ht="12.75" hidden="1" customHeight="1">
      <c r="A827" s="1959" t="s">
        <v>3297</v>
      </c>
      <c r="B827" s="1965" t="s">
        <v>3287</v>
      </c>
      <c r="C827" s="1961">
        <f>VLOOKUP($B$4,'LƯƠNG KT'!$D$16:$T$108,13,0)</f>
        <v>4</v>
      </c>
      <c r="D827" s="1964">
        <f>153.8*$C$1</f>
        <v>102732.24800000001</v>
      </c>
      <c r="E827" s="1962">
        <f t="shared" si="96"/>
        <v>410928.99200000003</v>
      </c>
      <c r="G827" s="1959" t="s">
        <v>3286</v>
      </c>
      <c r="H827" s="1965" t="s">
        <v>3287</v>
      </c>
      <c r="I827" s="1961">
        <f>VLOOKUP($H$4,'LƯƠNG KT'!$D$16:$T$108,13,0)</f>
        <v>4</v>
      </c>
      <c r="J827" s="1964">
        <f>153.8*$C$1</f>
        <v>102732.24800000001</v>
      </c>
      <c r="K827" s="1962">
        <f t="shared" si="97"/>
        <v>410928.99200000003</v>
      </c>
    </row>
    <row r="828" spans="1:11" ht="12.75" hidden="1" customHeight="1">
      <c r="A828" s="1959" t="s">
        <v>370</v>
      </c>
      <c r="B828" s="1965" t="s">
        <v>3288</v>
      </c>
      <c r="C828" s="1961">
        <f>VLOOKUP($B$4,'LƯƠNG KT'!$D$16:$V$108,16,0)</f>
        <v>0</v>
      </c>
      <c r="D828" s="1964">
        <v>10000</v>
      </c>
      <c r="E828" s="1962">
        <f>C828*D828</f>
        <v>0</v>
      </c>
      <c r="G828" s="1959" t="s">
        <v>370</v>
      </c>
      <c r="H828" s="1965" t="s">
        <v>3288</v>
      </c>
      <c r="I828" s="1961">
        <f>VLOOKUP($H$4,'LƯƠNG KT'!$D$16:$V$108,16,0)</f>
        <v>0</v>
      </c>
      <c r="J828" s="1964">
        <v>10000</v>
      </c>
      <c r="K828" s="1962">
        <f>I828*J828</f>
        <v>0</v>
      </c>
    </row>
    <row r="829" spans="1:11" ht="12.75" hidden="1" customHeight="1">
      <c r="A829" s="1959" t="s">
        <v>370</v>
      </c>
      <c r="B829" s="1965" t="s">
        <v>3288</v>
      </c>
      <c r="C829" s="1961">
        <f>VLOOKUP($B$4,'LƯƠNG KT'!$D$16:$W$108,17,0)</f>
        <v>0</v>
      </c>
      <c r="D829" s="1964">
        <v>20000</v>
      </c>
      <c r="E829" s="1962">
        <f>C829*D829</f>
        <v>0</v>
      </c>
      <c r="G829" s="1959" t="s">
        <v>370</v>
      </c>
      <c r="H829" s="1965" t="s">
        <v>3288</v>
      </c>
      <c r="I829" s="1961">
        <f>VLOOKUP($H$4,'LƯƠNG KT'!$D$16:$W$108,17,0)</f>
        <v>0</v>
      </c>
      <c r="J829" s="1964">
        <v>20000</v>
      </c>
      <c r="K829" s="1962">
        <f>I829*J829</f>
        <v>0</v>
      </c>
    </row>
    <row r="830" spans="1:11" ht="12.75" hidden="1" customHeight="1">
      <c r="A830" s="1959" t="s">
        <v>3289</v>
      </c>
      <c r="B830" s="1965" t="s">
        <v>3290</v>
      </c>
      <c r="C830" s="1966"/>
      <c r="D830" s="1964"/>
      <c r="E830" s="1962"/>
      <c r="G830" s="1959" t="s">
        <v>3289</v>
      </c>
      <c r="H830" s="1965" t="s">
        <v>3290</v>
      </c>
      <c r="I830" s="1966"/>
      <c r="J830" s="1964"/>
      <c r="K830" s="1962"/>
    </row>
    <row r="831" spans="1:11" ht="12.75" hidden="1" customHeight="1">
      <c r="A831" s="1968" t="s">
        <v>377</v>
      </c>
      <c r="B831" s="1969" t="s">
        <v>3291</v>
      </c>
      <c r="C831" s="1970"/>
      <c r="D831" s="1971"/>
      <c r="E831" s="1970"/>
      <c r="G831" s="1968" t="s">
        <v>377</v>
      </c>
      <c r="H831" s="1969" t="s">
        <v>3291</v>
      </c>
      <c r="I831" s="1970"/>
      <c r="J831" s="1971"/>
      <c r="K831" s="1970"/>
    </row>
    <row r="832" spans="1:11" ht="12.75" hidden="1" customHeight="1">
      <c r="A832" s="1972" t="s">
        <v>379</v>
      </c>
      <c r="B832" s="1973" t="s">
        <v>3292</v>
      </c>
      <c r="C832" s="1970"/>
      <c r="D832" s="1970"/>
      <c r="E832" s="1970"/>
      <c r="G832" s="1972" t="s">
        <v>379</v>
      </c>
      <c r="H832" s="1973" t="s">
        <v>3292</v>
      </c>
      <c r="I832" s="1970"/>
      <c r="J832" s="1970"/>
      <c r="K832" s="1970"/>
    </row>
    <row r="833" spans="1:11" ht="12.75" hidden="1" customHeight="1">
      <c r="A833" s="1972" t="s">
        <v>381</v>
      </c>
      <c r="B833" s="1974" t="s">
        <v>3293</v>
      </c>
      <c r="C833" s="1970"/>
      <c r="D833" s="1970"/>
      <c r="E833" s="1962">
        <f>SUM(E832)</f>
        <v>0</v>
      </c>
      <c r="G833" s="1972" t="s">
        <v>381</v>
      </c>
      <c r="H833" s="1974" t="s">
        <v>3293</v>
      </c>
      <c r="I833" s="1970"/>
      <c r="J833" s="1970"/>
      <c r="K833" s="1962">
        <f>SUM(K832)</f>
        <v>0</v>
      </c>
    </row>
    <row r="834" spans="1:11" ht="12.75" hidden="1" customHeight="1">
      <c r="A834" s="1975" t="s">
        <v>383</v>
      </c>
      <c r="B834" s="1976" t="s">
        <v>3294</v>
      </c>
      <c r="C834" s="1977"/>
      <c r="D834" s="1977"/>
      <c r="E834" s="1978" t="e">
        <f>(E822+E823+E824+E825+E826+E827+E828+E829+E830)-E833</f>
        <v>#VALUE!</v>
      </c>
      <c r="G834" s="1975" t="s">
        <v>383</v>
      </c>
      <c r="H834" s="1976" t="s">
        <v>3294</v>
      </c>
      <c r="I834" s="1977"/>
      <c r="J834" s="1977"/>
      <c r="K834" s="1978" t="e">
        <f>(K822+K823+K824+K825+K826+K827+K828+K829+K830)-K833</f>
        <v>#VALUE!</v>
      </c>
    </row>
    <row r="835" spans="1:11" ht="23.25">
      <c r="A835" s="2957" t="s">
        <v>3243</v>
      </c>
      <c r="B835" s="2957"/>
      <c r="C835" s="2957"/>
      <c r="D835" s="2957"/>
      <c r="E835" s="2957"/>
      <c r="F835" s="2957"/>
      <c r="G835" s="2957"/>
      <c r="H835" s="2957"/>
      <c r="I835" s="2957"/>
      <c r="J835" s="2957"/>
      <c r="K835" s="2957"/>
    </row>
    <row r="837" spans="1:11" ht="12.75" customHeight="1">
      <c r="A837" s="2953" t="s">
        <v>3356</v>
      </c>
      <c r="B837" s="2954"/>
      <c r="C837" s="2954"/>
      <c r="D837" s="2954"/>
      <c r="E837" s="1955">
        <f>VLOOKUP($B$838,'LƯƠNG KT'!D110:AD184,25,0)</f>
        <v>0</v>
      </c>
      <c r="G837" s="2953" t="s">
        <v>3356</v>
      </c>
      <c r="H837" s="2954"/>
      <c r="I837" s="2954"/>
      <c r="J837" s="2954"/>
      <c r="K837" s="1955">
        <f>VLOOKUP(H838,'LƯƠNG KT'!$D$110:$AD$184,25,0)</f>
        <v>0</v>
      </c>
    </row>
    <row r="838" spans="1:11" ht="12.75" customHeight="1">
      <c r="A838" s="1956" t="s">
        <v>356</v>
      </c>
      <c r="B838" s="1956" t="str">
        <f>'LƯƠNG KT'!$D$110</f>
        <v>Thảo Văn</v>
      </c>
      <c r="C838" s="1957"/>
      <c r="D838" s="1958" t="s">
        <v>2357</v>
      </c>
      <c r="E838" s="1958" t="s">
        <v>2156</v>
      </c>
      <c r="G838" s="1956" t="s">
        <v>356</v>
      </c>
      <c r="H838" s="1956" t="str">
        <f>'LƯƠNG KT'!$D$111</f>
        <v>T . Thau</v>
      </c>
      <c r="I838" s="1957"/>
      <c r="J838" s="1958" t="s">
        <v>2357</v>
      </c>
      <c r="K838" s="1958" t="s">
        <v>2156</v>
      </c>
    </row>
    <row r="839" spans="1:11" ht="12.75" customHeight="1">
      <c r="A839" s="1959" t="s">
        <v>3005</v>
      </c>
      <c r="B839" s="1960" t="s">
        <v>3278</v>
      </c>
      <c r="C839" s="1961">
        <f>VLOOKUP(B838,'LƯƠNG KT'!$D$110:$AC$184,8,0)</f>
        <v>113.6922805845344</v>
      </c>
      <c r="D839" s="1962"/>
      <c r="E839" s="1962"/>
      <c r="G839" s="1959" t="s">
        <v>3005</v>
      </c>
      <c r="H839" s="1960" t="s">
        <v>3278</v>
      </c>
      <c r="I839" s="1961">
        <f>VLOOKUP(H838,'LƯƠNG KT'!$D$110:$AC$184,8,0)</f>
        <v>171.39050435013323</v>
      </c>
      <c r="J839" s="1962"/>
      <c r="K839" s="1962"/>
    </row>
    <row r="840" spans="1:11" ht="12.75" customHeight="1">
      <c r="A840" s="1959" t="s">
        <v>359</v>
      </c>
      <c r="B840" s="1963" t="s">
        <v>2090</v>
      </c>
      <c r="C840" s="1961">
        <f>VLOOKUP(B838,'LƯƠNG KT'!$D$110:$AC$184,3,0)</f>
        <v>0</v>
      </c>
      <c r="D840" s="1964">
        <v>25000</v>
      </c>
      <c r="E840" s="1962">
        <f>C840*D840</f>
        <v>0</v>
      </c>
      <c r="G840" s="1959" t="s">
        <v>359</v>
      </c>
      <c r="H840" s="1963" t="s">
        <v>2090</v>
      </c>
      <c r="I840" s="1961">
        <f>VLOOKUP(H838,'LƯƠNG KT'!$D$110:$AC$184,3,0)</f>
        <v>0</v>
      </c>
      <c r="J840" s="1964">
        <v>25000</v>
      </c>
      <c r="K840" s="1962">
        <f>I840*J840</f>
        <v>0</v>
      </c>
    </row>
    <row r="841" spans="1:11" ht="12.75" customHeight="1">
      <c r="A841" s="1959" t="s">
        <v>3279</v>
      </c>
      <c r="B841" s="1965" t="s">
        <v>3280</v>
      </c>
      <c r="C841" s="1961" t="str">
        <f>VLOOKUP(B838,'LƯƠNG KT'!$D$110:$AC$184,10,0)</f>
        <v>A</v>
      </c>
      <c r="D841" s="1967">
        <f>46.1*$C$1</f>
        <v>30792.956000000002</v>
      </c>
      <c r="E841" s="1962" t="e">
        <f t="shared" ref="E841:E845" si="98">C841*D841</f>
        <v>#VALUE!</v>
      </c>
      <c r="G841" s="1959" t="s">
        <v>3279</v>
      </c>
      <c r="H841" s="1965" t="s">
        <v>3280</v>
      </c>
      <c r="I841" s="1961" t="str">
        <f>VLOOKUP(H838,'LƯƠNG KT'!$D$110:$AC$184,10,0)</f>
        <v>B</v>
      </c>
      <c r="J841" s="1967">
        <f>46.1*$C$1</f>
        <v>30792.956000000002</v>
      </c>
      <c r="K841" s="1962" t="e">
        <f t="shared" ref="K841:K845" si="99">I841*J841</f>
        <v>#VALUE!</v>
      </c>
    </row>
    <row r="842" spans="1:11" ht="12.75" customHeight="1">
      <c r="A842" s="1959" t="s">
        <v>3281</v>
      </c>
      <c r="B842" s="1965" t="s">
        <v>3282</v>
      </c>
      <c r="C842" s="1961">
        <f>VLOOKUP(B838,'LƯƠNG KT'!$D$110:$AC$184,11,0)</f>
        <v>4884257</v>
      </c>
      <c r="D842" s="1964">
        <f>76.9*$C$1</f>
        <v>51366.124000000003</v>
      </c>
      <c r="E842" s="1962">
        <f t="shared" si="98"/>
        <v>250885350709.86801</v>
      </c>
      <c r="G842" s="1959" t="s">
        <v>3281</v>
      </c>
      <c r="H842" s="1965" t="s">
        <v>3282</v>
      </c>
      <c r="I842" s="1961">
        <f>VLOOKUP(H838,'LƯƠNG KT'!$D$110:$AC$184,11,0)</f>
        <v>7000877</v>
      </c>
      <c r="J842" s="1964">
        <f>76.9*$C$1</f>
        <v>51366.124000000003</v>
      </c>
      <c r="K842" s="1962">
        <f t="shared" si="99"/>
        <v>359607916090.74805</v>
      </c>
    </row>
    <row r="843" spans="1:11" ht="12.75" customHeight="1">
      <c r="A843" s="1959" t="s">
        <v>374</v>
      </c>
      <c r="B843" s="1965" t="s">
        <v>3283</v>
      </c>
      <c r="C843" s="1961">
        <f>VLOOKUP(B838,'LƯƠNG KT'!$D$110:$AC$184,7,0)</f>
        <v>1220.8041227872632</v>
      </c>
      <c r="D843" s="1964">
        <f>IF(C839="A",6.1,IF(C839="B",5.8,IF(C839="C",5.5,IF(C839="C.",5.5,IF(C839="D",5.2)))))*$C$1</f>
        <v>0</v>
      </c>
      <c r="E843" s="1962">
        <f t="shared" si="98"/>
        <v>0</v>
      </c>
      <c r="G843" s="1959" t="s">
        <v>374</v>
      </c>
      <c r="H843" s="1965" t="s">
        <v>3283</v>
      </c>
      <c r="I843" s="1961">
        <f>VLOOKUP(H838,'LƯƠNG KT'!$D$110:$AC$184,7,0)</f>
        <v>1840.3556797478229</v>
      </c>
      <c r="J843" s="1964">
        <f>IF(I839="A",6.1,IF(I839="B",5.8,IF(I839="C",5.5,IF(I839="C.",5.5,IF(I839="D",5.2)))))*$C$1</f>
        <v>0</v>
      </c>
      <c r="K843" s="1962">
        <f t="shared" si="99"/>
        <v>0</v>
      </c>
    </row>
    <row r="844" spans="1:11" ht="12.75" customHeight="1">
      <c r="A844" s="1959" t="s">
        <v>3296</v>
      </c>
      <c r="B844" s="1965" t="s">
        <v>3285</v>
      </c>
      <c r="C844" s="1961">
        <f>VLOOKUP(B838,'LƯƠNG KT'!$D$110:$AC$184,12,0)</f>
        <v>23</v>
      </c>
      <c r="D844" s="1967">
        <f>92.2*$C$1</f>
        <v>61585.912000000004</v>
      </c>
      <c r="E844" s="1962">
        <f t="shared" si="98"/>
        <v>1416475.976</v>
      </c>
      <c r="G844" s="1959" t="s">
        <v>3296</v>
      </c>
      <c r="H844" s="1965" t="s">
        <v>3285</v>
      </c>
      <c r="I844" s="1961">
        <f>VLOOKUP(H838,'LƯƠNG KT'!$D$110:$AC$184,12,0)</f>
        <v>22</v>
      </c>
      <c r="J844" s="1967">
        <f>92.2*$C$1</f>
        <v>61585.912000000004</v>
      </c>
      <c r="K844" s="1962">
        <f t="shared" si="99"/>
        <v>1354890.064</v>
      </c>
    </row>
    <row r="845" spans="1:11" ht="12.75" customHeight="1">
      <c r="A845" s="1959" t="s">
        <v>3297</v>
      </c>
      <c r="B845" s="1965" t="s">
        <v>3287</v>
      </c>
      <c r="C845" s="1961">
        <f>VLOOKUP(B838,'LƯƠNG KT'!$D$110:$AC$184,13,0)</f>
        <v>4</v>
      </c>
      <c r="D845" s="1964">
        <f>153.8*$C$1</f>
        <v>102732.24800000001</v>
      </c>
      <c r="E845" s="1962">
        <f t="shared" si="98"/>
        <v>410928.99200000003</v>
      </c>
      <c r="G845" s="1959" t="s">
        <v>3297</v>
      </c>
      <c r="H845" s="1965" t="s">
        <v>3287</v>
      </c>
      <c r="I845" s="1961">
        <f>VLOOKUP(H838,'LƯƠNG KT'!$D$110:$AC$184,13,0)</f>
        <v>4</v>
      </c>
      <c r="J845" s="1964">
        <f>153.8*$C$1</f>
        <v>102732.24800000001</v>
      </c>
      <c r="K845" s="1962">
        <f t="shared" si="99"/>
        <v>410928.99200000003</v>
      </c>
    </row>
    <row r="846" spans="1:11" ht="12.75" customHeight="1">
      <c r="A846" s="1959" t="s">
        <v>3354</v>
      </c>
      <c r="B846" s="1965" t="s">
        <v>3288</v>
      </c>
      <c r="C846" s="1961">
        <f>VLOOKUP(B838,'LƯƠNG KT'!$D$110:$AC$184,14,0)</f>
        <v>4</v>
      </c>
      <c r="D846" s="1964">
        <v>100000</v>
      </c>
      <c r="E846" s="1962">
        <f>C846*D846</f>
        <v>400000</v>
      </c>
      <c r="G846" s="1959" t="s">
        <v>3354</v>
      </c>
      <c r="H846" s="1965" t="s">
        <v>3288</v>
      </c>
      <c r="I846" s="1961">
        <f>VLOOKUP(H838,'LƯƠNG KT'!$D$110:$AC$184,14,0)</f>
        <v>4</v>
      </c>
      <c r="J846" s="1964">
        <v>100000</v>
      </c>
      <c r="K846" s="1962">
        <f>I846*J846</f>
        <v>400000</v>
      </c>
    </row>
    <row r="847" spans="1:11" ht="12.75" customHeight="1">
      <c r="A847" s="1959" t="s">
        <v>3355</v>
      </c>
      <c r="B847" s="1965" t="s">
        <v>3288</v>
      </c>
      <c r="C847" s="1961" t="e">
        <f>VLOOKUP(B838,'LƯƠNG KT'!$D$110:$AC$184,17,0)</f>
        <v>#N/A</v>
      </c>
      <c r="D847" s="1964">
        <v>20000</v>
      </c>
      <c r="E847" s="1962" t="e">
        <f>C847*D847</f>
        <v>#N/A</v>
      </c>
      <c r="G847" s="1959" t="s">
        <v>3355</v>
      </c>
      <c r="H847" s="1965" t="s">
        <v>3288</v>
      </c>
      <c r="I847" s="1961" t="e">
        <f>VLOOKUP(H838,'LƯƠNG KT'!$D$110:$AC$184,17,0)</f>
        <v>#N/A</v>
      </c>
      <c r="J847" s="1964">
        <v>20000</v>
      </c>
      <c r="K847" s="1962" t="e">
        <f>I847*J847</f>
        <v>#N/A</v>
      </c>
    </row>
    <row r="848" spans="1:11" ht="12.75" customHeight="1">
      <c r="A848" s="1959" t="s">
        <v>3289</v>
      </c>
      <c r="B848" s="1965" t="s">
        <v>3290</v>
      </c>
      <c r="C848" s="1966"/>
      <c r="D848" s="1964"/>
      <c r="E848" s="1962"/>
      <c r="G848" s="1959" t="s">
        <v>3289</v>
      </c>
      <c r="H848" s="1965" t="s">
        <v>3290</v>
      </c>
      <c r="I848" s="1966"/>
      <c r="J848" s="1964"/>
      <c r="K848" s="1962"/>
    </row>
    <row r="849" spans="1:11" ht="12.75" customHeight="1">
      <c r="A849" s="1968" t="s">
        <v>377</v>
      </c>
      <c r="B849" s="1969" t="s">
        <v>3291</v>
      </c>
      <c r="C849" s="1970"/>
      <c r="D849" s="1971"/>
      <c r="E849" s="1970"/>
      <c r="G849" s="1968" t="s">
        <v>377</v>
      </c>
      <c r="H849" s="1969" t="s">
        <v>3291</v>
      </c>
      <c r="I849" s="1970"/>
      <c r="J849" s="1971"/>
      <c r="K849" s="1970"/>
    </row>
    <row r="850" spans="1:11" ht="12.75" customHeight="1">
      <c r="A850" s="1972" t="s">
        <v>379</v>
      </c>
      <c r="B850" s="1973" t="s">
        <v>3292</v>
      </c>
      <c r="C850" s="1970"/>
      <c r="D850" s="1970"/>
      <c r="E850" s="1970"/>
      <c r="G850" s="1972" t="s">
        <v>379</v>
      </c>
      <c r="H850" s="1973" t="s">
        <v>3292</v>
      </c>
      <c r="I850" s="1970"/>
      <c r="J850" s="1970"/>
      <c r="K850" s="1970"/>
    </row>
    <row r="851" spans="1:11" ht="12.75" customHeight="1">
      <c r="A851" s="1972" t="s">
        <v>381</v>
      </c>
      <c r="B851" s="1974" t="s">
        <v>3293</v>
      </c>
      <c r="C851" s="1970"/>
      <c r="D851" s="1970"/>
      <c r="E851" s="1962">
        <f>SUM(E850)</f>
        <v>0</v>
      </c>
      <c r="G851" s="1972" t="s">
        <v>381</v>
      </c>
      <c r="H851" s="1974" t="s">
        <v>3293</v>
      </c>
      <c r="I851" s="1970"/>
      <c r="J851" s="1970"/>
      <c r="K851" s="1962">
        <f>SUM(K850)</f>
        <v>0</v>
      </c>
    </row>
    <row r="852" spans="1:11" ht="12.75" customHeight="1">
      <c r="A852" s="1975" t="s">
        <v>383</v>
      </c>
      <c r="B852" s="1976" t="s">
        <v>3294</v>
      </c>
      <c r="C852" s="1977"/>
      <c r="D852" s="1977"/>
      <c r="E852" s="1978" t="e">
        <f>(E840+E841+E842+E843+E844+E845+E846+E847+E848)-E851</f>
        <v>#VALUE!</v>
      </c>
      <c r="G852" s="1975" t="s">
        <v>383</v>
      </c>
      <c r="H852" s="1976" t="s">
        <v>3294</v>
      </c>
      <c r="I852" s="1977"/>
      <c r="J852" s="1977"/>
      <c r="K852" s="1978" t="e">
        <f>(K840+K841+K842+K843+K844+K845+K846+K847+K848)-K851</f>
        <v>#VALUE!</v>
      </c>
    </row>
    <row r="854" spans="1:11" ht="12.75" customHeight="1">
      <c r="A854" s="2953" t="s">
        <v>3356</v>
      </c>
      <c r="B854" s="2954"/>
      <c r="C854" s="2954"/>
      <c r="D854" s="2954"/>
      <c r="E854" s="1955">
        <f>VLOOKUP(B855,'LƯƠNG KT'!$D$110:$AD$184,25,0)</f>
        <v>0</v>
      </c>
      <c r="G854" s="2953" t="s">
        <v>3356</v>
      </c>
      <c r="H854" s="2954"/>
      <c r="I854" s="2954"/>
      <c r="J854" s="2954"/>
      <c r="K854" s="1955">
        <f>VLOOKUP(H855,'LƯƠNG KT'!$D$110:$AD$184,25,0)</f>
        <v>0</v>
      </c>
    </row>
    <row r="855" spans="1:11" ht="12.75" customHeight="1">
      <c r="A855" s="1956" t="s">
        <v>356</v>
      </c>
      <c r="B855" s="1956" t="str">
        <f>'LƯƠNG KT'!$D$112</f>
        <v>Nàng Lao</v>
      </c>
      <c r="C855" s="1957"/>
      <c r="D855" s="1958" t="s">
        <v>2357</v>
      </c>
      <c r="E855" s="1958" t="s">
        <v>2156</v>
      </c>
      <c r="G855" s="1956" t="s">
        <v>356</v>
      </c>
      <c r="H855" s="1956" t="str">
        <f>'LƯƠNG KT'!$D$113</f>
        <v>Nàng Eng</v>
      </c>
      <c r="I855" s="1957"/>
      <c r="J855" s="1958" t="s">
        <v>2357</v>
      </c>
      <c r="K855" s="1958" t="s">
        <v>2156</v>
      </c>
    </row>
    <row r="856" spans="1:11" ht="12.75" customHeight="1">
      <c r="A856" s="1959" t="s">
        <v>3005</v>
      </c>
      <c r="B856" s="1960" t="s">
        <v>3278</v>
      </c>
      <c r="C856" s="1961">
        <f>VLOOKUP(B855,'LƯƠNG KT'!$D$110:$AC$184,8,0)</f>
        <v>110.16222048073195</v>
      </c>
      <c r="D856" s="1962"/>
      <c r="E856" s="1962"/>
      <c r="G856" s="1959" t="s">
        <v>3005</v>
      </c>
      <c r="H856" s="1960" t="s">
        <v>3278</v>
      </c>
      <c r="I856" s="1961">
        <f>VLOOKUP(H855,'LƯƠNG KT'!$D$110:$AC$184,8,0)</f>
        <v>110.85200234009564</v>
      </c>
      <c r="J856" s="1962"/>
      <c r="K856" s="1962"/>
    </row>
    <row r="857" spans="1:11" ht="12.75" customHeight="1">
      <c r="A857" s="1959" t="s">
        <v>359</v>
      </c>
      <c r="B857" s="1963" t="s">
        <v>2090</v>
      </c>
      <c r="C857" s="1961">
        <f>VLOOKUP(B855,'LƯƠNG KT'!$D$110:$AC$184,3,0)</f>
        <v>0</v>
      </c>
      <c r="D857" s="1964">
        <v>25000</v>
      </c>
      <c r="E857" s="1962">
        <f>C857*D857</f>
        <v>0</v>
      </c>
      <c r="G857" s="1959" t="s">
        <v>359</v>
      </c>
      <c r="H857" s="1963" t="s">
        <v>2090</v>
      </c>
      <c r="I857" s="1961">
        <f>VLOOKUP(H855,'LƯƠNG KT'!$D$110:$AC$184,3,0)</f>
        <v>0</v>
      </c>
      <c r="J857" s="1964">
        <v>25000</v>
      </c>
      <c r="K857" s="1962">
        <f>I857*J857</f>
        <v>0</v>
      </c>
    </row>
    <row r="858" spans="1:11" ht="12.75" customHeight="1">
      <c r="A858" s="1959" t="s">
        <v>3279</v>
      </c>
      <c r="B858" s="1965" t="s">
        <v>3280</v>
      </c>
      <c r="C858" s="1961" t="str">
        <f>VLOOKUP(B855,'LƯƠNG KT'!$D$110:$AC$184,10,0)</f>
        <v>B</v>
      </c>
      <c r="D858" s="1967">
        <f>46.1*$C$1</f>
        <v>30792.956000000002</v>
      </c>
      <c r="E858" s="1962" t="e">
        <f t="shared" ref="E858:E862" si="100">C858*D858</f>
        <v>#VALUE!</v>
      </c>
      <c r="G858" s="1959" t="s">
        <v>3279</v>
      </c>
      <c r="H858" s="1965" t="s">
        <v>3280</v>
      </c>
      <c r="I858" s="1961" t="str">
        <f>VLOOKUP(H855,'LƯƠNG KT'!$D$110:$AC$184,10,0)</f>
        <v>B</v>
      </c>
      <c r="J858" s="1967">
        <f>46.1*$C$1</f>
        <v>30792.956000000002</v>
      </c>
      <c r="K858" s="1962" t="e">
        <f t="shared" ref="K858:K862" si="101">I858*J858</f>
        <v>#VALUE!</v>
      </c>
    </row>
    <row r="859" spans="1:11" ht="12.75" customHeight="1">
      <c r="A859" s="1959" t="s">
        <v>3281</v>
      </c>
      <c r="B859" s="1965" t="s">
        <v>3282</v>
      </c>
      <c r="C859" s="1961">
        <f>VLOOKUP(B855,'LƯƠNG KT'!$D$110:$AC$184,11,0)</f>
        <v>4499853</v>
      </c>
      <c r="D859" s="1964">
        <f>76.9*$C$1</f>
        <v>51366.124000000003</v>
      </c>
      <c r="E859" s="1962">
        <f t="shared" si="100"/>
        <v>231140007179.772</v>
      </c>
      <c r="G859" s="1959" t="s">
        <v>3281</v>
      </c>
      <c r="H859" s="1965" t="s">
        <v>3282</v>
      </c>
      <c r="I859" s="1961">
        <f>VLOOKUP(H855,'LƯƠNG KT'!$D$110:$AC$184,11,0)</f>
        <v>4528029</v>
      </c>
      <c r="J859" s="1964">
        <f>76.9*$C$1</f>
        <v>51366.124000000003</v>
      </c>
      <c r="K859" s="1962">
        <f t="shared" si="101"/>
        <v>232587299089.59601</v>
      </c>
    </row>
    <row r="860" spans="1:11" ht="12.75" customHeight="1">
      <c r="A860" s="1959" t="s">
        <v>374</v>
      </c>
      <c r="B860" s="1965" t="s">
        <v>3283</v>
      </c>
      <c r="C860" s="1961">
        <f>VLOOKUP(B855,'LƯƠNG KT'!$D$110:$AC$184,7,0)</f>
        <v>1182.8990697242755</v>
      </c>
      <c r="D860" s="1964">
        <f>IF(C856="A",6.1,IF(C856="B",5.8,IF(C856="C",5.5,IF(C856="C.",5.5,IF(C856="D",5.2)))))*$C$1</f>
        <v>0</v>
      </c>
      <c r="E860" s="1962">
        <f t="shared" si="100"/>
        <v>0</v>
      </c>
      <c r="G860" s="1959" t="s">
        <v>374</v>
      </c>
      <c r="H860" s="1965" t="s">
        <v>3283</v>
      </c>
      <c r="I860" s="1961">
        <f>VLOOKUP(H855,'LƯƠNG KT'!$D$110:$AC$184,7,0)</f>
        <v>1190.3058042308362</v>
      </c>
      <c r="J860" s="1964">
        <f>IF(I856="A",6.1,IF(I856="B",5.8,IF(I856="C",5.5,IF(I856="C.",5.5,IF(I856="D",5.2)))))*$C$1</f>
        <v>0</v>
      </c>
      <c r="K860" s="1962">
        <f t="shared" si="101"/>
        <v>0</v>
      </c>
    </row>
    <row r="861" spans="1:11" ht="12.75" customHeight="1">
      <c r="A861" s="1959" t="s">
        <v>3296</v>
      </c>
      <c r="B861" s="1965" t="s">
        <v>3285</v>
      </c>
      <c r="C861" s="1961">
        <f>VLOOKUP(B855,'LƯƠNG KT'!$D$110:$AC$184,12,0)</f>
        <v>22</v>
      </c>
      <c r="D861" s="1967">
        <f>92.2*$C$1</f>
        <v>61585.912000000004</v>
      </c>
      <c r="E861" s="1962">
        <f t="shared" si="100"/>
        <v>1354890.064</v>
      </c>
      <c r="G861" s="1959" t="s">
        <v>3296</v>
      </c>
      <c r="H861" s="1965" t="s">
        <v>3285</v>
      </c>
      <c r="I861" s="1961">
        <f>VLOOKUP(H855,'LƯƠNG KT'!$D$110:$AC$184,12,0)</f>
        <v>21</v>
      </c>
      <c r="J861" s="1967">
        <f>92.2*$C$1</f>
        <v>61585.912000000004</v>
      </c>
      <c r="K861" s="1962">
        <f t="shared" si="101"/>
        <v>1293304.152</v>
      </c>
    </row>
    <row r="862" spans="1:11" ht="12.75" customHeight="1">
      <c r="A862" s="1959" t="s">
        <v>3297</v>
      </c>
      <c r="B862" s="1965" t="s">
        <v>3287</v>
      </c>
      <c r="C862" s="1961">
        <f>VLOOKUP(B855,'LƯƠNG KT'!$D$110:$AC$184,13,0)</f>
        <v>4</v>
      </c>
      <c r="D862" s="1964">
        <f>153.8*$C$1</f>
        <v>102732.24800000001</v>
      </c>
      <c r="E862" s="1962">
        <f t="shared" si="100"/>
        <v>410928.99200000003</v>
      </c>
      <c r="G862" s="1959" t="s">
        <v>3297</v>
      </c>
      <c r="H862" s="1965" t="s">
        <v>3287</v>
      </c>
      <c r="I862" s="1961">
        <f>VLOOKUP(H855,'LƯƠNG KT'!$D$110:$AC$184,13,0)</f>
        <v>4</v>
      </c>
      <c r="J862" s="1964">
        <f>153.8*$C$1</f>
        <v>102732.24800000001</v>
      </c>
      <c r="K862" s="1962">
        <f t="shared" si="101"/>
        <v>410928.99200000003</v>
      </c>
    </row>
    <row r="863" spans="1:11" ht="12.75" customHeight="1">
      <c r="A863" s="1959" t="s">
        <v>3354</v>
      </c>
      <c r="B863" s="1965" t="s">
        <v>3288</v>
      </c>
      <c r="C863" s="1961">
        <f>VLOOKUP(B855,'LƯƠNG KT'!$D$110:$AC$184,14,0)</f>
        <v>5</v>
      </c>
      <c r="D863" s="1964">
        <v>100000</v>
      </c>
      <c r="E863" s="1962">
        <f>C863*D863</f>
        <v>500000</v>
      </c>
      <c r="G863" s="1959" t="s">
        <v>3354</v>
      </c>
      <c r="H863" s="1965" t="s">
        <v>3288</v>
      </c>
      <c r="I863" s="1961">
        <f>VLOOKUP(H855,'LƯƠNG KT'!$D$110:$AC$184,14,0)</f>
        <v>4</v>
      </c>
      <c r="J863" s="1964">
        <v>100000</v>
      </c>
      <c r="K863" s="1962">
        <f>I863*J863</f>
        <v>400000</v>
      </c>
    </row>
    <row r="864" spans="1:11" ht="12.75" customHeight="1">
      <c r="A864" s="1959" t="s">
        <v>3355</v>
      </c>
      <c r="B864" s="1965" t="s">
        <v>3288</v>
      </c>
      <c r="C864" s="1961" t="e">
        <f>VLOOKUP(B855,'LƯƠNG KT'!$D$110:$AC$184,17,0)</f>
        <v>#N/A</v>
      </c>
      <c r="D864" s="1964">
        <v>20000</v>
      </c>
      <c r="E864" s="1962" t="e">
        <f>C864*D864</f>
        <v>#N/A</v>
      </c>
      <c r="G864" s="1959" t="s">
        <v>3355</v>
      </c>
      <c r="H864" s="1965" t="s">
        <v>3288</v>
      </c>
      <c r="I864" s="1961" t="e">
        <f>VLOOKUP(H855,'LƯƠNG KT'!$D$110:$AC$184,17,0)</f>
        <v>#N/A</v>
      </c>
      <c r="J864" s="1964">
        <v>20000</v>
      </c>
      <c r="K864" s="1962" t="e">
        <f>I864*J864</f>
        <v>#N/A</v>
      </c>
    </row>
    <row r="865" spans="1:11" ht="12.75" customHeight="1">
      <c r="A865" s="1959" t="s">
        <v>3289</v>
      </c>
      <c r="B865" s="1965" t="s">
        <v>3290</v>
      </c>
      <c r="C865" s="1966"/>
      <c r="D865" s="1964"/>
      <c r="E865" s="1962"/>
      <c r="G865" s="1959" t="s">
        <v>3289</v>
      </c>
      <c r="H865" s="1965" t="s">
        <v>3290</v>
      </c>
      <c r="I865" s="1966"/>
      <c r="J865" s="1964"/>
      <c r="K865" s="1962"/>
    </row>
    <row r="866" spans="1:11" ht="12.75" customHeight="1">
      <c r="A866" s="1968" t="s">
        <v>377</v>
      </c>
      <c r="B866" s="1969" t="s">
        <v>3291</v>
      </c>
      <c r="C866" s="1970"/>
      <c r="D866" s="1971"/>
      <c r="E866" s="1970"/>
      <c r="G866" s="1968" t="s">
        <v>377</v>
      </c>
      <c r="H866" s="1969" t="s">
        <v>3291</v>
      </c>
      <c r="I866" s="1970"/>
      <c r="J866" s="1971"/>
      <c r="K866" s="1970"/>
    </row>
    <row r="867" spans="1:11" ht="12.75" customHeight="1">
      <c r="A867" s="1972" t="s">
        <v>379</v>
      </c>
      <c r="B867" s="1973" t="s">
        <v>3292</v>
      </c>
      <c r="C867" s="1970"/>
      <c r="D867" s="1970"/>
      <c r="E867" s="1970"/>
      <c r="G867" s="1972" t="s">
        <v>379</v>
      </c>
      <c r="H867" s="1973" t="s">
        <v>3292</v>
      </c>
      <c r="I867" s="1970"/>
      <c r="J867" s="1970"/>
      <c r="K867" s="1970"/>
    </row>
    <row r="868" spans="1:11" ht="12.75" customHeight="1">
      <c r="A868" s="1972" t="s">
        <v>381</v>
      </c>
      <c r="B868" s="1974" t="s">
        <v>3293</v>
      </c>
      <c r="C868" s="1970"/>
      <c r="D868" s="1970"/>
      <c r="E868" s="1962">
        <f>SUM(E867)</f>
        <v>0</v>
      </c>
      <c r="G868" s="1972" t="s">
        <v>381</v>
      </c>
      <c r="H868" s="1974" t="s">
        <v>3293</v>
      </c>
      <c r="I868" s="1970"/>
      <c r="J868" s="1970"/>
      <c r="K868" s="1962">
        <f>SUM(K867)</f>
        <v>0</v>
      </c>
    </row>
    <row r="869" spans="1:11" ht="12.75" customHeight="1">
      <c r="A869" s="1975" t="s">
        <v>383</v>
      </c>
      <c r="B869" s="1976" t="s">
        <v>3294</v>
      </c>
      <c r="C869" s="1977"/>
      <c r="D869" s="1977"/>
      <c r="E869" s="1978" t="e">
        <f>(E857+E858+E859+E860+E861+E862+E863+E864+E865)-E868</f>
        <v>#VALUE!</v>
      </c>
      <c r="G869" s="1975" t="s">
        <v>383</v>
      </c>
      <c r="H869" s="1976" t="s">
        <v>3294</v>
      </c>
      <c r="I869" s="1977"/>
      <c r="J869" s="1977"/>
      <c r="K869" s="1978" t="e">
        <f>(K857+K858+K859+K860+K861+K862+K863+K864+K865)-K868</f>
        <v>#VALUE!</v>
      </c>
    </row>
    <row r="871" spans="1:11" ht="12.75" customHeight="1">
      <c r="A871" s="2953" t="s">
        <v>3356</v>
      </c>
      <c r="B871" s="2954"/>
      <c r="C871" s="2954"/>
      <c r="D871" s="2954"/>
      <c r="E871" s="1955">
        <f>VLOOKUP(B872,'LƯƠNG KT'!$D$110:$AD$184,25,0)</f>
        <v>0</v>
      </c>
      <c r="G871" s="2953" t="s">
        <v>3356</v>
      </c>
      <c r="H871" s="2954"/>
      <c r="I871" s="2954"/>
      <c r="J871" s="2954"/>
      <c r="K871" s="1955">
        <f>VLOOKUP(H872,'LƯƠNG KT'!$D$110:$AD$184,25,0)</f>
        <v>0</v>
      </c>
    </row>
    <row r="872" spans="1:11" ht="12.75" customHeight="1">
      <c r="A872" s="1956" t="s">
        <v>356</v>
      </c>
      <c r="B872" s="1956" t="str">
        <f>'LƯƠNG KT'!$D$114</f>
        <v>T. Ve</v>
      </c>
      <c r="C872" s="1957"/>
      <c r="D872" s="1958" t="s">
        <v>2357</v>
      </c>
      <c r="E872" s="1958" t="s">
        <v>2156</v>
      </c>
      <c r="G872" s="1956" t="s">
        <v>356</v>
      </c>
      <c r="H872" s="1956" t="str">
        <f>'LƯƠNG KT'!$D$115</f>
        <v>Thảo Khổ</v>
      </c>
      <c r="I872" s="1957"/>
      <c r="J872" s="1958" t="s">
        <v>2357</v>
      </c>
      <c r="K872" s="1958" t="s">
        <v>2156</v>
      </c>
    </row>
    <row r="873" spans="1:11" ht="12.75" customHeight="1">
      <c r="A873" s="1959" t="s">
        <v>3005</v>
      </c>
      <c r="B873" s="1960" t="s">
        <v>3278</v>
      </c>
      <c r="C873" s="1961">
        <f>VLOOKUP(B872,'LƯƠNG KT'!$D$110:$AC$184,8,0)</f>
        <v>172.03971080600493</v>
      </c>
      <c r="D873" s="1962"/>
      <c r="E873" s="1962"/>
      <c r="G873" s="1959" t="s">
        <v>3005</v>
      </c>
      <c r="H873" s="1960" t="s">
        <v>3278</v>
      </c>
      <c r="I873" s="1961">
        <f>VLOOKUP(H872,'LƯƠNG KT'!$D$110:$AC$184,8,0)</f>
        <v>120.46837296769544</v>
      </c>
      <c r="J873" s="1962"/>
      <c r="K873" s="1962"/>
    </row>
    <row r="874" spans="1:11" ht="12.75" customHeight="1">
      <c r="A874" s="1959" t="s">
        <v>359</v>
      </c>
      <c r="B874" s="1963" t="s">
        <v>2090</v>
      </c>
      <c r="C874" s="1961">
        <f>VLOOKUP(B872,'LƯƠNG KT'!$D$110:$AC$184,3,0)</f>
        <v>0</v>
      </c>
      <c r="D874" s="1964">
        <v>25000</v>
      </c>
      <c r="E874" s="1962">
        <f>C874*D874</f>
        <v>0</v>
      </c>
      <c r="G874" s="1959" t="s">
        <v>359</v>
      </c>
      <c r="H874" s="1963" t="s">
        <v>2090</v>
      </c>
      <c r="I874" s="1961">
        <f>VLOOKUP(H872,'LƯƠNG KT'!$D$110:$AC$184,3,0)</f>
        <v>0</v>
      </c>
      <c r="J874" s="1964">
        <v>25000</v>
      </c>
      <c r="K874" s="1962">
        <f>I874*J874</f>
        <v>0</v>
      </c>
    </row>
    <row r="875" spans="1:11" ht="12.75" customHeight="1">
      <c r="A875" s="1959" t="s">
        <v>3279</v>
      </c>
      <c r="B875" s="1965" t="s">
        <v>3280</v>
      </c>
      <c r="C875" s="1961" t="str">
        <f>VLOOKUP(B872,'LƯƠNG KT'!$D$110:$AC$184,10,0)</f>
        <v>B</v>
      </c>
      <c r="D875" s="1967">
        <f>46.1*$C$1</f>
        <v>30792.956000000002</v>
      </c>
      <c r="E875" s="1962" t="e">
        <f t="shared" ref="E875:E879" si="102">C875*D875</f>
        <v>#VALUE!</v>
      </c>
      <c r="G875" s="1959" t="s">
        <v>3279</v>
      </c>
      <c r="H875" s="1965" t="s">
        <v>3280</v>
      </c>
      <c r="I875" s="1961" t="str">
        <f>VLOOKUP(H872,'LƯƠNG KT'!$D$110:$AC$184,10,0)</f>
        <v>A</v>
      </c>
      <c r="J875" s="1967">
        <f>46.1*$C$1</f>
        <v>30792.956000000002</v>
      </c>
      <c r="K875" s="1962" t="e">
        <f t="shared" ref="K875:K879" si="103">I875*J875</f>
        <v>#VALUE!</v>
      </c>
    </row>
    <row r="876" spans="1:11" ht="12.75" customHeight="1">
      <c r="A876" s="1959" t="s">
        <v>3281</v>
      </c>
      <c r="B876" s="1965" t="s">
        <v>3282</v>
      </c>
      <c r="C876" s="1961">
        <f>VLOOKUP(B872,'LƯƠNG KT'!$D$110:$AC$184,11,0)</f>
        <v>7027395</v>
      </c>
      <c r="D876" s="1964">
        <f>76.9*$C$1</f>
        <v>51366.124000000003</v>
      </c>
      <c r="E876" s="1962">
        <f t="shared" si="102"/>
        <v>360970042966.98004</v>
      </c>
      <c r="G876" s="1959" t="s">
        <v>3281</v>
      </c>
      <c r="H876" s="1965" t="s">
        <v>3282</v>
      </c>
      <c r="I876" s="1961">
        <f>VLOOKUP(H872,'LƯƠNG KT'!$D$110:$AC$184,11,0)</f>
        <v>5175360</v>
      </c>
      <c r="J876" s="1964">
        <f>76.9*$C$1</f>
        <v>51366.124000000003</v>
      </c>
      <c r="K876" s="1962">
        <f t="shared" si="103"/>
        <v>265838183504.64001</v>
      </c>
    </row>
    <row r="877" spans="1:11" ht="12.75" customHeight="1">
      <c r="A877" s="1959" t="s">
        <v>374</v>
      </c>
      <c r="B877" s="1965" t="s">
        <v>3283</v>
      </c>
      <c r="C877" s="1961">
        <f>VLOOKUP(B872,'LƯƠNG KT'!$D$110:$AC$184,7,0)</f>
        <v>1847.3267239892918</v>
      </c>
      <c r="D877" s="1964">
        <f>IF(C873="A",6.1,IF(C873="B",5.8,IF(C873="C",5.5,IF(C873="C.",5.5,IF(C873="D",5.2)))))*$C$1</f>
        <v>0</v>
      </c>
      <c r="E877" s="1962">
        <f t="shared" si="102"/>
        <v>0</v>
      </c>
      <c r="G877" s="1959" t="s">
        <v>374</v>
      </c>
      <c r="H877" s="1965" t="s">
        <v>3283</v>
      </c>
      <c r="I877" s="1961">
        <f>VLOOKUP(H872,'LƯƠNG KT'!$D$110:$AC$184,7,0)</f>
        <v>1293.5643970575961</v>
      </c>
      <c r="J877" s="1964">
        <f>IF(I873="A",6.1,IF(I873="B",5.8,IF(I873="C",5.5,IF(I873="C.",5.5,IF(I873="D",5.2)))))*$C$1</f>
        <v>0</v>
      </c>
      <c r="K877" s="1962">
        <f t="shared" si="103"/>
        <v>0</v>
      </c>
    </row>
    <row r="878" spans="1:11" ht="12.75" customHeight="1">
      <c r="A878" s="1959" t="s">
        <v>3296</v>
      </c>
      <c r="B878" s="1965" t="s">
        <v>3285</v>
      </c>
      <c r="C878" s="1961">
        <f>VLOOKUP(B872,'LƯƠNG KT'!$D$110:$AC$184,12,0)</f>
        <v>22</v>
      </c>
      <c r="D878" s="1967">
        <f>92.2*$C$1</f>
        <v>61585.912000000004</v>
      </c>
      <c r="E878" s="1962">
        <f t="shared" si="102"/>
        <v>1354890.064</v>
      </c>
      <c r="G878" s="1959" t="s">
        <v>3296</v>
      </c>
      <c r="H878" s="1965" t="s">
        <v>3285</v>
      </c>
      <c r="I878" s="1961">
        <f>VLOOKUP(H872,'LƯƠNG KT'!$D$110:$AC$184,12,0)</f>
        <v>25</v>
      </c>
      <c r="J878" s="1967">
        <f>92.2*$C$1</f>
        <v>61585.912000000004</v>
      </c>
      <c r="K878" s="1962">
        <f t="shared" si="103"/>
        <v>1539647.8</v>
      </c>
    </row>
    <row r="879" spans="1:11" ht="12.75" customHeight="1">
      <c r="A879" s="1959" t="s">
        <v>3297</v>
      </c>
      <c r="B879" s="1965" t="s">
        <v>3287</v>
      </c>
      <c r="C879" s="1961">
        <f>VLOOKUP(B872,'LƯƠNG KT'!$D$110:$AC$184,13,0)</f>
        <v>4</v>
      </c>
      <c r="D879" s="1964">
        <f>153.8*$C$1</f>
        <v>102732.24800000001</v>
      </c>
      <c r="E879" s="1962">
        <f t="shared" si="102"/>
        <v>410928.99200000003</v>
      </c>
      <c r="G879" s="1959" t="s">
        <v>3297</v>
      </c>
      <c r="H879" s="1965" t="s">
        <v>3287</v>
      </c>
      <c r="I879" s="1961">
        <f>VLOOKUP(H872,'LƯƠNG KT'!$D$110:$AC$184,13,0)</f>
        <v>4</v>
      </c>
      <c r="J879" s="1964">
        <f>153.8*$C$1</f>
        <v>102732.24800000001</v>
      </c>
      <c r="K879" s="1962">
        <f t="shared" si="103"/>
        <v>410928.99200000003</v>
      </c>
    </row>
    <row r="880" spans="1:11" ht="12.75" customHeight="1">
      <c r="A880" s="1959" t="s">
        <v>3354</v>
      </c>
      <c r="B880" s="1965" t="s">
        <v>3288</v>
      </c>
      <c r="C880" s="1961">
        <f>VLOOKUP(B872,'LƯƠNG KT'!$D$110:$AC$184,14,0)</f>
        <v>4</v>
      </c>
      <c r="D880" s="1964">
        <v>100000</v>
      </c>
      <c r="E880" s="1962">
        <f>C880*D880</f>
        <v>400000</v>
      </c>
      <c r="G880" s="1959" t="s">
        <v>3354</v>
      </c>
      <c r="H880" s="1965" t="s">
        <v>3288</v>
      </c>
      <c r="I880" s="1961">
        <f>VLOOKUP(H872,'LƯƠNG KT'!$D$110:$AC$184,14,0)</f>
        <v>2</v>
      </c>
      <c r="J880" s="1964">
        <v>100000</v>
      </c>
      <c r="K880" s="1962">
        <f>I880*J880</f>
        <v>200000</v>
      </c>
    </row>
    <row r="881" spans="1:11" ht="12.75" customHeight="1">
      <c r="A881" s="1959" t="s">
        <v>3355</v>
      </c>
      <c r="B881" s="1965" t="s">
        <v>3288</v>
      </c>
      <c r="C881" s="1961" t="e">
        <f>VLOOKUP(B872,'LƯƠNG KT'!$D$110:$AC$184,17,0)</f>
        <v>#N/A</v>
      </c>
      <c r="D881" s="1964">
        <v>20000</v>
      </c>
      <c r="E881" s="1962" t="e">
        <f>C881*D881</f>
        <v>#N/A</v>
      </c>
      <c r="G881" s="1959" t="s">
        <v>3355</v>
      </c>
      <c r="H881" s="1965" t="s">
        <v>3288</v>
      </c>
      <c r="I881" s="1961" t="e">
        <f>VLOOKUP(H872,'LƯƠNG KT'!$D$110:$AC$184,17,0)</f>
        <v>#N/A</v>
      </c>
      <c r="J881" s="1964">
        <v>20000</v>
      </c>
      <c r="K881" s="1962" t="e">
        <f>I881*J881</f>
        <v>#N/A</v>
      </c>
    </row>
    <row r="882" spans="1:11" ht="12.75" customHeight="1">
      <c r="A882" s="1959" t="s">
        <v>3289</v>
      </c>
      <c r="B882" s="1965" t="s">
        <v>3290</v>
      </c>
      <c r="C882" s="1966"/>
      <c r="D882" s="1964"/>
      <c r="E882" s="1962"/>
      <c r="G882" s="1959" t="s">
        <v>3289</v>
      </c>
      <c r="H882" s="1965" t="s">
        <v>3290</v>
      </c>
      <c r="I882" s="1966"/>
      <c r="J882" s="1964"/>
      <c r="K882" s="1962"/>
    </row>
    <row r="883" spans="1:11" ht="12.75" customHeight="1">
      <c r="A883" s="1968" t="s">
        <v>377</v>
      </c>
      <c r="B883" s="1969" t="s">
        <v>3291</v>
      </c>
      <c r="C883" s="1970"/>
      <c r="D883" s="1971"/>
      <c r="E883" s="1970"/>
      <c r="G883" s="1968" t="s">
        <v>377</v>
      </c>
      <c r="H883" s="1969" t="s">
        <v>3291</v>
      </c>
      <c r="I883" s="1970"/>
      <c r="J883" s="1971"/>
      <c r="K883" s="1970"/>
    </row>
    <row r="884" spans="1:11" ht="12.75" customHeight="1">
      <c r="A884" s="1972" t="s">
        <v>379</v>
      </c>
      <c r="B884" s="1973" t="s">
        <v>3292</v>
      </c>
      <c r="C884" s="1970"/>
      <c r="D884" s="1970"/>
      <c r="E884" s="1970"/>
      <c r="G884" s="1972" t="s">
        <v>379</v>
      </c>
      <c r="H884" s="1973" t="s">
        <v>3292</v>
      </c>
      <c r="I884" s="1970"/>
      <c r="J884" s="1970"/>
      <c r="K884" s="1970"/>
    </row>
    <row r="885" spans="1:11" ht="12.75" customHeight="1">
      <c r="A885" s="1972" t="s">
        <v>381</v>
      </c>
      <c r="B885" s="1974" t="s">
        <v>3293</v>
      </c>
      <c r="C885" s="1970"/>
      <c r="D885" s="1970"/>
      <c r="E885" s="1962">
        <f>SUM(E884)</f>
        <v>0</v>
      </c>
      <c r="G885" s="1972" t="s">
        <v>381</v>
      </c>
      <c r="H885" s="1974" t="s">
        <v>3293</v>
      </c>
      <c r="I885" s="1970"/>
      <c r="J885" s="1970"/>
      <c r="K885" s="1962">
        <f>SUM(K884)</f>
        <v>0</v>
      </c>
    </row>
    <row r="886" spans="1:11" ht="12.75" customHeight="1">
      <c r="A886" s="1975" t="s">
        <v>383</v>
      </c>
      <c r="B886" s="1976" t="s">
        <v>3294</v>
      </c>
      <c r="C886" s="1977"/>
      <c r="D886" s="1977"/>
      <c r="E886" s="1978" t="e">
        <f>(E874+E875+E876+E877+E878+E879+E880+E881+E882)-E885</f>
        <v>#VALUE!</v>
      </c>
      <c r="G886" s="1975" t="s">
        <v>383</v>
      </c>
      <c r="H886" s="1976" t="s">
        <v>3294</v>
      </c>
      <c r="I886" s="1977"/>
      <c r="J886" s="1977"/>
      <c r="K886" s="1978" t="e">
        <f>(K874+K875+K876+K877+K878+K879+K880+K881+K882)-K885</f>
        <v>#VALUE!</v>
      </c>
    </row>
    <row r="888" spans="1:11" ht="12.75" customHeight="1">
      <c r="A888" s="2953" t="s">
        <v>3356</v>
      </c>
      <c r="B888" s="2954"/>
      <c r="C888" s="2954"/>
      <c r="D888" s="2954"/>
      <c r="E888" s="1955">
        <f>VLOOKUP(B889,'LƯƠNG KT'!$D$110:$AD$184,25,0)</f>
        <v>0</v>
      </c>
      <c r="G888" s="2953" t="s">
        <v>3356</v>
      </c>
      <c r="H888" s="2954"/>
      <c r="I888" s="2954"/>
      <c r="J888" s="2954"/>
      <c r="K888" s="1955">
        <f>VLOOKUP(H889,'LƯƠNG KT'!$D$110:$AD$184,25,0)</f>
        <v>0</v>
      </c>
    </row>
    <row r="889" spans="1:11" ht="12.75" customHeight="1">
      <c r="A889" s="1956" t="s">
        <v>356</v>
      </c>
      <c r="B889" s="1956" t="str">
        <f>'LƯƠNG KT'!$D$116</f>
        <v>Nàng Văn Đay</v>
      </c>
      <c r="C889" s="1957"/>
      <c r="D889" s="1958" t="s">
        <v>2357</v>
      </c>
      <c r="E889" s="1958" t="s">
        <v>2156</v>
      </c>
      <c r="G889" s="1956" t="s">
        <v>356</v>
      </c>
      <c r="H889" s="1956" t="str">
        <f>'LƯƠNG KT'!$D$117</f>
        <v>Nàng Ni Khăm</v>
      </c>
      <c r="I889" s="1957"/>
      <c r="J889" s="1958" t="s">
        <v>2357</v>
      </c>
      <c r="K889" s="1958" t="s">
        <v>2156</v>
      </c>
    </row>
    <row r="890" spans="1:11" ht="12.75" customHeight="1">
      <c r="A890" s="1959" t="s">
        <v>3005</v>
      </c>
      <c r="B890" s="1960" t="s">
        <v>3278</v>
      </c>
      <c r="C890" s="1961">
        <f>VLOOKUP(B889,'LƯƠNG KT'!$D$110:$AC$184,8,0)</f>
        <v>111.3794825854914</v>
      </c>
      <c r="D890" s="1962"/>
      <c r="E890" s="1962"/>
      <c r="G890" s="1959" t="s">
        <v>3005</v>
      </c>
      <c r="H890" s="1960" t="s">
        <v>3278</v>
      </c>
      <c r="I890" s="1961">
        <f>VLOOKUP(H889,'LƯƠNG KT'!$D$110:$AC$184,8,0)</f>
        <v>137.95637187273982</v>
      </c>
      <c r="J890" s="1962"/>
      <c r="K890" s="1962"/>
    </row>
    <row r="891" spans="1:11" ht="12.75" customHeight="1">
      <c r="A891" s="1959" t="s">
        <v>359</v>
      </c>
      <c r="B891" s="1963" t="s">
        <v>2090</v>
      </c>
      <c r="C891" s="1961">
        <f>VLOOKUP(B889,'LƯƠNG KT'!$D$110:$AC$184,3,0)</f>
        <v>0</v>
      </c>
      <c r="D891" s="1964">
        <v>25000</v>
      </c>
      <c r="E891" s="1962">
        <f>C891*D891</f>
        <v>0</v>
      </c>
      <c r="G891" s="1959" t="s">
        <v>359</v>
      </c>
      <c r="H891" s="1963" t="s">
        <v>2090</v>
      </c>
      <c r="I891" s="1961">
        <f>VLOOKUP(H889,'LƯƠNG KT'!$D$110:$AC$184,3,0)</f>
        <v>0</v>
      </c>
      <c r="J891" s="1964">
        <v>25000</v>
      </c>
      <c r="K891" s="1962">
        <f>I891*J891</f>
        <v>0</v>
      </c>
    </row>
    <row r="892" spans="1:11" ht="12.75" customHeight="1">
      <c r="A892" s="1959" t="s">
        <v>3279</v>
      </c>
      <c r="B892" s="1965" t="s">
        <v>3280</v>
      </c>
      <c r="C892" s="1961" t="str">
        <f>VLOOKUP(B889,'LƯƠNG KT'!$D$110:$AC$184,10,0)</f>
        <v>B</v>
      </c>
      <c r="D892" s="1967">
        <f>46.1*$C$1</f>
        <v>30792.956000000002</v>
      </c>
      <c r="E892" s="1962" t="e">
        <f t="shared" ref="E892:E896" si="104">C892*D892</f>
        <v>#VALUE!</v>
      </c>
      <c r="G892" s="1959" t="s">
        <v>3279</v>
      </c>
      <c r="H892" s="1965" t="s">
        <v>3280</v>
      </c>
      <c r="I892" s="1961" t="str">
        <f>VLOOKUP(H889,'LƯƠNG KT'!$D$110:$AC$184,10,0)</f>
        <v>B</v>
      </c>
      <c r="J892" s="1967">
        <f>46.1*$C$1</f>
        <v>30792.956000000002</v>
      </c>
      <c r="K892" s="1962" t="e">
        <f t="shared" ref="K892:K896" si="105">I892*J892</f>
        <v>#VALUE!</v>
      </c>
    </row>
    <row r="893" spans="1:11" ht="12.75" customHeight="1">
      <c r="A893" s="1959" t="s">
        <v>3281</v>
      </c>
      <c r="B893" s="1965" t="s">
        <v>3282</v>
      </c>
      <c r="C893" s="1961">
        <f>VLOOKUP(B889,'LƯƠNG KT'!$D$110:$AC$184,11,0)</f>
        <v>4549575</v>
      </c>
      <c r="D893" s="1964">
        <f>76.9*$C$1</f>
        <v>51366.124000000003</v>
      </c>
      <c r="E893" s="1962">
        <f t="shared" si="104"/>
        <v>233694033597.30002</v>
      </c>
      <c r="G893" s="1959" t="s">
        <v>3281</v>
      </c>
      <c r="H893" s="1965" t="s">
        <v>3282</v>
      </c>
      <c r="I893" s="1961">
        <f>VLOOKUP(H889,'LƯƠNG KT'!$D$110:$AC$184,11,0)</f>
        <v>5635175</v>
      </c>
      <c r="J893" s="1964">
        <f>76.9*$C$1</f>
        <v>51366.124000000003</v>
      </c>
      <c r="K893" s="1962">
        <f t="shared" si="105"/>
        <v>289457097811.70001</v>
      </c>
    </row>
    <row r="894" spans="1:11" ht="12.75" customHeight="1">
      <c r="A894" s="1959" t="s">
        <v>374</v>
      </c>
      <c r="B894" s="1965" t="s">
        <v>3283</v>
      </c>
      <c r="C894" s="1961">
        <f>VLOOKUP(B889,'LƯƠNG KT'!$D$110:$AC$184,7,0)</f>
        <v>1195.9697776770297</v>
      </c>
      <c r="D894" s="1964">
        <f>IF(C890="A",6.1,IF(C890="B",5.8,IF(C890="C",5.5,IF(C890="C.",5.5,IF(C890="D",5.2)))))*$C$1</f>
        <v>0</v>
      </c>
      <c r="E894" s="1962">
        <f t="shared" si="104"/>
        <v>0</v>
      </c>
      <c r="G894" s="1959" t="s">
        <v>374</v>
      </c>
      <c r="H894" s="1965" t="s">
        <v>3283</v>
      </c>
      <c r="I894" s="1961">
        <f>VLOOKUP(H889,'LƯƠNG KT'!$D$110:$AC$184,7,0)</f>
        <v>1481.346901312168</v>
      </c>
      <c r="J894" s="1964">
        <f>IF(I890="A",6.1,IF(I890="B",5.8,IF(I890="C",5.5,IF(I890="C.",5.5,IF(I890="D",5.2)))))*$C$1</f>
        <v>0</v>
      </c>
      <c r="K894" s="1962">
        <f t="shared" si="105"/>
        <v>0</v>
      </c>
    </row>
    <row r="895" spans="1:11" ht="12.75" customHeight="1">
      <c r="A895" s="1959" t="s">
        <v>3296</v>
      </c>
      <c r="B895" s="1965" t="s">
        <v>3285</v>
      </c>
      <c r="C895" s="1961">
        <f>VLOOKUP(B889,'LƯƠNG KT'!$D$110:$AC$184,12,0)</f>
        <v>21</v>
      </c>
      <c r="D895" s="1967">
        <f>92.2*$C$1</f>
        <v>61585.912000000004</v>
      </c>
      <c r="E895" s="1962">
        <f t="shared" si="104"/>
        <v>1293304.152</v>
      </c>
      <c r="G895" s="1959" t="s">
        <v>3296</v>
      </c>
      <c r="H895" s="1965" t="s">
        <v>3285</v>
      </c>
      <c r="I895" s="1961">
        <f>VLOOKUP(H889,'LƯƠNG KT'!$D$110:$AC$184,12,0)</f>
        <v>22</v>
      </c>
      <c r="J895" s="1967">
        <f>92.2*$C$1</f>
        <v>61585.912000000004</v>
      </c>
      <c r="K895" s="1962">
        <f t="shared" si="105"/>
        <v>1354890.064</v>
      </c>
    </row>
    <row r="896" spans="1:11" ht="12.75" customHeight="1">
      <c r="A896" s="1959" t="s">
        <v>3297</v>
      </c>
      <c r="B896" s="1965" t="s">
        <v>3287</v>
      </c>
      <c r="C896" s="1961">
        <f>VLOOKUP(B889,'LƯƠNG KT'!$D$110:$AC$184,13,0)</f>
        <v>4</v>
      </c>
      <c r="D896" s="1964">
        <f>153.8*$C$1</f>
        <v>102732.24800000001</v>
      </c>
      <c r="E896" s="1962">
        <f t="shared" si="104"/>
        <v>410928.99200000003</v>
      </c>
      <c r="G896" s="1959" t="s">
        <v>3297</v>
      </c>
      <c r="H896" s="1965" t="s">
        <v>3287</v>
      </c>
      <c r="I896" s="1961">
        <f>VLOOKUP(H889,'LƯƠNG KT'!$D$110:$AC$184,13,0)</f>
        <v>4</v>
      </c>
      <c r="J896" s="1964">
        <f>153.8*$C$1</f>
        <v>102732.24800000001</v>
      </c>
      <c r="K896" s="1962">
        <f t="shared" si="105"/>
        <v>410928.99200000003</v>
      </c>
    </row>
    <row r="897" spans="1:11" ht="12.75" customHeight="1">
      <c r="A897" s="1959" t="s">
        <v>3354</v>
      </c>
      <c r="B897" s="1965" t="s">
        <v>3288</v>
      </c>
      <c r="C897" s="1961">
        <f>VLOOKUP(B889,'LƯƠNG KT'!$D$110:$AC$184,14,0)</f>
        <v>5</v>
      </c>
      <c r="D897" s="1964">
        <v>100000</v>
      </c>
      <c r="E897" s="1962">
        <f>C897*D897</f>
        <v>500000</v>
      </c>
      <c r="G897" s="1959" t="s">
        <v>3354</v>
      </c>
      <c r="H897" s="1965" t="s">
        <v>3288</v>
      </c>
      <c r="I897" s="1961">
        <f>VLOOKUP(H889,'LƯƠNG KT'!$D$110:$AC$184,14,0)</f>
        <v>4</v>
      </c>
      <c r="J897" s="1964">
        <v>100000</v>
      </c>
      <c r="K897" s="1962">
        <f>I897*J897</f>
        <v>400000</v>
      </c>
    </row>
    <row r="898" spans="1:11" ht="12.75" customHeight="1">
      <c r="A898" s="1959" t="s">
        <v>3355</v>
      </c>
      <c r="B898" s="1965" t="s">
        <v>3288</v>
      </c>
      <c r="C898" s="1961" t="e">
        <f>VLOOKUP(B889,'LƯƠNG KT'!$D$110:$AC$184,17,0)</f>
        <v>#N/A</v>
      </c>
      <c r="D898" s="1964">
        <v>20000</v>
      </c>
      <c r="E898" s="1962" t="e">
        <f>C898*D898</f>
        <v>#N/A</v>
      </c>
      <c r="G898" s="1959" t="s">
        <v>3355</v>
      </c>
      <c r="H898" s="1965" t="s">
        <v>3288</v>
      </c>
      <c r="I898" s="1961" t="e">
        <f>VLOOKUP(H889,'LƯƠNG KT'!$D$110:$AC$184,17,0)</f>
        <v>#N/A</v>
      </c>
      <c r="J898" s="1964">
        <v>20000</v>
      </c>
      <c r="K898" s="1962" t="e">
        <f>I898*J898</f>
        <v>#N/A</v>
      </c>
    </row>
    <row r="899" spans="1:11" ht="12.75" customHeight="1">
      <c r="A899" s="1959" t="s">
        <v>3289</v>
      </c>
      <c r="B899" s="1965" t="s">
        <v>3290</v>
      </c>
      <c r="C899" s="1966"/>
      <c r="D899" s="1964"/>
      <c r="E899" s="1962"/>
      <c r="G899" s="1959" t="s">
        <v>3289</v>
      </c>
      <c r="H899" s="1965" t="s">
        <v>3290</v>
      </c>
      <c r="I899" s="1966"/>
      <c r="J899" s="1964"/>
      <c r="K899" s="1962"/>
    </row>
    <row r="900" spans="1:11" ht="12.75" customHeight="1">
      <c r="A900" s="1968" t="s">
        <v>377</v>
      </c>
      <c r="B900" s="1969" t="s">
        <v>3291</v>
      </c>
      <c r="C900" s="1970"/>
      <c r="D900" s="1971"/>
      <c r="E900" s="1970"/>
      <c r="G900" s="1968" t="s">
        <v>377</v>
      </c>
      <c r="H900" s="1969" t="s">
        <v>3291</v>
      </c>
      <c r="I900" s="1970"/>
      <c r="J900" s="1971"/>
      <c r="K900" s="1970"/>
    </row>
    <row r="901" spans="1:11" ht="12.75" customHeight="1">
      <c r="A901" s="1972" t="s">
        <v>379</v>
      </c>
      <c r="B901" s="1973" t="s">
        <v>3292</v>
      </c>
      <c r="C901" s="1970"/>
      <c r="D901" s="1970"/>
      <c r="E901" s="1970"/>
      <c r="G901" s="1972" t="s">
        <v>379</v>
      </c>
      <c r="H901" s="1973" t="s">
        <v>3292</v>
      </c>
      <c r="I901" s="1970"/>
      <c r="J901" s="1970"/>
      <c r="K901" s="1970"/>
    </row>
    <row r="902" spans="1:11" ht="12.75" customHeight="1">
      <c r="A902" s="1972" t="s">
        <v>381</v>
      </c>
      <c r="B902" s="1974" t="s">
        <v>3293</v>
      </c>
      <c r="C902" s="1970"/>
      <c r="D902" s="1970"/>
      <c r="E902" s="1962">
        <f>SUM(E901)</f>
        <v>0</v>
      </c>
      <c r="G902" s="1972" t="s">
        <v>381</v>
      </c>
      <c r="H902" s="1974" t="s">
        <v>3293</v>
      </c>
      <c r="I902" s="1970"/>
      <c r="J902" s="1970"/>
      <c r="K902" s="1962">
        <f>SUM(K901)</f>
        <v>0</v>
      </c>
    </row>
    <row r="903" spans="1:11" ht="12.75" customHeight="1">
      <c r="A903" s="1975" t="s">
        <v>383</v>
      </c>
      <c r="B903" s="1976" t="s">
        <v>3294</v>
      </c>
      <c r="C903" s="1977"/>
      <c r="D903" s="1977"/>
      <c r="E903" s="1978" t="e">
        <f>(E891+E892+E893+E894+E895+E896+E897+E898+E899)-E902</f>
        <v>#VALUE!</v>
      </c>
      <c r="G903" s="1975" t="s">
        <v>383</v>
      </c>
      <c r="H903" s="1976" t="s">
        <v>3294</v>
      </c>
      <c r="I903" s="1977"/>
      <c r="J903" s="1977"/>
      <c r="K903" s="1978" t="e">
        <f>(K891+K892+K893+K894+K895+K896+K897+K898+K899)-K902</f>
        <v>#VALUE!</v>
      </c>
    </row>
    <row r="905" spans="1:11" ht="12.75" customHeight="1">
      <c r="A905" s="2953" t="s">
        <v>3356</v>
      </c>
      <c r="B905" s="2954"/>
      <c r="C905" s="2954"/>
      <c r="D905" s="2954"/>
      <c r="E905" s="1955">
        <f>VLOOKUP(B906,'LƯƠNG KT'!$D$110:$AD$184,25,0)</f>
        <v>0</v>
      </c>
      <c r="G905" s="2953" t="s">
        <v>3356</v>
      </c>
      <c r="H905" s="2954"/>
      <c r="I905" s="2954"/>
      <c r="J905" s="2954"/>
      <c r="K905" s="1955">
        <f>VLOOKUP(H906,'LƯƠNG KT'!$D$110:$AD$184,25,0)</f>
        <v>0</v>
      </c>
    </row>
    <row r="906" spans="1:11" ht="12.75" customHeight="1">
      <c r="A906" s="1956" t="s">
        <v>356</v>
      </c>
      <c r="B906" s="1956" t="str">
        <f>'LƯƠNG KT'!$D$118</f>
        <v>T. Lăm Chê</v>
      </c>
      <c r="C906" s="1957"/>
      <c r="D906" s="1958" t="s">
        <v>2357</v>
      </c>
      <c r="E906" s="1958" t="s">
        <v>2156</v>
      </c>
      <c r="G906" s="1956" t="s">
        <v>356</v>
      </c>
      <c r="H906" s="1956" t="str">
        <f>'LƯƠNG KT'!$D$119</f>
        <v>T. Phim</v>
      </c>
      <c r="I906" s="1957"/>
      <c r="J906" s="1958" t="s">
        <v>2357</v>
      </c>
      <c r="K906" s="1958" t="s">
        <v>2156</v>
      </c>
    </row>
    <row r="907" spans="1:11" ht="12.75" customHeight="1">
      <c r="A907" s="1959" t="s">
        <v>3005</v>
      </c>
      <c r="B907" s="1960" t="s">
        <v>3278</v>
      </c>
      <c r="C907" s="1961">
        <f>VLOOKUP(B906,'LƯƠNG KT'!$D$110:$AC$184,8,0)</f>
        <v>121.76678587943887</v>
      </c>
      <c r="D907" s="1962"/>
      <c r="E907" s="1962"/>
      <c r="G907" s="1959" t="s">
        <v>3005</v>
      </c>
      <c r="H907" s="1960" t="s">
        <v>3278</v>
      </c>
      <c r="I907" s="1961">
        <f>VLOOKUP(H906,'LƯƠNG KT'!$D$110:$AC$184,8,0)</f>
        <v>141.40528116955832</v>
      </c>
      <c r="J907" s="1962"/>
      <c r="K907" s="1962"/>
    </row>
    <row r="908" spans="1:11" ht="12.75" customHeight="1">
      <c r="A908" s="1959" t="s">
        <v>359</v>
      </c>
      <c r="B908" s="1963" t="s">
        <v>2090</v>
      </c>
      <c r="C908" s="1961">
        <f>VLOOKUP(B906,'LƯƠNG KT'!$D$110:$AC$184,3,0)</f>
        <v>0</v>
      </c>
      <c r="D908" s="1964">
        <v>25000</v>
      </c>
      <c r="E908" s="1962">
        <f>C908*D908</f>
        <v>0</v>
      </c>
      <c r="G908" s="1959" t="s">
        <v>359</v>
      </c>
      <c r="H908" s="1963" t="s">
        <v>2090</v>
      </c>
      <c r="I908" s="1961">
        <f>VLOOKUP(H906,'LƯƠNG KT'!$D$110:$AC$184,3,0)</f>
        <v>0</v>
      </c>
      <c r="J908" s="1964">
        <v>25000</v>
      </c>
      <c r="K908" s="1962">
        <f>I908*J908</f>
        <v>0</v>
      </c>
    </row>
    <row r="909" spans="1:11" ht="12.75" customHeight="1">
      <c r="A909" s="1959" t="s">
        <v>3279</v>
      </c>
      <c r="B909" s="1965" t="s">
        <v>3280</v>
      </c>
      <c r="C909" s="1961" t="str">
        <f>VLOOKUP(B906,'LƯƠNG KT'!$D$110:$AC$184,10,0)</f>
        <v>B</v>
      </c>
      <c r="D909" s="1967">
        <f>46.1*$C$1</f>
        <v>30792.956000000002</v>
      </c>
      <c r="E909" s="1962" t="e">
        <f t="shared" ref="E909:E913" si="106">C909*D909</f>
        <v>#VALUE!</v>
      </c>
      <c r="G909" s="1959" t="s">
        <v>3279</v>
      </c>
      <c r="H909" s="1965" t="s">
        <v>3280</v>
      </c>
      <c r="I909" s="1961" t="str">
        <f>VLOOKUP(H906,'LƯƠNG KT'!$D$110:$AC$184,10,0)</f>
        <v>A</v>
      </c>
      <c r="J909" s="1967">
        <f>46.1*$C$1</f>
        <v>30792.956000000002</v>
      </c>
      <c r="K909" s="1962" t="e">
        <f t="shared" ref="K909:K913" si="107">I909*J909</f>
        <v>#VALUE!</v>
      </c>
    </row>
    <row r="910" spans="1:11" ht="12.75" customHeight="1">
      <c r="A910" s="1959" t="s">
        <v>3281</v>
      </c>
      <c r="B910" s="1965" t="s">
        <v>3282</v>
      </c>
      <c r="C910" s="1961">
        <f>VLOOKUP(B906,'LƯƠNG KT'!$D$110:$AC$184,11,0)</f>
        <v>4973871</v>
      </c>
      <c r="D910" s="1964">
        <f>76.9*$C$1</f>
        <v>51366.124000000003</v>
      </c>
      <c r="E910" s="1962">
        <f t="shared" si="106"/>
        <v>255488474546.00403</v>
      </c>
      <c r="G910" s="1959" t="s">
        <v>3281</v>
      </c>
      <c r="H910" s="1965" t="s">
        <v>3282</v>
      </c>
      <c r="I910" s="1961">
        <f>VLOOKUP(H906,'LƯƠNG KT'!$D$110:$AC$184,11,0)</f>
        <v>6074816</v>
      </c>
      <c r="J910" s="1964">
        <f>76.9*$C$1</f>
        <v>51366.124000000003</v>
      </c>
      <c r="K910" s="1962">
        <f t="shared" si="107"/>
        <v>312039751933.18402</v>
      </c>
    </row>
    <row r="911" spans="1:11" ht="12.75" customHeight="1">
      <c r="A911" s="1959" t="s">
        <v>374</v>
      </c>
      <c r="B911" s="1965" t="s">
        <v>3283</v>
      </c>
      <c r="C911" s="1961">
        <f>VLOOKUP(B906,'LƯƠNG KT'!$D$110:$AC$184,7,0)</f>
        <v>1307.5064855405342</v>
      </c>
      <c r="D911" s="1964">
        <f>IF(C907="A",6.1,IF(C907="B",5.8,IF(C907="C",5.5,IF(C907="C.",5.5,IF(C907="D",5.2)))))*$C$1</f>
        <v>0</v>
      </c>
      <c r="E911" s="1962">
        <f t="shared" si="106"/>
        <v>0</v>
      </c>
      <c r="G911" s="1959" t="s">
        <v>374</v>
      </c>
      <c r="H911" s="1965" t="s">
        <v>3283</v>
      </c>
      <c r="I911" s="1961">
        <f>VLOOKUP(H906,'LƯƠNG KT'!$D$110:$AC$184,7,0)</f>
        <v>1518.3805738449723</v>
      </c>
      <c r="J911" s="1964">
        <f>IF(I907="A",6.1,IF(I907="B",5.8,IF(I907="C",5.5,IF(I907="C.",5.5,IF(I907="D",5.2)))))*$C$1</f>
        <v>0</v>
      </c>
      <c r="K911" s="1962">
        <f t="shared" si="107"/>
        <v>0</v>
      </c>
    </row>
    <row r="912" spans="1:11" ht="12.75" customHeight="1">
      <c r="A912" s="1959" t="s">
        <v>3296</v>
      </c>
      <c r="B912" s="1965" t="s">
        <v>3285</v>
      </c>
      <c r="C912" s="1961">
        <f>VLOOKUP(B906,'LƯƠNG KT'!$D$110:$AC$184,12,0)</f>
        <v>21</v>
      </c>
      <c r="D912" s="1967">
        <f>92.2*$C$1</f>
        <v>61585.912000000004</v>
      </c>
      <c r="E912" s="1962">
        <f t="shared" si="106"/>
        <v>1293304.152</v>
      </c>
      <c r="G912" s="1959" t="s">
        <v>3296</v>
      </c>
      <c r="H912" s="1965" t="s">
        <v>3285</v>
      </c>
      <c r="I912" s="1961">
        <f>VLOOKUP(H906,'LƯƠNG KT'!$D$110:$AC$184,12,0)</f>
        <v>19</v>
      </c>
      <c r="J912" s="1967">
        <f>92.2*$C$1</f>
        <v>61585.912000000004</v>
      </c>
      <c r="K912" s="1962">
        <f t="shared" si="107"/>
        <v>1170132.328</v>
      </c>
    </row>
    <row r="913" spans="1:11" ht="12.75" customHeight="1">
      <c r="A913" s="1959" t="s">
        <v>3297</v>
      </c>
      <c r="B913" s="1965" t="s">
        <v>3287</v>
      </c>
      <c r="C913" s="1961">
        <f>VLOOKUP(B906,'LƯƠNG KT'!$D$110:$AC$184,13,0)</f>
        <v>3</v>
      </c>
      <c r="D913" s="1964">
        <f>153.8*$C$1</f>
        <v>102732.24800000001</v>
      </c>
      <c r="E913" s="1962">
        <f t="shared" si="106"/>
        <v>308196.74400000001</v>
      </c>
      <c r="G913" s="1959" t="s">
        <v>3297</v>
      </c>
      <c r="H913" s="1965" t="s">
        <v>3287</v>
      </c>
      <c r="I913" s="1961">
        <f>VLOOKUP(H906,'LƯƠNG KT'!$D$110:$AC$184,13,0)</f>
        <v>4</v>
      </c>
      <c r="J913" s="1964">
        <f>153.8*$C$1</f>
        <v>102732.24800000001</v>
      </c>
      <c r="K913" s="1962">
        <f t="shared" si="107"/>
        <v>410928.99200000003</v>
      </c>
    </row>
    <row r="914" spans="1:11" ht="12.75" customHeight="1">
      <c r="A914" s="1959" t="s">
        <v>3354</v>
      </c>
      <c r="B914" s="1965" t="s">
        <v>3288</v>
      </c>
      <c r="C914" s="1961">
        <f>VLOOKUP(B906,'LƯƠNG KT'!$D$110:$AC$184,14,0)</f>
        <v>5</v>
      </c>
      <c r="D914" s="1964">
        <v>100000</v>
      </c>
      <c r="E914" s="1962">
        <f>C914*D914</f>
        <v>500000</v>
      </c>
      <c r="G914" s="1959" t="s">
        <v>3354</v>
      </c>
      <c r="H914" s="1965" t="s">
        <v>3288</v>
      </c>
      <c r="I914" s="1961">
        <f>VLOOKUP(H906,'LƯƠNG KT'!$D$110:$AC$184,14,0)</f>
        <v>5</v>
      </c>
      <c r="J914" s="1964">
        <v>100000</v>
      </c>
      <c r="K914" s="1962">
        <f>I914*J914</f>
        <v>500000</v>
      </c>
    </row>
    <row r="915" spans="1:11" ht="12.75" customHeight="1">
      <c r="A915" s="1959" t="s">
        <v>3355</v>
      </c>
      <c r="B915" s="1965" t="s">
        <v>3288</v>
      </c>
      <c r="C915" s="1961" t="e">
        <f>VLOOKUP(B906,'LƯƠNG KT'!$D$110:$AC$184,17,0)</f>
        <v>#N/A</v>
      </c>
      <c r="D915" s="1964">
        <v>20000</v>
      </c>
      <c r="E915" s="1962" t="e">
        <f>C915*D915</f>
        <v>#N/A</v>
      </c>
      <c r="G915" s="1959" t="s">
        <v>3355</v>
      </c>
      <c r="H915" s="1965" t="s">
        <v>3288</v>
      </c>
      <c r="I915" s="1961" t="e">
        <f>VLOOKUP(H906,'LƯƠNG KT'!$D$110:$AC$184,17,0)</f>
        <v>#N/A</v>
      </c>
      <c r="J915" s="1964">
        <v>20000</v>
      </c>
      <c r="K915" s="1962" t="e">
        <f>I915*J915</f>
        <v>#N/A</v>
      </c>
    </row>
    <row r="916" spans="1:11" ht="12.75" customHeight="1">
      <c r="A916" s="1959" t="s">
        <v>3289</v>
      </c>
      <c r="B916" s="1965" t="s">
        <v>3290</v>
      </c>
      <c r="C916" s="1966"/>
      <c r="D916" s="1964"/>
      <c r="E916" s="1962"/>
      <c r="G916" s="1959" t="s">
        <v>3289</v>
      </c>
      <c r="H916" s="1965" t="s">
        <v>3290</v>
      </c>
      <c r="I916" s="1966"/>
      <c r="J916" s="1964"/>
      <c r="K916" s="1962"/>
    </row>
    <row r="917" spans="1:11" ht="12.75" customHeight="1">
      <c r="A917" s="1968" t="s">
        <v>377</v>
      </c>
      <c r="B917" s="1969" t="s">
        <v>3291</v>
      </c>
      <c r="C917" s="1970"/>
      <c r="D917" s="1971"/>
      <c r="E917" s="1970"/>
      <c r="G917" s="1968" t="s">
        <v>377</v>
      </c>
      <c r="H917" s="1969" t="s">
        <v>3291</v>
      </c>
      <c r="I917" s="1970"/>
      <c r="J917" s="1971"/>
      <c r="K917" s="1970"/>
    </row>
    <row r="918" spans="1:11" ht="12.75" customHeight="1">
      <c r="A918" s="1972" t="s">
        <v>379</v>
      </c>
      <c r="B918" s="1973" t="s">
        <v>3292</v>
      </c>
      <c r="C918" s="1970"/>
      <c r="D918" s="1970"/>
      <c r="E918" s="1970"/>
      <c r="G918" s="1972" t="s">
        <v>379</v>
      </c>
      <c r="H918" s="1973" t="s">
        <v>3292</v>
      </c>
      <c r="I918" s="1970"/>
      <c r="J918" s="1970"/>
      <c r="K918" s="1970"/>
    </row>
    <row r="919" spans="1:11" ht="12.75" customHeight="1">
      <c r="A919" s="1972" t="s">
        <v>381</v>
      </c>
      <c r="B919" s="1974" t="s">
        <v>3293</v>
      </c>
      <c r="C919" s="1970"/>
      <c r="D919" s="1970"/>
      <c r="E919" s="1962">
        <f>SUM(E918)</f>
        <v>0</v>
      </c>
      <c r="G919" s="1972" t="s">
        <v>381</v>
      </c>
      <c r="H919" s="1974" t="s">
        <v>3293</v>
      </c>
      <c r="I919" s="1970"/>
      <c r="J919" s="1970"/>
      <c r="K919" s="1962">
        <f>SUM(K918)</f>
        <v>0</v>
      </c>
    </row>
    <row r="920" spans="1:11" ht="12.75" customHeight="1">
      <c r="A920" s="1975" t="s">
        <v>383</v>
      </c>
      <c r="B920" s="1976" t="s">
        <v>3294</v>
      </c>
      <c r="C920" s="1977"/>
      <c r="D920" s="1977"/>
      <c r="E920" s="1978" t="e">
        <f>(E908+E909+E910+E911+E912+E913+E914+E915+E916)-E919</f>
        <v>#VALUE!</v>
      </c>
      <c r="G920" s="1975" t="s">
        <v>383</v>
      </c>
      <c r="H920" s="1976" t="s">
        <v>3294</v>
      </c>
      <c r="I920" s="1977"/>
      <c r="J920" s="1977"/>
      <c r="K920" s="1978" t="e">
        <f>(K908+K909+K910+K911+K912+K913+K914+K915+K916)-K919</f>
        <v>#VALUE!</v>
      </c>
    </row>
    <row r="922" spans="1:11" ht="12.75" customHeight="1">
      <c r="A922" s="2953" t="s">
        <v>3356</v>
      </c>
      <c r="B922" s="2954"/>
      <c r="C922" s="2954"/>
      <c r="D922" s="2954"/>
      <c r="E922" s="1955">
        <f>VLOOKUP(B923,'LƯƠNG KT'!$D$110:$AD$184,25,0)</f>
        <v>0</v>
      </c>
      <c r="G922" s="2953" t="s">
        <v>3356</v>
      </c>
      <c r="H922" s="2954"/>
      <c r="I922" s="2954"/>
      <c r="J922" s="2954"/>
      <c r="K922" s="1955">
        <f>VLOOKUP(H923,'LƯƠNG KT'!$D$110:$AD$184,25,0)</f>
        <v>0</v>
      </c>
    </row>
    <row r="923" spans="1:11" ht="12.75" customHeight="1">
      <c r="A923" s="1956" t="s">
        <v>356</v>
      </c>
      <c r="B923" s="1956" t="str">
        <f>'LƯƠNG KT'!$D$120</f>
        <v>T. Teo</v>
      </c>
      <c r="C923" s="1957"/>
      <c r="D923" s="1958" t="s">
        <v>2357</v>
      </c>
      <c r="E923" s="1958" t="s">
        <v>2156</v>
      </c>
      <c r="G923" s="1956" t="s">
        <v>356</v>
      </c>
      <c r="H923" s="1956" t="str">
        <f>'LƯƠNG KT'!$D$121</f>
        <v>N. Văn Thong</v>
      </c>
      <c r="I923" s="1957"/>
      <c r="J923" s="1958" t="s">
        <v>2357</v>
      </c>
      <c r="K923" s="1958" t="s">
        <v>2156</v>
      </c>
    </row>
    <row r="924" spans="1:11" ht="12.75" customHeight="1">
      <c r="A924" s="1959" t="s">
        <v>3005</v>
      </c>
      <c r="B924" s="1960" t="s">
        <v>3278</v>
      </c>
      <c r="C924" s="1961">
        <f>VLOOKUP(B923,'LƯƠNG KT'!$D$110:$AC$184,8,0)</f>
        <v>113.89515760199431</v>
      </c>
      <c r="D924" s="1962"/>
      <c r="E924" s="1962"/>
      <c r="G924" s="1959" t="s">
        <v>3005</v>
      </c>
      <c r="H924" s="1960" t="s">
        <v>3278</v>
      </c>
      <c r="I924" s="1961">
        <f>VLOOKUP(H923,'LƯƠNG KT'!$D$110:$AC$184,8,0)</f>
        <v>115.80220156611747</v>
      </c>
      <c r="J924" s="1962"/>
      <c r="K924" s="1962"/>
    </row>
    <row r="925" spans="1:11" ht="12.75" customHeight="1">
      <c r="A925" s="1959" t="s">
        <v>359</v>
      </c>
      <c r="B925" s="1963" t="s">
        <v>2090</v>
      </c>
      <c r="C925" s="1961">
        <f>VLOOKUP(B923,'LƯƠNG KT'!$D$110:$AC$184,3,0)</f>
        <v>0</v>
      </c>
      <c r="D925" s="1964">
        <v>25000</v>
      </c>
      <c r="E925" s="1962">
        <f>C925*D925</f>
        <v>0</v>
      </c>
      <c r="G925" s="1959" t="s">
        <v>359</v>
      </c>
      <c r="H925" s="1963" t="s">
        <v>2090</v>
      </c>
      <c r="I925" s="1961">
        <f>VLOOKUP(H923,'LƯƠNG KT'!$D$110:$AC$184,3,0)</f>
        <v>0</v>
      </c>
      <c r="J925" s="1964">
        <v>25000</v>
      </c>
      <c r="K925" s="1962">
        <f>I925*J925</f>
        <v>0</v>
      </c>
    </row>
    <row r="926" spans="1:11" ht="12.75" customHeight="1">
      <c r="A926" s="1959" t="s">
        <v>3279</v>
      </c>
      <c r="B926" s="1965" t="s">
        <v>3280</v>
      </c>
      <c r="C926" s="1961" t="str">
        <f>VLOOKUP(B923,'LƯƠNG KT'!$D$110:$AC$184,10,0)</f>
        <v>B</v>
      </c>
      <c r="D926" s="1967">
        <f>46.1*$C$1</f>
        <v>30792.956000000002</v>
      </c>
      <c r="E926" s="1962" t="e">
        <f t="shared" ref="E926:E930" si="108">C926*D926</f>
        <v>#VALUE!</v>
      </c>
      <c r="G926" s="1959" t="s">
        <v>3279</v>
      </c>
      <c r="H926" s="1965" t="s">
        <v>3280</v>
      </c>
      <c r="I926" s="1961" t="str">
        <f>VLOOKUP(H923,'LƯƠNG KT'!$D$110:$AC$184,10,0)</f>
        <v>B</v>
      </c>
      <c r="J926" s="1967">
        <f>46.1*$C$1</f>
        <v>30792.956000000002</v>
      </c>
      <c r="K926" s="1962" t="e">
        <f t="shared" ref="K926:K930" si="109">I926*J926</f>
        <v>#VALUE!</v>
      </c>
    </row>
    <row r="927" spans="1:11" ht="12.75" customHeight="1">
      <c r="A927" s="1959" t="s">
        <v>3281</v>
      </c>
      <c r="B927" s="1965" t="s">
        <v>3282</v>
      </c>
      <c r="C927" s="1961">
        <f>VLOOKUP(B923,'LƯƠNG KT'!$D$110:$AC$184,11,0)</f>
        <v>4652335</v>
      </c>
      <c r="D927" s="1964">
        <f>76.9*$C$1</f>
        <v>51366.124000000003</v>
      </c>
      <c r="E927" s="1962">
        <f t="shared" si="108"/>
        <v>238972416499.54001</v>
      </c>
      <c r="G927" s="1959" t="s">
        <v>3281</v>
      </c>
      <c r="H927" s="1965" t="s">
        <v>3282</v>
      </c>
      <c r="I927" s="1961">
        <f>VLOOKUP(H923,'LƯƠNG KT'!$D$110:$AC$184,11,0)</f>
        <v>4730233</v>
      </c>
      <c r="J927" s="1964">
        <f>76.9*$C$1</f>
        <v>51366.124000000003</v>
      </c>
      <c r="K927" s="1962">
        <f t="shared" si="109"/>
        <v>242973734826.89203</v>
      </c>
    </row>
    <row r="928" spans="1:11" ht="12.75" customHeight="1">
      <c r="A928" s="1959" t="s">
        <v>374</v>
      </c>
      <c r="B928" s="1965" t="s">
        <v>3283</v>
      </c>
      <c r="C928" s="1961">
        <f>VLOOKUP(B923,'LƯƠNG KT'!$D$110:$AC$184,7,0)</f>
        <v>1222.9825741127222</v>
      </c>
      <c r="D928" s="1964">
        <f>IF(C924="A",6.1,IF(C924="B",5.8,IF(C924="C",5.5,IF(C924="C.",5.5,IF(C924="D",5.2)))))*$C$1</f>
        <v>0</v>
      </c>
      <c r="E928" s="1962">
        <f t="shared" si="108"/>
        <v>0</v>
      </c>
      <c r="G928" s="1959" t="s">
        <v>374</v>
      </c>
      <c r="H928" s="1965" t="s">
        <v>3283</v>
      </c>
      <c r="I928" s="1961">
        <f>VLOOKUP(H923,'LƯƠNG KT'!$D$110:$AC$184,7,0)</f>
        <v>1243.4600165720376</v>
      </c>
      <c r="J928" s="1964">
        <f>IF(I924="A",6.1,IF(I924="B",5.8,IF(I924="C",5.5,IF(I924="C.",5.5,IF(I924="D",5.2)))))*$C$1</f>
        <v>0</v>
      </c>
      <c r="K928" s="1962">
        <f t="shared" si="109"/>
        <v>0</v>
      </c>
    </row>
    <row r="929" spans="1:11" ht="12.75" customHeight="1">
      <c r="A929" s="1959" t="s">
        <v>3296</v>
      </c>
      <c r="B929" s="1965" t="s">
        <v>3285</v>
      </c>
      <c r="C929" s="1961">
        <f>VLOOKUP(B923,'LƯƠNG KT'!$D$110:$AC$184,12,0)</f>
        <v>20</v>
      </c>
      <c r="D929" s="1967">
        <f>92.2*$C$1</f>
        <v>61585.912000000004</v>
      </c>
      <c r="E929" s="1962">
        <f t="shared" si="108"/>
        <v>1231718.24</v>
      </c>
      <c r="G929" s="1959" t="s">
        <v>3296</v>
      </c>
      <c r="H929" s="1965" t="s">
        <v>3285</v>
      </c>
      <c r="I929" s="1961">
        <f>VLOOKUP(H923,'LƯƠNG KT'!$D$110:$AC$184,12,0)</f>
        <v>21</v>
      </c>
      <c r="J929" s="1967">
        <f>92.2*$C$1</f>
        <v>61585.912000000004</v>
      </c>
      <c r="K929" s="1962">
        <f t="shared" si="109"/>
        <v>1293304.152</v>
      </c>
    </row>
    <row r="930" spans="1:11" ht="12.75" customHeight="1">
      <c r="A930" s="1959" t="s">
        <v>3297</v>
      </c>
      <c r="B930" s="1965" t="s">
        <v>3287</v>
      </c>
      <c r="C930" s="1961">
        <f>VLOOKUP(B923,'LƯƠNG KT'!$D$110:$AC$184,13,0)</f>
        <v>3</v>
      </c>
      <c r="D930" s="1964">
        <f>153.8*$C$1</f>
        <v>102732.24800000001</v>
      </c>
      <c r="E930" s="1962">
        <f t="shared" si="108"/>
        <v>308196.74400000001</v>
      </c>
      <c r="G930" s="1959" t="s">
        <v>3297</v>
      </c>
      <c r="H930" s="1965" t="s">
        <v>3287</v>
      </c>
      <c r="I930" s="1961">
        <f>VLOOKUP(H923,'LƯƠNG KT'!$D$110:$AC$184,13,0)</f>
        <v>3</v>
      </c>
      <c r="J930" s="1964">
        <f>153.8*$C$1</f>
        <v>102732.24800000001</v>
      </c>
      <c r="K930" s="1962">
        <f t="shared" si="109"/>
        <v>308196.74400000001</v>
      </c>
    </row>
    <row r="931" spans="1:11" ht="12.75" customHeight="1">
      <c r="A931" s="1959" t="s">
        <v>3354</v>
      </c>
      <c r="B931" s="1965" t="s">
        <v>3288</v>
      </c>
      <c r="C931" s="1961">
        <f>VLOOKUP(B923,'LƯƠNG KT'!$D$110:$AC$184,14,0)</f>
        <v>5</v>
      </c>
      <c r="D931" s="1964">
        <v>100000</v>
      </c>
      <c r="E931" s="1962">
        <f>C931*D931</f>
        <v>500000</v>
      </c>
      <c r="G931" s="1959" t="s">
        <v>3354</v>
      </c>
      <c r="H931" s="1965" t="s">
        <v>3288</v>
      </c>
      <c r="I931" s="1961">
        <f>VLOOKUP(H923,'LƯƠNG KT'!$D$110:$AC$184,14,0)</f>
        <v>5</v>
      </c>
      <c r="J931" s="1964">
        <v>100000</v>
      </c>
      <c r="K931" s="1962">
        <f>I931*J931</f>
        <v>500000</v>
      </c>
    </row>
    <row r="932" spans="1:11" ht="12.75" customHeight="1">
      <c r="A932" s="1959" t="s">
        <v>3355</v>
      </c>
      <c r="B932" s="1965" t="s">
        <v>3288</v>
      </c>
      <c r="C932" s="1961" t="e">
        <f>VLOOKUP(B923,'LƯƠNG KT'!$D$110:$AC$184,17,0)</f>
        <v>#N/A</v>
      </c>
      <c r="D932" s="1964">
        <v>20000</v>
      </c>
      <c r="E932" s="1962" t="e">
        <f>C932*D932</f>
        <v>#N/A</v>
      </c>
      <c r="G932" s="1959" t="s">
        <v>3355</v>
      </c>
      <c r="H932" s="1965" t="s">
        <v>3288</v>
      </c>
      <c r="I932" s="1961" t="e">
        <f>VLOOKUP(H923,'LƯƠNG KT'!$D$110:$AC$184,17,0)</f>
        <v>#N/A</v>
      </c>
      <c r="J932" s="1964">
        <v>20000</v>
      </c>
      <c r="K932" s="1962" t="e">
        <f>I932*J932</f>
        <v>#N/A</v>
      </c>
    </row>
    <row r="933" spans="1:11" ht="12.75" customHeight="1">
      <c r="A933" s="1959" t="s">
        <v>3289</v>
      </c>
      <c r="B933" s="1965" t="s">
        <v>3290</v>
      </c>
      <c r="C933" s="1966"/>
      <c r="D933" s="1964"/>
      <c r="E933" s="1962"/>
      <c r="G933" s="1959" t="s">
        <v>3289</v>
      </c>
      <c r="H933" s="1965" t="s">
        <v>3290</v>
      </c>
      <c r="I933" s="1966"/>
      <c r="J933" s="1964"/>
      <c r="K933" s="1962"/>
    </row>
    <row r="934" spans="1:11" ht="12.75" customHeight="1">
      <c r="A934" s="1968" t="s">
        <v>377</v>
      </c>
      <c r="B934" s="1969" t="s">
        <v>3291</v>
      </c>
      <c r="C934" s="1970"/>
      <c r="D934" s="1971"/>
      <c r="E934" s="1970"/>
      <c r="G934" s="1968" t="s">
        <v>377</v>
      </c>
      <c r="H934" s="1969" t="s">
        <v>3291</v>
      </c>
      <c r="I934" s="1970"/>
      <c r="J934" s="1971"/>
      <c r="K934" s="1970"/>
    </row>
    <row r="935" spans="1:11" ht="12.75" customHeight="1">
      <c r="A935" s="1972" t="s">
        <v>379</v>
      </c>
      <c r="B935" s="1973" t="s">
        <v>3292</v>
      </c>
      <c r="C935" s="1970"/>
      <c r="D935" s="1970"/>
      <c r="E935" s="1970"/>
      <c r="G935" s="1972" t="s">
        <v>379</v>
      </c>
      <c r="H935" s="1973" t="s">
        <v>3292</v>
      </c>
      <c r="I935" s="1970"/>
      <c r="J935" s="1970"/>
      <c r="K935" s="1970"/>
    </row>
    <row r="936" spans="1:11" ht="12.75" customHeight="1">
      <c r="A936" s="1972" t="s">
        <v>381</v>
      </c>
      <c r="B936" s="1974" t="s">
        <v>3293</v>
      </c>
      <c r="C936" s="1970"/>
      <c r="D936" s="1970"/>
      <c r="E936" s="1962">
        <f>SUM(E935)</f>
        <v>0</v>
      </c>
      <c r="G936" s="1972" t="s">
        <v>381</v>
      </c>
      <c r="H936" s="1974" t="s">
        <v>3293</v>
      </c>
      <c r="I936" s="1970"/>
      <c r="J936" s="1970"/>
      <c r="K936" s="1962">
        <f>SUM(K935)</f>
        <v>0</v>
      </c>
    </row>
    <row r="937" spans="1:11" ht="12.75" customHeight="1">
      <c r="A937" s="1975" t="s">
        <v>383</v>
      </c>
      <c r="B937" s="1976" t="s">
        <v>3294</v>
      </c>
      <c r="C937" s="1977"/>
      <c r="D937" s="1977"/>
      <c r="E937" s="1978" t="e">
        <f>(E925+E926+E927+E928+E929+E930+E931+E932+E933)-E936</f>
        <v>#VALUE!</v>
      </c>
      <c r="G937" s="1975" t="s">
        <v>383</v>
      </c>
      <c r="H937" s="1976" t="s">
        <v>3294</v>
      </c>
      <c r="I937" s="1977"/>
      <c r="J937" s="1977"/>
      <c r="K937" s="1978" t="e">
        <f>(K925+K926+K927+K928+K929+K930+K931+K932+K933)-K936</f>
        <v>#VALUE!</v>
      </c>
    </row>
    <row r="938" spans="1:11" ht="53.25" customHeight="1"/>
    <row r="939" spans="1:11" ht="12.75" customHeight="1">
      <c r="A939" s="2953" t="s">
        <v>3356</v>
      </c>
      <c r="B939" s="2954"/>
      <c r="C939" s="2954"/>
      <c r="D939" s="2954"/>
      <c r="E939" s="1955">
        <f>VLOOKUP(B940,'LƯƠNG KT'!$D$110:$AD$184,25,0)</f>
        <v>0</v>
      </c>
      <c r="G939" s="2953" t="s">
        <v>3356</v>
      </c>
      <c r="H939" s="2954"/>
      <c r="I939" s="2954"/>
      <c r="J939" s="2954"/>
      <c r="K939" s="1955">
        <f>VLOOKUP(H940,'LƯƠNG KT'!$D$110:$AD$184,25,0)</f>
        <v>0</v>
      </c>
    </row>
    <row r="940" spans="1:11" ht="12.75" customHeight="1">
      <c r="A940" s="1956" t="s">
        <v>356</v>
      </c>
      <c r="B940" s="1956" t="str">
        <f>'LƯƠNG KT'!$D$122</f>
        <v>Cong Khăm</v>
      </c>
      <c r="C940" s="1957"/>
      <c r="D940" s="1958" t="s">
        <v>2357</v>
      </c>
      <c r="E940" s="1958" t="s">
        <v>2156</v>
      </c>
      <c r="G940" s="1956" t="s">
        <v>356</v>
      </c>
      <c r="H940" s="1956" t="str">
        <f>'LƯƠNG KT'!$D$123</f>
        <v>Thảo Vông 1</v>
      </c>
      <c r="I940" s="1957"/>
      <c r="J940" s="1958" t="s">
        <v>2357</v>
      </c>
      <c r="K940" s="1958" t="s">
        <v>2156</v>
      </c>
    </row>
    <row r="941" spans="1:11" ht="12.75" customHeight="1">
      <c r="A941" s="1959" t="s">
        <v>3005</v>
      </c>
      <c r="B941" s="1960" t="s">
        <v>3278</v>
      </c>
      <c r="C941" s="1961">
        <f>VLOOKUP(B940,'LƯƠNG KT'!$D$110:$AC$184,8,0)</f>
        <v>127.4473423683164</v>
      </c>
      <c r="D941" s="1962"/>
      <c r="E941" s="1962"/>
      <c r="G941" s="1959" t="s">
        <v>3005</v>
      </c>
      <c r="H941" s="1960" t="s">
        <v>3278</v>
      </c>
      <c r="I941" s="1961">
        <f>VLOOKUP(H940,'LƯƠNG KT'!$D$110:$AC$184,8,0)</f>
        <v>33.839886512313235</v>
      </c>
      <c r="J941" s="1962"/>
      <c r="K941" s="1962"/>
    </row>
    <row r="942" spans="1:11" ht="12.75" customHeight="1">
      <c r="A942" s="1959" t="s">
        <v>359</v>
      </c>
      <c r="B942" s="1963" t="s">
        <v>2090</v>
      </c>
      <c r="C942" s="1961">
        <f>VLOOKUP(B940,'LƯƠNG KT'!$D$110:$AC$184,3,0)</f>
        <v>0</v>
      </c>
      <c r="D942" s="1964">
        <v>25000</v>
      </c>
      <c r="E942" s="1962">
        <f>C942*D942</f>
        <v>0</v>
      </c>
      <c r="G942" s="1959" t="s">
        <v>359</v>
      </c>
      <c r="H942" s="1963" t="s">
        <v>2090</v>
      </c>
      <c r="I942" s="1961">
        <f>VLOOKUP(H940,'LƯƠNG KT'!$D$110:$AC$184,3,0)</f>
        <v>0</v>
      </c>
      <c r="J942" s="1964">
        <v>25000</v>
      </c>
      <c r="K942" s="1962">
        <f>I942*J942</f>
        <v>0</v>
      </c>
    </row>
    <row r="943" spans="1:11" ht="12.75" customHeight="1">
      <c r="A943" s="1959" t="s">
        <v>3279</v>
      </c>
      <c r="B943" s="1965" t="s">
        <v>3280</v>
      </c>
      <c r="C943" s="1961" t="str">
        <f>VLOOKUP(B940,'LƯƠNG KT'!$D$110:$AC$184,10,0)</f>
        <v>A</v>
      </c>
      <c r="D943" s="1967">
        <f>46.1*$C$1</f>
        <v>30792.956000000002</v>
      </c>
      <c r="E943" s="1962" t="e">
        <f t="shared" ref="E943:E947" si="110">C943*D943</f>
        <v>#VALUE!</v>
      </c>
      <c r="G943" s="1959" t="s">
        <v>3279</v>
      </c>
      <c r="H943" s="1965" t="s">
        <v>3280</v>
      </c>
      <c r="I943" s="1961" t="str">
        <f>VLOOKUP(H940,'LƯƠNG KT'!$D$110:$AC$184,10,0)</f>
        <v>A</v>
      </c>
      <c r="J943" s="1967">
        <f>46.1*$C$1</f>
        <v>30792.956000000002</v>
      </c>
      <c r="K943" s="1962" t="e">
        <f t="shared" ref="K943:K947" si="111">I943*J943</f>
        <v>#VALUE!</v>
      </c>
    </row>
    <row r="944" spans="1:11" ht="12.75" customHeight="1">
      <c r="A944" s="1959" t="s">
        <v>3281</v>
      </c>
      <c r="B944" s="1965" t="s">
        <v>3282</v>
      </c>
      <c r="C944" s="1961">
        <f>VLOOKUP(B940,'LƯƠNG KT'!$D$110:$AC$184,11,0)</f>
        <v>5475179</v>
      </c>
      <c r="D944" s="1964">
        <f>76.9*$C$1</f>
        <v>51366.124000000003</v>
      </c>
      <c r="E944" s="1962">
        <f t="shared" si="110"/>
        <v>281238723436.19604</v>
      </c>
      <c r="G944" s="1959" t="s">
        <v>3281</v>
      </c>
      <c r="H944" s="1965" t="s">
        <v>3282</v>
      </c>
      <c r="I944" s="1961">
        <f>VLOOKUP(H940,'LƯƠNG KT'!$D$110:$AC$184,11,0)</f>
        <v>1453772</v>
      </c>
      <c r="J944" s="1964">
        <f>76.9*$C$1</f>
        <v>51366.124000000003</v>
      </c>
      <c r="K944" s="1962">
        <f t="shared" si="111"/>
        <v>74674632819.728012</v>
      </c>
    </row>
    <row r="945" spans="1:11" ht="12.75" customHeight="1">
      <c r="A945" s="1959" t="s">
        <v>374</v>
      </c>
      <c r="B945" s="1965" t="s">
        <v>3283</v>
      </c>
      <c r="C945" s="1961">
        <f>VLOOKUP(B940,'LƯƠNG KT'!$D$110:$AC$184,7,0)</f>
        <v>1368.5031226533881</v>
      </c>
      <c r="D945" s="1964">
        <f>IF(C941="A",6.1,IF(C941="B",5.8,IF(C941="C",5.5,IF(C941="C.",5.5,IF(C941="D",5.2)))))*$C$1</f>
        <v>0</v>
      </c>
      <c r="E945" s="1962">
        <f t="shared" si="110"/>
        <v>0</v>
      </c>
      <c r="G945" s="1959" t="s">
        <v>374</v>
      </c>
      <c r="H945" s="1965" t="s">
        <v>3283</v>
      </c>
      <c r="I945" s="1961">
        <f>VLOOKUP(H940,'LƯƠNG KT'!$D$110:$AC$184,7,0)</f>
        <v>363.36568108657298</v>
      </c>
      <c r="J945" s="1964">
        <f>IF(I941="A",6.1,IF(I941="B",5.8,IF(I941="C",5.5,IF(I941="C.",5.5,IF(I941="D",5.2)))))*$C$1</f>
        <v>0</v>
      </c>
      <c r="K945" s="1962">
        <f t="shared" si="111"/>
        <v>0</v>
      </c>
    </row>
    <row r="946" spans="1:11" ht="12.75" customHeight="1">
      <c r="A946" s="1959" t="s">
        <v>3296</v>
      </c>
      <c r="B946" s="1965" t="s">
        <v>3285</v>
      </c>
      <c r="C946" s="1961">
        <f>VLOOKUP(B940,'LƯƠNG KT'!$D$110:$AC$184,12,0)</f>
        <v>21</v>
      </c>
      <c r="D946" s="1967">
        <f>92.2*$C$1</f>
        <v>61585.912000000004</v>
      </c>
      <c r="E946" s="1962">
        <f t="shared" si="110"/>
        <v>1293304.152</v>
      </c>
      <c r="G946" s="1959" t="s">
        <v>3296</v>
      </c>
      <c r="H946" s="1965" t="s">
        <v>3285</v>
      </c>
      <c r="I946" s="1961">
        <f>VLOOKUP(H940,'LƯƠNG KT'!$D$110:$AC$184,12,0)</f>
        <v>6</v>
      </c>
      <c r="J946" s="1967">
        <f>92.2*$C$1</f>
        <v>61585.912000000004</v>
      </c>
      <c r="K946" s="1962">
        <f t="shared" si="111"/>
        <v>369515.47200000001</v>
      </c>
    </row>
    <row r="947" spans="1:11" ht="12.75" customHeight="1">
      <c r="A947" s="1959" t="s">
        <v>3297</v>
      </c>
      <c r="B947" s="1965" t="s">
        <v>3287</v>
      </c>
      <c r="C947" s="1961">
        <f>VLOOKUP(B940,'LƯƠNG KT'!$D$110:$AC$184,13,0)</f>
        <v>4</v>
      </c>
      <c r="D947" s="1964">
        <f>153.8*$C$1</f>
        <v>102732.24800000001</v>
      </c>
      <c r="E947" s="1962">
        <f t="shared" si="110"/>
        <v>410928.99200000003</v>
      </c>
      <c r="G947" s="1959" t="s">
        <v>3297</v>
      </c>
      <c r="H947" s="1965" t="s">
        <v>3287</v>
      </c>
      <c r="I947" s="1961">
        <f>VLOOKUP(H940,'LƯƠNG KT'!$D$110:$AC$184,13,0)</f>
        <v>1</v>
      </c>
      <c r="J947" s="1964">
        <f>153.8*$C$1</f>
        <v>102732.24800000001</v>
      </c>
      <c r="K947" s="1962">
        <f t="shared" si="111"/>
        <v>102732.24800000001</v>
      </c>
    </row>
    <row r="948" spans="1:11" ht="12.75" customHeight="1">
      <c r="A948" s="1959" t="s">
        <v>3354</v>
      </c>
      <c r="B948" s="1965" t="s">
        <v>3288</v>
      </c>
      <c r="C948" s="1961">
        <f>VLOOKUP(B940,'LƯƠNG KT'!$D$110:$AC$184,14,0)</f>
        <v>5</v>
      </c>
      <c r="D948" s="1964">
        <v>100000</v>
      </c>
      <c r="E948" s="1962">
        <f>C948*D948</f>
        <v>500000</v>
      </c>
      <c r="G948" s="1959" t="s">
        <v>3354</v>
      </c>
      <c r="H948" s="1965" t="s">
        <v>3288</v>
      </c>
      <c r="I948" s="1961">
        <f>VLOOKUP(H940,'LƯƠNG KT'!$D$110:$AC$184,14,0)</f>
        <v>1</v>
      </c>
      <c r="J948" s="1964">
        <v>100000</v>
      </c>
      <c r="K948" s="1962">
        <f>I948*J948</f>
        <v>100000</v>
      </c>
    </row>
    <row r="949" spans="1:11" ht="12.75" customHeight="1">
      <c r="A949" s="1959" t="s">
        <v>3355</v>
      </c>
      <c r="B949" s="1965" t="s">
        <v>3288</v>
      </c>
      <c r="C949" s="1961" t="e">
        <f>VLOOKUP(B940,'LƯƠNG KT'!$D$110:$AC$184,17,0)</f>
        <v>#N/A</v>
      </c>
      <c r="D949" s="1964">
        <v>20000</v>
      </c>
      <c r="E949" s="1962" t="e">
        <f>C949*D949</f>
        <v>#N/A</v>
      </c>
      <c r="G949" s="1959" t="s">
        <v>3355</v>
      </c>
      <c r="H949" s="1965" t="s">
        <v>3288</v>
      </c>
      <c r="I949" s="1961" t="e">
        <f>VLOOKUP(H940,'LƯƠNG KT'!$D$110:$AC$184,17,0)</f>
        <v>#N/A</v>
      </c>
      <c r="J949" s="1964">
        <v>20000</v>
      </c>
      <c r="K949" s="1962" t="e">
        <f>I949*J949</f>
        <v>#N/A</v>
      </c>
    </row>
    <row r="950" spans="1:11" ht="12.75" customHeight="1">
      <c r="A950" s="1959" t="s">
        <v>3289</v>
      </c>
      <c r="B950" s="1965" t="s">
        <v>3290</v>
      </c>
      <c r="C950" s="1966"/>
      <c r="D950" s="1964"/>
      <c r="E950" s="1962"/>
      <c r="G950" s="1959" t="s">
        <v>3289</v>
      </c>
      <c r="H950" s="1965" t="s">
        <v>3290</v>
      </c>
      <c r="I950" s="1966"/>
      <c r="J950" s="1964"/>
      <c r="K950" s="1962"/>
    </row>
    <row r="951" spans="1:11" ht="12.75" customHeight="1">
      <c r="A951" s="1968" t="s">
        <v>377</v>
      </c>
      <c r="B951" s="1969" t="s">
        <v>3291</v>
      </c>
      <c r="C951" s="1970"/>
      <c r="D951" s="1971"/>
      <c r="E951" s="1970"/>
      <c r="G951" s="1968" t="s">
        <v>377</v>
      </c>
      <c r="H951" s="1969" t="s">
        <v>3291</v>
      </c>
      <c r="I951" s="1970"/>
      <c r="J951" s="1971"/>
      <c r="K951" s="1970"/>
    </row>
    <row r="952" spans="1:11" ht="12.75" customHeight="1">
      <c r="A952" s="1972" t="s">
        <v>379</v>
      </c>
      <c r="B952" s="1973" t="s">
        <v>3292</v>
      </c>
      <c r="C952" s="1970"/>
      <c r="D952" s="1970"/>
      <c r="E952" s="1970"/>
      <c r="G952" s="1972" t="s">
        <v>379</v>
      </c>
      <c r="H952" s="1973" t="s">
        <v>3292</v>
      </c>
      <c r="I952" s="1970"/>
      <c r="J952" s="1970"/>
      <c r="K952" s="1970"/>
    </row>
    <row r="953" spans="1:11" ht="12.75" customHeight="1">
      <c r="A953" s="1972" t="s">
        <v>381</v>
      </c>
      <c r="B953" s="1974" t="s">
        <v>3293</v>
      </c>
      <c r="C953" s="1970"/>
      <c r="D953" s="1970"/>
      <c r="E953" s="1962">
        <f>SUM(E952)</f>
        <v>0</v>
      </c>
      <c r="G953" s="1972" t="s">
        <v>381</v>
      </c>
      <c r="H953" s="1974" t="s">
        <v>3293</v>
      </c>
      <c r="I953" s="1970"/>
      <c r="J953" s="1970"/>
      <c r="K953" s="1962">
        <f>SUM(K952)</f>
        <v>0</v>
      </c>
    </row>
    <row r="954" spans="1:11" ht="12.75" customHeight="1">
      <c r="A954" s="1975" t="s">
        <v>383</v>
      </c>
      <c r="B954" s="1976" t="s">
        <v>3294</v>
      </c>
      <c r="C954" s="1977"/>
      <c r="D954" s="1977"/>
      <c r="E954" s="1978" t="e">
        <f>(E942+E943+E944+E945+E946+E947+E948+E949+E950)-E953</f>
        <v>#VALUE!</v>
      </c>
      <c r="G954" s="1975" t="s">
        <v>383</v>
      </c>
      <c r="H954" s="1976" t="s">
        <v>3294</v>
      </c>
      <c r="I954" s="1977"/>
      <c r="J954" s="1977"/>
      <c r="K954" s="1978" t="e">
        <f>(K942+K943+K944+K945+K946+K947+K948+K949+K950)-K953</f>
        <v>#VALUE!</v>
      </c>
    </row>
    <row r="956" spans="1:11" ht="12.75" customHeight="1">
      <c r="A956" s="2953" t="s">
        <v>3356</v>
      </c>
      <c r="B956" s="2954"/>
      <c r="C956" s="2954"/>
      <c r="D956" s="2954"/>
      <c r="E956" s="1955">
        <f>VLOOKUP(B957,'LƯƠNG KT'!$D$110:$AD$184,25,0)</f>
        <v>0</v>
      </c>
      <c r="G956" s="2953" t="s">
        <v>3356</v>
      </c>
      <c r="H956" s="2954"/>
      <c r="I956" s="2954"/>
      <c r="J956" s="2954"/>
      <c r="K956" s="1955">
        <f>VLOOKUP(H957,'LƯƠNG KT'!$D$110:$AD$184,25,0)</f>
        <v>0</v>
      </c>
    </row>
    <row r="957" spans="1:11" ht="12.75" customHeight="1">
      <c r="A957" s="1956" t="s">
        <v>356</v>
      </c>
      <c r="B957" s="1956" t="str">
        <f>'LƯƠNG KT'!$D$124</f>
        <v>N. Vông</v>
      </c>
      <c r="C957" s="1957"/>
      <c r="D957" s="1958" t="s">
        <v>2357</v>
      </c>
      <c r="E957" s="1958" t="s">
        <v>2156</v>
      </c>
      <c r="G957" s="1956" t="s">
        <v>356</v>
      </c>
      <c r="H957" s="1956" t="str">
        <f>'LƯƠNG KT'!$D$125</f>
        <v>T. Đi</v>
      </c>
      <c r="I957" s="1957"/>
      <c r="J957" s="1958" t="s">
        <v>2357</v>
      </c>
      <c r="K957" s="1958" t="s">
        <v>2156</v>
      </c>
    </row>
    <row r="958" spans="1:11" ht="12.75" customHeight="1">
      <c r="A958" s="1959" t="s">
        <v>3005</v>
      </c>
      <c r="B958" s="1960" t="s">
        <v>3278</v>
      </c>
      <c r="C958" s="1961">
        <f>VLOOKUP(B957,'LƯƠNG KT'!$D$110:$AC$184,8,0)</f>
        <v>115.0718443032618</v>
      </c>
      <c r="D958" s="1962"/>
      <c r="E958" s="1962"/>
      <c r="G958" s="1959" t="s">
        <v>3005</v>
      </c>
      <c r="H958" s="1960" t="s">
        <v>3278</v>
      </c>
      <c r="I958" s="1961">
        <f>VLOOKUP(H957,'LƯƠNG KT'!$D$110:$AC$184,8,0)</f>
        <v>115.43702293468964</v>
      </c>
      <c r="J958" s="1962"/>
      <c r="K958" s="1962"/>
    </row>
    <row r="959" spans="1:11" ht="12.75" customHeight="1">
      <c r="A959" s="1959" t="s">
        <v>359</v>
      </c>
      <c r="B959" s="1963" t="s">
        <v>2090</v>
      </c>
      <c r="C959" s="1961">
        <f>VLOOKUP(B957,'LƯƠNG KT'!$D$110:$AC$184,3,0)</f>
        <v>0</v>
      </c>
      <c r="D959" s="1964">
        <v>25000</v>
      </c>
      <c r="E959" s="1962">
        <f>C959*D959</f>
        <v>0</v>
      </c>
      <c r="G959" s="1959" t="s">
        <v>359</v>
      </c>
      <c r="H959" s="1963" t="s">
        <v>2090</v>
      </c>
      <c r="I959" s="1961">
        <f>VLOOKUP(H957,'LƯƠNG KT'!$D$110:$AC$184,3,0)</f>
        <v>0</v>
      </c>
      <c r="J959" s="1964">
        <v>25000</v>
      </c>
      <c r="K959" s="1962">
        <f>I959*J959</f>
        <v>0</v>
      </c>
    </row>
    <row r="960" spans="1:11" ht="12.75" customHeight="1">
      <c r="A960" s="1959" t="s">
        <v>3279</v>
      </c>
      <c r="B960" s="1965" t="s">
        <v>3280</v>
      </c>
      <c r="C960" s="1961" t="str">
        <f>VLOOKUP(B957,'LƯƠNG KT'!$D$110:$AC$184,10,0)</f>
        <v>B</v>
      </c>
      <c r="D960" s="1967">
        <f>46.1*$C$1</f>
        <v>30792.956000000002</v>
      </c>
      <c r="E960" s="1962" t="e">
        <f t="shared" ref="E960:E964" si="112">C960*D960</f>
        <v>#VALUE!</v>
      </c>
      <c r="G960" s="1959" t="s">
        <v>3279</v>
      </c>
      <c r="H960" s="1965" t="s">
        <v>3280</v>
      </c>
      <c r="I960" s="1961" t="str">
        <f>VLOOKUP(H957,'LƯƠNG KT'!$D$110:$AC$184,10,0)</f>
        <v>B</v>
      </c>
      <c r="J960" s="1967">
        <f>46.1*$C$1</f>
        <v>30792.956000000002</v>
      </c>
      <c r="K960" s="1962" t="e">
        <f t="shared" ref="K960:K964" si="113">I960*J960</f>
        <v>#VALUE!</v>
      </c>
    </row>
    <row r="961" spans="1:11" ht="12.75" customHeight="1">
      <c r="A961" s="1959" t="s">
        <v>3281</v>
      </c>
      <c r="B961" s="1965" t="s">
        <v>3282</v>
      </c>
      <c r="C961" s="1961">
        <f>VLOOKUP(B957,'LƯƠNG KT'!$D$110:$AC$184,11,0)</f>
        <v>4700399</v>
      </c>
      <c r="D961" s="1964">
        <f>76.9*$C$1</f>
        <v>51366.124000000003</v>
      </c>
      <c r="E961" s="1962">
        <f t="shared" si="112"/>
        <v>241441277883.47601</v>
      </c>
      <c r="G961" s="1959" t="s">
        <v>3281</v>
      </c>
      <c r="H961" s="1965" t="s">
        <v>3282</v>
      </c>
      <c r="I961" s="1961">
        <f>VLOOKUP(H957,'LƯƠNG KT'!$D$110:$AC$184,11,0)</f>
        <v>4715316</v>
      </c>
      <c r="J961" s="1964">
        <f>76.9*$C$1</f>
        <v>51366.124000000003</v>
      </c>
      <c r="K961" s="1962">
        <f t="shared" si="113"/>
        <v>242207506355.18402</v>
      </c>
    </row>
    <row r="962" spans="1:11" ht="12.75" customHeight="1">
      <c r="A962" s="1959" t="s">
        <v>374</v>
      </c>
      <c r="B962" s="1965" t="s">
        <v>3283</v>
      </c>
      <c r="C962" s="1961">
        <f>VLOOKUP(B957,'LƯƠNG KT'!$D$110:$AC$184,7,0)</f>
        <v>1235.6175918003848</v>
      </c>
      <c r="D962" s="1964">
        <f>IF(C958="A",6.1,IF(C958="B",5.8,IF(C958="C",5.5,IF(C958="C.",5.5,IF(C958="D",5.2)))))*$C$1</f>
        <v>0</v>
      </c>
      <c r="E962" s="1962">
        <f t="shared" si="112"/>
        <v>0</v>
      </c>
      <c r="G962" s="1959" t="s">
        <v>374</v>
      </c>
      <c r="H962" s="1965" t="s">
        <v>3283</v>
      </c>
      <c r="I962" s="1961">
        <f>VLOOKUP(H957,'LƯƠNG KT'!$D$110:$AC$184,7,0)</f>
        <v>1239.5388041862111</v>
      </c>
      <c r="J962" s="1964">
        <f>IF(I958="A",6.1,IF(I958="B",5.8,IF(I958="C",5.5,IF(I958="C.",5.5,IF(I958="D",5.2)))))*$C$1</f>
        <v>0</v>
      </c>
      <c r="K962" s="1962">
        <f t="shared" si="113"/>
        <v>0</v>
      </c>
    </row>
    <row r="963" spans="1:11" ht="12.75" customHeight="1">
      <c r="A963" s="1959" t="s">
        <v>3296</v>
      </c>
      <c r="B963" s="1965" t="s">
        <v>3285</v>
      </c>
      <c r="C963" s="1961">
        <f>VLOOKUP(B957,'LƯƠNG KT'!$D$110:$AC$184,12,0)</f>
        <v>22</v>
      </c>
      <c r="D963" s="1967">
        <f>92.2*$C$1</f>
        <v>61585.912000000004</v>
      </c>
      <c r="E963" s="1962">
        <f t="shared" si="112"/>
        <v>1354890.064</v>
      </c>
      <c r="G963" s="1959" t="s">
        <v>3296</v>
      </c>
      <c r="H963" s="1965" t="s">
        <v>3285</v>
      </c>
      <c r="I963" s="1961">
        <f>VLOOKUP(H957,'LƯƠNG KT'!$D$110:$AC$184,12,0)</f>
        <v>22</v>
      </c>
      <c r="J963" s="1967">
        <f>92.2*$C$1</f>
        <v>61585.912000000004</v>
      </c>
      <c r="K963" s="1962">
        <f t="shared" si="113"/>
        <v>1354890.064</v>
      </c>
    </row>
    <row r="964" spans="1:11" ht="12.75" customHeight="1">
      <c r="A964" s="1959" t="s">
        <v>3297</v>
      </c>
      <c r="B964" s="1965" t="s">
        <v>3287</v>
      </c>
      <c r="C964" s="1961">
        <f>VLOOKUP(B957,'LƯƠNG KT'!$D$110:$AC$184,13,0)</f>
        <v>4</v>
      </c>
      <c r="D964" s="1964">
        <f>153.8*$C$1</f>
        <v>102732.24800000001</v>
      </c>
      <c r="E964" s="1962">
        <f t="shared" si="112"/>
        <v>410928.99200000003</v>
      </c>
      <c r="G964" s="1959" t="s">
        <v>3297</v>
      </c>
      <c r="H964" s="1965" t="s">
        <v>3287</v>
      </c>
      <c r="I964" s="1961">
        <f>VLOOKUP(H957,'LƯƠNG KT'!$D$110:$AC$184,13,0)</f>
        <v>4</v>
      </c>
      <c r="J964" s="1964">
        <f>153.8*$C$1</f>
        <v>102732.24800000001</v>
      </c>
      <c r="K964" s="1962">
        <f t="shared" si="113"/>
        <v>410928.99200000003</v>
      </c>
    </row>
    <row r="965" spans="1:11" ht="12.75" customHeight="1">
      <c r="A965" s="1959" t="s">
        <v>3354</v>
      </c>
      <c r="B965" s="1965" t="s">
        <v>3288</v>
      </c>
      <c r="C965" s="1961">
        <f>VLOOKUP(B957,'LƯƠNG KT'!$D$110:$AC$184,14,0)</f>
        <v>5</v>
      </c>
      <c r="D965" s="1964">
        <v>100000</v>
      </c>
      <c r="E965" s="1962">
        <f>C965*D965</f>
        <v>500000</v>
      </c>
      <c r="G965" s="1959" t="s">
        <v>3354</v>
      </c>
      <c r="H965" s="1965" t="s">
        <v>3288</v>
      </c>
      <c r="I965" s="1961">
        <f>VLOOKUP(H957,'LƯƠNG KT'!$D$110:$AC$184,14,0)</f>
        <v>5</v>
      </c>
      <c r="J965" s="1964">
        <v>100000</v>
      </c>
      <c r="K965" s="1962">
        <f>I965*J965</f>
        <v>500000</v>
      </c>
    </row>
    <row r="966" spans="1:11" ht="12.75" customHeight="1">
      <c r="A966" s="1959" t="s">
        <v>3355</v>
      </c>
      <c r="B966" s="1965" t="s">
        <v>3288</v>
      </c>
      <c r="C966" s="1961" t="e">
        <f>VLOOKUP(B957,'LƯƠNG KT'!$D$110:$AC$184,17,0)</f>
        <v>#N/A</v>
      </c>
      <c r="D966" s="1964">
        <v>20000</v>
      </c>
      <c r="E966" s="1962" t="e">
        <f>C966*D966</f>
        <v>#N/A</v>
      </c>
      <c r="G966" s="1959" t="s">
        <v>3355</v>
      </c>
      <c r="H966" s="1965" t="s">
        <v>3288</v>
      </c>
      <c r="I966" s="1961" t="e">
        <f>VLOOKUP(H957,'LƯƠNG KT'!$D$110:$AC$184,17,0)</f>
        <v>#N/A</v>
      </c>
      <c r="J966" s="1964">
        <v>20000</v>
      </c>
      <c r="K966" s="1962" t="e">
        <f>I966*J966</f>
        <v>#N/A</v>
      </c>
    </row>
    <row r="967" spans="1:11" ht="12.75" customHeight="1">
      <c r="A967" s="1959" t="s">
        <v>3289</v>
      </c>
      <c r="B967" s="1965" t="s">
        <v>3290</v>
      </c>
      <c r="C967" s="1966"/>
      <c r="D967" s="1964"/>
      <c r="E967" s="1962"/>
      <c r="G967" s="1959" t="s">
        <v>3289</v>
      </c>
      <c r="H967" s="1965" t="s">
        <v>3290</v>
      </c>
      <c r="I967" s="1966"/>
      <c r="J967" s="1964"/>
      <c r="K967" s="1962"/>
    </row>
    <row r="968" spans="1:11" ht="12.75" customHeight="1">
      <c r="A968" s="1968" t="s">
        <v>377</v>
      </c>
      <c r="B968" s="1969" t="s">
        <v>3291</v>
      </c>
      <c r="C968" s="1970"/>
      <c r="D968" s="1971"/>
      <c r="E968" s="1970"/>
      <c r="G968" s="1968" t="s">
        <v>377</v>
      </c>
      <c r="H968" s="1969" t="s">
        <v>3291</v>
      </c>
      <c r="I968" s="1970"/>
      <c r="J968" s="1971"/>
      <c r="K968" s="1970"/>
    </row>
    <row r="969" spans="1:11" ht="12.75" customHeight="1">
      <c r="A969" s="1972" t="s">
        <v>379</v>
      </c>
      <c r="B969" s="1973" t="s">
        <v>3292</v>
      </c>
      <c r="C969" s="1970"/>
      <c r="D969" s="1970"/>
      <c r="E969" s="1970"/>
      <c r="G969" s="1972" t="s">
        <v>379</v>
      </c>
      <c r="H969" s="1973" t="s">
        <v>3292</v>
      </c>
      <c r="I969" s="1970"/>
      <c r="J969" s="1970"/>
      <c r="K969" s="1970"/>
    </row>
    <row r="970" spans="1:11" ht="12.75" customHeight="1">
      <c r="A970" s="1972" t="s">
        <v>381</v>
      </c>
      <c r="B970" s="1974" t="s">
        <v>3293</v>
      </c>
      <c r="C970" s="1970"/>
      <c r="D970" s="1970"/>
      <c r="E970" s="1962">
        <f>SUM(E969)</f>
        <v>0</v>
      </c>
      <c r="G970" s="1972" t="s">
        <v>381</v>
      </c>
      <c r="H970" s="1974" t="s">
        <v>3293</v>
      </c>
      <c r="I970" s="1970"/>
      <c r="J970" s="1970"/>
      <c r="K970" s="1962">
        <f>SUM(K969)</f>
        <v>0</v>
      </c>
    </row>
    <row r="971" spans="1:11" ht="12.75" customHeight="1">
      <c r="A971" s="1975" t="s">
        <v>383</v>
      </c>
      <c r="B971" s="1976" t="s">
        <v>3294</v>
      </c>
      <c r="C971" s="1977"/>
      <c r="D971" s="1977"/>
      <c r="E971" s="1978" t="e">
        <f>(E959+E960+E961+E962+E963+E964+E965+E966+E967)-E970</f>
        <v>#VALUE!</v>
      </c>
      <c r="G971" s="1975" t="s">
        <v>383</v>
      </c>
      <c r="H971" s="1976" t="s">
        <v>3294</v>
      </c>
      <c r="I971" s="1977"/>
      <c r="J971" s="1977"/>
      <c r="K971" s="1978" t="e">
        <f>(K959+K960+K961+K962+K963+K964+K965+K966+K967)-K970</f>
        <v>#VALUE!</v>
      </c>
    </row>
    <row r="973" spans="1:11" ht="12.75" customHeight="1">
      <c r="A973" s="2953" t="s">
        <v>3356</v>
      </c>
      <c r="B973" s="2954"/>
      <c r="C973" s="2954"/>
      <c r="D973" s="2954"/>
      <c r="E973" s="1955">
        <f>VLOOKUP(B974,'LƯƠNG KT'!$D$110:$AD$184,25,0)</f>
        <v>0</v>
      </c>
      <c r="G973" s="2953" t="s">
        <v>3356</v>
      </c>
      <c r="H973" s="2954"/>
      <c r="I973" s="2954"/>
      <c r="J973" s="2954"/>
      <c r="K973" s="1955">
        <f>VLOOKUP(H974,'LƯƠNG KT'!$D$110:$AD$184,25,0)</f>
        <v>0</v>
      </c>
    </row>
    <row r="974" spans="1:11" ht="12.75" customHeight="1">
      <c r="A974" s="1956" t="s">
        <v>356</v>
      </c>
      <c r="B974" s="1956" t="str">
        <f>'LƯƠNG KT'!$D$126</f>
        <v>Nàng Lênh</v>
      </c>
      <c r="C974" s="1957"/>
      <c r="D974" s="1958" t="s">
        <v>2357</v>
      </c>
      <c r="E974" s="1958" t="s">
        <v>2156</v>
      </c>
      <c r="G974" s="1956" t="s">
        <v>356</v>
      </c>
      <c r="H974" s="1956" t="str">
        <f>'LƯƠNG KT'!$D$127</f>
        <v>T.Xê</v>
      </c>
      <c r="I974" s="1957"/>
      <c r="J974" s="1958" t="s">
        <v>2357</v>
      </c>
      <c r="K974" s="1958" t="s">
        <v>2156</v>
      </c>
    </row>
    <row r="975" spans="1:11" ht="12.75" customHeight="1">
      <c r="A975" s="1959" t="s">
        <v>3005</v>
      </c>
      <c r="B975" s="1960" t="s">
        <v>3278</v>
      </c>
      <c r="C975" s="1961">
        <f>VLOOKUP(B974,'LƯƠNG KT'!$D$110:$AC$184,8,0)</f>
        <v>129.63841415688344</v>
      </c>
      <c r="D975" s="1962"/>
      <c r="E975" s="1962"/>
      <c r="G975" s="1959" t="s">
        <v>3005</v>
      </c>
      <c r="H975" s="1960" t="s">
        <v>3278</v>
      </c>
      <c r="I975" s="1961">
        <f>VLOOKUP(H974,'LƯƠNG KT'!$D$110:$AC$184,8,0)</f>
        <v>112.79962170771078</v>
      </c>
      <c r="J975" s="1962"/>
      <c r="K975" s="1962"/>
    </row>
    <row r="976" spans="1:11" ht="12.75" customHeight="1">
      <c r="A976" s="1959" t="s">
        <v>359</v>
      </c>
      <c r="B976" s="1963" t="s">
        <v>2090</v>
      </c>
      <c r="C976" s="1961">
        <f>VLOOKUP(B974,'LƯƠNG KT'!$D$110:$AC$184,3,0)</f>
        <v>0</v>
      </c>
      <c r="D976" s="1964">
        <v>25000</v>
      </c>
      <c r="E976" s="1962">
        <f>C976*D976</f>
        <v>0</v>
      </c>
      <c r="G976" s="1959" t="s">
        <v>359</v>
      </c>
      <c r="H976" s="1963" t="s">
        <v>2090</v>
      </c>
      <c r="I976" s="1961">
        <f>VLOOKUP(H974,'LƯƠNG KT'!$D$110:$AC$184,3,0)</f>
        <v>0</v>
      </c>
      <c r="J976" s="1964">
        <v>25000</v>
      </c>
      <c r="K976" s="1962">
        <f>I976*J976</f>
        <v>0</v>
      </c>
    </row>
    <row r="977" spans="1:11" ht="12.75" customHeight="1">
      <c r="A977" s="1959" t="s">
        <v>3279</v>
      </c>
      <c r="B977" s="1965" t="s">
        <v>3280</v>
      </c>
      <c r="C977" s="1961" t="str">
        <f>VLOOKUP(B974,'LƯƠNG KT'!$D$110:$AC$184,10,0)</f>
        <v>B</v>
      </c>
      <c r="D977" s="1967">
        <f>46.1*$C$1</f>
        <v>30792.956000000002</v>
      </c>
      <c r="E977" s="1962" t="e">
        <f t="shared" ref="E977:E981" si="114">C977*D977</f>
        <v>#VALUE!</v>
      </c>
      <c r="G977" s="1959" t="s">
        <v>3279</v>
      </c>
      <c r="H977" s="1965" t="s">
        <v>3280</v>
      </c>
      <c r="I977" s="1961" t="str">
        <f>VLOOKUP(H974,'LƯƠNG KT'!$D$110:$AC$184,10,0)</f>
        <v>B</v>
      </c>
      <c r="J977" s="1967">
        <f>46.1*$C$1</f>
        <v>30792.956000000002</v>
      </c>
      <c r="K977" s="1962" t="e">
        <f t="shared" ref="K977:K981" si="115">I977*J977</f>
        <v>#VALUE!</v>
      </c>
    </row>
    <row r="978" spans="1:11" ht="12.75" customHeight="1">
      <c r="A978" s="1959" t="s">
        <v>3281</v>
      </c>
      <c r="B978" s="1965" t="s">
        <v>3282</v>
      </c>
      <c r="C978" s="1961">
        <f>VLOOKUP(B974,'LƯƠNG KT'!$D$110:$AC$184,11,0)</f>
        <v>5295407</v>
      </c>
      <c r="D978" s="1964">
        <f>76.9*$C$1</f>
        <v>51366.124000000003</v>
      </c>
      <c r="E978" s="1962">
        <f t="shared" si="114"/>
        <v>272004532592.46802</v>
      </c>
      <c r="G978" s="1959" t="s">
        <v>3281</v>
      </c>
      <c r="H978" s="1965" t="s">
        <v>3282</v>
      </c>
      <c r="I978" s="1961">
        <f>VLOOKUP(H974,'LƯƠNG KT'!$D$110:$AC$184,11,0)</f>
        <v>4607585</v>
      </c>
      <c r="J978" s="1964">
        <f>76.9*$C$1</f>
        <v>51366.124000000003</v>
      </c>
      <c r="K978" s="1962">
        <f t="shared" si="115"/>
        <v>236673782450.54001</v>
      </c>
    </row>
    <row r="979" spans="1:11" ht="12.75" customHeight="1">
      <c r="A979" s="1959" t="s">
        <v>374</v>
      </c>
      <c r="B979" s="1965" t="s">
        <v>3283</v>
      </c>
      <c r="C979" s="1961">
        <f>VLOOKUP(B974,'LƯƠNG KT'!$D$110:$AC$184,7,0)</f>
        <v>1392.0303969683462</v>
      </c>
      <c r="D979" s="1964">
        <f>IF(C975="A",6.1,IF(C975="B",5.8,IF(C975="C",5.5,IF(C975="C.",5.5,IF(C975="D",5.2)))))*$C$1</f>
        <v>0</v>
      </c>
      <c r="E979" s="1962">
        <f t="shared" si="114"/>
        <v>0</v>
      </c>
      <c r="G979" s="1959" t="s">
        <v>374</v>
      </c>
      <c r="H979" s="1965" t="s">
        <v>3283</v>
      </c>
      <c r="I979" s="1961">
        <f>VLOOKUP(H974,'LƯƠNG KT'!$D$110:$AC$184,7,0)</f>
        <v>1211.2189369552432</v>
      </c>
      <c r="J979" s="1964">
        <f>IF(I975="A",6.1,IF(I975="B",5.8,IF(I975="C",5.5,IF(I975="C.",5.5,IF(I975="D",5.2)))))*$C$1</f>
        <v>0</v>
      </c>
      <c r="K979" s="1962">
        <f t="shared" si="115"/>
        <v>0</v>
      </c>
    </row>
    <row r="980" spans="1:11" ht="12.75" customHeight="1">
      <c r="A980" s="1959" t="s">
        <v>3296</v>
      </c>
      <c r="B980" s="1965" t="s">
        <v>3285</v>
      </c>
      <c r="C980" s="1961">
        <f>VLOOKUP(B974,'LƯƠNG KT'!$D$110:$AC$184,12,0)</f>
        <v>21</v>
      </c>
      <c r="D980" s="1967">
        <f>92.2*$C$1</f>
        <v>61585.912000000004</v>
      </c>
      <c r="E980" s="1962">
        <f t="shared" si="114"/>
        <v>1293304.152</v>
      </c>
      <c r="G980" s="1959" t="s">
        <v>3296</v>
      </c>
      <c r="H980" s="1965" t="s">
        <v>3285</v>
      </c>
      <c r="I980" s="1961">
        <f>VLOOKUP(H974,'LƯƠNG KT'!$D$110:$AC$184,12,0)</f>
        <v>21</v>
      </c>
      <c r="J980" s="1967">
        <f>92.2*$C$1</f>
        <v>61585.912000000004</v>
      </c>
      <c r="K980" s="1962">
        <f t="shared" si="115"/>
        <v>1293304.152</v>
      </c>
    </row>
    <row r="981" spans="1:11" ht="12.75" customHeight="1">
      <c r="A981" s="1959" t="s">
        <v>3297</v>
      </c>
      <c r="B981" s="1965" t="s">
        <v>3287</v>
      </c>
      <c r="C981" s="1961">
        <f>VLOOKUP(B974,'LƯƠNG KT'!$D$110:$AC$184,13,0)</f>
        <v>4</v>
      </c>
      <c r="D981" s="1964">
        <f>153.8*$C$1</f>
        <v>102732.24800000001</v>
      </c>
      <c r="E981" s="1962">
        <f t="shared" si="114"/>
        <v>410928.99200000003</v>
      </c>
      <c r="G981" s="1959" t="s">
        <v>3297</v>
      </c>
      <c r="H981" s="1965" t="s">
        <v>3287</v>
      </c>
      <c r="I981" s="1961">
        <f>VLOOKUP(H974,'LƯƠNG KT'!$D$110:$AC$184,13,0)</f>
        <v>4</v>
      </c>
      <c r="J981" s="1964">
        <f>153.8*$C$1</f>
        <v>102732.24800000001</v>
      </c>
      <c r="K981" s="1962">
        <f t="shared" si="115"/>
        <v>410928.99200000003</v>
      </c>
    </row>
    <row r="982" spans="1:11" ht="12.75" customHeight="1">
      <c r="A982" s="1959" t="s">
        <v>3354</v>
      </c>
      <c r="B982" s="1965" t="s">
        <v>3288</v>
      </c>
      <c r="C982" s="1961">
        <f>VLOOKUP(B974,'LƯƠNG KT'!$D$110:$AC$184,14,0)</f>
        <v>4</v>
      </c>
      <c r="D982" s="1964">
        <v>100000</v>
      </c>
      <c r="E982" s="1962">
        <f>C982*D982</f>
        <v>400000</v>
      </c>
      <c r="G982" s="1959" t="s">
        <v>3354</v>
      </c>
      <c r="H982" s="1965" t="s">
        <v>3288</v>
      </c>
      <c r="I982" s="1961">
        <f>VLOOKUP(H974,'LƯƠNG KT'!$D$110:$AC$184,14,0)</f>
        <v>5</v>
      </c>
      <c r="J982" s="1964">
        <v>100000</v>
      </c>
      <c r="K982" s="1962">
        <f>I982*J982</f>
        <v>500000</v>
      </c>
    </row>
    <row r="983" spans="1:11" ht="12.75" customHeight="1">
      <c r="A983" s="1959" t="s">
        <v>3355</v>
      </c>
      <c r="B983" s="1965" t="s">
        <v>3288</v>
      </c>
      <c r="C983" s="1961" t="e">
        <f>VLOOKUP(B974,'LƯƠNG KT'!$D$110:$AC$184,17,0)</f>
        <v>#N/A</v>
      </c>
      <c r="D983" s="1964">
        <v>20000</v>
      </c>
      <c r="E983" s="1962" t="e">
        <f>C983*D983</f>
        <v>#N/A</v>
      </c>
      <c r="G983" s="1959" t="s">
        <v>3355</v>
      </c>
      <c r="H983" s="1965" t="s">
        <v>3288</v>
      </c>
      <c r="I983" s="1961" t="e">
        <f>VLOOKUP(H974,'LƯƠNG KT'!$D$110:$AC$184,17,0)</f>
        <v>#N/A</v>
      </c>
      <c r="J983" s="1964">
        <v>20000</v>
      </c>
      <c r="K983" s="1962" t="e">
        <f>I983*J983</f>
        <v>#N/A</v>
      </c>
    </row>
    <row r="984" spans="1:11" ht="12.75" customHeight="1">
      <c r="A984" s="1959" t="s">
        <v>3289</v>
      </c>
      <c r="B984" s="1965" t="s">
        <v>3290</v>
      </c>
      <c r="C984" s="1966"/>
      <c r="D984" s="1964"/>
      <c r="E984" s="1962"/>
      <c r="G984" s="1959" t="s">
        <v>3289</v>
      </c>
      <c r="H984" s="1965" t="s">
        <v>3290</v>
      </c>
      <c r="I984" s="1966"/>
      <c r="J984" s="1964"/>
      <c r="K984" s="1962"/>
    </row>
    <row r="985" spans="1:11" ht="12.75" customHeight="1">
      <c r="A985" s="1968" t="s">
        <v>377</v>
      </c>
      <c r="B985" s="1969" t="s">
        <v>3291</v>
      </c>
      <c r="C985" s="1970"/>
      <c r="D985" s="1971"/>
      <c r="E985" s="1970"/>
      <c r="G985" s="1968" t="s">
        <v>377</v>
      </c>
      <c r="H985" s="1969" t="s">
        <v>3291</v>
      </c>
      <c r="I985" s="1970"/>
      <c r="J985" s="1971"/>
      <c r="K985" s="1970"/>
    </row>
    <row r="986" spans="1:11" ht="12.75" customHeight="1">
      <c r="A986" s="1972" t="s">
        <v>379</v>
      </c>
      <c r="B986" s="1973" t="s">
        <v>3292</v>
      </c>
      <c r="C986" s="1970"/>
      <c r="D986" s="1970"/>
      <c r="E986" s="1970"/>
      <c r="G986" s="1972" t="s">
        <v>379</v>
      </c>
      <c r="H986" s="1973" t="s">
        <v>3292</v>
      </c>
      <c r="I986" s="1970"/>
      <c r="J986" s="1970"/>
      <c r="K986" s="1970"/>
    </row>
    <row r="987" spans="1:11" ht="12.75" customHeight="1">
      <c r="A987" s="1972" t="s">
        <v>381</v>
      </c>
      <c r="B987" s="1974" t="s">
        <v>3293</v>
      </c>
      <c r="C987" s="1970"/>
      <c r="D987" s="1970"/>
      <c r="E987" s="1962">
        <f>SUM(E986)</f>
        <v>0</v>
      </c>
      <c r="G987" s="1972" t="s">
        <v>381</v>
      </c>
      <c r="H987" s="1974" t="s">
        <v>3293</v>
      </c>
      <c r="I987" s="1970"/>
      <c r="J987" s="1970"/>
      <c r="K987" s="1962">
        <f>SUM(K986)</f>
        <v>0</v>
      </c>
    </row>
    <row r="988" spans="1:11" ht="12.75" customHeight="1">
      <c r="A988" s="1975" t="s">
        <v>383</v>
      </c>
      <c r="B988" s="1976" t="s">
        <v>3294</v>
      </c>
      <c r="C988" s="1977"/>
      <c r="D988" s="1977"/>
      <c r="E988" s="1978" t="e">
        <f>(E976+E977+E978+E979+E980+E981+E982+E983+E984)-E987</f>
        <v>#VALUE!</v>
      </c>
      <c r="G988" s="1975" t="s">
        <v>383</v>
      </c>
      <c r="H988" s="1976" t="s">
        <v>3294</v>
      </c>
      <c r="I988" s="1977"/>
      <c r="J988" s="1977"/>
      <c r="K988" s="1978" t="e">
        <f>(K976+K977+K978+K979+K980+K981+K982+K983+K984)-K987</f>
        <v>#VALUE!</v>
      </c>
    </row>
    <row r="990" spans="1:11" ht="12.75" customHeight="1">
      <c r="A990" s="2953" t="s">
        <v>3356</v>
      </c>
      <c r="B990" s="2954"/>
      <c r="C990" s="2954"/>
      <c r="D990" s="2954"/>
      <c r="E990" s="1955">
        <f>VLOOKUP(B991,'LƯƠNG KT'!$D$110:$AD$184,25,0)</f>
        <v>0</v>
      </c>
      <c r="G990" s="2953" t="s">
        <v>3356</v>
      </c>
      <c r="H990" s="2954"/>
      <c r="I990" s="2954"/>
      <c r="J990" s="2954"/>
      <c r="K990" s="1955">
        <f>VLOOKUP(H991,'LƯƠNG KT'!$D$110:$AD$184,25,0)</f>
        <v>0</v>
      </c>
    </row>
    <row r="991" spans="1:11" ht="12.75" customHeight="1">
      <c r="A991" s="1956" t="s">
        <v>356</v>
      </c>
      <c r="B991" s="1956" t="str">
        <f>'LƯƠNG KT'!$D$128</f>
        <v>T. Hách</v>
      </c>
      <c r="C991" s="1957"/>
      <c r="D991" s="1958" t="s">
        <v>2357</v>
      </c>
      <c r="E991" s="1958" t="s">
        <v>2156</v>
      </c>
      <c r="G991" s="1956" t="s">
        <v>356</v>
      </c>
      <c r="H991" s="1956" t="str">
        <f>'LƯƠNG KT'!$D$129</f>
        <v>Khay Khăm</v>
      </c>
      <c r="I991" s="1957"/>
      <c r="J991" s="1958" t="s">
        <v>2357</v>
      </c>
      <c r="K991" s="1958" t="s">
        <v>2156</v>
      </c>
    </row>
    <row r="992" spans="1:11" ht="12.75" customHeight="1">
      <c r="A992" s="1959" t="s">
        <v>3005</v>
      </c>
      <c r="B992" s="1960" t="s">
        <v>3278</v>
      </c>
      <c r="C992" s="1961">
        <f>VLOOKUP(B991,'LƯƠNG KT'!$D$110:$AC$184,8,0)</f>
        <v>117.06003907436893</v>
      </c>
      <c r="D992" s="1962"/>
      <c r="E992" s="1962"/>
      <c r="G992" s="1959" t="s">
        <v>3005</v>
      </c>
      <c r="H992" s="1960" t="s">
        <v>3278</v>
      </c>
      <c r="I992" s="1961">
        <f>VLOOKUP(H991,'LƯƠNG KT'!$D$110:$AC$184,8,0)</f>
        <v>195.0459645859589</v>
      </c>
      <c r="J992" s="1962"/>
      <c r="K992" s="1962"/>
    </row>
    <row r="993" spans="1:11" ht="12.75" customHeight="1">
      <c r="A993" s="1959" t="s">
        <v>359</v>
      </c>
      <c r="B993" s="1963" t="s">
        <v>2090</v>
      </c>
      <c r="C993" s="1961">
        <f>VLOOKUP(B991,'LƯƠNG KT'!$D$110:$AC$184,3,0)</f>
        <v>0</v>
      </c>
      <c r="D993" s="1964">
        <v>25000</v>
      </c>
      <c r="E993" s="1962">
        <f>C993*D993</f>
        <v>0</v>
      </c>
      <c r="G993" s="1959" t="s">
        <v>359</v>
      </c>
      <c r="H993" s="1963" t="s">
        <v>2090</v>
      </c>
      <c r="I993" s="1961">
        <f>VLOOKUP(H991,'LƯƠNG KT'!$D$110:$AC$184,3,0)</f>
        <v>0</v>
      </c>
      <c r="J993" s="1964">
        <v>25000</v>
      </c>
      <c r="K993" s="1962">
        <f>I993*J993</f>
        <v>0</v>
      </c>
    </row>
    <row r="994" spans="1:11" ht="12.75" customHeight="1">
      <c r="A994" s="1959" t="s">
        <v>3279</v>
      </c>
      <c r="B994" s="1965" t="s">
        <v>3280</v>
      </c>
      <c r="C994" s="1961" t="str">
        <f>VLOOKUP(B991,'LƯƠNG KT'!$D$110:$AC$184,10,0)</f>
        <v>B</v>
      </c>
      <c r="D994" s="1967">
        <f>46.1*$C$1</f>
        <v>30792.956000000002</v>
      </c>
      <c r="E994" s="1962" t="e">
        <f t="shared" ref="E994:E998" si="116">C994*D994</f>
        <v>#VALUE!</v>
      </c>
      <c r="G994" s="1959" t="s">
        <v>3279</v>
      </c>
      <c r="H994" s="1965" t="s">
        <v>3280</v>
      </c>
      <c r="I994" s="1961" t="str">
        <f>VLOOKUP(H991,'LƯƠNG KT'!$D$110:$AC$184,10,0)</f>
        <v>B</v>
      </c>
      <c r="J994" s="1967">
        <f>46.1*$C$1</f>
        <v>30792.956000000002</v>
      </c>
      <c r="K994" s="1962" t="e">
        <f t="shared" ref="K994:K998" si="117">I994*J994</f>
        <v>#VALUE!</v>
      </c>
    </row>
    <row r="995" spans="1:11" ht="12.75" customHeight="1">
      <c r="A995" s="1959" t="s">
        <v>3281</v>
      </c>
      <c r="B995" s="1965" t="s">
        <v>3282</v>
      </c>
      <c r="C995" s="1961">
        <f>VLOOKUP(B991,'LƯƠNG KT'!$D$110:$AC$184,11,0)</f>
        <v>4781612</v>
      </c>
      <c r="D995" s="1964">
        <f>76.9*$C$1</f>
        <v>51366.124000000003</v>
      </c>
      <c r="E995" s="1962">
        <f t="shared" si="116"/>
        <v>245612874911.88803</v>
      </c>
      <c r="G995" s="1959" t="s">
        <v>3281</v>
      </c>
      <c r="H995" s="1965" t="s">
        <v>3282</v>
      </c>
      <c r="I995" s="1961">
        <f>VLOOKUP(H991,'LƯƠNG KT'!$D$110:$AC$184,11,0)</f>
        <v>7967144</v>
      </c>
      <c r="J995" s="1964">
        <f>76.9*$C$1</f>
        <v>51366.124000000003</v>
      </c>
      <c r="K995" s="1962">
        <f t="shared" si="117"/>
        <v>409241306629.85602</v>
      </c>
    </row>
    <row r="996" spans="1:11" ht="12.75" customHeight="1">
      <c r="A996" s="1959" t="s">
        <v>374</v>
      </c>
      <c r="B996" s="1965" t="s">
        <v>3283</v>
      </c>
      <c r="C996" s="1961">
        <f>VLOOKUP(B991,'LƯƠNG KT'!$D$110:$AC$184,7,0)</f>
        <v>1256.9664147898839</v>
      </c>
      <c r="D996" s="1964">
        <f>IF(C992="A",6.1,IF(C992="B",5.8,IF(C992="C",5.5,IF(C992="C.",5.5,IF(C992="D",5.2)))))*$C$1</f>
        <v>0</v>
      </c>
      <c r="E996" s="1962">
        <f t="shared" si="116"/>
        <v>0</v>
      </c>
      <c r="G996" s="1959" t="s">
        <v>374</v>
      </c>
      <c r="H996" s="1965" t="s">
        <v>3283</v>
      </c>
      <c r="I996" s="1961">
        <f>VLOOKUP(H991,'LƯƠNG KT'!$D$110:$AC$184,7,0)</f>
        <v>2094.3631042963507</v>
      </c>
      <c r="J996" s="1964">
        <f>IF(I992="A",6.1,IF(I992="B",5.8,IF(I992="C",5.5,IF(I992="C.",5.5,IF(I992="D",5.2)))))*$C$1</f>
        <v>0</v>
      </c>
      <c r="K996" s="1962">
        <f t="shared" si="117"/>
        <v>0</v>
      </c>
    </row>
    <row r="997" spans="1:11" ht="12.75" customHeight="1">
      <c r="A997" s="1959" t="s">
        <v>3296</v>
      </c>
      <c r="B997" s="1965" t="s">
        <v>3285</v>
      </c>
      <c r="C997" s="1961">
        <f>VLOOKUP(B991,'LƯƠNG KT'!$D$110:$AC$184,12,0)</f>
        <v>20</v>
      </c>
      <c r="D997" s="1967">
        <f>92.2*$C$1</f>
        <v>61585.912000000004</v>
      </c>
      <c r="E997" s="1962">
        <f t="shared" si="116"/>
        <v>1231718.24</v>
      </c>
      <c r="G997" s="1959" t="s">
        <v>3296</v>
      </c>
      <c r="H997" s="1965" t="s">
        <v>3285</v>
      </c>
      <c r="I997" s="1961">
        <f>VLOOKUP(H991,'LƯƠNG KT'!$D$110:$AC$184,12,0)</f>
        <v>22</v>
      </c>
      <c r="J997" s="1967">
        <f>92.2*$C$1</f>
        <v>61585.912000000004</v>
      </c>
      <c r="K997" s="1962">
        <f t="shared" si="117"/>
        <v>1354890.064</v>
      </c>
    </row>
    <row r="998" spans="1:11" ht="12.75" customHeight="1">
      <c r="A998" s="1959" t="s">
        <v>3297</v>
      </c>
      <c r="B998" s="1965" t="s">
        <v>3287</v>
      </c>
      <c r="C998" s="1961">
        <f>VLOOKUP(B991,'LƯƠNG KT'!$D$110:$AC$184,13,0)</f>
        <v>4</v>
      </c>
      <c r="D998" s="1964">
        <f>153.8*$C$1</f>
        <v>102732.24800000001</v>
      </c>
      <c r="E998" s="1962">
        <f t="shared" si="116"/>
        <v>410928.99200000003</v>
      </c>
      <c r="G998" s="1959" t="s">
        <v>3297</v>
      </c>
      <c r="H998" s="1965" t="s">
        <v>3287</v>
      </c>
      <c r="I998" s="1961">
        <f>VLOOKUP(H991,'LƯƠNG KT'!$D$110:$AC$184,13,0)</f>
        <v>4</v>
      </c>
      <c r="J998" s="1964">
        <f>153.8*$C$1</f>
        <v>102732.24800000001</v>
      </c>
      <c r="K998" s="1962">
        <f t="shared" si="117"/>
        <v>410928.99200000003</v>
      </c>
    </row>
    <row r="999" spans="1:11" ht="12.75" customHeight="1">
      <c r="A999" s="1959" t="s">
        <v>3354</v>
      </c>
      <c r="B999" s="1965" t="s">
        <v>3288</v>
      </c>
      <c r="C999" s="1961">
        <f>VLOOKUP(B991,'LƯƠNG KT'!$D$110:$AC$184,14,0)</f>
        <v>5</v>
      </c>
      <c r="D999" s="1964">
        <v>100000</v>
      </c>
      <c r="E999" s="1962">
        <f>C999*D999</f>
        <v>500000</v>
      </c>
      <c r="G999" s="1959" t="s">
        <v>3354</v>
      </c>
      <c r="H999" s="1965" t="s">
        <v>3288</v>
      </c>
      <c r="I999" s="1961">
        <f>VLOOKUP(H991,'LƯƠNG KT'!$D$110:$AC$184,14,0)</f>
        <v>5</v>
      </c>
      <c r="J999" s="1964">
        <v>100000</v>
      </c>
      <c r="K999" s="1962">
        <f>I999*J999</f>
        <v>500000</v>
      </c>
    </row>
    <row r="1000" spans="1:11" ht="12.75" customHeight="1">
      <c r="A1000" s="1959" t="s">
        <v>3355</v>
      </c>
      <c r="B1000" s="1965" t="s">
        <v>3288</v>
      </c>
      <c r="C1000" s="1961" t="e">
        <f>VLOOKUP(B991,'LƯƠNG KT'!$D$110:$AC$184,17,0)</f>
        <v>#N/A</v>
      </c>
      <c r="D1000" s="1964">
        <v>20000</v>
      </c>
      <c r="E1000" s="1962" t="e">
        <f>C1000*D1000</f>
        <v>#N/A</v>
      </c>
      <c r="G1000" s="1959" t="s">
        <v>3355</v>
      </c>
      <c r="H1000" s="1965" t="s">
        <v>3288</v>
      </c>
      <c r="I1000" s="1961" t="e">
        <f>VLOOKUP(H991,'LƯƠNG KT'!$D$110:$AC$184,17,0)</f>
        <v>#N/A</v>
      </c>
      <c r="J1000" s="1964">
        <v>20000</v>
      </c>
      <c r="K1000" s="1962" t="e">
        <f>I1000*J1000</f>
        <v>#N/A</v>
      </c>
    </row>
    <row r="1001" spans="1:11" ht="12.75" customHeight="1">
      <c r="A1001" s="1959" t="s">
        <v>3289</v>
      </c>
      <c r="B1001" s="1965" t="s">
        <v>3290</v>
      </c>
      <c r="C1001" s="1966"/>
      <c r="D1001" s="1964"/>
      <c r="E1001" s="1962"/>
      <c r="G1001" s="1959" t="s">
        <v>3289</v>
      </c>
      <c r="H1001" s="1965" t="s">
        <v>3290</v>
      </c>
      <c r="I1001" s="1966"/>
      <c r="J1001" s="1964"/>
      <c r="K1001" s="1962"/>
    </row>
    <row r="1002" spans="1:11" ht="12.75" customHeight="1">
      <c r="A1002" s="1968" t="s">
        <v>377</v>
      </c>
      <c r="B1002" s="1969" t="s">
        <v>3291</v>
      </c>
      <c r="C1002" s="1970"/>
      <c r="D1002" s="1971"/>
      <c r="E1002" s="1970"/>
      <c r="G1002" s="1968" t="s">
        <v>377</v>
      </c>
      <c r="H1002" s="1969" t="s">
        <v>3291</v>
      </c>
      <c r="I1002" s="1970"/>
      <c r="J1002" s="1971"/>
      <c r="K1002" s="1970"/>
    </row>
    <row r="1003" spans="1:11" ht="12.75" customHeight="1">
      <c r="A1003" s="1972" t="s">
        <v>379</v>
      </c>
      <c r="B1003" s="1973" t="s">
        <v>3292</v>
      </c>
      <c r="C1003" s="1970"/>
      <c r="D1003" s="1970"/>
      <c r="E1003" s="1970"/>
      <c r="G1003" s="1972" t="s">
        <v>379</v>
      </c>
      <c r="H1003" s="1973" t="s">
        <v>3292</v>
      </c>
      <c r="I1003" s="1970"/>
      <c r="J1003" s="1970"/>
      <c r="K1003" s="1970"/>
    </row>
    <row r="1004" spans="1:11" ht="12.75" customHeight="1">
      <c r="A1004" s="1972" t="s">
        <v>381</v>
      </c>
      <c r="B1004" s="1974" t="s">
        <v>3293</v>
      </c>
      <c r="C1004" s="1970"/>
      <c r="D1004" s="1970"/>
      <c r="E1004" s="1962">
        <f>SUM(E1003)</f>
        <v>0</v>
      </c>
      <c r="G1004" s="1972" t="s">
        <v>381</v>
      </c>
      <c r="H1004" s="1974" t="s">
        <v>3293</v>
      </c>
      <c r="I1004" s="1970"/>
      <c r="J1004" s="1970"/>
      <c r="K1004" s="1962">
        <f>SUM(K1003)</f>
        <v>0</v>
      </c>
    </row>
    <row r="1005" spans="1:11" ht="12.75" customHeight="1">
      <c r="A1005" s="1975" t="s">
        <v>383</v>
      </c>
      <c r="B1005" s="1976" t="s">
        <v>3294</v>
      </c>
      <c r="C1005" s="1977"/>
      <c r="D1005" s="1977"/>
      <c r="E1005" s="1978" t="e">
        <f>(E993+E994+E995+E996+E997+E998+E999+E1000+E1001)-E1004</f>
        <v>#VALUE!</v>
      </c>
      <c r="G1005" s="1975" t="s">
        <v>383</v>
      </c>
      <c r="H1005" s="1976" t="s">
        <v>3294</v>
      </c>
      <c r="I1005" s="1977"/>
      <c r="J1005" s="1977"/>
      <c r="K1005" s="1978" t="e">
        <f>(K993+K994+K995+K996+K997+K998+K999+K1000+K1001)-K1004</f>
        <v>#VALUE!</v>
      </c>
    </row>
    <row r="1007" spans="1:11" ht="12.75" customHeight="1">
      <c r="A1007" s="2953" t="s">
        <v>3356</v>
      </c>
      <c r="B1007" s="2954"/>
      <c r="C1007" s="2954"/>
      <c r="D1007" s="2954"/>
      <c r="E1007" s="1955">
        <f>VLOOKUP(B1008,'LƯƠNG KT'!$D$110:$AD$184,25,0)</f>
        <v>0</v>
      </c>
      <c r="G1007" s="2953" t="s">
        <v>3356</v>
      </c>
      <c r="H1007" s="2954"/>
      <c r="I1007" s="2954"/>
      <c r="J1007" s="2954"/>
      <c r="K1007" s="1955">
        <f>VLOOKUP(H1008,'LƯƠNG KT'!$D$110:$AD$184,25,0)</f>
        <v>0</v>
      </c>
    </row>
    <row r="1008" spans="1:11" ht="12.75" customHeight="1">
      <c r="A1008" s="1956" t="s">
        <v>356</v>
      </c>
      <c r="B1008" s="1956" t="str">
        <f>'LƯƠNG KT'!$D$130</f>
        <v>T. Vạt</v>
      </c>
      <c r="C1008" s="1957"/>
      <c r="D1008" s="1958" t="s">
        <v>2357</v>
      </c>
      <c r="E1008" s="1958" t="s">
        <v>2156</v>
      </c>
      <c r="G1008" s="1956" t="s">
        <v>356</v>
      </c>
      <c r="H1008" s="1956" t="str">
        <f>'LƯƠNG KT'!$D$131</f>
        <v>T. Chăn (4)</v>
      </c>
      <c r="I1008" s="1957"/>
      <c r="J1008" s="1958" t="s">
        <v>2357</v>
      </c>
      <c r="K1008" s="1958" t="s">
        <v>2156</v>
      </c>
    </row>
    <row r="1009" spans="1:11" ht="12.75" customHeight="1">
      <c r="A1009" s="1959" t="s">
        <v>3005</v>
      </c>
      <c r="B1009" s="1960" t="s">
        <v>3278</v>
      </c>
      <c r="C1009" s="1961">
        <f>VLOOKUP(B1008,'LƯƠNG KT'!$D$110:$AC$184,8,0)</f>
        <v>174.79883824345973</v>
      </c>
      <c r="D1009" s="1962"/>
      <c r="E1009" s="1962"/>
      <c r="G1009" s="1959" t="s">
        <v>3005</v>
      </c>
      <c r="H1009" s="1960" t="s">
        <v>3278</v>
      </c>
      <c r="I1009" s="1961">
        <f>VLOOKUP(H1008,'LƯƠNG KT'!$D$110:$AC$184,8,0)</f>
        <v>116.16738019754531</v>
      </c>
      <c r="J1009" s="1962"/>
      <c r="K1009" s="1962"/>
    </row>
    <row r="1010" spans="1:11" ht="12.75" customHeight="1">
      <c r="A1010" s="1959" t="s">
        <v>359</v>
      </c>
      <c r="B1010" s="1963" t="s">
        <v>2090</v>
      </c>
      <c r="C1010" s="1961">
        <f>VLOOKUP(B1008,'LƯƠNG KT'!$D$110:$AC$184,3,0)</f>
        <v>0</v>
      </c>
      <c r="D1010" s="1964">
        <v>25000</v>
      </c>
      <c r="E1010" s="1962">
        <f>C1010*D1010</f>
        <v>0</v>
      </c>
      <c r="G1010" s="1959" t="s">
        <v>359</v>
      </c>
      <c r="H1010" s="1963" t="s">
        <v>2090</v>
      </c>
      <c r="I1010" s="1961">
        <f>VLOOKUP(H1008,'LƯƠNG KT'!$D$110:$AC$184,3,0)</f>
        <v>0</v>
      </c>
      <c r="J1010" s="1964">
        <v>25000</v>
      </c>
      <c r="K1010" s="1962">
        <f>I1010*J1010</f>
        <v>0</v>
      </c>
    </row>
    <row r="1011" spans="1:11" ht="12.75" customHeight="1">
      <c r="A1011" s="1959" t="s">
        <v>3279</v>
      </c>
      <c r="B1011" s="1965" t="s">
        <v>3280</v>
      </c>
      <c r="C1011" s="1961" t="str">
        <f>VLOOKUP(B1008,'LƯƠNG KT'!$D$110:$AC$184,10,0)</f>
        <v>A</v>
      </c>
      <c r="D1011" s="1967">
        <f>46.1*$C$1</f>
        <v>30792.956000000002</v>
      </c>
      <c r="E1011" s="1962" t="e">
        <f t="shared" ref="E1011:E1015" si="118">C1011*D1011</f>
        <v>#VALUE!</v>
      </c>
      <c r="G1011" s="1959" t="s">
        <v>3279</v>
      </c>
      <c r="H1011" s="1965" t="s">
        <v>3280</v>
      </c>
      <c r="I1011" s="1961" t="str">
        <f>VLOOKUP(H1008,'LƯƠNG KT'!$D$110:$AC$184,10,0)</f>
        <v>A</v>
      </c>
      <c r="J1011" s="1967">
        <f>46.1*$C$1</f>
        <v>30792.956000000002</v>
      </c>
      <c r="K1011" s="1962" t="e">
        <f t="shared" ref="K1011:K1015" si="119">I1011*J1011</f>
        <v>#VALUE!</v>
      </c>
    </row>
    <row r="1012" spans="1:11" ht="12.75" customHeight="1">
      <c r="A1012" s="1959" t="s">
        <v>3281</v>
      </c>
      <c r="B1012" s="1965" t="s">
        <v>3282</v>
      </c>
      <c r="C1012" s="1961">
        <f>VLOOKUP(B1008,'LƯƠNG KT'!$D$110:$AC$184,11,0)</f>
        <v>7509414</v>
      </c>
      <c r="D1012" s="1964">
        <f>76.9*$C$1</f>
        <v>51366.124000000003</v>
      </c>
      <c r="E1012" s="1962">
        <f t="shared" si="118"/>
        <v>385729490691.336</v>
      </c>
      <c r="G1012" s="1959" t="s">
        <v>3281</v>
      </c>
      <c r="H1012" s="1965" t="s">
        <v>3282</v>
      </c>
      <c r="I1012" s="1961">
        <f>VLOOKUP(H1008,'LƯƠNG KT'!$D$110:$AC$184,11,0)</f>
        <v>4990588</v>
      </c>
      <c r="J1012" s="1964">
        <f>76.9*$C$1</f>
        <v>51366.124000000003</v>
      </c>
      <c r="K1012" s="1962">
        <f t="shared" si="119"/>
        <v>256347162040.91202</v>
      </c>
    </row>
    <row r="1013" spans="1:11" ht="12.75" customHeight="1">
      <c r="A1013" s="1959" t="s">
        <v>374</v>
      </c>
      <c r="B1013" s="1965" t="s">
        <v>3283</v>
      </c>
      <c r="C1013" s="1961">
        <f>VLOOKUP(B1008,'LƯƠNG KT'!$D$110:$AC$184,7,0)</f>
        <v>1876.9536620155352</v>
      </c>
      <c r="D1013" s="1964">
        <f>IF(C1009="A",6.1,IF(C1009="B",5.8,IF(C1009="C",5.5,IF(C1009="C.",5.5,IF(C1009="D",5.2)))))*$C$1</f>
        <v>0</v>
      </c>
      <c r="E1013" s="1962">
        <f t="shared" si="118"/>
        <v>0</v>
      </c>
      <c r="G1013" s="1959" t="s">
        <v>374</v>
      </c>
      <c r="H1013" s="1965" t="s">
        <v>3283</v>
      </c>
      <c r="I1013" s="1961">
        <f>VLOOKUP(H1008,'LƯƠNG KT'!$D$110:$AC$184,7,0)</f>
        <v>1247.3812289578639</v>
      </c>
      <c r="J1013" s="1964">
        <f>IF(I1009="A",6.1,IF(I1009="B",5.8,IF(I1009="C",5.5,IF(I1009="C.",5.5,IF(I1009="D",5.2)))))*$C$1</f>
        <v>0</v>
      </c>
      <c r="K1013" s="1962">
        <f t="shared" si="119"/>
        <v>0</v>
      </c>
    </row>
    <row r="1014" spans="1:11" ht="12.75" customHeight="1">
      <c r="A1014" s="1959" t="s">
        <v>3296</v>
      </c>
      <c r="B1014" s="1965" t="s">
        <v>3285</v>
      </c>
      <c r="C1014" s="1961">
        <f>VLOOKUP(B1008,'LƯƠNG KT'!$D$110:$AC$184,12,0)</f>
        <v>22</v>
      </c>
      <c r="D1014" s="1967">
        <f>92.2*$C$1</f>
        <v>61585.912000000004</v>
      </c>
      <c r="E1014" s="1962">
        <f t="shared" si="118"/>
        <v>1354890.064</v>
      </c>
      <c r="G1014" s="1959" t="s">
        <v>3296</v>
      </c>
      <c r="H1014" s="1965" t="s">
        <v>3285</v>
      </c>
      <c r="I1014" s="1961">
        <f>VLOOKUP(H1008,'LƯƠNG KT'!$D$110:$AC$184,12,0)</f>
        <v>19</v>
      </c>
      <c r="J1014" s="1967">
        <f>92.2*$C$1</f>
        <v>61585.912000000004</v>
      </c>
      <c r="K1014" s="1962">
        <f t="shared" si="119"/>
        <v>1170132.328</v>
      </c>
    </row>
    <row r="1015" spans="1:11" ht="12.75" customHeight="1">
      <c r="A1015" s="1959" t="s">
        <v>3297</v>
      </c>
      <c r="B1015" s="1965" t="s">
        <v>3287</v>
      </c>
      <c r="C1015" s="1961">
        <f>VLOOKUP(B1008,'LƯƠNG KT'!$D$110:$AC$184,13,0)</f>
        <v>4</v>
      </c>
      <c r="D1015" s="1964">
        <f>153.8*$C$1</f>
        <v>102732.24800000001</v>
      </c>
      <c r="E1015" s="1962">
        <f t="shared" si="118"/>
        <v>410928.99200000003</v>
      </c>
      <c r="G1015" s="1959" t="s">
        <v>3297</v>
      </c>
      <c r="H1015" s="1965" t="s">
        <v>3287</v>
      </c>
      <c r="I1015" s="1961">
        <f>VLOOKUP(H1008,'LƯƠNG KT'!$D$110:$AC$184,13,0)</f>
        <v>3</v>
      </c>
      <c r="J1015" s="1964">
        <f>153.8*$C$1</f>
        <v>102732.24800000001</v>
      </c>
      <c r="K1015" s="1962">
        <f t="shared" si="119"/>
        <v>308196.74400000001</v>
      </c>
    </row>
    <row r="1016" spans="1:11" ht="12.75" customHeight="1">
      <c r="A1016" s="1959" t="s">
        <v>3354</v>
      </c>
      <c r="B1016" s="1965" t="s">
        <v>3288</v>
      </c>
      <c r="C1016" s="1961">
        <f>VLOOKUP(B1008,'LƯƠNG KT'!$D$110:$AC$184,14,0)</f>
        <v>5</v>
      </c>
      <c r="D1016" s="1964">
        <v>100000</v>
      </c>
      <c r="E1016" s="1962">
        <f>C1016*D1016</f>
        <v>500000</v>
      </c>
      <c r="G1016" s="1959" t="s">
        <v>3354</v>
      </c>
      <c r="H1016" s="1965" t="s">
        <v>3288</v>
      </c>
      <c r="I1016" s="1961">
        <f>VLOOKUP(H1008,'LƯƠNG KT'!$D$110:$AC$184,14,0)</f>
        <v>5</v>
      </c>
      <c r="J1016" s="1964">
        <v>100000</v>
      </c>
      <c r="K1016" s="1962">
        <f>I1016*J1016</f>
        <v>500000</v>
      </c>
    </row>
    <row r="1017" spans="1:11" ht="12.75" customHeight="1">
      <c r="A1017" s="1959" t="s">
        <v>3355</v>
      </c>
      <c r="B1017" s="1965" t="s">
        <v>3288</v>
      </c>
      <c r="C1017" s="1961" t="e">
        <f>VLOOKUP(B1008,'LƯƠNG KT'!$D$110:$AC$184,17,0)</f>
        <v>#N/A</v>
      </c>
      <c r="D1017" s="1964">
        <v>20000</v>
      </c>
      <c r="E1017" s="1962" t="e">
        <f>C1017*D1017</f>
        <v>#N/A</v>
      </c>
      <c r="G1017" s="1959" t="s">
        <v>3355</v>
      </c>
      <c r="H1017" s="1965" t="s">
        <v>3288</v>
      </c>
      <c r="I1017" s="1961" t="e">
        <f>VLOOKUP(H1008,'LƯƠNG KT'!$D$110:$AC$184,17,0)</f>
        <v>#N/A</v>
      </c>
      <c r="J1017" s="1964">
        <v>20000</v>
      </c>
      <c r="K1017" s="1962" t="e">
        <f>I1017*J1017</f>
        <v>#N/A</v>
      </c>
    </row>
    <row r="1018" spans="1:11" ht="12.75" customHeight="1">
      <c r="A1018" s="1959" t="s">
        <v>3289</v>
      </c>
      <c r="B1018" s="1965" t="s">
        <v>3290</v>
      </c>
      <c r="C1018" s="1966"/>
      <c r="D1018" s="1964"/>
      <c r="E1018" s="1962"/>
      <c r="G1018" s="1959" t="s">
        <v>3289</v>
      </c>
      <c r="H1018" s="1965" t="s">
        <v>3290</v>
      </c>
      <c r="I1018" s="1966"/>
      <c r="J1018" s="1964"/>
      <c r="K1018" s="1962"/>
    </row>
    <row r="1019" spans="1:11" ht="12.75" customHeight="1">
      <c r="A1019" s="1968" t="s">
        <v>377</v>
      </c>
      <c r="B1019" s="1969" t="s">
        <v>3291</v>
      </c>
      <c r="C1019" s="1970"/>
      <c r="D1019" s="1971"/>
      <c r="E1019" s="1970"/>
      <c r="G1019" s="1968" t="s">
        <v>377</v>
      </c>
      <c r="H1019" s="1969" t="s">
        <v>3291</v>
      </c>
      <c r="I1019" s="1970"/>
      <c r="J1019" s="1971"/>
      <c r="K1019" s="1970"/>
    </row>
    <row r="1020" spans="1:11" ht="12.75" customHeight="1">
      <c r="A1020" s="1972" t="s">
        <v>379</v>
      </c>
      <c r="B1020" s="1973" t="s">
        <v>3292</v>
      </c>
      <c r="C1020" s="1970"/>
      <c r="D1020" s="1970"/>
      <c r="E1020" s="1970"/>
      <c r="G1020" s="1972" t="s">
        <v>379</v>
      </c>
      <c r="H1020" s="1973" t="s">
        <v>3292</v>
      </c>
      <c r="I1020" s="1970"/>
      <c r="J1020" s="1970"/>
      <c r="K1020" s="1970"/>
    </row>
    <row r="1021" spans="1:11" ht="12.75" customHeight="1">
      <c r="A1021" s="1972" t="s">
        <v>381</v>
      </c>
      <c r="B1021" s="1974" t="s">
        <v>3293</v>
      </c>
      <c r="C1021" s="1970"/>
      <c r="D1021" s="1970"/>
      <c r="E1021" s="1962">
        <f>SUM(E1020)</f>
        <v>0</v>
      </c>
      <c r="G1021" s="1972" t="s">
        <v>381</v>
      </c>
      <c r="H1021" s="1974" t="s">
        <v>3293</v>
      </c>
      <c r="I1021" s="1970"/>
      <c r="J1021" s="1970"/>
      <c r="K1021" s="1962">
        <f>SUM(K1020)</f>
        <v>0</v>
      </c>
    </row>
    <row r="1022" spans="1:11" ht="12.75" customHeight="1">
      <c r="A1022" s="1975" t="s">
        <v>383</v>
      </c>
      <c r="B1022" s="1976" t="s">
        <v>3294</v>
      </c>
      <c r="C1022" s="1977"/>
      <c r="D1022" s="1977"/>
      <c r="E1022" s="1978" t="e">
        <f>(E1010+E1011+E1012+E1013+E1014+E1015+E1016+E1017+E1018)-E1021</f>
        <v>#VALUE!</v>
      </c>
      <c r="G1022" s="1975" t="s">
        <v>383</v>
      </c>
      <c r="H1022" s="1976" t="s">
        <v>3294</v>
      </c>
      <c r="I1022" s="1977"/>
      <c r="J1022" s="1977"/>
      <c r="K1022" s="1978" t="e">
        <f>(K1010+K1011+K1012+K1013+K1014+K1015+K1016+K1017+K1018)-K1021</f>
        <v>#VALUE!</v>
      </c>
    </row>
    <row r="1023" spans="1:11" ht="51.75" customHeight="1"/>
    <row r="1024" spans="1:11" ht="12.75" customHeight="1">
      <c r="A1024" s="2953" t="s">
        <v>3356</v>
      </c>
      <c r="B1024" s="2954"/>
      <c r="C1024" s="2954"/>
      <c r="D1024" s="2954"/>
      <c r="E1024" s="1955">
        <f>VLOOKUP(B1025,'LƯƠNG KT'!$D$110:$AD$184,25,0)</f>
        <v>0</v>
      </c>
      <c r="G1024" s="2953" t="s">
        <v>3356</v>
      </c>
      <c r="H1024" s="2954"/>
      <c r="I1024" s="2954"/>
      <c r="J1024" s="2954"/>
      <c r="K1024" s="1955">
        <f>VLOOKUP(H1025,'LƯƠNG KT'!$D$110:$AD$184,25,0)</f>
        <v>0</v>
      </c>
    </row>
    <row r="1025" spans="1:11" ht="12.75" customHeight="1">
      <c r="A1025" s="1956" t="s">
        <v>356</v>
      </c>
      <c r="B1025" s="1956" t="str">
        <f>'LƯƠNG KT'!$D$132</f>
        <v>Thảo Ca Thon</v>
      </c>
      <c r="C1025" s="1957"/>
      <c r="D1025" s="1958" t="s">
        <v>2357</v>
      </c>
      <c r="E1025" s="1958" t="s">
        <v>2156</v>
      </c>
      <c r="G1025" s="1956" t="s">
        <v>356</v>
      </c>
      <c r="H1025" s="1956" t="str">
        <f>'LƯƠNG KT'!$D$133</f>
        <v>N.. Đeng</v>
      </c>
      <c r="I1025" s="1957"/>
      <c r="J1025" s="1958" t="s">
        <v>2357</v>
      </c>
      <c r="K1025" s="1958" t="s">
        <v>2156</v>
      </c>
    </row>
    <row r="1026" spans="1:11" ht="12.75" customHeight="1">
      <c r="A1026" s="1959" t="s">
        <v>3005</v>
      </c>
      <c r="B1026" s="1960" t="s">
        <v>3278</v>
      </c>
      <c r="C1026" s="1961">
        <f>VLOOKUP(B1025,'LƯƠNG KT'!$D$110:$AC$184,8,0)</f>
        <v>131.46430731402265</v>
      </c>
      <c r="D1026" s="1962"/>
      <c r="E1026" s="1962"/>
      <c r="G1026" s="1959" t="s">
        <v>3005</v>
      </c>
      <c r="H1026" s="1960" t="s">
        <v>3278</v>
      </c>
      <c r="I1026" s="1961">
        <f>VLOOKUP(H1025,'LƯƠNG KT'!$D$110:$AC$184,8,0)</f>
        <v>119.00765844198408</v>
      </c>
      <c r="J1026" s="1962"/>
      <c r="K1026" s="1962"/>
    </row>
    <row r="1027" spans="1:11" ht="12.75" customHeight="1">
      <c r="A1027" s="1959" t="s">
        <v>359</v>
      </c>
      <c r="B1027" s="1963" t="s">
        <v>2090</v>
      </c>
      <c r="C1027" s="1961">
        <f>VLOOKUP(B1025,'LƯƠNG KT'!$D$110:$AC$184,3,0)</f>
        <v>0</v>
      </c>
      <c r="D1027" s="1964">
        <v>25000</v>
      </c>
      <c r="E1027" s="1962">
        <f>C1027*D1027</f>
        <v>0</v>
      </c>
      <c r="G1027" s="1959" t="s">
        <v>359</v>
      </c>
      <c r="H1027" s="1963" t="s">
        <v>2090</v>
      </c>
      <c r="I1027" s="1961">
        <f>VLOOKUP(H1025,'LƯƠNG KT'!$D$110:$AC$184,3,0)</f>
        <v>0</v>
      </c>
      <c r="J1027" s="1964">
        <v>25000</v>
      </c>
      <c r="K1027" s="1962">
        <f>I1027*J1027</f>
        <v>0</v>
      </c>
    </row>
    <row r="1028" spans="1:11" ht="12.75" customHeight="1">
      <c r="A1028" s="1959" t="s">
        <v>3279</v>
      </c>
      <c r="B1028" s="1965" t="s">
        <v>3280</v>
      </c>
      <c r="C1028" s="1961" t="str">
        <f>VLOOKUP(B1025,'LƯƠNG KT'!$D$110:$AC$184,10,0)</f>
        <v>B</v>
      </c>
      <c r="D1028" s="1967">
        <f>46.1*$C$1</f>
        <v>30792.956000000002</v>
      </c>
      <c r="E1028" s="1962" t="e">
        <f t="shared" ref="E1028:E1032" si="120">C1028*D1028</f>
        <v>#VALUE!</v>
      </c>
      <c r="G1028" s="1959" t="s">
        <v>3279</v>
      </c>
      <c r="H1028" s="1965" t="s">
        <v>3280</v>
      </c>
      <c r="I1028" s="1961" t="str">
        <f>VLOOKUP(H1025,'LƯƠNG KT'!$D$110:$AC$184,10,0)</f>
        <v>A</v>
      </c>
      <c r="J1028" s="1967">
        <f>46.1*$C$1</f>
        <v>30792.956000000002</v>
      </c>
      <c r="K1028" s="1962" t="e">
        <f t="shared" ref="K1028:K1032" si="121">I1028*J1028</f>
        <v>#VALUE!</v>
      </c>
    </row>
    <row r="1029" spans="1:11" ht="12.75" customHeight="1">
      <c r="A1029" s="1959" t="s">
        <v>3281</v>
      </c>
      <c r="B1029" s="1965" t="s">
        <v>3282</v>
      </c>
      <c r="C1029" s="1961">
        <f>VLOOKUP(B1025,'LƯƠNG KT'!$D$110:$AC$184,11,0)</f>
        <v>5369991</v>
      </c>
      <c r="D1029" s="1964">
        <f>76.9*$C$1</f>
        <v>51366.124000000003</v>
      </c>
      <c r="E1029" s="1962">
        <f t="shared" si="120"/>
        <v>275835623584.88403</v>
      </c>
      <c r="G1029" s="1959" t="s">
        <v>3281</v>
      </c>
      <c r="H1029" s="1965" t="s">
        <v>3282</v>
      </c>
      <c r="I1029" s="1961">
        <f>VLOOKUP(H1025,'LƯƠNG KT'!$D$110:$AC$184,11,0)</f>
        <v>5112607</v>
      </c>
      <c r="J1029" s="1964">
        <f>76.9*$C$1</f>
        <v>51366.124000000003</v>
      </c>
      <c r="K1029" s="1962">
        <f t="shared" si="121"/>
        <v>262614805125.26801</v>
      </c>
    </row>
    <row r="1030" spans="1:11" ht="12.75" customHeight="1">
      <c r="A1030" s="1959" t="s">
        <v>374</v>
      </c>
      <c r="B1030" s="1965" t="s">
        <v>3283</v>
      </c>
      <c r="C1030" s="1961">
        <f>VLOOKUP(B1025,'LƯƠNG KT'!$D$110:$AC$184,7,0)</f>
        <v>1411.6364588974777</v>
      </c>
      <c r="D1030" s="1964">
        <f>IF(C1026="A",6.1,IF(C1026="B",5.8,IF(C1026="C",5.5,IF(C1026="C.",5.5,IF(C1026="D",5.2)))))*$C$1</f>
        <v>0</v>
      </c>
      <c r="E1030" s="1962">
        <f t="shared" si="120"/>
        <v>0</v>
      </c>
      <c r="G1030" s="1959" t="s">
        <v>374</v>
      </c>
      <c r="H1030" s="1965" t="s">
        <v>3283</v>
      </c>
      <c r="I1030" s="1961">
        <f>VLOOKUP(H1025,'LƯƠNG KT'!$D$110:$AC$184,7,0)</f>
        <v>1277.8795475142908</v>
      </c>
      <c r="J1030" s="1964">
        <f>IF(I1026="A",6.1,IF(I1026="B",5.8,IF(I1026="C",5.5,IF(I1026="C.",5.5,IF(I1026="D",5.2)))))*$C$1</f>
        <v>0</v>
      </c>
      <c r="K1030" s="1962">
        <f t="shared" si="121"/>
        <v>0</v>
      </c>
    </row>
    <row r="1031" spans="1:11" ht="12.75" customHeight="1">
      <c r="A1031" s="1959" t="s">
        <v>3296</v>
      </c>
      <c r="B1031" s="1965" t="s">
        <v>3285</v>
      </c>
      <c r="C1031" s="1961">
        <f>VLOOKUP(B1025,'LƯƠNG KT'!$D$110:$AC$184,12,0)</f>
        <v>22</v>
      </c>
      <c r="D1031" s="1967">
        <f>92.2*$C$1</f>
        <v>61585.912000000004</v>
      </c>
      <c r="E1031" s="1962">
        <f t="shared" si="120"/>
        <v>1354890.064</v>
      </c>
      <c r="G1031" s="1959" t="s">
        <v>3296</v>
      </c>
      <c r="H1031" s="1965" t="s">
        <v>3285</v>
      </c>
      <c r="I1031" s="1961">
        <f>VLOOKUP(H1025,'LƯƠNG KT'!$D$110:$AC$184,12,0)</f>
        <v>19</v>
      </c>
      <c r="J1031" s="1967">
        <f>92.2*$C$1</f>
        <v>61585.912000000004</v>
      </c>
      <c r="K1031" s="1962">
        <f t="shared" si="121"/>
        <v>1170132.328</v>
      </c>
    </row>
    <row r="1032" spans="1:11" ht="12.75" customHeight="1">
      <c r="A1032" s="1959" t="s">
        <v>3297</v>
      </c>
      <c r="B1032" s="1965" t="s">
        <v>3287</v>
      </c>
      <c r="C1032" s="1961">
        <f>VLOOKUP(B1025,'LƯƠNG KT'!$D$110:$AC$184,13,0)</f>
        <v>4</v>
      </c>
      <c r="D1032" s="1964">
        <f>153.8*$C$1</f>
        <v>102732.24800000001</v>
      </c>
      <c r="E1032" s="1962">
        <f t="shared" si="120"/>
        <v>410928.99200000003</v>
      </c>
      <c r="G1032" s="1959" t="s">
        <v>3297</v>
      </c>
      <c r="H1032" s="1965" t="s">
        <v>3287</v>
      </c>
      <c r="I1032" s="1961">
        <f>VLOOKUP(H1025,'LƯƠNG KT'!$D$110:$AC$184,13,0)</f>
        <v>3</v>
      </c>
      <c r="J1032" s="1964">
        <f>153.8*$C$1</f>
        <v>102732.24800000001</v>
      </c>
      <c r="K1032" s="1962">
        <f t="shared" si="121"/>
        <v>308196.74400000001</v>
      </c>
    </row>
    <row r="1033" spans="1:11" ht="12.75" customHeight="1">
      <c r="A1033" s="1959" t="s">
        <v>3354</v>
      </c>
      <c r="B1033" s="1965" t="s">
        <v>3288</v>
      </c>
      <c r="C1033" s="1961">
        <f>VLOOKUP(B1025,'LƯƠNG KT'!$D$110:$AC$184,14,0)</f>
        <v>5</v>
      </c>
      <c r="D1033" s="1964">
        <v>100000</v>
      </c>
      <c r="E1033" s="1962">
        <f>C1033*D1033</f>
        <v>500000</v>
      </c>
      <c r="G1033" s="1959" t="s">
        <v>3354</v>
      </c>
      <c r="H1033" s="1965" t="s">
        <v>3288</v>
      </c>
      <c r="I1033" s="1961">
        <f>VLOOKUP(H1025,'LƯƠNG KT'!$D$110:$AC$184,14,0)</f>
        <v>5</v>
      </c>
      <c r="J1033" s="1964">
        <v>100000</v>
      </c>
      <c r="K1033" s="1962">
        <f>I1033*J1033</f>
        <v>500000</v>
      </c>
    </row>
    <row r="1034" spans="1:11" ht="12.75" customHeight="1">
      <c r="A1034" s="1959" t="s">
        <v>3355</v>
      </c>
      <c r="B1034" s="1965" t="s">
        <v>3288</v>
      </c>
      <c r="C1034" s="1961" t="e">
        <f>VLOOKUP(B1025,'LƯƠNG KT'!$D$110:$AC$184,17,0)</f>
        <v>#N/A</v>
      </c>
      <c r="D1034" s="1964">
        <v>20000</v>
      </c>
      <c r="E1034" s="1962" t="e">
        <f>C1034*D1034</f>
        <v>#N/A</v>
      </c>
      <c r="G1034" s="1959" t="s">
        <v>3355</v>
      </c>
      <c r="H1034" s="1965" t="s">
        <v>3288</v>
      </c>
      <c r="I1034" s="1961" t="e">
        <f>VLOOKUP(H1025,'LƯƠNG KT'!$D$110:$AC$184,17,0)</f>
        <v>#N/A</v>
      </c>
      <c r="J1034" s="1964">
        <v>20000</v>
      </c>
      <c r="K1034" s="1962" t="e">
        <f>I1034*J1034</f>
        <v>#N/A</v>
      </c>
    </row>
    <row r="1035" spans="1:11" ht="12.75" customHeight="1">
      <c r="A1035" s="1959" t="s">
        <v>3289</v>
      </c>
      <c r="B1035" s="1965" t="s">
        <v>3290</v>
      </c>
      <c r="C1035" s="1966"/>
      <c r="D1035" s="1964"/>
      <c r="E1035" s="1962"/>
      <c r="G1035" s="1959" t="s">
        <v>3289</v>
      </c>
      <c r="H1035" s="1965" t="s">
        <v>3290</v>
      </c>
      <c r="I1035" s="1966"/>
      <c r="J1035" s="1964"/>
      <c r="K1035" s="1962"/>
    </row>
    <row r="1036" spans="1:11" ht="12.75" customHeight="1">
      <c r="A1036" s="1968" t="s">
        <v>377</v>
      </c>
      <c r="B1036" s="1969" t="s">
        <v>3291</v>
      </c>
      <c r="C1036" s="1970"/>
      <c r="D1036" s="1971"/>
      <c r="E1036" s="1970"/>
      <c r="G1036" s="1968" t="s">
        <v>377</v>
      </c>
      <c r="H1036" s="1969" t="s">
        <v>3291</v>
      </c>
      <c r="I1036" s="1970"/>
      <c r="J1036" s="1971"/>
      <c r="K1036" s="1970"/>
    </row>
    <row r="1037" spans="1:11" ht="12.75" customHeight="1">
      <c r="A1037" s="1972" t="s">
        <v>379</v>
      </c>
      <c r="B1037" s="1973" t="s">
        <v>3292</v>
      </c>
      <c r="C1037" s="1970"/>
      <c r="D1037" s="1970"/>
      <c r="E1037" s="1970"/>
      <c r="G1037" s="1972" t="s">
        <v>379</v>
      </c>
      <c r="H1037" s="1973" t="s">
        <v>3292</v>
      </c>
      <c r="I1037" s="1970"/>
      <c r="J1037" s="1970"/>
      <c r="K1037" s="1970"/>
    </row>
    <row r="1038" spans="1:11" ht="12.75" customHeight="1">
      <c r="A1038" s="1972" t="s">
        <v>381</v>
      </c>
      <c r="B1038" s="1974" t="s">
        <v>3293</v>
      </c>
      <c r="C1038" s="1970"/>
      <c r="D1038" s="1970"/>
      <c r="E1038" s="1962">
        <f>SUM(E1037)</f>
        <v>0</v>
      </c>
      <c r="G1038" s="1972" t="s">
        <v>381</v>
      </c>
      <c r="H1038" s="1974" t="s">
        <v>3293</v>
      </c>
      <c r="I1038" s="1970"/>
      <c r="J1038" s="1970"/>
      <c r="K1038" s="1962">
        <f>SUM(K1037)</f>
        <v>0</v>
      </c>
    </row>
    <row r="1039" spans="1:11" ht="12.75" customHeight="1">
      <c r="A1039" s="1975" t="s">
        <v>383</v>
      </c>
      <c r="B1039" s="1976" t="s">
        <v>3294</v>
      </c>
      <c r="C1039" s="1977"/>
      <c r="D1039" s="1977"/>
      <c r="E1039" s="1978" t="e">
        <f>(E1027+E1028+E1029+E1030+E1031+E1032+E1033+E1034+E1035)-E1038</f>
        <v>#VALUE!</v>
      </c>
      <c r="G1039" s="1975" t="s">
        <v>383</v>
      </c>
      <c r="H1039" s="1976" t="s">
        <v>3294</v>
      </c>
      <c r="I1039" s="1977"/>
      <c r="J1039" s="1977"/>
      <c r="K1039" s="1978" t="e">
        <f>(K1027+K1028+K1029+K1030+K1031+K1032+K1033+K1034+K1035)-K1038</f>
        <v>#VALUE!</v>
      </c>
    </row>
    <row r="1041" spans="1:11" ht="12.75" customHeight="1">
      <c r="A1041" s="2953" t="s">
        <v>3356</v>
      </c>
      <c r="B1041" s="2954"/>
      <c r="C1041" s="2954"/>
      <c r="D1041" s="2954"/>
      <c r="E1041" s="1955">
        <f>VLOOKUP(B1042,'LƯƠNG KT'!$D$110:$AD$184,25,0)</f>
        <v>0</v>
      </c>
      <c r="G1041" s="2953" t="s">
        <v>3356</v>
      </c>
      <c r="H1041" s="2954"/>
      <c r="I1041" s="2954"/>
      <c r="J1041" s="2954"/>
      <c r="K1041" s="1955">
        <f>VLOOKUP(H1042,'LƯƠNG KT'!$D$110:$AD$184,25,0)</f>
        <v>0</v>
      </c>
    </row>
    <row r="1042" spans="1:11" ht="12.75" customHeight="1">
      <c r="A1042" s="1956" t="s">
        <v>356</v>
      </c>
      <c r="B1042" s="1956" t="str">
        <f>'LƯƠNG KT'!$D$134</f>
        <v>N.T.T Trang (1)</v>
      </c>
      <c r="C1042" s="1957"/>
      <c r="D1042" s="1958" t="s">
        <v>2357</v>
      </c>
      <c r="E1042" s="1958" t="s">
        <v>2156</v>
      </c>
      <c r="G1042" s="1956" t="s">
        <v>356</v>
      </c>
      <c r="H1042" s="1956" t="str">
        <f>'LƯƠNG KT'!$D$135</f>
        <v>T. Chay</v>
      </c>
      <c r="I1042" s="1957"/>
      <c r="J1042" s="1958" t="s">
        <v>2357</v>
      </c>
      <c r="K1042" s="1958" t="s">
        <v>2156</v>
      </c>
    </row>
    <row r="1043" spans="1:11" ht="12.75" customHeight="1">
      <c r="A1043" s="1959" t="s">
        <v>3005</v>
      </c>
      <c r="B1043" s="1960" t="s">
        <v>3278</v>
      </c>
      <c r="C1043" s="1961">
        <f>VLOOKUP(B1042,'LƯƠNG KT'!$D$110:$AC$184,8,0)</f>
        <v>204.74348602054269</v>
      </c>
      <c r="D1043" s="1962"/>
      <c r="E1043" s="1962"/>
      <c r="G1043" s="1959" t="s">
        <v>3005</v>
      </c>
      <c r="H1043" s="1960" t="s">
        <v>3278</v>
      </c>
      <c r="I1043" s="1961">
        <f>VLOOKUP(H1042,'LƯƠNG KT'!$D$110:$AC$184,8,0)</f>
        <v>105.00914423725018</v>
      </c>
      <c r="J1043" s="1962"/>
      <c r="K1043" s="1962"/>
    </row>
    <row r="1044" spans="1:11" ht="12.75" customHeight="1">
      <c r="A1044" s="1959" t="s">
        <v>359</v>
      </c>
      <c r="B1044" s="1963" t="s">
        <v>2090</v>
      </c>
      <c r="C1044" s="1961">
        <f>VLOOKUP(B1042,'LƯƠNG KT'!$D$110:$AC$184,3,0)</f>
        <v>0</v>
      </c>
      <c r="D1044" s="1964">
        <v>25000</v>
      </c>
      <c r="E1044" s="1962">
        <f>C1044*D1044</f>
        <v>0</v>
      </c>
      <c r="G1044" s="1959" t="s">
        <v>359</v>
      </c>
      <c r="H1044" s="1963" t="s">
        <v>2090</v>
      </c>
      <c r="I1044" s="1961">
        <f>VLOOKUP(H1042,'LƯƠNG KT'!$D$110:$AC$184,3,0)</f>
        <v>0</v>
      </c>
      <c r="J1044" s="1964">
        <v>25000</v>
      </c>
      <c r="K1044" s="1962">
        <f>I1044*J1044</f>
        <v>0</v>
      </c>
    </row>
    <row r="1045" spans="1:11" ht="12.75" customHeight="1">
      <c r="A1045" s="1959" t="s">
        <v>3279</v>
      </c>
      <c r="B1045" s="1965" t="s">
        <v>3280</v>
      </c>
      <c r="C1045" s="1961" t="str">
        <f>VLOOKUP(B1042,'LƯƠNG KT'!$D$110:$AC$184,10,0)</f>
        <v>A</v>
      </c>
      <c r="D1045" s="1967">
        <f>46.1*$C$1</f>
        <v>30792.956000000002</v>
      </c>
      <c r="E1045" s="1962" t="e">
        <f t="shared" ref="E1045:E1049" si="122">C1045*D1045</f>
        <v>#VALUE!</v>
      </c>
      <c r="G1045" s="1959" t="s">
        <v>3279</v>
      </c>
      <c r="H1045" s="1965" t="s">
        <v>3280</v>
      </c>
      <c r="I1045" s="1961" t="str">
        <f>VLOOKUP(H1042,'LƯƠNG KT'!$D$110:$AC$184,10,0)</f>
        <v>B</v>
      </c>
      <c r="J1045" s="1967">
        <f>46.1*$C$1</f>
        <v>30792.956000000002</v>
      </c>
      <c r="K1045" s="1962" t="e">
        <f t="shared" ref="K1045:K1049" si="123">I1045*J1045</f>
        <v>#VALUE!</v>
      </c>
    </row>
    <row r="1046" spans="1:11" ht="12.75" customHeight="1">
      <c r="A1046" s="1959" t="s">
        <v>3281</v>
      </c>
      <c r="B1046" s="1965" t="s">
        <v>3282</v>
      </c>
      <c r="C1046" s="1961">
        <f>VLOOKUP(B1042,'LƯƠNG KT'!$D$110:$AC$184,11,0)</f>
        <v>8795846</v>
      </c>
      <c r="D1046" s="1964">
        <f>76.9*$C$1</f>
        <v>51366.124000000003</v>
      </c>
      <c r="E1046" s="1962">
        <f t="shared" si="122"/>
        <v>451808516320.90405</v>
      </c>
      <c r="G1046" s="1959" t="s">
        <v>3281</v>
      </c>
      <c r="H1046" s="1965" t="s">
        <v>3282</v>
      </c>
      <c r="I1046" s="1961">
        <f>VLOOKUP(H1042,'LƯƠNG KT'!$D$110:$AC$184,11,0)</f>
        <v>4289363</v>
      </c>
      <c r="J1046" s="1964">
        <f>76.9*$C$1</f>
        <v>51366.124000000003</v>
      </c>
      <c r="K1046" s="1962">
        <f t="shared" si="123"/>
        <v>220327951739.01202</v>
      </c>
    </row>
    <row r="1047" spans="1:11" ht="12.75" customHeight="1">
      <c r="A1047" s="1959" t="s">
        <v>374</v>
      </c>
      <c r="B1047" s="1965" t="s">
        <v>3283</v>
      </c>
      <c r="C1047" s="1961">
        <f>VLOOKUP(B1042,'LƯƠNG KT'!$D$110:$AC$184,7,0)</f>
        <v>2198.4930776532942</v>
      </c>
      <c r="D1047" s="1964">
        <f>IF(C1043="A",6.1,IF(C1043="B",5.8,IF(C1043="C",5.5,IF(C1043="C.",5.5,IF(C1043="D",5.2)))))*$C$1</f>
        <v>0</v>
      </c>
      <c r="E1047" s="1962">
        <f t="shared" si="122"/>
        <v>0</v>
      </c>
      <c r="G1047" s="1959" t="s">
        <v>374</v>
      </c>
      <c r="H1047" s="1965" t="s">
        <v>3283</v>
      </c>
      <c r="I1047" s="1961">
        <f>VLOOKUP(H1042,'LƯƠNG KT'!$D$110:$AC$184,7,0)</f>
        <v>1127.566406057615</v>
      </c>
      <c r="J1047" s="1964">
        <f>IF(I1043="A",6.1,IF(I1043="B",5.8,IF(I1043="C",5.5,IF(I1043="C.",5.5,IF(I1043="D",5.2)))))*$C$1</f>
        <v>0</v>
      </c>
      <c r="K1047" s="1962">
        <f t="shared" si="123"/>
        <v>0</v>
      </c>
    </row>
    <row r="1048" spans="1:11" ht="12.75" customHeight="1">
      <c r="A1048" s="1959" t="s">
        <v>3296</v>
      </c>
      <c r="B1048" s="1965" t="s">
        <v>3285</v>
      </c>
      <c r="C1048" s="1961">
        <f>VLOOKUP(B1042,'LƯƠNG KT'!$D$110:$AC$184,12,0)</f>
        <v>23</v>
      </c>
      <c r="D1048" s="1967">
        <f>92.2*$C$1</f>
        <v>61585.912000000004</v>
      </c>
      <c r="E1048" s="1962">
        <f t="shared" si="122"/>
        <v>1416475.976</v>
      </c>
      <c r="G1048" s="1959" t="s">
        <v>3296</v>
      </c>
      <c r="H1048" s="1965" t="s">
        <v>3285</v>
      </c>
      <c r="I1048" s="1961">
        <f>VLOOKUP(H1042,'LƯƠNG KT'!$D$110:$AC$184,12,0)</f>
        <v>22</v>
      </c>
      <c r="J1048" s="1967">
        <f>92.2*$C$1</f>
        <v>61585.912000000004</v>
      </c>
      <c r="K1048" s="1962">
        <f t="shared" si="123"/>
        <v>1354890.064</v>
      </c>
    </row>
    <row r="1049" spans="1:11" ht="12.75" customHeight="1">
      <c r="A1049" s="1959" t="s">
        <v>3297</v>
      </c>
      <c r="B1049" s="1965" t="s">
        <v>3287</v>
      </c>
      <c r="C1049" s="1961">
        <f>VLOOKUP(B1042,'LƯƠNG KT'!$D$110:$AC$184,13,0)</f>
        <v>4</v>
      </c>
      <c r="D1049" s="1964">
        <f>153.8*$C$1</f>
        <v>102732.24800000001</v>
      </c>
      <c r="E1049" s="1962">
        <f t="shared" si="122"/>
        <v>410928.99200000003</v>
      </c>
      <c r="G1049" s="1959" t="s">
        <v>3297</v>
      </c>
      <c r="H1049" s="1965" t="s">
        <v>3287</v>
      </c>
      <c r="I1049" s="1961">
        <f>VLOOKUP(H1042,'LƯƠNG KT'!$D$110:$AC$184,13,0)</f>
        <v>4</v>
      </c>
      <c r="J1049" s="1964">
        <f>153.8*$C$1</f>
        <v>102732.24800000001</v>
      </c>
      <c r="K1049" s="1962">
        <f t="shared" si="123"/>
        <v>410928.99200000003</v>
      </c>
    </row>
    <row r="1050" spans="1:11" ht="12.75" customHeight="1">
      <c r="A1050" s="1959" t="s">
        <v>3354</v>
      </c>
      <c r="B1050" s="1965" t="s">
        <v>3288</v>
      </c>
      <c r="C1050" s="1961">
        <f>VLOOKUP(B1042,'LƯƠNG KT'!$D$110:$AC$184,14,0)</f>
        <v>4</v>
      </c>
      <c r="D1050" s="1964">
        <v>100000</v>
      </c>
      <c r="E1050" s="1962">
        <f>C1050*D1050</f>
        <v>400000</v>
      </c>
      <c r="G1050" s="1959" t="s">
        <v>3354</v>
      </c>
      <c r="H1050" s="1965" t="s">
        <v>3288</v>
      </c>
      <c r="I1050" s="1961">
        <f>VLOOKUP(H1042,'LƯƠNG KT'!$D$110:$AC$184,14,0)</f>
        <v>3</v>
      </c>
      <c r="J1050" s="1964">
        <v>100000</v>
      </c>
      <c r="K1050" s="1962">
        <f>I1050*J1050</f>
        <v>300000</v>
      </c>
    </row>
    <row r="1051" spans="1:11" ht="12.75" customHeight="1">
      <c r="A1051" s="1959" t="s">
        <v>3355</v>
      </c>
      <c r="B1051" s="1965" t="s">
        <v>3288</v>
      </c>
      <c r="C1051" s="1961" t="e">
        <f>VLOOKUP(B1042,'LƯƠNG KT'!$D$110:$AC$184,17,0)</f>
        <v>#N/A</v>
      </c>
      <c r="D1051" s="1964">
        <v>20000</v>
      </c>
      <c r="E1051" s="1962" t="e">
        <f>C1051*D1051</f>
        <v>#N/A</v>
      </c>
      <c r="G1051" s="1959" t="s">
        <v>3355</v>
      </c>
      <c r="H1051" s="1965" t="s">
        <v>3288</v>
      </c>
      <c r="I1051" s="1961" t="e">
        <f>VLOOKUP(H1042,'LƯƠNG KT'!$D$110:$AC$184,17,0)</f>
        <v>#N/A</v>
      </c>
      <c r="J1051" s="1964">
        <v>20000</v>
      </c>
      <c r="K1051" s="1962" t="e">
        <f>I1051*J1051</f>
        <v>#N/A</v>
      </c>
    </row>
    <row r="1052" spans="1:11" ht="12.75" customHeight="1">
      <c r="A1052" s="1959" t="s">
        <v>3289</v>
      </c>
      <c r="B1052" s="1965" t="s">
        <v>3290</v>
      </c>
      <c r="C1052" s="1966"/>
      <c r="D1052" s="1964"/>
      <c r="E1052" s="1962"/>
      <c r="G1052" s="1959" t="s">
        <v>3289</v>
      </c>
      <c r="H1052" s="1965" t="s">
        <v>3290</v>
      </c>
      <c r="I1052" s="1966"/>
      <c r="J1052" s="1964"/>
      <c r="K1052" s="1962"/>
    </row>
    <row r="1053" spans="1:11" ht="12.75" customHeight="1">
      <c r="A1053" s="1968" t="s">
        <v>377</v>
      </c>
      <c r="B1053" s="1969" t="s">
        <v>3291</v>
      </c>
      <c r="C1053" s="1970"/>
      <c r="D1053" s="1971"/>
      <c r="E1053" s="1970"/>
      <c r="G1053" s="1968" t="s">
        <v>377</v>
      </c>
      <c r="H1053" s="1969" t="s">
        <v>3291</v>
      </c>
      <c r="I1053" s="1970"/>
      <c r="J1053" s="1971"/>
      <c r="K1053" s="1970"/>
    </row>
    <row r="1054" spans="1:11" ht="12.75" customHeight="1">
      <c r="A1054" s="1972" t="s">
        <v>379</v>
      </c>
      <c r="B1054" s="1973" t="s">
        <v>3292</v>
      </c>
      <c r="C1054" s="1970"/>
      <c r="D1054" s="1970"/>
      <c r="E1054" s="1970"/>
      <c r="G1054" s="1972" t="s">
        <v>379</v>
      </c>
      <c r="H1054" s="1973" t="s">
        <v>3292</v>
      </c>
      <c r="I1054" s="1970"/>
      <c r="J1054" s="1970"/>
      <c r="K1054" s="1970"/>
    </row>
    <row r="1055" spans="1:11" ht="12.75" customHeight="1">
      <c r="A1055" s="1972" t="s">
        <v>381</v>
      </c>
      <c r="B1055" s="1974" t="s">
        <v>3293</v>
      </c>
      <c r="C1055" s="1970"/>
      <c r="D1055" s="1970"/>
      <c r="E1055" s="1962">
        <f>SUM(E1054)</f>
        <v>0</v>
      </c>
      <c r="G1055" s="1972" t="s">
        <v>381</v>
      </c>
      <c r="H1055" s="1974" t="s">
        <v>3293</v>
      </c>
      <c r="I1055" s="1970"/>
      <c r="J1055" s="1970"/>
      <c r="K1055" s="1962">
        <f>SUM(K1054)</f>
        <v>0</v>
      </c>
    </row>
    <row r="1056" spans="1:11" ht="12.75" customHeight="1">
      <c r="A1056" s="1975" t="s">
        <v>383</v>
      </c>
      <c r="B1056" s="1976" t="s">
        <v>3294</v>
      </c>
      <c r="C1056" s="1977"/>
      <c r="D1056" s="1977"/>
      <c r="E1056" s="1978" t="e">
        <f>(E1044+E1045+E1046+E1047+E1048+E1049+E1050+E1051+E1052)-E1055</f>
        <v>#VALUE!</v>
      </c>
      <c r="G1056" s="1975" t="s">
        <v>383</v>
      </c>
      <c r="H1056" s="1976" t="s">
        <v>3294</v>
      </c>
      <c r="I1056" s="1977"/>
      <c r="J1056" s="1977"/>
      <c r="K1056" s="1978" t="e">
        <f>(K1044+K1045+K1046+K1047+K1048+K1049+K1050+K1051+K1052)-K1055</f>
        <v>#VALUE!</v>
      </c>
    </row>
    <row r="1058" spans="1:11" ht="12.75" customHeight="1">
      <c r="A1058" s="2953" t="s">
        <v>3356</v>
      </c>
      <c r="B1058" s="2954"/>
      <c r="C1058" s="2954"/>
      <c r="D1058" s="2954"/>
      <c r="E1058" s="1955">
        <f>VLOOKUP(B1059,'LƯƠNG KT'!$D$110:$AD$184,25,0)</f>
        <v>0</v>
      </c>
      <c r="G1058" s="2953" t="s">
        <v>3356</v>
      </c>
      <c r="H1058" s="2954"/>
      <c r="I1058" s="2954"/>
      <c r="J1058" s="2954"/>
      <c r="K1058" s="1955">
        <f>VLOOKUP(H1059,'LƯƠNG KT'!$D$110:$AD$184,25,0)</f>
        <v>0</v>
      </c>
    </row>
    <row r="1059" spans="1:11" ht="12.75" customHeight="1">
      <c r="A1059" s="1956" t="s">
        <v>356</v>
      </c>
      <c r="B1059" s="1956" t="str">
        <f>'LƯƠNG KT'!$D$136</f>
        <v>T. Lê</v>
      </c>
      <c r="C1059" s="1957"/>
      <c r="D1059" s="1958" t="s">
        <v>2357</v>
      </c>
      <c r="E1059" s="1958" t="s">
        <v>2156</v>
      </c>
      <c r="G1059" s="1956" t="s">
        <v>356</v>
      </c>
      <c r="H1059" s="1956" t="str">
        <f>'LƯƠNG KT'!$D$137</f>
        <v>Nàng Chưa</v>
      </c>
      <c r="I1059" s="1957"/>
      <c r="J1059" s="1958" t="s">
        <v>2357</v>
      </c>
      <c r="K1059" s="1958" t="s">
        <v>2156</v>
      </c>
    </row>
    <row r="1060" spans="1:11" ht="12.75" customHeight="1">
      <c r="A1060" s="1959" t="s">
        <v>3005</v>
      </c>
      <c r="B1060" s="1960" t="s">
        <v>3278</v>
      </c>
      <c r="C1060" s="1961">
        <f>VLOOKUP(B1059,'LƯƠNG KT'!$D$110:$AC$184,8,0)</f>
        <v>128.46172745561594</v>
      </c>
      <c r="D1060" s="1962"/>
      <c r="E1060" s="1962"/>
      <c r="G1060" s="1959" t="s">
        <v>3005</v>
      </c>
      <c r="H1060" s="1960" t="s">
        <v>3278</v>
      </c>
      <c r="I1060" s="1961">
        <f>VLOOKUP(H1059,'LƯƠNG KT'!$D$110:$AC$184,8,0)</f>
        <v>98.882258309960861</v>
      </c>
      <c r="J1060" s="1962"/>
      <c r="K1060" s="1962"/>
    </row>
    <row r="1061" spans="1:11" ht="12.75" customHeight="1">
      <c r="A1061" s="1959" t="s">
        <v>359</v>
      </c>
      <c r="B1061" s="1963" t="s">
        <v>2090</v>
      </c>
      <c r="C1061" s="1961">
        <f>VLOOKUP(B1059,'LƯƠNG KT'!$D$110:$AC$184,3,0)</f>
        <v>0</v>
      </c>
      <c r="D1061" s="1964">
        <v>25000</v>
      </c>
      <c r="E1061" s="1962">
        <f>C1061*D1061</f>
        <v>0</v>
      </c>
      <c r="G1061" s="1959" t="s">
        <v>359</v>
      </c>
      <c r="H1061" s="1963" t="s">
        <v>2090</v>
      </c>
      <c r="I1061" s="1961">
        <f>VLOOKUP(H1059,'LƯƠNG KT'!$D$110:$AC$184,3,0)</f>
        <v>0</v>
      </c>
      <c r="J1061" s="1964">
        <v>25000</v>
      </c>
      <c r="K1061" s="1962">
        <f>I1061*J1061</f>
        <v>0</v>
      </c>
    </row>
    <row r="1062" spans="1:11" ht="12.75" customHeight="1">
      <c r="A1062" s="1959" t="s">
        <v>3279</v>
      </c>
      <c r="B1062" s="1965" t="s">
        <v>3280</v>
      </c>
      <c r="C1062" s="1961" t="str">
        <f>VLOOKUP(B1059,'LƯƠNG KT'!$D$110:$AC$184,10,0)</f>
        <v>C</v>
      </c>
      <c r="D1062" s="1967">
        <f>46.1*$C$1</f>
        <v>30792.956000000002</v>
      </c>
      <c r="E1062" s="1962" t="e">
        <f t="shared" ref="E1062:E1066" si="124">C1062*D1062</f>
        <v>#VALUE!</v>
      </c>
      <c r="G1062" s="1959" t="s">
        <v>3279</v>
      </c>
      <c r="H1062" s="1965" t="s">
        <v>3280</v>
      </c>
      <c r="I1062" s="1961" t="str">
        <f>VLOOKUP(H1059,'LƯƠNG KT'!$D$110:$AC$184,10,0)</f>
        <v>B</v>
      </c>
      <c r="J1062" s="1967">
        <f>46.1*$C$1</f>
        <v>30792.956000000002</v>
      </c>
      <c r="K1062" s="1962" t="e">
        <f t="shared" ref="K1062:K1066" si="125">I1062*J1062</f>
        <v>#VALUE!</v>
      </c>
    </row>
    <row r="1063" spans="1:11" ht="12.75" customHeight="1">
      <c r="A1063" s="1959" t="s">
        <v>3281</v>
      </c>
      <c r="B1063" s="1965" t="s">
        <v>3282</v>
      </c>
      <c r="C1063" s="1961">
        <f>VLOOKUP(B1059,'LƯƠNG KT'!$D$110:$AC$184,11,0)</f>
        <v>4975928</v>
      </c>
      <c r="D1063" s="1964">
        <f>76.9*$C$1</f>
        <v>51366.124000000003</v>
      </c>
      <c r="E1063" s="1962">
        <f t="shared" si="124"/>
        <v>255594134663.07202</v>
      </c>
      <c r="G1063" s="1959" t="s">
        <v>3281</v>
      </c>
      <c r="H1063" s="1965" t="s">
        <v>3282</v>
      </c>
      <c r="I1063" s="1961">
        <f>VLOOKUP(H1059,'LƯƠNG KT'!$D$110:$AC$184,11,0)</f>
        <v>4039095</v>
      </c>
      <c r="J1063" s="1964">
        <f>76.9*$C$1</f>
        <v>51366.124000000003</v>
      </c>
      <c r="K1063" s="1962">
        <f t="shared" si="125"/>
        <v>207472654617.78</v>
      </c>
    </row>
    <row r="1064" spans="1:11" ht="12.75" customHeight="1">
      <c r="A1064" s="1959" t="s">
        <v>374</v>
      </c>
      <c r="B1064" s="1965" t="s">
        <v>3283</v>
      </c>
      <c r="C1064" s="1961">
        <f>VLOOKUP(B1059,'LƯƠNG KT'!$D$110:$AC$184,7,0)</f>
        <v>1379.3953792806835</v>
      </c>
      <c r="D1064" s="1964">
        <f>IF(C1060="A",6.1,IF(C1060="B",5.8,IF(C1060="C",5.5,IF(C1060="C.",5.5,IF(C1060="D",5.2)))))*$C$1</f>
        <v>0</v>
      </c>
      <c r="E1064" s="1962">
        <f t="shared" si="124"/>
        <v>0</v>
      </c>
      <c r="G1064" s="1959" t="s">
        <v>374</v>
      </c>
      <c r="H1064" s="1965" t="s">
        <v>3283</v>
      </c>
      <c r="I1064" s="1961">
        <f>VLOOKUP(H1059,'LƯƠNG KT'!$D$110:$AC$184,7,0)</f>
        <v>1061.777176028751</v>
      </c>
      <c r="J1064" s="1964">
        <f>IF(I1060="A",6.1,IF(I1060="B",5.8,IF(I1060="C",5.5,IF(I1060="C.",5.5,IF(I1060="D",5.2)))))*$C$1</f>
        <v>0</v>
      </c>
      <c r="K1064" s="1962">
        <f t="shared" si="125"/>
        <v>0</v>
      </c>
    </row>
    <row r="1065" spans="1:11" ht="12.75" customHeight="1">
      <c r="A1065" s="1959" t="s">
        <v>3296</v>
      </c>
      <c r="B1065" s="1965" t="s">
        <v>3285</v>
      </c>
      <c r="C1065" s="1961">
        <f>VLOOKUP(B1059,'LƯƠNG KT'!$D$110:$AC$184,12,0)</f>
        <v>21</v>
      </c>
      <c r="D1065" s="1967">
        <f>92.2*$C$1</f>
        <v>61585.912000000004</v>
      </c>
      <c r="E1065" s="1962">
        <f t="shared" si="124"/>
        <v>1293304.152</v>
      </c>
      <c r="G1065" s="1959" t="s">
        <v>3296</v>
      </c>
      <c r="H1065" s="1965" t="s">
        <v>3285</v>
      </c>
      <c r="I1065" s="1961">
        <f>VLOOKUP(H1059,'LƯƠNG KT'!$D$110:$AC$184,12,0)</f>
        <v>25</v>
      </c>
      <c r="J1065" s="1967">
        <f>92.2*$C$1</f>
        <v>61585.912000000004</v>
      </c>
      <c r="K1065" s="1962">
        <f t="shared" si="125"/>
        <v>1539647.8</v>
      </c>
    </row>
    <row r="1066" spans="1:11" ht="12.75" customHeight="1">
      <c r="A1066" s="1959" t="s">
        <v>3297</v>
      </c>
      <c r="B1066" s="1965" t="s">
        <v>3287</v>
      </c>
      <c r="C1066" s="1961">
        <f>VLOOKUP(B1059,'LƯƠNG KT'!$D$110:$AC$184,13,0)</f>
        <v>4</v>
      </c>
      <c r="D1066" s="1964">
        <f>153.8*$C$1</f>
        <v>102732.24800000001</v>
      </c>
      <c r="E1066" s="1962">
        <f t="shared" si="124"/>
        <v>410928.99200000003</v>
      </c>
      <c r="G1066" s="1959" t="s">
        <v>3297</v>
      </c>
      <c r="H1066" s="1965" t="s">
        <v>3287</v>
      </c>
      <c r="I1066" s="1961">
        <f>VLOOKUP(H1059,'LƯƠNG KT'!$D$110:$AC$184,13,0)</f>
        <v>4</v>
      </c>
      <c r="J1066" s="1964">
        <f>153.8*$C$1</f>
        <v>102732.24800000001</v>
      </c>
      <c r="K1066" s="1962">
        <f t="shared" si="125"/>
        <v>410928.99200000003</v>
      </c>
    </row>
    <row r="1067" spans="1:11" ht="12.75" customHeight="1">
      <c r="A1067" s="1959" t="s">
        <v>3354</v>
      </c>
      <c r="B1067" s="1965" t="s">
        <v>3288</v>
      </c>
      <c r="C1067" s="1961">
        <f>VLOOKUP(B1059,'LƯƠNG KT'!$D$110:$AC$184,14,0)</f>
        <v>4</v>
      </c>
      <c r="D1067" s="1964">
        <v>100000</v>
      </c>
      <c r="E1067" s="1962">
        <f>C1067*D1067</f>
        <v>400000</v>
      </c>
      <c r="G1067" s="1959" t="s">
        <v>3354</v>
      </c>
      <c r="H1067" s="1965" t="s">
        <v>3288</v>
      </c>
      <c r="I1067" s="1961">
        <f>VLOOKUP(H1059,'LƯƠNG KT'!$D$110:$AC$184,14,0)</f>
        <v>2</v>
      </c>
      <c r="J1067" s="1964">
        <v>100000</v>
      </c>
      <c r="K1067" s="1962">
        <f>I1067*J1067</f>
        <v>200000</v>
      </c>
    </row>
    <row r="1068" spans="1:11" ht="12.75" customHeight="1">
      <c r="A1068" s="1959" t="s">
        <v>3355</v>
      </c>
      <c r="B1068" s="1965" t="s">
        <v>3288</v>
      </c>
      <c r="C1068" s="1961" t="e">
        <f>VLOOKUP(B1059,'LƯƠNG KT'!$D$110:$AC$184,17,0)</f>
        <v>#N/A</v>
      </c>
      <c r="D1068" s="1964">
        <v>20000</v>
      </c>
      <c r="E1068" s="1962" t="e">
        <f>C1068*D1068</f>
        <v>#N/A</v>
      </c>
      <c r="G1068" s="1959" t="s">
        <v>3355</v>
      </c>
      <c r="H1068" s="1965" t="s">
        <v>3288</v>
      </c>
      <c r="I1068" s="1961" t="e">
        <f>VLOOKUP(H1059,'LƯƠNG KT'!$D$110:$AC$184,17,0)</f>
        <v>#N/A</v>
      </c>
      <c r="J1068" s="1964">
        <v>20000</v>
      </c>
      <c r="K1068" s="1962" t="e">
        <f>I1068*J1068</f>
        <v>#N/A</v>
      </c>
    </row>
    <row r="1069" spans="1:11" ht="12.75" customHeight="1">
      <c r="A1069" s="1959" t="s">
        <v>3289</v>
      </c>
      <c r="B1069" s="1965" t="s">
        <v>3290</v>
      </c>
      <c r="C1069" s="1966"/>
      <c r="D1069" s="1964"/>
      <c r="E1069" s="1962"/>
      <c r="G1069" s="1959" t="s">
        <v>3289</v>
      </c>
      <c r="H1069" s="1965" t="s">
        <v>3290</v>
      </c>
      <c r="I1069" s="1966"/>
      <c r="J1069" s="1964"/>
      <c r="K1069" s="1962"/>
    </row>
    <row r="1070" spans="1:11" ht="12.75" customHeight="1">
      <c r="A1070" s="1968" t="s">
        <v>377</v>
      </c>
      <c r="B1070" s="1969" t="s">
        <v>3291</v>
      </c>
      <c r="C1070" s="1970"/>
      <c r="D1070" s="1971"/>
      <c r="E1070" s="1970"/>
      <c r="G1070" s="1968" t="s">
        <v>377</v>
      </c>
      <c r="H1070" s="1969" t="s">
        <v>3291</v>
      </c>
      <c r="I1070" s="1970"/>
      <c r="J1070" s="1971"/>
      <c r="K1070" s="1970"/>
    </row>
    <row r="1071" spans="1:11" ht="12.75" customHeight="1">
      <c r="A1071" s="1972" t="s">
        <v>379</v>
      </c>
      <c r="B1071" s="1973" t="s">
        <v>3292</v>
      </c>
      <c r="C1071" s="1970"/>
      <c r="D1071" s="1970"/>
      <c r="E1071" s="1970"/>
      <c r="G1071" s="1972" t="s">
        <v>379</v>
      </c>
      <c r="H1071" s="1973" t="s">
        <v>3292</v>
      </c>
      <c r="I1071" s="1970"/>
      <c r="J1071" s="1970"/>
      <c r="K1071" s="1970"/>
    </row>
    <row r="1072" spans="1:11" ht="12.75" customHeight="1">
      <c r="A1072" s="1972" t="s">
        <v>381</v>
      </c>
      <c r="B1072" s="1974" t="s">
        <v>3293</v>
      </c>
      <c r="C1072" s="1970"/>
      <c r="D1072" s="1970"/>
      <c r="E1072" s="1962">
        <f>SUM(E1071)</f>
        <v>0</v>
      </c>
      <c r="G1072" s="1972" t="s">
        <v>381</v>
      </c>
      <c r="H1072" s="1974" t="s">
        <v>3293</v>
      </c>
      <c r="I1072" s="1970"/>
      <c r="J1072" s="1970"/>
      <c r="K1072" s="1962">
        <f>SUM(K1071)</f>
        <v>0</v>
      </c>
    </row>
    <row r="1073" spans="1:11" ht="12.75" customHeight="1">
      <c r="A1073" s="1975" t="s">
        <v>383</v>
      </c>
      <c r="B1073" s="1976" t="s">
        <v>3294</v>
      </c>
      <c r="C1073" s="1977"/>
      <c r="D1073" s="1977"/>
      <c r="E1073" s="1978" t="e">
        <f>(E1061+E1062+E1063+E1064+E1065+E1066+E1067+E1068+E1069)-E1072</f>
        <v>#VALUE!</v>
      </c>
      <c r="G1073" s="1975" t="s">
        <v>383</v>
      </c>
      <c r="H1073" s="1976" t="s">
        <v>3294</v>
      </c>
      <c r="I1073" s="1977"/>
      <c r="J1073" s="1977"/>
      <c r="K1073" s="1978" t="e">
        <f>(K1061+K1062+K1063+K1064+K1065+K1066+K1067+K1068+K1069)-K1072</f>
        <v>#VALUE!</v>
      </c>
    </row>
    <row r="1075" spans="1:11" ht="12.75" customHeight="1">
      <c r="A1075" s="2953" t="s">
        <v>3356</v>
      </c>
      <c r="B1075" s="2954"/>
      <c r="C1075" s="2954"/>
      <c r="D1075" s="2954"/>
      <c r="E1075" s="1955">
        <f>VLOOKUP(B1076,'LƯƠNG KT'!$D$110:$AD$184,25,0)</f>
        <v>0</v>
      </c>
      <c r="G1075" s="2953" t="s">
        <v>3356</v>
      </c>
      <c r="H1075" s="2954"/>
      <c r="I1075" s="2954"/>
      <c r="J1075" s="2954"/>
      <c r="K1075" s="1955">
        <f>VLOOKUP(H1076,'LƯƠNG KT'!$D$110:$AD$184,25,0)</f>
        <v>0</v>
      </c>
    </row>
    <row r="1076" spans="1:11" ht="12.75" customHeight="1">
      <c r="A1076" s="1956" t="s">
        <v>356</v>
      </c>
      <c r="B1076" s="1956" t="str">
        <f>'LƯƠNG KT'!$D$138</f>
        <v>Hà Đức Văn</v>
      </c>
      <c r="C1076" s="1957"/>
      <c r="D1076" s="1958" t="s">
        <v>2357</v>
      </c>
      <c r="E1076" s="1958" t="s">
        <v>2156</v>
      </c>
      <c r="G1076" s="1956" t="s">
        <v>356</v>
      </c>
      <c r="H1076" s="1956" t="str">
        <f>'LƯƠNG KT'!$D$139</f>
        <v>N. Không</v>
      </c>
      <c r="I1076" s="1957"/>
      <c r="J1076" s="1958" t="s">
        <v>2357</v>
      </c>
      <c r="K1076" s="1958" t="s">
        <v>2156</v>
      </c>
    </row>
    <row r="1077" spans="1:11" ht="12.75" customHeight="1">
      <c r="A1077" s="1959" t="s">
        <v>3005</v>
      </c>
      <c r="B1077" s="1960" t="s">
        <v>3278</v>
      </c>
      <c r="C1077" s="1961">
        <f>VLOOKUP(B1076,'LƯƠNG KT'!$D$110:$AC$184,8,0)</f>
        <v>205.18981545895448</v>
      </c>
      <c r="D1077" s="1962"/>
      <c r="E1077" s="1962"/>
      <c r="G1077" s="1959" t="s">
        <v>3005</v>
      </c>
      <c r="H1077" s="1960" t="s">
        <v>3278</v>
      </c>
      <c r="I1077" s="1961">
        <f>VLOOKUP(H1076,'LƯƠNG KT'!$D$110:$AC$184,8,0)</f>
        <v>137.91579646924782</v>
      </c>
      <c r="J1077" s="1962"/>
      <c r="K1077" s="1962"/>
    </row>
    <row r="1078" spans="1:11" ht="12.75" customHeight="1">
      <c r="A1078" s="1959" t="s">
        <v>359</v>
      </c>
      <c r="B1078" s="1963" t="s">
        <v>2090</v>
      </c>
      <c r="C1078" s="1961">
        <f>VLOOKUP(B1076,'LƯƠNG KT'!$D$110:$AC$184,3,0)</f>
        <v>0</v>
      </c>
      <c r="D1078" s="1964">
        <v>25000</v>
      </c>
      <c r="E1078" s="1962">
        <f>C1078*D1078</f>
        <v>0</v>
      </c>
      <c r="G1078" s="1959" t="s">
        <v>359</v>
      </c>
      <c r="H1078" s="1963" t="s">
        <v>2090</v>
      </c>
      <c r="I1078" s="1961">
        <f>VLOOKUP(H1076,'LƯƠNG KT'!$D$110:$AC$184,3,0)</f>
        <v>0</v>
      </c>
      <c r="J1078" s="1964">
        <v>25000</v>
      </c>
      <c r="K1078" s="1962">
        <f>I1078*J1078</f>
        <v>0</v>
      </c>
    </row>
    <row r="1079" spans="1:11" ht="12.75" customHeight="1">
      <c r="A1079" s="1959" t="s">
        <v>3279</v>
      </c>
      <c r="B1079" s="1965" t="s">
        <v>3280</v>
      </c>
      <c r="C1079" s="1961" t="str">
        <f>VLOOKUP(B1076,'LƯƠNG KT'!$D$110:$AC$184,10,0)</f>
        <v>A</v>
      </c>
      <c r="D1079" s="1967">
        <f>46.1*$C$1</f>
        <v>30792.956000000002</v>
      </c>
      <c r="E1079" s="1962" t="e">
        <f t="shared" ref="E1079:E1083" si="126">C1079*D1079</f>
        <v>#VALUE!</v>
      </c>
      <c r="G1079" s="1959" t="s">
        <v>3279</v>
      </c>
      <c r="H1079" s="1965" t="s">
        <v>3280</v>
      </c>
      <c r="I1079" s="1961" t="str">
        <f>VLOOKUP(H1076,'LƯƠNG KT'!$D$110:$AC$184,10,0)</f>
        <v>A</v>
      </c>
      <c r="J1079" s="1967">
        <f>46.1*$C$1</f>
        <v>30792.956000000002</v>
      </c>
      <c r="K1079" s="1962" t="e">
        <f t="shared" ref="K1079:K1083" si="127">I1079*J1079</f>
        <v>#VALUE!</v>
      </c>
    </row>
    <row r="1080" spans="1:11" ht="12.75" customHeight="1">
      <c r="A1080" s="1959" t="s">
        <v>3281</v>
      </c>
      <c r="B1080" s="1965" t="s">
        <v>3282</v>
      </c>
      <c r="C1080" s="1961">
        <f>VLOOKUP(B1076,'LƯƠNG KT'!$D$110:$AC$184,11,0)</f>
        <v>8815020</v>
      </c>
      <c r="D1080" s="1964">
        <f>76.9*$C$1</f>
        <v>51366.124000000003</v>
      </c>
      <c r="E1080" s="1962">
        <f t="shared" si="126"/>
        <v>452793410382.48004</v>
      </c>
      <c r="G1080" s="1959" t="s">
        <v>3281</v>
      </c>
      <c r="H1080" s="1965" t="s">
        <v>3282</v>
      </c>
      <c r="I1080" s="1961">
        <f>VLOOKUP(H1076,'LƯƠNG KT'!$D$110:$AC$184,11,0)</f>
        <v>5924907</v>
      </c>
      <c r="J1080" s="1964">
        <f>76.9*$C$1</f>
        <v>51366.124000000003</v>
      </c>
      <c r="K1080" s="1962">
        <f t="shared" si="127"/>
        <v>304339507650.46802</v>
      </c>
    </row>
    <row r="1081" spans="1:11" ht="12.75" customHeight="1">
      <c r="A1081" s="1959" t="s">
        <v>374</v>
      </c>
      <c r="B1081" s="1965" t="s">
        <v>3283</v>
      </c>
      <c r="C1081" s="1961">
        <f>VLOOKUP(B1076,'LƯƠNG KT'!$D$110:$AC$184,7,0)</f>
        <v>2203.2856705693039</v>
      </c>
      <c r="D1081" s="1964">
        <f>IF(C1077="A",6.1,IF(C1077="B",5.8,IF(C1077="C",5.5,IF(C1077="C.",5.5,IF(C1077="D",5.2)))))*$C$1</f>
        <v>0</v>
      </c>
      <c r="E1081" s="1962">
        <f t="shared" si="126"/>
        <v>0</v>
      </c>
      <c r="G1081" s="1959" t="s">
        <v>374</v>
      </c>
      <c r="H1081" s="1965" t="s">
        <v>3283</v>
      </c>
      <c r="I1081" s="1961">
        <f>VLOOKUP(H1076,'LƯƠNG KT'!$D$110:$AC$184,7,0)</f>
        <v>1480.9112110470762</v>
      </c>
      <c r="J1081" s="1964">
        <f>IF(I1077="A",6.1,IF(I1077="B",5.8,IF(I1077="C",5.5,IF(I1077="C.",5.5,IF(I1077="D",5.2)))))*$C$1</f>
        <v>0</v>
      </c>
      <c r="K1081" s="1962">
        <f t="shared" si="127"/>
        <v>0</v>
      </c>
    </row>
    <row r="1082" spans="1:11" ht="12.75" customHeight="1">
      <c r="A1082" s="1959" t="s">
        <v>3296</v>
      </c>
      <c r="B1082" s="1965" t="s">
        <v>3285</v>
      </c>
      <c r="C1082" s="1961">
        <f>VLOOKUP(B1076,'LƯƠNG KT'!$D$110:$AC$184,12,0)</f>
        <v>23</v>
      </c>
      <c r="D1082" s="1967">
        <f>92.2*$C$1</f>
        <v>61585.912000000004</v>
      </c>
      <c r="E1082" s="1962">
        <f t="shared" si="126"/>
        <v>1416475.976</v>
      </c>
      <c r="G1082" s="1959" t="s">
        <v>3296</v>
      </c>
      <c r="H1082" s="1965" t="s">
        <v>3285</v>
      </c>
      <c r="I1082" s="1961">
        <f>VLOOKUP(H1076,'LƯƠNG KT'!$D$110:$AC$184,12,0)</f>
        <v>24</v>
      </c>
      <c r="J1082" s="1967">
        <f>92.2*$C$1</f>
        <v>61585.912000000004</v>
      </c>
      <c r="K1082" s="1962">
        <f t="shared" si="127"/>
        <v>1478061.888</v>
      </c>
    </row>
    <row r="1083" spans="1:11" ht="12.75" customHeight="1">
      <c r="A1083" s="1959" t="s">
        <v>3297</v>
      </c>
      <c r="B1083" s="1965" t="s">
        <v>3287</v>
      </c>
      <c r="C1083" s="1961">
        <f>VLOOKUP(B1076,'LƯƠNG KT'!$D$110:$AC$184,13,0)</f>
        <v>4</v>
      </c>
      <c r="D1083" s="1964">
        <f>153.8*$C$1</f>
        <v>102732.24800000001</v>
      </c>
      <c r="E1083" s="1962">
        <f t="shared" si="126"/>
        <v>410928.99200000003</v>
      </c>
      <c r="G1083" s="1959" t="s">
        <v>3297</v>
      </c>
      <c r="H1083" s="1965" t="s">
        <v>3287</v>
      </c>
      <c r="I1083" s="1961">
        <f>VLOOKUP(H1076,'LƯƠNG KT'!$D$110:$AC$184,13,0)</f>
        <v>4</v>
      </c>
      <c r="J1083" s="1964">
        <f>153.8*$C$1</f>
        <v>102732.24800000001</v>
      </c>
      <c r="K1083" s="1962">
        <f t="shared" si="127"/>
        <v>410928.99200000003</v>
      </c>
    </row>
    <row r="1084" spans="1:11" ht="12.75" customHeight="1">
      <c r="A1084" s="1959" t="s">
        <v>3354</v>
      </c>
      <c r="B1084" s="1965" t="s">
        <v>3288</v>
      </c>
      <c r="C1084" s="1961">
        <f>VLOOKUP(B1076,'LƯƠNG KT'!$D$110:$AC$184,14,0)</f>
        <v>4</v>
      </c>
      <c r="D1084" s="1964">
        <v>100000</v>
      </c>
      <c r="E1084" s="1962">
        <f>C1084*D1084</f>
        <v>400000</v>
      </c>
      <c r="G1084" s="1959" t="s">
        <v>3354</v>
      </c>
      <c r="H1084" s="1965" t="s">
        <v>3288</v>
      </c>
      <c r="I1084" s="1961">
        <f>VLOOKUP(H1076,'LƯƠNG KT'!$D$110:$AC$184,14,0)</f>
        <v>3</v>
      </c>
      <c r="J1084" s="1964">
        <v>100000</v>
      </c>
      <c r="K1084" s="1962">
        <f>I1084*J1084</f>
        <v>300000</v>
      </c>
    </row>
    <row r="1085" spans="1:11" ht="12.75" customHeight="1">
      <c r="A1085" s="1959" t="s">
        <v>3355</v>
      </c>
      <c r="B1085" s="1965" t="s">
        <v>3288</v>
      </c>
      <c r="C1085" s="1961" t="e">
        <f>VLOOKUP(B1076,'LƯƠNG KT'!$D$110:$AC$184,17,0)</f>
        <v>#N/A</v>
      </c>
      <c r="D1085" s="1964">
        <v>20000</v>
      </c>
      <c r="E1085" s="1962" t="e">
        <f>C1085*D1085</f>
        <v>#N/A</v>
      </c>
      <c r="G1085" s="1959" t="s">
        <v>3355</v>
      </c>
      <c r="H1085" s="1965" t="s">
        <v>3288</v>
      </c>
      <c r="I1085" s="1961" t="e">
        <f>VLOOKUP(H1076,'LƯƠNG KT'!$D$110:$AC$184,17,0)</f>
        <v>#N/A</v>
      </c>
      <c r="J1085" s="1964">
        <v>20000</v>
      </c>
      <c r="K1085" s="1962" t="e">
        <f>I1085*J1085</f>
        <v>#N/A</v>
      </c>
    </row>
    <row r="1086" spans="1:11" ht="12.75" customHeight="1">
      <c r="A1086" s="1959" t="s">
        <v>3289</v>
      </c>
      <c r="B1086" s="1965" t="s">
        <v>3290</v>
      </c>
      <c r="C1086" s="1966"/>
      <c r="D1086" s="1964"/>
      <c r="E1086" s="1962"/>
      <c r="G1086" s="1959" t="s">
        <v>3289</v>
      </c>
      <c r="H1086" s="1965" t="s">
        <v>3290</v>
      </c>
      <c r="I1086" s="1966"/>
      <c r="J1086" s="1964"/>
      <c r="K1086" s="1962"/>
    </row>
    <row r="1087" spans="1:11" ht="12.75" customHeight="1">
      <c r="A1087" s="1968" t="s">
        <v>377</v>
      </c>
      <c r="B1087" s="1969" t="s">
        <v>3291</v>
      </c>
      <c r="C1087" s="1970"/>
      <c r="D1087" s="1971"/>
      <c r="E1087" s="1970"/>
      <c r="G1087" s="1968" t="s">
        <v>377</v>
      </c>
      <c r="H1087" s="1969" t="s">
        <v>3291</v>
      </c>
      <c r="I1087" s="1970"/>
      <c r="J1087" s="1971"/>
      <c r="K1087" s="1970"/>
    </row>
    <row r="1088" spans="1:11" ht="12.75" customHeight="1">
      <c r="A1088" s="1972" t="s">
        <v>379</v>
      </c>
      <c r="B1088" s="1973" t="s">
        <v>3292</v>
      </c>
      <c r="C1088" s="1970"/>
      <c r="D1088" s="1970"/>
      <c r="E1088" s="1970"/>
      <c r="G1088" s="1972" t="s">
        <v>379</v>
      </c>
      <c r="H1088" s="1973" t="s">
        <v>3292</v>
      </c>
      <c r="I1088" s="1970"/>
      <c r="J1088" s="1970"/>
      <c r="K1088" s="1970"/>
    </row>
    <row r="1089" spans="1:11" ht="12.75" customHeight="1">
      <c r="A1089" s="1972" t="s">
        <v>381</v>
      </c>
      <c r="B1089" s="1974" t="s">
        <v>3293</v>
      </c>
      <c r="C1089" s="1970"/>
      <c r="D1089" s="1970"/>
      <c r="E1089" s="1962">
        <f>SUM(E1088)</f>
        <v>0</v>
      </c>
      <c r="G1089" s="1972" t="s">
        <v>381</v>
      </c>
      <c r="H1089" s="1974" t="s">
        <v>3293</v>
      </c>
      <c r="I1089" s="1970"/>
      <c r="J1089" s="1970"/>
      <c r="K1089" s="1962">
        <f>SUM(K1088)</f>
        <v>0</v>
      </c>
    </row>
    <row r="1090" spans="1:11" ht="12.75" customHeight="1">
      <c r="A1090" s="1975" t="s">
        <v>383</v>
      </c>
      <c r="B1090" s="1976" t="s">
        <v>3294</v>
      </c>
      <c r="C1090" s="1977"/>
      <c r="D1090" s="1977"/>
      <c r="E1090" s="1978" t="e">
        <f>(E1078+E1079+E1080+E1081+E1082+E1083+E1084+E1085+E1086)-E1089</f>
        <v>#VALUE!</v>
      </c>
      <c r="G1090" s="1975" t="s">
        <v>383</v>
      </c>
      <c r="H1090" s="1976" t="s">
        <v>3294</v>
      </c>
      <c r="I1090" s="1977"/>
      <c r="J1090" s="1977"/>
      <c r="K1090" s="1978" t="e">
        <f>(K1078+K1079+K1080+K1081+K1082+K1083+K1084+K1085+K1086)-K1089</f>
        <v>#VALUE!</v>
      </c>
    </row>
    <row r="1092" spans="1:11" ht="12.75" customHeight="1">
      <c r="A1092" s="2953" t="s">
        <v>3356</v>
      </c>
      <c r="B1092" s="2954"/>
      <c r="C1092" s="2954"/>
      <c r="D1092" s="2954"/>
      <c r="E1092" s="1955">
        <f>VLOOKUP(B1093,'LƯƠNG KT'!$D$110:$AD$184,25,0)</f>
        <v>0</v>
      </c>
      <c r="G1092" s="2953" t="s">
        <v>3356</v>
      </c>
      <c r="H1092" s="2954"/>
      <c r="I1092" s="2954"/>
      <c r="J1092" s="2954"/>
      <c r="K1092" s="1955">
        <f>VLOOKUP(H1093,'LƯƠNG KT'!$D$110:$AD$184,25,0)</f>
        <v>0</v>
      </c>
    </row>
    <row r="1093" spans="1:11" ht="12.75" customHeight="1">
      <c r="A1093" s="1956" t="s">
        <v>356</v>
      </c>
      <c r="B1093" s="1956" t="str">
        <f>'LƯƠNG KT'!$D$140</f>
        <v>T. Đăm</v>
      </c>
      <c r="C1093" s="1957"/>
      <c r="D1093" s="1958" t="s">
        <v>2357</v>
      </c>
      <c r="E1093" s="1958" t="s">
        <v>2156</v>
      </c>
      <c r="G1093" s="1956" t="s">
        <v>356</v>
      </c>
      <c r="H1093" s="1956" t="str">
        <f>'LƯƠNG KT'!$D$141</f>
        <v xml:space="preserve">Văn Na  </v>
      </c>
      <c r="I1093" s="1957"/>
      <c r="J1093" s="1958" t="s">
        <v>2357</v>
      </c>
      <c r="K1093" s="1958" t="s">
        <v>2156</v>
      </c>
    </row>
    <row r="1094" spans="1:11" ht="12.75" customHeight="1">
      <c r="A1094" s="1959" t="s">
        <v>3005</v>
      </c>
      <c r="B1094" s="1960" t="s">
        <v>3278</v>
      </c>
      <c r="C1094" s="1961">
        <f>VLOOKUP(B1093,'LƯƠNG KT'!$D$110:$AC$184,8,0)</f>
        <v>142.74426948479373</v>
      </c>
      <c r="D1094" s="1962"/>
      <c r="E1094" s="1962"/>
      <c r="G1094" s="1959" t="s">
        <v>3005</v>
      </c>
      <c r="H1094" s="1960" t="s">
        <v>3278</v>
      </c>
      <c r="I1094" s="1961">
        <f>VLOOKUP(H1093,'LƯƠNG KT'!$D$110:$AC$184,8,0)</f>
        <v>246.37385000331651</v>
      </c>
      <c r="J1094" s="1962"/>
      <c r="K1094" s="1962"/>
    </row>
    <row r="1095" spans="1:11" ht="12.75" customHeight="1">
      <c r="A1095" s="1959" t="s">
        <v>359</v>
      </c>
      <c r="B1095" s="1963" t="s">
        <v>2090</v>
      </c>
      <c r="C1095" s="1961">
        <f>VLOOKUP(B1093,'LƯƠNG KT'!$D$110:$AC$184,3,0)</f>
        <v>0</v>
      </c>
      <c r="D1095" s="1964">
        <v>25000</v>
      </c>
      <c r="E1095" s="1962">
        <f>C1095*D1095</f>
        <v>0</v>
      </c>
      <c r="G1095" s="1959" t="s">
        <v>359</v>
      </c>
      <c r="H1095" s="1963" t="s">
        <v>2090</v>
      </c>
      <c r="I1095" s="1961">
        <f>VLOOKUP(H1093,'LƯƠNG KT'!$D$110:$AC$184,3,0)</f>
        <v>0</v>
      </c>
      <c r="J1095" s="1964">
        <v>25000</v>
      </c>
      <c r="K1095" s="1962">
        <f>I1095*J1095</f>
        <v>0</v>
      </c>
    </row>
    <row r="1096" spans="1:11" ht="12.75" customHeight="1">
      <c r="A1096" s="1959" t="s">
        <v>3279</v>
      </c>
      <c r="B1096" s="1965" t="s">
        <v>3280</v>
      </c>
      <c r="C1096" s="1961" t="str">
        <f>VLOOKUP(B1093,'LƯƠNG KT'!$D$110:$AC$184,10,0)</f>
        <v>A</v>
      </c>
      <c r="D1096" s="1967">
        <f>46.1*$C$1</f>
        <v>30792.956000000002</v>
      </c>
      <c r="E1096" s="1962" t="e">
        <f t="shared" ref="E1096:E1100" si="128">C1096*D1096</f>
        <v>#VALUE!</v>
      </c>
      <c r="G1096" s="1959" t="s">
        <v>3279</v>
      </c>
      <c r="H1096" s="1965" t="s">
        <v>3280</v>
      </c>
      <c r="I1096" s="1961" t="str">
        <f>VLOOKUP(H1093,'LƯƠNG KT'!$D$110:$AC$184,10,0)</f>
        <v>A</v>
      </c>
      <c r="J1096" s="1967">
        <f>46.1*$C$1</f>
        <v>30792.956000000002</v>
      </c>
      <c r="K1096" s="1962" t="e">
        <f t="shared" ref="K1096:K1100" si="129">I1096*J1096</f>
        <v>#VALUE!</v>
      </c>
    </row>
    <row r="1097" spans="1:11" ht="12.75" customHeight="1">
      <c r="A1097" s="1959" t="s">
        <v>3281</v>
      </c>
      <c r="B1097" s="1965" t="s">
        <v>3282</v>
      </c>
      <c r="C1097" s="1961">
        <f>VLOOKUP(B1093,'LƯƠNG KT'!$D$110:$AC$184,11,0)</f>
        <v>6132340</v>
      </c>
      <c r="D1097" s="1964">
        <f>76.9*$C$1</f>
        <v>51366.124000000003</v>
      </c>
      <c r="E1097" s="1962">
        <f t="shared" si="128"/>
        <v>314994536850.16003</v>
      </c>
      <c r="G1097" s="1959" t="s">
        <v>3281</v>
      </c>
      <c r="H1097" s="1965" t="s">
        <v>3282</v>
      </c>
      <c r="I1097" s="1961">
        <f>VLOOKUP(H1093,'LƯƠNG KT'!$D$110:$AC$184,11,0)</f>
        <v>10584300</v>
      </c>
      <c r="J1097" s="1964">
        <f>76.9*$C$1</f>
        <v>51366.124000000003</v>
      </c>
      <c r="K1097" s="1962">
        <f t="shared" si="129"/>
        <v>543674466253.20001</v>
      </c>
    </row>
    <row r="1098" spans="1:11" ht="12.75" customHeight="1">
      <c r="A1098" s="1959" t="s">
        <v>374</v>
      </c>
      <c r="B1098" s="1965" t="s">
        <v>3283</v>
      </c>
      <c r="C1098" s="1961">
        <f>VLOOKUP(B1093,'LƯƠNG KT'!$D$110:$AC$184,7,0)</f>
        <v>1532.7583525930022</v>
      </c>
      <c r="D1098" s="1964">
        <f>IF(C1094="A",6.1,IF(C1094="B",5.8,IF(C1094="C",5.5,IF(C1094="C.",5.5,IF(C1094="D",5.2)))))*$C$1</f>
        <v>0</v>
      </c>
      <c r="E1098" s="1962">
        <f t="shared" si="128"/>
        <v>0</v>
      </c>
      <c r="G1098" s="1959" t="s">
        <v>374</v>
      </c>
      <c r="H1098" s="1965" t="s">
        <v>3283</v>
      </c>
      <c r="I1098" s="1961">
        <f>VLOOKUP(H1093,'LƯƠNG KT'!$D$110:$AC$184,7,0)</f>
        <v>2645.5112896374953</v>
      </c>
      <c r="J1098" s="1964">
        <f>IF(I1094="A",6.1,IF(I1094="B",5.8,IF(I1094="C",5.5,IF(I1094="C.",5.5,IF(I1094="D",5.2)))))*$C$1</f>
        <v>0</v>
      </c>
      <c r="K1098" s="1962">
        <f t="shared" si="129"/>
        <v>0</v>
      </c>
    </row>
    <row r="1099" spans="1:11" ht="12.75" customHeight="1">
      <c r="A1099" s="1959" t="s">
        <v>3296</v>
      </c>
      <c r="B1099" s="1965" t="s">
        <v>3285</v>
      </c>
      <c r="C1099" s="1961">
        <f>VLOOKUP(B1093,'LƯƠNG KT'!$D$110:$AC$184,12,0)</f>
        <v>24</v>
      </c>
      <c r="D1099" s="1967">
        <f>92.2*$C$1</f>
        <v>61585.912000000004</v>
      </c>
      <c r="E1099" s="1962">
        <f t="shared" si="128"/>
        <v>1478061.888</v>
      </c>
      <c r="G1099" s="1959" t="s">
        <v>3296</v>
      </c>
      <c r="H1099" s="1965" t="s">
        <v>3285</v>
      </c>
      <c r="I1099" s="1961">
        <f>VLOOKUP(H1093,'LƯƠNG KT'!$D$110:$AC$184,12,0)</f>
        <v>23</v>
      </c>
      <c r="J1099" s="1967">
        <f>92.2*$C$1</f>
        <v>61585.912000000004</v>
      </c>
      <c r="K1099" s="1962">
        <f t="shared" si="129"/>
        <v>1416475.976</v>
      </c>
    </row>
    <row r="1100" spans="1:11" ht="12.75" customHeight="1">
      <c r="A1100" s="1959" t="s">
        <v>3297</v>
      </c>
      <c r="B1100" s="1965" t="s">
        <v>3287</v>
      </c>
      <c r="C1100" s="1961">
        <f>VLOOKUP(B1093,'LƯƠNG KT'!$D$110:$AC$184,13,0)</f>
        <v>4</v>
      </c>
      <c r="D1100" s="1964">
        <f>153.8*$C$1</f>
        <v>102732.24800000001</v>
      </c>
      <c r="E1100" s="1962">
        <f t="shared" si="128"/>
        <v>410928.99200000003</v>
      </c>
      <c r="G1100" s="1959" t="s">
        <v>3297</v>
      </c>
      <c r="H1100" s="1965" t="s">
        <v>3287</v>
      </c>
      <c r="I1100" s="1961">
        <f>VLOOKUP(H1093,'LƯƠNG KT'!$D$110:$AC$184,13,0)</f>
        <v>4</v>
      </c>
      <c r="J1100" s="1964">
        <f>153.8*$C$1</f>
        <v>102732.24800000001</v>
      </c>
      <c r="K1100" s="1962">
        <f t="shared" si="129"/>
        <v>410928.99200000003</v>
      </c>
    </row>
    <row r="1101" spans="1:11" ht="12.75" customHeight="1">
      <c r="A1101" s="1959" t="s">
        <v>3354</v>
      </c>
      <c r="B1101" s="1965" t="s">
        <v>3288</v>
      </c>
      <c r="C1101" s="1961">
        <f>VLOOKUP(B1093,'LƯƠNG KT'!$D$110:$AC$184,14,0)</f>
        <v>2</v>
      </c>
      <c r="D1101" s="1964">
        <v>100000</v>
      </c>
      <c r="E1101" s="1962">
        <f>C1101*D1101</f>
        <v>200000</v>
      </c>
      <c r="G1101" s="1959" t="s">
        <v>3354</v>
      </c>
      <c r="H1101" s="1965" t="s">
        <v>3288</v>
      </c>
      <c r="I1101" s="1961">
        <f>VLOOKUP(H1093,'LƯƠNG KT'!$D$110:$AC$184,14,0)</f>
        <v>3</v>
      </c>
      <c r="J1101" s="1964">
        <v>100000</v>
      </c>
      <c r="K1101" s="1962">
        <f>I1101*J1101</f>
        <v>300000</v>
      </c>
    </row>
    <row r="1102" spans="1:11" ht="12.75" customHeight="1">
      <c r="A1102" s="1959" t="s">
        <v>3355</v>
      </c>
      <c r="B1102" s="1965" t="s">
        <v>3288</v>
      </c>
      <c r="C1102" s="1961" t="e">
        <f>VLOOKUP(B1093,'LƯƠNG KT'!$D$110:$AC$184,17,0)</f>
        <v>#N/A</v>
      </c>
      <c r="D1102" s="1964">
        <v>20000</v>
      </c>
      <c r="E1102" s="1962" t="e">
        <f>C1102*D1102</f>
        <v>#N/A</v>
      </c>
      <c r="G1102" s="1959" t="s">
        <v>3355</v>
      </c>
      <c r="H1102" s="1965" t="s">
        <v>3288</v>
      </c>
      <c r="I1102" s="1961" t="e">
        <f>VLOOKUP(H1093,'LƯƠNG KT'!$D$110:$AC$184,17,0)</f>
        <v>#N/A</v>
      </c>
      <c r="J1102" s="1964">
        <v>20000</v>
      </c>
      <c r="K1102" s="1962" t="e">
        <f>I1102*J1102</f>
        <v>#N/A</v>
      </c>
    </row>
    <row r="1103" spans="1:11" ht="12.75" customHeight="1">
      <c r="A1103" s="1959" t="s">
        <v>3289</v>
      </c>
      <c r="B1103" s="1965" t="s">
        <v>3290</v>
      </c>
      <c r="C1103" s="1966"/>
      <c r="D1103" s="1964"/>
      <c r="E1103" s="1962"/>
      <c r="G1103" s="1959" t="s">
        <v>3289</v>
      </c>
      <c r="H1103" s="1965" t="s">
        <v>3290</v>
      </c>
      <c r="I1103" s="1966"/>
      <c r="J1103" s="1964"/>
      <c r="K1103" s="1962"/>
    </row>
    <row r="1104" spans="1:11" ht="12.75" customHeight="1">
      <c r="A1104" s="1968" t="s">
        <v>377</v>
      </c>
      <c r="B1104" s="1969" t="s">
        <v>3291</v>
      </c>
      <c r="C1104" s="1970"/>
      <c r="D1104" s="1971"/>
      <c r="E1104" s="1970"/>
      <c r="G1104" s="1968" t="s">
        <v>377</v>
      </c>
      <c r="H1104" s="1969" t="s">
        <v>3291</v>
      </c>
      <c r="I1104" s="1970"/>
      <c r="J1104" s="1971"/>
      <c r="K1104" s="1970"/>
    </row>
    <row r="1105" spans="1:11" ht="12.75" customHeight="1">
      <c r="A1105" s="1972" t="s">
        <v>379</v>
      </c>
      <c r="B1105" s="1973" t="s">
        <v>3292</v>
      </c>
      <c r="C1105" s="1970"/>
      <c r="D1105" s="1970"/>
      <c r="E1105" s="1970"/>
      <c r="G1105" s="1972" t="s">
        <v>379</v>
      </c>
      <c r="H1105" s="1973" t="s">
        <v>3292</v>
      </c>
      <c r="I1105" s="1970"/>
      <c r="J1105" s="1970"/>
      <c r="K1105" s="1970"/>
    </row>
    <row r="1106" spans="1:11" ht="12.75" customHeight="1">
      <c r="A1106" s="1972" t="s">
        <v>381</v>
      </c>
      <c r="B1106" s="1974" t="s">
        <v>3293</v>
      </c>
      <c r="C1106" s="1970"/>
      <c r="D1106" s="1970"/>
      <c r="E1106" s="1962">
        <f>SUM(E1105)</f>
        <v>0</v>
      </c>
      <c r="G1106" s="1972" t="s">
        <v>381</v>
      </c>
      <c r="H1106" s="1974" t="s">
        <v>3293</v>
      </c>
      <c r="I1106" s="1970"/>
      <c r="J1106" s="1970"/>
      <c r="K1106" s="1962">
        <f>SUM(K1105)</f>
        <v>0</v>
      </c>
    </row>
    <row r="1107" spans="1:11" ht="12.75" customHeight="1">
      <c r="A1107" s="1975" t="s">
        <v>383</v>
      </c>
      <c r="B1107" s="1976" t="s">
        <v>3294</v>
      </c>
      <c r="C1107" s="1977"/>
      <c r="D1107" s="1977"/>
      <c r="E1107" s="1978" t="e">
        <f>(E1095+E1096+E1097+E1098+E1099+E1100+E1101+E1102+E1103)-E1106</f>
        <v>#VALUE!</v>
      </c>
      <c r="G1107" s="1975" t="s">
        <v>383</v>
      </c>
      <c r="H1107" s="1976" t="s">
        <v>3294</v>
      </c>
      <c r="I1107" s="1977"/>
      <c r="J1107" s="1977"/>
      <c r="K1107" s="1978" t="e">
        <f>(K1095+K1096+K1097+K1098+K1099+K1100+K1101+K1102+K1103)-K1106</f>
        <v>#VALUE!</v>
      </c>
    </row>
    <row r="1108" spans="1:11" ht="51.75" customHeight="1"/>
    <row r="1109" spans="1:11" ht="12.75" customHeight="1">
      <c r="A1109" s="2953" t="s">
        <v>3356</v>
      </c>
      <c r="B1109" s="2954"/>
      <c r="C1109" s="2954"/>
      <c r="D1109" s="2954"/>
      <c r="E1109" s="1955">
        <f>VLOOKUP(B1110,'LƯƠNG KT'!$D$110:$AD$184,25,0)</f>
        <v>0</v>
      </c>
      <c r="G1109" s="2953" t="s">
        <v>3356</v>
      </c>
      <c r="H1109" s="2954"/>
      <c r="I1109" s="2954"/>
      <c r="J1109" s="2954"/>
      <c r="K1109" s="1955">
        <f>VLOOKUP(H1110,'LƯƠNG KT'!$D$110:$AD$184,25,0)</f>
        <v>0</v>
      </c>
    </row>
    <row r="1110" spans="1:11" ht="12.75" customHeight="1">
      <c r="A1110" s="1956" t="s">
        <v>356</v>
      </c>
      <c r="B1110" s="1956" t="str">
        <f>'LƯƠNG KT'!$D$142</f>
        <v>N. Lẹ</v>
      </c>
      <c r="C1110" s="1957"/>
      <c r="D1110" s="1958" t="s">
        <v>2357</v>
      </c>
      <c r="E1110" s="1958" t="s">
        <v>2156</v>
      </c>
      <c r="G1110" s="1956" t="s">
        <v>356</v>
      </c>
      <c r="H1110" s="1956" t="str">
        <f>'LƯƠNG KT'!$D$143</f>
        <v>T. Mi</v>
      </c>
      <c r="I1110" s="1957"/>
      <c r="J1110" s="1958" t="s">
        <v>2357</v>
      </c>
      <c r="K1110" s="1958" t="s">
        <v>2156</v>
      </c>
    </row>
    <row r="1111" spans="1:11" ht="12.75" customHeight="1">
      <c r="A1111" s="1959" t="s">
        <v>3005</v>
      </c>
      <c r="B1111" s="1960" t="s">
        <v>3278</v>
      </c>
      <c r="C1111" s="1961">
        <f>VLOOKUP(B1110,'LƯƠNG KT'!$D$110:$AC$184,8,0)</f>
        <v>239.84121004110736</v>
      </c>
      <c r="D1111" s="1962"/>
      <c r="E1111" s="1962"/>
      <c r="G1111" s="1959" t="s">
        <v>3005</v>
      </c>
      <c r="H1111" s="1960" t="s">
        <v>3278</v>
      </c>
      <c r="I1111" s="1961">
        <f>VLOOKUP(H1110,'LƯƠNG KT'!$D$110:$AC$184,8,0)</f>
        <v>121.96966289689878</v>
      </c>
      <c r="J1111" s="1962"/>
      <c r="K1111" s="1962"/>
    </row>
    <row r="1112" spans="1:11" ht="12.75" customHeight="1">
      <c r="A1112" s="1959" t="s">
        <v>359</v>
      </c>
      <c r="B1112" s="1963" t="s">
        <v>2090</v>
      </c>
      <c r="C1112" s="1961">
        <f>VLOOKUP(B1110,'LƯƠNG KT'!$D$110:$AC$184,3,0)</f>
        <v>0</v>
      </c>
      <c r="D1112" s="1964">
        <v>25000</v>
      </c>
      <c r="E1112" s="1962">
        <f>C1112*D1112</f>
        <v>0</v>
      </c>
      <c r="G1112" s="1959" t="s">
        <v>359</v>
      </c>
      <c r="H1112" s="1963" t="s">
        <v>2090</v>
      </c>
      <c r="I1112" s="1961">
        <f>VLOOKUP(H1110,'LƯƠNG KT'!$D$110:$AC$184,3,0)</f>
        <v>0</v>
      </c>
      <c r="J1112" s="1964">
        <v>25000</v>
      </c>
      <c r="K1112" s="1962">
        <f>I1112*J1112</f>
        <v>0</v>
      </c>
    </row>
    <row r="1113" spans="1:11" ht="12.75" customHeight="1">
      <c r="A1113" s="1959" t="s">
        <v>3279</v>
      </c>
      <c r="B1113" s="1965" t="s">
        <v>3280</v>
      </c>
      <c r="C1113" s="1961" t="str">
        <f>VLOOKUP(B1110,'LƯƠNG KT'!$D$110:$AC$184,10,0)</f>
        <v>A</v>
      </c>
      <c r="D1113" s="1967">
        <f>46.1*$C$1</f>
        <v>30792.956000000002</v>
      </c>
      <c r="E1113" s="1962" t="e">
        <f t="shared" ref="E1113:E1117" si="130">C1113*D1113</f>
        <v>#VALUE!</v>
      </c>
      <c r="G1113" s="1959" t="s">
        <v>3279</v>
      </c>
      <c r="H1113" s="1965" t="s">
        <v>3280</v>
      </c>
      <c r="I1113" s="1961" t="str">
        <f>VLOOKUP(H1110,'LƯƠNG KT'!$D$110:$AC$184,10,0)</f>
        <v>B</v>
      </c>
      <c r="J1113" s="1967">
        <f>46.1*$C$1</f>
        <v>30792.956000000002</v>
      </c>
      <c r="K1113" s="1962" t="e">
        <f t="shared" ref="K1113:K1117" si="131">I1113*J1113</f>
        <v>#VALUE!</v>
      </c>
    </row>
    <row r="1114" spans="1:11" ht="12.75" customHeight="1">
      <c r="A1114" s="1959" t="s">
        <v>3281</v>
      </c>
      <c r="B1114" s="1965" t="s">
        <v>3282</v>
      </c>
      <c r="C1114" s="1961">
        <f>VLOOKUP(B1110,'LƯƠNG KT'!$D$110:$AC$184,11,0)</f>
        <v>10303655</v>
      </c>
      <c r="D1114" s="1964">
        <f>76.9*$C$1</f>
        <v>51366.124000000003</v>
      </c>
      <c r="E1114" s="1962">
        <f t="shared" si="130"/>
        <v>529258820383.22003</v>
      </c>
      <c r="G1114" s="1959" t="s">
        <v>3281</v>
      </c>
      <c r="H1114" s="1965" t="s">
        <v>3282</v>
      </c>
      <c r="I1114" s="1961">
        <f>VLOOKUP(H1110,'LƯƠNG KT'!$D$110:$AC$184,11,0)</f>
        <v>4982158</v>
      </c>
      <c r="J1114" s="1964">
        <f>76.9*$C$1</f>
        <v>51366.124000000003</v>
      </c>
      <c r="K1114" s="1962">
        <f t="shared" si="131"/>
        <v>255914145615.59201</v>
      </c>
    </row>
    <row r="1115" spans="1:11" ht="12.75" customHeight="1">
      <c r="A1115" s="1959" t="s">
        <v>374</v>
      </c>
      <c r="B1115" s="1965" t="s">
        <v>3283</v>
      </c>
      <c r="C1115" s="1961">
        <f>VLOOKUP(B1110,'LƯƠNG KT'!$D$110:$AC$184,7,0)</f>
        <v>2575.3651569577132</v>
      </c>
      <c r="D1115" s="1964">
        <f>IF(C1111="A",6.1,IF(C1111="B",5.8,IF(C1111="C",5.5,IF(C1111="C.",5.5,IF(C1111="D",5.2)))))*$C$1</f>
        <v>0</v>
      </c>
      <c r="E1115" s="1962">
        <f t="shared" si="130"/>
        <v>0</v>
      </c>
      <c r="G1115" s="1959" t="s">
        <v>374</v>
      </c>
      <c r="H1115" s="1965" t="s">
        <v>3283</v>
      </c>
      <c r="I1115" s="1961">
        <f>VLOOKUP(H1110,'LƯƠNG KT'!$D$110:$AC$184,7,0)</f>
        <v>1309.6849368659932</v>
      </c>
      <c r="J1115" s="1964">
        <f>IF(I1111="A",6.1,IF(I1111="B",5.8,IF(I1111="C",5.5,IF(I1111="C.",5.5,IF(I1111="D",5.2)))))*$C$1</f>
        <v>0</v>
      </c>
      <c r="K1115" s="1962">
        <f t="shared" si="131"/>
        <v>0</v>
      </c>
    </row>
    <row r="1116" spans="1:11" ht="12.75" customHeight="1">
      <c r="A1116" s="1959" t="s">
        <v>3296</v>
      </c>
      <c r="B1116" s="1965" t="s">
        <v>3285</v>
      </c>
      <c r="C1116" s="1961">
        <f>VLOOKUP(B1110,'LƯƠNG KT'!$D$110:$AC$184,12,0)</f>
        <v>24</v>
      </c>
      <c r="D1116" s="1967">
        <f>92.2*$C$1</f>
        <v>61585.912000000004</v>
      </c>
      <c r="E1116" s="1962">
        <f t="shared" si="130"/>
        <v>1478061.888</v>
      </c>
      <c r="G1116" s="1959" t="s">
        <v>3296</v>
      </c>
      <c r="H1116" s="1965" t="s">
        <v>3285</v>
      </c>
      <c r="I1116" s="1961">
        <f>VLOOKUP(H1110,'LƯƠNG KT'!$D$110:$AC$184,12,0)</f>
        <v>22</v>
      </c>
      <c r="J1116" s="1967">
        <f>92.2*$C$1</f>
        <v>61585.912000000004</v>
      </c>
      <c r="K1116" s="1962">
        <f t="shared" si="131"/>
        <v>1354890.064</v>
      </c>
    </row>
    <row r="1117" spans="1:11" ht="12.75" customHeight="1">
      <c r="A1117" s="1959" t="s">
        <v>3297</v>
      </c>
      <c r="B1117" s="1965" t="s">
        <v>3287</v>
      </c>
      <c r="C1117" s="1961">
        <f>VLOOKUP(B1110,'LƯƠNG KT'!$D$110:$AC$184,13,0)</f>
        <v>4</v>
      </c>
      <c r="D1117" s="1964">
        <f>153.8*$C$1</f>
        <v>102732.24800000001</v>
      </c>
      <c r="E1117" s="1962">
        <f t="shared" si="130"/>
        <v>410928.99200000003</v>
      </c>
      <c r="G1117" s="1959" t="s">
        <v>3297</v>
      </c>
      <c r="H1117" s="1965" t="s">
        <v>3287</v>
      </c>
      <c r="I1117" s="1961">
        <f>VLOOKUP(H1110,'LƯƠNG KT'!$D$110:$AC$184,13,0)</f>
        <v>3</v>
      </c>
      <c r="J1117" s="1964">
        <f>153.8*$C$1</f>
        <v>102732.24800000001</v>
      </c>
      <c r="K1117" s="1962">
        <f t="shared" si="131"/>
        <v>308196.74400000001</v>
      </c>
    </row>
    <row r="1118" spans="1:11" ht="12.75" customHeight="1">
      <c r="A1118" s="1959" t="s">
        <v>3354</v>
      </c>
      <c r="B1118" s="1965" t="s">
        <v>3288</v>
      </c>
      <c r="C1118" s="1961">
        <f>VLOOKUP(B1110,'LƯƠNG KT'!$D$110:$AC$184,14,0)</f>
        <v>3</v>
      </c>
      <c r="D1118" s="1964">
        <v>100000</v>
      </c>
      <c r="E1118" s="1962">
        <f>C1118*D1118</f>
        <v>300000</v>
      </c>
      <c r="G1118" s="1959" t="s">
        <v>3354</v>
      </c>
      <c r="H1118" s="1965" t="s">
        <v>3288</v>
      </c>
      <c r="I1118" s="1961">
        <f>VLOOKUP(H1110,'LƯƠNG KT'!$D$110:$AC$184,14,0)</f>
        <v>4</v>
      </c>
      <c r="J1118" s="1964">
        <v>100000</v>
      </c>
      <c r="K1118" s="1962">
        <f>I1118*J1118</f>
        <v>400000</v>
      </c>
    </row>
    <row r="1119" spans="1:11" ht="12.75" customHeight="1">
      <c r="A1119" s="1959" t="s">
        <v>3355</v>
      </c>
      <c r="B1119" s="1965" t="s">
        <v>3288</v>
      </c>
      <c r="C1119" s="1961" t="e">
        <f>VLOOKUP(B1110,'LƯƠNG KT'!$D$110:$AC$184,17,0)</f>
        <v>#N/A</v>
      </c>
      <c r="D1119" s="1964">
        <v>20000</v>
      </c>
      <c r="E1119" s="1962" t="e">
        <f>C1119*D1119</f>
        <v>#N/A</v>
      </c>
      <c r="G1119" s="1959" t="s">
        <v>3355</v>
      </c>
      <c r="H1119" s="1965" t="s">
        <v>3288</v>
      </c>
      <c r="I1119" s="1961" t="e">
        <f>VLOOKUP(H1110,'LƯƠNG KT'!$D$110:$AC$184,17,0)</f>
        <v>#N/A</v>
      </c>
      <c r="J1119" s="1964">
        <v>20000</v>
      </c>
      <c r="K1119" s="1962" t="e">
        <f>I1119*J1119</f>
        <v>#N/A</v>
      </c>
    </row>
    <row r="1120" spans="1:11" ht="12.75" customHeight="1">
      <c r="A1120" s="1959" t="s">
        <v>3289</v>
      </c>
      <c r="B1120" s="1965" t="s">
        <v>3290</v>
      </c>
      <c r="C1120" s="1966"/>
      <c r="D1120" s="1964"/>
      <c r="E1120" s="1962"/>
      <c r="G1120" s="1959" t="s">
        <v>3289</v>
      </c>
      <c r="H1120" s="1965" t="s">
        <v>3290</v>
      </c>
      <c r="I1120" s="1966"/>
      <c r="J1120" s="1964"/>
      <c r="K1120" s="1962"/>
    </row>
    <row r="1121" spans="1:11" ht="12.75" customHeight="1">
      <c r="A1121" s="1968" t="s">
        <v>377</v>
      </c>
      <c r="B1121" s="1969" t="s">
        <v>3291</v>
      </c>
      <c r="C1121" s="1970"/>
      <c r="D1121" s="1971"/>
      <c r="E1121" s="1970"/>
      <c r="G1121" s="1968" t="s">
        <v>377</v>
      </c>
      <c r="H1121" s="1969" t="s">
        <v>3291</v>
      </c>
      <c r="I1121" s="1970"/>
      <c r="J1121" s="1971"/>
      <c r="K1121" s="1970"/>
    </row>
    <row r="1122" spans="1:11" ht="12.75" customHeight="1">
      <c r="A1122" s="1972" t="s">
        <v>379</v>
      </c>
      <c r="B1122" s="1973" t="s">
        <v>3292</v>
      </c>
      <c r="C1122" s="1970"/>
      <c r="D1122" s="1970"/>
      <c r="E1122" s="1970"/>
      <c r="G1122" s="1972" t="s">
        <v>379</v>
      </c>
      <c r="H1122" s="1973" t="s">
        <v>3292</v>
      </c>
      <c r="I1122" s="1970"/>
      <c r="J1122" s="1970"/>
      <c r="K1122" s="1970"/>
    </row>
    <row r="1123" spans="1:11" ht="12.75" customHeight="1">
      <c r="A1123" s="1972" t="s">
        <v>381</v>
      </c>
      <c r="B1123" s="1974" t="s">
        <v>3293</v>
      </c>
      <c r="C1123" s="1970"/>
      <c r="D1123" s="1970"/>
      <c r="E1123" s="1962">
        <f>SUM(E1122)</f>
        <v>0</v>
      </c>
      <c r="G1123" s="1972" t="s">
        <v>381</v>
      </c>
      <c r="H1123" s="1974" t="s">
        <v>3293</v>
      </c>
      <c r="I1123" s="1970"/>
      <c r="J1123" s="1970"/>
      <c r="K1123" s="1962">
        <f>SUM(K1122)</f>
        <v>0</v>
      </c>
    </row>
    <row r="1124" spans="1:11" ht="12.75" customHeight="1">
      <c r="A1124" s="1975" t="s">
        <v>383</v>
      </c>
      <c r="B1124" s="1976" t="s">
        <v>3294</v>
      </c>
      <c r="C1124" s="1977"/>
      <c r="D1124" s="1977"/>
      <c r="E1124" s="1978" t="e">
        <f>(E1112+E1113+E1114+E1115+E1116+E1117+E1118+E1119+E1120)-E1123</f>
        <v>#VALUE!</v>
      </c>
      <c r="G1124" s="1975" t="s">
        <v>383</v>
      </c>
      <c r="H1124" s="1976" t="s">
        <v>3294</v>
      </c>
      <c r="I1124" s="1977"/>
      <c r="J1124" s="1977"/>
      <c r="K1124" s="1978" t="e">
        <f>(K1112+K1113+K1114+K1115+K1116+K1117+K1118+K1119+K1120)-K1123</f>
        <v>#VALUE!</v>
      </c>
    </row>
    <row r="1126" spans="1:11" ht="12.75" customHeight="1">
      <c r="A1126" s="2953" t="s">
        <v>3356</v>
      </c>
      <c r="B1126" s="2954"/>
      <c r="C1126" s="2954"/>
      <c r="D1126" s="2954"/>
      <c r="E1126" s="1955">
        <f>VLOOKUP(B1127,'LƯƠNG KT'!$D$110:$AD$184,25,0)</f>
        <v>0</v>
      </c>
      <c r="G1126" s="2953" t="s">
        <v>3356</v>
      </c>
      <c r="H1126" s="2954"/>
      <c r="I1126" s="2954"/>
      <c r="J1126" s="2954"/>
      <c r="K1126" s="1955">
        <f>VLOOKUP(H1127,'LƯƠNG KT'!$D$110:$AD$184,25,0)</f>
        <v>0</v>
      </c>
    </row>
    <row r="1127" spans="1:11" ht="12.75" customHeight="1">
      <c r="A1127" s="1956" t="s">
        <v>356</v>
      </c>
      <c r="B1127" s="1956" t="str">
        <f>'LƯƠNG KT'!$D$144</f>
        <v>Thảo Pi</v>
      </c>
      <c r="C1127" s="1957"/>
      <c r="D1127" s="1958" t="s">
        <v>2357</v>
      </c>
      <c r="E1127" s="1958" t="s">
        <v>2156</v>
      </c>
      <c r="G1127" s="1956" t="s">
        <v>356</v>
      </c>
      <c r="H1127" s="1956" t="str">
        <f>'LƯƠNG KT'!$D$145</f>
        <v>T. Mút</v>
      </c>
      <c r="I1127" s="1957"/>
      <c r="J1127" s="1958" t="s">
        <v>2357</v>
      </c>
      <c r="K1127" s="1958" t="s">
        <v>2156</v>
      </c>
    </row>
    <row r="1128" spans="1:11" ht="12.75" customHeight="1">
      <c r="A1128" s="1959" t="s">
        <v>3005</v>
      </c>
      <c r="B1128" s="1960" t="s">
        <v>3278</v>
      </c>
      <c r="C1128" s="1961">
        <f>VLOOKUP(B1127,'LƯƠNG KT'!$D$110:$AC$184,8,0)</f>
        <v>32.703775214537735</v>
      </c>
      <c r="D1128" s="1962"/>
      <c r="E1128" s="1962"/>
      <c r="G1128" s="1959" t="s">
        <v>3005</v>
      </c>
      <c r="H1128" s="1960" t="s">
        <v>3278</v>
      </c>
      <c r="I1128" s="1961">
        <f>VLOOKUP(H1127,'LƯƠNG KT'!$D$110:$AC$184,8,0)</f>
        <v>139.70111422289506</v>
      </c>
      <c r="J1128" s="1962"/>
      <c r="K1128" s="1962"/>
    </row>
    <row r="1129" spans="1:11" ht="12.75" customHeight="1">
      <c r="A1129" s="1959" t="s">
        <v>359</v>
      </c>
      <c r="B1129" s="1963" t="s">
        <v>2090</v>
      </c>
      <c r="C1129" s="1961">
        <f>VLOOKUP(B1127,'LƯƠNG KT'!$D$110:$AC$184,3,0)</f>
        <v>0</v>
      </c>
      <c r="D1129" s="1964">
        <v>25000</v>
      </c>
      <c r="E1129" s="1962">
        <f>C1129*D1129</f>
        <v>0</v>
      </c>
      <c r="G1129" s="1959" t="s">
        <v>359</v>
      </c>
      <c r="H1129" s="1963" t="s">
        <v>2090</v>
      </c>
      <c r="I1129" s="1961">
        <f>VLOOKUP(H1127,'LƯƠNG KT'!$D$110:$AC$184,3,0)</f>
        <v>0</v>
      </c>
      <c r="J1129" s="1964">
        <v>25000</v>
      </c>
      <c r="K1129" s="1962">
        <f>I1129*J1129</f>
        <v>0</v>
      </c>
    </row>
    <row r="1130" spans="1:11" ht="12.75" customHeight="1">
      <c r="A1130" s="1959" t="s">
        <v>3279</v>
      </c>
      <c r="B1130" s="1965" t="s">
        <v>3280</v>
      </c>
      <c r="C1130" s="1961" t="str">
        <f>VLOOKUP(B1127,'LƯƠNG KT'!$D$110:$AC$184,10,0)</f>
        <v>B</v>
      </c>
      <c r="D1130" s="1967">
        <f>46.1*$C$1</f>
        <v>30792.956000000002</v>
      </c>
      <c r="E1130" s="1962" t="e">
        <f t="shared" ref="E1130:E1134" si="132">C1130*D1130</f>
        <v>#VALUE!</v>
      </c>
      <c r="G1130" s="1959" t="s">
        <v>3279</v>
      </c>
      <c r="H1130" s="1965" t="s">
        <v>3280</v>
      </c>
      <c r="I1130" s="1961" t="str">
        <f>VLOOKUP(H1127,'LƯƠNG KT'!$D$110:$AC$184,10,0)</f>
        <v>B</v>
      </c>
      <c r="J1130" s="1967">
        <f>46.1*$C$1</f>
        <v>30792.956000000002</v>
      </c>
      <c r="K1130" s="1962" t="e">
        <f t="shared" ref="K1130:K1134" si="133">I1130*J1130</f>
        <v>#VALUE!</v>
      </c>
    </row>
    <row r="1131" spans="1:11" ht="12.75" customHeight="1">
      <c r="A1131" s="1959" t="s">
        <v>3281</v>
      </c>
      <c r="B1131" s="1965" t="s">
        <v>3282</v>
      </c>
      <c r="C1131" s="1961">
        <f>VLOOKUP(B1127,'LƯƠNG KT'!$D$110:$AC$184,11,0)</f>
        <v>1335868</v>
      </c>
      <c r="D1131" s="1964">
        <f>76.9*$C$1</f>
        <v>51366.124000000003</v>
      </c>
      <c r="E1131" s="1962">
        <f t="shared" si="132"/>
        <v>68618361335.632004</v>
      </c>
      <c r="G1131" s="1959" t="s">
        <v>3281</v>
      </c>
      <c r="H1131" s="1965" t="s">
        <v>3282</v>
      </c>
      <c r="I1131" s="1961">
        <f>VLOOKUP(H1127,'LƯƠNG KT'!$D$110:$AC$184,11,0)</f>
        <v>5706444</v>
      </c>
      <c r="J1131" s="1964">
        <f>76.9*$C$1</f>
        <v>51366.124000000003</v>
      </c>
      <c r="K1131" s="1962">
        <f t="shared" si="133"/>
        <v>293117910103.05603</v>
      </c>
    </row>
    <row r="1132" spans="1:11" ht="12.75" customHeight="1">
      <c r="A1132" s="1959" t="s">
        <v>374</v>
      </c>
      <c r="B1132" s="1965" t="s">
        <v>3283</v>
      </c>
      <c r="C1132" s="1961">
        <f>VLOOKUP(B1127,'LƯƠNG KT'!$D$110:$AC$184,7,0)</f>
        <v>351.1663536640022</v>
      </c>
      <c r="D1132" s="1964">
        <f>IF(C1128="A",6.1,IF(C1128="B",5.8,IF(C1128="C",5.5,IF(C1128="C.",5.5,IF(C1128="D",5.2)))))*$C$1</f>
        <v>0</v>
      </c>
      <c r="E1132" s="1962">
        <f t="shared" si="132"/>
        <v>0</v>
      </c>
      <c r="G1132" s="1959" t="s">
        <v>374</v>
      </c>
      <c r="H1132" s="1965" t="s">
        <v>3283</v>
      </c>
      <c r="I1132" s="1961">
        <f>VLOOKUP(H1127,'LƯƠNG KT'!$D$110:$AC$184,7,0)</f>
        <v>1500.081582711116</v>
      </c>
      <c r="J1132" s="1964">
        <f>IF(I1128="A",6.1,IF(I1128="B",5.8,IF(I1128="C",5.5,IF(I1128="C.",5.5,IF(I1128="D",5.2)))))*$C$1</f>
        <v>0</v>
      </c>
      <c r="K1132" s="1962">
        <f t="shared" si="133"/>
        <v>0</v>
      </c>
    </row>
    <row r="1133" spans="1:11" ht="12.75" customHeight="1">
      <c r="A1133" s="1959" t="s">
        <v>3296</v>
      </c>
      <c r="B1133" s="1965" t="s">
        <v>3285</v>
      </c>
      <c r="C1133" s="1961">
        <f>VLOOKUP(B1127,'LƯƠNG KT'!$D$110:$AC$184,12,0)</f>
        <v>7</v>
      </c>
      <c r="D1133" s="1967">
        <f>92.2*$C$1</f>
        <v>61585.912000000004</v>
      </c>
      <c r="E1133" s="1962">
        <f t="shared" si="132"/>
        <v>431101.38400000002</v>
      </c>
      <c r="G1133" s="1959" t="s">
        <v>3296</v>
      </c>
      <c r="H1133" s="1965" t="s">
        <v>3285</v>
      </c>
      <c r="I1133" s="1961">
        <f>VLOOKUP(H1127,'LƯƠNG KT'!$D$110:$AC$184,12,0)</f>
        <v>23</v>
      </c>
      <c r="J1133" s="1967">
        <f>92.2*$C$1</f>
        <v>61585.912000000004</v>
      </c>
      <c r="K1133" s="1962">
        <f t="shared" si="133"/>
        <v>1416475.976</v>
      </c>
    </row>
    <row r="1134" spans="1:11" ht="12.75" customHeight="1">
      <c r="A1134" s="1959" t="s">
        <v>3297</v>
      </c>
      <c r="B1134" s="1965" t="s">
        <v>3287</v>
      </c>
      <c r="C1134" s="1961">
        <f>VLOOKUP(B1127,'LƯƠNG KT'!$D$110:$AC$184,13,0)</f>
        <v>1</v>
      </c>
      <c r="D1134" s="1964">
        <f>153.8*$C$1</f>
        <v>102732.24800000001</v>
      </c>
      <c r="E1134" s="1962">
        <f t="shared" si="132"/>
        <v>102732.24800000001</v>
      </c>
      <c r="G1134" s="1959" t="s">
        <v>3297</v>
      </c>
      <c r="H1134" s="1965" t="s">
        <v>3287</v>
      </c>
      <c r="I1134" s="1961">
        <f>VLOOKUP(H1127,'LƯƠNG KT'!$D$110:$AC$184,13,0)</f>
        <v>3</v>
      </c>
      <c r="J1134" s="1964">
        <f>153.8*$C$1</f>
        <v>102732.24800000001</v>
      </c>
      <c r="K1134" s="1962">
        <f t="shared" si="133"/>
        <v>308196.74400000001</v>
      </c>
    </row>
    <row r="1135" spans="1:11" ht="12.75" customHeight="1">
      <c r="A1135" s="1959" t="s">
        <v>3354</v>
      </c>
      <c r="B1135" s="1965" t="s">
        <v>3288</v>
      </c>
      <c r="C1135" s="1961">
        <f>VLOOKUP(B1127,'LƯƠNG KT'!$D$110:$AC$184,14,0)</f>
        <v>2</v>
      </c>
      <c r="D1135" s="1964">
        <v>100000</v>
      </c>
      <c r="E1135" s="1962">
        <f>C1135*D1135</f>
        <v>200000</v>
      </c>
      <c r="G1135" s="1959" t="s">
        <v>3354</v>
      </c>
      <c r="H1135" s="1965" t="s">
        <v>3288</v>
      </c>
      <c r="I1135" s="1961">
        <f>VLOOKUP(H1127,'LƯƠNG KT'!$D$110:$AC$184,14,0)</f>
        <v>4</v>
      </c>
      <c r="J1135" s="1964">
        <v>100000</v>
      </c>
      <c r="K1135" s="1962">
        <f>I1135*J1135</f>
        <v>400000</v>
      </c>
    </row>
    <row r="1136" spans="1:11" ht="12.75" customHeight="1">
      <c r="A1136" s="1959" t="s">
        <v>3355</v>
      </c>
      <c r="B1136" s="1965" t="s">
        <v>3288</v>
      </c>
      <c r="C1136" s="1961" t="e">
        <f>VLOOKUP(B1127,'LƯƠNG KT'!$D$110:$AC$184,17,0)</f>
        <v>#N/A</v>
      </c>
      <c r="D1136" s="1964">
        <v>20000</v>
      </c>
      <c r="E1136" s="1962" t="e">
        <f>C1136*D1136</f>
        <v>#N/A</v>
      </c>
      <c r="G1136" s="1959" t="s">
        <v>3355</v>
      </c>
      <c r="H1136" s="1965" t="s">
        <v>3288</v>
      </c>
      <c r="I1136" s="1961" t="e">
        <f>VLOOKUP(H1127,'LƯƠNG KT'!$D$110:$AC$184,17,0)</f>
        <v>#N/A</v>
      </c>
      <c r="J1136" s="1964">
        <v>20000</v>
      </c>
      <c r="K1136" s="1962" t="e">
        <f>I1136*J1136</f>
        <v>#N/A</v>
      </c>
    </row>
    <row r="1137" spans="1:11" ht="12.75" customHeight="1">
      <c r="A1137" s="1959" t="s">
        <v>3289</v>
      </c>
      <c r="B1137" s="1965" t="s">
        <v>3290</v>
      </c>
      <c r="C1137" s="1966"/>
      <c r="D1137" s="1964"/>
      <c r="E1137" s="1962"/>
      <c r="G1137" s="1959" t="s">
        <v>3289</v>
      </c>
      <c r="H1137" s="1965" t="s">
        <v>3290</v>
      </c>
      <c r="I1137" s="1966"/>
      <c r="J1137" s="1964"/>
      <c r="K1137" s="1962"/>
    </row>
    <row r="1138" spans="1:11" ht="12.75" customHeight="1">
      <c r="A1138" s="1968" t="s">
        <v>377</v>
      </c>
      <c r="B1138" s="1969" t="s">
        <v>3291</v>
      </c>
      <c r="C1138" s="1970"/>
      <c r="D1138" s="1971"/>
      <c r="E1138" s="1970"/>
      <c r="G1138" s="1968" t="s">
        <v>377</v>
      </c>
      <c r="H1138" s="1969" t="s">
        <v>3291</v>
      </c>
      <c r="I1138" s="1970"/>
      <c r="J1138" s="1971"/>
      <c r="K1138" s="1970"/>
    </row>
    <row r="1139" spans="1:11" ht="12.75" customHeight="1">
      <c r="A1139" s="1972" t="s">
        <v>379</v>
      </c>
      <c r="B1139" s="1973" t="s">
        <v>3292</v>
      </c>
      <c r="C1139" s="1970"/>
      <c r="D1139" s="1970"/>
      <c r="E1139" s="1970"/>
      <c r="G1139" s="1972" t="s">
        <v>379</v>
      </c>
      <c r="H1139" s="1973" t="s">
        <v>3292</v>
      </c>
      <c r="I1139" s="1970"/>
      <c r="J1139" s="1970"/>
      <c r="K1139" s="1970"/>
    </row>
    <row r="1140" spans="1:11" ht="12.75" customHeight="1">
      <c r="A1140" s="1972" t="s">
        <v>381</v>
      </c>
      <c r="B1140" s="1974" t="s">
        <v>3293</v>
      </c>
      <c r="C1140" s="1970"/>
      <c r="D1140" s="1970"/>
      <c r="E1140" s="1962">
        <f>SUM(E1139)</f>
        <v>0</v>
      </c>
      <c r="G1140" s="1972" t="s">
        <v>381</v>
      </c>
      <c r="H1140" s="1974" t="s">
        <v>3293</v>
      </c>
      <c r="I1140" s="1970"/>
      <c r="J1140" s="1970"/>
      <c r="K1140" s="1962">
        <f>SUM(K1139)</f>
        <v>0</v>
      </c>
    </row>
    <row r="1141" spans="1:11" ht="12.75" customHeight="1">
      <c r="A1141" s="1975" t="s">
        <v>383</v>
      </c>
      <c r="B1141" s="1976" t="s">
        <v>3294</v>
      </c>
      <c r="C1141" s="1977"/>
      <c r="D1141" s="1977"/>
      <c r="E1141" s="1978" t="e">
        <f>(E1129+E1130+E1131+E1132+E1133+E1134+E1135+E1136+E1137)-E1140</f>
        <v>#VALUE!</v>
      </c>
      <c r="G1141" s="1975" t="s">
        <v>383</v>
      </c>
      <c r="H1141" s="1976" t="s">
        <v>3294</v>
      </c>
      <c r="I1141" s="1977"/>
      <c r="J1141" s="1977"/>
      <c r="K1141" s="1978" t="e">
        <f>(K1129+K1130+K1131+K1132+K1133+K1134+K1135+K1136+K1137)-K1140</f>
        <v>#VALUE!</v>
      </c>
    </row>
    <row r="1143" spans="1:11" ht="12.75" customHeight="1">
      <c r="A1143" s="2953" t="s">
        <v>3356</v>
      </c>
      <c r="B1143" s="2954"/>
      <c r="C1143" s="2954"/>
      <c r="D1143" s="2954"/>
      <c r="E1143" s="1955">
        <f>VLOOKUP(B1144,'LƯƠNG KT'!$D$110:$AD$184,25,0)</f>
        <v>0</v>
      </c>
      <c r="G1143" s="2953" t="s">
        <v>3356</v>
      </c>
      <c r="H1143" s="2954"/>
      <c r="I1143" s="2954"/>
      <c r="J1143" s="2954"/>
      <c r="K1143" s="1955">
        <f>VLOOKUP(H1144,'LƯƠNG KT'!$D$110:$AD$184,25,0)</f>
        <v>0</v>
      </c>
    </row>
    <row r="1144" spans="1:11" ht="12.75" customHeight="1">
      <c r="A1144" s="1956" t="s">
        <v>356</v>
      </c>
      <c r="B1144" s="1956" t="str">
        <f>'LƯƠNG KT'!$D$146</f>
        <v>T. Lươn</v>
      </c>
      <c r="C1144" s="1957"/>
      <c r="D1144" s="1958" t="s">
        <v>2357</v>
      </c>
      <c r="E1144" s="1958" t="s">
        <v>2156</v>
      </c>
      <c r="G1144" s="1956" t="s">
        <v>356</v>
      </c>
      <c r="H1144" s="1956" t="str">
        <f>'LƯƠNG KT'!$D$147</f>
        <v>N. Đon</v>
      </c>
      <c r="I1144" s="1957"/>
      <c r="J1144" s="1958" t="s">
        <v>2357</v>
      </c>
      <c r="K1144" s="1958" t="s">
        <v>2156</v>
      </c>
    </row>
    <row r="1145" spans="1:11" ht="12.75" customHeight="1">
      <c r="A1145" s="1959" t="s">
        <v>3005</v>
      </c>
      <c r="B1145" s="1960" t="s">
        <v>3278</v>
      </c>
      <c r="C1145" s="1961">
        <f>VLOOKUP(B1144,'LƯƠNG KT'!$D$110:$AC$184,8,0)</f>
        <v>108.33632732359274</v>
      </c>
      <c r="D1145" s="1962"/>
      <c r="E1145" s="1962"/>
      <c r="G1145" s="1959" t="s">
        <v>3005</v>
      </c>
      <c r="H1145" s="1960" t="s">
        <v>3278</v>
      </c>
      <c r="I1145" s="1961">
        <f>VLOOKUP(H1144,'LƯƠNG KT'!$D$110:$AC$184,8,0)</f>
        <v>74.861619442707337</v>
      </c>
      <c r="J1145" s="1962"/>
      <c r="K1145" s="1962"/>
    </row>
    <row r="1146" spans="1:11" ht="12.75" customHeight="1">
      <c r="A1146" s="1959" t="s">
        <v>359</v>
      </c>
      <c r="B1146" s="1963" t="s">
        <v>2090</v>
      </c>
      <c r="C1146" s="1961">
        <f>VLOOKUP(B1144,'LƯƠNG KT'!$D$110:$AC$184,3,0)</f>
        <v>0</v>
      </c>
      <c r="D1146" s="1964">
        <v>25000</v>
      </c>
      <c r="E1146" s="1962">
        <f>C1146*D1146</f>
        <v>0</v>
      </c>
      <c r="G1146" s="1959" t="s">
        <v>359</v>
      </c>
      <c r="H1146" s="1963" t="s">
        <v>2090</v>
      </c>
      <c r="I1146" s="1961">
        <f>VLOOKUP(H1144,'LƯƠNG KT'!$D$110:$AC$184,3,0)</f>
        <v>0</v>
      </c>
      <c r="J1146" s="1964">
        <v>25000</v>
      </c>
      <c r="K1146" s="1962">
        <f>I1146*J1146</f>
        <v>0</v>
      </c>
    </row>
    <row r="1147" spans="1:11" ht="12.75" customHeight="1">
      <c r="A1147" s="1959" t="s">
        <v>3279</v>
      </c>
      <c r="B1147" s="1965" t="s">
        <v>3280</v>
      </c>
      <c r="C1147" s="1961" t="str">
        <f>VLOOKUP(B1144,'LƯƠNG KT'!$D$110:$AC$184,10,0)</f>
        <v>B</v>
      </c>
      <c r="D1147" s="1967">
        <f>46.1*$C$1</f>
        <v>30792.956000000002</v>
      </c>
      <c r="E1147" s="1962" t="e">
        <f t="shared" ref="E1147:E1151" si="134">C1147*D1147</f>
        <v>#VALUE!</v>
      </c>
      <c r="G1147" s="1959" t="s">
        <v>3279</v>
      </c>
      <c r="H1147" s="1965" t="s">
        <v>3280</v>
      </c>
      <c r="I1147" s="1961" t="str">
        <f>VLOOKUP(H1144,'LƯƠNG KT'!$D$110:$AC$184,10,0)</f>
        <v>A</v>
      </c>
      <c r="J1147" s="1967">
        <f>46.1*$C$1</f>
        <v>30792.956000000002</v>
      </c>
      <c r="K1147" s="1962" t="e">
        <f t="shared" ref="K1147:K1151" si="135">I1147*J1147</f>
        <v>#VALUE!</v>
      </c>
    </row>
    <row r="1148" spans="1:11" ht="12.75" customHeight="1">
      <c r="A1148" s="1959" t="s">
        <v>3281</v>
      </c>
      <c r="B1148" s="1965" t="s">
        <v>3282</v>
      </c>
      <c r="C1148" s="1961">
        <f>VLOOKUP(B1144,'LƯƠNG KT'!$D$110:$AC$184,11,0)</f>
        <v>4425270</v>
      </c>
      <c r="D1148" s="1964">
        <f>76.9*$C$1</f>
        <v>51366.124000000003</v>
      </c>
      <c r="E1148" s="1962">
        <f t="shared" si="134"/>
        <v>227308967553.48001</v>
      </c>
      <c r="G1148" s="1959" t="s">
        <v>3281</v>
      </c>
      <c r="H1148" s="1965" t="s">
        <v>3282</v>
      </c>
      <c r="I1148" s="1961">
        <f>VLOOKUP(H1144,'LƯƠNG KT'!$D$110:$AC$184,11,0)</f>
        <v>3216079</v>
      </c>
      <c r="J1148" s="1964">
        <f>76.9*$C$1</f>
        <v>51366.124000000003</v>
      </c>
      <c r="K1148" s="1962">
        <f t="shared" si="135"/>
        <v>165197512707.79602</v>
      </c>
    </row>
    <row r="1149" spans="1:11" ht="12.75" customHeight="1">
      <c r="A1149" s="1959" t="s">
        <v>374</v>
      </c>
      <c r="B1149" s="1965" t="s">
        <v>3283</v>
      </c>
      <c r="C1149" s="1961">
        <f>VLOOKUP(B1144,'LƯƠNG KT'!$D$110:$AC$184,7,0)</f>
        <v>1163.2930077951437</v>
      </c>
      <c r="D1149" s="1964">
        <f>IF(C1145="A",6.1,IF(C1145="B",5.8,IF(C1145="C",5.5,IF(C1145="C.",5.5,IF(C1145="D",5.2)))))*$C$1</f>
        <v>0</v>
      </c>
      <c r="E1149" s="1962">
        <f t="shared" si="134"/>
        <v>0</v>
      </c>
      <c r="G1149" s="1959" t="s">
        <v>374</v>
      </c>
      <c r="H1149" s="1965" t="s">
        <v>3283</v>
      </c>
      <c r="I1149" s="1961">
        <f>VLOOKUP(H1144,'LƯƠNG KT'!$D$110:$AC$184,7,0)</f>
        <v>803.8485390943971</v>
      </c>
      <c r="J1149" s="1964">
        <f>IF(I1145="A",6.1,IF(I1145="B",5.8,IF(I1145="C",5.5,IF(I1145="C.",5.5,IF(I1145="D",5.2)))))*$C$1</f>
        <v>0</v>
      </c>
      <c r="K1149" s="1962">
        <f t="shared" si="135"/>
        <v>0</v>
      </c>
    </row>
    <row r="1150" spans="1:11" ht="12.75" customHeight="1">
      <c r="A1150" s="1959" t="s">
        <v>3296</v>
      </c>
      <c r="B1150" s="1965" t="s">
        <v>3285</v>
      </c>
      <c r="C1150" s="1961">
        <f>VLOOKUP(B1144,'LƯƠNG KT'!$D$110:$AC$184,12,0)</f>
        <v>19</v>
      </c>
      <c r="D1150" s="1967">
        <f>92.2*$C$1</f>
        <v>61585.912000000004</v>
      </c>
      <c r="E1150" s="1962">
        <f t="shared" si="134"/>
        <v>1170132.328</v>
      </c>
      <c r="G1150" s="1959" t="s">
        <v>3296</v>
      </c>
      <c r="H1150" s="1965" t="s">
        <v>3285</v>
      </c>
      <c r="I1150" s="1961">
        <f>VLOOKUP(H1144,'LƯƠNG KT'!$D$110:$AC$184,12,0)</f>
        <v>15</v>
      </c>
      <c r="J1150" s="1967">
        <f>92.2*$C$1</f>
        <v>61585.912000000004</v>
      </c>
      <c r="K1150" s="1962">
        <f t="shared" si="135"/>
        <v>923788.68</v>
      </c>
    </row>
    <row r="1151" spans="1:11" ht="12.75" customHeight="1">
      <c r="A1151" s="1959" t="s">
        <v>3297</v>
      </c>
      <c r="B1151" s="1965" t="s">
        <v>3287</v>
      </c>
      <c r="C1151" s="1961">
        <f>VLOOKUP(B1144,'LƯƠNG KT'!$D$110:$AC$184,13,0)</f>
        <v>4</v>
      </c>
      <c r="D1151" s="1964">
        <f>153.8*$C$1</f>
        <v>102732.24800000001</v>
      </c>
      <c r="E1151" s="1962">
        <f t="shared" si="134"/>
        <v>410928.99200000003</v>
      </c>
      <c r="G1151" s="1959" t="s">
        <v>3297</v>
      </c>
      <c r="H1151" s="1965" t="s">
        <v>3287</v>
      </c>
      <c r="I1151" s="1961">
        <f>VLOOKUP(H1144,'LƯƠNG KT'!$D$110:$AC$184,13,0)</f>
        <v>2</v>
      </c>
      <c r="J1151" s="1964">
        <f>153.8*$C$1</f>
        <v>102732.24800000001</v>
      </c>
      <c r="K1151" s="1962">
        <f t="shared" si="135"/>
        <v>205464.49600000001</v>
      </c>
    </row>
    <row r="1152" spans="1:11" ht="12.75" customHeight="1">
      <c r="A1152" s="1959" t="s">
        <v>3354</v>
      </c>
      <c r="B1152" s="1965" t="s">
        <v>3288</v>
      </c>
      <c r="C1152" s="1961">
        <f>VLOOKUP(B1144,'LƯƠNG KT'!$D$110:$AC$184,14,0)</f>
        <v>4</v>
      </c>
      <c r="D1152" s="1964">
        <v>100000</v>
      </c>
      <c r="E1152" s="1962">
        <f>C1152*D1152</f>
        <v>400000</v>
      </c>
      <c r="G1152" s="1959" t="s">
        <v>3354</v>
      </c>
      <c r="H1152" s="1965" t="s">
        <v>3288</v>
      </c>
      <c r="I1152" s="1961">
        <f>VLOOKUP(H1144,'LƯƠNG KT'!$D$110:$AC$184,14,0)</f>
        <v>2</v>
      </c>
      <c r="J1152" s="1964">
        <v>100000</v>
      </c>
      <c r="K1152" s="1962">
        <f>I1152*J1152</f>
        <v>200000</v>
      </c>
    </row>
    <row r="1153" spans="1:11" ht="12.75" customHeight="1">
      <c r="A1153" s="1959" t="s">
        <v>3355</v>
      </c>
      <c r="B1153" s="1965" t="s">
        <v>3288</v>
      </c>
      <c r="C1153" s="1961" t="e">
        <f>VLOOKUP(B1144,'LƯƠNG KT'!$D$110:$AC$184,17,0)</f>
        <v>#N/A</v>
      </c>
      <c r="D1153" s="1964">
        <v>20000</v>
      </c>
      <c r="E1153" s="1962" t="e">
        <f>C1153*D1153</f>
        <v>#N/A</v>
      </c>
      <c r="G1153" s="1959" t="s">
        <v>3355</v>
      </c>
      <c r="H1153" s="1965" t="s">
        <v>3288</v>
      </c>
      <c r="I1153" s="1961" t="e">
        <f>VLOOKUP(H1144,'LƯƠNG KT'!$D$110:$AC$184,17,0)</f>
        <v>#N/A</v>
      </c>
      <c r="J1153" s="1964">
        <v>20000</v>
      </c>
      <c r="K1153" s="1962" t="e">
        <f>I1153*J1153</f>
        <v>#N/A</v>
      </c>
    </row>
    <row r="1154" spans="1:11" ht="12.75" customHeight="1">
      <c r="A1154" s="1959" t="s">
        <v>3289</v>
      </c>
      <c r="B1154" s="1965" t="s">
        <v>3290</v>
      </c>
      <c r="C1154" s="1966"/>
      <c r="D1154" s="1964"/>
      <c r="E1154" s="1962"/>
      <c r="G1154" s="1959" t="s">
        <v>3289</v>
      </c>
      <c r="H1154" s="1965" t="s">
        <v>3290</v>
      </c>
      <c r="I1154" s="1966"/>
      <c r="J1154" s="1964"/>
      <c r="K1154" s="1962"/>
    </row>
    <row r="1155" spans="1:11" ht="12.75" customHeight="1">
      <c r="A1155" s="1968" t="s">
        <v>377</v>
      </c>
      <c r="B1155" s="1969" t="s">
        <v>3291</v>
      </c>
      <c r="C1155" s="1970"/>
      <c r="D1155" s="1971"/>
      <c r="E1155" s="1970"/>
      <c r="G1155" s="1968" t="s">
        <v>377</v>
      </c>
      <c r="H1155" s="1969" t="s">
        <v>3291</v>
      </c>
      <c r="I1155" s="1970"/>
      <c r="J1155" s="1971"/>
      <c r="K1155" s="1970"/>
    </row>
    <row r="1156" spans="1:11" ht="12.75" customHeight="1">
      <c r="A1156" s="1972" t="s">
        <v>379</v>
      </c>
      <c r="B1156" s="1973" t="s">
        <v>3292</v>
      </c>
      <c r="C1156" s="1970"/>
      <c r="D1156" s="1970"/>
      <c r="E1156" s="1970"/>
      <c r="G1156" s="1972" t="s">
        <v>379</v>
      </c>
      <c r="H1156" s="1973" t="s">
        <v>3292</v>
      </c>
      <c r="I1156" s="1970"/>
      <c r="J1156" s="1970"/>
      <c r="K1156" s="1970"/>
    </row>
    <row r="1157" spans="1:11" ht="12.75" customHeight="1">
      <c r="A1157" s="1972" t="s">
        <v>381</v>
      </c>
      <c r="B1157" s="1974" t="s">
        <v>3293</v>
      </c>
      <c r="C1157" s="1970"/>
      <c r="D1157" s="1970"/>
      <c r="E1157" s="1962">
        <f>SUM(E1156)</f>
        <v>0</v>
      </c>
      <c r="G1157" s="1972" t="s">
        <v>381</v>
      </c>
      <c r="H1157" s="1974" t="s">
        <v>3293</v>
      </c>
      <c r="I1157" s="1970"/>
      <c r="J1157" s="1970"/>
      <c r="K1157" s="1962">
        <f>SUM(K1156)</f>
        <v>0</v>
      </c>
    </row>
    <row r="1158" spans="1:11" ht="12.75" customHeight="1">
      <c r="A1158" s="1975" t="s">
        <v>383</v>
      </c>
      <c r="B1158" s="1976" t="s">
        <v>3294</v>
      </c>
      <c r="C1158" s="1977"/>
      <c r="D1158" s="1977"/>
      <c r="E1158" s="1978" t="e">
        <f>(E1146+E1147+E1148+E1149+E1150+E1151+E1152+E1153+E1154)-E1157</f>
        <v>#VALUE!</v>
      </c>
      <c r="G1158" s="1975" t="s">
        <v>383</v>
      </c>
      <c r="H1158" s="1976" t="s">
        <v>3294</v>
      </c>
      <c r="I1158" s="1977"/>
      <c r="J1158" s="1977"/>
      <c r="K1158" s="1978" t="e">
        <f>(K1146+K1147+K1148+K1149+K1150+K1151+K1152+K1153+K1154)-K1157</f>
        <v>#VALUE!</v>
      </c>
    </row>
    <row r="1160" spans="1:11" ht="12.75" customHeight="1">
      <c r="A1160" s="2953" t="s">
        <v>3356</v>
      </c>
      <c r="B1160" s="2954"/>
      <c r="C1160" s="2954"/>
      <c r="D1160" s="2954"/>
      <c r="E1160" s="1955">
        <f>VLOOKUP(B1161,'LƯƠNG KT'!$D$110:$AD$184,25,0)</f>
        <v>0</v>
      </c>
      <c r="G1160" s="2953" t="s">
        <v>3356</v>
      </c>
      <c r="H1160" s="2954"/>
      <c r="I1160" s="2954"/>
      <c r="J1160" s="2954"/>
      <c r="K1160" s="1955">
        <f>VLOOKUP(H1161,'LƯƠNG KT'!$D$110:$AD$184,25,0)</f>
        <v>0</v>
      </c>
    </row>
    <row r="1161" spans="1:11" ht="12.75" customHeight="1">
      <c r="A1161" s="1956" t="s">
        <v>356</v>
      </c>
      <c r="B1161" s="1956" t="str">
        <f>'LƯƠNG KT'!$D$148</f>
        <v>T. Ô</v>
      </c>
      <c r="C1161" s="1957"/>
      <c r="D1161" s="1958" t="s">
        <v>2357</v>
      </c>
      <c r="E1161" s="1958" t="s">
        <v>2156</v>
      </c>
      <c r="G1161" s="1956" t="s">
        <v>356</v>
      </c>
      <c r="H1161" s="1956" t="str">
        <f>'LƯƠNG KT'!$D$149</f>
        <v>N. Su Pha</v>
      </c>
      <c r="I1161" s="1957"/>
      <c r="J1161" s="1958" t="s">
        <v>2357</v>
      </c>
      <c r="K1161" s="1958" t="s">
        <v>2156</v>
      </c>
    </row>
    <row r="1162" spans="1:11" ht="12.75" customHeight="1">
      <c r="A1162" s="1959" t="s">
        <v>3005</v>
      </c>
      <c r="B1162" s="1960" t="s">
        <v>3278</v>
      </c>
      <c r="C1162" s="1961">
        <f>VLOOKUP(B1161,'LƯƠNG KT'!$D$110:$AC$184,8,0)</f>
        <v>128.90805689402777</v>
      </c>
      <c r="D1162" s="1962"/>
      <c r="E1162" s="1962"/>
      <c r="G1162" s="1959" t="s">
        <v>3005</v>
      </c>
      <c r="H1162" s="1960" t="s">
        <v>3278</v>
      </c>
      <c r="I1162" s="1961">
        <f>VLOOKUP(H1161,'LƯƠNG KT'!$D$110:$AC$184,8,0)</f>
        <v>128.66460447307585</v>
      </c>
      <c r="J1162" s="1962"/>
      <c r="K1162" s="1962"/>
    </row>
    <row r="1163" spans="1:11" ht="12.75" customHeight="1">
      <c r="A1163" s="1959" t="s">
        <v>359</v>
      </c>
      <c r="B1163" s="1963" t="s">
        <v>2090</v>
      </c>
      <c r="C1163" s="1961">
        <f>VLOOKUP(B1161,'LƯƠNG KT'!$D$110:$AC$184,3,0)</f>
        <v>0</v>
      </c>
      <c r="D1163" s="1964">
        <v>25000</v>
      </c>
      <c r="E1163" s="1962">
        <f>C1163*D1163</f>
        <v>0</v>
      </c>
      <c r="G1163" s="1959" t="s">
        <v>359</v>
      </c>
      <c r="H1163" s="1963" t="s">
        <v>2090</v>
      </c>
      <c r="I1163" s="1961">
        <f>VLOOKUP(H1161,'LƯƠNG KT'!$D$110:$AC$184,3,0)</f>
        <v>0</v>
      </c>
      <c r="J1163" s="1964">
        <v>25000</v>
      </c>
      <c r="K1163" s="1962">
        <f>I1163*J1163</f>
        <v>0</v>
      </c>
    </row>
    <row r="1164" spans="1:11" ht="12.75" customHeight="1">
      <c r="A1164" s="1959" t="s">
        <v>3279</v>
      </c>
      <c r="B1164" s="1965" t="s">
        <v>3280</v>
      </c>
      <c r="C1164" s="1961" t="str">
        <f>VLOOKUP(B1161,'LƯƠNG KT'!$D$110:$AC$184,10,0)</f>
        <v>A</v>
      </c>
      <c r="D1164" s="1967">
        <f>46.1*$C$1</f>
        <v>30792.956000000002</v>
      </c>
      <c r="E1164" s="1962" t="e">
        <f t="shared" ref="E1164:E1168" si="136">C1164*D1164</f>
        <v>#VALUE!</v>
      </c>
      <c r="G1164" s="1959" t="s">
        <v>3279</v>
      </c>
      <c r="H1164" s="1965" t="s">
        <v>3280</v>
      </c>
      <c r="I1164" s="1961" t="str">
        <f>VLOOKUP(H1161,'LƯƠNG KT'!$D$110:$AC$184,10,0)</f>
        <v>B</v>
      </c>
      <c r="J1164" s="1967">
        <f>46.1*$C$1</f>
        <v>30792.956000000002</v>
      </c>
      <c r="K1164" s="1962" t="e">
        <f t="shared" ref="K1164:K1168" si="137">I1164*J1164</f>
        <v>#VALUE!</v>
      </c>
    </row>
    <row r="1165" spans="1:11" ht="12.75" customHeight="1">
      <c r="A1165" s="1959" t="s">
        <v>3281</v>
      </c>
      <c r="B1165" s="1965" t="s">
        <v>3282</v>
      </c>
      <c r="C1165" s="1961">
        <f>VLOOKUP(B1161,'LƯƠNG KT'!$D$110:$AC$184,11,0)</f>
        <v>5537931</v>
      </c>
      <c r="D1165" s="1964">
        <f>76.9*$C$1</f>
        <v>51366.124000000003</v>
      </c>
      <c r="E1165" s="1962">
        <f t="shared" si="136"/>
        <v>284462050449.44403</v>
      </c>
      <c r="G1165" s="1959" t="s">
        <v>3281</v>
      </c>
      <c r="H1165" s="1965" t="s">
        <v>3282</v>
      </c>
      <c r="I1165" s="1961">
        <f>VLOOKUP(H1161,'LƯƠNG KT'!$D$110:$AC$184,11,0)</f>
        <v>5255630</v>
      </c>
      <c r="J1165" s="1964">
        <f>76.9*$C$1</f>
        <v>51366.124000000003</v>
      </c>
      <c r="K1165" s="1962">
        <f t="shared" si="137"/>
        <v>269961342278.12003</v>
      </c>
    </row>
    <row r="1166" spans="1:11" ht="12.75" customHeight="1">
      <c r="A1166" s="1959" t="s">
        <v>374</v>
      </c>
      <c r="B1166" s="1965" t="s">
        <v>3283</v>
      </c>
      <c r="C1166" s="1961">
        <f>VLOOKUP(B1161,'LƯƠNG KT'!$D$110:$AC$184,7,0)</f>
        <v>1384.1879721966934</v>
      </c>
      <c r="D1166" s="1964">
        <f>IF(C1162="A",6.1,IF(C1162="B",5.8,IF(C1162="C",5.5,IF(C1162="C.",5.5,IF(C1162="D",5.2)))))*$C$1</f>
        <v>0</v>
      </c>
      <c r="E1166" s="1962">
        <f t="shared" si="136"/>
        <v>0</v>
      </c>
      <c r="G1166" s="1959" t="s">
        <v>374</v>
      </c>
      <c r="H1166" s="1965" t="s">
        <v>3283</v>
      </c>
      <c r="I1166" s="1961">
        <f>VLOOKUP(H1161,'LƯƠNG KT'!$D$110:$AC$184,7,0)</f>
        <v>1381.5738306061426</v>
      </c>
      <c r="J1166" s="1964">
        <f>IF(I1162="A",6.1,IF(I1162="B",5.8,IF(I1162="C",5.5,IF(I1162="C.",5.5,IF(I1162="D",5.2)))))*$C$1</f>
        <v>0</v>
      </c>
      <c r="K1166" s="1962">
        <f t="shared" si="137"/>
        <v>0</v>
      </c>
    </row>
    <row r="1167" spans="1:11" ht="12.75" customHeight="1">
      <c r="A1167" s="1959" t="s">
        <v>3296</v>
      </c>
      <c r="B1167" s="1965" t="s">
        <v>3285</v>
      </c>
      <c r="C1167" s="1961">
        <f>VLOOKUP(B1161,'LƯƠNG KT'!$D$110:$AC$184,12,0)</f>
        <v>21</v>
      </c>
      <c r="D1167" s="1967">
        <f>92.2*$C$1</f>
        <v>61585.912000000004</v>
      </c>
      <c r="E1167" s="1962">
        <f t="shared" si="136"/>
        <v>1293304.152</v>
      </c>
      <c r="G1167" s="1959" t="s">
        <v>3296</v>
      </c>
      <c r="H1167" s="1965" t="s">
        <v>3285</v>
      </c>
      <c r="I1167" s="1961">
        <f>VLOOKUP(H1161,'LƯƠNG KT'!$D$110:$AC$184,12,0)</f>
        <v>21</v>
      </c>
      <c r="J1167" s="1967">
        <f>92.2*$C$1</f>
        <v>61585.912000000004</v>
      </c>
      <c r="K1167" s="1962">
        <f t="shared" si="137"/>
        <v>1293304.152</v>
      </c>
    </row>
    <row r="1168" spans="1:11" ht="12.75" customHeight="1">
      <c r="A1168" s="1959" t="s">
        <v>3297</v>
      </c>
      <c r="B1168" s="1965" t="s">
        <v>3287</v>
      </c>
      <c r="C1168" s="1961">
        <f>VLOOKUP(B1161,'LƯƠNG KT'!$D$110:$AC$184,13,0)</f>
        <v>4</v>
      </c>
      <c r="D1168" s="1964">
        <f>153.8*$C$1</f>
        <v>102732.24800000001</v>
      </c>
      <c r="E1168" s="1962">
        <f t="shared" si="136"/>
        <v>410928.99200000003</v>
      </c>
      <c r="G1168" s="1959" t="s">
        <v>3297</v>
      </c>
      <c r="H1168" s="1965" t="s">
        <v>3287</v>
      </c>
      <c r="I1168" s="1961">
        <f>VLOOKUP(H1161,'LƯƠNG KT'!$D$110:$AC$184,13,0)</f>
        <v>4</v>
      </c>
      <c r="J1168" s="1964">
        <f>153.8*$C$1</f>
        <v>102732.24800000001</v>
      </c>
      <c r="K1168" s="1962">
        <f t="shared" si="137"/>
        <v>410928.99200000003</v>
      </c>
    </row>
    <row r="1169" spans="1:11" ht="12.75" customHeight="1">
      <c r="A1169" s="1959" t="s">
        <v>3354</v>
      </c>
      <c r="B1169" s="1965" t="s">
        <v>3288</v>
      </c>
      <c r="C1169" s="1961">
        <f>VLOOKUP(B1161,'LƯƠNG KT'!$D$110:$AC$184,14,0)</f>
        <v>5</v>
      </c>
      <c r="D1169" s="1964">
        <v>100000</v>
      </c>
      <c r="E1169" s="1962">
        <f>C1169*D1169</f>
        <v>500000</v>
      </c>
      <c r="G1169" s="1959" t="s">
        <v>3354</v>
      </c>
      <c r="H1169" s="1965" t="s">
        <v>3288</v>
      </c>
      <c r="I1169" s="1961">
        <f>VLOOKUP(H1161,'LƯƠNG KT'!$D$110:$AC$184,14,0)</f>
        <v>5</v>
      </c>
      <c r="J1169" s="1964">
        <v>100000</v>
      </c>
      <c r="K1169" s="1962">
        <f>I1169*J1169</f>
        <v>500000</v>
      </c>
    </row>
    <row r="1170" spans="1:11" ht="12.75" customHeight="1">
      <c r="A1170" s="1959" t="s">
        <v>3355</v>
      </c>
      <c r="B1170" s="1965" t="s">
        <v>3288</v>
      </c>
      <c r="C1170" s="1961" t="e">
        <f>VLOOKUP(B1161,'LƯƠNG KT'!$D$110:$AC$184,17,0)</f>
        <v>#N/A</v>
      </c>
      <c r="D1170" s="1964">
        <v>20000</v>
      </c>
      <c r="E1170" s="1962" t="e">
        <f>C1170*D1170</f>
        <v>#N/A</v>
      </c>
      <c r="G1170" s="1959" t="s">
        <v>3355</v>
      </c>
      <c r="H1170" s="1965" t="s">
        <v>3288</v>
      </c>
      <c r="I1170" s="1961" t="e">
        <f>VLOOKUP(H1161,'LƯƠNG KT'!$D$110:$AC$184,17,0)</f>
        <v>#N/A</v>
      </c>
      <c r="J1170" s="1964">
        <v>20000</v>
      </c>
      <c r="K1170" s="1962" t="e">
        <f>I1170*J1170</f>
        <v>#N/A</v>
      </c>
    </row>
    <row r="1171" spans="1:11" ht="12.75" customHeight="1">
      <c r="A1171" s="1959" t="s">
        <v>3289</v>
      </c>
      <c r="B1171" s="1965" t="s">
        <v>3290</v>
      </c>
      <c r="C1171" s="1966"/>
      <c r="D1171" s="1964"/>
      <c r="E1171" s="1962"/>
      <c r="G1171" s="1959" t="s">
        <v>3289</v>
      </c>
      <c r="H1171" s="1965" t="s">
        <v>3290</v>
      </c>
      <c r="I1171" s="1966"/>
      <c r="J1171" s="1964"/>
      <c r="K1171" s="1962"/>
    </row>
    <row r="1172" spans="1:11" ht="12.75" customHeight="1">
      <c r="A1172" s="1968" t="s">
        <v>377</v>
      </c>
      <c r="B1172" s="1969" t="s">
        <v>3291</v>
      </c>
      <c r="C1172" s="1970"/>
      <c r="D1172" s="1971"/>
      <c r="E1172" s="1970"/>
      <c r="G1172" s="1968" t="s">
        <v>377</v>
      </c>
      <c r="H1172" s="1969" t="s">
        <v>3291</v>
      </c>
      <c r="I1172" s="1970"/>
      <c r="J1172" s="1971"/>
      <c r="K1172" s="1970"/>
    </row>
    <row r="1173" spans="1:11" ht="12.75" customHeight="1">
      <c r="A1173" s="1972" t="s">
        <v>379</v>
      </c>
      <c r="B1173" s="1973" t="s">
        <v>3292</v>
      </c>
      <c r="C1173" s="1970"/>
      <c r="D1173" s="1970"/>
      <c r="E1173" s="1970"/>
      <c r="G1173" s="1972" t="s">
        <v>379</v>
      </c>
      <c r="H1173" s="1973" t="s">
        <v>3292</v>
      </c>
      <c r="I1173" s="1970"/>
      <c r="J1173" s="1970"/>
      <c r="K1173" s="1970"/>
    </row>
    <row r="1174" spans="1:11" ht="12.75" customHeight="1">
      <c r="A1174" s="1972" t="s">
        <v>381</v>
      </c>
      <c r="B1174" s="1974" t="s">
        <v>3293</v>
      </c>
      <c r="C1174" s="1970"/>
      <c r="D1174" s="1970"/>
      <c r="E1174" s="1962">
        <f>SUM(E1173)</f>
        <v>0</v>
      </c>
      <c r="G1174" s="1972" t="s">
        <v>381</v>
      </c>
      <c r="H1174" s="1974" t="s">
        <v>3293</v>
      </c>
      <c r="I1174" s="1970"/>
      <c r="J1174" s="1970"/>
      <c r="K1174" s="1962">
        <f>SUM(K1173)</f>
        <v>0</v>
      </c>
    </row>
    <row r="1175" spans="1:11" ht="12.75" customHeight="1">
      <c r="A1175" s="1975" t="s">
        <v>383</v>
      </c>
      <c r="B1175" s="1976" t="s">
        <v>3294</v>
      </c>
      <c r="C1175" s="1977"/>
      <c r="D1175" s="1977"/>
      <c r="E1175" s="1978" t="e">
        <f>(E1163+E1164+E1165+E1166+E1167+E1168+E1169+E1170+E1171)-E1174</f>
        <v>#VALUE!</v>
      </c>
      <c r="G1175" s="1975" t="s">
        <v>383</v>
      </c>
      <c r="H1175" s="1976" t="s">
        <v>3294</v>
      </c>
      <c r="I1175" s="1977"/>
      <c r="J1175" s="1977"/>
      <c r="K1175" s="1978" t="e">
        <f>(K1163+K1164+K1165+K1166+K1167+K1168+K1169+K1170+K1171)-K1174</f>
        <v>#VALUE!</v>
      </c>
    </row>
    <row r="1177" spans="1:11" ht="12.75" customHeight="1">
      <c r="A1177" s="2953" t="s">
        <v>3356</v>
      </c>
      <c r="B1177" s="2954"/>
      <c r="C1177" s="2954"/>
      <c r="D1177" s="2954"/>
      <c r="E1177" s="1955">
        <f>VLOOKUP(B1178,'LƯƠNG KT'!$D$110:$AD$184,25,0)</f>
        <v>0</v>
      </c>
      <c r="G1177" s="2953" t="s">
        <v>3356</v>
      </c>
      <c r="H1177" s="2954"/>
      <c r="I1177" s="2954"/>
      <c r="J1177" s="2954"/>
      <c r="K1177" s="1955">
        <f>VLOOKUP(H1178,'LƯƠNG KT'!$D$110:$AD$184,25,0)</f>
        <v>0</v>
      </c>
    </row>
    <row r="1178" spans="1:11" ht="12.75" customHeight="1">
      <c r="A1178" s="1956" t="s">
        <v>356</v>
      </c>
      <c r="B1178" s="1956" t="str">
        <f>'LƯƠNG KT'!$D$150</f>
        <v>N. Lọi</v>
      </c>
      <c r="C1178" s="1957"/>
      <c r="D1178" s="1958" t="s">
        <v>2357</v>
      </c>
      <c r="E1178" s="1958" t="s">
        <v>2156</v>
      </c>
      <c r="G1178" s="1956" t="s">
        <v>356</v>
      </c>
      <c r="H1178" s="1956" t="str">
        <f>'LƯƠNG KT'!$D$151</f>
        <v>T. Nin</v>
      </c>
      <c r="I1178" s="1957"/>
      <c r="J1178" s="1958" t="s">
        <v>2357</v>
      </c>
      <c r="K1178" s="1958" t="s">
        <v>2156</v>
      </c>
    </row>
    <row r="1179" spans="1:11" ht="12.75" customHeight="1">
      <c r="A1179" s="1959" t="s">
        <v>3005</v>
      </c>
      <c r="B1179" s="1960" t="s">
        <v>3278</v>
      </c>
      <c r="C1179" s="1961">
        <f>VLOOKUP(B1178,'LƯƠNG KT'!$D$110:$AC$184,8,0)</f>
        <v>176.94933462853481</v>
      </c>
      <c r="D1179" s="1962"/>
      <c r="E1179" s="1962"/>
      <c r="G1179" s="1959" t="s">
        <v>3005</v>
      </c>
      <c r="H1179" s="1960" t="s">
        <v>3278</v>
      </c>
      <c r="I1179" s="1961">
        <f>VLOOKUP(H1178,'LƯƠNG KT'!$D$110:$AC$184,8,0)</f>
        <v>130.24704520926318</v>
      </c>
      <c r="J1179" s="1962"/>
      <c r="K1179" s="1962"/>
    </row>
    <row r="1180" spans="1:11" ht="12.75" customHeight="1">
      <c r="A1180" s="1959" t="s">
        <v>359</v>
      </c>
      <c r="B1180" s="1963" t="s">
        <v>2090</v>
      </c>
      <c r="C1180" s="1961">
        <f>VLOOKUP(B1178,'LƯƠNG KT'!$D$110:$AC$184,3,0)</f>
        <v>0</v>
      </c>
      <c r="D1180" s="1964">
        <v>25000</v>
      </c>
      <c r="E1180" s="1962">
        <f>C1180*D1180</f>
        <v>0</v>
      </c>
      <c r="G1180" s="1959" t="s">
        <v>359</v>
      </c>
      <c r="H1180" s="1963" t="s">
        <v>2090</v>
      </c>
      <c r="I1180" s="1961">
        <f>VLOOKUP(H1178,'LƯƠNG KT'!$D$110:$AC$184,3,0)</f>
        <v>0</v>
      </c>
      <c r="J1180" s="1964">
        <v>25000</v>
      </c>
      <c r="K1180" s="1962">
        <f>I1180*J1180</f>
        <v>0</v>
      </c>
    </row>
    <row r="1181" spans="1:11" ht="12.75" customHeight="1">
      <c r="A1181" s="1959" t="s">
        <v>3279</v>
      </c>
      <c r="B1181" s="1965" t="s">
        <v>3280</v>
      </c>
      <c r="C1181" s="1961" t="str">
        <f>VLOOKUP(B1178,'LƯƠNG KT'!$D$110:$AC$184,10,0)</f>
        <v>A</v>
      </c>
      <c r="D1181" s="1967">
        <f>46.1*$C$1</f>
        <v>30792.956000000002</v>
      </c>
      <c r="E1181" s="1962" t="e">
        <f t="shared" ref="E1181:E1185" si="138">C1181*D1181</f>
        <v>#VALUE!</v>
      </c>
      <c r="G1181" s="1959" t="s">
        <v>3279</v>
      </c>
      <c r="H1181" s="1965" t="s">
        <v>3280</v>
      </c>
      <c r="I1181" s="1961" t="str">
        <f>VLOOKUP(H1178,'LƯƠNG KT'!$D$110:$AC$184,10,0)</f>
        <v>A</v>
      </c>
      <c r="J1181" s="1967">
        <f>46.1*$C$1</f>
        <v>30792.956000000002</v>
      </c>
      <c r="K1181" s="1962" t="e">
        <f t="shared" ref="K1181:K1185" si="139">I1181*J1181</f>
        <v>#VALUE!</v>
      </c>
    </row>
    <row r="1182" spans="1:11" ht="12.75" customHeight="1">
      <c r="A1182" s="1959" t="s">
        <v>3281</v>
      </c>
      <c r="B1182" s="1965" t="s">
        <v>3282</v>
      </c>
      <c r="C1182" s="1961">
        <f>VLOOKUP(B1178,'LƯƠNG KT'!$D$110:$AC$184,11,0)</f>
        <v>7601800</v>
      </c>
      <c r="D1182" s="1964">
        <f>76.9*$C$1</f>
        <v>51366.124000000003</v>
      </c>
      <c r="E1182" s="1962">
        <f t="shared" si="138"/>
        <v>390475001423.20001</v>
      </c>
      <c r="G1182" s="1959" t="s">
        <v>3281</v>
      </c>
      <c r="H1182" s="1965" t="s">
        <v>3282</v>
      </c>
      <c r="I1182" s="1961">
        <f>VLOOKUP(H1178,'LƯƠNG KT'!$D$110:$AC$184,11,0)</f>
        <v>5595455</v>
      </c>
      <c r="J1182" s="1964">
        <f>76.9*$C$1</f>
        <v>51366.124000000003</v>
      </c>
      <c r="K1182" s="1962">
        <f t="shared" si="139"/>
        <v>287416835366.42004</v>
      </c>
    </row>
    <row r="1183" spans="1:11" ht="12.75" customHeight="1">
      <c r="A1183" s="1959" t="s">
        <v>374</v>
      </c>
      <c r="B1183" s="1965" t="s">
        <v>3283</v>
      </c>
      <c r="C1183" s="1961">
        <f>VLOOKUP(B1178,'LƯƠNG KT'!$D$110:$AC$184,7,0)</f>
        <v>1900.0452460654014</v>
      </c>
      <c r="D1183" s="1964">
        <f>IF(C1179="A",6.1,IF(C1179="B",5.8,IF(C1179="C",5.5,IF(C1179="C.",5.5,IF(C1179="D",5.2)))))*$C$1</f>
        <v>0</v>
      </c>
      <c r="E1183" s="1962">
        <f t="shared" si="138"/>
        <v>0</v>
      </c>
      <c r="G1183" s="1959" t="s">
        <v>374</v>
      </c>
      <c r="H1183" s="1965" t="s">
        <v>3283</v>
      </c>
      <c r="I1183" s="1961">
        <f>VLOOKUP(H1178,'LƯƠNG KT'!$D$110:$AC$184,7,0)</f>
        <v>1398.5657509447233</v>
      </c>
      <c r="J1183" s="1964">
        <f>IF(I1179="A",6.1,IF(I1179="B",5.8,IF(I1179="C",5.5,IF(I1179="C.",5.5,IF(I1179="D",5.2)))))*$C$1</f>
        <v>0</v>
      </c>
      <c r="K1183" s="1962">
        <f t="shared" si="139"/>
        <v>0</v>
      </c>
    </row>
    <row r="1184" spans="1:11" ht="12.75" customHeight="1">
      <c r="A1184" s="1959" t="s">
        <v>3296</v>
      </c>
      <c r="B1184" s="1965" t="s">
        <v>3285</v>
      </c>
      <c r="C1184" s="1961">
        <f>VLOOKUP(B1178,'LƯƠNG KT'!$D$110:$AC$184,12,0)</f>
        <v>22</v>
      </c>
      <c r="D1184" s="1967">
        <f>92.2*$C$1</f>
        <v>61585.912000000004</v>
      </c>
      <c r="E1184" s="1962">
        <f t="shared" si="138"/>
        <v>1354890.064</v>
      </c>
      <c r="G1184" s="1959" t="s">
        <v>3296</v>
      </c>
      <c r="H1184" s="1965" t="s">
        <v>3285</v>
      </c>
      <c r="I1184" s="1961">
        <f>VLOOKUP(H1178,'LƯƠNG KT'!$D$110:$AC$184,12,0)</f>
        <v>22</v>
      </c>
      <c r="J1184" s="1967">
        <f>92.2*$C$1</f>
        <v>61585.912000000004</v>
      </c>
      <c r="K1184" s="1962">
        <f t="shared" si="139"/>
        <v>1354890.064</v>
      </c>
    </row>
    <row r="1185" spans="1:11" ht="12.75" customHeight="1">
      <c r="A1185" s="1959" t="s">
        <v>3297</v>
      </c>
      <c r="B1185" s="1965" t="s">
        <v>3287</v>
      </c>
      <c r="C1185" s="1961">
        <f>VLOOKUP(B1178,'LƯƠNG KT'!$D$110:$AC$184,13,0)</f>
        <v>4</v>
      </c>
      <c r="D1185" s="1964">
        <f>153.8*$C$1</f>
        <v>102732.24800000001</v>
      </c>
      <c r="E1185" s="1962">
        <f t="shared" si="138"/>
        <v>410928.99200000003</v>
      </c>
      <c r="G1185" s="1959" t="s">
        <v>3297</v>
      </c>
      <c r="H1185" s="1965" t="s">
        <v>3287</v>
      </c>
      <c r="I1185" s="1961">
        <f>VLOOKUP(H1178,'LƯƠNG KT'!$D$110:$AC$184,13,0)</f>
        <v>4</v>
      </c>
      <c r="J1185" s="1964">
        <f>153.8*$C$1</f>
        <v>102732.24800000001</v>
      </c>
      <c r="K1185" s="1962">
        <f t="shared" si="139"/>
        <v>410928.99200000003</v>
      </c>
    </row>
    <row r="1186" spans="1:11" ht="12.75" customHeight="1">
      <c r="A1186" s="1959" t="s">
        <v>3354</v>
      </c>
      <c r="B1186" s="1965" t="s">
        <v>3288</v>
      </c>
      <c r="C1186" s="1961">
        <f>VLOOKUP(B1178,'LƯƠNG KT'!$D$110:$AC$184,14,0)</f>
        <v>5</v>
      </c>
      <c r="D1186" s="1964">
        <v>100000</v>
      </c>
      <c r="E1186" s="1962">
        <f>C1186*D1186</f>
        <v>500000</v>
      </c>
      <c r="G1186" s="1959" t="s">
        <v>3354</v>
      </c>
      <c r="H1186" s="1965" t="s">
        <v>3288</v>
      </c>
      <c r="I1186" s="1961">
        <f>VLOOKUP(H1178,'LƯƠNG KT'!$D$110:$AC$184,14,0)</f>
        <v>5</v>
      </c>
      <c r="J1186" s="1964">
        <v>100000</v>
      </c>
      <c r="K1186" s="1962">
        <f>I1186*J1186</f>
        <v>500000</v>
      </c>
    </row>
    <row r="1187" spans="1:11" ht="12.75" customHeight="1">
      <c r="A1187" s="1959" t="s">
        <v>3355</v>
      </c>
      <c r="B1187" s="1965" t="s">
        <v>3288</v>
      </c>
      <c r="C1187" s="1961" t="e">
        <f>VLOOKUP(B1178,'LƯƠNG KT'!$D$110:$AC$184,17,0)</f>
        <v>#N/A</v>
      </c>
      <c r="D1187" s="1964">
        <v>20000</v>
      </c>
      <c r="E1187" s="1962" t="e">
        <f>C1187*D1187</f>
        <v>#N/A</v>
      </c>
      <c r="G1187" s="1959" t="s">
        <v>3355</v>
      </c>
      <c r="H1187" s="1965" t="s">
        <v>3288</v>
      </c>
      <c r="I1187" s="1961" t="e">
        <f>VLOOKUP(H1178,'LƯƠNG KT'!$D$110:$AC$184,17,0)</f>
        <v>#N/A</v>
      </c>
      <c r="J1187" s="1964">
        <v>20000</v>
      </c>
      <c r="K1187" s="1962" t="e">
        <f>I1187*J1187</f>
        <v>#N/A</v>
      </c>
    </row>
    <row r="1188" spans="1:11" ht="12.75" customHeight="1">
      <c r="A1188" s="1959" t="s">
        <v>3289</v>
      </c>
      <c r="B1188" s="1965" t="s">
        <v>3290</v>
      </c>
      <c r="C1188" s="1966"/>
      <c r="D1188" s="1964"/>
      <c r="E1188" s="1962"/>
      <c r="G1188" s="1959" t="s">
        <v>3289</v>
      </c>
      <c r="H1188" s="1965" t="s">
        <v>3290</v>
      </c>
      <c r="I1188" s="1966"/>
      <c r="J1188" s="1964"/>
      <c r="K1188" s="1962"/>
    </row>
    <row r="1189" spans="1:11" ht="12.75" customHeight="1">
      <c r="A1189" s="1968" t="s">
        <v>377</v>
      </c>
      <c r="B1189" s="1969" t="s">
        <v>3291</v>
      </c>
      <c r="C1189" s="1970"/>
      <c r="D1189" s="1971"/>
      <c r="E1189" s="1970"/>
      <c r="G1189" s="1968" t="s">
        <v>377</v>
      </c>
      <c r="H1189" s="1969" t="s">
        <v>3291</v>
      </c>
      <c r="I1189" s="1970"/>
      <c r="J1189" s="1971"/>
      <c r="K1189" s="1970"/>
    </row>
    <row r="1190" spans="1:11" ht="12.75" customHeight="1">
      <c r="A1190" s="1972" t="s">
        <v>379</v>
      </c>
      <c r="B1190" s="1973" t="s">
        <v>3292</v>
      </c>
      <c r="C1190" s="1970"/>
      <c r="D1190" s="1970"/>
      <c r="E1190" s="1970"/>
      <c r="G1190" s="1972" t="s">
        <v>379</v>
      </c>
      <c r="H1190" s="1973" t="s">
        <v>3292</v>
      </c>
      <c r="I1190" s="1970"/>
      <c r="J1190" s="1970"/>
      <c r="K1190" s="1970"/>
    </row>
    <row r="1191" spans="1:11" ht="12.75" customHeight="1">
      <c r="A1191" s="1972" t="s">
        <v>381</v>
      </c>
      <c r="B1191" s="1974" t="s">
        <v>3293</v>
      </c>
      <c r="C1191" s="1970"/>
      <c r="D1191" s="1970"/>
      <c r="E1191" s="1962">
        <f>SUM(E1190)</f>
        <v>0</v>
      </c>
      <c r="G1191" s="1972" t="s">
        <v>381</v>
      </c>
      <c r="H1191" s="1974" t="s">
        <v>3293</v>
      </c>
      <c r="I1191" s="1970"/>
      <c r="J1191" s="1970"/>
      <c r="K1191" s="1962">
        <f>SUM(K1190)</f>
        <v>0</v>
      </c>
    </row>
    <row r="1192" spans="1:11" ht="12.75" customHeight="1">
      <c r="A1192" s="1975" t="s">
        <v>383</v>
      </c>
      <c r="B1192" s="1976" t="s">
        <v>3294</v>
      </c>
      <c r="C1192" s="1977"/>
      <c r="D1192" s="1977"/>
      <c r="E1192" s="1978" t="e">
        <f>(E1180+E1181+E1182+E1183+E1184+E1185+E1186+E1187+E1188)-E1191</f>
        <v>#VALUE!</v>
      </c>
      <c r="G1192" s="1975" t="s">
        <v>383</v>
      </c>
      <c r="H1192" s="1976" t="s">
        <v>3294</v>
      </c>
      <c r="I1192" s="1977"/>
      <c r="J1192" s="1977"/>
      <c r="K1192" s="1978" t="e">
        <f>(K1180+K1181+K1182+K1183+K1184+K1185+K1186+K1187+K1188)-K1191</f>
        <v>#VALUE!</v>
      </c>
    </row>
    <row r="1193" spans="1:11" ht="51.75" customHeight="1"/>
    <row r="1194" spans="1:11" ht="12.75" customHeight="1">
      <c r="A1194" s="2953" t="s">
        <v>3356</v>
      </c>
      <c r="B1194" s="2954"/>
      <c r="C1194" s="2954"/>
      <c r="D1194" s="2954"/>
      <c r="E1194" s="1955">
        <f>VLOOKUP(B1195,'LƯƠNG KT'!$D$110:$AD$184,25,0)</f>
        <v>0</v>
      </c>
      <c r="G1194" s="2953" t="s">
        <v>3356</v>
      </c>
      <c r="H1194" s="2954"/>
      <c r="I1194" s="2954"/>
      <c r="J1194" s="2954"/>
      <c r="K1194" s="1955">
        <f>VLOOKUP(H1195,'LƯƠNG KT'!$D$110:$AD$184,25,0)</f>
        <v>0</v>
      </c>
    </row>
    <row r="1195" spans="1:11" ht="12.75" customHeight="1">
      <c r="A1195" s="1956" t="s">
        <v>356</v>
      </c>
      <c r="B1195" s="1956" t="str">
        <f>'LƯƠNG KT'!$D$152</f>
        <v>T. Vỹ</v>
      </c>
      <c r="C1195" s="1957"/>
      <c r="D1195" s="1958" t="s">
        <v>2357</v>
      </c>
      <c r="E1195" s="1958" t="s">
        <v>2156</v>
      </c>
      <c r="G1195" s="1956" t="s">
        <v>356</v>
      </c>
      <c r="H1195" s="1956" t="str">
        <f>'LƯƠNG KT'!$D$153</f>
        <v>Nàng Nhầy</v>
      </c>
      <c r="I1195" s="1957"/>
      <c r="J1195" s="1958" t="s">
        <v>2357</v>
      </c>
      <c r="K1195" s="1958" t="s">
        <v>2156</v>
      </c>
    </row>
    <row r="1196" spans="1:11" ht="12.75" customHeight="1">
      <c r="A1196" s="1959" t="s">
        <v>3005</v>
      </c>
      <c r="B1196" s="1960" t="s">
        <v>3278</v>
      </c>
      <c r="C1196" s="1961">
        <f>VLOOKUP(B1195,'LƯƠNG KT'!$D$110:$AC$184,8,0)</f>
        <v>119.85974191531571</v>
      </c>
      <c r="D1196" s="1962"/>
      <c r="E1196" s="1962"/>
      <c r="G1196" s="1959" t="s">
        <v>3005</v>
      </c>
      <c r="H1196" s="1960" t="s">
        <v>3278</v>
      </c>
      <c r="I1196" s="1961">
        <f>VLOOKUP(H1195,'LƯƠNG KT'!$D$110:$AC$184,8,0)</f>
        <v>66.137907691931147</v>
      </c>
      <c r="J1196" s="1962"/>
      <c r="K1196" s="1962"/>
    </row>
    <row r="1197" spans="1:11" ht="12.75" customHeight="1">
      <c r="A1197" s="1959" t="s">
        <v>359</v>
      </c>
      <c r="B1197" s="1963" t="s">
        <v>2090</v>
      </c>
      <c r="C1197" s="1961">
        <f>VLOOKUP(B1195,'LƯƠNG KT'!$D$110:$AC$184,3,0)</f>
        <v>0</v>
      </c>
      <c r="D1197" s="1964">
        <v>25000</v>
      </c>
      <c r="E1197" s="1962">
        <f>C1197*D1197</f>
        <v>0</v>
      </c>
      <c r="G1197" s="1959" t="s">
        <v>359</v>
      </c>
      <c r="H1197" s="1963" t="s">
        <v>2090</v>
      </c>
      <c r="I1197" s="1961">
        <f>VLOOKUP(H1195,'LƯƠNG KT'!$D$110:$AC$184,3,0)</f>
        <v>0</v>
      </c>
      <c r="J1197" s="1964">
        <v>25000</v>
      </c>
      <c r="K1197" s="1962">
        <f>I1197*J1197</f>
        <v>0</v>
      </c>
    </row>
    <row r="1198" spans="1:11" ht="12.75" customHeight="1">
      <c r="A1198" s="1959" t="s">
        <v>3279</v>
      </c>
      <c r="B1198" s="1965" t="s">
        <v>3280</v>
      </c>
      <c r="C1198" s="1961" t="str">
        <f>VLOOKUP(B1195,'LƯƠNG KT'!$D$110:$AC$184,10,0)</f>
        <v>B</v>
      </c>
      <c r="D1198" s="1967">
        <f>46.1*$C$1</f>
        <v>30792.956000000002</v>
      </c>
      <c r="E1198" s="1962" t="e">
        <f t="shared" ref="E1198:E1202" si="140">C1198*D1198</f>
        <v>#VALUE!</v>
      </c>
      <c r="G1198" s="1959" t="s">
        <v>3279</v>
      </c>
      <c r="H1198" s="1965" t="s">
        <v>3280</v>
      </c>
      <c r="I1198" s="1961" t="str">
        <f>VLOOKUP(H1195,'LƯƠNG KT'!$D$110:$AC$184,10,0)</f>
        <v>B</v>
      </c>
      <c r="J1198" s="1967">
        <f>46.1*$C$1</f>
        <v>30792.956000000002</v>
      </c>
      <c r="K1198" s="1962" t="e">
        <f t="shared" ref="K1198:K1202" si="141">I1198*J1198</f>
        <v>#VALUE!</v>
      </c>
    </row>
    <row r="1199" spans="1:11" ht="12.75" customHeight="1">
      <c r="A1199" s="1959" t="s">
        <v>3281</v>
      </c>
      <c r="B1199" s="1965" t="s">
        <v>3282</v>
      </c>
      <c r="C1199" s="1961">
        <f>VLOOKUP(B1195,'LƯƠNG KT'!$D$110:$AC$184,11,0)</f>
        <v>4895973</v>
      </c>
      <c r="D1199" s="1964">
        <f>76.9*$C$1</f>
        <v>51366.124000000003</v>
      </c>
      <c r="E1199" s="1962">
        <f t="shared" si="140"/>
        <v>251487156218.65201</v>
      </c>
      <c r="G1199" s="1959" t="s">
        <v>3281</v>
      </c>
      <c r="H1199" s="1965" t="s">
        <v>3282</v>
      </c>
      <c r="I1199" s="1961">
        <f>VLOOKUP(H1195,'LƯƠNG KT'!$D$110:$AC$184,11,0)</f>
        <v>2701569</v>
      </c>
      <c r="J1199" s="1964">
        <f>76.9*$C$1</f>
        <v>51366.124000000003</v>
      </c>
      <c r="K1199" s="1962">
        <f t="shared" si="141"/>
        <v>138769128248.556</v>
      </c>
    </row>
    <row r="1200" spans="1:11" ht="12.75" customHeight="1">
      <c r="A1200" s="1959" t="s">
        <v>374</v>
      </c>
      <c r="B1200" s="1965" t="s">
        <v>3283</v>
      </c>
      <c r="C1200" s="1961">
        <f>VLOOKUP(B1195,'LƯƠNG KT'!$D$110:$AC$184,7,0)</f>
        <v>1287.029043081219</v>
      </c>
      <c r="D1200" s="1964">
        <f>IF(C1196="A",6.1,IF(C1196="B",5.8,IF(C1196="C",5.5,IF(C1196="C.",5.5,IF(C1196="D",5.2)))))*$C$1</f>
        <v>0</v>
      </c>
      <c r="E1200" s="1962">
        <f t="shared" si="140"/>
        <v>0</v>
      </c>
      <c r="G1200" s="1959" t="s">
        <v>374</v>
      </c>
      <c r="H1200" s="1965" t="s">
        <v>3283</v>
      </c>
      <c r="I1200" s="1961">
        <f>VLOOKUP(H1195,'LƯƠNG KT'!$D$110:$AC$184,7,0)</f>
        <v>710.17513209965705</v>
      </c>
      <c r="J1200" s="1964">
        <f>IF(I1196="A",6.1,IF(I1196="B",5.8,IF(I1196="C",5.5,IF(I1196="C.",5.5,IF(I1196="D",5.2)))))*$C$1</f>
        <v>0</v>
      </c>
      <c r="K1200" s="1962">
        <f t="shared" si="141"/>
        <v>0</v>
      </c>
    </row>
    <row r="1201" spans="1:11" ht="12.75" customHeight="1">
      <c r="A1201" s="1959" t="s">
        <v>3296</v>
      </c>
      <c r="B1201" s="1965" t="s">
        <v>3285</v>
      </c>
      <c r="C1201" s="1961">
        <f>VLOOKUP(B1195,'LƯƠNG KT'!$D$110:$AC$184,12,0)</f>
        <v>25</v>
      </c>
      <c r="D1201" s="1967">
        <f>92.2*$C$1</f>
        <v>61585.912000000004</v>
      </c>
      <c r="E1201" s="1962">
        <f t="shared" si="140"/>
        <v>1539647.8</v>
      </c>
      <c r="G1201" s="1959" t="s">
        <v>3296</v>
      </c>
      <c r="H1201" s="1965" t="s">
        <v>3285</v>
      </c>
      <c r="I1201" s="1961">
        <f>VLOOKUP(H1195,'LƯƠNG KT'!$D$110:$AC$184,12,0)</f>
        <v>16</v>
      </c>
      <c r="J1201" s="1967">
        <f>92.2*$C$1</f>
        <v>61585.912000000004</v>
      </c>
      <c r="K1201" s="1962">
        <f t="shared" si="141"/>
        <v>985374.59200000006</v>
      </c>
    </row>
    <row r="1202" spans="1:11" ht="12.75" customHeight="1">
      <c r="A1202" s="1959" t="s">
        <v>3297</v>
      </c>
      <c r="B1202" s="1965" t="s">
        <v>3287</v>
      </c>
      <c r="C1202" s="1961">
        <f>VLOOKUP(B1195,'LƯƠNG KT'!$D$110:$AC$184,13,0)</f>
        <v>4</v>
      </c>
      <c r="D1202" s="1964">
        <f>153.8*$C$1</f>
        <v>102732.24800000001</v>
      </c>
      <c r="E1202" s="1962">
        <f t="shared" si="140"/>
        <v>410928.99200000003</v>
      </c>
      <c r="G1202" s="1959" t="s">
        <v>3297</v>
      </c>
      <c r="H1202" s="1965" t="s">
        <v>3287</v>
      </c>
      <c r="I1202" s="1961">
        <f>VLOOKUP(H1195,'LƯƠNG KT'!$D$110:$AC$184,13,0)</f>
        <v>2</v>
      </c>
      <c r="J1202" s="1964">
        <f>153.8*$C$1</f>
        <v>102732.24800000001</v>
      </c>
      <c r="K1202" s="1962">
        <f t="shared" si="141"/>
        <v>205464.49600000001</v>
      </c>
    </row>
    <row r="1203" spans="1:11" ht="12.75" customHeight="1">
      <c r="A1203" s="1959" t="s">
        <v>3354</v>
      </c>
      <c r="B1203" s="1965" t="s">
        <v>3288</v>
      </c>
      <c r="C1203" s="1961">
        <f>VLOOKUP(B1195,'LƯƠNG KT'!$D$110:$AC$184,14,0)</f>
        <v>2</v>
      </c>
      <c r="D1203" s="1964">
        <v>100000</v>
      </c>
      <c r="E1203" s="1962">
        <f>C1203*D1203</f>
        <v>200000</v>
      </c>
      <c r="G1203" s="1959" t="s">
        <v>3354</v>
      </c>
      <c r="H1203" s="1965" t="s">
        <v>3288</v>
      </c>
      <c r="I1203" s="1961">
        <f>VLOOKUP(H1195,'LƯƠNG KT'!$D$110:$AC$184,14,0)</f>
        <v>2</v>
      </c>
      <c r="J1203" s="1964">
        <v>100000</v>
      </c>
      <c r="K1203" s="1962">
        <f>I1203*J1203</f>
        <v>200000</v>
      </c>
    </row>
    <row r="1204" spans="1:11" ht="12.75" customHeight="1">
      <c r="A1204" s="1959" t="s">
        <v>3355</v>
      </c>
      <c r="B1204" s="1965" t="s">
        <v>3288</v>
      </c>
      <c r="C1204" s="1961" t="e">
        <f>VLOOKUP(B1195,'LƯƠNG KT'!$D$110:$AC$184,17,0)</f>
        <v>#N/A</v>
      </c>
      <c r="D1204" s="1964">
        <v>20000</v>
      </c>
      <c r="E1204" s="1962" t="e">
        <f>C1204*D1204</f>
        <v>#N/A</v>
      </c>
      <c r="G1204" s="1959" t="s">
        <v>3355</v>
      </c>
      <c r="H1204" s="1965" t="s">
        <v>3288</v>
      </c>
      <c r="I1204" s="1961" t="e">
        <f>VLOOKUP(H1195,'LƯƠNG KT'!$D$110:$AC$184,17,0)</f>
        <v>#N/A</v>
      </c>
      <c r="J1204" s="1964">
        <v>20000</v>
      </c>
      <c r="K1204" s="1962" t="e">
        <f>I1204*J1204</f>
        <v>#N/A</v>
      </c>
    </row>
    <row r="1205" spans="1:11" ht="12.75" customHeight="1">
      <c r="A1205" s="1959" t="s">
        <v>3289</v>
      </c>
      <c r="B1205" s="1965" t="s">
        <v>3290</v>
      </c>
      <c r="C1205" s="1966"/>
      <c r="D1205" s="1964"/>
      <c r="E1205" s="1962"/>
      <c r="G1205" s="1959" t="s">
        <v>3289</v>
      </c>
      <c r="H1205" s="1965" t="s">
        <v>3290</v>
      </c>
      <c r="I1205" s="1966"/>
      <c r="J1205" s="1964"/>
      <c r="K1205" s="1962"/>
    </row>
    <row r="1206" spans="1:11" ht="12.75" customHeight="1">
      <c r="A1206" s="1968" t="s">
        <v>377</v>
      </c>
      <c r="B1206" s="1969" t="s">
        <v>3291</v>
      </c>
      <c r="C1206" s="1970"/>
      <c r="D1206" s="1971"/>
      <c r="E1206" s="1970"/>
      <c r="G1206" s="1968" t="s">
        <v>377</v>
      </c>
      <c r="H1206" s="1969" t="s">
        <v>3291</v>
      </c>
      <c r="I1206" s="1970"/>
      <c r="J1206" s="1971"/>
      <c r="K1206" s="1970"/>
    </row>
    <row r="1207" spans="1:11" ht="12.75" customHeight="1">
      <c r="A1207" s="1972" t="s">
        <v>379</v>
      </c>
      <c r="B1207" s="1973" t="s">
        <v>3292</v>
      </c>
      <c r="C1207" s="1970"/>
      <c r="D1207" s="1970"/>
      <c r="E1207" s="1970"/>
      <c r="G1207" s="1972" t="s">
        <v>379</v>
      </c>
      <c r="H1207" s="1973" t="s">
        <v>3292</v>
      </c>
      <c r="I1207" s="1970"/>
      <c r="J1207" s="1970"/>
      <c r="K1207" s="1970"/>
    </row>
    <row r="1208" spans="1:11" ht="12.75" customHeight="1">
      <c r="A1208" s="1972" t="s">
        <v>381</v>
      </c>
      <c r="B1208" s="1974" t="s">
        <v>3293</v>
      </c>
      <c r="C1208" s="1970"/>
      <c r="D1208" s="1970"/>
      <c r="E1208" s="1962">
        <f>SUM(E1207)</f>
        <v>0</v>
      </c>
      <c r="G1208" s="1972" t="s">
        <v>381</v>
      </c>
      <c r="H1208" s="1974" t="s">
        <v>3293</v>
      </c>
      <c r="I1208" s="1970"/>
      <c r="J1208" s="1970"/>
      <c r="K1208" s="1962">
        <f>SUM(K1207)</f>
        <v>0</v>
      </c>
    </row>
    <row r="1209" spans="1:11" ht="12.75" customHeight="1">
      <c r="A1209" s="1975" t="s">
        <v>383</v>
      </c>
      <c r="B1209" s="1976" t="s">
        <v>3294</v>
      </c>
      <c r="C1209" s="1977"/>
      <c r="D1209" s="1977"/>
      <c r="E1209" s="1978" t="e">
        <f>(E1197+E1198+E1199+E1200+E1201+E1202+E1203+E1204+E1205)-E1208</f>
        <v>#VALUE!</v>
      </c>
      <c r="G1209" s="1975" t="s">
        <v>383</v>
      </c>
      <c r="H1209" s="1976" t="s">
        <v>3294</v>
      </c>
      <c r="I1209" s="1977"/>
      <c r="J1209" s="1977"/>
      <c r="K1209" s="1978" t="e">
        <f>(K1197+K1198+K1199+K1200+K1201+K1202+K1203+K1204+K1205)-K1208</f>
        <v>#VALUE!</v>
      </c>
    </row>
    <row r="1211" spans="1:11" ht="12.75" customHeight="1">
      <c r="A1211" s="2953" t="s">
        <v>3356</v>
      </c>
      <c r="B1211" s="2954"/>
      <c r="C1211" s="2954"/>
      <c r="D1211" s="2954"/>
      <c r="E1211" s="1955">
        <f>VLOOKUP(B1212,'LƯƠNG KT'!$D$110:$AD$184,25,0)</f>
        <v>0</v>
      </c>
      <c r="G1211" s="2953" t="s">
        <v>3356</v>
      </c>
      <c r="H1211" s="2954"/>
      <c r="I1211" s="2954"/>
      <c r="J1211" s="2954"/>
      <c r="K1211" s="1955">
        <f>VLOOKUP(H1212,'LƯƠNG KT'!$D$110:$AD$184,25,0)</f>
        <v>0</v>
      </c>
    </row>
    <row r="1212" spans="1:11" ht="12.75" customHeight="1">
      <c r="A1212" s="1956" t="s">
        <v>356</v>
      </c>
      <c r="B1212" s="1956" t="str">
        <f>'LƯƠNG KT'!$D$154</f>
        <v xml:space="preserve">N. Khăm </v>
      </c>
      <c r="C1212" s="1957"/>
      <c r="D1212" s="1958" t="s">
        <v>2357</v>
      </c>
      <c r="E1212" s="1958" t="s">
        <v>2156</v>
      </c>
      <c r="G1212" s="1956" t="s">
        <v>356</v>
      </c>
      <c r="H1212" s="1956" t="str">
        <f>'LƯƠNG KT'!$D$155</f>
        <v>Thảo Mon</v>
      </c>
      <c r="I1212" s="1957"/>
      <c r="J1212" s="1958" t="s">
        <v>2357</v>
      </c>
      <c r="K1212" s="1958" t="s">
        <v>2156</v>
      </c>
    </row>
    <row r="1213" spans="1:11" ht="12.75" customHeight="1">
      <c r="A1213" s="1959" t="s">
        <v>3005</v>
      </c>
      <c r="B1213" s="1960" t="s">
        <v>3278</v>
      </c>
      <c r="C1213" s="1961">
        <f>VLOOKUP(B1212,'LƯƠNG KT'!$D$110:$AC$184,8,0)</f>
        <v>132.35696619084626</v>
      </c>
      <c r="D1213" s="1962"/>
      <c r="E1213" s="1962"/>
      <c r="G1213" s="1959" t="s">
        <v>3005</v>
      </c>
      <c r="H1213" s="1960" t="s">
        <v>3278</v>
      </c>
      <c r="I1213" s="1961">
        <f>VLOOKUP(H1212,'LƯƠNG KT'!$D$110:$AC$184,8,0)</f>
        <v>112.10983984834709</v>
      </c>
      <c r="J1213" s="1962"/>
      <c r="K1213" s="1962"/>
    </row>
    <row r="1214" spans="1:11" ht="12.75" customHeight="1">
      <c r="A1214" s="1959" t="s">
        <v>359</v>
      </c>
      <c r="B1214" s="1963" t="s">
        <v>2090</v>
      </c>
      <c r="C1214" s="1961">
        <f>VLOOKUP(B1212,'LƯƠNG KT'!$D$110:$AC$184,3,0)</f>
        <v>0</v>
      </c>
      <c r="D1214" s="1964">
        <v>25000</v>
      </c>
      <c r="E1214" s="1962">
        <f>C1214*D1214</f>
        <v>0</v>
      </c>
      <c r="G1214" s="1959" t="s">
        <v>359</v>
      </c>
      <c r="H1214" s="1963" t="s">
        <v>2090</v>
      </c>
      <c r="I1214" s="1961">
        <f>VLOOKUP(H1212,'LƯƠNG KT'!$D$110:$AC$184,3,0)</f>
        <v>0</v>
      </c>
      <c r="J1214" s="1964">
        <v>25000</v>
      </c>
      <c r="K1214" s="1962">
        <f>I1214*J1214</f>
        <v>0</v>
      </c>
    </row>
    <row r="1215" spans="1:11" ht="12.75" customHeight="1">
      <c r="A1215" s="1959" t="s">
        <v>3279</v>
      </c>
      <c r="B1215" s="1965" t="s">
        <v>3280</v>
      </c>
      <c r="C1215" s="1961" t="str">
        <f>VLOOKUP(B1212,'LƯƠNG KT'!$D$110:$AC$184,10,0)</f>
        <v>A</v>
      </c>
      <c r="D1215" s="1967">
        <f>46.1*$C$1</f>
        <v>30792.956000000002</v>
      </c>
      <c r="E1215" s="1962" t="e">
        <f t="shared" ref="E1215:E1219" si="142">C1215*D1215</f>
        <v>#VALUE!</v>
      </c>
      <c r="G1215" s="1959" t="s">
        <v>3279</v>
      </c>
      <c r="H1215" s="1965" t="s">
        <v>3280</v>
      </c>
      <c r="I1215" s="1961" t="str">
        <f>VLOOKUP(H1212,'LƯƠNG KT'!$D$110:$AC$184,10,0)</f>
        <v>B</v>
      </c>
      <c r="J1215" s="1967">
        <f>46.1*$C$1</f>
        <v>30792.956000000002</v>
      </c>
      <c r="K1215" s="1962" t="e">
        <f t="shared" ref="K1215:K1219" si="143">I1215*J1215</f>
        <v>#VALUE!</v>
      </c>
    </row>
    <row r="1216" spans="1:11" ht="12.75" customHeight="1">
      <c r="A1216" s="1959" t="s">
        <v>3281</v>
      </c>
      <c r="B1216" s="1965" t="s">
        <v>3282</v>
      </c>
      <c r="C1216" s="1961">
        <f>VLOOKUP(B1212,'LƯƠNG KT'!$D$110:$AC$184,11,0)</f>
        <v>5686098</v>
      </c>
      <c r="D1216" s="1964">
        <f>76.9*$C$1</f>
        <v>51366.124000000003</v>
      </c>
      <c r="E1216" s="1962">
        <f t="shared" si="142"/>
        <v>292072814944.15204</v>
      </c>
      <c r="G1216" s="1959" t="s">
        <v>3281</v>
      </c>
      <c r="H1216" s="1965" t="s">
        <v>3282</v>
      </c>
      <c r="I1216" s="1961">
        <f>VLOOKUP(H1212,'LƯƠNG KT'!$D$110:$AC$184,11,0)</f>
        <v>4579409</v>
      </c>
      <c r="J1216" s="1964">
        <f>76.9*$C$1</f>
        <v>51366.124000000003</v>
      </c>
      <c r="K1216" s="1962">
        <f t="shared" si="143"/>
        <v>235226490540.716</v>
      </c>
    </row>
    <row r="1217" spans="1:11" ht="12.75" customHeight="1">
      <c r="A1217" s="1959" t="s">
        <v>374</v>
      </c>
      <c r="B1217" s="1965" t="s">
        <v>3283</v>
      </c>
      <c r="C1217" s="1961">
        <f>VLOOKUP(B1212,'LƯƠNG KT'!$D$110:$AC$184,7,0)</f>
        <v>1421.2216447294977</v>
      </c>
      <c r="D1217" s="1964">
        <f>IF(C1213="A",6.1,IF(C1213="B",5.8,IF(C1213="C",5.5,IF(C1213="C.",5.5,IF(C1213="D",5.2)))))*$C$1</f>
        <v>0</v>
      </c>
      <c r="E1217" s="1962">
        <f t="shared" si="142"/>
        <v>0</v>
      </c>
      <c r="G1217" s="1959" t="s">
        <v>374</v>
      </c>
      <c r="H1217" s="1965" t="s">
        <v>3283</v>
      </c>
      <c r="I1217" s="1961">
        <f>VLOOKUP(H1212,'LƯƠNG KT'!$D$110:$AC$184,7,0)</f>
        <v>1203.8122024486825</v>
      </c>
      <c r="J1217" s="1964">
        <f>IF(I1213="A",6.1,IF(I1213="B",5.8,IF(I1213="C",5.5,IF(I1213="C.",5.5,IF(I1213="D",5.2)))))*$C$1</f>
        <v>0</v>
      </c>
      <c r="K1217" s="1962">
        <f t="shared" si="143"/>
        <v>0</v>
      </c>
    </row>
    <row r="1218" spans="1:11" ht="12.75" customHeight="1">
      <c r="A1218" s="1959" t="s">
        <v>3296</v>
      </c>
      <c r="B1218" s="1965" t="s">
        <v>3285</v>
      </c>
      <c r="C1218" s="1961">
        <f>VLOOKUP(B1212,'LƯƠNG KT'!$D$110:$AC$184,12,0)</f>
        <v>19</v>
      </c>
      <c r="D1218" s="1967">
        <f>92.2*$C$1</f>
        <v>61585.912000000004</v>
      </c>
      <c r="E1218" s="1962">
        <f t="shared" si="142"/>
        <v>1170132.328</v>
      </c>
      <c r="G1218" s="1959" t="s">
        <v>3296</v>
      </c>
      <c r="H1218" s="1965" t="s">
        <v>3285</v>
      </c>
      <c r="I1218" s="1961">
        <f>VLOOKUP(H1212,'LƯƠNG KT'!$D$110:$AC$184,12,0)</f>
        <v>21</v>
      </c>
      <c r="J1218" s="1967">
        <f>92.2*$C$1</f>
        <v>61585.912000000004</v>
      </c>
      <c r="K1218" s="1962">
        <f t="shared" si="143"/>
        <v>1293304.152</v>
      </c>
    </row>
    <row r="1219" spans="1:11" ht="12.75" customHeight="1">
      <c r="A1219" s="1959" t="s">
        <v>3297</v>
      </c>
      <c r="B1219" s="1965" t="s">
        <v>3287</v>
      </c>
      <c r="C1219" s="1961">
        <f>VLOOKUP(B1212,'LƯƠNG KT'!$D$110:$AC$184,13,0)</f>
        <v>4</v>
      </c>
      <c r="D1219" s="1964">
        <f>153.8*$C$1</f>
        <v>102732.24800000001</v>
      </c>
      <c r="E1219" s="1962">
        <f t="shared" si="142"/>
        <v>410928.99200000003</v>
      </c>
      <c r="G1219" s="1959" t="s">
        <v>3297</v>
      </c>
      <c r="H1219" s="1965" t="s">
        <v>3287</v>
      </c>
      <c r="I1219" s="1961">
        <f>VLOOKUP(H1212,'LƯƠNG KT'!$D$110:$AC$184,13,0)</f>
        <v>4</v>
      </c>
      <c r="J1219" s="1964">
        <f>153.8*$C$1</f>
        <v>102732.24800000001</v>
      </c>
      <c r="K1219" s="1962">
        <f t="shared" si="143"/>
        <v>410928.99200000003</v>
      </c>
    </row>
    <row r="1220" spans="1:11" ht="12.75" customHeight="1">
      <c r="A1220" s="1959" t="s">
        <v>3354</v>
      </c>
      <c r="B1220" s="1965" t="s">
        <v>3288</v>
      </c>
      <c r="C1220" s="1961">
        <f>VLOOKUP(B1212,'LƯƠNG KT'!$D$110:$AC$184,14,0)</f>
        <v>5</v>
      </c>
      <c r="D1220" s="1964">
        <v>100000</v>
      </c>
      <c r="E1220" s="1962">
        <f>C1220*D1220</f>
        <v>500000</v>
      </c>
      <c r="G1220" s="1959" t="s">
        <v>3354</v>
      </c>
      <c r="H1220" s="1965" t="s">
        <v>3288</v>
      </c>
      <c r="I1220" s="1961">
        <f>VLOOKUP(H1212,'LƯƠNG KT'!$D$110:$AC$184,14,0)</f>
        <v>3</v>
      </c>
      <c r="J1220" s="1964">
        <v>100000</v>
      </c>
      <c r="K1220" s="1962">
        <f>I1220*J1220</f>
        <v>300000</v>
      </c>
    </row>
    <row r="1221" spans="1:11" ht="12.75" customHeight="1">
      <c r="A1221" s="1959" t="s">
        <v>3355</v>
      </c>
      <c r="B1221" s="1965" t="s">
        <v>3288</v>
      </c>
      <c r="C1221" s="1961" t="e">
        <f>VLOOKUP(B1212,'LƯƠNG KT'!$D$110:$AC$184,17,0)</f>
        <v>#N/A</v>
      </c>
      <c r="D1221" s="1964">
        <v>20000</v>
      </c>
      <c r="E1221" s="1962" t="e">
        <f>C1221*D1221</f>
        <v>#N/A</v>
      </c>
      <c r="G1221" s="1959" t="s">
        <v>3355</v>
      </c>
      <c r="H1221" s="1965" t="s">
        <v>3288</v>
      </c>
      <c r="I1221" s="1961" t="e">
        <f>VLOOKUP(H1212,'LƯƠNG KT'!$D$110:$AC$184,17,0)</f>
        <v>#N/A</v>
      </c>
      <c r="J1221" s="1964">
        <v>20000</v>
      </c>
      <c r="K1221" s="1962" t="e">
        <f>I1221*J1221</f>
        <v>#N/A</v>
      </c>
    </row>
    <row r="1222" spans="1:11" ht="12.75" customHeight="1">
      <c r="A1222" s="1959" t="s">
        <v>3289</v>
      </c>
      <c r="B1222" s="1965" t="s">
        <v>3290</v>
      </c>
      <c r="C1222" s="1966"/>
      <c r="D1222" s="1964"/>
      <c r="E1222" s="1962"/>
      <c r="G1222" s="1959" t="s">
        <v>3289</v>
      </c>
      <c r="H1222" s="1965" t="s">
        <v>3290</v>
      </c>
      <c r="I1222" s="1966"/>
      <c r="J1222" s="1964"/>
      <c r="K1222" s="1962"/>
    </row>
    <row r="1223" spans="1:11" ht="12.75" customHeight="1">
      <c r="A1223" s="1968" t="s">
        <v>377</v>
      </c>
      <c r="B1223" s="1969" t="s">
        <v>3291</v>
      </c>
      <c r="C1223" s="1970"/>
      <c r="D1223" s="1971"/>
      <c r="E1223" s="1970"/>
      <c r="G1223" s="1968" t="s">
        <v>377</v>
      </c>
      <c r="H1223" s="1969" t="s">
        <v>3291</v>
      </c>
      <c r="I1223" s="1970"/>
      <c r="J1223" s="1971"/>
      <c r="K1223" s="1970"/>
    </row>
    <row r="1224" spans="1:11" ht="12.75" customHeight="1">
      <c r="A1224" s="1972" t="s">
        <v>379</v>
      </c>
      <c r="B1224" s="1973" t="s">
        <v>3292</v>
      </c>
      <c r="C1224" s="1970"/>
      <c r="D1224" s="1970"/>
      <c r="E1224" s="1970"/>
      <c r="G1224" s="1972" t="s">
        <v>379</v>
      </c>
      <c r="H1224" s="1973" t="s">
        <v>3292</v>
      </c>
      <c r="I1224" s="1970"/>
      <c r="J1224" s="1970"/>
      <c r="K1224" s="1970"/>
    </row>
    <row r="1225" spans="1:11" ht="12.75" customHeight="1">
      <c r="A1225" s="1972" t="s">
        <v>381</v>
      </c>
      <c r="B1225" s="1974" t="s">
        <v>3293</v>
      </c>
      <c r="C1225" s="1970"/>
      <c r="D1225" s="1970"/>
      <c r="E1225" s="1962">
        <f>SUM(E1224)</f>
        <v>0</v>
      </c>
      <c r="G1225" s="1972" t="s">
        <v>381</v>
      </c>
      <c r="H1225" s="1974" t="s">
        <v>3293</v>
      </c>
      <c r="I1225" s="1970"/>
      <c r="J1225" s="1970"/>
      <c r="K1225" s="1962">
        <f>SUM(K1224)</f>
        <v>0</v>
      </c>
    </row>
    <row r="1226" spans="1:11" ht="12.75" customHeight="1">
      <c r="A1226" s="1975" t="s">
        <v>383</v>
      </c>
      <c r="B1226" s="1976" t="s">
        <v>3294</v>
      </c>
      <c r="C1226" s="1977"/>
      <c r="D1226" s="1977"/>
      <c r="E1226" s="1978" t="e">
        <f>(E1214+E1215+E1216+E1217+E1218+E1219+E1220+E1221+E1222)-E1225</f>
        <v>#VALUE!</v>
      </c>
      <c r="G1226" s="1975" t="s">
        <v>383</v>
      </c>
      <c r="H1226" s="1976" t="s">
        <v>3294</v>
      </c>
      <c r="I1226" s="1977"/>
      <c r="J1226" s="1977"/>
      <c r="K1226" s="1978" t="e">
        <f>(K1214+K1215+K1216+K1217+K1218+K1219+K1220+K1221+K1222)-K1225</f>
        <v>#VALUE!</v>
      </c>
    </row>
    <row r="1228" spans="1:11" ht="12.75" customHeight="1">
      <c r="A1228" s="2953" t="s">
        <v>3356</v>
      </c>
      <c r="B1228" s="2954"/>
      <c r="C1228" s="2954"/>
      <c r="D1228" s="2954"/>
      <c r="E1228" s="1955">
        <f>VLOOKUP(B1229,'LƯƠNG KT'!$D$110:$AD$184,25,0)</f>
        <v>0</v>
      </c>
      <c r="G1228" s="2953" t="s">
        <v>3356</v>
      </c>
      <c r="H1228" s="2954"/>
      <c r="I1228" s="2954"/>
      <c r="J1228" s="2954"/>
      <c r="K1228" s="1955">
        <f>VLOOKUP(H1229,'LƯƠNG KT'!$D$110:$AD$184,25,0)</f>
        <v>0</v>
      </c>
    </row>
    <row r="1229" spans="1:11" ht="12.75" customHeight="1">
      <c r="A1229" s="1956" t="s">
        <v>356</v>
      </c>
      <c r="B1229" s="1956" t="str">
        <f>'LƯƠNG KT'!$D$156</f>
        <v>Thảo Túy</v>
      </c>
      <c r="C1229" s="1957"/>
      <c r="D1229" s="1958" t="s">
        <v>2357</v>
      </c>
      <c r="E1229" s="1958" t="s">
        <v>2156</v>
      </c>
      <c r="G1229" s="1956" t="s">
        <v>356</v>
      </c>
      <c r="H1229" s="1956" t="str">
        <f>'LƯƠNG KT'!$D$157</f>
        <v>T. Choi</v>
      </c>
      <c r="I1229" s="1957"/>
      <c r="J1229" s="1958" t="s">
        <v>2357</v>
      </c>
      <c r="K1229" s="1958" t="s">
        <v>2156</v>
      </c>
    </row>
    <row r="1230" spans="1:11" ht="12.75" customHeight="1">
      <c r="A1230" s="1959" t="s">
        <v>3005</v>
      </c>
      <c r="B1230" s="1960" t="s">
        <v>3278</v>
      </c>
      <c r="C1230" s="1961">
        <f>VLOOKUP(B1229,'LƯƠNG KT'!$D$110:$AC$184,8,0)</f>
        <v>117.34406689881281</v>
      </c>
      <c r="D1230" s="1962"/>
      <c r="E1230" s="1962"/>
      <c r="G1230" s="1959" t="s">
        <v>3005</v>
      </c>
      <c r="H1230" s="1960" t="s">
        <v>3278</v>
      </c>
      <c r="I1230" s="1961">
        <f>VLOOKUP(H1229,'LƯƠNG KT'!$D$110:$AC$184,8,0)</f>
        <v>103.10210027312702</v>
      </c>
      <c r="J1230" s="1962"/>
      <c r="K1230" s="1962"/>
    </row>
    <row r="1231" spans="1:11" ht="12.75" customHeight="1">
      <c r="A1231" s="1959" t="s">
        <v>359</v>
      </c>
      <c r="B1231" s="1963" t="s">
        <v>2090</v>
      </c>
      <c r="C1231" s="1961">
        <f>VLOOKUP(B1229,'LƯƠNG KT'!$D$110:$AC$184,3,0)</f>
        <v>0</v>
      </c>
      <c r="D1231" s="1964">
        <v>25000</v>
      </c>
      <c r="E1231" s="1962">
        <f>C1231*D1231</f>
        <v>0</v>
      </c>
      <c r="G1231" s="1959" t="s">
        <v>359</v>
      </c>
      <c r="H1231" s="1963" t="s">
        <v>2090</v>
      </c>
      <c r="I1231" s="1961">
        <f>VLOOKUP(H1229,'LƯƠNG KT'!$D$110:$AC$184,3,0)</f>
        <v>0</v>
      </c>
      <c r="J1231" s="1964">
        <v>25000</v>
      </c>
      <c r="K1231" s="1962">
        <f>I1231*J1231</f>
        <v>0</v>
      </c>
    </row>
    <row r="1232" spans="1:11" ht="12.75" customHeight="1">
      <c r="A1232" s="1959" t="s">
        <v>3279</v>
      </c>
      <c r="B1232" s="1965" t="s">
        <v>3280</v>
      </c>
      <c r="C1232" s="1961" t="str">
        <f>VLOOKUP(B1229,'LƯƠNG KT'!$D$110:$AC$184,10,0)</f>
        <v>B</v>
      </c>
      <c r="D1232" s="1967">
        <f>46.1*$C$1</f>
        <v>30792.956000000002</v>
      </c>
      <c r="E1232" s="1962" t="e">
        <f t="shared" ref="E1232:E1236" si="144">C1232*D1232</f>
        <v>#VALUE!</v>
      </c>
      <c r="G1232" s="1959" t="s">
        <v>3279</v>
      </c>
      <c r="H1232" s="1965" t="s">
        <v>3280</v>
      </c>
      <c r="I1232" s="1961" t="str">
        <f>VLOOKUP(H1229,'LƯƠNG KT'!$D$110:$AC$184,10,0)</f>
        <v>A</v>
      </c>
      <c r="J1232" s="1967">
        <f>46.1*$C$1</f>
        <v>30792.956000000002</v>
      </c>
      <c r="K1232" s="1962" t="e">
        <f t="shared" ref="K1232:K1236" si="145">I1232*J1232</f>
        <v>#VALUE!</v>
      </c>
    </row>
    <row r="1233" spans="1:11" ht="12.75" customHeight="1">
      <c r="A1233" s="1959" t="s">
        <v>3281</v>
      </c>
      <c r="B1233" s="1965" t="s">
        <v>3282</v>
      </c>
      <c r="C1233" s="1961">
        <f>VLOOKUP(B1229,'LƯƠNG KT'!$D$110:$AC$184,11,0)</f>
        <v>4793214</v>
      </c>
      <c r="D1233" s="1964">
        <f>76.9*$C$1</f>
        <v>51366.124000000003</v>
      </c>
      <c r="E1233" s="1962">
        <f t="shared" si="144"/>
        <v>246208824682.53601</v>
      </c>
      <c r="G1233" s="1959" t="s">
        <v>3281</v>
      </c>
      <c r="H1233" s="1965" t="s">
        <v>3282</v>
      </c>
      <c r="I1233" s="1961">
        <f>VLOOKUP(H1229,'LƯƠNG KT'!$D$110:$AC$184,11,0)</f>
        <v>4429299</v>
      </c>
      <c r="J1233" s="1964">
        <f>76.9*$C$1</f>
        <v>51366.124000000003</v>
      </c>
      <c r="K1233" s="1962">
        <f t="shared" si="145"/>
        <v>227515921667.07602</v>
      </c>
    </row>
    <row r="1234" spans="1:11" ht="12.75" customHeight="1">
      <c r="A1234" s="1959" t="s">
        <v>374</v>
      </c>
      <c r="B1234" s="1965" t="s">
        <v>3283</v>
      </c>
      <c r="C1234" s="1961">
        <f>VLOOKUP(B1229,'LƯƠNG KT'!$D$110:$AC$184,7,0)</f>
        <v>1260.0162466455265</v>
      </c>
      <c r="D1234" s="1964">
        <f>IF(C1230="A",6.1,IF(C1230="B",5.8,IF(C1230="C",5.5,IF(C1230="C.",5.5,IF(C1230="D",5.2)))))*$C$1</f>
        <v>0</v>
      </c>
      <c r="E1234" s="1962">
        <f t="shared" si="144"/>
        <v>0</v>
      </c>
      <c r="G1234" s="1959" t="s">
        <v>374</v>
      </c>
      <c r="H1234" s="1965" t="s">
        <v>3283</v>
      </c>
      <c r="I1234" s="1961">
        <f>VLOOKUP(H1229,'LƯƠNG KT'!$D$110:$AC$184,7,0)</f>
        <v>1107.0889635982996</v>
      </c>
      <c r="J1234" s="1964">
        <f>IF(I1230="A",6.1,IF(I1230="B",5.8,IF(I1230="C",5.5,IF(I1230="C.",5.5,IF(I1230="D",5.2)))))*$C$1</f>
        <v>0</v>
      </c>
      <c r="K1234" s="1962">
        <f t="shared" si="145"/>
        <v>0</v>
      </c>
    </row>
    <row r="1235" spans="1:11" ht="12.75" customHeight="1">
      <c r="A1235" s="1959" t="s">
        <v>3296</v>
      </c>
      <c r="B1235" s="1965" t="s">
        <v>3285</v>
      </c>
      <c r="C1235" s="1961">
        <f>VLOOKUP(B1229,'LƯƠNG KT'!$D$110:$AC$184,12,0)</f>
        <v>20</v>
      </c>
      <c r="D1235" s="1967">
        <f>92.2*$C$1</f>
        <v>61585.912000000004</v>
      </c>
      <c r="E1235" s="1962">
        <f t="shared" si="144"/>
        <v>1231718.24</v>
      </c>
      <c r="G1235" s="1959" t="s">
        <v>3296</v>
      </c>
      <c r="H1235" s="1965" t="s">
        <v>3285</v>
      </c>
      <c r="I1235" s="1961">
        <f>VLOOKUP(H1229,'LƯƠNG KT'!$D$110:$AC$184,12,0)</f>
        <v>18</v>
      </c>
      <c r="J1235" s="1967">
        <f>92.2*$C$1</f>
        <v>61585.912000000004</v>
      </c>
      <c r="K1235" s="1962">
        <f t="shared" si="145"/>
        <v>1108546.416</v>
      </c>
    </row>
    <row r="1236" spans="1:11" ht="12.75" customHeight="1">
      <c r="A1236" s="1959" t="s">
        <v>3297</v>
      </c>
      <c r="B1236" s="1965" t="s">
        <v>3287</v>
      </c>
      <c r="C1236" s="1961">
        <f>VLOOKUP(B1229,'LƯƠNG KT'!$D$110:$AC$184,13,0)</f>
        <v>4</v>
      </c>
      <c r="D1236" s="1964">
        <f>153.8*$C$1</f>
        <v>102732.24800000001</v>
      </c>
      <c r="E1236" s="1962">
        <f t="shared" si="144"/>
        <v>410928.99200000003</v>
      </c>
      <c r="G1236" s="1959" t="s">
        <v>3297</v>
      </c>
      <c r="H1236" s="1965" t="s">
        <v>3287</v>
      </c>
      <c r="I1236" s="1961">
        <f>VLOOKUP(H1229,'LƯƠNG KT'!$D$110:$AC$184,13,0)</f>
        <v>3</v>
      </c>
      <c r="J1236" s="1964">
        <f>153.8*$C$1</f>
        <v>102732.24800000001</v>
      </c>
      <c r="K1236" s="1962">
        <f t="shared" si="145"/>
        <v>308196.74400000001</v>
      </c>
    </row>
    <row r="1237" spans="1:11" ht="12.75" customHeight="1">
      <c r="A1237" s="1959" t="s">
        <v>3354</v>
      </c>
      <c r="B1237" s="1965" t="s">
        <v>3288</v>
      </c>
      <c r="C1237" s="1961">
        <f>VLOOKUP(B1229,'LƯƠNG KT'!$D$110:$AC$184,14,0)</f>
        <v>5</v>
      </c>
      <c r="D1237" s="1964">
        <v>100000</v>
      </c>
      <c r="E1237" s="1962">
        <f>C1237*D1237</f>
        <v>500000</v>
      </c>
      <c r="G1237" s="1959" t="s">
        <v>3354</v>
      </c>
      <c r="H1237" s="1965" t="s">
        <v>3288</v>
      </c>
      <c r="I1237" s="1961">
        <f>VLOOKUP(H1229,'LƯƠNG KT'!$D$110:$AC$184,14,0)</f>
        <v>5</v>
      </c>
      <c r="J1237" s="1964">
        <v>100000</v>
      </c>
      <c r="K1237" s="1962">
        <f>I1237*J1237</f>
        <v>500000</v>
      </c>
    </row>
    <row r="1238" spans="1:11" ht="12.75" customHeight="1">
      <c r="A1238" s="1959" t="s">
        <v>3355</v>
      </c>
      <c r="B1238" s="1965" t="s">
        <v>3288</v>
      </c>
      <c r="C1238" s="1961" t="e">
        <f>VLOOKUP(B1229,'LƯƠNG KT'!$D$110:$AC$184,17,0)</f>
        <v>#N/A</v>
      </c>
      <c r="D1238" s="1964">
        <v>20000</v>
      </c>
      <c r="E1238" s="1962" t="e">
        <f>C1238*D1238</f>
        <v>#N/A</v>
      </c>
      <c r="G1238" s="1959" t="s">
        <v>3355</v>
      </c>
      <c r="H1238" s="1965" t="s">
        <v>3288</v>
      </c>
      <c r="I1238" s="1961" t="e">
        <f>VLOOKUP(H1229,'LƯƠNG KT'!$D$110:$AC$184,17,0)</f>
        <v>#N/A</v>
      </c>
      <c r="J1238" s="1964">
        <v>20000</v>
      </c>
      <c r="K1238" s="1962" t="e">
        <f>I1238*J1238</f>
        <v>#N/A</v>
      </c>
    </row>
    <row r="1239" spans="1:11" ht="12.75" customHeight="1">
      <c r="A1239" s="1959" t="s">
        <v>3289</v>
      </c>
      <c r="B1239" s="1965" t="s">
        <v>3290</v>
      </c>
      <c r="C1239" s="1966"/>
      <c r="D1239" s="1964"/>
      <c r="E1239" s="1962"/>
      <c r="G1239" s="1959" t="s">
        <v>3289</v>
      </c>
      <c r="H1239" s="1965" t="s">
        <v>3290</v>
      </c>
      <c r="I1239" s="1966"/>
      <c r="J1239" s="1964"/>
      <c r="K1239" s="1962"/>
    </row>
    <row r="1240" spans="1:11" ht="12.75" customHeight="1">
      <c r="A1240" s="1968" t="s">
        <v>377</v>
      </c>
      <c r="B1240" s="1969" t="s">
        <v>3291</v>
      </c>
      <c r="C1240" s="1970"/>
      <c r="D1240" s="1971"/>
      <c r="E1240" s="1970"/>
      <c r="G1240" s="1968" t="s">
        <v>377</v>
      </c>
      <c r="H1240" s="1969" t="s">
        <v>3291</v>
      </c>
      <c r="I1240" s="1970"/>
      <c r="J1240" s="1971"/>
      <c r="K1240" s="1970"/>
    </row>
    <row r="1241" spans="1:11" ht="12.75" customHeight="1">
      <c r="A1241" s="1972" t="s">
        <v>379</v>
      </c>
      <c r="B1241" s="1973" t="s">
        <v>3292</v>
      </c>
      <c r="C1241" s="1970"/>
      <c r="D1241" s="1970"/>
      <c r="E1241" s="1970"/>
      <c r="G1241" s="1972" t="s">
        <v>379</v>
      </c>
      <c r="H1241" s="1973" t="s">
        <v>3292</v>
      </c>
      <c r="I1241" s="1970"/>
      <c r="J1241" s="1970"/>
      <c r="K1241" s="1970"/>
    </row>
    <row r="1242" spans="1:11" ht="12.75" customHeight="1">
      <c r="A1242" s="1972" t="s">
        <v>381</v>
      </c>
      <c r="B1242" s="1974" t="s">
        <v>3293</v>
      </c>
      <c r="C1242" s="1970"/>
      <c r="D1242" s="1970"/>
      <c r="E1242" s="1962">
        <f>SUM(E1241)</f>
        <v>0</v>
      </c>
      <c r="G1242" s="1972" t="s">
        <v>381</v>
      </c>
      <c r="H1242" s="1974" t="s">
        <v>3293</v>
      </c>
      <c r="I1242" s="1970"/>
      <c r="J1242" s="1970"/>
      <c r="K1242" s="1962">
        <f>SUM(K1241)</f>
        <v>0</v>
      </c>
    </row>
    <row r="1243" spans="1:11" ht="12.75" customHeight="1">
      <c r="A1243" s="1975" t="s">
        <v>383</v>
      </c>
      <c r="B1243" s="1976" t="s">
        <v>3294</v>
      </c>
      <c r="C1243" s="1977"/>
      <c r="D1243" s="1977"/>
      <c r="E1243" s="1978" t="e">
        <f>(E1231+E1232+E1233+E1234+E1235+E1236+E1237+E1238+E1239)-E1242</f>
        <v>#VALUE!</v>
      </c>
      <c r="G1243" s="1975" t="s">
        <v>383</v>
      </c>
      <c r="H1243" s="1976" t="s">
        <v>3294</v>
      </c>
      <c r="I1243" s="1977"/>
      <c r="J1243" s="1977"/>
      <c r="K1243" s="1978" t="e">
        <f>(K1231+K1232+K1233+K1234+K1235+K1236+K1237+K1238+K1239)-K1242</f>
        <v>#VALUE!</v>
      </c>
    </row>
    <row r="1245" spans="1:11" ht="12.75" customHeight="1">
      <c r="A1245" s="2953" t="s">
        <v>3356</v>
      </c>
      <c r="B1245" s="2954"/>
      <c r="C1245" s="2954"/>
      <c r="D1245" s="2954"/>
      <c r="E1245" s="1955">
        <f>VLOOKUP(B1246,'LƯƠNG KT'!$D$110:$AD$184,25,0)</f>
        <v>0</v>
      </c>
      <c r="G1245" s="2953" t="s">
        <v>3356</v>
      </c>
      <c r="H1245" s="2954"/>
      <c r="I1245" s="2954"/>
      <c r="J1245" s="2954"/>
      <c r="K1245" s="1955">
        <f>VLOOKUP(H1246,'LƯƠNG KT'!$D$110:$AD$184,25,0)</f>
        <v>0</v>
      </c>
    </row>
    <row r="1246" spans="1:11" ht="12.75" customHeight="1">
      <c r="A1246" s="1956" t="s">
        <v>356</v>
      </c>
      <c r="B1246" s="1956" t="str">
        <f>'LƯƠNG KT'!$D$158</f>
        <v>N. Phút</v>
      </c>
      <c r="C1246" s="1957"/>
      <c r="D1246" s="1958" t="s">
        <v>2357</v>
      </c>
      <c r="E1246" s="1958" t="s">
        <v>2156</v>
      </c>
      <c r="G1246" s="1956" t="s">
        <v>356</v>
      </c>
      <c r="H1246" s="1956" t="str">
        <f>'LƯƠNG KT'!$D$159</f>
        <v>Nàng A Nẹp</v>
      </c>
      <c r="I1246" s="1957"/>
      <c r="J1246" s="1958" t="s">
        <v>2357</v>
      </c>
      <c r="K1246" s="1958" t="s">
        <v>2156</v>
      </c>
    </row>
    <row r="1247" spans="1:11" ht="12.75" customHeight="1">
      <c r="A1247" s="1959" t="s">
        <v>3005</v>
      </c>
      <c r="B1247" s="1960" t="s">
        <v>3278</v>
      </c>
      <c r="C1247" s="1961">
        <f>VLOOKUP(B1246,'LƯƠNG KT'!$D$110:$AC$184,8,0)</f>
        <v>103.5890051150308</v>
      </c>
      <c r="D1247" s="1962"/>
      <c r="E1247" s="1962"/>
      <c r="G1247" s="1959" t="s">
        <v>3005</v>
      </c>
      <c r="H1247" s="1960" t="s">
        <v>3278</v>
      </c>
      <c r="I1247" s="1961">
        <f>VLOOKUP(H1246,'LƯƠNG KT'!$D$110:$AC$184,8,0)</f>
        <v>124.20131008895781</v>
      </c>
      <c r="J1247" s="1962"/>
      <c r="K1247" s="1962"/>
    </row>
    <row r="1248" spans="1:11" ht="12.75" customHeight="1">
      <c r="A1248" s="1959" t="s">
        <v>359</v>
      </c>
      <c r="B1248" s="1963" t="s">
        <v>2090</v>
      </c>
      <c r="C1248" s="1961">
        <f>VLOOKUP(B1246,'LƯƠNG KT'!$D$110:$AC$184,3,0)</f>
        <v>0</v>
      </c>
      <c r="D1248" s="1964">
        <v>25000</v>
      </c>
      <c r="E1248" s="1962">
        <f>C1248*D1248</f>
        <v>0</v>
      </c>
      <c r="G1248" s="1959" t="s">
        <v>359</v>
      </c>
      <c r="H1248" s="1963" t="s">
        <v>2090</v>
      </c>
      <c r="I1248" s="1961">
        <f>VLOOKUP(H1246,'LƯƠNG KT'!$D$110:$AC$184,3,0)</f>
        <v>0</v>
      </c>
      <c r="J1248" s="1964">
        <v>25000</v>
      </c>
      <c r="K1248" s="1962">
        <f>I1248*J1248</f>
        <v>0</v>
      </c>
    </row>
    <row r="1249" spans="1:11" ht="12.75" customHeight="1">
      <c r="A1249" s="1959" t="s">
        <v>3279</v>
      </c>
      <c r="B1249" s="1965" t="s">
        <v>3280</v>
      </c>
      <c r="C1249" s="1961" t="str">
        <f>VLOOKUP(B1246,'LƯƠNG KT'!$D$110:$AC$184,10,0)</f>
        <v>A</v>
      </c>
      <c r="D1249" s="1967">
        <f>46.1*$C$1</f>
        <v>30792.956000000002</v>
      </c>
      <c r="E1249" s="1962" t="e">
        <f t="shared" ref="E1249:E1253" si="146">C1249*D1249</f>
        <v>#VALUE!</v>
      </c>
      <c r="G1249" s="1959" t="s">
        <v>3279</v>
      </c>
      <c r="H1249" s="1965" t="s">
        <v>3280</v>
      </c>
      <c r="I1249" s="1961" t="str">
        <f>VLOOKUP(H1246,'LƯƠNG KT'!$D$110:$AC$184,10,0)</f>
        <v>B</v>
      </c>
      <c r="J1249" s="1967">
        <f>46.1*$C$1</f>
        <v>30792.956000000002</v>
      </c>
      <c r="K1249" s="1962" t="e">
        <f t="shared" ref="K1249:K1253" si="147">I1249*J1249</f>
        <v>#VALUE!</v>
      </c>
    </row>
    <row r="1250" spans="1:11" ht="12.75" customHeight="1">
      <c r="A1250" s="1959" t="s">
        <v>3281</v>
      </c>
      <c r="B1250" s="1965" t="s">
        <v>3282</v>
      </c>
      <c r="C1250" s="1961">
        <f>VLOOKUP(B1246,'LƯƠNG KT'!$D$110:$AC$184,11,0)</f>
        <v>4450217</v>
      </c>
      <c r="D1250" s="1964">
        <f>76.9*$C$1</f>
        <v>51366.124000000003</v>
      </c>
      <c r="E1250" s="1962">
        <f t="shared" si="146"/>
        <v>228590398248.90802</v>
      </c>
      <c r="G1250" s="1959" t="s">
        <v>3281</v>
      </c>
      <c r="H1250" s="1965" t="s">
        <v>3282</v>
      </c>
      <c r="I1250" s="1961">
        <f>VLOOKUP(H1246,'LƯƠNG KT'!$D$110:$AC$184,11,0)</f>
        <v>5073315</v>
      </c>
      <c r="J1250" s="1964">
        <f>76.9*$C$1</f>
        <v>51366.124000000003</v>
      </c>
      <c r="K1250" s="1962">
        <f t="shared" si="147"/>
        <v>260596527381.06003</v>
      </c>
    </row>
    <row r="1251" spans="1:11" ht="12.75" customHeight="1">
      <c r="A1251" s="1959" t="s">
        <v>374</v>
      </c>
      <c r="B1251" s="1965" t="s">
        <v>3283</v>
      </c>
      <c r="C1251" s="1961">
        <f>VLOOKUP(B1246,'LƯƠNG KT'!$D$110:$AC$184,7,0)</f>
        <v>1112.3172467794016</v>
      </c>
      <c r="D1251" s="1964">
        <f>IF(C1247="A",6.1,IF(C1247="B",5.8,IF(C1247="C",5.5,IF(C1247="C.",5.5,IF(C1247="D",5.2)))))*$C$1</f>
        <v>0</v>
      </c>
      <c r="E1251" s="1962">
        <f t="shared" si="146"/>
        <v>0</v>
      </c>
      <c r="G1251" s="1959" t="s">
        <v>374</v>
      </c>
      <c r="H1251" s="1965" t="s">
        <v>3283</v>
      </c>
      <c r="I1251" s="1961">
        <f>VLOOKUP(H1246,'LƯƠNG KT'!$D$110:$AC$184,7,0)</f>
        <v>1333.6479014460431</v>
      </c>
      <c r="J1251" s="1964">
        <f>IF(I1247="A",6.1,IF(I1247="B",5.8,IF(I1247="C",5.5,IF(I1247="C.",5.5,IF(I1247="D",5.2)))))*$C$1</f>
        <v>0</v>
      </c>
      <c r="K1251" s="1962">
        <f t="shared" si="147"/>
        <v>0</v>
      </c>
    </row>
    <row r="1252" spans="1:11" ht="12.75" customHeight="1">
      <c r="A1252" s="1959" t="s">
        <v>3296</v>
      </c>
      <c r="B1252" s="1965" t="s">
        <v>3285</v>
      </c>
      <c r="C1252" s="1961">
        <f>VLOOKUP(B1246,'LƯƠNG KT'!$D$110:$AC$184,12,0)</f>
        <v>18</v>
      </c>
      <c r="D1252" s="1967">
        <f>92.2*$C$1</f>
        <v>61585.912000000004</v>
      </c>
      <c r="E1252" s="1962">
        <f t="shared" si="146"/>
        <v>1108546.416</v>
      </c>
      <c r="G1252" s="1959" t="s">
        <v>3296</v>
      </c>
      <c r="H1252" s="1965" t="s">
        <v>3285</v>
      </c>
      <c r="I1252" s="1961">
        <f>VLOOKUP(H1246,'LƯƠNG KT'!$D$110:$AC$184,12,0)</f>
        <v>25</v>
      </c>
      <c r="J1252" s="1967">
        <f>92.2*$C$1</f>
        <v>61585.912000000004</v>
      </c>
      <c r="K1252" s="1962">
        <f t="shared" si="147"/>
        <v>1539647.8</v>
      </c>
    </row>
    <row r="1253" spans="1:11" ht="12.75" customHeight="1">
      <c r="A1253" s="1959" t="s">
        <v>3297</v>
      </c>
      <c r="B1253" s="1965" t="s">
        <v>3287</v>
      </c>
      <c r="C1253" s="1961">
        <f>VLOOKUP(B1246,'LƯƠNG KT'!$D$110:$AC$184,13,0)</f>
        <v>3</v>
      </c>
      <c r="D1253" s="1964">
        <f>153.8*$C$1</f>
        <v>102732.24800000001</v>
      </c>
      <c r="E1253" s="1962">
        <f t="shared" si="146"/>
        <v>308196.74400000001</v>
      </c>
      <c r="G1253" s="1959" t="s">
        <v>3297</v>
      </c>
      <c r="H1253" s="1965" t="s">
        <v>3287</v>
      </c>
      <c r="I1253" s="1961">
        <f>VLOOKUP(H1246,'LƯƠNG KT'!$D$110:$AC$184,13,0)</f>
        <v>4</v>
      </c>
      <c r="J1253" s="1964">
        <f>153.8*$C$1</f>
        <v>102732.24800000001</v>
      </c>
      <c r="K1253" s="1962">
        <f t="shared" si="147"/>
        <v>410928.99200000003</v>
      </c>
    </row>
    <row r="1254" spans="1:11" ht="12.75" customHeight="1">
      <c r="A1254" s="1959" t="s">
        <v>3354</v>
      </c>
      <c r="B1254" s="1965" t="s">
        <v>3288</v>
      </c>
      <c r="C1254" s="1961">
        <f>VLOOKUP(B1246,'LƯƠNG KT'!$D$110:$AC$184,14,0)</f>
        <v>5</v>
      </c>
      <c r="D1254" s="1964">
        <v>100000</v>
      </c>
      <c r="E1254" s="1962">
        <f>C1254*D1254</f>
        <v>500000</v>
      </c>
      <c r="G1254" s="1959" t="s">
        <v>3354</v>
      </c>
      <c r="H1254" s="1965" t="s">
        <v>3288</v>
      </c>
      <c r="I1254" s="1961">
        <f>VLOOKUP(H1246,'LƯƠNG KT'!$D$110:$AC$184,14,0)</f>
        <v>2</v>
      </c>
      <c r="J1254" s="1964">
        <v>100000</v>
      </c>
      <c r="K1254" s="1962">
        <f>I1254*J1254</f>
        <v>200000</v>
      </c>
    </row>
    <row r="1255" spans="1:11" ht="12.75" customHeight="1">
      <c r="A1255" s="1959" t="s">
        <v>3355</v>
      </c>
      <c r="B1255" s="1965" t="s">
        <v>3288</v>
      </c>
      <c r="C1255" s="1961" t="e">
        <f>VLOOKUP(B1246,'LƯƠNG KT'!$D$110:$AC$184,17,0)</f>
        <v>#N/A</v>
      </c>
      <c r="D1255" s="1964">
        <v>20000</v>
      </c>
      <c r="E1255" s="1962" t="e">
        <f>C1255*D1255</f>
        <v>#N/A</v>
      </c>
      <c r="G1255" s="1959" t="s">
        <v>3355</v>
      </c>
      <c r="H1255" s="1965" t="s">
        <v>3288</v>
      </c>
      <c r="I1255" s="1961" t="e">
        <f>VLOOKUP(H1246,'LƯƠNG KT'!$D$110:$AC$184,17,0)</f>
        <v>#N/A</v>
      </c>
      <c r="J1255" s="1964">
        <v>20000</v>
      </c>
      <c r="K1255" s="1962" t="e">
        <f>I1255*J1255</f>
        <v>#N/A</v>
      </c>
    </row>
    <row r="1256" spans="1:11" ht="12.75" customHeight="1">
      <c r="A1256" s="1959" t="s">
        <v>3289</v>
      </c>
      <c r="B1256" s="1965" t="s">
        <v>3290</v>
      </c>
      <c r="C1256" s="1966"/>
      <c r="D1256" s="1964"/>
      <c r="E1256" s="1962"/>
      <c r="G1256" s="1959" t="s">
        <v>3289</v>
      </c>
      <c r="H1256" s="1965" t="s">
        <v>3290</v>
      </c>
      <c r="I1256" s="1966"/>
      <c r="J1256" s="1964"/>
      <c r="K1256" s="1962"/>
    </row>
    <row r="1257" spans="1:11" ht="12.75" customHeight="1">
      <c r="A1257" s="1968" t="s">
        <v>377</v>
      </c>
      <c r="B1257" s="1969" t="s">
        <v>3291</v>
      </c>
      <c r="C1257" s="1970"/>
      <c r="D1257" s="1971"/>
      <c r="E1257" s="1970"/>
      <c r="G1257" s="1968" t="s">
        <v>377</v>
      </c>
      <c r="H1257" s="1969" t="s">
        <v>3291</v>
      </c>
      <c r="I1257" s="1970"/>
      <c r="J1257" s="1971"/>
      <c r="K1257" s="1970"/>
    </row>
    <row r="1258" spans="1:11" ht="12.75" customHeight="1">
      <c r="A1258" s="1972" t="s">
        <v>379</v>
      </c>
      <c r="B1258" s="1973" t="s">
        <v>3292</v>
      </c>
      <c r="C1258" s="1970"/>
      <c r="D1258" s="1970"/>
      <c r="E1258" s="1970"/>
      <c r="G1258" s="1972" t="s">
        <v>379</v>
      </c>
      <c r="H1258" s="1973" t="s">
        <v>3292</v>
      </c>
      <c r="I1258" s="1970"/>
      <c r="J1258" s="1970"/>
      <c r="K1258" s="1970"/>
    </row>
    <row r="1259" spans="1:11" ht="12.75" customHeight="1">
      <c r="A1259" s="1972" t="s">
        <v>381</v>
      </c>
      <c r="B1259" s="1974" t="s">
        <v>3293</v>
      </c>
      <c r="C1259" s="1970"/>
      <c r="D1259" s="1970"/>
      <c r="E1259" s="1962">
        <f>SUM(E1258)</f>
        <v>0</v>
      </c>
      <c r="G1259" s="1972" t="s">
        <v>381</v>
      </c>
      <c r="H1259" s="1974" t="s">
        <v>3293</v>
      </c>
      <c r="I1259" s="1970"/>
      <c r="J1259" s="1970"/>
      <c r="K1259" s="1962">
        <f>SUM(K1258)</f>
        <v>0</v>
      </c>
    </row>
    <row r="1260" spans="1:11" ht="12.75" customHeight="1">
      <c r="A1260" s="1975" t="s">
        <v>383</v>
      </c>
      <c r="B1260" s="1976" t="s">
        <v>3294</v>
      </c>
      <c r="C1260" s="1977"/>
      <c r="D1260" s="1977"/>
      <c r="E1260" s="1978" t="e">
        <f>(E1248+E1249+E1250+E1251+E1252+E1253+E1254+E1255+E1256)-E1259</f>
        <v>#VALUE!</v>
      </c>
      <c r="G1260" s="1975" t="s">
        <v>383</v>
      </c>
      <c r="H1260" s="1976" t="s">
        <v>3294</v>
      </c>
      <c r="I1260" s="1977"/>
      <c r="J1260" s="1977"/>
      <c r="K1260" s="1978" t="e">
        <f>(K1248+K1249+K1250+K1251+K1252+K1253+K1254+K1255+K1256)-K1259</f>
        <v>#VALUE!</v>
      </c>
    </row>
    <row r="1262" spans="1:11" ht="12.75" customHeight="1">
      <c r="A1262" s="2953" t="s">
        <v>3356</v>
      </c>
      <c r="B1262" s="2954"/>
      <c r="C1262" s="2954"/>
      <c r="D1262" s="2954"/>
      <c r="E1262" s="1955">
        <f>VLOOKUP(B1263,'LƯƠNG KT'!$D$110:$AD$184,25,0)</f>
        <v>0</v>
      </c>
      <c r="G1262" s="2953" t="s">
        <v>3356</v>
      </c>
      <c r="H1262" s="2954"/>
      <c r="I1262" s="2954"/>
      <c r="J1262" s="2954"/>
      <c r="K1262" s="1955">
        <f>VLOOKUP(H1263,'LƯƠNG KT'!$D$110:$AD$184,25,0)</f>
        <v>0</v>
      </c>
    </row>
    <row r="1263" spans="1:11" ht="12.75" customHeight="1">
      <c r="A1263" s="1956" t="s">
        <v>356</v>
      </c>
      <c r="B1263" s="1956" t="str">
        <f>'LƯƠNG KT'!$D$160</f>
        <v>Thảo Nọi</v>
      </c>
      <c r="C1263" s="1957"/>
      <c r="D1263" s="1958" t="s">
        <v>2357</v>
      </c>
      <c r="E1263" s="1958" t="s">
        <v>2156</v>
      </c>
      <c r="G1263" s="1956" t="s">
        <v>356</v>
      </c>
      <c r="H1263" s="1956" t="str">
        <f>'LƯƠNG KT'!$D$161</f>
        <v>Thảo Bun</v>
      </c>
      <c r="I1263" s="1957"/>
      <c r="J1263" s="1958" t="s">
        <v>2357</v>
      </c>
      <c r="K1263" s="1958" t="s">
        <v>2156</v>
      </c>
    </row>
    <row r="1264" spans="1:11" ht="12.75" customHeight="1">
      <c r="A1264" s="1959" t="s">
        <v>3005</v>
      </c>
      <c r="B1264" s="1960" t="s">
        <v>3278</v>
      </c>
      <c r="C1264" s="1961">
        <f>VLOOKUP(B1263,'LƯƠNG KT'!$D$110:$AC$184,8,0)</f>
        <v>108.4174781305767</v>
      </c>
      <c r="D1264" s="1962"/>
      <c r="E1264" s="1962"/>
      <c r="G1264" s="1959" t="s">
        <v>3005</v>
      </c>
      <c r="H1264" s="1960" t="s">
        <v>3278</v>
      </c>
      <c r="I1264" s="1961">
        <f>VLOOKUP(H1263,'LƯƠNG KT'!$D$110:$AC$184,8,0)</f>
        <v>33.068953845965574</v>
      </c>
      <c r="J1264" s="1962"/>
      <c r="K1264" s="1962"/>
    </row>
    <row r="1265" spans="1:11" ht="12.75" customHeight="1">
      <c r="A1265" s="1959" t="s">
        <v>359</v>
      </c>
      <c r="B1265" s="1963" t="s">
        <v>2090</v>
      </c>
      <c r="C1265" s="1961">
        <f>VLOOKUP(B1263,'LƯƠNG KT'!$D$110:$AC$184,3,0)</f>
        <v>0</v>
      </c>
      <c r="D1265" s="1964">
        <v>25000</v>
      </c>
      <c r="E1265" s="1962">
        <f>C1265*D1265</f>
        <v>0</v>
      </c>
      <c r="G1265" s="1959" t="s">
        <v>359</v>
      </c>
      <c r="H1265" s="1963" t="s">
        <v>2090</v>
      </c>
      <c r="I1265" s="1961">
        <f>VLOOKUP(H1263,'LƯƠNG KT'!$D$110:$AC$184,3,0)</f>
        <v>0</v>
      </c>
      <c r="J1265" s="1964">
        <v>25000</v>
      </c>
      <c r="K1265" s="1962">
        <f>I1265*J1265</f>
        <v>0</v>
      </c>
    </row>
    <row r="1266" spans="1:11" ht="12.75" customHeight="1">
      <c r="A1266" s="1959" t="s">
        <v>3279</v>
      </c>
      <c r="B1266" s="1965" t="s">
        <v>3280</v>
      </c>
      <c r="C1266" s="1961" t="str">
        <f>VLOOKUP(B1263,'LƯƠNG KT'!$D$110:$AC$184,10,0)</f>
        <v>B</v>
      </c>
      <c r="D1266" s="1967">
        <f>46.1*$C$1</f>
        <v>30792.956000000002</v>
      </c>
      <c r="E1266" s="1962" t="e">
        <f t="shared" ref="E1266:E1270" si="148">C1266*D1266</f>
        <v>#VALUE!</v>
      </c>
      <c r="G1266" s="1959" t="s">
        <v>3279</v>
      </c>
      <c r="H1266" s="1965" t="s">
        <v>3280</v>
      </c>
      <c r="I1266" s="1961" t="str">
        <f>VLOOKUP(H1263,'LƯƠNG KT'!$D$110:$AC$184,10,0)</f>
        <v>A</v>
      </c>
      <c r="J1266" s="1967">
        <f>46.1*$C$1</f>
        <v>30792.956000000002</v>
      </c>
      <c r="K1266" s="1962" t="e">
        <f t="shared" ref="K1266:K1270" si="149">I1266*J1266</f>
        <v>#VALUE!</v>
      </c>
    </row>
    <row r="1267" spans="1:11" ht="12.75" customHeight="1">
      <c r="A1267" s="1959" t="s">
        <v>3281</v>
      </c>
      <c r="B1267" s="1965" t="s">
        <v>3282</v>
      </c>
      <c r="C1267" s="1961">
        <f>VLOOKUP(B1263,'LƯƠNG KT'!$D$110:$AC$184,11,0)</f>
        <v>4428585</v>
      </c>
      <c r="D1267" s="1964">
        <f>76.9*$C$1</f>
        <v>51366.124000000003</v>
      </c>
      <c r="E1267" s="1962">
        <f t="shared" si="148"/>
        <v>227479246254.54001</v>
      </c>
      <c r="G1267" s="1959" t="s">
        <v>3281</v>
      </c>
      <c r="H1267" s="1965" t="s">
        <v>3282</v>
      </c>
      <c r="I1267" s="1961">
        <f>VLOOKUP(H1263,'LƯƠNG KT'!$D$110:$AC$184,11,0)</f>
        <v>1420653</v>
      </c>
      <c r="J1267" s="1964">
        <f>76.9*$C$1</f>
        <v>51366.124000000003</v>
      </c>
      <c r="K1267" s="1962">
        <f t="shared" si="149"/>
        <v>72973438158.972</v>
      </c>
    </row>
    <row r="1268" spans="1:11" ht="12.75" customHeight="1">
      <c r="A1268" s="1959" t="s">
        <v>374</v>
      </c>
      <c r="B1268" s="1965" t="s">
        <v>3283</v>
      </c>
      <c r="C1268" s="1961">
        <f>VLOOKUP(B1263,'LƯƠNG KT'!$D$110:$AC$184,7,0)</f>
        <v>1164.1643883253273</v>
      </c>
      <c r="D1268" s="1964">
        <f>IF(C1264="A",6.1,IF(C1264="B",5.8,IF(C1264="C",5.5,IF(C1264="C.",5.5,IF(C1264="D",5.2)))))*$C$1</f>
        <v>0</v>
      </c>
      <c r="E1268" s="1962">
        <f t="shared" si="148"/>
        <v>0</v>
      </c>
      <c r="G1268" s="1959" t="s">
        <v>374</v>
      </c>
      <c r="H1268" s="1965" t="s">
        <v>3283</v>
      </c>
      <c r="I1268" s="1961">
        <f>VLOOKUP(H1263,'LƯƠNG KT'!$D$110:$AC$184,7,0)</f>
        <v>355.08756604982852</v>
      </c>
      <c r="J1268" s="1964">
        <f>IF(I1264="A",6.1,IF(I1264="B",5.8,IF(I1264="C",5.5,IF(I1264="C.",5.5,IF(I1264="D",5.2)))))*$C$1</f>
        <v>0</v>
      </c>
      <c r="K1268" s="1962">
        <f t="shared" si="149"/>
        <v>0</v>
      </c>
    </row>
    <row r="1269" spans="1:11" ht="12.75" customHeight="1">
      <c r="A1269" s="1959" t="s">
        <v>3296</v>
      </c>
      <c r="B1269" s="1965" t="s">
        <v>3285</v>
      </c>
      <c r="C1269" s="1961">
        <f>VLOOKUP(B1263,'LƯƠNG KT'!$D$110:$AC$184,12,0)</f>
        <v>21</v>
      </c>
      <c r="D1269" s="1967">
        <f>92.2*$C$1</f>
        <v>61585.912000000004</v>
      </c>
      <c r="E1269" s="1962">
        <f t="shared" si="148"/>
        <v>1293304.152</v>
      </c>
      <c r="G1269" s="1959" t="s">
        <v>3296</v>
      </c>
      <c r="H1269" s="1965" t="s">
        <v>3285</v>
      </c>
      <c r="I1269" s="1961">
        <f>VLOOKUP(H1263,'LƯƠNG KT'!$D$110:$AC$184,12,0)</f>
        <v>4</v>
      </c>
      <c r="J1269" s="1967">
        <f>92.2*$C$1</f>
        <v>61585.912000000004</v>
      </c>
      <c r="K1269" s="1962">
        <f t="shared" si="149"/>
        <v>246343.64800000002</v>
      </c>
    </row>
    <row r="1270" spans="1:11" ht="12.75" customHeight="1">
      <c r="A1270" s="1959" t="s">
        <v>3297</v>
      </c>
      <c r="B1270" s="1965" t="s">
        <v>3287</v>
      </c>
      <c r="C1270" s="1961">
        <f>VLOOKUP(B1263,'LƯƠNG KT'!$D$110:$AC$184,13,0)</f>
        <v>4</v>
      </c>
      <c r="D1270" s="1964">
        <f>153.8*$C$1</f>
        <v>102732.24800000001</v>
      </c>
      <c r="E1270" s="1962">
        <f t="shared" si="148"/>
        <v>410928.99200000003</v>
      </c>
      <c r="G1270" s="1959" t="s">
        <v>3297</v>
      </c>
      <c r="H1270" s="1965" t="s">
        <v>3287</v>
      </c>
      <c r="I1270" s="1961">
        <f>VLOOKUP(H1263,'LƯƠNG KT'!$D$110:$AC$184,13,0)</f>
        <v>0</v>
      </c>
      <c r="J1270" s="1964">
        <f>153.8*$C$1</f>
        <v>102732.24800000001</v>
      </c>
      <c r="K1270" s="1962">
        <f t="shared" si="149"/>
        <v>0</v>
      </c>
    </row>
    <row r="1271" spans="1:11" ht="12.75" customHeight="1">
      <c r="A1271" s="1959" t="s">
        <v>3354</v>
      </c>
      <c r="B1271" s="1965" t="s">
        <v>3288</v>
      </c>
      <c r="C1271" s="1961">
        <f>VLOOKUP(B1263,'LƯƠNG KT'!$D$110:$AC$184,14,0)</f>
        <v>4</v>
      </c>
      <c r="D1271" s="1964">
        <v>100000</v>
      </c>
      <c r="E1271" s="1962">
        <f>C1271*D1271</f>
        <v>400000</v>
      </c>
      <c r="G1271" s="1959" t="s">
        <v>3354</v>
      </c>
      <c r="H1271" s="1965" t="s">
        <v>3288</v>
      </c>
      <c r="I1271" s="1961">
        <f>VLOOKUP(H1263,'LƯƠNG KT'!$D$110:$AC$184,14,0)</f>
        <v>1</v>
      </c>
      <c r="J1271" s="1964">
        <v>100000</v>
      </c>
      <c r="K1271" s="1962">
        <f>I1271*J1271</f>
        <v>100000</v>
      </c>
    </row>
    <row r="1272" spans="1:11" ht="12.75" customHeight="1">
      <c r="A1272" s="1959" t="s">
        <v>3355</v>
      </c>
      <c r="B1272" s="1965" t="s">
        <v>3288</v>
      </c>
      <c r="C1272" s="1961" t="e">
        <f>VLOOKUP(B1263,'LƯƠNG KT'!$D$110:$AC$184,17,0)</f>
        <v>#N/A</v>
      </c>
      <c r="D1272" s="1964">
        <v>20000</v>
      </c>
      <c r="E1272" s="1962" t="e">
        <f>C1272*D1272</f>
        <v>#N/A</v>
      </c>
      <c r="G1272" s="1959" t="s">
        <v>3355</v>
      </c>
      <c r="H1272" s="1965" t="s">
        <v>3288</v>
      </c>
      <c r="I1272" s="1961" t="e">
        <f>VLOOKUP(H1263,'LƯƠNG KT'!$D$110:$AC$184,17,0)</f>
        <v>#N/A</v>
      </c>
      <c r="J1272" s="1964">
        <v>20000</v>
      </c>
      <c r="K1272" s="1962" t="e">
        <f>I1272*J1272</f>
        <v>#N/A</v>
      </c>
    </row>
    <row r="1273" spans="1:11" ht="12.75" customHeight="1">
      <c r="A1273" s="1959" t="s">
        <v>3289</v>
      </c>
      <c r="B1273" s="1965" t="s">
        <v>3290</v>
      </c>
      <c r="C1273" s="1966"/>
      <c r="D1273" s="1964"/>
      <c r="E1273" s="1962"/>
      <c r="G1273" s="1959" t="s">
        <v>3289</v>
      </c>
      <c r="H1273" s="1965" t="s">
        <v>3290</v>
      </c>
      <c r="I1273" s="1966"/>
      <c r="J1273" s="1964"/>
      <c r="K1273" s="1962"/>
    </row>
    <row r="1274" spans="1:11" ht="12.75" customHeight="1">
      <c r="A1274" s="1968" t="s">
        <v>377</v>
      </c>
      <c r="B1274" s="1969" t="s">
        <v>3291</v>
      </c>
      <c r="C1274" s="1970"/>
      <c r="D1274" s="1971"/>
      <c r="E1274" s="1970"/>
      <c r="G1274" s="1968" t="s">
        <v>377</v>
      </c>
      <c r="H1274" s="1969" t="s">
        <v>3291</v>
      </c>
      <c r="I1274" s="1970"/>
      <c r="J1274" s="1971"/>
      <c r="K1274" s="1970"/>
    </row>
    <row r="1275" spans="1:11" ht="12.75" customHeight="1">
      <c r="A1275" s="1972" t="s">
        <v>379</v>
      </c>
      <c r="B1275" s="1973" t="s">
        <v>3292</v>
      </c>
      <c r="C1275" s="1970"/>
      <c r="D1275" s="1970"/>
      <c r="E1275" s="1970"/>
      <c r="G1275" s="1972" t="s">
        <v>379</v>
      </c>
      <c r="H1275" s="1973" t="s">
        <v>3292</v>
      </c>
      <c r="I1275" s="1970"/>
      <c r="J1275" s="1970"/>
      <c r="K1275" s="1970"/>
    </row>
    <row r="1276" spans="1:11" ht="12.75" customHeight="1">
      <c r="A1276" s="1972" t="s">
        <v>381</v>
      </c>
      <c r="B1276" s="1974" t="s">
        <v>3293</v>
      </c>
      <c r="C1276" s="1970"/>
      <c r="D1276" s="1970"/>
      <c r="E1276" s="1962">
        <f>SUM(E1275)</f>
        <v>0</v>
      </c>
      <c r="G1276" s="1972" t="s">
        <v>381</v>
      </c>
      <c r="H1276" s="1974" t="s">
        <v>3293</v>
      </c>
      <c r="I1276" s="1970"/>
      <c r="J1276" s="1970"/>
      <c r="K1276" s="1962">
        <f>SUM(K1275)</f>
        <v>0</v>
      </c>
    </row>
    <row r="1277" spans="1:11" ht="12.75" customHeight="1">
      <c r="A1277" s="1975" t="s">
        <v>383</v>
      </c>
      <c r="B1277" s="1976" t="s">
        <v>3294</v>
      </c>
      <c r="C1277" s="1977"/>
      <c r="D1277" s="1977"/>
      <c r="E1277" s="1978" t="e">
        <f>(E1265+E1266+E1267+E1268+E1269+E1270+E1271+E1272+E1273)-E1276</f>
        <v>#VALUE!</v>
      </c>
      <c r="G1277" s="1975" t="s">
        <v>383</v>
      </c>
      <c r="H1277" s="1976" t="s">
        <v>3294</v>
      </c>
      <c r="I1277" s="1977"/>
      <c r="J1277" s="1977"/>
      <c r="K1277" s="1978" t="e">
        <f>(K1265+K1266+K1267+K1268+K1269+K1270+K1271+K1272+K1273)-K1276</f>
        <v>#VALUE!</v>
      </c>
    </row>
    <row r="1278" spans="1:11" ht="53.25" customHeight="1"/>
    <row r="1279" spans="1:11" ht="12.75" customHeight="1">
      <c r="A1279" s="2953" t="s">
        <v>3356</v>
      </c>
      <c r="B1279" s="2954"/>
      <c r="C1279" s="2954"/>
      <c r="D1279" s="2954"/>
      <c r="E1279" s="1955">
        <f>VLOOKUP(B1280,'LƯƠNG KT'!$D$110:$AD$184,25,0)</f>
        <v>0</v>
      </c>
      <c r="G1279" s="2953" t="s">
        <v>3356</v>
      </c>
      <c r="H1279" s="2954"/>
      <c r="I1279" s="2954"/>
      <c r="J1279" s="2954"/>
      <c r="K1279" s="1955">
        <f>VLOOKUP(H1280,'LƯƠNG KT'!$D$110:$AD$184,25,0)</f>
        <v>0</v>
      </c>
    </row>
    <row r="1280" spans="1:11" ht="12.75" customHeight="1">
      <c r="A1280" s="1956" t="s">
        <v>356</v>
      </c>
      <c r="B1280" s="1956" t="str">
        <f>'LƯƠNG KT'!$D$162</f>
        <v>Nàng Pằng</v>
      </c>
      <c r="C1280" s="1957"/>
      <c r="D1280" s="1958" t="s">
        <v>2357</v>
      </c>
      <c r="E1280" s="1958" t="s">
        <v>2156</v>
      </c>
      <c r="G1280" s="1956" t="s">
        <v>356</v>
      </c>
      <c r="H1280" s="1956" t="str">
        <f>'LƯƠNG KT'!$D$163</f>
        <v>Thảo Ỉa</v>
      </c>
      <c r="I1280" s="1957"/>
      <c r="J1280" s="1958" t="s">
        <v>2357</v>
      </c>
      <c r="K1280" s="1958" t="s">
        <v>2156</v>
      </c>
    </row>
    <row r="1281" spans="1:11" ht="12.75" customHeight="1">
      <c r="A1281" s="1959" t="s">
        <v>3005</v>
      </c>
      <c r="B1281" s="1960" t="s">
        <v>3278</v>
      </c>
      <c r="C1281" s="1961">
        <f>VLOOKUP(B1280,'LƯƠNG KT'!$D$110:$AC$184,8,0)</f>
        <v>112.27214146231502</v>
      </c>
      <c r="D1281" s="1962"/>
      <c r="E1281" s="1962"/>
      <c r="G1281" s="1959" t="s">
        <v>3005</v>
      </c>
      <c r="H1281" s="1960" t="s">
        <v>3278</v>
      </c>
      <c r="I1281" s="1961">
        <f>VLOOKUP(H1280,'LƯƠNG KT'!$D$110:$AC$184,8,0)</f>
        <v>13.957938801241911</v>
      </c>
      <c r="J1281" s="1962"/>
      <c r="K1281" s="1962"/>
    </row>
    <row r="1282" spans="1:11" ht="12.75" customHeight="1">
      <c r="A1282" s="1959" t="s">
        <v>359</v>
      </c>
      <c r="B1282" s="1963" t="s">
        <v>2090</v>
      </c>
      <c r="C1282" s="1961">
        <f>VLOOKUP(B1280,'LƯƠNG KT'!$D$110:$AC$184,3,0)</f>
        <v>0</v>
      </c>
      <c r="D1282" s="1964">
        <v>25000</v>
      </c>
      <c r="E1282" s="1962">
        <f>C1282*D1282</f>
        <v>0</v>
      </c>
      <c r="G1282" s="1959" t="s">
        <v>359</v>
      </c>
      <c r="H1282" s="1963" t="s">
        <v>2090</v>
      </c>
      <c r="I1282" s="1961">
        <f>VLOOKUP(H1280,'LƯƠNG KT'!$D$110:$AC$184,3,0)</f>
        <v>0</v>
      </c>
      <c r="J1282" s="1964">
        <v>25000</v>
      </c>
      <c r="K1282" s="1962">
        <f>I1282*J1282</f>
        <v>0</v>
      </c>
    </row>
    <row r="1283" spans="1:11" ht="12.75" customHeight="1">
      <c r="A1283" s="1959" t="s">
        <v>3279</v>
      </c>
      <c r="B1283" s="1965" t="s">
        <v>3280</v>
      </c>
      <c r="C1283" s="1961" t="str">
        <f>VLOOKUP(B1280,'LƯƠNG KT'!$D$110:$AC$184,10,0)</f>
        <v>B</v>
      </c>
      <c r="D1283" s="1967">
        <f>46.1*$C$1</f>
        <v>30792.956000000002</v>
      </c>
      <c r="E1283" s="1962" t="e">
        <f t="shared" ref="E1283:E1287" si="150">C1283*D1283</f>
        <v>#VALUE!</v>
      </c>
      <c r="G1283" s="1959" t="s">
        <v>3279</v>
      </c>
      <c r="H1283" s="1965" t="s">
        <v>3280</v>
      </c>
      <c r="I1283" s="1961" t="str">
        <f>VLOOKUP(H1280,'LƯƠNG KT'!$D$110:$AC$184,10,0)</f>
        <v>C.</v>
      </c>
      <c r="J1283" s="1967">
        <f>46.1*$C$1</f>
        <v>30792.956000000002</v>
      </c>
      <c r="K1283" s="1962" t="e">
        <f t="shared" ref="K1283:K1287" si="151">I1283*J1283</f>
        <v>#VALUE!</v>
      </c>
    </row>
    <row r="1284" spans="1:11" ht="12.75" customHeight="1">
      <c r="A1284" s="1959" t="s">
        <v>3281</v>
      </c>
      <c r="B1284" s="1965" t="s">
        <v>3282</v>
      </c>
      <c r="C1284" s="1961">
        <f>VLOOKUP(B1280,'LƯƠNG KT'!$D$110:$AC$184,11,0)</f>
        <v>4586038</v>
      </c>
      <c r="D1284" s="1964">
        <f>76.9*$C$1</f>
        <v>51366.124000000003</v>
      </c>
      <c r="E1284" s="1962">
        <f t="shared" si="150"/>
        <v>235566996576.71201</v>
      </c>
      <c r="G1284" s="1959" t="s">
        <v>3281</v>
      </c>
      <c r="H1284" s="1965" t="s">
        <v>3282</v>
      </c>
      <c r="I1284" s="1961">
        <f>VLOOKUP(H1280,'LƯƠNG KT'!$D$110:$AC$184,11,0)</f>
        <v>540657</v>
      </c>
      <c r="J1284" s="1964">
        <f>76.9*$C$1</f>
        <v>51366.124000000003</v>
      </c>
      <c r="K1284" s="1962">
        <f t="shared" si="151"/>
        <v>27771454503.468002</v>
      </c>
    </row>
    <row r="1285" spans="1:11" ht="12.75" customHeight="1">
      <c r="A1285" s="1959" t="s">
        <v>374</v>
      </c>
      <c r="B1285" s="1965" t="s">
        <v>3283</v>
      </c>
      <c r="C1285" s="1961">
        <f>VLOOKUP(B1280,'LƯƠNG KT'!$D$110:$AC$184,7,0)</f>
        <v>1205.5549635090497</v>
      </c>
      <c r="D1285" s="1964">
        <f>IF(C1281="A",6.1,IF(C1281="B",5.8,IF(C1281="C",5.5,IF(C1281="C.",5.5,IF(C1281="D",5.2)))))*$C$1</f>
        <v>0</v>
      </c>
      <c r="E1285" s="1962">
        <f t="shared" si="150"/>
        <v>0</v>
      </c>
      <c r="G1285" s="1959" t="s">
        <v>374</v>
      </c>
      <c r="H1285" s="1965" t="s">
        <v>3283</v>
      </c>
      <c r="I1285" s="1961">
        <f>VLOOKUP(H1280,'LƯƠNG KT'!$D$110:$AC$184,7,0)</f>
        <v>149.87745119158407</v>
      </c>
      <c r="J1285" s="1964">
        <f>IF(I1281="A",6.1,IF(I1281="B",5.8,IF(I1281="C",5.5,IF(I1281="C.",5.5,IF(I1281="D",5.2)))))*$C$1</f>
        <v>0</v>
      </c>
      <c r="K1285" s="1962">
        <f t="shared" si="151"/>
        <v>0</v>
      </c>
    </row>
    <row r="1286" spans="1:11" ht="12.75" customHeight="1">
      <c r="A1286" s="1959" t="s">
        <v>3296</v>
      </c>
      <c r="B1286" s="1965" t="s">
        <v>3285</v>
      </c>
      <c r="C1286" s="1961">
        <f>VLOOKUP(B1280,'LƯƠNG KT'!$D$110:$AC$184,12,0)</f>
        <v>20</v>
      </c>
      <c r="D1286" s="1967">
        <f>92.2*$C$1</f>
        <v>61585.912000000004</v>
      </c>
      <c r="E1286" s="1962">
        <f t="shared" si="150"/>
        <v>1231718.24</v>
      </c>
      <c r="G1286" s="1959" t="s">
        <v>3296</v>
      </c>
      <c r="H1286" s="1965" t="s">
        <v>3285</v>
      </c>
      <c r="I1286" s="1961">
        <f>VLOOKUP(H1280,'LƯƠNG KT'!$D$110:$AC$184,12,0)</f>
        <v>3</v>
      </c>
      <c r="J1286" s="1967">
        <f>92.2*$C$1</f>
        <v>61585.912000000004</v>
      </c>
      <c r="K1286" s="1962">
        <f t="shared" si="151"/>
        <v>184757.736</v>
      </c>
    </row>
    <row r="1287" spans="1:11" ht="12.75" customHeight="1">
      <c r="A1287" s="1959" t="s">
        <v>3297</v>
      </c>
      <c r="B1287" s="1965" t="s">
        <v>3287</v>
      </c>
      <c r="C1287" s="1961">
        <f>VLOOKUP(B1280,'LƯƠNG KT'!$D$110:$AC$184,13,0)</f>
        <v>4</v>
      </c>
      <c r="D1287" s="1964">
        <f>153.8*$C$1</f>
        <v>102732.24800000001</v>
      </c>
      <c r="E1287" s="1962">
        <f t="shared" si="150"/>
        <v>410928.99200000003</v>
      </c>
      <c r="G1287" s="1959" t="s">
        <v>3297</v>
      </c>
      <c r="H1287" s="1965" t="s">
        <v>3287</v>
      </c>
      <c r="I1287" s="1961">
        <f>VLOOKUP(H1280,'LƯƠNG KT'!$D$110:$AC$184,13,0)</f>
        <v>0</v>
      </c>
      <c r="J1287" s="1964">
        <f>153.8*$C$1</f>
        <v>102732.24800000001</v>
      </c>
      <c r="K1287" s="1962">
        <f t="shared" si="151"/>
        <v>0</v>
      </c>
    </row>
    <row r="1288" spans="1:11" ht="12.75" customHeight="1">
      <c r="A1288" s="1959" t="s">
        <v>3354</v>
      </c>
      <c r="B1288" s="1965" t="s">
        <v>3288</v>
      </c>
      <c r="C1288" s="1961">
        <f>VLOOKUP(B1280,'LƯƠNG KT'!$D$110:$AC$184,14,0)</f>
        <v>5</v>
      </c>
      <c r="D1288" s="1964">
        <v>100000</v>
      </c>
      <c r="E1288" s="1962">
        <f>C1288*D1288</f>
        <v>500000</v>
      </c>
      <c r="G1288" s="1959" t="s">
        <v>3354</v>
      </c>
      <c r="H1288" s="1965" t="s">
        <v>3288</v>
      </c>
      <c r="I1288" s="1961">
        <f>VLOOKUP(H1280,'LƯƠNG KT'!$D$110:$AC$184,14,0)</f>
        <v>1</v>
      </c>
      <c r="J1288" s="1964">
        <v>100000</v>
      </c>
      <c r="K1288" s="1962">
        <f>I1288*J1288</f>
        <v>100000</v>
      </c>
    </row>
    <row r="1289" spans="1:11" ht="12.75" customHeight="1">
      <c r="A1289" s="1959" t="s">
        <v>3355</v>
      </c>
      <c r="B1289" s="1965" t="s">
        <v>3288</v>
      </c>
      <c r="C1289" s="1961" t="e">
        <f>VLOOKUP(B1280,'LƯƠNG KT'!$D$110:$AC$184,17,0)</f>
        <v>#N/A</v>
      </c>
      <c r="D1289" s="1964">
        <v>20000</v>
      </c>
      <c r="E1289" s="1962" t="e">
        <f>C1289*D1289</f>
        <v>#N/A</v>
      </c>
      <c r="G1289" s="1959" t="s">
        <v>3355</v>
      </c>
      <c r="H1289" s="1965" t="s">
        <v>3288</v>
      </c>
      <c r="I1289" s="1961" t="e">
        <f>VLOOKUP(H1280,'LƯƠNG KT'!$D$110:$AC$184,17,0)</f>
        <v>#N/A</v>
      </c>
      <c r="J1289" s="1964">
        <v>20000</v>
      </c>
      <c r="K1289" s="1962" t="e">
        <f>I1289*J1289</f>
        <v>#N/A</v>
      </c>
    </row>
    <row r="1290" spans="1:11" ht="12.75" customHeight="1">
      <c r="A1290" s="1959" t="s">
        <v>3289</v>
      </c>
      <c r="B1290" s="1965" t="s">
        <v>3290</v>
      </c>
      <c r="C1290" s="1966"/>
      <c r="D1290" s="1964"/>
      <c r="E1290" s="1962"/>
      <c r="G1290" s="1959" t="s">
        <v>3289</v>
      </c>
      <c r="H1290" s="1965" t="s">
        <v>3290</v>
      </c>
      <c r="I1290" s="1966"/>
      <c r="J1290" s="1964"/>
      <c r="K1290" s="1962"/>
    </row>
    <row r="1291" spans="1:11" ht="12.75" customHeight="1">
      <c r="A1291" s="1968" t="s">
        <v>377</v>
      </c>
      <c r="B1291" s="1969" t="s">
        <v>3291</v>
      </c>
      <c r="C1291" s="1970"/>
      <c r="D1291" s="1971"/>
      <c r="E1291" s="1970"/>
      <c r="G1291" s="1968" t="s">
        <v>377</v>
      </c>
      <c r="H1291" s="1969" t="s">
        <v>3291</v>
      </c>
      <c r="I1291" s="1970"/>
      <c r="J1291" s="1971"/>
      <c r="K1291" s="1970"/>
    </row>
    <row r="1292" spans="1:11" ht="12.75" customHeight="1">
      <c r="A1292" s="1972" t="s">
        <v>379</v>
      </c>
      <c r="B1292" s="1973" t="s">
        <v>3292</v>
      </c>
      <c r="C1292" s="1970"/>
      <c r="D1292" s="1970"/>
      <c r="E1292" s="1970"/>
      <c r="G1292" s="1972" t="s">
        <v>379</v>
      </c>
      <c r="H1292" s="1973" t="s">
        <v>3292</v>
      </c>
      <c r="I1292" s="1970"/>
      <c r="J1292" s="1970"/>
      <c r="K1292" s="1970"/>
    </row>
    <row r="1293" spans="1:11" ht="12.75" customHeight="1">
      <c r="A1293" s="1972" t="s">
        <v>381</v>
      </c>
      <c r="B1293" s="1974" t="s">
        <v>3293</v>
      </c>
      <c r="C1293" s="1970"/>
      <c r="D1293" s="1970"/>
      <c r="E1293" s="1962">
        <f>SUM(E1292)</f>
        <v>0</v>
      </c>
      <c r="G1293" s="1972" t="s">
        <v>381</v>
      </c>
      <c r="H1293" s="1974" t="s">
        <v>3293</v>
      </c>
      <c r="I1293" s="1970"/>
      <c r="J1293" s="1970"/>
      <c r="K1293" s="1962">
        <f>SUM(K1292)</f>
        <v>0</v>
      </c>
    </row>
    <row r="1294" spans="1:11" ht="12.75" customHeight="1">
      <c r="A1294" s="1975" t="s">
        <v>383</v>
      </c>
      <c r="B1294" s="1976" t="s">
        <v>3294</v>
      </c>
      <c r="C1294" s="1977"/>
      <c r="D1294" s="1977"/>
      <c r="E1294" s="1978" t="e">
        <f>(E1282+E1283+E1284+E1285+E1286+E1287+E1288+E1289+E1290)-E1293</f>
        <v>#VALUE!</v>
      </c>
      <c r="G1294" s="1975" t="s">
        <v>383</v>
      </c>
      <c r="H1294" s="1976" t="s">
        <v>3294</v>
      </c>
      <c r="I1294" s="1977"/>
      <c r="J1294" s="1977"/>
      <c r="K1294" s="1978" t="e">
        <f>(K1282+K1283+K1284+K1285+K1286+K1287+K1288+K1289+K1290)-K1293</f>
        <v>#VALUE!</v>
      </c>
    </row>
    <row r="1296" spans="1:11" ht="12.75" customHeight="1">
      <c r="A1296" s="2953" t="s">
        <v>3356</v>
      </c>
      <c r="B1296" s="2954"/>
      <c r="C1296" s="2954"/>
      <c r="D1296" s="2954"/>
      <c r="E1296" s="1955">
        <f>VLOOKUP(B1297,'LƯƠNG KT'!$D$110:$AD$184,25,0)</f>
        <v>0</v>
      </c>
      <c r="G1296" s="2953" t="s">
        <v>3356</v>
      </c>
      <c r="H1296" s="2954"/>
      <c r="I1296" s="2954"/>
      <c r="J1296" s="2954"/>
      <c r="K1296" s="1955">
        <f>VLOOKUP(H1297,'LƯƠNG KT'!$D$110:$AD$184,25,0)</f>
        <v>0</v>
      </c>
    </row>
    <row r="1297" spans="1:11" ht="12.75" customHeight="1">
      <c r="A1297" s="1956" t="s">
        <v>356</v>
      </c>
      <c r="B1297" s="1956" t="str">
        <f>'LƯƠNG KT'!$D$164</f>
        <v>Thảo Khăm</v>
      </c>
      <c r="C1297" s="1957"/>
      <c r="D1297" s="1958" t="s">
        <v>2357</v>
      </c>
      <c r="E1297" s="1958" t="s">
        <v>2156</v>
      </c>
      <c r="G1297" s="1956" t="s">
        <v>356</v>
      </c>
      <c r="H1297" s="1956" t="str">
        <f>'LƯƠNG KT'!$D$165</f>
        <v>Thảo Phút râu</v>
      </c>
      <c r="I1297" s="1957"/>
      <c r="J1297" s="1958" t="s">
        <v>2357</v>
      </c>
      <c r="K1297" s="1958" t="s">
        <v>2156</v>
      </c>
    </row>
    <row r="1298" spans="1:11" ht="12.75" customHeight="1">
      <c r="A1298" s="1959" t="s">
        <v>3005</v>
      </c>
      <c r="B1298" s="1960" t="s">
        <v>3278</v>
      </c>
      <c r="C1298" s="1961">
        <f>VLOOKUP(B1297,'LƯƠNG KT'!$D$110:$AC$184,8,0)</f>
        <v>2.9214290514227255</v>
      </c>
      <c r="D1298" s="1962"/>
      <c r="E1298" s="1962"/>
      <c r="G1298" s="1959" t="s">
        <v>3005</v>
      </c>
      <c r="H1298" s="1960" t="s">
        <v>3278</v>
      </c>
      <c r="I1298" s="1961">
        <f>VLOOKUP(H1297,'LƯƠNG KT'!$D$110:$AC$184,8,0)</f>
        <v>3.2866076828505664</v>
      </c>
      <c r="J1298" s="1962"/>
      <c r="K1298" s="1962"/>
    </row>
    <row r="1299" spans="1:11" ht="12.75" customHeight="1">
      <c r="A1299" s="1959" t="s">
        <v>359</v>
      </c>
      <c r="B1299" s="1963" t="s">
        <v>2090</v>
      </c>
      <c r="C1299" s="1961">
        <f>VLOOKUP(B1297,'LƯƠNG KT'!$D$110:$AC$184,3,0)</f>
        <v>0</v>
      </c>
      <c r="D1299" s="1964">
        <v>25000</v>
      </c>
      <c r="E1299" s="1962">
        <f>C1299*D1299</f>
        <v>0</v>
      </c>
      <c r="G1299" s="1959" t="s">
        <v>359</v>
      </c>
      <c r="H1299" s="1963" t="s">
        <v>2090</v>
      </c>
      <c r="I1299" s="1961">
        <f>VLOOKUP(H1297,'LƯƠNG KT'!$D$110:$AC$184,3,0)</f>
        <v>0</v>
      </c>
      <c r="J1299" s="1964">
        <v>25000</v>
      </c>
      <c r="K1299" s="1962">
        <f>I1299*J1299</f>
        <v>0</v>
      </c>
    </row>
    <row r="1300" spans="1:11" ht="12.75" customHeight="1">
      <c r="A1300" s="1959" t="s">
        <v>3279</v>
      </c>
      <c r="B1300" s="1965" t="s">
        <v>3280</v>
      </c>
      <c r="C1300" s="1961" t="str">
        <f>VLOOKUP(B1297,'LƯƠNG KT'!$D$110:$AC$184,10,0)</f>
        <v>C.</v>
      </c>
      <c r="D1300" s="1967">
        <f>46.1*$C$1</f>
        <v>30792.956000000002</v>
      </c>
      <c r="E1300" s="1962" t="e">
        <f t="shared" ref="E1300:E1304" si="152">C1300*D1300</f>
        <v>#VALUE!</v>
      </c>
      <c r="G1300" s="1959" t="s">
        <v>3279</v>
      </c>
      <c r="H1300" s="1965" t="s">
        <v>3280</v>
      </c>
      <c r="I1300" s="1961" t="str">
        <f>VLOOKUP(H1297,'LƯƠNG KT'!$D$110:$AC$184,10,0)</f>
        <v>C.</v>
      </c>
      <c r="J1300" s="1967">
        <f>46.1*$C$1</f>
        <v>30792.956000000002</v>
      </c>
      <c r="K1300" s="1962" t="e">
        <f t="shared" ref="K1300:K1304" si="153">I1300*J1300</f>
        <v>#VALUE!</v>
      </c>
    </row>
    <row r="1301" spans="1:11" ht="12.75" customHeight="1">
      <c r="A1301" s="1959" t="s">
        <v>3281</v>
      </c>
      <c r="B1301" s="1965" t="s">
        <v>3282</v>
      </c>
      <c r="C1301" s="1961">
        <f>VLOOKUP(B1297,'LƯƠNG KT'!$D$110:$AC$184,11,0)</f>
        <v>113161</v>
      </c>
      <c r="D1301" s="1964">
        <f>76.9*$C$1</f>
        <v>51366.124000000003</v>
      </c>
      <c r="E1301" s="1962">
        <f t="shared" si="152"/>
        <v>5812641957.9640007</v>
      </c>
      <c r="G1301" s="1959" t="s">
        <v>3281</v>
      </c>
      <c r="H1301" s="1965" t="s">
        <v>3282</v>
      </c>
      <c r="I1301" s="1961">
        <f>VLOOKUP(H1297,'LƯƠNG KT'!$D$110:$AC$184,11,0)</f>
        <v>127306</v>
      </c>
      <c r="J1301" s="1964">
        <f>76.9*$C$1</f>
        <v>51366.124000000003</v>
      </c>
      <c r="K1301" s="1962">
        <f t="shared" si="153"/>
        <v>6539215781.9440002</v>
      </c>
    </row>
    <row r="1302" spans="1:11" ht="12.75" customHeight="1">
      <c r="A1302" s="1959" t="s">
        <v>374</v>
      </c>
      <c r="B1302" s="1965" t="s">
        <v>3283</v>
      </c>
      <c r="C1302" s="1961">
        <f>VLOOKUP(B1297,'LƯƠNG KT'!$D$110:$AC$184,7,0)</f>
        <v>31.369699086610616</v>
      </c>
      <c r="D1302" s="1964">
        <f>IF(C1298="A",6.1,IF(C1298="B",5.8,IF(C1298="C",5.5,IF(C1298="C.",5.5,IF(C1298="D",5.2)))))*$C$1</f>
        <v>0</v>
      </c>
      <c r="E1302" s="1962">
        <f t="shared" si="152"/>
        <v>0</v>
      </c>
      <c r="G1302" s="1959" t="s">
        <v>374</v>
      </c>
      <c r="H1302" s="1965" t="s">
        <v>3283</v>
      </c>
      <c r="I1302" s="1961">
        <f>VLOOKUP(H1297,'LƯƠNG KT'!$D$110:$AC$184,7,0)</f>
        <v>35.290911472436946</v>
      </c>
      <c r="J1302" s="1964">
        <f>IF(I1298="A",6.1,IF(I1298="B",5.8,IF(I1298="C",5.5,IF(I1298="C.",5.5,IF(I1298="D",5.2)))))*$C$1</f>
        <v>0</v>
      </c>
      <c r="K1302" s="1962">
        <f t="shared" si="153"/>
        <v>0</v>
      </c>
    </row>
    <row r="1303" spans="1:11" ht="12.75" customHeight="1">
      <c r="A1303" s="1959" t="s">
        <v>3296</v>
      </c>
      <c r="B1303" s="1965" t="s">
        <v>3285</v>
      </c>
      <c r="C1303" s="1961">
        <f>VLOOKUP(B1297,'LƯƠNG KT'!$D$110:$AC$184,12,0)</f>
        <v>2</v>
      </c>
      <c r="D1303" s="1967">
        <f>92.2*$C$1</f>
        <v>61585.912000000004</v>
      </c>
      <c r="E1303" s="1962">
        <f t="shared" si="152"/>
        <v>123171.82400000001</v>
      </c>
      <c r="G1303" s="1959" t="s">
        <v>3296</v>
      </c>
      <c r="H1303" s="1965" t="s">
        <v>3285</v>
      </c>
      <c r="I1303" s="1961">
        <f>VLOOKUP(H1297,'LƯƠNG KT'!$D$110:$AC$184,12,0)</f>
        <v>0</v>
      </c>
      <c r="J1303" s="1967">
        <f>92.2*$C$1</f>
        <v>61585.912000000004</v>
      </c>
      <c r="K1303" s="1962">
        <f t="shared" si="153"/>
        <v>0</v>
      </c>
    </row>
    <row r="1304" spans="1:11" ht="12.75" customHeight="1">
      <c r="A1304" s="1959" t="s">
        <v>3297</v>
      </c>
      <c r="B1304" s="1965" t="s">
        <v>3287</v>
      </c>
      <c r="C1304" s="1961">
        <f>VLOOKUP(B1297,'LƯƠNG KT'!$D$110:$AC$184,13,0)</f>
        <v>0</v>
      </c>
      <c r="D1304" s="1964">
        <f>153.8*$C$1</f>
        <v>102732.24800000001</v>
      </c>
      <c r="E1304" s="1962">
        <f t="shared" si="152"/>
        <v>0</v>
      </c>
      <c r="G1304" s="1959" t="s">
        <v>3297</v>
      </c>
      <c r="H1304" s="1965" t="s">
        <v>3287</v>
      </c>
      <c r="I1304" s="1961">
        <f>VLOOKUP(H1297,'LƯƠNG KT'!$D$110:$AC$184,13,0)</f>
        <v>0</v>
      </c>
      <c r="J1304" s="1964">
        <f>153.8*$C$1</f>
        <v>102732.24800000001</v>
      </c>
      <c r="K1304" s="1962">
        <f t="shared" si="153"/>
        <v>0</v>
      </c>
    </row>
    <row r="1305" spans="1:11" ht="12.75" customHeight="1">
      <c r="A1305" s="1959" t="s">
        <v>3354</v>
      </c>
      <c r="B1305" s="1965" t="s">
        <v>3288</v>
      </c>
      <c r="C1305" s="1961">
        <f>VLOOKUP(B1297,'LƯƠNG KT'!$D$110:$AC$184,14,0)</f>
        <v>0</v>
      </c>
      <c r="D1305" s="1964">
        <v>100000</v>
      </c>
      <c r="E1305" s="1962">
        <f>C1305*D1305</f>
        <v>0</v>
      </c>
      <c r="G1305" s="1959" t="s">
        <v>3354</v>
      </c>
      <c r="H1305" s="1965" t="s">
        <v>3288</v>
      </c>
      <c r="I1305" s="1961">
        <f>VLOOKUP(H1297,'LƯƠNG KT'!$D$110:$AC$184,14,0)</f>
        <v>0</v>
      </c>
      <c r="J1305" s="1964">
        <v>100000</v>
      </c>
      <c r="K1305" s="1962">
        <f>I1305*J1305</f>
        <v>0</v>
      </c>
    </row>
    <row r="1306" spans="1:11" ht="12.75" customHeight="1">
      <c r="A1306" s="1959" t="s">
        <v>3355</v>
      </c>
      <c r="B1306" s="1965" t="s">
        <v>3288</v>
      </c>
      <c r="C1306" s="1961" t="e">
        <f>VLOOKUP(B1297,'LƯƠNG KT'!$D$110:$AC$184,17,0)</f>
        <v>#N/A</v>
      </c>
      <c r="D1306" s="1964">
        <v>20000</v>
      </c>
      <c r="E1306" s="1962" t="e">
        <f>C1306*D1306</f>
        <v>#N/A</v>
      </c>
      <c r="G1306" s="1959" t="s">
        <v>3355</v>
      </c>
      <c r="H1306" s="1965" t="s">
        <v>3288</v>
      </c>
      <c r="I1306" s="1961" t="e">
        <f>VLOOKUP(H1297,'LƯƠNG KT'!$D$110:$AC$184,17,0)</f>
        <v>#N/A</v>
      </c>
      <c r="J1306" s="1964">
        <v>20000</v>
      </c>
      <c r="K1306" s="1962" t="e">
        <f>I1306*J1306</f>
        <v>#N/A</v>
      </c>
    </row>
    <row r="1307" spans="1:11" ht="12.75" customHeight="1">
      <c r="A1307" s="1959" t="s">
        <v>3289</v>
      </c>
      <c r="B1307" s="1965" t="s">
        <v>3290</v>
      </c>
      <c r="C1307" s="1966"/>
      <c r="D1307" s="1964"/>
      <c r="E1307" s="1962"/>
      <c r="G1307" s="1959" t="s">
        <v>3289</v>
      </c>
      <c r="H1307" s="1965" t="s">
        <v>3290</v>
      </c>
      <c r="I1307" s="1966"/>
      <c r="J1307" s="1964"/>
      <c r="K1307" s="1962"/>
    </row>
    <row r="1308" spans="1:11" ht="12.75" customHeight="1">
      <c r="A1308" s="1968" t="s">
        <v>377</v>
      </c>
      <c r="B1308" s="1969" t="s">
        <v>3291</v>
      </c>
      <c r="C1308" s="1970"/>
      <c r="D1308" s="1971"/>
      <c r="E1308" s="1970"/>
      <c r="G1308" s="1968" t="s">
        <v>377</v>
      </c>
      <c r="H1308" s="1969" t="s">
        <v>3291</v>
      </c>
      <c r="I1308" s="1970"/>
      <c r="J1308" s="1971"/>
      <c r="K1308" s="1970"/>
    </row>
    <row r="1309" spans="1:11" ht="12.75" customHeight="1">
      <c r="A1309" s="1972" t="s">
        <v>379</v>
      </c>
      <c r="B1309" s="1973" t="s">
        <v>3292</v>
      </c>
      <c r="C1309" s="1970"/>
      <c r="D1309" s="1970"/>
      <c r="E1309" s="1970"/>
      <c r="G1309" s="1972" t="s">
        <v>379</v>
      </c>
      <c r="H1309" s="1973" t="s">
        <v>3292</v>
      </c>
      <c r="I1309" s="1970"/>
      <c r="J1309" s="1970"/>
      <c r="K1309" s="1970"/>
    </row>
    <row r="1310" spans="1:11" ht="12.75" customHeight="1">
      <c r="A1310" s="1972" t="s">
        <v>381</v>
      </c>
      <c r="B1310" s="1974" t="s">
        <v>3293</v>
      </c>
      <c r="C1310" s="1970"/>
      <c r="D1310" s="1970"/>
      <c r="E1310" s="1962">
        <f>SUM(E1309)</f>
        <v>0</v>
      </c>
      <c r="G1310" s="1972" t="s">
        <v>381</v>
      </c>
      <c r="H1310" s="1974" t="s">
        <v>3293</v>
      </c>
      <c r="I1310" s="1970"/>
      <c r="J1310" s="1970"/>
      <c r="K1310" s="1962">
        <f>SUM(K1309)</f>
        <v>0</v>
      </c>
    </row>
    <row r="1311" spans="1:11" ht="12.75" customHeight="1">
      <c r="A1311" s="1975" t="s">
        <v>383</v>
      </c>
      <c r="B1311" s="1976" t="s">
        <v>3294</v>
      </c>
      <c r="C1311" s="1977"/>
      <c r="D1311" s="1977"/>
      <c r="E1311" s="1978" t="e">
        <f>(E1299+E1300+E1301+E1302+E1303+E1304+E1305+E1306+E1307)-E1310</f>
        <v>#VALUE!</v>
      </c>
      <c r="G1311" s="1975" t="s">
        <v>383</v>
      </c>
      <c r="H1311" s="1976" t="s">
        <v>3294</v>
      </c>
      <c r="I1311" s="1977"/>
      <c r="J1311" s="1977"/>
      <c r="K1311" s="1978" t="e">
        <f>(K1299+K1300+K1301+K1302+K1303+K1304+K1305+K1306+K1307)-K1310</f>
        <v>#VALUE!</v>
      </c>
    </row>
    <row r="1313" spans="1:11" ht="12.75" customHeight="1">
      <c r="A1313" s="2953" t="s">
        <v>3356</v>
      </c>
      <c r="B1313" s="2954"/>
      <c r="C1313" s="2954"/>
      <c r="D1313" s="2954"/>
      <c r="E1313" s="1955">
        <f>VLOOKUP(B1314,'LƯƠNG KT'!$D$110:$AD$184,25,0)</f>
        <v>0</v>
      </c>
      <c r="G1313" s="2953" t="s">
        <v>3356</v>
      </c>
      <c r="H1313" s="2954"/>
      <c r="I1313" s="2954"/>
      <c r="J1313" s="2954"/>
      <c r="K1313" s="1955">
        <f>VLOOKUP(H1314,'LƯƠNG KT'!$D$110:$AD$184,25,0)</f>
        <v>0</v>
      </c>
    </row>
    <row r="1314" spans="1:11" ht="12.75" customHeight="1">
      <c r="A1314" s="1956" t="s">
        <v>356</v>
      </c>
      <c r="B1314" s="1956" t="str">
        <f>'LƯƠNG KT'!$D$166</f>
        <v>Thảo Hung</v>
      </c>
      <c r="C1314" s="1957"/>
      <c r="D1314" s="1958" t="s">
        <v>2357</v>
      </c>
      <c r="E1314" s="1958" t="s">
        <v>2156</v>
      </c>
      <c r="G1314" s="1956" t="s">
        <v>356</v>
      </c>
      <c r="H1314" s="1956" t="str">
        <f>'LƯƠNG KT'!$D$167</f>
        <v>Thảo Khẹt</v>
      </c>
      <c r="I1314" s="1957"/>
      <c r="J1314" s="1958" t="s">
        <v>2357</v>
      </c>
      <c r="K1314" s="1958" t="s">
        <v>2156</v>
      </c>
    </row>
    <row r="1315" spans="1:11" ht="12.75" customHeight="1">
      <c r="A1315" s="1959" t="s">
        <v>3005</v>
      </c>
      <c r="B1315" s="1960" t="s">
        <v>3278</v>
      </c>
      <c r="C1315" s="1961">
        <f>VLOOKUP(B1314,'LƯƠNG KT'!$D$110:$AC$184,8,0)</f>
        <v>0</v>
      </c>
      <c r="D1315" s="1962"/>
      <c r="E1315" s="1962"/>
      <c r="G1315" s="1959" t="s">
        <v>3005</v>
      </c>
      <c r="H1315" s="1960" t="s">
        <v>3278</v>
      </c>
      <c r="I1315" s="1961">
        <f>VLOOKUP(H1314,'LƯƠNG KT'!$D$110:$AC$184,8,0)</f>
        <v>83.991085228403364</v>
      </c>
      <c r="J1315" s="1962"/>
      <c r="K1315" s="1962"/>
    </row>
    <row r="1316" spans="1:11" ht="12.75" customHeight="1">
      <c r="A1316" s="1959" t="s">
        <v>359</v>
      </c>
      <c r="B1316" s="1963" t="s">
        <v>2090</v>
      </c>
      <c r="C1316" s="1961">
        <f>VLOOKUP(B1314,'LƯƠNG KT'!$D$110:$AC$184,3,0)</f>
        <v>0</v>
      </c>
      <c r="D1316" s="1964">
        <v>25000</v>
      </c>
      <c r="E1316" s="1962">
        <f>C1316*D1316</f>
        <v>0</v>
      </c>
      <c r="G1316" s="1959" t="s">
        <v>359</v>
      </c>
      <c r="H1316" s="1963" t="s">
        <v>2090</v>
      </c>
      <c r="I1316" s="1961">
        <f>VLOOKUP(H1314,'LƯƠNG KT'!$D$110:$AC$184,3,0)</f>
        <v>0</v>
      </c>
      <c r="J1316" s="1964">
        <v>25000</v>
      </c>
      <c r="K1316" s="1962">
        <f>I1316*J1316</f>
        <v>0</v>
      </c>
    </row>
    <row r="1317" spans="1:11" ht="12.75" customHeight="1">
      <c r="A1317" s="1959" t="s">
        <v>3279</v>
      </c>
      <c r="B1317" s="1965" t="s">
        <v>3280</v>
      </c>
      <c r="C1317" s="1961">
        <f>VLOOKUP(B1314,'LƯƠNG KT'!$D$110:$AC$184,10,0)</f>
        <v>0</v>
      </c>
      <c r="D1317" s="1967">
        <f>46.1*$C$1</f>
        <v>30792.956000000002</v>
      </c>
      <c r="E1317" s="1962">
        <f t="shared" ref="E1317:E1321" si="154">C1317*D1317</f>
        <v>0</v>
      </c>
      <c r="G1317" s="1959" t="s">
        <v>3279</v>
      </c>
      <c r="H1317" s="1965" t="s">
        <v>3280</v>
      </c>
      <c r="I1317" s="1961" t="str">
        <f>VLOOKUP(H1314,'LƯƠNG KT'!$D$110:$AC$184,10,0)</f>
        <v>C.</v>
      </c>
      <c r="J1317" s="1967">
        <f>46.1*$C$1</f>
        <v>30792.956000000002</v>
      </c>
      <c r="K1317" s="1962" t="e">
        <f t="shared" ref="K1317:K1321" si="155">I1317*J1317</f>
        <v>#VALUE!</v>
      </c>
    </row>
    <row r="1318" spans="1:11" ht="12.75" customHeight="1">
      <c r="A1318" s="1959" t="s">
        <v>3281</v>
      </c>
      <c r="B1318" s="1965" t="s">
        <v>3282</v>
      </c>
      <c r="C1318" s="1961">
        <f>VLOOKUP(B1314,'LƯƠNG KT'!$D$110:$AC$184,11,0)</f>
        <v>0</v>
      </c>
      <c r="D1318" s="1964">
        <f>76.9*$C$1</f>
        <v>51366.124000000003</v>
      </c>
      <c r="E1318" s="1962">
        <f t="shared" si="154"/>
        <v>0</v>
      </c>
      <c r="G1318" s="1959" t="s">
        <v>3281</v>
      </c>
      <c r="H1318" s="1965" t="s">
        <v>3282</v>
      </c>
      <c r="I1318" s="1961">
        <f>VLOOKUP(H1314,'LƯƠNG KT'!$D$110:$AC$184,11,0)</f>
        <v>3253371</v>
      </c>
      <c r="J1318" s="1964">
        <f>76.9*$C$1</f>
        <v>51366.124000000003</v>
      </c>
      <c r="K1318" s="1962">
        <f t="shared" si="155"/>
        <v>167113058204.004</v>
      </c>
    </row>
    <row r="1319" spans="1:11" ht="12.75" customHeight="1">
      <c r="A1319" s="1959" t="s">
        <v>374</v>
      </c>
      <c r="B1319" s="1965" t="s">
        <v>3283</v>
      </c>
      <c r="C1319" s="1961">
        <f>VLOOKUP(B1314,'LƯƠNG KT'!$D$110:$AC$184,7,0)</f>
        <v>0</v>
      </c>
      <c r="D1319" s="1964">
        <f>IF(C1315="A",6.1,IF(C1315="B",5.8,IF(C1315="C",5.5,IF(C1315="C.",5.5,IF(C1315="D",5.2)))))*$C$1</f>
        <v>0</v>
      </c>
      <c r="E1319" s="1962">
        <f t="shared" si="154"/>
        <v>0</v>
      </c>
      <c r="G1319" s="1959" t="s">
        <v>374</v>
      </c>
      <c r="H1319" s="1965" t="s">
        <v>3283</v>
      </c>
      <c r="I1319" s="1961">
        <f>VLOOKUP(H1314,'LƯƠNG KT'!$D$110:$AC$184,7,0)</f>
        <v>901.87884874005522</v>
      </c>
      <c r="J1319" s="1964">
        <f>IF(I1315="A",6.1,IF(I1315="B",5.8,IF(I1315="C",5.5,IF(I1315="C.",5.5,IF(I1315="D",5.2)))))*$C$1</f>
        <v>0</v>
      </c>
      <c r="K1319" s="1962">
        <f t="shared" si="155"/>
        <v>0</v>
      </c>
    </row>
    <row r="1320" spans="1:11" ht="12.75" customHeight="1">
      <c r="A1320" s="1959" t="s">
        <v>3296</v>
      </c>
      <c r="B1320" s="1965" t="s">
        <v>3285</v>
      </c>
      <c r="C1320" s="1961">
        <f>VLOOKUP(B1314,'LƯƠNG KT'!$D$110:$AC$184,12,0)</f>
        <v>0</v>
      </c>
      <c r="D1320" s="1967">
        <f>92.2*$C$1</f>
        <v>61585.912000000004</v>
      </c>
      <c r="E1320" s="1962">
        <f t="shared" si="154"/>
        <v>0</v>
      </c>
      <c r="G1320" s="1959" t="s">
        <v>3296</v>
      </c>
      <c r="H1320" s="1965" t="s">
        <v>3285</v>
      </c>
      <c r="I1320" s="1961">
        <f>VLOOKUP(H1314,'LƯƠNG KT'!$D$110:$AC$184,12,0)</f>
        <v>17</v>
      </c>
      <c r="J1320" s="1967">
        <f>92.2*$C$1</f>
        <v>61585.912000000004</v>
      </c>
      <c r="K1320" s="1962">
        <f t="shared" si="155"/>
        <v>1046960.5040000001</v>
      </c>
    </row>
    <row r="1321" spans="1:11" ht="12.75" customHeight="1">
      <c r="A1321" s="1959" t="s">
        <v>3297</v>
      </c>
      <c r="B1321" s="1965" t="s">
        <v>3287</v>
      </c>
      <c r="C1321" s="1961">
        <f>VLOOKUP(B1314,'LƯƠNG KT'!$D$110:$AC$184,13,0)</f>
        <v>0</v>
      </c>
      <c r="D1321" s="1964">
        <f>153.8*$C$1</f>
        <v>102732.24800000001</v>
      </c>
      <c r="E1321" s="1962">
        <f t="shared" si="154"/>
        <v>0</v>
      </c>
      <c r="G1321" s="1959" t="s">
        <v>3297</v>
      </c>
      <c r="H1321" s="1965" t="s">
        <v>3287</v>
      </c>
      <c r="I1321" s="1961">
        <f>VLOOKUP(H1314,'LƯƠNG KT'!$D$110:$AC$184,13,0)</f>
        <v>3</v>
      </c>
      <c r="J1321" s="1964">
        <f>153.8*$C$1</f>
        <v>102732.24800000001</v>
      </c>
      <c r="K1321" s="1962">
        <f t="shared" si="155"/>
        <v>308196.74400000001</v>
      </c>
    </row>
    <row r="1322" spans="1:11" ht="12.75" customHeight="1">
      <c r="A1322" s="1959" t="s">
        <v>3354</v>
      </c>
      <c r="B1322" s="1965" t="s">
        <v>3288</v>
      </c>
      <c r="C1322" s="1961">
        <f>VLOOKUP(B1314,'LƯƠNG KT'!$D$110:$AC$184,14,0)</f>
        <v>0</v>
      </c>
      <c r="D1322" s="1964">
        <v>100000</v>
      </c>
      <c r="E1322" s="1962">
        <f>C1322*D1322</f>
        <v>0</v>
      </c>
      <c r="G1322" s="1959" t="s">
        <v>3354</v>
      </c>
      <c r="H1322" s="1965" t="s">
        <v>3288</v>
      </c>
      <c r="I1322" s="1961">
        <f>VLOOKUP(H1314,'LƯƠNG KT'!$D$110:$AC$184,14,0)</f>
        <v>4</v>
      </c>
      <c r="J1322" s="1964">
        <v>100000</v>
      </c>
      <c r="K1322" s="1962">
        <f>I1322*J1322</f>
        <v>400000</v>
      </c>
    </row>
    <row r="1323" spans="1:11" ht="12.75" customHeight="1">
      <c r="A1323" s="1959" t="s">
        <v>3355</v>
      </c>
      <c r="B1323" s="1965" t="s">
        <v>3288</v>
      </c>
      <c r="C1323" s="1961" t="e">
        <f>VLOOKUP(B1314,'LƯƠNG KT'!$D$110:$AC$184,17,0)</f>
        <v>#N/A</v>
      </c>
      <c r="D1323" s="1964">
        <v>20000</v>
      </c>
      <c r="E1323" s="1962" t="e">
        <f>C1323*D1323</f>
        <v>#N/A</v>
      </c>
      <c r="G1323" s="1959" t="s">
        <v>3355</v>
      </c>
      <c r="H1323" s="1965" t="s">
        <v>3288</v>
      </c>
      <c r="I1323" s="1961" t="e">
        <f>VLOOKUP(H1314,'LƯƠNG KT'!$D$110:$AC$184,17,0)</f>
        <v>#N/A</v>
      </c>
      <c r="J1323" s="1964">
        <v>20000</v>
      </c>
      <c r="K1323" s="1962" t="e">
        <f>I1323*J1323</f>
        <v>#N/A</v>
      </c>
    </row>
    <row r="1324" spans="1:11" ht="12.75" customHeight="1">
      <c r="A1324" s="1959" t="s">
        <v>3289</v>
      </c>
      <c r="B1324" s="1965" t="s">
        <v>3290</v>
      </c>
      <c r="C1324" s="1966"/>
      <c r="D1324" s="1964"/>
      <c r="E1324" s="1962"/>
      <c r="G1324" s="1959" t="s">
        <v>3289</v>
      </c>
      <c r="H1324" s="1965" t="s">
        <v>3290</v>
      </c>
      <c r="I1324" s="1966"/>
      <c r="J1324" s="1964"/>
      <c r="K1324" s="1962"/>
    </row>
    <row r="1325" spans="1:11" ht="12.75" customHeight="1">
      <c r="A1325" s="1968" t="s">
        <v>377</v>
      </c>
      <c r="B1325" s="1969" t="s">
        <v>3291</v>
      </c>
      <c r="C1325" s="1970"/>
      <c r="D1325" s="1971"/>
      <c r="E1325" s="1970"/>
      <c r="G1325" s="1968" t="s">
        <v>377</v>
      </c>
      <c r="H1325" s="1969" t="s">
        <v>3291</v>
      </c>
      <c r="I1325" s="1970"/>
      <c r="J1325" s="1971"/>
      <c r="K1325" s="1970"/>
    </row>
    <row r="1326" spans="1:11" ht="12.75" customHeight="1">
      <c r="A1326" s="1972" t="s">
        <v>379</v>
      </c>
      <c r="B1326" s="1973" t="s">
        <v>3292</v>
      </c>
      <c r="C1326" s="1970"/>
      <c r="D1326" s="1970"/>
      <c r="E1326" s="1970"/>
      <c r="G1326" s="1972" t="s">
        <v>379</v>
      </c>
      <c r="H1326" s="1973" t="s">
        <v>3292</v>
      </c>
      <c r="I1326" s="1970"/>
      <c r="J1326" s="1970"/>
      <c r="K1326" s="1970"/>
    </row>
    <row r="1327" spans="1:11" ht="12.75" customHeight="1">
      <c r="A1327" s="1972" t="s">
        <v>381</v>
      </c>
      <c r="B1327" s="1974" t="s">
        <v>3293</v>
      </c>
      <c r="C1327" s="1970"/>
      <c r="D1327" s="1970"/>
      <c r="E1327" s="1962">
        <f>SUM(E1326)</f>
        <v>0</v>
      </c>
      <c r="G1327" s="1972" t="s">
        <v>381</v>
      </c>
      <c r="H1327" s="1974" t="s">
        <v>3293</v>
      </c>
      <c r="I1327" s="1970"/>
      <c r="J1327" s="1970"/>
      <c r="K1327" s="1962">
        <f>SUM(K1326)</f>
        <v>0</v>
      </c>
    </row>
    <row r="1328" spans="1:11" ht="12.75" customHeight="1">
      <c r="A1328" s="1975" t="s">
        <v>383</v>
      </c>
      <c r="B1328" s="1976" t="s">
        <v>3294</v>
      </c>
      <c r="C1328" s="1977"/>
      <c r="D1328" s="1977"/>
      <c r="E1328" s="1978" t="e">
        <f>(E1316+E1317+E1318+E1319+E1320+E1321+E1322+E1323+E1324)-E1327</f>
        <v>#N/A</v>
      </c>
      <c r="G1328" s="1975" t="s">
        <v>383</v>
      </c>
      <c r="H1328" s="1976" t="s">
        <v>3294</v>
      </c>
      <c r="I1328" s="1977"/>
      <c r="J1328" s="1977"/>
      <c r="K1328" s="1978" t="e">
        <f>(K1316+K1317+K1318+K1319+K1320+K1321+K1322+K1323+K1324)-K1327</f>
        <v>#VALUE!</v>
      </c>
    </row>
    <row r="1330" spans="1:11" ht="12.75" customHeight="1">
      <c r="A1330" s="2953" t="s">
        <v>3356</v>
      </c>
      <c r="B1330" s="2954"/>
      <c r="C1330" s="2954"/>
      <c r="D1330" s="2954"/>
      <c r="E1330" s="1955">
        <f>VLOOKUP(B1331,'LƯƠNG KT'!$D$110:$AD$184,25,0)</f>
        <v>0</v>
      </c>
      <c r="G1330" s="2953" t="s">
        <v>3356</v>
      </c>
      <c r="H1330" s="2954"/>
      <c r="I1330" s="2954"/>
      <c r="J1330" s="2954"/>
      <c r="K1330" s="1955">
        <f>VLOOKUP(H1331,'LƯƠNG KT'!$D$110:$AD$184,25,0)</f>
        <v>0</v>
      </c>
    </row>
    <row r="1331" spans="1:11" ht="12.75" customHeight="1">
      <c r="A1331" s="1956" t="s">
        <v>356</v>
      </c>
      <c r="B1331" s="1956" t="str">
        <f>'LƯƠNG KT'!$D$168</f>
        <v>Thảo Khun</v>
      </c>
      <c r="C1331" s="1957"/>
      <c r="D1331" s="1958" t="s">
        <v>2357</v>
      </c>
      <c r="E1331" s="1958" t="s">
        <v>2156</v>
      </c>
      <c r="G1331" s="1956" t="s">
        <v>356</v>
      </c>
      <c r="H1331" s="1956" t="str">
        <f>'LƯƠNG KT'!$D$169</f>
        <v>Thảo Linh</v>
      </c>
      <c r="I1331" s="1957"/>
      <c r="J1331" s="1958" t="s">
        <v>2357</v>
      </c>
      <c r="K1331" s="1958" t="s">
        <v>2156</v>
      </c>
    </row>
    <row r="1332" spans="1:11" ht="12.75" customHeight="1">
      <c r="A1332" s="1959" t="s">
        <v>3005</v>
      </c>
      <c r="B1332" s="1960" t="s">
        <v>3278</v>
      </c>
      <c r="C1332" s="1961">
        <f>VLOOKUP(B1331,'LƯƠNG KT'!$D$110:$AC$184,8,0)</f>
        <v>0</v>
      </c>
      <c r="D1332" s="1962"/>
      <c r="E1332" s="1962"/>
      <c r="G1332" s="1959" t="s">
        <v>3005</v>
      </c>
      <c r="H1332" s="1960" t="s">
        <v>3278</v>
      </c>
      <c r="I1332" s="1961">
        <f>VLOOKUP(H1331,'LƯƠNG KT'!$D$110:$AC$184,8,0)</f>
        <v>111.6229350064433</v>
      </c>
      <c r="J1332" s="1962"/>
      <c r="K1332" s="1962"/>
    </row>
    <row r="1333" spans="1:11" ht="12.75" customHeight="1">
      <c r="A1333" s="1959" t="s">
        <v>359</v>
      </c>
      <c r="B1333" s="1963" t="s">
        <v>2090</v>
      </c>
      <c r="C1333" s="1961">
        <f>VLOOKUP(B1331,'LƯƠNG KT'!$D$110:$AC$184,3,0)</f>
        <v>0</v>
      </c>
      <c r="D1333" s="1964">
        <v>25000</v>
      </c>
      <c r="E1333" s="1962">
        <f>C1333*D1333</f>
        <v>0</v>
      </c>
      <c r="G1333" s="1959" t="s">
        <v>359</v>
      </c>
      <c r="H1333" s="1963" t="s">
        <v>2090</v>
      </c>
      <c r="I1333" s="1961">
        <f>VLOOKUP(H1331,'LƯƠNG KT'!$D$110:$AC$184,3,0)</f>
        <v>0</v>
      </c>
      <c r="J1333" s="1964">
        <v>25000</v>
      </c>
      <c r="K1333" s="1962">
        <f>I1333*J1333</f>
        <v>0</v>
      </c>
    </row>
    <row r="1334" spans="1:11" ht="12.75" customHeight="1">
      <c r="A1334" s="1959" t="s">
        <v>3279</v>
      </c>
      <c r="B1334" s="1965" t="s">
        <v>3280</v>
      </c>
      <c r="C1334" s="1961">
        <f>VLOOKUP(B1331,'LƯƠNG KT'!$D$110:$AC$184,10,0)</f>
        <v>0</v>
      </c>
      <c r="D1334" s="1967">
        <f>46.1*$C$1</f>
        <v>30792.956000000002</v>
      </c>
      <c r="E1334" s="1962">
        <f t="shared" ref="E1334:E1338" si="156">C1334*D1334</f>
        <v>0</v>
      </c>
      <c r="G1334" s="1959" t="s">
        <v>3279</v>
      </c>
      <c r="H1334" s="1965" t="s">
        <v>3280</v>
      </c>
      <c r="I1334" s="1961" t="str">
        <f>VLOOKUP(H1331,'LƯƠNG KT'!$D$110:$AC$184,10,0)</f>
        <v>C.</v>
      </c>
      <c r="J1334" s="1967">
        <f>46.1*$C$1</f>
        <v>30792.956000000002</v>
      </c>
      <c r="K1334" s="1962" t="e">
        <f t="shared" ref="K1334:K1338" si="157">I1334*J1334</f>
        <v>#VALUE!</v>
      </c>
    </row>
    <row r="1335" spans="1:11" ht="12.75" customHeight="1">
      <c r="A1335" s="1959" t="s">
        <v>3281</v>
      </c>
      <c r="B1335" s="1965" t="s">
        <v>3282</v>
      </c>
      <c r="C1335" s="1961">
        <f>VLOOKUP(B1331,'LƯƠNG KT'!$D$110:$AC$184,11,0)</f>
        <v>0</v>
      </c>
      <c r="D1335" s="1964">
        <f>76.9*$C$1</f>
        <v>51366.124000000003</v>
      </c>
      <c r="E1335" s="1962">
        <f t="shared" si="156"/>
        <v>0</v>
      </c>
      <c r="G1335" s="1959" t="s">
        <v>3281</v>
      </c>
      <c r="H1335" s="1965" t="s">
        <v>3282</v>
      </c>
      <c r="I1335" s="1961">
        <f>VLOOKUP(H1331,'LƯƠNG KT'!$D$110:$AC$184,11,0)</f>
        <v>4323683</v>
      </c>
      <c r="J1335" s="1964">
        <f>76.9*$C$1</f>
        <v>51366.124000000003</v>
      </c>
      <c r="K1335" s="1962">
        <f t="shared" si="157"/>
        <v>222090837114.69202</v>
      </c>
    </row>
    <row r="1336" spans="1:11" ht="12.75" customHeight="1">
      <c r="A1336" s="1959" t="s">
        <v>374</v>
      </c>
      <c r="B1336" s="1965" t="s">
        <v>3283</v>
      </c>
      <c r="C1336" s="1961">
        <f>VLOOKUP(B1331,'LƯƠNG KT'!$D$110:$AC$184,7,0)</f>
        <v>0</v>
      </c>
      <c r="D1336" s="1964">
        <f>IF(C1332="A",6.1,IF(C1332="B",5.8,IF(C1332="C",5.5,IF(C1332="C.",5.5,IF(C1332="D",5.2)))))*$C$1</f>
        <v>0</v>
      </c>
      <c r="E1336" s="1962">
        <f t="shared" si="156"/>
        <v>0</v>
      </c>
      <c r="G1336" s="1959" t="s">
        <v>374</v>
      </c>
      <c r="H1336" s="1965" t="s">
        <v>3283</v>
      </c>
      <c r="I1336" s="1961">
        <f>VLOOKUP(H1331,'LƯƠNG KT'!$D$110:$AC$184,7,0)</f>
        <v>1198.5839192675808</v>
      </c>
      <c r="J1336" s="1964">
        <f>IF(I1332="A",6.1,IF(I1332="B",5.8,IF(I1332="C",5.5,IF(I1332="C.",5.5,IF(I1332="D",5.2)))))*$C$1</f>
        <v>0</v>
      </c>
      <c r="K1336" s="1962">
        <f t="shared" si="157"/>
        <v>0</v>
      </c>
    </row>
    <row r="1337" spans="1:11" ht="12.75" customHeight="1">
      <c r="A1337" s="1959" t="s">
        <v>3296</v>
      </c>
      <c r="B1337" s="1965" t="s">
        <v>3285</v>
      </c>
      <c r="C1337" s="1961">
        <f>VLOOKUP(B1331,'LƯƠNG KT'!$D$110:$AC$184,12,0)</f>
        <v>0</v>
      </c>
      <c r="D1337" s="1967">
        <f>92.2*$C$1</f>
        <v>61585.912000000004</v>
      </c>
      <c r="E1337" s="1962">
        <f t="shared" si="156"/>
        <v>0</v>
      </c>
      <c r="G1337" s="1959" t="s">
        <v>3296</v>
      </c>
      <c r="H1337" s="1965" t="s">
        <v>3285</v>
      </c>
      <c r="I1337" s="1961">
        <f>VLOOKUP(H1331,'LƯƠNG KT'!$D$110:$AC$184,12,0)</f>
        <v>20</v>
      </c>
      <c r="J1337" s="1967">
        <f>92.2*$C$1</f>
        <v>61585.912000000004</v>
      </c>
      <c r="K1337" s="1962">
        <f t="shared" si="157"/>
        <v>1231718.24</v>
      </c>
    </row>
    <row r="1338" spans="1:11" ht="12.75" customHeight="1">
      <c r="A1338" s="1959" t="s">
        <v>3297</v>
      </c>
      <c r="B1338" s="1965" t="s">
        <v>3287</v>
      </c>
      <c r="C1338" s="1961">
        <f>VLOOKUP(B1331,'LƯƠNG KT'!$D$110:$AC$184,13,0)</f>
        <v>0</v>
      </c>
      <c r="D1338" s="1964">
        <f>153.8*$C$1</f>
        <v>102732.24800000001</v>
      </c>
      <c r="E1338" s="1962">
        <f t="shared" si="156"/>
        <v>0</v>
      </c>
      <c r="G1338" s="1959" t="s">
        <v>3297</v>
      </c>
      <c r="H1338" s="1965" t="s">
        <v>3287</v>
      </c>
      <c r="I1338" s="1961">
        <f>VLOOKUP(H1331,'LƯƠNG KT'!$D$110:$AC$184,13,0)</f>
        <v>4</v>
      </c>
      <c r="J1338" s="1964">
        <f>153.8*$C$1</f>
        <v>102732.24800000001</v>
      </c>
      <c r="K1338" s="1962">
        <f t="shared" si="157"/>
        <v>410928.99200000003</v>
      </c>
    </row>
    <row r="1339" spans="1:11" ht="12.75" customHeight="1">
      <c r="A1339" s="1959" t="s">
        <v>3354</v>
      </c>
      <c r="B1339" s="1965" t="s">
        <v>3288</v>
      </c>
      <c r="C1339" s="1961">
        <f>VLOOKUP(B1331,'LƯƠNG KT'!$D$110:$AC$184,14,0)</f>
        <v>0</v>
      </c>
      <c r="D1339" s="1964">
        <v>100000</v>
      </c>
      <c r="E1339" s="1962">
        <f>C1339*D1339</f>
        <v>0</v>
      </c>
      <c r="G1339" s="1959" t="s">
        <v>3354</v>
      </c>
      <c r="H1339" s="1965" t="s">
        <v>3288</v>
      </c>
      <c r="I1339" s="1961">
        <f>VLOOKUP(H1331,'LƯƠNG KT'!$D$110:$AC$184,14,0)</f>
        <v>5</v>
      </c>
      <c r="J1339" s="1964">
        <v>100000</v>
      </c>
      <c r="K1339" s="1962">
        <f>I1339*J1339</f>
        <v>500000</v>
      </c>
    </row>
    <row r="1340" spans="1:11" ht="12.75" customHeight="1">
      <c r="A1340" s="1959" t="s">
        <v>3355</v>
      </c>
      <c r="B1340" s="1965" t="s">
        <v>3288</v>
      </c>
      <c r="C1340" s="1961" t="e">
        <f>VLOOKUP(B1331,'LƯƠNG KT'!$D$110:$AC$184,17,0)</f>
        <v>#N/A</v>
      </c>
      <c r="D1340" s="1964">
        <v>20000</v>
      </c>
      <c r="E1340" s="1962" t="e">
        <f>C1340*D1340</f>
        <v>#N/A</v>
      </c>
      <c r="G1340" s="1959" t="s">
        <v>3355</v>
      </c>
      <c r="H1340" s="1965" t="s">
        <v>3288</v>
      </c>
      <c r="I1340" s="1961" t="e">
        <f>VLOOKUP(H1331,'LƯƠNG KT'!$D$110:$AC$184,17,0)</f>
        <v>#N/A</v>
      </c>
      <c r="J1340" s="1964">
        <v>20000</v>
      </c>
      <c r="K1340" s="1962" t="e">
        <f>I1340*J1340</f>
        <v>#N/A</v>
      </c>
    </row>
    <row r="1341" spans="1:11" ht="12.75" customHeight="1">
      <c r="A1341" s="1959" t="s">
        <v>3289</v>
      </c>
      <c r="B1341" s="1965" t="s">
        <v>3290</v>
      </c>
      <c r="C1341" s="1966"/>
      <c r="D1341" s="1964"/>
      <c r="E1341" s="1962"/>
      <c r="G1341" s="1959" t="s">
        <v>3289</v>
      </c>
      <c r="H1341" s="1965" t="s">
        <v>3290</v>
      </c>
      <c r="I1341" s="1966"/>
      <c r="J1341" s="1964"/>
      <c r="K1341" s="1962"/>
    </row>
    <row r="1342" spans="1:11" ht="12.75" customHeight="1">
      <c r="A1342" s="1968" t="s">
        <v>377</v>
      </c>
      <c r="B1342" s="1969" t="s">
        <v>3291</v>
      </c>
      <c r="C1342" s="1970"/>
      <c r="D1342" s="1971"/>
      <c r="E1342" s="1970"/>
      <c r="G1342" s="1968" t="s">
        <v>377</v>
      </c>
      <c r="H1342" s="1969" t="s">
        <v>3291</v>
      </c>
      <c r="I1342" s="1970"/>
      <c r="J1342" s="1971"/>
      <c r="K1342" s="1970"/>
    </row>
    <row r="1343" spans="1:11" ht="12.75" customHeight="1">
      <c r="A1343" s="1972" t="s">
        <v>379</v>
      </c>
      <c r="B1343" s="1973" t="s">
        <v>3292</v>
      </c>
      <c r="C1343" s="1970"/>
      <c r="D1343" s="1970"/>
      <c r="E1343" s="1970"/>
      <c r="G1343" s="1972" t="s">
        <v>379</v>
      </c>
      <c r="H1343" s="1973" t="s">
        <v>3292</v>
      </c>
      <c r="I1343" s="1970"/>
      <c r="J1343" s="1970"/>
      <c r="K1343" s="1970"/>
    </row>
    <row r="1344" spans="1:11" ht="12.75" customHeight="1">
      <c r="A1344" s="1972" t="s">
        <v>381</v>
      </c>
      <c r="B1344" s="1974" t="s">
        <v>3293</v>
      </c>
      <c r="C1344" s="1970"/>
      <c r="D1344" s="1970"/>
      <c r="E1344" s="1962">
        <f>SUM(E1343)</f>
        <v>0</v>
      </c>
      <c r="G1344" s="1972" t="s">
        <v>381</v>
      </c>
      <c r="H1344" s="1974" t="s">
        <v>3293</v>
      </c>
      <c r="I1344" s="1970"/>
      <c r="J1344" s="1970"/>
      <c r="K1344" s="1962">
        <f>SUM(K1343)</f>
        <v>0</v>
      </c>
    </row>
    <row r="1345" spans="1:11" ht="12.75" customHeight="1">
      <c r="A1345" s="1975" t="s">
        <v>383</v>
      </c>
      <c r="B1345" s="1976" t="s">
        <v>3294</v>
      </c>
      <c r="C1345" s="1977"/>
      <c r="D1345" s="1977"/>
      <c r="E1345" s="1978" t="e">
        <f>(E1333+E1334+E1335+E1336+E1337+E1338+E1339+E1340+E1341)-E1344</f>
        <v>#N/A</v>
      </c>
      <c r="G1345" s="1975" t="s">
        <v>383</v>
      </c>
      <c r="H1345" s="1976" t="s">
        <v>3294</v>
      </c>
      <c r="I1345" s="1977"/>
      <c r="J1345" s="1977"/>
      <c r="K1345" s="1978" t="e">
        <f>(K1333+K1334+K1335+K1336+K1337+K1338+K1339+K1340+K1341)-K1344</f>
        <v>#VALUE!</v>
      </c>
    </row>
    <row r="1347" spans="1:11" ht="12.75" customHeight="1">
      <c r="A1347" s="2953" t="s">
        <v>3356</v>
      </c>
      <c r="B1347" s="2954"/>
      <c r="C1347" s="2954"/>
      <c r="D1347" s="2954"/>
      <c r="E1347" s="1955">
        <f>VLOOKUP(B1348,'LƯƠNG KT'!$D$110:$AD$184,25,0)</f>
        <v>0</v>
      </c>
      <c r="G1347" s="2953" t="s">
        <v>3356</v>
      </c>
      <c r="H1347" s="2954"/>
      <c r="I1347" s="2954"/>
      <c r="J1347" s="2954"/>
      <c r="K1347" s="1955">
        <f>VLOOKUP(H1348,'LƯƠNG KT'!$D$110:$AD$184,25,0)</f>
        <v>0</v>
      </c>
    </row>
    <row r="1348" spans="1:11" ht="12.75" customHeight="1">
      <c r="A1348" s="1956" t="s">
        <v>356</v>
      </c>
      <c r="B1348" s="1956" t="str">
        <f>'LƯƠNG KT'!$D$170</f>
        <v>Thảo Han</v>
      </c>
      <c r="C1348" s="1957"/>
      <c r="D1348" s="1958" t="s">
        <v>2357</v>
      </c>
      <c r="E1348" s="1958" t="s">
        <v>2156</v>
      </c>
      <c r="G1348" s="1956" t="s">
        <v>356</v>
      </c>
      <c r="H1348" s="1956" t="str">
        <f>'LƯƠNG KT'!$D$171</f>
        <v>Thảo Ê</v>
      </c>
      <c r="I1348" s="1957"/>
      <c r="J1348" s="1958" t="s">
        <v>2357</v>
      </c>
      <c r="K1348" s="1958" t="s">
        <v>2156</v>
      </c>
    </row>
    <row r="1349" spans="1:11" ht="12.75" customHeight="1">
      <c r="A1349" s="1959" t="s">
        <v>3005</v>
      </c>
      <c r="B1349" s="1960" t="s">
        <v>3278</v>
      </c>
      <c r="C1349" s="1961">
        <f>VLOOKUP(B1348,'LƯƠNG KT'!$D$110:$AC$184,8,0)</f>
        <v>109.3507124108923</v>
      </c>
      <c r="D1349" s="1962"/>
      <c r="E1349" s="1962"/>
      <c r="G1349" s="1959" t="s">
        <v>3005</v>
      </c>
      <c r="H1349" s="1960" t="s">
        <v>3278</v>
      </c>
      <c r="I1349" s="1961">
        <f>VLOOKUP(H1348,'LƯƠNG KT'!$D$110:$AC$184,8,0)</f>
        <v>86.709637262366172</v>
      </c>
      <c r="J1349" s="1962"/>
      <c r="K1349" s="1962"/>
    </row>
    <row r="1350" spans="1:11" ht="12.75" customHeight="1">
      <c r="A1350" s="1959" t="s">
        <v>359</v>
      </c>
      <c r="B1350" s="1963" t="s">
        <v>2090</v>
      </c>
      <c r="C1350" s="1961">
        <f>VLOOKUP(B1348,'LƯƠNG KT'!$D$110:$AC$184,3,0)</f>
        <v>0</v>
      </c>
      <c r="D1350" s="1964">
        <v>25000</v>
      </c>
      <c r="E1350" s="1962">
        <f>C1350*D1350</f>
        <v>0</v>
      </c>
      <c r="G1350" s="1959" t="s">
        <v>359</v>
      </c>
      <c r="H1350" s="1963" t="s">
        <v>2090</v>
      </c>
      <c r="I1350" s="1961">
        <f>VLOOKUP(H1348,'LƯƠNG KT'!$D$110:$AC$184,3,0)</f>
        <v>0</v>
      </c>
      <c r="J1350" s="1964">
        <v>25000</v>
      </c>
      <c r="K1350" s="1962">
        <f>I1350*J1350</f>
        <v>0</v>
      </c>
    </row>
    <row r="1351" spans="1:11" ht="12.75" customHeight="1">
      <c r="A1351" s="1959" t="s">
        <v>3279</v>
      </c>
      <c r="B1351" s="1965" t="s">
        <v>3280</v>
      </c>
      <c r="C1351" s="1961" t="str">
        <f>VLOOKUP(B1348,'LƯƠNG KT'!$D$110:$AC$184,10,0)</f>
        <v>C.</v>
      </c>
      <c r="D1351" s="1967">
        <f>46.1*$C$1</f>
        <v>30792.956000000002</v>
      </c>
      <c r="E1351" s="1962" t="e">
        <f t="shared" ref="E1351:E1355" si="158">C1351*D1351</f>
        <v>#VALUE!</v>
      </c>
      <c r="G1351" s="1959" t="s">
        <v>3279</v>
      </c>
      <c r="H1351" s="1965" t="s">
        <v>3280</v>
      </c>
      <c r="I1351" s="1961" t="str">
        <f>VLOOKUP(H1348,'LƯƠNG KT'!$D$110:$AC$184,10,0)</f>
        <v>C.</v>
      </c>
      <c r="J1351" s="1967">
        <f>46.1*$C$1</f>
        <v>30792.956000000002</v>
      </c>
      <c r="K1351" s="1962" t="e">
        <f t="shared" ref="K1351:K1355" si="159">I1351*J1351</f>
        <v>#VALUE!</v>
      </c>
    </row>
    <row r="1352" spans="1:11" ht="12.75" customHeight="1">
      <c r="A1352" s="1959" t="s">
        <v>3281</v>
      </c>
      <c r="B1352" s="1965" t="s">
        <v>3282</v>
      </c>
      <c r="C1352" s="1961">
        <f>VLOOKUP(B1348,'LƯƠNG KT'!$D$110:$AC$184,11,0)</f>
        <v>4235669</v>
      </c>
      <c r="D1352" s="1964">
        <f>76.9*$C$1</f>
        <v>51366.124000000003</v>
      </c>
      <c r="E1352" s="1962">
        <f t="shared" si="158"/>
        <v>217569899076.95602</v>
      </c>
      <c r="G1352" s="1959" t="s">
        <v>3281</v>
      </c>
      <c r="H1352" s="1965" t="s">
        <v>3282</v>
      </c>
      <c r="I1352" s="1961">
        <f>VLOOKUP(H1348,'LƯƠNG KT'!$D$110:$AC$184,11,0)</f>
        <v>3358673</v>
      </c>
      <c r="J1352" s="1964">
        <f>76.9*$C$1</f>
        <v>51366.124000000003</v>
      </c>
      <c r="K1352" s="1962">
        <f t="shared" si="159"/>
        <v>172522013793.45203</v>
      </c>
    </row>
    <row r="1353" spans="1:11" ht="12.75" customHeight="1">
      <c r="A1353" s="1959" t="s">
        <v>374</v>
      </c>
      <c r="B1353" s="1965" t="s">
        <v>3283</v>
      </c>
      <c r="C1353" s="1961">
        <f>VLOOKUP(B1348,'LƯƠNG KT'!$D$110:$AC$184,7,0)</f>
        <v>1174.1852644224391</v>
      </c>
      <c r="D1353" s="1964">
        <f>IF(C1349="A",6.1,IF(C1349="B",5.8,IF(C1349="C",5.5,IF(C1349="C.",5.5,IF(C1349="D",5.2)))))*$C$1</f>
        <v>0</v>
      </c>
      <c r="E1353" s="1962">
        <f t="shared" si="158"/>
        <v>0</v>
      </c>
      <c r="G1353" s="1959" t="s">
        <v>374</v>
      </c>
      <c r="H1353" s="1965" t="s">
        <v>3283</v>
      </c>
      <c r="I1353" s="1961">
        <f>VLOOKUP(H1348,'LƯƠNG KT'!$D$110:$AC$184,7,0)</f>
        <v>931.07009650120676</v>
      </c>
      <c r="J1353" s="1964">
        <f>IF(I1349="A",6.1,IF(I1349="B",5.8,IF(I1349="C",5.5,IF(I1349="C.",5.5,IF(I1349="D",5.2)))))*$C$1</f>
        <v>0</v>
      </c>
      <c r="K1353" s="1962">
        <f t="shared" si="159"/>
        <v>0</v>
      </c>
    </row>
    <row r="1354" spans="1:11" ht="12.75" customHeight="1">
      <c r="A1354" s="1959" t="s">
        <v>3296</v>
      </c>
      <c r="B1354" s="1965" t="s">
        <v>3285</v>
      </c>
      <c r="C1354" s="1961">
        <f>VLOOKUP(B1348,'LƯƠNG KT'!$D$110:$AC$184,12,0)</f>
        <v>16</v>
      </c>
      <c r="D1354" s="1967">
        <f>92.2*$C$1</f>
        <v>61585.912000000004</v>
      </c>
      <c r="E1354" s="1962">
        <f t="shared" si="158"/>
        <v>985374.59200000006</v>
      </c>
      <c r="G1354" s="1959" t="s">
        <v>3296</v>
      </c>
      <c r="H1354" s="1965" t="s">
        <v>3285</v>
      </c>
      <c r="I1354" s="1961">
        <f>VLOOKUP(H1348,'LƯƠNG KT'!$D$110:$AC$184,12,0)</f>
        <v>12</v>
      </c>
      <c r="J1354" s="1967">
        <f>92.2*$C$1</f>
        <v>61585.912000000004</v>
      </c>
      <c r="K1354" s="1962">
        <f t="shared" si="159"/>
        <v>739030.94400000002</v>
      </c>
    </row>
    <row r="1355" spans="1:11" ht="12.75" customHeight="1">
      <c r="A1355" s="1959" t="s">
        <v>3297</v>
      </c>
      <c r="B1355" s="1965" t="s">
        <v>3287</v>
      </c>
      <c r="C1355" s="1961">
        <f>VLOOKUP(B1348,'LƯƠNG KT'!$D$110:$AC$184,13,0)</f>
        <v>4</v>
      </c>
      <c r="D1355" s="1964">
        <f>153.8*$C$1</f>
        <v>102732.24800000001</v>
      </c>
      <c r="E1355" s="1962">
        <f t="shared" si="158"/>
        <v>410928.99200000003</v>
      </c>
      <c r="G1355" s="1959" t="s">
        <v>3297</v>
      </c>
      <c r="H1355" s="1965" t="s">
        <v>3287</v>
      </c>
      <c r="I1355" s="1961">
        <f>VLOOKUP(H1348,'LƯƠNG KT'!$D$110:$AC$184,13,0)</f>
        <v>4</v>
      </c>
      <c r="J1355" s="1964">
        <f>153.8*$C$1</f>
        <v>102732.24800000001</v>
      </c>
      <c r="K1355" s="1962">
        <f t="shared" si="159"/>
        <v>410928.99200000003</v>
      </c>
    </row>
    <row r="1356" spans="1:11" ht="12.75" customHeight="1">
      <c r="A1356" s="1959" t="s">
        <v>3354</v>
      </c>
      <c r="B1356" s="1965" t="s">
        <v>3288</v>
      </c>
      <c r="C1356" s="1961">
        <f>VLOOKUP(B1348,'LƯƠNG KT'!$D$110:$AC$184,14,0)</f>
        <v>4</v>
      </c>
      <c r="D1356" s="1964">
        <v>100000</v>
      </c>
      <c r="E1356" s="1962">
        <f>C1356*D1356</f>
        <v>400000</v>
      </c>
      <c r="G1356" s="1959" t="s">
        <v>3354</v>
      </c>
      <c r="H1356" s="1965" t="s">
        <v>3288</v>
      </c>
      <c r="I1356" s="1961">
        <f>VLOOKUP(H1348,'LƯƠNG KT'!$D$110:$AC$184,14,0)</f>
        <v>3</v>
      </c>
      <c r="J1356" s="1964">
        <v>100000</v>
      </c>
      <c r="K1356" s="1962">
        <f>I1356*J1356</f>
        <v>300000</v>
      </c>
    </row>
    <row r="1357" spans="1:11" ht="12.75" customHeight="1">
      <c r="A1357" s="1959" t="s">
        <v>3355</v>
      </c>
      <c r="B1357" s="1965" t="s">
        <v>3288</v>
      </c>
      <c r="C1357" s="1961" t="e">
        <f>VLOOKUP(B1348,'LƯƠNG KT'!$D$110:$AC$184,17,0)</f>
        <v>#N/A</v>
      </c>
      <c r="D1357" s="1964">
        <v>20000</v>
      </c>
      <c r="E1357" s="1962" t="e">
        <f>C1357*D1357</f>
        <v>#N/A</v>
      </c>
      <c r="G1357" s="1959" t="s">
        <v>3355</v>
      </c>
      <c r="H1357" s="1965" t="s">
        <v>3288</v>
      </c>
      <c r="I1357" s="1961" t="e">
        <f>VLOOKUP(H1348,'LƯƠNG KT'!$D$110:$AC$184,17,0)</f>
        <v>#N/A</v>
      </c>
      <c r="J1357" s="1964">
        <v>20000</v>
      </c>
      <c r="K1357" s="1962" t="e">
        <f>I1357*J1357</f>
        <v>#N/A</v>
      </c>
    </row>
    <row r="1358" spans="1:11" ht="12.75" customHeight="1">
      <c r="A1358" s="1959" t="s">
        <v>3289</v>
      </c>
      <c r="B1358" s="1965" t="s">
        <v>3290</v>
      </c>
      <c r="C1358" s="1966"/>
      <c r="D1358" s="1964"/>
      <c r="E1358" s="1962"/>
      <c r="G1358" s="1959" t="s">
        <v>3289</v>
      </c>
      <c r="H1358" s="1965" t="s">
        <v>3290</v>
      </c>
      <c r="I1358" s="1966"/>
      <c r="J1358" s="1964"/>
      <c r="K1358" s="1962"/>
    </row>
    <row r="1359" spans="1:11" ht="12.75" customHeight="1">
      <c r="A1359" s="1968" t="s">
        <v>377</v>
      </c>
      <c r="B1359" s="1969" t="s">
        <v>3291</v>
      </c>
      <c r="C1359" s="1970"/>
      <c r="D1359" s="1971"/>
      <c r="E1359" s="1970"/>
      <c r="G1359" s="1968" t="s">
        <v>377</v>
      </c>
      <c r="H1359" s="1969" t="s">
        <v>3291</v>
      </c>
      <c r="I1359" s="1970"/>
      <c r="J1359" s="1971"/>
      <c r="K1359" s="1970"/>
    </row>
    <row r="1360" spans="1:11" ht="12.75" customHeight="1">
      <c r="A1360" s="1972" t="s">
        <v>379</v>
      </c>
      <c r="B1360" s="1973" t="s">
        <v>3292</v>
      </c>
      <c r="C1360" s="1970"/>
      <c r="D1360" s="1970"/>
      <c r="E1360" s="1970"/>
      <c r="G1360" s="1972" t="s">
        <v>379</v>
      </c>
      <c r="H1360" s="1973" t="s">
        <v>3292</v>
      </c>
      <c r="I1360" s="1970"/>
      <c r="J1360" s="1970"/>
      <c r="K1360" s="1970"/>
    </row>
    <row r="1361" spans="1:11" ht="12.75" customHeight="1">
      <c r="A1361" s="1972" t="s">
        <v>381</v>
      </c>
      <c r="B1361" s="1974" t="s">
        <v>3293</v>
      </c>
      <c r="C1361" s="1970"/>
      <c r="D1361" s="1970"/>
      <c r="E1361" s="1962">
        <f>SUM(E1360)</f>
        <v>0</v>
      </c>
      <c r="G1361" s="1972" t="s">
        <v>381</v>
      </c>
      <c r="H1361" s="1974" t="s">
        <v>3293</v>
      </c>
      <c r="I1361" s="1970"/>
      <c r="J1361" s="1970"/>
      <c r="K1361" s="1962">
        <f>SUM(K1360)</f>
        <v>0</v>
      </c>
    </row>
    <row r="1362" spans="1:11" ht="12.75" customHeight="1">
      <c r="A1362" s="1975" t="s">
        <v>383</v>
      </c>
      <c r="B1362" s="1976" t="s">
        <v>3294</v>
      </c>
      <c r="C1362" s="1977"/>
      <c r="D1362" s="1977"/>
      <c r="E1362" s="1978" t="e">
        <f>(E1350+E1351+E1352+E1353+E1354+E1355+E1356+E1357+E1358)-E1361</f>
        <v>#VALUE!</v>
      </c>
      <c r="G1362" s="1975" t="s">
        <v>383</v>
      </c>
      <c r="H1362" s="1976" t="s">
        <v>3294</v>
      </c>
      <c r="I1362" s="1977"/>
      <c r="J1362" s="1977"/>
      <c r="K1362" s="1978" t="e">
        <f>(K1350+K1351+K1352+K1353+K1354+K1355+K1356+K1357+K1358)-K1361</f>
        <v>#VALUE!</v>
      </c>
    </row>
    <row r="1363" spans="1:11" ht="53.25" customHeight="1"/>
    <row r="1364" spans="1:11" ht="12.75" customHeight="1">
      <c r="A1364" s="2953" t="s">
        <v>3356</v>
      </c>
      <c r="B1364" s="2954"/>
      <c r="C1364" s="2954"/>
      <c r="D1364" s="2954"/>
      <c r="E1364" s="1955">
        <f>VLOOKUP(B1365,'LƯƠNG KT'!$D$110:$AD$184,25,0)</f>
        <v>0</v>
      </c>
      <c r="G1364" s="2953" t="s">
        <v>3356</v>
      </c>
      <c r="H1364" s="2954"/>
      <c r="I1364" s="2954"/>
      <c r="J1364" s="2954"/>
      <c r="K1364" s="1955">
        <f>VLOOKUP(H1365,'LƯƠNG KT'!$D$110:$AD$184,25,0)</f>
        <v>0</v>
      </c>
    </row>
    <row r="1365" spans="1:11" ht="12.75" customHeight="1">
      <c r="A1365" s="1956" t="s">
        <v>356</v>
      </c>
      <c r="B1365" s="1956" t="str">
        <f>'LƯƠNG KT'!$D$172</f>
        <v>Thảo Tô</v>
      </c>
      <c r="C1365" s="1957"/>
      <c r="D1365" s="1958" t="s">
        <v>2357</v>
      </c>
      <c r="E1365" s="1958" t="s">
        <v>2156</v>
      </c>
      <c r="G1365" s="1956" t="s">
        <v>356</v>
      </c>
      <c r="H1365" s="1956" t="str">
        <f>'LƯƠNG KT'!$D$173</f>
        <v>Nàng Son</v>
      </c>
      <c r="I1365" s="1957"/>
      <c r="J1365" s="1958" t="s">
        <v>2357</v>
      </c>
      <c r="K1365" s="1958" t="s">
        <v>2156</v>
      </c>
    </row>
    <row r="1366" spans="1:11" ht="12.75" customHeight="1">
      <c r="A1366" s="1959" t="s">
        <v>3005</v>
      </c>
      <c r="B1366" s="1960" t="s">
        <v>3278</v>
      </c>
      <c r="C1366" s="1961">
        <f>VLOOKUP(B1365,'LƯƠNG KT'!$D$110:$AC$184,8,0)</f>
        <v>39.763895422142653</v>
      </c>
      <c r="D1366" s="1962"/>
      <c r="E1366" s="1962"/>
      <c r="G1366" s="1959" t="s">
        <v>3005</v>
      </c>
      <c r="H1366" s="1960" t="s">
        <v>3278</v>
      </c>
      <c r="I1366" s="1961">
        <f>VLOOKUP(H1365,'LƯƠNG KT'!$D$110:$AC$184,8,0)</f>
        <v>33.921037319297199</v>
      </c>
      <c r="J1366" s="1962"/>
      <c r="K1366" s="1962"/>
    </row>
    <row r="1367" spans="1:11" ht="12.75" customHeight="1">
      <c r="A1367" s="1959" t="s">
        <v>359</v>
      </c>
      <c r="B1367" s="1963" t="s">
        <v>2090</v>
      </c>
      <c r="C1367" s="1961">
        <f>VLOOKUP(B1365,'LƯƠNG KT'!$D$110:$AC$184,3,0)</f>
        <v>0</v>
      </c>
      <c r="D1367" s="1964">
        <v>25000</v>
      </c>
      <c r="E1367" s="1962">
        <f>C1367*D1367</f>
        <v>0</v>
      </c>
      <c r="G1367" s="1959" t="s">
        <v>359</v>
      </c>
      <c r="H1367" s="1963" t="s">
        <v>2090</v>
      </c>
      <c r="I1367" s="1961">
        <f>VLOOKUP(H1365,'LƯƠNG KT'!$D$110:$AC$184,3,0)</f>
        <v>0</v>
      </c>
      <c r="J1367" s="1964">
        <v>25000</v>
      </c>
      <c r="K1367" s="1962">
        <f>I1367*J1367</f>
        <v>0</v>
      </c>
    </row>
    <row r="1368" spans="1:11" ht="12.75" customHeight="1">
      <c r="A1368" s="1959" t="s">
        <v>3279</v>
      </c>
      <c r="B1368" s="1965" t="s">
        <v>3280</v>
      </c>
      <c r="C1368" s="1961" t="str">
        <f>VLOOKUP(B1365,'LƯƠNG KT'!$D$110:$AC$184,10,0)</f>
        <v>C.</v>
      </c>
      <c r="D1368" s="1967">
        <f>46.1*$C$1</f>
        <v>30792.956000000002</v>
      </c>
      <c r="E1368" s="1962" t="e">
        <f t="shared" ref="E1368:E1372" si="160">C1368*D1368</f>
        <v>#VALUE!</v>
      </c>
      <c r="G1368" s="1959" t="s">
        <v>3279</v>
      </c>
      <c r="H1368" s="1965" t="s">
        <v>3280</v>
      </c>
      <c r="I1368" s="1961" t="str">
        <f>VLOOKUP(H1365,'LƯƠNG KT'!$D$110:$AC$184,10,0)</f>
        <v>C.</v>
      </c>
      <c r="J1368" s="1967">
        <f>46.1*$C$1</f>
        <v>30792.956000000002</v>
      </c>
      <c r="K1368" s="1962" t="e">
        <f t="shared" ref="K1368:K1372" si="161">I1368*J1368</f>
        <v>#VALUE!</v>
      </c>
    </row>
    <row r="1369" spans="1:11" ht="12.75" customHeight="1">
      <c r="A1369" s="1959" t="s">
        <v>3281</v>
      </c>
      <c r="B1369" s="1965" t="s">
        <v>3282</v>
      </c>
      <c r="C1369" s="1961">
        <f>VLOOKUP(B1365,'LƯƠNG KT'!$D$110:$AC$184,11,0)</f>
        <v>1540243</v>
      </c>
      <c r="D1369" s="1964">
        <f>76.9*$C$1</f>
        <v>51366.124000000003</v>
      </c>
      <c r="E1369" s="1962">
        <f t="shared" si="160"/>
        <v>79116312928.132004</v>
      </c>
      <c r="G1369" s="1959" t="s">
        <v>3281</v>
      </c>
      <c r="H1369" s="1965" t="s">
        <v>3282</v>
      </c>
      <c r="I1369" s="1961">
        <f>VLOOKUP(H1365,'LƯƠNG KT'!$D$110:$AC$184,11,0)</f>
        <v>1313922</v>
      </c>
      <c r="J1369" s="1964">
        <f>76.9*$C$1</f>
        <v>51366.124000000003</v>
      </c>
      <c r="K1369" s="1962">
        <f t="shared" si="161"/>
        <v>67491080378.328003</v>
      </c>
    </row>
    <row r="1370" spans="1:11" ht="12.75" customHeight="1">
      <c r="A1370" s="1959" t="s">
        <v>374</v>
      </c>
      <c r="B1370" s="1965" t="s">
        <v>3283</v>
      </c>
      <c r="C1370" s="1961">
        <f>VLOOKUP(B1365,'LƯƠNG KT'!$D$110:$AC$184,7,0)</f>
        <v>426.97645978997787</v>
      </c>
      <c r="D1370" s="1964">
        <f>IF(C1366="A",6.1,IF(C1366="B",5.8,IF(C1366="C",5.5,IF(C1366="C.",5.5,IF(C1366="D",5.2)))))*$C$1</f>
        <v>0</v>
      </c>
      <c r="E1370" s="1962">
        <f t="shared" si="160"/>
        <v>0</v>
      </c>
      <c r="G1370" s="1959" t="s">
        <v>374</v>
      </c>
      <c r="H1370" s="1965" t="s">
        <v>3283</v>
      </c>
      <c r="I1370" s="1961">
        <f>VLOOKUP(H1365,'LƯƠNG KT'!$D$110:$AC$184,7,0)</f>
        <v>364.23706161675659</v>
      </c>
      <c r="J1370" s="1964">
        <f>IF(I1366="A",6.1,IF(I1366="B",5.8,IF(I1366="C",5.5,IF(I1366="C.",5.5,IF(I1366="D",5.2)))))*$C$1</f>
        <v>0</v>
      </c>
      <c r="K1370" s="1962">
        <f t="shared" si="161"/>
        <v>0</v>
      </c>
    </row>
    <row r="1371" spans="1:11" ht="12.75" customHeight="1">
      <c r="A1371" s="1959" t="s">
        <v>3296</v>
      </c>
      <c r="B1371" s="1965" t="s">
        <v>3285</v>
      </c>
      <c r="C1371" s="1961">
        <f>VLOOKUP(B1365,'LƯƠNG KT'!$D$110:$AC$184,12,0)</f>
        <v>8</v>
      </c>
      <c r="D1371" s="1967">
        <f>92.2*$C$1</f>
        <v>61585.912000000004</v>
      </c>
      <c r="E1371" s="1962">
        <f t="shared" si="160"/>
        <v>492687.29600000003</v>
      </c>
      <c r="G1371" s="1959" t="s">
        <v>3296</v>
      </c>
      <c r="H1371" s="1965" t="s">
        <v>3285</v>
      </c>
      <c r="I1371" s="1961">
        <f>VLOOKUP(H1365,'LƯƠNG KT'!$D$110:$AC$184,12,0)</f>
        <v>7</v>
      </c>
      <c r="J1371" s="1967">
        <f>92.2*$C$1</f>
        <v>61585.912000000004</v>
      </c>
      <c r="K1371" s="1962">
        <f t="shared" si="161"/>
        <v>431101.38400000002</v>
      </c>
    </row>
    <row r="1372" spans="1:11" ht="12.75" customHeight="1">
      <c r="A1372" s="1959" t="s">
        <v>3297</v>
      </c>
      <c r="B1372" s="1965" t="s">
        <v>3287</v>
      </c>
      <c r="C1372" s="1961">
        <f>VLOOKUP(B1365,'LƯƠNG KT'!$D$110:$AC$184,13,0)</f>
        <v>3</v>
      </c>
      <c r="D1372" s="1964">
        <f>153.8*$C$1</f>
        <v>102732.24800000001</v>
      </c>
      <c r="E1372" s="1962">
        <f t="shared" si="160"/>
        <v>308196.74400000001</v>
      </c>
      <c r="G1372" s="1959" t="s">
        <v>3297</v>
      </c>
      <c r="H1372" s="1965" t="s">
        <v>3287</v>
      </c>
      <c r="I1372" s="1961">
        <f>VLOOKUP(H1365,'LƯƠNG KT'!$D$110:$AC$184,13,0)</f>
        <v>2</v>
      </c>
      <c r="J1372" s="1964">
        <f>153.8*$C$1</f>
        <v>102732.24800000001</v>
      </c>
      <c r="K1372" s="1962">
        <f t="shared" si="161"/>
        <v>205464.49600000001</v>
      </c>
    </row>
    <row r="1373" spans="1:11" ht="12.75" customHeight="1">
      <c r="A1373" s="1959" t="s">
        <v>3354</v>
      </c>
      <c r="B1373" s="1965" t="s">
        <v>3288</v>
      </c>
      <c r="C1373" s="1961">
        <f>VLOOKUP(B1365,'LƯƠNG KT'!$D$110:$AC$184,14,0)</f>
        <v>0</v>
      </c>
      <c r="D1373" s="1964">
        <v>100000</v>
      </c>
      <c r="E1373" s="1962">
        <f>C1373*D1373</f>
        <v>0</v>
      </c>
      <c r="G1373" s="1959" t="s">
        <v>3354</v>
      </c>
      <c r="H1373" s="1965" t="s">
        <v>3288</v>
      </c>
      <c r="I1373" s="1961">
        <f>VLOOKUP(H1365,'LƯƠNG KT'!$D$110:$AC$184,14,0)</f>
        <v>0</v>
      </c>
      <c r="J1373" s="1964">
        <v>100000</v>
      </c>
      <c r="K1373" s="1962">
        <f>I1373*J1373</f>
        <v>0</v>
      </c>
    </row>
    <row r="1374" spans="1:11" ht="12.75" customHeight="1">
      <c r="A1374" s="1959" t="s">
        <v>3355</v>
      </c>
      <c r="B1374" s="1965" t="s">
        <v>3288</v>
      </c>
      <c r="C1374" s="1961" t="e">
        <f>VLOOKUP(B1365,'LƯƠNG KT'!$D$110:$AC$184,17,0)</f>
        <v>#N/A</v>
      </c>
      <c r="D1374" s="1964">
        <v>20000</v>
      </c>
      <c r="E1374" s="1962" t="e">
        <f>C1374*D1374</f>
        <v>#N/A</v>
      </c>
      <c r="G1374" s="1959" t="s">
        <v>3355</v>
      </c>
      <c r="H1374" s="1965" t="s">
        <v>3288</v>
      </c>
      <c r="I1374" s="1961" t="e">
        <f>VLOOKUP(H1365,'LƯƠNG KT'!$D$110:$AC$184,17,0)</f>
        <v>#N/A</v>
      </c>
      <c r="J1374" s="1964">
        <v>20000</v>
      </c>
      <c r="K1374" s="1962" t="e">
        <f>I1374*J1374</f>
        <v>#N/A</v>
      </c>
    </row>
    <row r="1375" spans="1:11" ht="12.75" customHeight="1">
      <c r="A1375" s="1959" t="s">
        <v>3289</v>
      </c>
      <c r="B1375" s="1965" t="s">
        <v>3290</v>
      </c>
      <c r="C1375" s="1966"/>
      <c r="D1375" s="1964"/>
      <c r="E1375" s="1962"/>
      <c r="G1375" s="1959" t="s">
        <v>3289</v>
      </c>
      <c r="H1375" s="1965" t="s">
        <v>3290</v>
      </c>
      <c r="I1375" s="1966"/>
      <c r="J1375" s="1964"/>
      <c r="K1375" s="1962"/>
    </row>
    <row r="1376" spans="1:11" ht="12.75" customHeight="1">
      <c r="A1376" s="1968" t="s">
        <v>377</v>
      </c>
      <c r="B1376" s="1969" t="s">
        <v>3291</v>
      </c>
      <c r="C1376" s="1970"/>
      <c r="D1376" s="1971"/>
      <c r="E1376" s="1970"/>
      <c r="G1376" s="1968" t="s">
        <v>377</v>
      </c>
      <c r="H1376" s="1969" t="s">
        <v>3291</v>
      </c>
      <c r="I1376" s="1970"/>
      <c r="J1376" s="1971"/>
      <c r="K1376" s="1970"/>
    </row>
    <row r="1377" spans="1:11" ht="12.75" customHeight="1">
      <c r="A1377" s="1972" t="s">
        <v>379</v>
      </c>
      <c r="B1377" s="1973" t="s">
        <v>3292</v>
      </c>
      <c r="C1377" s="1970"/>
      <c r="D1377" s="1970"/>
      <c r="E1377" s="1970"/>
      <c r="G1377" s="1972" t="s">
        <v>379</v>
      </c>
      <c r="H1377" s="1973" t="s">
        <v>3292</v>
      </c>
      <c r="I1377" s="1970"/>
      <c r="J1377" s="1970"/>
      <c r="K1377" s="1970"/>
    </row>
    <row r="1378" spans="1:11" ht="12.75" customHeight="1">
      <c r="A1378" s="1972" t="s">
        <v>381</v>
      </c>
      <c r="B1378" s="1974" t="s">
        <v>3293</v>
      </c>
      <c r="C1378" s="1970"/>
      <c r="D1378" s="1970"/>
      <c r="E1378" s="1962">
        <f>SUM(E1377)</f>
        <v>0</v>
      </c>
      <c r="G1378" s="1972" t="s">
        <v>381</v>
      </c>
      <c r="H1378" s="1974" t="s">
        <v>3293</v>
      </c>
      <c r="I1378" s="1970"/>
      <c r="J1378" s="1970"/>
      <c r="K1378" s="1962">
        <f>SUM(K1377)</f>
        <v>0</v>
      </c>
    </row>
    <row r="1379" spans="1:11" ht="12.75" customHeight="1">
      <c r="A1379" s="1975" t="s">
        <v>383</v>
      </c>
      <c r="B1379" s="1976" t="s">
        <v>3294</v>
      </c>
      <c r="C1379" s="1977"/>
      <c r="D1379" s="1977"/>
      <c r="E1379" s="1978" t="e">
        <f>(E1367+E1368+E1369+E1370+E1371+E1372+E1373+E1374+E1375)-E1378</f>
        <v>#VALUE!</v>
      </c>
      <c r="G1379" s="1975" t="s">
        <v>383</v>
      </c>
      <c r="H1379" s="1976" t="s">
        <v>3294</v>
      </c>
      <c r="I1379" s="1977"/>
      <c r="J1379" s="1977"/>
      <c r="K1379" s="1978" t="e">
        <f>(K1367+K1368+K1369+K1370+K1371+K1372+K1373+K1374+K1375)-K1378</f>
        <v>#VALUE!</v>
      </c>
    </row>
    <row r="1381" spans="1:11" ht="12.75" customHeight="1">
      <c r="A1381" s="2953" t="s">
        <v>3356</v>
      </c>
      <c r="B1381" s="2954"/>
      <c r="C1381" s="2954"/>
      <c r="D1381" s="2954"/>
      <c r="E1381" s="1955">
        <f>VLOOKUP(B1382,'LƯƠNG KT'!$D$110:$AD$184,25,0)</f>
        <v>0</v>
      </c>
      <c r="G1381" s="2953" t="s">
        <v>3356</v>
      </c>
      <c r="H1381" s="2954"/>
      <c r="I1381" s="2954"/>
      <c r="J1381" s="2954"/>
      <c r="K1381" s="1955">
        <f>VLOOKUP(H1382,'LƯƠNG KT'!$D$110:$AD$184,25,0)</f>
        <v>0</v>
      </c>
    </row>
    <row r="1382" spans="1:11" ht="12.75" customHeight="1">
      <c r="A1382" s="1956" t="s">
        <v>356</v>
      </c>
      <c r="B1382" s="1956" t="str">
        <f>'LƯƠNG KT'!$D$174</f>
        <v>Thảo Keo</v>
      </c>
      <c r="C1382" s="1957"/>
      <c r="D1382" s="1958" t="s">
        <v>2357</v>
      </c>
      <c r="E1382" s="1958" t="s">
        <v>2156</v>
      </c>
      <c r="G1382" s="1956" t="s">
        <v>356</v>
      </c>
      <c r="H1382" s="1956" t="str">
        <f>'LƯƠNG KT'!$D$175</f>
        <v>Thảo Tun</v>
      </c>
      <c r="I1382" s="1957"/>
      <c r="J1382" s="1958" t="s">
        <v>2357</v>
      </c>
      <c r="K1382" s="1958" t="s">
        <v>2156</v>
      </c>
    </row>
    <row r="1383" spans="1:11" ht="12.75" customHeight="1">
      <c r="A1383" s="1959" t="s">
        <v>3005</v>
      </c>
      <c r="B1383" s="1960" t="s">
        <v>3278</v>
      </c>
      <c r="C1383" s="1961">
        <f>VLOOKUP(B1382,'LƯƠNG KT'!$D$110:$AC$184,8,0)</f>
        <v>8.074505294904478</v>
      </c>
      <c r="D1383" s="1962"/>
      <c r="E1383" s="1962"/>
      <c r="G1383" s="1959" t="s">
        <v>3005</v>
      </c>
      <c r="H1383" s="1960" t="s">
        <v>3278</v>
      </c>
      <c r="I1383" s="1961">
        <f>VLOOKUP(H1382,'LƯƠNG KT'!$D$110:$AC$184,8,0)</f>
        <v>4.5444451911020174</v>
      </c>
      <c r="J1383" s="1962"/>
      <c r="K1383" s="1962"/>
    </row>
    <row r="1384" spans="1:11" ht="12.75" customHeight="1">
      <c r="A1384" s="1959" t="s">
        <v>359</v>
      </c>
      <c r="B1384" s="1963" t="s">
        <v>2090</v>
      </c>
      <c r="C1384" s="1961">
        <f>VLOOKUP(B1382,'LƯƠNG KT'!$D$110:$AC$184,3,0)</f>
        <v>0</v>
      </c>
      <c r="D1384" s="1964">
        <v>25000</v>
      </c>
      <c r="E1384" s="1962">
        <f>C1384*D1384</f>
        <v>0</v>
      </c>
      <c r="G1384" s="1959" t="s">
        <v>359</v>
      </c>
      <c r="H1384" s="1963" t="s">
        <v>2090</v>
      </c>
      <c r="I1384" s="1961">
        <f>VLOOKUP(H1382,'LƯƠNG KT'!$D$110:$AC$184,3,0)</f>
        <v>0</v>
      </c>
      <c r="J1384" s="1964">
        <v>25000</v>
      </c>
      <c r="K1384" s="1962">
        <f>I1384*J1384</f>
        <v>0</v>
      </c>
    </row>
    <row r="1385" spans="1:11" ht="12.75" customHeight="1">
      <c r="A1385" s="1959" t="s">
        <v>3279</v>
      </c>
      <c r="B1385" s="1965" t="s">
        <v>3280</v>
      </c>
      <c r="C1385" s="1961" t="str">
        <f>VLOOKUP(B1382,'LƯƠNG KT'!$D$110:$AC$184,10,0)</f>
        <v>C.</v>
      </c>
      <c r="D1385" s="1967">
        <f>46.1*$C$1</f>
        <v>30792.956000000002</v>
      </c>
      <c r="E1385" s="1962" t="e">
        <f t="shared" ref="E1385:E1389" si="162">C1385*D1385</f>
        <v>#VALUE!</v>
      </c>
      <c r="G1385" s="1959" t="s">
        <v>3279</v>
      </c>
      <c r="H1385" s="1965" t="s">
        <v>3280</v>
      </c>
      <c r="I1385" s="1961" t="str">
        <f>VLOOKUP(H1382,'LƯƠNG KT'!$D$110:$AC$184,10,0)</f>
        <v>C.</v>
      </c>
      <c r="J1385" s="1967">
        <f>46.1*$C$1</f>
        <v>30792.956000000002</v>
      </c>
      <c r="K1385" s="1962" t="e">
        <f t="shared" ref="K1385:K1389" si="163">I1385*J1385</f>
        <v>#VALUE!</v>
      </c>
    </row>
    <row r="1386" spans="1:11" ht="12.75" customHeight="1">
      <c r="A1386" s="1959" t="s">
        <v>3281</v>
      </c>
      <c r="B1386" s="1965" t="s">
        <v>3282</v>
      </c>
      <c r="C1386" s="1961">
        <f>VLOOKUP(B1382,'LƯƠNG KT'!$D$110:$AC$184,11,0)</f>
        <v>312764</v>
      </c>
      <c r="D1386" s="1964">
        <f>76.9*$C$1</f>
        <v>51366.124000000003</v>
      </c>
      <c r="E1386" s="1962">
        <f t="shared" si="162"/>
        <v>16065474406.736002</v>
      </c>
      <c r="G1386" s="1959" t="s">
        <v>3281</v>
      </c>
      <c r="H1386" s="1965" t="s">
        <v>3282</v>
      </c>
      <c r="I1386" s="1961">
        <f>VLOOKUP(H1382,'LƯƠNG KT'!$D$110:$AC$184,11,0)</f>
        <v>176028</v>
      </c>
      <c r="J1386" s="1964">
        <f>76.9*$C$1</f>
        <v>51366.124000000003</v>
      </c>
      <c r="K1386" s="1962">
        <f t="shared" si="163"/>
        <v>9041876075.4720001</v>
      </c>
    </row>
    <row r="1387" spans="1:11" ht="12.75" customHeight="1">
      <c r="A1387" s="1959" t="s">
        <v>374</v>
      </c>
      <c r="B1387" s="1965" t="s">
        <v>3283</v>
      </c>
      <c r="C1387" s="1961">
        <f>VLOOKUP(B1382,'LƯƠNG KT'!$D$110:$AC$184,7,0)</f>
        <v>86.702362753271018</v>
      </c>
      <c r="D1387" s="1964">
        <f>IF(C1383="A",6.1,IF(C1383="B",5.8,IF(C1383="C",5.5,IF(C1383="C.",5.5,IF(C1383="D",5.2)))))*$C$1</f>
        <v>0</v>
      </c>
      <c r="E1387" s="1962">
        <f t="shared" si="162"/>
        <v>0</v>
      </c>
      <c r="G1387" s="1959" t="s">
        <v>374</v>
      </c>
      <c r="H1387" s="1965" t="s">
        <v>3283</v>
      </c>
      <c r="I1387" s="1961">
        <f>VLOOKUP(H1382,'LƯƠNG KT'!$D$110:$AC$184,7,0)</f>
        <v>48.797309690283186</v>
      </c>
      <c r="J1387" s="1964">
        <f>IF(I1383="A",6.1,IF(I1383="B",5.8,IF(I1383="C",5.5,IF(I1383="C.",5.5,IF(I1383="D",5.2)))))*$C$1</f>
        <v>0</v>
      </c>
      <c r="K1387" s="1962">
        <f t="shared" si="163"/>
        <v>0</v>
      </c>
    </row>
    <row r="1388" spans="1:11" ht="12.75" customHeight="1">
      <c r="A1388" s="1959" t="s">
        <v>3296</v>
      </c>
      <c r="B1388" s="1965" t="s">
        <v>3285</v>
      </c>
      <c r="C1388" s="1961">
        <f>VLOOKUP(B1382,'LƯƠNG KT'!$D$110:$AC$184,12,0)</f>
        <v>6</v>
      </c>
      <c r="D1388" s="1967">
        <f>92.2*$C$1</f>
        <v>61585.912000000004</v>
      </c>
      <c r="E1388" s="1962">
        <f t="shared" si="162"/>
        <v>369515.47200000001</v>
      </c>
      <c r="G1388" s="1959" t="s">
        <v>3296</v>
      </c>
      <c r="H1388" s="1965" t="s">
        <v>3285</v>
      </c>
      <c r="I1388" s="1961">
        <f>VLOOKUP(H1382,'LƯƠNG KT'!$D$110:$AC$184,12,0)</f>
        <v>4</v>
      </c>
      <c r="J1388" s="1967">
        <f>92.2*$C$1</f>
        <v>61585.912000000004</v>
      </c>
      <c r="K1388" s="1962">
        <f t="shared" si="163"/>
        <v>246343.64800000002</v>
      </c>
    </row>
    <row r="1389" spans="1:11" ht="12.75" customHeight="1">
      <c r="A1389" s="1959" t="s">
        <v>3297</v>
      </c>
      <c r="B1389" s="1965" t="s">
        <v>3287</v>
      </c>
      <c r="C1389" s="1961">
        <f>VLOOKUP(B1382,'LƯƠNG KT'!$D$110:$AC$184,13,0)</f>
        <v>0</v>
      </c>
      <c r="D1389" s="1964">
        <f>153.8*$C$1</f>
        <v>102732.24800000001</v>
      </c>
      <c r="E1389" s="1962">
        <f t="shared" si="162"/>
        <v>0</v>
      </c>
      <c r="G1389" s="1959" t="s">
        <v>3297</v>
      </c>
      <c r="H1389" s="1965" t="s">
        <v>3287</v>
      </c>
      <c r="I1389" s="1961">
        <f>VLOOKUP(H1382,'LƯƠNG KT'!$D$110:$AC$184,13,0)</f>
        <v>0</v>
      </c>
      <c r="J1389" s="1964">
        <f>153.8*$C$1</f>
        <v>102732.24800000001</v>
      </c>
      <c r="K1389" s="1962">
        <f t="shared" si="163"/>
        <v>0</v>
      </c>
    </row>
    <row r="1390" spans="1:11" ht="12.75" customHeight="1">
      <c r="A1390" s="1959" t="s">
        <v>3354</v>
      </c>
      <c r="B1390" s="1965" t="s">
        <v>3288</v>
      </c>
      <c r="C1390" s="1961">
        <f>VLOOKUP(B1382,'LƯƠNG KT'!$D$110:$AC$184,14,0)</f>
        <v>0</v>
      </c>
      <c r="D1390" s="1964">
        <v>100000</v>
      </c>
      <c r="E1390" s="1962">
        <f>C1390*D1390</f>
        <v>0</v>
      </c>
      <c r="G1390" s="1959" t="s">
        <v>3354</v>
      </c>
      <c r="H1390" s="1965" t="s">
        <v>3288</v>
      </c>
      <c r="I1390" s="1961">
        <f>VLOOKUP(H1382,'LƯƠNG KT'!$D$110:$AC$184,14,0)</f>
        <v>0</v>
      </c>
      <c r="J1390" s="1964">
        <v>100000</v>
      </c>
      <c r="K1390" s="1962">
        <f>I1390*J1390</f>
        <v>0</v>
      </c>
    </row>
    <row r="1391" spans="1:11" ht="12.75" customHeight="1">
      <c r="A1391" s="1959" t="s">
        <v>3355</v>
      </c>
      <c r="B1391" s="1965" t="s">
        <v>3288</v>
      </c>
      <c r="C1391" s="1961" t="e">
        <f>VLOOKUP(B1382,'LƯƠNG KT'!$D$110:$AC$184,17,0)</f>
        <v>#N/A</v>
      </c>
      <c r="D1391" s="1964">
        <v>20000</v>
      </c>
      <c r="E1391" s="1962" t="e">
        <f>C1391*D1391</f>
        <v>#N/A</v>
      </c>
      <c r="G1391" s="1959" t="s">
        <v>3355</v>
      </c>
      <c r="H1391" s="1965" t="s">
        <v>3288</v>
      </c>
      <c r="I1391" s="1961" t="e">
        <f>VLOOKUP(H1382,'LƯƠNG KT'!$D$110:$AC$184,17,0)</f>
        <v>#N/A</v>
      </c>
      <c r="J1391" s="1964">
        <v>20000</v>
      </c>
      <c r="K1391" s="1962" t="e">
        <f>I1391*J1391</f>
        <v>#N/A</v>
      </c>
    </row>
    <row r="1392" spans="1:11" ht="12.75" customHeight="1">
      <c r="A1392" s="1959" t="s">
        <v>3289</v>
      </c>
      <c r="B1392" s="1965" t="s">
        <v>3290</v>
      </c>
      <c r="C1392" s="1966"/>
      <c r="D1392" s="1964"/>
      <c r="E1392" s="1962"/>
      <c r="G1392" s="1959" t="s">
        <v>3289</v>
      </c>
      <c r="H1392" s="1965" t="s">
        <v>3290</v>
      </c>
      <c r="I1392" s="1966"/>
      <c r="J1392" s="1964"/>
      <c r="K1392" s="1962"/>
    </row>
    <row r="1393" spans="1:11" ht="12.75" customHeight="1">
      <c r="A1393" s="1968" t="s">
        <v>377</v>
      </c>
      <c r="B1393" s="1969" t="s">
        <v>3291</v>
      </c>
      <c r="C1393" s="1970"/>
      <c r="D1393" s="1971"/>
      <c r="E1393" s="1970"/>
      <c r="G1393" s="1968" t="s">
        <v>377</v>
      </c>
      <c r="H1393" s="1969" t="s">
        <v>3291</v>
      </c>
      <c r="I1393" s="1970"/>
      <c r="J1393" s="1971"/>
      <c r="K1393" s="1970"/>
    </row>
    <row r="1394" spans="1:11" ht="12.75" customHeight="1">
      <c r="A1394" s="1972" t="s">
        <v>379</v>
      </c>
      <c r="B1394" s="1973" t="s">
        <v>3292</v>
      </c>
      <c r="C1394" s="1970"/>
      <c r="D1394" s="1970"/>
      <c r="E1394" s="1970"/>
      <c r="G1394" s="1972" t="s">
        <v>379</v>
      </c>
      <c r="H1394" s="1973" t="s">
        <v>3292</v>
      </c>
      <c r="I1394" s="1970"/>
      <c r="J1394" s="1970"/>
      <c r="K1394" s="1970"/>
    </row>
    <row r="1395" spans="1:11" ht="12.75" customHeight="1">
      <c r="A1395" s="1972" t="s">
        <v>381</v>
      </c>
      <c r="B1395" s="1974" t="s">
        <v>3293</v>
      </c>
      <c r="C1395" s="1970"/>
      <c r="D1395" s="1970"/>
      <c r="E1395" s="1962">
        <f>SUM(E1394)</f>
        <v>0</v>
      </c>
      <c r="G1395" s="1972" t="s">
        <v>381</v>
      </c>
      <c r="H1395" s="1974" t="s">
        <v>3293</v>
      </c>
      <c r="I1395" s="1970"/>
      <c r="J1395" s="1970"/>
      <c r="K1395" s="1962">
        <f>SUM(K1394)</f>
        <v>0</v>
      </c>
    </row>
    <row r="1396" spans="1:11" ht="12.75" customHeight="1">
      <c r="A1396" s="1975" t="s">
        <v>383</v>
      </c>
      <c r="B1396" s="1976" t="s">
        <v>3294</v>
      </c>
      <c r="C1396" s="1977"/>
      <c r="D1396" s="1977"/>
      <c r="E1396" s="1978" t="e">
        <f>(E1384+E1385+E1386+E1387+E1388+E1389+E1390+E1391+E1392)-E1395</f>
        <v>#VALUE!</v>
      </c>
      <c r="G1396" s="1975" t="s">
        <v>383</v>
      </c>
      <c r="H1396" s="1976" t="s">
        <v>3294</v>
      </c>
      <c r="I1396" s="1977"/>
      <c r="J1396" s="1977"/>
      <c r="K1396" s="1978" t="e">
        <f>(K1384+K1385+K1386+K1387+K1388+K1389+K1390+K1391+K1392)-K1395</f>
        <v>#VALUE!</v>
      </c>
    </row>
    <row r="1398" spans="1:11" ht="12.75" customHeight="1">
      <c r="A1398" s="2953" t="s">
        <v>3356</v>
      </c>
      <c r="B1398" s="2954"/>
      <c r="C1398" s="2954"/>
      <c r="D1398" s="2954"/>
      <c r="E1398" s="1955">
        <f>VLOOKUP(B1399,'LƯƠNG KT'!$D$110:$AD$184,25,0)</f>
        <v>0</v>
      </c>
      <c r="G1398" s="2953" t="s">
        <v>3356</v>
      </c>
      <c r="H1398" s="2954"/>
      <c r="I1398" s="2954"/>
      <c r="J1398" s="2954"/>
      <c r="K1398" s="1955">
        <f>VLOOKUP(H1399,'LƯƠNG KT'!$D$110:$AD$184,25,0)</f>
        <v>0</v>
      </c>
    </row>
    <row r="1399" spans="1:11" ht="12.75" customHeight="1">
      <c r="A1399" s="1956" t="s">
        <v>356</v>
      </c>
      <c r="B1399" s="1956" t="str">
        <f>'LƯƠNG KT'!$D$176</f>
        <v>Thảo Xiêm</v>
      </c>
      <c r="C1399" s="1957"/>
      <c r="D1399" s="1958" t="s">
        <v>2357</v>
      </c>
      <c r="E1399" s="1958" t="s">
        <v>2156</v>
      </c>
      <c r="G1399" s="1956" t="s">
        <v>356</v>
      </c>
      <c r="H1399" s="1956" t="str">
        <f>'LƯƠNG KT'!$D$177</f>
        <v>Thảo Cốp</v>
      </c>
      <c r="I1399" s="1957"/>
      <c r="J1399" s="1958" t="s">
        <v>2357</v>
      </c>
      <c r="K1399" s="1958" t="s">
        <v>2156</v>
      </c>
    </row>
    <row r="1400" spans="1:11" ht="12.75" customHeight="1">
      <c r="A1400" s="1959" t="s">
        <v>3005</v>
      </c>
      <c r="B1400" s="1960" t="s">
        <v>3278</v>
      </c>
      <c r="C1400" s="1961">
        <f>VLOOKUP(B1399,'LƯƠNG KT'!$D$110:$AC$184,8,0)</f>
        <v>0</v>
      </c>
      <c r="D1400" s="1962"/>
      <c r="E1400" s="1962"/>
      <c r="G1400" s="1959" t="s">
        <v>3005</v>
      </c>
      <c r="H1400" s="1960" t="s">
        <v>3278</v>
      </c>
      <c r="I1400" s="1961">
        <f>VLOOKUP(H1399,'LƯƠNG KT'!$D$110:$AC$184,8,0)</f>
        <v>0</v>
      </c>
      <c r="J1400" s="1962"/>
      <c r="K1400" s="1962"/>
    </row>
    <row r="1401" spans="1:11" ht="12.75" customHeight="1">
      <c r="A1401" s="1959" t="s">
        <v>359</v>
      </c>
      <c r="B1401" s="1963" t="s">
        <v>2090</v>
      </c>
      <c r="C1401" s="1961">
        <f>VLOOKUP(B1399,'LƯƠNG KT'!$D$110:$AC$184,3,0)</f>
        <v>0</v>
      </c>
      <c r="D1401" s="1964">
        <v>25000</v>
      </c>
      <c r="E1401" s="1962">
        <f>C1401*D1401</f>
        <v>0</v>
      </c>
      <c r="G1401" s="1959" t="s">
        <v>359</v>
      </c>
      <c r="H1401" s="1963" t="s">
        <v>2090</v>
      </c>
      <c r="I1401" s="1961">
        <f>VLOOKUP(H1399,'LƯƠNG KT'!$D$110:$AC$184,3,0)</f>
        <v>0</v>
      </c>
      <c r="J1401" s="1964">
        <v>25000</v>
      </c>
      <c r="K1401" s="1962">
        <f>I1401*J1401</f>
        <v>0</v>
      </c>
    </row>
    <row r="1402" spans="1:11" ht="12.75" customHeight="1">
      <c r="A1402" s="1959" t="s">
        <v>3279</v>
      </c>
      <c r="B1402" s="1965" t="s">
        <v>3280</v>
      </c>
      <c r="C1402" s="1961">
        <f>VLOOKUP(B1399,'LƯƠNG KT'!$D$110:$AC$184,10,0)</f>
        <v>0</v>
      </c>
      <c r="D1402" s="1967">
        <f>46.1*$C$1</f>
        <v>30792.956000000002</v>
      </c>
      <c r="E1402" s="1962">
        <f t="shared" ref="E1402:E1406" si="164">C1402*D1402</f>
        <v>0</v>
      </c>
      <c r="G1402" s="1959" t="s">
        <v>3279</v>
      </c>
      <c r="H1402" s="1965" t="s">
        <v>3280</v>
      </c>
      <c r="I1402" s="1961">
        <f>VLOOKUP(H1399,'LƯƠNG KT'!$D$110:$AC$184,10,0)</f>
        <v>0</v>
      </c>
      <c r="J1402" s="1967">
        <f>46.1*$C$1</f>
        <v>30792.956000000002</v>
      </c>
      <c r="K1402" s="1962">
        <f t="shared" ref="K1402:K1406" si="165">I1402*J1402</f>
        <v>0</v>
      </c>
    </row>
    <row r="1403" spans="1:11" ht="12.75" customHeight="1">
      <c r="A1403" s="1959" t="s">
        <v>3281</v>
      </c>
      <c r="B1403" s="1965" t="s">
        <v>3282</v>
      </c>
      <c r="C1403" s="1961">
        <f>VLOOKUP(B1399,'LƯƠNG KT'!$D$110:$AC$184,11,0)</f>
        <v>0</v>
      </c>
      <c r="D1403" s="1964">
        <f>76.9*$C$1</f>
        <v>51366.124000000003</v>
      </c>
      <c r="E1403" s="1962">
        <f t="shared" si="164"/>
        <v>0</v>
      </c>
      <c r="G1403" s="1959" t="s">
        <v>3281</v>
      </c>
      <c r="H1403" s="1965" t="s">
        <v>3282</v>
      </c>
      <c r="I1403" s="1961">
        <f>VLOOKUP(H1399,'LƯƠNG KT'!$D$110:$AC$184,11,0)</f>
        <v>0</v>
      </c>
      <c r="J1403" s="1964">
        <f>76.9*$C$1</f>
        <v>51366.124000000003</v>
      </c>
      <c r="K1403" s="1962">
        <f t="shared" si="165"/>
        <v>0</v>
      </c>
    </row>
    <row r="1404" spans="1:11" ht="12.75" customHeight="1">
      <c r="A1404" s="1959" t="s">
        <v>374</v>
      </c>
      <c r="B1404" s="1965" t="s">
        <v>3283</v>
      </c>
      <c r="C1404" s="1961">
        <f>VLOOKUP(B1399,'LƯƠNG KT'!$D$110:$AC$184,7,0)</f>
        <v>0</v>
      </c>
      <c r="D1404" s="1964">
        <f>IF(C1400="A",6.1,IF(C1400="B",5.8,IF(C1400="C",5.5,IF(C1400="C.",5.5,IF(C1400="D",5.2)))))*$C$1</f>
        <v>0</v>
      </c>
      <c r="E1404" s="1962">
        <f t="shared" si="164"/>
        <v>0</v>
      </c>
      <c r="G1404" s="1959" t="s">
        <v>374</v>
      </c>
      <c r="H1404" s="1965" t="s">
        <v>3283</v>
      </c>
      <c r="I1404" s="1961">
        <f>VLOOKUP(H1399,'LƯƠNG KT'!$D$110:$AC$184,7,0)</f>
        <v>0</v>
      </c>
      <c r="J1404" s="1964">
        <f>IF(I1400="A",6.1,IF(I1400="B",5.8,IF(I1400="C",5.5,IF(I1400="C.",5.5,IF(I1400="D",5.2)))))*$C$1</f>
        <v>0</v>
      </c>
      <c r="K1404" s="1962">
        <f t="shared" si="165"/>
        <v>0</v>
      </c>
    </row>
    <row r="1405" spans="1:11" ht="12.75" customHeight="1">
      <c r="A1405" s="1959" t="s">
        <v>3296</v>
      </c>
      <c r="B1405" s="1965" t="s">
        <v>3285</v>
      </c>
      <c r="C1405" s="1961">
        <f>VLOOKUP(B1399,'LƯƠNG KT'!$D$110:$AC$184,12,0)</f>
        <v>1</v>
      </c>
      <c r="D1405" s="1967">
        <f>92.2*$C$1</f>
        <v>61585.912000000004</v>
      </c>
      <c r="E1405" s="1962">
        <f t="shared" si="164"/>
        <v>61585.912000000004</v>
      </c>
      <c r="G1405" s="1959" t="s">
        <v>3296</v>
      </c>
      <c r="H1405" s="1965" t="s">
        <v>3285</v>
      </c>
      <c r="I1405" s="1961">
        <f>VLOOKUP(H1399,'LƯƠNG KT'!$D$110:$AC$184,12,0)</f>
        <v>0</v>
      </c>
      <c r="J1405" s="1967">
        <f>92.2*$C$1</f>
        <v>61585.912000000004</v>
      </c>
      <c r="K1405" s="1962">
        <f t="shared" si="165"/>
        <v>0</v>
      </c>
    </row>
    <row r="1406" spans="1:11" ht="12.75" customHeight="1">
      <c r="A1406" s="1959" t="s">
        <v>3297</v>
      </c>
      <c r="B1406" s="1965" t="s">
        <v>3287</v>
      </c>
      <c r="C1406" s="1961">
        <f>VLOOKUP(B1399,'LƯƠNG KT'!$D$110:$AC$184,13,0)</f>
        <v>0</v>
      </c>
      <c r="D1406" s="1964">
        <f>153.8*$C$1</f>
        <v>102732.24800000001</v>
      </c>
      <c r="E1406" s="1962">
        <f t="shared" si="164"/>
        <v>0</v>
      </c>
      <c r="G1406" s="1959" t="s">
        <v>3297</v>
      </c>
      <c r="H1406" s="1965" t="s">
        <v>3287</v>
      </c>
      <c r="I1406" s="1961">
        <f>VLOOKUP(H1399,'LƯƠNG KT'!$D$110:$AC$184,13,0)</f>
        <v>0</v>
      </c>
      <c r="J1406" s="1964">
        <f>153.8*$C$1</f>
        <v>102732.24800000001</v>
      </c>
      <c r="K1406" s="1962">
        <f t="shared" si="165"/>
        <v>0</v>
      </c>
    </row>
    <row r="1407" spans="1:11" ht="12.75" customHeight="1">
      <c r="A1407" s="1959" t="s">
        <v>3354</v>
      </c>
      <c r="B1407" s="1965" t="s">
        <v>3288</v>
      </c>
      <c r="C1407" s="1961">
        <f>VLOOKUP(B1399,'LƯƠNG KT'!$D$110:$AC$184,14,0)</f>
        <v>0</v>
      </c>
      <c r="D1407" s="1964">
        <v>100000</v>
      </c>
      <c r="E1407" s="1962">
        <f>C1407*D1407</f>
        <v>0</v>
      </c>
      <c r="G1407" s="1959" t="s">
        <v>3354</v>
      </c>
      <c r="H1407" s="1965" t="s">
        <v>3288</v>
      </c>
      <c r="I1407" s="1961">
        <f>VLOOKUP(H1399,'LƯƠNG KT'!$D$110:$AC$184,14,0)</f>
        <v>0</v>
      </c>
      <c r="J1407" s="1964">
        <v>100000</v>
      </c>
      <c r="K1407" s="1962">
        <f>I1407*J1407</f>
        <v>0</v>
      </c>
    </row>
    <row r="1408" spans="1:11" ht="12.75" customHeight="1">
      <c r="A1408" s="1959" t="s">
        <v>3355</v>
      </c>
      <c r="B1408" s="1965" t="s">
        <v>3288</v>
      </c>
      <c r="C1408" s="1961" t="e">
        <f>VLOOKUP(B1399,'LƯƠNG KT'!$D$110:$AC$184,17,0)</f>
        <v>#N/A</v>
      </c>
      <c r="D1408" s="1964">
        <v>20000</v>
      </c>
      <c r="E1408" s="1962" t="e">
        <f>C1408*D1408</f>
        <v>#N/A</v>
      </c>
      <c r="G1408" s="1959" t="s">
        <v>3355</v>
      </c>
      <c r="H1408" s="1965" t="s">
        <v>3288</v>
      </c>
      <c r="I1408" s="1961" t="e">
        <f>VLOOKUP(H1399,'LƯƠNG KT'!$D$110:$AC$184,17,0)</f>
        <v>#N/A</v>
      </c>
      <c r="J1408" s="1964">
        <v>20000</v>
      </c>
      <c r="K1408" s="1962" t="e">
        <f>I1408*J1408</f>
        <v>#N/A</v>
      </c>
    </row>
    <row r="1409" spans="1:11" ht="12.75" customHeight="1">
      <c r="A1409" s="1959" t="s">
        <v>3289</v>
      </c>
      <c r="B1409" s="1965" t="s">
        <v>3290</v>
      </c>
      <c r="C1409" s="1966"/>
      <c r="D1409" s="1964"/>
      <c r="E1409" s="1962"/>
      <c r="G1409" s="1959" t="s">
        <v>3289</v>
      </c>
      <c r="H1409" s="1965" t="s">
        <v>3290</v>
      </c>
      <c r="I1409" s="1966"/>
      <c r="J1409" s="1964"/>
      <c r="K1409" s="1962"/>
    </row>
    <row r="1410" spans="1:11" ht="12.75" customHeight="1">
      <c r="A1410" s="1968" t="s">
        <v>377</v>
      </c>
      <c r="B1410" s="1969" t="s">
        <v>3291</v>
      </c>
      <c r="C1410" s="1970"/>
      <c r="D1410" s="1971"/>
      <c r="E1410" s="1970"/>
      <c r="G1410" s="1968" t="s">
        <v>377</v>
      </c>
      <c r="H1410" s="1969" t="s">
        <v>3291</v>
      </c>
      <c r="I1410" s="1970"/>
      <c r="J1410" s="1971"/>
      <c r="K1410" s="1970"/>
    </row>
    <row r="1411" spans="1:11" ht="12.75" customHeight="1">
      <c r="A1411" s="1972" t="s">
        <v>379</v>
      </c>
      <c r="B1411" s="1973" t="s">
        <v>3292</v>
      </c>
      <c r="C1411" s="1970"/>
      <c r="D1411" s="1970"/>
      <c r="E1411" s="1970"/>
      <c r="G1411" s="1972" t="s">
        <v>379</v>
      </c>
      <c r="H1411" s="1973" t="s">
        <v>3292</v>
      </c>
      <c r="I1411" s="1970"/>
      <c r="J1411" s="1970"/>
      <c r="K1411" s="1970"/>
    </row>
    <row r="1412" spans="1:11" ht="12.75" customHeight="1">
      <c r="A1412" s="1972" t="s">
        <v>381</v>
      </c>
      <c r="B1412" s="1974" t="s">
        <v>3293</v>
      </c>
      <c r="C1412" s="1970"/>
      <c r="D1412" s="1970"/>
      <c r="E1412" s="1962">
        <f>SUM(E1411)</f>
        <v>0</v>
      </c>
      <c r="G1412" s="1972" t="s">
        <v>381</v>
      </c>
      <c r="H1412" s="1974" t="s">
        <v>3293</v>
      </c>
      <c r="I1412" s="1970"/>
      <c r="J1412" s="1970"/>
      <c r="K1412" s="1962">
        <f>SUM(K1411)</f>
        <v>0</v>
      </c>
    </row>
    <row r="1413" spans="1:11" ht="12.75" customHeight="1">
      <c r="A1413" s="1975" t="s">
        <v>383</v>
      </c>
      <c r="B1413" s="1976" t="s">
        <v>3294</v>
      </c>
      <c r="C1413" s="1977"/>
      <c r="D1413" s="1977"/>
      <c r="E1413" s="1978" t="e">
        <f>(E1401+E1402+E1403+E1404+E1405+E1406+E1407+E1408+E1409)-E1412</f>
        <v>#N/A</v>
      </c>
      <c r="G1413" s="1975" t="s">
        <v>383</v>
      </c>
      <c r="H1413" s="1976" t="s">
        <v>3294</v>
      </c>
      <c r="I1413" s="1977"/>
      <c r="J1413" s="1977"/>
      <c r="K1413" s="1978" t="e">
        <f>(K1401+K1402+K1403+K1404+K1405+K1406+K1407+K1408+K1409)-K1412</f>
        <v>#N/A</v>
      </c>
    </row>
    <row r="1415" spans="1:11" ht="12.75" customHeight="1">
      <c r="A1415" s="2953" t="s">
        <v>3356</v>
      </c>
      <c r="B1415" s="2954"/>
      <c r="C1415" s="2954"/>
      <c r="D1415" s="2954"/>
      <c r="E1415" s="1955">
        <f>VLOOKUP(B1416,'LƯƠNG KT'!$D$110:$AD$184,25,0)</f>
        <v>0</v>
      </c>
      <c r="G1415" s="2953" t="s">
        <v>3356</v>
      </c>
      <c r="H1415" s="2954"/>
      <c r="I1415" s="2954"/>
      <c r="J1415" s="2954"/>
      <c r="K1415" s="1955">
        <f>VLOOKUP(H1416,'LƯƠNG KT'!$D$110:$AD$184,25,0)</f>
        <v>0</v>
      </c>
    </row>
    <row r="1416" spans="1:11" ht="12.75" customHeight="1">
      <c r="A1416" s="1956" t="s">
        <v>356</v>
      </c>
      <c r="B1416" s="1956" t="str">
        <f>'LƯƠNG KT'!$D$178</f>
        <v>Nàng Căm</v>
      </c>
      <c r="C1416" s="1957"/>
      <c r="D1416" s="1958" t="s">
        <v>2357</v>
      </c>
      <c r="E1416" s="1958" t="s">
        <v>2156</v>
      </c>
      <c r="G1416" s="1956" t="s">
        <v>356</v>
      </c>
      <c r="H1416" s="1956" t="str">
        <f>'LƯƠNG KT'!$D$179</f>
        <v>Thảo Khọp</v>
      </c>
      <c r="I1416" s="1957"/>
      <c r="J1416" s="1958" t="s">
        <v>2357</v>
      </c>
      <c r="K1416" s="1958" t="s">
        <v>2156</v>
      </c>
    </row>
    <row r="1417" spans="1:11" ht="12.75" customHeight="1">
      <c r="A1417" s="1959" t="s">
        <v>3005</v>
      </c>
      <c r="B1417" s="1960" t="s">
        <v>3278</v>
      </c>
      <c r="C1417" s="1961">
        <f>VLOOKUP(B1416,'LƯƠNG KT'!$D$110:$AC$184,8,0)</f>
        <v>0</v>
      </c>
      <c r="D1417" s="1962"/>
      <c r="E1417" s="1962"/>
      <c r="G1417" s="1959" t="s">
        <v>3005</v>
      </c>
      <c r="H1417" s="1960" t="s">
        <v>3278</v>
      </c>
      <c r="I1417" s="1961">
        <f>VLOOKUP(H1416,'LƯƠNG KT'!$D$110:$AC$184,8,0)</f>
        <v>0</v>
      </c>
      <c r="J1417" s="1962"/>
      <c r="K1417" s="1962"/>
    </row>
    <row r="1418" spans="1:11" ht="12.75" customHeight="1">
      <c r="A1418" s="1959" t="s">
        <v>359</v>
      </c>
      <c r="B1418" s="1963" t="s">
        <v>2090</v>
      </c>
      <c r="C1418" s="1961">
        <f>VLOOKUP(B1416,'LƯƠNG KT'!$D$110:$AC$184,3,0)</f>
        <v>0</v>
      </c>
      <c r="D1418" s="1964">
        <v>25000</v>
      </c>
      <c r="E1418" s="1962">
        <f>C1418*D1418</f>
        <v>0</v>
      </c>
      <c r="G1418" s="1959" t="s">
        <v>359</v>
      </c>
      <c r="H1418" s="1963" t="s">
        <v>2090</v>
      </c>
      <c r="I1418" s="1961">
        <f>VLOOKUP(H1416,'LƯƠNG KT'!$D$110:$AC$184,3,0)</f>
        <v>0</v>
      </c>
      <c r="J1418" s="1964">
        <v>25000</v>
      </c>
      <c r="K1418" s="1962">
        <f>I1418*J1418</f>
        <v>0</v>
      </c>
    </row>
    <row r="1419" spans="1:11" ht="12.75" customHeight="1">
      <c r="A1419" s="1959" t="s">
        <v>3279</v>
      </c>
      <c r="B1419" s="1965" t="s">
        <v>3280</v>
      </c>
      <c r="C1419" s="1961">
        <f>VLOOKUP(B1416,'LƯƠNG KT'!$D$110:$AC$184,10,0)</f>
        <v>0</v>
      </c>
      <c r="D1419" s="1967">
        <f>46.1*$C$1</f>
        <v>30792.956000000002</v>
      </c>
      <c r="E1419" s="1962">
        <f t="shared" ref="E1419:E1423" si="166">C1419*D1419</f>
        <v>0</v>
      </c>
      <c r="G1419" s="1959" t="s">
        <v>3279</v>
      </c>
      <c r="H1419" s="1965" t="s">
        <v>3280</v>
      </c>
      <c r="I1419" s="1961">
        <f>VLOOKUP(H1416,'LƯƠNG KT'!$D$110:$AC$184,10,0)</f>
        <v>0</v>
      </c>
      <c r="J1419" s="1967">
        <f>46.1*$C$1</f>
        <v>30792.956000000002</v>
      </c>
      <c r="K1419" s="1962">
        <f t="shared" ref="K1419:K1423" si="167">I1419*J1419</f>
        <v>0</v>
      </c>
    </row>
    <row r="1420" spans="1:11" ht="12.75" customHeight="1">
      <c r="A1420" s="1959" t="s">
        <v>3281</v>
      </c>
      <c r="B1420" s="1965" t="s">
        <v>3282</v>
      </c>
      <c r="C1420" s="1961">
        <f>VLOOKUP(B1416,'LƯƠNG KT'!$D$110:$AC$184,11,0)</f>
        <v>0</v>
      </c>
      <c r="D1420" s="1964">
        <f>76.9*$C$1</f>
        <v>51366.124000000003</v>
      </c>
      <c r="E1420" s="1962">
        <f t="shared" si="166"/>
        <v>0</v>
      </c>
      <c r="G1420" s="1959" t="s">
        <v>3281</v>
      </c>
      <c r="H1420" s="1965" t="s">
        <v>3282</v>
      </c>
      <c r="I1420" s="1961">
        <f>VLOOKUP(H1416,'LƯƠNG KT'!$D$110:$AC$184,11,0)</f>
        <v>0</v>
      </c>
      <c r="J1420" s="1964">
        <f>76.9*$C$1</f>
        <v>51366.124000000003</v>
      </c>
      <c r="K1420" s="1962">
        <f t="shared" si="167"/>
        <v>0</v>
      </c>
    </row>
    <row r="1421" spans="1:11" ht="12.75" customHeight="1">
      <c r="A1421" s="1959" t="s">
        <v>374</v>
      </c>
      <c r="B1421" s="1965" t="s">
        <v>3283</v>
      </c>
      <c r="C1421" s="1961">
        <f>VLOOKUP(B1416,'LƯƠNG KT'!$D$110:$AC$184,7,0)</f>
        <v>0</v>
      </c>
      <c r="D1421" s="1964">
        <f>IF(C1417="A",6.1,IF(C1417="B",5.8,IF(C1417="C",5.5,IF(C1417="C.",5.5,IF(C1417="D",5.2)))))*$C$1</f>
        <v>0</v>
      </c>
      <c r="E1421" s="1962">
        <f t="shared" si="166"/>
        <v>0</v>
      </c>
      <c r="G1421" s="1959" t="s">
        <v>374</v>
      </c>
      <c r="H1421" s="1965" t="s">
        <v>3283</v>
      </c>
      <c r="I1421" s="1961">
        <f>VLOOKUP(H1416,'LƯƠNG KT'!$D$110:$AC$184,7,0)</f>
        <v>0</v>
      </c>
      <c r="J1421" s="1964">
        <f>IF(I1417="A",6.1,IF(I1417="B",5.8,IF(I1417="C",5.5,IF(I1417="C.",5.5,IF(I1417="D",5.2)))))*$C$1</f>
        <v>0</v>
      </c>
      <c r="K1421" s="1962">
        <f t="shared" si="167"/>
        <v>0</v>
      </c>
    </row>
    <row r="1422" spans="1:11" ht="12.75" customHeight="1">
      <c r="A1422" s="1959" t="s">
        <v>3296</v>
      </c>
      <c r="B1422" s="1965" t="s">
        <v>3285</v>
      </c>
      <c r="C1422" s="1961">
        <f>VLOOKUP(B1416,'LƯƠNG KT'!$D$110:$AC$184,12,0)</f>
        <v>0</v>
      </c>
      <c r="D1422" s="1967">
        <f>92.2*$C$1</f>
        <v>61585.912000000004</v>
      </c>
      <c r="E1422" s="1962">
        <f t="shared" si="166"/>
        <v>0</v>
      </c>
      <c r="G1422" s="1959" t="s">
        <v>3296</v>
      </c>
      <c r="H1422" s="1965" t="s">
        <v>3285</v>
      </c>
      <c r="I1422" s="1961">
        <f>VLOOKUP(H1416,'LƯƠNG KT'!$D$110:$AC$184,12,0)</f>
        <v>0</v>
      </c>
      <c r="J1422" s="1967">
        <f>92.2*$C$1</f>
        <v>61585.912000000004</v>
      </c>
      <c r="K1422" s="1962">
        <f t="shared" si="167"/>
        <v>0</v>
      </c>
    </row>
    <row r="1423" spans="1:11" ht="12.75" customHeight="1">
      <c r="A1423" s="1959" t="s">
        <v>3297</v>
      </c>
      <c r="B1423" s="1965" t="s">
        <v>3287</v>
      </c>
      <c r="C1423" s="1961">
        <f>VLOOKUP(B1416,'LƯƠNG KT'!$D$110:$AC$184,13,0)</f>
        <v>0</v>
      </c>
      <c r="D1423" s="1964">
        <f>153.8*$C$1</f>
        <v>102732.24800000001</v>
      </c>
      <c r="E1423" s="1962">
        <f t="shared" si="166"/>
        <v>0</v>
      </c>
      <c r="G1423" s="1959" t="s">
        <v>3297</v>
      </c>
      <c r="H1423" s="1965" t="s">
        <v>3287</v>
      </c>
      <c r="I1423" s="1961">
        <f>VLOOKUP(H1416,'LƯƠNG KT'!$D$110:$AC$184,13,0)</f>
        <v>0</v>
      </c>
      <c r="J1423" s="1964">
        <f>153.8*$C$1</f>
        <v>102732.24800000001</v>
      </c>
      <c r="K1423" s="1962">
        <f t="shared" si="167"/>
        <v>0</v>
      </c>
    </row>
    <row r="1424" spans="1:11" ht="12.75" customHeight="1">
      <c r="A1424" s="1959" t="s">
        <v>3354</v>
      </c>
      <c r="B1424" s="1965" t="s">
        <v>3288</v>
      </c>
      <c r="C1424" s="1961">
        <f>VLOOKUP(B1416,'LƯƠNG KT'!$D$110:$AC$184,14,0)</f>
        <v>0</v>
      </c>
      <c r="D1424" s="1964">
        <v>100000</v>
      </c>
      <c r="E1424" s="1962">
        <f>C1424*D1424</f>
        <v>0</v>
      </c>
      <c r="G1424" s="1959" t="s">
        <v>3354</v>
      </c>
      <c r="H1424" s="1965" t="s">
        <v>3288</v>
      </c>
      <c r="I1424" s="1961">
        <f>VLOOKUP(H1416,'LƯƠNG KT'!$D$110:$AC$184,14,0)</f>
        <v>0</v>
      </c>
      <c r="J1424" s="1964">
        <v>100000</v>
      </c>
      <c r="K1424" s="1962">
        <f>I1424*J1424</f>
        <v>0</v>
      </c>
    </row>
    <row r="1425" spans="1:11" ht="12.75" customHeight="1">
      <c r="A1425" s="1959" t="s">
        <v>3355</v>
      </c>
      <c r="B1425" s="1965" t="s">
        <v>3288</v>
      </c>
      <c r="C1425" s="1961" t="e">
        <f>VLOOKUP(B1416,'LƯƠNG KT'!$D$110:$AC$184,17,0)</f>
        <v>#N/A</v>
      </c>
      <c r="D1425" s="1964">
        <v>20000</v>
      </c>
      <c r="E1425" s="1962" t="e">
        <f>C1425*D1425</f>
        <v>#N/A</v>
      </c>
      <c r="G1425" s="1959" t="s">
        <v>3355</v>
      </c>
      <c r="H1425" s="1965" t="s">
        <v>3288</v>
      </c>
      <c r="I1425" s="1961" t="e">
        <f>VLOOKUP(H1416,'LƯƠNG KT'!$D$110:$AC$184,17,0)</f>
        <v>#N/A</v>
      </c>
      <c r="J1425" s="1964">
        <v>20000</v>
      </c>
      <c r="K1425" s="1962" t="e">
        <f>I1425*J1425</f>
        <v>#N/A</v>
      </c>
    </row>
    <row r="1426" spans="1:11" ht="12.75" customHeight="1">
      <c r="A1426" s="1959" t="s">
        <v>3289</v>
      </c>
      <c r="B1426" s="1965" t="s">
        <v>3290</v>
      </c>
      <c r="C1426" s="1966"/>
      <c r="D1426" s="1964"/>
      <c r="E1426" s="1962"/>
      <c r="G1426" s="1959" t="s">
        <v>3289</v>
      </c>
      <c r="H1426" s="1965" t="s">
        <v>3290</v>
      </c>
      <c r="I1426" s="1966"/>
      <c r="J1426" s="1964"/>
      <c r="K1426" s="1962"/>
    </row>
    <row r="1427" spans="1:11" ht="12.75" customHeight="1">
      <c r="A1427" s="1968" t="s">
        <v>377</v>
      </c>
      <c r="B1427" s="1969" t="s">
        <v>3291</v>
      </c>
      <c r="C1427" s="1970"/>
      <c r="D1427" s="1971"/>
      <c r="E1427" s="1970"/>
      <c r="G1427" s="1968" t="s">
        <v>377</v>
      </c>
      <c r="H1427" s="1969" t="s">
        <v>3291</v>
      </c>
      <c r="I1427" s="1970"/>
      <c r="J1427" s="1971"/>
      <c r="K1427" s="1970"/>
    </row>
    <row r="1428" spans="1:11" ht="12.75" customHeight="1">
      <c r="A1428" s="1972" t="s">
        <v>379</v>
      </c>
      <c r="B1428" s="1973" t="s">
        <v>3292</v>
      </c>
      <c r="C1428" s="1970"/>
      <c r="D1428" s="1970"/>
      <c r="E1428" s="1970"/>
      <c r="G1428" s="1972" t="s">
        <v>379</v>
      </c>
      <c r="H1428" s="1973" t="s">
        <v>3292</v>
      </c>
      <c r="I1428" s="1970"/>
      <c r="J1428" s="1970"/>
      <c r="K1428" s="1970"/>
    </row>
    <row r="1429" spans="1:11" ht="12.75" customHeight="1">
      <c r="A1429" s="1972" t="s">
        <v>381</v>
      </c>
      <c r="B1429" s="1974" t="s">
        <v>3293</v>
      </c>
      <c r="C1429" s="1970"/>
      <c r="D1429" s="1970"/>
      <c r="E1429" s="1962">
        <f>SUM(E1428)</f>
        <v>0</v>
      </c>
      <c r="G1429" s="1972" t="s">
        <v>381</v>
      </c>
      <c r="H1429" s="1974" t="s">
        <v>3293</v>
      </c>
      <c r="I1429" s="1970"/>
      <c r="J1429" s="1970"/>
      <c r="K1429" s="1962">
        <f>SUM(K1428)</f>
        <v>0</v>
      </c>
    </row>
    <row r="1430" spans="1:11" ht="12.75" customHeight="1">
      <c r="A1430" s="1975" t="s">
        <v>383</v>
      </c>
      <c r="B1430" s="1976" t="s">
        <v>3294</v>
      </c>
      <c r="C1430" s="1977"/>
      <c r="D1430" s="1977"/>
      <c r="E1430" s="1978" t="e">
        <f>(E1418+E1419+E1420+E1421+E1422+E1423+E1424+E1425+E1426)-E1429</f>
        <v>#N/A</v>
      </c>
      <c r="G1430" s="1975" t="s">
        <v>383</v>
      </c>
      <c r="H1430" s="1976" t="s">
        <v>3294</v>
      </c>
      <c r="I1430" s="1977"/>
      <c r="J1430" s="1977"/>
      <c r="K1430" s="1978" t="e">
        <f>(K1418+K1419+K1420+K1421+K1422+K1423+K1424+K1425+K1426)-K1429</f>
        <v>#N/A</v>
      </c>
    </row>
    <row r="1432" spans="1:11" ht="12.75" customHeight="1">
      <c r="A1432" s="2953" t="s">
        <v>3356</v>
      </c>
      <c r="B1432" s="2954"/>
      <c r="C1432" s="2954"/>
      <c r="D1432" s="2954"/>
      <c r="E1432" s="1955">
        <f>VLOOKUP(B1433,'LƯƠNG KT'!$D$110:$AD$184,25,0)</f>
        <v>0</v>
      </c>
      <c r="G1432" s="2953" t="s">
        <v>3356</v>
      </c>
      <c r="H1432" s="2954"/>
      <c r="I1432" s="2954"/>
      <c r="J1432" s="2954"/>
      <c r="K1432" s="1955">
        <f>VLOOKUP(H1433,'LƯƠNG KT'!$D$110:$AD$184,25,0)</f>
        <v>0</v>
      </c>
    </row>
    <row r="1433" spans="1:11" ht="12.75" customHeight="1">
      <c r="A1433" s="1956" t="s">
        <v>356</v>
      </c>
      <c r="B1433" s="1956" t="str">
        <f>'LƯƠNG KT'!$D$180</f>
        <v>Thảo La</v>
      </c>
      <c r="C1433" s="1957"/>
      <c r="D1433" s="1958" t="s">
        <v>2357</v>
      </c>
      <c r="E1433" s="1958" t="s">
        <v>2156</v>
      </c>
      <c r="G1433" s="1956" t="s">
        <v>356</v>
      </c>
      <c r="H1433" s="1956" t="str">
        <f>'LƯƠNG KT'!$D$181</f>
        <v>Mủ sirum</v>
      </c>
      <c r="I1433" s="1957"/>
      <c r="J1433" s="1958" t="s">
        <v>2357</v>
      </c>
      <c r="K1433" s="1958" t="s">
        <v>2156</v>
      </c>
    </row>
    <row r="1434" spans="1:11" ht="12.75" customHeight="1">
      <c r="A1434" s="1959" t="s">
        <v>3005</v>
      </c>
      <c r="B1434" s="1960" t="s">
        <v>3278</v>
      </c>
      <c r="C1434" s="1961">
        <f>VLOOKUP(B1433,'LƯƠNG KT'!$D$110:$AC$184,8,0)</f>
        <v>73.644357337947866</v>
      </c>
      <c r="D1434" s="1962"/>
      <c r="E1434" s="1962"/>
      <c r="G1434" s="1959" t="s">
        <v>3005</v>
      </c>
      <c r="H1434" s="1960" t="s">
        <v>3278</v>
      </c>
      <c r="I1434" s="1961" t="s">
        <v>1959</v>
      </c>
      <c r="J1434" s="1962"/>
      <c r="K1434" s="1962"/>
    </row>
    <row r="1435" spans="1:11" ht="12.75" customHeight="1">
      <c r="A1435" s="1959" t="s">
        <v>359</v>
      </c>
      <c r="B1435" s="1963" t="s">
        <v>2090</v>
      </c>
      <c r="C1435" s="1961">
        <f>VLOOKUP(B1433,'LƯƠNG KT'!$D$110:$AC$184,3,0)</f>
        <v>0</v>
      </c>
      <c r="D1435" s="1964">
        <v>25000</v>
      </c>
      <c r="E1435" s="1962">
        <f>C1435*D1435</f>
        <v>0</v>
      </c>
      <c r="G1435" s="1959" t="s">
        <v>359</v>
      </c>
      <c r="H1435" s="1963" t="s">
        <v>2090</v>
      </c>
      <c r="I1435" s="1961">
        <f>VLOOKUP(H1433,'LƯƠNG KT'!$D$110:$AC$184,3,0)</f>
        <v>0</v>
      </c>
      <c r="J1435" s="1964">
        <v>25000</v>
      </c>
      <c r="K1435" s="1962">
        <f>I1435*J1435</f>
        <v>0</v>
      </c>
    </row>
    <row r="1436" spans="1:11" ht="12.75" customHeight="1">
      <c r="A1436" s="1959" t="s">
        <v>3279</v>
      </c>
      <c r="B1436" s="1965" t="s">
        <v>3280</v>
      </c>
      <c r="C1436" s="1961" t="str">
        <f>VLOOKUP(B1433,'LƯƠNG KT'!$D$110:$AC$184,10,0)</f>
        <v>C.</v>
      </c>
      <c r="D1436" s="1967">
        <f>46.1*$C$1</f>
        <v>30792.956000000002</v>
      </c>
      <c r="E1436" s="1962" t="e">
        <f t="shared" ref="E1436:E1440" si="168">C1436*D1436</f>
        <v>#VALUE!</v>
      </c>
      <c r="G1436" s="1959" t="s">
        <v>3279</v>
      </c>
      <c r="H1436" s="1965" t="s">
        <v>3280</v>
      </c>
      <c r="I1436" s="1961">
        <f>VLOOKUP(H1433,'LƯƠNG KT'!$D$110:$AC$184,10,0)</f>
        <v>0</v>
      </c>
      <c r="J1436" s="1967">
        <f>46.1*$C$1</f>
        <v>30792.956000000002</v>
      </c>
      <c r="K1436" s="1962">
        <f t="shared" ref="K1436:K1440" si="169">I1436*J1436</f>
        <v>0</v>
      </c>
    </row>
    <row r="1437" spans="1:11" ht="12.75" customHeight="1">
      <c r="A1437" s="1959" t="s">
        <v>3281</v>
      </c>
      <c r="B1437" s="1965" t="s">
        <v>3282</v>
      </c>
      <c r="C1437" s="1961">
        <f>VLOOKUP(B1433,'LƯƠNG KT'!$D$110:$AC$184,11,0)</f>
        <v>2852593</v>
      </c>
      <c r="D1437" s="1964">
        <f>76.9*$C$1</f>
        <v>51366.124000000003</v>
      </c>
      <c r="E1437" s="1962">
        <f t="shared" si="168"/>
        <v>146526645759.53201</v>
      </c>
      <c r="G1437" s="1959" t="s">
        <v>3281</v>
      </c>
      <c r="H1437" s="1965" t="s">
        <v>3282</v>
      </c>
      <c r="I1437" s="1961">
        <f>VLOOKUP(H1433,'LƯƠNG KT'!$D$110:$AC$184,11,0)</f>
        <v>332.00699999999989</v>
      </c>
      <c r="J1437" s="1964">
        <f>76.9*$C$1</f>
        <v>51366.124000000003</v>
      </c>
      <c r="K1437" s="1962">
        <f t="shared" si="169"/>
        <v>17053912.730867997</v>
      </c>
    </row>
    <row r="1438" spans="1:11" ht="12.75" customHeight="1">
      <c r="A1438" s="1959" t="s">
        <v>374</v>
      </c>
      <c r="B1438" s="1965" t="s">
        <v>3283</v>
      </c>
      <c r="C1438" s="1961">
        <f>VLOOKUP(B1433,'LƯƠNG KT'!$D$110:$AC$184,7,0)</f>
        <v>790.77783114164265</v>
      </c>
      <c r="D1438" s="1964">
        <f>IF(C1434="A",6.1,IF(C1434="B",5.8,IF(C1434="C",5.5,IF(C1434="C.",5.5,IF(C1434="D",5.2)))))*$C$1</f>
        <v>0</v>
      </c>
      <c r="E1438" s="1962">
        <f t="shared" si="168"/>
        <v>0</v>
      </c>
      <c r="G1438" s="1959" t="s">
        <v>374</v>
      </c>
      <c r="H1438" s="1965" t="s">
        <v>3283</v>
      </c>
      <c r="I1438" s="1961">
        <f>VLOOKUP(H1433,'LƯƠNG KT'!$D$110:$AC$184,7,0)</f>
        <v>332.00699999999989</v>
      </c>
      <c r="J1438" s="1964">
        <f>IF(I1434="A",6.1,IF(I1434="B",5.8,IF(I1434="C",5.5,IF(I1434="C.",5.5,IF(I1434="D",5.2)))))*$C$1</f>
        <v>4074.556</v>
      </c>
      <c r="K1438" s="1962">
        <f t="shared" si="169"/>
        <v>1352781.1138919995</v>
      </c>
    </row>
    <row r="1439" spans="1:11" ht="12.75" customHeight="1">
      <c r="A1439" s="1959" t="s">
        <v>3296</v>
      </c>
      <c r="B1439" s="1965" t="s">
        <v>3285</v>
      </c>
      <c r="C1439" s="1961">
        <f>VLOOKUP(B1433,'LƯƠNG KT'!$D$110:$AC$184,12,0)</f>
        <v>14</v>
      </c>
      <c r="D1439" s="1967">
        <f>92.2*$C$1</f>
        <v>61585.912000000004</v>
      </c>
      <c r="E1439" s="1962">
        <f t="shared" si="168"/>
        <v>862202.76800000004</v>
      </c>
      <c r="G1439" s="1959" t="s">
        <v>3296</v>
      </c>
      <c r="H1439" s="1965" t="s">
        <v>3285</v>
      </c>
      <c r="I1439" s="1961" t="str">
        <f>VLOOKUP(H1433,'LƯƠNG KT'!$D$110:$AC$184,12,0)</f>
        <v>A</v>
      </c>
      <c r="J1439" s="1967">
        <f>92.2*$C$1</f>
        <v>61585.912000000004</v>
      </c>
      <c r="K1439" s="1962" t="e">
        <f t="shared" si="169"/>
        <v>#VALUE!</v>
      </c>
    </row>
    <row r="1440" spans="1:11" ht="12.75" customHeight="1">
      <c r="A1440" s="1959" t="s">
        <v>3297</v>
      </c>
      <c r="B1440" s="1965" t="s">
        <v>3287</v>
      </c>
      <c r="C1440" s="1961">
        <f>VLOOKUP(B1433,'LƯƠNG KT'!$D$110:$AC$184,13,0)</f>
        <v>3</v>
      </c>
      <c r="D1440" s="1964">
        <f>153.8*$C$1</f>
        <v>102732.24800000001</v>
      </c>
      <c r="E1440" s="1962">
        <f t="shared" si="168"/>
        <v>308196.74400000001</v>
      </c>
      <c r="G1440" s="1959" t="s">
        <v>3297</v>
      </c>
      <c r="H1440" s="1965" t="s">
        <v>3287</v>
      </c>
      <c r="I1440" s="1961">
        <f>VLOOKUP(H1433,'LƯƠNG KT'!$D$110:$AC$184,13,0)</f>
        <v>1215146</v>
      </c>
      <c r="J1440" s="1964">
        <f>153.8*$C$1</f>
        <v>102732.24800000001</v>
      </c>
      <c r="K1440" s="1962">
        <f t="shared" si="169"/>
        <v>124834680228.20801</v>
      </c>
    </row>
    <row r="1441" spans="1:11" ht="12.75" customHeight="1">
      <c r="A1441" s="1959" t="s">
        <v>3354</v>
      </c>
      <c r="B1441" s="1965" t="s">
        <v>3288</v>
      </c>
      <c r="C1441" s="1961">
        <f>VLOOKUP(B1433,'LƯƠNG KT'!$D$110:$AC$184,14,0)</f>
        <v>3</v>
      </c>
      <c r="D1441" s="1964">
        <v>100000</v>
      </c>
      <c r="E1441" s="1962">
        <f>C1441*D1441</f>
        <v>300000</v>
      </c>
      <c r="G1441" s="1959" t="s">
        <v>3354</v>
      </c>
      <c r="H1441" s="1965" t="s">
        <v>3288</v>
      </c>
      <c r="I1441" s="1961">
        <f>VLOOKUP(H1433,'LƯƠNG KT'!$D$110:$AC$184,14,0)</f>
        <v>0</v>
      </c>
      <c r="J1441" s="1964">
        <v>100000</v>
      </c>
      <c r="K1441" s="1962">
        <f>I1441*J1441</f>
        <v>0</v>
      </c>
    </row>
    <row r="1442" spans="1:11" ht="12.75" customHeight="1">
      <c r="A1442" s="1959" t="s">
        <v>3355</v>
      </c>
      <c r="B1442" s="1965" t="s">
        <v>3288</v>
      </c>
      <c r="C1442" s="1961" t="e">
        <f>VLOOKUP(B1433,'LƯƠNG KT'!$D$110:$AC$184,17,0)</f>
        <v>#N/A</v>
      </c>
      <c r="D1442" s="1964">
        <v>20000</v>
      </c>
      <c r="E1442" s="1962" t="e">
        <f>C1442*D1442</f>
        <v>#N/A</v>
      </c>
      <c r="G1442" s="1959" t="s">
        <v>3355</v>
      </c>
      <c r="H1442" s="1965" t="s">
        <v>3288</v>
      </c>
      <c r="I1442" s="1961">
        <f>VLOOKUP(H1433,'LƯƠNG KT'!$D$110:$AC$184,17,0)</f>
        <v>0</v>
      </c>
      <c r="J1442" s="1964">
        <v>20000</v>
      </c>
      <c r="K1442" s="1962">
        <f>I1442*J1442</f>
        <v>0</v>
      </c>
    </row>
    <row r="1443" spans="1:11" ht="12.75" customHeight="1">
      <c r="A1443" s="1959" t="s">
        <v>3289</v>
      </c>
      <c r="B1443" s="1965" t="s">
        <v>3290</v>
      </c>
      <c r="C1443" s="1966"/>
      <c r="D1443" s="1964"/>
      <c r="E1443" s="1962"/>
      <c r="G1443" s="1959" t="s">
        <v>3289</v>
      </c>
      <c r="H1443" s="1965" t="s">
        <v>3290</v>
      </c>
      <c r="I1443" s="1966"/>
      <c r="J1443" s="1964"/>
      <c r="K1443" s="1962"/>
    </row>
    <row r="1444" spans="1:11" ht="12.75" customHeight="1">
      <c r="A1444" s="1968" t="s">
        <v>377</v>
      </c>
      <c r="B1444" s="1969" t="s">
        <v>3291</v>
      </c>
      <c r="C1444" s="1970"/>
      <c r="D1444" s="1971"/>
      <c r="E1444" s="1970"/>
      <c r="G1444" s="1968" t="s">
        <v>377</v>
      </c>
      <c r="H1444" s="1969" t="s">
        <v>3291</v>
      </c>
      <c r="I1444" s="1970"/>
      <c r="J1444" s="1971"/>
      <c r="K1444" s="1970"/>
    </row>
    <row r="1445" spans="1:11" ht="12.75" customHeight="1">
      <c r="A1445" s="1972" t="s">
        <v>379</v>
      </c>
      <c r="B1445" s="1973" t="s">
        <v>3292</v>
      </c>
      <c r="C1445" s="1970"/>
      <c r="D1445" s="1970"/>
      <c r="E1445" s="1970"/>
      <c r="G1445" s="1972" t="s">
        <v>379</v>
      </c>
      <c r="H1445" s="1973" t="s">
        <v>3292</v>
      </c>
      <c r="I1445" s="1970"/>
      <c r="J1445" s="1970"/>
      <c r="K1445" s="1970"/>
    </row>
    <row r="1446" spans="1:11" ht="12.75" customHeight="1">
      <c r="A1446" s="1972" t="s">
        <v>381</v>
      </c>
      <c r="B1446" s="1974" t="s">
        <v>3293</v>
      </c>
      <c r="C1446" s="1970"/>
      <c r="D1446" s="1970"/>
      <c r="E1446" s="1962">
        <f>SUM(E1445)</f>
        <v>0</v>
      </c>
      <c r="G1446" s="1972" t="s">
        <v>381</v>
      </c>
      <c r="H1446" s="1974" t="s">
        <v>3293</v>
      </c>
      <c r="I1446" s="1970"/>
      <c r="J1446" s="1970"/>
      <c r="K1446" s="1962">
        <f>SUM(K1445)</f>
        <v>0</v>
      </c>
    </row>
    <row r="1447" spans="1:11" ht="12.75" customHeight="1">
      <c r="A1447" s="1975" t="s">
        <v>383</v>
      </c>
      <c r="B1447" s="1976" t="s">
        <v>3294</v>
      </c>
      <c r="C1447" s="1977"/>
      <c r="D1447" s="1977"/>
      <c r="E1447" s="1978" t="e">
        <f>(E1435+E1436+E1437+E1438+E1439+E1440+E1441+E1442+E1443)-E1446</f>
        <v>#VALUE!</v>
      </c>
      <c r="G1447" s="1975" t="s">
        <v>383</v>
      </c>
      <c r="H1447" s="1976" t="s">
        <v>3294</v>
      </c>
      <c r="I1447" s="1977"/>
      <c r="J1447" s="1977"/>
      <c r="K1447" s="1978" t="e">
        <f>(K1435+K1436+K1437+K1438+K1439+K1440+K1441+K1442+K1443)-K1446</f>
        <v>#VALUE!</v>
      </c>
    </row>
    <row r="1448" spans="1:11" ht="52.5" customHeight="1"/>
    <row r="1449" spans="1:11" ht="12.75" customHeight="1">
      <c r="A1449" s="2953" t="s">
        <v>3356</v>
      </c>
      <c r="B1449" s="2954"/>
      <c r="C1449" s="2954"/>
      <c r="D1449" s="2954"/>
      <c r="E1449" s="1955">
        <f>VLOOKUP(B1450,'LƯƠNG KT'!$D$110:$AD$184,25,0)</f>
        <v>0</v>
      </c>
      <c r="G1449" s="2953" t="s">
        <v>3356</v>
      </c>
      <c r="H1449" s="2954"/>
      <c r="I1449" s="2954"/>
      <c r="J1449" s="2954"/>
      <c r="K1449" s="1955">
        <f>VLOOKUP(H1450,'LƯƠNG KT'!$D$110:$AD$184,25,0)</f>
        <v>0</v>
      </c>
    </row>
    <row r="1450" spans="1:11" ht="12.75" customHeight="1">
      <c r="A1450" s="1956" t="s">
        <v>356</v>
      </c>
      <c r="B1450" s="1956" t="str">
        <f>'LƯƠNG KT'!$D$182</f>
        <v>Say</v>
      </c>
      <c r="C1450" s="1957"/>
      <c r="D1450" s="1958" t="s">
        <v>2357</v>
      </c>
      <c r="E1450" s="1958" t="s">
        <v>2156</v>
      </c>
      <c r="G1450" s="1956" t="s">
        <v>356</v>
      </c>
      <c r="H1450" s="1956" t="str">
        <f>'LƯƠNG KT'!$D$183</f>
        <v>Ủi</v>
      </c>
      <c r="I1450" s="1957"/>
      <c r="J1450" s="1958" t="s">
        <v>2357</v>
      </c>
      <c r="K1450" s="1958" t="s">
        <v>2156</v>
      </c>
    </row>
    <row r="1451" spans="1:11" ht="12.75" customHeight="1">
      <c r="A1451" s="1959" t="s">
        <v>3005</v>
      </c>
      <c r="B1451" s="1960" t="s">
        <v>3278</v>
      </c>
      <c r="C1451" s="1961">
        <f>VLOOKUP(B1450,'LƯƠNG KT'!$D$110:$AC$184,8,0)</f>
        <v>0</v>
      </c>
      <c r="D1451" s="1962"/>
      <c r="E1451" s="1962"/>
      <c r="G1451" s="1959" t="s">
        <v>3005</v>
      </c>
      <c r="H1451" s="1960" t="s">
        <v>3278</v>
      </c>
      <c r="I1451" s="1961">
        <f>VLOOKUP(H1450,'LƯƠNG KT'!$D$110:$AC$184,8,0)</f>
        <v>0</v>
      </c>
      <c r="J1451" s="1962"/>
      <c r="K1451" s="1962"/>
    </row>
    <row r="1452" spans="1:11" ht="12.75" customHeight="1">
      <c r="A1452" s="1959" t="s">
        <v>359</v>
      </c>
      <c r="B1452" s="1963" t="s">
        <v>2090</v>
      </c>
      <c r="C1452" s="1961">
        <f>VLOOKUP(B1450,'LƯƠNG KT'!$D$110:$AC$184,3,0)</f>
        <v>0</v>
      </c>
      <c r="D1452" s="1964">
        <v>25000</v>
      </c>
      <c r="E1452" s="1962">
        <f>C1452*D1452</f>
        <v>0</v>
      </c>
      <c r="G1452" s="1959" t="s">
        <v>359</v>
      </c>
      <c r="H1452" s="1963" t="s">
        <v>2090</v>
      </c>
      <c r="I1452" s="1961">
        <f>VLOOKUP(H1450,'LƯƠNG KT'!$D$110:$AC$184,3,0)</f>
        <v>0</v>
      </c>
      <c r="J1452" s="1964">
        <v>25000</v>
      </c>
      <c r="K1452" s="1962">
        <f>I1452*J1452</f>
        <v>0</v>
      </c>
    </row>
    <row r="1453" spans="1:11" ht="12.75" customHeight="1">
      <c r="A1453" s="1959" t="s">
        <v>3279</v>
      </c>
      <c r="B1453" s="1965" t="s">
        <v>3280</v>
      </c>
      <c r="C1453" s="1961">
        <f>VLOOKUP(B1450,'LƯƠNG KT'!$D$110:$AC$184,10,0)</f>
        <v>0</v>
      </c>
      <c r="D1453" s="1967">
        <f>46.1*$C$1</f>
        <v>30792.956000000002</v>
      </c>
      <c r="E1453" s="1962">
        <f t="shared" ref="E1453:E1457" si="170">C1453*D1453</f>
        <v>0</v>
      </c>
      <c r="G1453" s="1959" t="s">
        <v>3279</v>
      </c>
      <c r="H1453" s="1965" t="s">
        <v>3280</v>
      </c>
      <c r="I1453" s="1961">
        <f>VLOOKUP(H1450,'LƯƠNG KT'!$D$110:$AC$184,10,0)</f>
        <v>0</v>
      </c>
      <c r="J1453" s="1967">
        <f>46.1*$C$1</f>
        <v>30792.956000000002</v>
      </c>
      <c r="K1453" s="1962">
        <f t="shared" ref="K1453:K1457" si="171">I1453*J1453</f>
        <v>0</v>
      </c>
    </row>
    <row r="1454" spans="1:11" ht="12.75" customHeight="1">
      <c r="A1454" s="1959" t="s">
        <v>3281</v>
      </c>
      <c r="B1454" s="1965" t="s">
        <v>3282</v>
      </c>
      <c r="C1454" s="1961">
        <f>VLOOKUP(B1450,'LƯƠNG KT'!$D$110:$AC$184,11,0)</f>
        <v>0</v>
      </c>
      <c r="D1454" s="1964">
        <f>76.9*$C$1</f>
        <v>51366.124000000003</v>
      </c>
      <c r="E1454" s="1962">
        <f t="shared" si="170"/>
        <v>0</v>
      </c>
      <c r="G1454" s="1959" t="s">
        <v>3281</v>
      </c>
      <c r="H1454" s="1965" t="s">
        <v>3282</v>
      </c>
      <c r="I1454" s="1961">
        <f>VLOOKUP(H1450,'LƯƠNG KT'!$D$110:$AC$184,11,0)</f>
        <v>0</v>
      </c>
      <c r="J1454" s="1964">
        <f>76.9*$C$1</f>
        <v>51366.124000000003</v>
      </c>
      <c r="K1454" s="1962">
        <f t="shared" si="171"/>
        <v>0</v>
      </c>
    </row>
    <row r="1455" spans="1:11" ht="12.75" customHeight="1">
      <c r="A1455" s="1959" t="s">
        <v>374</v>
      </c>
      <c r="B1455" s="1965" t="s">
        <v>3283</v>
      </c>
      <c r="C1455" s="1961">
        <f>VLOOKUP(B1450,'LƯƠNG KT'!$D$110:$AC$184,7,0)</f>
        <v>0</v>
      </c>
      <c r="D1455" s="1964">
        <f>IF(C1451="A",6.1,IF(C1451="B",5.8,IF(C1451="C",5.5,IF(C1451="C.",5.5,IF(C1451="D",5.2)))))*$C$1</f>
        <v>0</v>
      </c>
      <c r="E1455" s="1962">
        <f t="shared" si="170"/>
        <v>0</v>
      </c>
      <c r="G1455" s="1959" t="s">
        <v>374</v>
      </c>
      <c r="H1455" s="1965" t="s">
        <v>3283</v>
      </c>
      <c r="I1455" s="1961">
        <f>VLOOKUP(H1450,'LƯƠNG KT'!$D$110:$AC$184,7,0)</f>
        <v>0</v>
      </c>
      <c r="J1455" s="1964">
        <f>IF(I1451="A",6.1,IF(I1451="B",5.8,IF(I1451="C",5.5,IF(I1451="C.",5.5,IF(I1451="D",5.2)))))*$C$1</f>
        <v>0</v>
      </c>
      <c r="K1455" s="1962">
        <f t="shared" si="171"/>
        <v>0</v>
      </c>
    </row>
    <row r="1456" spans="1:11" ht="12.75" customHeight="1">
      <c r="A1456" s="1959" t="s">
        <v>3296</v>
      </c>
      <c r="B1456" s="1965" t="s">
        <v>3285</v>
      </c>
      <c r="C1456" s="1961">
        <f>VLOOKUP(B1450,'LƯƠNG KT'!$D$110:$AC$184,12,0)</f>
        <v>0</v>
      </c>
      <c r="D1456" s="1967">
        <f>92.2*$C$1</f>
        <v>61585.912000000004</v>
      </c>
      <c r="E1456" s="1962">
        <f t="shared" si="170"/>
        <v>0</v>
      </c>
      <c r="G1456" s="1959" t="s">
        <v>3296</v>
      </c>
      <c r="H1456" s="1965" t="s">
        <v>3285</v>
      </c>
      <c r="I1456" s="1961">
        <f>VLOOKUP(H1450,'LƯƠNG KT'!$D$110:$AC$184,12,0)</f>
        <v>0</v>
      </c>
      <c r="J1456" s="1967">
        <f>92.2*$C$1</f>
        <v>61585.912000000004</v>
      </c>
      <c r="K1456" s="1962">
        <f t="shared" si="171"/>
        <v>0</v>
      </c>
    </row>
    <row r="1457" spans="1:11" ht="12.75" customHeight="1">
      <c r="A1457" s="1959" t="s">
        <v>3297</v>
      </c>
      <c r="B1457" s="1965" t="s">
        <v>3287</v>
      </c>
      <c r="C1457" s="1961">
        <f>VLOOKUP(B1450,'LƯƠNG KT'!$D$110:$AC$184,13,0)</f>
        <v>0</v>
      </c>
      <c r="D1457" s="1964">
        <f>153.8*$C$1</f>
        <v>102732.24800000001</v>
      </c>
      <c r="E1457" s="1962">
        <f t="shared" si="170"/>
        <v>0</v>
      </c>
      <c r="G1457" s="1959" t="s">
        <v>3297</v>
      </c>
      <c r="H1457" s="1965" t="s">
        <v>3287</v>
      </c>
      <c r="I1457" s="1961">
        <f>VLOOKUP(H1450,'LƯƠNG KT'!$D$110:$AC$184,13,0)</f>
        <v>0</v>
      </c>
      <c r="J1457" s="1964">
        <f>153.8*$C$1</f>
        <v>102732.24800000001</v>
      </c>
      <c r="K1457" s="1962">
        <f t="shared" si="171"/>
        <v>0</v>
      </c>
    </row>
    <row r="1458" spans="1:11" ht="12.75" customHeight="1">
      <c r="A1458" s="1959" t="s">
        <v>3354</v>
      </c>
      <c r="B1458" s="1965" t="s">
        <v>3288</v>
      </c>
      <c r="C1458" s="1961">
        <f>VLOOKUP(B1450,'LƯƠNG KT'!$D$110:$AC$184,14,0)</f>
        <v>0</v>
      </c>
      <c r="D1458" s="1964">
        <v>100000</v>
      </c>
      <c r="E1458" s="1962">
        <f>C1458*D1458</f>
        <v>0</v>
      </c>
      <c r="G1458" s="1959" t="s">
        <v>3354</v>
      </c>
      <c r="H1458" s="1965" t="s">
        <v>3288</v>
      </c>
      <c r="I1458" s="1961">
        <f>VLOOKUP(H1450,'LƯƠNG KT'!$D$110:$AC$184,14,0)</f>
        <v>0</v>
      </c>
      <c r="J1458" s="1964">
        <v>100000</v>
      </c>
      <c r="K1458" s="1962">
        <f>I1458*J1458</f>
        <v>0</v>
      </c>
    </row>
    <row r="1459" spans="1:11" ht="12.75" customHeight="1">
      <c r="A1459" s="1959" t="s">
        <v>3355</v>
      </c>
      <c r="B1459" s="1965" t="s">
        <v>3288</v>
      </c>
      <c r="C1459" s="1961">
        <f>VLOOKUP(B1450,'LƯƠNG KT'!$D$110:$AC$184,17,0)</f>
        <v>0</v>
      </c>
      <c r="D1459" s="1964">
        <v>20000</v>
      </c>
      <c r="E1459" s="1962">
        <f>C1459*D1459</f>
        <v>0</v>
      </c>
      <c r="G1459" s="1959" t="s">
        <v>3355</v>
      </c>
      <c r="H1459" s="1965" t="s">
        <v>3288</v>
      </c>
      <c r="I1459" s="1961">
        <f>VLOOKUP(H1450,'LƯƠNG KT'!$D$110:$AC$184,17,0)</f>
        <v>0</v>
      </c>
      <c r="J1459" s="1964">
        <v>20000</v>
      </c>
      <c r="K1459" s="1962">
        <f>I1459*J1459</f>
        <v>0</v>
      </c>
    </row>
    <row r="1460" spans="1:11" ht="12.75" customHeight="1">
      <c r="A1460" s="1959" t="s">
        <v>3289</v>
      </c>
      <c r="B1460" s="1965" t="s">
        <v>3290</v>
      </c>
      <c r="C1460" s="1966"/>
      <c r="D1460" s="1964"/>
      <c r="E1460" s="1962"/>
      <c r="G1460" s="1959" t="s">
        <v>3289</v>
      </c>
      <c r="H1460" s="1965" t="s">
        <v>3290</v>
      </c>
      <c r="I1460" s="1966"/>
      <c r="J1460" s="1964"/>
      <c r="K1460" s="1962"/>
    </row>
    <row r="1461" spans="1:11" ht="12.75" customHeight="1">
      <c r="A1461" s="1968" t="s">
        <v>377</v>
      </c>
      <c r="B1461" s="1969" t="s">
        <v>3291</v>
      </c>
      <c r="C1461" s="1970"/>
      <c r="D1461" s="1971"/>
      <c r="E1461" s="1970"/>
      <c r="G1461" s="1968" t="s">
        <v>377</v>
      </c>
      <c r="H1461" s="1969" t="s">
        <v>3291</v>
      </c>
      <c r="I1461" s="1970"/>
      <c r="J1461" s="1971"/>
      <c r="K1461" s="1970"/>
    </row>
    <row r="1462" spans="1:11" ht="12.75" customHeight="1">
      <c r="A1462" s="1972" t="s">
        <v>379</v>
      </c>
      <c r="B1462" s="1973" t="s">
        <v>3292</v>
      </c>
      <c r="C1462" s="1970"/>
      <c r="D1462" s="1970"/>
      <c r="E1462" s="1970"/>
      <c r="G1462" s="1972" t="s">
        <v>379</v>
      </c>
      <c r="H1462" s="1973" t="s">
        <v>3292</v>
      </c>
      <c r="I1462" s="1970"/>
      <c r="J1462" s="1970"/>
      <c r="K1462" s="1970"/>
    </row>
    <row r="1463" spans="1:11" ht="12.75" customHeight="1">
      <c r="A1463" s="1972" t="s">
        <v>381</v>
      </c>
      <c r="B1463" s="1974" t="s">
        <v>3293</v>
      </c>
      <c r="C1463" s="1970"/>
      <c r="D1463" s="1970"/>
      <c r="E1463" s="1962">
        <f>SUM(E1462)</f>
        <v>0</v>
      </c>
      <c r="G1463" s="1972" t="s">
        <v>381</v>
      </c>
      <c r="H1463" s="1974" t="s">
        <v>3293</v>
      </c>
      <c r="I1463" s="1970"/>
      <c r="J1463" s="1970"/>
      <c r="K1463" s="1962">
        <f>SUM(K1462)</f>
        <v>0</v>
      </c>
    </row>
    <row r="1464" spans="1:11" ht="12.75" customHeight="1">
      <c r="A1464" s="1975" t="s">
        <v>383</v>
      </c>
      <c r="B1464" s="1976" t="s">
        <v>3294</v>
      </c>
      <c r="C1464" s="1977"/>
      <c r="D1464" s="1977"/>
      <c r="E1464" s="1978">
        <f>(E1452+E1453+E1454+E1455+E1456+E1457+E1458+E1459+E1460)-E1463</f>
        <v>0</v>
      </c>
      <c r="G1464" s="1975" t="s">
        <v>383</v>
      </c>
      <c r="H1464" s="1976" t="s">
        <v>3294</v>
      </c>
      <c r="I1464" s="1977"/>
      <c r="J1464" s="1977"/>
      <c r="K1464" s="1978">
        <f>(K1452+K1453+K1454+K1455+K1456+K1457+K1458+K1459+K1460)-K1463</f>
        <v>0</v>
      </c>
    </row>
    <row r="1466" spans="1:11" ht="12.75" customHeight="1">
      <c r="A1466" s="2953" t="s">
        <v>3356</v>
      </c>
      <c r="B1466" s="2954"/>
      <c r="C1466" s="2954"/>
      <c r="D1466" s="2954"/>
      <c r="E1466" s="1955">
        <f>VLOOKUP(B1467,'LƯƠNG KT'!$D$110:$AD$184,25,0)</f>
        <v>0</v>
      </c>
      <c r="G1466" s="2953" t="s">
        <v>3356</v>
      </c>
      <c r="H1466" s="2954"/>
      <c r="I1466" s="2954"/>
      <c r="J1466" s="2954"/>
      <c r="K1466" s="1955" t="e">
        <f>VLOOKUP(H1467,'LƯƠNG KT'!$D$110:$AD$184,25,0)</f>
        <v>#N/A</v>
      </c>
    </row>
    <row r="1467" spans="1:11" ht="12.75" customHeight="1">
      <c r="A1467" s="1956" t="s">
        <v>356</v>
      </c>
      <c r="B1467" s="1956" t="str">
        <f>'LƯƠNG KT'!$D$184</f>
        <v>T Mon D4 (Tú)</v>
      </c>
      <c r="C1467" s="1957"/>
      <c r="D1467" s="1958" t="s">
        <v>2357</v>
      </c>
      <c r="E1467" s="1958" t="s">
        <v>2156</v>
      </c>
      <c r="G1467" s="1956" t="s">
        <v>356</v>
      </c>
      <c r="H1467" s="1956">
        <f>'LƯƠNG KT'!$D$185</f>
        <v>0</v>
      </c>
      <c r="I1467" s="1957"/>
      <c r="J1467" s="1958" t="s">
        <v>2357</v>
      </c>
      <c r="K1467" s="1958" t="s">
        <v>2156</v>
      </c>
    </row>
    <row r="1468" spans="1:11" ht="12.75" customHeight="1">
      <c r="A1468" s="1959" t="s">
        <v>3005</v>
      </c>
      <c r="B1468" s="1960" t="s">
        <v>3278</v>
      </c>
      <c r="C1468" s="1961">
        <f>VLOOKUP(B1467,'LƯƠNG KT'!$D$110:$AC$184,8,0)</f>
        <v>0</v>
      </c>
      <c r="D1468" s="1962"/>
      <c r="E1468" s="1962"/>
      <c r="G1468" s="1959" t="s">
        <v>3005</v>
      </c>
      <c r="H1468" s="1960" t="s">
        <v>3278</v>
      </c>
      <c r="I1468" s="1961">
        <f>VLOOKUP($B$838,'LƯƠNG KT'!$D$110:$AC$184,8,0)</f>
        <v>113.6922805845344</v>
      </c>
      <c r="J1468" s="1962"/>
      <c r="K1468" s="1962"/>
    </row>
    <row r="1469" spans="1:11" ht="12.75" customHeight="1">
      <c r="A1469" s="1959" t="s">
        <v>359</v>
      </c>
      <c r="B1469" s="1963" t="s">
        <v>2090</v>
      </c>
      <c r="C1469" s="1961">
        <f>VLOOKUP(B1467,'LƯƠNG KT'!$D$110:$AC$184,3,0)</f>
        <v>0</v>
      </c>
      <c r="D1469" s="1964">
        <v>25000</v>
      </c>
      <c r="E1469" s="1962">
        <f>C1469*D1469</f>
        <v>0</v>
      </c>
      <c r="G1469" s="1959" t="s">
        <v>359</v>
      </c>
      <c r="H1469" s="1963" t="s">
        <v>2090</v>
      </c>
      <c r="I1469" s="1961">
        <f>VLOOKUP($B$838,'LƯƠNG KT'!$D$110:$AC$184,3,0)</f>
        <v>0</v>
      </c>
      <c r="J1469" s="1964">
        <v>25000</v>
      </c>
      <c r="K1469" s="1962">
        <f>I1469*J1469</f>
        <v>0</v>
      </c>
    </row>
    <row r="1470" spans="1:11" ht="12.75" customHeight="1">
      <c r="A1470" s="1959" t="s">
        <v>3279</v>
      </c>
      <c r="B1470" s="1965" t="s">
        <v>3280</v>
      </c>
      <c r="C1470" s="1961">
        <f>VLOOKUP(B1467,'LƯƠNG KT'!$D$110:$AC$184,10,0)</f>
        <v>0</v>
      </c>
      <c r="D1470" s="1967">
        <f>46.1*$C$1</f>
        <v>30792.956000000002</v>
      </c>
      <c r="E1470" s="1962">
        <f t="shared" ref="E1470:E1474" si="172">C1470*D1470</f>
        <v>0</v>
      </c>
      <c r="G1470" s="1959" t="s">
        <v>3279</v>
      </c>
      <c r="H1470" s="1965" t="s">
        <v>3280</v>
      </c>
      <c r="I1470" s="1961" t="str">
        <f>VLOOKUP($B$838,'LƯƠNG KT'!$D$110:$AC$184,10,0)</f>
        <v>A</v>
      </c>
      <c r="J1470" s="1967">
        <f>46.1*$C$1</f>
        <v>30792.956000000002</v>
      </c>
      <c r="K1470" s="1962" t="e">
        <f t="shared" ref="K1470:K1474" si="173">I1470*J1470</f>
        <v>#VALUE!</v>
      </c>
    </row>
    <row r="1471" spans="1:11" ht="12.75" customHeight="1">
      <c r="A1471" s="1959" t="s">
        <v>3281</v>
      </c>
      <c r="B1471" s="1965" t="s">
        <v>3282</v>
      </c>
      <c r="C1471" s="1961">
        <f>VLOOKUP(B1467,'LƯƠNG KT'!$D$110:$AC$184,11,0)</f>
        <v>0</v>
      </c>
      <c r="D1471" s="1964">
        <f>76.9*$C$1</f>
        <v>51366.124000000003</v>
      </c>
      <c r="E1471" s="1962">
        <f t="shared" si="172"/>
        <v>0</v>
      </c>
      <c r="G1471" s="1959" t="s">
        <v>3281</v>
      </c>
      <c r="H1471" s="1965" t="s">
        <v>3282</v>
      </c>
      <c r="I1471" s="1961">
        <f>VLOOKUP($B$838,'LƯƠNG KT'!$D$110:$AC$184,11,0)</f>
        <v>4884257</v>
      </c>
      <c r="J1471" s="1964">
        <f>76.9*$C$1</f>
        <v>51366.124000000003</v>
      </c>
      <c r="K1471" s="1962">
        <f t="shared" si="173"/>
        <v>250885350709.86801</v>
      </c>
    </row>
    <row r="1472" spans="1:11" ht="12.75" customHeight="1">
      <c r="A1472" s="1959" t="s">
        <v>374</v>
      </c>
      <c r="B1472" s="1965" t="s">
        <v>3283</v>
      </c>
      <c r="C1472" s="1961">
        <f>VLOOKUP(B1467,'LƯƠNG KT'!$D$110:$AC$184,7,0)</f>
        <v>0</v>
      </c>
      <c r="D1472" s="1964">
        <f>IF(C1468="A",6.1,IF(C1468="B",5.8,IF(C1468="C",5.5,IF(C1468="C.",5.5,IF(C1468="D",5.2)))))*$C$1</f>
        <v>0</v>
      </c>
      <c r="E1472" s="1962">
        <f t="shared" si="172"/>
        <v>0</v>
      </c>
      <c r="G1472" s="1959" t="s">
        <v>374</v>
      </c>
      <c r="H1472" s="1965" t="s">
        <v>3283</v>
      </c>
      <c r="I1472" s="1961">
        <f>VLOOKUP($B$838,'LƯƠNG KT'!$D$110:$AC$184,7,0)</f>
        <v>1220.8041227872632</v>
      </c>
      <c r="J1472" s="1964">
        <f>IF(I1468="A",6.1,IF(I1468="B",5.8,IF(I1468="C",5.5,IF(I1468="C.",5.5,IF(I1468="D",5.2)))))*$C$1</f>
        <v>0</v>
      </c>
      <c r="K1472" s="1962">
        <f t="shared" si="173"/>
        <v>0</v>
      </c>
    </row>
    <row r="1473" spans="1:11" ht="12.75" customHeight="1">
      <c r="A1473" s="1959" t="s">
        <v>3296</v>
      </c>
      <c r="B1473" s="1965" t="s">
        <v>3285</v>
      </c>
      <c r="C1473" s="1961">
        <f>VLOOKUP(B1467,'LƯƠNG KT'!$D$110:$AC$184,12,0)</f>
        <v>0</v>
      </c>
      <c r="D1473" s="1967">
        <f>92.2*$C$1</f>
        <v>61585.912000000004</v>
      </c>
      <c r="E1473" s="1962">
        <f t="shared" si="172"/>
        <v>0</v>
      </c>
      <c r="G1473" s="1959" t="s">
        <v>3296</v>
      </c>
      <c r="H1473" s="1965" t="s">
        <v>3285</v>
      </c>
      <c r="I1473" s="1961">
        <f>VLOOKUP($B$838,'LƯƠNG KT'!$D$110:$AC$184,12,0)</f>
        <v>23</v>
      </c>
      <c r="J1473" s="1967">
        <f>92.2*$C$1</f>
        <v>61585.912000000004</v>
      </c>
      <c r="K1473" s="1962">
        <f t="shared" si="173"/>
        <v>1416475.976</v>
      </c>
    </row>
    <row r="1474" spans="1:11" ht="12.75" customHeight="1">
      <c r="A1474" s="1959" t="s">
        <v>3297</v>
      </c>
      <c r="B1474" s="1965" t="s">
        <v>3287</v>
      </c>
      <c r="C1474" s="1961">
        <f>VLOOKUP(B1467,'LƯƠNG KT'!$D$110:$AC$184,13,0)</f>
        <v>0</v>
      </c>
      <c r="D1474" s="1964">
        <f>153.8*$C$1</f>
        <v>102732.24800000001</v>
      </c>
      <c r="E1474" s="1962">
        <f t="shared" si="172"/>
        <v>0</v>
      </c>
      <c r="G1474" s="1959" t="s">
        <v>3297</v>
      </c>
      <c r="H1474" s="1965" t="s">
        <v>3287</v>
      </c>
      <c r="I1474" s="1961">
        <f>VLOOKUP($B$838,'LƯƠNG KT'!$D$110:$AC$184,13,0)</f>
        <v>4</v>
      </c>
      <c r="J1474" s="1964">
        <f>153.8*$C$1</f>
        <v>102732.24800000001</v>
      </c>
      <c r="K1474" s="1962">
        <f t="shared" si="173"/>
        <v>410928.99200000003</v>
      </c>
    </row>
    <row r="1475" spans="1:11" ht="12.75" customHeight="1">
      <c r="A1475" s="1959" t="s">
        <v>3354</v>
      </c>
      <c r="B1475" s="1965" t="s">
        <v>3288</v>
      </c>
      <c r="C1475" s="1961">
        <f>VLOOKUP(B1467,'LƯƠNG KT'!$D$110:$AC$184,14,0)</f>
        <v>0</v>
      </c>
      <c r="D1475" s="1964">
        <v>100000</v>
      </c>
      <c r="E1475" s="1962">
        <f>C1475*D1475</f>
        <v>0</v>
      </c>
      <c r="G1475" s="1959" t="s">
        <v>370</v>
      </c>
      <c r="H1475" s="1965" t="s">
        <v>3288</v>
      </c>
      <c r="I1475" s="1961">
        <f>VLOOKUP($B$838,'LƯƠNG KT'!$D$110:$AC$184,16,0)</f>
        <v>4</v>
      </c>
      <c r="J1475" s="1964">
        <v>10000</v>
      </c>
      <c r="K1475" s="1962">
        <f>I1475*J1475</f>
        <v>40000</v>
      </c>
    </row>
    <row r="1476" spans="1:11" ht="12.75" customHeight="1">
      <c r="A1476" s="1959" t="s">
        <v>3355</v>
      </c>
      <c r="B1476" s="1965" t="s">
        <v>3288</v>
      </c>
      <c r="C1476" s="1961">
        <f>VLOOKUP(B1467,'LƯƠNG KT'!$D$110:$AC$184,17,0)</f>
        <v>0</v>
      </c>
      <c r="D1476" s="1964">
        <v>20000</v>
      </c>
      <c r="E1476" s="1962">
        <f>C1476*D1476</f>
        <v>0</v>
      </c>
      <c r="G1476" s="1959" t="s">
        <v>370</v>
      </c>
      <c r="H1476" s="1965" t="s">
        <v>3288</v>
      </c>
      <c r="I1476" s="1961" t="e">
        <f>VLOOKUP($B$838,'LƯƠNG KT'!$D$110:$AC$184,17,0)</f>
        <v>#N/A</v>
      </c>
      <c r="J1476" s="1964">
        <v>20000</v>
      </c>
      <c r="K1476" s="1962" t="e">
        <f>I1476*J1476</f>
        <v>#N/A</v>
      </c>
    </row>
    <row r="1477" spans="1:11" ht="12.75" customHeight="1">
      <c r="A1477" s="1959" t="s">
        <v>3289</v>
      </c>
      <c r="B1477" s="1965" t="s">
        <v>3290</v>
      </c>
      <c r="C1477" s="1966"/>
      <c r="D1477" s="1964"/>
      <c r="E1477" s="1962"/>
      <c r="G1477" s="1959" t="s">
        <v>3289</v>
      </c>
      <c r="H1477" s="1965" t="s">
        <v>3290</v>
      </c>
      <c r="I1477" s="1966"/>
      <c r="J1477" s="1964"/>
      <c r="K1477" s="1962"/>
    </row>
    <row r="1478" spans="1:11" ht="12.75" customHeight="1">
      <c r="A1478" s="1968" t="s">
        <v>377</v>
      </c>
      <c r="B1478" s="1969" t="s">
        <v>3291</v>
      </c>
      <c r="C1478" s="1970"/>
      <c r="D1478" s="1971"/>
      <c r="E1478" s="1970"/>
      <c r="G1478" s="1968" t="s">
        <v>377</v>
      </c>
      <c r="H1478" s="1969" t="s">
        <v>3291</v>
      </c>
      <c r="I1478" s="1970"/>
      <c r="J1478" s="1971"/>
      <c r="K1478" s="1970"/>
    </row>
    <row r="1479" spans="1:11" ht="12.75" customHeight="1">
      <c r="A1479" s="1972" t="s">
        <v>379</v>
      </c>
      <c r="B1479" s="1973" t="s">
        <v>3292</v>
      </c>
      <c r="C1479" s="1970"/>
      <c r="D1479" s="1970"/>
      <c r="E1479" s="1970"/>
      <c r="G1479" s="1972" t="s">
        <v>379</v>
      </c>
      <c r="H1479" s="1973" t="s">
        <v>3292</v>
      </c>
      <c r="I1479" s="1970"/>
      <c r="J1479" s="1970"/>
      <c r="K1479" s="1970"/>
    </row>
    <row r="1480" spans="1:11" ht="12.75" customHeight="1">
      <c r="A1480" s="1972" t="s">
        <v>381</v>
      </c>
      <c r="B1480" s="1974" t="s">
        <v>3293</v>
      </c>
      <c r="C1480" s="1970"/>
      <c r="D1480" s="1970"/>
      <c r="E1480" s="1962">
        <f>SUM(E1479)</f>
        <v>0</v>
      </c>
      <c r="G1480" s="1972" t="s">
        <v>381</v>
      </c>
      <c r="H1480" s="1974" t="s">
        <v>3293</v>
      </c>
      <c r="I1480" s="1970"/>
      <c r="J1480" s="1970"/>
      <c r="K1480" s="1962">
        <f>SUM(K1479)</f>
        <v>0</v>
      </c>
    </row>
    <row r="1481" spans="1:11" ht="12.75" customHeight="1">
      <c r="A1481" s="1975" t="s">
        <v>383</v>
      </c>
      <c r="B1481" s="1976" t="s">
        <v>3294</v>
      </c>
      <c r="C1481" s="1977"/>
      <c r="D1481" s="1977"/>
      <c r="E1481" s="1978">
        <f>(E1469+E1470+E1471+E1472+E1473+E1474+E1475+E1476+E1477)-E1480</f>
        <v>0</v>
      </c>
      <c r="G1481" s="1975" t="s">
        <v>383</v>
      </c>
      <c r="H1481" s="1976" t="s">
        <v>3294</v>
      </c>
      <c r="I1481" s="1977"/>
      <c r="J1481" s="1977"/>
      <c r="K1481" s="1978" t="e">
        <f>(K1469+K1470+K1471+K1472+K1473+K1474+K1475+K1476+K1477)-K1480</f>
        <v>#VALUE!</v>
      </c>
    </row>
  </sheetData>
  <mergeCells count="176"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</mergeCells>
  <pageMargins left="0.2" right="0.2" top="0.75" bottom="0.75" header="0.3" footer="0.3"/>
  <pageSetup paperSize="9" scale="6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234"/>
  <sheetViews>
    <sheetView showZeros="0" tabSelected="1" topLeftCell="A6" zoomScale="85" zoomScaleNormal="85" workbookViewId="0">
      <selection activeCell="F16" sqref="F16:F185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38" customWidth="1"/>
    <col min="9" max="9" width="10.85546875" style="539" customWidth="1"/>
    <col min="10" max="12" width="9" style="539" customWidth="1"/>
    <col min="13" max="13" width="6.5703125" style="540" customWidth="1"/>
    <col min="14" max="14" width="13.85546875" style="541" customWidth="1"/>
    <col min="15" max="15" width="10.5703125" style="246" customWidth="1"/>
    <col min="16" max="16" width="10.140625" style="246" customWidth="1"/>
    <col min="17" max="17" width="10.85546875" style="246" customWidth="1"/>
    <col min="18" max="18" width="10.140625" style="246" customWidth="1"/>
    <col min="19" max="19" width="10.140625" style="248" customWidth="1"/>
    <col min="20" max="20" width="9.140625" style="248" hidden="1" customWidth="1"/>
    <col min="21" max="21" width="7.140625" style="248" hidden="1" customWidth="1"/>
    <col min="22" max="22" width="9.7109375" style="248" customWidth="1"/>
    <col min="23" max="25" width="9.7109375" style="248" hidden="1" customWidth="1"/>
    <col min="26" max="26" width="15.42578125" style="246" customWidth="1"/>
    <col min="27" max="27" width="15.140625" style="246" customWidth="1"/>
    <col min="28" max="28" width="10.85546875" style="246" hidden="1" customWidth="1"/>
    <col min="29" max="29" width="15.140625" style="246" customWidth="1"/>
    <col min="30" max="30" width="9.140625" style="246" customWidth="1"/>
    <col min="31" max="32" width="15.28515625" style="246" customWidth="1"/>
    <col min="33" max="209" width="9.140625" style="246" customWidth="1"/>
    <col min="210" max="210" width="5.5703125" style="246" customWidth="1"/>
    <col min="211" max="211" width="16.140625" style="246" customWidth="1"/>
    <col min="212" max="16384" width="18.85546875" style="246"/>
  </cols>
  <sheetData>
    <row r="1" spans="1:30" s="240" customFormat="1" ht="16.5">
      <c r="A1" s="297"/>
      <c r="C1" s="2377" t="s">
        <v>0</v>
      </c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  <c r="AC1" s="2377"/>
    </row>
    <row r="2" spans="1:30" s="240" customFormat="1" ht="16.5">
      <c r="A2" s="297"/>
      <c r="C2" s="2377" t="s">
        <v>2030</v>
      </c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  <c r="AC2" s="2377"/>
    </row>
    <row r="3" spans="1:30" s="240" customFormat="1" ht="16.5">
      <c r="A3" s="297"/>
      <c r="C3" s="299"/>
      <c r="D3" s="2615" t="s">
        <v>619</v>
      </c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  <c r="AC3" s="2377"/>
    </row>
    <row r="4" spans="1:30" s="240" customFormat="1">
      <c r="A4" s="297"/>
      <c r="B4" s="2654" t="s">
        <v>3244</v>
      </c>
      <c r="C4" s="2654"/>
      <c r="D4" s="2654"/>
      <c r="E4" s="2654"/>
      <c r="F4" s="2654"/>
      <c r="G4" s="2654"/>
      <c r="H4" s="2654"/>
      <c r="I4" s="2654"/>
      <c r="J4" s="552"/>
      <c r="K4" s="552"/>
      <c r="L4" s="552"/>
      <c r="M4" s="250"/>
      <c r="N4" s="250"/>
      <c r="O4" s="250"/>
      <c r="P4" s="250"/>
      <c r="Q4" s="1661"/>
      <c r="R4" s="1661"/>
      <c r="S4" s="568"/>
      <c r="T4" s="568"/>
      <c r="U4" s="568"/>
      <c r="V4" s="568"/>
      <c r="W4" s="568"/>
      <c r="X4" s="568"/>
      <c r="Y4" s="568"/>
      <c r="Z4" s="250"/>
    </row>
    <row r="5" spans="1:30" s="28" customFormat="1" ht="16.5">
      <c r="A5" s="687"/>
      <c r="B5" s="2618" t="s">
        <v>3234</v>
      </c>
      <c r="C5" s="2618"/>
      <c r="D5" s="2618"/>
      <c r="E5" s="2618"/>
      <c r="F5" s="2618"/>
      <c r="G5" s="2618"/>
      <c r="H5" s="2618"/>
      <c r="I5" s="2618"/>
      <c r="J5" s="554"/>
      <c r="K5" s="554"/>
      <c r="L5" s="554"/>
      <c r="M5" s="172"/>
      <c r="O5" s="172"/>
      <c r="P5" s="172"/>
      <c r="Q5" s="172"/>
      <c r="R5" s="172"/>
      <c r="S5" s="569"/>
      <c r="T5" s="570"/>
      <c r="U5" s="571"/>
      <c r="V5" s="571"/>
      <c r="W5" s="572"/>
      <c r="X5" s="572"/>
      <c r="Y5" s="572"/>
      <c r="Z5" s="178"/>
    </row>
    <row r="6" spans="1:30">
      <c r="B6" s="70"/>
      <c r="C6" s="70"/>
      <c r="D6" s="70"/>
      <c r="E6" s="70"/>
      <c r="F6" s="203"/>
      <c r="G6" s="70"/>
      <c r="H6" s="555"/>
      <c r="I6" s="556"/>
      <c r="J6" s="556"/>
      <c r="K6" s="556"/>
      <c r="L6" s="556"/>
      <c r="M6" s="557"/>
      <c r="N6" s="558"/>
      <c r="O6" s="70"/>
      <c r="P6" s="70"/>
      <c r="Q6" s="1657"/>
      <c r="R6" s="1657"/>
      <c r="S6" s="275"/>
      <c r="T6" s="275"/>
      <c r="U6" s="275"/>
      <c r="V6" s="275"/>
      <c r="W6" s="275"/>
      <c r="X6" s="275"/>
      <c r="Y6" s="275"/>
      <c r="Z6" s="70"/>
      <c r="AA6" s="70"/>
      <c r="AB6" s="70"/>
      <c r="AC6" s="70"/>
    </row>
    <row r="7" spans="1:30" s="71" customFormat="1" ht="18" customHeight="1">
      <c r="A7" s="70"/>
      <c r="B7" s="2408" t="s">
        <v>3396</v>
      </c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  <c r="O7" s="2408"/>
      <c r="P7" s="2408"/>
      <c r="Q7" s="2408"/>
      <c r="R7" s="2408"/>
      <c r="S7" s="2408"/>
      <c r="T7" s="2408"/>
      <c r="U7" s="2408"/>
      <c r="V7" s="2408"/>
      <c r="W7" s="2408"/>
      <c r="X7" s="2408"/>
      <c r="Y7" s="2408"/>
      <c r="Z7" s="2408"/>
      <c r="AA7" s="2408"/>
      <c r="AB7" s="2408"/>
      <c r="AC7" s="2408"/>
    </row>
    <row r="8" spans="1:30" s="71" customFormat="1" ht="18" customHeight="1">
      <c r="A8" s="70"/>
      <c r="B8" s="2962" t="s">
        <v>2135</v>
      </c>
      <c r="C8" s="2962"/>
      <c r="D8" s="2962"/>
      <c r="E8" s="2962"/>
      <c r="F8" s="1993">
        <v>600</v>
      </c>
      <c r="G8" s="1994">
        <v>667.96</v>
      </c>
      <c r="H8" s="70"/>
      <c r="I8" s="559"/>
      <c r="J8" s="559"/>
      <c r="K8" s="559"/>
      <c r="L8" s="559"/>
      <c r="M8" s="70"/>
      <c r="N8" s="70"/>
      <c r="O8" s="70"/>
      <c r="P8" s="70"/>
      <c r="Q8" s="1657"/>
      <c r="R8" s="1882"/>
      <c r="S8" s="1882"/>
      <c r="T8" s="1882"/>
      <c r="U8" s="275"/>
      <c r="V8" s="275"/>
      <c r="W8" s="275"/>
      <c r="X8" s="275"/>
      <c r="Y8" s="275"/>
      <c r="Z8" s="70"/>
      <c r="AA8" s="70"/>
      <c r="AB8" s="70"/>
      <c r="AC8" s="70"/>
    </row>
    <row r="9" spans="1:30" s="71" customFormat="1" ht="13.5" customHeight="1">
      <c r="A9" s="70"/>
      <c r="B9" s="251"/>
      <c r="C9" s="251"/>
      <c r="D9" s="1663"/>
      <c r="E9" s="1665"/>
      <c r="F9" s="2268"/>
      <c r="G9" s="1885"/>
      <c r="H9" s="2268"/>
      <c r="I9" s="1885"/>
      <c r="J9" s="2268"/>
      <c r="K9" s="1885"/>
      <c r="L9" s="2268"/>
      <c r="M9" s="1885"/>
      <c r="N9" s="2268"/>
      <c r="O9" s="1885"/>
      <c r="P9" s="2268"/>
      <c r="Q9" s="1885"/>
      <c r="R9" s="2268"/>
      <c r="S9" s="1885"/>
      <c r="T9" s="2268"/>
      <c r="U9" s="1885"/>
      <c r="V9" s="2268"/>
      <c r="W9" s="1885"/>
      <c r="X9" s="2268"/>
      <c r="Y9" s="1885"/>
      <c r="Z9" s="2268"/>
      <c r="AA9" s="1885"/>
      <c r="AB9" s="1882"/>
      <c r="AC9" s="1885"/>
      <c r="AD9" s="1882"/>
    </row>
    <row r="10" spans="1:30" s="70" customFormat="1" ht="19.5" customHeight="1">
      <c r="A10" s="2969" t="s">
        <v>623</v>
      </c>
      <c r="B10" s="2970"/>
      <c r="C10" s="2603" t="s">
        <v>624</v>
      </c>
      <c r="D10" s="2600" t="s">
        <v>356</v>
      </c>
      <c r="E10" s="2603" t="s">
        <v>2136</v>
      </c>
      <c r="F10" s="2621" t="s">
        <v>2137</v>
      </c>
      <c r="G10" s="2622"/>
      <c r="H10" s="2622"/>
      <c r="I10" s="2622"/>
      <c r="J10" s="2622"/>
      <c r="K10" s="2623"/>
      <c r="L10" s="2623"/>
      <c r="M10" s="2622"/>
      <c r="N10" s="2622"/>
      <c r="O10" s="2622"/>
      <c r="P10" s="2622"/>
      <c r="Q10" s="2623"/>
      <c r="R10" s="2623"/>
      <c r="S10" s="2622"/>
      <c r="T10" s="2622"/>
      <c r="U10" s="2622"/>
      <c r="V10" s="2622"/>
      <c r="W10" s="2622"/>
      <c r="X10" s="2622"/>
      <c r="Y10" s="2622"/>
      <c r="Z10" s="2624"/>
      <c r="AA10" s="2966" t="s">
        <v>2138</v>
      </c>
      <c r="AB10" s="2966" t="s">
        <v>3000</v>
      </c>
      <c r="AC10" s="2605" t="s">
        <v>2139</v>
      </c>
    </row>
    <row r="11" spans="1:30" s="70" customFormat="1" ht="29.25" customHeight="1">
      <c r="A11" s="2971"/>
      <c r="B11" s="2972"/>
      <c r="C11" s="2603"/>
      <c r="D11" s="2601"/>
      <c r="E11" s="2603"/>
      <c r="F11" s="2603" t="s">
        <v>3001</v>
      </c>
      <c r="G11" s="2603"/>
      <c r="H11" s="2605" t="s">
        <v>2142</v>
      </c>
      <c r="I11" s="2605"/>
      <c r="J11" s="2605"/>
      <c r="K11" s="2625"/>
      <c r="L11" s="2625"/>
      <c r="M11" s="2605"/>
      <c r="N11" s="2605"/>
      <c r="O11" s="2626" t="s">
        <v>2999</v>
      </c>
      <c r="P11" s="2626"/>
      <c r="Q11" s="2627"/>
      <c r="R11" s="2627"/>
      <c r="S11" s="2626"/>
      <c r="T11" s="2626"/>
      <c r="U11" s="2626"/>
      <c r="V11" s="2626"/>
      <c r="W11" s="2626"/>
      <c r="X11" s="2626"/>
      <c r="Y11" s="2626"/>
      <c r="Z11" s="2626"/>
      <c r="AA11" s="2967"/>
      <c r="AB11" s="2967"/>
      <c r="AC11" s="2605"/>
    </row>
    <row r="12" spans="1:30" s="29" customFormat="1" ht="100.5" customHeight="1">
      <c r="A12" s="2973"/>
      <c r="B12" s="2974"/>
      <c r="C12" s="2603"/>
      <c r="D12" s="2602"/>
      <c r="E12" s="2604"/>
      <c r="F12" s="210" t="s">
        <v>2061</v>
      </c>
      <c r="G12" s="1384" t="s">
        <v>2144</v>
      </c>
      <c r="H12" s="1389" t="s">
        <v>2145</v>
      </c>
      <c r="I12" s="1390" t="s">
        <v>2147</v>
      </c>
      <c r="J12" s="1390" t="s">
        <v>3422</v>
      </c>
      <c r="K12" s="1390" t="s">
        <v>3423</v>
      </c>
      <c r="L12" s="2264" t="s">
        <v>3421</v>
      </c>
      <c r="M12" s="2258" t="s">
        <v>2994</v>
      </c>
      <c r="N12" s="2258" t="s">
        <v>2150</v>
      </c>
      <c r="O12" s="1660" t="s">
        <v>3008</v>
      </c>
      <c r="P12" s="1660" t="s">
        <v>3232</v>
      </c>
      <c r="Q12" s="1835" t="s">
        <v>3333</v>
      </c>
      <c r="R12" s="1835" t="s">
        <v>3231</v>
      </c>
      <c r="S12" s="1391" t="s">
        <v>3348</v>
      </c>
      <c r="T12" s="1391"/>
      <c r="U12" s="1391"/>
      <c r="V12" s="1391" t="s">
        <v>3319</v>
      </c>
      <c r="W12" s="1391"/>
      <c r="X12" s="1391"/>
      <c r="Y12" s="1391"/>
      <c r="Z12" s="1385" t="s">
        <v>2156</v>
      </c>
      <c r="AA12" s="2968"/>
      <c r="AB12" s="2968"/>
      <c r="AC12" s="2605"/>
    </row>
    <row r="13" spans="1:30" s="29" customFormat="1" ht="53.25" hidden="1" customHeight="1">
      <c r="A13" s="1242"/>
      <c r="B13" s="1388"/>
      <c r="C13" s="1384"/>
      <c r="D13" s="1387"/>
      <c r="E13" s="1388"/>
      <c r="F13" s="210"/>
      <c r="G13" s="1384"/>
      <c r="H13" s="1389"/>
      <c r="I13" s="1390"/>
      <c r="J13" s="1390"/>
      <c r="K13" s="2264"/>
      <c r="L13" s="2264"/>
      <c r="M13" s="1393"/>
      <c r="N13" s="1385"/>
      <c r="O13" s="1386"/>
      <c r="P13" s="1386"/>
      <c r="Q13" s="1835"/>
      <c r="R13" s="1835"/>
      <c r="S13" s="1391"/>
      <c r="T13" s="1391"/>
      <c r="U13" s="1391"/>
      <c r="V13" s="1391"/>
      <c r="W13" s="1391"/>
      <c r="X13" s="1391"/>
      <c r="Y13" s="1391"/>
      <c r="Z13" s="1385"/>
      <c r="AA13" s="1392"/>
      <c r="AB13" s="1392"/>
      <c r="AC13" s="1385"/>
    </row>
    <row r="14" spans="1:30" s="29" customFormat="1" ht="17.25" hidden="1" customHeight="1">
      <c r="A14" s="1242"/>
      <c r="B14" s="1394"/>
      <c r="C14" s="1394"/>
      <c r="D14" s="1388"/>
      <c r="E14" s="1394"/>
      <c r="F14" s="1395"/>
      <c r="G14" s="1394"/>
      <c r="H14" s="1396"/>
      <c r="I14" s="1397"/>
      <c r="J14" s="1397"/>
      <c r="K14" s="2265"/>
      <c r="L14" s="2265"/>
      <c r="M14" s="1394"/>
      <c r="N14" s="1394"/>
      <c r="O14" s="1394"/>
      <c r="P14" s="1394"/>
      <c r="Q14" s="1836"/>
      <c r="R14" s="1836"/>
      <c r="S14" s="1398"/>
      <c r="T14" s="1398"/>
      <c r="U14" s="1398"/>
      <c r="V14" s="1398"/>
      <c r="W14" s="1398"/>
      <c r="X14" s="1398"/>
      <c r="Y14" s="1398"/>
      <c r="Z14" s="1394"/>
      <c r="AA14" s="1399"/>
      <c r="AB14" s="1400"/>
      <c r="AC14" s="1388"/>
    </row>
    <row r="15" spans="1:30" s="1401" customFormat="1" ht="27.75" customHeight="1">
      <c r="A15" s="2975" t="s">
        <v>2985</v>
      </c>
      <c r="B15" s="2976"/>
      <c r="C15" s="2976"/>
      <c r="D15" s="2977"/>
      <c r="E15" s="1244"/>
      <c r="F15" s="1467">
        <f t="shared" ref="F15:AA15" si="0">SUM(F16:F108)</f>
        <v>0</v>
      </c>
      <c r="G15" s="1468">
        <f t="shared" si="0"/>
        <v>0</v>
      </c>
      <c r="H15" s="1468">
        <f t="shared" si="0"/>
        <v>336903</v>
      </c>
      <c r="I15" s="1468">
        <f t="shared" si="0"/>
        <v>910</v>
      </c>
      <c r="J15" s="1468">
        <f t="shared" si="0"/>
        <v>143668.87146912701</v>
      </c>
      <c r="K15" s="2267"/>
      <c r="L15" s="2267"/>
      <c r="M15" s="1468">
        <f t="shared" si="0"/>
        <v>0</v>
      </c>
      <c r="N15" s="1468">
        <f t="shared" si="0"/>
        <v>581218642</v>
      </c>
      <c r="O15" s="1468">
        <f t="shared" si="0"/>
        <v>1998</v>
      </c>
      <c r="P15" s="1468">
        <f t="shared" si="0"/>
        <v>296</v>
      </c>
      <c r="Q15" s="1468">
        <f t="shared" si="0"/>
        <v>0</v>
      </c>
      <c r="R15" s="1468">
        <f t="shared" si="0"/>
        <v>0</v>
      </c>
      <c r="S15" s="1468">
        <f t="shared" si="0"/>
        <v>0</v>
      </c>
      <c r="T15" s="1468">
        <f t="shared" si="0"/>
        <v>0</v>
      </c>
      <c r="U15" s="1468">
        <f t="shared" si="0"/>
        <v>0</v>
      </c>
      <c r="V15" s="1468">
        <f t="shared" si="0"/>
        <v>0</v>
      </c>
      <c r="W15" s="1468">
        <f t="shared" si="0"/>
        <v>0</v>
      </c>
      <c r="X15" s="1468">
        <f t="shared" si="0"/>
        <v>0</v>
      </c>
      <c r="Y15" s="1468">
        <f t="shared" si="0"/>
        <v>0</v>
      </c>
      <c r="Z15" s="1468">
        <f t="shared" si="0"/>
        <v>76728680</v>
      </c>
      <c r="AA15" s="1468">
        <f t="shared" si="0"/>
        <v>657947322</v>
      </c>
      <c r="AB15" s="1469"/>
      <c r="AC15" s="1470">
        <f>SUM(AC16:AC108)</f>
        <v>657947322</v>
      </c>
    </row>
    <row r="16" spans="1:30" s="242" customFormat="1" ht="29.25" customHeight="1">
      <c r="A16" s="1246">
        <v>1</v>
      </c>
      <c r="B16" s="1245">
        <v>1</v>
      </c>
      <c r="C16" s="320" t="str">
        <f>TONGHOPCONGDOI!B11</f>
        <v>04086</v>
      </c>
      <c r="D16" s="1247" t="str">
        <f>TONGHOPCONGDOI!C11</f>
        <v>T. Lê</v>
      </c>
      <c r="E16" s="1243" t="s">
        <v>15</v>
      </c>
      <c r="F16" s="1252"/>
      <c r="G16" s="1248">
        <f>F16*25000</f>
        <v>0</v>
      </c>
      <c r="H16" s="1248">
        <f>VLOOKUP(D16,'TRẠM 1'!$C$15:$Y$107,6,0)</f>
        <v>4716</v>
      </c>
      <c r="I16" s="1248">
        <f>VLOOKUP(D16,'TRẠM 1'!$C$15:$Y$107,7,0)</f>
        <v>0</v>
      </c>
      <c r="J16" s="1248">
        <f>VLOOKUP(D16,'TRẠM 1'!$C$15:$Y$107,8,0)</f>
        <v>2004.4306367838908</v>
      </c>
      <c r="K16" s="1248">
        <f>VLOOKUP(D16,'TRẠM 1'!$C$15:$Y$107,9,0)</f>
        <v>258.44560223458501</v>
      </c>
      <c r="L16" s="1837">
        <f>J16+K16</f>
        <v>2262.8762390184756</v>
      </c>
      <c r="M16" s="1996" t="str">
        <f>VLOOKUP(D16,'TRẠM 1'!$C$15:$Y$107,11,0)</f>
        <v>B</v>
      </c>
      <c r="N16" s="1248">
        <f>VLOOKUP(D16,'TRẠM 1'!$C$15:$Y$107,12,0)</f>
        <v>7874809</v>
      </c>
      <c r="O16" s="1248">
        <f>VLOOKUP(D16,'TRẠM 1'!$C$15:$Y$107,13,0)</f>
        <v>27</v>
      </c>
      <c r="P16" s="1248">
        <f>VLOOKUP(D16,'TRẠM 1'!$C$15:$Y$107,14,0)</f>
        <v>4</v>
      </c>
      <c r="Q16" s="1248">
        <f>VLOOKUP(D16,'TRẠM 1'!$C$15:$Z$107,15,0)</f>
        <v>0</v>
      </c>
      <c r="R16" s="1248">
        <f>VLOOKUP(D16,'TRẠM 1'!$C$15:$Z$107,16,0)</f>
        <v>0</v>
      </c>
      <c r="S16" s="1248">
        <f>VLOOKUP(D16,'TRẠM 1'!$C$15:$Z$107,17,0)</f>
        <v>0</v>
      </c>
      <c r="T16" s="1248"/>
      <c r="U16" s="1248"/>
      <c r="V16" s="1248">
        <f>VLOOKUP(D16,'TRẠM 1'!$C$15:$Z$107,20,0)</f>
        <v>0</v>
      </c>
      <c r="W16" s="1248"/>
      <c r="X16" s="1248"/>
      <c r="Y16" s="1248"/>
      <c r="Z16" s="1881">
        <f>ROUND(((O16*46.1)+(P16*76.9)+(Q16*92.2)+(R16*153.8))*$G$8+(S16*100000)+(V16*20000),0)</f>
        <v>1036874</v>
      </c>
      <c r="AA16" s="1471">
        <f>+N16+G16+Z16</f>
        <v>8911683</v>
      </c>
      <c r="AB16" s="1472"/>
      <c r="AC16" s="1420">
        <f>AA16-AB16</f>
        <v>8911683</v>
      </c>
      <c r="AD16" s="242">
        <v>1</v>
      </c>
    </row>
    <row r="17" spans="1:30" s="242" customFormat="1" ht="29.25" customHeight="1">
      <c r="A17" s="1246">
        <v>2</v>
      </c>
      <c r="B17" s="1245">
        <v>2</v>
      </c>
      <c r="C17" s="320" t="str">
        <f>TONGHOPCONGDOI!B12</f>
        <v>02735</v>
      </c>
      <c r="D17" s="1247" t="str">
        <f>TONGHOPCONGDOI!C12</f>
        <v xml:space="preserve">Nang On Teng </v>
      </c>
      <c r="E17" s="1243" t="s">
        <v>15</v>
      </c>
      <c r="F17" s="1252"/>
      <c r="G17" s="1248">
        <f t="shared" ref="G17:G80" si="1">F17*25000</f>
        <v>0</v>
      </c>
      <c r="H17" s="1248">
        <f>VLOOKUP(D17,'TRẠM 1'!$C$15:$Y$107,6,0)</f>
        <v>3810</v>
      </c>
      <c r="I17" s="1248">
        <f>VLOOKUP(D17,'TRẠM 1'!$C$15:$Y$107,7,0)</f>
        <v>0</v>
      </c>
      <c r="J17" s="1248">
        <f>VLOOKUP(D17,'TRẠM 1'!$C$15:$Y$107,8,0)</f>
        <v>1619.3555398953824</v>
      </c>
      <c r="K17" s="1248">
        <f>VLOOKUP(D17,'TRẠM 1'!$C$15:$Y$107,9,0)</f>
        <v>208.79511122005275</v>
      </c>
      <c r="L17" s="1837">
        <f t="shared" ref="L17:L80" si="2">J17+K17</f>
        <v>1828.1506511154353</v>
      </c>
      <c r="M17" s="1996" t="str">
        <f>VLOOKUP(D17,'TRẠM 1'!$C$15:$Y$107,11,0)</f>
        <v>A</v>
      </c>
      <c r="N17" s="1248">
        <f>VLOOKUP(D17,'TRẠM 1'!$C$15:$Y$107,12,0)</f>
        <v>6691031</v>
      </c>
      <c r="O17" s="1248">
        <f>VLOOKUP(D17,'TRẠM 1'!$C$15:$Y$107,13,0)</f>
        <v>24</v>
      </c>
      <c r="P17" s="1248">
        <f>VLOOKUP(D17,'TRẠM 1'!$C$15:$Y$107,14,0)</f>
        <v>4</v>
      </c>
      <c r="Q17" s="1248">
        <f>VLOOKUP(D17,'TRẠM 1'!$C$15:$Z$107,15,0)</f>
        <v>0</v>
      </c>
      <c r="R17" s="1248">
        <f>VLOOKUP(D17,'TRẠM 1'!$C$15:$Z$107,16,0)</f>
        <v>0</v>
      </c>
      <c r="S17" s="1248">
        <f>VLOOKUP(D17,'TRẠM 1'!$C$15:$Z$107,17,0)</f>
        <v>0</v>
      </c>
      <c r="T17" s="1248"/>
      <c r="U17" s="1248"/>
      <c r="V17" s="1248">
        <f>VLOOKUP(D17,'TRẠM 1'!$C$15:$Z$107,20,0)</f>
        <v>0</v>
      </c>
      <c r="W17" s="1248"/>
      <c r="X17" s="1248"/>
      <c r="Y17" s="1248"/>
      <c r="Z17" s="1881">
        <f t="shared" ref="Z17:Z80" si="3">ROUND(((O17*46.1)+(P17*76.9)+(Q17*92.2)+(R17*153.8))*$G$8+(S17*100000)+(V17*20000),0)</f>
        <v>944495</v>
      </c>
      <c r="AA17" s="1471">
        <f t="shared" ref="AA17:AA47" si="4">+N17+G17+Z17</f>
        <v>7635526</v>
      </c>
      <c r="AB17" s="1472"/>
      <c r="AC17" s="1420">
        <f t="shared" ref="AC17:AC26" si="5">AA17</f>
        <v>7635526</v>
      </c>
      <c r="AD17" s="242">
        <v>2</v>
      </c>
    </row>
    <row r="18" spans="1:30" s="242" customFormat="1" ht="29.25" customHeight="1">
      <c r="A18" s="1246">
        <v>3</v>
      </c>
      <c r="B18" s="1245">
        <v>3</v>
      </c>
      <c r="C18" s="320" t="str">
        <f>TONGHOPCONGDOI!B13</f>
        <v>03518</v>
      </c>
      <c r="D18" s="1247" t="str">
        <f>TONGHOPCONGDOI!C13</f>
        <v>T. Đôn Ma</v>
      </c>
      <c r="E18" s="1243" t="s">
        <v>15</v>
      </c>
      <c r="F18" s="1252"/>
      <c r="G18" s="1248">
        <f t="shared" si="1"/>
        <v>0</v>
      </c>
      <c r="H18" s="1248">
        <f>VLOOKUP(D18,'TRẠM 1'!$C$15:$Y$107,6,0)</f>
        <v>3818</v>
      </c>
      <c r="I18" s="1248">
        <f>VLOOKUP(D18,'TRẠM 1'!$C$15:$Y$107,7,0)</f>
        <v>0</v>
      </c>
      <c r="J18" s="1248">
        <f>VLOOKUP(D18,'TRẠM 1'!$C$15:$Y$107,8,0)</f>
        <v>1622.7557615014621</v>
      </c>
      <c r="K18" s="1248">
        <f>VLOOKUP(D18,'TRẠM 1'!$C$15:$Y$107,9,0)</f>
        <v>209.23352615174841</v>
      </c>
      <c r="L18" s="1837">
        <f t="shared" si="2"/>
        <v>1831.9892876532106</v>
      </c>
      <c r="M18" s="1996" t="str">
        <f>VLOOKUP(D18,'TRẠM 1'!$C$15:$Y$107,11,0)</f>
        <v>A</v>
      </c>
      <c r="N18" s="1248">
        <f>VLOOKUP(D18,'TRẠM 1'!$C$15:$Y$107,12,0)</f>
        <v>6705081</v>
      </c>
      <c r="O18" s="1248">
        <f>VLOOKUP(D18,'TRẠM 1'!$C$15:$Y$107,13,0)</f>
        <v>24</v>
      </c>
      <c r="P18" s="1248">
        <f>VLOOKUP(D18,'TRẠM 1'!$C$15:$Y$107,14,0)</f>
        <v>4</v>
      </c>
      <c r="Q18" s="1248">
        <f>VLOOKUP(D18,'TRẠM 1'!$C$15:$Z$107,15,0)</f>
        <v>0</v>
      </c>
      <c r="R18" s="1248">
        <f>VLOOKUP(D18,'TRẠM 1'!$C$15:$Z$107,16,0)</f>
        <v>0</v>
      </c>
      <c r="S18" s="1248">
        <f>VLOOKUP(D18,'TRẠM 1'!$C$15:$Z$107,17,0)</f>
        <v>0</v>
      </c>
      <c r="T18" s="1248"/>
      <c r="U18" s="1248"/>
      <c r="V18" s="1248">
        <f>VLOOKUP(D18,'TRẠM 1'!$C$15:$Z$107,20,0)</f>
        <v>0</v>
      </c>
      <c r="W18" s="1248"/>
      <c r="X18" s="1248"/>
      <c r="Y18" s="1248"/>
      <c r="Z18" s="1881">
        <f t="shared" si="3"/>
        <v>944495</v>
      </c>
      <c r="AA18" s="1471">
        <f t="shared" si="4"/>
        <v>7649576</v>
      </c>
      <c r="AB18" s="1472"/>
      <c r="AC18" s="1420">
        <f t="shared" si="5"/>
        <v>7649576</v>
      </c>
      <c r="AD18" s="242">
        <v>3</v>
      </c>
    </row>
    <row r="19" spans="1:30" s="242" customFormat="1" ht="29.25" customHeight="1">
      <c r="A19" s="1246">
        <v>4</v>
      </c>
      <c r="B19" s="1245">
        <v>4</v>
      </c>
      <c r="C19" s="320" t="str">
        <f>TONGHOPCONGDOI!B14</f>
        <v>04087</v>
      </c>
      <c r="D19" s="1247" t="str">
        <f>TONGHOPCONGDOI!C14</f>
        <v>N. La Ty</v>
      </c>
      <c r="E19" s="1243" t="s">
        <v>15</v>
      </c>
      <c r="F19" s="1252"/>
      <c r="G19" s="1248">
        <f t="shared" si="1"/>
        <v>0</v>
      </c>
      <c r="H19" s="1248">
        <f>VLOOKUP(D19,'TRẠM 1'!$C$15:$Y$107,6,0)</f>
        <v>4505</v>
      </c>
      <c r="I19" s="1248">
        <f>VLOOKUP(D19,'TRẠM 1'!$C$15:$Y$107,7,0)</f>
        <v>0</v>
      </c>
      <c r="J19" s="1248">
        <f>VLOOKUP(D19,'TRẠM 1'!$C$15:$Y$107,8,0)</f>
        <v>1914.7497919235427</v>
      </c>
      <c r="K19" s="1248">
        <f>VLOOKUP(D19,'TRẠM 1'!$C$15:$Y$107,9,0)</f>
        <v>246.88240841111224</v>
      </c>
      <c r="L19" s="1837">
        <f t="shared" si="2"/>
        <v>2161.632200334655</v>
      </c>
      <c r="M19" s="1996" t="str">
        <f>VLOOKUP(D19,'TRẠM 1'!$C$15:$Y$107,11,0)</f>
        <v>A</v>
      </c>
      <c r="N19" s="1248">
        <f>VLOOKUP(D19,'TRẠM 1'!$C$15:$Y$107,12,0)</f>
        <v>7911574</v>
      </c>
      <c r="O19" s="1248">
        <f>VLOOKUP(D19,'TRẠM 1'!$C$15:$Y$107,13,0)</f>
        <v>27</v>
      </c>
      <c r="P19" s="1248">
        <f>VLOOKUP(D19,'TRẠM 1'!$C$15:$Y$107,14,0)</f>
        <v>4</v>
      </c>
      <c r="Q19" s="1248">
        <f>VLOOKUP(D19,'TRẠM 1'!$C$15:$Z$107,15,0)</f>
        <v>0</v>
      </c>
      <c r="R19" s="1248">
        <f>VLOOKUP(D19,'TRẠM 1'!$C$15:$Z$107,16,0)</f>
        <v>0</v>
      </c>
      <c r="S19" s="1248">
        <f>VLOOKUP(D19,'TRẠM 1'!$C$15:$Z$107,17,0)</f>
        <v>0</v>
      </c>
      <c r="T19" s="1248"/>
      <c r="U19" s="1248"/>
      <c r="V19" s="1248">
        <f>VLOOKUP(D19,'TRẠM 1'!$C$15:$Z$107,20,0)</f>
        <v>0</v>
      </c>
      <c r="W19" s="1248"/>
      <c r="X19" s="1248"/>
      <c r="Y19" s="1248"/>
      <c r="Z19" s="1881">
        <f t="shared" si="3"/>
        <v>1036874</v>
      </c>
      <c r="AA19" s="1471">
        <f t="shared" si="4"/>
        <v>8948448</v>
      </c>
      <c r="AB19" s="1472"/>
      <c r="AC19" s="1420">
        <f t="shared" si="5"/>
        <v>8948448</v>
      </c>
      <c r="AD19" s="242">
        <v>4</v>
      </c>
    </row>
    <row r="20" spans="1:30" s="242" customFormat="1" ht="29.25" customHeight="1">
      <c r="A20" s="1246">
        <v>5</v>
      </c>
      <c r="B20" s="1245">
        <v>5</v>
      </c>
      <c r="C20" s="320" t="str">
        <f>TONGHOPCONGDOI!B15</f>
        <v>04088</v>
      </c>
      <c r="D20" s="1247" t="str">
        <f>TONGHOPCONGDOI!C15</f>
        <v>Thong Say</v>
      </c>
      <c r="E20" s="1243" t="s">
        <v>15</v>
      </c>
      <c r="F20" s="1252"/>
      <c r="G20" s="1248">
        <f t="shared" si="1"/>
        <v>0</v>
      </c>
      <c r="H20" s="1248">
        <f>VLOOKUP(D20,'TRẠM 1'!$C$15:$Y$107,6,0)</f>
        <v>3941</v>
      </c>
      <c r="I20" s="1248">
        <f>VLOOKUP(D20,'TRẠM 1'!$C$15:$Y$107,7,0)</f>
        <v>0</v>
      </c>
      <c r="J20" s="1248">
        <f>VLOOKUP(D20,'TRẠM 1'!$C$15:$Y$107,8,0)</f>
        <v>1675.034168694935</v>
      </c>
      <c r="K20" s="1248">
        <f>VLOOKUP(D20,'TRẠM 1'!$C$15:$Y$107,9,0)</f>
        <v>215.97415572656899</v>
      </c>
      <c r="L20" s="1837">
        <f t="shared" si="2"/>
        <v>1891.0083244215041</v>
      </c>
      <c r="M20" s="1996" t="str">
        <f>VLOOKUP(D20,'TRẠM 1'!$C$15:$Y$107,11,0)</f>
        <v>B</v>
      </c>
      <c r="N20" s="1248">
        <f>VLOOKUP(D20,'TRẠM 1'!$C$15:$Y$107,12,0)</f>
        <v>6580709</v>
      </c>
      <c r="O20" s="1248">
        <f>VLOOKUP(D20,'TRẠM 1'!$C$15:$Y$107,13,0)</f>
        <v>27</v>
      </c>
      <c r="P20" s="1248">
        <f>VLOOKUP(D20,'TRẠM 1'!$C$15:$Y$107,14,0)</f>
        <v>4</v>
      </c>
      <c r="Q20" s="1248">
        <f>VLOOKUP(D20,'TRẠM 1'!$C$15:$Z$107,15,0)</f>
        <v>0</v>
      </c>
      <c r="R20" s="1248">
        <f>VLOOKUP(D20,'TRẠM 1'!$C$15:$Z$107,16,0)</f>
        <v>0</v>
      </c>
      <c r="S20" s="1248">
        <f>VLOOKUP(D20,'TRẠM 1'!$C$15:$Z$107,17,0)</f>
        <v>0</v>
      </c>
      <c r="T20" s="1248"/>
      <c r="U20" s="1248"/>
      <c r="V20" s="1248">
        <f>VLOOKUP(D20,'TRẠM 1'!$C$15:$Z$107,20,0)</f>
        <v>0</v>
      </c>
      <c r="W20" s="1248"/>
      <c r="X20" s="1248"/>
      <c r="Y20" s="1248"/>
      <c r="Z20" s="1881">
        <f t="shared" si="3"/>
        <v>1036874</v>
      </c>
      <c r="AA20" s="1471">
        <f t="shared" si="4"/>
        <v>7617583</v>
      </c>
      <c r="AB20" s="1472"/>
      <c r="AC20" s="1420">
        <f t="shared" si="5"/>
        <v>7617583</v>
      </c>
      <c r="AD20" s="242">
        <v>5</v>
      </c>
    </row>
    <row r="21" spans="1:30" s="242" customFormat="1" ht="29.25" customHeight="1">
      <c r="A21" s="1246">
        <v>6</v>
      </c>
      <c r="B21" s="1245">
        <v>6</v>
      </c>
      <c r="C21" s="320" t="str">
        <f>TONGHOPCONGDOI!B16</f>
        <v>03545</v>
      </c>
      <c r="D21" s="1247" t="str">
        <f>TONGHOPCONGDOI!C16</f>
        <v>Phon Xa Văn</v>
      </c>
      <c r="E21" s="1243" t="s">
        <v>15</v>
      </c>
      <c r="F21" s="1252"/>
      <c r="G21" s="1248">
        <f t="shared" si="1"/>
        <v>0</v>
      </c>
      <c r="H21" s="1248">
        <f>VLOOKUP(D21,'TRẠM 1'!$C$15:$Y$107,6,0)</f>
        <v>4423</v>
      </c>
      <c r="I21" s="1248">
        <f>VLOOKUP(D21,'TRẠM 1'!$C$15:$Y$107,7,0)</f>
        <v>0</v>
      </c>
      <c r="J21" s="1248">
        <f>VLOOKUP(D21,'TRẠM 1'!$C$15:$Y$107,8,0)</f>
        <v>1879.8975204612275</v>
      </c>
      <c r="K21" s="1248">
        <f>VLOOKUP(D21,'TRẠM 1'!$C$15:$Y$107,9,0)</f>
        <v>242.38865536123186</v>
      </c>
      <c r="L21" s="1837">
        <f t="shared" si="2"/>
        <v>2122.2861758224594</v>
      </c>
      <c r="M21" s="1996" t="str">
        <f>VLOOKUP(D21,'TRẠM 1'!$C$15:$Y$107,11,0)</f>
        <v>A</v>
      </c>
      <c r="N21" s="1248">
        <f>VLOOKUP(D21,'TRẠM 1'!$C$15:$Y$107,12,0)</f>
        <v>7767567</v>
      </c>
      <c r="O21" s="1248">
        <f>VLOOKUP(D21,'TRẠM 1'!$C$15:$Y$107,13,0)</f>
        <v>27</v>
      </c>
      <c r="P21" s="1248">
        <f>VLOOKUP(D21,'TRẠM 1'!$C$15:$Y$107,14,0)</f>
        <v>4</v>
      </c>
      <c r="Q21" s="1248">
        <f>VLOOKUP(D21,'TRẠM 1'!$C$15:$Z$107,15,0)</f>
        <v>0</v>
      </c>
      <c r="R21" s="1248">
        <f>VLOOKUP(D21,'TRẠM 1'!$C$15:$Z$107,16,0)</f>
        <v>0</v>
      </c>
      <c r="S21" s="1248">
        <f>VLOOKUP(D21,'TRẠM 1'!$C$15:$Z$107,17,0)</f>
        <v>0</v>
      </c>
      <c r="T21" s="1248"/>
      <c r="U21" s="1248"/>
      <c r="V21" s="1248">
        <f>VLOOKUP(D21,'TRẠM 1'!$C$15:$Z$107,20,0)</f>
        <v>0</v>
      </c>
      <c r="W21" s="1248"/>
      <c r="X21" s="1248"/>
      <c r="Y21" s="1248"/>
      <c r="Z21" s="1881">
        <f t="shared" si="3"/>
        <v>1036874</v>
      </c>
      <c r="AA21" s="1471">
        <f t="shared" si="4"/>
        <v>8804441</v>
      </c>
      <c r="AB21" s="1472"/>
      <c r="AC21" s="1420">
        <f t="shared" si="5"/>
        <v>8804441</v>
      </c>
      <c r="AD21" s="242">
        <v>6</v>
      </c>
    </row>
    <row r="22" spans="1:30" s="242" customFormat="1" ht="29.25" customHeight="1">
      <c r="A22" s="1246">
        <v>7</v>
      </c>
      <c r="B22" s="1245">
        <v>7</v>
      </c>
      <c r="C22" s="320" t="str">
        <f>TONGHOPCONGDOI!B17</f>
        <v>04089</v>
      </c>
      <c r="D22" s="1247" t="str">
        <f>TONGHOPCONGDOI!C17</f>
        <v>N. Tỏi</v>
      </c>
      <c r="E22" s="1243" t="s">
        <v>15</v>
      </c>
      <c r="F22" s="1252"/>
      <c r="G22" s="1248">
        <f t="shared" si="1"/>
        <v>0</v>
      </c>
      <c r="H22" s="1248">
        <f>VLOOKUP(D22,'TRẠM 1'!$C$15:$Y$107,6,0)</f>
        <v>4040</v>
      </c>
      <c r="I22" s="1248">
        <f>VLOOKUP(D22,'TRẠM 1'!$C$15:$Y$107,7,0)</f>
        <v>0</v>
      </c>
      <c r="J22" s="1248">
        <f>VLOOKUP(D22,'TRẠM 1'!$C$15:$Y$107,8,0)</f>
        <v>1717.1119110701693</v>
      </c>
      <c r="K22" s="1248">
        <f>VLOOKUP(D22,'TRẠM 1'!$C$15:$Y$107,9,0)</f>
        <v>221.39954050630266</v>
      </c>
      <c r="L22" s="1837">
        <f t="shared" si="2"/>
        <v>1938.5114515764719</v>
      </c>
      <c r="M22" s="1996" t="str">
        <f>VLOOKUP(D22,'TRẠM 1'!$C$15:$Y$107,11,0)</f>
        <v>A</v>
      </c>
      <c r="N22" s="1248">
        <f>VLOOKUP(D22,'TRẠM 1'!$C$15:$Y$107,12,0)</f>
        <v>7094952</v>
      </c>
      <c r="O22" s="1248">
        <f>VLOOKUP(D22,'TRẠM 1'!$C$15:$Y$107,13,0)</f>
        <v>25</v>
      </c>
      <c r="P22" s="1248">
        <f>VLOOKUP(D22,'TRẠM 1'!$C$15:$Y$107,14,0)</f>
        <v>4</v>
      </c>
      <c r="Q22" s="1248">
        <f>VLOOKUP(D22,'TRẠM 1'!$C$15:$Z$107,15,0)</f>
        <v>0</v>
      </c>
      <c r="R22" s="1248">
        <f>VLOOKUP(D22,'TRẠM 1'!$C$15:$Z$107,16,0)</f>
        <v>0</v>
      </c>
      <c r="S22" s="1248">
        <f>VLOOKUP(D22,'TRẠM 1'!$C$15:$Z$107,17,0)</f>
        <v>0</v>
      </c>
      <c r="T22" s="1248"/>
      <c r="U22" s="1248"/>
      <c r="V22" s="1248">
        <f>VLOOKUP(D22,'TRẠM 1'!$C$15:$Z$107,20,0)</f>
        <v>0</v>
      </c>
      <c r="W22" s="1248"/>
      <c r="X22" s="1248"/>
      <c r="Y22" s="1248"/>
      <c r="Z22" s="1881">
        <f t="shared" si="3"/>
        <v>975288</v>
      </c>
      <c r="AA22" s="1471">
        <f t="shared" si="4"/>
        <v>8070240</v>
      </c>
      <c r="AB22" s="1472"/>
      <c r="AC22" s="1420">
        <f t="shared" si="5"/>
        <v>8070240</v>
      </c>
      <c r="AD22" s="242">
        <v>7</v>
      </c>
    </row>
    <row r="23" spans="1:30" s="242" customFormat="1" ht="29.25" customHeight="1">
      <c r="A23" s="1246">
        <v>8</v>
      </c>
      <c r="B23" s="1245">
        <v>8</v>
      </c>
      <c r="C23" s="320">
        <f>TONGHOPCONGDOI!B18</f>
        <v>0</v>
      </c>
      <c r="D23" s="1247" t="str">
        <f>TONGHOPCONGDOI!C18</f>
        <v>Na Ly</v>
      </c>
      <c r="E23" s="1243" t="s">
        <v>15</v>
      </c>
      <c r="F23" s="1252"/>
      <c r="G23" s="1248">
        <f t="shared" si="1"/>
        <v>0</v>
      </c>
      <c r="H23" s="1248">
        <f>VLOOKUP(D23,'TRẠM 1'!$C$15:$Y$107,6,0)</f>
        <v>4754</v>
      </c>
      <c r="I23" s="1248">
        <f>VLOOKUP(D23,'TRẠM 1'!$C$15:$Y$107,7,0)</f>
        <v>0</v>
      </c>
      <c r="J23" s="1248">
        <f>VLOOKUP(D23,'TRẠM 1'!$C$15:$Y$107,8,0)</f>
        <v>2020.5816894127686</v>
      </c>
      <c r="K23" s="1248">
        <f>VLOOKUP(D23,'TRẠM 1'!$C$15:$Y$107,9,0)</f>
        <v>260.52807316013929</v>
      </c>
      <c r="L23" s="1837">
        <f t="shared" si="2"/>
        <v>2281.109762572908</v>
      </c>
      <c r="M23" s="1996" t="str">
        <f>VLOOKUP(D23,'TRẠM 1'!$C$15:$Y$107,11,0)</f>
        <v>A</v>
      </c>
      <c r="N23" s="1248">
        <f>VLOOKUP(D23,'TRẠM 1'!$C$15:$Y$107,12,0)</f>
        <v>8348862</v>
      </c>
      <c r="O23" s="1248">
        <f>VLOOKUP(D23,'TRẠM 1'!$C$15:$Y$107,13,0)</f>
        <v>27</v>
      </c>
      <c r="P23" s="1248">
        <f>VLOOKUP(D23,'TRẠM 1'!$C$15:$Y$107,14,0)</f>
        <v>4</v>
      </c>
      <c r="Q23" s="1248">
        <f>VLOOKUP(D23,'TRẠM 1'!$C$15:$Z$107,15,0)</f>
        <v>0</v>
      </c>
      <c r="R23" s="1248">
        <f>VLOOKUP(D23,'TRẠM 1'!$C$15:$Z$107,16,0)</f>
        <v>0</v>
      </c>
      <c r="S23" s="1248">
        <f>VLOOKUP(D23,'TRẠM 1'!$C$15:$Z$107,17,0)</f>
        <v>0</v>
      </c>
      <c r="T23" s="1248"/>
      <c r="U23" s="1248"/>
      <c r="V23" s="1248">
        <f>VLOOKUP(D23,'TRẠM 1'!$C$15:$Z$107,20,0)</f>
        <v>0</v>
      </c>
      <c r="W23" s="1248"/>
      <c r="X23" s="1248"/>
      <c r="Y23" s="1248"/>
      <c r="Z23" s="1881">
        <f t="shared" si="3"/>
        <v>1036874</v>
      </c>
      <c r="AA23" s="1471">
        <f t="shared" si="4"/>
        <v>9385736</v>
      </c>
      <c r="AB23" s="1472"/>
      <c r="AC23" s="1420">
        <f t="shared" si="5"/>
        <v>9385736</v>
      </c>
      <c r="AD23" s="242">
        <v>8</v>
      </c>
    </row>
    <row r="24" spans="1:30" s="242" customFormat="1" ht="29.25" customHeight="1">
      <c r="A24" s="1246">
        <v>9</v>
      </c>
      <c r="B24" s="1245">
        <v>9</v>
      </c>
      <c r="C24" s="320" t="str">
        <f>TONGHOPCONGDOI!B19</f>
        <v>02739</v>
      </c>
      <c r="D24" s="1247" t="str">
        <f>TONGHOPCONGDOI!C19</f>
        <v>Thảo Lẹ</v>
      </c>
      <c r="E24" s="1243" t="s">
        <v>15</v>
      </c>
      <c r="F24" s="1252"/>
      <c r="G24" s="1248">
        <f t="shared" si="1"/>
        <v>0</v>
      </c>
      <c r="H24" s="1248">
        <f>VLOOKUP(D24,'TRẠM 1'!$C$15:$Y$107,6,0)</f>
        <v>5387</v>
      </c>
      <c r="I24" s="1248">
        <f>VLOOKUP(D24,'TRẠM 1'!$C$15:$Y$107,7,0)</f>
        <v>0</v>
      </c>
      <c r="J24" s="1248">
        <f>VLOOKUP(D24,'TRẠM 1'!$C$15:$Y$107,8,0)</f>
        <v>2289.6242239938124</v>
      </c>
      <c r="K24" s="1248">
        <f>VLOOKUP(D24,'TRẠM 1'!$C$15:$Y$107,9,0)</f>
        <v>295.21765463055755</v>
      </c>
      <c r="L24" s="1837">
        <f t="shared" si="2"/>
        <v>2584.8418786243701</v>
      </c>
      <c r="M24" s="1996" t="str">
        <f>VLOOKUP(D24,'TRẠM 1'!$C$15:$Y$107,11,0)</f>
        <v>B</v>
      </c>
      <c r="N24" s="1248">
        <f>VLOOKUP(D24,'TRẠM 1'!$C$15:$Y$107,12,0)</f>
        <v>8995250</v>
      </c>
      <c r="O24" s="1248">
        <f>VLOOKUP(D24,'TRẠM 1'!$C$15:$Y$107,13,0)</f>
        <v>27</v>
      </c>
      <c r="P24" s="1248">
        <f>VLOOKUP(D24,'TRẠM 1'!$C$15:$Y$107,14,0)</f>
        <v>4</v>
      </c>
      <c r="Q24" s="1248">
        <f>VLOOKUP(D24,'TRẠM 1'!$C$15:$Z$107,15,0)</f>
        <v>0</v>
      </c>
      <c r="R24" s="1248">
        <f>VLOOKUP(D24,'TRẠM 1'!$C$15:$Z$107,16,0)</f>
        <v>0</v>
      </c>
      <c r="S24" s="1248">
        <f>VLOOKUP(D24,'TRẠM 1'!$C$15:$Z$107,17,0)</f>
        <v>0</v>
      </c>
      <c r="T24" s="1248"/>
      <c r="U24" s="1248"/>
      <c r="V24" s="1248">
        <f>VLOOKUP(D24,'TRẠM 1'!$C$15:$Z$107,20,0)</f>
        <v>0</v>
      </c>
      <c r="W24" s="1248"/>
      <c r="X24" s="1248"/>
      <c r="Y24" s="1248"/>
      <c r="Z24" s="1881">
        <f t="shared" si="3"/>
        <v>1036874</v>
      </c>
      <c r="AA24" s="1471">
        <f t="shared" si="4"/>
        <v>10032124</v>
      </c>
      <c r="AB24" s="1472"/>
      <c r="AC24" s="1420">
        <f t="shared" si="5"/>
        <v>10032124</v>
      </c>
      <c r="AD24" s="242">
        <v>9</v>
      </c>
    </row>
    <row r="25" spans="1:30" s="242" customFormat="1" ht="29.25" customHeight="1">
      <c r="A25" s="1246">
        <v>10</v>
      </c>
      <c r="B25" s="1245">
        <v>10</v>
      </c>
      <c r="C25" s="320" t="str">
        <f>TONGHOPCONGDOI!B20</f>
        <v>04090</v>
      </c>
      <c r="D25" s="1247" t="str">
        <f>TONGHOPCONGDOI!C20</f>
        <v>N. Đeng (2)</v>
      </c>
      <c r="E25" s="1243" t="s">
        <v>15</v>
      </c>
      <c r="F25" s="1252"/>
      <c r="G25" s="1248">
        <f t="shared" si="1"/>
        <v>0</v>
      </c>
      <c r="H25" s="1248">
        <f>VLOOKUP(D25,'TRẠM 1'!$C$15:$Y$107,6,0)</f>
        <v>4359</v>
      </c>
      <c r="I25" s="1248">
        <f>VLOOKUP(D25,'TRẠM 1'!$C$15:$Y$107,7,0)</f>
        <v>0</v>
      </c>
      <c r="J25" s="1248">
        <f>VLOOKUP(D25,'TRẠM 1'!$C$15:$Y$107,8,0)</f>
        <v>1852.695747612591</v>
      </c>
      <c r="K25" s="1248">
        <f>VLOOKUP(D25,'TRẠM 1'!$C$15:$Y$107,9,0)</f>
        <v>238.88133590766665</v>
      </c>
      <c r="L25" s="1837">
        <f t="shared" si="2"/>
        <v>2091.5770835202575</v>
      </c>
      <c r="M25" s="1996" t="str">
        <f>VLOOKUP(D25,'TRẠM 1'!$C$15:$Y$107,11,0)</f>
        <v>B</v>
      </c>
      <c r="N25" s="1248">
        <f>VLOOKUP(D25,'TRẠM 1'!$C$15:$Y$107,12,0)</f>
        <v>7278688</v>
      </c>
      <c r="O25" s="1248">
        <f>VLOOKUP(D25,'TRẠM 1'!$C$15:$Y$107,13,0)</f>
        <v>27</v>
      </c>
      <c r="P25" s="1248">
        <f>VLOOKUP(D25,'TRẠM 1'!$C$15:$Y$107,14,0)</f>
        <v>4</v>
      </c>
      <c r="Q25" s="1248">
        <f>VLOOKUP(D25,'TRẠM 1'!$C$15:$Z$107,15,0)</f>
        <v>0</v>
      </c>
      <c r="R25" s="1248">
        <f>VLOOKUP(D25,'TRẠM 1'!$C$15:$Z$107,16,0)</f>
        <v>0</v>
      </c>
      <c r="S25" s="1248">
        <f>VLOOKUP(D25,'TRẠM 1'!$C$15:$Z$107,17,0)</f>
        <v>0</v>
      </c>
      <c r="T25" s="1248"/>
      <c r="U25" s="1248"/>
      <c r="V25" s="1248">
        <f>VLOOKUP(D25,'TRẠM 1'!$C$15:$Z$107,20,0)</f>
        <v>0</v>
      </c>
      <c r="W25" s="1248"/>
      <c r="X25" s="1248"/>
      <c r="Y25" s="1248"/>
      <c r="Z25" s="1881">
        <f t="shared" si="3"/>
        <v>1036874</v>
      </c>
      <c r="AA25" s="1471">
        <f t="shared" si="4"/>
        <v>8315562</v>
      </c>
      <c r="AB25" s="1472"/>
      <c r="AC25" s="1420">
        <f t="shared" si="5"/>
        <v>8315562</v>
      </c>
      <c r="AD25" s="242">
        <v>10</v>
      </c>
    </row>
    <row r="26" spans="1:30" s="242" customFormat="1" ht="29.25" customHeight="1">
      <c r="A26" s="1246">
        <v>11</v>
      </c>
      <c r="B26" s="1245">
        <v>11</v>
      </c>
      <c r="C26" s="320" t="str">
        <f>TONGHOPCONGDOI!B21</f>
        <v>03509</v>
      </c>
      <c r="D26" s="1247" t="str">
        <f>TONGHOPCONGDOI!C21</f>
        <v>T. May</v>
      </c>
      <c r="E26" s="1243" t="s">
        <v>15</v>
      </c>
      <c r="F26" s="1252"/>
      <c r="G26" s="1248">
        <f t="shared" si="1"/>
        <v>0</v>
      </c>
      <c r="H26" s="1248">
        <f>VLOOKUP(D26,'TRẠM 1'!$C$15:$Y$107,6,0)</f>
        <v>5372</v>
      </c>
      <c r="I26" s="1248">
        <f>VLOOKUP(D26,'TRẠM 1'!$C$15:$Y$107,7,0)</f>
        <v>0</v>
      </c>
      <c r="J26" s="1248">
        <f>VLOOKUP(D26,'TRẠM 1'!$C$15:$Y$107,8,0)</f>
        <v>2283.2488084824131</v>
      </c>
      <c r="K26" s="1248">
        <f>VLOOKUP(D26,'TRẠM 1'!$C$15:$Y$107,9,0)</f>
        <v>294.39562663362818</v>
      </c>
      <c r="L26" s="1837">
        <f t="shared" si="2"/>
        <v>2577.6444351160412</v>
      </c>
      <c r="M26" s="1996" t="str">
        <f>VLOOKUP(D26,'TRẠM 1'!$C$15:$Y$107,11,0)</f>
        <v>A</v>
      </c>
      <c r="N26" s="1248">
        <f>VLOOKUP(D26,'TRẠM 1'!$C$15:$Y$107,12,0)</f>
        <v>9434179</v>
      </c>
      <c r="O26" s="1248">
        <f>VLOOKUP(D26,'TRẠM 1'!$C$15:$Y$107,13,0)</f>
        <v>27</v>
      </c>
      <c r="P26" s="1248">
        <f>VLOOKUP(D26,'TRẠM 1'!$C$15:$Y$107,14,0)</f>
        <v>4</v>
      </c>
      <c r="Q26" s="1248">
        <f>VLOOKUP(D26,'TRẠM 1'!$C$15:$Z$107,15,0)</f>
        <v>0</v>
      </c>
      <c r="R26" s="1248">
        <f>VLOOKUP(D26,'TRẠM 1'!$C$15:$Z$107,16,0)</f>
        <v>0</v>
      </c>
      <c r="S26" s="1248">
        <f>VLOOKUP(D26,'TRẠM 1'!$C$15:$Z$107,17,0)</f>
        <v>0</v>
      </c>
      <c r="T26" s="1248"/>
      <c r="U26" s="1248"/>
      <c r="V26" s="1248">
        <f>VLOOKUP(D26,'TRẠM 1'!$C$15:$Z$107,20,0)</f>
        <v>0</v>
      </c>
      <c r="W26" s="1248"/>
      <c r="X26" s="1248"/>
      <c r="Y26" s="1248"/>
      <c r="Z26" s="1881">
        <f t="shared" si="3"/>
        <v>1036874</v>
      </c>
      <c r="AA26" s="1471">
        <f t="shared" si="4"/>
        <v>10471053</v>
      </c>
      <c r="AB26" s="1472"/>
      <c r="AC26" s="1420">
        <f t="shared" si="5"/>
        <v>10471053</v>
      </c>
      <c r="AD26" s="242">
        <v>11</v>
      </c>
    </row>
    <row r="27" spans="1:30" s="242" customFormat="1" ht="29.25" customHeight="1">
      <c r="A27" s="1246">
        <v>12</v>
      </c>
      <c r="B27" s="1245">
        <v>12</v>
      </c>
      <c r="C27" s="320" t="str">
        <f>TONGHOPCONGDOI!B22</f>
        <v>04091</v>
      </c>
      <c r="D27" s="1247" t="str">
        <f>TONGHOPCONGDOI!C22</f>
        <v>N. Bay</v>
      </c>
      <c r="E27" s="1243" t="s">
        <v>15</v>
      </c>
      <c r="F27" s="1252"/>
      <c r="G27" s="1248">
        <f t="shared" si="1"/>
        <v>0</v>
      </c>
      <c r="H27" s="1248">
        <f>VLOOKUP(D27,'TRẠM 1'!$C$15:$Y$107,6,0)</f>
        <v>3030</v>
      </c>
      <c r="I27" s="1248">
        <f>VLOOKUP(D27,'TRẠM 1'!$C$15:$Y$107,7,0)</f>
        <v>0</v>
      </c>
      <c r="J27" s="1248">
        <f>VLOOKUP(D27,'TRẠM 1'!$C$15:$Y$107,8,0)</f>
        <v>1287.833933302627</v>
      </c>
      <c r="K27" s="1248">
        <f>VLOOKUP(D27,'TRẠM 1'!$C$15:$Y$107,9,0)</f>
        <v>166.049655379727</v>
      </c>
      <c r="L27" s="1837">
        <f t="shared" si="2"/>
        <v>1453.883588682354</v>
      </c>
      <c r="M27" s="1996" t="str">
        <f>VLOOKUP(D27,'TRẠM 1'!$C$15:$Y$107,11,0)</f>
        <v>B</v>
      </c>
      <c r="N27" s="1248">
        <f>VLOOKUP(D27,'TRẠM 1'!$C$15:$Y$107,12,0)</f>
        <v>5059515</v>
      </c>
      <c r="O27" s="1248">
        <f>VLOOKUP(D27,'TRẠM 1'!$C$15:$Y$107,13,0)</f>
        <v>27</v>
      </c>
      <c r="P27" s="1248">
        <f>VLOOKUP(D27,'TRẠM 1'!$C$15:$Y$107,14,0)</f>
        <v>4</v>
      </c>
      <c r="Q27" s="1248">
        <f>VLOOKUP(D27,'TRẠM 1'!$C$15:$Z$107,15,0)</f>
        <v>0</v>
      </c>
      <c r="R27" s="1248">
        <f>VLOOKUP(D27,'TRẠM 1'!$C$15:$Z$107,16,0)</f>
        <v>0</v>
      </c>
      <c r="S27" s="1248">
        <f>VLOOKUP(D27,'TRẠM 1'!$C$15:$Z$107,17,0)</f>
        <v>0</v>
      </c>
      <c r="T27" s="1248"/>
      <c r="U27" s="1248"/>
      <c r="V27" s="1248">
        <f>VLOOKUP(D27,'TRẠM 1'!$C$15:$Z$107,20,0)</f>
        <v>0</v>
      </c>
      <c r="W27" s="1248"/>
      <c r="X27" s="1248"/>
      <c r="Y27" s="1248"/>
      <c r="Z27" s="1881">
        <f t="shared" si="3"/>
        <v>1036874</v>
      </c>
      <c r="AA27" s="1471">
        <f t="shared" si="4"/>
        <v>6096389</v>
      </c>
      <c r="AB27" s="1472"/>
      <c r="AC27" s="1420">
        <f t="shared" ref="AC27:AC108" si="6">AA27</f>
        <v>6096389</v>
      </c>
      <c r="AD27" s="242">
        <v>12</v>
      </c>
    </row>
    <row r="28" spans="1:30" s="242" customFormat="1" ht="29.25" customHeight="1">
      <c r="A28" s="1246">
        <v>13</v>
      </c>
      <c r="B28" s="1245">
        <v>13</v>
      </c>
      <c r="C28" s="320" t="str">
        <f>TONGHOPCONGDOI!B23</f>
        <v>03527</v>
      </c>
      <c r="D28" s="1247" t="str">
        <f>TONGHOPCONGDOI!C23</f>
        <v>T Núc</v>
      </c>
      <c r="E28" s="1243" t="s">
        <v>15</v>
      </c>
      <c r="F28" s="1252"/>
      <c r="G28" s="1248">
        <f t="shared" si="1"/>
        <v>0</v>
      </c>
      <c r="H28" s="1248">
        <f>VLOOKUP(D28,'TRẠM 1'!$C$15:$Y$107,6,0)</f>
        <v>3040</v>
      </c>
      <c r="I28" s="1248">
        <f>VLOOKUP(D28,'TRẠM 1'!$C$15:$Y$107,7,0)</f>
        <v>0</v>
      </c>
      <c r="J28" s="1248">
        <f>VLOOKUP(D28,'TRẠM 1'!$C$15:$Y$107,8,0)</f>
        <v>1292.0842103102264</v>
      </c>
      <c r="K28" s="1248">
        <f>VLOOKUP(D28,'TRẠM 1'!$C$15:$Y$107,9,0)</f>
        <v>166.59767404434655</v>
      </c>
      <c r="L28" s="1837">
        <f t="shared" si="2"/>
        <v>1458.681884354573</v>
      </c>
      <c r="M28" s="1996" t="str">
        <f>VLOOKUP(D28,'TRẠM 1'!$C$15:$Y$107,11,0)</f>
        <v>B</v>
      </c>
      <c r="N28" s="1248">
        <f>VLOOKUP(D28,'TRẠM 1'!$C$15:$Y$107,12,0)</f>
        <v>5076213</v>
      </c>
      <c r="O28" s="1248">
        <f>VLOOKUP(D28,'TRẠM 1'!$C$15:$Y$107,13,0)</f>
        <v>27</v>
      </c>
      <c r="P28" s="1248">
        <f>VLOOKUP(D28,'TRẠM 1'!$C$15:$Y$107,14,0)</f>
        <v>4</v>
      </c>
      <c r="Q28" s="1248">
        <f>VLOOKUP(D28,'TRẠM 1'!$C$15:$Z$107,15,0)</f>
        <v>0</v>
      </c>
      <c r="R28" s="1248">
        <f>VLOOKUP(D28,'TRẠM 1'!$C$15:$Z$107,16,0)</f>
        <v>0</v>
      </c>
      <c r="S28" s="1248">
        <f>VLOOKUP(D28,'TRẠM 1'!$C$15:$Z$107,17,0)</f>
        <v>0</v>
      </c>
      <c r="T28" s="1248"/>
      <c r="U28" s="1248"/>
      <c r="V28" s="1248">
        <f>VLOOKUP(D28,'TRẠM 1'!$C$15:$Z$107,20,0)</f>
        <v>0</v>
      </c>
      <c r="W28" s="1248"/>
      <c r="X28" s="1248"/>
      <c r="Y28" s="1248"/>
      <c r="Z28" s="1881">
        <f t="shared" si="3"/>
        <v>1036874</v>
      </c>
      <c r="AA28" s="1471">
        <f t="shared" si="4"/>
        <v>6113087</v>
      </c>
      <c r="AB28" s="1472"/>
      <c r="AC28" s="1420">
        <f t="shared" si="6"/>
        <v>6113087</v>
      </c>
      <c r="AD28" s="242">
        <v>13</v>
      </c>
    </row>
    <row r="29" spans="1:30" s="242" customFormat="1" ht="29.25" customHeight="1">
      <c r="A29" s="1246">
        <v>14</v>
      </c>
      <c r="B29" s="1245">
        <v>14</v>
      </c>
      <c r="C29" s="320" t="str">
        <f>TONGHOPCONGDOI!B24</f>
        <v>03528</v>
      </c>
      <c r="D29" s="1247" t="str">
        <f>TONGHOPCONGDOI!C24</f>
        <v>T. Cô</v>
      </c>
      <c r="E29" s="1243" t="s">
        <v>15</v>
      </c>
      <c r="F29" s="1252"/>
      <c r="G29" s="1248">
        <f t="shared" si="1"/>
        <v>0</v>
      </c>
      <c r="H29" s="1248">
        <f>VLOOKUP(D29,'TRẠM 1'!$C$15:$Y$107,6,0)</f>
        <v>4399</v>
      </c>
      <c r="I29" s="1248">
        <f>VLOOKUP(D29,'TRẠM 1'!$C$15:$Y$107,7,0)</f>
        <v>0</v>
      </c>
      <c r="J29" s="1248">
        <f>VLOOKUP(D29,'TRẠM 1'!$C$15:$Y$107,8,0)</f>
        <v>1869.6968556429888</v>
      </c>
      <c r="K29" s="1248">
        <f>VLOOKUP(D29,'TRẠM 1'!$C$15:$Y$107,9,0)</f>
        <v>241.0734105661449</v>
      </c>
      <c r="L29" s="1837">
        <f t="shared" si="2"/>
        <v>2110.7702662091338</v>
      </c>
      <c r="M29" s="1996" t="str">
        <f>VLOOKUP(D29,'TRẠM 1'!$C$15:$Y$107,11,0)</f>
        <v>A</v>
      </c>
      <c r="N29" s="1248">
        <f>VLOOKUP(D29,'TRẠM 1'!$C$15:$Y$107,12,0)</f>
        <v>7725419</v>
      </c>
      <c r="O29" s="1248">
        <f>VLOOKUP(D29,'TRẠM 1'!$C$15:$Y$107,13,0)</f>
        <v>27</v>
      </c>
      <c r="P29" s="1248">
        <f>VLOOKUP(D29,'TRẠM 1'!$C$15:$Y$107,14,0)</f>
        <v>4</v>
      </c>
      <c r="Q29" s="1248">
        <f>VLOOKUP(D29,'TRẠM 1'!$C$15:$Z$107,15,0)</f>
        <v>0</v>
      </c>
      <c r="R29" s="1248">
        <f>VLOOKUP(D29,'TRẠM 1'!$C$15:$Z$107,16,0)</f>
        <v>0</v>
      </c>
      <c r="S29" s="1248">
        <f>VLOOKUP(D29,'TRẠM 1'!$C$15:$Z$107,17,0)</f>
        <v>0</v>
      </c>
      <c r="T29" s="1248"/>
      <c r="U29" s="1248"/>
      <c r="V29" s="1248">
        <f>VLOOKUP(D29,'TRẠM 1'!$C$15:$Z$107,20,0)</f>
        <v>0</v>
      </c>
      <c r="W29" s="1248"/>
      <c r="X29" s="1248"/>
      <c r="Y29" s="1248"/>
      <c r="Z29" s="1881">
        <f t="shared" si="3"/>
        <v>1036874</v>
      </c>
      <c r="AA29" s="1471">
        <f t="shared" si="4"/>
        <v>8762293</v>
      </c>
      <c r="AB29" s="1472"/>
      <c r="AC29" s="1420">
        <f t="shared" si="6"/>
        <v>8762293</v>
      </c>
      <c r="AD29" s="242">
        <v>14</v>
      </c>
    </row>
    <row r="30" spans="1:30" s="242" customFormat="1" ht="29.25" customHeight="1">
      <c r="A30" s="1246">
        <v>15</v>
      </c>
      <c r="B30" s="1245">
        <v>15</v>
      </c>
      <c r="C30" s="320" t="str">
        <f>TONGHOPCONGDOI!B25</f>
        <v>03524</v>
      </c>
      <c r="D30" s="1247" t="str">
        <f>TONGHOPCONGDOI!C25</f>
        <v>T. Nả</v>
      </c>
      <c r="E30" s="1243" t="s">
        <v>15</v>
      </c>
      <c r="F30" s="1252"/>
      <c r="G30" s="1248">
        <f t="shared" si="1"/>
        <v>0</v>
      </c>
      <c r="H30" s="1248">
        <f>VLOOKUP(D30,'TRẠM 1'!$C$15:$Y$107,6,0)</f>
        <v>4275</v>
      </c>
      <c r="I30" s="1248">
        <f>VLOOKUP(D30,'TRẠM 1'!$C$15:$Y$107,7,0)</f>
        <v>0</v>
      </c>
      <c r="J30" s="1248">
        <f>VLOOKUP(D30,'TRẠM 1'!$C$15:$Y$107,8,0)</f>
        <v>1816.9934207487559</v>
      </c>
      <c r="K30" s="1248">
        <f>VLOOKUP(D30,'TRẠM 1'!$C$15:$Y$107,9,0)</f>
        <v>234.27797912486233</v>
      </c>
      <c r="L30" s="1837">
        <f t="shared" si="2"/>
        <v>2051.2713998736181</v>
      </c>
      <c r="M30" s="1996" t="str">
        <f>VLOOKUP(D30,'TRẠM 1'!$C$15:$Y$107,11,0)</f>
        <v>B</v>
      </c>
      <c r="N30" s="1248">
        <f>VLOOKUP(D30,'TRẠM 1'!$C$15:$Y$107,12,0)</f>
        <v>7138424</v>
      </c>
      <c r="O30" s="1248">
        <f>VLOOKUP(D30,'TRẠM 1'!$C$15:$Y$107,13,0)</f>
        <v>27</v>
      </c>
      <c r="P30" s="1248">
        <f>VLOOKUP(D30,'TRẠM 1'!$C$15:$Y$107,14,0)</f>
        <v>4</v>
      </c>
      <c r="Q30" s="1248">
        <f>VLOOKUP(D30,'TRẠM 1'!$C$15:$Z$107,15,0)</f>
        <v>0</v>
      </c>
      <c r="R30" s="1248">
        <f>VLOOKUP(D30,'TRẠM 1'!$C$15:$Z$107,16,0)</f>
        <v>0</v>
      </c>
      <c r="S30" s="1248">
        <f>VLOOKUP(D30,'TRẠM 1'!$C$15:$Z$107,17,0)</f>
        <v>0</v>
      </c>
      <c r="T30" s="1248"/>
      <c r="U30" s="1248"/>
      <c r="V30" s="1248">
        <f>VLOOKUP(D30,'TRẠM 1'!$C$15:$Z$107,20,0)</f>
        <v>0</v>
      </c>
      <c r="W30" s="1248"/>
      <c r="X30" s="1248"/>
      <c r="Y30" s="1248"/>
      <c r="Z30" s="1881">
        <f t="shared" si="3"/>
        <v>1036874</v>
      </c>
      <c r="AA30" s="1471">
        <f t="shared" si="4"/>
        <v>8175298</v>
      </c>
      <c r="AB30" s="1472"/>
      <c r="AC30" s="1420">
        <f t="shared" si="6"/>
        <v>8175298</v>
      </c>
      <c r="AD30" s="242">
        <v>15</v>
      </c>
    </row>
    <row r="31" spans="1:30" s="242" customFormat="1" ht="29.25" customHeight="1">
      <c r="A31" s="1246">
        <v>16</v>
      </c>
      <c r="B31" s="1245">
        <v>16</v>
      </c>
      <c r="C31" s="320" t="str">
        <f>TONGHOPCONGDOI!B26</f>
        <v>03532</v>
      </c>
      <c r="D31" s="1247" t="str">
        <f>TONGHOPCONGDOI!C26</f>
        <v>N. Túc</v>
      </c>
      <c r="E31" s="1243" t="s">
        <v>15</v>
      </c>
      <c r="F31" s="1252"/>
      <c r="G31" s="1248">
        <f t="shared" si="1"/>
        <v>0</v>
      </c>
      <c r="H31" s="1248">
        <f>VLOOKUP(D31,'TRẠM 1'!$C$15:$Y$107,6,0)</f>
        <v>4531</v>
      </c>
      <c r="I31" s="1248">
        <f>VLOOKUP(D31,'TRẠM 1'!$C$15:$Y$107,7,0)</f>
        <v>0</v>
      </c>
      <c r="J31" s="1248">
        <f>VLOOKUP(D31,'TRẠM 1'!$C$15:$Y$107,8,0)</f>
        <v>1925.8005121433011</v>
      </c>
      <c r="K31" s="1248">
        <f>VLOOKUP(D31,'TRẠM 1'!$C$15:$Y$107,9,0)</f>
        <v>248.30725693912311</v>
      </c>
      <c r="L31" s="1837">
        <f t="shared" si="2"/>
        <v>2174.1077690824241</v>
      </c>
      <c r="M31" s="1996" t="str">
        <f>VLOOKUP(D31,'TRẠM 1'!$C$15:$Y$107,11,0)</f>
        <v>A</v>
      </c>
      <c r="N31" s="1248">
        <f>VLOOKUP(D31,'TRẠM 1'!$C$15:$Y$107,12,0)</f>
        <v>7957234</v>
      </c>
      <c r="O31" s="1248">
        <f>VLOOKUP(D31,'TRẠM 1'!$C$15:$Y$107,13,0)</f>
        <v>27</v>
      </c>
      <c r="P31" s="1248">
        <f>VLOOKUP(D31,'TRẠM 1'!$C$15:$Y$107,14,0)</f>
        <v>4</v>
      </c>
      <c r="Q31" s="1248">
        <f>VLOOKUP(D31,'TRẠM 1'!$C$15:$Z$107,15,0)</f>
        <v>0</v>
      </c>
      <c r="R31" s="1248">
        <f>VLOOKUP(D31,'TRẠM 1'!$C$15:$Z$107,16,0)</f>
        <v>0</v>
      </c>
      <c r="S31" s="1248">
        <f>VLOOKUP(D31,'TRẠM 1'!$C$15:$Z$107,17,0)</f>
        <v>0</v>
      </c>
      <c r="T31" s="1248"/>
      <c r="U31" s="1248"/>
      <c r="V31" s="1248">
        <f>VLOOKUP(D31,'TRẠM 1'!$C$15:$Z$107,20,0)</f>
        <v>0</v>
      </c>
      <c r="W31" s="1248"/>
      <c r="X31" s="1248"/>
      <c r="Y31" s="1248"/>
      <c r="Z31" s="1881">
        <f t="shared" si="3"/>
        <v>1036874</v>
      </c>
      <c r="AA31" s="1471">
        <f t="shared" si="4"/>
        <v>8994108</v>
      </c>
      <c r="AB31" s="1472"/>
      <c r="AC31" s="1420">
        <f t="shared" si="6"/>
        <v>8994108</v>
      </c>
      <c r="AD31" s="242">
        <v>16</v>
      </c>
    </row>
    <row r="32" spans="1:30" s="242" customFormat="1" ht="29.25" customHeight="1">
      <c r="A32" s="1246">
        <v>17</v>
      </c>
      <c r="B32" s="1245">
        <v>17</v>
      </c>
      <c r="C32" s="320">
        <f>TONGHOPCONGDOI!B27</f>
        <v>0</v>
      </c>
      <c r="D32" s="1247" t="str">
        <f>TONGHOPCONGDOI!C27</f>
        <v>Thảo Phút</v>
      </c>
      <c r="E32" s="1243" t="s">
        <v>15</v>
      </c>
      <c r="F32" s="1252"/>
      <c r="G32" s="1248">
        <f t="shared" si="1"/>
        <v>0</v>
      </c>
      <c r="H32" s="1248">
        <f>VLOOKUP(D32,'TRẠM 1'!$C$15:$Y$107,6,0)</f>
        <v>4468</v>
      </c>
      <c r="I32" s="1248">
        <f>VLOOKUP(D32,'TRẠM 1'!$C$15:$Y$107,7,0)</f>
        <v>0</v>
      </c>
      <c r="J32" s="1248">
        <f>VLOOKUP(D32,'TRẠM 1'!$C$15:$Y$107,8,0)</f>
        <v>1899.0237669954249</v>
      </c>
      <c r="K32" s="1248">
        <f>VLOOKUP(D32,'TRẠM 1'!$C$15:$Y$107,9,0)</f>
        <v>244.85473935201986</v>
      </c>
      <c r="L32" s="1837">
        <f t="shared" si="2"/>
        <v>2143.8785063474447</v>
      </c>
      <c r="M32" s="1996" t="str">
        <f>VLOOKUP(D32,'TRẠM 1'!$C$15:$Y$107,11,0)</f>
        <v>A</v>
      </c>
      <c r="N32" s="1248">
        <f>VLOOKUP(D32,'TRẠM 1'!$C$15:$Y$107,12,0)</f>
        <v>7846595</v>
      </c>
      <c r="O32" s="1248">
        <f>VLOOKUP(D32,'TRẠM 1'!$C$15:$Y$107,13,0)</f>
        <v>27</v>
      </c>
      <c r="P32" s="1248">
        <f>VLOOKUP(D32,'TRẠM 1'!$C$15:$Y$107,14,0)</f>
        <v>4</v>
      </c>
      <c r="Q32" s="1248">
        <f>VLOOKUP(D32,'TRẠM 1'!$C$15:$Z$107,15,0)</f>
        <v>0</v>
      </c>
      <c r="R32" s="1248">
        <f>VLOOKUP(D32,'TRẠM 1'!$C$15:$Z$107,16,0)</f>
        <v>0</v>
      </c>
      <c r="S32" s="1248">
        <f>VLOOKUP(D32,'TRẠM 1'!$C$15:$Z$107,17,0)</f>
        <v>0</v>
      </c>
      <c r="T32" s="1248"/>
      <c r="U32" s="1248"/>
      <c r="V32" s="1248">
        <f>VLOOKUP(D32,'TRẠM 1'!$C$15:$Z$107,20,0)</f>
        <v>0</v>
      </c>
      <c r="W32" s="1248"/>
      <c r="X32" s="1248"/>
      <c r="Y32" s="1248"/>
      <c r="Z32" s="1881">
        <f t="shared" si="3"/>
        <v>1036874</v>
      </c>
      <c r="AA32" s="1471">
        <f t="shared" si="4"/>
        <v>8883469</v>
      </c>
      <c r="AB32" s="1472"/>
      <c r="AC32" s="1420">
        <f t="shared" si="6"/>
        <v>8883469</v>
      </c>
      <c r="AD32" s="242">
        <v>17</v>
      </c>
    </row>
    <row r="33" spans="1:30" s="242" customFormat="1" ht="29.25" customHeight="1">
      <c r="A33" s="1246">
        <v>18</v>
      </c>
      <c r="B33" s="1245">
        <v>18</v>
      </c>
      <c r="C33" s="320" t="str">
        <f>TONGHOPCONGDOI!B28</f>
        <v>04093</v>
      </c>
      <c r="D33" s="1247" t="str">
        <f>TONGHOPCONGDOI!C28</f>
        <v>T. Lu</v>
      </c>
      <c r="E33" s="1243" t="s">
        <v>15</v>
      </c>
      <c r="F33" s="1252"/>
      <c r="G33" s="1248">
        <f t="shared" si="1"/>
        <v>0</v>
      </c>
      <c r="H33" s="1248">
        <f>VLOOKUP(D33,'TRẠM 1'!$C$15:$Y$107,6,0)</f>
        <v>3388</v>
      </c>
      <c r="I33" s="1248">
        <f>VLOOKUP(D33,'TRẠM 1'!$C$15:$Y$107,7,0)</f>
        <v>0</v>
      </c>
      <c r="J33" s="1248">
        <f>VLOOKUP(D33,'TRẠM 1'!$C$15:$Y$107,8,0)</f>
        <v>1439.9938501746865</v>
      </c>
      <c r="K33" s="1248">
        <f>VLOOKUP(D33,'TRẠM 1'!$C$15:$Y$107,9,0)</f>
        <v>185.66872357310729</v>
      </c>
      <c r="L33" s="1837">
        <f t="shared" si="2"/>
        <v>1625.6625737477939</v>
      </c>
      <c r="M33" s="1996" t="str">
        <f>VLOOKUP(D33,'TRẠM 1'!$C$15:$Y$107,11,0)</f>
        <v>B</v>
      </c>
      <c r="N33" s="1248">
        <f>VLOOKUP(D33,'TRẠM 1'!$C$15:$Y$107,12,0)</f>
        <v>5657306</v>
      </c>
      <c r="O33" s="1248">
        <f>VLOOKUP(D33,'TRẠM 1'!$C$15:$Y$107,13,0)</f>
        <v>24</v>
      </c>
      <c r="P33" s="1248">
        <f>VLOOKUP(D33,'TRẠM 1'!$C$15:$Y$107,14,0)</f>
        <v>4</v>
      </c>
      <c r="Q33" s="1248">
        <f>VLOOKUP(D33,'TRẠM 1'!$C$15:$Z$107,15,0)</f>
        <v>0</v>
      </c>
      <c r="R33" s="1248">
        <f>VLOOKUP(D33,'TRẠM 1'!$C$15:$Z$107,16,0)</f>
        <v>0</v>
      </c>
      <c r="S33" s="1248">
        <f>VLOOKUP(D33,'TRẠM 1'!$C$15:$Z$107,17,0)</f>
        <v>0</v>
      </c>
      <c r="T33" s="1248"/>
      <c r="U33" s="1248"/>
      <c r="V33" s="1248">
        <f>VLOOKUP(D33,'TRẠM 1'!$C$15:$Z$107,20,0)</f>
        <v>0</v>
      </c>
      <c r="W33" s="1248"/>
      <c r="X33" s="1248"/>
      <c r="Y33" s="1248"/>
      <c r="Z33" s="1881">
        <f t="shared" si="3"/>
        <v>944495</v>
      </c>
      <c r="AA33" s="1471">
        <f t="shared" si="4"/>
        <v>6601801</v>
      </c>
      <c r="AB33" s="1472"/>
      <c r="AC33" s="1420">
        <f t="shared" si="6"/>
        <v>6601801</v>
      </c>
      <c r="AD33" s="242">
        <v>18</v>
      </c>
    </row>
    <row r="34" spans="1:30" s="242" customFormat="1" ht="29.25" customHeight="1">
      <c r="A34" s="1246">
        <v>19</v>
      </c>
      <c r="B34" s="1245">
        <v>19</v>
      </c>
      <c r="C34" s="320" t="str">
        <f>TONGHOPCONGDOI!B29</f>
        <v xml:space="preserve">02709 </v>
      </c>
      <c r="D34" s="1247" t="str">
        <f>TONGHOPCONGDOI!C29</f>
        <v>T. Say</v>
      </c>
      <c r="E34" s="1243" t="s">
        <v>15</v>
      </c>
      <c r="F34" s="1252"/>
      <c r="G34" s="1248">
        <f t="shared" si="1"/>
        <v>0</v>
      </c>
      <c r="H34" s="1248">
        <f>VLOOKUP(D34,'TRẠM 1'!$C$15:$Y$107,6,0)</f>
        <v>4230</v>
      </c>
      <c r="I34" s="1248">
        <f>VLOOKUP(D34,'TRẠM 1'!$C$15:$Y$107,7,0)</f>
        <v>0</v>
      </c>
      <c r="J34" s="1248">
        <f>VLOOKUP(D34,'TRẠM 1'!$C$15:$Y$107,8,0)</f>
        <v>1797.8671742145584</v>
      </c>
      <c r="K34" s="1248">
        <f>VLOOKUP(D34,'TRẠM 1'!$C$15:$Y$107,9,0)</f>
        <v>231.81189513407432</v>
      </c>
      <c r="L34" s="1837">
        <f t="shared" si="2"/>
        <v>2029.6790693486328</v>
      </c>
      <c r="M34" s="1996" t="str">
        <f>VLOOKUP(D34,'TRẠM 1'!$C$15:$Y$107,11,0)</f>
        <v>A</v>
      </c>
      <c r="N34" s="1248">
        <f>VLOOKUP(D34,'TRẠM 1'!$C$15:$Y$107,12,0)</f>
        <v>7428625</v>
      </c>
      <c r="O34" s="1248">
        <f>VLOOKUP(D34,'TRẠM 1'!$C$15:$Y$107,13,0)</f>
        <v>27</v>
      </c>
      <c r="P34" s="1248">
        <f>VLOOKUP(D34,'TRẠM 1'!$C$15:$Y$107,14,0)</f>
        <v>4</v>
      </c>
      <c r="Q34" s="1248">
        <f>VLOOKUP(D34,'TRẠM 1'!$C$15:$Z$107,15,0)</f>
        <v>0</v>
      </c>
      <c r="R34" s="1248">
        <f>VLOOKUP(D34,'TRẠM 1'!$C$15:$Z$107,16,0)</f>
        <v>0</v>
      </c>
      <c r="S34" s="1248">
        <f>VLOOKUP(D34,'TRẠM 1'!$C$15:$Z$107,17,0)</f>
        <v>0</v>
      </c>
      <c r="T34" s="1248"/>
      <c r="U34" s="1248"/>
      <c r="V34" s="1248">
        <f>VLOOKUP(D34,'TRẠM 1'!$C$15:$Z$107,20,0)</f>
        <v>0</v>
      </c>
      <c r="W34" s="1248"/>
      <c r="X34" s="1248"/>
      <c r="Y34" s="1248"/>
      <c r="Z34" s="1881">
        <f t="shared" si="3"/>
        <v>1036874</v>
      </c>
      <c r="AA34" s="1471">
        <f t="shared" si="4"/>
        <v>8465499</v>
      </c>
      <c r="AB34" s="1472"/>
      <c r="AC34" s="1420">
        <f t="shared" si="6"/>
        <v>8465499</v>
      </c>
      <c r="AD34" s="242">
        <v>19</v>
      </c>
    </row>
    <row r="35" spans="1:30" s="242" customFormat="1" ht="29.25" customHeight="1">
      <c r="A35" s="1246">
        <v>20</v>
      </c>
      <c r="B35" s="1245">
        <v>20</v>
      </c>
      <c r="C35" s="320" t="str">
        <f>TONGHOPCONGDOI!B30</f>
        <v>04094</v>
      </c>
      <c r="D35" s="1247" t="str">
        <f>TONGHOPCONGDOI!C30</f>
        <v>N. Khun Mi</v>
      </c>
      <c r="E35" s="1243" t="s">
        <v>15</v>
      </c>
      <c r="F35" s="1252"/>
      <c r="G35" s="1248">
        <f t="shared" si="1"/>
        <v>0</v>
      </c>
      <c r="H35" s="1248">
        <f>VLOOKUP(D35,'TRẠM 1'!$C$15:$Y$107,6,0)</f>
        <v>3981</v>
      </c>
      <c r="I35" s="1248">
        <f>VLOOKUP(D35,'TRẠM 1'!$C$15:$Y$107,7,0)</f>
        <v>0</v>
      </c>
      <c r="J35" s="1248">
        <f>VLOOKUP(D35,'TRẠM 1'!$C$15:$Y$107,8,0)</f>
        <v>1692.0352767253326</v>
      </c>
      <c r="K35" s="1248">
        <f>VLOOKUP(D35,'TRẠM 1'!$C$15:$Y$107,9,0)</f>
        <v>218.16623038504724</v>
      </c>
      <c r="L35" s="1837">
        <f t="shared" si="2"/>
        <v>1910.2015071103797</v>
      </c>
      <c r="M35" s="1996" t="str">
        <f>VLOOKUP(D35,'TRẠM 1'!$C$15:$Y$107,11,0)</f>
        <v>B</v>
      </c>
      <c r="N35" s="1248">
        <f>VLOOKUP(D35,'TRẠM 1'!$C$15:$Y$107,12,0)</f>
        <v>6647501</v>
      </c>
      <c r="O35" s="1248">
        <f>VLOOKUP(D35,'TRẠM 1'!$C$15:$Y$107,13,0)</f>
        <v>27</v>
      </c>
      <c r="P35" s="1248">
        <f>VLOOKUP(D35,'TRẠM 1'!$C$15:$Y$107,14,0)</f>
        <v>4</v>
      </c>
      <c r="Q35" s="1248">
        <f>VLOOKUP(D35,'TRẠM 1'!$C$15:$Z$107,15,0)</f>
        <v>0</v>
      </c>
      <c r="R35" s="1248">
        <f>VLOOKUP(D35,'TRẠM 1'!$C$15:$Z$107,16,0)</f>
        <v>0</v>
      </c>
      <c r="S35" s="1248">
        <f>VLOOKUP(D35,'TRẠM 1'!$C$15:$Z$107,17,0)</f>
        <v>0</v>
      </c>
      <c r="T35" s="1248"/>
      <c r="U35" s="1248"/>
      <c r="V35" s="1248">
        <f>VLOOKUP(D35,'TRẠM 1'!$C$15:$Z$107,20,0)</f>
        <v>0</v>
      </c>
      <c r="W35" s="1248"/>
      <c r="X35" s="1248"/>
      <c r="Y35" s="1248"/>
      <c r="Z35" s="1881">
        <f t="shared" si="3"/>
        <v>1036874</v>
      </c>
      <c r="AA35" s="1471">
        <f t="shared" si="4"/>
        <v>7684375</v>
      </c>
      <c r="AB35" s="1472"/>
      <c r="AC35" s="1420">
        <f t="shared" ref="AC35:AC77" si="7">AA35</f>
        <v>7684375</v>
      </c>
      <c r="AD35" s="242">
        <v>20</v>
      </c>
    </row>
    <row r="36" spans="1:30" s="242" customFormat="1" ht="29.25" customHeight="1">
      <c r="A36" s="1246">
        <v>21</v>
      </c>
      <c r="B36" s="1245">
        <v>21</v>
      </c>
      <c r="C36" s="320" t="str">
        <f>TONGHOPCONGDOI!B31</f>
        <v>03553</v>
      </c>
      <c r="D36" s="1247" t="str">
        <f>TONGHOPCONGDOI!C31</f>
        <v>A Tền</v>
      </c>
      <c r="E36" s="1243" t="s">
        <v>15</v>
      </c>
      <c r="F36" s="1252"/>
      <c r="G36" s="1248">
        <f t="shared" si="1"/>
        <v>0</v>
      </c>
      <c r="H36" s="1248">
        <f>VLOOKUP(D36,'TRẠM 1'!$C$15:$Y$107,6,0)</f>
        <v>3696</v>
      </c>
      <c r="I36" s="1248">
        <f>VLOOKUP(D36,'TRẠM 1'!$C$15:$Y$107,7,0)</f>
        <v>0</v>
      </c>
      <c r="J36" s="1248">
        <f>VLOOKUP(D36,'TRẠM 1'!$C$15:$Y$107,8,0)</f>
        <v>1570.9023820087489</v>
      </c>
      <c r="K36" s="1248">
        <f>VLOOKUP(D36,'TRẠM 1'!$C$15:$Y$107,9,0)</f>
        <v>202.54769844338975</v>
      </c>
      <c r="L36" s="1837">
        <f t="shared" si="2"/>
        <v>1773.4500804521385</v>
      </c>
      <c r="M36" s="1996" t="str">
        <f>VLOOKUP(D36,'TRẠM 1'!$C$15:$Y$107,11,0)</f>
        <v>B</v>
      </c>
      <c r="N36" s="1248">
        <f>VLOOKUP(D36,'TRẠM 1'!$C$15:$Y$107,12,0)</f>
        <v>6171606</v>
      </c>
      <c r="O36" s="1248">
        <f>VLOOKUP(D36,'TRẠM 1'!$C$15:$Y$107,13,0)</f>
        <v>27</v>
      </c>
      <c r="P36" s="1248">
        <f>VLOOKUP(D36,'TRẠM 1'!$C$15:$Y$107,14,0)</f>
        <v>4</v>
      </c>
      <c r="Q36" s="1248">
        <f>VLOOKUP(D36,'TRẠM 1'!$C$15:$Z$107,15,0)</f>
        <v>0</v>
      </c>
      <c r="R36" s="1248">
        <f>VLOOKUP(D36,'TRẠM 1'!$C$15:$Z$107,16,0)</f>
        <v>0</v>
      </c>
      <c r="S36" s="1248">
        <f>VLOOKUP(D36,'TRẠM 1'!$C$15:$Z$107,17,0)</f>
        <v>0</v>
      </c>
      <c r="T36" s="1248"/>
      <c r="U36" s="1248"/>
      <c r="V36" s="1248">
        <f>VLOOKUP(D36,'TRẠM 1'!$C$15:$Z$107,20,0)</f>
        <v>0</v>
      </c>
      <c r="W36" s="1248"/>
      <c r="X36" s="1248"/>
      <c r="Y36" s="1248"/>
      <c r="Z36" s="1881">
        <f t="shared" si="3"/>
        <v>1036874</v>
      </c>
      <c r="AA36" s="1471">
        <f t="shared" si="4"/>
        <v>7208480</v>
      </c>
      <c r="AB36" s="1472"/>
      <c r="AC36" s="1420">
        <f t="shared" si="7"/>
        <v>7208480</v>
      </c>
      <c r="AD36" s="242">
        <v>21</v>
      </c>
    </row>
    <row r="37" spans="1:30" s="242" customFormat="1" ht="29.25" customHeight="1">
      <c r="A37" s="1246">
        <v>22</v>
      </c>
      <c r="B37" s="1245">
        <v>22</v>
      </c>
      <c r="C37" s="320" t="str">
        <f>TONGHOPCONGDOI!B32</f>
        <v>04095</v>
      </c>
      <c r="D37" s="1247" t="str">
        <f>TONGHOPCONGDOI!C32</f>
        <v>T. Pon</v>
      </c>
      <c r="E37" s="1243" t="s">
        <v>15</v>
      </c>
      <c r="F37" s="1252"/>
      <c r="G37" s="1248">
        <f t="shared" si="1"/>
        <v>0</v>
      </c>
      <c r="H37" s="1248">
        <f>VLOOKUP(D37,'TRẠM 1'!$C$15:$Y$107,6,0)</f>
        <v>4420</v>
      </c>
      <c r="I37" s="1248">
        <f>VLOOKUP(D37,'TRẠM 1'!$C$15:$Y$107,7,0)</f>
        <v>0</v>
      </c>
      <c r="J37" s="1248">
        <f>VLOOKUP(D37,'TRẠM 1'!$C$15:$Y$107,8,0)</f>
        <v>1878.6224373589475</v>
      </c>
      <c r="K37" s="1248">
        <f>VLOOKUP(D37,'TRẠM 1'!$C$15:$Y$107,9,0)</f>
        <v>242.22424976184598</v>
      </c>
      <c r="L37" s="1837">
        <f t="shared" si="2"/>
        <v>2120.8466871207934</v>
      </c>
      <c r="M37" s="1996" t="str">
        <f>VLOOKUP(D37,'TRẠM 1'!$C$15:$Y$107,11,0)</f>
        <v>B</v>
      </c>
      <c r="N37" s="1248">
        <f>VLOOKUP(D37,'TRẠM 1'!$C$15:$Y$107,12,0)</f>
        <v>7380546</v>
      </c>
      <c r="O37" s="1248">
        <f>VLOOKUP(D37,'TRẠM 1'!$C$15:$Y$107,13,0)</f>
        <v>27</v>
      </c>
      <c r="P37" s="1248">
        <f>VLOOKUP(D37,'TRẠM 1'!$C$15:$Y$107,14,0)</f>
        <v>4</v>
      </c>
      <c r="Q37" s="1248">
        <f>VLOOKUP(D37,'TRẠM 1'!$C$15:$Z$107,15,0)</f>
        <v>0</v>
      </c>
      <c r="R37" s="1248">
        <f>VLOOKUP(D37,'TRẠM 1'!$C$15:$Z$107,16,0)</f>
        <v>0</v>
      </c>
      <c r="S37" s="1248">
        <f>VLOOKUP(D37,'TRẠM 1'!$C$15:$Z$107,17,0)</f>
        <v>0</v>
      </c>
      <c r="T37" s="1248"/>
      <c r="U37" s="1248"/>
      <c r="V37" s="1248">
        <f>VLOOKUP(D37,'TRẠM 1'!$C$15:$Z$107,20,0)</f>
        <v>0</v>
      </c>
      <c r="W37" s="1248"/>
      <c r="X37" s="1248"/>
      <c r="Y37" s="1248"/>
      <c r="Z37" s="1881">
        <f t="shared" si="3"/>
        <v>1036874</v>
      </c>
      <c r="AA37" s="1471">
        <f t="shared" si="4"/>
        <v>8417420</v>
      </c>
      <c r="AB37" s="1472"/>
      <c r="AC37" s="1420">
        <f t="shared" si="7"/>
        <v>8417420</v>
      </c>
      <c r="AD37" s="242">
        <v>22</v>
      </c>
    </row>
    <row r="38" spans="1:30" s="242" customFormat="1" ht="29.25" customHeight="1">
      <c r="A38" s="1246">
        <v>23</v>
      </c>
      <c r="B38" s="1245">
        <v>23</v>
      </c>
      <c r="C38" s="320" t="str">
        <f>TONGHOPCONGDOI!B33</f>
        <v>04096</v>
      </c>
      <c r="D38" s="1247" t="str">
        <f>TONGHOPCONGDOI!C33</f>
        <v>T. Ly</v>
      </c>
      <c r="E38" s="1243" t="s">
        <v>15</v>
      </c>
      <c r="F38" s="1252"/>
      <c r="G38" s="1248">
        <f t="shared" si="1"/>
        <v>0</v>
      </c>
      <c r="H38" s="1248">
        <f>VLOOKUP(D38,'TRẠM 1'!$C$15:$Y$107,6,0)</f>
        <v>3414</v>
      </c>
      <c r="I38" s="1248">
        <f>VLOOKUP(D38,'TRẠM 1'!$C$15:$Y$107,7,0)</f>
        <v>0</v>
      </c>
      <c r="J38" s="1248">
        <f>VLOOKUP(D38,'TRẠM 1'!$C$15:$Y$107,8,0)</f>
        <v>1451.0445703944451</v>
      </c>
      <c r="K38" s="1248">
        <f>VLOOKUP(D38,'TRẠM 1'!$C$15:$Y$107,9,0)</f>
        <v>187.09357210111813</v>
      </c>
      <c r="L38" s="1837">
        <f t="shared" si="2"/>
        <v>1638.1381424955632</v>
      </c>
      <c r="M38" s="1996" t="str">
        <f>VLOOKUP(D38,'TRẠM 1'!$C$15:$Y$107,11,0)</f>
        <v>A</v>
      </c>
      <c r="N38" s="1248">
        <f>VLOOKUP(D38,'TRẠM 1'!$C$15:$Y$107,12,0)</f>
        <v>5995586</v>
      </c>
      <c r="O38" s="1248">
        <f>VLOOKUP(D38,'TRẠM 1'!$C$15:$Y$107,13,0)</f>
        <v>24</v>
      </c>
      <c r="P38" s="1248">
        <f>VLOOKUP(D38,'TRẠM 1'!$C$15:$Y$107,14,0)</f>
        <v>4</v>
      </c>
      <c r="Q38" s="1248">
        <f>VLOOKUP(D38,'TRẠM 1'!$C$15:$Z$107,15,0)</f>
        <v>0</v>
      </c>
      <c r="R38" s="1248">
        <f>VLOOKUP(D38,'TRẠM 1'!$C$15:$Z$107,16,0)</f>
        <v>0</v>
      </c>
      <c r="S38" s="1248">
        <f>VLOOKUP(D38,'TRẠM 1'!$C$15:$Z$107,17,0)</f>
        <v>0</v>
      </c>
      <c r="T38" s="1248"/>
      <c r="U38" s="1248"/>
      <c r="V38" s="1248">
        <f>VLOOKUP(D38,'TRẠM 1'!$C$15:$Z$107,20,0)</f>
        <v>0</v>
      </c>
      <c r="W38" s="1248"/>
      <c r="X38" s="1248"/>
      <c r="Y38" s="1248"/>
      <c r="Z38" s="1881">
        <f t="shared" si="3"/>
        <v>944495</v>
      </c>
      <c r="AA38" s="1471">
        <f t="shared" si="4"/>
        <v>6940081</v>
      </c>
      <c r="AB38" s="1472"/>
      <c r="AC38" s="1420">
        <f t="shared" si="7"/>
        <v>6940081</v>
      </c>
      <c r="AD38" s="242">
        <v>23</v>
      </c>
    </row>
    <row r="39" spans="1:30" s="242" customFormat="1" ht="29.25" customHeight="1">
      <c r="A39" s="1246">
        <v>24</v>
      </c>
      <c r="B39" s="1245">
        <v>24</v>
      </c>
      <c r="C39" s="320" t="str">
        <f>TONGHOPCONGDOI!B34</f>
        <v>03537</v>
      </c>
      <c r="D39" s="1247" t="str">
        <f>TONGHOPCONGDOI!C34</f>
        <v>Văn Đi</v>
      </c>
      <c r="E39" s="1243" t="s">
        <v>15</v>
      </c>
      <c r="F39" s="1252"/>
      <c r="G39" s="1248">
        <f t="shared" si="1"/>
        <v>0</v>
      </c>
      <c r="H39" s="1248">
        <f>VLOOKUP(D39,'TRẠM 1'!$C$15:$Y$107,6,0)</f>
        <v>4732</v>
      </c>
      <c r="I39" s="1248">
        <f>VLOOKUP(D39,'TRẠM 1'!$C$15:$Y$107,7,0)</f>
        <v>0</v>
      </c>
      <c r="J39" s="1248">
        <f>VLOOKUP(D39,'TRẠM 1'!$C$15:$Y$107,8,0)</f>
        <v>2011.2310799960499</v>
      </c>
      <c r="K39" s="1248">
        <f>VLOOKUP(D39,'TRẠM 1'!$C$15:$Y$107,9,0)</f>
        <v>259.32243209797628</v>
      </c>
      <c r="L39" s="1837">
        <f t="shared" si="2"/>
        <v>2270.5535120940262</v>
      </c>
      <c r="M39" s="1996" t="str">
        <f>VLOOKUP(D39,'TRẠM 1'!$C$15:$Y$107,11,0)</f>
        <v>A</v>
      </c>
      <c r="N39" s="1248">
        <f>VLOOKUP(D39,'TRẠM 1'!$C$15:$Y$107,12,0)</f>
        <v>8310226</v>
      </c>
      <c r="O39" s="1248">
        <f>VLOOKUP(D39,'TRẠM 1'!$C$15:$Y$107,13,0)</f>
        <v>27</v>
      </c>
      <c r="P39" s="1248">
        <f>VLOOKUP(D39,'TRẠM 1'!$C$15:$Y$107,14,0)</f>
        <v>4</v>
      </c>
      <c r="Q39" s="1248">
        <f>VLOOKUP(D39,'TRẠM 1'!$C$15:$Z$107,15,0)</f>
        <v>0</v>
      </c>
      <c r="R39" s="1248">
        <f>VLOOKUP(D39,'TRẠM 1'!$C$15:$Z$107,16,0)</f>
        <v>0</v>
      </c>
      <c r="S39" s="1248">
        <f>VLOOKUP(D39,'TRẠM 1'!$C$15:$Z$107,17,0)</f>
        <v>0</v>
      </c>
      <c r="T39" s="1248"/>
      <c r="U39" s="1248"/>
      <c r="V39" s="1248">
        <f>VLOOKUP(D39,'TRẠM 1'!$C$15:$Z$107,20,0)</f>
        <v>0</v>
      </c>
      <c r="W39" s="1248"/>
      <c r="X39" s="1248"/>
      <c r="Y39" s="1248"/>
      <c r="Z39" s="1881">
        <f t="shared" si="3"/>
        <v>1036874</v>
      </c>
      <c r="AA39" s="1471">
        <f t="shared" si="4"/>
        <v>9347100</v>
      </c>
      <c r="AB39" s="1472"/>
      <c r="AC39" s="1420">
        <f t="shared" si="7"/>
        <v>9347100</v>
      </c>
      <c r="AD39" s="242">
        <v>24</v>
      </c>
    </row>
    <row r="40" spans="1:30" s="242" customFormat="1" ht="29.25" customHeight="1">
      <c r="A40" s="1246">
        <v>25</v>
      </c>
      <c r="B40" s="1245">
        <v>25</v>
      </c>
      <c r="C40" s="320" t="str">
        <f>TONGHOPCONGDOI!B35</f>
        <v>04097</v>
      </c>
      <c r="D40" s="1247" t="str">
        <f>TONGHOPCONGDOI!C35</f>
        <v xml:space="preserve">Chày </v>
      </c>
      <c r="E40" s="1243" t="s">
        <v>15</v>
      </c>
      <c r="F40" s="1252"/>
      <c r="G40" s="1248">
        <f t="shared" si="1"/>
        <v>0</v>
      </c>
      <c r="H40" s="1248">
        <f>VLOOKUP(D40,'TRẠM 1'!$C$15:$Y$107,6,0)</f>
        <v>5379</v>
      </c>
      <c r="I40" s="1248">
        <f>VLOOKUP(D40,'TRẠM 1'!$C$15:$Y$107,7,0)</f>
        <v>0</v>
      </c>
      <c r="J40" s="1248">
        <f>VLOOKUP(D40,'TRẠM 1'!$C$15:$Y$107,8,0)</f>
        <v>2286.224002387733</v>
      </c>
      <c r="K40" s="1248">
        <f>VLOOKUP(D40,'TRẠM 1'!$C$15:$Y$107,9,0)</f>
        <v>294.77923969886189</v>
      </c>
      <c r="L40" s="1837">
        <f t="shared" si="2"/>
        <v>2581.003242086595</v>
      </c>
      <c r="M40" s="1996" t="str">
        <f>VLOOKUP(D40,'TRẠM 1'!$C$15:$Y$107,11,0)</f>
        <v>A</v>
      </c>
      <c r="N40" s="1248">
        <f>VLOOKUP(D40,'TRẠM 1'!$C$15:$Y$107,12,0)</f>
        <v>9446472</v>
      </c>
      <c r="O40" s="1248">
        <f>VLOOKUP(D40,'TRẠM 1'!$C$15:$Y$107,13,0)</f>
        <v>27</v>
      </c>
      <c r="P40" s="1248">
        <f>VLOOKUP(D40,'TRẠM 1'!$C$15:$Y$107,14,0)</f>
        <v>4</v>
      </c>
      <c r="Q40" s="1248">
        <f>VLOOKUP(D40,'TRẠM 1'!$C$15:$Z$107,15,0)</f>
        <v>0</v>
      </c>
      <c r="R40" s="1248">
        <f>VLOOKUP(D40,'TRẠM 1'!$C$15:$Z$107,16,0)</f>
        <v>0</v>
      </c>
      <c r="S40" s="1248">
        <f>VLOOKUP(D40,'TRẠM 1'!$C$15:$Z$107,17,0)</f>
        <v>0</v>
      </c>
      <c r="T40" s="1248"/>
      <c r="U40" s="1248"/>
      <c r="V40" s="1248">
        <f>VLOOKUP(D40,'TRẠM 1'!$C$15:$Z$107,20,0)</f>
        <v>0</v>
      </c>
      <c r="W40" s="1248"/>
      <c r="X40" s="1248"/>
      <c r="Y40" s="1248"/>
      <c r="Z40" s="1881">
        <f t="shared" si="3"/>
        <v>1036874</v>
      </c>
      <c r="AA40" s="1471">
        <f t="shared" si="4"/>
        <v>10483346</v>
      </c>
      <c r="AB40" s="1472"/>
      <c r="AC40" s="1420">
        <f t="shared" si="7"/>
        <v>10483346</v>
      </c>
      <c r="AD40" s="242">
        <v>25</v>
      </c>
    </row>
    <row r="41" spans="1:30" s="242" customFormat="1" ht="29.25" customHeight="1">
      <c r="A41" s="1246">
        <v>26</v>
      </c>
      <c r="B41" s="1245">
        <v>26</v>
      </c>
      <c r="C41" s="320">
        <f>TONGHOPCONGDOI!B36</f>
        <v>0</v>
      </c>
      <c r="D41" s="1247" t="str">
        <f>TONGHOPCONGDOI!C36</f>
        <v>Thảo Thủy</v>
      </c>
      <c r="E41" s="1243" t="s">
        <v>15</v>
      </c>
      <c r="F41" s="1252"/>
      <c r="G41" s="1248">
        <f t="shared" si="1"/>
        <v>0</v>
      </c>
      <c r="H41" s="1248">
        <f>VLOOKUP(D41,'TRẠM 1'!$C$15:$Y$107,6,0)</f>
        <v>5038</v>
      </c>
      <c r="I41" s="1248">
        <f>VLOOKUP(D41,'TRẠM 1'!$C$15:$Y$107,7,0)</f>
        <v>0</v>
      </c>
      <c r="J41" s="1248">
        <f>VLOOKUP(D41,'TRẠM 1'!$C$15:$Y$107,8,0)</f>
        <v>2141.2895564285923</v>
      </c>
      <c r="K41" s="1248">
        <f>VLOOKUP(D41,'TRẠM 1'!$C$15:$Y$107,9,0)</f>
        <v>276.09180323533485</v>
      </c>
      <c r="L41" s="1837">
        <f t="shared" si="2"/>
        <v>2417.381359663927</v>
      </c>
      <c r="M41" s="1996" t="str">
        <f>VLOOKUP(D41,'TRẠM 1'!$C$15:$Y$107,11,0)</f>
        <v>A</v>
      </c>
      <c r="N41" s="1248">
        <f>VLOOKUP(D41,'TRẠM 1'!$C$15:$Y$107,12,0)</f>
        <v>8847616</v>
      </c>
      <c r="O41" s="1248">
        <f>VLOOKUP(D41,'TRẠM 1'!$C$15:$Y$107,13,0)</f>
        <v>27</v>
      </c>
      <c r="P41" s="1248">
        <f>VLOOKUP(D41,'TRẠM 1'!$C$15:$Y$107,14,0)</f>
        <v>4</v>
      </c>
      <c r="Q41" s="1248">
        <f>VLOOKUP(D41,'TRẠM 1'!$C$15:$Z$107,15,0)</f>
        <v>0</v>
      </c>
      <c r="R41" s="1248">
        <f>VLOOKUP(D41,'TRẠM 1'!$C$15:$Z$107,16,0)</f>
        <v>0</v>
      </c>
      <c r="S41" s="1248">
        <f>VLOOKUP(D41,'TRẠM 1'!$C$15:$Z$107,17,0)</f>
        <v>0</v>
      </c>
      <c r="T41" s="1248"/>
      <c r="U41" s="1248"/>
      <c r="V41" s="1248">
        <f>VLOOKUP(D41,'TRẠM 1'!$C$15:$Z$107,20,0)</f>
        <v>0</v>
      </c>
      <c r="W41" s="1248"/>
      <c r="X41" s="1248"/>
      <c r="Y41" s="1248"/>
      <c r="Z41" s="1881">
        <f t="shared" si="3"/>
        <v>1036874</v>
      </c>
      <c r="AA41" s="1471">
        <f t="shared" si="4"/>
        <v>9884490</v>
      </c>
      <c r="AB41" s="1472"/>
      <c r="AC41" s="1420">
        <f t="shared" si="7"/>
        <v>9884490</v>
      </c>
      <c r="AD41" s="242">
        <v>26</v>
      </c>
    </row>
    <row r="42" spans="1:30" s="242" customFormat="1" ht="29.25" customHeight="1">
      <c r="A42" s="1246">
        <v>27</v>
      </c>
      <c r="B42" s="1245">
        <v>27</v>
      </c>
      <c r="C42" s="320">
        <f>TONGHOPCONGDOI!B37</f>
        <v>0</v>
      </c>
      <c r="D42" s="1247" t="str">
        <f>TONGHOPCONGDOI!C37</f>
        <v>Thảo Ngân</v>
      </c>
      <c r="E42" s="1243" t="s">
        <v>15</v>
      </c>
      <c r="F42" s="1252"/>
      <c r="G42" s="1248">
        <f t="shared" si="1"/>
        <v>0</v>
      </c>
      <c r="H42" s="1248">
        <f>VLOOKUP(D42,'TRẠM 1'!$C$15:$Y$107,6,0)</f>
        <v>4696</v>
      </c>
      <c r="I42" s="1248">
        <f>VLOOKUP(D42,'TRẠM 1'!$C$15:$Y$107,7,0)</f>
        <v>0</v>
      </c>
      <c r="J42" s="1248">
        <f>VLOOKUP(D42,'TRẠM 1'!$C$15:$Y$107,8,0)</f>
        <v>1995.9300827686918</v>
      </c>
      <c r="K42" s="1248">
        <f>VLOOKUP(D42,'TRẠM 1'!$C$15:$Y$107,9,0)</f>
        <v>257.34956490534586</v>
      </c>
      <c r="L42" s="1837">
        <f t="shared" si="2"/>
        <v>2253.2796476740377</v>
      </c>
      <c r="M42" s="1996" t="str">
        <f>VLOOKUP(D42,'TRẠM 1'!$C$15:$Y$107,11,0)</f>
        <v>A</v>
      </c>
      <c r="N42" s="1248">
        <f>VLOOKUP(D42,'TRẠM 1'!$C$15:$Y$107,12,0)</f>
        <v>8247004</v>
      </c>
      <c r="O42" s="1248">
        <f>VLOOKUP(D42,'TRẠM 1'!$C$15:$Y$107,13,0)</f>
        <v>27</v>
      </c>
      <c r="P42" s="1248">
        <f>VLOOKUP(D42,'TRẠM 1'!$C$15:$Y$107,14,0)</f>
        <v>4</v>
      </c>
      <c r="Q42" s="1248">
        <f>VLOOKUP(D42,'TRẠM 1'!$C$15:$Z$107,15,0)</f>
        <v>0</v>
      </c>
      <c r="R42" s="1248">
        <f>VLOOKUP(D42,'TRẠM 1'!$C$15:$Z$107,16,0)</f>
        <v>0</v>
      </c>
      <c r="S42" s="1248">
        <f>VLOOKUP(D42,'TRẠM 1'!$C$15:$Z$107,17,0)</f>
        <v>0</v>
      </c>
      <c r="T42" s="1248"/>
      <c r="U42" s="1248"/>
      <c r="V42" s="1248">
        <f>VLOOKUP(D42,'TRẠM 1'!$C$15:$Z$107,20,0)</f>
        <v>0</v>
      </c>
      <c r="W42" s="1248"/>
      <c r="X42" s="1248"/>
      <c r="Y42" s="1248"/>
      <c r="Z42" s="1881">
        <f t="shared" si="3"/>
        <v>1036874</v>
      </c>
      <c r="AA42" s="1471">
        <f t="shared" si="4"/>
        <v>9283878</v>
      </c>
      <c r="AB42" s="1472"/>
      <c r="AC42" s="1420">
        <f t="shared" si="7"/>
        <v>9283878</v>
      </c>
      <c r="AD42" s="242">
        <v>27</v>
      </c>
    </row>
    <row r="43" spans="1:30" s="242" customFormat="1" ht="29.25" customHeight="1">
      <c r="A43" s="1246">
        <v>28</v>
      </c>
      <c r="B43" s="1245">
        <v>28</v>
      </c>
      <c r="C43" s="320" t="str">
        <f>TONGHOPCONGDOI!B38</f>
        <v>03541</v>
      </c>
      <c r="D43" s="1247" t="str">
        <f>TONGHOPCONGDOI!C38</f>
        <v>T Đeng</v>
      </c>
      <c r="E43" s="1243" t="s">
        <v>15</v>
      </c>
      <c r="F43" s="1252"/>
      <c r="G43" s="1248">
        <f t="shared" si="1"/>
        <v>0</v>
      </c>
      <c r="H43" s="1248">
        <f>VLOOKUP(D43,'TRẠM 1'!$C$15:$Y$107,6,0)</f>
        <v>5627</v>
      </c>
      <c r="I43" s="1248">
        <f>VLOOKUP(D43,'TRẠM 1'!$C$15:$Y$107,7,0)</f>
        <v>0</v>
      </c>
      <c r="J43" s="1248">
        <f>VLOOKUP(D43,'TRẠM 1'!$C$15:$Y$107,8,0)</f>
        <v>2391.6308721761989</v>
      </c>
      <c r="K43" s="1248">
        <f>VLOOKUP(D43,'TRẠM 1'!$C$15:$Y$107,9,0)</f>
        <v>308.37010258142698</v>
      </c>
      <c r="L43" s="1837">
        <f t="shared" si="2"/>
        <v>2700.000974757626</v>
      </c>
      <c r="M43" s="1996" t="str">
        <f>VLOOKUP(D43,'TRẠM 1'!$C$15:$Y$107,11,0)</f>
        <v>B</v>
      </c>
      <c r="N43" s="1248">
        <f>VLOOKUP(D43,'TRẠM 1'!$C$15:$Y$107,12,0)</f>
        <v>9396003</v>
      </c>
      <c r="O43" s="1248">
        <f>VLOOKUP(D43,'TRẠM 1'!$C$15:$Y$107,13,0)</f>
        <v>27</v>
      </c>
      <c r="P43" s="1248">
        <f>VLOOKUP(D43,'TRẠM 1'!$C$15:$Y$107,14,0)</f>
        <v>4</v>
      </c>
      <c r="Q43" s="1248">
        <f>VLOOKUP(D43,'TRẠM 1'!$C$15:$Z$107,15,0)</f>
        <v>0</v>
      </c>
      <c r="R43" s="1248">
        <f>VLOOKUP(D43,'TRẠM 1'!$C$15:$Z$107,16,0)</f>
        <v>0</v>
      </c>
      <c r="S43" s="1248">
        <f>VLOOKUP(D43,'TRẠM 1'!$C$15:$Z$107,17,0)</f>
        <v>0</v>
      </c>
      <c r="T43" s="1248"/>
      <c r="U43" s="1248"/>
      <c r="V43" s="1248">
        <f>VLOOKUP(D43,'TRẠM 1'!$C$15:$Z$107,20,0)</f>
        <v>0</v>
      </c>
      <c r="W43" s="1248"/>
      <c r="X43" s="1248"/>
      <c r="Y43" s="1248"/>
      <c r="Z43" s="1881">
        <f t="shared" si="3"/>
        <v>1036874</v>
      </c>
      <c r="AA43" s="1471">
        <f t="shared" si="4"/>
        <v>10432877</v>
      </c>
      <c r="AB43" s="1472"/>
      <c r="AC43" s="1420">
        <f t="shared" si="7"/>
        <v>10432877</v>
      </c>
      <c r="AD43" s="242">
        <v>28</v>
      </c>
    </row>
    <row r="44" spans="1:30" s="242" customFormat="1" ht="29.25" customHeight="1">
      <c r="A44" s="1246">
        <v>29</v>
      </c>
      <c r="B44" s="1245">
        <v>29</v>
      </c>
      <c r="C44" s="320">
        <f>TONGHOPCONGDOI!B39</f>
        <v>0</v>
      </c>
      <c r="D44" s="1247" t="str">
        <f>TONGHOPCONGDOI!C39</f>
        <v>Thảo Xiều</v>
      </c>
      <c r="E44" s="1243" t="s">
        <v>15</v>
      </c>
      <c r="F44" s="1252"/>
      <c r="G44" s="1248">
        <f t="shared" si="1"/>
        <v>0</v>
      </c>
      <c r="H44" s="1248">
        <f>VLOOKUP(D44,'TRẠM 1'!$C$15:$Y$107,6,0)</f>
        <v>4494</v>
      </c>
      <c r="I44" s="1248">
        <f>VLOOKUP(D44,'TRẠM 1'!$C$15:$Y$107,7,0)</f>
        <v>0</v>
      </c>
      <c r="J44" s="1248">
        <f>VLOOKUP(D44,'TRẠM 1'!$C$15:$Y$107,8,0)</f>
        <v>1910.0744872151834</v>
      </c>
      <c r="K44" s="1248">
        <f>VLOOKUP(D44,'TRẠM 1'!$C$15:$Y$107,9,0)</f>
        <v>246.27958788003073</v>
      </c>
      <c r="L44" s="1837">
        <f t="shared" si="2"/>
        <v>2156.3540750952143</v>
      </c>
      <c r="M44" s="1996" t="str">
        <f>VLOOKUP(D44,'TRẠM 1'!$C$15:$Y$107,11,0)</f>
        <v>A</v>
      </c>
      <c r="N44" s="1248">
        <f>VLOOKUP(D44,'TRẠM 1'!$C$15:$Y$107,12,0)</f>
        <v>7892256</v>
      </c>
      <c r="O44" s="1248">
        <f>VLOOKUP(D44,'TRẠM 1'!$C$15:$Y$107,13,0)</f>
        <v>27</v>
      </c>
      <c r="P44" s="1248">
        <f>VLOOKUP(D44,'TRẠM 1'!$C$15:$Y$107,14,0)</f>
        <v>4</v>
      </c>
      <c r="Q44" s="1248">
        <f>VLOOKUP(D44,'TRẠM 1'!$C$15:$Z$107,15,0)</f>
        <v>0</v>
      </c>
      <c r="R44" s="1248">
        <f>VLOOKUP(D44,'TRẠM 1'!$C$15:$Z$107,16,0)</f>
        <v>0</v>
      </c>
      <c r="S44" s="1248">
        <f>VLOOKUP(D44,'TRẠM 1'!$C$15:$Z$107,17,0)</f>
        <v>0</v>
      </c>
      <c r="T44" s="1248"/>
      <c r="U44" s="1248"/>
      <c r="V44" s="1248">
        <f>VLOOKUP(D44,'TRẠM 1'!$C$15:$Z$107,20,0)</f>
        <v>0</v>
      </c>
      <c r="W44" s="1248"/>
      <c r="X44" s="1248"/>
      <c r="Y44" s="1248"/>
      <c r="Z44" s="1881">
        <f t="shared" si="3"/>
        <v>1036874</v>
      </c>
      <c r="AA44" s="1471">
        <f t="shared" si="4"/>
        <v>8929130</v>
      </c>
      <c r="AB44" s="1472"/>
      <c r="AC44" s="1420">
        <f t="shared" si="7"/>
        <v>8929130</v>
      </c>
      <c r="AD44" s="242">
        <v>29</v>
      </c>
    </row>
    <row r="45" spans="1:30" s="242" customFormat="1" ht="29.25" customHeight="1">
      <c r="A45" s="1246">
        <v>30</v>
      </c>
      <c r="B45" s="1245">
        <v>30</v>
      </c>
      <c r="C45" s="320" t="str">
        <f>TONGHOPCONGDOI!B40</f>
        <v>03543</v>
      </c>
      <c r="D45" s="1247" t="str">
        <f>TONGHOPCONGDOI!C40</f>
        <v>Văn Na Nọi</v>
      </c>
      <c r="E45" s="1243" t="s">
        <v>15</v>
      </c>
      <c r="F45" s="1252"/>
      <c r="G45" s="1248">
        <f t="shared" si="1"/>
        <v>0</v>
      </c>
      <c r="H45" s="1248">
        <f>VLOOKUP(D45,'TRẠM 1'!$C$15:$Y$107,6,0)</f>
        <v>5121</v>
      </c>
      <c r="I45" s="1248">
        <f>VLOOKUP(D45,'TRẠM 1'!$C$15:$Y$107,7,0)</f>
        <v>0</v>
      </c>
      <c r="J45" s="1248">
        <f>VLOOKUP(D45,'TRẠM 1'!$C$15:$Y$107,8,0)</f>
        <v>2176.5668555916677</v>
      </c>
      <c r="K45" s="1248">
        <f>VLOOKUP(D45,'TRẠM 1'!$C$15:$Y$107,9,0)</f>
        <v>280.64035815167722</v>
      </c>
      <c r="L45" s="1837">
        <f t="shared" si="2"/>
        <v>2457.2072137433452</v>
      </c>
      <c r="M45" s="1996" t="str">
        <f>VLOOKUP(D45,'TRẠM 1'!$C$15:$Y$107,11,0)</f>
        <v>A</v>
      </c>
      <c r="N45" s="1248">
        <f>VLOOKUP(D45,'TRẠM 1'!$C$15:$Y$107,12,0)</f>
        <v>8993378</v>
      </c>
      <c r="O45" s="1248">
        <f>VLOOKUP(D45,'TRẠM 1'!$C$15:$Y$107,13,0)</f>
        <v>27</v>
      </c>
      <c r="P45" s="1248">
        <f>VLOOKUP(D45,'TRẠM 1'!$C$15:$Y$107,14,0)</f>
        <v>4</v>
      </c>
      <c r="Q45" s="1248">
        <f>VLOOKUP(D45,'TRẠM 1'!$C$15:$Z$107,15,0)</f>
        <v>0</v>
      </c>
      <c r="R45" s="1248">
        <f>VLOOKUP(D45,'TRẠM 1'!$C$15:$Z$107,16,0)</f>
        <v>0</v>
      </c>
      <c r="S45" s="1248">
        <f>VLOOKUP(D45,'TRẠM 1'!$C$15:$Z$107,17,0)</f>
        <v>0</v>
      </c>
      <c r="T45" s="1248"/>
      <c r="U45" s="1248"/>
      <c r="V45" s="1248">
        <f>VLOOKUP(D45,'TRẠM 1'!$C$15:$Z$107,20,0)</f>
        <v>0</v>
      </c>
      <c r="W45" s="1248"/>
      <c r="X45" s="1248"/>
      <c r="Y45" s="1248"/>
      <c r="Z45" s="1881">
        <f t="shared" si="3"/>
        <v>1036874</v>
      </c>
      <c r="AA45" s="1471">
        <f t="shared" si="4"/>
        <v>10030252</v>
      </c>
      <c r="AB45" s="1472"/>
      <c r="AC45" s="1420">
        <f t="shared" si="7"/>
        <v>10030252</v>
      </c>
      <c r="AD45" s="242">
        <v>30</v>
      </c>
    </row>
    <row r="46" spans="1:30" s="242" customFormat="1" ht="29.25" customHeight="1">
      <c r="A46" s="1246">
        <v>31</v>
      </c>
      <c r="B46" s="1245">
        <v>31</v>
      </c>
      <c r="C46" s="320" t="str">
        <f>TONGHOPCONGDOI!B41</f>
        <v>03544</v>
      </c>
      <c r="D46" s="1247" t="str">
        <f>TONGHOPCONGDOI!C41</f>
        <v>T. Ta</v>
      </c>
      <c r="E46" s="1243" t="s">
        <v>15</v>
      </c>
      <c r="F46" s="1252"/>
      <c r="G46" s="1248">
        <f t="shared" si="1"/>
        <v>0</v>
      </c>
      <c r="H46" s="1248">
        <f>VLOOKUP(D46,'TRẠM 1'!$C$15:$Y$107,6,0)</f>
        <v>4624</v>
      </c>
      <c r="I46" s="1248">
        <f>VLOOKUP(D46,'TRẠM 1'!$C$15:$Y$107,7,0)</f>
        <v>0</v>
      </c>
      <c r="J46" s="1248">
        <f>VLOOKUP(D46,'TRẠM 1'!$C$15:$Y$107,8,0)</f>
        <v>1965.328088313976</v>
      </c>
      <c r="K46" s="1248">
        <f>VLOOKUP(D46,'TRẠM 1'!$C$15:$Y$107,9,0)</f>
        <v>253.40383052008502</v>
      </c>
      <c r="L46" s="1837">
        <f t="shared" si="2"/>
        <v>2218.7319188340612</v>
      </c>
      <c r="M46" s="1996" t="str">
        <f>VLOOKUP(D46,'TRẠM 1'!$C$15:$Y$107,11,0)</f>
        <v>A</v>
      </c>
      <c r="N46" s="1248">
        <f>VLOOKUP(D46,'TRẠM 1'!$C$15:$Y$107,12,0)</f>
        <v>8120559</v>
      </c>
      <c r="O46" s="1248">
        <f>VLOOKUP(D46,'TRẠM 1'!$C$15:$Y$107,13,0)</f>
        <v>27</v>
      </c>
      <c r="P46" s="1248">
        <f>VLOOKUP(D46,'TRẠM 1'!$C$15:$Y$107,14,0)</f>
        <v>4</v>
      </c>
      <c r="Q46" s="1248">
        <f>VLOOKUP(D46,'TRẠM 1'!$C$15:$Z$107,15,0)</f>
        <v>0</v>
      </c>
      <c r="R46" s="1248">
        <f>VLOOKUP(D46,'TRẠM 1'!$C$15:$Z$107,16,0)</f>
        <v>0</v>
      </c>
      <c r="S46" s="1248">
        <f>VLOOKUP(D46,'TRẠM 1'!$C$15:$Z$107,17,0)</f>
        <v>0</v>
      </c>
      <c r="T46" s="1248"/>
      <c r="U46" s="1248"/>
      <c r="V46" s="1248">
        <f>VLOOKUP(D46,'TRẠM 1'!$C$15:$Z$107,20,0)</f>
        <v>0</v>
      </c>
      <c r="W46" s="1248"/>
      <c r="X46" s="1248"/>
      <c r="Y46" s="1248"/>
      <c r="Z46" s="1881">
        <f t="shared" si="3"/>
        <v>1036874</v>
      </c>
      <c r="AA46" s="1471">
        <f t="shared" si="4"/>
        <v>9157433</v>
      </c>
      <c r="AB46" s="1472"/>
      <c r="AC46" s="1420">
        <f t="shared" si="7"/>
        <v>9157433</v>
      </c>
      <c r="AD46" s="242">
        <v>31</v>
      </c>
    </row>
    <row r="47" spans="1:30" s="242" customFormat="1" ht="29.25" customHeight="1">
      <c r="A47" s="1246">
        <v>32</v>
      </c>
      <c r="B47" s="1245">
        <v>32</v>
      </c>
      <c r="C47" s="320" t="str">
        <f>TONGHOPCONGDOI!B42</f>
        <v>04099</v>
      </c>
      <c r="D47" s="1247" t="str">
        <f>TONGHOPCONGDOI!C42</f>
        <v>Phon Xa May</v>
      </c>
      <c r="E47" s="1243" t="s">
        <v>15</v>
      </c>
      <c r="F47" s="1252"/>
      <c r="G47" s="1248">
        <f t="shared" si="1"/>
        <v>0</v>
      </c>
      <c r="H47" s="1248">
        <f>VLOOKUP(D47,'TRẠM 1'!$C$15:$Y$107,6,0)</f>
        <v>4637</v>
      </c>
      <c r="I47" s="1248">
        <f>VLOOKUP(D47,'TRẠM 1'!$C$15:$Y$107,7,0)</f>
        <v>0</v>
      </c>
      <c r="J47" s="1248">
        <f>VLOOKUP(D47,'TRẠM 1'!$C$15:$Y$107,8,0)</f>
        <v>1970.8534484238553</v>
      </c>
      <c r="K47" s="1248">
        <f>VLOOKUP(D47,'TRẠM 1'!$C$15:$Y$107,9,0)</f>
        <v>254.11625478409044</v>
      </c>
      <c r="L47" s="1837">
        <f t="shared" si="2"/>
        <v>2224.9697032079457</v>
      </c>
      <c r="M47" s="1996" t="str">
        <f>VLOOKUP(D47,'TRẠM 1'!$C$15:$Y$107,11,0)</f>
        <v>A</v>
      </c>
      <c r="N47" s="1248">
        <f>VLOOKUP(D47,'TRẠM 1'!$C$15:$Y$107,12,0)</f>
        <v>8143389</v>
      </c>
      <c r="O47" s="1248">
        <f>VLOOKUP(D47,'TRẠM 1'!$C$15:$Y$107,13,0)</f>
        <v>27</v>
      </c>
      <c r="P47" s="1248">
        <f>VLOOKUP(D47,'TRẠM 1'!$C$15:$Y$107,14,0)</f>
        <v>4</v>
      </c>
      <c r="Q47" s="1248">
        <f>VLOOKUP(D47,'TRẠM 1'!$C$15:$Z$107,15,0)</f>
        <v>0</v>
      </c>
      <c r="R47" s="1248">
        <f>VLOOKUP(D47,'TRẠM 1'!$C$15:$Z$107,16,0)</f>
        <v>0</v>
      </c>
      <c r="S47" s="1248">
        <f>VLOOKUP(D47,'TRẠM 1'!$C$15:$Z$107,17,0)</f>
        <v>0</v>
      </c>
      <c r="T47" s="1248"/>
      <c r="U47" s="1248"/>
      <c r="V47" s="1248">
        <f>VLOOKUP(D47,'TRẠM 1'!$C$15:$Z$107,20,0)</f>
        <v>0</v>
      </c>
      <c r="W47" s="1248"/>
      <c r="X47" s="1248"/>
      <c r="Y47" s="1248"/>
      <c r="Z47" s="1881">
        <f t="shared" si="3"/>
        <v>1036874</v>
      </c>
      <c r="AA47" s="1471">
        <f t="shared" si="4"/>
        <v>9180263</v>
      </c>
      <c r="AB47" s="1472"/>
      <c r="AC47" s="1420">
        <f t="shared" si="7"/>
        <v>9180263</v>
      </c>
      <c r="AD47" s="242">
        <v>32</v>
      </c>
    </row>
    <row r="48" spans="1:30" s="242" customFormat="1" ht="29.25" customHeight="1">
      <c r="A48" s="1246">
        <v>33</v>
      </c>
      <c r="B48" s="1245">
        <v>33</v>
      </c>
      <c r="C48" s="320" t="str">
        <f>TONGHOPCONGDOI!B43</f>
        <v>04100</v>
      </c>
      <c r="D48" s="1247" t="str">
        <f>TONGHOPCONGDOI!C43</f>
        <v>T. Ừm</v>
      </c>
      <c r="E48" s="1243" t="s">
        <v>15</v>
      </c>
      <c r="F48" s="1252"/>
      <c r="G48" s="1248">
        <f t="shared" si="1"/>
        <v>0</v>
      </c>
      <c r="H48" s="1248">
        <f>VLOOKUP(D48,'TRẠM 1'!$C$15:$Y$107,6,0)</f>
        <v>3805</v>
      </c>
      <c r="I48" s="1248">
        <f>VLOOKUP(D48,'TRẠM 1'!$C$15:$Y$107,7,0)</f>
        <v>0</v>
      </c>
      <c r="J48" s="1248">
        <f>VLOOKUP(D48,'TRẠM 1'!$C$15:$Y$107,8,0)</f>
        <v>1617.2304013915827</v>
      </c>
      <c r="K48" s="1248">
        <f>VLOOKUP(D48,'TRẠM 1'!$C$15:$Y$107,9,0)</f>
        <v>208.52110188774296</v>
      </c>
      <c r="L48" s="1837">
        <f t="shared" si="2"/>
        <v>1825.7515032793258</v>
      </c>
      <c r="M48" s="1996" t="str">
        <f>VLOOKUP(D48,'TRẠM 1'!$C$15:$Y$107,11,0)</f>
        <v>B</v>
      </c>
      <c r="N48" s="1248">
        <f>VLOOKUP(D48,'TRẠM 1'!$C$15:$Y$107,12,0)</f>
        <v>6353615</v>
      </c>
      <c r="O48" s="1248">
        <f>VLOOKUP(D48,'TRẠM 1'!$C$15:$Y$107,13,0)</f>
        <v>27</v>
      </c>
      <c r="P48" s="1248">
        <f>VLOOKUP(D48,'TRẠM 1'!$C$15:$Y$107,14,0)</f>
        <v>4</v>
      </c>
      <c r="Q48" s="1248">
        <f>VLOOKUP(D48,'TRẠM 1'!$C$15:$Z$107,15,0)</f>
        <v>0</v>
      </c>
      <c r="R48" s="1248">
        <f>VLOOKUP(D48,'TRẠM 1'!$C$15:$Z$107,16,0)</f>
        <v>0</v>
      </c>
      <c r="S48" s="1248">
        <f>VLOOKUP(D48,'TRẠM 1'!$C$15:$Z$107,17,0)</f>
        <v>0</v>
      </c>
      <c r="T48" s="1248"/>
      <c r="U48" s="1248"/>
      <c r="V48" s="1248">
        <f>VLOOKUP(D48,'TRẠM 1'!$C$15:$Z$107,20,0)</f>
        <v>0</v>
      </c>
      <c r="W48" s="1248"/>
      <c r="X48" s="1248"/>
      <c r="Y48" s="1248"/>
      <c r="Z48" s="1881">
        <f t="shared" si="3"/>
        <v>1036874</v>
      </c>
      <c r="AA48" s="1471">
        <f t="shared" ref="AA48:AA79" si="8">+N48+G48+Z48</f>
        <v>7390489</v>
      </c>
      <c r="AB48" s="1472"/>
      <c r="AC48" s="1420">
        <f t="shared" si="7"/>
        <v>7390489</v>
      </c>
      <c r="AD48" s="242">
        <v>33</v>
      </c>
    </row>
    <row r="49" spans="1:30" s="242" customFormat="1" ht="29.25" customHeight="1">
      <c r="A49" s="1246">
        <v>34</v>
      </c>
      <c r="B49" s="1245">
        <v>34</v>
      </c>
      <c r="C49" s="320" t="str">
        <f>TONGHOPCONGDOI!B44</f>
        <v>03557</v>
      </c>
      <c r="D49" s="1247" t="str">
        <f>TONGHOPCONGDOI!C44</f>
        <v>T. Phù</v>
      </c>
      <c r="E49" s="1243" t="s">
        <v>15</v>
      </c>
      <c r="F49" s="1252"/>
      <c r="G49" s="1248">
        <f t="shared" si="1"/>
        <v>0</v>
      </c>
      <c r="H49" s="1248">
        <f>VLOOKUP(D49,'TRẠM 1'!$C$15:$Y$107,6,0)</f>
        <v>4099</v>
      </c>
      <c r="I49" s="1248">
        <f>VLOOKUP(D49,'TRẠM 1'!$C$15:$Y$107,7,0)</f>
        <v>0</v>
      </c>
      <c r="J49" s="1248">
        <f>VLOOKUP(D49,'TRẠM 1'!$C$15:$Y$107,8,0)</f>
        <v>1742.1885454150058</v>
      </c>
      <c r="K49" s="1248">
        <f>VLOOKUP(D49,'TRẠM 1'!$C$15:$Y$107,9,0)</f>
        <v>224.63285062755807</v>
      </c>
      <c r="L49" s="1837">
        <f t="shared" si="2"/>
        <v>1966.8213960425639</v>
      </c>
      <c r="M49" s="1996" t="str">
        <f>VLOOKUP(D49,'TRẠM 1'!$C$15:$Y$107,11,0)</f>
        <v>B</v>
      </c>
      <c r="N49" s="1248">
        <f>VLOOKUP(D49,'TRẠM 1'!$C$15:$Y$107,12,0)</f>
        <v>6844538</v>
      </c>
      <c r="O49" s="1248">
        <f>VLOOKUP(D49,'TRẠM 1'!$C$15:$Y$107,13,0)</f>
        <v>25</v>
      </c>
      <c r="P49" s="1248">
        <f>VLOOKUP(D49,'TRẠM 1'!$C$15:$Y$107,14,0)</f>
        <v>4</v>
      </c>
      <c r="Q49" s="1248">
        <f>VLOOKUP(D49,'TRẠM 1'!$C$15:$Z$107,15,0)</f>
        <v>0</v>
      </c>
      <c r="R49" s="1248">
        <f>VLOOKUP(D49,'TRẠM 1'!$C$15:$Z$107,16,0)</f>
        <v>0</v>
      </c>
      <c r="S49" s="1248">
        <f>VLOOKUP(D49,'TRẠM 1'!$C$15:$Z$107,17,0)</f>
        <v>0</v>
      </c>
      <c r="T49" s="1248"/>
      <c r="U49" s="1248"/>
      <c r="V49" s="1248">
        <f>VLOOKUP(D49,'TRẠM 1'!$C$15:$Z$107,20,0)</f>
        <v>0</v>
      </c>
      <c r="W49" s="1248"/>
      <c r="X49" s="1248"/>
      <c r="Y49" s="1248"/>
      <c r="Z49" s="1881">
        <f t="shared" si="3"/>
        <v>975288</v>
      </c>
      <c r="AA49" s="1471">
        <f t="shared" si="8"/>
        <v>7819826</v>
      </c>
      <c r="AB49" s="1472"/>
      <c r="AC49" s="1420">
        <f t="shared" si="7"/>
        <v>7819826</v>
      </c>
      <c r="AD49" s="242">
        <v>34</v>
      </c>
    </row>
    <row r="50" spans="1:30" s="242" customFormat="1" ht="29.25" customHeight="1">
      <c r="A50" s="1246">
        <v>35</v>
      </c>
      <c r="B50" s="1245">
        <v>35</v>
      </c>
      <c r="C50" s="320" t="str">
        <f>TONGHOPCONGDOI!B45</f>
        <v>04101</v>
      </c>
      <c r="D50" s="1247" t="str">
        <f>TONGHOPCONGDOI!C45</f>
        <v>N. Công Say</v>
      </c>
      <c r="E50" s="1243" t="s">
        <v>15</v>
      </c>
      <c r="F50" s="1252"/>
      <c r="G50" s="1248">
        <f t="shared" si="1"/>
        <v>0</v>
      </c>
      <c r="H50" s="1248">
        <f>VLOOKUP(D50,'TRẠM 1'!$C$15:$Y$107,6,0)</f>
        <v>4880</v>
      </c>
      <c r="I50" s="1248">
        <f>VLOOKUP(D50,'TRẠM 1'!$C$15:$Y$107,7,0)</f>
        <v>0</v>
      </c>
      <c r="J50" s="1248">
        <f>VLOOKUP(D50,'TRẠM 1'!$C$15:$Y$107,8,0)</f>
        <v>2074.1351797085213</v>
      </c>
      <c r="K50" s="1248">
        <f>VLOOKUP(D50,'TRẠM 1'!$C$15:$Y$107,9,0)</f>
        <v>267.43310833434577</v>
      </c>
      <c r="L50" s="1837">
        <f t="shared" si="2"/>
        <v>2341.5682880428672</v>
      </c>
      <c r="M50" s="1996" t="str">
        <f>VLOOKUP(D50,'TRẠM 1'!$C$15:$Y$107,11,0)</f>
        <v>A</v>
      </c>
      <c r="N50" s="1248">
        <f>VLOOKUP(D50,'TRẠM 1'!$C$15:$Y$107,12,0)</f>
        <v>8570140</v>
      </c>
      <c r="O50" s="1248">
        <f>VLOOKUP(D50,'TRẠM 1'!$C$15:$Y$107,13,0)</f>
        <v>27</v>
      </c>
      <c r="P50" s="1248">
        <f>VLOOKUP(D50,'TRẠM 1'!$C$15:$Y$107,14,0)</f>
        <v>4</v>
      </c>
      <c r="Q50" s="1248">
        <f>VLOOKUP(D50,'TRẠM 1'!$C$15:$Z$107,15,0)</f>
        <v>0</v>
      </c>
      <c r="R50" s="1248">
        <f>VLOOKUP(D50,'TRẠM 1'!$C$15:$Z$107,16,0)</f>
        <v>0</v>
      </c>
      <c r="S50" s="1248">
        <f>VLOOKUP(D50,'TRẠM 1'!$C$15:$Z$107,17,0)</f>
        <v>0</v>
      </c>
      <c r="T50" s="1248"/>
      <c r="U50" s="1248"/>
      <c r="V50" s="1248">
        <f>VLOOKUP(D50,'TRẠM 1'!$C$15:$Z$107,20,0)</f>
        <v>0</v>
      </c>
      <c r="W50" s="1248"/>
      <c r="X50" s="1248"/>
      <c r="Y50" s="1248"/>
      <c r="Z50" s="1881">
        <f t="shared" si="3"/>
        <v>1036874</v>
      </c>
      <c r="AA50" s="1471">
        <f t="shared" si="8"/>
        <v>9607014</v>
      </c>
      <c r="AB50" s="1472"/>
      <c r="AC50" s="1420">
        <f t="shared" si="7"/>
        <v>9607014</v>
      </c>
      <c r="AD50" s="242">
        <v>35</v>
      </c>
    </row>
    <row r="51" spans="1:30" s="242" customFormat="1" ht="29.25" customHeight="1">
      <c r="A51" s="1246">
        <v>36</v>
      </c>
      <c r="B51" s="1245">
        <v>36</v>
      </c>
      <c r="C51" s="320" t="str">
        <f>TONGHOPCONGDOI!B46</f>
        <v>03549</v>
      </c>
      <c r="D51" s="1247" t="str">
        <f>TONGHOPCONGDOI!C46</f>
        <v>N. Xi Xộm</v>
      </c>
      <c r="E51" s="1243" t="s">
        <v>15</v>
      </c>
      <c r="F51" s="1252"/>
      <c r="G51" s="1248">
        <f t="shared" si="1"/>
        <v>0</v>
      </c>
      <c r="H51" s="1248">
        <f>VLOOKUP(D51,'TRẠM 1'!$C$15:$Y$107,6,0)</f>
        <v>4745</v>
      </c>
      <c r="I51" s="1248">
        <f>VLOOKUP(D51,'TRẠM 1'!$C$15:$Y$107,7,0)</f>
        <v>0</v>
      </c>
      <c r="J51" s="1248">
        <f>VLOOKUP(D51,'TRẠM 1'!$C$15:$Y$107,8,0)</f>
        <v>2016.756440105929</v>
      </c>
      <c r="K51" s="1248">
        <f>VLOOKUP(D51,'TRẠM 1'!$C$15:$Y$107,9,0)</f>
        <v>260.03485636198172</v>
      </c>
      <c r="L51" s="1837">
        <f t="shared" si="2"/>
        <v>2276.7912964679108</v>
      </c>
      <c r="M51" s="1996" t="str">
        <f>VLOOKUP(D51,'TRẠM 1'!$C$15:$Y$107,11,0)</f>
        <v>A</v>
      </c>
      <c r="N51" s="1248">
        <f>VLOOKUP(D51,'TRẠM 1'!$C$15:$Y$107,12,0)</f>
        <v>8333056</v>
      </c>
      <c r="O51" s="1248">
        <f>VLOOKUP(D51,'TRẠM 1'!$C$15:$Y$107,13,0)</f>
        <v>27</v>
      </c>
      <c r="P51" s="1248">
        <f>VLOOKUP(D51,'TRẠM 1'!$C$15:$Y$107,14,0)</f>
        <v>4</v>
      </c>
      <c r="Q51" s="1248">
        <f>VLOOKUP(D51,'TRẠM 1'!$C$15:$Z$107,15,0)</f>
        <v>0</v>
      </c>
      <c r="R51" s="1248">
        <f>VLOOKUP(D51,'TRẠM 1'!$C$15:$Z$107,16,0)</f>
        <v>0</v>
      </c>
      <c r="S51" s="1248">
        <f>VLOOKUP(D51,'TRẠM 1'!$C$15:$Z$107,17,0)</f>
        <v>0</v>
      </c>
      <c r="T51" s="1248"/>
      <c r="U51" s="1248"/>
      <c r="V51" s="1248">
        <f>VLOOKUP(D51,'TRẠM 1'!$C$15:$Z$107,20,0)</f>
        <v>0</v>
      </c>
      <c r="W51" s="1248"/>
      <c r="X51" s="1248"/>
      <c r="Y51" s="1248"/>
      <c r="Z51" s="1881">
        <f t="shared" si="3"/>
        <v>1036874</v>
      </c>
      <c r="AA51" s="1471">
        <f t="shared" si="8"/>
        <v>9369930</v>
      </c>
      <c r="AB51" s="1472"/>
      <c r="AC51" s="1420">
        <f t="shared" si="7"/>
        <v>9369930</v>
      </c>
      <c r="AD51" s="242">
        <v>36</v>
      </c>
    </row>
    <row r="52" spans="1:30" s="242" customFormat="1" ht="29.25" customHeight="1">
      <c r="A52" s="1246">
        <v>37</v>
      </c>
      <c r="B52" s="1245">
        <v>37</v>
      </c>
      <c r="C52" s="320" t="str">
        <f>TONGHOPCONGDOI!B47</f>
        <v>04102</v>
      </c>
      <c r="D52" s="1247" t="str">
        <f>TONGHOPCONGDOI!C47</f>
        <v>Son Xa May</v>
      </c>
      <c r="E52" s="1243" t="s">
        <v>15</v>
      </c>
      <c r="F52" s="1252"/>
      <c r="G52" s="1248">
        <f t="shared" si="1"/>
        <v>0</v>
      </c>
      <c r="H52" s="1248">
        <f>VLOOKUP(D52,'TRẠM 1'!$C$15:$Y$107,6,0)</f>
        <v>4198</v>
      </c>
      <c r="I52" s="1248">
        <f>VLOOKUP(D52,'TRẠM 1'!$C$15:$Y$107,7,0)</f>
        <v>0</v>
      </c>
      <c r="J52" s="1248">
        <f>VLOOKUP(D52,'TRẠM 1'!$C$15:$Y$107,8,0)</f>
        <v>1784.2662877902403</v>
      </c>
      <c r="K52" s="1248">
        <f>VLOOKUP(D52,'TRẠM 1'!$C$15:$Y$107,9,0)</f>
        <v>230.05823540729173</v>
      </c>
      <c r="L52" s="1837">
        <f t="shared" si="2"/>
        <v>2014.324523197532</v>
      </c>
      <c r="M52" s="1996" t="str">
        <f>VLOOKUP(D52,'TRẠM 1'!$C$15:$Y$107,11,0)</f>
        <v>A</v>
      </c>
      <c r="N52" s="1248">
        <f>VLOOKUP(D52,'TRẠM 1'!$C$15:$Y$107,12,0)</f>
        <v>7372428</v>
      </c>
      <c r="O52" s="1248">
        <f>VLOOKUP(D52,'TRẠM 1'!$C$15:$Y$107,13,0)</f>
        <v>27</v>
      </c>
      <c r="P52" s="1248">
        <f>VLOOKUP(D52,'TRẠM 1'!$C$15:$Y$107,14,0)</f>
        <v>4</v>
      </c>
      <c r="Q52" s="1248">
        <f>VLOOKUP(D52,'TRẠM 1'!$C$15:$Z$107,15,0)</f>
        <v>0</v>
      </c>
      <c r="R52" s="1248">
        <f>VLOOKUP(D52,'TRẠM 1'!$C$15:$Z$107,16,0)</f>
        <v>0</v>
      </c>
      <c r="S52" s="1248">
        <f>VLOOKUP(D52,'TRẠM 1'!$C$15:$Z$107,17,0)</f>
        <v>0</v>
      </c>
      <c r="T52" s="1248"/>
      <c r="U52" s="1248"/>
      <c r="V52" s="1248">
        <f>VLOOKUP(D52,'TRẠM 1'!$C$15:$Z$107,20,0)</f>
        <v>0</v>
      </c>
      <c r="W52" s="1248"/>
      <c r="X52" s="1248"/>
      <c r="Y52" s="1248"/>
      <c r="Z52" s="1881">
        <f t="shared" si="3"/>
        <v>1036874</v>
      </c>
      <c r="AA52" s="1471">
        <f t="shared" si="8"/>
        <v>8409302</v>
      </c>
      <c r="AB52" s="1472"/>
      <c r="AC52" s="1420">
        <f t="shared" si="7"/>
        <v>8409302</v>
      </c>
      <c r="AD52" s="242">
        <v>37</v>
      </c>
    </row>
    <row r="53" spans="1:30" s="242" customFormat="1" ht="29.25" customHeight="1">
      <c r="A53" s="1246">
        <v>38</v>
      </c>
      <c r="B53" s="1245">
        <v>38</v>
      </c>
      <c r="C53" s="320" t="str">
        <f>TONGHOPCONGDOI!B48</f>
        <v>03551</v>
      </c>
      <c r="D53" s="1247" t="str">
        <f>TONGHOPCONGDOI!C48</f>
        <v>T . Pheng</v>
      </c>
      <c r="E53" s="1243" t="s">
        <v>15</v>
      </c>
      <c r="F53" s="1252"/>
      <c r="G53" s="1248">
        <f t="shared" si="1"/>
        <v>0</v>
      </c>
      <c r="H53" s="1248">
        <f>VLOOKUP(D53,'TRẠM 1'!$C$15:$Y$107,6,0)</f>
        <v>2698</v>
      </c>
      <c r="I53" s="1248">
        <f>VLOOKUP(D53,'TRẠM 1'!$C$15:$Y$107,7,0)</f>
        <v>0</v>
      </c>
      <c r="J53" s="1248">
        <f>VLOOKUP(D53,'TRẠM 1'!$C$15:$Y$107,8,0)</f>
        <v>1146.7247366503259</v>
      </c>
      <c r="K53" s="1248">
        <f>VLOOKUP(D53,'TRẠM 1'!$C$15:$Y$107,9,0)</f>
        <v>147.85543571435755</v>
      </c>
      <c r="L53" s="1837">
        <f t="shared" si="2"/>
        <v>1294.5801723646834</v>
      </c>
      <c r="M53" s="1996" t="str">
        <f>VLOOKUP(D53,'TRẠM 1'!$C$15:$Y$107,11,0)</f>
        <v>B</v>
      </c>
      <c r="N53" s="1248">
        <f>VLOOKUP(D53,'TRẠM 1'!$C$15:$Y$107,12,0)</f>
        <v>4505139</v>
      </c>
      <c r="O53" s="1248">
        <f>VLOOKUP(D53,'TRẠM 1'!$C$15:$Y$107,13,0)</f>
        <v>18</v>
      </c>
      <c r="P53" s="1248">
        <f>VLOOKUP(D53,'TRẠM 1'!$C$15:$Y$107,14,0)</f>
        <v>3</v>
      </c>
      <c r="Q53" s="1248">
        <f>VLOOKUP(D53,'TRẠM 1'!$C$15:$Z$107,15,0)</f>
        <v>0</v>
      </c>
      <c r="R53" s="1248">
        <f>VLOOKUP(D53,'TRẠM 1'!$C$15:$Z$107,16,0)</f>
        <v>0</v>
      </c>
      <c r="S53" s="1248">
        <f>VLOOKUP(D53,'TRẠM 1'!$C$15:$Z$107,17,0)</f>
        <v>0</v>
      </c>
      <c r="T53" s="1248"/>
      <c r="U53" s="1248"/>
      <c r="V53" s="1248">
        <f>VLOOKUP(D53,'TRẠM 1'!$C$15:$Z$107,20,0)</f>
        <v>0</v>
      </c>
      <c r="W53" s="1248"/>
      <c r="X53" s="1248"/>
      <c r="Y53" s="1248"/>
      <c r="Z53" s="1881">
        <f t="shared" si="3"/>
        <v>708372</v>
      </c>
      <c r="AA53" s="1471">
        <f t="shared" si="8"/>
        <v>5213511</v>
      </c>
      <c r="AB53" s="1472"/>
      <c r="AC53" s="1420">
        <f t="shared" si="7"/>
        <v>5213511</v>
      </c>
      <c r="AD53" s="242">
        <v>38</v>
      </c>
    </row>
    <row r="54" spans="1:30" s="242" customFormat="1" ht="29.25" customHeight="1">
      <c r="A54" s="1246">
        <v>39</v>
      </c>
      <c r="B54" s="1245">
        <v>39</v>
      </c>
      <c r="C54" s="320" t="str">
        <f>TONGHOPCONGDOI!B49</f>
        <v>04103</v>
      </c>
      <c r="D54" s="1247" t="str">
        <f>TONGHOPCONGDOI!C49</f>
        <v>T. Nọi Ê</v>
      </c>
      <c r="E54" s="1243" t="s">
        <v>15</v>
      </c>
      <c r="F54" s="1252"/>
      <c r="G54" s="1248">
        <f t="shared" si="1"/>
        <v>0</v>
      </c>
      <c r="H54" s="1248">
        <f>VLOOKUP(D54,'TRẠM 1'!$C$15:$Y$107,6,0)</f>
        <v>4888</v>
      </c>
      <c r="I54" s="1248">
        <f>VLOOKUP(D54,'TRẠM 1'!$C$15:$Y$107,7,0)</f>
        <v>0</v>
      </c>
      <c r="J54" s="1248">
        <f>VLOOKUP(D54,'TRẠM 1'!$C$15:$Y$107,8,0)</f>
        <v>2077.5354013146007</v>
      </c>
      <c r="K54" s="1248">
        <f>VLOOKUP(D54,'TRẠM 1'!$C$15:$Y$107,9,0)</f>
        <v>267.87152326604144</v>
      </c>
      <c r="L54" s="1837">
        <f t="shared" si="2"/>
        <v>2345.4069245806422</v>
      </c>
      <c r="M54" s="1996" t="str">
        <f>VLOOKUP(D54,'TRẠM 1'!$C$15:$Y$107,11,0)</f>
        <v>A</v>
      </c>
      <c r="N54" s="1248">
        <f>VLOOKUP(D54,'TRẠM 1'!$C$15:$Y$107,12,0)</f>
        <v>8584189</v>
      </c>
      <c r="O54" s="1248">
        <f>VLOOKUP(D54,'TRẠM 1'!$C$15:$Y$107,13,0)</f>
        <v>27</v>
      </c>
      <c r="P54" s="1248">
        <f>VLOOKUP(D54,'TRẠM 1'!$C$15:$Y$107,14,0)</f>
        <v>4</v>
      </c>
      <c r="Q54" s="1248">
        <f>VLOOKUP(D54,'TRẠM 1'!$C$15:$Z$107,15,0)</f>
        <v>0</v>
      </c>
      <c r="R54" s="1248">
        <f>VLOOKUP(D54,'TRẠM 1'!$C$15:$Z$107,16,0)</f>
        <v>0</v>
      </c>
      <c r="S54" s="1248">
        <f>VLOOKUP(D54,'TRẠM 1'!$C$15:$Z$107,17,0)</f>
        <v>0</v>
      </c>
      <c r="T54" s="1248"/>
      <c r="U54" s="1248"/>
      <c r="V54" s="1248">
        <f>VLOOKUP(D54,'TRẠM 1'!$C$15:$Z$107,20,0)</f>
        <v>0</v>
      </c>
      <c r="W54" s="1248"/>
      <c r="X54" s="1248"/>
      <c r="Y54" s="1248"/>
      <c r="Z54" s="1881">
        <f t="shared" si="3"/>
        <v>1036874</v>
      </c>
      <c r="AA54" s="1471">
        <f t="shared" si="8"/>
        <v>9621063</v>
      </c>
      <c r="AB54" s="1472"/>
      <c r="AC54" s="1420">
        <f t="shared" si="7"/>
        <v>9621063</v>
      </c>
      <c r="AD54" s="242">
        <v>39</v>
      </c>
    </row>
    <row r="55" spans="1:30" s="242" customFormat="1" ht="29.25" customHeight="1">
      <c r="A55" s="1246">
        <v>40</v>
      </c>
      <c r="B55" s="1245">
        <v>40</v>
      </c>
      <c r="C55" s="320" t="str">
        <f>TONGHOPCONGDOI!B50</f>
        <v>03488</v>
      </c>
      <c r="D55" s="1247" t="str">
        <f>TONGHOPCONGDOI!C50</f>
        <v>N. Đeng</v>
      </c>
      <c r="E55" s="1243" t="s">
        <v>15</v>
      </c>
      <c r="F55" s="1252"/>
      <c r="G55" s="1248">
        <f t="shared" si="1"/>
        <v>0</v>
      </c>
      <c r="H55" s="1248">
        <f>VLOOKUP(D55,'TRẠM 1'!$C$15:$Y$107,6,0)</f>
        <v>4374</v>
      </c>
      <c r="I55" s="1248">
        <f>VLOOKUP(D55,'TRẠM 1'!$C$15:$Y$107,7,0)</f>
        <v>0</v>
      </c>
      <c r="J55" s="1248">
        <f>VLOOKUP(D55,'TRẠM 1'!$C$15:$Y$107,8,0)</f>
        <v>1859.0711631239901</v>
      </c>
      <c r="K55" s="1248">
        <f>VLOOKUP(D55,'TRẠM 1'!$C$15:$Y$107,9,0)</f>
        <v>239.70336390459599</v>
      </c>
      <c r="L55" s="1837">
        <f t="shared" si="2"/>
        <v>2098.7745270285859</v>
      </c>
      <c r="M55" s="1996" t="str">
        <f>VLOOKUP(D55,'TRẠM 1'!$C$15:$Y$107,11,0)</f>
        <v>A</v>
      </c>
      <c r="N55" s="1248">
        <f>VLOOKUP(D55,'TRẠM 1'!$C$15:$Y$107,12,0)</f>
        <v>7681515</v>
      </c>
      <c r="O55" s="1248">
        <f>VLOOKUP(D55,'TRẠM 1'!$C$15:$Y$107,13,0)</f>
        <v>27</v>
      </c>
      <c r="P55" s="1248">
        <f>VLOOKUP(D55,'TRẠM 1'!$C$15:$Y$107,14,0)</f>
        <v>4</v>
      </c>
      <c r="Q55" s="1248">
        <f>VLOOKUP(D55,'TRẠM 1'!$C$15:$Z$107,15,0)</f>
        <v>0</v>
      </c>
      <c r="R55" s="1248">
        <f>VLOOKUP(D55,'TRẠM 1'!$C$15:$Z$107,16,0)</f>
        <v>0</v>
      </c>
      <c r="S55" s="1248">
        <f>VLOOKUP(D55,'TRẠM 1'!$C$15:$Z$107,17,0)</f>
        <v>0</v>
      </c>
      <c r="T55" s="1248"/>
      <c r="U55" s="1248"/>
      <c r="V55" s="1248">
        <f>VLOOKUP(D55,'TRẠM 1'!$C$15:$Z$107,20,0)</f>
        <v>0</v>
      </c>
      <c r="W55" s="1248"/>
      <c r="X55" s="1248"/>
      <c r="Y55" s="1248"/>
      <c r="Z55" s="1881">
        <f t="shared" si="3"/>
        <v>1036874</v>
      </c>
      <c r="AA55" s="1471">
        <f t="shared" si="8"/>
        <v>8718389</v>
      </c>
      <c r="AB55" s="1472"/>
      <c r="AC55" s="1420">
        <f t="shared" si="7"/>
        <v>8718389</v>
      </c>
      <c r="AD55" s="242">
        <v>40</v>
      </c>
    </row>
    <row r="56" spans="1:30" s="242" customFormat="1" ht="29.25" customHeight="1">
      <c r="A56" s="1246">
        <v>41</v>
      </c>
      <c r="B56" s="1245">
        <v>41</v>
      </c>
      <c r="C56" s="320">
        <f>TONGHOPCONGDOI!B51</f>
        <v>0</v>
      </c>
      <c r="D56" s="1247" t="str">
        <f>TONGHOPCONGDOI!C51</f>
        <v>Thảo Buồng</v>
      </c>
      <c r="E56" s="1243" t="s">
        <v>15</v>
      </c>
      <c r="F56" s="1252"/>
      <c r="G56" s="1248">
        <f t="shared" si="1"/>
        <v>0</v>
      </c>
      <c r="H56" s="1248">
        <f>VLOOKUP(D56,'TRẠM 1'!$C$15:$Y$107,6,0)</f>
        <v>5222</v>
      </c>
      <c r="I56" s="1248">
        <f>VLOOKUP(D56,'TRẠM 1'!$C$15:$Y$107,7,0)</f>
        <v>0</v>
      </c>
      <c r="J56" s="1248">
        <f>VLOOKUP(D56,'TRẠM 1'!$C$15:$Y$107,8,0)</f>
        <v>2219.494653368422</v>
      </c>
      <c r="K56" s="1248">
        <f>VLOOKUP(D56,'TRẠM 1'!$C$15:$Y$107,9,0)</f>
        <v>286.17534666433477</v>
      </c>
      <c r="L56" s="1837">
        <f t="shared" si="2"/>
        <v>2505.6700000327569</v>
      </c>
      <c r="M56" s="1996" t="str">
        <f>VLOOKUP(D56,'TRẠM 1'!$C$15:$Y$107,11,0)</f>
        <v>A</v>
      </c>
      <c r="N56" s="1248">
        <f>VLOOKUP(D56,'TRẠM 1'!$C$15:$Y$107,12,0)</f>
        <v>9170752</v>
      </c>
      <c r="O56" s="1248">
        <f>VLOOKUP(D56,'TRẠM 1'!$C$15:$Y$107,13,0)</f>
        <v>27</v>
      </c>
      <c r="P56" s="1248">
        <f>VLOOKUP(D56,'TRẠM 1'!$C$15:$Y$107,14,0)</f>
        <v>4</v>
      </c>
      <c r="Q56" s="1248">
        <f>VLOOKUP(D56,'TRẠM 1'!$C$15:$Z$107,15,0)</f>
        <v>0</v>
      </c>
      <c r="R56" s="1248">
        <f>VLOOKUP(D56,'TRẠM 1'!$C$15:$Z$107,16,0)</f>
        <v>0</v>
      </c>
      <c r="S56" s="1248">
        <f>VLOOKUP(D56,'TRẠM 1'!$C$15:$Z$107,17,0)</f>
        <v>0</v>
      </c>
      <c r="T56" s="1248"/>
      <c r="U56" s="1248"/>
      <c r="V56" s="1248">
        <f>VLOOKUP(D56,'TRẠM 1'!$C$15:$Z$107,20,0)</f>
        <v>0</v>
      </c>
      <c r="W56" s="1248"/>
      <c r="X56" s="1248"/>
      <c r="Y56" s="1248"/>
      <c r="Z56" s="1881">
        <f t="shared" si="3"/>
        <v>1036874</v>
      </c>
      <c r="AA56" s="1471">
        <f t="shared" si="8"/>
        <v>10207626</v>
      </c>
      <c r="AB56" s="1472"/>
      <c r="AC56" s="1420">
        <f t="shared" si="7"/>
        <v>10207626</v>
      </c>
      <c r="AD56" s="242">
        <v>41</v>
      </c>
    </row>
    <row r="57" spans="1:30" s="242" customFormat="1" ht="29.25" customHeight="1">
      <c r="A57" s="1246">
        <v>42</v>
      </c>
      <c r="B57" s="1245">
        <v>42</v>
      </c>
      <c r="C57" s="320" t="str">
        <f>TONGHOPCONGDOI!B52</f>
        <v>03548</v>
      </c>
      <c r="D57" s="1247" t="str">
        <f>TONGHOPCONGDOI!C52</f>
        <v>T. Om</v>
      </c>
      <c r="E57" s="1243" t="s">
        <v>15</v>
      </c>
      <c r="F57" s="1252"/>
      <c r="G57" s="1248">
        <f t="shared" si="1"/>
        <v>0</v>
      </c>
      <c r="H57" s="1248">
        <f>VLOOKUP(D57,'TRẠM 1'!$C$15:$Y$107,6,0)</f>
        <v>4657</v>
      </c>
      <c r="I57" s="1248">
        <f>VLOOKUP(D57,'TRẠM 1'!$C$15:$Y$107,7,0)</f>
        <v>0</v>
      </c>
      <c r="J57" s="1248">
        <f>VLOOKUP(D57,'TRẠM 1'!$C$15:$Y$107,8,0)</f>
        <v>1979.3540024390541</v>
      </c>
      <c r="K57" s="1248">
        <f>VLOOKUP(D57,'TRẠM 1'!$C$15:$Y$107,9,0)</f>
        <v>255.21229211332957</v>
      </c>
      <c r="L57" s="1837">
        <f t="shared" si="2"/>
        <v>2234.5662945523836</v>
      </c>
      <c r="M57" s="1996" t="str">
        <f>VLOOKUP(D57,'TRẠM 1'!$C$15:$Y$107,11,0)</f>
        <v>A</v>
      </c>
      <c r="N57" s="1248">
        <f>VLOOKUP(D57,'TRẠM 1'!$C$15:$Y$107,12,0)</f>
        <v>8178513</v>
      </c>
      <c r="O57" s="1248">
        <f>VLOOKUP(D57,'TRẠM 1'!$C$15:$Y$107,13,0)</f>
        <v>25</v>
      </c>
      <c r="P57" s="1248">
        <f>VLOOKUP(D57,'TRẠM 1'!$C$15:$Y$107,14,0)</f>
        <v>4</v>
      </c>
      <c r="Q57" s="1248">
        <f>VLOOKUP(D57,'TRẠM 1'!$C$15:$Z$107,15,0)</f>
        <v>0</v>
      </c>
      <c r="R57" s="1248">
        <f>VLOOKUP(D57,'TRẠM 1'!$C$15:$Z$107,16,0)</f>
        <v>0</v>
      </c>
      <c r="S57" s="1248">
        <f>VLOOKUP(D57,'TRẠM 1'!$C$15:$Z$107,17,0)</f>
        <v>0</v>
      </c>
      <c r="T57" s="1248"/>
      <c r="U57" s="1248"/>
      <c r="V57" s="1248">
        <f>VLOOKUP(D57,'TRẠM 1'!$C$15:$Z$107,20,0)</f>
        <v>0</v>
      </c>
      <c r="W57" s="1248"/>
      <c r="X57" s="1248"/>
      <c r="Y57" s="1248"/>
      <c r="Z57" s="1881">
        <f t="shared" si="3"/>
        <v>975288</v>
      </c>
      <c r="AA57" s="1471">
        <f t="shared" si="8"/>
        <v>9153801</v>
      </c>
      <c r="AB57" s="1472"/>
      <c r="AC57" s="1420">
        <f t="shared" si="7"/>
        <v>9153801</v>
      </c>
      <c r="AD57" s="242">
        <v>42</v>
      </c>
    </row>
    <row r="58" spans="1:30" s="242" customFormat="1" ht="29.25" customHeight="1">
      <c r="A58" s="1246">
        <v>43</v>
      </c>
      <c r="B58" s="1245">
        <v>43</v>
      </c>
      <c r="C58" s="320" t="str">
        <f>TONGHOPCONGDOI!B53</f>
        <v>04105</v>
      </c>
      <c r="D58" s="1247" t="str">
        <f>TONGHOPCONGDOI!C53</f>
        <v>T Xinh</v>
      </c>
      <c r="E58" s="1243" t="s">
        <v>15</v>
      </c>
      <c r="F58" s="1252"/>
      <c r="G58" s="1248">
        <f t="shared" si="1"/>
        <v>0</v>
      </c>
      <c r="H58" s="1248">
        <f>VLOOKUP(D58,'TRẠM 1'!$C$15:$Y$107,6,0)</f>
        <v>4638</v>
      </c>
      <c r="I58" s="1248">
        <f>VLOOKUP(D58,'TRẠM 1'!$C$15:$Y$107,7,0)</f>
        <v>0</v>
      </c>
      <c r="J58" s="1248">
        <f>VLOOKUP(D58,'TRẠM 1'!$C$15:$Y$107,8,0)</f>
        <v>1971.2784761246151</v>
      </c>
      <c r="K58" s="1248">
        <f>VLOOKUP(D58,'TRẠM 1'!$C$15:$Y$107,9,0)</f>
        <v>254.1710566505524</v>
      </c>
      <c r="L58" s="1837">
        <f t="shared" si="2"/>
        <v>2225.4495327751674</v>
      </c>
      <c r="M58" s="1996" t="str">
        <f>VLOOKUP(D58,'TRẠM 1'!$C$15:$Y$107,11,0)</f>
        <v>B</v>
      </c>
      <c r="N58" s="1248">
        <f>VLOOKUP(D58,'TRẠM 1'!$C$15:$Y$107,12,0)</f>
        <v>7744564</v>
      </c>
      <c r="O58" s="1248">
        <f>VLOOKUP(D58,'TRẠM 1'!$C$15:$Y$107,13,0)</f>
        <v>27</v>
      </c>
      <c r="P58" s="1248">
        <f>VLOOKUP(D58,'TRẠM 1'!$C$15:$Y$107,14,0)</f>
        <v>4</v>
      </c>
      <c r="Q58" s="1248">
        <f>VLOOKUP(D58,'TRẠM 1'!$C$15:$Z$107,15,0)</f>
        <v>0</v>
      </c>
      <c r="R58" s="1248">
        <f>VLOOKUP(D58,'TRẠM 1'!$C$15:$Z$107,16,0)</f>
        <v>0</v>
      </c>
      <c r="S58" s="1248">
        <f>VLOOKUP(D58,'TRẠM 1'!$C$15:$Z$107,17,0)</f>
        <v>0</v>
      </c>
      <c r="T58" s="1248"/>
      <c r="U58" s="1248"/>
      <c r="V58" s="1248">
        <f>VLOOKUP(D58,'TRẠM 1'!$C$15:$Z$107,20,0)</f>
        <v>0</v>
      </c>
      <c r="W58" s="1248"/>
      <c r="X58" s="1248"/>
      <c r="Y58" s="1248"/>
      <c r="Z58" s="1881">
        <f t="shared" si="3"/>
        <v>1036874</v>
      </c>
      <c r="AA58" s="1471">
        <f t="shared" si="8"/>
        <v>8781438</v>
      </c>
      <c r="AB58" s="1472"/>
      <c r="AC58" s="1420">
        <f t="shared" si="7"/>
        <v>8781438</v>
      </c>
      <c r="AD58" s="242">
        <v>43</v>
      </c>
    </row>
    <row r="59" spans="1:30" s="242" customFormat="1" ht="29.25" customHeight="1">
      <c r="A59" s="1246">
        <v>44</v>
      </c>
      <c r="B59" s="1245">
        <v>44</v>
      </c>
      <c r="C59" s="320" t="str">
        <f>TONGHOPCONGDOI!B54</f>
        <v>04106</v>
      </c>
      <c r="D59" s="1247" t="str">
        <f>TONGHOPCONGDOI!C54</f>
        <v>T. Thong A</v>
      </c>
      <c r="E59" s="1243" t="s">
        <v>15</v>
      </c>
      <c r="F59" s="1252"/>
      <c r="G59" s="1248">
        <f t="shared" si="1"/>
        <v>0</v>
      </c>
      <c r="H59" s="1248">
        <f>VLOOKUP(D59,'TRẠM 1'!$C$15:$Y$107,6,0)</f>
        <v>3808</v>
      </c>
      <c r="I59" s="1248">
        <f>VLOOKUP(D59,'TRẠM 1'!$C$15:$Y$107,7,0)</f>
        <v>0</v>
      </c>
      <c r="J59" s="1248">
        <f>VLOOKUP(D59,'TRẠM 1'!$C$15:$Y$107,8,0)</f>
        <v>1618.5054844938625</v>
      </c>
      <c r="K59" s="1248">
        <f>VLOOKUP(D59,'TRẠM 1'!$C$15:$Y$107,9,0)</f>
        <v>208.68550748712883</v>
      </c>
      <c r="L59" s="1837">
        <f t="shared" si="2"/>
        <v>1827.1909919809914</v>
      </c>
      <c r="M59" s="1996" t="str">
        <f>VLOOKUP(D59,'TRẠM 1'!$C$15:$Y$107,11,0)</f>
        <v>B</v>
      </c>
      <c r="N59" s="1248">
        <f>VLOOKUP(D59,'TRẠM 1'!$C$15:$Y$107,12,0)</f>
        <v>6358625</v>
      </c>
      <c r="O59" s="1248">
        <f>VLOOKUP(D59,'TRẠM 1'!$C$15:$Y$107,13,0)</f>
        <v>22</v>
      </c>
      <c r="P59" s="1248">
        <f>VLOOKUP(D59,'TRẠM 1'!$C$15:$Y$107,14,0)</f>
        <v>4</v>
      </c>
      <c r="Q59" s="1248">
        <f>VLOOKUP(D59,'TRẠM 1'!$C$15:$Z$107,15,0)</f>
        <v>0</v>
      </c>
      <c r="R59" s="1248">
        <f>VLOOKUP(D59,'TRẠM 1'!$C$15:$Z$107,16,0)</f>
        <v>0</v>
      </c>
      <c r="S59" s="1248">
        <f>VLOOKUP(D59,'TRẠM 1'!$C$15:$Z$107,17,0)</f>
        <v>0</v>
      </c>
      <c r="T59" s="1248"/>
      <c r="U59" s="1248"/>
      <c r="V59" s="1248">
        <f>VLOOKUP(D59,'TRẠM 1'!$C$15:$Z$107,20,0)</f>
        <v>0</v>
      </c>
      <c r="W59" s="1248"/>
      <c r="X59" s="1248"/>
      <c r="Y59" s="1248"/>
      <c r="Z59" s="1881">
        <f t="shared" si="3"/>
        <v>882910</v>
      </c>
      <c r="AA59" s="1471">
        <f t="shared" si="8"/>
        <v>7241535</v>
      </c>
      <c r="AB59" s="1472"/>
      <c r="AC59" s="1420">
        <f t="shared" si="7"/>
        <v>7241535</v>
      </c>
      <c r="AD59" s="242">
        <v>44</v>
      </c>
    </row>
    <row r="60" spans="1:30" s="242" customFormat="1" ht="29.25" customHeight="1">
      <c r="A60" s="1246">
        <v>45</v>
      </c>
      <c r="B60" s="1245">
        <v>45</v>
      </c>
      <c r="C60" s="320" t="str">
        <f>TONGHOPCONGDOI!B55</f>
        <v>04107</v>
      </c>
      <c r="D60" s="1247" t="str">
        <f>TONGHOPCONGDOI!C55</f>
        <v>N. Đôn</v>
      </c>
      <c r="E60" s="1243" t="s">
        <v>15</v>
      </c>
      <c r="F60" s="1252"/>
      <c r="G60" s="1248">
        <f t="shared" si="1"/>
        <v>0</v>
      </c>
      <c r="H60" s="1248">
        <f>VLOOKUP(D60,'TRẠM 1'!$C$15:$Y$107,6,0)</f>
        <v>5118</v>
      </c>
      <c r="I60" s="1248">
        <f>VLOOKUP(D60,'TRẠM 1'!$C$15:$Y$107,7,0)</f>
        <v>0</v>
      </c>
      <c r="J60" s="1248">
        <f>VLOOKUP(D60,'TRẠM 1'!$C$15:$Y$107,8,0)</f>
        <v>2175.2917724893878</v>
      </c>
      <c r="K60" s="1248">
        <f>VLOOKUP(D60,'TRẠM 1'!$C$15:$Y$107,9,0)</f>
        <v>280.47595255229135</v>
      </c>
      <c r="L60" s="1837">
        <f t="shared" si="2"/>
        <v>2455.7677250416791</v>
      </c>
      <c r="M60" s="1996" t="str">
        <f>VLOOKUP(D60,'TRẠM 1'!$C$15:$Y$107,11,0)</f>
        <v>A</v>
      </c>
      <c r="N60" s="1248">
        <f>VLOOKUP(D60,'TRẠM 1'!$C$15:$Y$107,12,0)</f>
        <v>8988110</v>
      </c>
      <c r="O60" s="1248">
        <f>VLOOKUP(D60,'TRẠM 1'!$C$15:$Y$107,13,0)</f>
        <v>27</v>
      </c>
      <c r="P60" s="1248">
        <f>VLOOKUP(D60,'TRẠM 1'!$C$15:$Y$107,14,0)</f>
        <v>4</v>
      </c>
      <c r="Q60" s="1248">
        <f>VLOOKUP(D60,'TRẠM 1'!$C$15:$Z$107,15,0)</f>
        <v>0</v>
      </c>
      <c r="R60" s="1248">
        <f>VLOOKUP(D60,'TRẠM 1'!$C$15:$Z$107,16,0)</f>
        <v>0</v>
      </c>
      <c r="S60" s="1248">
        <f>VLOOKUP(D60,'TRẠM 1'!$C$15:$Z$107,17,0)</f>
        <v>0</v>
      </c>
      <c r="T60" s="1248"/>
      <c r="U60" s="1248"/>
      <c r="V60" s="1248">
        <f>VLOOKUP(D60,'TRẠM 1'!$C$15:$Z$107,20,0)</f>
        <v>0</v>
      </c>
      <c r="W60" s="1248"/>
      <c r="X60" s="1248"/>
      <c r="Y60" s="1248"/>
      <c r="Z60" s="1881">
        <f t="shared" si="3"/>
        <v>1036874</v>
      </c>
      <c r="AA60" s="1471">
        <f t="shared" si="8"/>
        <v>10024984</v>
      </c>
      <c r="AB60" s="1472"/>
      <c r="AC60" s="1420">
        <f t="shared" si="7"/>
        <v>10024984</v>
      </c>
      <c r="AD60" s="242">
        <v>45</v>
      </c>
    </row>
    <row r="61" spans="1:30" s="242" customFormat="1" ht="29.25" customHeight="1">
      <c r="A61" s="1246">
        <v>46</v>
      </c>
      <c r="B61" s="1245">
        <v>46</v>
      </c>
      <c r="C61" s="320" t="str">
        <f>TONGHOPCONGDOI!B56</f>
        <v>03559</v>
      </c>
      <c r="D61" s="1247" t="str">
        <f>TONGHOPCONGDOI!C56</f>
        <v>Viêng Khăm</v>
      </c>
      <c r="E61" s="1243" t="s">
        <v>15</v>
      </c>
      <c r="F61" s="1252"/>
      <c r="G61" s="1248">
        <f t="shared" si="1"/>
        <v>0</v>
      </c>
      <c r="H61" s="1248">
        <f>VLOOKUP(D61,'TRẠM 1'!$C$15:$Y$107,6,0)</f>
        <v>4021</v>
      </c>
      <c r="I61" s="1248">
        <f>VLOOKUP(D61,'TRẠM 1'!$C$15:$Y$107,7,0)</f>
        <v>0</v>
      </c>
      <c r="J61" s="1248">
        <f>VLOOKUP(D61,'TRẠM 1'!$C$15:$Y$107,8,0)</f>
        <v>1709.0363847557303</v>
      </c>
      <c r="K61" s="1248">
        <f>VLOOKUP(D61,'TRẠM 1'!$C$15:$Y$107,9,0)</f>
        <v>220.35830504352549</v>
      </c>
      <c r="L61" s="1837">
        <f t="shared" si="2"/>
        <v>1929.3946897992557</v>
      </c>
      <c r="M61" s="1996" t="str">
        <f>VLOOKUP(D61,'TRẠM 1'!$C$15:$Y$107,11,0)</f>
        <v>B</v>
      </c>
      <c r="N61" s="1248">
        <f>VLOOKUP(D61,'TRẠM 1'!$C$15:$Y$107,12,0)</f>
        <v>6714294</v>
      </c>
      <c r="O61" s="1248">
        <f>VLOOKUP(D61,'TRẠM 1'!$C$15:$Y$107,13,0)</f>
        <v>27</v>
      </c>
      <c r="P61" s="1248">
        <f>VLOOKUP(D61,'TRẠM 1'!$C$15:$Y$107,14,0)</f>
        <v>4</v>
      </c>
      <c r="Q61" s="1248">
        <f>VLOOKUP(D61,'TRẠM 1'!$C$15:$Z$107,15,0)</f>
        <v>0</v>
      </c>
      <c r="R61" s="1248">
        <f>VLOOKUP(D61,'TRẠM 1'!$C$15:$Z$107,16,0)</f>
        <v>0</v>
      </c>
      <c r="S61" s="1248">
        <f>VLOOKUP(D61,'TRẠM 1'!$C$15:$Z$107,17,0)</f>
        <v>0</v>
      </c>
      <c r="T61" s="1248"/>
      <c r="U61" s="1248"/>
      <c r="V61" s="1248">
        <f>VLOOKUP(D61,'TRẠM 1'!$C$15:$Z$107,20,0)</f>
        <v>0</v>
      </c>
      <c r="W61" s="1248"/>
      <c r="X61" s="1248"/>
      <c r="Y61" s="1248"/>
      <c r="Z61" s="1881">
        <f t="shared" si="3"/>
        <v>1036874</v>
      </c>
      <c r="AA61" s="1471">
        <f t="shared" si="8"/>
        <v>7751168</v>
      </c>
      <c r="AB61" s="1472"/>
      <c r="AC61" s="1420">
        <f t="shared" si="7"/>
        <v>7751168</v>
      </c>
      <c r="AD61" s="242">
        <v>46</v>
      </c>
    </row>
    <row r="62" spans="1:30" s="242" customFormat="1" ht="27.75" customHeight="1">
      <c r="A62" s="1246">
        <v>47</v>
      </c>
      <c r="B62" s="1245">
        <v>47</v>
      </c>
      <c r="C62" s="320" t="str">
        <f>TONGHOPCONGDOI!B57</f>
        <v>03560</v>
      </c>
      <c r="D62" s="1247" t="str">
        <f>TONGHOPCONGDOI!C57</f>
        <v>Veo Khăm</v>
      </c>
      <c r="E62" s="1243" t="s">
        <v>15</v>
      </c>
      <c r="F62" s="1252"/>
      <c r="G62" s="1248">
        <f t="shared" si="1"/>
        <v>0</v>
      </c>
      <c r="H62" s="1248">
        <f>VLOOKUP(D62,'TRẠM 1'!$C$15:$Y$107,6,0)</f>
        <v>4037</v>
      </c>
      <c r="I62" s="1248">
        <f>VLOOKUP(D62,'TRẠM 1'!$C$15:$Y$107,7,0)</f>
        <v>0</v>
      </c>
      <c r="J62" s="1248">
        <f>VLOOKUP(D62,'TRẠM 1'!$C$15:$Y$107,8,0)</f>
        <v>1715.8368279678896</v>
      </c>
      <c r="K62" s="1248">
        <f>VLOOKUP(D62,'TRẠM 1'!$C$15:$Y$107,9,0)</f>
        <v>221.23513490691678</v>
      </c>
      <c r="L62" s="1837">
        <f t="shared" si="2"/>
        <v>1937.0719628748063</v>
      </c>
      <c r="M62" s="1996" t="str">
        <f>VLOOKUP(D62,'TRẠM 1'!$C$15:$Y$107,11,0)</f>
        <v>B</v>
      </c>
      <c r="N62" s="1248">
        <f>VLOOKUP(D62,'TRẠM 1'!$C$15:$Y$107,12,0)</f>
        <v>6741010</v>
      </c>
      <c r="O62" s="1248">
        <f>VLOOKUP(D62,'TRẠM 1'!$C$15:$Y$107,13,0)</f>
        <v>27</v>
      </c>
      <c r="P62" s="1248">
        <f>VLOOKUP(D62,'TRẠM 1'!$C$15:$Y$107,14,0)</f>
        <v>4</v>
      </c>
      <c r="Q62" s="1248">
        <f>VLOOKUP(D62,'TRẠM 1'!$C$15:$Z$107,15,0)</f>
        <v>0</v>
      </c>
      <c r="R62" s="1248">
        <f>VLOOKUP(D62,'TRẠM 1'!$C$15:$Z$107,16,0)</f>
        <v>0</v>
      </c>
      <c r="S62" s="1248">
        <f>VLOOKUP(D62,'TRẠM 1'!$C$15:$Z$107,17,0)</f>
        <v>0</v>
      </c>
      <c r="T62" s="1248"/>
      <c r="U62" s="1248"/>
      <c r="V62" s="1248">
        <f>VLOOKUP(D62,'TRẠM 1'!$C$15:$Z$107,20,0)</f>
        <v>0</v>
      </c>
      <c r="W62" s="1248"/>
      <c r="X62" s="1248"/>
      <c r="Y62" s="1248"/>
      <c r="Z62" s="1881">
        <f t="shared" si="3"/>
        <v>1036874</v>
      </c>
      <c r="AA62" s="1471">
        <f t="shared" si="8"/>
        <v>7777884</v>
      </c>
      <c r="AB62" s="1472"/>
      <c r="AC62" s="1420">
        <f t="shared" si="7"/>
        <v>7777884</v>
      </c>
      <c r="AD62" s="242">
        <v>47</v>
      </c>
    </row>
    <row r="63" spans="1:30" s="242" customFormat="1" ht="27.75" customHeight="1">
      <c r="A63" s="1246">
        <v>48</v>
      </c>
      <c r="B63" s="1245">
        <v>48</v>
      </c>
      <c r="C63" s="320" t="str">
        <f>TONGHOPCONGDOI!B58</f>
        <v>03581</v>
      </c>
      <c r="D63" s="1247" t="str">
        <f>TONGHOPCONGDOI!C58</f>
        <v>Chăn Đen</v>
      </c>
      <c r="E63" s="1243" t="s">
        <v>15</v>
      </c>
      <c r="F63" s="1252"/>
      <c r="G63" s="1248">
        <f t="shared" si="1"/>
        <v>0</v>
      </c>
      <c r="H63" s="1248">
        <f>VLOOKUP(D63,'TRẠM 1'!$C$15:$Y$107,6,0)</f>
        <v>3996</v>
      </c>
      <c r="I63" s="1248">
        <f>VLOOKUP(D63,'TRẠM 1'!$C$15:$Y$107,7,0)</f>
        <v>0</v>
      </c>
      <c r="J63" s="1248">
        <f>VLOOKUP(D63,'TRẠM 1'!$C$15:$Y$107,8,0)</f>
        <v>1698.4106922367318</v>
      </c>
      <c r="K63" s="1248">
        <f>VLOOKUP(D63,'TRẠM 1'!$C$15:$Y$107,9,0)</f>
        <v>218.98825838197658</v>
      </c>
      <c r="L63" s="1837">
        <f t="shared" si="2"/>
        <v>1917.3989506187083</v>
      </c>
      <c r="M63" s="1996" t="str">
        <f>VLOOKUP(D63,'TRẠM 1'!$C$15:$Y$107,11,0)</f>
        <v>B</v>
      </c>
      <c r="N63" s="1248">
        <f>VLOOKUP(D63,'TRẠM 1'!$C$15:$Y$107,12,0)</f>
        <v>6672548</v>
      </c>
      <c r="O63" s="1248">
        <f>VLOOKUP(D63,'TRẠM 1'!$C$15:$Y$107,13,0)</f>
        <v>22</v>
      </c>
      <c r="P63" s="1248">
        <f>VLOOKUP(D63,'TRẠM 1'!$C$15:$Y$107,14,0)</f>
        <v>3</v>
      </c>
      <c r="Q63" s="1248">
        <f>VLOOKUP(D63,'TRẠM 1'!$C$15:$Z$107,15,0)</f>
        <v>0</v>
      </c>
      <c r="R63" s="1248">
        <f>VLOOKUP(D63,'TRẠM 1'!$C$15:$Z$107,16,0)</f>
        <v>0</v>
      </c>
      <c r="S63" s="1248">
        <f>VLOOKUP(D63,'TRẠM 1'!$C$15:$Z$107,17,0)</f>
        <v>0</v>
      </c>
      <c r="T63" s="1248"/>
      <c r="U63" s="1248"/>
      <c r="V63" s="1248">
        <f>VLOOKUP(D63,'TRẠM 1'!$C$15:$Z$107,20,0)</f>
        <v>0</v>
      </c>
      <c r="W63" s="1248"/>
      <c r="X63" s="1248"/>
      <c r="Y63" s="1248"/>
      <c r="Z63" s="1881">
        <f t="shared" si="3"/>
        <v>831543</v>
      </c>
      <c r="AA63" s="1471">
        <f t="shared" si="8"/>
        <v>7504091</v>
      </c>
      <c r="AB63" s="1472"/>
      <c r="AC63" s="1420">
        <f t="shared" si="7"/>
        <v>7504091</v>
      </c>
      <c r="AD63" s="242">
        <v>48</v>
      </c>
    </row>
    <row r="64" spans="1:30" s="242" customFormat="1" ht="27.75" customHeight="1">
      <c r="A64" s="1246">
        <v>49</v>
      </c>
      <c r="B64" s="1245">
        <v>49</v>
      </c>
      <c r="C64" s="320" t="str">
        <f>TONGHOPCONGDOI!B59</f>
        <v>03562</v>
      </c>
      <c r="D64" s="1247" t="str">
        <f>TONGHOPCONGDOI!C59</f>
        <v>N. Nun</v>
      </c>
      <c r="E64" s="1243" t="s">
        <v>15</v>
      </c>
      <c r="F64" s="1252"/>
      <c r="G64" s="1248">
        <f t="shared" si="1"/>
        <v>0</v>
      </c>
      <c r="H64" s="1248">
        <f>VLOOKUP(D64,'TRẠM 1'!$C$15:$Y$107,6,0)</f>
        <v>4440</v>
      </c>
      <c r="I64" s="1248">
        <f>VLOOKUP(D64,'TRẠM 1'!$C$15:$Y$107,7,0)</f>
        <v>0</v>
      </c>
      <c r="J64" s="1248">
        <f>VLOOKUP(D64,'TRẠM 1'!$C$15:$Y$107,8,0)</f>
        <v>1887.1229913741465</v>
      </c>
      <c r="K64" s="1248">
        <f>VLOOKUP(D64,'TRẠM 1'!$C$15:$Y$107,9,0)</f>
        <v>243.32028709108511</v>
      </c>
      <c r="L64" s="1837">
        <f t="shared" si="2"/>
        <v>2130.4432784652317</v>
      </c>
      <c r="M64" s="1996" t="str">
        <f>VLOOKUP(D64,'TRẠM 1'!$C$15:$Y$107,11,0)</f>
        <v>A</v>
      </c>
      <c r="N64" s="1248">
        <f>VLOOKUP(D64,'TRẠM 1'!$C$15:$Y$107,12,0)</f>
        <v>7797422</v>
      </c>
      <c r="O64" s="1248">
        <f>VLOOKUP(D64,'TRẠM 1'!$C$15:$Y$107,13,0)</f>
        <v>27</v>
      </c>
      <c r="P64" s="1248">
        <f>VLOOKUP(D64,'TRẠM 1'!$C$15:$Y$107,14,0)</f>
        <v>4</v>
      </c>
      <c r="Q64" s="1248">
        <f>VLOOKUP(D64,'TRẠM 1'!$C$15:$Z$107,15,0)</f>
        <v>0</v>
      </c>
      <c r="R64" s="1248">
        <f>VLOOKUP(D64,'TRẠM 1'!$C$15:$Z$107,16,0)</f>
        <v>0</v>
      </c>
      <c r="S64" s="1248">
        <f>VLOOKUP(D64,'TRẠM 1'!$C$15:$Z$107,17,0)</f>
        <v>0</v>
      </c>
      <c r="T64" s="1248"/>
      <c r="U64" s="1248"/>
      <c r="V64" s="1248">
        <f>VLOOKUP(D64,'TRẠM 1'!$C$15:$Z$107,20,0)</f>
        <v>0</v>
      </c>
      <c r="W64" s="1248"/>
      <c r="X64" s="1248"/>
      <c r="Y64" s="1248"/>
      <c r="Z64" s="1881">
        <f t="shared" si="3"/>
        <v>1036874</v>
      </c>
      <c r="AA64" s="1471">
        <f t="shared" si="8"/>
        <v>8834296</v>
      </c>
      <c r="AB64" s="1472"/>
      <c r="AC64" s="1420">
        <f t="shared" si="7"/>
        <v>8834296</v>
      </c>
      <c r="AD64" s="242">
        <v>49</v>
      </c>
    </row>
    <row r="65" spans="1:30" s="242" customFormat="1" ht="27.75" customHeight="1">
      <c r="A65" s="1246">
        <v>50</v>
      </c>
      <c r="B65" s="1245">
        <v>50</v>
      </c>
      <c r="C65" s="320" t="str">
        <f>TONGHOPCONGDOI!B60</f>
        <v>03563</v>
      </c>
      <c r="D65" s="1247" t="str">
        <f>TONGHOPCONGDOI!C60</f>
        <v>In Pông</v>
      </c>
      <c r="E65" s="1243" t="s">
        <v>15</v>
      </c>
      <c r="F65" s="1252"/>
      <c r="G65" s="1248">
        <f t="shared" si="1"/>
        <v>0</v>
      </c>
      <c r="H65" s="1248">
        <f>VLOOKUP(D65,'TRẠM 1'!$C$15:$Y$107,6,0)</f>
        <v>3718</v>
      </c>
      <c r="I65" s="1248">
        <f>VLOOKUP(D65,'TRẠM 1'!$C$15:$Y$107,7,0)</f>
        <v>0</v>
      </c>
      <c r="J65" s="1248">
        <f>VLOOKUP(D65,'TRẠM 1'!$C$15:$Y$107,8,0)</f>
        <v>1580.2529914254676</v>
      </c>
      <c r="K65" s="1248">
        <f>VLOOKUP(D65,'TRẠM 1'!$C$15:$Y$107,9,0)</f>
        <v>203.75333950555279</v>
      </c>
      <c r="L65" s="1837">
        <f t="shared" si="2"/>
        <v>1784.0063309310203</v>
      </c>
      <c r="M65" s="1996" t="str">
        <f>VLOOKUP(D65,'TRẠM 1'!$C$15:$Y$107,11,0)</f>
        <v>A</v>
      </c>
      <c r="N65" s="1248">
        <f>VLOOKUP(D65,'TRẠM 1'!$C$15:$Y$107,12,0)</f>
        <v>6529463</v>
      </c>
      <c r="O65" s="1248">
        <f>VLOOKUP(D65,'TRẠM 1'!$C$15:$Y$107,13,0)</f>
        <v>25</v>
      </c>
      <c r="P65" s="1248">
        <f>VLOOKUP(D65,'TRẠM 1'!$C$15:$Y$107,14,0)</f>
        <v>4</v>
      </c>
      <c r="Q65" s="1248">
        <f>VLOOKUP(D65,'TRẠM 1'!$C$15:$Z$107,15,0)</f>
        <v>0</v>
      </c>
      <c r="R65" s="1248">
        <f>VLOOKUP(D65,'TRẠM 1'!$C$15:$Z$107,16,0)</f>
        <v>0</v>
      </c>
      <c r="S65" s="1248">
        <f>VLOOKUP(D65,'TRẠM 1'!$C$15:$Z$107,17,0)</f>
        <v>0</v>
      </c>
      <c r="T65" s="1248"/>
      <c r="U65" s="1248"/>
      <c r="V65" s="1248">
        <f>VLOOKUP(D65,'TRẠM 1'!$C$15:$Z$107,20,0)</f>
        <v>0</v>
      </c>
      <c r="W65" s="1248"/>
      <c r="X65" s="1248"/>
      <c r="Y65" s="1248"/>
      <c r="Z65" s="1881">
        <f t="shared" si="3"/>
        <v>975288</v>
      </c>
      <c r="AA65" s="1471">
        <f t="shared" si="8"/>
        <v>7504751</v>
      </c>
      <c r="AB65" s="1472"/>
      <c r="AC65" s="1420">
        <f t="shared" si="7"/>
        <v>7504751</v>
      </c>
      <c r="AD65" s="242">
        <v>50</v>
      </c>
    </row>
    <row r="66" spans="1:30" s="242" customFormat="1" ht="27.75" customHeight="1">
      <c r="A66" s="1246">
        <v>51</v>
      </c>
      <c r="B66" s="1245">
        <v>51</v>
      </c>
      <c r="C66" s="320" t="str">
        <f>TONGHOPCONGDOI!B61</f>
        <v>04108</v>
      </c>
      <c r="D66" s="1247" t="str">
        <f>TONGHOPCONGDOI!C61</f>
        <v>Pha Đi</v>
      </c>
      <c r="E66" s="1243" t="s">
        <v>15</v>
      </c>
      <c r="F66" s="1252"/>
      <c r="G66" s="1248">
        <f t="shared" si="1"/>
        <v>0</v>
      </c>
      <c r="H66" s="1248">
        <f>VLOOKUP(D66,'TRẠM 1'!$C$15:$Y$107,6,0)</f>
        <v>3807</v>
      </c>
      <c r="I66" s="1248">
        <f>VLOOKUP(D66,'TRẠM 1'!$C$15:$Y$107,7,0)</f>
        <v>0</v>
      </c>
      <c r="J66" s="1248">
        <f>VLOOKUP(D66,'TRẠM 1'!$C$15:$Y$107,8,0)</f>
        <v>1618.0804567931027</v>
      </c>
      <c r="K66" s="1248">
        <f>VLOOKUP(D66,'TRẠM 1'!$C$15:$Y$107,9,0)</f>
        <v>208.63070562066687</v>
      </c>
      <c r="L66" s="1837">
        <f t="shared" si="2"/>
        <v>1826.7111624137697</v>
      </c>
      <c r="M66" s="1996" t="str">
        <f>VLOOKUP(D66,'TRẠM 1'!$C$15:$Y$107,11,0)</f>
        <v>A</v>
      </c>
      <c r="N66" s="1248">
        <f>VLOOKUP(D66,'TRẠM 1'!$C$15:$Y$107,12,0)</f>
        <v>6685763</v>
      </c>
      <c r="O66" s="1248">
        <f>VLOOKUP(D66,'TRẠM 1'!$C$15:$Y$107,13,0)</f>
        <v>26</v>
      </c>
      <c r="P66" s="1248">
        <f>VLOOKUP(D66,'TRẠM 1'!$C$15:$Y$107,14,0)</f>
        <v>4</v>
      </c>
      <c r="Q66" s="1248">
        <f>VLOOKUP(D66,'TRẠM 1'!$C$15:$Z$107,15,0)</f>
        <v>0</v>
      </c>
      <c r="R66" s="1248">
        <f>VLOOKUP(D66,'TRẠM 1'!$C$15:$Z$107,16,0)</f>
        <v>0</v>
      </c>
      <c r="S66" s="1248">
        <f>VLOOKUP(D66,'TRẠM 1'!$C$15:$Z$107,17,0)</f>
        <v>0</v>
      </c>
      <c r="T66" s="1248"/>
      <c r="U66" s="1248"/>
      <c r="V66" s="1248">
        <f>VLOOKUP(D66,'TRẠM 1'!$C$15:$Z$107,20,0)</f>
        <v>0</v>
      </c>
      <c r="W66" s="1248"/>
      <c r="X66" s="1248"/>
      <c r="Y66" s="1248"/>
      <c r="Z66" s="1881">
        <f t="shared" si="3"/>
        <v>1006081</v>
      </c>
      <c r="AA66" s="1471">
        <f t="shared" si="8"/>
        <v>7691844</v>
      </c>
      <c r="AB66" s="1472"/>
      <c r="AC66" s="1420">
        <f t="shared" si="7"/>
        <v>7691844</v>
      </c>
      <c r="AD66" s="242">
        <v>51</v>
      </c>
    </row>
    <row r="67" spans="1:30" s="242" customFormat="1" ht="27.75" customHeight="1">
      <c r="A67" s="1246">
        <v>52</v>
      </c>
      <c r="B67" s="1245">
        <v>52</v>
      </c>
      <c r="C67" s="320">
        <f>TONGHOPCONGDOI!B62</f>
        <v>0</v>
      </c>
      <c r="D67" s="1247" t="str">
        <f>TONGHOPCONGDOI!C62</f>
        <v>Thảo Nọi B</v>
      </c>
      <c r="E67" s="1243" t="s">
        <v>15</v>
      </c>
      <c r="F67" s="1252"/>
      <c r="G67" s="1248">
        <f t="shared" si="1"/>
        <v>0</v>
      </c>
      <c r="H67" s="1248">
        <f>VLOOKUP(D67,'TRẠM 1'!$C$15:$Y$107,6,0)</f>
        <v>4211</v>
      </c>
      <c r="I67" s="1248">
        <f>VLOOKUP(D67,'TRẠM 1'!$C$15:$Y$107,7,0)</f>
        <v>0</v>
      </c>
      <c r="J67" s="1248">
        <f>VLOOKUP(D67,'TRẠM 1'!$C$15:$Y$107,8,0)</f>
        <v>1789.7916479001196</v>
      </c>
      <c r="K67" s="1248">
        <f>VLOOKUP(D67,'TRẠM 1'!$C$15:$Y$107,9,0)</f>
        <v>230.77065967129715</v>
      </c>
      <c r="L67" s="1837">
        <f t="shared" si="2"/>
        <v>2020.5623075714168</v>
      </c>
      <c r="M67" s="1996" t="str">
        <f>VLOOKUP(D67,'TRẠM 1'!$C$15:$Y$107,11,0)</f>
        <v>B</v>
      </c>
      <c r="N67" s="1248">
        <f>VLOOKUP(D67,'TRẠM 1'!$C$15:$Y$107,12,0)</f>
        <v>7031557</v>
      </c>
      <c r="O67" s="1248">
        <f>VLOOKUP(D67,'TRẠM 1'!$C$15:$Y$107,13,0)</f>
        <v>27</v>
      </c>
      <c r="P67" s="1248">
        <f>VLOOKUP(D67,'TRẠM 1'!$C$15:$Y$107,14,0)</f>
        <v>4</v>
      </c>
      <c r="Q67" s="1248">
        <f>VLOOKUP(D67,'TRẠM 1'!$C$15:$Z$107,15,0)</f>
        <v>0</v>
      </c>
      <c r="R67" s="1248">
        <f>VLOOKUP(D67,'TRẠM 1'!$C$15:$Z$107,16,0)</f>
        <v>0</v>
      </c>
      <c r="S67" s="1248">
        <f>VLOOKUP(D67,'TRẠM 1'!$C$15:$Z$107,17,0)</f>
        <v>0</v>
      </c>
      <c r="T67" s="1248"/>
      <c r="U67" s="1248"/>
      <c r="V67" s="1248">
        <f>VLOOKUP(D67,'TRẠM 1'!$C$15:$Z$107,20,0)</f>
        <v>0</v>
      </c>
      <c r="W67" s="1248"/>
      <c r="X67" s="1248"/>
      <c r="Y67" s="1248"/>
      <c r="Z67" s="1881">
        <f t="shared" si="3"/>
        <v>1036874</v>
      </c>
      <c r="AA67" s="1471">
        <f t="shared" si="8"/>
        <v>8068431</v>
      </c>
      <c r="AB67" s="1472"/>
      <c r="AC67" s="1420">
        <f t="shared" si="7"/>
        <v>8068431</v>
      </c>
      <c r="AD67" s="242">
        <v>52</v>
      </c>
    </row>
    <row r="68" spans="1:30" s="242" customFormat="1" ht="27.75" customHeight="1">
      <c r="A68" s="1246">
        <v>53</v>
      </c>
      <c r="B68" s="1245">
        <v>53</v>
      </c>
      <c r="C68" s="320" t="str">
        <f>TONGHOPCONGDOI!B63</f>
        <v>04110</v>
      </c>
      <c r="D68" s="1247" t="str">
        <f>TONGHOPCONGDOI!C63</f>
        <v xml:space="preserve">T. Lăm  </v>
      </c>
      <c r="E68" s="1243" t="s">
        <v>15</v>
      </c>
      <c r="F68" s="1252"/>
      <c r="G68" s="1248">
        <f t="shared" si="1"/>
        <v>0</v>
      </c>
      <c r="H68" s="1248">
        <f>VLOOKUP(D68,'TRẠM 1'!$C$15:$Y$107,6,0)</f>
        <v>3168</v>
      </c>
      <c r="I68" s="1248">
        <f>VLOOKUP(D68,'TRẠM 1'!$C$15:$Y$107,7,0)</f>
        <v>0</v>
      </c>
      <c r="J68" s="1248">
        <f>VLOOKUP(D68,'TRẠM 1'!$C$15:$Y$107,8,0)</f>
        <v>1346.487756007499</v>
      </c>
      <c r="K68" s="1248">
        <f>VLOOKUP(D68,'TRẠM 1'!$C$15:$Y$107,9,0)</f>
        <v>173.61231295147692</v>
      </c>
      <c r="L68" s="1837">
        <f t="shared" si="2"/>
        <v>1520.100068958976</v>
      </c>
      <c r="M68" s="1996" t="str">
        <f>VLOOKUP(D68,'TRẠM 1'!$C$15:$Y$107,11,0)</f>
        <v>B</v>
      </c>
      <c r="N68" s="1248">
        <f>VLOOKUP(D68,'TRẠM 1'!$C$15:$Y$107,12,0)</f>
        <v>5289948</v>
      </c>
      <c r="O68" s="1248">
        <f>VLOOKUP(D68,'TRẠM 1'!$C$15:$Y$107,13,0)</f>
        <v>27</v>
      </c>
      <c r="P68" s="1248">
        <f>VLOOKUP(D68,'TRẠM 1'!$C$15:$Y$107,14,0)</f>
        <v>4</v>
      </c>
      <c r="Q68" s="1248">
        <f>VLOOKUP(D68,'TRẠM 1'!$C$15:$Z$107,15,0)</f>
        <v>0</v>
      </c>
      <c r="R68" s="1248">
        <f>VLOOKUP(D68,'TRẠM 1'!$C$15:$Z$107,16,0)</f>
        <v>0</v>
      </c>
      <c r="S68" s="1248">
        <f>VLOOKUP(D68,'TRẠM 1'!$C$15:$Z$107,17,0)</f>
        <v>0</v>
      </c>
      <c r="T68" s="1248"/>
      <c r="U68" s="1248"/>
      <c r="V68" s="1248">
        <f>VLOOKUP(D68,'TRẠM 1'!$C$15:$Z$107,20,0)</f>
        <v>0</v>
      </c>
      <c r="W68" s="1248"/>
      <c r="X68" s="1248"/>
      <c r="Y68" s="1248"/>
      <c r="Z68" s="1881">
        <f t="shared" si="3"/>
        <v>1036874</v>
      </c>
      <c r="AA68" s="1471">
        <f t="shared" si="8"/>
        <v>6326822</v>
      </c>
      <c r="AB68" s="1472"/>
      <c r="AC68" s="1420">
        <f t="shared" si="7"/>
        <v>6326822</v>
      </c>
      <c r="AD68" s="242">
        <v>53</v>
      </c>
    </row>
    <row r="69" spans="1:30" s="242" customFormat="1" ht="27.75" customHeight="1">
      <c r="A69" s="1246">
        <v>54</v>
      </c>
      <c r="B69" s="1245">
        <v>54</v>
      </c>
      <c r="C69" s="320" t="str">
        <f>TONGHOPCONGDOI!B64</f>
        <v>03567</v>
      </c>
      <c r="D69" s="1247" t="str">
        <f>TONGHOPCONGDOI!C64</f>
        <v>Khăm Phiêng</v>
      </c>
      <c r="E69" s="1243" t="s">
        <v>15</v>
      </c>
      <c r="F69" s="1252"/>
      <c r="G69" s="1248">
        <f t="shared" si="1"/>
        <v>0</v>
      </c>
      <c r="H69" s="1248">
        <f>VLOOKUP(D69,'TRẠM 1'!$C$15:$Y$107,6,0)</f>
        <v>4626</v>
      </c>
      <c r="I69" s="1248">
        <f>VLOOKUP(D69,'TRẠM 1'!$C$15:$Y$107,7,0)</f>
        <v>0</v>
      </c>
      <c r="J69" s="1248">
        <f>VLOOKUP(D69,'TRẠM 1'!$C$15:$Y$107,8,0)</f>
        <v>1966.1781437154959</v>
      </c>
      <c r="K69" s="1248">
        <f>VLOOKUP(D69,'TRẠM 1'!$C$15:$Y$107,9,0)</f>
        <v>253.51343425300894</v>
      </c>
      <c r="L69" s="1837">
        <f t="shared" si="2"/>
        <v>2219.691577968505</v>
      </c>
      <c r="M69" s="1996" t="str">
        <f>VLOOKUP(D69,'TRẠM 1'!$C$15:$Y$107,11,0)</f>
        <v>A</v>
      </c>
      <c r="N69" s="1248">
        <f>VLOOKUP(D69,'TRẠM 1'!$C$15:$Y$107,12,0)</f>
        <v>8124071</v>
      </c>
      <c r="O69" s="1248">
        <f>VLOOKUP(D69,'TRẠM 1'!$C$15:$Y$107,13,0)</f>
        <v>27</v>
      </c>
      <c r="P69" s="1248">
        <f>VLOOKUP(D69,'TRẠM 1'!$C$15:$Y$107,14,0)</f>
        <v>4</v>
      </c>
      <c r="Q69" s="1248">
        <f>VLOOKUP(D69,'TRẠM 1'!$C$15:$Z$107,15,0)</f>
        <v>0</v>
      </c>
      <c r="R69" s="1248">
        <f>VLOOKUP(D69,'TRẠM 1'!$C$15:$Z$107,16,0)</f>
        <v>0</v>
      </c>
      <c r="S69" s="1248">
        <f>VLOOKUP(D69,'TRẠM 1'!$C$15:$Z$107,17,0)</f>
        <v>0</v>
      </c>
      <c r="T69" s="1248"/>
      <c r="U69" s="1248"/>
      <c r="V69" s="1248">
        <f>VLOOKUP(D69,'TRẠM 1'!$C$15:$Z$107,20,0)</f>
        <v>0</v>
      </c>
      <c r="W69" s="1248"/>
      <c r="X69" s="1248"/>
      <c r="Y69" s="1248"/>
      <c r="Z69" s="1881">
        <f t="shared" si="3"/>
        <v>1036874</v>
      </c>
      <c r="AA69" s="1471">
        <f t="shared" si="8"/>
        <v>9160945</v>
      </c>
      <c r="AB69" s="1472"/>
      <c r="AC69" s="1420">
        <f t="shared" si="7"/>
        <v>9160945</v>
      </c>
      <c r="AD69" s="242">
        <v>54</v>
      </c>
    </row>
    <row r="70" spans="1:30" s="242" customFormat="1" ht="27.75" customHeight="1">
      <c r="A70" s="1246">
        <v>55</v>
      </c>
      <c r="B70" s="1245">
        <v>55</v>
      </c>
      <c r="C70" s="320" t="str">
        <f>TONGHOPCONGDOI!B65</f>
        <v>03568</v>
      </c>
      <c r="D70" s="1247" t="str">
        <f>TONGHOPCONGDOI!C65</f>
        <v>Khiêng Khăm</v>
      </c>
      <c r="E70" s="1243" t="s">
        <v>15</v>
      </c>
      <c r="F70" s="1252"/>
      <c r="G70" s="1248">
        <f t="shared" si="1"/>
        <v>0</v>
      </c>
      <c r="H70" s="1248">
        <f>VLOOKUP(D70,'TRẠM 1'!$C$15:$Y$107,6,0)</f>
        <v>4627</v>
      </c>
      <c r="I70" s="1248">
        <f>VLOOKUP(D70,'TRẠM 1'!$C$15:$Y$107,7,0)</f>
        <v>0</v>
      </c>
      <c r="J70" s="1248">
        <f>VLOOKUP(D70,'TRẠM 1'!$C$15:$Y$107,8,0)</f>
        <v>1966.6031714162557</v>
      </c>
      <c r="K70" s="1248">
        <f>VLOOKUP(D70,'TRẠM 1'!$C$15:$Y$107,9,0)</f>
        <v>253.5682361194709</v>
      </c>
      <c r="L70" s="1837">
        <f t="shared" si="2"/>
        <v>2220.1714075357268</v>
      </c>
      <c r="M70" s="1996" t="str">
        <f>VLOOKUP(D70,'TRẠM 1'!$C$15:$Y$107,11,0)</f>
        <v>A</v>
      </c>
      <c r="N70" s="1248">
        <f>VLOOKUP(D70,'TRẠM 1'!$C$15:$Y$107,12,0)</f>
        <v>8125827</v>
      </c>
      <c r="O70" s="1248">
        <f>VLOOKUP(D70,'TRẠM 1'!$C$15:$Y$107,13,0)</f>
        <v>27</v>
      </c>
      <c r="P70" s="1248">
        <f>VLOOKUP(D70,'TRẠM 1'!$C$15:$Y$107,14,0)</f>
        <v>4</v>
      </c>
      <c r="Q70" s="1248">
        <f>VLOOKUP(D70,'TRẠM 1'!$C$15:$Z$107,15,0)</f>
        <v>0</v>
      </c>
      <c r="R70" s="1248">
        <f>VLOOKUP(D70,'TRẠM 1'!$C$15:$Z$107,16,0)</f>
        <v>0</v>
      </c>
      <c r="S70" s="1248">
        <f>VLOOKUP(D70,'TRẠM 1'!$C$15:$Z$107,17,0)</f>
        <v>0</v>
      </c>
      <c r="T70" s="1248"/>
      <c r="U70" s="1248"/>
      <c r="V70" s="1248">
        <f>VLOOKUP(D70,'TRẠM 1'!$C$15:$Z$107,20,0)</f>
        <v>0</v>
      </c>
      <c r="W70" s="1248"/>
      <c r="X70" s="1248"/>
      <c r="Y70" s="1248"/>
      <c r="Z70" s="1881">
        <f t="shared" si="3"/>
        <v>1036874</v>
      </c>
      <c r="AA70" s="1471">
        <f t="shared" si="8"/>
        <v>9162701</v>
      </c>
      <c r="AB70" s="1472"/>
      <c r="AC70" s="1420">
        <f t="shared" si="7"/>
        <v>9162701</v>
      </c>
      <c r="AD70" s="242">
        <v>55</v>
      </c>
    </row>
    <row r="71" spans="1:30" s="242" customFormat="1" ht="27.75" customHeight="1">
      <c r="A71" s="1246">
        <v>56</v>
      </c>
      <c r="B71" s="1245">
        <v>56</v>
      </c>
      <c r="C71" s="320" t="str">
        <f>TONGHOPCONGDOI!B66</f>
        <v>03569</v>
      </c>
      <c r="D71" s="1247" t="str">
        <f>TONGHOPCONGDOI!C66</f>
        <v>T. Kỷ</v>
      </c>
      <c r="E71" s="1243" t="s">
        <v>15</v>
      </c>
      <c r="F71" s="1252"/>
      <c r="G71" s="1248">
        <f t="shared" si="1"/>
        <v>0</v>
      </c>
      <c r="H71" s="1248">
        <f>VLOOKUP(D71,'TRẠM 1'!$C$15:$Y$107,6,0)</f>
        <v>5101</v>
      </c>
      <c r="I71" s="1248">
        <f>VLOOKUP(D71,'TRẠM 1'!$C$15:$Y$107,7,0)</f>
        <v>0</v>
      </c>
      <c r="J71" s="1248">
        <f>VLOOKUP(D71,'TRẠM 1'!$C$15:$Y$107,8,0)</f>
        <v>2168.0663015764685</v>
      </c>
      <c r="K71" s="1248">
        <f>VLOOKUP(D71,'TRẠM 1'!$C$15:$Y$107,9,0)</f>
        <v>279.54432082243807</v>
      </c>
      <c r="L71" s="1837">
        <f t="shared" si="2"/>
        <v>2447.6106223989063</v>
      </c>
      <c r="M71" s="1996" t="str">
        <f>VLOOKUP(D71,'TRẠM 1'!$C$15:$Y$107,11,0)</f>
        <v>A</v>
      </c>
      <c r="N71" s="1248">
        <f>VLOOKUP(D71,'TRẠM 1'!$C$15:$Y$107,12,0)</f>
        <v>8958255</v>
      </c>
      <c r="O71" s="1248">
        <f>VLOOKUP(D71,'TRẠM 1'!$C$15:$Y$107,13,0)</f>
        <v>26</v>
      </c>
      <c r="P71" s="1248">
        <f>VLOOKUP(D71,'TRẠM 1'!$C$15:$Y$107,14,0)</f>
        <v>4</v>
      </c>
      <c r="Q71" s="1248">
        <f>VLOOKUP(D71,'TRẠM 1'!$C$15:$Z$107,15,0)</f>
        <v>0</v>
      </c>
      <c r="R71" s="1248">
        <f>VLOOKUP(D71,'TRẠM 1'!$C$15:$Z$107,16,0)</f>
        <v>0</v>
      </c>
      <c r="S71" s="1248">
        <f>VLOOKUP(D71,'TRẠM 1'!$C$15:$Z$107,17,0)</f>
        <v>0</v>
      </c>
      <c r="T71" s="1248"/>
      <c r="U71" s="1248"/>
      <c r="V71" s="1248">
        <f>VLOOKUP(D71,'TRẠM 1'!$C$15:$Z$107,20,0)</f>
        <v>0</v>
      </c>
      <c r="W71" s="1248"/>
      <c r="X71" s="1248"/>
      <c r="Y71" s="1248"/>
      <c r="Z71" s="1881">
        <f t="shared" si="3"/>
        <v>1006081</v>
      </c>
      <c r="AA71" s="1471">
        <f t="shared" si="8"/>
        <v>9964336</v>
      </c>
      <c r="AB71" s="1472"/>
      <c r="AC71" s="1420">
        <f t="shared" si="7"/>
        <v>9964336</v>
      </c>
      <c r="AD71" s="242">
        <v>56</v>
      </c>
    </row>
    <row r="72" spans="1:30" s="242" customFormat="1" ht="27.75" customHeight="1">
      <c r="A72" s="1246">
        <v>57</v>
      </c>
      <c r="B72" s="1245">
        <v>57</v>
      </c>
      <c r="C72" s="320" t="str">
        <f>TONGHOPCONGDOI!B67</f>
        <v>03570</v>
      </c>
      <c r="D72" s="1247" t="str">
        <f>TONGHOPCONGDOI!C67</f>
        <v>T. Vi Lai Văn</v>
      </c>
      <c r="E72" s="1243" t="s">
        <v>15</v>
      </c>
      <c r="F72" s="1252"/>
      <c r="G72" s="1248">
        <f t="shared" si="1"/>
        <v>0</v>
      </c>
      <c r="H72" s="1248">
        <f>VLOOKUP(D72,'TRẠM 1'!$C$15:$Y$107,6,0)</f>
        <v>4444</v>
      </c>
      <c r="I72" s="1248">
        <f>VLOOKUP(D72,'TRẠM 1'!$C$15:$Y$107,7,0)</f>
        <v>0</v>
      </c>
      <c r="J72" s="1248">
        <f>VLOOKUP(D72,'TRẠM 1'!$C$15:$Y$107,8,0)</f>
        <v>1888.8231021771862</v>
      </c>
      <c r="K72" s="1248">
        <f>VLOOKUP(D72,'TRẠM 1'!$C$15:$Y$107,9,0)</f>
        <v>243.53949455693291</v>
      </c>
      <c r="L72" s="1837">
        <f t="shared" si="2"/>
        <v>2132.3625967341191</v>
      </c>
      <c r="M72" s="1996" t="str">
        <f>VLOOKUP(D72,'TRẠM 1'!$C$15:$Y$107,11,0)</f>
        <v>A</v>
      </c>
      <c r="N72" s="1248">
        <f>VLOOKUP(D72,'TRẠM 1'!$C$15:$Y$107,12,0)</f>
        <v>7804447</v>
      </c>
      <c r="O72" s="1248">
        <f>VLOOKUP(D72,'TRẠM 1'!$C$15:$Y$107,13,0)</f>
        <v>27</v>
      </c>
      <c r="P72" s="1248">
        <f>VLOOKUP(D72,'TRẠM 1'!$C$15:$Y$107,14,0)</f>
        <v>4</v>
      </c>
      <c r="Q72" s="1248">
        <f>VLOOKUP(D72,'TRẠM 1'!$C$15:$Z$107,15,0)</f>
        <v>0</v>
      </c>
      <c r="R72" s="1248">
        <f>VLOOKUP(D72,'TRẠM 1'!$C$15:$Z$107,16,0)</f>
        <v>0</v>
      </c>
      <c r="S72" s="1248">
        <f>VLOOKUP(D72,'TRẠM 1'!$C$15:$Z$107,17,0)</f>
        <v>0</v>
      </c>
      <c r="T72" s="1248"/>
      <c r="U72" s="1248"/>
      <c r="V72" s="1248">
        <f>VLOOKUP(D72,'TRẠM 1'!$C$15:$Z$107,20,0)</f>
        <v>0</v>
      </c>
      <c r="W72" s="1248"/>
      <c r="X72" s="1248"/>
      <c r="Y72" s="1248"/>
      <c r="Z72" s="1881">
        <f t="shared" si="3"/>
        <v>1036874</v>
      </c>
      <c r="AA72" s="1471">
        <f t="shared" si="8"/>
        <v>8841321</v>
      </c>
      <c r="AB72" s="1472"/>
      <c r="AC72" s="1420">
        <f t="shared" si="7"/>
        <v>8841321</v>
      </c>
      <c r="AD72" s="242">
        <v>57</v>
      </c>
    </row>
    <row r="73" spans="1:30" s="242" customFormat="1" ht="27.75" customHeight="1">
      <c r="A73" s="1246">
        <v>58</v>
      </c>
      <c r="B73" s="1245">
        <v>58</v>
      </c>
      <c r="C73" s="320" t="str">
        <f>TONGHOPCONGDOI!B68</f>
        <v>03571</v>
      </c>
      <c r="D73" s="1247" t="str">
        <f>TONGHOPCONGDOI!C68</f>
        <v>T. Ê</v>
      </c>
      <c r="E73" s="1243" t="s">
        <v>15</v>
      </c>
      <c r="F73" s="1252"/>
      <c r="G73" s="1248">
        <f t="shared" si="1"/>
        <v>0</v>
      </c>
      <c r="H73" s="1248">
        <f>VLOOKUP(D73,'TRẠM 1'!$C$15:$Y$107,6,0)</f>
        <v>6175</v>
      </c>
      <c r="I73" s="1248">
        <f>VLOOKUP(D73,'TRẠM 1'!$C$15:$Y$107,7,0)</f>
        <v>0</v>
      </c>
      <c r="J73" s="1248">
        <f>VLOOKUP(D73,'TRẠM 1'!$C$15:$Y$107,8,0)</f>
        <v>2624.5460521926475</v>
      </c>
      <c r="K73" s="1248">
        <f>VLOOKUP(D73,'TRẠM 1'!$C$15:$Y$107,9,0)</f>
        <v>338.40152540257895</v>
      </c>
      <c r="L73" s="1837">
        <f t="shared" si="2"/>
        <v>2962.9475775952264</v>
      </c>
      <c r="M73" s="1996" t="str">
        <f>VLOOKUP(D73,'TRẠM 1'!$C$15:$Y$107,11,0)</f>
        <v>A</v>
      </c>
      <c r="N73" s="1248">
        <f>VLOOKUP(D73,'TRẠM 1'!$C$15:$Y$107,12,0)</f>
        <v>10844388</v>
      </c>
      <c r="O73" s="1248">
        <f>VLOOKUP(D73,'TRẠM 1'!$C$15:$Y$107,13,0)</f>
        <v>27</v>
      </c>
      <c r="P73" s="1248">
        <f>VLOOKUP(D73,'TRẠM 1'!$C$15:$Y$107,14,0)</f>
        <v>4</v>
      </c>
      <c r="Q73" s="1248">
        <f>VLOOKUP(D73,'TRẠM 1'!$C$15:$Z$107,15,0)</f>
        <v>0</v>
      </c>
      <c r="R73" s="1248">
        <f>VLOOKUP(D73,'TRẠM 1'!$C$15:$Z$107,16,0)</f>
        <v>0</v>
      </c>
      <c r="S73" s="1248">
        <f>VLOOKUP(D73,'TRẠM 1'!$C$15:$Z$107,17,0)</f>
        <v>0</v>
      </c>
      <c r="T73" s="1248"/>
      <c r="U73" s="1248"/>
      <c r="V73" s="1248">
        <f>VLOOKUP(D73,'TRẠM 1'!$C$15:$Z$107,20,0)</f>
        <v>0</v>
      </c>
      <c r="W73" s="1248"/>
      <c r="X73" s="1248"/>
      <c r="Y73" s="1248"/>
      <c r="Z73" s="1881">
        <f t="shared" si="3"/>
        <v>1036874</v>
      </c>
      <c r="AA73" s="1471">
        <f t="shared" si="8"/>
        <v>11881262</v>
      </c>
      <c r="AB73" s="1472"/>
      <c r="AC73" s="1420">
        <f t="shared" si="7"/>
        <v>11881262</v>
      </c>
      <c r="AD73" s="242">
        <v>58</v>
      </c>
    </row>
    <row r="74" spans="1:30" s="242" customFormat="1" ht="27.75" customHeight="1">
      <c r="A74" s="1246">
        <v>59</v>
      </c>
      <c r="B74" s="1245">
        <v>59</v>
      </c>
      <c r="C74" s="320" t="str">
        <f>TONGHOPCONGDOI!B69</f>
        <v>03572</v>
      </c>
      <c r="D74" s="1247" t="str">
        <f>TONGHOPCONGDOI!C69</f>
        <v>N. Lắt Đa</v>
      </c>
      <c r="E74" s="1243" t="s">
        <v>15</v>
      </c>
      <c r="F74" s="1252"/>
      <c r="G74" s="1248">
        <f t="shared" si="1"/>
        <v>0</v>
      </c>
      <c r="H74" s="1248">
        <f>VLOOKUP(D74,'TRẠM 1'!$C$15:$Y$107,6,0)</f>
        <v>6322</v>
      </c>
      <c r="I74" s="1248">
        <f>VLOOKUP(D74,'TRẠM 1'!$C$15:$Y$107,7,0)</f>
        <v>0</v>
      </c>
      <c r="J74" s="1248">
        <f>VLOOKUP(D74,'TRẠM 1'!$C$15:$Y$107,8,0)</f>
        <v>2687.0251242043591</v>
      </c>
      <c r="K74" s="1248">
        <f>VLOOKUP(D74,'TRẠM 1'!$C$15:$Y$107,9,0)</f>
        <v>346.4573997724865</v>
      </c>
      <c r="L74" s="1837">
        <f t="shared" si="2"/>
        <v>3033.4825239768456</v>
      </c>
      <c r="M74" s="1996" t="str">
        <f>VLOOKUP(D74,'TRẠM 1'!$C$15:$Y$107,11,0)</f>
        <v>A</v>
      </c>
      <c r="N74" s="1248">
        <f>VLOOKUP(D74,'TRẠM 1'!$C$15:$Y$107,12,0)</f>
        <v>11102546</v>
      </c>
      <c r="O74" s="1248">
        <f>VLOOKUP(D74,'TRẠM 1'!$C$15:$Y$107,13,0)</f>
        <v>27</v>
      </c>
      <c r="P74" s="1248">
        <f>VLOOKUP(D74,'TRẠM 1'!$C$15:$Y$107,14,0)</f>
        <v>4</v>
      </c>
      <c r="Q74" s="1248">
        <f>VLOOKUP(D74,'TRẠM 1'!$C$15:$Z$107,15,0)</f>
        <v>0</v>
      </c>
      <c r="R74" s="1248">
        <f>VLOOKUP(D74,'TRẠM 1'!$C$15:$Z$107,16,0)</f>
        <v>0</v>
      </c>
      <c r="S74" s="1248">
        <f>VLOOKUP(D74,'TRẠM 1'!$C$15:$Z$107,17,0)</f>
        <v>0</v>
      </c>
      <c r="T74" s="1248"/>
      <c r="U74" s="1248"/>
      <c r="V74" s="1248">
        <f>VLOOKUP(D74,'TRẠM 1'!$C$15:$Z$107,20,0)</f>
        <v>0</v>
      </c>
      <c r="W74" s="1248"/>
      <c r="X74" s="1248"/>
      <c r="Y74" s="1248"/>
      <c r="Z74" s="1881">
        <f t="shared" si="3"/>
        <v>1036874</v>
      </c>
      <c r="AA74" s="1471">
        <f t="shared" si="8"/>
        <v>12139420</v>
      </c>
      <c r="AB74" s="1472"/>
      <c r="AC74" s="1420">
        <f t="shared" si="7"/>
        <v>12139420</v>
      </c>
      <c r="AD74" s="242">
        <v>59</v>
      </c>
    </row>
    <row r="75" spans="1:30" s="242" customFormat="1" ht="27.75" customHeight="1">
      <c r="A75" s="1246">
        <v>60</v>
      </c>
      <c r="B75" s="1245">
        <v>60</v>
      </c>
      <c r="C75" s="320" t="str">
        <f>TONGHOPCONGDOI!B70</f>
        <v>03573</v>
      </c>
      <c r="D75" s="1247" t="str">
        <f>TONGHOPCONGDOI!C70</f>
        <v>N. Tieng Na</v>
      </c>
      <c r="E75" s="1243" t="s">
        <v>15</v>
      </c>
      <c r="F75" s="1252"/>
      <c r="G75" s="1248">
        <f t="shared" si="1"/>
        <v>0</v>
      </c>
      <c r="H75" s="1248">
        <f>VLOOKUP(D75,'TRẠM 1'!$C$15:$Y$107,6,0)</f>
        <v>4637</v>
      </c>
      <c r="I75" s="1248">
        <f>VLOOKUP(D75,'TRẠM 1'!$C$15:$Y$107,7,0)</f>
        <v>0</v>
      </c>
      <c r="J75" s="1248">
        <f>VLOOKUP(D75,'TRẠM 1'!$C$15:$Y$107,8,0)</f>
        <v>1970.8534484238553</v>
      </c>
      <c r="K75" s="1248">
        <f>VLOOKUP(D75,'TRẠM 1'!$C$15:$Y$107,9,0)</f>
        <v>254.11625478409044</v>
      </c>
      <c r="L75" s="1837">
        <f t="shared" si="2"/>
        <v>2224.9697032079457</v>
      </c>
      <c r="M75" s="1996" t="str">
        <f>VLOOKUP(D75,'TRẠM 1'!$C$15:$Y$107,11,0)</f>
        <v>A</v>
      </c>
      <c r="N75" s="1248">
        <f>VLOOKUP(D75,'TRẠM 1'!$C$15:$Y$107,12,0)</f>
        <v>8143389</v>
      </c>
      <c r="O75" s="1248">
        <f>VLOOKUP(D75,'TRẠM 1'!$C$15:$Y$107,13,0)</f>
        <v>27</v>
      </c>
      <c r="P75" s="1248">
        <f>VLOOKUP(D75,'TRẠM 1'!$C$15:$Y$107,14,0)</f>
        <v>4</v>
      </c>
      <c r="Q75" s="1248">
        <f>VLOOKUP(D75,'TRẠM 1'!$C$15:$Z$107,15,0)</f>
        <v>0</v>
      </c>
      <c r="R75" s="1248">
        <f>VLOOKUP(D75,'TRẠM 1'!$C$15:$Z$107,16,0)</f>
        <v>0</v>
      </c>
      <c r="S75" s="1248">
        <f>VLOOKUP(D75,'TRẠM 1'!$C$15:$Z$107,17,0)</f>
        <v>0</v>
      </c>
      <c r="T75" s="1248"/>
      <c r="U75" s="1248"/>
      <c r="V75" s="1248">
        <f>VLOOKUP(D75,'TRẠM 1'!$C$15:$Z$107,20,0)</f>
        <v>0</v>
      </c>
      <c r="W75" s="1248"/>
      <c r="X75" s="1248"/>
      <c r="Y75" s="1248"/>
      <c r="Z75" s="1881">
        <f t="shared" si="3"/>
        <v>1036874</v>
      </c>
      <c r="AA75" s="1471">
        <f t="shared" si="8"/>
        <v>9180263</v>
      </c>
      <c r="AB75" s="1472"/>
      <c r="AC75" s="1420">
        <f t="shared" si="7"/>
        <v>9180263</v>
      </c>
      <c r="AD75" s="242">
        <v>60</v>
      </c>
    </row>
    <row r="76" spans="1:30" s="242" customFormat="1" ht="27.75" customHeight="1">
      <c r="A76" s="1246">
        <v>61</v>
      </c>
      <c r="B76" s="1245">
        <v>61</v>
      </c>
      <c r="C76" s="320" t="str">
        <f>TONGHOPCONGDOI!B71</f>
        <v>04111</v>
      </c>
      <c r="D76" s="1247" t="str">
        <f>TONGHOPCONGDOI!C71</f>
        <v>A Nha</v>
      </c>
      <c r="E76" s="1243" t="s">
        <v>15</v>
      </c>
      <c r="F76" s="1252"/>
      <c r="G76" s="1248">
        <f t="shared" si="1"/>
        <v>0</v>
      </c>
      <c r="H76" s="1248">
        <f>VLOOKUP(D76,'TRẠM 1'!$C$15:$Y$107,6,0)</f>
        <v>3097</v>
      </c>
      <c r="I76" s="1248">
        <f>VLOOKUP(D76,'TRẠM 1'!$C$15:$Y$107,7,0)</f>
        <v>0</v>
      </c>
      <c r="J76" s="1248">
        <f>VLOOKUP(D76,'TRẠM 1'!$C$15:$Y$107,8,0)</f>
        <v>1316.3107892535431</v>
      </c>
      <c r="K76" s="1248">
        <f>VLOOKUP(D76,'TRẠM 1'!$C$15:$Y$107,9,0)</f>
        <v>169.72138043267805</v>
      </c>
      <c r="L76" s="1837">
        <f t="shared" si="2"/>
        <v>1486.0321696862211</v>
      </c>
      <c r="M76" s="1996" t="str">
        <f>VLOOKUP(D76,'TRẠM 1'!$C$15:$Y$107,11,0)</f>
        <v>B</v>
      </c>
      <c r="N76" s="1248">
        <f>VLOOKUP(D76,'TRẠM 1'!$C$15:$Y$107,12,0)</f>
        <v>5171392</v>
      </c>
      <c r="O76" s="1248">
        <f>VLOOKUP(D76,'TRẠM 1'!$C$15:$Y$107,13,0)</f>
        <v>21</v>
      </c>
      <c r="P76" s="1248">
        <f>VLOOKUP(D76,'TRẠM 1'!$C$15:$Y$107,14,0)</f>
        <v>4</v>
      </c>
      <c r="Q76" s="1248">
        <f>VLOOKUP(D76,'TRẠM 1'!$C$15:$Z$107,15,0)</f>
        <v>0</v>
      </c>
      <c r="R76" s="1248">
        <f>VLOOKUP(D76,'TRẠM 1'!$C$15:$Z$107,16,0)</f>
        <v>0</v>
      </c>
      <c r="S76" s="1248">
        <f>VLOOKUP(D76,'TRẠM 1'!$C$15:$Z$107,17,0)</f>
        <v>0</v>
      </c>
      <c r="T76" s="1248"/>
      <c r="U76" s="1248"/>
      <c r="V76" s="1248">
        <f>VLOOKUP(D76,'TRẠM 1'!$C$15:$Z$107,20,0)</f>
        <v>0</v>
      </c>
      <c r="W76" s="1248"/>
      <c r="X76" s="1248"/>
      <c r="Y76" s="1248"/>
      <c r="Z76" s="1881">
        <f t="shared" si="3"/>
        <v>852117</v>
      </c>
      <c r="AA76" s="1471">
        <f t="shared" si="8"/>
        <v>6023509</v>
      </c>
      <c r="AB76" s="1472"/>
      <c r="AC76" s="1420">
        <f t="shared" si="7"/>
        <v>6023509</v>
      </c>
      <c r="AD76" s="242">
        <v>61</v>
      </c>
    </row>
    <row r="77" spans="1:30" s="242" customFormat="1" ht="27.75" customHeight="1">
      <c r="A77" s="1246">
        <v>62</v>
      </c>
      <c r="B77" s="1245">
        <v>62</v>
      </c>
      <c r="C77" s="320" t="str">
        <f>TONGHOPCONGDOI!B72</f>
        <v>03534</v>
      </c>
      <c r="D77" s="1247" t="str">
        <f>TONGHOPCONGDOI!C72</f>
        <v>T. Un</v>
      </c>
      <c r="E77" s="1243" t="s">
        <v>15</v>
      </c>
      <c r="F77" s="1252"/>
      <c r="G77" s="1248">
        <f t="shared" si="1"/>
        <v>0</v>
      </c>
      <c r="H77" s="1248">
        <f>VLOOKUP(D77,'TRẠM 1'!$C$15:$Y$107,6,0)</f>
        <v>5728</v>
      </c>
      <c r="I77" s="1248">
        <f>VLOOKUP(D77,'TRẠM 1'!$C$15:$Y$107,7,0)</f>
        <v>0</v>
      </c>
      <c r="J77" s="1248">
        <f>VLOOKUP(D77,'TRẠM 1'!$C$15:$Y$107,8,0)</f>
        <v>2434.5586699529531</v>
      </c>
      <c r="K77" s="1248">
        <f>VLOOKUP(D77,'TRẠM 1'!$C$15:$Y$107,9,0)</f>
        <v>313.90509109408458</v>
      </c>
      <c r="L77" s="1837">
        <f t="shared" si="2"/>
        <v>2748.4637610470377</v>
      </c>
      <c r="M77" s="1996" t="str">
        <f>VLOOKUP(D77,'TRẠM 1'!$C$15:$Y$107,11,0)</f>
        <v>B</v>
      </c>
      <c r="N77" s="1248">
        <f>VLOOKUP(D77,'TRẠM 1'!$C$15:$Y$107,12,0)</f>
        <v>9564654</v>
      </c>
      <c r="O77" s="1248">
        <f>VLOOKUP(D77,'TRẠM 1'!$C$15:$Y$107,13,0)</f>
        <v>27</v>
      </c>
      <c r="P77" s="1248">
        <f>VLOOKUP(D77,'TRẠM 1'!$C$15:$Y$107,14,0)</f>
        <v>4</v>
      </c>
      <c r="Q77" s="1248">
        <f>VLOOKUP(D77,'TRẠM 1'!$C$15:$Z$107,15,0)</f>
        <v>0</v>
      </c>
      <c r="R77" s="1248">
        <f>VLOOKUP(D77,'TRẠM 1'!$C$15:$Z$107,16,0)</f>
        <v>0</v>
      </c>
      <c r="S77" s="1248">
        <f>VLOOKUP(D77,'TRẠM 1'!$C$15:$Z$107,17,0)</f>
        <v>0</v>
      </c>
      <c r="T77" s="1248"/>
      <c r="U77" s="1248"/>
      <c r="V77" s="1248">
        <f>VLOOKUP(D77,'TRẠM 1'!$C$15:$Z$107,20,0)</f>
        <v>0</v>
      </c>
      <c r="W77" s="1248"/>
      <c r="X77" s="1248"/>
      <c r="Y77" s="1248"/>
      <c r="Z77" s="1881">
        <f t="shared" si="3"/>
        <v>1036874</v>
      </c>
      <c r="AA77" s="1471">
        <f t="shared" si="8"/>
        <v>10601528</v>
      </c>
      <c r="AB77" s="1472"/>
      <c r="AC77" s="1420">
        <f t="shared" si="7"/>
        <v>10601528</v>
      </c>
      <c r="AD77" s="242">
        <v>62</v>
      </c>
    </row>
    <row r="78" spans="1:30" s="242" customFormat="1" ht="27.75" customHeight="1">
      <c r="A78" s="1246">
        <v>63</v>
      </c>
      <c r="B78" s="1245">
        <v>63</v>
      </c>
      <c r="C78" s="320" t="str">
        <f>TONGHOPCONGDOI!B73</f>
        <v>03576</v>
      </c>
      <c r="D78" s="1247" t="str">
        <f>TONGHOPCONGDOI!C73</f>
        <v>T. Sinh</v>
      </c>
      <c r="E78" s="1243" t="s">
        <v>15</v>
      </c>
      <c r="F78" s="1252"/>
      <c r="G78" s="1248">
        <f t="shared" si="1"/>
        <v>0</v>
      </c>
      <c r="H78" s="1248">
        <f>VLOOKUP(D78,'TRẠM 1'!$C$15:$Y$107,6,0)</f>
        <v>4543</v>
      </c>
      <c r="I78" s="1248">
        <f>VLOOKUP(D78,'TRẠM 1'!$C$15:$Y$107,7,0)</f>
        <v>0</v>
      </c>
      <c r="J78" s="1248">
        <f>VLOOKUP(D78,'TRẠM 1'!$C$15:$Y$107,8,0)</f>
        <v>1930.9008445524205</v>
      </c>
      <c r="K78" s="1248">
        <f>VLOOKUP(D78,'TRẠM 1'!$C$15:$Y$107,9,0)</f>
        <v>248.96487933666657</v>
      </c>
      <c r="L78" s="1837">
        <f t="shared" si="2"/>
        <v>2179.8657238890869</v>
      </c>
      <c r="M78" s="1996" t="str">
        <f>VLOOKUP(D78,'TRẠM 1'!$C$15:$Y$107,11,0)</f>
        <v>A</v>
      </c>
      <c r="N78" s="1248">
        <f>VLOOKUP(D78,'TRẠM 1'!$C$15:$Y$107,12,0)</f>
        <v>7978309</v>
      </c>
      <c r="O78" s="1248">
        <f>VLOOKUP(D78,'TRẠM 1'!$C$15:$Y$107,13,0)</f>
        <v>26</v>
      </c>
      <c r="P78" s="1248">
        <f>VLOOKUP(D78,'TRẠM 1'!$C$15:$Y$107,14,0)</f>
        <v>4</v>
      </c>
      <c r="Q78" s="1248">
        <f>VLOOKUP(D78,'TRẠM 1'!$C$15:$Z$107,15,0)</f>
        <v>0</v>
      </c>
      <c r="R78" s="1248">
        <f>VLOOKUP(D78,'TRẠM 1'!$C$15:$Z$107,16,0)</f>
        <v>0</v>
      </c>
      <c r="S78" s="1248">
        <f>VLOOKUP(D78,'TRẠM 1'!$C$15:$Z$107,17,0)</f>
        <v>0</v>
      </c>
      <c r="T78" s="1248"/>
      <c r="U78" s="1248"/>
      <c r="V78" s="1248">
        <f>VLOOKUP(D78,'TRẠM 1'!$C$15:$Z$107,20,0)</f>
        <v>0</v>
      </c>
      <c r="W78" s="1248"/>
      <c r="X78" s="1248"/>
      <c r="Y78" s="1248"/>
      <c r="Z78" s="1881">
        <f t="shared" si="3"/>
        <v>1006081</v>
      </c>
      <c r="AA78" s="1471">
        <f t="shared" si="8"/>
        <v>8984390</v>
      </c>
      <c r="AB78" s="1472"/>
      <c r="AC78" s="1420">
        <f t="shared" si="6"/>
        <v>8984390</v>
      </c>
      <c r="AD78" s="242">
        <v>63</v>
      </c>
    </row>
    <row r="79" spans="1:30" s="242" customFormat="1" ht="27.75" customHeight="1">
      <c r="A79" s="1246">
        <v>64</v>
      </c>
      <c r="B79" s="1245">
        <v>64</v>
      </c>
      <c r="C79" s="320" t="str">
        <f>TONGHOPCONGDOI!B74</f>
        <v>04112</v>
      </c>
      <c r="D79" s="1247" t="str">
        <f>TONGHOPCONGDOI!C74</f>
        <v>T. Khăm Công</v>
      </c>
      <c r="E79" s="1243" t="s">
        <v>15</v>
      </c>
      <c r="F79" s="1252"/>
      <c r="G79" s="1248">
        <f t="shared" si="1"/>
        <v>0</v>
      </c>
      <c r="H79" s="1248">
        <f>VLOOKUP(D79,'TRẠM 1'!$C$15:$Y$107,6,0)</f>
        <v>4254</v>
      </c>
      <c r="I79" s="1248">
        <f>VLOOKUP(D79,'TRẠM 1'!$C$15:$Y$107,7,0)</f>
        <v>0</v>
      </c>
      <c r="J79" s="1248">
        <f>VLOOKUP(D79,'TRẠM 1'!$C$15:$Y$107,8,0)</f>
        <v>1808.0678390327971</v>
      </c>
      <c r="K79" s="1248">
        <f>VLOOKUP(D79,'TRẠM 1'!$C$15:$Y$107,9,0)</f>
        <v>233.12713992916127</v>
      </c>
      <c r="L79" s="1837">
        <f t="shared" si="2"/>
        <v>2041.1949789619584</v>
      </c>
      <c r="M79" s="1996" t="str">
        <f>VLOOKUP(D79,'TRẠM 1'!$C$15:$Y$107,11,0)</f>
        <v>B</v>
      </c>
      <c r="N79" s="1248">
        <f>VLOOKUP(D79,'TRẠM 1'!$C$15:$Y$107,12,0)</f>
        <v>7103359</v>
      </c>
      <c r="O79" s="1248">
        <f>VLOOKUP(D79,'TRẠM 1'!$C$15:$Y$107,13,0)</f>
        <v>20</v>
      </c>
      <c r="P79" s="1248">
        <f>VLOOKUP(D79,'TRẠM 1'!$C$15:$Y$107,14,0)</f>
        <v>4</v>
      </c>
      <c r="Q79" s="1248">
        <f>VLOOKUP(D79,'TRẠM 1'!$C$15:$Z$107,15,0)</f>
        <v>0</v>
      </c>
      <c r="R79" s="1248">
        <f>VLOOKUP(D79,'TRẠM 1'!$C$15:$Z$107,16,0)</f>
        <v>0</v>
      </c>
      <c r="S79" s="1248">
        <f>VLOOKUP(D79,'TRẠM 1'!$C$15:$Z$107,17,0)</f>
        <v>0</v>
      </c>
      <c r="T79" s="1248"/>
      <c r="U79" s="1248"/>
      <c r="V79" s="1248">
        <f>VLOOKUP(D79,'TRẠM 1'!$C$15:$Z$107,20,0)</f>
        <v>0</v>
      </c>
      <c r="W79" s="1248"/>
      <c r="X79" s="1248"/>
      <c r="Y79" s="1248"/>
      <c r="Z79" s="1881">
        <f t="shared" si="3"/>
        <v>821324</v>
      </c>
      <c r="AA79" s="1471">
        <f t="shared" si="8"/>
        <v>7924683</v>
      </c>
      <c r="AB79" s="1472"/>
      <c r="AC79" s="1420">
        <f t="shared" si="6"/>
        <v>7924683</v>
      </c>
      <c r="AD79" s="242">
        <v>64</v>
      </c>
    </row>
    <row r="80" spans="1:30" s="242" customFormat="1" ht="27.75" customHeight="1">
      <c r="A80" s="1246">
        <v>65</v>
      </c>
      <c r="B80" s="1245">
        <v>65</v>
      </c>
      <c r="C80" s="320" t="str">
        <f>TONGHOPCONGDOI!B75</f>
        <v>04113</v>
      </c>
      <c r="D80" s="1247" t="str">
        <f>TONGHOPCONGDOI!C75</f>
        <v>Un Seng</v>
      </c>
      <c r="E80" s="1243" t="s">
        <v>15</v>
      </c>
      <c r="F80" s="1252"/>
      <c r="G80" s="1248">
        <f t="shared" si="1"/>
        <v>0</v>
      </c>
      <c r="H80" s="1248">
        <f>VLOOKUP(D80,'TRẠM 1'!$C$15:$Y$107,6,0)</f>
        <v>3774</v>
      </c>
      <c r="I80" s="1248">
        <f>VLOOKUP(D80,'TRẠM 1'!$C$15:$Y$107,7,0)</f>
        <v>0</v>
      </c>
      <c r="J80" s="1248">
        <f>VLOOKUP(D80,'TRẠM 1'!$C$15:$Y$107,8,0)</f>
        <v>1604.0545426680244</v>
      </c>
      <c r="K80" s="1248">
        <f>VLOOKUP(D80,'TRẠM 1'!$C$15:$Y$107,9,0)</f>
        <v>206.82224402742233</v>
      </c>
      <c r="L80" s="1837">
        <f t="shared" si="2"/>
        <v>1810.8767866954468</v>
      </c>
      <c r="M80" s="1996" t="str">
        <f>VLOOKUP(D80,'TRẠM 1'!$C$15:$Y$107,11,0)</f>
        <v>B</v>
      </c>
      <c r="N80" s="1248">
        <f>VLOOKUP(D80,'TRẠM 1'!$C$15:$Y$107,12,0)</f>
        <v>6301851</v>
      </c>
      <c r="O80" s="1248">
        <f>VLOOKUP(D80,'TRẠM 1'!$C$15:$Y$107,13,0)</f>
        <v>26</v>
      </c>
      <c r="P80" s="1248">
        <f>VLOOKUP(D80,'TRẠM 1'!$C$15:$Y$107,14,0)</f>
        <v>4</v>
      </c>
      <c r="Q80" s="1248">
        <f>VLOOKUP(D80,'TRẠM 1'!$C$15:$Z$107,15,0)</f>
        <v>0</v>
      </c>
      <c r="R80" s="1248">
        <f>VLOOKUP(D80,'TRẠM 1'!$C$15:$Z$107,16,0)</f>
        <v>0</v>
      </c>
      <c r="S80" s="1248">
        <f>VLOOKUP(D80,'TRẠM 1'!$C$15:$Z$107,17,0)</f>
        <v>0</v>
      </c>
      <c r="T80" s="1248"/>
      <c r="U80" s="1248"/>
      <c r="V80" s="1248">
        <f>VLOOKUP(D80,'TRẠM 1'!$C$15:$Z$107,20,0)</f>
        <v>0</v>
      </c>
      <c r="W80" s="1248"/>
      <c r="X80" s="1248"/>
      <c r="Y80" s="1248"/>
      <c r="Z80" s="1881">
        <f t="shared" si="3"/>
        <v>1006081</v>
      </c>
      <c r="AA80" s="1471">
        <f t="shared" ref="AA80:AA108" si="9">+N80+G80+Z80</f>
        <v>7307932</v>
      </c>
      <c r="AB80" s="1472"/>
      <c r="AC80" s="1420">
        <f t="shared" si="6"/>
        <v>7307932</v>
      </c>
      <c r="AD80" s="242">
        <v>65</v>
      </c>
    </row>
    <row r="81" spans="1:30" s="242" customFormat="1" ht="27.75" customHeight="1">
      <c r="A81" s="1246">
        <v>66</v>
      </c>
      <c r="B81" s="1245">
        <v>66</v>
      </c>
      <c r="C81" s="320" t="str">
        <f>TONGHOPCONGDOI!B76</f>
        <v>04114</v>
      </c>
      <c r="D81" s="1247" t="str">
        <f>TONGHOPCONGDOI!C76</f>
        <v>N . Lạ</v>
      </c>
      <c r="E81" s="1243" t="s">
        <v>15</v>
      </c>
      <c r="F81" s="1252"/>
      <c r="G81" s="1248">
        <f t="shared" ref="G81:G108" si="10">F81*25000</f>
        <v>0</v>
      </c>
      <c r="H81" s="1248">
        <f>VLOOKUP(D81,'TRẠM 1'!$C$15:$Y$107,6,0)</f>
        <v>5017</v>
      </c>
      <c r="I81" s="1248">
        <f>VLOOKUP(D81,'TRẠM 1'!$C$15:$Y$107,7,0)</f>
        <v>0</v>
      </c>
      <c r="J81" s="1248">
        <f>VLOOKUP(D81,'TRẠM 1'!$C$15:$Y$107,8,0)</f>
        <v>2132.3639747126335</v>
      </c>
      <c r="K81" s="1248">
        <f>VLOOKUP(D81,'TRẠM 1'!$C$15:$Y$107,9,0)</f>
        <v>274.94096403963374</v>
      </c>
      <c r="L81" s="1837">
        <f t="shared" ref="L81:L100" si="11">J81+K81</f>
        <v>2407.3049387522674</v>
      </c>
      <c r="M81" s="1996" t="str">
        <f>VLOOKUP(D81,'TRẠM 1'!$C$15:$Y$107,11,0)</f>
        <v>A</v>
      </c>
      <c r="N81" s="1248">
        <f>VLOOKUP(D81,'TRẠM 1'!$C$15:$Y$107,12,0)</f>
        <v>8810736</v>
      </c>
      <c r="O81" s="1248">
        <f>VLOOKUP(D81,'TRẠM 1'!$C$15:$Y$107,13,0)</f>
        <v>27</v>
      </c>
      <c r="P81" s="1248">
        <f>VLOOKUP(D81,'TRẠM 1'!$C$15:$Y$107,14,0)</f>
        <v>4</v>
      </c>
      <c r="Q81" s="1248">
        <f>VLOOKUP(D81,'TRẠM 1'!$C$15:$Z$107,15,0)</f>
        <v>0</v>
      </c>
      <c r="R81" s="1248">
        <f>VLOOKUP(D81,'TRẠM 1'!$C$15:$Z$107,16,0)</f>
        <v>0</v>
      </c>
      <c r="S81" s="1248">
        <f>VLOOKUP(D81,'TRẠM 1'!$C$15:$Z$107,17,0)</f>
        <v>0</v>
      </c>
      <c r="T81" s="1248"/>
      <c r="U81" s="1248"/>
      <c r="V81" s="1248">
        <f>VLOOKUP(D81,'TRẠM 1'!$C$15:$Z$107,20,0)</f>
        <v>0</v>
      </c>
      <c r="W81" s="1248"/>
      <c r="X81" s="1248"/>
      <c r="Y81" s="1248"/>
      <c r="Z81" s="1881">
        <f t="shared" ref="Z81:Z108" si="12">ROUND(((O81*46.1)+(P81*76.9)+(Q81*92.2)+(R81*153.8))*$G$8+(S81*100000)+(V81*20000),0)</f>
        <v>1036874</v>
      </c>
      <c r="AA81" s="1471">
        <f t="shared" si="9"/>
        <v>9847610</v>
      </c>
      <c r="AB81" s="1472"/>
      <c r="AC81" s="1420">
        <f t="shared" si="6"/>
        <v>9847610</v>
      </c>
      <c r="AD81" s="242">
        <v>66</v>
      </c>
    </row>
    <row r="82" spans="1:30" s="242" customFormat="1" ht="27.75" customHeight="1">
      <c r="A82" s="1246">
        <v>67</v>
      </c>
      <c r="B82" s="1245">
        <v>67</v>
      </c>
      <c r="C82" s="320" t="str">
        <f>TONGHOPCONGDOI!B77</f>
        <v>04115</v>
      </c>
      <c r="D82" s="1247" t="str">
        <f>TONGHOPCONGDOI!C77</f>
        <v>T. Chỏ</v>
      </c>
      <c r="E82" s="1243" t="s">
        <v>15</v>
      </c>
      <c r="F82" s="1252"/>
      <c r="G82" s="1248">
        <f t="shared" si="10"/>
        <v>0</v>
      </c>
      <c r="H82" s="1248">
        <f>VLOOKUP(D82,'TRẠM 1'!$C$15:$Y$107,6,0)</f>
        <v>2989</v>
      </c>
      <c r="I82" s="1248">
        <f>VLOOKUP(D82,'TRẠM 1'!$C$15:$Y$107,7,0)</f>
        <v>0</v>
      </c>
      <c r="J82" s="1248">
        <f>VLOOKUP(D82,'TRẠM 1'!$C$15:$Y$107,8,0)</f>
        <v>1270.4077975714692</v>
      </c>
      <c r="K82" s="1248">
        <f>VLOOKUP(D82,'TRẠM 1'!$C$15:$Y$107,9,0)</f>
        <v>163.80277885478679</v>
      </c>
      <c r="L82" s="1837">
        <f t="shared" si="11"/>
        <v>1434.210576426256</v>
      </c>
      <c r="M82" s="1996" t="str">
        <f>VLOOKUP(D82,'TRẠM 1'!$C$15:$Y$107,11,0)</f>
        <v>B</v>
      </c>
      <c r="N82" s="1248">
        <f>VLOOKUP(D82,'TRẠM 1'!$C$15:$Y$107,12,0)</f>
        <v>4991053</v>
      </c>
      <c r="O82" s="1248">
        <f>VLOOKUP(D82,'TRẠM 1'!$C$15:$Y$107,13,0)</f>
        <v>21</v>
      </c>
      <c r="P82" s="1248">
        <f>VLOOKUP(D82,'TRẠM 1'!$C$15:$Y$107,14,0)</f>
        <v>4</v>
      </c>
      <c r="Q82" s="1248">
        <f>VLOOKUP(D82,'TRẠM 1'!$C$15:$Z$107,15,0)</f>
        <v>0</v>
      </c>
      <c r="R82" s="1248">
        <f>VLOOKUP(D82,'TRẠM 1'!$C$15:$Z$107,16,0)</f>
        <v>0</v>
      </c>
      <c r="S82" s="1248">
        <f>VLOOKUP(D82,'TRẠM 1'!$C$15:$Z$107,17,0)</f>
        <v>0</v>
      </c>
      <c r="T82" s="1248"/>
      <c r="U82" s="1248"/>
      <c r="V82" s="1248">
        <f>VLOOKUP(D82,'TRẠM 1'!$C$15:$Z$107,20,0)</f>
        <v>0</v>
      </c>
      <c r="W82" s="1248"/>
      <c r="X82" s="1248"/>
      <c r="Y82" s="1248"/>
      <c r="Z82" s="1881">
        <f t="shared" si="12"/>
        <v>852117</v>
      </c>
      <c r="AA82" s="1471">
        <f t="shared" si="9"/>
        <v>5843170</v>
      </c>
      <c r="AB82" s="1472"/>
      <c r="AC82" s="1420">
        <f t="shared" si="6"/>
        <v>5843170</v>
      </c>
      <c r="AD82" s="242">
        <v>67</v>
      </c>
    </row>
    <row r="83" spans="1:30" s="242" customFormat="1" ht="27.75" customHeight="1">
      <c r="A83" s="1246">
        <v>68</v>
      </c>
      <c r="B83" s="1245">
        <v>68</v>
      </c>
      <c r="C83" s="320" t="str">
        <f>TONGHOPCONGDOI!B78</f>
        <v>04116</v>
      </c>
      <c r="D83" s="1247" t="str">
        <f>TONGHOPCONGDOI!C78</f>
        <v>N. Xôm Pheng</v>
      </c>
      <c r="E83" s="1243" t="s">
        <v>15</v>
      </c>
      <c r="F83" s="1252"/>
      <c r="G83" s="1248">
        <f t="shared" si="10"/>
        <v>0</v>
      </c>
      <c r="H83" s="1248">
        <f>VLOOKUP(D83,'TRẠM 1'!$C$15:$Y$107,6,0)</f>
        <v>3769</v>
      </c>
      <c r="I83" s="1248">
        <f>VLOOKUP(D83,'TRẠM 1'!$C$15:$Y$107,7,0)</f>
        <v>0</v>
      </c>
      <c r="J83" s="1248">
        <f>VLOOKUP(D83,'TRẠM 1'!$C$15:$Y$107,8,0)</f>
        <v>1601.9294041642247</v>
      </c>
      <c r="K83" s="1248">
        <f>VLOOKUP(D83,'TRẠM 1'!$C$15:$Y$107,9,0)</f>
        <v>206.54823469511254</v>
      </c>
      <c r="L83" s="1837">
        <f t="shared" si="11"/>
        <v>1808.4776388593373</v>
      </c>
      <c r="M83" s="1996" t="str">
        <f>VLOOKUP(D83,'TRẠM 1'!$C$15:$Y$107,11,0)</f>
        <v>B</v>
      </c>
      <c r="N83" s="1248">
        <f>VLOOKUP(D83,'TRẠM 1'!$C$15:$Y$107,12,0)</f>
        <v>6293502</v>
      </c>
      <c r="O83" s="1248">
        <f>VLOOKUP(D83,'TRẠM 1'!$C$15:$Y$107,13,0)</f>
        <v>27</v>
      </c>
      <c r="P83" s="1248">
        <f>VLOOKUP(D83,'TRẠM 1'!$C$15:$Y$107,14,0)</f>
        <v>4</v>
      </c>
      <c r="Q83" s="1248">
        <f>VLOOKUP(D83,'TRẠM 1'!$C$15:$Z$107,15,0)</f>
        <v>0</v>
      </c>
      <c r="R83" s="1248">
        <f>VLOOKUP(D83,'TRẠM 1'!$C$15:$Z$107,16,0)</f>
        <v>0</v>
      </c>
      <c r="S83" s="1248">
        <f>VLOOKUP(D83,'TRẠM 1'!$C$15:$Z$107,17,0)</f>
        <v>0</v>
      </c>
      <c r="T83" s="1248"/>
      <c r="U83" s="1248"/>
      <c r="V83" s="1248">
        <f>VLOOKUP(D83,'TRẠM 1'!$C$15:$Z$107,20,0)</f>
        <v>0</v>
      </c>
      <c r="W83" s="1248"/>
      <c r="X83" s="1248"/>
      <c r="Y83" s="1248"/>
      <c r="Z83" s="1881">
        <f t="shared" si="12"/>
        <v>1036874</v>
      </c>
      <c r="AA83" s="1471">
        <f t="shared" si="9"/>
        <v>7330376</v>
      </c>
      <c r="AB83" s="1472"/>
      <c r="AC83" s="1420">
        <f t="shared" si="6"/>
        <v>7330376</v>
      </c>
      <c r="AD83" s="242">
        <v>68</v>
      </c>
    </row>
    <row r="84" spans="1:30" s="242" customFormat="1" ht="27.75" customHeight="1">
      <c r="A84" s="1246">
        <v>69</v>
      </c>
      <c r="B84" s="1245">
        <v>69</v>
      </c>
      <c r="C84" s="320" t="str">
        <f>TONGHOPCONGDOI!B79</f>
        <v>03456</v>
      </c>
      <c r="D84" s="1247" t="str">
        <f>TONGHOPCONGDOI!C79</f>
        <v>T. Vôn</v>
      </c>
      <c r="E84" s="1243" t="s">
        <v>15</v>
      </c>
      <c r="F84" s="1252"/>
      <c r="G84" s="1248">
        <f t="shared" si="10"/>
        <v>0</v>
      </c>
      <c r="H84" s="1248">
        <f>VLOOKUP(D84,'TRẠM 1'!$C$15:$Y$107,6,0)</f>
        <v>6236</v>
      </c>
      <c r="I84" s="1248">
        <f>VLOOKUP(D84,'TRẠM 1'!$C$15:$Y$107,7,0)</f>
        <v>0</v>
      </c>
      <c r="J84" s="1248">
        <f>VLOOKUP(D84,'TRẠM 1'!$C$15:$Y$107,8,0)</f>
        <v>2650.4727419390038</v>
      </c>
      <c r="K84" s="1248">
        <f>VLOOKUP(D84,'TRẠM 1'!$C$15:$Y$107,9,0)</f>
        <v>341.74443925675826</v>
      </c>
      <c r="L84" s="1837">
        <f t="shared" si="11"/>
        <v>2992.2171811957619</v>
      </c>
      <c r="M84" s="1996" t="str">
        <f>VLOOKUP(D84,'TRẠM 1'!$C$15:$Y$107,11,0)</f>
        <v>A</v>
      </c>
      <c r="N84" s="1248">
        <f>VLOOKUP(D84,'TRẠM 1'!$C$15:$Y$107,12,0)</f>
        <v>10951515</v>
      </c>
      <c r="O84" s="1248">
        <f>VLOOKUP(D84,'TRẠM 1'!$C$15:$Y$107,13,0)</f>
        <v>27</v>
      </c>
      <c r="P84" s="1248">
        <f>VLOOKUP(D84,'TRẠM 1'!$C$15:$Y$107,14,0)</f>
        <v>4</v>
      </c>
      <c r="Q84" s="1248">
        <f>VLOOKUP(D84,'TRẠM 1'!$C$15:$Z$107,15,0)</f>
        <v>0</v>
      </c>
      <c r="R84" s="1248">
        <f>VLOOKUP(D84,'TRẠM 1'!$C$15:$Z$107,16,0)</f>
        <v>0</v>
      </c>
      <c r="S84" s="1248">
        <f>VLOOKUP(D84,'TRẠM 1'!$C$15:$Z$107,17,0)</f>
        <v>0</v>
      </c>
      <c r="T84" s="1248"/>
      <c r="U84" s="1248"/>
      <c r="V84" s="1248">
        <f>VLOOKUP(D84,'TRẠM 1'!$C$15:$Z$107,20,0)</f>
        <v>0</v>
      </c>
      <c r="W84" s="1248"/>
      <c r="X84" s="1248"/>
      <c r="Y84" s="1248"/>
      <c r="Z84" s="1881">
        <f t="shared" si="12"/>
        <v>1036874</v>
      </c>
      <c r="AA84" s="1471">
        <f t="shared" si="9"/>
        <v>11988389</v>
      </c>
      <c r="AB84" s="1472"/>
      <c r="AC84" s="1420">
        <f t="shared" si="6"/>
        <v>11988389</v>
      </c>
      <c r="AD84" s="242">
        <v>69</v>
      </c>
    </row>
    <row r="85" spans="1:30" s="242" customFormat="1" ht="27.75" customHeight="1">
      <c r="A85" s="1246">
        <v>70</v>
      </c>
      <c r="B85" s="1245">
        <v>70</v>
      </c>
      <c r="C85" s="320" t="str">
        <f>TONGHOPCONGDOI!B80</f>
        <v>03583</v>
      </c>
      <c r="D85" s="1247" t="str">
        <f>TONGHOPCONGDOI!C80</f>
        <v>Đa Ly</v>
      </c>
      <c r="E85" s="1243" t="s">
        <v>15</v>
      </c>
      <c r="F85" s="1252"/>
      <c r="G85" s="1248">
        <f t="shared" si="10"/>
        <v>0</v>
      </c>
      <c r="H85" s="1248">
        <f>VLOOKUP(D85,'TRẠM 1'!$C$15:$Y$107,6,0)</f>
        <v>6304</v>
      </c>
      <c r="I85" s="1248">
        <f>VLOOKUP(D85,'TRẠM 1'!$C$15:$Y$107,7,0)</f>
        <v>0</v>
      </c>
      <c r="J85" s="1248">
        <f>VLOOKUP(D85,'TRẠM 1'!$C$15:$Y$107,8,0)</f>
        <v>2679.3746255906799</v>
      </c>
      <c r="K85" s="1248">
        <f>VLOOKUP(D85,'TRẠM 1'!$C$15:$Y$107,9,0)</f>
        <v>345.47096617617126</v>
      </c>
      <c r="L85" s="1837">
        <f t="shared" si="11"/>
        <v>3024.8455917668512</v>
      </c>
      <c r="M85" s="1996" t="str">
        <f>VLOOKUP(D85,'TRẠM 1'!$C$15:$Y$107,11,0)</f>
        <v>A</v>
      </c>
      <c r="N85" s="1248">
        <f>VLOOKUP(D85,'TRẠM 1'!$C$15:$Y$107,12,0)</f>
        <v>11070935</v>
      </c>
      <c r="O85" s="1248">
        <f>VLOOKUP(D85,'TRẠM 1'!$C$15:$Y$107,13,0)</f>
        <v>27</v>
      </c>
      <c r="P85" s="1248">
        <f>VLOOKUP(D85,'TRẠM 1'!$C$15:$Y$107,14,0)</f>
        <v>4</v>
      </c>
      <c r="Q85" s="1248">
        <f>VLOOKUP(D85,'TRẠM 1'!$C$15:$Z$107,15,0)</f>
        <v>0</v>
      </c>
      <c r="R85" s="1248">
        <f>VLOOKUP(D85,'TRẠM 1'!$C$15:$Z$107,16,0)</f>
        <v>0</v>
      </c>
      <c r="S85" s="1248">
        <f>VLOOKUP(D85,'TRẠM 1'!$C$15:$Z$107,17,0)</f>
        <v>0</v>
      </c>
      <c r="T85" s="1248"/>
      <c r="U85" s="1248"/>
      <c r="V85" s="1248">
        <f>VLOOKUP(D85,'TRẠM 1'!$C$15:$Z$107,20,0)</f>
        <v>0</v>
      </c>
      <c r="W85" s="1248"/>
      <c r="X85" s="1248"/>
      <c r="Y85" s="1248"/>
      <c r="Z85" s="1881">
        <f t="shared" si="12"/>
        <v>1036874</v>
      </c>
      <c r="AA85" s="1471">
        <f t="shared" si="9"/>
        <v>12107809</v>
      </c>
      <c r="AB85" s="1472"/>
      <c r="AC85" s="1420">
        <f t="shared" si="6"/>
        <v>12107809</v>
      </c>
      <c r="AD85" s="242">
        <v>70</v>
      </c>
    </row>
    <row r="86" spans="1:30" s="242" customFormat="1" ht="27.75" customHeight="1">
      <c r="A86" s="1246">
        <v>71</v>
      </c>
      <c r="B86" s="1245">
        <v>71</v>
      </c>
      <c r="C86" s="320" t="str">
        <f>TONGHOPCONGDOI!B81</f>
        <v>04117</v>
      </c>
      <c r="D86" s="1247" t="str">
        <f>TONGHOPCONGDOI!C81</f>
        <v>Khút Thong</v>
      </c>
      <c r="E86" s="1243" t="s">
        <v>15</v>
      </c>
      <c r="F86" s="1252"/>
      <c r="G86" s="1248">
        <f t="shared" si="10"/>
        <v>0</v>
      </c>
      <c r="H86" s="1248">
        <f>VLOOKUP(D86,'TRẠM 1'!$C$15:$Y$107,6,0)</f>
        <v>4448</v>
      </c>
      <c r="I86" s="1248">
        <f>VLOOKUP(D86,'TRẠM 1'!$C$15:$Y$107,7,0)</f>
        <v>0</v>
      </c>
      <c r="J86" s="1248">
        <f>VLOOKUP(D86,'TRẠM 1'!$C$15:$Y$107,8,0)</f>
        <v>1890.5232129802259</v>
      </c>
      <c r="K86" s="1248">
        <f>VLOOKUP(D86,'TRẠM 1'!$C$15:$Y$107,9,0)</f>
        <v>243.75870202278074</v>
      </c>
      <c r="L86" s="1837">
        <f t="shared" si="11"/>
        <v>2134.2819150030068</v>
      </c>
      <c r="M86" s="1996" t="str">
        <f>VLOOKUP(D86,'TRẠM 1'!$C$15:$Y$107,11,0)</f>
        <v>A</v>
      </c>
      <c r="N86" s="1248">
        <f>VLOOKUP(D86,'TRẠM 1'!$C$15:$Y$107,12,0)</f>
        <v>7811472</v>
      </c>
      <c r="O86" s="1248">
        <f>VLOOKUP(D86,'TRẠM 1'!$C$15:$Y$107,13,0)</f>
        <v>27</v>
      </c>
      <c r="P86" s="1248">
        <f>VLOOKUP(D86,'TRẠM 1'!$C$15:$Y$107,14,0)</f>
        <v>3</v>
      </c>
      <c r="Q86" s="1248">
        <f>VLOOKUP(D86,'TRẠM 1'!$C$15:$Z$107,15,0)</f>
        <v>0</v>
      </c>
      <c r="R86" s="1248">
        <f>VLOOKUP(D86,'TRẠM 1'!$C$15:$Z$107,16,0)</f>
        <v>0</v>
      </c>
      <c r="S86" s="1248">
        <f>VLOOKUP(D86,'TRẠM 1'!$C$15:$Z$107,17,0)</f>
        <v>0</v>
      </c>
      <c r="T86" s="1248"/>
      <c r="U86" s="1248"/>
      <c r="V86" s="1248">
        <f>VLOOKUP(D86,'TRẠM 1'!$C$15:$Z$107,20,0)</f>
        <v>0</v>
      </c>
      <c r="W86" s="1248"/>
      <c r="X86" s="1248"/>
      <c r="Y86" s="1248"/>
      <c r="Z86" s="1881">
        <f t="shared" si="12"/>
        <v>985508</v>
      </c>
      <c r="AA86" s="1471">
        <f t="shared" si="9"/>
        <v>8796980</v>
      </c>
      <c r="AB86" s="1472"/>
      <c r="AC86" s="1420">
        <f t="shared" si="6"/>
        <v>8796980</v>
      </c>
      <c r="AD86" s="242">
        <v>71</v>
      </c>
    </row>
    <row r="87" spans="1:30" s="242" customFormat="1" ht="27.75" customHeight="1">
      <c r="A87" s="1246">
        <v>72</v>
      </c>
      <c r="B87" s="1245">
        <v>72</v>
      </c>
      <c r="C87" s="320" t="str">
        <f>TONGHOPCONGDOI!B82</f>
        <v>03585</v>
      </c>
      <c r="D87" s="1247" t="str">
        <f>TONGHOPCONGDOI!C82</f>
        <v>Lắc Xa Mi</v>
      </c>
      <c r="E87" s="1243" t="s">
        <v>15</v>
      </c>
      <c r="F87" s="1252"/>
      <c r="G87" s="1248">
        <f t="shared" si="10"/>
        <v>0</v>
      </c>
      <c r="H87" s="1248">
        <f>VLOOKUP(D87,'TRẠM 1'!$C$15:$Y$107,6,0)</f>
        <v>4210</v>
      </c>
      <c r="I87" s="1248">
        <f>VLOOKUP(D87,'TRẠM 1'!$C$15:$Y$107,7,0)</f>
        <v>0</v>
      </c>
      <c r="J87" s="1248">
        <f>VLOOKUP(D87,'TRẠM 1'!$C$15:$Y$107,8,0)</f>
        <v>1789.3666201993597</v>
      </c>
      <c r="K87" s="1248">
        <f>VLOOKUP(D87,'TRẠM 1'!$C$15:$Y$107,9,0)</f>
        <v>230.7158578048352</v>
      </c>
      <c r="L87" s="1837">
        <f t="shared" si="11"/>
        <v>2020.0824780041949</v>
      </c>
      <c r="M87" s="1996" t="str">
        <f>VLOOKUP(D87,'TRẠM 1'!$C$15:$Y$107,11,0)</f>
        <v>A</v>
      </c>
      <c r="N87" s="1248">
        <f>VLOOKUP(D87,'TRẠM 1'!$C$15:$Y$107,12,0)</f>
        <v>7393502</v>
      </c>
      <c r="O87" s="1248">
        <f>VLOOKUP(D87,'TRẠM 1'!$C$15:$Y$107,13,0)</f>
        <v>27</v>
      </c>
      <c r="P87" s="1248">
        <f>VLOOKUP(D87,'TRẠM 1'!$C$15:$Y$107,14,0)</f>
        <v>4</v>
      </c>
      <c r="Q87" s="1248">
        <f>VLOOKUP(D87,'TRẠM 1'!$C$15:$Z$107,15,0)</f>
        <v>0</v>
      </c>
      <c r="R87" s="1248">
        <f>VLOOKUP(D87,'TRẠM 1'!$C$15:$Z$107,16,0)</f>
        <v>0</v>
      </c>
      <c r="S87" s="1248">
        <f>VLOOKUP(D87,'TRẠM 1'!$C$15:$Z$107,17,0)</f>
        <v>0</v>
      </c>
      <c r="T87" s="1248"/>
      <c r="U87" s="1248"/>
      <c r="V87" s="1248">
        <f>VLOOKUP(D87,'TRẠM 1'!$C$15:$Z$107,20,0)</f>
        <v>0</v>
      </c>
      <c r="W87" s="1248"/>
      <c r="X87" s="1248"/>
      <c r="Y87" s="1248"/>
      <c r="Z87" s="1881">
        <f t="shared" si="12"/>
        <v>1036874</v>
      </c>
      <c r="AA87" s="1471">
        <f t="shared" si="9"/>
        <v>8430376</v>
      </c>
      <c r="AB87" s="1472"/>
      <c r="AC87" s="1420">
        <f t="shared" si="6"/>
        <v>8430376</v>
      </c>
      <c r="AD87" s="242">
        <v>72</v>
      </c>
    </row>
    <row r="88" spans="1:30" s="242" customFormat="1" ht="27.75" customHeight="1">
      <c r="A88" s="1246">
        <v>73</v>
      </c>
      <c r="B88" s="1245">
        <v>73</v>
      </c>
      <c r="C88" s="320" t="str">
        <f>TONGHOPCONGDOI!B83</f>
        <v>04118</v>
      </c>
      <c r="D88" s="1247" t="str">
        <f>TONGHOPCONGDOI!C83</f>
        <v>A Xít</v>
      </c>
      <c r="E88" s="1243" t="s">
        <v>15</v>
      </c>
      <c r="F88" s="1252"/>
      <c r="G88" s="1248">
        <f t="shared" si="10"/>
        <v>0</v>
      </c>
      <c r="H88" s="1248">
        <f>VLOOKUP(D88,'TRẠM 1'!$C$15:$Y$107,6,0)</f>
        <v>2685</v>
      </c>
      <c r="I88" s="1248">
        <f>VLOOKUP(D88,'TRẠM 1'!$C$15:$Y$107,7,0)</f>
        <v>0</v>
      </c>
      <c r="J88" s="1248">
        <f>VLOOKUP(D88,'TRẠM 1'!$C$15:$Y$107,8,0)</f>
        <v>1141.1993765404466</v>
      </c>
      <c r="K88" s="1248">
        <f>VLOOKUP(D88,'TRẠM 1'!$C$15:$Y$107,9,0)</f>
        <v>147.14301145035213</v>
      </c>
      <c r="L88" s="1837">
        <f t="shared" si="11"/>
        <v>1288.3423879907987</v>
      </c>
      <c r="M88" s="1996" t="str">
        <f>VLOOKUP(D88,'TRẠM 1'!$C$15:$Y$107,11,0)</f>
        <v>B</v>
      </c>
      <c r="N88" s="1248">
        <f>VLOOKUP(D88,'TRẠM 1'!$C$15:$Y$107,12,0)</f>
        <v>4483432</v>
      </c>
      <c r="O88" s="1248">
        <f>VLOOKUP(D88,'TRẠM 1'!$C$15:$Y$107,13,0)</f>
        <v>16</v>
      </c>
      <c r="P88" s="1248">
        <f>VLOOKUP(D88,'TRẠM 1'!$C$15:$Y$107,14,0)</f>
        <v>2</v>
      </c>
      <c r="Q88" s="1248">
        <f>VLOOKUP(D88,'TRẠM 1'!$C$15:$Z$107,15,0)</f>
        <v>0</v>
      </c>
      <c r="R88" s="1248">
        <f>VLOOKUP(D88,'TRẠM 1'!$C$15:$Z$107,16,0)</f>
        <v>0</v>
      </c>
      <c r="S88" s="1248">
        <f>VLOOKUP(D88,'TRẠM 1'!$C$15:$Z$107,17,0)</f>
        <v>0</v>
      </c>
      <c r="T88" s="1248"/>
      <c r="U88" s="1248"/>
      <c r="V88" s="1248">
        <f>VLOOKUP(D88,'TRẠM 1'!$C$15:$Z$107,20,0)</f>
        <v>0</v>
      </c>
      <c r="W88" s="1248"/>
      <c r="X88" s="1248"/>
      <c r="Y88" s="1248"/>
      <c r="Z88" s="1881">
        <f t="shared" si="12"/>
        <v>595420</v>
      </c>
      <c r="AA88" s="1471">
        <f t="shared" si="9"/>
        <v>5078852</v>
      </c>
      <c r="AB88" s="1472"/>
      <c r="AC88" s="1420">
        <f t="shared" si="6"/>
        <v>5078852</v>
      </c>
      <c r="AD88" s="242">
        <v>73</v>
      </c>
    </row>
    <row r="89" spans="1:30" s="242" customFormat="1" ht="27.75" customHeight="1">
      <c r="A89" s="1246">
        <v>74</v>
      </c>
      <c r="B89" s="1245">
        <v>74</v>
      </c>
      <c r="C89" s="320" t="str">
        <f>TONGHOPCONGDOI!B84</f>
        <v>04119</v>
      </c>
      <c r="D89" s="1247" t="str">
        <f>TONGHOPCONGDOI!C84</f>
        <v>A. Nóc</v>
      </c>
      <c r="E89" s="1243" t="s">
        <v>15</v>
      </c>
      <c r="F89" s="1252"/>
      <c r="G89" s="1248">
        <f t="shared" si="10"/>
        <v>0</v>
      </c>
      <c r="H89" s="1248">
        <f>VLOOKUP(D89,'TRẠM 1'!$C$15:$Y$107,6,0)</f>
        <v>3660</v>
      </c>
      <c r="I89" s="1248">
        <f>VLOOKUP(D89,'TRẠM 1'!$C$15:$Y$107,7,0)</f>
        <v>0</v>
      </c>
      <c r="J89" s="1248">
        <f>VLOOKUP(D89,'TRẠM 1'!$C$15:$Y$107,8,0)</f>
        <v>1555.6013847813911</v>
      </c>
      <c r="K89" s="1248">
        <f>VLOOKUP(D89,'TRẠM 1'!$C$15:$Y$107,9,0)</f>
        <v>200.57483125075933</v>
      </c>
      <c r="L89" s="1837">
        <f t="shared" si="11"/>
        <v>1756.1762160321505</v>
      </c>
      <c r="M89" s="1996" t="str">
        <f>VLOOKUP(D89,'TRẠM 1'!$C$15:$Y$107,11,0)</f>
        <v>B</v>
      </c>
      <c r="N89" s="1248">
        <f>VLOOKUP(D89,'TRẠM 1'!$C$15:$Y$107,12,0)</f>
        <v>6111493</v>
      </c>
      <c r="O89" s="1248">
        <f>VLOOKUP(D89,'TRẠM 1'!$C$15:$Y$107,13,0)</f>
        <v>24</v>
      </c>
      <c r="P89" s="1248">
        <f>VLOOKUP(D89,'TRẠM 1'!$C$15:$Y$107,14,0)</f>
        <v>3</v>
      </c>
      <c r="Q89" s="1248">
        <f>VLOOKUP(D89,'TRẠM 1'!$C$15:$Z$107,15,0)</f>
        <v>0</v>
      </c>
      <c r="R89" s="1248">
        <f>VLOOKUP(D89,'TRẠM 1'!$C$15:$Z$107,16,0)</f>
        <v>0</v>
      </c>
      <c r="S89" s="1248">
        <f>VLOOKUP(D89,'TRẠM 1'!$C$15:$Z$107,17,0)</f>
        <v>0</v>
      </c>
      <c r="T89" s="1248"/>
      <c r="U89" s="1248"/>
      <c r="V89" s="1248">
        <f>VLOOKUP(D89,'TRẠM 1'!$C$15:$Z$107,20,0)</f>
        <v>0</v>
      </c>
      <c r="W89" s="1248"/>
      <c r="X89" s="1248"/>
      <c r="Y89" s="1248"/>
      <c r="Z89" s="1881">
        <f t="shared" si="12"/>
        <v>893129</v>
      </c>
      <c r="AA89" s="1471">
        <f t="shared" si="9"/>
        <v>7004622</v>
      </c>
      <c r="AB89" s="1472"/>
      <c r="AC89" s="1420">
        <f t="shared" si="6"/>
        <v>7004622</v>
      </c>
      <c r="AD89" s="242">
        <v>74</v>
      </c>
    </row>
    <row r="90" spans="1:30" s="242" customFormat="1" ht="27.75" customHeight="1">
      <c r="A90" s="1246">
        <v>75</v>
      </c>
      <c r="B90" s="1245">
        <v>75</v>
      </c>
      <c r="C90" s="320">
        <f>TONGHOPCONGDOI!B85</f>
        <v>0</v>
      </c>
      <c r="D90" s="1247" t="str">
        <f>TONGHOPCONGDOI!C85</f>
        <v>Nàng Keo (63)</v>
      </c>
      <c r="E90" s="1243" t="s">
        <v>15</v>
      </c>
      <c r="F90" s="1252"/>
      <c r="G90" s="1248">
        <f t="shared" si="10"/>
        <v>0</v>
      </c>
      <c r="H90" s="1248">
        <f>VLOOKUP(D90,'TRẠM 1'!$C$15:$Y$107,6,0)</f>
        <v>4034</v>
      </c>
      <c r="I90" s="1248">
        <f>VLOOKUP(D90,'TRẠM 1'!$C$15:$Y$107,7,0)</f>
        <v>0</v>
      </c>
      <c r="J90" s="1248">
        <f>VLOOKUP(D90,'TRẠM 1'!$C$15:$Y$107,8,0)</f>
        <v>1714.5617448656096</v>
      </c>
      <c r="K90" s="1248">
        <f>VLOOKUP(D90,'TRẠM 1'!$C$15:$Y$107,9,0)</f>
        <v>221.07072930753091</v>
      </c>
      <c r="L90" s="1837">
        <f t="shared" si="11"/>
        <v>1935.6324741731405</v>
      </c>
      <c r="M90" s="1996" t="str">
        <f>VLOOKUP(D90,'TRẠM 1'!$C$15:$Y$107,11,0)</f>
        <v>C.</v>
      </c>
      <c r="N90" s="1248">
        <f>VLOOKUP(D90,'TRẠM 1'!$C$15:$Y$107,12,0)</f>
        <v>6387587</v>
      </c>
      <c r="O90" s="1248">
        <f>VLOOKUP(D90,'TRẠM 1'!$C$15:$Y$107,13,0)</f>
        <v>20</v>
      </c>
      <c r="P90" s="1248">
        <f>VLOOKUP(D90,'TRẠM 1'!$C$15:$Y$107,14,0)</f>
        <v>2</v>
      </c>
      <c r="Q90" s="1248">
        <f>VLOOKUP(D90,'TRẠM 1'!$C$15:$Z$107,15,0)</f>
        <v>0</v>
      </c>
      <c r="R90" s="1248">
        <f>VLOOKUP(D90,'TRẠM 1'!$C$15:$Z$107,16,0)</f>
        <v>0</v>
      </c>
      <c r="S90" s="1248">
        <f>VLOOKUP(D90,'TRẠM 1'!$C$15:$Z$107,17,0)</f>
        <v>0</v>
      </c>
      <c r="T90" s="1248"/>
      <c r="U90" s="1248"/>
      <c r="V90" s="1248">
        <f>VLOOKUP(D90,'TRẠM 1'!$C$15:$Z$107,20,0)</f>
        <v>0</v>
      </c>
      <c r="W90" s="1248"/>
      <c r="X90" s="1248"/>
      <c r="Y90" s="1248"/>
      <c r="Z90" s="1881">
        <f t="shared" si="12"/>
        <v>718591</v>
      </c>
      <c r="AA90" s="1471">
        <f t="shared" si="9"/>
        <v>7106178</v>
      </c>
      <c r="AB90" s="1472"/>
      <c r="AC90" s="1420">
        <f t="shared" si="6"/>
        <v>7106178</v>
      </c>
      <c r="AD90" s="242">
        <v>75</v>
      </c>
    </row>
    <row r="91" spans="1:30" s="242" customFormat="1" ht="27.75" customHeight="1">
      <c r="A91" s="1246">
        <v>76</v>
      </c>
      <c r="B91" s="1245">
        <v>76</v>
      </c>
      <c r="C91" s="320">
        <f>TONGHOPCONGDOI!B86</f>
        <v>0</v>
      </c>
      <c r="D91" s="1247" t="str">
        <f>TONGHOPCONGDOI!C86</f>
        <v>avan</v>
      </c>
      <c r="E91" s="1243" t="s">
        <v>15</v>
      </c>
      <c r="F91" s="1252"/>
      <c r="G91" s="1248">
        <f t="shared" si="10"/>
        <v>0</v>
      </c>
      <c r="H91" s="1248">
        <f>VLOOKUP(D91,'TRẠM 1'!$C$15:$Y$107,6,0)</f>
        <v>3628</v>
      </c>
      <c r="I91" s="1248">
        <f>VLOOKUP(D91,'TRẠM 1'!$C$15:$Y$107,7,0)</f>
        <v>0</v>
      </c>
      <c r="J91" s="1248">
        <f>VLOOKUP(D91,'TRẠM 1'!$C$15:$Y$107,8,0)</f>
        <v>1542.0004983570727</v>
      </c>
      <c r="K91" s="1248">
        <f>VLOOKUP(D91,'TRẠM 1'!$C$15:$Y$107,9,0)</f>
        <v>198.82117152397674</v>
      </c>
      <c r="L91" s="1837">
        <f t="shared" si="11"/>
        <v>1740.8216698810495</v>
      </c>
      <c r="M91" s="1996" t="str">
        <f>VLOOKUP(D91,'TRẠM 1'!$C$15:$Y$107,11,0)</f>
        <v>C.</v>
      </c>
      <c r="N91" s="1248">
        <f>VLOOKUP(D91,'TRẠM 1'!$C$15:$Y$107,12,0)</f>
        <v>5744712</v>
      </c>
      <c r="O91" s="1248">
        <f>VLOOKUP(D91,'TRẠM 1'!$C$15:$Y$107,13,0)</f>
        <v>18</v>
      </c>
      <c r="P91" s="1248">
        <f>VLOOKUP(D91,'TRẠM 1'!$C$15:$Y$107,14,0)</f>
        <v>1</v>
      </c>
      <c r="Q91" s="1248">
        <f>VLOOKUP(D91,'TRẠM 1'!$C$15:$Z$107,15,0)</f>
        <v>0</v>
      </c>
      <c r="R91" s="1248">
        <f>VLOOKUP(D91,'TRẠM 1'!$C$15:$Z$107,16,0)</f>
        <v>0</v>
      </c>
      <c r="S91" s="1248">
        <f>VLOOKUP(D91,'TRẠM 1'!$C$15:$Z$107,17,0)</f>
        <v>0</v>
      </c>
      <c r="T91" s="1248"/>
      <c r="U91" s="1248"/>
      <c r="V91" s="1248">
        <f>VLOOKUP(D91,'TRẠM 1'!$C$15:$Z$107,20,0)</f>
        <v>0</v>
      </c>
      <c r="W91" s="1248"/>
      <c r="X91" s="1248"/>
      <c r="Y91" s="1248"/>
      <c r="Z91" s="1881">
        <f t="shared" si="12"/>
        <v>605639</v>
      </c>
      <c r="AA91" s="1471">
        <f t="shared" si="9"/>
        <v>6350351</v>
      </c>
      <c r="AB91" s="1472"/>
      <c r="AC91" s="1420">
        <f t="shared" si="6"/>
        <v>6350351</v>
      </c>
      <c r="AD91" s="242">
        <v>76</v>
      </c>
    </row>
    <row r="92" spans="1:30" s="242" customFormat="1" ht="27.75" customHeight="1">
      <c r="A92" s="1246">
        <v>77</v>
      </c>
      <c r="B92" s="1245">
        <v>77</v>
      </c>
      <c r="C92" s="320">
        <f>TONGHOPCONGDOI!B87</f>
        <v>0</v>
      </c>
      <c r="D92" s="1247" t="str">
        <f>TONGHOPCONGDOI!C87</f>
        <v>A thít</v>
      </c>
      <c r="E92" s="1243" t="s">
        <v>15</v>
      </c>
      <c r="F92" s="1252"/>
      <c r="G92" s="1248">
        <f t="shared" si="10"/>
        <v>0</v>
      </c>
      <c r="H92" s="1248">
        <f>VLOOKUP(D92,'TRẠM 1'!$C$15:$Y$107,6,0)</f>
        <v>2204</v>
      </c>
      <c r="I92" s="1248">
        <f>VLOOKUP(D92,'TRẠM 1'!$C$15:$Y$107,7,0)</f>
        <v>0</v>
      </c>
      <c r="J92" s="1248">
        <f>VLOOKUP(D92,'TRẠM 1'!$C$15:$Y$107,8,0)</f>
        <v>936.7610524749141</v>
      </c>
      <c r="K92" s="1248">
        <f>VLOOKUP(D92,'TRẠM 1'!$C$15:$Y$107,9,0)</f>
        <v>120.78331368215125</v>
      </c>
      <c r="L92" s="1837">
        <f t="shared" si="11"/>
        <v>1057.5443661570653</v>
      </c>
      <c r="M92" s="1996" t="str">
        <f>VLOOKUP(D92,'TRẠM 1'!$C$15:$Y$107,11,0)</f>
        <v>C.</v>
      </c>
      <c r="N92" s="1248">
        <f>VLOOKUP(D92,'TRẠM 1'!$C$15:$Y$107,12,0)</f>
        <v>3489896</v>
      </c>
      <c r="O92" s="1248">
        <f>VLOOKUP(D92,'TRẠM 1'!$C$15:$Y$107,13,0)</f>
        <v>14</v>
      </c>
      <c r="P92" s="1248">
        <f>VLOOKUP(D92,'TRẠM 1'!$C$15:$Y$107,14,0)</f>
        <v>1</v>
      </c>
      <c r="Q92" s="1248">
        <f>VLOOKUP(D92,'TRẠM 1'!$C$15:$Z$107,15,0)</f>
        <v>0</v>
      </c>
      <c r="R92" s="1248">
        <f>VLOOKUP(D92,'TRẠM 1'!$C$15:$Z$107,16,0)</f>
        <v>0</v>
      </c>
      <c r="S92" s="1248">
        <f>VLOOKUP(D92,'TRẠM 1'!$C$15:$Z$107,17,0)</f>
        <v>0</v>
      </c>
      <c r="T92" s="1248"/>
      <c r="U92" s="1248"/>
      <c r="V92" s="1248">
        <f>VLOOKUP(D92,'TRẠM 1'!$C$15:$Z$107,20,0)</f>
        <v>0</v>
      </c>
      <c r="W92" s="1248"/>
      <c r="X92" s="1248"/>
      <c r="Y92" s="1248"/>
      <c r="Z92" s="1881">
        <f t="shared" si="12"/>
        <v>482468</v>
      </c>
      <c r="AA92" s="1471">
        <f t="shared" si="9"/>
        <v>3972364</v>
      </c>
      <c r="AB92" s="1472"/>
      <c r="AC92" s="1420">
        <f t="shared" si="6"/>
        <v>3972364</v>
      </c>
      <c r="AD92" s="242">
        <v>77</v>
      </c>
    </row>
    <row r="93" spans="1:30" s="242" customFormat="1" ht="27.75" customHeight="1">
      <c r="A93" s="1246">
        <v>78</v>
      </c>
      <c r="B93" s="1245">
        <v>78</v>
      </c>
      <c r="C93" s="320">
        <f>TONGHOPCONGDOI!B88</f>
        <v>0</v>
      </c>
      <c r="D93" s="1247" t="str">
        <f>TONGHOPCONGDOI!C88</f>
        <v>Món</v>
      </c>
      <c r="E93" s="1243" t="s">
        <v>15</v>
      </c>
      <c r="F93" s="1252"/>
      <c r="G93" s="1248">
        <f t="shared" si="10"/>
        <v>0</v>
      </c>
      <c r="H93" s="1248">
        <f>VLOOKUP(D93,'TRẠM 1'!$C$15:$Y$107,6,0)</f>
        <v>921</v>
      </c>
      <c r="I93" s="1248">
        <f>VLOOKUP(D93,'TRẠM 1'!$C$15:$Y$107,7,0)</f>
        <v>0</v>
      </c>
      <c r="J93" s="1248">
        <f>VLOOKUP(D93,'TRẠM 1'!$C$15:$Y$107,8,0)</f>
        <v>391.45051239990738</v>
      </c>
      <c r="K93" s="1248">
        <f>VLOOKUP(D93,'TRẠM 1'!$C$15:$Y$107,9,0)</f>
        <v>50.472519011461571</v>
      </c>
      <c r="L93" s="1837">
        <f t="shared" si="11"/>
        <v>441.92303141136892</v>
      </c>
      <c r="M93" s="1996" t="str">
        <f>VLOOKUP(D93,'TRẠM 1'!$C$15:$Y$107,11,0)</f>
        <v>C.</v>
      </c>
      <c r="N93" s="1248">
        <f>VLOOKUP(D93,'TRẠM 1'!$C$15:$Y$107,12,0)</f>
        <v>1458346</v>
      </c>
      <c r="O93" s="1248">
        <f>VLOOKUP(D93,'TRẠM 1'!$C$15:$Y$107,13,0)</f>
        <v>9</v>
      </c>
      <c r="P93" s="1248">
        <f>VLOOKUP(D93,'TRẠM 1'!$C$15:$Y$107,14,0)</f>
        <v>2</v>
      </c>
      <c r="Q93" s="1248">
        <f>VLOOKUP(D93,'TRẠM 1'!$C$15:$Z$107,15,0)</f>
        <v>0</v>
      </c>
      <c r="R93" s="1248">
        <f>VLOOKUP(D93,'TRẠM 1'!$C$15:$Z$107,16,0)</f>
        <v>0</v>
      </c>
      <c r="S93" s="1248">
        <f>VLOOKUP(D93,'TRẠM 1'!$C$15:$Z$107,17,0)</f>
        <v>0</v>
      </c>
      <c r="T93" s="1248"/>
      <c r="U93" s="1248"/>
      <c r="V93" s="1248">
        <f>VLOOKUP(D93,'TRẠM 1'!$C$15:$Z$107,20,0)</f>
        <v>0</v>
      </c>
      <c r="W93" s="1248"/>
      <c r="X93" s="1248"/>
      <c r="Y93" s="1248"/>
      <c r="Z93" s="1881">
        <f t="shared" si="12"/>
        <v>379869</v>
      </c>
      <c r="AA93" s="1471">
        <f t="shared" si="9"/>
        <v>1838215</v>
      </c>
      <c r="AB93" s="1472"/>
      <c r="AC93" s="1420">
        <f t="shared" si="6"/>
        <v>1838215</v>
      </c>
      <c r="AD93" s="242">
        <v>78</v>
      </c>
    </row>
    <row r="94" spans="1:30" s="242" customFormat="1" ht="27.75" customHeight="1">
      <c r="A94" s="1246">
        <v>79</v>
      </c>
      <c r="B94" s="1245">
        <v>79</v>
      </c>
      <c r="C94" s="320">
        <f>TONGHOPCONGDOI!B89</f>
        <v>0</v>
      </c>
      <c r="D94" s="1247" t="str">
        <f>TONGHOPCONGDOI!C89</f>
        <v>A tèng</v>
      </c>
      <c r="E94" s="1243" t="s">
        <v>15</v>
      </c>
      <c r="F94" s="1252"/>
      <c r="G94" s="1248">
        <f t="shared" si="10"/>
        <v>0</v>
      </c>
      <c r="H94" s="1248">
        <f>VLOOKUP(D94,'TRẠM 1'!$C$15:$Y$107,6,0)</f>
        <v>422</v>
      </c>
      <c r="I94" s="1248">
        <f>VLOOKUP(D94,'TRẠM 1'!$C$15:$Y$107,7,0)</f>
        <v>0</v>
      </c>
      <c r="J94" s="1248">
        <f>VLOOKUP(D94,'TRẠM 1'!$C$15:$Y$107,8,0)</f>
        <v>179.36168972069589</v>
      </c>
      <c r="K94" s="1248">
        <f>VLOOKUP(D94,'TRẠM 1'!$C$15:$Y$107,9,0)</f>
        <v>23.126387646945474</v>
      </c>
      <c r="L94" s="1837">
        <f t="shared" si="11"/>
        <v>202.48807736764138</v>
      </c>
      <c r="M94" s="1996" t="str">
        <f>VLOOKUP(D94,'TRẠM 1'!$C$15:$Y$107,11,0)</f>
        <v>C.</v>
      </c>
      <c r="N94" s="1248">
        <f>VLOOKUP(D94,'TRẠM 1'!$C$15:$Y$107,12,0)</f>
        <v>668211</v>
      </c>
      <c r="O94" s="1248">
        <f>VLOOKUP(D94,'TRẠM 1'!$C$15:$Y$107,13,0)</f>
        <v>9</v>
      </c>
      <c r="P94" s="1248">
        <f>VLOOKUP(D94,'TRẠM 1'!$C$15:$Y$107,14,0)</f>
        <v>0</v>
      </c>
      <c r="Q94" s="1248">
        <f>VLOOKUP(D94,'TRẠM 1'!$C$15:$Z$107,15,0)</f>
        <v>0</v>
      </c>
      <c r="R94" s="1248">
        <f>VLOOKUP(D94,'TRẠM 1'!$C$15:$Z$107,16,0)</f>
        <v>0</v>
      </c>
      <c r="S94" s="1248">
        <f>VLOOKUP(D94,'TRẠM 1'!$C$15:$Z$107,17,0)</f>
        <v>0</v>
      </c>
      <c r="T94" s="1248"/>
      <c r="U94" s="1248"/>
      <c r="V94" s="1248">
        <f>VLOOKUP(D94,'TRẠM 1'!$C$15:$Z$107,20,0)</f>
        <v>0</v>
      </c>
      <c r="W94" s="1248"/>
      <c r="X94" s="1248"/>
      <c r="Y94" s="1248"/>
      <c r="Z94" s="1881">
        <f t="shared" si="12"/>
        <v>277137</v>
      </c>
      <c r="AA94" s="1471">
        <f t="shared" si="9"/>
        <v>945348</v>
      </c>
      <c r="AB94" s="1472"/>
      <c r="AC94" s="1420">
        <f t="shared" si="6"/>
        <v>945348</v>
      </c>
      <c r="AD94" s="242">
        <v>79</v>
      </c>
    </row>
    <row r="95" spans="1:30" s="242" customFormat="1" ht="27.75" customHeight="1">
      <c r="A95" s="1246">
        <v>80</v>
      </c>
      <c r="B95" s="1245">
        <v>80</v>
      </c>
      <c r="C95" s="320">
        <f>TONGHOPCONGDOI!B90</f>
        <v>0</v>
      </c>
      <c r="D95" s="1247" t="str">
        <f>TONGHOPCONGDOI!C90</f>
        <v xml:space="preserve">Đao </v>
      </c>
      <c r="E95" s="1243" t="s">
        <v>15</v>
      </c>
      <c r="F95" s="1252"/>
      <c r="G95" s="1248">
        <f t="shared" si="10"/>
        <v>0</v>
      </c>
      <c r="H95" s="1248">
        <f>VLOOKUP(D95,'TRẠM 1'!$C$15:$Y$107,6,0)</f>
        <v>175</v>
      </c>
      <c r="I95" s="1248">
        <f>VLOOKUP(D95,'TRẠM 1'!$C$15:$Y$107,7,0)</f>
        <v>0</v>
      </c>
      <c r="J95" s="1248">
        <f>VLOOKUP(D95,'TRẠM 1'!$C$15:$Y$107,8,0)</f>
        <v>74.379847632990007</v>
      </c>
      <c r="K95" s="1248">
        <f>VLOOKUP(D95,'TRẠM 1'!$C$15:$Y$107,9,0)</f>
        <v>9.5903266308423181</v>
      </c>
      <c r="L95" s="1837">
        <f t="shared" si="11"/>
        <v>83.97017426383232</v>
      </c>
      <c r="M95" s="1996" t="str">
        <f>VLOOKUP(D95,'TRẠM 1'!$C$15:$Y$107,11,0)</f>
        <v>C.</v>
      </c>
      <c r="N95" s="1248">
        <f>VLOOKUP(D95,'TRẠM 1'!$C$15:$Y$107,12,0)</f>
        <v>277102</v>
      </c>
      <c r="O95" s="1248">
        <f>VLOOKUP(D95,'TRẠM 1'!$C$15:$Y$107,13,0)</f>
        <v>5</v>
      </c>
      <c r="P95" s="1248">
        <f>VLOOKUP(D95,'TRẠM 1'!$C$15:$Y$107,14,0)</f>
        <v>0</v>
      </c>
      <c r="Q95" s="1248">
        <f>VLOOKUP(D95,'TRẠM 1'!$C$15:$Z$107,15,0)</f>
        <v>0</v>
      </c>
      <c r="R95" s="1248">
        <f>VLOOKUP(D95,'TRẠM 1'!$C$15:$Z$107,16,0)</f>
        <v>0</v>
      </c>
      <c r="S95" s="1248">
        <f>VLOOKUP(D95,'TRẠM 1'!$C$15:$Z$107,17,0)</f>
        <v>0</v>
      </c>
      <c r="T95" s="1248"/>
      <c r="U95" s="1248"/>
      <c r="V95" s="1248">
        <f>VLOOKUP(D95,'TRẠM 1'!$C$15:$Z$107,20,0)</f>
        <v>0</v>
      </c>
      <c r="W95" s="1248"/>
      <c r="X95" s="1248"/>
      <c r="Y95" s="1248"/>
      <c r="Z95" s="1881">
        <f t="shared" si="12"/>
        <v>153965</v>
      </c>
      <c r="AA95" s="1471">
        <f t="shared" si="9"/>
        <v>431067</v>
      </c>
      <c r="AB95" s="1472"/>
      <c r="AC95" s="1420">
        <f t="shared" si="6"/>
        <v>431067</v>
      </c>
      <c r="AD95" s="242">
        <v>80</v>
      </c>
    </row>
    <row r="96" spans="1:30" s="242" customFormat="1" ht="27.75" customHeight="1">
      <c r="A96" s="1246">
        <v>81</v>
      </c>
      <c r="B96" s="1245">
        <v>81</v>
      </c>
      <c r="C96" s="320">
        <f>TONGHOPCONGDOI!B91</f>
        <v>0</v>
      </c>
      <c r="D96" s="1247" t="str">
        <f>TONGHOPCONGDOI!C91</f>
        <v>Lôn</v>
      </c>
      <c r="E96" s="1243" t="s">
        <v>15</v>
      </c>
      <c r="F96" s="1252"/>
      <c r="G96" s="1248">
        <f t="shared" si="10"/>
        <v>0</v>
      </c>
      <c r="H96" s="1248">
        <f>VLOOKUP(D96,'TRẠM 1'!$C$15:$Y$107,6,0)</f>
        <v>0</v>
      </c>
      <c r="I96" s="1248">
        <f>VLOOKUP(D96,'TRẠM 1'!$C$15:$Y$107,7,0)</f>
        <v>0</v>
      </c>
      <c r="J96" s="1248">
        <f>VLOOKUP(D96,'TRẠM 1'!$C$15:$Y$107,8,0)</f>
        <v>0</v>
      </c>
      <c r="K96" s="1248">
        <f>VLOOKUP(D96,'TRẠM 1'!$C$15:$Y$107,9,0)</f>
        <v>0</v>
      </c>
      <c r="L96" s="1837">
        <f t="shared" si="11"/>
        <v>0</v>
      </c>
      <c r="M96" s="1996">
        <f>VLOOKUP(D96,'TRẠM 1'!$C$15:$Y$107,11,0)</f>
        <v>0</v>
      </c>
      <c r="N96" s="1248">
        <f>VLOOKUP(D96,'TRẠM 1'!$C$15:$Y$107,12,0)</f>
        <v>0</v>
      </c>
      <c r="O96" s="1248">
        <f>VLOOKUP(D96,'TRẠM 1'!$C$15:$Y$107,13,0)</f>
        <v>1</v>
      </c>
      <c r="P96" s="1248">
        <f>VLOOKUP(D96,'TRẠM 1'!$C$15:$Y$107,14,0)</f>
        <v>0</v>
      </c>
      <c r="Q96" s="1248">
        <f>VLOOKUP(D96,'TRẠM 1'!$C$15:$Z$107,15,0)</f>
        <v>0</v>
      </c>
      <c r="R96" s="1248">
        <f>VLOOKUP(D96,'TRẠM 1'!$C$15:$Z$107,16,0)</f>
        <v>0</v>
      </c>
      <c r="S96" s="1248">
        <f>VLOOKUP(D96,'TRẠM 1'!$C$15:$Z$107,17,0)</f>
        <v>0</v>
      </c>
      <c r="T96" s="1248"/>
      <c r="U96" s="1248"/>
      <c r="V96" s="1248">
        <f>VLOOKUP(D96,'TRẠM 1'!$C$15:$Z$107,20,0)</f>
        <v>0</v>
      </c>
      <c r="W96" s="1248"/>
      <c r="X96" s="1248"/>
      <c r="Y96" s="1248"/>
      <c r="Z96" s="1881">
        <f t="shared" si="12"/>
        <v>30793</v>
      </c>
      <c r="AA96" s="1471">
        <f t="shared" si="9"/>
        <v>30793</v>
      </c>
      <c r="AB96" s="1472"/>
      <c r="AC96" s="1420">
        <f t="shared" si="6"/>
        <v>30793</v>
      </c>
      <c r="AD96" s="242">
        <v>81</v>
      </c>
    </row>
    <row r="97" spans="1:30" s="242" customFormat="1" ht="27.75" customHeight="1">
      <c r="A97" s="1246">
        <v>82</v>
      </c>
      <c r="B97" s="1245">
        <v>82</v>
      </c>
      <c r="C97" s="320">
        <f>TONGHOPCONGDOI!B92</f>
        <v>0</v>
      </c>
      <c r="D97" s="1247" t="str">
        <f>TONGHOPCONGDOI!C92</f>
        <v>Phay A</v>
      </c>
      <c r="E97" s="1243" t="s">
        <v>15</v>
      </c>
      <c r="F97" s="1252"/>
      <c r="G97" s="1248">
        <f t="shared" si="10"/>
        <v>0</v>
      </c>
      <c r="H97" s="1248">
        <f>VLOOKUP(D97,'TRẠM 1'!$C$15:$Y$107,6,0)</f>
        <v>0</v>
      </c>
      <c r="I97" s="1248">
        <f>VLOOKUP(D97,'TRẠM 1'!$C$15:$Y$107,7,0)</f>
        <v>0</v>
      </c>
      <c r="J97" s="1248">
        <f>VLOOKUP(D97,'TRẠM 1'!$C$15:$Y$107,8,0)</f>
        <v>0</v>
      </c>
      <c r="K97" s="1248">
        <f>VLOOKUP(D97,'TRẠM 1'!$C$15:$Y$107,9,0)</f>
        <v>0</v>
      </c>
      <c r="L97" s="1837">
        <f t="shared" si="11"/>
        <v>0</v>
      </c>
      <c r="M97" s="1996">
        <f>VLOOKUP(D97,'TRẠM 1'!$C$15:$Y$107,11,0)</f>
        <v>0</v>
      </c>
      <c r="N97" s="1248">
        <f>VLOOKUP(D97,'TRẠM 1'!$C$15:$Y$107,12,0)</f>
        <v>0</v>
      </c>
      <c r="O97" s="1248">
        <f>VLOOKUP(D97,'TRẠM 1'!$C$15:$Y$107,13,0)</f>
        <v>0</v>
      </c>
      <c r="P97" s="1248">
        <f>VLOOKUP(D97,'TRẠM 1'!$C$15:$Y$107,14,0)</f>
        <v>0</v>
      </c>
      <c r="Q97" s="1248">
        <f>VLOOKUP(D97,'TRẠM 1'!$C$15:$Z$107,15,0)</f>
        <v>0</v>
      </c>
      <c r="R97" s="1248">
        <f>VLOOKUP(D97,'TRẠM 1'!$C$15:$Z$107,16,0)</f>
        <v>0</v>
      </c>
      <c r="S97" s="1248">
        <f>VLOOKUP(D97,'TRẠM 1'!$C$15:$Z$107,17,0)</f>
        <v>0</v>
      </c>
      <c r="T97" s="1248"/>
      <c r="U97" s="1248"/>
      <c r="V97" s="1248">
        <f>VLOOKUP(D97,'TRẠM 1'!$C$15:$Z$107,20,0)</f>
        <v>0</v>
      </c>
      <c r="W97" s="1248"/>
      <c r="X97" s="1248"/>
      <c r="Y97" s="1248"/>
      <c r="Z97" s="1881">
        <f t="shared" si="12"/>
        <v>0</v>
      </c>
      <c r="AA97" s="1471">
        <f t="shared" si="9"/>
        <v>0</v>
      </c>
      <c r="AB97" s="1472"/>
      <c r="AC97" s="1420">
        <f t="shared" si="6"/>
        <v>0</v>
      </c>
      <c r="AD97" s="242">
        <v>82</v>
      </c>
    </row>
    <row r="98" spans="1:30" s="242" customFormat="1" ht="27.75" customHeight="1">
      <c r="A98" s="1246">
        <v>83</v>
      </c>
      <c r="B98" s="1245">
        <v>83</v>
      </c>
      <c r="C98" s="320">
        <f>TONGHOPCONGDOI!B93</f>
        <v>0</v>
      </c>
      <c r="D98" s="1247" t="str">
        <f>TONGHOPCONGDOI!C93</f>
        <v>Chày A</v>
      </c>
      <c r="E98" s="1243" t="s">
        <v>15</v>
      </c>
      <c r="F98" s="1252"/>
      <c r="G98" s="1248">
        <f t="shared" si="10"/>
        <v>0</v>
      </c>
      <c r="H98" s="1248">
        <f>VLOOKUP(D98,'TRẠM 1'!$C$15:$Y$107,6,0)</f>
        <v>0</v>
      </c>
      <c r="I98" s="1248">
        <f>VLOOKUP(D98,'TRẠM 1'!$C$15:$Y$107,7,0)</f>
        <v>0</v>
      </c>
      <c r="J98" s="1248">
        <f>VLOOKUP(D98,'TRẠM 1'!$C$15:$Y$107,8,0)</f>
        <v>0</v>
      </c>
      <c r="K98" s="1248">
        <f>VLOOKUP(D98,'TRẠM 1'!$C$15:$Y$107,9,0)</f>
        <v>0</v>
      </c>
      <c r="L98" s="1837">
        <f t="shared" si="11"/>
        <v>0</v>
      </c>
      <c r="M98" s="1996">
        <f>VLOOKUP(D98,'TRẠM 1'!$C$15:$Y$107,11,0)</f>
        <v>0</v>
      </c>
      <c r="N98" s="1248">
        <f>VLOOKUP(D98,'TRẠM 1'!$C$15:$Y$107,12,0)</f>
        <v>0</v>
      </c>
      <c r="O98" s="1248">
        <f>VLOOKUP(D98,'TRẠM 1'!$C$15:$Y$107,13,0)</f>
        <v>0</v>
      </c>
      <c r="P98" s="1248">
        <f>VLOOKUP(D98,'TRẠM 1'!$C$15:$Y$107,14,0)</f>
        <v>0</v>
      </c>
      <c r="Q98" s="1248">
        <f>VLOOKUP(D98,'TRẠM 1'!$C$15:$Z$107,15,0)</f>
        <v>0</v>
      </c>
      <c r="R98" s="1248">
        <f>VLOOKUP(D98,'TRẠM 1'!$C$15:$Z$107,16,0)</f>
        <v>0</v>
      </c>
      <c r="S98" s="1248">
        <f>VLOOKUP(D98,'TRẠM 1'!$C$15:$Z$107,17,0)</f>
        <v>0</v>
      </c>
      <c r="T98" s="1248"/>
      <c r="U98" s="1248"/>
      <c r="V98" s="1248">
        <f>VLOOKUP(D98,'TRẠM 1'!$C$15:$Z$107,20,0)</f>
        <v>0</v>
      </c>
      <c r="W98" s="1248"/>
      <c r="X98" s="1248"/>
      <c r="Y98" s="1248"/>
      <c r="Z98" s="1881">
        <f t="shared" si="12"/>
        <v>0</v>
      </c>
      <c r="AA98" s="1471">
        <f t="shared" si="9"/>
        <v>0</v>
      </c>
      <c r="AB98" s="1472"/>
      <c r="AC98" s="1420">
        <f t="shared" si="6"/>
        <v>0</v>
      </c>
      <c r="AD98" s="242">
        <v>83</v>
      </c>
    </row>
    <row r="99" spans="1:30" s="242" customFormat="1" ht="27.75" customHeight="1">
      <c r="A99" s="1246">
        <v>84</v>
      </c>
      <c r="B99" s="1245">
        <v>84</v>
      </c>
      <c r="C99" s="320">
        <f>TONGHOPCONGDOI!B94</f>
        <v>0</v>
      </c>
      <c r="D99" s="1247" t="str">
        <f>TONGHOPCONGDOI!C94</f>
        <v>MayA</v>
      </c>
      <c r="E99" s="1243" t="s">
        <v>15</v>
      </c>
      <c r="F99" s="1252"/>
      <c r="G99" s="1248">
        <f t="shared" si="10"/>
        <v>0</v>
      </c>
      <c r="H99" s="1248">
        <f>VLOOKUP(D99,'TRẠM 1'!$C$15:$Y$107,6,0)</f>
        <v>0</v>
      </c>
      <c r="I99" s="1248">
        <f>VLOOKUP(D99,'TRẠM 1'!$C$15:$Y$107,7,0)</f>
        <v>0</v>
      </c>
      <c r="J99" s="1248">
        <f>VLOOKUP(D99,'TRẠM 1'!$C$15:$Y$107,8,0)</f>
        <v>0</v>
      </c>
      <c r="K99" s="1248">
        <f>VLOOKUP(D99,'TRẠM 1'!$C$15:$Y$107,9,0)</f>
        <v>0</v>
      </c>
      <c r="L99" s="1837">
        <f t="shared" si="11"/>
        <v>0</v>
      </c>
      <c r="M99" s="1996">
        <f>VLOOKUP(D99,'TRẠM 1'!$C$15:$Y$107,11,0)</f>
        <v>0</v>
      </c>
      <c r="N99" s="1248">
        <f>VLOOKUP(D99,'TRẠM 1'!$C$15:$Y$107,12,0)</f>
        <v>0</v>
      </c>
      <c r="O99" s="1248">
        <f>VLOOKUP(D99,'TRẠM 1'!$C$15:$Y$107,13,0)</f>
        <v>0</v>
      </c>
      <c r="P99" s="1248">
        <f>VLOOKUP(D99,'TRẠM 1'!$C$15:$Y$107,14,0)</f>
        <v>0</v>
      </c>
      <c r="Q99" s="1248">
        <f>VLOOKUP(D99,'TRẠM 1'!$C$15:$Z$107,15,0)</f>
        <v>0</v>
      </c>
      <c r="R99" s="1248">
        <f>VLOOKUP(D99,'TRẠM 1'!$C$15:$Z$107,16,0)</f>
        <v>0</v>
      </c>
      <c r="S99" s="1248">
        <f>VLOOKUP(D99,'TRẠM 1'!$C$15:$Z$107,17,0)</f>
        <v>0</v>
      </c>
      <c r="T99" s="1248"/>
      <c r="U99" s="1248"/>
      <c r="V99" s="1248">
        <f>VLOOKUP(D99,'TRẠM 1'!$C$15:$Z$107,20,0)</f>
        <v>0</v>
      </c>
      <c r="W99" s="1248"/>
      <c r="X99" s="1248"/>
      <c r="Y99" s="1248"/>
      <c r="Z99" s="1881">
        <f t="shared" si="12"/>
        <v>0</v>
      </c>
      <c r="AA99" s="1471">
        <f t="shared" si="9"/>
        <v>0</v>
      </c>
      <c r="AB99" s="1472"/>
      <c r="AC99" s="1420">
        <f t="shared" si="6"/>
        <v>0</v>
      </c>
      <c r="AD99" s="242">
        <v>84</v>
      </c>
    </row>
    <row r="100" spans="1:30" s="242" customFormat="1" ht="27.75" customHeight="1">
      <c r="A100" s="1246">
        <v>85</v>
      </c>
      <c r="B100" s="1245">
        <v>85</v>
      </c>
      <c r="C100" s="320">
        <f>TONGHOPCONGDOI!B95</f>
        <v>0</v>
      </c>
      <c r="D100" s="1247" t="str">
        <f>TONGHOPCONGDOI!C95</f>
        <v>Mủ sirum</v>
      </c>
      <c r="E100" s="1243" t="s">
        <v>15</v>
      </c>
      <c r="F100" s="1252"/>
      <c r="G100" s="1248">
        <f t="shared" si="10"/>
        <v>0</v>
      </c>
      <c r="H100" s="1248"/>
      <c r="I100" s="1248">
        <f>VLOOKUP(D100,'TRẠM 1'!$C$15:$Y$107,7,0)</f>
        <v>910</v>
      </c>
      <c r="J100" s="1248">
        <f>VLOOKUP(D100,'TRẠM 1'!$C$15:$Y$107,8,0)</f>
        <v>475.76400000000001</v>
      </c>
      <c r="K100" s="1248"/>
      <c r="L100" s="1837">
        <f t="shared" si="11"/>
        <v>475.76400000000001</v>
      </c>
      <c r="M100" s="1996" t="str">
        <f>VLOOKUP(D100,'TRẠM 1'!$C$15:$Y$107,11,0)</f>
        <v>A</v>
      </c>
      <c r="N100" s="1248">
        <f>VLOOKUP(D100,'TRẠM 1'!$C$15:$Y$107,12,0)</f>
        <v>1741296</v>
      </c>
      <c r="O100" s="1248">
        <f>VLOOKUP(D100,'TRẠM 1'!$C$15:$Y$107,13,0)</f>
        <v>0</v>
      </c>
      <c r="P100" s="1248">
        <f>VLOOKUP(D100,'TRẠM 1'!$C$15:$Y$107,14,0)</f>
        <v>0</v>
      </c>
      <c r="Q100" s="1248">
        <f>VLOOKUP(D100,'TRẠM 1'!$C$15:$Z$107,13,0)</f>
        <v>0</v>
      </c>
      <c r="R100" s="1248">
        <f>VLOOKUP(D100,'TRẠM 1'!$C$15:$Z$107,14,0)</f>
        <v>0</v>
      </c>
      <c r="S100" s="1248">
        <f>VLOOKUP(D100,'TRẠM 1'!$C$15:$Z$107,17,0)</f>
        <v>0</v>
      </c>
      <c r="T100" s="1248"/>
      <c r="U100" s="1248"/>
      <c r="V100" s="1248">
        <f>VLOOKUP(D100,'TRẠM 1'!$C$15:$Z$107,18,0)</f>
        <v>0</v>
      </c>
      <c r="W100" s="1248"/>
      <c r="X100" s="1248"/>
      <c r="Y100" s="1248"/>
      <c r="Z100" s="1881">
        <f t="shared" si="12"/>
        <v>0</v>
      </c>
      <c r="AA100" s="1471">
        <f t="shared" si="9"/>
        <v>1741296</v>
      </c>
      <c r="AB100" s="1472"/>
      <c r="AC100" s="1420">
        <f t="shared" si="6"/>
        <v>1741296</v>
      </c>
      <c r="AD100" s="242">
        <v>85</v>
      </c>
    </row>
    <row r="101" spans="1:30" s="242" customFormat="1" ht="27.75" customHeight="1">
      <c r="A101" s="1246">
        <v>86</v>
      </c>
      <c r="B101" s="1245">
        <v>86</v>
      </c>
      <c r="C101" s="1332"/>
      <c r="D101" s="1247" t="str">
        <f>TONGHOPCONGDOI!C96</f>
        <v>Say ủi</v>
      </c>
      <c r="E101" s="1243" t="s">
        <v>1713</v>
      </c>
      <c r="F101" s="1252"/>
      <c r="G101" s="1248">
        <f t="shared" ref="G101:G106" si="13">F101*25000</f>
        <v>0</v>
      </c>
      <c r="H101" s="1248"/>
      <c r="I101" s="1248"/>
      <c r="J101" s="1248"/>
      <c r="K101" s="1840"/>
      <c r="L101" s="1840"/>
      <c r="M101" s="1996"/>
      <c r="N101" s="1248"/>
      <c r="O101" s="1248">
        <f>VLOOKUP(D101,'TRẠM 1'!$C$15:$Y$107,11,0)</f>
        <v>0</v>
      </c>
      <c r="P101" s="1248">
        <f>VLOOKUP(D101,'TRẠM 1'!$C$15:$Y$107,12,0)</f>
        <v>0</v>
      </c>
      <c r="Q101" s="1248">
        <f>VLOOKUP(D101,'TRẠM 1'!$C$15:$Z$107,13,0)</f>
        <v>0</v>
      </c>
      <c r="R101" s="1248">
        <f>VLOOKUP(D101,'TRẠM 1'!$C$15:$Z$107,14,0)</f>
        <v>0</v>
      </c>
      <c r="S101" s="1248">
        <f>VLOOKUP(D101,'TRẠM 1'!$C$15:$Z$107,17,0)</f>
        <v>0</v>
      </c>
      <c r="T101" s="1248"/>
      <c r="U101" s="1248"/>
      <c r="V101" s="1248">
        <f>VLOOKUP(D101,'TRẠM 1'!$C$15:$Z$107,18,0)</f>
        <v>0</v>
      </c>
      <c r="W101" s="1248"/>
      <c r="X101" s="1248"/>
      <c r="Y101" s="1248"/>
      <c r="Z101" s="1881">
        <f t="shared" si="12"/>
        <v>0</v>
      </c>
      <c r="AA101" s="1471">
        <f t="shared" ref="AA101:AA106" si="14">+N101+G101+Z101</f>
        <v>0</v>
      </c>
      <c r="AB101" s="1472"/>
      <c r="AC101" s="1420">
        <f t="shared" ref="AC101:AC106" si="15">AA101</f>
        <v>0</v>
      </c>
    </row>
    <row r="102" spans="1:30" s="242" customFormat="1" ht="27.75" customHeight="1">
      <c r="A102" s="1246">
        <v>87</v>
      </c>
      <c r="B102" s="1245">
        <v>87</v>
      </c>
      <c r="C102" s="1332"/>
      <c r="D102" s="1247" t="str">
        <f>TONGHOPCONGDOI!C97</f>
        <v>Ủi</v>
      </c>
      <c r="E102" s="1243" t="s">
        <v>1713</v>
      </c>
      <c r="F102" s="1252"/>
      <c r="G102" s="1248">
        <f t="shared" si="13"/>
        <v>0</v>
      </c>
      <c r="H102" s="1248"/>
      <c r="I102" s="1248"/>
      <c r="J102" s="1248"/>
      <c r="K102" s="1840"/>
      <c r="L102" s="1840"/>
      <c r="M102" s="1996"/>
      <c r="N102" s="1248"/>
      <c r="O102" s="1248">
        <f>VLOOKUP(D102,'TRẠM 1'!$C$15:$Y$107,11,0)</f>
        <v>0</v>
      </c>
      <c r="P102" s="1248">
        <f>VLOOKUP(D102,'TRẠM 1'!$C$15:$Y$107,12,0)</f>
        <v>0</v>
      </c>
      <c r="Q102" s="1248">
        <f>VLOOKUP(D102,'TRẠM 1'!$C$15:$Z$107,13,0)</f>
        <v>0</v>
      </c>
      <c r="R102" s="1248">
        <f>VLOOKUP(D102,'TRẠM 1'!$C$15:$Z$107,14,0)</f>
        <v>0</v>
      </c>
      <c r="S102" s="1248">
        <f>VLOOKUP(D102,'TRẠM 1'!$C$15:$Z$107,17,0)</f>
        <v>0</v>
      </c>
      <c r="T102" s="1248"/>
      <c r="U102" s="1248"/>
      <c r="V102" s="1248">
        <f>VLOOKUP(D102,'TRẠM 1'!$C$15:$Z$107,18,0)</f>
        <v>0</v>
      </c>
      <c r="W102" s="1248"/>
      <c r="X102" s="1248"/>
      <c r="Y102" s="1248"/>
      <c r="Z102" s="1881">
        <f t="shared" si="12"/>
        <v>0</v>
      </c>
      <c r="AA102" s="1471">
        <f t="shared" si="14"/>
        <v>0</v>
      </c>
      <c r="AB102" s="1472"/>
      <c r="AC102" s="1420">
        <f t="shared" si="15"/>
        <v>0</v>
      </c>
    </row>
    <row r="103" spans="1:30" s="242" customFormat="1" ht="27.75" customHeight="1">
      <c r="A103" s="1246">
        <v>88</v>
      </c>
      <c r="B103" s="1245">
        <v>88</v>
      </c>
      <c r="C103" s="1332"/>
      <c r="D103" s="1247" t="str">
        <f>TONGHOPCONGDOI!C98</f>
        <v>May</v>
      </c>
      <c r="E103" s="1243" t="s">
        <v>1713</v>
      </c>
      <c r="F103" s="1252"/>
      <c r="G103" s="1248">
        <f t="shared" si="13"/>
        <v>0</v>
      </c>
      <c r="H103" s="1248"/>
      <c r="I103" s="1248"/>
      <c r="J103" s="1248"/>
      <c r="K103" s="1840"/>
      <c r="L103" s="1840"/>
      <c r="M103" s="1996"/>
      <c r="N103" s="1248"/>
      <c r="O103" s="1248">
        <f>VLOOKUP(D103,'TRẠM 1'!$C$15:$Y$107,11,0)</f>
        <v>0</v>
      </c>
      <c r="P103" s="1248">
        <f>VLOOKUP(D103,'TRẠM 1'!$C$15:$Y$107,12,0)</f>
        <v>0</v>
      </c>
      <c r="Q103" s="1248">
        <f>VLOOKUP(D103,'TRẠM 1'!$C$15:$Z$107,13,0)</f>
        <v>0</v>
      </c>
      <c r="R103" s="1248">
        <f>VLOOKUP(D103,'TRẠM 1'!$C$15:$Z$107,14,0)</f>
        <v>0</v>
      </c>
      <c r="S103" s="1248">
        <f>VLOOKUP(D103,'TRẠM 1'!$C$15:$Z$107,17,0)</f>
        <v>0</v>
      </c>
      <c r="T103" s="1248"/>
      <c r="U103" s="1248"/>
      <c r="V103" s="1248">
        <f>VLOOKUP(D103,'TRẠM 1'!$C$15:$Z$107,18,0)</f>
        <v>0</v>
      </c>
      <c r="W103" s="1248"/>
      <c r="X103" s="1248"/>
      <c r="Y103" s="1248"/>
      <c r="Z103" s="1881">
        <f t="shared" si="12"/>
        <v>0</v>
      </c>
      <c r="AA103" s="1471">
        <f t="shared" si="14"/>
        <v>0</v>
      </c>
      <c r="AB103" s="1472"/>
      <c r="AC103" s="1420">
        <f t="shared" si="15"/>
        <v>0</v>
      </c>
    </row>
    <row r="104" spans="1:30" s="242" customFormat="1" ht="27.75" customHeight="1">
      <c r="A104" s="1246">
        <v>89</v>
      </c>
      <c r="B104" s="1245">
        <v>89</v>
      </c>
      <c r="C104" s="1332"/>
      <c r="D104" s="1247" t="str">
        <f>TONGHOPCONGDOI!C99</f>
        <v>Son</v>
      </c>
      <c r="E104" s="1243" t="s">
        <v>1713</v>
      </c>
      <c r="F104" s="1252"/>
      <c r="G104" s="1248">
        <f t="shared" si="13"/>
        <v>0</v>
      </c>
      <c r="H104" s="1248"/>
      <c r="I104" s="1248"/>
      <c r="J104" s="1248"/>
      <c r="K104" s="1840"/>
      <c r="L104" s="1840"/>
      <c r="M104" s="1996"/>
      <c r="N104" s="1248"/>
      <c r="O104" s="1248">
        <f>VLOOKUP(D104,'TRẠM 1'!$C$15:$Y$107,11,0)</f>
        <v>0</v>
      </c>
      <c r="P104" s="1248">
        <f>VLOOKUP(D104,'TRẠM 1'!$C$15:$Y$107,12,0)</f>
        <v>0</v>
      </c>
      <c r="Q104" s="1248">
        <f>VLOOKUP(D104,'TRẠM 1'!$C$15:$Z$107,13,0)</f>
        <v>0</v>
      </c>
      <c r="R104" s="1248">
        <f>VLOOKUP(D104,'TRẠM 1'!$C$15:$Z$107,14,0)</f>
        <v>0</v>
      </c>
      <c r="S104" s="1248">
        <f>VLOOKUP(D104,'TRẠM 1'!$C$15:$Z$107,17,0)</f>
        <v>0</v>
      </c>
      <c r="T104" s="1248"/>
      <c r="U104" s="1248"/>
      <c r="V104" s="1248">
        <f>VLOOKUP(D104,'TRẠM 1'!$C$15:$Z$107,18,0)</f>
        <v>0</v>
      </c>
      <c r="W104" s="1248"/>
      <c r="X104" s="1248"/>
      <c r="Y104" s="1248"/>
      <c r="Z104" s="1881">
        <f t="shared" si="12"/>
        <v>0</v>
      </c>
      <c r="AA104" s="1471">
        <f t="shared" si="14"/>
        <v>0</v>
      </c>
      <c r="AB104" s="1472"/>
      <c r="AC104" s="1420">
        <f t="shared" si="15"/>
        <v>0</v>
      </c>
    </row>
    <row r="105" spans="1:30" s="242" customFormat="1" ht="27.75" customHeight="1">
      <c r="A105" s="1246">
        <v>90</v>
      </c>
      <c r="B105" s="1245">
        <v>90</v>
      </c>
      <c r="C105" s="1332"/>
      <c r="D105" s="1247" t="str">
        <f>TONGHOPCONGDOI!C100</f>
        <v>T. Tý</v>
      </c>
      <c r="E105" s="1243" t="s">
        <v>1713</v>
      </c>
      <c r="F105" s="1252"/>
      <c r="G105" s="1248">
        <f t="shared" si="13"/>
        <v>0</v>
      </c>
      <c r="H105" s="1248"/>
      <c r="I105" s="1248"/>
      <c r="J105" s="1248"/>
      <c r="K105" s="1840"/>
      <c r="L105" s="1840"/>
      <c r="M105" s="1996"/>
      <c r="N105" s="1248"/>
      <c r="O105" s="1248">
        <f>VLOOKUP(D105,'TRẠM 1'!$C$15:$Y$107,11,0)</f>
        <v>0</v>
      </c>
      <c r="P105" s="1248">
        <f>VLOOKUP(D105,'TRẠM 1'!$C$15:$Y$107,12,0)</f>
        <v>0</v>
      </c>
      <c r="Q105" s="1248">
        <f>VLOOKUP(D105,'TRẠM 1'!$C$15:$Z$107,13,0)</f>
        <v>0</v>
      </c>
      <c r="R105" s="1248">
        <f>VLOOKUP(D105,'TRẠM 1'!$C$15:$Z$107,14,0)</f>
        <v>0</v>
      </c>
      <c r="S105" s="1248">
        <f>VLOOKUP(D105,'TRẠM 1'!$C$15:$Z$107,17,0)</f>
        <v>0</v>
      </c>
      <c r="T105" s="1248"/>
      <c r="U105" s="1248"/>
      <c r="V105" s="1248">
        <f>VLOOKUP(D105,'TRẠM 1'!$C$15:$Z$107,18,0)</f>
        <v>0</v>
      </c>
      <c r="W105" s="1248"/>
      <c r="X105" s="1248"/>
      <c r="Y105" s="1248"/>
      <c r="Z105" s="1881">
        <f t="shared" si="12"/>
        <v>0</v>
      </c>
      <c r="AA105" s="1471">
        <f t="shared" si="14"/>
        <v>0</v>
      </c>
      <c r="AB105" s="1472"/>
      <c r="AC105" s="1420">
        <f t="shared" si="15"/>
        <v>0</v>
      </c>
    </row>
    <row r="106" spans="1:30" s="242" customFormat="1" ht="27.75" customHeight="1">
      <c r="A106" s="1246">
        <v>91</v>
      </c>
      <c r="B106" s="1245">
        <v>91</v>
      </c>
      <c r="C106" s="1332"/>
      <c r="D106" s="1247" t="str">
        <f>TONGHOPCONGDOI!C101</f>
        <v>Choi</v>
      </c>
      <c r="E106" s="1243" t="s">
        <v>1713</v>
      </c>
      <c r="F106" s="1252"/>
      <c r="G106" s="1248">
        <f t="shared" si="13"/>
        <v>0</v>
      </c>
      <c r="H106" s="1248"/>
      <c r="I106" s="1248"/>
      <c r="J106" s="1248"/>
      <c r="K106" s="1840"/>
      <c r="L106" s="1840"/>
      <c r="M106" s="1996"/>
      <c r="N106" s="1248"/>
      <c r="O106" s="1248">
        <f>VLOOKUP(D106,'TRẠM 1'!$C$15:$Y$107,11,0)</f>
        <v>0</v>
      </c>
      <c r="P106" s="1248">
        <f>VLOOKUP(D106,'TRẠM 1'!$C$15:$Y$107,12,0)</f>
        <v>0</v>
      </c>
      <c r="Q106" s="1248">
        <f>VLOOKUP(D106,'TRẠM 1'!$C$15:$Z$107,13,0)</f>
        <v>0</v>
      </c>
      <c r="R106" s="1248">
        <f>VLOOKUP(D106,'TRẠM 1'!$C$15:$Z$107,14,0)</f>
        <v>0</v>
      </c>
      <c r="S106" s="1248">
        <f>VLOOKUP(D106,'TRẠM 1'!$C$15:$Z$107,17,0)</f>
        <v>0</v>
      </c>
      <c r="T106" s="1248"/>
      <c r="U106" s="1248"/>
      <c r="V106" s="1248">
        <f>VLOOKUP(D106,'TRẠM 1'!$C$15:$Z$107,18,0)</f>
        <v>0</v>
      </c>
      <c r="W106" s="1248"/>
      <c r="X106" s="1248"/>
      <c r="Y106" s="1248"/>
      <c r="Z106" s="1881">
        <f t="shared" si="12"/>
        <v>0</v>
      </c>
      <c r="AA106" s="1471">
        <f t="shared" si="14"/>
        <v>0</v>
      </c>
      <c r="AB106" s="1472"/>
      <c r="AC106" s="1420">
        <f t="shared" si="15"/>
        <v>0</v>
      </c>
    </row>
    <row r="107" spans="1:30" s="242" customFormat="1" ht="27.75" customHeight="1">
      <c r="A107" s="1246">
        <v>92</v>
      </c>
      <c r="B107" s="1245">
        <v>92</v>
      </c>
      <c r="C107" s="320">
        <f>TONGHOPCONGDOI!B96</f>
        <v>0</v>
      </c>
      <c r="D107" s="1247" t="str">
        <f>TONGHOPCONGDOI!C102</f>
        <v>Con</v>
      </c>
      <c r="E107" s="1243" t="s">
        <v>1713</v>
      </c>
      <c r="F107" s="1252"/>
      <c r="G107" s="1248">
        <f t="shared" si="10"/>
        <v>0</v>
      </c>
      <c r="H107" s="1248"/>
      <c r="I107" s="1248"/>
      <c r="J107" s="1248"/>
      <c r="K107" s="1840"/>
      <c r="L107" s="1840"/>
      <c r="M107" s="1996"/>
      <c r="N107" s="1248"/>
      <c r="O107" s="1248">
        <f>VLOOKUP(D107,'TRẠM 1'!$C$15:$Y$107,11,0)</f>
        <v>0</v>
      </c>
      <c r="P107" s="1248">
        <f>VLOOKUP(D107,'TRẠM 1'!$C$15:$Y$107,12,0)</f>
        <v>0</v>
      </c>
      <c r="Q107" s="1248">
        <f>VLOOKUP(D107,'TRẠM 1'!$C$15:$Z$107,13,0)</f>
        <v>0</v>
      </c>
      <c r="R107" s="1248">
        <f>VLOOKUP(D107,'TRẠM 1'!$C$15:$Z$107,14,0)</f>
        <v>0</v>
      </c>
      <c r="S107" s="1248">
        <f>VLOOKUP(D107,'TRẠM 1'!$C$15:$Z$107,17,0)</f>
        <v>0</v>
      </c>
      <c r="T107" s="1248"/>
      <c r="U107" s="1248"/>
      <c r="V107" s="1248">
        <f>VLOOKUP(D107,'TRẠM 1'!$C$15:$Z$107,18,0)</f>
        <v>0</v>
      </c>
      <c r="W107" s="1248"/>
      <c r="X107" s="1248"/>
      <c r="Y107" s="1248"/>
      <c r="Z107" s="1881">
        <f t="shared" si="12"/>
        <v>0</v>
      </c>
      <c r="AA107" s="1471">
        <f t="shared" si="9"/>
        <v>0</v>
      </c>
      <c r="AB107" s="1472"/>
      <c r="AC107" s="1420">
        <f t="shared" si="6"/>
        <v>0</v>
      </c>
      <c r="AD107" s="242">
        <v>86</v>
      </c>
    </row>
    <row r="108" spans="1:30" s="242" customFormat="1" ht="27.75" customHeight="1">
      <c r="A108" s="1246">
        <v>93</v>
      </c>
      <c r="B108" s="1245">
        <v>93</v>
      </c>
      <c r="C108" s="320">
        <f>TONGHOPCONGDOI!B103</f>
        <v>0</v>
      </c>
      <c r="D108" s="1247" t="str">
        <f>TONGHOPCONGDOI!C103</f>
        <v>Đăm</v>
      </c>
      <c r="E108" s="1243" t="s">
        <v>1713</v>
      </c>
      <c r="F108" s="1252"/>
      <c r="G108" s="1248">
        <f t="shared" si="10"/>
        <v>0</v>
      </c>
      <c r="H108" s="1248"/>
      <c r="I108" s="1248"/>
      <c r="J108" s="1248"/>
      <c r="K108" s="1840"/>
      <c r="L108" s="1840"/>
      <c r="M108" s="1996"/>
      <c r="N108" s="1248"/>
      <c r="O108" s="1248">
        <f>VLOOKUP(D108,'TRẠM 1'!$C$15:$Y$107,11,0)</f>
        <v>0</v>
      </c>
      <c r="P108" s="1248">
        <f>VLOOKUP(D108,'TRẠM 1'!$C$15:$Y$107,12,0)</f>
        <v>0</v>
      </c>
      <c r="Q108" s="1248">
        <f>VLOOKUP(D108,'TRẠM 1'!$C$15:$Z$107,13,0)</f>
        <v>0</v>
      </c>
      <c r="R108" s="1248">
        <f>VLOOKUP(D108,'TRẠM 1'!$C$15:$Z$107,14,0)</f>
        <v>0</v>
      </c>
      <c r="S108" s="1248">
        <f>VLOOKUP(D108,'TRẠM 1'!$C$15:$Z$107,17,0)</f>
        <v>0</v>
      </c>
      <c r="T108" s="1248"/>
      <c r="U108" s="1248"/>
      <c r="V108" s="1248">
        <f>VLOOKUP(D108,'TRẠM 1'!$C$15:$Z$107,18,0)</f>
        <v>0</v>
      </c>
      <c r="W108" s="1248"/>
      <c r="X108" s="1248"/>
      <c r="Y108" s="1248"/>
      <c r="Z108" s="1881">
        <f t="shared" si="12"/>
        <v>0</v>
      </c>
      <c r="AA108" s="1471">
        <f t="shared" si="9"/>
        <v>0</v>
      </c>
      <c r="AB108" s="1472"/>
      <c r="AC108" s="1420">
        <f t="shared" si="6"/>
        <v>0</v>
      </c>
      <c r="AD108" s="242">
        <v>87</v>
      </c>
    </row>
    <row r="109" spans="1:30" s="242" customFormat="1" ht="27.75" customHeight="1">
      <c r="A109" s="1282"/>
      <c r="B109" s="318" t="s">
        <v>2986</v>
      </c>
      <c r="C109" s="318"/>
      <c r="D109" s="1244"/>
      <c r="E109" s="1244"/>
      <c r="F109" s="1253"/>
      <c r="G109" s="1249">
        <f>SUM(G110:G184)</f>
        <v>0</v>
      </c>
      <c r="H109" s="1249">
        <f>SUM(H110:H184)</f>
        <v>179526</v>
      </c>
      <c r="I109" s="1249">
        <f>SUM(I110:I184)</f>
        <v>790</v>
      </c>
      <c r="J109" s="1249">
        <f>SUM(J110:J184)</f>
        <v>78549.737530873026</v>
      </c>
      <c r="K109" s="2111"/>
      <c r="L109" s="2111"/>
      <c r="M109" s="1997"/>
      <c r="N109" s="1249">
        <f>SUM(N110:N184)</f>
        <v>302420651.00700003</v>
      </c>
      <c r="O109" s="1249">
        <f>SUM(O110:O184)</f>
        <v>1194</v>
      </c>
      <c r="P109" s="1249">
        <f>SUM(P110:P184)</f>
        <v>1215358</v>
      </c>
      <c r="Q109" s="1249">
        <f>SUM(Q110:Q184)</f>
        <v>230</v>
      </c>
      <c r="R109" s="1249">
        <f t="shared" ref="R109:V109" si="16">SUM(R110:R184)</f>
        <v>0</v>
      </c>
      <c r="S109" s="1249">
        <f t="shared" si="16"/>
        <v>230</v>
      </c>
      <c r="T109" s="1249" t="e">
        <f t="shared" si="16"/>
        <v>#N/A</v>
      </c>
      <c r="U109" s="1249" t="e">
        <f t="shared" si="16"/>
        <v>#N/A</v>
      </c>
      <c r="V109" s="1249">
        <f t="shared" si="16"/>
        <v>1417</v>
      </c>
      <c r="W109" s="1249">
        <f t="shared" ref="W109:AA109" si="17">SUM(W110:W184)</f>
        <v>0</v>
      </c>
      <c r="X109" s="1249">
        <f t="shared" si="17"/>
        <v>0</v>
      </c>
      <c r="Y109" s="1249">
        <f t="shared" si="17"/>
        <v>0</v>
      </c>
      <c r="Z109" s="1249" t="e">
        <f t="shared" si="17"/>
        <v>#VALUE!</v>
      </c>
      <c r="AA109" s="1249" t="e">
        <f t="shared" si="17"/>
        <v>#VALUE!</v>
      </c>
      <c r="AB109" s="1473"/>
      <c r="AC109" s="1254" t="e">
        <f>SUM(AC110:AC184)</f>
        <v>#VALUE!</v>
      </c>
    </row>
    <row r="110" spans="1:30" s="242" customFormat="1" ht="27.75" customHeight="1">
      <c r="A110" s="1282">
        <v>83</v>
      </c>
      <c r="B110" s="1245">
        <v>1</v>
      </c>
      <c r="C110" s="320" t="str">
        <f>TONGHOPCONGDOI!B105</f>
        <v>04120</v>
      </c>
      <c r="D110" s="321" t="str">
        <f>TONGHOPCONGDOI!C105</f>
        <v>Thảo Văn</v>
      </c>
      <c r="E110" s="1243" t="s">
        <v>15</v>
      </c>
      <c r="F110" s="1252"/>
      <c r="G110" s="1248">
        <f t="shared" ref="G110:G128" si="18">F110*25000</f>
        <v>0</v>
      </c>
      <c r="H110" s="1248">
        <f>VLOOKUP(D110,'TRẠM 2'!$C$15:$Y$89,6,0)</f>
        <v>2802</v>
      </c>
      <c r="I110" s="1248">
        <f>VLOOKUP(D110,'TRẠM 2'!$C$15:$Y$89,7,0)</f>
        <v>0</v>
      </c>
      <c r="J110" s="1248">
        <f>VLOOKUP(D110,'TRẠM 2'!$C$15:$Y$89,8,0)</f>
        <v>1220.8041227872632</v>
      </c>
      <c r="K110" s="1248">
        <f>VLOOKUP(D110,'TRẠM 2'!$C$15:$Y$89,9,0)</f>
        <v>113.6922805845344</v>
      </c>
      <c r="L110" s="1837">
        <f t="shared" ref="L110" si="19">J110+K110</f>
        <v>1334.4964033717977</v>
      </c>
      <c r="M110" s="1996" t="str">
        <f>VLOOKUP(D110,'TRẠM 2'!$C$15:$Y$89,11,0)</f>
        <v>A</v>
      </c>
      <c r="N110" s="1248">
        <f>VLOOKUP(D110,'TRẠM 2'!$C$15:$Y$89,12,0)</f>
        <v>4884257</v>
      </c>
      <c r="O110" s="1248">
        <f>VLOOKUP(D110,'TRẠM 2'!$C$15:$Y$89,13,0)</f>
        <v>23</v>
      </c>
      <c r="P110" s="1248">
        <f>VLOOKUP(D110,'TRẠM 2'!$C$15:$Y$89,14,0)</f>
        <v>4</v>
      </c>
      <c r="Q110" s="1248">
        <f>VLOOKUP(D110,'TRẠM 2'!$C$15:$Y$89,15,0)</f>
        <v>4</v>
      </c>
      <c r="R110" s="1248">
        <f>VLOOKUP(D110,'TRẠM 2'!$C$15:$Y$89,16,0)</f>
        <v>0</v>
      </c>
      <c r="S110" s="1248">
        <f>VLOOKUP(D110,'TRẠM 2'!$C$15:$Y$89,17,0)</f>
        <v>4</v>
      </c>
      <c r="T110" s="1248" t="e">
        <f>VLOOKUP(G110,'TRẠM 2'!$C$15:$Y$89,13,0)</f>
        <v>#N/A</v>
      </c>
      <c r="U110" s="1248" t="e">
        <f>VLOOKUP(H110,'TRẠM 2'!$C$15:$Y$89,13,0)</f>
        <v>#N/A</v>
      </c>
      <c r="V110" s="1248">
        <f>VLOOKUP(D110,'TRẠM 2'!$C$15:$Y$89,20,0)</f>
        <v>0</v>
      </c>
      <c r="W110" s="1248"/>
      <c r="X110" s="1248"/>
      <c r="Y110" s="1248"/>
      <c r="Z110" s="1881">
        <f>ROUND(((O110*46.1)+(P110*76.9)+(Q110*92.2)+(R110*153.8))*$G$8+(S110*100000)+(V110*20000),0)</f>
        <v>1560046</v>
      </c>
      <c r="AA110" s="1471">
        <f>+N110+G110+Z110</f>
        <v>6444303</v>
      </c>
      <c r="AB110" s="1472"/>
      <c r="AC110" s="1420">
        <f t="shared" ref="AC110:AC173" si="20">AA110</f>
        <v>6444303</v>
      </c>
      <c r="AD110" s="593">
        <v>1</v>
      </c>
    </row>
    <row r="111" spans="1:30" s="242" customFormat="1" ht="27.75" customHeight="1">
      <c r="A111" s="1282">
        <v>84</v>
      </c>
      <c r="B111" s="1245">
        <v>2</v>
      </c>
      <c r="C111" s="320" t="str">
        <f>TONGHOPCONGDOI!B106</f>
        <v>03646</v>
      </c>
      <c r="D111" s="321" t="str">
        <f>TONGHOPCONGDOI!C106</f>
        <v>T . Thau</v>
      </c>
      <c r="E111" s="1243" t="s">
        <v>15</v>
      </c>
      <c r="F111" s="1252"/>
      <c r="G111" s="1248">
        <f t="shared" si="18"/>
        <v>0</v>
      </c>
      <c r="H111" s="1248">
        <f>VLOOKUP(D111,'TRẠM 2'!$C$15:$Y$89,6,0)</f>
        <v>4224</v>
      </c>
      <c r="I111" s="1248">
        <f>VLOOKUP(D111,'TRẠM 2'!$C$15:$Y$89,7,0)</f>
        <v>0</v>
      </c>
      <c r="J111" s="1248">
        <f>VLOOKUP(D111,'TRẠM 2'!$C$15:$Y$89,8,0)</f>
        <v>1840.3556797478229</v>
      </c>
      <c r="K111" s="1248">
        <f>VLOOKUP(D111,'TRẠM 2'!$C$15:$Y$89,9,0)</f>
        <v>171.39050435013323</v>
      </c>
      <c r="L111" s="1837">
        <f t="shared" ref="L111:L174" si="21">J111+K111</f>
        <v>2011.7461840979561</v>
      </c>
      <c r="M111" s="1996" t="str">
        <f>VLOOKUP(D111,'TRẠM 2'!$C$15:$Y$89,11,0)</f>
        <v>B</v>
      </c>
      <c r="N111" s="1248">
        <f>VLOOKUP(D111,'TRẠM 2'!$C$15:$Y$89,12,0)</f>
        <v>7000877</v>
      </c>
      <c r="O111" s="1248">
        <f>VLOOKUP(D111,'TRẠM 2'!$C$15:$Y$89,13,0)</f>
        <v>22</v>
      </c>
      <c r="P111" s="1248">
        <f>VLOOKUP(D111,'TRẠM 2'!$C$15:$Y$89,14,0)</f>
        <v>4</v>
      </c>
      <c r="Q111" s="1248">
        <f>VLOOKUP(D111,'TRẠM 2'!$C$15:$Y$89,15,0)</f>
        <v>4</v>
      </c>
      <c r="R111" s="1248">
        <f>VLOOKUP(D111,'TRẠM 2'!$C$15:$Y$89,16,0)</f>
        <v>0</v>
      </c>
      <c r="S111" s="1248">
        <f>VLOOKUP(D111,'TRẠM 2'!$C$15:$Y$89,17,0)</f>
        <v>4</v>
      </c>
      <c r="T111" s="1248" t="e">
        <f>VLOOKUP(G111,'TRẠM 2'!$C$15:$Y$89,13,0)</f>
        <v>#N/A</v>
      </c>
      <c r="U111" s="1248" t="e">
        <f>VLOOKUP(H111,'TRẠM 2'!$C$15:$Y$89,13,0)</f>
        <v>#N/A</v>
      </c>
      <c r="V111" s="1248">
        <f>VLOOKUP(D111,'TRẠM 2'!$C$15:$Y$89,20,0)</f>
        <v>17</v>
      </c>
      <c r="W111" s="1248"/>
      <c r="X111" s="1248"/>
      <c r="Y111" s="1248"/>
      <c r="Z111" s="1881">
        <f t="shared" ref="Z111:Z174" si="22">ROUND(((O111*46.1)+(P111*76.9)+(Q111*92.2)+(R111*153.8))*$G$8+(S111*100000)+(V111*20000),0)</f>
        <v>1869253</v>
      </c>
      <c r="AA111" s="1471">
        <f t="shared" ref="AA111:AA174" si="23">+N111+G111+Z111</f>
        <v>8870130</v>
      </c>
      <c r="AB111" s="1472"/>
      <c r="AC111" s="1420">
        <f t="shared" si="20"/>
        <v>8870130</v>
      </c>
      <c r="AD111" s="593">
        <v>2</v>
      </c>
    </row>
    <row r="112" spans="1:30" s="242" customFormat="1" ht="27.75" customHeight="1">
      <c r="A112" s="1282">
        <v>85</v>
      </c>
      <c r="B112" s="1245">
        <v>3</v>
      </c>
      <c r="C112" s="320">
        <f>TONGHOPCONGDOI!B107</f>
        <v>0</v>
      </c>
      <c r="D112" s="321" t="str">
        <f>TONGHOPCONGDOI!C107</f>
        <v>Nàng Lao</v>
      </c>
      <c r="E112" s="1243" t="s">
        <v>15</v>
      </c>
      <c r="F112" s="1252"/>
      <c r="G112" s="1248">
        <f t="shared" si="18"/>
        <v>0</v>
      </c>
      <c r="H112" s="1248">
        <f>VLOOKUP(D112,'TRẠM 2'!$C$15:$Y$89,6,0)</f>
        <v>2715</v>
      </c>
      <c r="I112" s="1248">
        <f>VLOOKUP(D112,'TRẠM 2'!$C$15:$Y$89,7,0)</f>
        <v>0</v>
      </c>
      <c r="J112" s="1248">
        <f>VLOOKUP(D112,'TRẠM 2'!$C$15:$Y$89,8,0)</f>
        <v>1182.8990697242755</v>
      </c>
      <c r="K112" s="1248">
        <f>VLOOKUP(D112,'TRẠM 2'!$C$15:$Y$89,9,0)</f>
        <v>110.16222048073195</v>
      </c>
      <c r="L112" s="1837">
        <f t="shared" si="21"/>
        <v>1293.0612902050075</v>
      </c>
      <c r="M112" s="1996" t="str">
        <f>VLOOKUP(D112,'TRẠM 2'!$C$15:$Y$89,11,0)</f>
        <v>B</v>
      </c>
      <c r="N112" s="1248">
        <f>VLOOKUP(D112,'TRẠM 2'!$C$15:$Y$89,12,0)</f>
        <v>4499853</v>
      </c>
      <c r="O112" s="1248">
        <f>VLOOKUP(D112,'TRẠM 2'!$C$15:$Y$89,13,0)</f>
        <v>22</v>
      </c>
      <c r="P112" s="1248">
        <f>VLOOKUP(D112,'TRẠM 2'!$C$15:$Y$89,14,0)</f>
        <v>4</v>
      </c>
      <c r="Q112" s="1248">
        <f>VLOOKUP(D112,'TRẠM 2'!$C$15:$Y$89,15,0)</f>
        <v>5</v>
      </c>
      <c r="R112" s="1248">
        <f>VLOOKUP(D112,'TRẠM 2'!$C$15:$Y$89,16,0)</f>
        <v>0</v>
      </c>
      <c r="S112" s="1248">
        <f>VLOOKUP(D112,'TRẠM 2'!$C$15:$Y$89,17,0)</f>
        <v>5</v>
      </c>
      <c r="T112" s="1248" t="e">
        <f>VLOOKUP(G112,'TRẠM 2'!$C$15:$Y$89,13,0)</f>
        <v>#N/A</v>
      </c>
      <c r="U112" s="1248" t="e">
        <f>VLOOKUP(H112,'TRẠM 2'!$C$15:$Y$89,13,0)</f>
        <v>#N/A</v>
      </c>
      <c r="V112" s="1248">
        <f>VLOOKUP(D112,'TRẠM 2'!$C$15:$Y$89,20,0)</f>
        <v>36</v>
      </c>
      <c r="W112" s="1248"/>
      <c r="X112" s="1248"/>
      <c r="Y112" s="1248"/>
      <c r="Z112" s="1881">
        <f t="shared" si="22"/>
        <v>2410839</v>
      </c>
      <c r="AA112" s="1471">
        <f t="shared" si="23"/>
        <v>6910692</v>
      </c>
      <c r="AB112" s="1472"/>
      <c r="AC112" s="1420">
        <f t="shared" si="20"/>
        <v>6910692</v>
      </c>
      <c r="AD112" s="593">
        <v>3</v>
      </c>
    </row>
    <row r="113" spans="1:30" s="242" customFormat="1" ht="27.75" customHeight="1">
      <c r="A113" s="1282">
        <v>86</v>
      </c>
      <c r="B113" s="1245">
        <v>4</v>
      </c>
      <c r="C113" s="320" t="str">
        <f>TONGHOPCONGDOI!B108</f>
        <v>04122</v>
      </c>
      <c r="D113" s="321" t="str">
        <f>TONGHOPCONGDOI!C108</f>
        <v>Nàng Eng</v>
      </c>
      <c r="E113" s="1243" t="s">
        <v>15</v>
      </c>
      <c r="F113" s="1252"/>
      <c r="G113" s="1248">
        <f t="shared" si="18"/>
        <v>0</v>
      </c>
      <c r="H113" s="1248">
        <f>VLOOKUP(D113,'TRẠM 2'!$C$15:$Y$89,6,0)</f>
        <v>2732</v>
      </c>
      <c r="I113" s="1248">
        <f>VLOOKUP(D113,'TRẠM 2'!$C$15:$Y$89,7,0)</f>
        <v>0</v>
      </c>
      <c r="J113" s="1248">
        <f>VLOOKUP(D113,'TRẠM 2'!$C$15:$Y$89,8,0)</f>
        <v>1190.3058042308362</v>
      </c>
      <c r="K113" s="1248">
        <f>VLOOKUP(D113,'TRẠM 2'!$C$15:$Y$89,9,0)</f>
        <v>110.85200234009564</v>
      </c>
      <c r="L113" s="1837">
        <f t="shared" si="21"/>
        <v>1301.1578065709318</v>
      </c>
      <c r="M113" s="1996" t="str">
        <f>VLOOKUP(D113,'TRẠM 2'!$C$15:$Y$89,11,0)</f>
        <v>B</v>
      </c>
      <c r="N113" s="1248">
        <f>VLOOKUP(D113,'TRẠM 2'!$C$15:$Y$89,12,0)</f>
        <v>4528029</v>
      </c>
      <c r="O113" s="1248">
        <f>VLOOKUP(D113,'TRẠM 2'!$C$15:$Y$89,13,0)</f>
        <v>21</v>
      </c>
      <c r="P113" s="1248">
        <f>VLOOKUP(D113,'TRẠM 2'!$C$15:$Y$89,14,0)</f>
        <v>4</v>
      </c>
      <c r="Q113" s="1248">
        <f>VLOOKUP(D113,'TRẠM 2'!$C$15:$Y$89,15,0)</f>
        <v>4</v>
      </c>
      <c r="R113" s="1248">
        <f>VLOOKUP(D113,'TRẠM 2'!$C$15:$Y$89,16,0)</f>
        <v>0</v>
      </c>
      <c r="S113" s="1248">
        <f>VLOOKUP(D113,'TRẠM 2'!$C$15:$Y$89,17,0)</f>
        <v>4</v>
      </c>
      <c r="T113" s="1248" t="e">
        <f>VLOOKUP(G113,'TRẠM 2'!$C$15:$Y$89,13,0)</f>
        <v>#N/A</v>
      </c>
      <c r="U113" s="1248" t="e">
        <f>VLOOKUP(H113,'TRẠM 2'!$C$15:$Y$89,13,0)</f>
        <v>#N/A</v>
      </c>
      <c r="V113" s="1248">
        <f>VLOOKUP(D113,'TRẠM 2'!$C$15:$Y$89,20,0)</f>
        <v>33</v>
      </c>
      <c r="W113" s="1248"/>
      <c r="X113" s="1248"/>
      <c r="Y113" s="1248"/>
      <c r="Z113" s="1881">
        <f t="shared" si="22"/>
        <v>2158460</v>
      </c>
      <c r="AA113" s="1471">
        <f t="shared" si="23"/>
        <v>6686489</v>
      </c>
      <c r="AB113" s="1472"/>
      <c r="AC113" s="1420">
        <f t="shared" si="20"/>
        <v>6686489</v>
      </c>
      <c r="AD113" s="593">
        <v>4</v>
      </c>
    </row>
    <row r="114" spans="1:30" s="242" customFormat="1" ht="27.75" customHeight="1">
      <c r="A114" s="1282">
        <v>87</v>
      </c>
      <c r="B114" s="1245">
        <v>5</v>
      </c>
      <c r="C114" s="320" t="str">
        <f>TONGHOPCONGDOI!B109</f>
        <v>03649</v>
      </c>
      <c r="D114" s="321" t="str">
        <f>TONGHOPCONGDOI!C109</f>
        <v>T. Ve</v>
      </c>
      <c r="E114" s="1243" t="s">
        <v>15</v>
      </c>
      <c r="F114" s="1252"/>
      <c r="G114" s="1248">
        <f t="shared" si="18"/>
        <v>0</v>
      </c>
      <c r="H114" s="1248">
        <f>VLOOKUP(D114,'TRẠM 2'!$C$15:$Y$89,6,0)</f>
        <v>4240</v>
      </c>
      <c r="I114" s="1248">
        <f>VLOOKUP(D114,'TRẠM 2'!$C$15:$Y$89,7,0)</f>
        <v>0</v>
      </c>
      <c r="J114" s="1248">
        <f>VLOOKUP(D114,'TRẠM 2'!$C$15:$Y$89,8,0)</f>
        <v>1847.3267239892918</v>
      </c>
      <c r="K114" s="1248">
        <f>VLOOKUP(D114,'TRẠM 2'!$C$15:$Y$89,9,0)</f>
        <v>172.03971080600493</v>
      </c>
      <c r="L114" s="1837">
        <f t="shared" si="21"/>
        <v>2019.3664347952968</v>
      </c>
      <c r="M114" s="1996" t="str">
        <f>VLOOKUP(D114,'TRẠM 2'!$C$15:$Y$89,11,0)</f>
        <v>B</v>
      </c>
      <c r="N114" s="1248">
        <f>VLOOKUP(D114,'TRẠM 2'!$C$15:$Y$89,12,0)</f>
        <v>7027395</v>
      </c>
      <c r="O114" s="1248">
        <f>VLOOKUP(D114,'TRẠM 2'!$C$15:$Y$89,13,0)</f>
        <v>22</v>
      </c>
      <c r="P114" s="1248">
        <f>VLOOKUP(D114,'TRẠM 2'!$C$15:$Y$89,14,0)</f>
        <v>4</v>
      </c>
      <c r="Q114" s="1248">
        <f>VLOOKUP(D114,'TRẠM 2'!$C$15:$Y$89,15,0)</f>
        <v>4</v>
      </c>
      <c r="R114" s="1248">
        <f>VLOOKUP(D114,'TRẠM 2'!$C$15:$Y$89,16,0)</f>
        <v>0</v>
      </c>
      <c r="S114" s="1248">
        <f>VLOOKUP(D114,'TRẠM 2'!$C$15:$Y$89,17,0)</f>
        <v>4</v>
      </c>
      <c r="T114" s="1248" t="e">
        <f>VLOOKUP(G114,'TRẠM 2'!$C$15:$Y$89,13,0)</f>
        <v>#N/A</v>
      </c>
      <c r="U114" s="1248" t="e">
        <f>VLOOKUP(H114,'TRẠM 2'!$C$15:$Y$89,13,0)</f>
        <v>#N/A</v>
      </c>
      <c r="V114" s="1248">
        <f>VLOOKUP(D114,'TRẠM 2'!$C$15:$Y$89,20,0)</f>
        <v>17</v>
      </c>
      <c r="W114" s="1248"/>
      <c r="X114" s="1248"/>
      <c r="Y114" s="1248"/>
      <c r="Z114" s="1881">
        <f t="shared" si="22"/>
        <v>1869253</v>
      </c>
      <c r="AA114" s="1471">
        <f t="shared" si="23"/>
        <v>8896648</v>
      </c>
      <c r="AB114" s="1472"/>
      <c r="AC114" s="1420">
        <f t="shared" si="20"/>
        <v>8896648</v>
      </c>
      <c r="AD114" s="593">
        <v>5</v>
      </c>
    </row>
    <row r="115" spans="1:30" s="242" customFormat="1" ht="27.75" customHeight="1">
      <c r="A115" s="1282">
        <v>88</v>
      </c>
      <c r="B115" s="1245">
        <v>6</v>
      </c>
      <c r="C115" s="320">
        <f>TONGHOPCONGDOI!B110</f>
        <v>0</v>
      </c>
      <c r="D115" s="321" t="str">
        <f>TONGHOPCONGDOI!C110</f>
        <v>Thảo Khổ</v>
      </c>
      <c r="E115" s="1243" t="s">
        <v>15</v>
      </c>
      <c r="F115" s="1252"/>
      <c r="G115" s="1248">
        <f t="shared" si="18"/>
        <v>0</v>
      </c>
      <c r="H115" s="1248">
        <f>VLOOKUP(D115,'TRẠM 2'!$C$15:$Y$89,6,0)</f>
        <v>2969</v>
      </c>
      <c r="I115" s="1248">
        <f>VLOOKUP(D115,'TRẠM 2'!$C$15:$Y$89,7,0)</f>
        <v>0</v>
      </c>
      <c r="J115" s="1248">
        <f>VLOOKUP(D115,'TRẠM 2'!$C$15:$Y$89,8,0)</f>
        <v>1293.5643970575961</v>
      </c>
      <c r="K115" s="1248">
        <f>VLOOKUP(D115,'TRẠM 2'!$C$15:$Y$89,9,0)</f>
        <v>120.46837296769544</v>
      </c>
      <c r="L115" s="1837">
        <f t="shared" si="21"/>
        <v>1414.0327700252915</v>
      </c>
      <c r="M115" s="1996" t="str">
        <f>VLOOKUP(D115,'TRẠM 2'!$C$15:$Y$89,11,0)</f>
        <v>A</v>
      </c>
      <c r="N115" s="1248">
        <f>VLOOKUP(D115,'TRẠM 2'!$C$15:$Y$89,12,0)</f>
        <v>5175360</v>
      </c>
      <c r="O115" s="1248">
        <f>VLOOKUP(D115,'TRẠM 2'!$C$15:$Y$89,13,0)</f>
        <v>25</v>
      </c>
      <c r="P115" s="1248">
        <f>VLOOKUP(D115,'TRẠM 2'!$C$15:$Y$89,14,0)</f>
        <v>4</v>
      </c>
      <c r="Q115" s="1248">
        <f>VLOOKUP(D115,'TRẠM 2'!$C$15:$Y$89,15,0)</f>
        <v>2</v>
      </c>
      <c r="R115" s="1248">
        <f>VLOOKUP(D115,'TRẠM 2'!$C$15:$Y$89,16,0)</f>
        <v>0</v>
      </c>
      <c r="S115" s="1248">
        <f>VLOOKUP(D115,'TRẠM 2'!$C$15:$Y$89,17,0)</f>
        <v>2</v>
      </c>
      <c r="T115" s="1248" t="e">
        <f>VLOOKUP(G115,'TRẠM 2'!$C$15:$Y$89,13,0)</f>
        <v>#N/A</v>
      </c>
      <c r="U115" s="1248" t="e">
        <f>VLOOKUP(H115,'TRẠM 2'!$C$15:$Y$89,13,0)</f>
        <v>#N/A</v>
      </c>
      <c r="V115" s="1248">
        <f>VLOOKUP(D115,'TRẠM 2'!$C$15:$Y$89,20,0)</f>
        <v>24</v>
      </c>
      <c r="W115" s="1248"/>
      <c r="X115" s="1248"/>
      <c r="Y115" s="1248"/>
      <c r="Z115" s="1881">
        <f t="shared" si="22"/>
        <v>1778460</v>
      </c>
      <c r="AA115" s="1471">
        <f t="shared" si="23"/>
        <v>6953820</v>
      </c>
      <c r="AB115" s="1472"/>
      <c r="AC115" s="1420">
        <f t="shared" si="20"/>
        <v>6953820</v>
      </c>
      <c r="AD115" s="593">
        <v>6</v>
      </c>
    </row>
    <row r="116" spans="1:30" s="242" customFormat="1" ht="27.75" customHeight="1">
      <c r="A116" s="1282">
        <v>89</v>
      </c>
      <c r="B116" s="1245">
        <v>7</v>
      </c>
      <c r="C116" s="320">
        <f>TONGHOPCONGDOI!B111</f>
        <v>0</v>
      </c>
      <c r="D116" s="321" t="str">
        <f>TONGHOPCONGDOI!C111</f>
        <v>Nàng Văn Đay</v>
      </c>
      <c r="E116" s="1243" t="s">
        <v>15</v>
      </c>
      <c r="F116" s="1252"/>
      <c r="G116" s="1248">
        <f t="shared" si="18"/>
        <v>0</v>
      </c>
      <c r="H116" s="1248">
        <f>VLOOKUP(D116,'TRẠM 2'!$C$15:$Y$89,6,0)</f>
        <v>2745</v>
      </c>
      <c r="I116" s="1248">
        <f>VLOOKUP(D116,'TRẠM 2'!$C$15:$Y$89,7,0)</f>
        <v>0</v>
      </c>
      <c r="J116" s="1248">
        <f>VLOOKUP(D116,'TRẠM 2'!$C$15:$Y$89,8,0)</f>
        <v>1195.9697776770297</v>
      </c>
      <c r="K116" s="1248">
        <f>VLOOKUP(D116,'TRẠM 2'!$C$15:$Y$89,9,0)</f>
        <v>111.3794825854914</v>
      </c>
      <c r="L116" s="1837">
        <f t="shared" si="21"/>
        <v>1307.3492602625211</v>
      </c>
      <c r="M116" s="1996" t="str">
        <f>VLOOKUP(D116,'TRẠM 2'!$C$15:$Y$89,11,0)</f>
        <v>B</v>
      </c>
      <c r="N116" s="1248">
        <f>VLOOKUP(D116,'TRẠM 2'!$C$15:$Y$89,12,0)</f>
        <v>4549575</v>
      </c>
      <c r="O116" s="1248">
        <f>VLOOKUP(D116,'TRẠM 2'!$C$15:$Y$89,13,0)</f>
        <v>21</v>
      </c>
      <c r="P116" s="1248">
        <f>VLOOKUP(D116,'TRẠM 2'!$C$15:$Y$89,14,0)</f>
        <v>4</v>
      </c>
      <c r="Q116" s="1248">
        <f>VLOOKUP(D116,'TRẠM 2'!$C$15:$Y$89,15,0)</f>
        <v>5</v>
      </c>
      <c r="R116" s="1248">
        <f>VLOOKUP(D116,'TRẠM 2'!$C$15:$Y$89,16,0)</f>
        <v>0</v>
      </c>
      <c r="S116" s="1248">
        <f>VLOOKUP(D116,'TRẠM 2'!$C$15:$Y$89,17,0)</f>
        <v>5</v>
      </c>
      <c r="T116" s="1248" t="e">
        <f>VLOOKUP(G116,'TRẠM 2'!$C$15:$Y$89,13,0)</f>
        <v>#N/A</v>
      </c>
      <c r="U116" s="1248" t="e">
        <f>VLOOKUP(H116,'TRẠM 2'!$C$15:$Y$89,13,0)</f>
        <v>#N/A</v>
      </c>
      <c r="V116" s="1248">
        <f>VLOOKUP(D116,'TRẠM 2'!$C$15:$Y$89,20,0)</f>
        <v>35</v>
      </c>
      <c r="W116" s="1248"/>
      <c r="X116" s="1248"/>
      <c r="Y116" s="1248"/>
      <c r="Z116" s="1881">
        <f t="shared" si="22"/>
        <v>2360046</v>
      </c>
      <c r="AA116" s="1471">
        <f t="shared" si="23"/>
        <v>6909621</v>
      </c>
      <c r="AB116" s="1472"/>
      <c r="AC116" s="1420">
        <f t="shared" si="20"/>
        <v>6909621</v>
      </c>
      <c r="AD116" s="593">
        <v>7</v>
      </c>
    </row>
    <row r="117" spans="1:30" s="242" customFormat="1" ht="27.75" customHeight="1">
      <c r="A117" s="1282">
        <v>90</v>
      </c>
      <c r="B117" s="1245">
        <v>8</v>
      </c>
      <c r="C117" s="320">
        <f>TONGHOPCONGDOI!B112</f>
        <v>0</v>
      </c>
      <c r="D117" s="321" t="str">
        <f>TONGHOPCONGDOI!C112</f>
        <v>Nàng Ni Khăm</v>
      </c>
      <c r="E117" s="1243" t="s">
        <v>15</v>
      </c>
      <c r="F117" s="1252"/>
      <c r="G117" s="1248">
        <f t="shared" si="18"/>
        <v>0</v>
      </c>
      <c r="H117" s="1248">
        <f>VLOOKUP(D117,'TRẠM 2'!$C$15:$Y$89,6,0)</f>
        <v>3400</v>
      </c>
      <c r="I117" s="1248">
        <f>VLOOKUP(D117,'TRẠM 2'!$C$15:$Y$89,7,0)</f>
        <v>0</v>
      </c>
      <c r="J117" s="1248">
        <f>VLOOKUP(D117,'TRẠM 2'!$C$15:$Y$89,8,0)</f>
        <v>1481.346901312168</v>
      </c>
      <c r="K117" s="1248">
        <f>VLOOKUP(D117,'TRẠM 2'!$C$15:$Y$89,9,0)</f>
        <v>137.95637187273982</v>
      </c>
      <c r="L117" s="1837">
        <f t="shared" si="21"/>
        <v>1619.3032731849078</v>
      </c>
      <c r="M117" s="1996" t="str">
        <f>VLOOKUP(D117,'TRẠM 2'!$C$15:$Y$89,11,0)</f>
        <v>B</v>
      </c>
      <c r="N117" s="1248">
        <f>VLOOKUP(D117,'TRẠM 2'!$C$15:$Y$89,12,0)</f>
        <v>5635175</v>
      </c>
      <c r="O117" s="1248">
        <f>VLOOKUP(D117,'TRẠM 2'!$C$15:$Y$89,13,0)</f>
        <v>22</v>
      </c>
      <c r="P117" s="1248">
        <f>VLOOKUP(D117,'TRẠM 2'!$C$15:$Y$89,14,0)</f>
        <v>4</v>
      </c>
      <c r="Q117" s="1248">
        <f>VLOOKUP(D117,'TRẠM 2'!$C$15:$Y$89,15,0)</f>
        <v>4</v>
      </c>
      <c r="R117" s="1248">
        <f>VLOOKUP(D117,'TRẠM 2'!$C$15:$Y$89,16,0)</f>
        <v>0</v>
      </c>
      <c r="S117" s="1248">
        <f>VLOOKUP(D117,'TRẠM 2'!$C$15:$Y$89,17,0)</f>
        <v>4</v>
      </c>
      <c r="T117" s="1248" t="e">
        <f>VLOOKUP(G117,'TRẠM 2'!$C$15:$Y$89,13,0)</f>
        <v>#N/A</v>
      </c>
      <c r="U117" s="1248" t="e">
        <f>VLOOKUP(H117,'TRẠM 2'!$C$15:$Y$89,13,0)</f>
        <v>#N/A</v>
      </c>
      <c r="V117" s="1248">
        <f>VLOOKUP(D117,'TRẠM 2'!$C$15:$Y$89,20,0)</f>
        <v>34</v>
      </c>
      <c r="W117" s="1248"/>
      <c r="X117" s="1248"/>
      <c r="Y117" s="1248"/>
      <c r="Z117" s="1881">
        <f t="shared" si="22"/>
        <v>2209253</v>
      </c>
      <c r="AA117" s="1471">
        <f t="shared" si="23"/>
        <v>7844428</v>
      </c>
      <c r="AB117" s="1472"/>
      <c r="AC117" s="1420">
        <f t="shared" si="20"/>
        <v>7844428</v>
      </c>
      <c r="AD117" s="593">
        <v>8</v>
      </c>
    </row>
    <row r="118" spans="1:30" s="242" customFormat="1" ht="27.75" customHeight="1">
      <c r="A118" s="1282">
        <v>91</v>
      </c>
      <c r="B118" s="1245">
        <v>9</v>
      </c>
      <c r="C118" s="320" t="str">
        <f>TONGHOPCONGDOI!B113</f>
        <v>04124</v>
      </c>
      <c r="D118" s="321" t="str">
        <f>TONGHOPCONGDOI!C113</f>
        <v>T. Lăm Chê</v>
      </c>
      <c r="E118" s="1243" t="s">
        <v>15</v>
      </c>
      <c r="F118" s="1252"/>
      <c r="G118" s="1248">
        <f t="shared" si="18"/>
        <v>0</v>
      </c>
      <c r="H118" s="1248">
        <f>VLOOKUP(D118,'TRẠM 2'!$C$15:$Y$89,6,0)</f>
        <v>3001</v>
      </c>
      <c r="I118" s="1248">
        <f>VLOOKUP(D118,'TRẠM 2'!$C$15:$Y$89,7,0)</f>
        <v>0</v>
      </c>
      <c r="J118" s="1248">
        <f>VLOOKUP(D118,'TRẠM 2'!$C$15:$Y$89,8,0)</f>
        <v>1307.5064855405342</v>
      </c>
      <c r="K118" s="1248">
        <f>VLOOKUP(D118,'TRẠM 2'!$C$15:$Y$89,9,0)</f>
        <v>121.76678587943887</v>
      </c>
      <c r="L118" s="1837">
        <f t="shared" si="21"/>
        <v>1429.2732714199731</v>
      </c>
      <c r="M118" s="1996" t="str">
        <f>VLOOKUP(D118,'TRẠM 2'!$C$15:$Y$89,11,0)</f>
        <v>B</v>
      </c>
      <c r="N118" s="1248">
        <f>VLOOKUP(D118,'TRẠM 2'!$C$15:$Y$89,12,0)</f>
        <v>4973871</v>
      </c>
      <c r="O118" s="1248">
        <f>VLOOKUP(D118,'TRẠM 2'!$C$15:$Y$89,13,0)</f>
        <v>21</v>
      </c>
      <c r="P118" s="1248">
        <f>VLOOKUP(D118,'TRẠM 2'!$C$15:$Y$89,14,0)</f>
        <v>3</v>
      </c>
      <c r="Q118" s="1248">
        <f>VLOOKUP(D118,'TRẠM 2'!$C$15:$Y$89,15,0)</f>
        <v>5</v>
      </c>
      <c r="R118" s="1248">
        <f>VLOOKUP(D118,'TRẠM 2'!$C$15:$Y$89,16,0)</f>
        <v>0</v>
      </c>
      <c r="S118" s="1248">
        <f>VLOOKUP(D118,'TRẠM 2'!$C$15:$Y$89,17,0)</f>
        <v>5</v>
      </c>
      <c r="T118" s="1248" t="e">
        <f>VLOOKUP(G118,'TRẠM 2'!$C$15:$Y$89,13,0)</f>
        <v>#N/A</v>
      </c>
      <c r="U118" s="1248" t="e">
        <f>VLOOKUP(H118,'TRẠM 2'!$C$15:$Y$89,13,0)</f>
        <v>#N/A</v>
      </c>
      <c r="V118" s="1248">
        <f>VLOOKUP(D118,'TRẠM 2'!$C$15:$Y$89,20,0)</f>
        <v>34</v>
      </c>
      <c r="W118" s="1248"/>
      <c r="X118" s="1248"/>
      <c r="Y118" s="1248"/>
      <c r="Z118" s="1881">
        <f t="shared" si="22"/>
        <v>2288680</v>
      </c>
      <c r="AA118" s="1471">
        <f t="shared" si="23"/>
        <v>7262551</v>
      </c>
      <c r="AB118" s="1472"/>
      <c r="AC118" s="1420">
        <f t="shared" si="20"/>
        <v>7262551</v>
      </c>
      <c r="AD118" s="593">
        <v>9</v>
      </c>
    </row>
    <row r="119" spans="1:30" s="242" customFormat="1" ht="27.75" customHeight="1">
      <c r="A119" s="1282">
        <v>92</v>
      </c>
      <c r="B119" s="1245">
        <v>10</v>
      </c>
      <c r="C119" s="320" t="str">
        <f>TONGHOPCONGDOI!B114</f>
        <v>03654</v>
      </c>
      <c r="D119" s="321" t="str">
        <f>TONGHOPCONGDOI!C114</f>
        <v>T. Phim</v>
      </c>
      <c r="E119" s="1243" t="s">
        <v>15</v>
      </c>
      <c r="F119" s="1252"/>
      <c r="G119" s="1248">
        <f t="shared" si="18"/>
        <v>0</v>
      </c>
      <c r="H119" s="1248">
        <f>VLOOKUP(D119,'TRẠM 2'!$C$15:$Y$89,6,0)</f>
        <v>3485</v>
      </c>
      <c r="I119" s="1248">
        <f>VLOOKUP(D119,'TRẠM 2'!$C$15:$Y$89,7,0)</f>
        <v>0</v>
      </c>
      <c r="J119" s="1248">
        <f>VLOOKUP(D119,'TRẠM 2'!$C$15:$Y$89,8,0)</f>
        <v>1518.3805738449723</v>
      </c>
      <c r="K119" s="1248">
        <f>VLOOKUP(D119,'TRẠM 2'!$C$15:$Y$89,9,0)</f>
        <v>141.40528116955832</v>
      </c>
      <c r="L119" s="1837">
        <f t="shared" si="21"/>
        <v>1659.7858550145306</v>
      </c>
      <c r="M119" s="1996" t="str">
        <f>VLOOKUP(D119,'TRẠM 2'!$C$15:$Y$89,11,0)</f>
        <v>A</v>
      </c>
      <c r="N119" s="1248">
        <f>VLOOKUP(D119,'TRẠM 2'!$C$15:$Y$89,12,0)</f>
        <v>6074816</v>
      </c>
      <c r="O119" s="1248">
        <f>VLOOKUP(D119,'TRẠM 2'!$C$15:$Y$89,13,0)</f>
        <v>19</v>
      </c>
      <c r="P119" s="1248">
        <f>VLOOKUP(D119,'TRẠM 2'!$C$15:$Y$89,14,0)</f>
        <v>4</v>
      </c>
      <c r="Q119" s="1248">
        <f>VLOOKUP(D119,'TRẠM 2'!$C$15:$Y$89,15,0)</f>
        <v>5</v>
      </c>
      <c r="R119" s="1248">
        <f>VLOOKUP(D119,'TRẠM 2'!$C$15:$Y$89,16,0)</f>
        <v>0</v>
      </c>
      <c r="S119" s="1248">
        <f>VLOOKUP(D119,'TRẠM 2'!$C$15:$Y$89,17,0)</f>
        <v>5</v>
      </c>
      <c r="T119" s="1248" t="e">
        <f>VLOOKUP(G119,'TRẠM 2'!$C$15:$Y$89,13,0)</f>
        <v>#N/A</v>
      </c>
      <c r="U119" s="1248" t="e">
        <f>VLOOKUP(H119,'TRẠM 2'!$C$15:$Y$89,13,0)</f>
        <v>#N/A</v>
      </c>
      <c r="V119" s="1248">
        <f>VLOOKUP(D119,'TRẠM 2'!$C$15:$Y$89,20,0)</f>
        <v>25</v>
      </c>
      <c r="W119" s="1248"/>
      <c r="X119" s="1248"/>
      <c r="Y119" s="1248"/>
      <c r="Z119" s="1881">
        <f t="shared" si="22"/>
        <v>2098460</v>
      </c>
      <c r="AA119" s="1471">
        <f t="shared" si="23"/>
        <v>8173276</v>
      </c>
      <c r="AB119" s="1472"/>
      <c r="AC119" s="1420">
        <f t="shared" si="20"/>
        <v>8173276</v>
      </c>
      <c r="AD119" s="593">
        <v>10</v>
      </c>
    </row>
    <row r="120" spans="1:30" s="242" customFormat="1" ht="27.75" customHeight="1">
      <c r="A120" s="1282">
        <v>98</v>
      </c>
      <c r="B120" s="1245">
        <v>11</v>
      </c>
      <c r="C120" s="320" t="str">
        <f>TONGHOPCONGDOI!B115</f>
        <v>04125</v>
      </c>
      <c r="D120" s="321" t="str">
        <f>TONGHOPCONGDOI!C115</f>
        <v>T. Teo</v>
      </c>
      <c r="E120" s="1243" t="s">
        <v>15</v>
      </c>
      <c r="F120" s="1252"/>
      <c r="G120" s="1248">
        <f t="shared" si="18"/>
        <v>0</v>
      </c>
      <c r="H120" s="1248">
        <f>VLOOKUP(D120,'TRẠM 2'!$C$15:$Y$89,6,0)</f>
        <v>2807</v>
      </c>
      <c r="I120" s="1248">
        <f>VLOOKUP(D120,'TRẠM 2'!$C$15:$Y$89,7,0)</f>
        <v>0</v>
      </c>
      <c r="J120" s="1248">
        <f>VLOOKUP(D120,'TRẠM 2'!$C$15:$Y$89,8,0)</f>
        <v>1222.9825741127222</v>
      </c>
      <c r="K120" s="1248">
        <f>VLOOKUP(D120,'TRẠM 2'!$C$15:$Y$89,9,0)</f>
        <v>113.89515760199431</v>
      </c>
      <c r="L120" s="1837">
        <f t="shared" si="21"/>
        <v>1336.8777317147164</v>
      </c>
      <c r="M120" s="1996" t="str">
        <f>VLOOKUP(D120,'TRẠM 2'!$C$15:$Y$89,11,0)</f>
        <v>B</v>
      </c>
      <c r="N120" s="1248">
        <f>VLOOKUP(D120,'TRẠM 2'!$C$15:$Y$89,12,0)</f>
        <v>4652335</v>
      </c>
      <c r="O120" s="1248">
        <f>VLOOKUP(D120,'TRẠM 2'!$C$15:$Y$89,13,0)</f>
        <v>20</v>
      </c>
      <c r="P120" s="1248">
        <f>VLOOKUP(D120,'TRẠM 2'!$C$15:$Y$89,14,0)</f>
        <v>3</v>
      </c>
      <c r="Q120" s="1248">
        <f>VLOOKUP(D120,'TRẠM 2'!$C$15:$Y$89,15,0)</f>
        <v>5</v>
      </c>
      <c r="R120" s="1248">
        <f>VLOOKUP(D120,'TRẠM 2'!$C$15:$Y$89,16,0)</f>
        <v>0</v>
      </c>
      <c r="S120" s="1248">
        <f>VLOOKUP(D120,'TRẠM 2'!$C$15:$Y$89,17,0)</f>
        <v>5</v>
      </c>
      <c r="T120" s="1248" t="e">
        <f>VLOOKUP(G120,'TRẠM 2'!$C$15:$Y$89,13,0)</f>
        <v>#N/A</v>
      </c>
      <c r="U120" s="1248" t="e">
        <f>VLOOKUP(H120,'TRẠM 2'!$C$15:$Y$89,13,0)</f>
        <v>#N/A</v>
      </c>
      <c r="V120" s="1248">
        <f>VLOOKUP(D120,'TRẠM 2'!$C$15:$Y$89,20,0)</f>
        <v>33</v>
      </c>
      <c r="W120" s="1248"/>
      <c r="X120" s="1248"/>
      <c r="Y120" s="1248"/>
      <c r="Z120" s="1881">
        <f t="shared" si="22"/>
        <v>2237887</v>
      </c>
      <c r="AA120" s="1471">
        <f t="shared" si="23"/>
        <v>6890222</v>
      </c>
      <c r="AB120" s="1472"/>
      <c r="AC120" s="1420">
        <f t="shared" si="20"/>
        <v>6890222</v>
      </c>
      <c r="AD120" s="593">
        <v>11</v>
      </c>
    </row>
    <row r="121" spans="1:30" s="242" customFormat="1" ht="27.75" customHeight="1">
      <c r="A121" s="1282">
        <v>93</v>
      </c>
      <c r="B121" s="1245">
        <v>12</v>
      </c>
      <c r="C121" s="320" t="str">
        <f>TONGHOPCONGDOI!B116</f>
        <v>03656</v>
      </c>
      <c r="D121" s="321" t="str">
        <f>TONGHOPCONGDOI!C116</f>
        <v>N. Văn Thong</v>
      </c>
      <c r="E121" s="1243" t="s">
        <v>15</v>
      </c>
      <c r="F121" s="1252"/>
      <c r="G121" s="1248">
        <f t="shared" si="18"/>
        <v>0</v>
      </c>
      <c r="H121" s="1248">
        <f>VLOOKUP(D121,'TRẠM 2'!$C$15:$Y$89,6,0)</f>
        <v>2854</v>
      </c>
      <c r="I121" s="1248">
        <f>VLOOKUP(D121,'TRẠM 2'!$C$15:$Y$89,7,0)</f>
        <v>0</v>
      </c>
      <c r="J121" s="1248">
        <f>VLOOKUP(D121,'TRẠM 2'!$C$15:$Y$89,8,0)</f>
        <v>1243.4600165720376</v>
      </c>
      <c r="K121" s="1248">
        <f>VLOOKUP(D121,'TRẠM 2'!$C$15:$Y$89,9,0)</f>
        <v>115.80220156611747</v>
      </c>
      <c r="L121" s="1837">
        <f t="shared" si="21"/>
        <v>1359.262218138155</v>
      </c>
      <c r="M121" s="1996" t="str">
        <f>VLOOKUP(D121,'TRẠM 2'!$C$15:$Y$89,11,0)</f>
        <v>B</v>
      </c>
      <c r="N121" s="1248">
        <f>VLOOKUP(D121,'TRẠM 2'!$C$15:$Y$89,12,0)</f>
        <v>4730233</v>
      </c>
      <c r="O121" s="1248">
        <f>VLOOKUP(D121,'TRẠM 2'!$C$15:$Y$89,13,0)</f>
        <v>21</v>
      </c>
      <c r="P121" s="1248">
        <f>VLOOKUP(D121,'TRẠM 2'!$C$15:$Y$89,14,0)</f>
        <v>3</v>
      </c>
      <c r="Q121" s="1248">
        <f>VLOOKUP(D121,'TRẠM 2'!$C$15:$Y$89,15,0)</f>
        <v>5</v>
      </c>
      <c r="R121" s="1248">
        <f>VLOOKUP(D121,'TRẠM 2'!$C$15:$Y$89,16,0)</f>
        <v>0</v>
      </c>
      <c r="S121" s="1248">
        <f>VLOOKUP(D121,'TRẠM 2'!$C$15:$Y$89,17,0)</f>
        <v>5</v>
      </c>
      <c r="T121" s="1248" t="e">
        <f>VLOOKUP(G121,'TRẠM 2'!$C$15:$Y$89,13,0)</f>
        <v>#N/A</v>
      </c>
      <c r="U121" s="1248" t="e">
        <f>VLOOKUP(H121,'TRẠM 2'!$C$15:$Y$89,13,0)</f>
        <v>#N/A</v>
      </c>
      <c r="V121" s="1248">
        <f>VLOOKUP(D121,'TRẠM 2'!$C$15:$Y$89,20,0)</f>
        <v>25</v>
      </c>
      <c r="W121" s="1248"/>
      <c r="X121" s="1248"/>
      <c r="Y121" s="1248"/>
      <c r="Z121" s="1881">
        <f t="shared" si="22"/>
        <v>2108680</v>
      </c>
      <c r="AA121" s="1471">
        <f t="shared" si="23"/>
        <v>6838913</v>
      </c>
      <c r="AB121" s="1472"/>
      <c r="AC121" s="1420">
        <f t="shared" si="20"/>
        <v>6838913</v>
      </c>
      <c r="AD121" s="593">
        <v>12</v>
      </c>
    </row>
    <row r="122" spans="1:30" s="242" customFormat="1" ht="27.75" customHeight="1">
      <c r="A122" s="1282">
        <v>94</v>
      </c>
      <c r="B122" s="1245">
        <v>13</v>
      </c>
      <c r="C122" s="320" t="str">
        <f>TONGHOPCONGDOI!B117</f>
        <v>03657</v>
      </c>
      <c r="D122" s="321" t="str">
        <f>TONGHOPCONGDOI!C117</f>
        <v>Cong Khăm</v>
      </c>
      <c r="E122" s="1243" t="s">
        <v>15</v>
      </c>
      <c r="F122" s="1252"/>
      <c r="G122" s="1248">
        <f t="shared" si="18"/>
        <v>0</v>
      </c>
      <c r="H122" s="1248">
        <f>VLOOKUP(D122,'TRẠM 2'!$C$15:$Y$89,6,0)</f>
        <v>3141</v>
      </c>
      <c r="I122" s="1248">
        <f>VLOOKUP(D122,'TRẠM 2'!$C$15:$Y$89,7,0)</f>
        <v>0</v>
      </c>
      <c r="J122" s="1248">
        <f>VLOOKUP(D122,'TRẠM 2'!$C$15:$Y$89,8,0)</f>
        <v>1368.5031226533881</v>
      </c>
      <c r="K122" s="1248">
        <f>VLOOKUP(D122,'TRẠM 2'!$C$15:$Y$89,9,0)</f>
        <v>127.4473423683164</v>
      </c>
      <c r="L122" s="1837">
        <f t="shared" si="21"/>
        <v>1495.9504650217045</v>
      </c>
      <c r="M122" s="1996" t="str">
        <f>VLOOKUP(D122,'TRẠM 2'!$C$15:$Y$89,11,0)</f>
        <v>A</v>
      </c>
      <c r="N122" s="1248">
        <f>VLOOKUP(D122,'TRẠM 2'!$C$15:$Y$89,12,0)</f>
        <v>5475179</v>
      </c>
      <c r="O122" s="1248">
        <f>VLOOKUP(D122,'TRẠM 2'!$C$15:$Y$89,13,0)</f>
        <v>21</v>
      </c>
      <c r="P122" s="1248">
        <f>VLOOKUP(D122,'TRẠM 2'!$C$15:$Y$89,14,0)</f>
        <v>4</v>
      </c>
      <c r="Q122" s="1248">
        <f>VLOOKUP(D122,'TRẠM 2'!$C$15:$Y$89,15,0)</f>
        <v>5</v>
      </c>
      <c r="R122" s="1248">
        <f>VLOOKUP(D122,'TRẠM 2'!$C$15:$Y$89,16,0)</f>
        <v>0</v>
      </c>
      <c r="S122" s="1248">
        <f>VLOOKUP(D122,'TRẠM 2'!$C$15:$Y$89,17,0)</f>
        <v>5</v>
      </c>
      <c r="T122" s="1248" t="e">
        <f>VLOOKUP(G122,'TRẠM 2'!$C$15:$Y$89,13,0)</f>
        <v>#N/A</v>
      </c>
      <c r="U122" s="1248" t="e">
        <f>VLOOKUP(H122,'TRẠM 2'!$C$15:$Y$89,13,0)</f>
        <v>#N/A</v>
      </c>
      <c r="V122" s="1248">
        <f>VLOOKUP(D122,'TRẠM 2'!$C$15:$Y$89,20,0)</f>
        <v>26</v>
      </c>
      <c r="W122" s="1248"/>
      <c r="X122" s="1248"/>
      <c r="Y122" s="1248"/>
      <c r="Z122" s="1881">
        <f t="shared" si="22"/>
        <v>2180046</v>
      </c>
      <c r="AA122" s="1471">
        <f t="shared" si="23"/>
        <v>7655225</v>
      </c>
      <c r="AB122" s="1472"/>
      <c r="AC122" s="1420">
        <f t="shared" si="20"/>
        <v>7655225</v>
      </c>
      <c r="AD122" s="593">
        <v>13</v>
      </c>
    </row>
    <row r="123" spans="1:30" s="242" customFormat="1" ht="27.75" customHeight="1">
      <c r="A123" s="1282">
        <v>95</v>
      </c>
      <c r="B123" s="1245">
        <v>14</v>
      </c>
      <c r="C123" s="320">
        <f>TONGHOPCONGDOI!B118</f>
        <v>0</v>
      </c>
      <c r="D123" s="321" t="str">
        <f>TONGHOPCONGDOI!C118</f>
        <v>Thảo Vông 1</v>
      </c>
      <c r="E123" s="1243" t="s">
        <v>15</v>
      </c>
      <c r="F123" s="1252"/>
      <c r="G123" s="1248">
        <f t="shared" si="18"/>
        <v>0</v>
      </c>
      <c r="H123" s="1248">
        <f>VLOOKUP(D123,'TRẠM 2'!$C$15:$Y$89,6,0)</f>
        <v>834</v>
      </c>
      <c r="I123" s="1248">
        <f>VLOOKUP(D123,'TRẠM 2'!$C$15:$Y$89,7,0)</f>
        <v>0</v>
      </c>
      <c r="J123" s="1248">
        <f>VLOOKUP(D123,'TRẠM 2'!$C$15:$Y$89,8,0)</f>
        <v>363.36568108657298</v>
      </c>
      <c r="K123" s="1248">
        <f>VLOOKUP(D123,'TRẠM 2'!$C$15:$Y$89,9,0)</f>
        <v>33.839886512313235</v>
      </c>
      <c r="L123" s="1837">
        <f t="shared" si="21"/>
        <v>397.2055675988862</v>
      </c>
      <c r="M123" s="1996" t="str">
        <f>VLOOKUP(D123,'TRẠM 2'!$C$15:$Y$89,11,0)</f>
        <v>A</v>
      </c>
      <c r="N123" s="1248">
        <f>VLOOKUP(D123,'TRẠM 2'!$C$15:$Y$89,12,0)</f>
        <v>1453772</v>
      </c>
      <c r="O123" s="1248">
        <f>VLOOKUP(D123,'TRẠM 2'!$C$15:$Y$89,13,0)</f>
        <v>6</v>
      </c>
      <c r="P123" s="1248">
        <f>VLOOKUP(D123,'TRẠM 2'!$C$15:$Y$89,14,0)</f>
        <v>1</v>
      </c>
      <c r="Q123" s="1248">
        <f>VLOOKUP(D123,'TRẠM 2'!$C$15:$Y$89,15,0)</f>
        <v>1</v>
      </c>
      <c r="R123" s="1248">
        <f>VLOOKUP(D123,'TRẠM 2'!$C$15:$Y$89,16,0)</f>
        <v>0</v>
      </c>
      <c r="S123" s="1248">
        <f>VLOOKUP(D123,'TRẠM 2'!$C$15:$Y$89,17,0)</f>
        <v>1</v>
      </c>
      <c r="T123" s="1248" t="e">
        <f>VLOOKUP(G123,'TRẠM 2'!$C$15:$Y$89,13,0)</f>
        <v>#N/A</v>
      </c>
      <c r="U123" s="1248" t="e">
        <f>VLOOKUP(H123,'TRẠM 2'!$C$15:$Y$89,13,0)</f>
        <v>#N/A</v>
      </c>
      <c r="V123" s="1248">
        <f>VLOOKUP(D123,'TRẠM 2'!$C$15:$Y$89,20,0)</f>
        <v>6</v>
      </c>
      <c r="W123" s="1248"/>
      <c r="X123" s="1248"/>
      <c r="Y123" s="1248"/>
      <c r="Z123" s="1881">
        <f t="shared" si="22"/>
        <v>517710</v>
      </c>
      <c r="AA123" s="1471">
        <f t="shared" si="23"/>
        <v>1971482</v>
      </c>
      <c r="AB123" s="1472"/>
      <c r="AC123" s="1420">
        <f t="shared" si="20"/>
        <v>1971482</v>
      </c>
      <c r="AD123" s="593">
        <v>14</v>
      </c>
    </row>
    <row r="124" spans="1:30" s="242" customFormat="1" ht="27.75" customHeight="1">
      <c r="A124" s="1282">
        <v>96</v>
      </c>
      <c r="B124" s="1245">
        <v>15</v>
      </c>
      <c r="C124" s="320" t="str">
        <f>TONGHOPCONGDOI!B119</f>
        <v>04126</v>
      </c>
      <c r="D124" s="321" t="str">
        <f>TONGHOPCONGDOI!C119</f>
        <v>N. Vông</v>
      </c>
      <c r="E124" s="1243" t="s">
        <v>15</v>
      </c>
      <c r="F124" s="1252"/>
      <c r="G124" s="1248">
        <f t="shared" si="18"/>
        <v>0</v>
      </c>
      <c r="H124" s="1248">
        <f>VLOOKUP(D124,'TRẠM 2'!$C$15:$Y$89,6,0)</f>
        <v>2836</v>
      </c>
      <c r="I124" s="1248">
        <f>VLOOKUP(D124,'TRẠM 2'!$C$15:$Y$89,7,0)</f>
        <v>0</v>
      </c>
      <c r="J124" s="1248">
        <f>VLOOKUP(D124,'TRẠM 2'!$C$15:$Y$89,8,0)</f>
        <v>1235.6175918003848</v>
      </c>
      <c r="K124" s="1248">
        <f>VLOOKUP(D124,'TRẠM 2'!$C$15:$Y$89,9,0)</f>
        <v>115.0718443032618</v>
      </c>
      <c r="L124" s="1837">
        <f t="shared" si="21"/>
        <v>1350.6894361036466</v>
      </c>
      <c r="M124" s="1996" t="str">
        <f>VLOOKUP(D124,'TRẠM 2'!$C$15:$Y$89,11,0)</f>
        <v>B</v>
      </c>
      <c r="N124" s="1248">
        <f>VLOOKUP(D124,'TRẠM 2'!$C$15:$Y$89,12,0)</f>
        <v>4700399</v>
      </c>
      <c r="O124" s="1248">
        <f>VLOOKUP(D124,'TRẠM 2'!$C$15:$Y$89,13,0)</f>
        <v>22</v>
      </c>
      <c r="P124" s="1248">
        <f>VLOOKUP(D124,'TRẠM 2'!$C$15:$Y$89,14,0)</f>
        <v>4</v>
      </c>
      <c r="Q124" s="1248">
        <f>VLOOKUP(D124,'TRẠM 2'!$C$15:$Y$89,15,0)</f>
        <v>5</v>
      </c>
      <c r="R124" s="1248">
        <f>VLOOKUP(D124,'TRẠM 2'!$C$15:$Y$89,16,0)</f>
        <v>0</v>
      </c>
      <c r="S124" s="1248">
        <f>VLOOKUP(D124,'TRẠM 2'!$C$15:$Y$89,17,0)</f>
        <v>5</v>
      </c>
      <c r="T124" s="1248" t="e">
        <f>VLOOKUP(G124,'TRẠM 2'!$C$15:$Y$89,13,0)</f>
        <v>#N/A</v>
      </c>
      <c r="U124" s="1248" t="e">
        <f>VLOOKUP(H124,'TRẠM 2'!$C$15:$Y$89,13,0)</f>
        <v>#N/A</v>
      </c>
      <c r="V124" s="1248">
        <f>VLOOKUP(D124,'TRẠM 2'!$C$15:$Y$89,20,0)</f>
        <v>36</v>
      </c>
      <c r="W124" s="1248"/>
      <c r="X124" s="1248"/>
      <c r="Y124" s="1248"/>
      <c r="Z124" s="1881">
        <f t="shared" si="22"/>
        <v>2410839</v>
      </c>
      <c r="AA124" s="1471">
        <f t="shared" si="23"/>
        <v>7111238</v>
      </c>
      <c r="AB124" s="1472"/>
      <c r="AC124" s="1420">
        <f t="shared" si="20"/>
        <v>7111238</v>
      </c>
      <c r="AD124" s="593">
        <v>15</v>
      </c>
    </row>
    <row r="125" spans="1:30" s="242" customFormat="1" ht="27.75" customHeight="1">
      <c r="A125" s="1282">
        <v>97</v>
      </c>
      <c r="B125" s="1245">
        <v>16</v>
      </c>
      <c r="C125" s="320" t="str">
        <f>TONGHOPCONGDOI!B120</f>
        <v>03494</v>
      </c>
      <c r="D125" s="321" t="str">
        <f>TONGHOPCONGDOI!C120</f>
        <v>T. Đi</v>
      </c>
      <c r="E125" s="1243" t="s">
        <v>15</v>
      </c>
      <c r="F125" s="1252"/>
      <c r="G125" s="1248">
        <f t="shared" si="18"/>
        <v>0</v>
      </c>
      <c r="H125" s="1248">
        <f>VLOOKUP(D125,'TRẠM 2'!$C$15:$Y$89,6,0)</f>
        <v>2845</v>
      </c>
      <c r="I125" s="1248">
        <f>VLOOKUP(D125,'TRẠM 2'!$C$15:$Y$89,7,0)</f>
        <v>0</v>
      </c>
      <c r="J125" s="1248">
        <f>VLOOKUP(D125,'TRẠM 2'!$C$15:$Y$89,8,0)</f>
        <v>1239.5388041862111</v>
      </c>
      <c r="K125" s="1248">
        <f>VLOOKUP(D125,'TRẠM 2'!$C$15:$Y$89,9,0)</f>
        <v>115.43702293468964</v>
      </c>
      <c r="L125" s="1837">
        <f t="shared" si="21"/>
        <v>1354.9758271209007</v>
      </c>
      <c r="M125" s="1996" t="str">
        <f>VLOOKUP(D125,'TRẠM 2'!$C$15:$Y$89,11,0)</f>
        <v>B</v>
      </c>
      <c r="N125" s="1248">
        <f>VLOOKUP(D125,'TRẠM 2'!$C$15:$Y$89,12,0)</f>
        <v>4715316</v>
      </c>
      <c r="O125" s="1248">
        <f>VLOOKUP(D125,'TRẠM 2'!$C$15:$Y$89,13,0)</f>
        <v>22</v>
      </c>
      <c r="P125" s="1248">
        <f>VLOOKUP(D125,'TRẠM 2'!$C$15:$Y$89,14,0)</f>
        <v>4</v>
      </c>
      <c r="Q125" s="1248">
        <f>VLOOKUP(D125,'TRẠM 2'!$C$15:$Y$89,15,0)</f>
        <v>5</v>
      </c>
      <c r="R125" s="1248">
        <f>VLOOKUP(D125,'TRẠM 2'!$C$15:$Y$89,16,0)</f>
        <v>0</v>
      </c>
      <c r="S125" s="1248">
        <f>VLOOKUP(D125,'TRẠM 2'!$C$15:$Y$89,17,0)</f>
        <v>5</v>
      </c>
      <c r="T125" s="1248" t="e">
        <f>VLOOKUP(G125,'TRẠM 2'!$C$15:$Y$89,13,0)</f>
        <v>#N/A</v>
      </c>
      <c r="U125" s="1248" t="e">
        <f>VLOOKUP(H125,'TRẠM 2'!$C$15:$Y$89,13,0)</f>
        <v>#N/A</v>
      </c>
      <c r="V125" s="1248">
        <f>VLOOKUP(D125,'TRẠM 2'!$C$15:$Y$89,20,0)</f>
        <v>36</v>
      </c>
      <c r="W125" s="1248"/>
      <c r="X125" s="1248"/>
      <c r="Y125" s="1248"/>
      <c r="Z125" s="1881">
        <f t="shared" si="22"/>
        <v>2410839</v>
      </c>
      <c r="AA125" s="1471">
        <f t="shared" si="23"/>
        <v>7126155</v>
      </c>
      <c r="AB125" s="1472"/>
      <c r="AC125" s="1420">
        <f t="shared" si="20"/>
        <v>7126155</v>
      </c>
      <c r="AD125" s="593">
        <v>16</v>
      </c>
    </row>
    <row r="126" spans="1:30" s="242" customFormat="1" ht="27.75" customHeight="1">
      <c r="A126" s="1282">
        <v>98</v>
      </c>
      <c r="B126" s="1245">
        <v>17</v>
      </c>
      <c r="C126" s="320">
        <f>TONGHOPCONGDOI!B121</f>
        <v>0</v>
      </c>
      <c r="D126" s="321" t="str">
        <f>TONGHOPCONGDOI!C121</f>
        <v>Nàng Lênh</v>
      </c>
      <c r="E126" s="1243" t="s">
        <v>15</v>
      </c>
      <c r="F126" s="1252"/>
      <c r="G126" s="1248">
        <f t="shared" si="18"/>
        <v>0</v>
      </c>
      <c r="H126" s="1248">
        <f>VLOOKUP(D126,'TRẠM 2'!$C$15:$Y$89,6,0)</f>
        <v>3195</v>
      </c>
      <c r="I126" s="1248">
        <f>VLOOKUP(D126,'TRẠM 2'!$C$15:$Y$89,7,0)</f>
        <v>0</v>
      </c>
      <c r="J126" s="1248">
        <f>VLOOKUP(D126,'TRẠM 2'!$C$15:$Y$89,8,0)</f>
        <v>1392.0303969683462</v>
      </c>
      <c r="K126" s="1248">
        <f>VLOOKUP(D126,'TRẠM 2'!$C$15:$Y$89,9,0)</f>
        <v>129.63841415688344</v>
      </c>
      <c r="L126" s="1837">
        <f t="shared" si="21"/>
        <v>1521.6688111252297</v>
      </c>
      <c r="M126" s="1996" t="str">
        <f>VLOOKUP(D126,'TRẠM 2'!$C$15:$Y$89,11,0)</f>
        <v>B</v>
      </c>
      <c r="N126" s="1248">
        <f>VLOOKUP(D126,'TRẠM 2'!$C$15:$Y$89,12,0)</f>
        <v>5295407</v>
      </c>
      <c r="O126" s="1248">
        <f>VLOOKUP(D126,'TRẠM 2'!$C$15:$Y$89,13,0)</f>
        <v>21</v>
      </c>
      <c r="P126" s="1248">
        <f>VLOOKUP(D126,'TRẠM 2'!$C$15:$Y$89,14,0)</f>
        <v>4</v>
      </c>
      <c r="Q126" s="1248">
        <f>VLOOKUP(D126,'TRẠM 2'!$C$15:$Y$89,15,0)</f>
        <v>4</v>
      </c>
      <c r="R126" s="1248">
        <f>VLOOKUP(D126,'TRẠM 2'!$C$15:$Y$89,16,0)</f>
        <v>0</v>
      </c>
      <c r="S126" s="1248">
        <f>VLOOKUP(D126,'TRẠM 2'!$C$15:$Y$89,17,0)</f>
        <v>4</v>
      </c>
      <c r="T126" s="1248" t="e">
        <f>VLOOKUP(G126,'TRẠM 2'!$C$15:$Y$89,13,0)</f>
        <v>#N/A</v>
      </c>
      <c r="U126" s="1248" t="e">
        <f>VLOOKUP(H126,'TRẠM 2'!$C$15:$Y$89,13,0)</f>
        <v>#N/A</v>
      </c>
      <c r="V126" s="1248">
        <f>VLOOKUP(D126,'TRẠM 2'!$C$15:$Y$89,20,0)</f>
        <v>33</v>
      </c>
      <c r="W126" s="1248"/>
      <c r="X126" s="1248"/>
      <c r="Y126" s="1248"/>
      <c r="Z126" s="1881">
        <f t="shared" si="22"/>
        <v>2158460</v>
      </c>
      <c r="AA126" s="1471">
        <f t="shared" si="23"/>
        <v>7453867</v>
      </c>
      <c r="AB126" s="1472"/>
      <c r="AC126" s="1420">
        <f t="shared" si="20"/>
        <v>7453867</v>
      </c>
      <c r="AD126" s="593">
        <v>17</v>
      </c>
    </row>
    <row r="127" spans="1:30" s="242" customFormat="1" ht="27.75" customHeight="1">
      <c r="A127" s="1282">
        <v>99</v>
      </c>
      <c r="B127" s="1245">
        <v>18</v>
      </c>
      <c r="C127" s="320" t="str">
        <f>TONGHOPCONGDOI!B122</f>
        <v>03662</v>
      </c>
      <c r="D127" s="321" t="str">
        <f>TONGHOPCONGDOI!C122</f>
        <v>T.Xê</v>
      </c>
      <c r="E127" s="1243" t="s">
        <v>15</v>
      </c>
      <c r="F127" s="1252"/>
      <c r="G127" s="1248">
        <f t="shared" si="18"/>
        <v>0</v>
      </c>
      <c r="H127" s="1248">
        <f>VLOOKUP(D127,'TRẠM 2'!$C$15:$Y$89,6,0)</f>
        <v>2780</v>
      </c>
      <c r="I127" s="1248">
        <f>VLOOKUP(D127,'TRẠM 2'!$C$15:$Y$89,7,0)</f>
        <v>0</v>
      </c>
      <c r="J127" s="1248">
        <f>VLOOKUP(D127,'TRẠM 2'!$C$15:$Y$89,8,0)</f>
        <v>1211.2189369552432</v>
      </c>
      <c r="K127" s="1248">
        <f>VLOOKUP(D127,'TRẠM 2'!$C$15:$Y$89,9,0)</f>
        <v>112.79962170771078</v>
      </c>
      <c r="L127" s="1837">
        <f t="shared" si="21"/>
        <v>1324.0185586629539</v>
      </c>
      <c r="M127" s="1996" t="str">
        <f>VLOOKUP(D127,'TRẠM 2'!$C$15:$Y$89,11,0)</f>
        <v>B</v>
      </c>
      <c r="N127" s="1248">
        <f>VLOOKUP(D127,'TRẠM 2'!$C$15:$Y$89,12,0)</f>
        <v>4607585</v>
      </c>
      <c r="O127" s="1248">
        <f>VLOOKUP(D127,'TRẠM 2'!$C$15:$Y$89,13,0)</f>
        <v>21</v>
      </c>
      <c r="P127" s="1248">
        <f>VLOOKUP(D127,'TRẠM 2'!$C$15:$Y$89,14,0)</f>
        <v>4</v>
      </c>
      <c r="Q127" s="1248">
        <f>VLOOKUP(D127,'TRẠM 2'!$C$15:$Y$89,15,0)</f>
        <v>5</v>
      </c>
      <c r="R127" s="1248">
        <f>VLOOKUP(D127,'TRẠM 2'!$C$15:$Y$89,16,0)</f>
        <v>0</v>
      </c>
      <c r="S127" s="1248">
        <f>VLOOKUP(D127,'TRẠM 2'!$C$15:$Y$89,17,0)</f>
        <v>5</v>
      </c>
      <c r="T127" s="1248" t="e">
        <f>VLOOKUP(G127,'TRẠM 2'!$C$15:$Y$89,13,0)</f>
        <v>#N/A</v>
      </c>
      <c r="U127" s="1248" t="e">
        <f>VLOOKUP(H127,'TRẠM 2'!$C$15:$Y$89,13,0)</f>
        <v>#N/A</v>
      </c>
      <c r="V127" s="1248">
        <f>VLOOKUP(D127,'TRẠM 2'!$C$15:$Y$89,20,0)</f>
        <v>35</v>
      </c>
      <c r="W127" s="1248"/>
      <c r="X127" s="1248"/>
      <c r="Y127" s="1248"/>
      <c r="Z127" s="1881">
        <f t="shared" si="22"/>
        <v>2360046</v>
      </c>
      <c r="AA127" s="1471">
        <f t="shared" si="23"/>
        <v>6967631</v>
      </c>
      <c r="AB127" s="1472"/>
      <c r="AC127" s="1420">
        <f t="shared" si="20"/>
        <v>6967631</v>
      </c>
      <c r="AD127" s="593">
        <v>18</v>
      </c>
    </row>
    <row r="128" spans="1:30" s="242" customFormat="1" ht="27.75" customHeight="1">
      <c r="A128" s="1282">
        <v>100</v>
      </c>
      <c r="B128" s="1245">
        <v>19</v>
      </c>
      <c r="C128" s="320" t="str">
        <f>TONGHOPCONGDOI!B123</f>
        <v>03663</v>
      </c>
      <c r="D128" s="321" t="str">
        <f>TONGHOPCONGDOI!C123</f>
        <v>T. Hách</v>
      </c>
      <c r="E128" s="1243" t="s">
        <v>15</v>
      </c>
      <c r="F128" s="1252"/>
      <c r="G128" s="1248">
        <f t="shared" si="18"/>
        <v>0</v>
      </c>
      <c r="H128" s="1248">
        <f>VLOOKUP(D128,'TRẠM 2'!$C$15:$Y$89,6,0)</f>
        <v>2885</v>
      </c>
      <c r="I128" s="1248">
        <f>VLOOKUP(D128,'TRẠM 2'!$C$15:$Y$89,7,0)</f>
        <v>0</v>
      </c>
      <c r="J128" s="1248">
        <f>VLOOKUP(D128,'TRẠM 2'!$C$15:$Y$89,8,0)</f>
        <v>1256.9664147898839</v>
      </c>
      <c r="K128" s="1248">
        <f>VLOOKUP(D128,'TRẠM 2'!$C$15:$Y$89,9,0)</f>
        <v>117.06003907436893</v>
      </c>
      <c r="L128" s="1837">
        <f t="shared" si="21"/>
        <v>1374.0264538642527</v>
      </c>
      <c r="M128" s="1996" t="str">
        <f>VLOOKUP(D128,'TRẠM 2'!$C$15:$Y$89,11,0)</f>
        <v>B</v>
      </c>
      <c r="N128" s="1248">
        <f>VLOOKUP(D128,'TRẠM 2'!$C$15:$Y$89,12,0)</f>
        <v>4781612</v>
      </c>
      <c r="O128" s="1248">
        <f>VLOOKUP(D128,'TRẠM 2'!$C$15:$Y$89,13,0)</f>
        <v>20</v>
      </c>
      <c r="P128" s="1248">
        <f>VLOOKUP(D128,'TRẠM 2'!$C$15:$Y$89,14,0)</f>
        <v>4</v>
      </c>
      <c r="Q128" s="1248">
        <f>VLOOKUP(D128,'TRẠM 2'!$C$15:$Y$89,15,0)</f>
        <v>5</v>
      </c>
      <c r="R128" s="1248">
        <f>VLOOKUP(D128,'TRẠM 2'!$C$15:$Y$89,16,0)</f>
        <v>0</v>
      </c>
      <c r="S128" s="1248">
        <f>VLOOKUP(D128,'TRẠM 2'!$C$15:$Y$89,17,0)</f>
        <v>5</v>
      </c>
      <c r="T128" s="1248" t="e">
        <f>VLOOKUP(G128,'TRẠM 2'!$C$15:$Y$89,13,0)</f>
        <v>#N/A</v>
      </c>
      <c r="U128" s="1248" t="e">
        <f>VLOOKUP(H128,'TRẠM 2'!$C$15:$Y$89,13,0)</f>
        <v>#N/A</v>
      </c>
      <c r="V128" s="1248">
        <f>VLOOKUP(D128,'TRẠM 2'!$C$15:$Y$89,20,0)</f>
        <v>25</v>
      </c>
      <c r="W128" s="1248"/>
      <c r="X128" s="1248"/>
      <c r="Y128" s="1248"/>
      <c r="Z128" s="1881">
        <f t="shared" si="22"/>
        <v>2129253</v>
      </c>
      <c r="AA128" s="1471">
        <f t="shared" si="23"/>
        <v>6910865</v>
      </c>
      <c r="AB128" s="1472"/>
      <c r="AC128" s="1420">
        <f t="shared" si="20"/>
        <v>6910865</v>
      </c>
      <c r="AD128" s="593">
        <v>19</v>
      </c>
    </row>
    <row r="129" spans="1:30" s="242" customFormat="1" ht="27.75" customHeight="1">
      <c r="A129" s="1282">
        <v>101</v>
      </c>
      <c r="B129" s="1245">
        <v>20</v>
      </c>
      <c r="C129" s="320" t="str">
        <f>TONGHOPCONGDOI!B124</f>
        <v>03664</v>
      </c>
      <c r="D129" s="321" t="str">
        <f>TONGHOPCONGDOI!C124</f>
        <v>Khay Khăm</v>
      </c>
      <c r="E129" s="1243" t="s">
        <v>15</v>
      </c>
      <c r="F129" s="1252"/>
      <c r="G129" s="1248">
        <f t="shared" ref="G129:G184" si="24">F129*25000</f>
        <v>0</v>
      </c>
      <c r="H129" s="1248">
        <f>VLOOKUP(D129,'TRẠM 2'!$C$15:$Y$89,6,0)</f>
        <v>4807</v>
      </c>
      <c r="I129" s="1248">
        <f>VLOOKUP(D129,'TRẠM 2'!$C$15:$Y$89,7,0)</f>
        <v>0</v>
      </c>
      <c r="J129" s="1248">
        <f>VLOOKUP(D129,'TRẠM 2'!$C$15:$Y$89,8,0)</f>
        <v>2094.3631042963507</v>
      </c>
      <c r="K129" s="1248">
        <f>VLOOKUP(D129,'TRẠM 2'!$C$15:$Y$89,9,0)</f>
        <v>195.0459645859589</v>
      </c>
      <c r="L129" s="1837">
        <f t="shared" si="21"/>
        <v>2289.4090688823094</v>
      </c>
      <c r="M129" s="1996" t="str">
        <f>VLOOKUP(D129,'TRẠM 2'!$C$15:$Y$89,11,0)</f>
        <v>B</v>
      </c>
      <c r="N129" s="1248">
        <f>VLOOKUP(D129,'TRẠM 2'!$C$15:$Y$89,12,0)</f>
        <v>7967144</v>
      </c>
      <c r="O129" s="1248">
        <f>VLOOKUP(D129,'TRẠM 2'!$C$15:$Y$89,13,0)</f>
        <v>22</v>
      </c>
      <c r="P129" s="1248">
        <f>VLOOKUP(D129,'TRẠM 2'!$C$15:$Y$89,14,0)</f>
        <v>4</v>
      </c>
      <c r="Q129" s="1248">
        <f>VLOOKUP(D129,'TRẠM 2'!$C$15:$Y$89,15,0)</f>
        <v>5</v>
      </c>
      <c r="R129" s="1248">
        <f>VLOOKUP(D129,'TRẠM 2'!$C$15:$Y$89,16,0)</f>
        <v>0</v>
      </c>
      <c r="S129" s="1248">
        <f>VLOOKUP(D129,'TRẠM 2'!$C$15:$Y$89,17,0)</f>
        <v>5</v>
      </c>
      <c r="T129" s="1248" t="e">
        <f>VLOOKUP(G129,'TRẠM 2'!$C$15:$Y$89,13,0)</f>
        <v>#N/A</v>
      </c>
      <c r="U129" s="1248" t="e">
        <f>VLOOKUP(H129,'TRẠM 2'!$C$15:$Y$89,13,0)</f>
        <v>#N/A</v>
      </c>
      <c r="V129" s="1248">
        <f>VLOOKUP(D129,'TRẠM 2'!$C$15:$Y$89,20,0)</f>
        <v>36</v>
      </c>
      <c r="W129" s="1248"/>
      <c r="X129" s="1248"/>
      <c r="Y129" s="1248"/>
      <c r="Z129" s="1881">
        <f t="shared" si="22"/>
        <v>2410839</v>
      </c>
      <c r="AA129" s="1471">
        <f t="shared" si="23"/>
        <v>10377983</v>
      </c>
      <c r="AB129" s="1472"/>
      <c r="AC129" s="1420">
        <f t="shared" si="20"/>
        <v>10377983</v>
      </c>
      <c r="AD129" s="593">
        <v>20</v>
      </c>
    </row>
    <row r="130" spans="1:30" s="242" customFormat="1" ht="27.75" customHeight="1">
      <c r="A130" s="1282">
        <v>102</v>
      </c>
      <c r="B130" s="1245">
        <v>21</v>
      </c>
      <c r="C130" s="320" t="str">
        <f>TONGHOPCONGDOI!B125</f>
        <v>03637</v>
      </c>
      <c r="D130" s="321" t="str">
        <f>TONGHOPCONGDOI!C125</f>
        <v>T. Vạt</v>
      </c>
      <c r="E130" s="1243" t="s">
        <v>15</v>
      </c>
      <c r="F130" s="1252"/>
      <c r="G130" s="1248">
        <f t="shared" si="24"/>
        <v>0</v>
      </c>
      <c r="H130" s="1248">
        <f>VLOOKUP(D130,'TRẠM 2'!$C$15:$Y$89,6,0)</f>
        <v>4308</v>
      </c>
      <c r="I130" s="1248">
        <f>VLOOKUP(D130,'TRẠM 2'!$C$15:$Y$89,7,0)</f>
        <v>0</v>
      </c>
      <c r="J130" s="1248">
        <f>VLOOKUP(D130,'TRẠM 2'!$C$15:$Y$89,8,0)</f>
        <v>1876.9536620155352</v>
      </c>
      <c r="K130" s="1248">
        <f>VLOOKUP(D130,'TRẠM 2'!$C$15:$Y$89,9,0)</f>
        <v>174.79883824345973</v>
      </c>
      <c r="L130" s="1837">
        <f t="shared" si="21"/>
        <v>2051.752500258995</v>
      </c>
      <c r="M130" s="1996" t="str">
        <f>VLOOKUP(D130,'TRẠM 2'!$C$15:$Y$89,11,0)</f>
        <v>A</v>
      </c>
      <c r="N130" s="1248">
        <f>VLOOKUP(D130,'TRẠM 2'!$C$15:$Y$89,12,0)</f>
        <v>7509414</v>
      </c>
      <c r="O130" s="1248">
        <f>VLOOKUP(D130,'TRẠM 2'!$C$15:$Y$89,13,0)</f>
        <v>22</v>
      </c>
      <c r="P130" s="1248">
        <f>VLOOKUP(D130,'TRẠM 2'!$C$15:$Y$89,14,0)</f>
        <v>4</v>
      </c>
      <c r="Q130" s="1248">
        <f>VLOOKUP(D130,'TRẠM 2'!$C$15:$Y$89,15,0)</f>
        <v>5</v>
      </c>
      <c r="R130" s="1248">
        <f>VLOOKUP(D130,'TRẠM 2'!$C$15:$Y$89,16,0)</f>
        <v>0</v>
      </c>
      <c r="S130" s="1248">
        <f>VLOOKUP(D130,'TRẠM 2'!$C$15:$Y$89,17,0)</f>
        <v>5</v>
      </c>
      <c r="T130" s="1248" t="e">
        <f>VLOOKUP(G130,'TRẠM 2'!$C$15:$Y$89,13,0)</f>
        <v>#N/A</v>
      </c>
      <c r="U130" s="1248" t="e">
        <f>VLOOKUP(H130,'TRẠM 2'!$C$15:$Y$89,13,0)</f>
        <v>#N/A</v>
      </c>
      <c r="V130" s="1248">
        <f>VLOOKUP(D130,'TRẠM 2'!$C$15:$Y$89,20,0)</f>
        <v>27</v>
      </c>
      <c r="W130" s="1248"/>
      <c r="X130" s="1248"/>
      <c r="Y130" s="1248"/>
      <c r="Z130" s="1881">
        <f t="shared" si="22"/>
        <v>2230839</v>
      </c>
      <c r="AA130" s="1471">
        <f t="shared" si="23"/>
        <v>9740253</v>
      </c>
      <c r="AB130" s="1472"/>
      <c r="AC130" s="1420">
        <f t="shared" si="20"/>
        <v>9740253</v>
      </c>
      <c r="AD130" s="593">
        <v>21</v>
      </c>
    </row>
    <row r="131" spans="1:30" s="242" customFormat="1" ht="27.75" customHeight="1">
      <c r="A131" s="1282">
        <v>103</v>
      </c>
      <c r="B131" s="1245">
        <v>22</v>
      </c>
      <c r="C131" s="320" t="str">
        <f>TONGHOPCONGDOI!B126</f>
        <v>03666</v>
      </c>
      <c r="D131" s="321" t="str">
        <f>TONGHOPCONGDOI!C126</f>
        <v>T. Chăn (4)</v>
      </c>
      <c r="E131" s="1243" t="s">
        <v>15</v>
      </c>
      <c r="F131" s="1252"/>
      <c r="G131" s="1248">
        <f t="shared" si="24"/>
        <v>0</v>
      </c>
      <c r="H131" s="1248">
        <f>VLOOKUP(D131,'TRẠM 2'!$C$15:$Y$89,6,0)</f>
        <v>2863</v>
      </c>
      <c r="I131" s="1248">
        <f>VLOOKUP(D131,'TRẠM 2'!$C$15:$Y$89,7,0)</f>
        <v>0</v>
      </c>
      <c r="J131" s="1248">
        <f>VLOOKUP(D131,'TRẠM 2'!$C$15:$Y$89,8,0)</f>
        <v>1247.3812289578639</v>
      </c>
      <c r="K131" s="1248">
        <f>VLOOKUP(D131,'TRẠM 2'!$C$15:$Y$89,9,0)</f>
        <v>116.16738019754531</v>
      </c>
      <c r="L131" s="1837">
        <f t="shared" si="21"/>
        <v>1363.5486091554092</v>
      </c>
      <c r="M131" s="1996" t="str">
        <f>VLOOKUP(D131,'TRẠM 2'!$C$15:$Y$89,11,0)</f>
        <v>A</v>
      </c>
      <c r="N131" s="1248">
        <f>VLOOKUP(D131,'TRẠM 2'!$C$15:$Y$89,12,0)</f>
        <v>4990588</v>
      </c>
      <c r="O131" s="1248">
        <f>VLOOKUP(D131,'TRẠM 2'!$C$15:$Y$89,13,0)</f>
        <v>19</v>
      </c>
      <c r="P131" s="1248">
        <f>VLOOKUP(D131,'TRẠM 2'!$C$15:$Y$89,14,0)</f>
        <v>3</v>
      </c>
      <c r="Q131" s="1248">
        <f>VLOOKUP(D131,'TRẠM 2'!$C$15:$Y$89,15,0)</f>
        <v>5</v>
      </c>
      <c r="R131" s="1248">
        <f>VLOOKUP(D131,'TRẠM 2'!$C$15:$Y$89,16,0)</f>
        <v>0</v>
      </c>
      <c r="S131" s="1248">
        <f>VLOOKUP(D131,'TRẠM 2'!$C$15:$Y$89,17,0)</f>
        <v>5</v>
      </c>
      <c r="T131" s="1248" t="e">
        <f>VLOOKUP(G131,'TRẠM 2'!$C$15:$Y$89,13,0)</f>
        <v>#N/A</v>
      </c>
      <c r="U131" s="1248" t="e">
        <f>VLOOKUP(H131,'TRẠM 2'!$C$15:$Y$89,13,0)</f>
        <v>#N/A</v>
      </c>
      <c r="V131" s="1248">
        <f>VLOOKUP(D131,'TRẠM 2'!$C$15:$Y$89,20,0)</f>
        <v>23</v>
      </c>
      <c r="W131" s="1248"/>
      <c r="X131" s="1248"/>
      <c r="Y131" s="1248"/>
      <c r="Z131" s="1881">
        <f t="shared" si="22"/>
        <v>2007094</v>
      </c>
      <c r="AA131" s="1471">
        <f t="shared" si="23"/>
        <v>6997682</v>
      </c>
      <c r="AB131" s="1472"/>
      <c r="AC131" s="1420">
        <f t="shared" si="20"/>
        <v>6997682</v>
      </c>
      <c r="AD131" s="593">
        <v>22</v>
      </c>
    </row>
    <row r="132" spans="1:30" s="242" customFormat="1" ht="27.75" customHeight="1">
      <c r="A132" s="1282">
        <v>104</v>
      </c>
      <c r="B132" s="1245">
        <v>23</v>
      </c>
      <c r="C132" s="320" t="str">
        <f>TONGHOPCONGDOI!B127</f>
        <v>04128</v>
      </c>
      <c r="D132" s="321" t="str">
        <f>TONGHOPCONGDOI!C127</f>
        <v>Thảo Ca Thon</v>
      </c>
      <c r="E132" s="1243" t="s">
        <v>15</v>
      </c>
      <c r="F132" s="1252"/>
      <c r="G132" s="1248">
        <f t="shared" si="24"/>
        <v>0</v>
      </c>
      <c r="H132" s="1248">
        <f>VLOOKUP(D132,'TRẠM 2'!$C$15:$Y$89,6,0)</f>
        <v>3240</v>
      </c>
      <c r="I132" s="1248">
        <f>VLOOKUP(D132,'TRẠM 2'!$C$15:$Y$89,7,0)</f>
        <v>0</v>
      </c>
      <c r="J132" s="1248">
        <f>VLOOKUP(D132,'TRẠM 2'!$C$15:$Y$89,8,0)</f>
        <v>1411.6364588974777</v>
      </c>
      <c r="K132" s="1248">
        <f>VLOOKUP(D132,'TRẠM 2'!$C$15:$Y$89,9,0)</f>
        <v>131.46430731402265</v>
      </c>
      <c r="L132" s="1837">
        <f t="shared" si="21"/>
        <v>1543.1007662115003</v>
      </c>
      <c r="M132" s="1996" t="str">
        <f>VLOOKUP(D132,'TRẠM 2'!$C$15:$Y$89,11,0)</f>
        <v>B</v>
      </c>
      <c r="N132" s="1248">
        <f>VLOOKUP(D132,'TRẠM 2'!$C$15:$Y$89,12,0)</f>
        <v>5369991</v>
      </c>
      <c r="O132" s="1248">
        <f>VLOOKUP(D132,'TRẠM 2'!$C$15:$Y$89,13,0)</f>
        <v>22</v>
      </c>
      <c r="P132" s="1248">
        <f>VLOOKUP(D132,'TRẠM 2'!$C$15:$Y$89,14,0)</f>
        <v>4</v>
      </c>
      <c r="Q132" s="1248">
        <f>VLOOKUP(D132,'TRẠM 2'!$C$15:$Y$89,15,0)</f>
        <v>5</v>
      </c>
      <c r="R132" s="1248">
        <f>VLOOKUP(D132,'TRẠM 2'!$C$15:$Y$89,16,0)</f>
        <v>0</v>
      </c>
      <c r="S132" s="1248">
        <f>VLOOKUP(D132,'TRẠM 2'!$C$15:$Y$89,17,0)</f>
        <v>5</v>
      </c>
      <c r="T132" s="1248" t="e">
        <f>VLOOKUP(G132,'TRẠM 2'!$C$15:$Y$89,13,0)</f>
        <v>#N/A</v>
      </c>
      <c r="U132" s="1248" t="e">
        <f>VLOOKUP(H132,'TRẠM 2'!$C$15:$Y$89,13,0)</f>
        <v>#N/A</v>
      </c>
      <c r="V132" s="1248">
        <f>VLOOKUP(D132,'TRẠM 2'!$C$15:$Y$89,20,0)</f>
        <v>27</v>
      </c>
      <c r="W132" s="1248"/>
      <c r="X132" s="1248"/>
      <c r="Y132" s="1248"/>
      <c r="Z132" s="1881">
        <f t="shared" si="22"/>
        <v>2230839</v>
      </c>
      <c r="AA132" s="1471">
        <f t="shared" si="23"/>
        <v>7600830</v>
      </c>
      <c r="AB132" s="1472"/>
      <c r="AC132" s="1420">
        <f t="shared" si="20"/>
        <v>7600830</v>
      </c>
      <c r="AD132" s="593">
        <v>23</v>
      </c>
    </row>
    <row r="133" spans="1:30" s="242" customFormat="1" ht="27.75" customHeight="1">
      <c r="A133" s="1282">
        <v>105</v>
      </c>
      <c r="B133" s="1245">
        <v>24</v>
      </c>
      <c r="C133" s="320" t="str">
        <f>TONGHOPCONGDOI!B128</f>
        <v>04129</v>
      </c>
      <c r="D133" s="321" t="str">
        <f>TONGHOPCONGDOI!C128</f>
        <v>N.. Đeng</v>
      </c>
      <c r="E133" s="1243" t="s">
        <v>15</v>
      </c>
      <c r="F133" s="1252"/>
      <c r="G133" s="1248">
        <f t="shared" si="24"/>
        <v>0</v>
      </c>
      <c r="H133" s="1248">
        <f>VLOOKUP(D133,'TRẠM 2'!$C$15:$Y$89,6,0)</f>
        <v>2933</v>
      </c>
      <c r="I133" s="1248">
        <f>VLOOKUP(D133,'TRẠM 2'!$C$15:$Y$89,7,0)</f>
        <v>0</v>
      </c>
      <c r="J133" s="1248">
        <f>VLOOKUP(D133,'TRẠM 2'!$C$15:$Y$89,8,0)</f>
        <v>1277.8795475142908</v>
      </c>
      <c r="K133" s="1248">
        <f>VLOOKUP(D133,'TRẠM 2'!$C$15:$Y$89,9,0)</f>
        <v>119.00765844198408</v>
      </c>
      <c r="L133" s="1837">
        <f t="shared" si="21"/>
        <v>1396.887205956275</v>
      </c>
      <c r="M133" s="1996" t="str">
        <f>VLOOKUP(D133,'TRẠM 2'!$C$15:$Y$89,11,0)</f>
        <v>A</v>
      </c>
      <c r="N133" s="1248">
        <f>VLOOKUP(D133,'TRẠM 2'!$C$15:$Y$89,12,0)</f>
        <v>5112607</v>
      </c>
      <c r="O133" s="1248">
        <f>VLOOKUP(D133,'TRẠM 2'!$C$15:$Y$89,13,0)</f>
        <v>19</v>
      </c>
      <c r="P133" s="1248">
        <f>VLOOKUP(D133,'TRẠM 2'!$C$15:$Y$89,14,0)</f>
        <v>3</v>
      </c>
      <c r="Q133" s="1248">
        <f>VLOOKUP(D133,'TRẠM 2'!$C$15:$Y$89,15,0)</f>
        <v>5</v>
      </c>
      <c r="R133" s="1248">
        <f>VLOOKUP(D133,'TRẠM 2'!$C$15:$Y$89,16,0)</f>
        <v>0</v>
      </c>
      <c r="S133" s="1248">
        <f>VLOOKUP(D133,'TRẠM 2'!$C$15:$Y$89,17,0)</f>
        <v>5</v>
      </c>
      <c r="T133" s="1248" t="e">
        <f>VLOOKUP(G133,'TRẠM 2'!$C$15:$Y$89,13,0)</f>
        <v>#N/A</v>
      </c>
      <c r="U133" s="1248" t="e">
        <f>VLOOKUP(H133,'TRẠM 2'!$C$15:$Y$89,13,0)</f>
        <v>#N/A</v>
      </c>
      <c r="V133" s="1248">
        <f>VLOOKUP(D133,'TRẠM 2'!$C$15:$Y$89,20,0)</f>
        <v>23</v>
      </c>
      <c r="W133" s="1248"/>
      <c r="X133" s="1248"/>
      <c r="Y133" s="1248"/>
      <c r="Z133" s="1881">
        <f t="shared" si="22"/>
        <v>2007094</v>
      </c>
      <c r="AA133" s="1471">
        <f t="shared" si="23"/>
        <v>7119701</v>
      </c>
      <c r="AB133" s="1472"/>
      <c r="AC133" s="1420">
        <f t="shared" si="20"/>
        <v>7119701</v>
      </c>
      <c r="AD133" s="593">
        <v>24</v>
      </c>
    </row>
    <row r="134" spans="1:30" s="242" customFormat="1" ht="27.75" customHeight="1">
      <c r="A134" s="1282">
        <v>106</v>
      </c>
      <c r="B134" s="1245">
        <v>25</v>
      </c>
      <c r="C134" s="320" t="str">
        <f>TONGHOPCONGDOI!B129</f>
        <v>03522</v>
      </c>
      <c r="D134" s="321" t="str">
        <f>TONGHOPCONGDOI!C129</f>
        <v>N.T.T Trang (1)</v>
      </c>
      <c r="E134" s="1243" t="s">
        <v>15</v>
      </c>
      <c r="F134" s="1252"/>
      <c r="G134" s="1248">
        <f t="shared" si="24"/>
        <v>0</v>
      </c>
      <c r="H134" s="1248">
        <f>VLOOKUP(D134,'TRẠM 2'!$C$15:$Y$89,6,0)</f>
        <v>5046</v>
      </c>
      <c r="I134" s="1248">
        <f>VLOOKUP(D134,'TRẠM 2'!$C$15:$Y$89,7,0)</f>
        <v>0</v>
      </c>
      <c r="J134" s="1248">
        <f>VLOOKUP(D134,'TRẠM 2'!$C$15:$Y$89,8,0)</f>
        <v>2198.4930776532942</v>
      </c>
      <c r="K134" s="1248">
        <f>VLOOKUP(D134,'TRẠM 2'!$C$15:$Y$89,9,0)</f>
        <v>204.74348602054269</v>
      </c>
      <c r="L134" s="1837">
        <f t="shared" si="21"/>
        <v>2403.2365636738368</v>
      </c>
      <c r="M134" s="1996" t="str">
        <f>VLOOKUP(D134,'TRẠM 2'!$C$15:$Y$89,11,0)</f>
        <v>A</v>
      </c>
      <c r="N134" s="1248">
        <f>VLOOKUP(D134,'TRẠM 2'!$C$15:$Y$89,12,0)</f>
        <v>8795846</v>
      </c>
      <c r="O134" s="1248">
        <f>VLOOKUP(D134,'TRẠM 2'!$C$15:$Y$89,13,0)</f>
        <v>23</v>
      </c>
      <c r="P134" s="1248">
        <f>VLOOKUP(D134,'TRẠM 2'!$C$15:$Y$89,14,0)</f>
        <v>4</v>
      </c>
      <c r="Q134" s="1248">
        <f>VLOOKUP(D134,'TRẠM 2'!$C$15:$Y$89,15,0)</f>
        <v>4</v>
      </c>
      <c r="R134" s="1248">
        <f>VLOOKUP(D134,'TRẠM 2'!$C$15:$Y$89,16,0)</f>
        <v>0</v>
      </c>
      <c r="S134" s="1248">
        <f>VLOOKUP(D134,'TRẠM 2'!$C$15:$Y$89,17,0)</f>
        <v>4</v>
      </c>
      <c r="T134" s="1248" t="e">
        <f>VLOOKUP(G134,'TRẠM 2'!$C$15:$Y$89,13,0)</f>
        <v>#N/A</v>
      </c>
      <c r="U134" s="1248" t="e">
        <f>VLOOKUP(H134,'TRẠM 2'!$C$15:$Y$89,13,0)</f>
        <v>#N/A</v>
      </c>
      <c r="V134" s="1248">
        <f>VLOOKUP(D134,'TRẠM 2'!$C$15:$Y$89,20,0)</f>
        <v>0</v>
      </c>
      <c r="W134" s="1248"/>
      <c r="X134" s="1248"/>
      <c r="Y134" s="1248"/>
      <c r="Z134" s="1881">
        <f t="shared" si="22"/>
        <v>1560046</v>
      </c>
      <c r="AA134" s="1471">
        <f t="shared" si="23"/>
        <v>10355892</v>
      </c>
      <c r="AB134" s="1472"/>
      <c r="AC134" s="1420">
        <f t="shared" si="20"/>
        <v>10355892</v>
      </c>
      <c r="AD134" s="593">
        <v>25</v>
      </c>
    </row>
    <row r="135" spans="1:30" s="242" customFormat="1" ht="27.75" customHeight="1">
      <c r="A135" s="1282">
        <v>107</v>
      </c>
      <c r="B135" s="1245">
        <v>26</v>
      </c>
      <c r="C135" s="320" t="str">
        <f>TONGHOPCONGDOI!B130</f>
        <v>04130</v>
      </c>
      <c r="D135" s="321" t="str">
        <f>TONGHOPCONGDOI!C130</f>
        <v>T. Chay</v>
      </c>
      <c r="E135" s="1243" t="s">
        <v>15</v>
      </c>
      <c r="F135" s="1252"/>
      <c r="G135" s="1248">
        <f t="shared" si="24"/>
        <v>0</v>
      </c>
      <c r="H135" s="1248">
        <f>VLOOKUP(D135,'TRẠM 2'!$C$15:$Y$89,6,0)</f>
        <v>2588</v>
      </c>
      <c r="I135" s="1248">
        <f>VLOOKUP(D135,'TRẠM 2'!$C$15:$Y$89,7,0)</f>
        <v>0</v>
      </c>
      <c r="J135" s="1248">
        <f>VLOOKUP(D135,'TRẠM 2'!$C$15:$Y$89,8,0)</f>
        <v>1127.566406057615</v>
      </c>
      <c r="K135" s="1248">
        <f>VLOOKUP(D135,'TRẠM 2'!$C$15:$Y$89,9,0)</f>
        <v>105.00914423725018</v>
      </c>
      <c r="L135" s="1837">
        <f t="shared" si="21"/>
        <v>1232.5755502948653</v>
      </c>
      <c r="M135" s="1996" t="str">
        <f>VLOOKUP(D135,'TRẠM 2'!$C$15:$Y$89,11,0)</f>
        <v>B</v>
      </c>
      <c r="N135" s="1248">
        <f>VLOOKUP(D135,'TRẠM 2'!$C$15:$Y$89,12,0)</f>
        <v>4289363</v>
      </c>
      <c r="O135" s="1248">
        <f>VLOOKUP(D135,'TRẠM 2'!$C$15:$Y$89,13,0)</f>
        <v>22</v>
      </c>
      <c r="P135" s="1248">
        <f>VLOOKUP(D135,'TRẠM 2'!$C$15:$Y$89,14,0)</f>
        <v>4</v>
      </c>
      <c r="Q135" s="1248">
        <f>VLOOKUP(D135,'TRẠM 2'!$C$15:$Y$89,15,0)</f>
        <v>3</v>
      </c>
      <c r="R135" s="1248">
        <f>VLOOKUP(D135,'TRẠM 2'!$C$15:$Y$89,16,0)</f>
        <v>0</v>
      </c>
      <c r="S135" s="1248">
        <f>VLOOKUP(D135,'TRẠM 2'!$C$15:$Y$89,17,0)</f>
        <v>3</v>
      </c>
      <c r="T135" s="1248" t="e">
        <f>VLOOKUP(G135,'TRẠM 2'!$C$15:$Y$89,13,0)</f>
        <v>#N/A</v>
      </c>
      <c r="U135" s="1248" t="e">
        <f>VLOOKUP(H135,'TRẠM 2'!$C$15:$Y$89,13,0)</f>
        <v>#N/A</v>
      </c>
      <c r="V135" s="1248">
        <f>VLOOKUP(D135,'TRẠM 2'!$C$15:$Y$89,20,0)</f>
        <v>23</v>
      </c>
      <c r="W135" s="1248"/>
      <c r="X135" s="1248"/>
      <c r="Y135" s="1248"/>
      <c r="Z135" s="1881">
        <f t="shared" si="22"/>
        <v>1827667</v>
      </c>
      <c r="AA135" s="1471">
        <f t="shared" si="23"/>
        <v>6117030</v>
      </c>
      <c r="AB135" s="1472"/>
      <c r="AC135" s="1420">
        <f t="shared" si="20"/>
        <v>6117030</v>
      </c>
      <c r="AD135" s="593">
        <v>26</v>
      </c>
    </row>
    <row r="136" spans="1:30" s="242" customFormat="1" ht="27.75" customHeight="1">
      <c r="A136" s="1282">
        <v>108</v>
      </c>
      <c r="B136" s="1245">
        <v>27</v>
      </c>
      <c r="C136" s="320" t="str">
        <f>TONGHOPCONGDOI!B131</f>
        <v>04131</v>
      </c>
      <c r="D136" s="321" t="str">
        <f>TONGHOPCONGDOI!C131</f>
        <v>T. Lê</v>
      </c>
      <c r="E136" s="1243" t="s">
        <v>15</v>
      </c>
      <c r="F136" s="1252"/>
      <c r="G136" s="1248">
        <f t="shared" si="24"/>
        <v>0</v>
      </c>
      <c r="H136" s="1248">
        <f>VLOOKUP(D136,'TRẠM 2'!$C$15:$Y$89,6,0)</f>
        <v>3166</v>
      </c>
      <c r="I136" s="1248">
        <f>VLOOKUP(D136,'TRẠM 2'!$C$15:$Y$89,7,0)</f>
        <v>0</v>
      </c>
      <c r="J136" s="1248">
        <f>VLOOKUP(D136,'TRẠM 2'!$C$15:$Y$89,8,0)</f>
        <v>1379.3953792806835</v>
      </c>
      <c r="K136" s="1248">
        <f>VLOOKUP(D136,'TRẠM 2'!$C$15:$Y$89,9,0)</f>
        <v>128.46172745561594</v>
      </c>
      <c r="L136" s="1837">
        <f t="shared" si="21"/>
        <v>1507.8571067362996</v>
      </c>
      <c r="M136" s="1996" t="str">
        <f>VLOOKUP(D136,'TRẠM 2'!$C$15:$Y$89,11,0)</f>
        <v>C</v>
      </c>
      <c r="N136" s="1248">
        <f>VLOOKUP(D136,'TRẠM 2'!$C$15:$Y$89,12,0)</f>
        <v>4975928</v>
      </c>
      <c r="O136" s="1248">
        <f>VLOOKUP(D136,'TRẠM 2'!$C$15:$Y$89,13,0)</f>
        <v>21</v>
      </c>
      <c r="P136" s="1248">
        <f>VLOOKUP(D136,'TRẠM 2'!$C$15:$Y$89,14,0)</f>
        <v>4</v>
      </c>
      <c r="Q136" s="1248">
        <f>VLOOKUP(D136,'TRẠM 2'!$C$15:$Y$89,15,0)</f>
        <v>4</v>
      </c>
      <c r="R136" s="1248">
        <f>VLOOKUP(D136,'TRẠM 2'!$C$15:$Y$89,16,0)</f>
        <v>0</v>
      </c>
      <c r="S136" s="1248">
        <f>VLOOKUP(D136,'TRẠM 2'!$C$15:$Y$89,17,0)</f>
        <v>4</v>
      </c>
      <c r="T136" s="1248" t="e">
        <f>VLOOKUP(G136,'TRẠM 2'!$C$15:$Y$89,13,0)</f>
        <v>#N/A</v>
      </c>
      <c r="U136" s="1248" t="e">
        <f>VLOOKUP(H136,'TRẠM 2'!$C$15:$Y$89,13,0)</f>
        <v>#N/A</v>
      </c>
      <c r="V136" s="1248">
        <f>VLOOKUP(D136,'TRẠM 2'!$C$15:$Y$89,20,0)</f>
        <v>25</v>
      </c>
      <c r="W136" s="1248"/>
      <c r="X136" s="1248"/>
      <c r="Y136" s="1248"/>
      <c r="Z136" s="1881">
        <f t="shared" si="22"/>
        <v>1998460</v>
      </c>
      <c r="AA136" s="1471">
        <f t="shared" si="23"/>
        <v>6974388</v>
      </c>
      <c r="AB136" s="1472"/>
      <c r="AC136" s="1420">
        <f t="shared" si="20"/>
        <v>6974388</v>
      </c>
      <c r="AD136" s="593">
        <v>27</v>
      </c>
    </row>
    <row r="137" spans="1:30" s="242" customFormat="1" ht="27.75" customHeight="1">
      <c r="A137" s="1282">
        <v>109</v>
      </c>
      <c r="B137" s="1245">
        <v>28</v>
      </c>
      <c r="C137" s="320">
        <f>TONGHOPCONGDOI!B132</f>
        <v>0</v>
      </c>
      <c r="D137" s="321" t="str">
        <f>TONGHOPCONGDOI!C132</f>
        <v>Nàng Chưa</v>
      </c>
      <c r="E137" s="1243" t="s">
        <v>15</v>
      </c>
      <c r="F137" s="1252"/>
      <c r="G137" s="1248">
        <f t="shared" ref="G137:G156" si="25">F137*25000</f>
        <v>0</v>
      </c>
      <c r="H137" s="1248">
        <f>VLOOKUP(D137,'TRẠM 2'!$C$15:$Y$89,6,0)</f>
        <v>2437</v>
      </c>
      <c r="I137" s="1248">
        <f>VLOOKUP(D137,'TRẠM 2'!$C$15:$Y$89,7,0)</f>
        <v>0</v>
      </c>
      <c r="J137" s="1248">
        <f>VLOOKUP(D137,'TRẠM 2'!$C$15:$Y$89,8,0)</f>
        <v>1061.777176028751</v>
      </c>
      <c r="K137" s="1248">
        <f>VLOOKUP(D137,'TRẠM 2'!$C$15:$Y$89,9,0)</f>
        <v>98.882258309960861</v>
      </c>
      <c r="L137" s="1837">
        <f t="shared" si="21"/>
        <v>1160.6594343387119</v>
      </c>
      <c r="M137" s="1996" t="str">
        <f>VLOOKUP(D137,'TRẠM 2'!$C$15:$Y$89,11,0)</f>
        <v>B</v>
      </c>
      <c r="N137" s="1248">
        <f>VLOOKUP(D137,'TRẠM 2'!$C$15:$Y$89,12,0)</f>
        <v>4039095</v>
      </c>
      <c r="O137" s="1248">
        <f>VLOOKUP(D137,'TRẠM 2'!$C$15:$Y$89,13,0)</f>
        <v>25</v>
      </c>
      <c r="P137" s="1248">
        <f>VLOOKUP(D137,'TRẠM 2'!$C$15:$Y$89,14,0)</f>
        <v>4</v>
      </c>
      <c r="Q137" s="1248">
        <f>VLOOKUP(D137,'TRẠM 2'!$C$15:$Y$89,15,0)</f>
        <v>2</v>
      </c>
      <c r="R137" s="1248">
        <f>VLOOKUP(D137,'TRẠM 2'!$C$15:$Y$89,16,0)</f>
        <v>0</v>
      </c>
      <c r="S137" s="1248">
        <f>VLOOKUP(D137,'TRẠM 2'!$C$15:$Y$89,17,0)</f>
        <v>2</v>
      </c>
      <c r="T137" s="1248" t="e">
        <f>VLOOKUP(G137,'TRẠM 2'!$C$15:$Y$89,13,0)</f>
        <v>#N/A</v>
      </c>
      <c r="U137" s="1248" t="e">
        <f>VLOOKUP(H137,'TRẠM 2'!$C$15:$Y$89,13,0)</f>
        <v>#N/A</v>
      </c>
      <c r="V137" s="1248">
        <f>VLOOKUP(D137,'TRẠM 2'!$C$15:$Y$89,20,0)</f>
        <v>33</v>
      </c>
      <c r="W137" s="1248"/>
      <c r="X137" s="1248"/>
      <c r="Y137" s="1248"/>
      <c r="Z137" s="1881">
        <f t="shared" si="22"/>
        <v>1958460</v>
      </c>
      <c r="AA137" s="1471">
        <f t="shared" si="23"/>
        <v>5997555</v>
      </c>
      <c r="AB137" s="1472"/>
      <c r="AC137" s="1420">
        <f t="shared" si="20"/>
        <v>5997555</v>
      </c>
      <c r="AD137" s="593">
        <v>28</v>
      </c>
    </row>
    <row r="138" spans="1:30" s="242" customFormat="1" ht="27.75" customHeight="1">
      <c r="A138" s="1282">
        <v>110</v>
      </c>
      <c r="B138" s="1245">
        <v>29</v>
      </c>
      <c r="C138" s="320" t="str">
        <f>TONGHOPCONGDOI!B133</f>
        <v>04132</v>
      </c>
      <c r="D138" s="321" t="str">
        <f>TONGHOPCONGDOI!C133</f>
        <v>Hà Đức Văn</v>
      </c>
      <c r="E138" s="1243" t="s">
        <v>15</v>
      </c>
      <c r="F138" s="1252"/>
      <c r="G138" s="1248">
        <f t="shared" si="25"/>
        <v>0</v>
      </c>
      <c r="H138" s="1248">
        <f>VLOOKUP(D138,'TRẠM 2'!$C$15:$Y$89,6,0)</f>
        <v>5057</v>
      </c>
      <c r="I138" s="1248">
        <f>VLOOKUP(D138,'TRẠM 2'!$C$15:$Y$89,7,0)</f>
        <v>0</v>
      </c>
      <c r="J138" s="1248">
        <f>VLOOKUP(D138,'TRẠM 2'!$C$15:$Y$89,8,0)</f>
        <v>2203.2856705693039</v>
      </c>
      <c r="K138" s="1248">
        <f>VLOOKUP(D138,'TRẠM 2'!$C$15:$Y$89,9,0)</f>
        <v>205.18981545895448</v>
      </c>
      <c r="L138" s="1837">
        <f t="shared" si="21"/>
        <v>2408.4754860282583</v>
      </c>
      <c r="M138" s="1996" t="str">
        <f>VLOOKUP(D138,'TRẠM 2'!$C$15:$Y$89,11,0)</f>
        <v>A</v>
      </c>
      <c r="N138" s="1248">
        <f>VLOOKUP(D138,'TRẠM 2'!$C$15:$Y$89,12,0)</f>
        <v>8815020</v>
      </c>
      <c r="O138" s="1248">
        <f>VLOOKUP(D138,'TRẠM 2'!$C$15:$Y$89,13,0)</f>
        <v>23</v>
      </c>
      <c r="P138" s="1248">
        <f>VLOOKUP(D138,'TRẠM 2'!$C$15:$Y$89,14,0)</f>
        <v>4</v>
      </c>
      <c r="Q138" s="1248">
        <f>VLOOKUP(D138,'TRẠM 2'!$C$15:$Y$89,15,0)</f>
        <v>4</v>
      </c>
      <c r="R138" s="1248">
        <f>VLOOKUP(D138,'TRẠM 2'!$C$15:$Y$89,16,0)</f>
        <v>0</v>
      </c>
      <c r="S138" s="1248">
        <f>VLOOKUP(D138,'TRẠM 2'!$C$15:$Y$89,17,0)</f>
        <v>4</v>
      </c>
      <c r="T138" s="1248" t="e">
        <f>VLOOKUP(G138,'TRẠM 2'!$C$15:$Y$89,13,0)</f>
        <v>#N/A</v>
      </c>
      <c r="U138" s="1248" t="e">
        <f>VLOOKUP(H138,'TRẠM 2'!$C$15:$Y$89,13,0)</f>
        <v>#N/A</v>
      </c>
      <c r="V138" s="1248">
        <f>VLOOKUP(D138,'TRẠM 2'!$C$15:$Y$89,20,0)</f>
        <v>0</v>
      </c>
      <c r="W138" s="1248"/>
      <c r="X138" s="1248"/>
      <c r="Y138" s="1248"/>
      <c r="Z138" s="1881">
        <f t="shared" si="22"/>
        <v>1560046</v>
      </c>
      <c r="AA138" s="1471">
        <f t="shared" si="23"/>
        <v>10375066</v>
      </c>
      <c r="AB138" s="1472"/>
      <c r="AC138" s="1420">
        <f t="shared" si="20"/>
        <v>10375066</v>
      </c>
      <c r="AD138" s="593">
        <v>29</v>
      </c>
    </row>
    <row r="139" spans="1:30" s="242" customFormat="1" ht="27.75" customHeight="1">
      <c r="A139" s="1282">
        <v>111</v>
      </c>
      <c r="B139" s="1245">
        <v>30</v>
      </c>
      <c r="C139" s="320" t="str">
        <f>TONGHOPCONGDOI!B134</f>
        <v>03507</v>
      </c>
      <c r="D139" s="321" t="str">
        <f>TONGHOPCONGDOI!C134</f>
        <v>N. Không</v>
      </c>
      <c r="E139" s="1243" t="s">
        <v>15</v>
      </c>
      <c r="F139" s="1252"/>
      <c r="G139" s="1248">
        <f t="shared" si="25"/>
        <v>0</v>
      </c>
      <c r="H139" s="1248">
        <f>VLOOKUP(D139,'TRẠM 2'!$C$15:$Y$89,6,0)</f>
        <v>3399</v>
      </c>
      <c r="I139" s="1248">
        <f>VLOOKUP(D139,'TRẠM 2'!$C$15:$Y$89,7,0)</f>
        <v>0</v>
      </c>
      <c r="J139" s="1248">
        <f>VLOOKUP(D139,'TRẠM 2'!$C$15:$Y$89,8,0)</f>
        <v>1480.9112110470762</v>
      </c>
      <c r="K139" s="1248">
        <f>VLOOKUP(D139,'TRẠM 2'!$C$15:$Y$89,9,0)</f>
        <v>137.91579646924782</v>
      </c>
      <c r="L139" s="1837">
        <f t="shared" si="21"/>
        <v>1618.8270075163241</v>
      </c>
      <c r="M139" s="1996" t="str">
        <f>VLOOKUP(D139,'TRẠM 2'!$C$15:$Y$89,11,0)</f>
        <v>A</v>
      </c>
      <c r="N139" s="1248">
        <f>VLOOKUP(D139,'TRẠM 2'!$C$15:$Y$89,12,0)</f>
        <v>5924907</v>
      </c>
      <c r="O139" s="1248">
        <f>VLOOKUP(D139,'TRẠM 2'!$C$15:$Y$89,13,0)</f>
        <v>24</v>
      </c>
      <c r="P139" s="1248">
        <f>VLOOKUP(D139,'TRẠM 2'!$C$15:$Y$89,14,0)</f>
        <v>4</v>
      </c>
      <c r="Q139" s="1248">
        <f>VLOOKUP(D139,'TRẠM 2'!$C$15:$Y$89,15,0)</f>
        <v>3</v>
      </c>
      <c r="R139" s="1248">
        <f>VLOOKUP(D139,'TRẠM 2'!$C$15:$Y$89,16,0)</f>
        <v>0</v>
      </c>
      <c r="S139" s="1248">
        <f>VLOOKUP(D139,'TRẠM 2'!$C$15:$Y$89,17,0)</f>
        <v>3</v>
      </c>
      <c r="T139" s="1248" t="e">
        <f>VLOOKUP(G139,'TRẠM 2'!$C$15:$Y$89,13,0)</f>
        <v>#N/A</v>
      </c>
      <c r="U139" s="1248" t="e">
        <f>VLOOKUP(H139,'TRẠM 2'!$C$15:$Y$89,13,0)</f>
        <v>#N/A</v>
      </c>
      <c r="V139" s="1248">
        <f>VLOOKUP(D139,'TRẠM 2'!$C$15:$Y$89,20,0)</f>
        <v>0</v>
      </c>
      <c r="W139" s="1248"/>
      <c r="X139" s="1248"/>
      <c r="Y139" s="1248"/>
      <c r="Z139" s="1881">
        <f t="shared" si="22"/>
        <v>1429253</v>
      </c>
      <c r="AA139" s="1471">
        <f t="shared" si="23"/>
        <v>7354160</v>
      </c>
      <c r="AB139" s="1472"/>
      <c r="AC139" s="1420">
        <f t="shared" si="20"/>
        <v>7354160</v>
      </c>
      <c r="AD139" s="593">
        <v>30</v>
      </c>
    </row>
    <row r="140" spans="1:30" s="242" customFormat="1" ht="27.75" customHeight="1">
      <c r="A140" s="1282">
        <v>112</v>
      </c>
      <c r="B140" s="1245">
        <v>31</v>
      </c>
      <c r="C140" s="320" t="str">
        <f>TONGHOPCONGDOI!B135</f>
        <v>03574</v>
      </c>
      <c r="D140" s="321" t="str">
        <f>TONGHOPCONGDOI!C135</f>
        <v>T. Đăm</v>
      </c>
      <c r="E140" s="1243" t="s">
        <v>15</v>
      </c>
      <c r="F140" s="1252"/>
      <c r="G140" s="1248">
        <f t="shared" si="25"/>
        <v>0</v>
      </c>
      <c r="H140" s="1248">
        <f>VLOOKUP(D140,'TRẠM 2'!$C$15:$Y$89,6,0)</f>
        <v>3518</v>
      </c>
      <c r="I140" s="1248">
        <f>VLOOKUP(D140,'TRẠM 2'!$C$15:$Y$89,7,0)</f>
        <v>0</v>
      </c>
      <c r="J140" s="1248">
        <f>VLOOKUP(D140,'TRẠM 2'!$C$15:$Y$89,8,0)</f>
        <v>1532.7583525930022</v>
      </c>
      <c r="K140" s="1248">
        <f>VLOOKUP(D140,'TRẠM 2'!$C$15:$Y$89,9,0)</f>
        <v>142.74426948479373</v>
      </c>
      <c r="L140" s="1837">
        <f t="shared" si="21"/>
        <v>1675.5026220777959</v>
      </c>
      <c r="M140" s="1996" t="str">
        <f>VLOOKUP(D140,'TRẠM 2'!$C$15:$Y$89,11,0)</f>
        <v>A</v>
      </c>
      <c r="N140" s="1248">
        <f>VLOOKUP(D140,'TRẠM 2'!$C$15:$Y$89,12,0)</f>
        <v>6132340</v>
      </c>
      <c r="O140" s="1248">
        <f>VLOOKUP(D140,'TRẠM 2'!$C$15:$Y$89,13,0)</f>
        <v>24</v>
      </c>
      <c r="P140" s="1248">
        <f>VLOOKUP(D140,'TRẠM 2'!$C$15:$Y$89,14,0)</f>
        <v>4</v>
      </c>
      <c r="Q140" s="1248">
        <f>VLOOKUP(D140,'TRẠM 2'!$C$15:$Y$89,15,0)</f>
        <v>2</v>
      </c>
      <c r="R140" s="1248">
        <f>VLOOKUP(D140,'TRẠM 2'!$C$15:$Y$89,16,0)</f>
        <v>0</v>
      </c>
      <c r="S140" s="1248">
        <f>VLOOKUP(D140,'TRẠM 2'!$C$15:$Y$89,17,0)</f>
        <v>2</v>
      </c>
      <c r="T140" s="1248" t="e">
        <f>VLOOKUP(G140,'TRẠM 2'!$C$15:$Y$89,13,0)</f>
        <v>#N/A</v>
      </c>
      <c r="U140" s="1248" t="e">
        <f>VLOOKUP(H140,'TRẠM 2'!$C$15:$Y$89,13,0)</f>
        <v>#N/A</v>
      </c>
      <c r="V140" s="1248">
        <f>VLOOKUP(D140,'TRẠM 2'!$C$15:$Y$89,20,0)</f>
        <v>0</v>
      </c>
      <c r="W140" s="1248"/>
      <c r="X140" s="1248"/>
      <c r="Y140" s="1248"/>
      <c r="Z140" s="1881">
        <f t="shared" si="22"/>
        <v>1267667</v>
      </c>
      <c r="AA140" s="1471">
        <f t="shared" si="23"/>
        <v>7400007</v>
      </c>
      <c r="AB140" s="1472"/>
      <c r="AC140" s="1420">
        <f t="shared" si="20"/>
        <v>7400007</v>
      </c>
      <c r="AD140" s="593">
        <v>31</v>
      </c>
    </row>
    <row r="141" spans="1:30" s="242" customFormat="1" ht="27.75" customHeight="1">
      <c r="A141" s="1282">
        <v>113</v>
      </c>
      <c r="B141" s="1245">
        <v>32</v>
      </c>
      <c r="C141" s="320" t="str">
        <f>TONGHOPCONGDOI!B136</f>
        <v>04133</v>
      </c>
      <c r="D141" s="321" t="str">
        <f>TONGHOPCONGDOI!C136</f>
        <v xml:space="preserve">Văn Na  </v>
      </c>
      <c r="E141" s="1243" t="s">
        <v>15</v>
      </c>
      <c r="F141" s="1252"/>
      <c r="G141" s="1248">
        <f t="shared" si="25"/>
        <v>0</v>
      </c>
      <c r="H141" s="1248">
        <f>VLOOKUP(D141,'TRẠM 2'!$C$15:$Y$89,6,0)</f>
        <v>6072</v>
      </c>
      <c r="I141" s="1248">
        <f>VLOOKUP(D141,'TRẠM 2'!$C$15:$Y$89,7,0)</f>
        <v>0</v>
      </c>
      <c r="J141" s="1248">
        <f>VLOOKUP(D141,'TRẠM 2'!$C$15:$Y$89,8,0)</f>
        <v>2645.5112896374953</v>
      </c>
      <c r="K141" s="1248">
        <f>VLOOKUP(D141,'TRẠM 2'!$C$15:$Y$89,9,0)</f>
        <v>246.37385000331651</v>
      </c>
      <c r="L141" s="1837">
        <f t="shared" si="21"/>
        <v>2891.8851396408118</v>
      </c>
      <c r="M141" s="1996" t="str">
        <f>VLOOKUP(D141,'TRẠM 2'!$C$15:$Y$89,11,0)</f>
        <v>A</v>
      </c>
      <c r="N141" s="1248">
        <f>VLOOKUP(D141,'TRẠM 2'!$C$15:$Y$89,12,0)</f>
        <v>10584300</v>
      </c>
      <c r="O141" s="1248">
        <f>VLOOKUP(D141,'TRẠM 2'!$C$15:$Y$89,13,0)</f>
        <v>23</v>
      </c>
      <c r="P141" s="1248">
        <f>VLOOKUP(D141,'TRẠM 2'!$C$15:$Y$89,14,0)</f>
        <v>4</v>
      </c>
      <c r="Q141" s="1248">
        <f>VLOOKUP(D141,'TRẠM 2'!$C$15:$Y$89,15,0)</f>
        <v>3</v>
      </c>
      <c r="R141" s="1248">
        <f>VLOOKUP(D141,'TRẠM 2'!$C$15:$Y$89,16,0)</f>
        <v>0</v>
      </c>
      <c r="S141" s="1248">
        <f>VLOOKUP(D141,'TRẠM 2'!$C$15:$Y$89,17,0)</f>
        <v>3</v>
      </c>
      <c r="T141" s="1248" t="e">
        <f>VLOOKUP(G141,'TRẠM 2'!$C$15:$Y$89,13,0)</f>
        <v>#N/A</v>
      </c>
      <c r="U141" s="1248" t="e">
        <f>VLOOKUP(H141,'TRẠM 2'!$C$15:$Y$89,13,0)</f>
        <v>#N/A</v>
      </c>
      <c r="V141" s="1248">
        <f>VLOOKUP(D141,'TRẠM 2'!$C$15:$Y$89,20,0)</f>
        <v>0</v>
      </c>
      <c r="W141" s="1248"/>
      <c r="X141" s="1248"/>
      <c r="Y141" s="1248"/>
      <c r="Z141" s="1881">
        <f t="shared" si="22"/>
        <v>1398460</v>
      </c>
      <c r="AA141" s="1471">
        <f t="shared" si="23"/>
        <v>11982760</v>
      </c>
      <c r="AB141" s="1472"/>
      <c r="AC141" s="1420">
        <f t="shared" si="20"/>
        <v>11982760</v>
      </c>
      <c r="AD141" s="593">
        <v>32</v>
      </c>
    </row>
    <row r="142" spans="1:30" s="242" customFormat="1" ht="27.75" customHeight="1">
      <c r="A142" s="1282">
        <v>114</v>
      </c>
      <c r="B142" s="1245">
        <v>33</v>
      </c>
      <c r="C142" s="320" t="str">
        <f>TONGHOPCONGDOI!B137</f>
        <v>03597</v>
      </c>
      <c r="D142" s="321" t="str">
        <f>TONGHOPCONGDOI!C137</f>
        <v>N. Lẹ</v>
      </c>
      <c r="E142" s="1243" t="s">
        <v>15</v>
      </c>
      <c r="F142" s="1252"/>
      <c r="G142" s="1248">
        <f t="shared" si="25"/>
        <v>0</v>
      </c>
      <c r="H142" s="1248">
        <f>VLOOKUP(D142,'TRẠM 2'!$C$15:$Y$89,6,0)</f>
        <v>5911</v>
      </c>
      <c r="I142" s="1248">
        <f>VLOOKUP(D142,'TRẠM 2'!$C$15:$Y$89,7,0)</f>
        <v>0</v>
      </c>
      <c r="J142" s="1248">
        <f>VLOOKUP(D142,'TRẠM 2'!$C$15:$Y$89,8,0)</f>
        <v>2575.3651569577132</v>
      </c>
      <c r="K142" s="1248">
        <f>VLOOKUP(D142,'TRẠM 2'!$C$15:$Y$89,9,0)</f>
        <v>239.84121004110736</v>
      </c>
      <c r="L142" s="1837">
        <f t="shared" si="21"/>
        <v>2815.2063669988206</v>
      </c>
      <c r="M142" s="1996" t="str">
        <f>VLOOKUP(D142,'TRẠM 2'!$C$15:$Y$89,11,0)</f>
        <v>A</v>
      </c>
      <c r="N142" s="1248">
        <f>VLOOKUP(D142,'TRẠM 2'!$C$15:$Y$89,12,0)</f>
        <v>10303655</v>
      </c>
      <c r="O142" s="1248">
        <f>VLOOKUP(D142,'TRẠM 2'!$C$15:$Y$89,13,0)</f>
        <v>24</v>
      </c>
      <c r="P142" s="1248">
        <f>VLOOKUP(D142,'TRẠM 2'!$C$15:$Y$89,14,0)</f>
        <v>4</v>
      </c>
      <c r="Q142" s="1248">
        <f>VLOOKUP(D142,'TRẠM 2'!$C$15:$Y$89,15,0)</f>
        <v>3</v>
      </c>
      <c r="R142" s="1248">
        <f>VLOOKUP(D142,'TRẠM 2'!$C$15:$Y$89,16,0)</f>
        <v>0</v>
      </c>
      <c r="S142" s="1248">
        <f>VLOOKUP(D142,'TRẠM 2'!$C$15:$Y$89,17,0)</f>
        <v>3</v>
      </c>
      <c r="T142" s="1248" t="e">
        <f>VLOOKUP(G142,'TRẠM 2'!$C$15:$Y$89,13,0)</f>
        <v>#N/A</v>
      </c>
      <c r="U142" s="1248" t="e">
        <f>VLOOKUP(H142,'TRẠM 2'!$C$15:$Y$89,13,0)</f>
        <v>#N/A</v>
      </c>
      <c r="V142" s="1248">
        <f>VLOOKUP(D142,'TRẠM 2'!$C$15:$Y$89,20,0)</f>
        <v>0</v>
      </c>
      <c r="W142" s="1248"/>
      <c r="X142" s="1248"/>
      <c r="Y142" s="1248"/>
      <c r="Z142" s="1881">
        <f t="shared" si="22"/>
        <v>1429253</v>
      </c>
      <c r="AA142" s="1471">
        <f t="shared" si="23"/>
        <v>11732908</v>
      </c>
      <c r="AB142" s="1472"/>
      <c r="AC142" s="1420">
        <f t="shared" si="20"/>
        <v>11732908</v>
      </c>
      <c r="AD142" s="593">
        <v>33</v>
      </c>
    </row>
    <row r="143" spans="1:30" s="242" customFormat="1" ht="27.75" customHeight="1">
      <c r="A143" s="1282">
        <v>115</v>
      </c>
      <c r="B143" s="1245">
        <v>34</v>
      </c>
      <c r="C143" s="320" t="str">
        <f>TONGHOPCONGDOI!B138</f>
        <v>04134</v>
      </c>
      <c r="D143" s="321" t="str">
        <f>TONGHOPCONGDOI!C138</f>
        <v>T. Mi</v>
      </c>
      <c r="E143" s="1243" t="s">
        <v>15</v>
      </c>
      <c r="F143" s="1252"/>
      <c r="G143" s="1248">
        <f t="shared" si="25"/>
        <v>0</v>
      </c>
      <c r="H143" s="1248">
        <f>VLOOKUP(D143,'TRẠM 2'!$C$15:$Y$89,6,0)</f>
        <v>3006</v>
      </c>
      <c r="I143" s="1248">
        <f>VLOOKUP(D143,'TRẠM 2'!$C$15:$Y$89,7,0)</f>
        <v>0</v>
      </c>
      <c r="J143" s="1248">
        <f>VLOOKUP(D143,'TRẠM 2'!$C$15:$Y$89,8,0)</f>
        <v>1309.6849368659932</v>
      </c>
      <c r="K143" s="1248">
        <f>VLOOKUP(D143,'TRẠM 2'!$C$15:$Y$89,9,0)</f>
        <v>121.96966289689878</v>
      </c>
      <c r="L143" s="1837">
        <f t="shared" si="21"/>
        <v>1431.6545997628921</v>
      </c>
      <c r="M143" s="1996" t="str">
        <f>VLOOKUP(D143,'TRẠM 2'!$C$15:$Y$89,11,0)</f>
        <v>B</v>
      </c>
      <c r="N143" s="1248">
        <f>VLOOKUP(D143,'TRẠM 2'!$C$15:$Y$89,12,0)</f>
        <v>4982158</v>
      </c>
      <c r="O143" s="1248">
        <f>VLOOKUP(D143,'TRẠM 2'!$C$15:$Y$89,13,0)</f>
        <v>22</v>
      </c>
      <c r="P143" s="1248">
        <f>VLOOKUP(D143,'TRẠM 2'!$C$15:$Y$89,14,0)</f>
        <v>3</v>
      </c>
      <c r="Q143" s="1248">
        <f>VLOOKUP(D143,'TRẠM 2'!$C$15:$Y$89,15,0)</f>
        <v>4</v>
      </c>
      <c r="R143" s="1248">
        <f>VLOOKUP(D143,'TRẠM 2'!$C$15:$Y$89,16,0)</f>
        <v>0</v>
      </c>
      <c r="S143" s="1248">
        <f>VLOOKUP(D143,'TRẠM 2'!$C$15:$Y$89,17,0)</f>
        <v>4</v>
      </c>
      <c r="T143" s="1248" t="e">
        <f>VLOOKUP(G143,'TRẠM 2'!$C$15:$Y$89,13,0)</f>
        <v>#N/A</v>
      </c>
      <c r="U143" s="1248" t="e">
        <f>VLOOKUP(H143,'TRẠM 2'!$C$15:$Y$89,13,0)</f>
        <v>#N/A</v>
      </c>
      <c r="V143" s="1248">
        <f>VLOOKUP(D143,'TRẠM 2'!$C$15:$Y$89,20,0)</f>
        <v>24</v>
      </c>
      <c r="W143" s="1248"/>
      <c r="X143" s="1248"/>
      <c r="Y143" s="1248"/>
      <c r="Z143" s="1881">
        <f t="shared" si="22"/>
        <v>1957887</v>
      </c>
      <c r="AA143" s="1471">
        <f t="shared" si="23"/>
        <v>6940045</v>
      </c>
      <c r="AB143" s="1472"/>
      <c r="AC143" s="1420">
        <f t="shared" si="20"/>
        <v>6940045</v>
      </c>
      <c r="AD143" s="593">
        <v>34</v>
      </c>
    </row>
    <row r="144" spans="1:30" s="242" customFormat="1" ht="27.75" customHeight="1">
      <c r="A144" s="1282">
        <v>116</v>
      </c>
      <c r="B144" s="1245">
        <v>35</v>
      </c>
      <c r="C144" s="320">
        <f>TONGHOPCONGDOI!B139</f>
        <v>0</v>
      </c>
      <c r="D144" s="321" t="str">
        <f>TONGHOPCONGDOI!C139</f>
        <v>Thảo Pi</v>
      </c>
      <c r="E144" s="1243" t="s">
        <v>15</v>
      </c>
      <c r="F144" s="1252"/>
      <c r="G144" s="1248">
        <f t="shared" si="25"/>
        <v>0</v>
      </c>
      <c r="H144" s="1248">
        <f>VLOOKUP(D144,'TRẠM 2'!$C$15:$Y$89,6,0)</f>
        <v>806</v>
      </c>
      <c r="I144" s="1248">
        <f>VLOOKUP(D144,'TRẠM 2'!$C$15:$Y$89,7,0)</f>
        <v>0</v>
      </c>
      <c r="J144" s="1248">
        <f>VLOOKUP(D144,'TRẠM 2'!$C$15:$Y$89,8,0)</f>
        <v>351.1663536640022</v>
      </c>
      <c r="K144" s="1248">
        <f>VLOOKUP(D144,'TRẠM 2'!$C$15:$Y$89,9,0)</f>
        <v>32.703775214537735</v>
      </c>
      <c r="L144" s="1837">
        <f t="shared" si="21"/>
        <v>383.87012887853996</v>
      </c>
      <c r="M144" s="1996" t="str">
        <f>VLOOKUP(D144,'TRẠM 2'!$C$15:$Y$89,11,0)</f>
        <v>B</v>
      </c>
      <c r="N144" s="1248">
        <f>VLOOKUP(D144,'TRẠM 2'!$C$15:$Y$89,12,0)</f>
        <v>1335868</v>
      </c>
      <c r="O144" s="1248">
        <f>VLOOKUP(D144,'TRẠM 2'!$C$15:$Y$89,13,0)</f>
        <v>7</v>
      </c>
      <c r="P144" s="1248">
        <f>VLOOKUP(D144,'TRẠM 2'!$C$15:$Y$89,14,0)</f>
        <v>1</v>
      </c>
      <c r="Q144" s="1248">
        <f>VLOOKUP(D144,'TRẠM 2'!$C$15:$Y$89,15,0)</f>
        <v>2</v>
      </c>
      <c r="R144" s="1248">
        <f>VLOOKUP(D144,'TRẠM 2'!$C$15:$Y$89,16,0)</f>
        <v>0</v>
      </c>
      <c r="S144" s="1248">
        <f>VLOOKUP(D144,'TRẠM 2'!$C$15:$Y$89,17,0)</f>
        <v>2</v>
      </c>
      <c r="T144" s="1248" t="e">
        <f>VLOOKUP(G144,'TRẠM 2'!$C$15:$Y$89,13,0)</f>
        <v>#N/A</v>
      </c>
      <c r="U144" s="1248" t="e">
        <f>VLOOKUP(H144,'TRẠM 2'!$C$15:$Y$89,13,0)</f>
        <v>#N/A</v>
      </c>
      <c r="V144" s="1248">
        <f>VLOOKUP(D144,'TRẠM 2'!$C$15:$Y$89,20,0)</f>
        <v>12</v>
      </c>
      <c r="W144" s="1248"/>
      <c r="X144" s="1248"/>
      <c r="Y144" s="1248"/>
      <c r="Z144" s="1881">
        <f t="shared" si="22"/>
        <v>830089</v>
      </c>
      <c r="AA144" s="1471">
        <f t="shared" si="23"/>
        <v>2165957</v>
      </c>
      <c r="AB144" s="1472"/>
      <c r="AC144" s="1420">
        <f t="shared" si="20"/>
        <v>2165957</v>
      </c>
      <c r="AD144" s="593">
        <v>35</v>
      </c>
    </row>
    <row r="145" spans="1:30" s="242" customFormat="1" ht="27.75" customHeight="1">
      <c r="A145" s="1282">
        <v>117</v>
      </c>
      <c r="B145" s="1245">
        <v>36</v>
      </c>
      <c r="C145" s="320" t="str">
        <f>TONGHOPCONGDOI!B140</f>
        <v>04136</v>
      </c>
      <c r="D145" s="321" t="str">
        <f>TONGHOPCONGDOI!C140</f>
        <v>T. Mút</v>
      </c>
      <c r="E145" s="1243" t="s">
        <v>15</v>
      </c>
      <c r="F145" s="1252"/>
      <c r="G145" s="1248">
        <f t="shared" si="25"/>
        <v>0</v>
      </c>
      <c r="H145" s="1248">
        <f>VLOOKUP(D145,'TRẠM 2'!$C$15:$Y$89,6,0)</f>
        <v>3443</v>
      </c>
      <c r="I145" s="1248">
        <f>VLOOKUP(D145,'TRẠM 2'!$C$15:$Y$89,7,0)</f>
        <v>0</v>
      </c>
      <c r="J145" s="1248">
        <f>VLOOKUP(D145,'TRẠM 2'!$C$15:$Y$89,8,0)</f>
        <v>1500.081582711116</v>
      </c>
      <c r="K145" s="1248">
        <f>VLOOKUP(D145,'TRẠM 2'!$C$15:$Y$89,9,0)</f>
        <v>139.70111422289506</v>
      </c>
      <c r="L145" s="1837">
        <f t="shared" si="21"/>
        <v>1639.782696934011</v>
      </c>
      <c r="M145" s="1996" t="str">
        <f>VLOOKUP(D145,'TRẠM 2'!$C$15:$Y$89,11,0)</f>
        <v>B</v>
      </c>
      <c r="N145" s="1248">
        <f>VLOOKUP(D145,'TRẠM 2'!$C$15:$Y$89,12,0)</f>
        <v>5706444</v>
      </c>
      <c r="O145" s="1248">
        <f>VLOOKUP(D145,'TRẠM 2'!$C$15:$Y$89,13,0)</f>
        <v>23</v>
      </c>
      <c r="P145" s="1248">
        <f>VLOOKUP(D145,'TRẠM 2'!$C$15:$Y$89,14,0)</f>
        <v>3</v>
      </c>
      <c r="Q145" s="1248">
        <f>VLOOKUP(D145,'TRẠM 2'!$C$15:$Y$89,15,0)</f>
        <v>4</v>
      </c>
      <c r="R145" s="1248">
        <f>VLOOKUP(D145,'TRẠM 2'!$C$15:$Y$89,16,0)</f>
        <v>0</v>
      </c>
      <c r="S145" s="1248">
        <f>VLOOKUP(D145,'TRẠM 2'!$C$15:$Y$89,17,0)</f>
        <v>4</v>
      </c>
      <c r="T145" s="1248" t="e">
        <f>VLOOKUP(G145,'TRẠM 2'!$C$15:$Y$89,13,0)</f>
        <v>#N/A</v>
      </c>
      <c r="U145" s="1248" t="e">
        <f>VLOOKUP(H145,'TRẠM 2'!$C$15:$Y$89,13,0)</f>
        <v>#N/A</v>
      </c>
      <c r="V145" s="1248">
        <f>VLOOKUP(D145,'TRẠM 2'!$C$15:$Y$89,20,0)</f>
        <v>34</v>
      </c>
      <c r="W145" s="1248"/>
      <c r="X145" s="1248"/>
      <c r="Y145" s="1248"/>
      <c r="Z145" s="1881">
        <f t="shared" si="22"/>
        <v>2188680</v>
      </c>
      <c r="AA145" s="1471">
        <f t="shared" si="23"/>
        <v>7895124</v>
      </c>
      <c r="AB145" s="1472"/>
      <c r="AC145" s="1420">
        <f t="shared" si="20"/>
        <v>7895124</v>
      </c>
      <c r="AD145" s="593">
        <v>36</v>
      </c>
    </row>
    <row r="146" spans="1:30" s="242" customFormat="1" ht="27.75" customHeight="1">
      <c r="A146" s="1282">
        <v>118</v>
      </c>
      <c r="B146" s="1245">
        <v>37</v>
      </c>
      <c r="C146" s="320" t="str">
        <f>TONGHOPCONGDOI!B141</f>
        <v>04137</v>
      </c>
      <c r="D146" s="321" t="str">
        <f>TONGHOPCONGDOI!C141</f>
        <v>T. Lươn</v>
      </c>
      <c r="E146" s="1243" t="s">
        <v>15</v>
      </c>
      <c r="F146" s="1252"/>
      <c r="G146" s="1248">
        <f t="shared" si="25"/>
        <v>0</v>
      </c>
      <c r="H146" s="1248">
        <f>VLOOKUP(D146,'TRẠM 2'!$C$15:$Y$89,6,0)</f>
        <v>2670</v>
      </c>
      <c r="I146" s="1248">
        <f>VLOOKUP(D146,'TRẠM 2'!$C$15:$Y$89,7,0)</f>
        <v>0</v>
      </c>
      <c r="J146" s="1248">
        <f>VLOOKUP(D146,'TRẠM 2'!$C$15:$Y$89,8,0)</f>
        <v>1163.2930077951437</v>
      </c>
      <c r="K146" s="1248">
        <f>VLOOKUP(D146,'TRẠM 2'!$C$15:$Y$89,9,0)</f>
        <v>108.33632732359274</v>
      </c>
      <c r="L146" s="1837">
        <f t="shared" si="21"/>
        <v>1271.6293351187364</v>
      </c>
      <c r="M146" s="1996" t="str">
        <f>VLOOKUP(D146,'TRẠM 2'!$C$15:$Y$89,11,0)</f>
        <v>B</v>
      </c>
      <c r="N146" s="1248">
        <f>VLOOKUP(D146,'TRẠM 2'!$C$15:$Y$89,12,0)</f>
        <v>4425270</v>
      </c>
      <c r="O146" s="1248">
        <f>VLOOKUP(D146,'TRẠM 2'!$C$15:$Y$89,13,0)</f>
        <v>19</v>
      </c>
      <c r="P146" s="1248">
        <f>VLOOKUP(D146,'TRẠM 2'!$C$15:$Y$89,14,0)</f>
        <v>4</v>
      </c>
      <c r="Q146" s="1248">
        <f>VLOOKUP(D146,'TRẠM 2'!$C$15:$Y$89,15,0)</f>
        <v>4</v>
      </c>
      <c r="R146" s="1248">
        <f>VLOOKUP(D146,'TRẠM 2'!$C$15:$Y$89,16,0)</f>
        <v>0</v>
      </c>
      <c r="S146" s="1248">
        <f>VLOOKUP(D146,'TRẠM 2'!$C$15:$Y$89,17,0)</f>
        <v>4</v>
      </c>
      <c r="T146" s="1248" t="e">
        <f>VLOOKUP(G146,'TRẠM 2'!$C$15:$Y$89,13,0)</f>
        <v>#N/A</v>
      </c>
      <c r="U146" s="1248" t="e">
        <f>VLOOKUP(H146,'TRẠM 2'!$C$15:$Y$89,13,0)</f>
        <v>#N/A</v>
      </c>
      <c r="V146" s="1248">
        <f>VLOOKUP(D146,'TRẠM 2'!$C$15:$Y$89,20,0)</f>
        <v>23</v>
      </c>
      <c r="W146" s="1248"/>
      <c r="X146" s="1248"/>
      <c r="Y146" s="1248"/>
      <c r="Z146" s="1881">
        <f t="shared" si="22"/>
        <v>1896874</v>
      </c>
      <c r="AA146" s="1471">
        <f t="shared" si="23"/>
        <v>6322144</v>
      </c>
      <c r="AB146" s="1472"/>
      <c r="AC146" s="1420">
        <f t="shared" si="20"/>
        <v>6322144</v>
      </c>
      <c r="AD146" s="593">
        <v>37</v>
      </c>
    </row>
    <row r="147" spans="1:30" s="242" customFormat="1" ht="27.75" customHeight="1">
      <c r="A147" s="1282">
        <v>119</v>
      </c>
      <c r="B147" s="1245">
        <v>38</v>
      </c>
      <c r="C147" s="320" t="str">
        <f>TONGHOPCONGDOI!B142</f>
        <v>03512</v>
      </c>
      <c r="D147" s="321" t="str">
        <f>TONGHOPCONGDOI!C142</f>
        <v>N. Đon</v>
      </c>
      <c r="E147" s="1243" t="s">
        <v>15</v>
      </c>
      <c r="F147" s="1252"/>
      <c r="G147" s="1248">
        <f t="shared" si="25"/>
        <v>0</v>
      </c>
      <c r="H147" s="1248">
        <f>VLOOKUP(D147,'TRẠM 2'!$C$15:$Y$89,6,0)</f>
        <v>1845</v>
      </c>
      <c r="I147" s="1248">
        <f>VLOOKUP(D147,'TRẠM 2'!$C$15:$Y$89,7,0)</f>
        <v>0</v>
      </c>
      <c r="J147" s="1248">
        <f>VLOOKUP(D147,'TRẠM 2'!$C$15:$Y$89,8,0)</f>
        <v>803.8485390943971</v>
      </c>
      <c r="K147" s="1248">
        <f>VLOOKUP(D147,'TRẠM 2'!$C$15:$Y$89,9,0)</f>
        <v>74.861619442707337</v>
      </c>
      <c r="L147" s="1837">
        <f t="shared" si="21"/>
        <v>878.71015853710446</v>
      </c>
      <c r="M147" s="1996" t="str">
        <f>VLOOKUP(D147,'TRẠM 2'!$C$15:$Y$89,11,0)</f>
        <v>A</v>
      </c>
      <c r="N147" s="1248">
        <f>VLOOKUP(D147,'TRẠM 2'!$C$15:$Y$89,12,0)</f>
        <v>3216079</v>
      </c>
      <c r="O147" s="1248">
        <f>VLOOKUP(D147,'TRẠM 2'!$C$15:$Y$89,13,0)</f>
        <v>15</v>
      </c>
      <c r="P147" s="1248">
        <f>VLOOKUP(D147,'TRẠM 2'!$C$15:$Y$89,14,0)</f>
        <v>2</v>
      </c>
      <c r="Q147" s="1248">
        <f>VLOOKUP(D147,'TRẠM 2'!$C$15:$Y$89,15,0)</f>
        <v>2</v>
      </c>
      <c r="R147" s="1248">
        <f>VLOOKUP(D147,'TRẠM 2'!$C$15:$Y$89,16,0)</f>
        <v>0</v>
      </c>
      <c r="S147" s="1248">
        <f>VLOOKUP(D147,'TRẠM 2'!$C$15:$Y$89,17,0)</f>
        <v>2</v>
      </c>
      <c r="T147" s="1248" t="e">
        <f>VLOOKUP(G147,'TRẠM 2'!$C$15:$Y$89,13,0)</f>
        <v>#N/A</v>
      </c>
      <c r="U147" s="1248" t="e">
        <f>VLOOKUP(H147,'TRẠM 2'!$C$15:$Y$89,13,0)</f>
        <v>#N/A</v>
      </c>
      <c r="V147" s="1248">
        <f>VLOOKUP(D147,'TRẠM 2'!$C$15:$Y$89,20,0)</f>
        <v>15</v>
      </c>
      <c r="W147" s="1248"/>
      <c r="X147" s="1248"/>
      <c r="Y147" s="1248"/>
      <c r="Z147" s="1881">
        <f t="shared" si="22"/>
        <v>1187798</v>
      </c>
      <c r="AA147" s="1471">
        <f t="shared" si="23"/>
        <v>4403877</v>
      </c>
      <c r="AB147" s="1472"/>
      <c r="AC147" s="1420">
        <f t="shared" si="20"/>
        <v>4403877</v>
      </c>
      <c r="AD147" s="593">
        <v>38</v>
      </c>
    </row>
    <row r="148" spans="1:30" s="242" customFormat="1" ht="27.75" customHeight="1">
      <c r="A148" s="1282">
        <v>120</v>
      </c>
      <c r="B148" s="1245">
        <v>39</v>
      </c>
      <c r="C148" s="320" t="str">
        <f>TONGHOPCONGDOI!B143</f>
        <v>03683</v>
      </c>
      <c r="D148" s="321" t="str">
        <f>TONGHOPCONGDOI!C143</f>
        <v>T. Ô</v>
      </c>
      <c r="E148" s="1243" t="s">
        <v>15</v>
      </c>
      <c r="F148" s="1252"/>
      <c r="G148" s="1248">
        <f t="shared" si="25"/>
        <v>0</v>
      </c>
      <c r="H148" s="1248">
        <f>VLOOKUP(D148,'TRẠM 2'!$C$15:$Y$89,6,0)</f>
        <v>3177</v>
      </c>
      <c r="I148" s="1248">
        <f>VLOOKUP(D148,'TRẠM 2'!$C$15:$Y$89,7,0)</f>
        <v>0</v>
      </c>
      <c r="J148" s="1248">
        <f>VLOOKUP(D148,'TRẠM 2'!$C$15:$Y$89,8,0)</f>
        <v>1384.1879721966934</v>
      </c>
      <c r="K148" s="1248">
        <f>VLOOKUP(D148,'TRẠM 2'!$C$15:$Y$89,9,0)</f>
        <v>128.90805689402777</v>
      </c>
      <c r="L148" s="1837">
        <f t="shared" si="21"/>
        <v>1513.0960290907212</v>
      </c>
      <c r="M148" s="1996" t="str">
        <f>VLOOKUP(D148,'TRẠM 2'!$C$15:$Y$89,11,0)</f>
        <v>A</v>
      </c>
      <c r="N148" s="1248">
        <f>VLOOKUP(D148,'TRẠM 2'!$C$15:$Y$89,12,0)</f>
        <v>5537931</v>
      </c>
      <c r="O148" s="1248">
        <f>VLOOKUP(D148,'TRẠM 2'!$C$15:$Y$89,13,0)</f>
        <v>21</v>
      </c>
      <c r="P148" s="1248">
        <f>VLOOKUP(D148,'TRẠM 2'!$C$15:$Y$89,14,0)</f>
        <v>4</v>
      </c>
      <c r="Q148" s="1248">
        <f>VLOOKUP(D148,'TRẠM 2'!$C$15:$Y$89,15,0)</f>
        <v>5</v>
      </c>
      <c r="R148" s="1248">
        <f>VLOOKUP(D148,'TRẠM 2'!$C$15:$Y$89,16,0)</f>
        <v>0</v>
      </c>
      <c r="S148" s="1248">
        <f>VLOOKUP(D148,'TRẠM 2'!$C$15:$Y$89,17,0)</f>
        <v>5</v>
      </c>
      <c r="T148" s="1248" t="e">
        <f>VLOOKUP(G148,'TRẠM 2'!$C$15:$Y$89,13,0)</f>
        <v>#N/A</v>
      </c>
      <c r="U148" s="1248" t="e">
        <f>VLOOKUP(H148,'TRẠM 2'!$C$15:$Y$89,13,0)</f>
        <v>#N/A</v>
      </c>
      <c r="V148" s="1248">
        <f>VLOOKUP(D148,'TRẠM 2'!$C$15:$Y$89,20,0)</f>
        <v>26</v>
      </c>
      <c r="W148" s="1248"/>
      <c r="X148" s="1248"/>
      <c r="Y148" s="1248"/>
      <c r="Z148" s="1881">
        <f t="shared" si="22"/>
        <v>2180046</v>
      </c>
      <c r="AA148" s="1471">
        <f t="shared" si="23"/>
        <v>7717977</v>
      </c>
      <c r="AB148" s="1472"/>
      <c r="AC148" s="1420">
        <f t="shared" si="20"/>
        <v>7717977</v>
      </c>
      <c r="AD148" s="593">
        <v>39</v>
      </c>
    </row>
    <row r="149" spans="1:30" s="242" customFormat="1" ht="27.75" customHeight="1">
      <c r="A149" s="1282">
        <v>121</v>
      </c>
      <c r="B149" s="1245">
        <v>40</v>
      </c>
      <c r="C149" s="320" t="str">
        <f>TONGHOPCONGDOI!B144</f>
        <v>04138</v>
      </c>
      <c r="D149" s="321" t="str">
        <f>TONGHOPCONGDOI!C144</f>
        <v>N. Su Pha</v>
      </c>
      <c r="E149" s="1243" t="s">
        <v>15</v>
      </c>
      <c r="F149" s="1252"/>
      <c r="G149" s="1248">
        <f t="shared" si="25"/>
        <v>0</v>
      </c>
      <c r="H149" s="1248">
        <f>VLOOKUP(D149,'TRẠM 2'!$C$15:$Y$89,6,0)</f>
        <v>3171</v>
      </c>
      <c r="I149" s="1248">
        <f>VLOOKUP(D149,'TRẠM 2'!$C$15:$Y$89,7,0)</f>
        <v>0</v>
      </c>
      <c r="J149" s="1248">
        <f>VLOOKUP(D149,'TRẠM 2'!$C$15:$Y$89,8,0)</f>
        <v>1381.5738306061426</v>
      </c>
      <c r="K149" s="1248">
        <f>VLOOKUP(D149,'TRẠM 2'!$C$15:$Y$89,9,0)</f>
        <v>128.66460447307585</v>
      </c>
      <c r="L149" s="1837">
        <f t="shared" si="21"/>
        <v>1510.2384350792183</v>
      </c>
      <c r="M149" s="1996" t="str">
        <f>VLOOKUP(D149,'TRẠM 2'!$C$15:$Y$89,11,0)</f>
        <v>B</v>
      </c>
      <c r="N149" s="1248">
        <f>VLOOKUP(D149,'TRẠM 2'!$C$15:$Y$89,12,0)</f>
        <v>5255630</v>
      </c>
      <c r="O149" s="1248">
        <f>VLOOKUP(D149,'TRẠM 2'!$C$15:$Y$89,13,0)</f>
        <v>21</v>
      </c>
      <c r="P149" s="1248">
        <f>VLOOKUP(D149,'TRẠM 2'!$C$15:$Y$89,14,0)</f>
        <v>4</v>
      </c>
      <c r="Q149" s="1248">
        <f>VLOOKUP(D149,'TRẠM 2'!$C$15:$Y$89,15,0)</f>
        <v>5</v>
      </c>
      <c r="R149" s="1248">
        <f>VLOOKUP(D149,'TRẠM 2'!$C$15:$Y$89,16,0)</f>
        <v>0</v>
      </c>
      <c r="S149" s="1248">
        <f>VLOOKUP(D149,'TRẠM 2'!$C$15:$Y$89,17,0)</f>
        <v>5</v>
      </c>
      <c r="T149" s="1248" t="e">
        <f>VLOOKUP(G149,'TRẠM 2'!$C$15:$Y$89,13,0)</f>
        <v>#N/A</v>
      </c>
      <c r="U149" s="1248" t="e">
        <f>VLOOKUP(H149,'TRẠM 2'!$C$15:$Y$89,13,0)</f>
        <v>#N/A</v>
      </c>
      <c r="V149" s="1248">
        <f>VLOOKUP(D149,'TRẠM 2'!$C$15:$Y$89,20,0)</f>
        <v>35</v>
      </c>
      <c r="W149" s="1248"/>
      <c r="X149" s="1248"/>
      <c r="Y149" s="1248"/>
      <c r="Z149" s="1881">
        <f t="shared" si="22"/>
        <v>2360046</v>
      </c>
      <c r="AA149" s="1471">
        <f t="shared" si="23"/>
        <v>7615676</v>
      </c>
      <c r="AB149" s="1472"/>
      <c r="AC149" s="1420">
        <f t="shared" si="20"/>
        <v>7615676</v>
      </c>
      <c r="AD149" s="593">
        <v>40</v>
      </c>
    </row>
    <row r="150" spans="1:30" s="242" customFormat="1" ht="27.75" customHeight="1">
      <c r="A150" s="1282">
        <v>122</v>
      </c>
      <c r="B150" s="1245">
        <v>41</v>
      </c>
      <c r="C150" s="320" t="str">
        <f>TONGHOPCONGDOI!B145</f>
        <v>04139</v>
      </c>
      <c r="D150" s="321" t="str">
        <f>TONGHOPCONGDOI!C145</f>
        <v>N. Lọi</v>
      </c>
      <c r="E150" s="1243" t="s">
        <v>15</v>
      </c>
      <c r="F150" s="1252"/>
      <c r="G150" s="1248">
        <f t="shared" si="25"/>
        <v>0</v>
      </c>
      <c r="H150" s="1248">
        <f>VLOOKUP(D150,'TRẠM 2'!$C$15:$Y$89,6,0)</f>
        <v>4361</v>
      </c>
      <c r="I150" s="1248">
        <f>VLOOKUP(D150,'TRẠM 2'!$C$15:$Y$89,7,0)</f>
        <v>0</v>
      </c>
      <c r="J150" s="1248">
        <f>VLOOKUP(D150,'TRẠM 2'!$C$15:$Y$89,8,0)</f>
        <v>1900.0452460654014</v>
      </c>
      <c r="K150" s="1248">
        <f>VLOOKUP(D150,'TRẠM 2'!$C$15:$Y$89,9,0)</f>
        <v>176.94933462853481</v>
      </c>
      <c r="L150" s="1837">
        <f t="shared" si="21"/>
        <v>2076.9945806939363</v>
      </c>
      <c r="M150" s="1996" t="str">
        <f>VLOOKUP(D150,'TRẠM 2'!$C$15:$Y$89,11,0)</f>
        <v>A</v>
      </c>
      <c r="N150" s="1248">
        <f>VLOOKUP(D150,'TRẠM 2'!$C$15:$Y$89,12,0)</f>
        <v>7601800</v>
      </c>
      <c r="O150" s="1248">
        <f>VLOOKUP(D150,'TRẠM 2'!$C$15:$Y$89,13,0)</f>
        <v>22</v>
      </c>
      <c r="P150" s="1248">
        <f>VLOOKUP(D150,'TRẠM 2'!$C$15:$Y$89,14,0)</f>
        <v>4</v>
      </c>
      <c r="Q150" s="1248">
        <f>VLOOKUP(D150,'TRẠM 2'!$C$15:$Y$89,15,0)</f>
        <v>5</v>
      </c>
      <c r="R150" s="1248">
        <f>VLOOKUP(D150,'TRẠM 2'!$C$15:$Y$89,16,0)</f>
        <v>0</v>
      </c>
      <c r="S150" s="1248">
        <f>VLOOKUP(D150,'TRẠM 2'!$C$15:$Y$89,17,0)</f>
        <v>5</v>
      </c>
      <c r="T150" s="1248" t="e">
        <f>VLOOKUP(G150,'TRẠM 2'!$C$15:$Y$89,13,0)</f>
        <v>#N/A</v>
      </c>
      <c r="U150" s="1248" t="e">
        <f>VLOOKUP(H150,'TRẠM 2'!$C$15:$Y$89,13,0)</f>
        <v>#N/A</v>
      </c>
      <c r="V150" s="1248">
        <f>VLOOKUP(D150,'TRẠM 2'!$C$15:$Y$89,20,0)</f>
        <v>27</v>
      </c>
      <c r="W150" s="1248"/>
      <c r="X150" s="1248"/>
      <c r="Y150" s="1248"/>
      <c r="Z150" s="1881">
        <f t="shared" si="22"/>
        <v>2230839</v>
      </c>
      <c r="AA150" s="1471">
        <f t="shared" si="23"/>
        <v>9832639</v>
      </c>
      <c r="AB150" s="1472"/>
      <c r="AC150" s="1420">
        <f t="shared" si="20"/>
        <v>9832639</v>
      </c>
      <c r="AD150" s="593">
        <v>41</v>
      </c>
    </row>
    <row r="151" spans="1:30" s="242" customFormat="1" ht="27.75" customHeight="1">
      <c r="A151" s="1282">
        <v>123</v>
      </c>
      <c r="B151" s="1245">
        <v>42</v>
      </c>
      <c r="C151" s="320" t="str">
        <f>TONGHOPCONGDOI!B146</f>
        <v>04140</v>
      </c>
      <c r="D151" s="321" t="str">
        <f>TONGHOPCONGDOI!C146</f>
        <v>T. Nin</v>
      </c>
      <c r="E151" s="1243" t="s">
        <v>15</v>
      </c>
      <c r="F151" s="1252"/>
      <c r="G151" s="1248">
        <f t="shared" si="25"/>
        <v>0</v>
      </c>
      <c r="H151" s="1248">
        <f>VLOOKUP(D151,'TRẠM 2'!$C$15:$Y$89,6,0)</f>
        <v>3210</v>
      </c>
      <c r="I151" s="1248">
        <f>VLOOKUP(D151,'TRẠM 2'!$C$15:$Y$89,7,0)</f>
        <v>0</v>
      </c>
      <c r="J151" s="1248">
        <f>VLOOKUP(D151,'TRẠM 2'!$C$15:$Y$89,8,0)</f>
        <v>1398.5657509447233</v>
      </c>
      <c r="K151" s="1248">
        <f>VLOOKUP(D151,'TRẠM 2'!$C$15:$Y$89,9,0)</f>
        <v>130.24704520926318</v>
      </c>
      <c r="L151" s="1837">
        <f t="shared" si="21"/>
        <v>1528.8127961539865</v>
      </c>
      <c r="M151" s="1996" t="str">
        <f>VLOOKUP(D151,'TRẠM 2'!$C$15:$Y$89,11,0)</f>
        <v>A</v>
      </c>
      <c r="N151" s="1248">
        <f>VLOOKUP(D151,'TRẠM 2'!$C$15:$Y$89,12,0)</f>
        <v>5595455</v>
      </c>
      <c r="O151" s="1248">
        <f>VLOOKUP(D151,'TRẠM 2'!$C$15:$Y$89,13,0)</f>
        <v>22</v>
      </c>
      <c r="P151" s="1248">
        <f>VLOOKUP(D151,'TRẠM 2'!$C$15:$Y$89,14,0)</f>
        <v>4</v>
      </c>
      <c r="Q151" s="1248">
        <f>VLOOKUP(D151,'TRẠM 2'!$C$15:$Y$89,15,0)</f>
        <v>5</v>
      </c>
      <c r="R151" s="1248">
        <f>VLOOKUP(D151,'TRẠM 2'!$C$15:$Y$89,16,0)</f>
        <v>0</v>
      </c>
      <c r="S151" s="1248">
        <f>VLOOKUP(D151,'TRẠM 2'!$C$15:$Y$89,17,0)</f>
        <v>5</v>
      </c>
      <c r="T151" s="1248" t="e">
        <f>VLOOKUP(G151,'TRẠM 2'!$C$15:$Y$89,13,0)</f>
        <v>#N/A</v>
      </c>
      <c r="U151" s="1248" t="e">
        <f>VLOOKUP(H151,'TRẠM 2'!$C$15:$Y$89,13,0)</f>
        <v>#N/A</v>
      </c>
      <c r="V151" s="1248">
        <f>VLOOKUP(D151,'TRẠM 2'!$C$15:$Y$89,20,0)</f>
        <v>36</v>
      </c>
      <c r="W151" s="1248"/>
      <c r="X151" s="1248"/>
      <c r="Y151" s="1248"/>
      <c r="Z151" s="1881">
        <f t="shared" si="22"/>
        <v>2410839</v>
      </c>
      <c r="AA151" s="1471">
        <f t="shared" si="23"/>
        <v>8006294</v>
      </c>
      <c r="AB151" s="1472"/>
      <c r="AC151" s="1420">
        <f t="shared" si="20"/>
        <v>8006294</v>
      </c>
      <c r="AD151" s="593">
        <v>42</v>
      </c>
    </row>
    <row r="152" spans="1:30" s="242" customFormat="1" ht="27.75" customHeight="1">
      <c r="A152" s="1282">
        <v>124</v>
      </c>
      <c r="B152" s="1245">
        <v>43</v>
      </c>
      <c r="C152" s="320" t="str">
        <f>TONGHOPCONGDOI!B147</f>
        <v>04141</v>
      </c>
      <c r="D152" s="321" t="str">
        <f>TONGHOPCONGDOI!C147</f>
        <v>T. Vỹ</v>
      </c>
      <c r="E152" s="1243" t="s">
        <v>15</v>
      </c>
      <c r="F152" s="1252"/>
      <c r="G152" s="1248">
        <f t="shared" si="25"/>
        <v>0</v>
      </c>
      <c r="H152" s="1248">
        <f>VLOOKUP(D152,'TRẠM 2'!$C$15:$Y$89,6,0)</f>
        <v>2954</v>
      </c>
      <c r="I152" s="1248">
        <f>VLOOKUP(D152,'TRẠM 2'!$C$15:$Y$89,7,0)</f>
        <v>0</v>
      </c>
      <c r="J152" s="1248">
        <f>VLOOKUP(D152,'TRẠM 2'!$C$15:$Y$89,8,0)</f>
        <v>1287.029043081219</v>
      </c>
      <c r="K152" s="1248">
        <f>VLOOKUP(D152,'TRẠM 2'!$C$15:$Y$89,9,0)</f>
        <v>119.85974191531571</v>
      </c>
      <c r="L152" s="1837">
        <f t="shared" si="21"/>
        <v>1406.8887849965347</v>
      </c>
      <c r="M152" s="1996" t="str">
        <f>VLOOKUP(D152,'TRẠM 2'!$C$15:$Y$89,11,0)</f>
        <v>B</v>
      </c>
      <c r="N152" s="1248">
        <f>VLOOKUP(D152,'TRẠM 2'!$C$15:$Y$89,12,0)</f>
        <v>4895973</v>
      </c>
      <c r="O152" s="1248">
        <f>VLOOKUP(D152,'TRẠM 2'!$C$15:$Y$89,13,0)</f>
        <v>25</v>
      </c>
      <c r="P152" s="1248">
        <f>VLOOKUP(D152,'TRẠM 2'!$C$15:$Y$89,14,0)</f>
        <v>4</v>
      </c>
      <c r="Q152" s="1248">
        <f>VLOOKUP(D152,'TRẠM 2'!$C$15:$Y$89,15,0)</f>
        <v>2</v>
      </c>
      <c r="R152" s="1248">
        <f>VLOOKUP(D152,'TRẠM 2'!$C$15:$Y$89,16,0)</f>
        <v>0</v>
      </c>
      <c r="S152" s="1248">
        <f>VLOOKUP(D152,'TRẠM 2'!$C$15:$Y$89,17,0)</f>
        <v>2</v>
      </c>
      <c r="T152" s="1248" t="e">
        <f>VLOOKUP(G152,'TRẠM 2'!$C$15:$Y$89,13,0)</f>
        <v>#N/A</v>
      </c>
      <c r="U152" s="1248" t="e">
        <f>VLOOKUP(H152,'TRẠM 2'!$C$15:$Y$89,13,0)</f>
        <v>#N/A</v>
      </c>
      <c r="V152" s="1248">
        <f>VLOOKUP(D152,'TRẠM 2'!$C$15:$Y$89,20,0)</f>
        <v>33</v>
      </c>
      <c r="W152" s="1248"/>
      <c r="X152" s="1248"/>
      <c r="Y152" s="1248"/>
      <c r="Z152" s="1881">
        <f t="shared" si="22"/>
        <v>1958460</v>
      </c>
      <c r="AA152" s="1471">
        <f t="shared" si="23"/>
        <v>6854433</v>
      </c>
      <c r="AB152" s="1472"/>
      <c r="AC152" s="1420">
        <f t="shared" si="20"/>
        <v>6854433</v>
      </c>
      <c r="AD152" s="593">
        <v>43</v>
      </c>
    </row>
    <row r="153" spans="1:30" s="242" customFormat="1" ht="27.75" customHeight="1">
      <c r="A153" s="1282">
        <v>125</v>
      </c>
      <c r="B153" s="1245">
        <v>43</v>
      </c>
      <c r="C153" s="320">
        <f>TONGHOPCONGDOI!B148</f>
        <v>0</v>
      </c>
      <c r="D153" s="321" t="str">
        <f>TONGHOPCONGDOI!C148</f>
        <v>Nàng Nhầy</v>
      </c>
      <c r="E153" s="1243" t="s">
        <v>15</v>
      </c>
      <c r="F153" s="1252"/>
      <c r="G153" s="1248">
        <f t="shared" si="25"/>
        <v>0</v>
      </c>
      <c r="H153" s="1248">
        <f>VLOOKUP(D153,'TRẠM 2'!$C$15:$Y$89,6,0)</f>
        <v>1630</v>
      </c>
      <c r="I153" s="1248">
        <f>VLOOKUP(D153,'TRẠM 2'!$C$15:$Y$89,7,0)</f>
        <v>0</v>
      </c>
      <c r="J153" s="1248">
        <f>VLOOKUP(D153,'TRẠM 2'!$C$15:$Y$89,8,0)</f>
        <v>710.17513209965705</v>
      </c>
      <c r="K153" s="1248">
        <f>VLOOKUP(D153,'TRẠM 2'!$C$15:$Y$89,9,0)</f>
        <v>66.137907691931147</v>
      </c>
      <c r="L153" s="1837">
        <f t="shared" si="21"/>
        <v>776.31303979158815</v>
      </c>
      <c r="M153" s="1996" t="str">
        <f>VLOOKUP(D153,'TRẠM 2'!$C$15:$Y$89,11,0)</f>
        <v>B</v>
      </c>
      <c r="N153" s="1248">
        <f>VLOOKUP(D153,'TRẠM 2'!$C$15:$Y$89,12,0)</f>
        <v>2701569</v>
      </c>
      <c r="O153" s="1248">
        <f>VLOOKUP(D153,'TRẠM 2'!$C$15:$Y$89,13,0)</f>
        <v>16</v>
      </c>
      <c r="P153" s="1248">
        <f>VLOOKUP(D153,'TRẠM 2'!$C$15:$Y$89,14,0)</f>
        <v>2</v>
      </c>
      <c r="Q153" s="1248">
        <f>VLOOKUP(D153,'TRẠM 2'!$C$15:$Y$89,15,0)</f>
        <v>2</v>
      </c>
      <c r="R153" s="1248">
        <f>VLOOKUP(D153,'TRẠM 2'!$C$15:$Y$89,16,0)</f>
        <v>0</v>
      </c>
      <c r="S153" s="1248">
        <f>VLOOKUP(D153,'TRẠM 2'!$C$15:$Y$89,17,0)</f>
        <v>2</v>
      </c>
      <c r="T153" s="1248" t="e">
        <f>VLOOKUP(G153,'TRẠM 2'!$C$15:$Y$89,13,0)</f>
        <v>#N/A</v>
      </c>
      <c r="U153" s="1248" t="e">
        <f>VLOOKUP(H153,'TRẠM 2'!$C$15:$Y$89,13,0)</f>
        <v>#N/A</v>
      </c>
      <c r="V153" s="1248">
        <f>VLOOKUP(D153,'TRẠM 2'!$C$15:$Y$89,20,0)</f>
        <v>22</v>
      </c>
      <c r="W153" s="1248"/>
      <c r="X153" s="1248"/>
      <c r="Y153" s="1248"/>
      <c r="Z153" s="1881">
        <f t="shared" si="22"/>
        <v>1358591</v>
      </c>
      <c r="AA153" s="1471">
        <f t="shared" si="23"/>
        <v>4060160</v>
      </c>
      <c r="AB153" s="1472"/>
      <c r="AC153" s="1420">
        <f t="shared" si="20"/>
        <v>4060160</v>
      </c>
      <c r="AD153" s="593"/>
    </row>
    <row r="154" spans="1:30" s="242" customFormat="1" ht="27.75" customHeight="1">
      <c r="A154" s="1282">
        <v>126</v>
      </c>
      <c r="B154" s="1245">
        <v>44</v>
      </c>
      <c r="C154" s="320" t="str">
        <f>TONGHOPCONGDOI!B149</f>
        <v>02732</v>
      </c>
      <c r="D154" s="321" t="str">
        <f>TONGHOPCONGDOI!C149</f>
        <v xml:space="preserve">N. Khăm </v>
      </c>
      <c r="E154" s="1243" t="s">
        <v>15</v>
      </c>
      <c r="F154" s="1252"/>
      <c r="G154" s="1248">
        <f t="shared" si="25"/>
        <v>0</v>
      </c>
      <c r="H154" s="1248">
        <f>VLOOKUP(D154,'TRẠM 2'!$C$15:$Y$89,6,0)</f>
        <v>3262</v>
      </c>
      <c r="I154" s="1248">
        <f>VLOOKUP(D154,'TRẠM 2'!$C$15:$Y$89,7,0)</f>
        <v>0</v>
      </c>
      <c r="J154" s="1248">
        <f>VLOOKUP(D154,'TRẠM 2'!$C$15:$Y$89,8,0)</f>
        <v>1421.2216447294977</v>
      </c>
      <c r="K154" s="1248">
        <f>VLOOKUP(D154,'TRẠM 2'!$C$15:$Y$89,9,0)</f>
        <v>132.35696619084626</v>
      </c>
      <c r="L154" s="1837">
        <f t="shared" si="21"/>
        <v>1553.5786109203441</v>
      </c>
      <c r="M154" s="1996" t="str">
        <f>VLOOKUP(D154,'TRẠM 2'!$C$15:$Y$89,11,0)</f>
        <v>A</v>
      </c>
      <c r="N154" s="1248">
        <f>VLOOKUP(D154,'TRẠM 2'!$C$15:$Y$89,12,0)</f>
        <v>5686098</v>
      </c>
      <c r="O154" s="1248">
        <f>VLOOKUP(D154,'TRẠM 2'!$C$15:$Y$89,13,0)</f>
        <v>19</v>
      </c>
      <c r="P154" s="1248">
        <f>VLOOKUP(D154,'TRẠM 2'!$C$15:$Y$89,14,0)</f>
        <v>4</v>
      </c>
      <c r="Q154" s="1248">
        <f>VLOOKUP(D154,'TRẠM 2'!$C$15:$Y$89,15,0)</f>
        <v>5</v>
      </c>
      <c r="R154" s="1248">
        <f>VLOOKUP(D154,'TRẠM 2'!$C$15:$Y$89,16,0)</f>
        <v>0</v>
      </c>
      <c r="S154" s="1248">
        <f>VLOOKUP(D154,'TRẠM 2'!$C$15:$Y$89,17,0)</f>
        <v>5</v>
      </c>
      <c r="T154" s="1248" t="e">
        <f>VLOOKUP(G154,'TRẠM 2'!$C$15:$Y$89,13,0)</f>
        <v>#N/A</v>
      </c>
      <c r="U154" s="1248" t="e">
        <f>VLOOKUP(H154,'TRẠM 2'!$C$15:$Y$89,13,0)</f>
        <v>#N/A</v>
      </c>
      <c r="V154" s="1248">
        <f>VLOOKUP(D154,'TRẠM 2'!$C$15:$Y$89,20,0)</f>
        <v>25</v>
      </c>
      <c r="W154" s="1248"/>
      <c r="X154" s="1248"/>
      <c r="Y154" s="1248"/>
      <c r="Z154" s="1881">
        <f t="shared" si="22"/>
        <v>2098460</v>
      </c>
      <c r="AA154" s="1471">
        <f t="shared" si="23"/>
        <v>7784558</v>
      </c>
      <c r="AB154" s="1472"/>
      <c r="AC154" s="1420">
        <f t="shared" si="20"/>
        <v>7784558</v>
      </c>
      <c r="AD154" s="593">
        <v>44</v>
      </c>
    </row>
    <row r="155" spans="1:30" s="242" customFormat="1" ht="27.75" customHeight="1">
      <c r="A155" s="1282">
        <v>127</v>
      </c>
      <c r="B155" s="1245">
        <v>45</v>
      </c>
      <c r="C155" s="320" t="str">
        <f>TONGHOPCONGDOI!B150</f>
        <v>04143</v>
      </c>
      <c r="D155" s="321" t="str">
        <f>TONGHOPCONGDOI!C150</f>
        <v>Thảo Mon</v>
      </c>
      <c r="E155" s="1243" t="s">
        <v>15</v>
      </c>
      <c r="F155" s="1252"/>
      <c r="G155" s="1248">
        <f t="shared" si="25"/>
        <v>0</v>
      </c>
      <c r="H155" s="1248">
        <f>VLOOKUP(D155,'TRẠM 2'!$C$15:$Y$89,6,0)</f>
        <v>2763</v>
      </c>
      <c r="I155" s="1248">
        <f>VLOOKUP(D155,'TRẠM 2'!$C$15:$Y$89,7,0)</f>
        <v>0</v>
      </c>
      <c r="J155" s="1248">
        <f>VLOOKUP(D155,'TRẠM 2'!$C$15:$Y$89,8,0)</f>
        <v>1203.8122024486825</v>
      </c>
      <c r="K155" s="1248">
        <f>VLOOKUP(D155,'TRẠM 2'!$C$15:$Y$89,9,0)</f>
        <v>112.10983984834709</v>
      </c>
      <c r="L155" s="1837">
        <f t="shared" si="21"/>
        <v>1315.9220422970295</v>
      </c>
      <c r="M155" s="1996" t="str">
        <f>VLOOKUP(D155,'TRẠM 2'!$C$15:$Y$89,11,0)</f>
        <v>B</v>
      </c>
      <c r="N155" s="1248">
        <f>VLOOKUP(D155,'TRẠM 2'!$C$15:$Y$89,12,0)</f>
        <v>4579409</v>
      </c>
      <c r="O155" s="1248">
        <f>VLOOKUP(D155,'TRẠM 2'!$C$15:$Y$89,13,0)</f>
        <v>21</v>
      </c>
      <c r="P155" s="1248">
        <f>VLOOKUP(D155,'TRẠM 2'!$C$15:$Y$89,14,0)</f>
        <v>4</v>
      </c>
      <c r="Q155" s="1248">
        <f>VLOOKUP(D155,'TRẠM 2'!$C$15:$Y$89,15,0)</f>
        <v>3</v>
      </c>
      <c r="R155" s="1248">
        <f>VLOOKUP(D155,'TRẠM 2'!$C$15:$Y$89,16,0)</f>
        <v>0</v>
      </c>
      <c r="S155" s="1248">
        <f>VLOOKUP(D155,'TRẠM 2'!$C$15:$Y$89,17,0)</f>
        <v>3</v>
      </c>
      <c r="T155" s="1248" t="e">
        <f>VLOOKUP(G155,'TRẠM 2'!$C$15:$Y$89,13,0)</f>
        <v>#N/A</v>
      </c>
      <c r="U155" s="1248" t="e">
        <f>VLOOKUP(H155,'TRẠM 2'!$C$15:$Y$89,13,0)</f>
        <v>#N/A</v>
      </c>
      <c r="V155" s="1248">
        <f>VLOOKUP(D155,'TRẠM 2'!$C$15:$Y$89,20,0)</f>
        <v>22</v>
      </c>
      <c r="W155" s="1248"/>
      <c r="X155" s="1248"/>
      <c r="Y155" s="1248"/>
      <c r="Z155" s="1881">
        <f t="shared" si="22"/>
        <v>1776874</v>
      </c>
      <c r="AA155" s="1471">
        <f t="shared" si="23"/>
        <v>6356283</v>
      </c>
      <c r="AB155" s="1472"/>
      <c r="AC155" s="1420">
        <f t="shared" si="20"/>
        <v>6356283</v>
      </c>
      <c r="AD155" s="593">
        <v>45</v>
      </c>
    </row>
    <row r="156" spans="1:30" s="242" customFormat="1" ht="27.75" customHeight="1">
      <c r="A156" s="1282">
        <v>128</v>
      </c>
      <c r="B156" s="1245">
        <v>46</v>
      </c>
      <c r="C156" s="320" t="str">
        <f>TONGHOPCONGDOI!B151</f>
        <v>04144</v>
      </c>
      <c r="D156" s="321" t="str">
        <f>TONGHOPCONGDOI!C151</f>
        <v>Thảo Túy</v>
      </c>
      <c r="E156" s="1243" t="s">
        <v>15</v>
      </c>
      <c r="F156" s="1252"/>
      <c r="G156" s="1248">
        <f t="shared" si="25"/>
        <v>0</v>
      </c>
      <c r="H156" s="1248">
        <f>VLOOKUP(D156,'TRẠM 2'!$C$15:$Y$89,6,0)</f>
        <v>2892</v>
      </c>
      <c r="I156" s="1248">
        <f>VLOOKUP(D156,'TRẠM 2'!$C$15:$Y$89,7,0)</f>
        <v>0</v>
      </c>
      <c r="J156" s="1248">
        <f>VLOOKUP(D156,'TRẠM 2'!$C$15:$Y$89,8,0)</f>
        <v>1260.0162466455265</v>
      </c>
      <c r="K156" s="1248">
        <f>VLOOKUP(D156,'TRẠM 2'!$C$15:$Y$89,9,0)</f>
        <v>117.34406689881281</v>
      </c>
      <c r="L156" s="1837">
        <f t="shared" si="21"/>
        <v>1377.3603135443393</v>
      </c>
      <c r="M156" s="1996" t="str">
        <f>VLOOKUP(D156,'TRẠM 2'!$C$15:$Y$89,11,0)</f>
        <v>B</v>
      </c>
      <c r="N156" s="1248">
        <f>VLOOKUP(D156,'TRẠM 2'!$C$15:$Y$89,12,0)</f>
        <v>4793214</v>
      </c>
      <c r="O156" s="1248">
        <f>VLOOKUP(D156,'TRẠM 2'!$C$15:$Y$89,13,0)</f>
        <v>20</v>
      </c>
      <c r="P156" s="1248">
        <f>VLOOKUP(D156,'TRẠM 2'!$C$15:$Y$89,14,0)</f>
        <v>4</v>
      </c>
      <c r="Q156" s="1248">
        <f>VLOOKUP(D156,'TRẠM 2'!$C$15:$Y$89,15,0)</f>
        <v>5</v>
      </c>
      <c r="R156" s="1248">
        <f>VLOOKUP(D156,'TRẠM 2'!$C$15:$Y$89,16,0)</f>
        <v>0</v>
      </c>
      <c r="S156" s="1248">
        <f>VLOOKUP(D156,'TRẠM 2'!$C$15:$Y$89,17,0)</f>
        <v>5</v>
      </c>
      <c r="T156" s="1248" t="e">
        <f>VLOOKUP(G156,'TRẠM 2'!$C$15:$Y$89,13,0)</f>
        <v>#N/A</v>
      </c>
      <c r="U156" s="1248" t="e">
        <f>VLOOKUP(H156,'TRẠM 2'!$C$15:$Y$89,13,0)</f>
        <v>#N/A</v>
      </c>
      <c r="V156" s="1248">
        <f>VLOOKUP(D156,'TRẠM 2'!$C$15:$Y$89,20,0)</f>
        <v>34</v>
      </c>
      <c r="W156" s="1248"/>
      <c r="X156" s="1248"/>
      <c r="Y156" s="1248"/>
      <c r="Z156" s="1881">
        <f t="shared" si="22"/>
        <v>2309253</v>
      </c>
      <c r="AA156" s="1471">
        <f t="shared" si="23"/>
        <v>7102467</v>
      </c>
      <c r="AB156" s="1472"/>
      <c r="AC156" s="1420">
        <f t="shared" si="20"/>
        <v>7102467</v>
      </c>
      <c r="AD156" s="593">
        <v>46</v>
      </c>
    </row>
    <row r="157" spans="1:30" s="242" customFormat="1" ht="27.75" customHeight="1">
      <c r="A157" s="1282">
        <v>129</v>
      </c>
      <c r="B157" s="1245">
        <v>47</v>
      </c>
      <c r="C157" s="320" t="str">
        <f>TONGHOPCONGDOI!B152</f>
        <v>03692</v>
      </c>
      <c r="D157" s="321" t="str">
        <f>TONGHOPCONGDOI!C152</f>
        <v>T. Choi</v>
      </c>
      <c r="E157" s="1243" t="s">
        <v>15</v>
      </c>
      <c r="F157" s="1252"/>
      <c r="G157" s="1248">
        <f t="shared" si="24"/>
        <v>0</v>
      </c>
      <c r="H157" s="1248">
        <f>VLOOKUP(D157,'TRẠM 2'!$C$15:$Y$89,6,0)</f>
        <v>2541</v>
      </c>
      <c r="I157" s="1248">
        <f>VLOOKUP(D157,'TRẠM 2'!$C$15:$Y$89,7,0)</f>
        <v>0</v>
      </c>
      <c r="J157" s="1248">
        <f>VLOOKUP(D157,'TRẠM 2'!$C$15:$Y$89,8,0)</f>
        <v>1107.0889635982996</v>
      </c>
      <c r="K157" s="1248">
        <f>VLOOKUP(D157,'TRẠM 2'!$C$15:$Y$89,9,0)</f>
        <v>103.10210027312702</v>
      </c>
      <c r="L157" s="1837">
        <f t="shared" si="21"/>
        <v>1210.1910638714266</v>
      </c>
      <c r="M157" s="1996" t="str">
        <f>VLOOKUP(D157,'TRẠM 2'!$C$15:$Y$89,11,0)</f>
        <v>A</v>
      </c>
      <c r="N157" s="1248">
        <f>VLOOKUP(D157,'TRẠM 2'!$C$15:$Y$89,12,0)</f>
        <v>4429299</v>
      </c>
      <c r="O157" s="1248">
        <f>VLOOKUP(D157,'TRẠM 2'!$C$15:$Y$89,13,0)</f>
        <v>18</v>
      </c>
      <c r="P157" s="1248">
        <f>VLOOKUP(D157,'TRẠM 2'!$C$15:$Y$89,14,0)</f>
        <v>3</v>
      </c>
      <c r="Q157" s="1248">
        <f>VLOOKUP(D157,'TRẠM 2'!$C$15:$Y$89,15,0)</f>
        <v>5</v>
      </c>
      <c r="R157" s="1248">
        <f>VLOOKUP(D157,'TRẠM 2'!$C$15:$Y$89,16,0)</f>
        <v>0</v>
      </c>
      <c r="S157" s="1248">
        <f>VLOOKUP(D157,'TRẠM 2'!$C$15:$Y$89,17,0)</f>
        <v>5</v>
      </c>
      <c r="T157" s="1248" t="e">
        <f>VLOOKUP(G157,'TRẠM 2'!$C$15:$Y$89,13,0)</f>
        <v>#N/A</v>
      </c>
      <c r="U157" s="1248" t="e">
        <f>VLOOKUP(H157,'TRẠM 2'!$C$15:$Y$89,13,0)</f>
        <v>#N/A</v>
      </c>
      <c r="V157" s="1248">
        <f>VLOOKUP(D157,'TRẠM 2'!$C$15:$Y$89,20,0)</f>
        <v>31</v>
      </c>
      <c r="W157" s="1248"/>
      <c r="X157" s="1248"/>
      <c r="Y157" s="1248"/>
      <c r="Z157" s="1881">
        <f t="shared" si="22"/>
        <v>2136301</v>
      </c>
      <c r="AA157" s="1471">
        <f t="shared" si="23"/>
        <v>6565600</v>
      </c>
      <c r="AB157" s="1472"/>
      <c r="AC157" s="1420">
        <f t="shared" si="20"/>
        <v>6565600</v>
      </c>
      <c r="AD157" s="593">
        <v>47</v>
      </c>
    </row>
    <row r="158" spans="1:30" s="242" customFormat="1" ht="27.75" customHeight="1">
      <c r="A158" s="1282">
        <v>130</v>
      </c>
      <c r="B158" s="1245">
        <v>48</v>
      </c>
      <c r="C158" s="320" t="str">
        <f>TONGHOPCONGDOI!B153</f>
        <v>03693</v>
      </c>
      <c r="D158" s="321" t="str">
        <f>TONGHOPCONGDOI!C153</f>
        <v>N. Phút</v>
      </c>
      <c r="E158" s="1243" t="s">
        <v>15</v>
      </c>
      <c r="F158" s="1252"/>
      <c r="G158" s="1248">
        <f t="shared" si="24"/>
        <v>0</v>
      </c>
      <c r="H158" s="1248">
        <f>VLOOKUP(D158,'TRẠM 2'!$C$15:$Y$89,6,0)</f>
        <v>2553</v>
      </c>
      <c r="I158" s="1248">
        <f>VLOOKUP(D158,'TRẠM 2'!$C$15:$Y$89,7,0)</f>
        <v>0</v>
      </c>
      <c r="J158" s="1248">
        <f>VLOOKUP(D158,'TRẠM 2'!$C$15:$Y$89,8,0)</f>
        <v>1112.3172467794016</v>
      </c>
      <c r="K158" s="1248">
        <f>VLOOKUP(D158,'TRẠM 2'!$C$15:$Y$89,9,0)</f>
        <v>103.5890051150308</v>
      </c>
      <c r="L158" s="1837">
        <f t="shared" si="21"/>
        <v>1215.9062518944324</v>
      </c>
      <c r="M158" s="1996" t="str">
        <f>VLOOKUP(D158,'TRẠM 2'!$C$15:$Y$89,11,0)</f>
        <v>A</v>
      </c>
      <c r="N158" s="1248">
        <f>VLOOKUP(D158,'TRẠM 2'!$C$15:$Y$89,12,0)</f>
        <v>4450217</v>
      </c>
      <c r="O158" s="1248">
        <f>VLOOKUP(D158,'TRẠM 2'!$C$15:$Y$89,13,0)</f>
        <v>18</v>
      </c>
      <c r="P158" s="1248">
        <f>VLOOKUP(D158,'TRẠM 2'!$C$15:$Y$89,14,0)</f>
        <v>3</v>
      </c>
      <c r="Q158" s="1248">
        <f>VLOOKUP(D158,'TRẠM 2'!$C$15:$Y$89,15,0)</f>
        <v>5</v>
      </c>
      <c r="R158" s="1248">
        <f>VLOOKUP(D158,'TRẠM 2'!$C$15:$Y$89,16,0)</f>
        <v>0</v>
      </c>
      <c r="S158" s="1248">
        <f>VLOOKUP(D158,'TRẠM 2'!$C$15:$Y$89,17,0)</f>
        <v>5</v>
      </c>
      <c r="T158" s="1248" t="e">
        <f>VLOOKUP(G158,'TRẠM 2'!$C$15:$Y$89,13,0)</f>
        <v>#N/A</v>
      </c>
      <c r="U158" s="1248" t="e">
        <f>VLOOKUP(H158,'TRẠM 2'!$C$15:$Y$89,13,0)</f>
        <v>#N/A</v>
      </c>
      <c r="V158" s="1248">
        <f>VLOOKUP(D158,'TRẠM 2'!$C$15:$Y$89,20,0)</f>
        <v>31</v>
      </c>
      <c r="W158" s="1248"/>
      <c r="X158" s="1248"/>
      <c r="Y158" s="1248"/>
      <c r="Z158" s="1881">
        <f t="shared" si="22"/>
        <v>2136301</v>
      </c>
      <c r="AA158" s="1471">
        <f t="shared" si="23"/>
        <v>6586518</v>
      </c>
      <c r="AB158" s="1472"/>
      <c r="AC158" s="1420">
        <f t="shared" si="20"/>
        <v>6586518</v>
      </c>
      <c r="AD158" s="593">
        <v>48</v>
      </c>
    </row>
    <row r="159" spans="1:30" s="242" customFormat="1" ht="27.75" customHeight="1">
      <c r="A159" s="1282">
        <v>131</v>
      </c>
      <c r="B159" s="1245">
        <v>49</v>
      </c>
      <c r="C159" s="320" t="str">
        <f>TONGHOPCONGDOI!B154</f>
        <v>04145</v>
      </c>
      <c r="D159" s="321" t="str">
        <f>TONGHOPCONGDOI!C154</f>
        <v>Nàng A Nẹp</v>
      </c>
      <c r="E159" s="1243" t="s">
        <v>15</v>
      </c>
      <c r="F159" s="1252"/>
      <c r="G159" s="1248">
        <f t="shared" si="24"/>
        <v>0</v>
      </c>
      <c r="H159" s="1248">
        <f>VLOOKUP(D159,'TRẠM 2'!$C$15:$Y$89,6,0)</f>
        <v>3061</v>
      </c>
      <c r="I159" s="1248">
        <f>VLOOKUP(D159,'TRẠM 2'!$C$15:$Y$89,7,0)</f>
        <v>0</v>
      </c>
      <c r="J159" s="1248">
        <f>VLOOKUP(D159,'TRẠM 2'!$C$15:$Y$89,8,0)</f>
        <v>1333.6479014460431</v>
      </c>
      <c r="K159" s="1248">
        <f>VLOOKUP(D159,'TRẠM 2'!$C$15:$Y$89,9,0)</f>
        <v>124.20131008895781</v>
      </c>
      <c r="L159" s="1837">
        <f t="shared" si="21"/>
        <v>1457.8492115350009</v>
      </c>
      <c r="M159" s="1996" t="str">
        <f>VLOOKUP(D159,'TRẠM 2'!$C$15:$Y$89,11,0)</f>
        <v>B</v>
      </c>
      <c r="N159" s="1248">
        <f>VLOOKUP(D159,'TRẠM 2'!$C$15:$Y$89,12,0)</f>
        <v>5073315</v>
      </c>
      <c r="O159" s="1248">
        <f>VLOOKUP(D159,'TRẠM 2'!$C$15:$Y$89,13,0)</f>
        <v>25</v>
      </c>
      <c r="P159" s="1248">
        <f>VLOOKUP(D159,'TRẠM 2'!$C$15:$Y$89,14,0)</f>
        <v>4</v>
      </c>
      <c r="Q159" s="1248">
        <f>VLOOKUP(D159,'TRẠM 2'!$C$15:$Y$89,15,0)</f>
        <v>2</v>
      </c>
      <c r="R159" s="1248">
        <f>VLOOKUP(D159,'TRẠM 2'!$C$15:$Y$89,16,0)</f>
        <v>0</v>
      </c>
      <c r="S159" s="1248">
        <f>VLOOKUP(D159,'TRẠM 2'!$C$15:$Y$89,17,0)</f>
        <v>2</v>
      </c>
      <c r="T159" s="1248" t="e">
        <f>VLOOKUP(G159,'TRẠM 2'!$C$15:$Y$89,13,0)</f>
        <v>#N/A</v>
      </c>
      <c r="U159" s="1248" t="e">
        <f>VLOOKUP(H159,'TRẠM 2'!$C$15:$Y$89,13,0)</f>
        <v>#N/A</v>
      </c>
      <c r="V159" s="1248">
        <f>VLOOKUP(D159,'TRẠM 2'!$C$15:$Y$89,20,0)</f>
        <v>33</v>
      </c>
      <c r="W159" s="1248"/>
      <c r="X159" s="1248"/>
      <c r="Y159" s="1248"/>
      <c r="Z159" s="1881">
        <f t="shared" si="22"/>
        <v>1958460</v>
      </c>
      <c r="AA159" s="1471">
        <f t="shared" si="23"/>
        <v>7031775</v>
      </c>
      <c r="AB159" s="1472"/>
      <c r="AC159" s="1420">
        <f t="shared" si="20"/>
        <v>7031775</v>
      </c>
      <c r="AD159" s="593">
        <v>49</v>
      </c>
    </row>
    <row r="160" spans="1:30" s="242" customFormat="1" ht="27.75" customHeight="1">
      <c r="A160" s="1282">
        <v>132</v>
      </c>
      <c r="B160" s="1245">
        <v>50</v>
      </c>
      <c r="C160" s="320" t="str">
        <f>TONGHOPCONGDOI!B155</f>
        <v>04146</v>
      </c>
      <c r="D160" s="321" t="str">
        <f>TONGHOPCONGDOI!C155</f>
        <v>Thảo Nọi</v>
      </c>
      <c r="E160" s="1243" t="s">
        <v>15</v>
      </c>
      <c r="F160" s="1252"/>
      <c r="G160" s="1248">
        <f t="shared" si="24"/>
        <v>0</v>
      </c>
      <c r="H160" s="1248">
        <f>VLOOKUP(D160,'TRẠM 2'!$C$15:$Y$89,6,0)</f>
        <v>2672</v>
      </c>
      <c r="I160" s="1248">
        <f>VLOOKUP(D160,'TRẠM 2'!$C$15:$Y$89,7,0)</f>
        <v>0</v>
      </c>
      <c r="J160" s="1248">
        <f>VLOOKUP(D160,'TRẠM 2'!$C$15:$Y$89,8,0)</f>
        <v>1164.1643883253273</v>
      </c>
      <c r="K160" s="1248">
        <f>VLOOKUP(D160,'TRẠM 2'!$C$15:$Y$89,9,0)</f>
        <v>108.4174781305767</v>
      </c>
      <c r="L160" s="1837">
        <f t="shared" si="21"/>
        <v>1272.581866455904</v>
      </c>
      <c r="M160" s="1996" t="str">
        <f>VLOOKUP(D160,'TRẠM 2'!$C$15:$Y$89,11,0)</f>
        <v>B</v>
      </c>
      <c r="N160" s="1248">
        <f>VLOOKUP(D160,'TRẠM 2'!$C$15:$Y$89,12,0)</f>
        <v>4428585</v>
      </c>
      <c r="O160" s="1248">
        <f>VLOOKUP(D160,'TRẠM 2'!$C$15:$Y$89,13,0)</f>
        <v>21</v>
      </c>
      <c r="P160" s="1248">
        <f>VLOOKUP(D160,'TRẠM 2'!$C$15:$Y$89,14,0)</f>
        <v>4</v>
      </c>
      <c r="Q160" s="1248">
        <f>VLOOKUP(D160,'TRẠM 2'!$C$15:$Y$89,15,0)</f>
        <v>4</v>
      </c>
      <c r="R160" s="1248">
        <f>VLOOKUP(D160,'TRẠM 2'!$C$15:$Y$89,16,0)</f>
        <v>0</v>
      </c>
      <c r="S160" s="1248">
        <f>VLOOKUP(D160,'TRẠM 2'!$C$15:$Y$89,17,0)</f>
        <v>4</v>
      </c>
      <c r="T160" s="1248" t="e">
        <f>VLOOKUP(G160,'TRẠM 2'!$C$15:$Y$89,13,0)</f>
        <v>#N/A</v>
      </c>
      <c r="U160" s="1248" t="e">
        <f>VLOOKUP(H160,'TRẠM 2'!$C$15:$Y$89,13,0)</f>
        <v>#N/A</v>
      </c>
      <c r="V160" s="1248">
        <f>VLOOKUP(D160,'TRẠM 2'!$C$15:$Y$89,20,0)</f>
        <v>33</v>
      </c>
      <c r="W160" s="1248"/>
      <c r="X160" s="1248"/>
      <c r="Y160" s="1248"/>
      <c r="Z160" s="1881">
        <f t="shared" si="22"/>
        <v>2158460</v>
      </c>
      <c r="AA160" s="1471">
        <f t="shared" si="23"/>
        <v>6587045</v>
      </c>
      <c r="AB160" s="1472"/>
      <c r="AC160" s="1420">
        <f t="shared" si="20"/>
        <v>6587045</v>
      </c>
      <c r="AD160" s="593">
        <v>50</v>
      </c>
    </row>
    <row r="161" spans="1:30" s="242" customFormat="1" ht="27.75" hidden="1" customHeight="1">
      <c r="A161" s="1282">
        <v>139</v>
      </c>
      <c r="B161" s="1245">
        <v>52</v>
      </c>
      <c r="C161" s="320">
        <f>TONGHOPCONGDOI!B156</f>
        <v>0</v>
      </c>
      <c r="D161" s="321" t="str">
        <f>TONGHOPCONGDOI!C156</f>
        <v>Thảo Bun</v>
      </c>
      <c r="E161" s="1243" t="s">
        <v>15</v>
      </c>
      <c r="F161" s="1252"/>
      <c r="G161" s="1248">
        <f t="shared" si="24"/>
        <v>0</v>
      </c>
      <c r="H161" s="1248">
        <f>VLOOKUP(D161,'TRẠM 2'!$C$15:$Y$89,6,0)</f>
        <v>815</v>
      </c>
      <c r="I161" s="1248">
        <f>VLOOKUP(D161,'TRẠM 2'!$C$15:$Y$89,7,0)</f>
        <v>0</v>
      </c>
      <c r="J161" s="1248">
        <f>VLOOKUP(D161,'TRẠM 2'!$C$15:$Y$89,8,0)</f>
        <v>355.08756604982852</v>
      </c>
      <c r="K161" s="1248">
        <f>VLOOKUP(D161,'TRẠM 2'!$C$15:$Y$89,9,0)</f>
        <v>33.068953845965574</v>
      </c>
      <c r="L161" s="1837">
        <f t="shared" si="21"/>
        <v>388.15651989579408</v>
      </c>
      <c r="M161" s="1996" t="str">
        <f>VLOOKUP(D161,'TRẠM 2'!$C$15:$Y$89,11,0)</f>
        <v>A</v>
      </c>
      <c r="N161" s="1248">
        <f>VLOOKUP(D161,'TRẠM 2'!$C$15:$Y$89,12,0)</f>
        <v>1420653</v>
      </c>
      <c r="O161" s="1248">
        <f>VLOOKUP(D161,'TRẠM 2'!$C$15:$Y$89,13,0)</f>
        <v>4</v>
      </c>
      <c r="P161" s="1248">
        <f>VLOOKUP(D161,'TRẠM 2'!$C$15:$Y$89,14,0)</f>
        <v>0</v>
      </c>
      <c r="Q161" s="1248">
        <f>VLOOKUP(D161,'TRẠM 2'!$C$15:$Y$89,15,0)</f>
        <v>1</v>
      </c>
      <c r="R161" s="1248">
        <f>VLOOKUP(D161,'TRẠM 2'!$C$15:$Y$89,16,0)</f>
        <v>0</v>
      </c>
      <c r="S161" s="1248">
        <f>VLOOKUP(D161,'TRẠM 2'!$C$15:$Y$89,17,0)</f>
        <v>1</v>
      </c>
      <c r="T161" s="1248" t="e">
        <f>VLOOKUP(G161,'TRẠM 2'!$C$15:$Y$89,13,0)</f>
        <v>#N/A</v>
      </c>
      <c r="U161" s="1248" t="e">
        <f>VLOOKUP(H161,'TRẠM 2'!$C$15:$Y$89,13,0)</f>
        <v>#N/A</v>
      </c>
      <c r="V161" s="1248">
        <f>VLOOKUP(D161,'TRẠM 2'!$C$15:$Y$89,20,0)</f>
        <v>6</v>
      </c>
      <c r="W161" s="1248"/>
      <c r="X161" s="1248"/>
      <c r="Y161" s="1248"/>
      <c r="Z161" s="1881">
        <f t="shared" si="22"/>
        <v>404758</v>
      </c>
      <c r="AA161" s="1471">
        <f t="shared" si="23"/>
        <v>1825411</v>
      </c>
      <c r="AB161" s="1472"/>
      <c r="AC161" s="1420">
        <f t="shared" si="20"/>
        <v>1825411</v>
      </c>
      <c r="AD161" s="593">
        <v>51</v>
      </c>
    </row>
    <row r="162" spans="1:30" s="242" customFormat="1" ht="27.75" hidden="1" customHeight="1">
      <c r="A162" s="1282">
        <v>140</v>
      </c>
      <c r="B162" s="1245">
        <v>53</v>
      </c>
      <c r="C162" s="320">
        <f>TONGHOPCONGDOI!B157</f>
        <v>0</v>
      </c>
      <c r="D162" s="321" t="str">
        <f>TONGHOPCONGDOI!C157</f>
        <v>Nàng Pằng</v>
      </c>
      <c r="E162" s="1243" t="s">
        <v>15</v>
      </c>
      <c r="F162" s="1252"/>
      <c r="G162" s="1248">
        <f t="shared" si="24"/>
        <v>0</v>
      </c>
      <c r="H162" s="1248">
        <f>VLOOKUP(D162,'TRẠM 2'!$C$15:$Y$89,6,0)</f>
        <v>2767</v>
      </c>
      <c r="I162" s="1248">
        <f>VLOOKUP(D162,'TRẠM 2'!$C$15:$Y$89,7,0)</f>
        <v>0</v>
      </c>
      <c r="J162" s="1248">
        <f>VLOOKUP(D162,'TRẠM 2'!$C$15:$Y$89,8,0)</f>
        <v>1205.5549635090497</v>
      </c>
      <c r="K162" s="1248">
        <f>VLOOKUP(D162,'TRẠM 2'!$C$15:$Y$89,9,0)</f>
        <v>112.27214146231502</v>
      </c>
      <c r="L162" s="1837">
        <f t="shared" si="21"/>
        <v>1317.8271049713646</v>
      </c>
      <c r="M162" s="1996" t="str">
        <f>VLOOKUP(D162,'TRẠM 2'!$C$15:$Y$89,11,0)</f>
        <v>B</v>
      </c>
      <c r="N162" s="1248">
        <f>VLOOKUP(D162,'TRẠM 2'!$C$15:$Y$89,12,0)</f>
        <v>4586038</v>
      </c>
      <c r="O162" s="1248">
        <f>VLOOKUP(D162,'TRẠM 2'!$C$15:$Y$89,13,0)</f>
        <v>20</v>
      </c>
      <c r="P162" s="1248">
        <f>VLOOKUP(D162,'TRẠM 2'!$C$15:$Y$89,14,0)</f>
        <v>4</v>
      </c>
      <c r="Q162" s="1248">
        <f>VLOOKUP(D162,'TRẠM 2'!$C$15:$Y$89,15,0)</f>
        <v>5</v>
      </c>
      <c r="R162" s="1248">
        <f>VLOOKUP(D162,'TRẠM 2'!$C$15:$Y$89,16,0)</f>
        <v>0</v>
      </c>
      <c r="S162" s="1248">
        <f>VLOOKUP(D162,'TRẠM 2'!$C$15:$Y$89,17,0)</f>
        <v>5</v>
      </c>
      <c r="T162" s="1248" t="e">
        <f>VLOOKUP(G162,'TRẠM 2'!$C$15:$Y$89,13,0)</f>
        <v>#N/A</v>
      </c>
      <c r="U162" s="1248" t="e">
        <f>VLOOKUP(H162,'TRẠM 2'!$C$15:$Y$89,13,0)</f>
        <v>#N/A</v>
      </c>
      <c r="V162" s="1248">
        <f>VLOOKUP(D162,'TRẠM 2'!$C$15:$Y$89,20,0)</f>
        <v>34</v>
      </c>
      <c r="W162" s="1248"/>
      <c r="X162" s="1248"/>
      <c r="Y162" s="1248"/>
      <c r="Z162" s="1881">
        <f t="shared" si="22"/>
        <v>2309253</v>
      </c>
      <c r="AA162" s="1471">
        <f t="shared" si="23"/>
        <v>6895291</v>
      </c>
      <c r="AB162" s="1472"/>
      <c r="AC162" s="1420">
        <f t="shared" si="20"/>
        <v>6895291</v>
      </c>
      <c r="AD162" s="593">
        <v>52</v>
      </c>
    </row>
    <row r="163" spans="1:30" s="242" customFormat="1" ht="27.75" customHeight="1">
      <c r="A163" s="1282">
        <v>133</v>
      </c>
      <c r="B163" s="1245">
        <v>51</v>
      </c>
      <c r="C163" s="320">
        <f>TONGHOPCONGDOI!B158</f>
        <v>0</v>
      </c>
      <c r="D163" s="321" t="str">
        <f>TONGHOPCONGDOI!C158</f>
        <v>Thảo Ỉa</v>
      </c>
      <c r="E163" s="1243" t="s">
        <v>15</v>
      </c>
      <c r="F163" s="1252"/>
      <c r="G163" s="1248">
        <f t="shared" ref="G163:G183" si="26">F163*25000</f>
        <v>0</v>
      </c>
      <c r="H163" s="1248">
        <f>VLOOKUP(D163,'TRẠM 2'!$C$15:$Y$89,6,0)</f>
        <v>344</v>
      </c>
      <c r="I163" s="1248">
        <f>VLOOKUP(D163,'TRẠM 2'!$C$15:$Y$89,7,0)</f>
        <v>0</v>
      </c>
      <c r="J163" s="1248">
        <f>VLOOKUP(D163,'TRẠM 2'!$C$15:$Y$89,8,0)</f>
        <v>149.87745119158407</v>
      </c>
      <c r="K163" s="1248">
        <f>VLOOKUP(D163,'TRẠM 2'!$C$15:$Y$89,9,0)</f>
        <v>13.957938801241911</v>
      </c>
      <c r="L163" s="1837">
        <f t="shared" si="21"/>
        <v>163.83538999282598</v>
      </c>
      <c r="M163" s="1996" t="str">
        <f>VLOOKUP(D163,'TRẠM 2'!$C$15:$Y$89,11,0)</f>
        <v>C.</v>
      </c>
      <c r="N163" s="1248">
        <f>VLOOKUP(D163,'TRẠM 2'!$C$15:$Y$89,12,0)</f>
        <v>540657</v>
      </c>
      <c r="O163" s="1248">
        <f>VLOOKUP(D163,'TRẠM 2'!$C$15:$Y$89,13,0)</f>
        <v>3</v>
      </c>
      <c r="P163" s="1248">
        <f>VLOOKUP(D163,'TRẠM 2'!$C$15:$Y$89,14,0)</f>
        <v>0</v>
      </c>
      <c r="Q163" s="1248">
        <f>VLOOKUP(D163,'TRẠM 2'!$C$15:$Y$89,15,0)</f>
        <v>1</v>
      </c>
      <c r="R163" s="1248">
        <f>VLOOKUP(D163,'TRẠM 2'!$C$15:$Y$89,16,0)</f>
        <v>0</v>
      </c>
      <c r="S163" s="1248">
        <f>VLOOKUP(D163,'TRẠM 2'!$C$15:$Y$89,17,0)</f>
        <v>1</v>
      </c>
      <c r="T163" s="1248" t="e">
        <f>VLOOKUP(G163,'TRẠM 2'!$C$15:$Y$89,13,0)</f>
        <v>#N/A</v>
      </c>
      <c r="U163" s="1248" t="e">
        <f>VLOOKUP(H163,'TRẠM 2'!$C$15:$Y$89,13,0)</f>
        <v>#N/A</v>
      </c>
      <c r="V163" s="1248">
        <f>VLOOKUP(D163,'TRẠM 2'!$C$15:$Y$89,20,0)</f>
        <v>2</v>
      </c>
      <c r="W163" s="1248"/>
      <c r="X163" s="1248"/>
      <c r="Y163" s="1248"/>
      <c r="Z163" s="1881">
        <f t="shared" si="22"/>
        <v>293965</v>
      </c>
      <c r="AA163" s="1471">
        <f t="shared" si="23"/>
        <v>834622</v>
      </c>
      <c r="AB163" s="1472"/>
      <c r="AC163" s="1420">
        <f t="shared" si="20"/>
        <v>834622</v>
      </c>
      <c r="AD163" s="593">
        <v>53</v>
      </c>
    </row>
    <row r="164" spans="1:30" s="242" customFormat="1" ht="27.75" customHeight="1">
      <c r="A164" s="1282">
        <v>134</v>
      </c>
      <c r="B164" s="1245">
        <v>52</v>
      </c>
      <c r="C164" s="320">
        <f>TONGHOPCONGDOI!B159</f>
        <v>0</v>
      </c>
      <c r="D164" s="321" t="str">
        <f>TONGHOPCONGDOI!C159</f>
        <v>Thảo Khăm</v>
      </c>
      <c r="E164" s="1243" t="s">
        <v>15</v>
      </c>
      <c r="F164" s="1252"/>
      <c r="G164" s="1248">
        <f t="shared" si="26"/>
        <v>0</v>
      </c>
      <c r="H164" s="1248">
        <f>VLOOKUP(D164,'TRẠM 2'!$C$15:$Y$89,6,0)</f>
        <v>72</v>
      </c>
      <c r="I164" s="1248">
        <f>VLOOKUP(D164,'TRẠM 2'!$C$15:$Y$89,7,0)</f>
        <v>0</v>
      </c>
      <c r="J164" s="1248">
        <f>VLOOKUP(D164,'TRẠM 2'!$C$15:$Y$89,8,0)</f>
        <v>31.369699086610616</v>
      </c>
      <c r="K164" s="1248">
        <f>VLOOKUP(D164,'TRẠM 2'!$C$15:$Y$89,9,0)</f>
        <v>2.9214290514227255</v>
      </c>
      <c r="L164" s="1837">
        <f t="shared" si="21"/>
        <v>34.291128138033343</v>
      </c>
      <c r="M164" s="1996" t="str">
        <f>VLOOKUP(D164,'TRẠM 2'!$C$15:$Y$89,11,0)</f>
        <v>C.</v>
      </c>
      <c r="N164" s="1248">
        <f>VLOOKUP(D164,'TRẠM 2'!$C$15:$Y$89,12,0)</f>
        <v>113161</v>
      </c>
      <c r="O164" s="1248">
        <f>VLOOKUP(D164,'TRẠM 2'!$C$15:$Y$89,13,0)</f>
        <v>2</v>
      </c>
      <c r="P164" s="1248">
        <f>VLOOKUP(D164,'TRẠM 2'!$C$15:$Y$89,14,0)</f>
        <v>0</v>
      </c>
      <c r="Q164" s="1248">
        <f>VLOOKUP(D164,'TRẠM 2'!$C$15:$Y$89,15,0)</f>
        <v>0</v>
      </c>
      <c r="R164" s="1248">
        <f>VLOOKUP(D164,'TRẠM 2'!$C$15:$Y$89,16,0)</f>
        <v>0</v>
      </c>
      <c r="S164" s="1248">
        <f>VLOOKUP(D164,'TRẠM 2'!$C$15:$Y$89,17,0)</f>
        <v>0</v>
      </c>
      <c r="T164" s="1248" t="e">
        <f>VLOOKUP(G164,'TRẠM 2'!$C$15:$Y$89,13,0)</f>
        <v>#N/A</v>
      </c>
      <c r="U164" s="1248" t="e">
        <f>VLOOKUP(H164,'TRẠM 2'!$C$15:$Y$89,13,0)</f>
        <v>#N/A</v>
      </c>
      <c r="V164" s="1248">
        <f>VLOOKUP(D164,'TRẠM 2'!$C$15:$Y$89,20,0)</f>
        <v>1</v>
      </c>
      <c r="W164" s="1248"/>
      <c r="X164" s="1248"/>
      <c r="Y164" s="1248"/>
      <c r="Z164" s="1881">
        <f t="shared" si="22"/>
        <v>81586</v>
      </c>
      <c r="AA164" s="1471">
        <f t="shared" si="23"/>
        <v>194747</v>
      </c>
      <c r="AB164" s="1472"/>
      <c r="AC164" s="1420">
        <f t="shared" si="20"/>
        <v>194747</v>
      </c>
      <c r="AD164" s="593">
        <v>54</v>
      </c>
    </row>
    <row r="165" spans="1:30" s="242" customFormat="1" ht="27.75" customHeight="1">
      <c r="A165" s="1282">
        <v>135</v>
      </c>
      <c r="B165" s="1245">
        <v>53</v>
      </c>
      <c r="C165" s="320">
        <f>TONGHOPCONGDOI!B160</f>
        <v>0</v>
      </c>
      <c r="D165" s="321" t="str">
        <f>TONGHOPCONGDOI!C160</f>
        <v>Thảo Phút râu</v>
      </c>
      <c r="E165" s="1243" t="s">
        <v>15</v>
      </c>
      <c r="F165" s="1252"/>
      <c r="G165" s="1248">
        <f t="shared" si="26"/>
        <v>0</v>
      </c>
      <c r="H165" s="1248">
        <f>VLOOKUP(D165,'TRẠM 2'!$C$15:$Y$89,6,0)</f>
        <v>81</v>
      </c>
      <c r="I165" s="1248">
        <f>VLOOKUP(D165,'TRẠM 2'!$C$15:$Y$89,7,0)</f>
        <v>0</v>
      </c>
      <c r="J165" s="1248">
        <f>VLOOKUP(D165,'TRẠM 2'!$C$15:$Y$89,8,0)</f>
        <v>35.290911472436946</v>
      </c>
      <c r="K165" s="1248">
        <f>VLOOKUP(D165,'TRẠM 2'!$C$15:$Y$89,9,0)</f>
        <v>3.2866076828505664</v>
      </c>
      <c r="L165" s="1837">
        <f t="shared" si="21"/>
        <v>38.577519155287511</v>
      </c>
      <c r="M165" s="1996" t="str">
        <f>VLOOKUP(D165,'TRẠM 2'!$C$15:$Y$89,11,0)</f>
        <v>C.</v>
      </c>
      <c r="N165" s="1248">
        <f>VLOOKUP(D165,'TRẠM 2'!$C$15:$Y$89,12,0)</f>
        <v>127306</v>
      </c>
      <c r="O165" s="1248">
        <f>VLOOKUP(D165,'TRẠM 2'!$C$15:$Y$89,13,0)</f>
        <v>0</v>
      </c>
      <c r="P165" s="1248">
        <f>VLOOKUP(D165,'TRẠM 2'!$C$15:$Y$89,14,0)</f>
        <v>0</v>
      </c>
      <c r="Q165" s="1248">
        <f>VLOOKUP(D165,'TRẠM 2'!$C$15:$Y$89,15,0)</f>
        <v>0</v>
      </c>
      <c r="R165" s="1248">
        <f>VLOOKUP(D165,'TRẠM 2'!$C$15:$Y$89,16,0)</f>
        <v>0</v>
      </c>
      <c r="S165" s="1248">
        <f>VLOOKUP(D165,'TRẠM 2'!$C$15:$Y$89,17,0)</f>
        <v>0</v>
      </c>
      <c r="T165" s="1248" t="e">
        <f>VLOOKUP(G165,'TRẠM 2'!$C$15:$Y$89,13,0)</f>
        <v>#N/A</v>
      </c>
      <c r="U165" s="1248" t="e">
        <f>VLOOKUP(H165,'TRẠM 2'!$C$15:$Y$89,13,0)</f>
        <v>#N/A</v>
      </c>
      <c r="V165" s="1248">
        <f>VLOOKUP(D165,'TRẠM 2'!$C$15:$Y$89,20,0)</f>
        <v>0</v>
      </c>
      <c r="W165" s="1248"/>
      <c r="X165" s="1248"/>
      <c r="Y165" s="1248"/>
      <c r="Z165" s="1881">
        <f t="shared" si="22"/>
        <v>0</v>
      </c>
      <c r="AA165" s="1471">
        <f t="shared" si="23"/>
        <v>127306</v>
      </c>
      <c r="AB165" s="1472"/>
      <c r="AC165" s="1420">
        <f t="shared" si="20"/>
        <v>127306</v>
      </c>
      <c r="AD165" s="593">
        <v>55</v>
      </c>
    </row>
    <row r="166" spans="1:30" s="242" customFormat="1" ht="27.75" customHeight="1">
      <c r="A166" s="1282">
        <v>136</v>
      </c>
      <c r="B166" s="1245">
        <v>54</v>
      </c>
      <c r="C166" s="320">
        <f>TONGHOPCONGDOI!B161</f>
        <v>0</v>
      </c>
      <c r="D166" s="321" t="str">
        <f>TONGHOPCONGDOI!C161</f>
        <v>Thảo Hung</v>
      </c>
      <c r="E166" s="1243" t="s">
        <v>15</v>
      </c>
      <c r="F166" s="1252"/>
      <c r="G166" s="1248">
        <f t="shared" si="26"/>
        <v>0</v>
      </c>
      <c r="H166" s="1248">
        <f>VLOOKUP(D166,'TRẠM 2'!$C$15:$Y$89,6,0)</f>
        <v>0</v>
      </c>
      <c r="I166" s="1248">
        <f>VLOOKUP(D166,'TRẠM 2'!$C$15:$Y$89,7,0)</f>
        <v>0</v>
      </c>
      <c r="J166" s="1248">
        <f>VLOOKUP(D166,'TRẠM 2'!$C$15:$Y$89,8,0)</f>
        <v>0</v>
      </c>
      <c r="K166" s="1248">
        <f>VLOOKUP(D166,'TRẠM 2'!$C$15:$Y$89,9,0)</f>
        <v>0</v>
      </c>
      <c r="L166" s="1837">
        <f t="shared" si="21"/>
        <v>0</v>
      </c>
      <c r="M166" s="1996">
        <f>VLOOKUP(D166,'TRẠM 2'!$C$15:$Y$89,11,0)</f>
        <v>0</v>
      </c>
      <c r="N166" s="1248">
        <f>VLOOKUP(D166,'TRẠM 2'!$C$15:$Y$89,12,0)</f>
        <v>0</v>
      </c>
      <c r="O166" s="1248">
        <f>VLOOKUP(D166,'TRẠM 2'!$C$15:$Y$89,13,0)</f>
        <v>0</v>
      </c>
      <c r="P166" s="1248">
        <f>VLOOKUP(D166,'TRẠM 2'!$C$15:$Y$89,14,0)</f>
        <v>0</v>
      </c>
      <c r="Q166" s="1248">
        <f>VLOOKUP(D166,'TRẠM 2'!$C$15:$Y$89,15,0)</f>
        <v>0</v>
      </c>
      <c r="R166" s="1248">
        <f>VLOOKUP(D166,'TRẠM 2'!$C$15:$Y$89,16,0)</f>
        <v>0</v>
      </c>
      <c r="S166" s="1248">
        <f>VLOOKUP(D166,'TRẠM 2'!$C$15:$Y$89,17,0)</f>
        <v>0</v>
      </c>
      <c r="T166" s="1248" t="e">
        <f>VLOOKUP(G166,'TRẠM 2'!$C$15:$Y$89,13,0)</f>
        <v>#N/A</v>
      </c>
      <c r="U166" s="1248" t="e">
        <f>VLOOKUP(H166,'TRẠM 2'!$C$15:$Y$89,13,0)</f>
        <v>#N/A</v>
      </c>
      <c r="V166" s="1248">
        <f>VLOOKUP(D166,'TRẠM 2'!$C$15:$Y$89,20,0)</f>
        <v>0</v>
      </c>
      <c r="W166" s="1248"/>
      <c r="X166" s="1248"/>
      <c r="Y166" s="1248"/>
      <c r="Z166" s="1881">
        <f t="shared" si="22"/>
        <v>0</v>
      </c>
      <c r="AA166" s="1471">
        <f t="shared" si="23"/>
        <v>0</v>
      </c>
      <c r="AB166" s="1472"/>
      <c r="AC166" s="1420">
        <f t="shared" si="20"/>
        <v>0</v>
      </c>
      <c r="AD166" s="593">
        <v>56</v>
      </c>
    </row>
    <row r="167" spans="1:30" s="242" customFormat="1" ht="27.75" customHeight="1">
      <c r="A167" s="1282">
        <v>137</v>
      </c>
      <c r="B167" s="1245">
        <v>55</v>
      </c>
      <c r="C167" s="320">
        <f>TONGHOPCONGDOI!B162</f>
        <v>0</v>
      </c>
      <c r="D167" s="321" t="str">
        <f>TONGHOPCONGDOI!C162</f>
        <v>Thảo Khẹt</v>
      </c>
      <c r="E167" s="1243" t="s">
        <v>15</v>
      </c>
      <c r="F167" s="1252"/>
      <c r="G167" s="1248">
        <f t="shared" si="26"/>
        <v>0</v>
      </c>
      <c r="H167" s="1248">
        <f>VLOOKUP(D167,'TRẠM 2'!$C$15:$Y$89,6,0)</f>
        <v>2070</v>
      </c>
      <c r="I167" s="1248">
        <f>VLOOKUP(D167,'TRẠM 2'!$C$15:$Y$89,7,0)</f>
        <v>0</v>
      </c>
      <c r="J167" s="1248">
        <f>VLOOKUP(D167,'TRẠM 2'!$C$15:$Y$89,8,0)</f>
        <v>901.87884874005522</v>
      </c>
      <c r="K167" s="1248">
        <f>VLOOKUP(D167,'TRẠM 2'!$C$15:$Y$89,9,0)</f>
        <v>83.991085228403364</v>
      </c>
      <c r="L167" s="1837">
        <f t="shared" si="21"/>
        <v>985.86993396845855</v>
      </c>
      <c r="M167" s="1996" t="str">
        <f>VLOOKUP(D167,'TRẠM 2'!$C$15:$Y$89,11,0)</f>
        <v>C.</v>
      </c>
      <c r="N167" s="1248">
        <f>VLOOKUP(D167,'TRẠM 2'!$C$15:$Y$89,12,0)</f>
        <v>3253371</v>
      </c>
      <c r="O167" s="1248">
        <f>VLOOKUP(D167,'TRẠM 2'!$C$15:$Y$89,13,0)</f>
        <v>17</v>
      </c>
      <c r="P167" s="1248">
        <f>VLOOKUP(D167,'TRẠM 2'!$C$15:$Y$89,14,0)</f>
        <v>3</v>
      </c>
      <c r="Q167" s="1248">
        <f>VLOOKUP(D167,'TRẠM 2'!$C$15:$Y$89,15,0)</f>
        <v>4</v>
      </c>
      <c r="R167" s="1248">
        <f>VLOOKUP(D167,'TRẠM 2'!$C$15:$Y$89,16,0)</f>
        <v>0</v>
      </c>
      <c r="S167" s="1248">
        <f>VLOOKUP(D167,'TRẠM 2'!$C$15:$Y$89,17,0)</f>
        <v>4</v>
      </c>
      <c r="T167" s="1248" t="e">
        <f>VLOOKUP(G167,'TRẠM 2'!$C$15:$Y$89,13,0)</f>
        <v>#N/A</v>
      </c>
      <c r="U167" s="1248" t="e">
        <f>VLOOKUP(H167,'TRẠM 2'!$C$15:$Y$89,13,0)</f>
        <v>#N/A</v>
      </c>
      <c r="V167" s="1248">
        <f>VLOOKUP(D167,'TRẠM 2'!$C$15:$Y$89,20,0)</f>
        <v>23</v>
      </c>
      <c r="W167" s="1248"/>
      <c r="X167" s="1248"/>
      <c r="Y167" s="1248"/>
      <c r="Z167" s="1881">
        <f t="shared" si="22"/>
        <v>1783922</v>
      </c>
      <c r="AA167" s="1471">
        <f t="shared" si="23"/>
        <v>5037293</v>
      </c>
      <c r="AB167" s="1472"/>
      <c r="AC167" s="1420">
        <f t="shared" si="20"/>
        <v>5037293</v>
      </c>
      <c r="AD167" s="593">
        <v>57</v>
      </c>
    </row>
    <row r="168" spans="1:30" s="242" customFormat="1" ht="27.75" customHeight="1">
      <c r="A168" s="1282">
        <v>138</v>
      </c>
      <c r="B168" s="1245">
        <v>56</v>
      </c>
      <c r="C168" s="320">
        <f>TONGHOPCONGDOI!B163</f>
        <v>0</v>
      </c>
      <c r="D168" s="321" t="str">
        <f>TONGHOPCONGDOI!C163</f>
        <v>Thảo Khun</v>
      </c>
      <c r="E168" s="1243" t="s">
        <v>15</v>
      </c>
      <c r="F168" s="1252"/>
      <c r="G168" s="1248">
        <f t="shared" si="26"/>
        <v>0</v>
      </c>
      <c r="H168" s="1248">
        <f>VLOOKUP(D168,'TRẠM 2'!$C$15:$Y$89,6,0)</f>
        <v>0</v>
      </c>
      <c r="I168" s="1248">
        <f>VLOOKUP(D168,'TRẠM 2'!$C$15:$Y$89,7,0)</f>
        <v>0</v>
      </c>
      <c r="J168" s="1248">
        <f>VLOOKUP(D168,'TRẠM 2'!$C$15:$Y$89,8,0)</f>
        <v>0</v>
      </c>
      <c r="K168" s="1248">
        <f>VLOOKUP(D168,'TRẠM 2'!$C$15:$Y$89,9,0)</f>
        <v>0</v>
      </c>
      <c r="L168" s="1837">
        <f t="shared" si="21"/>
        <v>0</v>
      </c>
      <c r="M168" s="1996">
        <f>VLOOKUP(D168,'TRẠM 2'!$C$15:$Y$89,11,0)</f>
        <v>0</v>
      </c>
      <c r="N168" s="1248">
        <f>VLOOKUP(D168,'TRẠM 2'!$C$15:$Y$89,12,0)</f>
        <v>0</v>
      </c>
      <c r="O168" s="1248">
        <f>VLOOKUP(D168,'TRẠM 2'!$C$15:$Y$89,13,0)</f>
        <v>0</v>
      </c>
      <c r="P168" s="1248">
        <f>VLOOKUP(D168,'TRẠM 2'!$C$15:$Y$89,14,0)</f>
        <v>0</v>
      </c>
      <c r="Q168" s="1248">
        <f>VLOOKUP(D168,'TRẠM 2'!$C$15:$Y$89,15,0)</f>
        <v>0</v>
      </c>
      <c r="R168" s="1248">
        <f>VLOOKUP(D168,'TRẠM 2'!$C$15:$Y$89,16,0)</f>
        <v>0</v>
      </c>
      <c r="S168" s="1248">
        <f>VLOOKUP(D168,'TRẠM 2'!$C$15:$Y$89,17,0)</f>
        <v>0</v>
      </c>
      <c r="T168" s="1248" t="e">
        <f>VLOOKUP(G168,'TRẠM 2'!$C$15:$Y$89,13,0)</f>
        <v>#N/A</v>
      </c>
      <c r="U168" s="1248" t="e">
        <f>VLOOKUP(H168,'TRẠM 2'!$C$15:$Y$89,13,0)</f>
        <v>#N/A</v>
      </c>
      <c r="V168" s="1248">
        <f>VLOOKUP(D168,'TRẠM 2'!$C$15:$Y$89,20,0)</f>
        <v>0</v>
      </c>
      <c r="W168" s="1248"/>
      <c r="X168" s="1248"/>
      <c r="Y168" s="1248"/>
      <c r="Z168" s="1881">
        <f t="shared" si="22"/>
        <v>0</v>
      </c>
      <c r="AA168" s="1471">
        <f t="shared" si="23"/>
        <v>0</v>
      </c>
      <c r="AB168" s="1472"/>
      <c r="AC168" s="1420">
        <f t="shared" si="20"/>
        <v>0</v>
      </c>
      <c r="AD168" s="593">
        <v>58</v>
      </c>
    </row>
    <row r="169" spans="1:30" s="242" customFormat="1" ht="27.75" customHeight="1">
      <c r="A169" s="1282">
        <v>139</v>
      </c>
      <c r="B169" s="1245">
        <v>57</v>
      </c>
      <c r="C169" s="320">
        <f>TONGHOPCONGDOI!B164</f>
        <v>0</v>
      </c>
      <c r="D169" s="321" t="str">
        <f>TONGHOPCONGDOI!C164</f>
        <v>Thảo Linh</v>
      </c>
      <c r="E169" s="1243" t="s">
        <v>15</v>
      </c>
      <c r="F169" s="1252"/>
      <c r="G169" s="1248">
        <f t="shared" si="26"/>
        <v>0</v>
      </c>
      <c r="H169" s="1248">
        <f>VLOOKUP(D169,'TRẠM 2'!$C$15:$Y$89,6,0)</f>
        <v>2751</v>
      </c>
      <c r="I169" s="1248">
        <f>VLOOKUP(D169,'TRẠM 2'!$C$15:$Y$89,7,0)</f>
        <v>0</v>
      </c>
      <c r="J169" s="1248">
        <f>VLOOKUP(D169,'TRẠM 2'!$C$15:$Y$89,8,0)</f>
        <v>1198.5839192675808</v>
      </c>
      <c r="K169" s="1248">
        <f>VLOOKUP(D169,'TRẠM 2'!$C$15:$Y$89,9,0)</f>
        <v>111.6229350064433</v>
      </c>
      <c r="L169" s="1837">
        <f t="shared" si="21"/>
        <v>1310.206854274024</v>
      </c>
      <c r="M169" s="1996" t="str">
        <f>VLOOKUP(D169,'TRẠM 2'!$C$15:$Y$89,11,0)</f>
        <v>C.</v>
      </c>
      <c r="N169" s="1248">
        <f>VLOOKUP(D169,'TRẠM 2'!$C$15:$Y$89,12,0)</f>
        <v>4323683</v>
      </c>
      <c r="O169" s="1248">
        <f>VLOOKUP(D169,'TRẠM 2'!$C$15:$Y$89,13,0)</f>
        <v>20</v>
      </c>
      <c r="P169" s="1248">
        <f>VLOOKUP(D169,'TRẠM 2'!$C$15:$Y$89,14,0)</f>
        <v>4</v>
      </c>
      <c r="Q169" s="1248">
        <f>VLOOKUP(D169,'TRẠM 2'!$C$15:$Y$89,15,0)</f>
        <v>5</v>
      </c>
      <c r="R169" s="1248">
        <f>VLOOKUP(D169,'TRẠM 2'!$C$15:$Y$89,16,0)</f>
        <v>0</v>
      </c>
      <c r="S169" s="1248">
        <f>VLOOKUP(D169,'TRẠM 2'!$C$15:$Y$89,17,0)</f>
        <v>5</v>
      </c>
      <c r="T169" s="1248" t="e">
        <f>VLOOKUP(G169,'TRẠM 2'!$C$15:$Y$89,13,0)</f>
        <v>#N/A</v>
      </c>
      <c r="U169" s="1248" t="e">
        <f>VLOOKUP(H169,'TRẠM 2'!$C$15:$Y$89,13,0)</f>
        <v>#N/A</v>
      </c>
      <c r="V169" s="1248">
        <f>VLOOKUP(D169,'TRẠM 2'!$C$15:$Y$89,20,0)</f>
        <v>33</v>
      </c>
      <c r="W169" s="1248"/>
      <c r="X169" s="1248"/>
      <c r="Y169" s="1248"/>
      <c r="Z169" s="1881">
        <f t="shared" si="22"/>
        <v>2289253</v>
      </c>
      <c r="AA169" s="1471">
        <f t="shared" si="23"/>
        <v>6612936</v>
      </c>
      <c r="AB169" s="1472"/>
      <c r="AC169" s="1420">
        <f t="shared" si="20"/>
        <v>6612936</v>
      </c>
      <c r="AD169" s="593">
        <v>59</v>
      </c>
    </row>
    <row r="170" spans="1:30" s="242" customFormat="1" ht="27.75" customHeight="1">
      <c r="A170" s="1282">
        <v>140</v>
      </c>
      <c r="B170" s="1245">
        <v>58</v>
      </c>
      <c r="C170" s="320">
        <f>TONGHOPCONGDOI!B165</f>
        <v>0</v>
      </c>
      <c r="D170" s="321" t="str">
        <f>TONGHOPCONGDOI!C165</f>
        <v>Thảo Han</v>
      </c>
      <c r="E170" s="1243" t="s">
        <v>15</v>
      </c>
      <c r="F170" s="1252"/>
      <c r="G170" s="1248">
        <f t="shared" si="26"/>
        <v>0</v>
      </c>
      <c r="H170" s="1248">
        <f>VLOOKUP(D170,'TRẠM 2'!$C$15:$Y$89,6,0)</f>
        <v>2695</v>
      </c>
      <c r="I170" s="1248">
        <f>VLOOKUP(D170,'TRẠM 2'!$C$15:$Y$89,7,0)</f>
        <v>0</v>
      </c>
      <c r="J170" s="1248">
        <f>VLOOKUP(D170,'TRẠM 2'!$C$15:$Y$89,8,0)</f>
        <v>1174.1852644224391</v>
      </c>
      <c r="K170" s="1248">
        <f>VLOOKUP(D170,'TRẠM 2'!$C$15:$Y$89,9,0)</f>
        <v>109.3507124108923</v>
      </c>
      <c r="L170" s="1837">
        <f t="shared" si="21"/>
        <v>1283.5359768333315</v>
      </c>
      <c r="M170" s="1996" t="str">
        <f>VLOOKUP(D170,'TRẠM 2'!$C$15:$Y$89,11,0)</f>
        <v>C.</v>
      </c>
      <c r="N170" s="1248">
        <f>VLOOKUP(D170,'TRẠM 2'!$C$15:$Y$89,12,0)</f>
        <v>4235669</v>
      </c>
      <c r="O170" s="1248">
        <f>VLOOKUP(D170,'TRẠM 2'!$C$15:$Y$89,13,0)</f>
        <v>16</v>
      </c>
      <c r="P170" s="1248">
        <f>VLOOKUP(D170,'TRẠM 2'!$C$15:$Y$89,14,0)</f>
        <v>4</v>
      </c>
      <c r="Q170" s="1248">
        <f>VLOOKUP(D170,'TRẠM 2'!$C$15:$Y$89,15,0)</f>
        <v>4</v>
      </c>
      <c r="R170" s="1248">
        <f>VLOOKUP(D170,'TRẠM 2'!$C$15:$Y$89,16,0)</f>
        <v>0</v>
      </c>
      <c r="S170" s="1248">
        <f>VLOOKUP(D170,'TRẠM 2'!$C$15:$Y$89,17,0)</f>
        <v>4</v>
      </c>
      <c r="T170" s="1248" t="e">
        <f>VLOOKUP(G170,'TRẠM 2'!$C$15:$Y$89,13,0)</f>
        <v>#N/A</v>
      </c>
      <c r="U170" s="1248" t="e">
        <f>VLOOKUP(H170,'TRẠM 2'!$C$15:$Y$89,13,0)</f>
        <v>#N/A</v>
      </c>
      <c r="V170" s="1248">
        <f>VLOOKUP(D170,'TRẠM 2'!$C$15:$Y$89,20,0)</f>
        <v>27</v>
      </c>
      <c r="W170" s="1248"/>
      <c r="X170" s="1248"/>
      <c r="Y170" s="1248"/>
      <c r="Z170" s="1881">
        <f t="shared" si="22"/>
        <v>1884495</v>
      </c>
      <c r="AA170" s="1471">
        <f t="shared" si="23"/>
        <v>6120164</v>
      </c>
      <c r="AB170" s="1472"/>
      <c r="AC170" s="1420">
        <f t="shared" si="20"/>
        <v>6120164</v>
      </c>
      <c r="AD170" s="593">
        <v>60</v>
      </c>
    </row>
    <row r="171" spans="1:30" s="242" customFormat="1" ht="27.75" customHeight="1">
      <c r="A171" s="1282">
        <v>141</v>
      </c>
      <c r="B171" s="1245">
        <v>59</v>
      </c>
      <c r="C171" s="1332"/>
      <c r="D171" s="321" t="str">
        <f>TONGHOPCONGDOI!C166</f>
        <v>Thảo Ê</v>
      </c>
      <c r="E171" s="1243" t="s">
        <v>15</v>
      </c>
      <c r="F171" s="1252"/>
      <c r="G171" s="1248">
        <f t="shared" si="26"/>
        <v>0</v>
      </c>
      <c r="H171" s="1248">
        <f>VLOOKUP(D171,'TRẠM 2'!$C$15:$Y$89,6,0)</f>
        <v>2137</v>
      </c>
      <c r="I171" s="1248">
        <f>VLOOKUP(D171,'TRẠM 2'!$C$15:$Y$89,7,0)</f>
        <v>0</v>
      </c>
      <c r="J171" s="1248">
        <f>VLOOKUP(D171,'TRẠM 2'!$C$15:$Y$89,8,0)</f>
        <v>931.07009650120676</v>
      </c>
      <c r="K171" s="1248">
        <f>VLOOKUP(D171,'TRẠM 2'!$C$15:$Y$89,9,0)</f>
        <v>86.709637262366172</v>
      </c>
      <c r="L171" s="1837">
        <f t="shared" si="21"/>
        <v>1017.7797337635729</v>
      </c>
      <c r="M171" s="1996" t="str">
        <f>VLOOKUP(D171,'TRẠM 2'!$C$15:$Y$89,11,0)</f>
        <v>C.</v>
      </c>
      <c r="N171" s="1248">
        <f>VLOOKUP(D171,'TRẠM 2'!$C$15:$Y$89,12,0)</f>
        <v>3358673</v>
      </c>
      <c r="O171" s="1248">
        <f>VLOOKUP(D171,'TRẠM 2'!$C$15:$Y$89,13,0)</f>
        <v>12</v>
      </c>
      <c r="P171" s="1248">
        <f>VLOOKUP(D171,'TRẠM 2'!$C$15:$Y$89,14,0)</f>
        <v>4</v>
      </c>
      <c r="Q171" s="1248">
        <f>VLOOKUP(D171,'TRẠM 2'!$C$15:$Y$89,15,0)</f>
        <v>3</v>
      </c>
      <c r="R171" s="1248">
        <f>VLOOKUP(D171,'TRẠM 2'!$C$15:$Y$89,16,0)</f>
        <v>0</v>
      </c>
      <c r="S171" s="1248">
        <f>VLOOKUP(D171,'TRẠM 2'!$C$15:$Y$89,17,0)</f>
        <v>3</v>
      </c>
      <c r="T171" s="1248" t="e">
        <f>VLOOKUP(G171,'TRẠM 2'!$C$15:$Y$89,13,0)</f>
        <v>#N/A</v>
      </c>
      <c r="U171" s="1248" t="e">
        <f>VLOOKUP(H171,'TRẠM 2'!$C$15:$Y$89,13,0)</f>
        <v>#N/A</v>
      </c>
      <c r="V171" s="1248">
        <f>VLOOKUP(D171,'TRẠM 2'!$C$15:$Y$89,20,0)</f>
        <v>22</v>
      </c>
      <c r="W171" s="1840"/>
      <c r="X171" s="1840"/>
      <c r="Y171" s="1840"/>
      <c r="Z171" s="1881">
        <f t="shared" si="22"/>
        <v>1499738</v>
      </c>
      <c r="AA171" s="1471">
        <f t="shared" si="23"/>
        <v>4858411</v>
      </c>
      <c r="AB171" s="1472"/>
      <c r="AC171" s="1420">
        <f t="shared" si="20"/>
        <v>4858411</v>
      </c>
      <c r="AD171" s="593">
        <v>61</v>
      </c>
    </row>
    <row r="172" spans="1:30" s="242" customFormat="1" ht="27.75" customHeight="1">
      <c r="A172" s="1282">
        <v>142</v>
      </c>
      <c r="B172" s="1245">
        <v>60</v>
      </c>
      <c r="C172" s="1332"/>
      <c r="D172" s="321" t="str">
        <f>TONGHOPCONGDOI!C167</f>
        <v>Thảo Tô</v>
      </c>
      <c r="E172" s="1243" t="s">
        <v>15</v>
      </c>
      <c r="F172" s="1252"/>
      <c r="G172" s="1248">
        <f t="shared" si="26"/>
        <v>0</v>
      </c>
      <c r="H172" s="1248">
        <f>VLOOKUP(D172,'TRẠM 2'!$C$15:$Y$89,6,0)</f>
        <v>980</v>
      </c>
      <c r="I172" s="1248">
        <f>VLOOKUP(D172,'TRẠM 2'!$C$15:$Y$89,7,0)</f>
        <v>0</v>
      </c>
      <c r="J172" s="1248">
        <f>VLOOKUP(D172,'TRẠM 2'!$C$15:$Y$89,8,0)</f>
        <v>426.97645978997787</v>
      </c>
      <c r="K172" s="1248">
        <f>VLOOKUP(D172,'TRẠM 2'!$C$15:$Y$89,9,0)</f>
        <v>39.763895422142653</v>
      </c>
      <c r="L172" s="1837">
        <f t="shared" si="21"/>
        <v>466.74035521212051</v>
      </c>
      <c r="M172" s="1996" t="str">
        <f>VLOOKUP(D172,'TRẠM 2'!$C$15:$Y$89,11,0)</f>
        <v>C.</v>
      </c>
      <c r="N172" s="1248">
        <f>VLOOKUP(D172,'TRẠM 2'!$C$15:$Y$89,12,0)</f>
        <v>1540243</v>
      </c>
      <c r="O172" s="1248">
        <f>VLOOKUP(D172,'TRẠM 2'!$C$15:$Y$89,13,0)</f>
        <v>8</v>
      </c>
      <c r="P172" s="1248">
        <f>VLOOKUP(D172,'TRẠM 2'!$C$15:$Y$89,14,0)</f>
        <v>3</v>
      </c>
      <c r="Q172" s="1248">
        <f>VLOOKUP(D172,'TRẠM 2'!$C$15:$Y$89,15,0)</f>
        <v>0</v>
      </c>
      <c r="R172" s="1248">
        <f>VLOOKUP(D172,'TRẠM 2'!$C$15:$Y$89,16,0)</f>
        <v>0</v>
      </c>
      <c r="S172" s="1248">
        <f>VLOOKUP(D172,'TRẠM 2'!$C$15:$Y$89,17,0)</f>
        <v>0</v>
      </c>
      <c r="T172" s="1248" t="e">
        <f>VLOOKUP(G172,'TRẠM 2'!$C$15:$Y$89,13,0)</f>
        <v>#N/A</v>
      </c>
      <c r="U172" s="1248" t="e">
        <f>VLOOKUP(H172,'TRẠM 2'!$C$15:$Y$89,13,0)</f>
        <v>#N/A</v>
      </c>
      <c r="V172" s="1248">
        <f>VLOOKUP(D172,'TRẠM 2'!$C$15:$Y$89,20,0)</f>
        <v>11</v>
      </c>
      <c r="W172" s="1840"/>
      <c r="X172" s="1840"/>
      <c r="Y172" s="1840"/>
      <c r="Z172" s="1881">
        <f t="shared" si="22"/>
        <v>620442</v>
      </c>
      <c r="AA172" s="1471">
        <f t="shared" si="23"/>
        <v>2160685</v>
      </c>
      <c r="AB172" s="1472"/>
      <c r="AC172" s="1420">
        <f t="shared" si="20"/>
        <v>2160685</v>
      </c>
      <c r="AD172" s="593">
        <v>62</v>
      </c>
    </row>
    <row r="173" spans="1:30" s="242" customFormat="1" ht="27.75" customHeight="1">
      <c r="A173" s="1282">
        <v>143</v>
      </c>
      <c r="B173" s="1245">
        <v>61</v>
      </c>
      <c r="C173" s="1332"/>
      <c r="D173" s="321" t="str">
        <f>TONGHOPCONGDOI!C168</f>
        <v>Nàng Son</v>
      </c>
      <c r="E173" s="1243" t="s">
        <v>15</v>
      </c>
      <c r="F173" s="1252"/>
      <c r="G173" s="1248">
        <f t="shared" si="26"/>
        <v>0</v>
      </c>
      <c r="H173" s="1248">
        <f>VLOOKUP(D173,'TRẠM 2'!$C$15:$Y$89,6,0)</f>
        <v>836</v>
      </c>
      <c r="I173" s="1248">
        <f>VLOOKUP(D173,'TRẠM 2'!$C$15:$Y$89,7,0)</f>
        <v>0</v>
      </c>
      <c r="J173" s="1248">
        <f>VLOOKUP(D173,'TRẠM 2'!$C$15:$Y$89,8,0)</f>
        <v>364.23706161675659</v>
      </c>
      <c r="K173" s="1248">
        <f>VLOOKUP(D173,'TRẠM 2'!$C$15:$Y$89,9,0)</f>
        <v>33.921037319297199</v>
      </c>
      <c r="L173" s="1837">
        <f t="shared" si="21"/>
        <v>398.15809893605376</v>
      </c>
      <c r="M173" s="1996" t="str">
        <f>VLOOKUP(D173,'TRẠM 2'!$C$15:$Y$89,11,0)</f>
        <v>C.</v>
      </c>
      <c r="N173" s="1248">
        <f>VLOOKUP(D173,'TRẠM 2'!$C$15:$Y$89,12,0)</f>
        <v>1313922</v>
      </c>
      <c r="O173" s="1248">
        <f>VLOOKUP(D173,'TRẠM 2'!$C$15:$Y$89,13,0)</f>
        <v>7</v>
      </c>
      <c r="P173" s="1248">
        <f>VLOOKUP(D173,'TRẠM 2'!$C$15:$Y$89,14,0)</f>
        <v>2</v>
      </c>
      <c r="Q173" s="1248">
        <f>VLOOKUP(D173,'TRẠM 2'!$C$15:$Y$89,15,0)</f>
        <v>0</v>
      </c>
      <c r="R173" s="1248">
        <f>VLOOKUP(D173,'TRẠM 2'!$C$15:$Y$89,16,0)</f>
        <v>0</v>
      </c>
      <c r="S173" s="1248">
        <f>VLOOKUP(D173,'TRẠM 2'!$C$15:$Y$89,17,0)</f>
        <v>0</v>
      </c>
      <c r="T173" s="1248" t="e">
        <f>VLOOKUP(G173,'TRẠM 2'!$C$15:$Y$89,13,0)</f>
        <v>#N/A</v>
      </c>
      <c r="U173" s="1248" t="e">
        <f>VLOOKUP(H173,'TRẠM 2'!$C$15:$Y$89,13,0)</f>
        <v>#N/A</v>
      </c>
      <c r="V173" s="1248">
        <f>VLOOKUP(D173,'TRẠM 2'!$C$15:$Y$89,20,0)</f>
        <v>9</v>
      </c>
      <c r="W173" s="1840"/>
      <c r="X173" s="1840"/>
      <c r="Y173" s="1840"/>
      <c r="Z173" s="1881">
        <f t="shared" si="22"/>
        <v>498283</v>
      </c>
      <c r="AA173" s="1471">
        <f t="shared" si="23"/>
        <v>1812205</v>
      </c>
      <c r="AB173" s="1472"/>
      <c r="AC173" s="1420">
        <f t="shared" si="20"/>
        <v>1812205</v>
      </c>
      <c r="AD173" s="593">
        <v>63</v>
      </c>
    </row>
    <row r="174" spans="1:30" s="242" customFormat="1" ht="27.75" customHeight="1">
      <c r="A174" s="1282">
        <v>144</v>
      </c>
      <c r="B174" s="1245">
        <v>62</v>
      </c>
      <c r="C174" s="1332"/>
      <c r="D174" s="321" t="str">
        <f>TONGHOPCONGDOI!C169</f>
        <v>Thảo Keo</v>
      </c>
      <c r="E174" s="1243" t="s">
        <v>15</v>
      </c>
      <c r="F174" s="1252"/>
      <c r="G174" s="1248">
        <f t="shared" si="26"/>
        <v>0</v>
      </c>
      <c r="H174" s="1248">
        <f>VLOOKUP(D174,'TRẠM 2'!$C$15:$Y$89,6,0)</f>
        <v>199</v>
      </c>
      <c r="I174" s="1248">
        <f>VLOOKUP(D174,'TRẠM 2'!$C$15:$Y$89,7,0)</f>
        <v>0</v>
      </c>
      <c r="J174" s="1248">
        <f>VLOOKUP(D174,'TRẠM 2'!$C$15:$Y$89,8,0)</f>
        <v>86.702362753271018</v>
      </c>
      <c r="K174" s="1248">
        <f>VLOOKUP(D174,'TRẠM 2'!$C$15:$Y$89,9,0)</f>
        <v>8.074505294904478</v>
      </c>
      <c r="L174" s="1837">
        <f t="shared" si="21"/>
        <v>94.776868048175501</v>
      </c>
      <c r="M174" s="1996" t="str">
        <f>VLOOKUP(D174,'TRẠM 2'!$C$15:$Y$89,11,0)</f>
        <v>C.</v>
      </c>
      <c r="N174" s="1248">
        <f>VLOOKUP(D174,'TRẠM 2'!$C$15:$Y$89,12,0)</f>
        <v>312764</v>
      </c>
      <c r="O174" s="1248">
        <f>VLOOKUP(D174,'TRẠM 2'!$C$15:$Y$89,13,0)</f>
        <v>6</v>
      </c>
      <c r="P174" s="1248">
        <f>VLOOKUP(D174,'TRẠM 2'!$C$15:$Y$89,14,0)</f>
        <v>0</v>
      </c>
      <c r="Q174" s="1248">
        <f>VLOOKUP(D174,'TRẠM 2'!$C$15:$Y$89,15,0)</f>
        <v>0</v>
      </c>
      <c r="R174" s="1248">
        <f>VLOOKUP(D174,'TRẠM 2'!$C$15:$Y$89,16,0)</f>
        <v>0</v>
      </c>
      <c r="S174" s="1248">
        <f>VLOOKUP(D174,'TRẠM 2'!$C$15:$Y$89,17,0)</f>
        <v>0</v>
      </c>
      <c r="T174" s="1248" t="e">
        <f>VLOOKUP(G174,'TRẠM 2'!$C$15:$Y$89,13,0)</f>
        <v>#N/A</v>
      </c>
      <c r="U174" s="1248" t="e">
        <f>VLOOKUP(H174,'TRẠM 2'!$C$15:$Y$89,13,0)</f>
        <v>#N/A</v>
      </c>
      <c r="V174" s="1248">
        <f>VLOOKUP(D174,'TRẠM 2'!$C$15:$Y$89,20,0)</f>
        <v>6</v>
      </c>
      <c r="W174" s="1840"/>
      <c r="X174" s="1840"/>
      <c r="Y174" s="1840"/>
      <c r="Z174" s="1881">
        <f t="shared" si="22"/>
        <v>304758</v>
      </c>
      <c r="AA174" s="1471">
        <f t="shared" si="23"/>
        <v>617522</v>
      </c>
      <c r="AB174" s="1472"/>
      <c r="AC174" s="1420">
        <f t="shared" ref="AC174:AC184" si="27">AA174</f>
        <v>617522</v>
      </c>
      <c r="AD174" s="593">
        <v>64</v>
      </c>
    </row>
    <row r="175" spans="1:30" s="242" customFormat="1" ht="27.75" customHeight="1">
      <c r="A175" s="1282">
        <v>145</v>
      </c>
      <c r="B175" s="1245">
        <v>63</v>
      </c>
      <c r="C175" s="1332"/>
      <c r="D175" s="321" t="str">
        <f>TONGHOPCONGDOI!C170</f>
        <v>Thảo Tun</v>
      </c>
      <c r="E175" s="1243" t="s">
        <v>15</v>
      </c>
      <c r="F175" s="2019"/>
      <c r="G175" s="1840"/>
      <c r="H175" s="1248">
        <f>VLOOKUP(D175,'TRẠM 2'!$C$15:$Y$89,6,0)</f>
        <v>112</v>
      </c>
      <c r="I175" s="1248">
        <f>VLOOKUP(D175,'TRẠM 2'!$C$15:$Y$89,7,0)</f>
        <v>0</v>
      </c>
      <c r="J175" s="1248">
        <f>VLOOKUP(D175,'TRẠM 2'!$C$15:$Y$89,8,0)</f>
        <v>48.797309690283186</v>
      </c>
      <c r="K175" s="1248">
        <f>VLOOKUP(D175,'TRẠM 2'!$C$15:$Y$89,9,0)</f>
        <v>4.5444451911020174</v>
      </c>
      <c r="L175" s="1837">
        <f t="shared" ref="L175:L180" si="28">J175+K175</f>
        <v>53.341754881385199</v>
      </c>
      <c r="M175" s="1996" t="str">
        <f>VLOOKUP(D175,'TRẠM 2'!$C$15:$Y$89,11,0)</f>
        <v>C.</v>
      </c>
      <c r="N175" s="1248">
        <f>VLOOKUP(D175,'TRẠM 2'!$C$15:$Y$89,12,0)</f>
        <v>176028</v>
      </c>
      <c r="O175" s="1248">
        <f>VLOOKUP(D175,'TRẠM 2'!$C$15:$Y$89,13,0)</f>
        <v>4</v>
      </c>
      <c r="P175" s="1248">
        <f>VLOOKUP(D175,'TRẠM 2'!$C$15:$Y$89,14,0)</f>
        <v>0</v>
      </c>
      <c r="Q175" s="1248">
        <f>VLOOKUP(D175,'TRẠM 2'!$C$15:$Y$89,15,0)</f>
        <v>0</v>
      </c>
      <c r="R175" s="1248">
        <f>VLOOKUP(D175,'TRẠM 2'!$C$15:$Y$89,16,0)</f>
        <v>0</v>
      </c>
      <c r="S175" s="1248">
        <f>VLOOKUP(D175,'TRẠM 2'!$C$15:$Y$89,17,0)</f>
        <v>0</v>
      </c>
      <c r="T175" s="1248" t="e">
        <f>VLOOKUP(G175,'TRẠM 2'!$C$15:$Y$89,13,0)</f>
        <v>#N/A</v>
      </c>
      <c r="U175" s="1248" t="e">
        <f>VLOOKUP(H175,'TRẠM 2'!$C$15:$Y$89,13,0)</f>
        <v>#N/A</v>
      </c>
      <c r="V175" s="1248">
        <f>VLOOKUP(D175,'TRẠM 2'!$C$15:$Y$89,20,0)</f>
        <v>4</v>
      </c>
      <c r="W175" s="1840"/>
      <c r="X175" s="1840"/>
      <c r="Y175" s="1840"/>
      <c r="Z175" s="1881">
        <f t="shared" ref="Z175:Z184" si="29">ROUND(((O175*46.1)+(P175*76.9)+(Q175*92.2)+(R175*153.8))*$G$8+(S175*100000)+(V175*20000),0)</f>
        <v>203172</v>
      </c>
      <c r="AA175" s="1471">
        <f t="shared" ref="AA175:AA181" si="30">+N175+G175+Z175</f>
        <v>379200</v>
      </c>
      <c r="AB175" s="1472"/>
      <c r="AC175" s="1420">
        <f t="shared" ref="AC175:AC181" si="31">AA175</f>
        <v>379200</v>
      </c>
      <c r="AD175" s="593">
        <v>65</v>
      </c>
    </row>
    <row r="176" spans="1:30" s="242" customFormat="1" ht="27.75" customHeight="1">
      <c r="A176" s="1282">
        <v>146</v>
      </c>
      <c r="B176" s="1245">
        <v>64</v>
      </c>
      <c r="C176" s="1332"/>
      <c r="D176" s="321" t="str">
        <f>TONGHOPCONGDOI!C171</f>
        <v>Thảo Xiêm</v>
      </c>
      <c r="E176" s="1243" t="s">
        <v>15</v>
      </c>
      <c r="F176" s="2019"/>
      <c r="G176" s="1840"/>
      <c r="H176" s="1248">
        <f>VLOOKUP(D176,'TRẠM 2'!$C$15:$Y$89,6,0)</f>
        <v>0</v>
      </c>
      <c r="I176" s="1248">
        <f>VLOOKUP(D176,'TRẠM 2'!$C$15:$Y$89,7,0)</f>
        <v>0</v>
      </c>
      <c r="J176" s="1248">
        <f>VLOOKUP(D176,'TRẠM 2'!$C$15:$Y$89,8,0)</f>
        <v>0</v>
      </c>
      <c r="K176" s="1248">
        <f>VLOOKUP(D176,'TRẠM 2'!$C$15:$Y$89,9,0)</f>
        <v>0</v>
      </c>
      <c r="L176" s="1837">
        <f t="shared" si="28"/>
        <v>0</v>
      </c>
      <c r="M176" s="1996">
        <f>VLOOKUP(D176,'TRẠM 2'!$C$15:$Y$89,11,0)</f>
        <v>0</v>
      </c>
      <c r="N176" s="1248">
        <f>VLOOKUP(D176,'TRẠM 2'!$C$15:$Y$89,12,0)</f>
        <v>0</v>
      </c>
      <c r="O176" s="1248">
        <f>VLOOKUP(D176,'TRẠM 2'!$C$15:$Y$89,13,0)</f>
        <v>1</v>
      </c>
      <c r="P176" s="1248">
        <f>VLOOKUP(D176,'TRẠM 2'!$C$15:$Y$89,14,0)</f>
        <v>0</v>
      </c>
      <c r="Q176" s="1248">
        <f>VLOOKUP(D176,'TRẠM 2'!$C$15:$Y$89,15,0)</f>
        <v>0</v>
      </c>
      <c r="R176" s="1248">
        <f>VLOOKUP(D176,'TRẠM 2'!$C$15:$Y$89,16,0)</f>
        <v>0</v>
      </c>
      <c r="S176" s="1248">
        <f>VLOOKUP(D176,'TRẠM 2'!$C$15:$Y$89,17,0)</f>
        <v>0</v>
      </c>
      <c r="T176" s="1248" t="e">
        <f>VLOOKUP(G176,'TRẠM 2'!$C$15:$Y$89,13,0)</f>
        <v>#N/A</v>
      </c>
      <c r="U176" s="1248" t="e">
        <f>VLOOKUP(H176,'TRẠM 2'!$C$15:$Y$89,13,0)</f>
        <v>#N/A</v>
      </c>
      <c r="V176" s="1248">
        <f>VLOOKUP(D176,'TRẠM 2'!$C$15:$Y$89,20,0)</f>
        <v>0</v>
      </c>
      <c r="W176" s="1840"/>
      <c r="X176" s="1840"/>
      <c r="Y176" s="1840"/>
      <c r="Z176" s="1881">
        <f t="shared" si="29"/>
        <v>30793</v>
      </c>
      <c r="AA176" s="1471">
        <f t="shared" si="30"/>
        <v>30793</v>
      </c>
      <c r="AB176" s="1472"/>
      <c r="AC176" s="1420">
        <f t="shared" si="31"/>
        <v>30793</v>
      </c>
      <c r="AD176" s="593">
        <v>66</v>
      </c>
    </row>
    <row r="177" spans="1:35" s="242" customFormat="1" ht="27.75" customHeight="1">
      <c r="A177" s="1282">
        <v>147</v>
      </c>
      <c r="B177" s="1245">
        <v>65</v>
      </c>
      <c r="C177" s="1332"/>
      <c r="D177" s="321" t="str">
        <f>TONGHOPCONGDOI!C172</f>
        <v>Thảo Cốp</v>
      </c>
      <c r="E177" s="1243" t="s">
        <v>15</v>
      </c>
      <c r="F177" s="1252"/>
      <c r="G177" s="1248">
        <f t="shared" ref="G177:G180" si="32">F177*25000</f>
        <v>0</v>
      </c>
      <c r="H177" s="1248">
        <f>VLOOKUP(D177,'TRẠM 2'!$C$15:$Y$89,6,0)</f>
        <v>0</v>
      </c>
      <c r="I177" s="1248">
        <f>VLOOKUP(D177,'TRẠM 2'!$C$15:$Y$89,7,0)</f>
        <v>0</v>
      </c>
      <c r="J177" s="1248">
        <f>VLOOKUP(D177,'TRẠM 2'!$C$15:$Y$89,8,0)</f>
        <v>0</v>
      </c>
      <c r="K177" s="1248">
        <f>VLOOKUP(D177,'TRẠM 2'!$C$15:$Y$89,9,0)</f>
        <v>0</v>
      </c>
      <c r="L177" s="1837">
        <f t="shared" si="28"/>
        <v>0</v>
      </c>
      <c r="M177" s="1996">
        <f>VLOOKUP(D177,'TRẠM 2'!$C$15:$Y$89,11,0)</f>
        <v>0</v>
      </c>
      <c r="N177" s="1248">
        <f>VLOOKUP(D177,'TRẠM 2'!$C$15:$Y$89,12,0)</f>
        <v>0</v>
      </c>
      <c r="O177" s="1248">
        <f>VLOOKUP(D177,'TRẠM 2'!$C$15:$Y$89,13,0)</f>
        <v>0</v>
      </c>
      <c r="P177" s="1248">
        <f>VLOOKUP(D177,'TRẠM 2'!$C$15:$Y$89,14,0)</f>
        <v>0</v>
      </c>
      <c r="Q177" s="1248">
        <f>VLOOKUP(D177,'TRẠM 2'!$C$15:$Y$89,15,0)</f>
        <v>0</v>
      </c>
      <c r="R177" s="1248">
        <f>VLOOKUP(D177,'TRẠM 2'!$C$15:$Y$89,16,0)</f>
        <v>0</v>
      </c>
      <c r="S177" s="1248">
        <f>VLOOKUP(D177,'TRẠM 2'!$C$15:$Y$89,17,0)</f>
        <v>0</v>
      </c>
      <c r="T177" s="1248" t="e">
        <f>VLOOKUP(G177,'TRẠM 2'!$C$15:$Y$89,13,0)</f>
        <v>#N/A</v>
      </c>
      <c r="U177" s="1248" t="e">
        <f>VLOOKUP(H177,'TRẠM 2'!$C$15:$Y$89,13,0)</f>
        <v>#N/A</v>
      </c>
      <c r="V177" s="1248">
        <f>VLOOKUP(D177,'TRẠM 2'!$C$15:$Y$89,20,0)</f>
        <v>0</v>
      </c>
      <c r="W177" s="1248"/>
      <c r="X177" s="1248"/>
      <c r="Y177" s="1248"/>
      <c r="Z177" s="1881">
        <f t="shared" si="29"/>
        <v>0</v>
      </c>
      <c r="AA177" s="1471">
        <f t="shared" ref="AA177:AA180" si="33">+N177+G177+Z177</f>
        <v>0</v>
      </c>
      <c r="AB177" s="1472"/>
      <c r="AC177" s="1420">
        <f t="shared" ref="AC177:AC180" si="34">AA177</f>
        <v>0</v>
      </c>
      <c r="AD177" s="593"/>
    </row>
    <row r="178" spans="1:35" s="242" customFormat="1" ht="27.75" customHeight="1">
      <c r="A178" s="1282">
        <v>148</v>
      </c>
      <c r="B178" s="1245">
        <v>66</v>
      </c>
      <c r="C178" s="320"/>
      <c r="D178" s="321" t="str">
        <f>TONGHOPCONGDOI!C173</f>
        <v>Nàng Căm</v>
      </c>
      <c r="E178" s="1243" t="s">
        <v>15</v>
      </c>
      <c r="F178" s="1252"/>
      <c r="G178" s="1248">
        <f t="shared" si="32"/>
        <v>0</v>
      </c>
      <c r="H178" s="1248">
        <f>VLOOKUP(D178,'TRẠM 2'!$C$15:$Y$89,6,0)</f>
        <v>0</v>
      </c>
      <c r="I178" s="1248">
        <f>VLOOKUP(D178,'TRẠM 2'!$C$15:$Y$89,7,0)</f>
        <v>0</v>
      </c>
      <c r="J178" s="1248">
        <f>VLOOKUP(D178,'TRẠM 2'!$C$15:$Y$89,8,0)</f>
        <v>0</v>
      </c>
      <c r="K178" s="1248">
        <f>VLOOKUP(D178,'TRẠM 2'!$C$15:$Y$89,9,0)</f>
        <v>0</v>
      </c>
      <c r="L178" s="1837">
        <f t="shared" si="28"/>
        <v>0</v>
      </c>
      <c r="M178" s="1996">
        <f>VLOOKUP(D178,'TRẠM 2'!$C$15:$Y$89,11,0)</f>
        <v>0</v>
      </c>
      <c r="N178" s="1248">
        <f>VLOOKUP(D178,'TRẠM 2'!$C$15:$Y$89,12,0)</f>
        <v>0</v>
      </c>
      <c r="O178" s="1248">
        <f>VLOOKUP(D178,'TRẠM 2'!$C$15:$Y$89,13,0)</f>
        <v>0</v>
      </c>
      <c r="P178" s="1248">
        <f>VLOOKUP(D178,'TRẠM 2'!$C$15:$Y$89,14,0)</f>
        <v>0</v>
      </c>
      <c r="Q178" s="1248">
        <f>VLOOKUP(D178,'TRẠM 2'!$C$15:$Y$89,15,0)</f>
        <v>0</v>
      </c>
      <c r="R178" s="1248">
        <f>VLOOKUP(D178,'TRẠM 2'!$C$15:$Y$89,16,0)</f>
        <v>0</v>
      </c>
      <c r="S178" s="1248">
        <f>VLOOKUP(D178,'TRẠM 2'!$C$15:$Y$89,17,0)</f>
        <v>0</v>
      </c>
      <c r="T178" s="1248" t="e">
        <f>VLOOKUP(G178,'TRẠM 2'!$C$15:$Y$89,13,0)</f>
        <v>#N/A</v>
      </c>
      <c r="U178" s="1248" t="e">
        <f>VLOOKUP(H178,'TRẠM 2'!$C$15:$Y$89,13,0)</f>
        <v>#N/A</v>
      </c>
      <c r="V178" s="1248">
        <f>VLOOKUP(D178,'TRẠM 2'!$C$15:$Y$89,20,0)</f>
        <v>0</v>
      </c>
      <c r="W178" s="1248"/>
      <c r="X178" s="1248"/>
      <c r="Y178" s="1248"/>
      <c r="Z178" s="1881">
        <f t="shared" si="29"/>
        <v>0</v>
      </c>
      <c r="AA178" s="1471">
        <f t="shared" si="33"/>
        <v>0</v>
      </c>
      <c r="AB178" s="1472"/>
      <c r="AC178" s="1420">
        <f t="shared" si="34"/>
        <v>0</v>
      </c>
      <c r="AD178" s="593"/>
      <c r="AE178" s="1616"/>
    </row>
    <row r="179" spans="1:35" s="242" customFormat="1" ht="27.75" customHeight="1">
      <c r="A179" s="1282">
        <v>149</v>
      </c>
      <c r="B179" s="1245">
        <v>67</v>
      </c>
      <c r="C179" s="1332"/>
      <c r="D179" s="321" t="str">
        <f>TONGHOPCONGDOI!C174</f>
        <v>Thảo Khọp</v>
      </c>
      <c r="E179" s="1243" t="s">
        <v>15</v>
      </c>
      <c r="F179" s="1252"/>
      <c r="G179" s="1248">
        <f t="shared" si="32"/>
        <v>0</v>
      </c>
      <c r="H179" s="1248">
        <f>VLOOKUP(D179,'TRẠM 2'!$C$15:$Y$89,6,0)</f>
        <v>0</v>
      </c>
      <c r="I179" s="1248">
        <f>VLOOKUP(D179,'TRẠM 2'!$C$15:$Y$89,7,0)</f>
        <v>0</v>
      </c>
      <c r="J179" s="1248">
        <f>VLOOKUP(D179,'TRẠM 2'!$C$15:$Y$89,8,0)</f>
        <v>0</v>
      </c>
      <c r="K179" s="1248">
        <f>VLOOKUP(D179,'TRẠM 2'!$C$15:$Y$89,9,0)</f>
        <v>0</v>
      </c>
      <c r="L179" s="1837">
        <f t="shared" si="28"/>
        <v>0</v>
      </c>
      <c r="M179" s="1996">
        <f>VLOOKUP(D179,'TRẠM 2'!$C$15:$Y$89,11,0)</f>
        <v>0</v>
      </c>
      <c r="N179" s="1248">
        <f>VLOOKUP(D179,'TRẠM 2'!$C$15:$Y$89,12,0)</f>
        <v>0</v>
      </c>
      <c r="O179" s="1248">
        <f>VLOOKUP(D179,'TRẠM 2'!$C$15:$Y$89,13,0)</f>
        <v>0</v>
      </c>
      <c r="P179" s="1248">
        <f>VLOOKUP(D179,'TRẠM 2'!$C$15:$Y$89,14,0)</f>
        <v>0</v>
      </c>
      <c r="Q179" s="1248">
        <f>VLOOKUP(D179,'TRẠM 2'!$C$15:$Y$89,15,0)</f>
        <v>0</v>
      </c>
      <c r="R179" s="1248">
        <f>VLOOKUP(D179,'TRẠM 2'!$C$15:$Y$89,16,0)</f>
        <v>0</v>
      </c>
      <c r="S179" s="1248">
        <f>VLOOKUP(D179,'TRẠM 2'!$C$15:$Y$89,17,0)</f>
        <v>0</v>
      </c>
      <c r="T179" s="1248" t="e">
        <f>VLOOKUP(G179,'TRẠM 2'!$C$15:$Y$89,13,0)</f>
        <v>#N/A</v>
      </c>
      <c r="U179" s="1248" t="e">
        <f>VLOOKUP(H179,'TRẠM 2'!$C$15:$Y$89,13,0)</f>
        <v>#N/A</v>
      </c>
      <c r="V179" s="1248">
        <f>VLOOKUP(D179,'TRẠM 2'!$C$15:$Y$89,20,0)</f>
        <v>0</v>
      </c>
      <c r="W179" s="1248"/>
      <c r="X179" s="1248"/>
      <c r="Y179" s="1248"/>
      <c r="Z179" s="1881">
        <f t="shared" si="29"/>
        <v>0</v>
      </c>
      <c r="AA179" s="1471">
        <f t="shared" si="33"/>
        <v>0</v>
      </c>
      <c r="AB179" s="1472"/>
      <c r="AC179" s="1420">
        <f t="shared" si="34"/>
        <v>0</v>
      </c>
      <c r="AD179" s="593"/>
      <c r="AE179" s="1616"/>
    </row>
    <row r="180" spans="1:35" s="242" customFormat="1" ht="27.75" customHeight="1">
      <c r="A180" s="1282">
        <v>150</v>
      </c>
      <c r="B180" s="1245">
        <v>68</v>
      </c>
      <c r="C180" s="1332"/>
      <c r="D180" s="321" t="str">
        <f>TONGHOPCONGDOI!C175</f>
        <v>Thảo La</v>
      </c>
      <c r="E180" s="1243" t="s">
        <v>15</v>
      </c>
      <c r="F180" s="1252"/>
      <c r="G180" s="1248">
        <f t="shared" si="32"/>
        <v>0</v>
      </c>
      <c r="H180" s="1248">
        <f>VLOOKUP(D180,'TRẠM 2'!$C$15:$Y$89,6,0)</f>
        <v>1815</v>
      </c>
      <c r="I180" s="1248">
        <f>VLOOKUP(D180,'TRẠM 2'!$C$15:$Y$89,7,0)</f>
        <v>0</v>
      </c>
      <c r="J180" s="1248">
        <f>VLOOKUP(D180,'TRẠM 2'!$C$15:$Y$89,8,0)</f>
        <v>790.77783114164265</v>
      </c>
      <c r="K180" s="1248">
        <f>VLOOKUP(D180,'TRẠM 2'!$C$15:$Y$89,9,0)</f>
        <v>73.644357337947866</v>
      </c>
      <c r="L180" s="1837">
        <f t="shared" si="28"/>
        <v>864.42218847959055</v>
      </c>
      <c r="M180" s="1996" t="str">
        <f>VLOOKUP(D180,'TRẠM 2'!$C$15:$Y$89,11,0)</f>
        <v>C.</v>
      </c>
      <c r="N180" s="1248">
        <f>VLOOKUP(D180,'TRẠM 2'!$C$15:$Y$89,12,0)</f>
        <v>2852593</v>
      </c>
      <c r="O180" s="1248">
        <f>VLOOKUP(D180,'TRẠM 2'!$C$15:$Y$89,13,0)</f>
        <v>14</v>
      </c>
      <c r="P180" s="1248">
        <f>VLOOKUP(D180,'TRẠM 2'!$C$15:$Y$89,14,0)</f>
        <v>3</v>
      </c>
      <c r="Q180" s="1248">
        <f>VLOOKUP(D180,'TRẠM 2'!$C$15:$Y$89,15,0)</f>
        <v>3</v>
      </c>
      <c r="R180" s="1248">
        <f>VLOOKUP(D180,'TRẠM 2'!$C$15:$Y$89,16,0)</f>
        <v>0</v>
      </c>
      <c r="S180" s="1248">
        <f>VLOOKUP(D180,'TRẠM 2'!$C$15:$Y$89,17,0)</f>
        <v>3</v>
      </c>
      <c r="T180" s="1248" t="e">
        <f>VLOOKUP(G180,'TRẠM 2'!$C$15:$Y$89,13,0)</f>
        <v>#N/A</v>
      </c>
      <c r="U180" s="1248" t="e">
        <f>VLOOKUP(H180,'TRẠM 2'!$C$15:$Y$89,13,0)</f>
        <v>#N/A</v>
      </c>
      <c r="V180" s="1248">
        <f>VLOOKUP(D180,'TRẠM 2'!$C$15:$Y$89,20,0)</f>
        <v>16</v>
      </c>
      <c r="W180" s="1248"/>
      <c r="X180" s="1248"/>
      <c r="Y180" s="1248"/>
      <c r="Z180" s="1881">
        <f t="shared" si="29"/>
        <v>1389957</v>
      </c>
      <c r="AA180" s="1471">
        <f t="shared" si="33"/>
        <v>4242550</v>
      </c>
      <c r="AB180" s="1472"/>
      <c r="AC180" s="1420">
        <f t="shared" si="34"/>
        <v>4242550</v>
      </c>
      <c r="AD180" s="593"/>
      <c r="AE180" s="1616"/>
    </row>
    <row r="181" spans="1:35" s="242" customFormat="1" ht="27.75" customHeight="1">
      <c r="A181" s="1282">
        <v>151</v>
      </c>
      <c r="B181" s="1245">
        <v>69</v>
      </c>
      <c r="C181" s="1332"/>
      <c r="D181" s="321" t="str">
        <f>TONGHOPCONGDOI!C176</f>
        <v>Mủ sirum</v>
      </c>
      <c r="E181" s="1838"/>
      <c r="F181" s="1252"/>
      <c r="G181" s="1248">
        <f t="shared" ref="G181" si="35">F181*25000</f>
        <v>0</v>
      </c>
      <c r="H181" s="1248">
        <f>VLOOKUP(D181,'TRẠM 2'!$C$15:$Y$89,6,0)</f>
        <v>0</v>
      </c>
      <c r="I181" s="1248">
        <f>VLOOKUP(D181,'TRẠM 2'!$C$15:$Y$89,7,0)</f>
        <v>790</v>
      </c>
      <c r="J181" s="1248">
        <f>VLOOKUP(D181,'TRẠM 2'!$C$15:$Y$89,8,0)</f>
        <v>332.00699999999989</v>
      </c>
      <c r="K181" s="1840"/>
      <c r="L181" s="1840"/>
      <c r="M181" s="1996">
        <f>VLOOKUP(D181,'TRẠM 2'!$C$15:$Y$89,9,0)</f>
        <v>0</v>
      </c>
      <c r="N181" s="1248">
        <f>VLOOKUP(D181,'TRẠM 2'!$C$15:$Y$89,10,0)</f>
        <v>332.00699999999989</v>
      </c>
      <c r="O181" s="1248" t="str">
        <f>VLOOKUP(D181,'TRẠM 2'!$C$15:$Y$89,11,0)</f>
        <v>A</v>
      </c>
      <c r="P181" s="1248">
        <f>VLOOKUP(D181,'TRẠM 2'!$C$15:$Y$89,12,0)</f>
        <v>1215146</v>
      </c>
      <c r="Q181" s="1248">
        <f>VLOOKUP(D181,'TRẠM 2'!$C$15:$Y$89,13,0)</f>
        <v>0</v>
      </c>
      <c r="R181" s="1248">
        <f>VLOOKUP(D181,'TRẠM 2'!$C$15:$Y$89,14,0)</f>
        <v>0</v>
      </c>
      <c r="S181" s="1248">
        <f>VLOOKUP(D181,'TRẠM 2'!$C$15:$Y$89,15,0)</f>
        <v>0</v>
      </c>
      <c r="T181" s="1248"/>
      <c r="U181" s="1248"/>
      <c r="V181" s="1248">
        <f>VLOOKUP(D181,'TRẠM 2'!$C$15:$Y$89,18,0)</f>
        <v>0</v>
      </c>
      <c r="W181" s="1248"/>
      <c r="X181" s="1248"/>
      <c r="Y181" s="1248"/>
      <c r="Z181" s="1881" t="e">
        <f t="shared" si="29"/>
        <v>#VALUE!</v>
      </c>
      <c r="AA181" s="1471" t="e">
        <f t="shared" si="30"/>
        <v>#VALUE!</v>
      </c>
      <c r="AB181" s="1472"/>
      <c r="AC181" s="1420" t="e">
        <f t="shared" si="31"/>
        <v>#VALUE!</v>
      </c>
      <c r="AD181" s="593">
        <v>67</v>
      </c>
      <c r="AE181" s="1616"/>
    </row>
    <row r="182" spans="1:35" s="242" customFormat="1" ht="27.75" customHeight="1">
      <c r="A182" s="1282">
        <v>152</v>
      </c>
      <c r="B182" s="1245">
        <v>70</v>
      </c>
      <c r="C182" s="1332"/>
      <c r="D182" s="321" t="str">
        <f>TONGHOPCONGDOI!C177</f>
        <v>Say</v>
      </c>
      <c r="E182" s="1243" t="s">
        <v>1713</v>
      </c>
      <c r="F182" s="1252"/>
      <c r="G182" s="1248">
        <f t="shared" ref="G182" si="36">F182*25000</f>
        <v>0</v>
      </c>
      <c r="H182" s="1248">
        <f>VLOOKUP(D182,'TRẠM 2'!$C$15:$Y$89,6,0)</f>
        <v>0</v>
      </c>
      <c r="I182" s="1248">
        <f>VLOOKUP(D182,'TRẠM 2'!$C$15:$Y$89,7,0)</f>
        <v>0</v>
      </c>
      <c r="J182" s="1248">
        <f>VLOOKUP(D182,'TRẠM 2'!$C$15:$Y$89,8,0)</f>
        <v>0</v>
      </c>
      <c r="K182" s="1840"/>
      <c r="L182" s="1840"/>
      <c r="M182" s="1996">
        <f>VLOOKUP(D182,'TRẠM 2'!$C$15:$Y$89,9,0)</f>
        <v>0</v>
      </c>
      <c r="N182" s="1248">
        <f>VLOOKUP(D182,'TRẠM 2'!$C$15:$Y$89,10,0)</f>
        <v>0</v>
      </c>
      <c r="O182" s="1248">
        <f>VLOOKUP(D182,'TRẠM 2'!$C$15:$Y$89,11,0)</f>
        <v>0</v>
      </c>
      <c r="P182" s="1248">
        <f>VLOOKUP(D182,'TRẠM 2'!$C$15:$Y$89,12,0)</f>
        <v>0</v>
      </c>
      <c r="Q182" s="1248">
        <f>VLOOKUP(D182,'TRẠM 2'!$C$15:$Y$89,13,0)</f>
        <v>0</v>
      </c>
      <c r="R182" s="1248">
        <f>VLOOKUP(D182,'TRẠM 2'!$C$15:$Y$89,14,0)</f>
        <v>0</v>
      </c>
      <c r="S182" s="1248">
        <f>VLOOKUP(D182,'TRẠM 2'!$C$15:$Y$89,15,0)</f>
        <v>0</v>
      </c>
      <c r="T182" s="1248"/>
      <c r="U182" s="1248"/>
      <c r="V182" s="1248">
        <f>VLOOKUP(D182,'TRẠM 2'!$C$15:$Y$89,18,0)</f>
        <v>0</v>
      </c>
      <c r="W182" s="1248"/>
      <c r="X182" s="1248"/>
      <c r="Y182" s="1248"/>
      <c r="Z182" s="1881">
        <f t="shared" si="29"/>
        <v>0</v>
      </c>
      <c r="AA182" s="1471">
        <f t="shared" ref="AA182" si="37">+N182+G182+Z182</f>
        <v>0</v>
      </c>
      <c r="AB182" s="1472"/>
      <c r="AC182" s="1420">
        <f t="shared" ref="AC182" si="38">AA182</f>
        <v>0</v>
      </c>
      <c r="AD182" s="593">
        <v>68</v>
      </c>
      <c r="AE182" s="1616"/>
    </row>
    <row r="183" spans="1:35" s="242" customFormat="1" ht="27.75" customHeight="1">
      <c r="A183" s="1282">
        <v>153</v>
      </c>
      <c r="B183" s="1245">
        <v>71</v>
      </c>
      <c r="C183" s="320"/>
      <c r="D183" s="321" t="str">
        <f>TONGHOPCONGDOI!C178</f>
        <v>Ủi</v>
      </c>
      <c r="E183" s="1243" t="s">
        <v>1713</v>
      </c>
      <c r="F183" s="1252"/>
      <c r="G183" s="1248">
        <f t="shared" si="26"/>
        <v>0</v>
      </c>
      <c r="H183" s="1248">
        <f>VLOOKUP(D183,'TRẠM 2'!$C$15:$Y$89,6,0)</f>
        <v>0</v>
      </c>
      <c r="I183" s="1248">
        <f>VLOOKUP(D183,'TRẠM 2'!$C$15:$Y$89,7,0)</f>
        <v>0</v>
      </c>
      <c r="J183" s="1248">
        <f>VLOOKUP(D183,'TRẠM 2'!$C$15:$Y$89,8,0)</f>
        <v>0</v>
      </c>
      <c r="K183" s="1840"/>
      <c r="L183" s="1840"/>
      <c r="M183" s="1996">
        <f>VLOOKUP(D183,'TRẠM 2'!$C$15:$Y$89,9,0)</f>
        <v>0</v>
      </c>
      <c r="N183" s="1248">
        <f>VLOOKUP(D183,'TRẠM 2'!$C$15:$Y$89,10,0)</f>
        <v>0</v>
      </c>
      <c r="O183" s="1248">
        <f>VLOOKUP(D183,'TRẠM 2'!$C$15:$Y$89,11,0)</f>
        <v>0</v>
      </c>
      <c r="P183" s="1248">
        <f>VLOOKUP(D183,'TRẠM 2'!$C$15:$Y$89,12,0)</f>
        <v>0</v>
      </c>
      <c r="Q183" s="1248">
        <f>VLOOKUP(D183,'TRẠM 2'!$C$15:$Y$89,13,0)</f>
        <v>0</v>
      </c>
      <c r="R183" s="1248">
        <f>VLOOKUP(D183,'TRẠM 2'!$C$15:$Y$89,14,0)</f>
        <v>0</v>
      </c>
      <c r="S183" s="1248">
        <f>VLOOKUP(D183,'TRẠM 2'!$C$15:$Y$89,15,0)</f>
        <v>0</v>
      </c>
      <c r="T183" s="1248"/>
      <c r="U183" s="1248"/>
      <c r="V183" s="1248">
        <f>VLOOKUP(D183,'TRẠM 2'!$C$15:$Y$89,18,0)</f>
        <v>0</v>
      </c>
      <c r="W183" s="1248"/>
      <c r="X183" s="1248"/>
      <c r="Y183" s="1248"/>
      <c r="Z183" s="1881">
        <f t="shared" si="29"/>
        <v>0</v>
      </c>
      <c r="AA183" s="1471">
        <f t="shared" ref="AA183:AA184" si="39">+N183+G183+Z183</f>
        <v>0</v>
      </c>
      <c r="AB183" s="1472"/>
      <c r="AC183" s="1420">
        <f t="shared" si="27"/>
        <v>0</v>
      </c>
      <c r="AD183" s="593">
        <v>69</v>
      </c>
      <c r="AE183" s="1616"/>
    </row>
    <row r="184" spans="1:35" s="242" customFormat="1" ht="27.75" customHeight="1">
      <c r="A184" s="1282">
        <v>154</v>
      </c>
      <c r="B184" s="1245">
        <v>72</v>
      </c>
      <c r="C184" s="320"/>
      <c r="D184" s="321" t="str">
        <f>TONGHOPCONGDOI!C179</f>
        <v>T Mon D4 (Tú)</v>
      </c>
      <c r="E184" s="1243" t="s">
        <v>1713</v>
      </c>
      <c r="F184" s="1252"/>
      <c r="G184" s="1248">
        <f t="shared" si="24"/>
        <v>0</v>
      </c>
      <c r="H184" s="1248">
        <f>VLOOKUP(D184,'TRẠM 2'!$C$15:$Y$89,6,0)</f>
        <v>0</v>
      </c>
      <c r="I184" s="1248">
        <f>VLOOKUP(D184,'TRẠM 2'!$C$15:$Y$89,7,0)</f>
        <v>0</v>
      </c>
      <c r="J184" s="1248">
        <f>VLOOKUP(D184,'TRẠM 2'!$C$15:$Y$89,8,0)</f>
        <v>0</v>
      </c>
      <c r="K184" s="1840"/>
      <c r="L184" s="1840"/>
      <c r="M184" s="1996">
        <f>VLOOKUP(D184,'TRẠM 2'!$C$15:$Y$89,9,0)</f>
        <v>0</v>
      </c>
      <c r="N184" s="1474">
        <f t="shared" ref="N184" si="40">ROUND((IF(M184="A",(J184*6.7),IF(M184="B",(J184*6.4),IF(M184="C",(J184*6.1),IF(M184="D",(J184*5.8),0))))*$F$8),0)</f>
        <v>0</v>
      </c>
      <c r="O184" s="1248">
        <f>VLOOKUP(D184,'TRẠM 2'!$C$15:$Y$89,11,0)</f>
        <v>0</v>
      </c>
      <c r="P184" s="1248">
        <f>VLOOKUP(D184,'TRẠM 2'!$C$15:$Y$89,12,0)</f>
        <v>0</v>
      </c>
      <c r="Q184" s="1248">
        <f>VLOOKUP(D184,'TRẠM 2'!$C$15:$Y$89,13,0)</f>
        <v>0</v>
      </c>
      <c r="R184" s="1248">
        <f>VLOOKUP(D184,'TRẠM 2'!$C$15:$Y$89,14,0)</f>
        <v>0</v>
      </c>
      <c r="S184" s="1248">
        <f>VLOOKUP(D184,'TRẠM 2'!$C$15:$Y$89,15,0)</f>
        <v>0</v>
      </c>
      <c r="T184" s="1248"/>
      <c r="U184" s="1248"/>
      <c r="V184" s="1248">
        <f>VLOOKUP(D184,'TRẠM 2'!$C$15:$Y$89,18,0)</f>
        <v>0</v>
      </c>
      <c r="W184" s="1248"/>
      <c r="X184" s="1248"/>
      <c r="Y184" s="1248"/>
      <c r="Z184" s="1881">
        <f t="shared" si="29"/>
        <v>0</v>
      </c>
      <c r="AA184" s="1471">
        <f t="shared" si="39"/>
        <v>0</v>
      </c>
      <c r="AB184" s="1472"/>
      <c r="AC184" s="1420">
        <f t="shared" si="27"/>
        <v>0</v>
      </c>
      <c r="AD184" s="593">
        <v>70</v>
      </c>
      <c r="AE184" s="1617"/>
      <c r="AF184" s="1614"/>
    </row>
    <row r="185" spans="1:35" s="243" customFormat="1" ht="27.75" customHeight="1">
      <c r="A185" s="2963" t="s">
        <v>2241</v>
      </c>
      <c r="B185" s="2964"/>
      <c r="C185" s="2964"/>
      <c r="D185" s="2964"/>
      <c r="E185" s="2965"/>
      <c r="F185" s="1380"/>
      <c r="G185" s="1377">
        <f t="shared" ref="F185:Q185" si="41">SUM(G109,G15)</f>
        <v>0</v>
      </c>
      <c r="H185" s="1377">
        <f t="shared" si="41"/>
        <v>516429</v>
      </c>
      <c r="I185" s="1377">
        <f t="shared" si="41"/>
        <v>1700</v>
      </c>
      <c r="J185" s="1377">
        <f t="shared" si="41"/>
        <v>222218.60900000005</v>
      </c>
      <c r="K185" s="1880"/>
      <c r="L185" s="1880"/>
      <c r="M185" s="1377">
        <f t="shared" si="41"/>
        <v>0</v>
      </c>
      <c r="N185" s="1377">
        <f t="shared" si="41"/>
        <v>883639293.00699997</v>
      </c>
      <c r="O185" s="1377">
        <f t="shared" si="41"/>
        <v>3192</v>
      </c>
      <c r="P185" s="1377">
        <f t="shared" si="41"/>
        <v>1215654</v>
      </c>
      <c r="Q185" s="1377">
        <f t="shared" si="41"/>
        <v>230</v>
      </c>
      <c r="R185" s="1880"/>
      <c r="S185" s="1377">
        <f t="shared" ref="S185:AC185" si="42">SUM(S109,S15)</f>
        <v>230</v>
      </c>
      <c r="T185" s="1377" t="e">
        <f t="shared" si="42"/>
        <v>#N/A</v>
      </c>
      <c r="U185" s="1377" t="e">
        <f t="shared" si="42"/>
        <v>#N/A</v>
      </c>
      <c r="V185" s="1377">
        <f t="shared" si="42"/>
        <v>1417</v>
      </c>
      <c r="W185" s="1377">
        <f t="shared" si="42"/>
        <v>0</v>
      </c>
      <c r="X185" s="1377">
        <f t="shared" si="42"/>
        <v>0</v>
      </c>
      <c r="Y185" s="1377">
        <f t="shared" si="42"/>
        <v>0</v>
      </c>
      <c r="Z185" s="1382" t="e">
        <f t="shared" si="42"/>
        <v>#VALUE!</v>
      </c>
      <c r="AA185" s="1382" t="e">
        <f t="shared" si="42"/>
        <v>#VALUE!</v>
      </c>
      <c r="AB185" s="1383">
        <f t="shared" si="42"/>
        <v>0</v>
      </c>
      <c r="AC185" s="1382" t="e">
        <f t="shared" si="42"/>
        <v>#VALUE!</v>
      </c>
      <c r="AE185" s="1618">
        <f>+'TRẠM 1'!AA108+'TRẠM 2'!AA90</f>
        <v>1074743947</v>
      </c>
      <c r="AF185" s="1615">
        <f>+'[6]LƯƠNG KT'!$W$186</f>
        <v>732310952</v>
      </c>
    </row>
    <row r="186" spans="1:35" s="243" customFormat="1" ht="27.75" customHeight="1">
      <c r="A186" s="2765" t="s">
        <v>3320</v>
      </c>
      <c r="B186" s="2765"/>
      <c r="C186" s="2765"/>
      <c r="D186" s="2765"/>
      <c r="E186" s="2765"/>
      <c r="F186" s="2765"/>
      <c r="G186" s="2765"/>
      <c r="H186" s="2765"/>
      <c r="I186" s="2765"/>
      <c r="J186" s="2765"/>
      <c r="K186" s="2765"/>
      <c r="L186" s="2765"/>
      <c r="M186" s="2765"/>
      <c r="N186" s="2765"/>
      <c r="O186" s="2765"/>
      <c r="P186" s="2765"/>
      <c r="Q186" s="2765"/>
      <c r="R186" s="2765"/>
      <c r="S186" s="2765"/>
      <c r="T186" s="2765"/>
      <c r="U186" s="2765"/>
      <c r="V186" s="2765"/>
      <c r="W186" s="2765"/>
      <c r="X186" s="2765"/>
      <c r="Y186" s="2765"/>
      <c r="Z186" s="2765"/>
      <c r="AA186" s="2765"/>
      <c r="AB186" s="2765"/>
      <c r="AC186" s="2765"/>
      <c r="AE186" s="1618">
        <v>5022190</v>
      </c>
      <c r="AF186" s="1615" t="e">
        <f>+AC185-AF185</f>
        <v>#VALUE!</v>
      </c>
    </row>
    <row r="187" spans="1:35" s="313" customFormat="1" ht="24" customHeight="1">
      <c r="A187" s="325"/>
      <c r="B187" s="325"/>
      <c r="C187" s="325"/>
      <c r="D187" s="326"/>
      <c r="F187" s="1275"/>
      <c r="G187" s="1255"/>
      <c r="H187" s="1255"/>
      <c r="I187" s="1256"/>
      <c r="J187" s="1256"/>
      <c r="K187" s="1256"/>
      <c r="L187" s="1256"/>
      <c r="M187" s="1257"/>
      <c r="N187" s="1255"/>
      <c r="O187" s="1629"/>
      <c r="P187" s="1629"/>
      <c r="Q187" s="1629"/>
      <c r="R187" s="1629"/>
      <c r="S187" s="1629"/>
      <c r="T187" s="1629"/>
      <c r="U187" s="1259"/>
      <c r="V187" s="2619" t="s">
        <v>3392</v>
      </c>
      <c r="W187" s="2619"/>
      <c r="X187" s="2619"/>
      <c r="Y187" s="2619"/>
      <c r="Z187" s="2619"/>
      <c r="AA187" s="2619"/>
      <c r="AB187" s="2619"/>
      <c r="AC187" s="2619"/>
      <c r="AE187" s="1619">
        <v>24890323</v>
      </c>
      <c r="AF187" s="1275"/>
    </row>
    <row r="188" spans="1:35" s="312" customFormat="1" ht="27.75" customHeight="1">
      <c r="A188" s="2610" t="s">
        <v>3273</v>
      </c>
      <c r="B188" s="2610"/>
      <c r="C188" s="2610"/>
      <c r="D188" s="2610"/>
      <c r="E188" s="2610"/>
      <c r="F188" s="2610"/>
      <c r="G188" s="2610"/>
      <c r="H188" s="2610"/>
      <c r="I188" s="2610"/>
      <c r="J188" s="2610"/>
      <c r="K188" s="2610"/>
      <c r="L188" s="2610"/>
      <c r="M188" s="2610"/>
      <c r="N188" s="2610"/>
      <c r="O188" s="2610"/>
      <c r="P188" s="2610"/>
      <c r="Q188" s="2610"/>
      <c r="R188" s="2610"/>
      <c r="S188" s="2610"/>
      <c r="T188" s="2610"/>
      <c r="U188" s="2610"/>
      <c r="V188" s="2610"/>
      <c r="W188" s="2610"/>
      <c r="X188" s="2610"/>
      <c r="Y188" s="2610"/>
      <c r="Z188" s="2610"/>
      <c r="AA188" s="2610"/>
      <c r="AB188" s="2610"/>
      <c r="AC188" s="2610"/>
      <c r="AE188" s="1303"/>
      <c r="AF188" s="1304"/>
      <c r="AG188" s="313"/>
      <c r="AH188" s="313"/>
      <c r="AI188" s="338"/>
    </row>
    <row r="189" spans="1:35" s="313" customFormat="1" ht="16.5">
      <c r="A189" s="325"/>
      <c r="E189" s="1261"/>
      <c r="F189" s="1261"/>
      <c r="G189" s="1262"/>
      <c r="H189" s="1263"/>
      <c r="I189" s="1264"/>
      <c r="J189" s="1264"/>
      <c r="K189" s="1264"/>
      <c r="L189" s="1264"/>
      <c r="M189" s="339"/>
      <c r="N189" s="339"/>
      <c r="O189" s="339"/>
      <c r="S189" s="340"/>
      <c r="T189" s="340"/>
      <c r="U189" s="340"/>
      <c r="V189" s="340"/>
      <c r="W189" s="340"/>
      <c r="X189" s="340"/>
      <c r="Y189" s="340"/>
      <c r="Z189" s="1265"/>
      <c r="AA189" s="338"/>
      <c r="AB189" s="338"/>
      <c r="AC189" s="1266"/>
      <c r="AE189" s="1619"/>
      <c r="AF189" s="1275"/>
    </row>
    <row r="190" spans="1:35" s="313" customFormat="1" ht="16.5">
      <c r="A190" s="325"/>
      <c r="E190" s="1261"/>
      <c r="F190" s="1261"/>
      <c r="G190" s="1262"/>
      <c r="H190" s="1263"/>
      <c r="I190" s="1264"/>
      <c r="J190" s="1264"/>
      <c r="K190" s="1264"/>
      <c r="L190" s="1264"/>
      <c r="M190" s="339"/>
      <c r="N190" s="2960"/>
      <c r="O190" s="2960"/>
      <c r="P190" s="2960"/>
      <c r="Q190" s="2960"/>
      <c r="R190" s="2960"/>
      <c r="S190" s="2960"/>
      <c r="T190" s="340"/>
      <c r="U190" s="340"/>
      <c r="V190" s="340"/>
      <c r="W190" s="340"/>
      <c r="X190" s="340"/>
      <c r="Y190" s="340"/>
      <c r="Z190" s="1268"/>
      <c r="AA190" s="338"/>
      <c r="AB190" s="338"/>
      <c r="AE190" s="1619"/>
      <c r="AF190" s="1275"/>
    </row>
    <row r="191" spans="1:35" s="313" customFormat="1" ht="60.75" customHeight="1">
      <c r="A191" s="325"/>
      <c r="E191" s="338"/>
      <c r="F191" s="1275"/>
      <c r="G191" s="1262"/>
      <c r="H191" s="2714"/>
      <c r="I191" s="2714"/>
      <c r="J191" s="2714"/>
      <c r="K191" s="2262"/>
      <c r="L191" s="2262"/>
      <c r="M191" s="2960"/>
      <c r="N191" s="2960"/>
      <c r="P191" s="1266"/>
      <c r="Q191" s="1266"/>
      <c r="R191" s="1266"/>
      <c r="S191" s="1266"/>
      <c r="T191" s="1266"/>
      <c r="U191" s="1266"/>
      <c r="V191" s="1266"/>
      <c r="W191" s="1266"/>
      <c r="X191" s="1266"/>
      <c r="Y191" s="1266"/>
      <c r="Z191" s="1266"/>
      <c r="AA191" s="2712"/>
      <c r="AB191" s="2712"/>
      <c r="AC191" s="2712"/>
    </row>
    <row r="192" spans="1:35" s="53" customFormat="1" ht="17.25" customHeight="1">
      <c r="A192" s="92"/>
      <c r="B192" s="2801"/>
      <c r="C192" s="2801"/>
      <c r="D192" s="2801"/>
      <c r="E192" s="2801"/>
      <c r="F192" s="2801"/>
      <c r="G192" s="312" t="s">
        <v>2242</v>
      </c>
      <c r="H192" s="313"/>
      <c r="I192" s="2958"/>
      <c r="J192" s="2958"/>
      <c r="K192" s="2958"/>
      <c r="L192" s="2958"/>
      <c r="M192" s="2958"/>
      <c r="N192" s="2958"/>
      <c r="O192" s="339"/>
      <c r="P192" s="1269"/>
      <c r="Q192" s="1269"/>
      <c r="R192" s="1269"/>
      <c r="S192" s="1270"/>
      <c r="T192" s="1270"/>
      <c r="U192" s="1271"/>
      <c r="V192" s="313"/>
      <c r="W192" s="1271"/>
      <c r="X192" s="1271"/>
      <c r="Y192" s="313"/>
      <c r="Z192" s="1271"/>
      <c r="AA192" s="2961"/>
      <c r="AB192" s="2961"/>
      <c r="AC192" s="2961"/>
    </row>
    <row r="193" spans="1:29" s="53" customFormat="1" ht="13.15" customHeight="1">
      <c r="A193" s="92"/>
      <c r="B193" s="313"/>
      <c r="C193" s="313"/>
      <c r="D193" s="1267"/>
      <c r="E193" s="1267"/>
      <c r="F193" s="1279"/>
      <c r="G193" s="2959"/>
      <c r="H193" s="2959"/>
      <c r="I193" s="2959"/>
      <c r="J193" s="2959"/>
      <c r="K193" s="2263"/>
      <c r="L193" s="2263"/>
      <c r="M193" s="1267"/>
      <c r="N193" s="1267"/>
      <c r="O193" s="339"/>
      <c r="P193" s="313"/>
      <c r="Q193" s="313"/>
      <c r="R193" s="313"/>
      <c r="S193" s="340"/>
      <c r="T193" s="340"/>
      <c r="U193" s="340"/>
      <c r="V193" s="340"/>
      <c r="W193" s="340"/>
      <c r="X193" s="340"/>
      <c r="Y193" s="340"/>
      <c r="Z193" s="1265"/>
      <c r="AA193" s="338"/>
      <c r="AB193" s="338"/>
      <c r="AC193" s="325"/>
    </row>
    <row r="194" spans="1:29" s="53" customFormat="1" ht="16.5">
      <c r="A194" s="92"/>
      <c r="B194" s="313"/>
      <c r="C194" s="313"/>
      <c r="D194" s="1272"/>
      <c r="E194" s="313"/>
      <c r="F194" s="1261"/>
      <c r="G194" s="2959"/>
      <c r="H194" s="2959"/>
      <c r="I194" s="2959"/>
      <c r="J194" s="2959"/>
      <c r="K194" s="2263"/>
      <c r="L194" s="2263"/>
      <c r="M194" s="1264"/>
      <c r="N194" s="1273"/>
      <c r="O194" s="339"/>
      <c r="P194" s="339"/>
      <c r="Q194" s="339"/>
      <c r="R194" s="339"/>
      <c r="S194" s="340"/>
      <c r="T194" s="340"/>
      <c r="U194" s="340"/>
      <c r="V194" s="340"/>
      <c r="W194" s="340"/>
      <c r="X194" s="340"/>
      <c r="Y194" s="340"/>
      <c r="Z194" s="1265"/>
      <c r="AA194" s="338"/>
      <c r="AB194" s="338"/>
      <c r="AC194" s="1264"/>
    </row>
    <row r="195" spans="1:29" s="53" customFormat="1" ht="16.5">
      <c r="A195" s="92"/>
      <c r="B195" s="313"/>
      <c r="C195" s="313"/>
      <c r="D195" s="313"/>
      <c r="E195" s="313"/>
      <c r="F195" s="1280"/>
      <c r="G195" s="2959"/>
      <c r="H195" s="2959"/>
      <c r="I195" s="2959"/>
      <c r="J195" s="2959"/>
      <c r="K195" s="2263"/>
      <c r="L195" s="2263"/>
      <c r="M195" s="339"/>
      <c r="N195" s="1274"/>
      <c r="O195" s="1274"/>
      <c r="P195" s="1274"/>
      <c r="Q195" s="1274"/>
      <c r="R195" s="1274"/>
      <c r="S195" s="1274"/>
      <c r="T195" s="1274"/>
      <c r="U195" s="1274"/>
      <c r="V195" s="1274"/>
      <c r="W195" s="1274"/>
      <c r="X195" s="1274"/>
      <c r="Y195" s="1274"/>
      <c r="Z195" s="1265"/>
      <c r="AA195" s="338"/>
      <c r="AB195" s="338"/>
      <c r="AC195" s="313"/>
    </row>
    <row r="196" spans="1:29" s="53" customFormat="1" ht="16.5">
      <c r="A196" s="92"/>
      <c r="B196" s="313"/>
      <c r="C196" s="313"/>
      <c r="D196" s="338"/>
      <c r="E196" s="313"/>
      <c r="F196" s="1280"/>
      <c r="G196" s="2959"/>
      <c r="H196" s="2959"/>
      <c r="I196" s="2959"/>
      <c r="J196" s="2959"/>
      <c r="K196" s="2263"/>
      <c r="L196" s="2263"/>
      <c r="M196" s="339"/>
      <c r="N196" s="1274"/>
      <c r="O196" s="1274"/>
      <c r="P196" s="1274"/>
      <c r="Q196" s="1274"/>
      <c r="R196" s="1274"/>
      <c r="S196" s="1274"/>
      <c r="T196" s="1274"/>
      <c r="U196" s="1274"/>
      <c r="V196" s="1274"/>
      <c r="W196" s="1274"/>
      <c r="X196" s="1274"/>
      <c r="Y196" s="1274"/>
      <c r="Z196" s="1270"/>
      <c r="AA196" s="338"/>
      <c r="AB196" s="338"/>
      <c r="AC196" s="313"/>
    </row>
    <row r="197" spans="1:29" s="53" customFormat="1" ht="16.5">
      <c r="A197" s="92"/>
      <c r="B197" s="313"/>
      <c r="C197" s="313"/>
      <c r="D197" s="313"/>
      <c r="E197" s="313"/>
      <c r="F197" s="1280"/>
      <c r="G197" s="2959"/>
      <c r="H197" s="2959"/>
      <c r="I197" s="2959"/>
      <c r="J197" s="2959"/>
      <c r="K197" s="2263"/>
      <c r="L197" s="2263"/>
      <c r="M197" s="339"/>
      <c r="N197" s="339"/>
      <c r="O197" s="339"/>
      <c r="P197" s="338"/>
      <c r="Q197" s="338"/>
      <c r="R197" s="338"/>
      <c r="S197" s="340"/>
      <c r="T197" s="340"/>
      <c r="U197" s="340"/>
      <c r="V197" s="340"/>
      <c r="W197" s="340"/>
      <c r="X197" s="340"/>
      <c r="Y197" s="340"/>
      <c r="Z197" s="1268"/>
      <c r="AA197" s="338"/>
      <c r="AB197" s="338"/>
      <c r="AC197" s="313"/>
    </row>
    <row r="198" spans="1:29" s="53" customFormat="1" ht="16.5">
      <c r="A198" s="92"/>
      <c r="B198" s="313"/>
      <c r="C198" s="313"/>
      <c r="D198" s="313"/>
      <c r="E198" s="313"/>
      <c r="F198" s="1280"/>
      <c r="G198" s="2959">
        <f t="shared" ref="G198" si="43">+F191*25000</f>
        <v>0</v>
      </c>
      <c r="H198" s="2959"/>
      <c r="I198" s="2959"/>
      <c r="J198" s="2959"/>
      <c r="K198" s="2263"/>
      <c r="L198" s="2263"/>
      <c r="M198" s="339"/>
      <c r="N198" s="339"/>
      <c r="O198" s="339"/>
      <c r="P198" s="338"/>
      <c r="Q198" s="338"/>
      <c r="R198" s="338"/>
      <c r="S198" s="340"/>
      <c r="T198" s="340"/>
      <c r="U198" s="340"/>
      <c r="V198" s="340"/>
      <c r="W198" s="340"/>
      <c r="X198" s="340"/>
      <c r="Y198" s="340"/>
      <c r="Z198" s="1265"/>
      <c r="AA198" s="338"/>
      <c r="AB198" s="338"/>
      <c r="AC198" s="313"/>
    </row>
    <row r="199" spans="1:29" s="53" customFormat="1" ht="16.5">
      <c r="A199" s="92"/>
      <c r="B199" s="313"/>
      <c r="C199" s="313"/>
      <c r="D199" s="313"/>
      <c r="E199" s="313"/>
      <c r="F199" s="1280"/>
      <c r="G199" s="1262"/>
      <c r="H199" s="1275"/>
      <c r="I199" s="1256"/>
      <c r="J199" s="1256"/>
      <c r="K199" s="1256"/>
      <c r="L199" s="1256"/>
      <c r="M199" s="339"/>
      <c r="N199" s="339"/>
      <c r="O199" s="339"/>
      <c r="P199" s="313"/>
      <c r="Q199" s="313"/>
      <c r="R199" s="313"/>
      <c r="S199" s="340"/>
      <c r="T199" s="340"/>
      <c r="U199" s="340"/>
      <c r="V199" s="340"/>
      <c r="W199" s="340"/>
      <c r="X199" s="340"/>
      <c r="Y199" s="340"/>
      <c r="Z199" s="1265"/>
      <c r="AA199" s="1264"/>
      <c r="AB199" s="338"/>
      <c r="AC199" s="313"/>
    </row>
    <row r="200" spans="1:29" s="53" customFormat="1" ht="16.5">
      <c r="A200" s="92"/>
      <c r="B200" s="313"/>
      <c r="C200" s="313"/>
      <c r="D200" s="340"/>
      <c r="E200" s="313"/>
      <c r="F200" s="1280"/>
      <c r="G200" s="1262"/>
      <c r="H200" s="1263"/>
      <c r="I200" s="1264"/>
      <c r="J200" s="1264"/>
      <c r="K200" s="1264"/>
      <c r="L200" s="1264"/>
      <c r="M200" s="339"/>
      <c r="N200" s="339"/>
      <c r="O200" s="339"/>
      <c r="P200" s="313"/>
      <c r="Q200" s="313"/>
      <c r="R200" s="313"/>
      <c r="S200" s="340"/>
      <c r="T200" s="340"/>
      <c r="U200" s="340"/>
      <c r="V200" s="340"/>
      <c r="W200" s="340"/>
      <c r="X200" s="340"/>
      <c r="Y200" s="340"/>
      <c r="Z200" s="1265"/>
      <c r="AA200" s="338"/>
      <c r="AB200" s="338"/>
      <c r="AC200" s="313"/>
    </row>
    <row r="201" spans="1:29" s="53" customFormat="1" ht="16.5">
      <c r="A201" s="92"/>
      <c r="B201" s="313"/>
      <c r="C201" s="313"/>
      <c r="D201" s="313"/>
      <c r="E201" s="313"/>
      <c r="F201" s="1275"/>
      <c r="G201" s="1262"/>
      <c r="H201" s="1263"/>
      <c r="I201" s="1264"/>
      <c r="J201" s="1264"/>
      <c r="K201" s="1264"/>
      <c r="L201" s="1264"/>
      <c r="M201" s="339"/>
      <c r="N201" s="339"/>
      <c r="O201" s="339"/>
      <c r="P201" s="1275"/>
      <c r="Q201" s="1275"/>
      <c r="R201" s="1275"/>
      <c r="S201" s="1276"/>
      <c r="T201" s="1276"/>
      <c r="U201" s="1276"/>
      <c r="V201" s="1276"/>
      <c r="W201" s="1276"/>
      <c r="X201" s="1276"/>
      <c r="Y201" s="1276"/>
      <c r="Z201" s="1265"/>
      <c r="AA201" s="338"/>
      <c r="AB201" s="338"/>
      <c r="AC201" s="313"/>
    </row>
    <row r="202" spans="1:29" s="53" customFormat="1" ht="16.5">
      <c r="A202" s="92"/>
      <c r="B202" s="313"/>
      <c r="C202" s="313"/>
      <c r="D202" s="313"/>
      <c r="E202" s="313"/>
      <c r="F202" s="1275"/>
      <c r="G202" s="1262"/>
      <c r="H202" s="1263"/>
      <c r="I202" s="1264"/>
      <c r="J202" s="1264"/>
      <c r="K202" s="1264"/>
      <c r="L202" s="1264"/>
      <c r="M202" s="339"/>
      <c r="N202" s="339"/>
      <c r="O202" s="339"/>
      <c r="P202" s="1277"/>
      <c r="Q202" s="1277"/>
      <c r="R202" s="1277"/>
      <c r="S202" s="340"/>
      <c r="T202" s="340"/>
      <c r="U202" s="340"/>
      <c r="V202" s="340"/>
      <c r="W202" s="340"/>
      <c r="X202" s="340"/>
      <c r="Y202" s="340"/>
      <c r="Z202" s="1265"/>
      <c r="AA202" s="338"/>
      <c r="AB202" s="338"/>
      <c r="AC202" s="313"/>
    </row>
    <row r="203" spans="1:29" s="53" customFormat="1" ht="16.5">
      <c r="A203" s="92"/>
      <c r="B203" s="313"/>
      <c r="C203" s="313"/>
      <c r="D203" s="313"/>
      <c r="E203" s="313"/>
      <c r="F203" s="1275"/>
      <c r="G203" s="1262"/>
      <c r="H203" s="1263"/>
      <c r="I203" s="1264"/>
      <c r="J203" s="1264"/>
      <c r="K203" s="1264"/>
      <c r="L203" s="1264"/>
      <c r="M203" s="339"/>
      <c r="N203" s="339"/>
      <c r="O203" s="339"/>
      <c r="P203" s="313"/>
      <c r="Q203" s="313"/>
      <c r="R203" s="313"/>
      <c r="S203" s="340"/>
      <c r="T203" s="340"/>
      <c r="U203" s="340"/>
      <c r="V203" s="340"/>
      <c r="W203" s="340"/>
      <c r="X203" s="340"/>
      <c r="Y203" s="340"/>
      <c r="Z203" s="1265"/>
      <c r="AA203" s="338"/>
      <c r="AB203" s="338"/>
      <c r="AC203" s="313"/>
    </row>
    <row r="204" spans="1:29" s="53" customFormat="1" ht="16.5">
      <c r="A204" s="92"/>
      <c r="B204" s="313"/>
      <c r="C204" s="313"/>
      <c r="D204" s="313"/>
      <c r="E204" s="313"/>
      <c r="F204" s="1275"/>
      <c r="G204" s="1262"/>
      <c r="H204" s="1263"/>
      <c r="I204" s="1264"/>
      <c r="J204" s="1264"/>
      <c r="K204" s="1264"/>
      <c r="L204" s="1264"/>
      <c r="M204" s="339"/>
      <c r="N204" s="339"/>
      <c r="O204" s="339"/>
      <c r="P204" s="313"/>
      <c r="Q204" s="313"/>
      <c r="R204" s="313"/>
      <c r="S204" s="340"/>
      <c r="T204" s="340"/>
      <c r="U204" s="340"/>
      <c r="V204" s="340"/>
      <c r="W204" s="340"/>
      <c r="X204" s="340"/>
      <c r="Y204" s="340"/>
      <c r="Z204" s="1265"/>
      <c r="AA204" s="338"/>
      <c r="AB204" s="338"/>
      <c r="AC204" s="313"/>
    </row>
    <row r="205" spans="1:29" s="53" customFormat="1" ht="16.5">
      <c r="A205" s="92"/>
      <c r="B205" s="313"/>
      <c r="C205" s="313"/>
      <c r="D205" s="313"/>
      <c r="E205" s="313"/>
      <c r="F205" s="1275"/>
      <c r="G205" s="1262"/>
      <c r="H205" s="1263"/>
      <c r="I205" s="1264"/>
      <c r="J205" s="1264"/>
      <c r="K205" s="1264"/>
      <c r="L205" s="1264"/>
      <c r="M205" s="339"/>
      <c r="N205" s="339"/>
      <c r="O205" s="339"/>
      <c r="P205" s="313"/>
      <c r="Q205" s="313"/>
      <c r="R205" s="313"/>
      <c r="S205" s="340"/>
      <c r="T205" s="340"/>
      <c r="U205" s="340"/>
      <c r="V205" s="340"/>
      <c r="W205" s="340"/>
      <c r="X205" s="340"/>
      <c r="Y205" s="340"/>
      <c r="Z205" s="1265"/>
      <c r="AA205" s="338"/>
      <c r="AB205" s="338"/>
      <c r="AC205" s="313"/>
    </row>
    <row r="206" spans="1:29" s="53" customFormat="1" ht="16.5">
      <c r="A206" s="92"/>
      <c r="B206" s="313"/>
      <c r="C206" s="313"/>
      <c r="D206" s="313"/>
      <c r="E206" s="313"/>
      <c r="F206" s="1275"/>
      <c r="G206" s="1262"/>
      <c r="H206" s="1263"/>
      <c r="I206" s="1264"/>
      <c r="J206" s="1264"/>
      <c r="K206" s="1264"/>
      <c r="L206" s="1264"/>
      <c r="M206" s="339"/>
      <c r="N206" s="339"/>
      <c r="O206" s="339"/>
      <c r="P206" s="313"/>
      <c r="Q206" s="313"/>
      <c r="R206" s="313"/>
      <c r="S206" s="340"/>
      <c r="T206" s="340"/>
      <c r="U206" s="340"/>
      <c r="V206" s="340"/>
      <c r="W206" s="340"/>
      <c r="X206" s="340"/>
      <c r="Y206" s="340"/>
      <c r="Z206" s="1265"/>
      <c r="AA206" s="338"/>
      <c r="AB206" s="338"/>
      <c r="AC206" s="313"/>
    </row>
    <row r="207" spans="1:29" s="53" customFormat="1" ht="16.5">
      <c r="A207" s="92"/>
      <c r="B207" s="313"/>
      <c r="C207" s="313"/>
      <c r="D207" s="313"/>
      <c r="E207" s="313"/>
      <c r="F207" s="1275"/>
      <c r="G207" s="1262"/>
      <c r="H207" s="1263"/>
      <c r="I207" s="1264"/>
      <c r="J207" s="1264"/>
      <c r="K207" s="1264"/>
      <c r="L207" s="1264"/>
      <c r="M207" s="339"/>
      <c r="N207" s="339"/>
      <c r="O207" s="339"/>
      <c r="P207" s="313"/>
      <c r="Q207" s="313"/>
      <c r="R207" s="313"/>
      <c r="S207" s="340"/>
      <c r="T207" s="340"/>
      <c r="U207" s="340"/>
      <c r="V207" s="340"/>
      <c r="W207" s="340"/>
      <c r="X207" s="340"/>
      <c r="Y207" s="340"/>
      <c r="Z207" s="1265"/>
      <c r="AA207" s="338"/>
      <c r="AB207" s="338"/>
      <c r="AC207" s="313"/>
    </row>
    <row r="208" spans="1:29" s="53" customFormat="1" ht="16.5">
      <c r="A208" s="92"/>
      <c r="B208" s="313"/>
      <c r="C208" s="313"/>
      <c r="D208" s="313"/>
      <c r="E208" s="313"/>
      <c r="F208" s="1275"/>
      <c r="G208" s="1262"/>
      <c r="H208" s="1263"/>
      <c r="I208" s="1264"/>
      <c r="J208" s="1264"/>
      <c r="K208" s="1264"/>
      <c r="L208" s="1264"/>
      <c r="M208" s="339"/>
      <c r="N208" s="339"/>
      <c r="O208" s="339"/>
      <c r="P208" s="313"/>
      <c r="Q208" s="313"/>
      <c r="R208" s="313"/>
      <c r="S208" s="340"/>
      <c r="T208" s="340"/>
      <c r="U208" s="340"/>
      <c r="V208" s="340"/>
      <c r="W208" s="340"/>
      <c r="X208" s="340"/>
      <c r="Y208" s="340"/>
      <c r="Z208" s="1265"/>
      <c r="AA208" s="338"/>
      <c r="AB208" s="338"/>
      <c r="AC208" s="313"/>
    </row>
    <row r="209" spans="1:29" s="53" customFormat="1" ht="16.5">
      <c r="A209" s="92"/>
      <c r="B209" s="313"/>
      <c r="C209" s="313"/>
      <c r="D209" s="313"/>
      <c r="E209" s="313"/>
      <c r="F209" s="1275"/>
      <c r="G209" s="1262"/>
      <c r="H209" s="1263"/>
      <c r="I209" s="1264"/>
      <c r="J209" s="1264"/>
      <c r="K209" s="1264"/>
      <c r="L209" s="1264"/>
      <c r="M209" s="339"/>
      <c r="N209" s="339"/>
      <c r="O209" s="339"/>
      <c r="P209" s="313"/>
      <c r="Q209" s="313"/>
      <c r="R209" s="313"/>
      <c r="S209" s="340"/>
      <c r="T209" s="340"/>
      <c r="U209" s="340"/>
      <c r="V209" s="340"/>
      <c r="W209" s="340"/>
      <c r="X209" s="340"/>
      <c r="Y209" s="340"/>
      <c r="Z209" s="1265"/>
      <c r="AA209" s="338"/>
      <c r="AB209" s="338"/>
      <c r="AC209" s="313"/>
    </row>
    <row r="210" spans="1:29" s="53" customFormat="1" ht="16.5">
      <c r="A210" s="92"/>
      <c r="B210" s="313"/>
      <c r="C210" s="313"/>
      <c r="D210" s="313"/>
      <c r="E210" s="313"/>
      <c r="F210" s="1275"/>
      <c r="G210" s="1262"/>
      <c r="H210" s="1263"/>
      <c r="I210" s="1264"/>
      <c r="J210" s="1264"/>
      <c r="K210" s="1264"/>
      <c r="L210" s="1264"/>
      <c r="M210" s="339"/>
      <c r="N210" s="339"/>
      <c r="O210" s="339"/>
      <c r="P210" s="313"/>
      <c r="Q210" s="313"/>
      <c r="R210" s="313"/>
      <c r="S210" s="340"/>
      <c r="T210" s="340"/>
      <c r="U210" s="340"/>
      <c r="V210" s="340"/>
      <c r="W210" s="340"/>
      <c r="X210" s="340"/>
      <c r="Y210" s="340"/>
      <c r="Z210" s="1265"/>
      <c r="AA210" s="338"/>
      <c r="AB210" s="338"/>
      <c r="AC210" s="313"/>
    </row>
    <row r="211" spans="1:29" s="53" customFormat="1" ht="16.5">
      <c r="A211" s="92"/>
      <c r="B211" s="313"/>
      <c r="C211" s="313"/>
      <c r="D211" s="313"/>
      <c r="E211" s="313"/>
      <c r="F211" s="1275"/>
      <c r="G211" s="1262"/>
      <c r="H211" s="1263"/>
      <c r="I211" s="1264"/>
      <c r="J211" s="1264"/>
      <c r="K211" s="1264"/>
      <c r="L211" s="1264"/>
      <c r="M211" s="339"/>
      <c r="N211" s="339"/>
      <c r="O211" s="339"/>
      <c r="P211" s="313"/>
      <c r="Q211" s="313"/>
      <c r="R211" s="313"/>
      <c r="S211" s="340"/>
      <c r="T211" s="340"/>
      <c r="U211" s="340"/>
      <c r="V211" s="340"/>
      <c r="W211" s="340"/>
      <c r="X211" s="340"/>
      <c r="Y211" s="340"/>
      <c r="Z211" s="1265"/>
      <c r="AA211" s="338"/>
      <c r="AB211" s="338"/>
      <c r="AC211" s="313"/>
    </row>
    <row r="212" spans="1:29" s="53" customFormat="1" ht="16.5">
      <c r="A212" s="92"/>
      <c r="B212" s="313"/>
      <c r="C212" s="313"/>
      <c r="D212" s="313"/>
      <c r="E212" s="313"/>
      <c r="F212" s="1275"/>
      <c r="G212" s="1262"/>
      <c r="H212" s="1263"/>
      <c r="I212" s="1264"/>
      <c r="J212" s="1264"/>
      <c r="K212" s="1264"/>
      <c r="L212" s="1264"/>
      <c r="M212" s="339"/>
      <c r="N212" s="339"/>
      <c r="O212" s="339"/>
      <c r="P212" s="313"/>
      <c r="Q212" s="313"/>
      <c r="R212" s="313"/>
      <c r="S212" s="340"/>
      <c r="T212" s="340"/>
      <c r="U212" s="340"/>
      <c r="V212" s="340"/>
      <c r="W212" s="340"/>
      <c r="X212" s="340"/>
      <c r="Y212" s="340"/>
      <c r="Z212" s="1265"/>
      <c r="AA212" s="338"/>
      <c r="AB212" s="338"/>
      <c r="AC212" s="313"/>
    </row>
    <row r="213" spans="1:29" s="53" customFormat="1" ht="16.5">
      <c r="A213" s="92"/>
      <c r="B213" s="313"/>
      <c r="C213" s="313"/>
      <c r="D213" s="313"/>
      <c r="E213" s="313"/>
      <c r="F213" s="1275"/>
      <c r="G213" s="1262"/>
      <c r="H213" s="1263"/>
      <c r="I213" s="1264"/>
      <c r="J213" s="1264"/>
      <c r="K213" s="1264"/>
      <c r="L213" s="1264"/>
      <c r="M213" s="339"/>
      <c r="N213" s="339"/>
      <c r="O213" s="339"/>
      <c r="P213" s="313"/>
      <c r="Q213" s="313"/>
      <c r="R213" s="313"/>
      <c r="S213" s="340"/>
      <c r="T213" s="340"/>
      <c r="U213" s="340"/>
      <c r="V213" s="340"/>
      <c r="W213" s="340"/>
      <c r="X213" s="340"/>
      <c r="Y213" s="340"/>
      <c r="Z213" s="1265"/>
      <c r="AA213" s="338"/>
      <c r="AB213" s="338"/>
      <c r="AC213" s="313"/>
    </row>
    <row r="214" spans="1:29" s="53" customFormat="1" ht="16.5">
      <c r="A214" s="92"/>
      <c r="B214" s="313"/>
      <c r="C214" s="313"/>
      <c r="D214" s="313"/>
      <c r="E214" s="313"/>
      <c r="F214" s="1275"/>
      <c r="G214" s="1262"/>
      <c r="H214" s="1263"/>
      <c r="I214" s="1264"/>
      <c r="J214" s="1264"/>
      <c r="K214" s="1264"/>
      <c r="L214" s="1264"/>
      <c r="M214" s="339"/>
      <c r="N214" s="339"/>
      <c r="O214" s="339"/>
      <c r="P214" s="313"/>
      <c r="Q214" s="313"/>
      <c r="R214" s="313"/>
      <c r="S214" s="340"/>
      <c r="T214" s="340"/>
      <c r="U214" s="340"/>
      <c r="V214" s="340"/>
      <c r="W214" s="340"/>
      <c r="X214" s="340"/>
      <c r="Y214" s="340"/>
      <c r="Z214" s="1265"/>
      <c r="AA214" s="338"/>
      <c r="AB214" s="338"/>
      <c r="AC214" s="313"/>
    </row>
    <row r="215" spans="1:29" s="53" customFormat="1" ht="16.5">
      <c r="A215" s="92"/>
      <c r="B215" s="313"/>
      <c r="C215" s="313"/>
      <c r="D215" s="313"/>
      <c r="E215" s="313"/>
      <c r="F215" s="1275"/>
      <c r="G215" s="1262"/>
      <c r="H215" s="1263"/>
      <c r="I215" s="1264"/>
      <c r="J215" s="1264"/>
      <c r="K215" s="1264"/>
      <c r="L215" s="1264"/>
      <c r="M215" s="339"/>
      <c r="N215" s="339"/>
      <c r="O215" s="339"/>
      <c r="P215" s="313"/>
      <c r="Q215" s="313"/>
      <c r="R215" s="313"/>
      <c r="S215" s="340"/>
      <c r="T215" s="340"/>
      <c r="U215" s="340"/>
      <c r="V215" s="340"/>
      <c r="W215" s="340"/>
      <c r="X215" s="340"/>
      <c r="Y215" s="340"/>
      <c r="Z215" s="1265"/>
      <c r="AA215" s="338"/>
      <c r="AB215" s="338"/>
      <c r="AC215" s="313"/>
    </row>
    <row r="216" spans="1:29" s="53" customFormat="1">
      <c r="A216" s="92"/>
      <c r="F216" s="1281"/>
      <c r="G216" s="286"/>
      <c r="H216" s="604"/>
      <c r="I216" s="605"/>
      <c r="J216" s="605"/>
      <c r="K216" s="605"/>
      <c r="L216" s="605"/>
      <c r="M216" s="96"/>
      <c r="N216" s="96"/>
      <c r="O216" s="96"/>
      <c r="S216" s="272"/>
      <c r="T216" s="272"/>
      <c r="U216" s="272"/>
      <c r="V216" s="272"/>
      <c r="W216" s="272"/>
      <c r="X216" s="272"/>
      <c r="Y216" s="272"/>
      <c r="Z216" s="615"/>
      <c r="AA216" s="95"/>
      <c r="AB216" s="95"/>
    </row>
    <row r="217" spans="1:29" s="53" customFormat="1">
      <c r="A217" s="92"/>
      <c r="F217" s="1281"/>
      <c r="G217" s="286"/>
      <c r="H217" s="604"/>
      <c r="I217" s="605"/>
      <c r="J217" s="605"/>
      <c r="K217" s="605"/>
      <c r="L217" s="605"/>
      <c r="M217" s="96"/>
      <c r="N217" s="96"/>
      <c r="O217" s="96"/>
      <c r="S217" s="272"/>
      <c r="T217" s="272"/>
      <c r="U217" s="272"/>
      <c r="V217" s="272"/>
      <c r="W217" s="272"/>
      <c r="X217" s="272"/>
      <c r="Y217" s="272"/>
      <c r="Z217" s="615"/>
      <c r="AA217" s="95"/>
      <c r="AB217" s="95"/>
    </row>
    <row r="218" spans="1:29" s="53" customFormat="1">
      <c r="A218" s="92"/>
      <c r="F218" s="1281"/>
      <c r="G218" s="286"/>
      <c r="H218" s="604"/>
      <c r="I218" s="605"/>
      <c r="J218" s="605"/>
      <c r="K218" s="605"/>
      <c r="L218" s="605"/>
      <c r="M218" s="96"/>
      <c r="N218" s="96"/>
      <c r="O218" s="96"/>
      <c r="S218" s="272"/>
      <c r="T218" s="272"/>
      <c r="U218" s="272"/>
      <c r="V218" s="272"/>
      <c r="W218" s="272"/>
      <c r="X218" s="272"/>
      <c r="Y218" s="272"/>
      <c r="Z218" s="615"/>
      <c r="AA218" s="95"/>
      <c r="AB218" s="95"/>
    </row>
    <row r="219" spans="1:29" s="53" customFormat="1">
      <c r="A219" s="92"/>
      <c r="F219" s="1281"/>
      <c r="G219" s="286"/>
      <c r="H219" s="604"/>
      <c r="I219" s="605"/>
      <c r="J219" s="605"/>
      <c r="K219" s="605"/>
      <c r="L219" s="605"/>
      <c r="M219" s="96"/>
      <c r="N219" s="96"/>
      <c r="O219" s="96"/>
      <c r="S219" s="272"/>
      <c r="T219" s="272"/>
      <c r="U219" s="272"/>
      <c r="V219" s="272"/>
      <c r="W219" s="272"/>
      <c r="X219" s="272"/>
      <c r="Y219" s="272"/>
      <c r="Z219" s="615"/>
      <c r="AA219" s="95"/>
      <c r="AB219" s="95"/>
    </row>
    <row r="220" spans="1:29" s="53" customFormat="1">
      <c r="A220" s="92"/>
      <c r="F220" s="1281"/>
      <c r="G220" s="286"/>
      <c r="H220" s="604"/>
      <c r="I220" s="605"/>
      <c r="J220" s="605"/>
      <c r="K220" s="605"/>
      <c r="L220" s="605"/>
      <c r="M220" s="96"/>
      <c r="N220" s="96"/>
      <c r="O220" s="96"/>
      <c r="S220" s="272"/>
      <c r="T220" s="272"/>
      <c r="U220" s="272"/>
      <c r="V220" s="272"/>
      <c r="W220" s="272"/>
      <c r="X220" s="272"/>
      <c r="Y220" s="272"/>
      <c r="Z220" s="615"/>
      <c r="AA220" s="95"/>
      <c r="AB220" s="95"/>
    </row>
    <row r="221" spans="1:29" s="53" customFormat="1">
      <c r="A221" s="92"/>
      <c r="F221" s="1281"/>
      <c r="G221" s="286"/>
      <c r="H221" s="604"/>
      <c r="I221" s="605"/>
      <c r="J221" s="605"/>
      <c r="K221" s="605"/>
      <c r="L221" s="605"/>
      <c r="M221" s="96"/>
      <c r="N221" s="96"/>
      <c r="O221" s="96"/>
      <c r="S221" s="272"/>
      <c r="T221" s="272"/>
      <c r="U221" s="272"/>
      <c r="V221" s="272"/>
      <c r="W221" s="272"/>
      <c r="X221" s="272"/>
      <c r="Y221" s="272"/>
      <c r="Z221" s="615"/>
      <c r="AA221" s="95"/>
      <c r="AB221" s="95"/>
    </row>
    <row r="222" spans="1:29" s="53" customFormat="1">
      <c r="A222" s="92"/>
      <c r="F222" s="1281"/>
      <c r="G222" s="286"/>
      <c r="H222" s="604"/>
      <c r="I222" s="605"/>
      <c r="J222" s="605"/>
      <c r="K222" s="605"/>
      <c r="L222" s="605"/>
      <c r="M222" s="96"/>
      <c r="N222" s="96"/>
      <c r="O222" s="96"/>
      <c r="S222" s="272"/>
      <c r="T222" s="272"/>
      <c r="U222" s="272"/>
      <c r="V222" s="272"/>
      <c r="W222" s="272"/>
      <c r="X222" s="272"/>
      <c r="Y222" s="272"/>
      <c r="Z222" s="615"/>
      <c r="AA222" s="95"/>
      <c r="AB222" s="95"/>
    </row>
    <row r="223" spans="1:29" s="53" customFormat="1">
      <c r="A223" s="92"/>
      <c r="F223" s="1281"/>
      <c r="G223" s="286"/>
      <c r="H223" s="604"/>
      <c r="I223" s="605"/>
      <c r="J223" s="605"/>
      <c r="K223" s="605"/>
      <c r="L223" s="605"/>
      <c r="M223" s="96"/>
      <c r="N223" s="96"/>
      <c r="O223" s="96"/>
      <c r="S223" s="272"/>
      <c r="T223" s="272"/>
      <c r="U223" s="272"/>
      <c r="V223" s="272"/>
      <c r="W223" s="272"/>
      <c r="X223" s="272"/>
      <c r="Y223" s="272"/>
      <c r="Z223" s="615"/>
      <c r="AA223" s="95"/>
      <c r="AB223" s="95"/>
    </row>
    <row r="224" spans="1:29" s="53" customFormat="1">
      <c r="A224" s="92"/>
      <c r="F224" s="1281"/>
      <c r="G224" s="286"/>
      <c r="H224" s="604"/>
      <c r="I224" s="605"/>
      <c r="J224" s="605"/>
      <c r="K224" s="605"/>
      <c r="L224" s="605"/>
      <c r="M224" s="96"/>
      <c r="N224" s="96"/>
      <c r="O224" s="96"/>
      <c r="S224" s="272"/>
      <c r="T224" s="272"/>
      <c r="U224" s="272"/>
      <c r="V224" s="272"/>
      <c r="W224" s="272"/>
      <c r="X224" s="272"/>
      <c r="Y224" s="272"/>
      <c r="Z224" s="615"/>
      <c r="AA224" s="95"/>
      <c r="AB224" s="95"/>
    </row>
    <row r="225" spans="1:28" s="53" customFormat="1">
      <c r="A225" s="92"/>
      <c r="F225" s="1281"/>
      <c r="G225" s="286"/>
      <c r="H225" s="604"/>
      <c r="I225" s="605"/>
      <c r="J225" s="605"/>
      <c r="K225" s="605"/>
      <c r="L225" s="605"/>
      <c r="M225" s="96"/>
      <c r="N225" s="96"/>
      <c r="O225" s="96"/>
      <c r="S225" s="272"/>
      <c r="T225" s="272"/>
      <c r="U225" s="272"/>
      <c r="V225" s="272"/>
      <c r="W225" s="272"/>
      <c r="X225" s="272"/>
      <c r="Y225" s="272"/>
      <c r="Z225" s="615"/>
      <c r="AA225" s="95"/>
      <c r="AB225" s="95"/>
    </row>
    <row r="226" spans="1:28" s="53" customFormat="1">
      <c r="A226" s="92"/>
      <c r="F226" s="1281"/>
      <c r="G226" s="286"/>
      <c r="H226" s="604"/>
      <c r="I226" s="605"/>
      <c r="J226" s="605"/>
      <c r="K226" s="605"/>
      <c r="L226" s="605"/>
      <c r="M226" s="96"/>
      <c r="N226" s="96"/>
      <c r="O226" s="96"/>
      <c r="S226" s="272"/>
      <c r="T226" s="272"/>
      <c r="U226" s="272"/>
      <c r="V226" s="272"/>
      <c r="W226" s="272"/>
      <c r="X226" s="272"/>
      <c r="Y226" s="272"/>
      <c r="Z226" s="615"/>
      <c r="AA226" s="95"/>
      <c r="AB226" s="95"/>
    </row>
    <row r="227" spans="1:28" s="53" customFormat="1">
      <c r="A227" s="92"/>
      <c r="F227" s="1281"/>
      <c r="G227" s="286"/>
      <c r="H227" s="604"/>
      <c r="I227" s="605"/>
      <c r="J227" s="605"/>
      <c r="K227" s="605"/>
      <c r="L227" s="605"/>
      <c r="M227" s="96"/>
      <c r="N227" s="96"/>
      <c r="O227" s="96"/>
      <c r="S227" s="272"/>
      <c r="T227" s="272"/>
      <c r="U227" s="272"/>
      <c r="V227" s="272"/>
      <c r="W227" s="272"/>
      <c r="X227" s="272"/>
      <c r="Y227" s="272"/>
      <c r="Z227" s="615"/>
      <c r="AA227" s="95"/>
      <c r="AB227" s="95"/>
    </row>
    <row r="228" spans="1:28" s="53" customFormat="1">
      <c r="A228" s="92"/>
      <c r="F228" s="1281"/>
      <c r="G228" s="286"/>
      <c r="H228" s="604"/>
      <c r="I228" s="605"/>
      <c r="J228" s="605"/>
      <c r="K228" s="605"/>
      <c r="L228" s="605"/>
      <c r="M228" s="96"/>
      <c r="N228" s="96"/>
      <c r="O228" s="96"/>
      <c r="S228" s="272"/>
      <c r="T228" s="272"/>
      <c r="U228" s="272"/>
      <c r="V228" s="272"/>
      <c r="W228" s="272"/>
      <c r="X228" s="272"/>
      <c r="Y228" s="272"/>
      <c r="Z228" s="615"/>
      <c r="AA228" s="95"/>
      <c r="AB228" s="95"/>
    </row>
    <row r="229" spans="1:28" s="53" customFormat="1">
      <c r="A229" s="92"/>
      <c r="F229" s="1281"/>
      <c r="G229" s="286"/>
      <c r="H229" s="604"/>
      <c r="I229" s="605"/>
      <c r="J229" s="605"/>
      <c r="K229" s="605"/>
      <c r="L229" s="605"/>
      <c r="M229" s="96"/>
      <c r="N229" s="96"/>
      <c r="O229" s="96"/>
      <c r="S229" s="272"/>
      <c r="T229" s="272"/>
      <c r="U229" s="272"/>
      <c r="V229" s="272"/>
      <c r="W229" s="272"/>
      <c r="X229" s="272"/>
      <c r="Y229" s="272"/>
      <c r="Z229" s="615"/>
      <c r="AA229" s="95"/>
      <c r="AB229" s="95"/>
    </row>
    <row r="230" spans="1:28" s="53" customFormat="1">
      <c r="A230" s="92"/>
      <c r="F230" s="1281"/>
      <c r="G230" s="286"/>
      <c r="H230" s="604"/>
      <c r="I230" s="605"/>
      <c r="J230" s="605"/>
      <c r="K230" s="605"/>
      <c r="L230" s="605"/>
      <c r="M230" s="96"/>
      <c r="N230" s="96"/>
      <c r="O230" s="96"/>
      <c r="S230" s="272"/>
      <c r="T230" s="272"/>
      <c r="U230" s="272"/>
      <c r="V230" s="272"/>
      <c r="W230" s="272"/>
      <c r="X230" s="272"/>
      <c r="Y230" s="272"/>
      <c r="Z230" s="615"/>
      <c r="AA230" s="95"/>
      <c r="AB230" s="95"/>
    </row>
    <row r="231" spans="1:28" s="53" customFormat="1">
      <c r="A231" s="92"/>
      <c r="F231" s="1281"/>
      <c r="G231" s="286"/>
      <c r="H231" s="604"/>
      <c r="I231" s="605"/>
      <c r="J231" s="605"/>
      <c r="K231" s="605"/>
      <c r="L231" s="605"/>
      <c r="M231" s="96"/>
      <c r="N231" s="96"/>
      <c r="O231" s="96"/>
      <c r="S231" s="272"/>
      <c r="T231" s="272"/>
      <c r="U231" s="272"/>
      <c r="V231" s="272"/>
      <c r="W231" s="272"/>
      <c r="X231" s="272"/>
      <c r="Y231" s="272"/>
      <c r="Z231" s="615"/>
      <c r="AA231" s="95"/>
      <c r="AB231" s="95"/>
    </row>
    <row r="232" spans="1:28" s="53" customFormat="1">
      <c r="A232" s="92"/>
      <c r="F232" s="1281"/>
      <c r="G232" s="286"/>
      <c r="H232" s="604"/>
      <c r="I232" s="605"/>
      <c r="J232" s="605"/>
      <c r="K232" s="605"/>
      <c r="L232" s="605"/>
      <c r="M232" s="96"/>
      <c r="N232" s="96"/>
      <c r="O232" s="96"/>
      <c r="S232" s="272"/>
      <c r="T232" s="272"/>
      <c r="U232" s="272"/>
      <c r="V232" s="272"/>
      <c r="W232" s="272"/>
      <c r="X232" s="272"/>
      <c r="Y232" s="272"/>
      <c r="Z232" s="615"/>
      <c r="AA232" s="95"/>
      <c r="AB232" s="95"/>
    </row>
    <row r="233" spans="1:28" s="53" customFormat="1">
      <c r="A233" s="92"/>
      <c r="F233" s="1281"/>
      <c r="G233" s="286"/>
      <c r="H233" s="604"/>
      <c r="I233" s="605"/>
      <c r="J233" s="605"/>
      <c r="K233" s="605"/>
      <c r="L233" s="605"/>
      <c r="M233" s="96"/>
      <c r="N233" s="96"/>
      <c r="O233" s="96"/>
      <c r="S233" s="272"/>
      <c r="T233" s="272"/>
      <c r="U233" s="272"/>
      <c r="V233" s="272"/>
      <c r="W233" s="272"/>
      <c r="X233" s="272"/>
      <c r="Y233" s="272"/>
      <c r="Z233" s="615"/>
      <c r="AA233" s="95"/>
      <c r="AB233" s="95"/>
    </row>
    <row r="234" spans="1:28" s="53" customFormat="1">
      <c r="A234" s="92"/>
      <c r="F234" s="1281"/>
      <c r="G234" s="286"/>
      <c r="H234" s="604"/>
      <c r="I234" s="605"/>
      <c r="J234" s="605"/>
      <c r="K234" s="605"/>
      <c r="L234" s="605"/>
      <c r="M234" s="96"/>
      <c r="N234" s="96"/>
      <c r="O234" s="96"/>
      <c r="S234" s="272"/>
      <c r="T234" s="272"/>
      <c r="U234" s="272"/>
      <c r="V234" s="272"/>
      <c r="W234" s="272"/>
      <c r="X234" s="272"/>
      <c r="Y234" s="272"/>
      <c r="Z234" s="615"/>
      <c r="AA234" s="95"/>
      <c r="AB234" s="95"/>
    </row>
  </sheetData>
  <mergeCells count="36">
    <mergeCell ref="C1:AC1"/>
    <mergeCell ref="C2:AC2"/>
    <mergeCell ref="D3:AC3"/>
    <mergeCell ref="A185:E185"/>
    <mergeCell ref="A186:AC186"/>
    <mergeCell ref="D10:D12"/>
    <mergeCell ref="E10:E12"/>
    <mergeCell ref="H11:N11"/>
    <mergeCell ref="O11:Z11"/>
    <mergeCell ref="B4:I4"/>
    <mergeCell ref="B5:I5"/>
    <mergeCell ref="AB10:AB12"/>
    <mergeCell ref="A10:B12"/>
    <mergeCell ref="A15:D15"/>
    <mergeCell ref="B7:AC7"/>
    <mergeCell ref="AA10:AA12"/>
    <mergeCell ref="AC10:AC12"/>
    <mergeCell ref="F11:G11"/>
    <mergeCell ref="B8:E8"/>
    <mergeCell ref="F10:Z10"/>
    <mergeCell ref="C10:C12"/>
    <mergeCell ref="G197:J197"/>
    <mergeCell ref="G198:J198"/>
    <mergeCell ref="G194:J194"/>
    <mergeCell ref="AA192:AC192"/>
    <mergeCell ref="AA191:AC191"/>
    <mergeCell ref="G196:J196"/>
    <mergeCell ref="G193:J193"/>
    <mergeCell ref="H191:J191"/>
    <mergeCell ref="M191:N191"/>
    <mergeCell ref="V187:AC187"/>
    <mergeCell ref="B192:F192"/>
    <mergeCell ref="I192:N192"/>
    <mergeCell ref="G195:J195"/>
    <mergeCell ref="A188:AC188"/>
    <mergeCell ref="N190:S190"/>
  </mergeCells>
  <printOptions horizontalCentered="1"/>
  <pageMargins left="0" right="0" top="0.43307086614173229" bottom="0.51181102362204722" header="0.31496062992125984" footer="0.31496062992125984"/>
  <pageSetup paperSize="9" scale="77" orientation="landscape" r:id="rId1"/>
  <headerFooter>
    <oddFooter>&amp;R&amp;P/9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7"/>
  <sheetViews>
    <sheetView topLeftCell="A201" workbookViewId="0">
      <selection activeCell="O221" sqref="O221"/>
    </sheetView>
  </sheetViews>
  <sheetFormatPr defaultColWidth="9.140625" defaultRowHeight="15"/>
  <cols>
    <col min="1" max="1" width="5" style="2101" customWidth="1"/>
    <col min="2" max="2" width="5.140625" style="210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2101" customWidth="1"/>
    <col min="8" max="8" width="14.7109375" style="172" customWidth="1"/>
    <col min="9" max="9" width="14.140625" style="172" customWidth="1"/>
    <col min="10" max="10" width="16" style="28" customWidth="1"/>
    <col min="11" max="11" width="12.140625" style="172" hidden="1" customWidth="1"/>
    <col min="12" max="12" width="10.140625" style="176" customWidth="1"/>
    <col min="13" max="13" width="16" style="28" customWidth="1"/>
    <col min="14" max="14" width="21.140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618" t="s">
        <v>617</v>
      </c>
      <c r="C1" s="2618"/>
      <c r="D1" s="2618"/>
      <c r="E1" s="2618"/>
      <c r="F1" s="2618"/>
      <c r="G1" s="2618"/>
      <c r="H1" s="2618"/>
      <c r="I1" s="2618"/>
      <c r="J1" s="2618"/>
      <c r="K1" s="2618"/>
      <c r="L1" s="2618"/>
      <c r="M1" s="2618"/>
      <c r="N1" s="2618"/>
    </row>
    <row r="2" spans="1:15" ht="16.5">
      <c r="B2" s="2618" t="s">
        <v>2239</v>
      </c>
      <c r="C2" s="2618"/>
      <c r="D2" s="2618"/>
      <c r="E2" s="2618"/>
      <c r="F2" s="2618"/>
      <c r="G2" s="2618"/>
      <c r="H2" s="2618"/>
      <c r="I2" s="2618"/>
      <c r="J2" s="2618"/>
      <c r="K2" s="2618"/>
      <c r="L2" s="2618"/>
      <c r="M2" s="2618"/>
      <c r="N2" s="2618"/>
    </row>
    <row r="3" spans="1:15" ht="16.5">
      <c r="B3" s="2854" t="s">
        <v>619</v>
      </c>
      <c r="C3" s="2618"/>
      <c r="D3" s="2618"/>
      <c r="E3" s="2618"/>
      <c r="F3" s="2618"/>
      <c r="G3" s="2618"/>
      <c r="H3" s="2618"/>
      <c r="I3" s="2618"/>
      <c r="J3" s="2618"/>
      <c r="K3" s="2618"/>
      <c r="L3" s="2618"/>
      <c r="M3" s="2618"/>
      <c r="N3" s="2618"/>
    </row>
    <row r="4" spans="1:15" ht="15.75">
      <c r="A4" s="2709" t="s">
        <v>3244</v>
      </c>
      <c r="B4" s="2709"/>
      <c r="C4" s="2709"/>
      <c r="D4" s="2709"/>
      <c r="E4" s="2709"/>
      <c r="F4" s="2709"/>
      <c r="G4" s="2709"/>
      <c r="I4" s="173"/>
      <c r="J4" s="174"/>
      <c r="M4" s="177"/>
    </row>
    <row r="5" spans="1:15" ht="15.75">
      <c r="A5" s="2405" t="s">
        <v>3234</v>
      </c>
      <c r="B5" s="2405"/>
      <c r="C5" s="2405"/>
      <c r="D5" s="2405"/>
      <c r="E5" s="2405"/>
      <c r="F5" s="2405"/>
      <c r="G5" s="2405"/>
      <c r="M5" s="177"/>
    </row>
    <row r="6" spans="1:15" ht="16.5">
      <c r="B6" s="2102"/>
      <c r="M6" s="177"/>
    </row>
    <row r="7" spans="1:15" ht="24" customHeight="1">
      <c r="A7" s="2408" t="s">
        <v>3397</v>
      </c>
      <c r="B7" s="2408"/>
      <c r="C7" s="2408"/>
      <c r="D7" s="2408"/>
      <c r="E7" s="2408"/>
      <c r="F7" s="2408"/>
      <c r="G7" s="2408"/>
      <c r="H7" s="2408"/>
      <c r="I7" s="2408"/>
      <c r="J7" s="2408"/>
      <c r="K7" s="2408"/>
      <c r="L7" s="2408"/>
      <c r="M7" s="2408"/>
      <c r="N7" s="2408"/>
    </row>
    <row r="8" spans="1:15" ht="16.5">
      <c r="H8" s="28"/>
      <c r="N8" s="447" t="s">
        <v>1920</v>
      </c>
    </row>
    <row r="9" spans="1:15" ht="18.75" hidden="1" customHeight="1">
      <c r="B9" s="2391" t="s">
        <v>622</v>
      </c>
      <c r="C9" s="2391"/>
      <c r="D9" s="2391"/>
      <c r="E9" s="2391"/>
      <c r="F9" s="2391"/>
      <c r="G9" s="28">
        <f>'[15]LƯƠNG KT'!G8</f>
        <v>667.1</v>
      </c>
      <c r="J9" s="631"/>
      <c r="M9" s="632"/>
      <c r="N9" s="1344"/>
    </row>
    <row r="10" spans="1:15" ht="16.5" customHeight="1">
      <c r="A10" s="2807" t="s">
        <v>623</v>
      </c>
      <c r="B10" s="2808"/>
      <c r="C10" s="2784" t="s">
        <v>624</v>
      </c>
      <c r="D10" s="2765" t="s">
        <v>625</v>
      </c>
      <c r="E10" s="2802" t="s">
        <v>356</v>
      </c>
      <c r="F10" s="2784" t="s">
        <v>9</v>
      </c>
      <c r="G10" s="2814" t="s">
        <v>628</v>
      </c>
      <c r="H10" s="2815"/>
      <c r="I10" s="2816"/>
      <c r="J10" s="2980" t="s">
        <v>629</v>
      </c>
      <c r="K10" s="2784" t="s">
        <v>630</v>
      </c>
      <c r="L10" s="2784" t="s">
        <v>631</v>
      </c>
      <c r="M10" s="2784" t="s">
        <v>632</v>
      </c>
      <c r="N10" s="2784" t="s">
        <v>12</v>
      </c>
    </row>
    <row r="11" spans="1:15" ht="35.25" customHeight="1">
      <c r="A11" s="2978"/>
      <c r="B11" s="2979"/>
      <c r="C11" s="2784"/>
      <c r="D11" s="2765"/>
      <c r="E11" s="2802"/>
      <c r="F11" s="2784"/>
      <c r="G11" s="2107" t="s">
        <v>633</v>
      </c>
      <c r="H11" s="2107" t="s">
        <v>634</v>
      </c>
      <c r="I11" s="2107" t="s">
        <v>635</v>
      </c>
      <c r="J11" s="2937"/>
      <c r="K11" s="2784"/>
      <c r="L11" s="2802"/>
      <c r="M11" s="2802"/>
      <c r="N11" s="2784"/>
    </row>
    <row r="12" spans="1:15" s="242" customFormat="1" ht="18.75" customHeight="1">
      <c r="A12" s="1246">
        <v>1</v>
      </c>
      <c r="B12" s="2108">
        <v>1</v>
      </c>
      <c r="C12" s="1332"/>
      <c r="D12" s="2109" t="s">
        <v>647</v>
      </c>
      <c r="E12" s="2110" t="str">
        <f>'LƯƠNG KT'!D16</f>
        <v>T. Lê</v>
      </c>
      <c r="F12" s="2110" t="str">
        <f>'LƯƠNG KT'!E16</f>
        <v>CNKT</v>
      </c>
      <c r="G12" s="1840">
        <f>VLOOKUP(E12,'LƯƠNG KT'!$D$16:$Z$108,4,0)</f>
        <v>0</v>
      </c>
      <c r="H12" s="1840">
        <f>VLOOKUP(E12,'LƯƠNG KT'!$D$16:$Z$108,11,0)</f>
        <v>7874809</v>
      </c>
      <c r="I12" s="1840">
        <f>VLOOKUP(E12,'LƯƠNG KT'!$D$16:$Z$108,23,0)</f>
        <v>1036874</v>
      </c>
      <c r="J12" s="2096">
        <f>SUM(G12:I12)</f>
        <v>8911683</v>
      </c>
      <c r="K12" s="2096"/>
      <c r="L12" s="1840"/>
      <c r="M12" s="1840">
        <f>J12-L12</f>
        <v>8911683</v>
      </c>
      <c r="N12" s="2110"/>
      <c r="O12" s="636">
        <f>+J12-'[15]LƯƠNG KT'!AA16</f>
        <v>176811</v>
      </c>
    </row>
    <row r="13" spans="1:15" s="242" customFormat="1" ht="18.75" customHeight="1">
      <c r="A13" s="1246">
        <v>2</v>
      </c>
      <c r="B13" s="2108">
        <v>2</v>
      </c>
      <c r="C13" s="1332"/>
      <c r="D13" s="2109" t="s">
        <v>648</v>
      </c>
      <c r="E13" s="2110" t="str">
        <f>'LƯƠNG KT'!D17</f>
        <v xml:space="preserve">Nang On Teng </v>
      </c>
      <c r="F13" s="2110" t="str">
        <f>'LƯƠNG KT'!E17</f>
        <v>CNKT</v>
      </c>
      <c r="G13" s="1840">
        <f>VLOOKUP(E13,'LƯƠNG KT'!$D$16:$Z$108,4,0)</f>
        <v>0</v>
      </c>
      <c r="H13" s="1840">
        <f>VLOOKUP(E13,'LƯƠNG KT'!$D$16:$Z$108,11,0)</f>
        <v>6691031</v>
      </c>
      <c r="I13" s="1840">
        <f>VLOOKUP(E13,'LƯƠNG KT'!$D$16:$Z$108,23,0)</f>
        <v>944495</v>
      </c>
      <c r="J13" s="2096">
        <f t="shared" ref="J13:J76" si="0">SUM(G13:I13)</f>
        <v>7635526</v>
      </c>
      <c r="K13" s="2096"/>
      <c r="L13" s="1840"/>
      <c r="M13" s="1840">
        <f t="shared" ref="M13:M76" si="1">J13-L13</f>
        <v>7635526</v>
      </c>
      <c r="N13" s="2110"/>
      <c r="O13" s="636">
        <f>+J13-'[15]LƯƠNG KT'!AA17</f>
        <v>-2200625</v>
      </c>
    </row>
    <row r="14" spans="1:15" s="242" customFormat="1" ht="18.75" customHeight="1">
      <c r="A14" s="1246">
        <v>3</v>
      </c>
      <c r="B14" s="2108">
        <v>3</v>
      </c>
      <c r="C14" s="1332" t="e">
        <f>VLOOKUP(E14,'[15]DS CN MOI UP'!$B$10:$C$347,2,0)</f>
        <v>#N/A</v>
      </c>
      <c r="D14" s="2109" t="s">
        <v>650</v>
      </c>
      <c r="E14" s="2110" t="str">
        <f>'LƯƠNG KT'!D18</f>
        <v>T. Đôn Ma</v>
      </c>
      <c r="F14" s="2110" t="str">
        <f>'LƯƠNG KT'!E18</f>
        <v>CNKT</v>
      </c>
      <c r="G14" s="1840">
        <f>VLOOKUP(E14,'LƯƠNG KT'!$D$16:$Z$108,4,0)</f>
        <v>0</v>
      </c>
      <c r="H14" s="1840">
        <f>VLOOKUP(E14,'LƯƠNG KT'!$D$16:$Z$108,11,0)</f>
        <v>6705081</v>
      </c>
      <c r="I14" s="1840">
        <f>VLOOKUP(E14,'LƯƠNG KT'!$D$16:$Z$108,23,0)</f>
        <v>944495</v>
      </c>
      <c r="J14" s="2096">
        <f t="shared" si="0"/>
        <v>7649576</v>
      </c>
      <c r="K14" s="2096"/>
      <c r="L14" s="1840"/>
      <c r="M14" s="1840">
        <f t="shared" si="1"/>
        <v>7649576</v>
      </c>
      <c r="N14" s="2110"/>
      <c r="O14" s="636">
        <f>+J14-'[15]LƯƠNG KT'!AA18</f>
        <v>-2199384</v>
      </c>
    </row>
    <row r="15" spans="1:15" s="242" customFormat="1" ht="18.75" customHeight="1">
      <c r="A15" s="1246">
        <v>4</v>
      </c>
      <c r="B15" s="2108">
        <v>4</v>
      </c>
      <c r="C15" s="1332" t="e">
        <f>VLOOKUP(E15,'[15]DS CN MOI UP'!$B$10:$C$347,2,0)</f>
        <v>#N/A</v>
      </c>
      <c r="D15" s="2109" t="s">
        <v>651</v>
      </c>
      <c r="E15" s="2110" t="str">
        <f>'LƯƠNG KT'!D19</f>
        <v>N. La Ty</v>
      </c>
      <c r="F15" s="2110" t="str">
        <f>'LƯƠNG KT'!E19</f>
        <v>CNKT</v>
      </c>
      <c r="G15" s="1840">
        <f>VLOOKUP(E15,'LƯƠNG KT'!$D$16:$Z$108,4,0)</f>
        <v>0</v>
      </c>
      <c r="H15" s="1840">
        <f>VLOOKUP(E15,'LƯƠNG KT'!$D$16:$Z$108,11,0)</f>
        <v>7911574</v>
      </c>
      <c r="I15" s="1840">
        <f>VLOOKUP(E15,'LƯƠNG KT'!$D$16:$Z$108,23,0)</f>
        <v>1036874</v>
      </c>
      <c r="J15" s="2096">
        <f t="shared" si="0"/>
        <v>8948448</v>
      </c>
      <c r="K15" s="2096"/>
      <c r="L15" s="1840"/>
      <c r="M15" s="1840">
        <f t="shared" si="1"/>
        <v>8948448</v>
      </c>
      <c r="N15" s="2110"/>
      <c r="O15" s="636">
        <f>+J15-'[15]LƯƠNG KT'!AA19</f>
        <v>-532712</v>
      </c>
    </row>
    <row r="16" spans="1:15" s="242" customFormat="1" ht="18.75" customHeight="1">
      <c r="A16" s="1246">
        <v>5</v>
      </c>
      <c r="B16" s="2108">
        <v>5</v>
      </c>
      <c r="C16" s="1332" t="e">
        <f>VLOOKUP(E16,'[15]DS CN MOI UP'!$B$10:$C$347,2,0)</f>
        <v>#N/A</v>
      </c>
      <c r="D16" s="2109" t="s">
        <v>651</v>
      </c>
      <c r="E16" s="2110" t="str">
        <f>'LƯƠNG KT'!D20</f>
        <v>Thong Say</v>
      </c>
      <c r="F16" s="2110" t="str">
        <f>'LƯƠNG KT'!E20</f>
        <v>CNKT</v>
      </c>
      <c r="G16" s="1840">
        <f>VLOOKUP(E16,'LƯƠNG KT'!$D$16:$Z$108,4,0)</f>
        <v>0</v>
      </c>
      <c r="H16" s="1840">
        <f>VLOOKUP(E16,'LƯƠNG KT'!$D$16:$Z$108,11,0)</f>
        <v>6580709</v>
      </c>
      <c r="I16" s="1840">
        <f>VLOOKUP(E16,'LƯƠNG KT'!$D$16:$Z$108,23,0)</f>
        <v>1036874</v>
      </c>
      <c r="J16" s="2096">
        <f t="shared" si="0"/>
        <v>7617583</v>
      </c>
      <c r="K16" s="2096"/>
      <c r="L16" s="1840"/>
      <c r="M16" s="1840">
        <f t="shared" si="1"/>
        <v>7617583</v>
      </c>
      <c r="N16" s="2110"/>
      <c r="O16" s="636">
        <f>+J16-'[15]LƯƠNG KT'!AA20</f>
        <v>881428</v>
      </c>
    </row>
    <row r="17" spans="1:15" s="242" customFormat="1" ht="18.75" customHeight="1">
      <c r="A17" s="1246">
        <v>6</v>
      </c>
      <c r="B17" s="2108">
        <v>6</v>
      </c>
      <c r="C17" s="1332" t="e">
        <f>VLOOKUP(E17,'[15]DS CN MOI UP'!$B$10:$C$347,2,0)</f>
        <v>#N/A</v>
      </c>
      <c r="D17" s="2109" t="s">
        <v>651</v>
      </c>
      <c r="E17" s="2110" t="str">
        <f>'LƯƠNG KT'!D21</f>
        <v>Phon Xa Văn</v>
      </c>
      <c r="F17" s="2110" t="str">
        <f>'LƯƠNG KT'!E21</f>
        <v>CNKT</v>
      </c>
      <c r="G17" s="1840">
        <f>VLOOKUP(E17,'LƯƠNG KT'!$D$16:$Z$108,4,0)</f>
        <v>0</v>
      </c>
      <c r="H17" s="1840">
        <f>VLOOKUP(E17,'LƯƠNG KT'!$D$16:$Z$108,11,0)</f>
        <v>7767567</v>
      </c>
      <c r="I17" s="1840">
        <f>VLOOKUP(E17,'LƯƠNG KT'!$D$16:$Z$108,23,0)</f>
        <v>1036874</v>
      </c>
      <c r="J17" s="2096">
        <f t="shared" si="0"/>
        <v>8804441</v>
      </c>
      <c r="K17" s="2096"/>
      <c r="L17" s="1840"/>
      <c r="M17" s="1840">
        <f t="shared" si="1"/>
        <v>8804441</v>
      </c>
      <c r="N17" s="2110"/>
      <c r="O17" s="636">
        <f>+J17-'[15]LƯƠNG KT'!AA21</f>
        <v>-707827</v>
      </c>
    </row>
    <row r="18" spans="1:15" s="242" customFormat="1" ht="18.75" customHeight="1">
      <c r="A18" s="1246">
        <v>7</v>
      </c>
      <c r="B18" s="2108">
        <v>7</v>
      </c>
      <c r="C18" s="1332" t="e">
        <f>VLOOKUP(E18,'[15]DS CN MOI UP'!$B$10:$C$347,2,0)</f>
        <v>#N/A</v>
      </c>
      <c r="D18" s="2109" t="s">
        <v>651</v>
      </c>
      <c r="E18" s="2110" t="str">
        <f>'LƯƠNG KT'!D22</f>
        <v>N. Tỏi</v>
      </c>
      <c r="F18" s="2110" t="str">
        <f>'LƯƠNG KT'!E22</f>
        <v>CNKT</v>
      </c>
      <c r="G18" s="1840">
        <f>VLOOKUP(E18,'LƯƠNG KT'!$D$16:$Z$108,4,0)</f>
        <v>0</v>
      </c>
      <c r="H18" s="1840">
        <f>VLOOKUP(E18,'LƯƠNG KT'!$D$16:$Z$108,11,0)</f>
        <v>7094952</v>
      </c>
      <c r="I18" s="1840">
        <f>VLOOKUP(E18,'LƯƠNG KT'!$D$16:$Z$108,23,0)</f>
        <v>975288</v>
      </c>
      <c r="J18" s="2096">
        <f t="shared" si="0"/>
        <v>8070240</v>
      </c>
      <c r="K18" s="2096"/>
      <c r="L18" s="1840"/>
      <c r="M18" s="1840">
        <f t="shared" si="1"/>
        <v>8070240</v>
      </c>
      <c r="N18" s="2110"/>
      <c r="O18" s="636">
        <f>+J18-'[15]LƯƠNG KT'!AA22</f>
        <v>-915319</v>
      </c>
    </row>
    <row r="19" spans="1:15" s="242" customFormat="1" ht="18.75" customHeight="1">
      <c r="A19" s="1246">
        <v>8</v>
      </c>
      <c r="B19" s="2108">
        <v>8</v>
      </c>
      <c r="C19" s="1332" t="e">
        <f>VLOOKUP(E19,'[15]DS CN MOI UP'!$B$10:$C$347,2,0)</f>
        <v>#N/A</v>
      </c>
      <c r="D19" s="2109" t="s">
        <v>651</v>
      </c>
      <c r="E19" s="2110" t="str">
        <f>'LƯƠNG KT'!D23</f>
        <v>Na Ly</v>
      </c>
      <c r="F19" s="2110" t="str">
        <f>'LƯƠNG KT'!E23</f>
        <v>CNKT</v>
      </c>
      <c r="G19" s="1840">
        <f>VLOOKUP(E19,'LƯƠNG KT'!$D$16:$Z$108,4,0)</f>
        <v>0</v>
      </c>
      <c r="H19" s="1840">
        <f>VLOOKUP(E19,'LƯƠNG KT'!$D$16:$Z$108,11,0)</f>
        <v>8348862</v>
      </c>
      <c r="I19" s="1840">
        <f>VLOOKUP(E19,'LƯƠNG KT'!$D$16:$Z$108,23,0)</f>
        <v>1036874</v>
      </c>
      <c r="J19" s="2096">
        <f t="shared" si="0"/>
        <v>9385736</v>
      </c>
      <c r="K19" s="2096"/>
      <c r="L19" s="1840"/>
      <c r="M19" s="1840">
        <f t="shared" si="1"/>
        <v>9385736</v>
      </c>
      <c r="N19" s="2110"/>
      <c r="O19" s="636">
        <f>+J19-'[15]LƯƠNG KT'!AA23</f>
        <v>443032</v>
      </c>
    </row>
    <row r="20" spans="1:15" s="242" customFormat="1" ht="18.75" customHeight="1">
      <c r="A20" s="1246">
        <v>9</v>
      </c>
      <c r="B20" s="2108">
        <v>9</v>
      </c>
      <c r="C20" s="1332" t="e">
        <f>VLOOKUP(E20,'[15]DS CN MOI UP'!$B$10:$C$347,2,0)</f>
        <v>#N/A</v>
      </c>
      <c r="D20" s="2109" t="s">
        <v>651</v>
      </c>
      <c r="E20" s="2110" t="str">
        <f>'LƯƠNG KT'!D24</f>
        <v>Thảo Lẹ</v>
      </c>
      <c r="F20" s="2110" t="str">
        <f>'LƯƠNG KT'!E24</f>
        <v>CNKT</v>
      </c>
      <c r="G20" s="1840">
        <f>VLOOKUP(E20,'LƯƠNG KT'!$D$16:$Z$108,4,0)</f>
        <v>0</v>
      </c>
      <c r="H20" s="1840">
        <f>VLOOKUP(E20,'LƯƠNG KT'!$D$16:$Z$108,11,0)</f>
        <v>8995250</v>
      </c>
      <c r="I20" s="1840">
        <f>VLOOKUP(E20,'LƯƠNG KT'!$D$16:$Z$108,23,0)</f>
        <v>1036874</v>
      </c>
      <c r="J20" s="2096">
        <f t="shared" si="0"/>
        <v>10032124</v>
      </c>
      <c r="K20" s="2096"/>
      <c r="L20" s="1840"/>
      <c r="M20" s="1840">
        <f t="shared" si="1"/>
        <v>10032124</v>
      </c>
      <c r="N20" s="2110"/>
      <c r="O20" s="636">
        <f>+J20-'[15]LƯƠNG KT'!AA24</f>
        <v>1145460</v>
      </c>
    </row>
    <row r="21" spans="1:15" s="242" customFormat="1" ht="18.75" customHeight="1">
      <c r="A21" s="1246">
        <v>10</v>
      </c>
      <c r="B21" s="2108">
        <v>10</v>
      </c>
      <c r="C21" s="1332" t="e">
        <f>VLOOKUP(E21,'[15]DS CN MOI UP'!$B$10:$C$347,2,0)</f>
        <v>#N/A</v>
      </c>
      <c r="D21" s="2109" t="s">
        <v>651</v>
      </c>
      <c r="E21" s="2110" t="str">
        <f>'LƯƠNG KT'!D25</f>
        <v>N. Đeng (2)</v>
      </c>
      <c r="F21" s="2110" t="str">
        <f>'LƯƠNG KT'!E25</f>
        <v>CNKT</v>
      </c>
      <c r="G21" s="1840">
        <f>VLOOKUP(E21,'LƯƠNG KT'!$D$16:$Z$108,4,0)</f>
        <v>0</v>
      </c>
      <c r="H21" s="1840">
        <f>VLOOKUP(E21,'LƯƠNG KT'!$D$16:$Z$108,11,0)</f>
        <v>7278688</v>
      </c>
      <c r="I21" s="1840">
        <f>VLOOKUP(E21,'LƯƠNG KT'!$D$16:$Z$108,23,0)</f>
        <v>1036874</v>
      </c>
      <c r="J21" s="2096">
        <f t="shared" si="0"/>
        <v>8315562</v>
      </c>
      <c r="K21" s="2096"/>
      <c r="L21" s="1840"/>
      <c r="M21" s="1840">
        <f t="shared" si="1"/>
        <v>8315562</v>
      </c>
      <c r="N21" s="2110"/>
      <c r="O21" s="636">
        <f>+J21-'[15]LƯƠNG KT'!AA25</f>
        <v>-23773</v>
      </c>
    </row>
    <row r="22" spans="1:15" s="242" customFormat="1" ht="18.75" customHeight="1">
      <c r="A22" s="1246">
        <v>11</v>
      </c>
      <c r="B22" s="2108">
        <v>11</v>
      </c>
      <c r="C22" s="1332" t="e">
        <f>VLOOKUP(E22,'[15]DS CN MOI UP'!$B$10:$C$347,2,0)</f>
        <v>#N/A</v>
      </c>
      <c r="D22" s="2109" t="s">
        <v>651</v>
      </c>
      <c r="E22" s="2110" t="str">
        <f>'LƯƠNG KT'!D26</f>
        <v>T. May</v>
      </c>
      <c r="F22" s="2110" t="str">
        <f>'LƯƠNG KT'!E26</f>
        <v>CNKT</v>
      </c>
      <c r="G22" s="1840">
        <f>VLOOKUP(E22,'LƯƠNG KT'!$D$16:$Z$108,4,0)</f>
        <v>0</v>
      </c>
      <c r="H22" s="1840">
        <f>VLOOKUP(E22,'LƯƠNG KT'!$D$16:$Z$108,11,0)</f>
        <v>9434179</v>
      </c>
      <c r="I22" s="1840">
        <f>VLOOKUP(E22,'LƯƠNG KT'!$D$16:$Z$108,23,0)</f>
        <v>1036874</v>
      </c>
      <c r="J22" s="2096">
        <f t="shared" si="0"/>
        <v>10471053</v>
      </c>
      <c r="K22" s="2096"/>
      <c r="L22" s="1840"/>
      <c r="M22" s="1840">
        <f t="shared" si="1"/>
        <v>10471053</v>
      </c>
      <c r="N22" s="2110"/>
      <c r="O22" s="636">
        <f>+J22-'[15]LƯƠNG KT'!AA26</f>
        <v>951466</v>
      </c>
    </row>
    <row r="23" spans="1:15" s="242" customFormat="1" ht="18.75" customHeight="1">
      <c r="A23" s="1246">
        <v>12</v>
      </c>
      <c r="B23" s="2108">
        <v>12</v>
      </c>
      <c r="C23" s="1332" t="e">
        <f>VLOOKUP(E23,'[15]DS CN MOI UP'!$B$10:$C$347,2,0)</f>
        <v>#N/A</v>
      </c>
      <c r="D23" s="2109" t="s">
        <v>651</v>
      </c>
      <c r="E23" s="2110" t="str">
        <f>'LƯƠNG KT'!D27</f>
        <v>N. Bay</v>
      </c>
      <c r="F23" s="2110" t="str">
        <f>'LƯƠNG KT'!E27</f>
        <v>CNKT</v>
      </c>
      <c r="G23" s="1840">
        <f>VLOOKUP(E23,'LƯƠNG KT'!$D$16:$Z$108,4,0)</f>
        <v>0</v>
      </c>
      <c r="H23" s="1840">
        <f>VLOOKUP(E23,'LƯƠNG KT'!$D$16:$Z$108,11,0)</f>
        <v>5059515</v>
      </c>
      <c r="I23" s="1840">
        <f>VLOOKUP(E23,'LƯƠNG KT'!$D$16:$Z$108,23,0)</f>
        <v>1036874</v>
      </c>
      <c r="J23" s="2096">
        <f t="shared" si="0"/>
        <v>6096389</v>
      </c>
      <c r="K23" s="2096"/>
      <c r="L23" s="1840"/>
      <c r="M23" s="1840">
        <f t="shared" si="1"/>
        <v>6096389</v>
      </c>
      <c r="N23" s="2110"/>
      <c r="O23" s="636">
        <f>+J23-'[15]LƯƠNG KT'!AA27</f>
        <v>-338429</v>
      </c>
    </row>
    <row r="24" spans="1:15" s="242" customFormat="1" ht="18.75" customHeight="1">
      <c r="A24" s="1246">
        <v>13</v>
      </c>
      <c r="B24" s="2108">
        <v>13</v>
      </c>
      <c r="C24" s="1332" t="e">
        <f>VLOOKUP(E24,'[15]DS CN MOI UP'!$B$10:$C$347,2,0)</f>
        <v>#N/A</v>
      </c>
      <c r="D24" s="2109" t="s">
        <v>651</v>
      </c>
      <c r="E24" s="2110" t="str">
        <f>'LƯƠNG KT'!D28</f>
        <v>T Núc</v>
      </c>
      <c r="F24" s="2110" t="str">
        <f>'LƯƠNG KT'!E28</f>
        <v>CNKT</v>
      </c>
      <c r="G24" s="1840">
        <f>VLOOKUP(E24,'LƯƠNG KT'!$D$16:$Z$108,4,0)</f>
        <v>0</v>
      </c>
      <c r="H24" s="1840">
        <f>VLOOKUP(E24,'LƯƠNG KT'!$D$16:$Z$108,11,0)</f>
        <v>5076213</v>
      </c>
      <c r="I24" s="1840">
        <f>VLOOKUP(E24,'LƯƠNG KT'!$D$16:$Z$108,23,0)</f>
        <v>1036874</v>
      </c>
      <c r="J24" s="2096">
        <f t="shared" si="0"/>
        <v>6113087</v>
      </c>
      <c r="K24" s="2096"/>
      <c r="L24" s="1840"/>
      <c r="M24" s="1840">
        <f t="shared" si="1"/>
        <v>6113087</v>
      </c>
      <c r="N24" s="2110"/>
      <c r="O24" s="636">
        <f>+J24-'[15]LƯƠNG KT'!AA28</f>
        <v>-32460</v>
      </c>
    </row>
    <row r="25" spans="1:15" s="242" customFormat="1" ht="18.75" customHeight="1">
      <c r="A25" s="1246">
        <v>14</v>
      </c>
      <c r="B25" s="2108">
        <v>14</v>
      </c>
      <c r="C25" s="1332" t="e">
        <f>VLOOKUP(E25,'[15]DS CN MOI UP'!$B$10:$C$347,2,0)</f>
        <v>#N/A</v>
      </c>
      <c r="D25" s="2109" t="s">
        <v>651</v>
      </c>
      <c r="E25" s="2110" t="str">
        <f>'LƯƠNG KT'!D29</f>
        <v>T. Cô</v>
      </c>
      <c r="F25" s="2110" t="str">
        <f>'LƯƠNG KT'!E29</f>
        <v>CNKT</v>
      </c>
      <c r="G25" s="1840">
        <f>VLOOKUP(E25,'LƯƠNG KT'!$D$16:$Z$108,4,0)</f>
        <v>0</v>
      </c>
      <c r="H25" s="1840">
        <f>VLOOKUP(E25,'LƯƠNG KT'!$D$16:$Z$108,11,0)</f>
        <v>7725419</v>
      </c>
      <c r="I25" s="1840">
        <f>VLOOKUP(E25,'LƯƠNG KT'!$D$16:$Z$108,23,0)</f>
        <v>1036874</v>
      </c>
      <c r="J25" s="2096">
        <f t="shared" si="0"/>
        <v>8762293</v>
      </c>
      <c r="K25" s="2096"/>
      <c r="L25" s="1840"/>
      <c r="M25" s="1840">
        <f t="shared" si="1"/>
        <v>8762293</v>
      </c>
      <c r="N25" s="2110"/>
      <c r="O25" s="636">
        <f>+J25-'[15]LƯƠNG KT'!AA29</f>
        <v>-768273</v>
      </c>
    </row>
    <row r="26" spans="1:15" s="242" customFormat="1" ht="18.75" customHeight="1">
      <c r="A26" s="1246">
        <v>15</v>
      </c>
      <c r="B26" s="2108">
        <v>15</v>
      </c>
      <c r="C26" s="1332" t="e">
        <f>VLOOKUP(E26,'[15]DS CN MOI UP'!$B$10:$C$347,2,0)</f>
        <v>#N/A</v>
      </c>
      <c r="D26" s="2109" t="s">
        <v>651</v>
      </c>
      <c r="E26" s="2110" t="str">
        <f>'LƯƠNG KT'!D30</f>
        <v>T. Nả</v>
      </c>
      <c r="F26" s="2110" t="str">
        <f>'LƯƠNG KT'!E30</f>
        <v>CNKT</v>
      </c>
      <c r="G26" s="1840">
        <f>VLOOKUP(E26,'LƯƠNG KT'!$D$16:$Z$108,4,0)</f>
        <v>0</v>
      </c>
      <c r="H26" s="1840">
        <f>VLOOKUP(E26,'LƯƠNG KT'!$D$16:$Z$108,11,0)</f>
        <v>7138424</v>
      </c>
      <c r="I26" s="1840">
        <f>VLOOKUP(E26,'LƯƠNG KT'!$D$16:$Z$108,23,0)</f>
        <v>1036874</v>
      </c>
      <c r="J26" s="2096">
        <f t="shared" si="0"/>
        <v>8175298</v>
      </c>
      <c r="K26" s="2096"/>
      <c r="L26" s="1840"/>
      <c r="M26" s="1840">
        <f t="shared" si="1"/>
        <v>8175298</v>
      </c>
      <c r="N26" s="2110"/>
      <c r="O26" s="636">
        <f>+J26-'[15]LƯƠNG KT'!AA30</f>
        <v>298315</v>
      </c>
    </row>
    <row r="27" spans="1:15" s="242" customFormat="1" ht="18.75" customHeight="1">
      <c r="A27" s="1246">
        <v>16</v>
      </c>
      <c r="B27" s="2108">
        <v>16</v>
      </c>
      <c r="C27" s="1332" t="e">
        <f>VLOOKUP(E27,'[15]DS CN MOI UP'!$B$10:$C$347,2,0)</f>
        <v>#N/A</v>
      </c>
      <c r="D27" s="2109" t="s">
        <v>654</v>
      </c>
      <c r="E27" s="2110" t="str">
        <f>'LƯƠNG KT'!D31</f>
        <v>N. Túc</v>
      </c>
      <c r="F27" s="2110" t="str">
        <f>'LƯƠNG KT'!E31</f>
        <v>CNKT</v>
      </c>
      <c r="G27" s="1840">
        <f>VLOOKUP(E27,'LƯƠNG KT'!$D$16:$Z$108,4,0)</f>
        <v>0</v>
      </c>
      <c r="H27" s="1840">
        <f>VLOOKUP(E27,'LƯƠNG KT'!$D$16:$Z$108,11,0)</f>
        <v>7957234</v>
      </c>
      <c r="I27" s="1840">
        <f>VLOOKUP(E27,'LƯƠNG KT'!$D$16:$Z$108,23,0)</f>
        <v>1036874</v>
      </c>
      <c r="J27" s="2096">
        <f t="shared" si="0"/>
        <v>8994108</v>
      </c>
      <c r="K27" s="2096"/>
      <c r="L27" s="1840"/>
      <c r="M27" s="1840">
        <f t="shared" si="1"/>
        <v>8994108</v>
      </c>
      <c r="N27" s="2110"/>
      <c r="O27" s="636">
        <f>+J27-'[15]LƯƠNG KT'!AA31</f>
        <v>88306</v>
      </c>
    </row>
    <row r="28" spans="1:15" s="242" customFormat="1" ht="18.75" customHeight="1">
      <c r="A28" s="1246">
        <v>17</v>
      </c>
      <c r="B28" s="2108">
        <v>17</v>
      </c>
      <c r="C28" s="1332" t="e">
        <f>VLOOKUP(E28,'[15]DS CN MOI UP'!$B$10:$C$347,2,0)</f>
        <v>#N/A</v>
      </c>
      <c r="D28" s="2109" t="s">
        <v>654</v>
      </c>
      <c r="E28" s="2110" t="str">
        <f>'LƯƠNG KT'!D32</f>
        <v>Thảo Phút</v>
      </c>
      <c r="F28" s="2110" t="str">
        <f>'LƯƠNG KT'!E32</f>
        <v>CNKT</v>
      </c>
      <c r="G28" s="1840">
        <f>VLOOKUP(E28,'LƯƠNG KT'!$D$16:$Z$108,4,0)</f>
        <v>0</v>
      </c>
      <c r="H28" s="1840">
        <f>VLOOKUP(E28,'LƯƠNG KT'!$D$16:$Z$108,11,0)</f>
        <v>7846595</v>
      </c>
      <c r="I28" s="1840">
        <f>VLOOKUP(E28,'LƯƠNG KT'!$D$16:$Z$108,23,0)</f>
        <v>1036874</v>
      </c>
      <c r="J28" s="2096">
        <f t="shared" si="0"/>
        <v>8883469</v>
      </c>
      <c r="K28" s="2096"/>
      <c r="L28" s="1840"/>
      <c r="M28" s="1840">
        <f t="shared" si="1"/>
        <v>8883469</v>
      </c>
      <c r="N28" s="2110"/>
      <c r="O28" s="636">
        <f>+J28-'[15]LƯƠNG KT'!AA32</f>
        <v>763716</v>
      </c>
    </row>
    <row r="29" spans="1:15" s="242" customFormat="1" ht="18.75" customHeight="1">
      <c r="A29" s="1246">
        <v>18</v>
      </c>
      <c r="B29" s="2108">
        <v>18</v>
      </c>
      <c r="C29" s="1332" t="e">
        <f>VLOOKUP(E29,'[15]DS CN MOI UP'!$B$10:$C$347,2,0)</f>
        <v>#N/A</v>
      </c>
      <c r="D29" s="2109" t="s">
        <v>654</v>
      </c>
      <c r="E29" s="2110" t="str">
        <f>'LƯƠNG KT'!D33</f>
        <v>T. Lu</v>
      </c>
      <c r="F29" s="2110" t="str">
        <f>'LƯƠNG KT'!E33</f>
        <v>CNKT</v>
      </c>
      <c r="G29" s="1840">
        <f>VLOOKUP(E29,'LƯƠNG KT'!$D$16:$Z$108,4,0)</f>
        <v>0</v>
      </c>
      <c r="H29" s="1840">
        <f>VLOOKUP(E29,'LƯƠNG KT'!$D$16:$Z$108,11,0)</f>
        <v>5657306</v>
      </c>
      <c r="I29" s="1840">
        <f>VLOOKUP(E29,'LƯƠNG KT'!$D$16:$Z$108,23,0)</f>
        <v>944495</v>
      </c>
      <c r="J29" s="2096">
        <f t="shared" si="0"/>
        <v>6601801</v>
      </c>
      <c r="K29" s="2096"/>
      <c r="L29" s="1840"/>
      <c r="M29" s="1840">
        <f t="shared" si="1"/>
        <v>6601801</v>
      </c>
      <c r="N29" s="2110"/>
      <c r="O29" s="636">
        <f>+J29-'[15]LƯƠNG KT'!AA33</f>
        <v>-172066</v>
      </c>
    </row>
    <row r="30" spans="1:15" s="242" customFormat="1" ht="18.75" customHeight="1">
      <c r="A30" s="1246">
        <v>19</v>
      </c>
      <c r="B30" s="2108">
        <v>19</v>
      </c>
      <c r="C30" s="1332" t="e">
        <f>VLOOKUP(E30,'[15]DS CN MOI UP'!$B$10:$C$347,2,0)</f>
        <v>#N/A</v>
      </c>
      <c r="D30" s="2109" t="s">
        <v>654</v>
      </c>
      <c r="E30" s="2110" t="str">
        <f>'LƯƠNG KT'!D34</f>
        <v>T. Say</v>
      </c>
      <c r="F30" s="2110" t="str">
        <f>'LƯƠNG KT'!E34</f>
        <v>CNKT</v>
      </c>
      <c r="G30" s="1840">
        <f>VLOOKUP(E30,'LƯƠNG KT'!$D$16:$Z$108,4,0)</f>
        <v>0</v>
      </c>
      <c r="H30" s="1840">
        <f>VLOOKUP(E30,'LƯƠNG KT'!$D$16:$Z$108,11,0)</f>
        <v>7428625</v>
      </c>
      <c r="I30" s="1840">
        <f>VLOOKUP(E30,'LƯƠNG KT'!$D$16:$Z$108,23,0)</f>
        <v>1036874</v>
      </c>
      <c r="J30" s="2096">
        <f t="shared" si="0"/>
        <v>8465499</v>
      </c>
      <c r="K30" s="2096"/>
      <c r="L30" s="1840"/>
      <c r="M30" s="1840">
        <f t="shared" si="1"/>
        <v>8465499</v>
      </c>
      <c r="N30" s="2110"/>
      <c r="O30" s="636">
        <f>+J30-'[15]LƯƠNG KT'!AA34</f>
        <v>-569533</v>
      </c>
    </row>
    <row r="31" spans="1:15" s="242" customFormat="1" ht="18.75" customHeight="1">
      <c r="A31" s="1246">
        <v>20</v>
      </c>
      <c r="B31" s="2108">
        <v>20</v>
      </c>
      <c r="C31" s="1332" t="e">
        <f>VLOOKUP(E31,'[15]DS CN MOI UP'!$B$10:$C$347,2,0)</f>
        <v>#N/A</v>
      </c>
      <c r="D31" s="2109" t="s">
        <v>654</v>
      </c>
      <c r="E31" s="2110" t="str">
        <f>'LƯƠNG KT'!D35</f>
        <v>N. Khun Mi</v>
      </c>
      <c r="F31" s="2110" t="str">
        <f>'LƯƠNG KT'!E35</f>
        <v>CNKT</v>
      </c>
      <c r="G31" s="1840">
        <f>VLOOKUP(E31,'LƯƠNG KT'!$D$16:$Z$108,4,0)</f>
        <v>0</v>
      </c>
      <c r="H31" s="1840">
        <f>VLOOKUP(E31,'LƯƠNG KT'!$D$16:$Z$108,11,0)</f>
        <v>6647501</v>
      </c>
      <c r="I31" s="1840">
        <f>VLOOKUP(E31,'LƯƠNG KT'!$D$16:$Z$108,23,0)</f>
        <v>1036874</v>
      </c>
      <c r="J31" s="2096">
        <f t="shared" si="0"/>
        <v>7684375</v>
      </c>
      <c r="K31" s="2096"/>
      <c r="L31" s="1840"/>
      <c r="M31" s="1840">
        <f t="shared" si="1"/>
        <v>7684375</v>
      </c>
      <c r="N31" s="2110"/>
      <c r="O31" s="636">
        <f>+J31-'[15]LƯƠNG KT'!AA35</f>
        <v>-368334</v>
      </c>
    </row>
    <row r="32" spans="1:15" s="242" customFormat="1" ht="18.75" customHeight="1">
      <c r="A32" s="1246">
        <v>21</v>
      </c>
      <c r="B32" s="2108">
        <v>21</v>
      </c>
      <c r="C32" s="1332" t="e">
        <f>VLOOKUP(E32,'[15]DS CN MOI UP'!$B$10:$C$347,2,0)</f>
        <v>#N/A</v>
      </c>
      <c r="D32" s="2109" t="s">
        <v>654</v>
      </c>
      <c r="E32" s="2110" t="str">
        <f>'LƯƠNG KT'!D36</f>
        <v>A Tền</v>
      </c>
      <c r="F32" s="2110" t="str">
        <f>'LƯƠNG KT'!E36</f>
        <v>CNKT</v>
      </c>
      <c r="G32" s="1840">
        <f>VLOOKUP(E32,'LƯƠNG KT'!$D$16:$Z$108,4,0)</f>
        <v>0</v>
      </c>
      <c r="H32" s="1840">
        <f>VLOOKUP(E32,'LƯƠNG KT'!$D$16:$Z$108,11,0)</f>
        <v>6171606</v>
      </c>
      <c r="I32" s="1840">
        <f>VLOOKUP(E32,'LƯƠNG KT'!$D$16:$Z$108,23,0)</f>
        <v>1036874</v>
      </c>
      <c r="J32" s="2096">
        <f t="shared" si="0"/>
        <v>7208480</v>
      </c>
      <c r="K32" s="2096"/>
      <c r="L32" s="1840"/>
      <c r="M32" s="1840">
        <f t="shared" si="1"/>
        <v>7208480</v>
      </c>
      <c r="N32" s="2110"/>
      <c r="O32" s="636">
        <f>+J32-'[15]LƯƠNG KT'!AA36</f>
        <v>-400566</v>
      </c>
    </row>
    <row r="33" spans="1:15" s="242" customFormat="1" ht="18.75" customHeight="1">
      <c r="A33" s="1246">
        <v>22</v>
      </c>
      <c r="B33" s="2108">
        <v>22</v>
      </c>
      <c r="C33" s="1332" t="e">
        <f>VLOOKUP(E33,'[15]DS CN MOI UP'!$B$10:$C$347,2,0)</f>
        <v>#N/A</v>
      </c>
      <c r="D33" s="2109" t="s">
        <v>654</v>
      </c>
      <c r="E33" s="2110" t="str">
        <f>'LƯƠNG KT'!D37</f>
        <v>T. Pon</v>
      </c>
      <c r="F33" s="2110" t="str">
        <f>'LƯƠNG KT'!E37</f>
        <v>CNKT</v>
      </c>
      <c r="G33" s="1840">
        <f>VLOOKUP(E33,'LƯƠNG KT'!$D$16:$Z$108,4,0)</f>
        <v>0</v>
      </c>
      <c r="H33" s="1840">
        <f>VLOOKUP(E33,'LƯƠNG KT'!$D$16:$Z$108,11,0)</f>
        <v>7380546</v>
      </c>
      <c r="I33" s="1840">
        <f>VLOOKUP(E33,'LƯƠNG KT'!$D$16:$Z$108,23,0)</f>
        <v>1036874</v>
      </c>
      <c r="J33" s="2096">
        <f t="shared" si="0"/>
        <v>8417420</v>
      </c>
      <c r="K33" s="2096"/>
      <c r="L33" s="1840"/>
      <c r="M33" s="1840">
        <f t="shared" si="1"/>
        <v>8417420</v>
      </c>
      <c r="N33" s="2110"/>
      <c r="O33" s="636">
        <f>+J33-'[15]LƯƠNG KT'!AA37</f>
        <v>2131660</v>
      </c>
    </row>
    <row r="34" spans="1:15" s="242" customFormat="1" ht="18.75" customHeight="1">
      <c r="A34" s="1246">
        <v>23</v>
      </c>
      <c r="B34" s="2108">
        <v>23</v>
      </c>
      <c r="C34" s="1332" t="e">
        <f>VLOOKUP(E34,'[15]DS CN MOI UP'!$B$10:$C$347,2,0)</f>
        <v>#N/A</v>
      </c>
      <c r="D34" s="2109" t="s">
        <v>654</v>
      </c>
      <c r="E34" s="2110" t="str">
        <f>'LƯƠNG KT'!D38</f>
        <v>T. Ly</v>
      </c>
      <c r="F34" s="2110" t="str">
        <f>'LƯƠNG KT'!E38</f>
        <v>CNKT</v>
      </c>
      <c r="G34" s="1840">
        <f>VLOOKUP(E34,'LƯƠNG KT'!$D$16:$Z$108,4,0)</f>
        <v>0</v>
      </c>
      <c r="H34" s="1840">
        <f>VLOOKUP(E34,'LƯƠNG KT'!$D$16:$Z$108,11,0)</f>
        <v>5995586</v>
      </c>
      <c r="I34" s="1840">
        <f>VLOOKUP(E34,'LƯƠNG KT'!$D$16:$Z$108,23,0)</f>
        <v>944495</v>
      </c>
      <c r="J34" s="2096">
        <f t="shared" si="0"/>
        <v>6940081</v>
      </c>
      <c r="K34" s="2096"/>
      <c r="L34" s="1840"/>
      <c r="M34" s="1840">
        <f t="shared" si="1"/>
        <v>6940081</v>
      </c>
      <c r="N34" s="2110"/>
      <c r="O34" s="636">
        <f>+J34-'[15]LƯƠNG KT'!AA38</f>
        <v>-155707</v>
      </c>
    </row>
    <row r="35" spans="1:15" s="242" customFormat="1" ht="18.75" customHeight="1">
      <c r="A35" s="1246">
        <v>24</v>
      </c>
      <c r="B35" s="2108">
        <v>24</v>
      </c>
      <c r="C35" s="1332" t="e">
        <f>VLOOKUP(E35,'[15]DS CN MOI UP'!$B$10:$C$347,2,0)</f>
        <v>#N/A</v>
      </c>
      <c r="D35" s="2109" t="s">
        <v>654</v>
      </c>
      <c r="E35" s="2110" t="str">
        <f>'LƯƠNG KT'!D39</f>
        <v>Văn Đi</v>
      </c>
      <c r="F35" s="2110" t="str">
        <f>'LƯƠNG KT'!E39</f>
        <v>CNKT</v>
      </c>
      <c r="G35" s="1840">
        <f>VLOOKUP(E35,'LƯƠNG KT'!$D$16:$Z$108,4,0)</f>
        <v>0</v>
      </c>
      <c r="H35" s="1840">
        <f>VLOOKUP(E35,'LƯƠNG KT'!$D$16:$Z$108,11,0)</f>
        <v>8310226</v>
      </c>
      <c r="I35" s="1840">
        <f>VLOOKUP(E35,'LƯƠNG KT'!$D$16:$Z$108,23,0)</f>
        <v>1036874</v>
      </c>
      <c r="J35" s="2096">
        <f t="shared" si="0"/>
        <v>9347100</v>
      </c>
      <c r="K35" s="2096"/>
      <c r="L35" s="1840"/>
      <c r="M35" s="1840">
        <f t="shared" si="1"/>
        <v>9347100</v>
      </c>
      <c r="N35" s="2110"/>
      <c r="O35" s="636">
        <f>+J35-'[15]LƯƠNG KT'!AA39</f>
        <v>-220417</v>
      </c>
    </row>
    <row r="36" spans="1:15" s="242" customFormat="1" ht="18.75" customHeight="1">
      <c r="A36" s="1246">
        <v>25</v>
      </c>
      <c r="B36" s="2108">
        <v>25</v>
      </c>
      <c r="C36" s="1332" t="e">
        <f>VLOOKUP(E36,'[15]DS CN MOI UP'!$B$10:$C$347,2,0)</f>
        <v>#N/A</v>
      </c>
      <c r="D36" s="2109" t="s">
        <v>654</v>
      </c>
      <c r="E36" s="2110" t="str">
        <f>'LƯƠNG KT'!D40</f>
        <v xml:space="preserve">Chày </v>
      </c>
      <c r="F36" s="2110" t="str">
        <f>'LƯƠNG KT'!E40</f>
        <v>CNKT</v>
      </c>
      <c r="G36" s="1840">
        <f>VLOOKUP(E36,'LƯƠNG KT'!$D$16:$Z$108,4,0)</f>
        <v>0</v>
      </c>
      <c r="H36" s="1840">
        <f>VLOOKUP(E36,'LƯƠNG KT'!$D$16:$Z$108,11,0)</f>
        <v>9446472</v>
      </c>
      <c r="I36" s="1840">
        <f>VLOOKUP(E36,'LƯƠNG KT'!$D$16:$Z$108,23,0)</f>
        <v>1036874</v>
      </c>
      <c r="J36" s="2096">
        <f t="shared" si="0"/>
        <v>10483346</v>
      </c>
      <c r="K36" s="2096"/>
      <c r="L36" s="1840"/>
      <c r="M36" s="1840">
        <f t="shared" si="1"/>
        <v>10483346</v>
      </c>
      <c r="N36" s="2110"/>
      <c r="O36" s="636">
        <f>+J36-'[15]LƯƠNG KT'!AA40</f>
        <v>513616</v>
      </c>
    </row>
    <row r="37" spans="1:15" s="242" customFormat="1" ht="18.75" customHeight="1">
      <c r="A37" s="1246">
        <v>26</v>
      </c>
      <c r="B37" s="2108">
        <v>26</v>
      </c>
      <c r="C37" s="1332" t="e">
        <f>VLOOKUP(E37,'[15]DS CN MOI UP'!$B$10:$C$347,2,0)</f>
        <v>#N/A</v>
      </c>
      <c r="D37" s="2109" t="s">
        <v>654</v>
      </c>
      <c r="E37" s="2110" t="str">
        <f>'LƯƠNG KT'!D41</f>
        <v>Thảo Thủy</v>
      </c>
      <c r="F37" s="2110" t="str">
        <f>'LƯƠNG KT'!E41</f>
        <v>CNKT</v>
      </c>
      <c r="G37" s="1840">
        <f>VLOOKUP(E37,'LƯƠNG KT'!$D$16:$Z$108,4,0)</f>
        <v>0</v>
      </c>
      <c r="H37" s="1840">
        <f>VLOOKUP(E37,'LƯƠNG KT'!$D$16:$Z$108,11,0)</f>
        <v>8847616</v>
      </c>
      <c r="I37" s="1840">
        <f>VLOOKUP(E37,'LƯƠNG KT'!$D$16:$Z$108,23,0)</f>
        <v>1036874</v>
      </c>
      <c r="J37" s="2096">
        <f t="shared" si="0"/>
        <v>9884490</v>
      </c>
      <c r="K37" s="2096"/>
      <c r="L37" s="1840"/>
      <c r="M37" s="1840">
        <f t="shared" si="1"/>
        <v>9884490</v>
      </c>
      <c r="N37" s="2110"/>
      <c r="O37" s="636">
        <f>+J37-'[15]LƯƠNG KT'!AA41</f>
        <v>-1067868</v>
      </c>
    </row>
    <row r="38" spans="1:15" s="242" customFormat="1" ht="18.75" customHeight="1">
      <c r="A38" s="1246">
        <v>27</v>
      </c>
      <c r="B38" s="2108">
        <v>27</v>
      </c>
      <c r="C38" s="1332" t="e">
        <f>VLOOKUP(E38,'[15]DS CN MOI UP'!$B$10:$C$347,2,0)</f>
        <v>#N/A</v>
      </c>
      <c r="D38" s="2109" t="s">
        <v>654</v>
      </c>
      <c r="E38" s="2110" t="str">
        <f>'LƯƠNG KT'!D42</f>
        <v>Thảo Ngân</v>
      </c>
      <c r="F38" s="2110" t="str">
        <f>'LƯƠNG KT'!E42</f>
        <v>CNKT</v>
      </c>
      <c r="G38" s="1840">
        <f>VLOOKUP(E38,'LƯƠNG KT'!$D$16:$Z$108,4,0)</f>
        <v>0</v>
      </c>
      <c r="H38" s="1840">
        <f>VLOOKUP(E38,'LƯƠNG KT'!$D$16:$Z$108,11,0)</f>
        <v>8247004</v>
      </c>
      <c r="I38" s="1840">
        <f>VLOOKUP(E38,'LƯƠNG KT'!$D$16:$Z$108,23,0)</f>
        <v>1036874</v>
      </c>
      <c r="J38" s="2096">
        <f t="shared" si="0"/>
        <v>9283878</v>
      </c>
      <c r="K38" s="2096"/>
      <c r="L38" s="1840"/>
      <c r="M38" s="1840">
        <f t="shared" si="1"/>
        <v>9283878</v>
      </c>
      <c r="N38" s="2110"/>
      <c r="O38" s="636">
        <f>+J38-'[15]LƯƠNG KT'!AA42</f>
        <v>-839559</v>
      </c>
    </row>
    <row r="39" spans="1:15" s="242" customFormat="1" ht="18.75" customHeight="1">
      <c r="A39" s="1246">
        <v>28</v>
      </c>
      <c r="B39" s="2108">
        <v>28</v>
      </c>
      <c r="C39" s="1332" t="e">
        <f>VLOOKUP(E39,'[15]DS CN MOI UP'!$B$10:$C$347,2,0)</f>
        <v>#N/A</v>
      </c>
      <c r="D39" s="2109" t="s">
        <v>654</v>
      </c>
      <c r="E39" s="2110" t="str">
        <f>'LƯƠNG KT'!D43</f>
        <v>T Đeng</v>
      </c>
      <c r="F39" s="2110" t="str">
        <f>'LƯƠNG KT'!E43</f>
        <v>CNKT</v>
      </c>
      <c r="G39" s="1840">
        <f>VLOOKUP(E39,'LƯƠNG KT'!$D$16:$Z$108,4,0)</f>
        <v>0</v>
      </c>
      <c r="H39" s="1840">
        <f>VLOOKUP(E39,'LƯƠNG KT'!$D$16:$Z$108,11,0)</f>
        <v>9396003</v>
      </c>
      <c r="I39" s="1840">
        <f>VLOOKUP(E39,'LƯƠNG KT'!$D$16:$Z$108,23,0)</f>
        <v>1036874</v>
      </c>
      <c r="J39" s="2096">
        <f t="shared" si="0"/>
        <v>10432877</v>
      </c>
      <c r="K39" s="2096"/>
      <c r="L39" s="1840"/>
      <c r="M39" s="1840">
        <f t="shared" si="1"/>
        <v>10432877</v>
      </c>
      <c r="N39" s="2110"/>
      <c r="O39" s="636">
        <f>+J39-'[15]LƯƠNG KT'!AA43</f>
        <v>-325307</v>
      </c>
    </row>
    <row r="40" spans="1:15" s="242" customFormat="1" ht="18.75" customHeight="1">
      <c r="A40" s="1246">
        <v>29</v>
      </c>
      <c r="B40" s="2108">
        <v>29</v>
      </c>
      <c r="C40" s="1332" t="e">
        <f>VLOOKUP(E40,'[15]DS CN MOI UP'!$B$10:$C$347,2,0)</f>
        <v>#N/A</v>
      </c>
      <c r="D40" s="2109" t="s">
        <v>654</v>
      </c>
      <c r="E40" s="2110" t="str">
        <f>'LƯƠNG KT'!D44</f>
        <v>Thảo Xiều</v>
      </c>
      <c r="F40" s="2110" t="str">
        <f>'LƯƠNG KT'!E44</f>
        <v>CNKT</v>
      </c>
      <c r="G40" s="1840">
        <f>VLOOKUP(E40,'LƯƠNG KT'!$D$16:$Z$108,4,0)</f>
        <v>0</v>
      </c>
      <c r="H40" s="1840">
        <f>VLOOKUP(E40,'LƯƠNG KT'!$D$16:$Z$108,11,0)</f>
        <v>7892256</v>
      </c>
      <c r="I40" s="1840">
        <f>VLOOKUP(E40,'LƯƠNG KT'!$D$16:$Z$108,23,0)</f>
        <v>1036874</v>
      </c>
      <c r="J40" s="2096">
        <f t="shared" si="0"/>
        <v>8929130</v>
      </c>
      <c r="K40" s="2096"/>
      <c r="L40" s="1840"/>
      <c r="M40" s="1840">
        <f t="shared" si="1"/>
        <v>8929130</v>
      </c>
      <c r="N40" s="2110"/>
      <c r="O40" s="636">
        <f>+J40-'[15]LƯƠNG KT'!AA44</f>
        <v>-1799986</v>
      </c>
    </row>
    <row r="41" spans="1:15" s="242" customFormat="1" ht="18.75" customHeight="1">
      <c r="A41" s="1246">
        <v>30</v>
      </c>
      <c r="B41" s="2108">
        <v>30</v>
      </c>
      <c r="C41" s="1332" t="e">
        <f>VLOOKUP(E41,'[15]DS CN MOI UP'!$B$10:$C$347,2,0)</f>
        <v>#N/A</v>
      </c>
      <c r="D41" s="2109" t="s">
        <v>654</v>
      </c>
      <c r="E41" s="2110" t="str">
        <f>'LƯƠNG KT'!D45</f>
        <v>Văn Na Nọi</v>
      </c>
      <c r="F41" s="2110" t="str">
        <f>'LƯƠNG KT'!E45</f>
        <v>CNKT</v>
      </c>
      <c r="G41" s="1840">
        <f>VLOOKUP(E41,'LƯƠNG KT'!$D$16:$Z$108,4,0)</f>
        <v>0</v>
      </c>
      <c r="H41" s="1840">
        <f>VLOOKUP(E41,'LƯƠNG KT'!$D$16:$Z$108,11,0)</f>
        <v>8993378</v>
      </c>
      <c r="I41" s="1840">
        <f>VLOOKUP(E41,'LƯƠNG KT'!$D$16:$Z$108,23,0)</f>
        <v>1036874</v>
      </c>
      <c r="J41" s="2096">
        <f t="shared" si="0"/>
        <v>10030252</v>
      </c>
      <c r="K41" s="2096"/>
      <c r="L41" s="1840"/>
      <c r="M41" s="1840">
        <f t="shared" si="1"/>
        <v>10030252</v>
      </c>
      <c r="N41" s="2110"/>
      <c r="O41" s="636">
        <f>+J41-'[15]LƯƠNG KT'!AA45</f>
        <v>1295520</v>
      </c>
    </row>
    <row r="42" spans="1:15" s="242" customFormat="1" ht="18.75" customHeight="1">
      <c r="A42" s="1246">
        <v>31</v>
      </c>
      <c r="B42" s="2108">
        <v>31</v>
      </c>
      <c r="C42" s="1332" t="e">
        <f>VLOOKUP(E42,'[15]DS CN MOI UP'!$B$10:$C$347,2,0)</f>
        <v>#N/A</v>
      </c>
      <c r="D42" s="2109" t="s">
        <v>654</v>
      </c>
      <c r="E42" s="2110" t="str">
        <f>'LƯƠNG KT'!D46</f>
        <v>T. Ta</v>
      </c>
      <c r="F42" s="2110" t="str">
        <f>'LƯƠNG KT'!E46</f>
        <v>CNKT</v>
      </c>
      <c r="G42" s="1840">
        <f>VLOOKUP(E42,'LƯƠNG KT'!$D$16:$Z$108,4,0)</f>
        <v>0</v>
      </c>
      <c r="H42" s="1840">
        <f>VLOOKUP(E42,'LƯƠNG KT'!$D$16:$Z$108,11,0)</f>
        <v>8120559</v>
      </c>
      <c r="I42" s="1840">
        <f>VLOOKUP(E42,'LƯƠNG KT'!$D$16:$Z$108,23,0)</f>
        <v>1036874</v>
      </c>
      <c r="J42" s="2096">
        <f t="shared" si="0"/>
        <v>9157433</v>
      </c>
      <c r="K42" s="2096"/>
      <c r="L42" s="1840"/>
      <c r="M42" s="1840">
        <f t="shared" si="1"/>
        <v>9157433</v>
      </c>
      <c r="N42" s="2110"/>
      <c r="O42" s="636">
        <f>+J42-'[15]LƯƠNG KT'!AA46</f>
        <v>-415574</v>
      </c>
    </row>
    <row r="43" spans="1:15" s="242" customFormat="1" ht="18.75" customHeight="1">
      <c r="A43" s="1246">
        <v>32</v>
      </c>
      <c r="B43" s="2108">
        <v>32</v>
      </c>
      <c r="C43" s="1332" t="e">
        <f>VLOOKUP(E43,'[15]DS CN MOI UP'!$B$10:$C$347,2,0)</f>
        <v>#N/A</v>
      </c>
      <c r="D43" s="2109" t="s">
        <v>654</v>
      </c>
      <c r="E43" s="2110" t="str">
        <f>'LƯƠNG KT'!D47</f>
        <v>Phon Xa May</v>
      </c>
      <c r="F43" s="2110" t="str">
        <f>'LƯƠNG KT'!E47</f>
        <v>CNKT</v>
      </c>
      <c r="G43" s="1840">
        <f>VLOOKUP(E43,'LƯƠNG KT'!$D$16:$Z$108,4,0)</f>
        <v>0</v>
      </c>
      <c r="H43" s="1840">
        <f>VLOOKUP(E43,'LƯƠNG KT'!$D$16:$Z$108,11,0)</f>
        <v>8143389</v>
      </c>
      <c r="I43" s="1840">
        <f>VLOOKUP(E43,'LƯƠNG KT'!$D$16:$Z$108,23,0)</f>
        <v>1036874</v>
      </c>
      <c r="J43" s="2096">
        <f t="shared" si="0"/>
        <v>9180263</v>
      </c>
      <c r="K43" s="2096"/>
      <c r="L43" s="1840"/>
      <c r="M43" s="1840">
        <f t="shared" si="1"/>
        <v>9180263</v>
      </c>
      <c r="N43" s="2110"/>
      <c r="O43" s="636">
        <f>+J43-'[15]LƯƠNG KT'!AA47</f>
        <v>-405553</v>
      </c>
    </row>
    <row r="44" spans="1:15" s="242" customFormat="1" ht="18.75" customHeight="1">
      <c r="A44" s="1246">
        <v>33</v>
      </c>
      <c r="B44" s="2108">
        <v>33</v>
      </c>
      <c r="C44" s="1332" t="e">
        <f>VLOOKUP(E44,'[15]DS CN MOI UP'!$B$10:$C$347,2,0)</f>
        <v>#N/A</v>
      </c>
      <c r="D44" s="2109" t="s">
        <v>654</v>
      </c>
      <c r="E44" s="2110" t="str">
        <f>'LƯƠNG KT'!D48</f>
        <v>T. Ừm</v>
      </c>
      <c r="F44" s="2110" t="str">
        <f>'LƯƠNG KT'!E48</f>
        <v>CNKT</v>
      </c>
      <c r="G44" s="1840">
        <f>VLOOKUP(E44,'LƯƠNG KT'!$D$16:$Z$108,4,0)</f>
        <v>0</v>
      </c>
      <c r="H44" s="1840">
        <f>VLOOKUP(E44,'LƯƠNG KT'!$D$16:$Z$108,11,0)</f>
        <v>6353615</v>
      </c>
      <c r="I44" s="1840">
        <f>VLOOKUP(E44,'LƯƠNG KT'!$D$16:$Z$108,23,0)</f>
        <v>1036874</v>
      </c>
      <c r="J44" s="2096">
        <f t="shared" si="0"/>
        <v>7390489</v>
      </c>
      <c r="K44" s="2096"/>
      <c r="L44" s="1840"/>
      <c r="M44" s="1840">
        <f t="shared" si="1"/>
        <v>7390489</v>
      </c>
      <c r="N44" s="2110"/>
      <c r="O44" s="636">
        <f>+J44-'[15]LƯƠNG KT'!AA48</f>
        <v>-126344</v>
      </c>
    </row>
    <row r="45" spans="1:15" s="242" customFormat="1" ht="18.75" customHeight="1">
      <c r="A45" s="1246">
        <v>34</v>
      </c>
      <c r="B45" s="2108">
        <v>34</v>
      </c>
      <c r="C45" s="1332" t="e">
        <f>VLOOKUP(E45,'[15]DS CN MOI UP'!$B$10:$C$347,2,0)</f>
        <v>#N/A</v>
      </c>
      <c r="D45" s="2109" t="s">
        <v>654</v>
      </c>
      <c r="E45" s="2110" t="str">
        <f>'LƯƠNG KT'!D49</f>
        <v>T. Phù</v>
      </c>
      <c r="F45" s="2110" t="str">
        <f>'LƯƠNG KT'!E49</f>
        <v>CNKT</v>
      </c>
      <c r="G45" s="1840">
        <f>VLOOKUP(E45,'LƯƠNG KT'!$D$16:$Z$108,4,0)</f>
        <v>0</v>
      </c>
      <c r="H45" s="1840">
        <f>VLOOKUP(E45,'LƯƠNG KT'!$D$16:$Z$108,11,0)</f>
        <v>6844538</v>
      </c>
      <c r="I45" s="1840">
        <f>VLOOKUP(E45,'LƯƠNG KT'!$D$16:$Z$108,23,0)</f>
        <v>975288</v>
      </c>
      <c r="J45" s="2096">
        <f t="shared" si="0"/>
        <v>7819826</v>
      </c>
      <c r="K45" s="2096"/>
      <c r="L45" s="1840"/>
      <c r="M45" s="1840">
        <f t="shared" si="1"/>
        <v>7819826</v>
      </c>
      <c r="N45" s="2110"/>
      <c r="O45" s="636">
        <f>+J45-'[15]LƯƠNG KT'!AA49</f>
        <v>-2878183</v>
      </c>
    </row>
    <row r="46" spans="1:15" s="242" customFormat="1" ht="18.75" customHeight="1">
      <c r="A46" s="1246">
        <v>35</v>
      </c>
      <c r="B46" s="2108">
        <v>35</v>
      </c>
      <c r="C46" s="1332" t="e">
        <f>VLOOKUP(E46,'[15]DS CN MOI UP'!$B$10:$C$347,2,0)</f>
        <v>#N/A</v>
      </c>
      <c r="D46" s="2109" t="s">
        <v>654</v>
      </c>
      <c r="E46" s="2110" t="str">
        <f>'LƯƠNG KT'!D50</f>
        <v>N. Công Say</v>
      </c>
      <c r="F46" s="2110" t="str">
        <f>'LƯƠNG KT'!E50</f>
        <v>CNKT</v>
      </c>
      <c r="G46" s="1840">
        <f>VLOOKUP(E46,'LƯƠNG KT'!$D$16:$Z$108,4,0)</f>
        <v>0</v>
      </c>
      <c r="H46" s="1840">
        <f>VLOOKUP(E46,'LƯƠNG KT'!$D$16:$Z$108,11,0)</f>
        <v>8570140</v>
      </c>
      <c r="I46" s="1840">
        <f>VLOOKUP(E46,'LƯƠNG KT'!$D$16:$Z$108,23,0)</f>
        <v>1036874</v>
      </c>
      <c r="J46" s="2096">
        <f t="shared" si="0"/>
        <v>9607014</v>
      </c>
      <c r="K46" s="2096"/>
      <c r="L46" s="1840"/>
      <c r="M46" s="1840">
        <f t="shared" si="1"/>
        <v>9607014</v>
      </c>
      <c r="N46" s="2110"/>
      <c r="O46" s="636">
        <f>+J46-'[15]LƯƠNG KT'!AA50</f>
        <v>1926969</v>
      </c>
    </row>
    <row r="47" spans="1:15" s="242" customFormat="1" ht="18.75" customHeight="1">
      <c r="A47" s="1246">
        <v>36</v>
      </c>
      <c r="B47" s="2108">
        <v>36</v>
      </c>
      <c r="C47" s="1332"/>
      <c r="D47" s="2109" t="s">
        <v>648</v>
      </c>
      <c r="E47" s="2110" t="str">
        <f>'LƯƠNG KT'!D51</f>
        <v>N. Xi Xộm</v>
      </c>
      <c r="F47" s="2110" t="str">
        <f>'LƯƠNG KT'!E51</f>
        <v>CNKT</v>
      </c>
      <c r="G47" s="1840">
        <f>VLOOKUP(E47,'LƯƠNG KT'!$D$16:$Z$108,4,0)</f>
        <v>0</v>
      </c>
      <c r="H47" s="1840">
        <f>VLOOKUP(E47,'LƯƠNG KT'!$D$16:$Z$108,11,0)</f>
        <v>8333056</v>
      </c>
      <c r="I47" s="1840">
        <f>VLOOKUP(E47,'LƯƠNG KT'!$D$16:$Z$108,23,0)</f>
        <v>1036874</v>
      </c>
      <c r="J47" s="2096">
        <f t="shared" si="0"/>
        <v>9369930</v>
      </c>
      <c r="K47" s="2096"/>
      <c r="L47" s="1840"/>
      <c r="M47" s="1840">
        <f t="shared" si="1"/>
        <v>9369930</v>
      </c>
      <c r="N47" s="2110"/>
      <c r="O47" s="636">
        <f>+J47-'[15]LƯƠNG KT'!AA51</f>
        <v>-214056</v>
      </c>
    </row>
    <row r="48" spans="1:15" s="242" customFormat="1" ht="18.75" customHeight="1">
      <c r="A48" s="1246">
        <v>37</v>
      </c>
      <c r="B48" s="2108">
        <v>37</v>
      </c>
      <c r="C48" s="1332" t="e">
        <f>VLOOKUP(E48,'[15]DS CN MOI UP'!$B$10:$C$347,2,0)</f>
        <v>#N/A</v>
      </c>
      <c r="D48" s="2109" t="s">
        <v>650</v>
      </c>
      <c r="E48" s="2110" t="str">
        <f>'LƯƠNG KT'!D52</f>
        <v>Son Xa May</v>
      </c>
      <c r="F48" s="2110" t="str">
        <f>'LƯƠNG KT'!E52</f>
        <v>CNKT</v>
      </c>
      <c r="G48" s="1840">
        <f>VLOOKUP(E48,'LƯƠNG KT'!$D$16:$Z$108,4,0)</f>
        <v>0</v>
      </c>
      <c r="H48" s="1840">
        <f>VLOOKUP(E48,'LƯƠNG KT'!$D$16:$Z$108,11,0)</f>
        <v>7372428</v>
      </c>
      <c r="I48" s="1840">
        <f>VLOOKUP(E48,'LƯƠNG KT'!$D$16:$Z$108,23,0)</f>
        <v>1036874</v>
      </c>
      <c r="J48" s="2096">
        <f t="shared" si="0"/>
        <v>8409302</v>
      </c>
      <c r="K48" s="2096"/>
      <c r="L48" s="1840"/>
      <c r="M48" s="1840">
        <f t="shared" si="1"/>
        <v>8409302</v>
      </c>
      <c r="N48" s="2110"/>
      <c r="O48" s="636">
        <f>+J48-'[15]LƯƠNG KT'!AA52</f>
        <v>-1124924</v>
      </c>
    </row>
    <row r="49" spans="1:15" s="242" customFormat="1" ht="18.75" customHeight="1">
      <c r="A49" s="1246">
        <v>38</v>
      </c>
      <c r="B49" s="2108">
        <v>38</v>
      </c>
      <c r="C49" s="1332" t="e">
        <f>VLOOKUP(E49,'[15]DS CN MOI UP'!$B$10:$C$347,2,0)</f>
        <v>#N/A</v>
      </c>
      <c r="D49" s="2109" t="s">
        <v>651</v>
      </c>
      <c r="E49" s="2110" t="str">
        <f>'LƯƠNG KT'!D53</f>
        <v>T . Pheng</v>
      </c>
      <c r="F49" s="2110" t="str">
        <f>'LƯƠNG KT'!E53</f>
        <v>CNKT</v>
      </c>
      <c r="G49" s="1840">
        <f>VLOOKUP(E49,'LƯƠNG KT'!$D$16:$Z$108,4,0)</f>
        <v>0</v>
      </c>
      <c r="H49" s="1840">
        <f>VLOOKUP(E49,'LƯƠNG KT'!$D$16:$Z$108,11,0)</f>
        <v>4505139</v>
      </c>
      <c r="I49" s="1840">
        <f>VLOOKUP(E49,'LƯƠNG KT'!$D$16:$Z$108,23,0)</f>
        <v>708372</v>
      </c>
      <c r="J49" s="2096">
        <f t="shared" si="0"/>
        <v>5213511</v>
      </c>
      <c r="K49" s="2096"/>
      <c r="L49" s="1840"/>
      <c r="M49" s="1840">
        <f t="shared" si="1"/>
        <v>5213511</v>
      </c>
      <c r="N49" s="2110"/>
      <c r="O49" s="636">
        <f>+J49-'[15]LƯƠNG KT'!AA53</f>
        <v>-4011406</v>
      </c>
    </row>
    <row r="50" spans="1:15" s="242" customFormat="1" ht="18.75" customHeight="1">
      <c r="A50" s="1246">
        <v>39</v>
      </c>
      <c r="B50" s="2108">
        <v>39</v>
      </c>
      <c r="C50" s="1332" t="e">
        <f>VLOOKUP(E50,'[15]DS CN MOI UP'!$B$10:$C$347,2,0)</f>
        <v>#N/A</v>
      </c>
      <c r="D50" s="2109" t="s">
        <v>651</v>
      </c>
      <c r="E50" s="2110" t="str">
        <f>'LƯƠNG KT'!D54</f>
        <v>T. Nọi Ê</v>
      </c>
      <c r="F50" s="2110" t="str">
        <f>'LƯƠNG KT'!E54</f>
        <v>CNKT</v>
      </c>
      <c r="G50" s="1840">
        <f>VLOOKUP(E50,'LƯƠNG KT'!$D$16:$Z$108,4,0)</f>
        <v>0</v>
      </c>
      <c r="H50" s="1840">
        <f>VLOOKUP(E50,'LƯƠNG KT'!$D$16:$Z$108,11,0)</f>
        <v>8584189</v>
      </c>
      <c r="I50" s="1840">
        <f>VLOOKUP(E50,'LƯƠNG KT'!$D$16:$Z$108,23,0)</f>
        <v>1036874</v>
      </c>
      <c r="J50" s="2096">
        <f t="shared" si="0"/>
        <v>9621063</v>
      </c>
      <c r="K50" s="2096"/>
      <c r="L50" s="1840"/>
      <c r="M50" s="1840">
        <f t="shared" si="1"/>
        <v>9621063</v>
      </c>
      <c r="N50" s="2110"/>
      <c r="O50" s="636">
        <f>+J50-'[15]LƯƠNG KT'!AA54</f>
        <v>1811099</v>
      </c>
    </row>
    <row r="51" spans="1:15" s="242" customFormat="1" ht="18.75" customHeight="1">
      <c r="A51" s="1246">
        <v>40</v>
      </c>
      <c r="B51" s="2108">
        <v>40</v>
      </c>
      <c r="C51" s="1332" t="e">
        <f>VLOOKUP(E51,'[15]DS CN MOI UP'!$B$10:$C$347,2,0)</f>
        <v>#N/A</v>
      </c>
      <c r="D51" s="2109" t="s">
        <v>651</v>
      </c>
      <c r="E51" s="2110" t="str">
        <f>'LƯƠNG KT'!D55</f>
        <v>N. Đeng</v>
      </c>
      <c r="F51" s="2110" t="str">
        <f>'LƯƠNG KT'!E55</f>
        <v>CNKT</v>
      </c>
      <c r="G51" s="1840">
        <f>VLOOKUP(E51,'LƯƠNG KT'!$D$16:$Z$108,4,0)</f>
        <v>0</v>
      </c>
      <c r="H51" s="1840">
        <f>VLOOKUP(E51,'LƯƠNG KT'!$D$16:$Z$108,11,0)</f>
        <v>7681515</v>
      </c>
      <c r="I51" s="1840">
        <f>VLOOKUP(E51,'LƯƠNG KT'!$D$16:$Z$108,23,0)</f>
        <v>1036874</v>
      </c>
      <c r="J51" s="2096">
        <f t="shared" si="0"/>
        <v>8718389</v>
      </c>
      <c r="K51" s="2096"/>
      <c r="L51" s="1840"/>
      <c r="M51" s="1840">
        <f t="shared" si="1"/>
        <v>8718389</v>
      </c>
      <c r="N51" s="2110"/>
      <c r="O51" s="636">
        <f>+J51-'[15]LƯƠNG KT'!AA55</f>
        <v>1094525</v>
      </c>
    </row>
    <row r="52" spans="1:15" s="242" customFormat="1" ht="18.75" customHeight="1">
      <c r="A52" s="1246">
        <v>41</v>
      </c>
      <c r="B52" s="2108">
        <v>41</v>
      </c>
      <c r="C52" s="1332" t="e">
        <f>VLOOKUP(E52,'[15]DS CN MOI UP'!$B$10:$C$347,2,0)</f>
        <v>#N/A</v>
      </c>
      <c r="D52" s="2109" t="s">
        <v>651</v>
      </c>
      <c r="E52" s="2110" t="str">
        <f>'LƯƠNG KT'!D56</f>
        <v>Thảo Buồng</v>
      </c>
      <c r="F52" s="2110" t="str">
        <f>'LƯƠNG KT'!E56</f>
        <v>CNKT</v>
      </c>
      <c r="G52" s="1840">
        <f>VLOOKUP(E52,'LƯƠNG KT'!$D$16:$Z$108,4,0)</f>
        <v>0</v>
      </c>
      <c r="H52" s="1840">
        <f>VLOOKUP(E52,'LƯƠNG KT'!$D$16:$Z$108,11,0)</f>
        <v>9170752</v>
      </c>
      <c r="I52" s="1840">
        <f>VLOOKUP(E52,'LƯƠNG KT'!$D$16:$Z$108,23,0)</f>
        <v>1036874</v>
      </c>
      <c r="J52" s="2096">
        <f t="shared" si="0"/>
        <v>10207626</v>
      </c>
      <c r="K52" s="2096"/>
      <c r="L52" s="1840"/>
      <c r="M52" s="1840">
        <f t="shared" si="1"/>
        <v>10207626</v>
      </c>
      <c r="N52" s="2110"/>
      <c r="O52" s="636">
        <f>+J52-'[15]LƯƠNG KT'!AA56</f>
        <v>2349781</v>
      </c>
    </row>
    <row r="53" spans="1:15" s="242" customFormat="1" ht="18.75" customHeight="1">
      <c r="A53" s="1246">
        <v>42</v>
      </c>
      <c r="B53" s="2108">
        <v>42</v>
      </c>
      <c r="C53" s="1332" t="e">
        <f>VLOOKUP(E53,'[15]DS CN MOI UP'!$B$10:$C$347,2,0)</f>
        <v>#N/A</v>
      </c>
      <c r="D53" s="2109" t="s">
        <v>651</v>
      </c>
      <c r="E53" s="2110" t="str">
        <f>'LƯƠNG KT'!D57</f>
        <v>T. Om</v>
      </c>
      <c r="F53" s="2110" t="str">
        <f>'LƯƠNG KT'!E57</f>
        <v>CNKT</v>
      </c>
      <c r="G53" s="1840">
        <f>VLOOKUP(E53,'LƯƠNG KT'!$D$16:$Z$108,4,0)</f>
        <v>0</v>
      </c>
      <c r="H53" s="1840">
        <f>VLOOKUP(E53,'LƯƠNG KT'!$D$16:$Z$108,11,0)</f>
        <v>8178513</v>
      </c>
      <c r="I53" s="1840">
        <f>VLOOKUP(E53,'LƯƠNG KT'!$D$16:$Z$108,23,0)</f>
        <v>975288</v>
      </c>
      <c r="J53" s="2096">
        <f t="shared" si="0"/>
        <v>9153801</v>
      </c>
      <c r="K53" s="2096"/>
      <c r="L53" s="1840"/>
      <c r="M53" s="1840">
        <f t="shared" si="1"/>
        <v>9153801</v>
      </c>
      <c r="N53" s="2110"/>
      <c r="O53" s="636">
        <f>+J53-'[15]LƯƠNG KT'!AA57</f>
        <v>-786651</v>
      </c>
    </row>
    <row r="54" spans="1:15" s="242" customFormat="1" ht="18.75" customHeight="1">
      <c r="A54" s="1246">
        <v>43</v>
      </c>
      <c r="B54" s="2108">
        <v>43</v>
      </c>
      <c r="C54" s="1332" t="e">
        <f>VLOOKUP(E54,'[15]DS CN MOI UP'!$B$10:$C$347,2,0)</f>
        <v>#N/A</v>
      </c>
      <c r="D54" s="2109" t="s">
        <v>651</v>
      </c>
      <c r="E54" s="2110" t="str">
        <f>'LƯƠNG KT'!D58</f>
        <v>T Xinh</v>
      </c>
      <c r="F54" s="2110" t="str">
        <f>'LƯƠNG KT'!E58</f>
        <v>CNKT</v>
      </c>
      <c r="G54" s="1840">
        <f>VLOOKUP(E54,'LƯƠNG KT'!$D$16:$Z$108,4,0)</f>
        <v>0</v>
      </c>
      <c r="H54" s="1840">
        <f>VLOOKUP(E54,'LƯƠNG KT'!$D$16:$Z$108,11,0)</f>
        <v>7744564</v>
      </c>
      <c r="I54" s="1840">
        <f>VLOOKUP(E54,'LƯƠNG KT'!$D$16:$Z$108,23,0)</f>
        <v>1036874</v>
      </c>
      <c r="J54" s="2096">
        <f t="shared" si="0"/>
        <v>8781438</v>
      </c>
      <c r="K54" s="2096"/>
      <c r="L54" s="1840"/>
      <c r="M54" s="1840">
        <f t="shared" si="1"/>
        <v>8781438</v>
      </c>
      <c r="N54" s="2110"/>
      <c r="O54" s="636">
        <f>+J54-'[15]LƯƠNG KT'!AA58</f>
        <v>1114413</v>
      </c>
    </row>
    <row r="55" spans="1:15" s="242" customFormat="1" ht="18.75" customHeight="1">
      <c r="A55" s="1246">
        <v>44</v>
      </c>
      <c r="B55" s="2108">
        <v>44</v>
      </c>
      <c r="C55" s="1332" t="e">
        <f>VLOOKUP(E55,'[15]DS CN MOI UP'!$B$10:$C$347,2,0)</f>
        <v>#N/A</v>
      </c>
      <c r="D55" s="2109" t="s">
        <v>651</v>
      </c>
      <c r="E55" s="2110" t="str">
        <f>'LƯƠNG KT'!D59</f>
        <v>T. Thong A</v>
      </c>
      <c r="F55" s="2110" t="str">
        <f>'LƯƠNG KT'!E59</f>
        <v>CNKT</v>
      </c>
      <c r="G55" s="1840">
        <f>VLOOKUP(E55,'LƯƠNG KT'!$D$16:$Z$108,4,0)</f>
        <v>0</v>
      </c>
      <c r="H55" s="1840">
        <f>VLOOKUP(E55,'LƯƠNG KT'!$D$16:$Z$108,11,0)</f>
        <v>6358625</v>
      </c>
      <c r="I55" s="1840">
        <f>VLOOKUP(E55,'LƯƠNG KT'!$D$16:$Z$108,23,0)</f>
        <v>882910</v>
      </c>
      <c r="J55" s="2096">
        <f t="shared" si="0"/>
        <v>7241535</v>
      </c>
      <c r="K55" s="2096"/>
      <c r="L55" s="1840"/>
      <c r="M55" s="1840">
        <f t="shared" si="1"/>
        <v>7241535</v>
      </c>
      <c r="N55" s="2110"/>
      <c r="O55" s="636">
        <f>+J55-'[15]LƯƠNG KT'!AA59</f>
        <v>-2211757</v>
      </c>
    </row>
    <row r="56" spans="1:15" s="242" customFormat="1" ht="18.75" customHeight="1">
      <c r="A56" s="1246">
        <v>45</v>
      </c>
      <c r="B56" s="2108">
        <v>45</v>
      </c>
      <c r="C56" s="1332" t="e">
        <f>VLOOKUP(E56,'[15]DS CN MOI UP'!$B$10:$C$347,2,0)</f>
        <v>#N/A</v>
      </c>
      <c r="D56" s="2109" t="s">
        <v>651</v>
      </c>
      <c r="E56" s="2110" t="str">
        <f>'LƯƠNG KT'!D60</f>
        <v>N. Đôn</v>
      </c>
      <c r="F56" s="2110" t="str">
        <f>'LƯƠNG KT'!E60</f>
        <v>CNKT</v>
      </c>
      <c r="G56" s="1840">
        <f>VLOOKUP(E56,'LƯƠNG KT'!$D$16:$Z$108,4,0)</f>
        <v>0</v>
      </c>
      <c r="H56" s="1840">
        <f>VLOOKUP(E56,'LƯƠNG KT'!$D$16:$Z$108,11,0)</f>
        <v>8988110</v>
      </c>
      <c r="I56" s="1840">
        <f>VLOOKUP(E56,'LƯƠNG KT'!$D$16:$Z$108,23,0)</f>
        <v>1036874</v>
      </c>
      <c r="J56" s="2096">
        <f t="shared" si="0"/>
        <v>10024984</v>
      </c>
      <c r="K56" s="2096"/>
      <c r="L56" s="1840"/>
      <c r="M56" s="1840">
        <f t="shared" si="1"/>
        <v>10024984</v>
      </c>
      <c r="N56" s="2110"/>
      <c r="O56" s="636">
        <f>+J56-'[15]LƯƠNG KT'!AA60</f>
        <v>724799</v>
      </c>
    </row>
    <row r="57" spans="1:15" s="242" customFormat="1" ht="18.75" customHeight="1">
      <c r="A57" s="1246">
        <v>46</v>
      </c>
      <c r="B57" s="2108">
        <v>46</v>
      </c>
      <c r="C57" s="1332" t="e">
        <f>VLOOKUP(E57,'[15]DS CN MOI UP'!$B$10:$C$347,2,0)</f>
        <v>#N/A</v>
      </c>
      <c r="D57" s="2109" t="s">
        <v>651</v>
      </c>
      <c r="E57" s="2110" t="str">
        <f>'LƯƠNG KT'!D61</f>
        <v>Viêng Khăm</v>
      </c>
      <c r="F57" s="2110" t="str">
        <f>'LƯƠNG KT'!E61</f>
        <v>CNKT</v>
      </c>
      <c r="G57" s="1840">
        <f>VLOOKUP(E57,'LƯƠNG KT'!$D$16:$Z$108,4,0)</f>
        <v>0</v>
      </c>
      <c r="H57" s="1840">
        <f>VLOOKUP(E57,'LƯƠNG KT'!$D$16:$Z$108,11,0)</f>
        <v>6714294</v>
      </c>
      <c r="I57" s="1840">
        <f>VLOOKUP(E57,'LƯƠNG KT'!$D$16:$Z$108,23,0)</f>
        <v>1036874</v>
      </c>
      <c r="J57" s="2096">
        <f t="shared" si="0"/>
        <v>7751168</v>
      </c>
      <c r="K57" s="2096"/>
      <c r="L57" s="1840"/>
      <c r="M57" s="1840">
        <f t="shared" si="1"/>
        <v>7751168</v>
      </c>
      <c r="N57" s="2110"/>
      <c r="O57" s="636">
        <f>+J57-'[15]LƯƠNG KT'!AA61</f>
        <v>-66950</v>
      </c>
    </row>
    <row r="58" spans="1:15" s="242" customFormat="1" ht="18.75" customHeight="1">
      <c r="A58" s="1246">
        <v>47</v>
      </c>
      <c r="B58" s="2108">
        <v>47</v>
      </c>
      <c r="C58" s="1332" t="e">
        <f>VLOOKUP(E58,'[15]DS CN MOI UP'!$B$10:$C$347,2,0)</f>
        <v>#N/A</v>
      </c>
      <c r="D58" s="2109" t="s">
        <v>651</v>
      </c>
      <c r="E58" s="2110" t="str">
        <f>'LƯƠNG KT'!D62</f>
        <v>Veo Khăm</v>
      </c>
      <c r="F58" s="2110" t="str">
        <f>'LƯƠNG KT'!E62</f>
        <v>CNKT</v>
      </c>
      <c r="G58" s="1840">
        <f>VLOOKUP(E58,'LƯƠNG KT'!$D$16:$Z$108,4,0)</f>
        <v>0</v>
      </c>
      <c r="H58" s="1840">
        <f>VLOOKUP(E58,'LƯƠNG KT'!$D$16:$Z$108,11,0)</f>
        <v>6741010</v>
      </c>
      <c r="I58" s="1840">
        <f>VLOOKUP(E58,'LƯƠNG KT'!$D$16:$Z$108,23,0)</f>
        <v>1036874</v>
      </c>
      <c r="J58" s="2096">
        <f t="shared" si="0"/>
        <v>7777884</v>
      </c>
      <c r="K58" s="2096"/>
      <c r="L58" s="1840"/>
      <c r="M58" s="1840">
        <f t="shared" si="1"/>
        <v>7777884</v>
      </c>
      <c r="N58" s="2110"/>
      <c r="O58" s="636">
        <f>+J58-'[15]LƯƠNG KT'!AA62</f>
        <v>259591</v>
      </c>
    </row>
    <row r="59" spans="1:15" s="242" customFormat="1" ht="18.75" customHeight="1">
      <c r="A59" s="1246">
        <v>48</v>
      </c>
      <c r="B59" s="2108">
        <v>48</v>
      </c>
      <c r="C59" s="1332" t="e">
        <f>VLOOKUP(E59,'[15]DS CN MOI UP'!$B$10:$C$347,2,0)</f>
        <v>#N/A</v>
      </c>
      <c r="D59" s="2109" t="s">
        <v>651</v>
      </c>
      <c r="E59" s="2110" t="str">
        <f>'LƯƠNG KT'!D63</f>
        <v>Chăn Đen</v>
      </c>
      <c r="F59" s="2110" t="str">
        <f>'LƯƠNG KT'!E63</f>
        <v>CNKT</v>
      </c>
      <c r="G59" s="1840">
        <f>VLOOKUP(E59,'LƯƠNG KT'!$D$16:$Z$108,4,0)</f>
        <v>0</v>
      </c>
      <c r="H59" s="1840">
        <f>VLOOKUP(E59,'LƯƠNG KT'!$D$16:$Z$108,11,0)</f>
        <v>6672548</v>
      </c>
      <c r="I59" s="1840">
        <f>VLOOKUP(E59,'LƯƠNG KT'!$D$16:$Z$108,23,0)</f>
        <v>831543</v>
      </c>
      <c r="J59" s="2096">
        <f t="shared" si="0"/>
        <v>7504091</v>
      </c>
      <c r="K59" s="2096"/>
      <c r="L59" s="1840"/>
      <c r="M59" s="1840">
        <f t="shared" si="1"/>
        <v>7504091</v>
      </c>
      <c r="N59" s="2110"/>
      <c r="O59" s="636">
        <f>+J59-'[15]LƯƠNG KT'!AA63</f>
        <v>-1848290</v>
      </c>
    </row>
    <row r="60" spans="1:15" s="242" customFormat="1" ht="18.75" customHeight="1">
      <c r="A60" s="1246">
        <v>49</v>
      </c>
      <c r="B60" s="2108">
        <v>49</v>
      </c>
      <c r="C60" s="1332" t="e">
        <f>VLOOKUP(E60,'[15]DS CN MOI UP'!$B$10:$C$347,2,0)</f>
        <v>#N/A</v>
      </c>
      <c r="D60" s="2109" t="s">
        <v>651</v>
      </c>
      <c r="E60" s="2110" t="str">
        <f>'LƯƠNG KT'!D64</f>
        <v>N. Nun</v>
      </c>
      <c r="F60" s="2110" t="str">
        <f>'LƯƠNG KT'!E64</f>
        <v>CNKT</v>
      </c>
      <c r="G60" s="1840">
        <f>VLOOKUP(E60,'LƯƠNG KT'!$D$16:$Z$108,4,0)</f>
        <v>0</v>
      </c>
      <c r="H60" s="1840">
        <f>VLOOKUP(E60,'LƯƠNG KT'!$D$16:$Z$108,11,0)</f>
        <v>7797422</v>
      </c>
      <c r="I60" s="1840">
        <f>VLOOKUP(E60,'LƯƠNG KT'!$D$16:$Z$108,23,0)</f>
        <v>1036874</v>
      </c>
      <c r="J60" s="2096">
        <f t="shared" si="0"/>
        <v>8834296</v>
      </c>
      <c r="K60" s="2096"/>
      <c r="L60" s="1840"/>
      <c r="M60" s="1840">
        <f t="shared" si="1"/>
        <v>8834296</v>
      </c>
      <c r="N60" s="2110"/>
      <c r="O60" s="636">
        <f>+J60-'[15]LƯƠNG KT'!AA64</f>
        <v>-870106</v>
      </c>
    </row>
    <row r="61" spans="1:15" s="242" customFormat="1" ht="18.75" customHeight="1">
      <c r="A61" s="1246">
        <v>50</v>
      </c>
      <c r="B61" s="2108">
        <v>50</v>
      </c>
      <c r="C61" s="1332" t="e">
        <f>VLOOKUP(E61,'[15]DS CN MOI UP'!$B$10:$C$347,2,0)</f>
        <v>#N/A</v>
      </c>
      <c r="D61" s="2109" t="s">
        <v>654</v>
      </c>
      <c r="E61" s="2110" t="str">
        <f>'LƯƠNG KT'!D65</f>
        <v>In Pông</v>
      </c>
      <c r="F61" s="2110" t="str">
        <f>'LƯƠNG KT'!E65</f>
        <v>CNKT</v>
      </c>
      <c r="G61" s="1840">
        <f>VLOOKUP(E61,'LƯƠNG KT'!$D$16:$Z$108,4,0)</f>
        <v>0</v>
      </c>
      <c r="H61" s="1840">
        <f>VLOOKUP(E61,'LƯƠNG KT'!$D$16:$Z$108,11,0)</f>
        <v>6529463</v>
      </c>
      <c r="I61" s="1840">
        <f>VLOOKUP(E61,'LƯƠNG KT'!$D$16:$Z$108,23,0)</f>
        <v>975288</v>
      </c>
      <c r="J61" s="2096">
        <f t="shared" si="0"/>
        <v>7504751</v>
      </c>
      <c r="K61" s="2096"/>
      <c r="L61" s="1840"/>
      <c r="M61" s="1840">
        <f t="shared" si="1"/>
        <v>7504751</v>
      </c>
      <c r="N61" s="2110"/>
      <c r="O61" s="636">
        <f>+J61-'[15]LƯƠNG KT'!AA65</f>
        <v>-424698</v>
      </c>
    </row>
    <row r="62" spans="1:15" s="242" customFormat="1" ht="18.75" customHeight="1">
      <c r="A62" s="1246">
        <v>51</v>
      </c>
      <c r="B62" s="2108">
        <v>51</v>
      </c>
      <c r="C62" s="1332" t="e">
        <f>VLOOKUP(E62,'[15]DS CN MOI UP'!$B$10:$C$347,2,0)</f>
        <v>#N/A</v>
      </c>
      <c r="D62" s="2109" t="s">
        <v>654</v>
      </c>
      <c r="E62" s="2110" t="str">
        <f>'LƯƠNG KT'!D66</f>
        <v>Pha Đi</v>
      </c>
      <c r="F62" s="2110" t="str">
        <f>'LƯƠNG KT'!E66</f>
        <v>CNKT</v>
      </c>
      <c r="G62" s="1840">
        <f>VLOOKUP(E62,'LƯƠNG KT'!$D$16:$Z$108,4,0)</f>
        <v>0</v>
      </c>
      <c r="H62" s="1840">
        <f>VLOOKUP(E62,'LƯƠNG KT'!$D$16:$Z$108,11,0)</f>
        <v>6685763</v>
      </c>
      <c r="I62" s="1840">
        <f>VLOOKUP(E62,'LƯƠNG KT'!$D$16:$Z$108,23,0)</f>
        <v>1006081</v>
      </c>
      <c r="J62" s="2096">
        <f t="shared" si="0"/>
        <v>7691844</v>
      </c>
      <c r="K62" s="2096"/>
      <c r="L62" s="1840"/>
      <c r="M62" s="1840">
        <f t="shared" si="1"/>
        <v>7691844</v>
      </c>
      <c r="N62" s="2110"/>
      <c r="O62" s="636">
        <f>+J62-'[15]LƯƠNG KT'!AA66</f>
        <v>-1307346</v>
      </c>
    </row>
    <row r="63" spans="1:15" s="242" customFormat="1" ht="18.75" customHeight="1">
      <c r="A63" s="1246">
        <v>52</v>
      </c>
      <c r="B63" s="2108">
        <v>52</v>
      </c>
      <c r="C63" s="1332" t="e">
        <f>VLOOKUP(E63,'[15]DS CN MOI UP'!$B$10:$C$347,2,0)</f>
        <v>#N/A</v>
      </c>
      <c r="D63" s="2109" t="s">
        <v>654</v>
      </c>
      <c r="E63" s="2110" t="str">
        <f>'LƯƠNG KT'!D67</f>
        <v>Thảo Nọi B</v>
      </c>
      <c r="F63" s="2110" t="str">
        <f>'LƯƠNG KT'!E67</f>
        <v>CNKT</v>
      </c>
      <c r="G63" s="1840">
        <f>VLOOKUP(E63,'LƯƠNG KT'!$D$16:$Z$108,4,0)</f>
        <v>0</v>
      </c>
      <c r="H63" s="1840">
        <f>VLOOKUP(E63,'LƯƠNG KT'!$D$16:$Z$108,11,0)</f>
        <v>7031557</v>
      </c>
      <c r="I63" s="1840">
        <f>VLOOKUP(E63,'LƯƠNG KT'!$D$16:$Z$108,23,0)</f>
        <v>1036874</v>
      </c>
      <c r="J63" s="2096">
        <f t="shared" si="0"/>
        <v>8068431</v>
      </c>
      <c r="K63" s="2096"/>
      <c r="L63" s="1840"/>
      <c r="M63" s="1840">
        <f t="shared" si="1"/>
        <v>8068431</v>
      </c>
      <c r="N63" s="2110"/>
      <c r="O63" s="636">
        <f>+J63-'[15]LƯƠNG KT'!AA67</f>
        <v>-469697</v>
      </c>
    </row>
    <row r="64" spans="1:15" s="242" customFormat="1" ht="18.75" customHeight="1">
      <c r="A64" s="1246">
        <v>53</v>
      </c>
      <c r="B64" s="2108">
        <v>53</v>
      </c>
      <c r="C64" s="1332" t="e">
        <f>VLOOKUP(E64,'[15]DS CN MOI UP'!$B$10:$C$347,2,0)</f>
        <v>#N/A</v>
      </c>
      <c r="D64" s="2109" t="s">
        <v>654</v>
      </c>
      <c r="E64" s="2110" t="str">
        <f>'LƯƠNG KT'!D68</f>
        <v xml:space="preserve">T. Lăm  </v>
      </c>
      <c r="F64" s="2110" t="str">
        <f>'LƯƠNG KT'!E68</f>
        <v>CNKT</v>
      </c>
      <c r="G64" s="1840">
        <f>VLOOKUP(E64,'LƯƠNG KT'!$D$16:$Z$108,4,0)</f>
        <v>0</v>
      </c>
      <c r="H64" s="1840">
        <f>VLOOKUP(E64,'LƯƠNG KT'!$D$16:$Z$108,11,0)</f>
        <v>5289948</v>
      </c>
      <c r="I64" s="1840">
        <f>VLOOKUP(E64,'LƯƠNG KT'!$D$16:$Z$108,23,0)</f>
        <v>1036874</v>
      </c>
      <c r="J64" s="2096">
        <f t="shared" si="0"/>
        <v>6326822</v>
      </c>
      <c r="K64" s="2096"/>
      <c r="L64" s="1840"/>
      <c r="M64" s="1840">
        <f t="shared" si="1"/>
        <v>6326822</v>
      </c>
      <c r="N64" s="2110"/>
      <c r="O64" s="636">
        <f>+J64-'[15]LƯƠNG KT'!AA68</f>
        <v>-1520584</v>
      </c>
    </row>
    <row r="65" spans="1:15" s="242" customFormat="1" ht="18.75" customHeight="1">
      <c r="A65" s="1246">
        <v>54</v>
      </c>
      <c r="B65" s="2108">
        <v>54</v>
      </c>
      <c r="C65" s="1332" t="e">
        <f>VLOOKUP(E65,'[15]DS CN MOI UP'!$B$10:$C$347,2,0)</f>
        <v>#N/A</v>
      </c>
      <c r="D65" s="2109" t="s">
        <v>654</v>
      </c>
      <c r="E65" s="2110" t="str">
        <f>'LƯƠNG KT'!D69</f>
        <v>Khăm Phiêng</v>
      </c>
      <c r="F65" s="2110" t="str">
        <f>'LƯƠNG KT'!E69</f>
        <v>CNKT</v>
      </c>
      <c r="G65" s="1840">
        <f>VLOOKUP(E65,'LƯƠNG KT'!$D$16:$Z$108,4,0)</f>
        <v>0</v>
      </c>
      <c r="H65" s="1840">
        <f>VLOOKUP(E65,'LƯƠNG KT'!$D$16:$Z$108,11,0)</f>
        <v>8124071</v>
      </c>
      <c r="I65" s="1840">
        <f>VLOOKUP(E65,'LƯƠNG KT'!$D$16:$Z$108,23,0)</f>
        <v>1036874</v>
      </c>
      <c r="J65" s="2096">
        <f t="shared" si="0"/>
        <v>9160945</v>
      </c>
      <c r="K65" s="2096"/>
      <c r="L65" s="1840"/>
      <c r="M65" s="1840">
        <f t="shared" si="1"/>
        <v>9160945</v>
      </c>
      <c r="N65" s="2110"/>
      <c r="O65" s="636">
        <f>+J65-'[15]LƯƠNG KT'!AA69</f>
        <v>-640438</v>
      </c>
    </row>
    <row r="66" spans="1:15" s="242" customFormat="1" ht="18.75" customHeight="1">
      <c r="A66" s="1246">
        <v>55</v>
      </c>
      <c r="B66" s="2108">
        <v>55</v>
      </c>
      <c r="C66" s="1332" t="e">
        <f>VLOOKUP(E66,'[15]DS CN MOI UP'!$B$10:$C$347,2,0)</f>
        <v>#N/A</v>
      </c>
      <c r="D66" s="2109" t="s">
        <v>654</v>
      </c>
      <c r="E66" s="2110" t="str">
        <f>'LƯƠNG KT'!D70</f>
        <v>Khiêng Khăm</v>
      </c>
      <c r="F66" s="2110" t="str">
        <f>'LƯƠNG KT'!E70</f>
        <v>CNKT</v>
      </c>
      <c r="G66" s="1840">
        <f>VLOOKUP(E66,'LƯƠNG KT'!$D$16:$Z$108,4,0)</f>
        <v>0</v>
      </c>
      <c r="H66" s="1840">
        <f>VLOOKUP(E66,'LƯƠNG KT'!$D$16:$Z$108,11,0)</f>
        <v>8125827</v>
      </c>
      <c r="I66" s="1840">
        <f>VLOOKUP(E66,'LƯƠNG KT'!$D$16:$Z$108,23,0)</f>
        <v>1036874</v>
      </c>
      <c r="J66" s="2096">
        <f t="shared" si="0"/>
        <v>9162701</v>
      </c>
      <c r="K66" s="2096"/>
      <c r="L66" s="1840"/>
      <c r="M66" s="1840">
        <f t="shared" si="1"/>
        <v>9162701</v>
      </c>
      <c r="N66" s="2110"/>
      <c r="O66" s="636">
        <f>+J66-'[15]LƯƠNG KT'!AA70</f>
        <v>-655151</v>
      </c>
    </row>
    <row r="67" spans="1:15" s="242" customFormat="1" ht="18.75" customHeight="1">
      <c r="A67" s="1246">
        <v>56</v>
      </c>
      <c r="B67" s="2108">
        <v>56</v>
      </c>
      <c r="C67" s="1332" t="e">
        <f>VLOOKUP(E67,'[15]DS CN MOI UP'!$B$10:$C$347,2,0)</f>
        <v>#N/A</v>
      </c>
      <c r="D67" s="2109" t="s">
        <v>654</v>
      </c>
      <c r="E67" s="2110" t="str">
        <f>'LƯƠNG KT'!D71</f>
        <v>T. Kỷ</v>
      </c>
      <c r="F67" s="2110" t="str">
        <f>'LƯƠNG KT'!E71</f>
        <v>CNKT</v>
      </c>
      <c r="G67" s="1840">
        <f>VLOOKUP(E67,'LƯƠNG KT'!$D$16:$Z$108,4,0)</f>
        <v>0</v>
      </c>
      <c r="H67" s="1840">
        <f>VLOOKUP(E67,'LƯƠNG KT'!$D$16:$Z$108,11,0)</f>
        <v>8958255</v>
      </c>
      <c r="I67" s="1840">
        <f>VLOOKUP(E67,'LƯƠNG KT'!$D$16:$Z$108,23,0)</f>
        <v>1006081</v>
      </c>
      <c r="J67" s="2096">
        <f t="shared" si="0"/>
        <v>9964336</v>
      </c>
      <c r="K67" s="2096"/>
      <c r="L67" s="1840"/>
      <c r="M67" s="1840">
        <f t="shared" si="1"/>
        <v>9964336</v>
      </c>
      <c r="N67" s="2110"/>
      <c r="O67" s="636">
        <f>+J67-'[15]LƯƠNG KT'!AA71</f>
        <v>884746</v>
      </c>
    </row>
    <row r="68" spans="1:15" s="242" customFormat="1" ht="18.75" customHeight="1">
      <c r="A68" s="1246">
        <v>57</v>
      </c>
      <c r="B68" s="2108">
        <v>57</v>
      </c>
      <c r="C68" s="1332" t="e">
        <f>VLOOKUP(E68,'[15]DS CN MOI UP'!$B$10:$C$347,2,0)</f>
        <v>#N/A</v>
      </c>
      <c r="D68" s="2109" t="s">
        <v>654</v>
      </c>
      <c r="E68" s="2110" t="str">
        <f>'LƯƠNG KT'!D72</f>
        <v>T. Vi Lai Văn</v>
      </c>
      <c r="F68" s="2110" t="str">
        <f>'LƯƠNG KT'!E72</f>
        <v>CNKT</v>
      </c>
      <c r="G68" s="1840">
        <f>VLOOKUP(E68,'LƯƠNG KT'!$D$16:$Z$108,4,0)</f>
        <v>0</v>
      </c>
      <c r="H68" s="1840">
        <f>VLOOKUP(E68,'LƯƠNG KT'!$D$16:$Z$108,11,0)</f>
        <v>7804447</v>
      </c>
      <c r="I68" s="1840">
        <f>VLOOKUP(E68,'LƯƠNG KT'!$D$16:$Z$108,23,0)</f>
        <v>1036874</v>
      </c>
      <c r="J68" s="2096">
        <f t="shared" si="0"/>
        <v>8841321</v>
      </c>
      <c r="K68" s="2096"/>
      <c r="L68" s="1840"/>
      <c r="M68" s="1840">
        <f t="shared" si="1"/>
        <v>8841321</v>
      </c>
      <c r="N68" s="2110"/>
      <c r="O68" s="636">
        <f>+J68-'[15]LƯƠNG KT'!AA72</f>
        <v>-1102791</v>
      </c>
    </row>
    <row r="69" spans="1:15" s="242" customFormat="1" ht="18.75" customHeight="1">
      <c r="A69" s="1246">
        <v>58</v>
      </c>
      <c r="B69" s="2108">
        <v>58</v>
      </c>
      <c r="C69" s="1332" t="e">
        <f>VLOOKUP(E69,'[15]DS CN MOI UP'!$B$10:$C$347,2,0)</f>
        <v>#N/A</v>
      </c>
      <c r="D69" s="2109" t="s">
        <v>654</v>
      </c>
      <c r="E69" s="2110" t="str">
        <f>'LƯƠNG KT'!D73</f>
        <v>T. Ê</v>
      </c>
      <c r="F69" s="2110" t="str">
        <f>'LƯƠNG KT'!E73</f>
        <v>CNKT</v>
      </c>
      <c r="G69" s="1840">
        <f>VLOOKUP(E69,'LƯƠNG KT'!$D$16:$Z$108,4,0)</f>
        <v>0</v>
      </c>
      <c r="H69" s="1840">
        <f>VLOOKUP(E69,'LƯƠNG KT'!$D$16:$Z$108,11,0)</f>
        <v>10844388</v>
      </c>
      <c r="I69" s="1840">
        <f>VLOOKUP(E69,'LƯƠNG KT'!$D$16:$Z$108,23,0)</f>
        <v>1036874</v>
      </c>
      <c r="J69" s="2096">
        <f t="shared" si="0"/>
        <v>11881262</v>
      </c>
      <c r="K69" s="2096"/>
      <c r="L69" s="1840"/>
      <c r="M69" s="1840">
        <f t="shared" si="1"/>
        <v>11881262</v>
      </c>
      <c r="N69" s="2110"/>
      <c r="O69" s="636">
        <f>+J69-'[15]LƯƠNG KT'!AA73</f>
        <v>727334</v>
      </c>
    </row>
    <row r="70" spans="1:15" s="242" customFormat="1" ht="18.75" customHeight="1">
      <c r="A70" s="1246">
        <v>59</v>
      </c>
      <c r="B70" s="2108">
        <v>59</v>
      </c>
      <c r="C70" s="1332" t="e">
        <f>VLOOKUP(E70,'[15]DS CN MOI UP'!$B$10:$C$347,2,0)</f>
        <v>#N/A</v>
      </c>
      <c r="D70" s="2109" t="s">
        <v>654</v>
      </c>
      <c r="E70" s="2110" t="str">
        <f>'LƯƠNG KT'!D74</f>
        <v>N. Lắt Đa</v>
      </c>
      <c r="F70" s="2110" t="str">
        <f>'LƯƠNG KT'!E74</f>
        <v>CNKT</v>
      </c>
      <c r="G70" s="1840">
        <f>VLOOKUP(E70,'LƯƠNG KT'!$D$16:$Z$108,4,0)</f>
        <v>0</v>
      </c>
      <c r="H70" s="1840">
        <f>VLOOKUP(E70,'LƯƠNG KT'!$D$16:$Z$108,11,0)</f>
        <v>11102546</v>
      </c>
      <c r="I70" s="1840">
        <f>VLOOKUP(E70,'LƯƠNG KT'!$D$16:$Z$108,23,0)</f>
        <v>1036874</v>
      </c>
      <c r="J70" s="2096">
        <f t="shared" si="0"/>
        <v>12139420</v>
      </c>
      <c r="K70" s="2096"/>
      <c r="L70" s="1840"/>
      <c r="M70" s="1840">
        <f t="shared" si="1"/>
        <v>12139420</v>
      </c>
      <c r="N70" s="2110"/>
      <c r="O70" s="636">
        <f>+J70-'[15]LƯƠNG KT'!AA74</f>
        <v>1104432</v>
      </c>
    </row>
    <row r="71" spans="1:15" s="242" customFormat="1" ht="18.75" customHeight="1">
      <c r="A71" s="1246">
        <v>60</v>
      </c>
      <c r="B71" s="2108">
        <v>60</v>
      </c>
      <c r="C71" s="1332" t="e">
        <f>VLOOKUP(E71,'[15]DS CN MOI UP'!$B$10:$C$347,2,0)</f>
        <v>#N/A</v>
      </c>
      <c r="D71" s="2109" t="s">
        <v>654</v>
      </c>
      <c r="E71" s="2110" t="str">
        <f>'LƯƠNG KT'!D75</f>
        <v>N. Tieng Na</v>
      </c>
      <c r="F71" s="2110" t="str">
        <f>'LƯƠNG KT'!E75</f>
        <v>CNKT</v>
      </c>
      <c r="G71" s="1840">
        <f>VLOOKUP(E71,'LƯƠNG KT'!$D$16:$Z$108,4,0)</f>
        <v>0</v>
      </c>
      <c r="H71" s="1840">
        <f>VLOOKUP(E71,'LƯƠNG KT'!$D$16:$Z$108,11,0)</f>
        <v>8143389</v>
      </c>
      <c r="I71" s="1840">
        <f>VLOOKUP(E71,'LƯƠNG KT'!$D$16:$Z$108,23,0)</f>
        <v>1036874</v>
      </c>
      <c r="J71" s="2096">
        <f t="shared" si="0"/>
        <v>9180263</v>
      </c>
      <c r="K71" s="2096"/>
      <c r="L71" s="1840"/>
      <c r="M71" s="1840">
        <f t="shared" si="1"/>
        <v>9180263</v>
      </c>
      <c r="N71" s="2110"/>
      <c r="O71" s="636">
        <f>+J71-'[15]LƯƠNG KT'!AA75</f>
        <v>-641249</v>
      </c>
    </row>
    <row r="72" spans="1:15" s="242" customFormat="1" ht="18.75" customHeight="1">
      <c r="A72" s="1246">
        <v>61</v>
      </c>
      <c r="B72" s="2108">
        <v>61</v>
      </c>
      <c r="C72" s="1332" t="str">
        <f>VLOOKUP(E72,'[15]DS CN MOI UP'!$B$10:$C$347,2,0)</f>
        <v>02572</v>
      </c>
      <c r="D72" s="2109" t="s">
        <v>654</v>
      </c>
      <c r="E72" s="2110" t="str">
        <f>'LƯƠNG KT'!D76</f>
        <v>A Nha</v>
      </c>
      <c r="F72" s="2110" t="str">
        <f>'LƯƠNG KT'!E76</f>
        <v>CNKT</v>
      </c>
      <c r="G72" s="1840">
        <f>VLOOKUP(E72,'LƯƠNG KT'!$D$16:$Z$108,4,0)</f>
        <v>0</v>
      </c>
      <c r="H72" s="1840">
        <f>VLOOKUP(E72,'LƯƠNG KT'!$D$16:$Z$108,11,0)</f>
        <v>5171392</v>
      </c>
      <c r="I72" s="1840">
        <f>VLOOKUP(E72,'LƯƠNG KT'!$D$16:$Z$108,23,0)</f>
        <v>852117</v>
      </c>
      <c r="J72" s="2096">
        <f t="shared" si="0"/>
        <v>6023509</v>
      </c>
      <c r="K72" s="2096"/>
      <c r="L72" s="1840"/>
      <c r="M72" s="1840">
        <f t="shared" si="1"/>
        <v>6023509</v>
      </c>
      <c r="N72" s="2110"/>
      <c r="O72" s="636">
        <f>+J72-'[15]LƯƠNG KT'!AA76</f>
        <v>-2482342</v>
      </c>
    </row>
    <row r="73" spans="1:15" s="242" customFormat="1" ht="18.75" customHeight="1">
      <c r="A73" s="1246">
        <v>62</v>
      </c>
      <c r="B73" s="2108">
        <v>62</v>
      </c>
      <c r="C73" s="1332" t="e">
        <f>VLOOKUP(E73,'[15]DS CN MOI UP'!$B$10:$C$347,2,0)</f>
        <v>#N/A</v>
      </c>
      <c r="D73" s="2109" t="s">
        <v>654</v>
      </c>
      <c r="E73" s="2110" t="str">
        <f>'LƯƠNG KT'!D77</f>
        <v>T. Un</v>
      </c>
      <c r="F73" s="2110" t="str">
        <f>'LƯƠNG KT'!E77</f>
        <v>CNKT</v>
      </c>
      <c r="G73" s="1840">
        <f>VLOOKUP(E73,'LƯƠNG KT'!$D$16:$Z$108,4,0)</f>
        <v>0</v>
      </c>
      <c r="H73" s="1840">
        <f>VLOOKUP(E73,'LƯƠNG KT'!$D$16:$Z$108,11,0)</f>
        <v>9564654</v>
      </c>
      <c r="I73" s="1840">
        <f>VLOOKUP(E73,'LƯƠNG KT'!$D$16:$Z$108,23,0)</f>
        <v>1036874</v>
      </c>
      <c r="J73" s="2096">
        <f t="shared" si="0"/>
        <v>10601528</v>
      </c>
      <c r="K73" s="2096"/>
      <c r="L73" s="1840"/>
      <c r="M73" s="1840">
        <f t="shared" si="1"/>
        <v>10601528</v>
      </c>
      <c r="N73" s="2110"/>
      <c r="O73" s="636">
        <f>+J73-'[15]LƯƠNG KT'!AA77</f>
        <v>1370767</v>
      </c>
    </row>
    <row r="74" spans="1:15" s="242" customFormat="1" ht="18.75" customHeight="1">
      <c r="A74" s="1246">
        <v>63</v>
      </c>
      <c r="B74" s="2108">
        <v>63</v>
      </c>
      <c r="C74" s="1332" t="e">
        <f>VLOOKUP(E74,'[15]DS CN MOI UP'!$B$10:$C$347,2,0)</f>
        <v>#N/A</v>
      </c>
      <c r="D74" s="2109" t="s">
        <v>654</v>
      </c>
      <c r="E74" s="2110" t="str">
        <f>'LƯƠNG KT'!D78</f>
        <v>T. Sinh</v>
      </c>
      <c r="F74" s="2110" t="str">
        <f>'LƯƠNG KT'!E78</f>
        <v>CNKT</v>
      </c>
      <c r="G74" s="1840">
        <f>VLOOKUP(E74,'LƯƠNG KT'!$D$16:$Z$108,4,0)</f>
        <v>0</v>
      </c>
      <c r="H74" s="1840">
        <f>VLOOKUP(E74,'LƯƠNG KT'!$D$16:$Z$108,11,0)</f>
        <v>7978309</v>
      </c>
      <c r="I74" s="1840">
        <f>VLOOKUP(E74,'LƯƠNG KT'!$D$16:$Z$108,23,0)</f>
        <v>1006081</v>
      </c>
      <c r="J74" s="2096">
        <f t="shared" si="0"/>
        <v>8984390</v>
      </c>
      <c r="K74" s="2096"/>
      <c r="L74" s="1840"/>
      <c r="M74" s="1840">
        <f t="shared" si="1"/>
        <v>8984390</v>
      </c>
      <c r="N74" s="2110"/>
      <c r="O74" s="636">
        <f>+J74-'[15]LƯƠNG KT'!AA78</f>
        <v>-231442</v>
      </c>
    </row>
    <row r="75" spans="1:15" s="242" customFormat="1" ht="18.75" customHeight="1">
      <c r="A75" s="1246">
        <v>64</v>
      </c>
      <c r="B75" s="2108">
        <v>64</v>
      </c>
      <c r="C75" s="1332" t="e">
        <f>VLOOKUP(E75,'[15]DS CN MOI UP'!$B$10:$C$347,2,0)</f>
        <v>#N/A</v>
      </c>
      <c r="D75" s="2109" t="s">
        <v>654</v>
      </c>
      <c r="E75" s="2110" t="str">
        <f>'LƯƠNG KT'!D79</f>
        <v>T. Khăm Công</v>
      </c>
      <c r="F75" s="2110" t="str">
        <f>'LƯƠNG KT'!E79</f>
        <v>CNKT</v>
      </c>
      <c r="G75" s="1840">
        <f>VLOOKUP(E75,'LƯƠNG KT'!$D$16:$Z$108,4,0)</f>
        <v>0</v>
      </c>
      <c r="H75" s="1840">
        <f>VLOOKUP(E75,'LƯƠNG KT'!$D$16:$Z$108,11,0)</f>
        <v>7103359</v>
      </c>
      <c r="I75" s="1840">
        <f>VLOOKUP(E75,'LƯƠNG KT'!$D$16:$Z$108,23,0)</f>
        <v>821324</v>
      </c>
      <c r="J75" s="2096">
        <f t="shared" si="0"/>
        <v>7924683</v>
      </c>
      <c r="K75" s="2096"/>
      <c r="L75" s="1840"/>
      <c r="M75" s="1840">
        <f t="shared" si="1"/>
        <v>7924683</v>
      </c>
      <c r="N75" s="2110"/>
      <c r="O75" s="636">
        <f>+J75-'[15]LƯƠNG KT'!AA79</f>
        <v>-2552209</v>
      </c>
    </row>
    <row r="76" spans="1:15" s="242" customFormat="1" ht="18.75" customHeight="1">
      <c r="A76" s="1246">
        <v>65</v>
      </c>
      <c r="B76" s="2108">
        <v>65</v>
      </c>
      <c r="C76" s="1332" t="e">
        <f>VLOOKUP(E76,'[15]DS CN MOI UP'!$B$10:$C$347,2,0)</f>
        <v>#N/A</v>
      </c>
      <c r="D76" s="2109" t="s">
        <v>654</v>
      </c>
      <c r="E76" s="2110" t="str">
        <f>'LƯƠNG KT'!D80</f>
        <v>Un Seng</v>
      </c>
      <c r="F76" s="2110" t="str">
        <f>'LƯƠNG KT'!E80</f>
        <v>CNKT</v>
      </c>
      <c r="G76" s="1840">
        <f>VLOOKUP(E76,'LƯƠNG KT'!$D$16:$Z$108,4,0)</f>
        <v>0</v>
      </c>
      <c r="H76" s="1840">
        <f>VLOOKUP(E76,'LƯƠNG KT'!$D$16:$Z$108,11,0)</f>
        <v>6301851</v>
      </c>
      <c r="I76" s="1840">
        <f>VLOOKUP(E76,'LƯƠNG KT'!$D$16:$Z$108,23,0)</f>
        <v>1006081</v>
      </c>
      <c r="J76" s="2096">
        <f t="shared" si="0"/>
        <v>7307932</v>
      </c>
      <c r="K76" s="2096"/>
      <c r="L76" s="1840"/>
      <c r="M76" s="1840">
        <f t="shared" si="1"/>
        <v>7307932</v>
      </c>
      <c r="N76" s="2110"/>
      <c r="O76" s="636">
        <f>+J76-'[15]LƯƠNG KT'!AA80</f>
        <v>-1939298</v>
      </c>
    </row>
    <row r="77" spans="1:15" s="242" customFormat="1" ht="18.75" customHeight="1">
      <c r="A77" s="1246">
        <v>66</v>
      </c>
      <c r="B77" s="2108">
        <v>66</v>
      </c>
      <c r="C77" s="1332" t="e">
        <f>VLOOKUP(E77,'[15]DS CN MOI UP'!$B$10:$C$347,2,0)</f>
        <v>#N/A</v>
      </c>
      <c r="D77" s="2109" t="s">
        <v>654</v>
      </c>
      <c r="E77" s="2110" t="str">
        <f>'LƯƠNG KT'!D81</f>
        <v>N . Lạ</v>
      </c>
      <c r="F77" s="2110" t="str">
        <f>'LƯƠNG KT'!E81</f>
        <v>CNKT</v>
      </c>
      <c r="G77" s="1840">
        <f>VLOOKUP(E77,'LƯƠNG KT'!$D$16:$Z$108,4,0)</f>
        <v>0</v>
      </c>
      <c r="H77" s="1840">
        <f>VLOOKUP(E77,'LƯƠNG KT'!$D$16:$Z$108,11,0)</f>
        <v>8810736</v>
      </c>
      <c r="I77" s="1840">
        <f>VLOOKUP(E77,'LƯƠNG KT'!$D$16:$Z$108,23,0)</f>
        <v>1036874</v>
      </c>
      <c r="J77" s="2096">
        <f t="shared" ref="J77:J101" si="2">SUM(G77:I77)</f>
        <v>9847610</v>
      </c>
      <c r="K77" s="2096"/>
      <c r="L77" s="1840"/>
      <c r="M77" s="1840">
        <f t="shared" ref="M77:M101" si="3">J77-L77</f>
        <v>9847610</v>
      </c>
      <c r="N77" s="2110"/>
      <c r="O77" s="636">
        <f>+J77-'[15]LƯƠNG KT'!AA81</f>
        <v>166996</v>
      </c>
    </row>
    <row r="78" spans="1:15" s="242" customFormat="1" ht="18.75" customHeight="1">
      <c r="A78" s="1246">
        <v>67</v>
      </c>
      <c r="B78" s="2108">
        <v>67</v>
      </c>
      <c r="C78" s="1332" t="e">
        <f>VLOOKUP(E78,'[15]DS CN MOI UP'!$B$10:$C$347,2,0)</f>
        <v>#N/A</v>
      </c>
      <c r="D78" s="2109" t="s">
        <v>654</v>
      </c>
      <c r="E78" s="2110" t="str">
        <f>'LƯƠNG KT'!D82</f>
        <v>T. Chỏ</v>
      </c>
      <c r="F78" s="2110" t="str">
        <f>'LƯƠNG KT'!E82</f>
        <v>CNKT</v>
      </c>
      <c r="G78" s="1840">
        <f>VLOOKUP(E78,'LƯƠNG KT'!$D$16:$Z$108,4,0)</f>
        <v>0</v>
      </c>
      <c r="H78" s="1840">
        <f>VLOOKUP(E78,'LƯƠNG KT'!$D$16:$Z$108,11,0)</f>
        <v>4991053</v>
      </c>
      <c r="I78" s="1840">
        <f>VLOOKUP(E78,'LƯƠNG KT'!$D$16:$Z$108,23,0)</f>
        <v>852117</v>
      </c>
      <c r="J78" s="2096">
        <f t="shared" si="2"/>
        <v>5843170</v>
      </c>
      <c r="K78" s="2096"/>
      <c r="L78" s="1840"/>
      <c r="M78" s="1840">
        <f t="shared" si="3"/>
        <v>5843170</v>
      </c>
      <c r="N78" s="2110"/>
      <c r="O78" s="636">
        <f>+J78-'[15]LƯƠNG KT'!AA82</f>
        <v>-2458338</v>
      </c>
    </row>
    <row r="79" spans="1:15" s="242" customFormat="1" ht="18.75" customHeight="1">
      <c r="A79" s="1246">
        <v>68</v>
      </c>
      <c r="B79" s="2108">
        <v>68</v>
      </c>
      <c r="C79" s="1332" t="e">
        <f>VLOOKUP(E79,'[15]DS CN MOI UP'!$B$10:$C$347,2,0)</f>
        <v>#N/A</v>
      </c>
      <c r="D79" s="2109" t="s">
        <v>654</v>
      </c>
      <c r="E79" s="2110" t="str">
        <f>'LƯƠNG KT'!D83</f>
        <v>N. Xôm Pheng</v>
      </c>
      <c r="F79" s="2110" t="str">
        <f>'LƯƠNG KT'!E83</f>
        <v>CNKT</v>
      </c>
      <c r="G79" s="1840">
        <f>VLOOKUP(E79,'LƯƠNG KT'!$D$16:$Z$108,4,0)</f>
        <v>0</v>
      </c>
      <c r="H79" s="1840">
        <f>VLOOKUP(E79,'LƯƠNG KT'!$D$16:$Z$108,11,0)</f>
        <v>6293502</v>
      </c>
      <c r="I79" s="1840">
        <f>VLOOKUP(E79,'LƯƠNG KT'!$D$16:$Z$108,23,0)</f>
        <v>1036874</v>
      </c>
      <c r="J79" s="2096">
        <f t="shared" si="2"/>
        <v>7330376</v>
      </c>
      <c r="K79" s="2096"/>
      <c r="L79" s="1840"/>
      <c r="M79" s="1840">
        <f t="shared" si="3"/>
        <v>7330376</v>
      </c>
      <c r="N79" s="2110"/>
      <c r="O79" s="636">
        <f>+J79-'[15]LƯƠNG KT'!AA83</f>
        <v>-2418692</v>
      </c>
    </row>
    <row r="80" spans="1:15" s="242" customFormat="1" ht="18.75" customHeight="1">
      <c r="A80" s="1246">
        <v>69</v>
      </c>
      <c r="B80" s="2108">
        <v>69</v>
      </c>
      <c r="C80" s="1332" t="e">
        <f>VLOOKUP(E80,'[15]DS CN MOI UP'!$B$10:$C$347,2,0)</f>
        <v>#N/A</v>
      </c>
      <c r="D80" s="2109" t="s">
        <v>654</v>
      </c>
      <c r="E80" s="2110" t="str">
        <f>'LƯƠNG KT'!D84</f>
        <v>T. Vôn</v>
      </c>
      <c r="F80" s="2110" t="str">
        <f>'LƯƠNG KT'!E84</f>
        <v>CNKT</v>
      </c>
      <c r="G80" s="1840">
        <f>VLOOKUP(E80,'LƯƠNG KT'!$D$16:$Z$108,4,0)</f>
        <v>0</v>
      </c>
      <c r="H80" s="1840">
        <f>VLOOKUP(E80,'LƯƠNG KT'!$D$16:$Z$108,11,0)</f>
        <v>10951515</v>
      </c>
      <c r="I80" s="1840">
        <f>VLOOKUP(E80,'LƯƠNG KT'!$D$16:$Z$108,23,0)</f>
        <v>1036874</v>
      </c>
      <c r="J80" s="2096">
        <f t="shared" si="2"/>
        <v>11988389</v>
      </c>
      <c r="K80" s="2096"/>
      <c r="L80" s="1840"/>
      <c r="M80" s="1840">
        <f t="shared" si="3"/>
        <v>11988389</v>
      </c>
      <c r="N80" s="2110"/>
      <c r="O80" s="636">
        <f>+J80-'[15]LƯƠNG KT'!AA84</f>
        <v>1123864</v>
      </c>
    </row>
    <row r="81" spans="1:15" s="242" customFormat="1" ht="18.75" customHeight="1">
      <c r="A81" s="1246">
        <v>70</v>
      </c>
      <c r="B81" s="2108">
        <v>70</v>
      </c>
      <c r="C81" s="1332"/>
      <c r="D81" s="2109" t="s">
        <v>648</v>
      </c>
      <c r="E81" s="2110" t="str">
        <f>'LƯƠNG KT'!D85</f>
        <v>Đa Ly</v>
      </c>
      <c r="F81" s="2110" t="str">
        <f>'LƯƠNG KT'!E85</f>
        <v>CNKT</v>
      </c>
      <c r="G81" s="1840">
        <f>VLOOKUP(E81,'LƯƠNG KT'!$D$16:$Z$108,4,0)</f>
        <v>0</v>
      </c>
      <c r="H81" s="1840">
        <f>VLOOKUP(E81,'LƯƠNG KT'!$D$16:$Z$108,11,0)</f>
        <v>11070935</v>
      </c>
      <c r="I81" s="1840">
        <f>VLOOKUP(E81,'LƯƠNG KT'!$D$16:$Z$108,23,0)</f>
        <v>1036874</v>
      </c>
      <c r="J81" s="2096">
        <f t="shared" si="2"/>
        <v>12107809</v>
      </c>
      <c r="K81" s="2096"/>
      <c r="L81" s="1840"/>
      <c r="M81" s="1840">
        <f t="shared" si="3"/>
        <v>12107809</v>
      </c>
      <c r="N81" s="2110"/>
      <c r="O81" s="636">
        <f>+J81-'[15]LƯƠNG KT'!AA85</f>
        <v>1223155</v>
      </c>
    </row>
    <row r="82" spans="1:15" s="242" customFormat="1" ht="18.75" customHeight="1">
      <c r="A82" s="1246">
        <v>71</v>
      </c>
      <c r="B82" s="2108">
        <v>71</v>
      </c>
      <c r="C82" s="1332" t="e">
        <f>VLOOKUP(E82,'[15]DS CN MOI UP'!$B$10:$C$347,2,0)</f>
        <v>#N/A</v>
      </c>
      <c r="D82" s="2109" t="s">
        <v>650</v>
      </c>
      <c r="E82" s="2110" t="str">
        <f>'LƯƠNG KT'!D86</f>
        <v>Khút Thong</v>
      </c>
      <c r="F82" s="2110" t="str">
        <f>'LƯƠNG KT'!E86</f>
        <v>CNKT</v>
      </c>
      <c r="G82" s="1840">
        <f>VLOOKUP(E82,'LƯƠNG KT'!$D$16:$Z$108,4,0)</f>
        <v>0</v>
      </c>
      <c r="H82" s="1840">
        <f>VLOOKUP(E82,'LƯƠNG KT'!$D$16:$Z$108,11,0)</f>
        <v>7811472</v>
      </c>
      <c r="I82" s="1840">
        <f>VLOOKUP(E82,'LƯƠNG KT'!$D$16:$Z$108,23,0)</f>
        <v>985508</v>
      </c>
      <c r="J82" s="2096">
        <f t="shared" si="2"/>
        <v>8796980</v>
      </c>
      <c r="K82" s="2096"/>
      <c r="L82" s="1840"/>
      <c r="M82" s="1840">
        <f t="shared" si="3"/>
        <v>8796980</v>
      </c>
      <c r="N82" s="2110"/>
      <c r="O82" s="636">
        <f>+J82-'[15]LƯƠNG KT'!AA86</f>
        <v>-746749</v>
      </c>
    </row>
    <row r="83" spans="1:15" s="242" customFormat="1" ht="18.75" customHeight="1">
      <c r="A83" s="1246">
        <v>72</v>
      </c>
      <c r="B83" s="2108">
        <v>72</v>
      </c>
      <c r="C83" s="1332" t="e">
        <f>VLOOKUP(E83,'[15]DS CN MOI UP'!$B$10:$C$347,2,0)</f>
        <v>#N/A</v>
      </c>
      <c r="D83" s="2109" t="s">
        <v>651</v>
      </c>
      <c r="E83" s="2110" t="str">
        <f>'LƯƠNG KT'!D87</f>
        <v>Lắc Xa Mi</v>
      </c>
      <c r="F83" s="2110" t="str">
        <f>'LƯƠNG KT'!E87</f>
        <v>CNKT</v>
      </c>
      <c r="G83" s="1840">
        <f>VLOOKUP(E83,'LƯƠNG KT'!$D$16:$Z$108,4,0)</f>
        <v>0</v>
      </c>
      <c r="H83" s="1840">
        <f>VLOOKUP(E83,'LƯƠNG KT'!$D$16:$Z$108,11,0)</f>
        <v>7393502</v>
      </c>
      <c r="I83" s="1840">
        <f>VLOOKUP(E83,'LƯƠNG KT'!$D$16:$Z$108,23,0)</f>
        <v>1036874</v>
      </c>
      <c r="J83" s="2096">
        <f t="shared" si="2"/>
        <v>8430376</v>
      </c>
      <c r="K83" s="2096"/>
      <c r="L83" s="1840"/>
      <c r="M83" s="1840">
        <f t="shared" si="3"/>
        <v>8430376</v>
      </c>
      <c r="N83" s="2110"/>
      <c r="O83" s="636">
        <f>+J83-'[15]LƯƠNG KT'!AA87</f>
        <v>-1235599</v>
      </c>
    </row>
    <row r="84" spans="1:15" s="242" customFormat="1" ht="18.75" customHeight="1">
      <c r="A84" s="1246">
        <v>73</v>
      </c>
      <c r="B84" s="2108">
        <v>73</v>
      </c>
      <c r="C84" s="1332" t="e">
        <f>VLOOKUP(E84,'[15]DS CN MOI UP'!$B$10:$C$347,2,0)</f>
        <v>#N/A</v>
      </c>
      <c r="D84" s="2109" t="s">
        <v>651</v>
      </c>
      <c r="E84" s="2110" t="str">
        <f>'LƯƠNG KT'!D88</f>
        <v>A Xít</v>
      </c>
      <c r="F84" s="2110" t="str">
        <f>'LƯƠNG KT'!E88</f>
        <v>CNKT</v>
      </c>
      <c r="G84" s="1840">
        <f>VLOOKUP(E84,'LƯƠNG KT'!$D$16:$Z$108,4,0)</f>
        <v>0</v>
      </c>
      <c r="H84" s="1840">
        <f>VLOOKUP(E84,'LƯƠNG KT'!$D$16:$Z$108,11,0)</f>
        <v>4483432</v>
      </c>
      <c r="I84" s="1840">
        <f>VLOOKUP(E84,'LƯƠNG KT'!$D$16:$Z$108,23,0)</f>
        <v>595420</v>
      </c>
      <c r="J84" s="2096">
        <f t="shared" si="2"/>
        <v>5078852</v>
      </c>
      <c r="K84" s="2096"/>
      <c r="L84" s="1840"/>
      <c r="M84" s="1840">
        <f t="shared" si="3"/>
        <v>5078852</v>
      </c>
      <c r="N84" s="2110"/>
      <c r="O84" s="636">
        <f>+J84-'[15]LƯƠNG KT'!AA88</f>
        <v>-3955751</v>
      </c>
    </row>
    <row r="85" spans="1:15" s="242" customFormat="1" ht="18.75" customHeight="1">
      <c r="A85" s="1246">
        <v>74</v>
      </c>
      <c r="B85" s="2108">
        <v>74</v>
      </c>
      <c r="C85" s="1332" t="e">
        <f>VLOOKUP(E85,'[15]DS CN MOI UP'!$B$10:$C$347,2,0)</f>
        <v>#N/A</v>
      </c>
      <c r="D85" s="2109" t="s">
        <v>651</v>
      </c>
      <c r="E85" s="2110" t="str">
        <f>'LƯƠNG KT'!D89</f>
        <v>A. Nóc</v>
      </c>
      <c r="F85" s="2110" t="str">
        <f>'LƯƠNG KT'!E89</f>
        <v>CNKT</v>
      </c>
      <c r="G85" s="1840">
        <f>VLOOKUP(E85,'LƯƠNG KT'!$D$16:$Z$108,4,0)</f>
        <v>0</v>
      </c>
      <c r="H85" s="1840">
        <f>VLOOKUP(E85,'LƯƠNG KT'!$D$16:$Z$108,11,0)</f>
        <v>6111493</v>
      </c>
      <c r="I85" s="1840">
        <f>VLOOKUP(E85,'LƯƠNG KT'!$D$16:$Z$108,23,0)</f>
        <v>893129</v>
      </c>
      <c r="J85" s="2096">
        <f t="shared" si="2"/>
        <v>7004622</v>
      </c>
      <c r="K85" s="2096"/>
      <c r="L85" s="1840"/>
      <c r="M85" s="1840">
        <f t="shared" si="3"/>
        <v>7004622</v>
      </c>
      <c r="N85" s="2110"/>
      <c r="O85" s="636">
        <f>+J85-'[15]LƯƠNG KT'!AA89</f>
        <v>-792944</v>
      </c>
    </row>
    <row r="86" spans="1:15" s="242" customFormat="1" ht="18.75" customHeight="1">
      <c r="A86" s="1246">
        <v>75</v>
      </c>
      <c r="B86" s="2108">
        <v>75</v>
      </c>
      <c r="C86" s="1332" t="e">
        <f>VLOOKUP(E86,'[15]DS CN MOI UP'!$B$10:$C$347,2,0)</f>
        <v>#N/A</v>
      </c>
      <c r="D86" s="2109" t="s">
        <v>651</v>
      </c>
      <c r="E86" s="2110" t="str">
        <f>'LƯƠNG KT'!D90</f>
        <v>Nàng Keo (63)</v>
      </c>
      <c r="F86" s="2110" t="str">
        <f>'LƯƠNG KT'!E90</f>
        <v>CNKT</v>
      </c>
      <c r="G86" s="1840">
        <f>VLOOKUP(E86,'LƯƠNG KT'!$D$16:$Z$108,4,0)</f>
        <v>0</v>
      </c>
      <c r="H86" s="1840">
        <f>VLOOKUP(E86,'LƯƠNG KT'!$D$16:$Z$108,11,0)</f>
        <v>6387587</v>
      </c>
      <c r="I86" s="1840">
        <f>VLOOKUP(E86,'LƯƠNG KT'!$D$16:$Z$108,23,0)</f>
        <v>718591</v>
      </c>
      <c r="J86" s="2096">
        <f t="shared" si="2"/>
        <v>7106178</v>
      </c>
      <c r="K86" s="2096"/>
      <c r="L86" s="1840"/>
      <c r="M86" s="1840">
        <f t="shared" si="3"/>
        <v>7106178</v>
      </c>
      <c r="N86" s="2110"/>
      <c r="O86" s="636">
        <f>+J86-'[15]LƯƠNG KT'!AA90</f>
        <v>-511257</v>
      </c>
    </row>
    <row r="87" spans="1:15" s="242" customFormat="1" ht="18.75" customHeight="1">
      <c r="A87" s="1246">
        <v>76</v>
      </c>
      <c r="B87" s="2108">
        <v>76</v>
      </c>
      <c r="C87" s="1332" t="e">
        <f>VLOOKUP(E87,'[15]DS CN MOI UP'!$B$10:$C$347,2,0)</f>
        <v>#N/A</v>
      </c>
      <c r="D87" s="2109" t="s">
        <v>651</v>
      </c>
      <c r="E87" s="2110" t="str">
        <f>'LƯƠNG KT'!D91</f>
        <v>avan</v>
      </c>
      <c r="F87" s="2110" t="str">
        <f>'LƯƠNG KT'!E91</f>
        <v>CNKT</v>
      </c>
      <c r="G87" s="1840">
        <f>VLOOKUP(E87,'LƯƠNG KT'!$D$16:$Z$108,4,0)</f>
        <v>0</v>
      </c>
      <c r="H87" s="1840">
        <f>VLOOKUP(E87,'LƯƠNG KT'!$D$16:$Z$108,11,0)</f>
        <v>5744712</v>
      </c>
      <c r="I87" s="1840">
        <f>VLOOKUP(E87,'LƯƠNG KT'!$D$16:$Z$108,23,0)</f>
        <v>605639</v>
      </c>
      <c r="J87" s="2096">
        <f t="shared" si="2"/>
        <v>6350351</v>
      </c>
      <c r="K87" s="2096"/>
      <c r="L87" s="1840"/>
      <c r="M87" s="1840">
        <f t="shared" si="3"/>
        <v>6350351</v>
      </c>
      <c r="N87" s="2110"/>
      <c r="O87" s="636">
        <f>+J87-'[15]LƯƠNG KT'!AA91</f>
        <v>2997701</v>
      </c>
    </row>
    <row r="88" spans="1:15" s="242" customFormat="1" ht="18.75" customHeight="1">
      <c r="A88" s="1246">
        <v>77</v>
      </c>
      <c r="B88" s="2108">
        <v>77</v>
      </c>
      <c r="C88" s="1332" t="e">
        <f>VLOOKUP(E88,'[15]DS CN MOI UP'!$B$10:$C$347,2,0)</f>
        <v>#N/A</v>
      </c>
      <c r="D88" s="2109" t="s">
        <v>651</v>
      </c>
      <c r="E88" s="2110" t="str">
        <f>'LƯƠNG KT'!D92</f>
        <v>A thít</v>
      </c>
      <c r="F88" s="2110" t="str">
        <f>'LƯƠNG KT'!E92</f>
        <v>CNKT</v>
      </c>
      <c r="G88" s="1840">
        <f>VLOOKUP(E88,'LƯƠNG KT'!$D$16:$Z$108,4,0)</f>
        <v>0</v>
      </c>
      <c r="H88" s="1840">
        <f>VLOOKUP(E88,'LƯƠNG KT'!$D$16:$Z$108,11,0)</f>
        <v>3489896</v>
      </c>
      <c r="I88" s="1840">
        <f>VLOOKUP(E88,'LƯƠNG KT'!$D$16:$Z$108,23,0)</f>
        <v>482468</v>
      </c>
      <c r="J88" s="2096">
        <f t="shared" si="2"/>
        <v>3972364</v>
      </c>
      <c r="K88" s="2096"/>
      <c r="L88" s="1840"/>
      <c r="M88" s="1840">
        <f t="shared" si="3"/>
        <v>3972364</v>
      </c>
      <c r="N88" s="2110"/>
      <c r="O88" s="636">
        <f>+J88-'[15]LƯƠNG KT'!AA92</f>
        <v>3329999</v>
      </c>
    </row>
    <row r="89" spans="1:15" s="242" customFormat="1" ht="18.75" customHeight="1">
      <c r="A89" s="1246">
        <v>78</v>
      </c>
      <c r="B89" s="2108">
        <v>78</v>
      </c>
      <c r="C89" s="1332" t="e">
        <f>VLOOKUP(E89,'[15]DS CN MOI UP'!$B$10:$C$347,2,0)</f>
        <v>#N/A</v>
      </c>
      <c r="D89" s="2109" t="s">
        <v>651</v>
      </c>
      <c r="E89" s="2110" t="str">
        <f>'LƯƠNG KT'!D93</f>
        <v>Món</v>
      </c>
      <c r="F89" s="2110" t="str">
        <f>'LƯƠNG KT'!E93</f>
        <v>CNKT</v>
      </c>
      <c r="G89" s="1840">
        <f>VLOOKUP(E89,'LƯƠNG KT'!$D$16:$Z$108,4,0)</f>
        <v>0</v>
      </c>
      <c r="H89" s="1840">
        <f>VLOOKUP(E89,'LƯƠNG KT'!$D$16:$Z$108,11,0)</f>
        <v>1458346</v>
      </c>
      <c r="I89" s="1840">
        <f>VLOOKUP(E89,'LƯƠNG KT'!$D$16:$Z$108,23,0)</f>
        <v>379869</v>
      </c>
      <c r="J89" s="2096">
        <f t="shared" si="2"/>
        <v>1838215</v>
      </c>
      <c r="K89" s="2096"/>
      <c r="L89" s="1840"/>
      <c r="M89" s="1840">
        <f t="shared" si="3"/>
        <v>1838215</v>
      </c>
      <c r="N89" s="2110"/>
      <c r="O89" s="636">
        <f>+J89-'[15]LƯƠNG KT'!AA93</f>
        <v>1182806</v>
      </c>
    </row>
    <row r="90" spans="1:15" s="242" customFormat="1" ht="18.75" customHeight="1">
      <c r="A90" s="1246">
        <v>79</v>
      </c>
      <c r="B90" s="2108">
        <v>79</v>
      </c>
      <c r="C90" s="1332" t="e">
        <f>VLOOKUP(E90,'[15]DS CN MOI UP'!$B$10:$C$347,2,0)</f>
        <v>#N/A</v>
      </c>
      <c r="D90" s="2109" t="s">
        <v>651</v>
      </c>
      <c r="E90" s="2110" t="str">
        <f>'LƯƠNG KT'!D94</f>
        <v>A tèng</v>
      </c>
      <c r="F90" s="2110" t="str">
        <f>'LƯƠNG KT'!E94</f>
        <v>CNKT</v>
      </c>
      <c r="G90" s="1840">
        <f>VLOOKUP(E90,'LƯƠNG KT'!$D$16:$Z$108,4,0)</f>
        <v>0</v>
      </c>
      <c r="H90" s="1840">
        <f>VLOOKUP(E90,'LƯƠNG KT'!$D$16:$Z$108,11,0)</f>
        <v>668211</v>
      </c>
      <c r="I90" s="1840">
        <f>VLOOKUP(E90,'LƯƠNG KT'!$D$16:$Z$108,23,0)</f>
        <v>277137</v>
      </c>
      <c r="J90" s="2096">
        <f t="shared" si="2"/>
        <v>945348</v>
      </c>
      <c r="K90" s="2096"/>
      <c r="L90" s="1840"/>
      <c r="M90" s="1840">
        <f t="shared" si="3"/>
        <v>945348</v>
      </c>
      <c r="N90" s="2110"/>
      <c r="O90" s="636">
        <f>+J90-'[15]LƯƠNG KT'!AA94</f>
        <v>334437</v>
      </c>
    </row>
    <row r="91" spans="1:15" s="242" customFormat="1" ht="18.75" customHeight="1">
      <c r="A91" s="1246">
        <v>80</v>
      </c>
      <c r="B91" s="2108">
        <v>80</v>
      </c>
      <c r="C91" s="1332" t="e">
        <f>VLOOKUP(E91,'[15]DS CN MOI UP'!$B$10:$C$347,2,0)</f>
        <v>#N/A</v>
      </c>
      <c r="D91" s="2109" t="s">
        <v>651</v>
      </c>
      <c r="E91" s="2110" t="str">
        <f>'LƯƠNG KT'!D95</f>
        <v xml:space="preserve">Đao </v>
      </c>
      <c r="F91" s="2110" t="str">
        <f>'LƯƠNG KT'!E95</f>
        <v>CNKT</v>
      </c>
      <c r="G91" s="1840">
        <f>VLOOKUP(E91,'LƯƠNG KT'!$D$16:$Z$108,4,0)</f>
        <v>0</v>
      </c>
      <c r="H91" s="1840">
        <f>VLOOKUP(E91,'LƯƠNG KT'!$D$16:$Z$108,11,0)</f>
        <v>277102</v>
      </c>
      <c r="I91" s="1840">
        <f>VLOOKUP(E91,'LƯƠNG KT'!$D$16:$Z$108,23,0)</f>
        <v>153965</v>
      </c>
      <c r="J91" s="2096">
        <f t="shared" si="2"/>
        <v>431067</v>
      </c>
      <c r="K91" s="2096"/>
      <c r="L91" s="1840"/>
      <c r="M91" s="1840">
        <f t="shared" si="3"/>
        <v>431067</v>
      </c>
      <c r="N91" s="2110"/>
      <c r="O91" s="636">
        <f>+J91-'[15]LƯƠNG KT'!AA95</f>
        <v>163789</v>
      </c>
    </row>
    <row r="92" spans="1:15" s="242" customFormat="1" ht="18.75" customHeight="1">
      <c r="A92" s="1246">
        <v>81</v>
      </c>
      <c r="B92" s="2108">
        <v>81</v>
      </c>
      <c r="C92" s="1332" t="e">
        <f>VLOOKUP(E92,'[15]DS CN MOI UP'!$B$10:$C$347,2,0)</f>
        <v>#N/A</v>
      </c>
      <c r="D92" s="2109" t="s">
        <v>651</v>
      </c>
      <c r="E92" s="2110" t="str">
        <f>'LƯƠNG KT'!D96</f>
        <v>Lôn</v>
      </c>
      <c r="F92" s="2110" t="str">
        <f>'LƯƠNG KT'!E96</f>
        <v>CNKT</v>
      </c>
      <c r="G92" s="1840">
        <f>VLOOKUP(E92,'LƯƠNG KT'!$D$16:$Z$108,4,0)</f>
        <v>0</v>
      </c>
      <c r="H92" s="1840">
        <f>VLOOKUP(E92,'LƯƠNG KT'!$D$16:$Z$108,11,0)</f>
        <v>0</v>
      </c>
      <c r="I92" s="1840">
        <f>VLOOKUP(E92,'LƯƠNG KT'!$D$16:$Z$108,23,0)</f>
        <v>30793</v>
      </c>
      <c r="J92" s="2096">
        <f t="shared" si="2"/>
        <v>30793</v>
      </c>
      <c r="K92" s="2096"/>
      <c r="L92" s="1840"/>
      <c r="M92" s="1840">
        <f t="shared" si="3"/>
        <v>30793</v>
      </c>
      <c r="N92" s="2110"/>
      <c r="O92" s="636">
        <f>+J92-'[15]LƯƠNG KT'!AA96</f>
        <v>30793</v>
      </c>
    </row>
    <row r="93" spans="1:15" s="242" customFormat="1" ht="18.75" customHeight="1">
      <c r="A93" s="1246">
        <v>82</v>
      </c>
      <c r="B93" s="2108">
        <v>82</v>
      </c>
      <c r="C93" s="1332" t="e">
        <f>VLOOKUP(E93,'[15]DS CN MOI UP'!$B$10:$C$347,2,0)</f>
        <v>#N/A</v>
      </c>
      <c r="D93" s="2109" t="s">
        <v>651</v>
      </c>
      <c r="E93" s="2110" t="str">
        <f>'LƯƠNG KT'!D97</f>
        <v>Phay A</v>
      </c>
      <c r="F93" s="2110" t="str">
        <f>'LƯƠNG KT'!E97</f>
        <v>CNKT</v>
      </c>
      <c r="G93" s="1840">
        <f>VLOOKUP(E93,'LƯƠNG KT'!$D$16:$Z$108,4,0)</f>
        <v>0</v>
      </c>
      <c r="H93" s="1840">
        <f>VLOOKUP(E93,'LƯƠNG KT'!$D$16:$Z$108,11,0)</f>
        <v>0</v>
      </c>
      <c r="I93" s="1840">
        <f>VLOOKUP(E93,'LƯƠNG KT'!$D$16:$Z$108,23,0)</f>
        <v>0</v>
      </c>
      <c r="J93" s="2096">
        <f t="shared" si="2"/>
        <v>0</v>
      </c>
      <c r="K93" s="2096"/>
      <c r="L93" s="1840"/>
      <c r="M93" s="1840">
        <f t="shared" si="3"/>
        <v>0</v>
      </c>
      <c r="N93" s="2110"/>
      <c r="O93" s="636">
        <f>+J93-'[15]LƯƠNG KT'!AA97</f>
        <v>0</v>
      </c>
    </row>
    <row r="94" spans="1:15" s="242" customFormat="1" ht="18.75" customHeight="1">
      <c r="A94" s="1246">
        <v>83</v>
      </c>
      <c r="B94" s="2108">
        <v>83</v>
      </c>
      <c r="C94" s="1332" t="e">
        <f>VLOOKUP(E94,'[15]DS CN MOI UP'!$B$10:$C$347,2,0)</f>
        <v>#N/A</v>
      </c>
      <c r="D94" s="2109" t="s">
        <v>651</v>
      </c>
      <c r="E94" s="2110" t="str">
        <f>'LƯƠNG KT'!D98</f>
        <v>Chày A</v>
      </c>
      <c r="F94" s="2110" t="str">
        <f>'LƯƠNG KT'!E98</f>
        <v>CNKT</v>
      </c>
      <c r="G94" s="1840">
        <f>VLOOKUP(E94,'LƯƠNG KT'!$D$16:$Z$108,4,0)</f>
        <v>0</v>
      </c>
      <c r="H94" s="1840">
        <f>VLOOKUP(E94,'LƯƠNG KT'!$D$16:$Z$108,11,0)</f>
        <v>0</v>
      </c>
      <c r="I94" s="1840">
        <f>VLOOKUP(E94,'LƯƠNG KT'!$D$16:$Z$108,23,0)</f>
        <v>0</v>
      </c>
      <c r="J94" s="2096">
        <f t="shared" si="2"/>
        <v>0</v>
      </c>
      <c r="K94" s="2096"/>
      <c r="L94" s="1840"/>
      <c r="M94" s="1840">
        <f t="shared" si="3"/>
        <v>0</v>
      </c>
      <c r="N94" s="2110"/>
      <c r="O94" s="636">
        <f>+J94-'[15]LƯƠNG KT'!AA98</f>
        <v>0</v>
      </c>
    </row>
    <row r="95" spans="1:15" s="242" customFormat="1" ht="18.75" customHeight="1">
      <c r="A95" s="1246">
        <v>84</v>
      </c>
      <c r="B95" s="2108">
        <v>84</v>
      </c>
      <c r="C95" s="1332" t="e">
        <f>VLOOKUP(E95,'[15]DS CN MOI UP'!$B$10:$C$347,2,0)</f>
        <v>#N/A</v>
      </c>
      <c r="D95" s="2109" t="s">
        <v>654</v>
      </c>
      <c r="E95" s="2110" t="str">
        <f>'LƯƠNG KT'!D99</f>
        <v>MayA</v>
      </c>
      <c r="F95" s="2110" t="str">
        <f>'LƯƠNG KT'!E99</f>
        <v>CNKT</v>
      </c>
      <c r="G95" s="1840">
        <f>VLOOKUP(E95,'LƯƠNG KT'!$D$16:$Z$108,4,0)</f>
        <v>0</v>
      </c>
      <c r="H95" s="1840">
        <f>VLOOKUP(E95,'LƯƠNG KT'!$D$16:$Z$108,11,0)</f>
        <v>0</v>
      </c>
      <c r="I95" s="1840">
        <f>VLOOKUP(E95,'LƯƠNG KT'!$D$16:$Z$108,23,0)</f>
        <v>0</v>
      </c>
      <c r="J95" s="2096">
        <f t="shared" si="2"/>
        <v>0</v>
      </c>
      <c r="K95" s="2096"/>
      <c r="L95" s="1840"/>
      <c r="M95" s="1840">
        <f t="shared" si="3"/>
        <v>0</v>
      </c>
      <c r="N95" s="2110"/>
      <c r="O95" s="636">
        <f>+J95-'[15]LƯƠNG KT'!AA99</f>
        <v>0</v>
      </c>
    </row>
    <row r="96" spans="1:15" s="242" customFormat="1" ht="18.75" customHeight="1">
      <c r="A96" s="1246">
        <v>85</v>
      </c>
      <c r="B96" s="2108">
        <v>85</v>
      </c>
      <c r="C96" s="1332"/>
      <c r="D96" s="2109"/>
      <c r="E96" s="2110" t="str">
        <f>'LƯƠNG KT'!D100</f>
        <v>Mủ sirum</v>
      </c>
      <c r="F96" s="2110"/>
      <c r="G96" s="1840">
        <f>VLOOKUP(E96,'LƯƠNG KT'!$D$16:$Z$108,4,0)</f>
        <v>0</v>
      </c>
      <c r="H96" s="1840">
        <f>VLOOKUP(E96,'LƯƠNG KT'!$D$16:$Z$108,11,0)</f>
        <v>1741296</v>
      </c>
      <c r="I96" s="1840">
        <f>VLOOKUP(E96,'LƯƠNG KT'!$D$16:$Z$108,23,0)</f>
        <v>0</v>
      </c>
      <c r="J96" s="2096">
        <f t="shared" ref="J96:J99" si="4">SUM(G96:I96)</f>
        <v>1741296</v>
      </c>
      <c r="K96" s="2096"/>
      <c r="L96" s="1840"/>
      <c r="M96" s="1840">
        <f t="shared" ref="M96:M99" si="5">J96-L96</f>
        <v>1741296</v>
      </c>
      <c r="N96" s="2110"/>
      <c r="O96" s="636"/>
    </row>
    <row r="97" spans="1:16" s="242" customFormat="1" ht="18.75" customHeight="1">
      <c r="A97" s="1246">
        <v>86</v>
      </c>
      <c r="B97" s="2108">
        <v>86</v>
      </c>
      <c r="C97" s="1332"/>
      <c r="D97" s="2109"/>
      <c r="E97" s="2110" t="str">
        <f>'LƯƠNG KT'!D101</f>
        <v>Say ủi</v>
      </c>
      <c r="F97" s="2110" t="str">
        <f>'LƯƠNG KT'!E103</f>
        <v>CNK</v>
      </c>
      <c r="G97" s="1840">
        <f>VLOOKUP(E97,'LƯƠNG KT'!$D$16:$Z$108,4,0)</f>
        <v>0</v>
      </c>
      <c r="H97" s="1840">
        <f>VLOOKUP(E97,'LƯƠNG KT'!$D$16:$Z$108,11,0)</f>
        <v>0</v>
      </c>
      <c r="I97" s="1840">
        <f>VLOOKUP(E97,'LƯƠNG KT'!$D$16:$Z$108,23,0)</f>
        <v>0</v>
      </c>
      <c r="J97" s="2096">
        <f t="shared" si="4"/>
        <v>0</v>
      </c>
      <c r="K97" s="2096"/>
      <c r="L97" s="1840"/>
      <c r="M97" s="1840">
        <f t="shared" si="5"/>
        <v>0</v>
      </c>
      <c r="N97" s="2110"/>
      <c r="O97" s="636"/>
    </row>
    <row r="98" spans="1:16" s="242" customFormat="1" ht="18.75" customHeight="1">
      <c r="A98" s="1246">
        <v>87</v>
      </c>
      <c r="B98" s="2108">
        <v>87</v>
      </c>
      <c r="C98" s="1332"/>
      <c r="D98" s="2109"/>
      <c r="E98" s="2110" t="str">
        <f>'LƯƠNG KT'!D102</f>
        <v>Ủi</v>
      </c>
      <c r="F98" s="2110" t="str">
        <f>'LƯƠNG KT'!E104</f>
        <v>CNK</v>
      </c>
      <c r="G98" s="1840">
        <f>VLOOKUP(E98,'LƯƠNG KT'!$D$16:$Z$108,4,0)</f>
        <v>0</v>
      </c>
      <c r="H98" s="1840">
        <f>VLOOKUP(E98,'LƯƠNG KT'!$D$16:$Z$108,11,0)</f>
        <v>0</v>
      </c>
      <c r="I98" s="1840">
        <f>VLOOKUP(E98,'LƯƠNG KT'!$D$16:$Z$108,23,0)</f>
        <v>0</v>
      </c>
      <c r="J98" s="2096">
        <f t="shared" si="4"/>
        <v>0</v>
      </c>
      <c r="K98" s="2096"/>
      <c r="L98" s="1840"/>
      <c r="M98" s="1840">
        <f t="shared" si="5"/>
        <v>0</v>
      </c>
      <c r="N98" s="2110"/>
      <c r="O98" s="636"/>
    </row>
    <row r="99" spans="1:16" s="242" customFormat="1" ht="18.75" customHeight="1">
      <c r="A99" s="1246">
        <v>88</v>
      </c>
      <c r="B99" s="2108">
        <v>88</v>
      </c>
      <c r="C99" s="1332"/>
      <c r="D99" s="2109"/>
      <c r="E99" s="2110" t="str">
        <f>'LƯƠNG KT'!D103</f>
        <v>May</v>
      </c>
      <c r="F99" s="2110" t="str">
        <f>'LƯƠNG KT'!E105</f>
        <v>CNK</v>
      </c>
      <c r="G99" s="1840">
        <f>VLOOKUP(E99,'LƯƠNG KT'!$D$16:$Z$108,4,0)</f>
        <v>0</v>
      </c>
      <c r="H99" s="1840">
        <f>VLOOKUP(E99,'LƯƠNG KT'!$D$16:$Z$108,11,0)</f>
        <v>0</v>
      </c>
      <c r="I99" s="1840">
        <f>VLOOKUP(E99,'LƯƠNG KT'!$D$16:$Z$108,23,0)</f>
        <v>0</v>
      </c>
      <c r="J99" s="2096">
        <f t="shared" si="4"/>
        <v>0</v>
      </c>
      <c r="K99" s="2096"/>
      <c r="L99" s="1840"/>
      <c r="M99" s="1840">
        <f t="shared" si="5"/>
        <v>0</v>
      </c>
      <c r="N99" s="2110"/>
      <c r="O99" s="636"/>
    </row>
    <row r="100" spans="1:16" s="242" customFormat="1" ht="18.75" customHeight="1">
      <c r="A100" s="1246">
        <v>89</v>
      </c>
      <c r="B100" s="2108">
        <v>89</v>
      </c>
      <c r="C100" s="1332" t="str">
        <f>VLOOKUP(E100,'[15]DS CN MOI UP'!$B$10:$C$347,2,0)</f>
        <v>02502</v>
      </c>
      <c r="D100" s="2109" t="s">
        <v>654</v>
      </c>
      <c r="E100" s="2110" t="str">
        <f>'LƯƠNG KT'!D104</f>
        <v>Son</v>
      </c>
      <c r="F100" s="2110" t="str">
        <f>'LƯƠNG KT'!E106</f>
        <v>CNK</v>
      </c>
      <c r="G100" s="1840">
        <f>VLOOKUP(E100,'LƯƠNG KT'!$D$16:$Z$108,4,0)</f>
        <v>0</v>
      </c>
      <c r="H100" s="1840">
        <f>VLOOKUP(E100,'LƯƠNG KT'!$D$16:$Z$108,11,0)</f>
        <v>0</v>
      </c>
      <c r="I100" s="1840">
        <f>VLOOKUP(E100,'LƯƠNG KT'!$D$16:$Z$108,23,0)</f>
        <v>0</v>
      </c>
      <c r="J100" s="2096">
        <f t="shared" si="2"/>
        <v>0</v>
      </c>
      <c r="K100" s="2096"/>
      <c r="L100" s="1840"/>
      <c r="M100" s="1840">
        <f t="shared" si="3"/>
        <v>0</v>
      </c>
      <c r="N100" s="2110"/>
      <c r="O100" s="636">
        <f>+J100-'[15]LƯƠNG KT'!AA100</f>
        <v>0</v>
      </c>
    </row>
    <row r="101" spans="1:16" s="242" customFormat="1" ht="18.75" customHeight="1">
      <c r="A101" s="1246">
        <v>90</v>
      </c>
      <c r="B101" s="2108">
        <v>90</v>
      </c>
      <c r="C101" s="1332" t="e">
        <f>VLOOKUP(E101,'[15]DS CN MOI UP'!$B$10:$C$347,2,0)</f>
        <v>#N/A</v>
      </c>
      <c r="D101" s="2109" t="s">
        <v>654</v>
      </c>
      <c r="E101" s="2110" t="str">
        <f>'LƯƠNG KT'!D105</f>
        <v>T. Tý</v>
      </c>
      <c r="F101" s="2110" t="str">
        <f>'LƯƠNG KT'!E107</f>
        <v>CNK</v>
      </c>
      <c r="G101" s="1840">
        <f>VLOOKUP(E101,'LƯƠNG KT'!$D$16:$Z$108,4,0)</f>
        <v>0</v>
      </c>
      <c r="H101" s="1840">
        <f>VLOOKUP(E101,'LƯƠNG KT'!$D$16:$Z$108,11,0)</f>
        <v>0</v>
      </c>
      <c r="I101" s="1840">
        <f>VLOOKUP(E101,'LƯƠNG KT'!$D$16:$Z$108,23,0)</f>
        <v>0</v>
      </c>
      <c r="J101" s="2096">
        <f t="shared" si="2"/>
        <v>0</v>
      </c>
      <c r="K101" s="2096"/>
      <c r="L101" s="1840"/>
      <c r="M101" s="1840">
        <f t="shared" si="3"/>
        <v>0</v>
      </c>
      <c r="N101" s="2110"/>
      <c r="O101" s="636">
        <f>+J101-'[15]LƯƠNG KT'!AA101</f>
        <v>0</v>
      </c>
    </row>
    <row r="102" spans="1:16" s="242" customFormat="1" ht="18.75" customHeight="1">
      <c r="A102" s="1246">
        <v>91</v>
      </c>
      <c r="B102" s="2108">
        <v>91</v>
      </c>
      <c r="C102" s="1332"/>
      <c r="D102" s="2109"/>
      <c r="E102" s="2110" t="str">
        <f>'LƯƠNG KT'!D106</f>
        <v>Choi</v>
      </c>
      <c r="F102" s="2110" t="str">
        <f>'LƯƠNG KT'!E108</f>
        <v>CNK</v>
      </c>
      <c r="G102" s="1840">
        <f>VLOOKUP(E102,'LƯƠNG KT'!$D$16:$Z$108,4,0)</f>
        <v>0</v>
      </c>
      <c r="H102" s="1840">
        <f>VLOOKUP(E102,'LƯƠNG KT'!$D$16:$Z$108,11,0)</f>
        <v>0</v>
      </c>
      <c r="I102" s="1840">
        <f>VLOOKUP(E102,'LƯƠNG KT'!$D$16:$Z$108,23,0)</f>
        <v>0</v>
      </c>
      <c r="J102" s="2096">
        <f t="shared" ref="J102:J104" si="6">SUM(G102:I102)</f>
        <v>0</v>
      </c>
      <c r="K102" s="2096"/>
      <c r="L102" s="1840"/>
      <c r="M102" s="1840">
        <f t="shared" ref="M102:M104" si="7">J102-L102</f>
        <v>0</v>
      </c>
      <c r="N102" s="2110"/>
      <c r="O102" s="636"/>
    </row>
    <row r="103" spans="1:16" s="242" customFormat="1" ht="18.75" customHeight="1">
      <c r="A103" s="1246">
        <v>92</v>
      </c>
      <c r="B103" s="2108">
        <v>92</v>
      </c>
      <c r="C103" s="1332"/>
      <c r="D103" s="2109"/>
      <c r="E103" s="2110" t="str">
        <f>'LƯƠNG KT'!D107</f>
        <v>Con</v>
      </c>
      <c r="F103" s="2110">
        <f>'LƯƠNG KT'!E109</f>
        <v>0</v>
      </c>
      <c r="G103" s="1840">
        <f>VLOOKUP(E103,'LƯƠNG KT'!$D$16:$Z$108,4,0)</f>
        <v>0</v>
      </c>
      <c r="H103" s="1840">
        <f>VLOOKUP(E103,'LƯƠNG KT'!$D$16:$Z$108,11,0)</f>
        <v>0</v>
      </c>
      <c r="I103" s="1840">
        <f>VLOOKUP(E103,'LƯƠNG KT'!$D$16:$Z$108,23,0)</f>
        <v>0</v>
      </c>
      <c r="J103" s="2096">
        <f t="shared" si="6"/>
        <v>0</v>
      </c>
      <c r="K103" s="2096"/>
      <c r="L103" s="1840"/>
      <c r="M103" s="1840">
        <f t="shared" si="7"/>
        <v>0</v>
      </c>
      <c r="N103" s="2110"/>
      <c r="O103" s="636"/>
    </row>
    <row r="104" spans="1:16" s="242" customFormat="1" ht="18.75" customHeight="1">
      <c r="A104" s="1246">
        <v>93</v>
      </c>
      <c r="B104" s="2108">
        <v>93</v>
      </c>
      <c r="C104" s="1332" t="e">
        <f>VLOOKUP(E104,'[15]DS CN MOI UP'!$B$10:$C$347,2,0)</f>
        <v>#N/A</v>
      </c>
      <c r="D104" s="2109" t="s">
        <v>654</v>
      </c>
      <c r="E104" s="2110" t="str">
        <f>'LƯƠNG KT'!D108</f>
        <v>Đăm</v>
      </c>
      <c r="F104" s="2110" t="str">
        <f>'LƯƠNG KT'!E110</f>
        <v>CNKT</v>
      </c>
      <c r="G104" s="1840">
        <f>VLOOKUP(E104,'LƯƠNG KT'!$D$16:$Z$108,4,0)</f>
        <v>0</v>
      </c>
      <c r="H104" s="1840">
        <f>VLOOKUP(E104,'LƯƠNG KT'!$D$16:$Z$108,11,0)</f>
        <v>0</v>
      </c>
      <c r="I104" s="1840">
        <f>VLOOKUP(E104,'LƯƠNG KT'!$D$16:$Z$108,23,0)</f>
        <v>0</v>
      </c>
      <c r="J104" s="2096">
        <f t="shared" si="6"/>
        <v>0</v>
      </c>
      <c r="K104" s="2096"/>
      <c r="L104" s="1840"/>
      <c r="M104" s="1840">
        <f t="shared" si="7"/>
        <v>0</v>
      </c>
      <c r="N104" s="2110"/>
      <c r="O104" s="636">
        <f>+J104-'[15]LƯƠNG KT'!AA102</f>
        <v>-33114000</v>
      </c>
    </row>
    <row r="105" spans="1:16" s="243" customFormat="1" ht="18.75" customHeight="1">
      <c r="A105" s="2814" t="s">
        <v>2985</v>
      </c>
      <c r="B105" s="2815"/>
      <c r="C105" s="2815"/>
      <c r="D105" s="2815"/>
      <c r="E105" s="2816"/>
      <c r="F105" s="2110"/>
      <c r="G105" s="2111">
        <f t="shared" ref="G105:M105" si="8">SUM(G12:G104)</f>
        <v>0</v>
      </c>
      <c r="H105" s="2111">
        <f t="shared" si="8"/>
        <v>581218642</v>
      </c>
      <c r="I105" s="2111">
        <f t="shared" si="8"/>
        <v>76728680</v>
      </c>
      <c r="J105" s="2111">
        <f t="shared" si="8"/>
        <v>657947322</v>
      </c>
      <c r="K105" s="2111">
        <f t="shared" si="8"/>
        <v>0</v>
      </c>
      <c r="L105" s="2111">
        <f t="shared" si="8"/>
        <v>0</v>
      </c>
      <c r="M105" s="2111">
        <f t="shared" si="8"/>
        <v>657947322</v>
      </c>
      <c r="N105" s="2112"/>
      <c r="O105" s="598" t="e">
        <f>+M105-#REF!</f>
        <v>#REF!</v>
      </c>
      <c r="P105" s="598" t="e">
        <f>+J105-#REF!</f>
        <v>#REF!</v>
      </c>
    </row>
    <row r="106" spans="1:16" s="242" customFormat="1" ht="18.75" customHeight="1">
      <c r="A106" s="1246">
        <v>83</v>
      </c>
      <c r="B106" s="2108">
        <v>1</v>
      </c>
      <c r="C106" s="1332" t="str">
        <f>VLOOKUP(E106,'[15]DS CN MOI UP'!$B$10:$C$347,2,0)</f>
        <v>02613</v>
      </c>
      <c r="D106" s="2109" t="s">
        <v>912</v>
      </c>
      <c r="E106" s="1333" t="str">
        <f>'LƯƠNG KT'!D110</f>
        <v>Thảo Văn</v>
      </c>
      <c r="F106" s="2110" t="str">
        <f>'LƯƠNG KT'!E110</f>
        <v>CNKT</v>
      </c>
      <c r="G106" s="1840">
        <f>VLOOKUP(E106,'LƯƠNG KT'!$D$110:$Z$184,4,0)</f>
        <v>0</v>
      </c>
      <c r="H106" s="1840">
        <f>VLOOKUP(E106,'LƯƠNG KT'!$D$110:$Z$184,11,0)</f>
        <v>4884257</v>
      </c>
      <c r="I106" s="1840">
        <f>VLOOKUP(E106,'LƯƠNG KT'!$D$110:$Z$184,23,0)</f>
        <v>1560046</v>
      </c>
      <c r="J106" s="2096">
        <f>SUM(G106:I106)</f>
        <v>6444303</v>
      </c>
      <c r="K106" s="2096"/>
      <c r="L106" s="2096"/>
      <c r="M106" s="1840">
        <f t="shared" ref="M106:M169" si="9">J106-L106</f>
        <v>6444303</v>
      </c>
      <c r="N106" s="1333"/>
      <c r="O106" s="636"/>
    </row>
    <row r="107" spans="1:16" s="242" customFormat="1" ht="18.75" customHeight="1">
      <c r="A107" s="1246">
        <v>84</v>
      </c>
      <c r="B107" s="2108">
        <v>2</v>
      </c>
      <c r="C107" s="1332" t="e">
        <f>VLOOKUP(E107,'[15]DS CN MOI UP'!$B$10:$C$347,2,0)</f>
        <v>#N/A</v>
      </c>
      <c r="D107" s="2109" t="s">
        <v>912</v>
      </c>
      <c r="E107" s="1333" t="str">
        <f>'LƯƠNG KT'!D111</f>
        <v>T . Thau</v>
      </c>
      <c r="F107" s="2110" t="str">
        <f>'LƯƠNG KT'!E111</f>
        <v>CNKT</v>
      </c>
      <c r="G107" s="1840">
        <f>VLOOKUP(E107,'LƯƠNG KT'!$D$110:$Z$184,4,0)</f>
        <v>0</v>
      </c>
      <c r="H107" s="1840">
        <f>VLOOKUP(E107,'LƯƠNG KT'!$D$110:$Z$184,11,0)</f>
        <v>7000877</v>
      </c>
      <c r="I107" s="1840">
        <f>VLOOKUP(E107,'LƯƠNG KT'!$D$110:$Z$184,23,0)</f>
        <v>1869253</v>
      </c>
      <c r="J107" s="2096">
        <f t="shared" ref="J107:J170" si="10">SUM(G107:I107)</f>
        <v>8870130</v>
      </c>
      <c r="K107" s="2096"/>
      <c r="L107" s="2096"/>
      <c r="M107" s="1840">
        <f t="shared" si="9"/>
        <v>8870130</v>
      </c>
      <c r="N107" s="1333"/>
      <c r="O107" s="636"/>
    </row>
    <row r="108" spans="1:16" s="242" customFormat="1" ht="18.75" customHeight="1">
      <c r="A108" s="1246">
        <v>85</v>
      </c>
      <c r="B108" s="2108">
        <v>3</v>
      </c>
      <c r="C108" s="1332" t="e">
        <f>VLOOKUP(E108,'[15]DS CN MOI UP'!$B$10:$C$347,2,0)</f>
        <v>#N/A</v>
      </c>
      <c r="D108" s="2109" t="s">
        <v>912</v>
      </c>
      <c r="E108" s="1333" t="str">
        <f>'LƯƠNG KT'!D112</f>
        <v>Nàng Lao</v>
      </c>
      <c r="F108" s="2110" t="str">
        <f>'LƯƠNG KT'!E112</f>
        <v>CNKT</v>
      </c>
      <c r="G108" s="1840">
        <f>VLOOKUP(E108,'LƯƠNG KT'!$D$110:$Z$184,4,0)</f>
        <v>0</v>
      </c>
      <c r="H108" s="1840">
        <f>VLOOKUP(E108,'LƯƠNG KT'!$D$110:$Z$184,11,0)</f>
        <v>4499853</v>
      </c>
      <c r="I108" s="1840">
        <f>VLOOKUP(E108,'LƯƠNG KT'!$D$110:$Z$184,23,0)</f>
        <v>2410839</v>
      </c>
      <c r="J108" s="2096">
        <f t="shared" si="10"/>
        <v>6910692</v>
      </c>
      <c r="K108" s="2096"/>
      <c r="L108" s="2096"/>
      <c r="M108" s="1840">
        <f t="shared" si="9"/>
        <v>6910692</v>
      </c>
      <c r="N108" s="1333"/>
      <c r="O108" s="636"/>
    </row>
    <row r="109" spans="1:16" s="242" customFormat="1" ht="18.75" customHeight="1">
      <c r="A109" s="1246">
        <v>86</v>
      </c>
      <c r="B109" s="2108">
        <v>4</v>
      </c>
      <c r="C109" s="1332" t="e">
        <f>VLOOKUP(E109,'[15]DS CN MOI UP'!$B$10:$C$347,2,0)</f>
        <v>#N/A</v>
      </c>
      <c r="D109" s="2109" t="s">
        <v>912</v>
      </c>
      <c r="E109" s="1333" t="str">
        <f>'LƯƠNG KT'!D113</f>
        <v>Nàng Eng</v>
      </c>
      <c r="F109" s="2110" t="str">
        <f>'LƯƠNG KT'!E113</f>
        <v>CNKT</v>
      </c>
      <c r="G109" s="1840">
        <f>VLOOKUP(E109,'LƯƠNG KT'!$D$110:$Z$184,4,0)</f>
        <v>0</v>
      </c>
      <c r="H109" s="1840">
        <f>VLOOKUP(E109,'LƯƠNG KT'!$D$110:$Z$184,11,0)</f>
        <v>4528029</v>
      </c>
      <c r="I109" s="1840">
        <f>VLOOKUP(E109,'LƯƠNG KT'!$D$110:$Z$184,23,0)</f>
        <v>2158460</v>
      </c>
      <c r="J109" s="2096">
        <f t="shared" si="10"/>
        <v>6686489</v>
      </c>
      <c r="K109" s="2096"/>
      <c r="L109" s="2096"/>
      <c r="M109" s="1840">
        <f t="shared" si="9"/>
        <v>6686489</v>
      </c>
      <c r="N109" s="1333"/>
      <c r="O109" s="636"/>
    </row>
    <row r="110" spans="1:16" s="242" customFormat="1" ht="18.75" customHeight="1">
      <c r="A110" s="1246">
        <v>87</v>
      </c>
      <c r="B110" s="2108">
        <v>5</v>
      </c>
      <c r="C110" s="1332" t="e">
        <f>VLOOKUP(E110,'[15]DS CN MOI UP'!$B$10:$C$347,2,0)</f>
        <v>#N/A</v>
      </c>
      <c r="D110" s="2109" t="s">
        <v>912</v>
      </c>
      <c r="E110" s="1333" t="str">
        <f>'LƯƠNG KT'!D114</f>
        <v>T. Ve</v>
      </c>
      <c r="F110" s="2110" t="str">
        <f>'LƯƠNG KT'!E114</f>
        <v>CNKT</v>
      </c>
      <c r="G110" s="1840">
        <f>VLOOKUP(E110,'LƯƠNG KT'!$D$110:$Z$184,4,0)</f>
        <v>0</v>
      </c>
      <c r="H110" s="1840">
        <f>VLOOKUP(E110,'LƯƠNG KT'!$D$110:$Z$184,11,0)</f>
        <v>7027395</v>
      </c>
      <c r="I110" s="1840">
        <f>VLOOKUP(E110,'LƯƠNG KT'!$D$110:$Z$184,23,0)</f>
        <v>1869253</v>
      </c>
      <c r="J110" s="2096">
        <f t="shared" si="10"/>
        <v>8896648</v>
      </c>
      <c r="K110" s="2096"/>
      <c r="L110" s="2096"/>
      <c r="M110" s="1840">
        <f t="shared" si="9"/>
        <v>8896648</v>
      </c>
      <c r="N110" s="1333"/>
      <c r="O110" s="636"/>
    </row>
    <row r="111" spans="1:16" s="242" customFormat="1" ht="18.75" customHeight="1">
      <c r="A111" s="1246">
        <v>88</v>
      </c>
      <c r="B111" s="2108">
        <v>6</v>
      </c>
      <c r="C111" s="1332" t="e">
        <f>VLOOKUP(E111,'[15]DS CN MOI UP'!$B$10:$C$347,2,0)</f>
        <v>#N/A</v>
      </c>
      <c r="D111" s="2109" t="s">
        <v>912</v>
      </c>
      <c r="E111" s="1333" t="str">
        <f>'LƯƠNG KT'!D115</f>
        <v>Thảo Khổ</v>
      </c>
      <c r="F111" s="2110" t="str">
        <f>'LƯƠNG KT'!E115</f>
        <v>CNKT</v>
      </c>
      <c r="G111" s="1840">
        <f>VLOOKUP(E111,'LƯƠNG KT'!$D$110:$Z$184,4,0)</f>
        <v>0</v>
      </c>
      <c r="H111" s="1840">
        <f>VLOOKUP(E111,'LƯƠNG KT'!$D$110:$Z$184,11,0)</f>
        <v>5175360</v>
      </c>
      <c r="I111" s="1840">
        <f>VLOOKUP(E111,'LƯƠNG KT'!$D$110:$Z$184,23,0)</f>
        <v>1778460</v>
      </c>
      <c r="J111" s="2096">
        <f t="shared" si="10"/>
        <v>6953820</v>
      </c>
      <c r="K111" s="2096"/>
      <c r="L111" s="2096"/>
      <c r="M111" s="1840">
        <f t="shared" si="9"/>
        <v>6953820</v>
      </c>
      <c r="N111" s="1333"/>
      <c r="O111" s="636"/>
    </row>
    <row r="112" spans="1:16" s="242" customFormat="1" ht="18.75" customHeight="1">
      <c r="A112" s="1246">
        <v>89</v>
      </c>
      <c r="B112" s="2108">
        <v>7</v>
      </c>
      <c r="C112" s="1332" t="e">
        <f>VLOOKUP(E112,'[15]DS CN MOI UP'!$B$10:$C$347,2,0)</f>
        <v>#N/A</v>
      </c>
      <c r="D112" s="2109" t="s">
        <v>912</v>
      </c>
      <c r="E112" s="1333" t="str">
        <f>'LƯƠNG KT'!D116</f>
        <v>Nàng Văn Đay</v>
      </c>
      <c r="F112" s="2110" t="str">
        <f>'LƯƠNG KT'!E116</f>
        <v>CNKT</v>
      </c>
      <c r="G112" s="1840">
        <f>VLOOKUP(E112,'LƯƠNG KT'!$D$110:$Z$184,4,0)</f>
        <v>0</v>
      </c>
      <c r="H112" s="1840">
        <f>VLOOKUP(E112,'LƯƠNG KT'!$D$110:$Z$184,11,0)</f>
        <v>4549575</v>
      </c>
      <c r="I112" s="1840">
        <f>VLOOKUP(E112,'LƯƠNG KT'!$D$110:$Z$184,23,0)</f>
        <v>2360046</v>
      </c>
      <c r="J112" s="2096">
        <f t="shared" si="10"/>
        <v>6909621</v>
      </c>
      <c r="K112" s="2096"/>
      <c r="L112" s="2096"/>
      <c r="M112" s="1840">
        <f t="shared" si="9"/>
        <v>6909621</v>
      </c>
      <c r="N112" s="1333"/>
      <c r="O112" s="636"/>
    </row>
    <row r="113" spans="1:15" s="242" customFormat="1" ht="18.75" customHeight="1">
      <c r="A113" s="1246">
        <v>90</v>
      </c>
      <c r="B113" s="2108">
        <v>8</v>
      </c>
      <c r="C113" s="1332" t="e">
        <f>VLOOKUP(E113,'[15]DS CN MOI UP'!$B$10:$C$347,2,0)</f>
        <v>#N/A</v>
      </c>
      <c r="D113" s="2109" t="s">
        <v>912</v>
      </c>
      <c r="E113" s="1333" t="str">
        <f>'LƯƠNG KT'!D117</f>
        <v>Nàng Ni Khăm</v>
      </c>
      <c r="F113" s="2110" t="str">
        <f>'LƯƠNG KT'!E117</f>
        <v>CNKT</v>
      </c>
      <c r="G113" s="1840">
        <f>VLOOKUP(E113,'LƯƠNG KT'!$D$110:$Z$184,4,0)</f>
        <v>0</v>
      </c>
      <c r="H113" s="1840">
        <f>VLOOKUP(E113,'LƯƠNG KT'!$D$110:$Z$184,11,0)</f>
        <v>5635175</v>
      </c>
      <c r="I113" s="1840">
        <f>VLOOKUP(E113,'LƯƠNG KT'!$D$110:$Z$184,23,0)</f>
        <v>2209253</v>
      </c>
      <c r="J113" s="2096">
        <f t="shared" si="10"/>
        <v>7844428</v>
      </c>
      <c r="K113" s="2096"/>
      <c r="L113" s="2096"/>
      <c r="M113" s="1840">
        <f t="shared" si="9"/>
        <v>7844428</v>
      </c>
      <c r="N113" s="1333"/>
      <c r="O113" s="636"/>
    </row>
    <row r="114" spans="1:15" s="242" customFormat="1" ht="18.75" customHeight="1">
      <c r="A114" s="1246">
        <v>91</v>
      </c>
      <c r="B114" s="2108">
        <v>9</v>
      </c>
      <c r="C114" s="1332" t="e">
        <f>VLOOKUP(E114,'[15]DS CN MOI UP'!$B$10:$C$347,2,0)</f>
        <v>#N/A</v>
      </c>
      <c r="D114" s="2109" t="s">
        <v>918</v>
      </c>
      <c r="E114" s="1333" t="str">
        <f>'LƯƠNG KT'!D118</f>
        <v>T. Lăm Chê</v>
      </c>
      <c r="F114" s="2110" t="str">
        <f>'LƯƠNG KT'!E118</f>
        <v>CNKT</v>
      </c>
      <c r="G114" s="1840">
        <f>VLOOKUP(E114,'LƯƠNG KT'!$D$110:$Z$184,4,0)</f>
        <v>0</v>
      </c>
      <c r="H114" s="1840">
        <f>VLOOKUP(E114,'LƯƠNG KT'!$D$110:$Z$184,11,0)</f>
        <v>4973871</v>
      </c>
      <c r="I114" s="1840">
        <f>VLOOKUP(E114,'LƯƠNG KT'!$D$110:$Z$184,23,0)</f>
        <v>2288680</v>
      </c>
      <c r="J114" s="2096">
        <f t="shared" si="10"/>
        <v>7262551</v>
      </c>
      <c r="K114" s="2096"/>
      <c r="L114" s="2096"/>
      <c r="M114" s="1840">
        <f t="shared" si="9"/>
        <v>7262551</v>
      </c>
      <c r="N114" s="1333"/>
      <c r="O114" s="636"/>
    </row>
    <row r="115" spans="1:15" s="242" customFormat="1" ht="18.75" customHeight="1">
      <c r="A115" s="1246">
        <v>92</v>
      </c>
      <c r="B115" s="2108">
        <v>10</v>
      </c>
      <c r="C115" s="1332" t="e">
        <f>VLOOKUP(E115,'[15]DS CN MOI UP'!$B$10:$C$347,2,0)</f>
        <v>#N/A</v>
      </c>
      <c r="D115" s="2109" t="s">
        <v>918</v>
      </c>
      <c r="E115" s="1333" t="str">
        <f>'LƯƠNG KT'!D119</f>
        <v>T. Phim</v>
      </c>
      <c r="F115" s="2110" t="str">
        <f>'LƯƠNG KT'!E119</f>
        <v>CNKT</v>
      </c>
      <c r="G115" s="1840">
        <f>VLOOKUP(E115,'LƯƠNG KT'!$D$110:$Z$184,4,0)</f>
        <v>0</v>
      </c>
      <c r="H115" s="1840">
        <f>VLOOKUP(E115,'LƯƠNG KT'!$D$110:$Z$184,11,0)</f>
        <v>6074816</v>
      </c>
      <c r="I115" s="1840">
        <f>VLOOKUP(E115,'LƯƠNG KT'!$D$110:$Z$184,23,0)</f>
        <v>2098460</v>
      </c>
      <c r="J115" s="2096">
        <f t="shared" si="10"/>
        <v>8173276</v>
      </c>
      <c r="K115" s="2096"/>
      <c r="L115" s="2096"/>
      <c r="M115" s="1840">
        <f t="shared" si="9"/>
        <v>8173276</v>
      </c>
      <c r="N115" s="1333"/>
      <c r="O115" s="636"/>
    </row>
    <row r="116" spans="1:15" s="242" customFormat="1" ht="18.75" hidden="1" customHeight="1">
      <c r="A116" s="1246">
        <v>97</v>
      </c>
      <c r="B116" s="2108">
        <v>11</v>
      </c>
      <c r="C116" s="1332" t="e">
        <f>VLOOKUP(E116,'[15]DS CN MOI UP'!$B$10:$C$347,2,0)</f>
        <v>#N/A</v>
      </c>
      <c r="D116" s="2109" t="s">
        <v>918</v>
      </c>
      <c r="E116" s="1333" t="str">
        <f>'LƯƠNG KT'!D120</f>
        <v>T. Teo</v>
      </c>
      <c r="F116" s="2110" t="str">
        <f>'LƯƠNG KT'!E120</f>
        <v>CNKT</v>
      </c>
      <c r="G116" s="1840">
        <f>VLOOKUP(E116,'LƯƠNG KT'!$D$110:$Z$184,4,0)</f>
        <v>0</v>
      </c>
      <c r="H116" s="1840">
        <f>VLOOKUP(E116,'LƯƠNG KT'!$D$110:$Z$184,11,0)</f>
        <v>4652335</v>
      </c>
      <c r="I116" s="1840">
        <f>VLOOKUP(E116,'LƯƠNG KT'!$D$110:$Z$184,23,0)</f>
        <v>2237887</v>
      </c>
      <c r="J116" s="2096">
        <f t="shared" si="10"/>
        <v>6890222</v>
      </c>
      <c r="K116" s="2096"/>
      <c r="L116" s="2096"/>
      <c r="M116" s="1840">
        <f t="shared" si="9"/>
        <v>6890222</v>
      </c>
      <c r="N116" s="1333"/>
      <c r="O116" s="636"/>
    </row>
    <row r="117" spans="1:15" s="242" customFormat="1" ht="18.75" customHeight="1">
      <c r="A117" s="1246">
        <v>93</v>
      </c>
      <c r="B117" s="2108">
        <v>11</v>
      </c>
      <c r="C117" s="1332" t="e">
        <f>VLOOKUP(E117,'[15]DS CN MOI UP'!$B$10:$C$347,2,0)</f>
        <v>#N/A</v>
      </c>
      <c r="D117" s="2109" t="s">
        <v>918</v>
      </c>
      <c r="E117" s="1333" t="str">
        <f>'LƯƠNG KT'!D121</f>
        <v>N. Văn Thong</v>
      </c>
      <c r="F117" s="2110" t="str">
        <f>'LƯƠNG KT'!E121</f>
        <v>CNKT</v>
      </c>
      <c r="G117" s="1840">
        <f>VLOOKUP(E117,'LƯƠNG KT'!$D$110:$Z$184,4,0)</f>
        <v>0</v>
      </c>
      <c r="H117" s="1840">
        <f>VLOOKUP(E117,'LƯƠNG KT'!$D$110:$Z$184,11,0)</f>
        <v>4730233</v>
      </c>
      <c r="I117" s="1840">
        <f>VLOOKUP(E117,'LƯƠNG KT'!$D$110:$Z$184,23,0)</f>
        <v>2108680</v>
      </c>
      <c r="J117" s="2096">
        <f t="shared" si="10"/>
        <v>6838913</v>
      </c>
      <c r="K117" s="2096"/>
      <c r="L117" s="2096"/>
      <c r="M117" s="1840">
        <f t="shared" si="9"/>
        <v>6838913</v>
      </c>
      <c r="N117" s="1333"/>
      <c r="O117" s="636"/>
    </row>
    <row r="118" spans="1:15" s="242" customFormat="1" ht="18.75" customHeight="1">
      <c r="A118" s="1246">
        <v>94</v>
      </c>
      <c r="B118" s="2108">
        <v>12</v>
      </c>
      <c r="C118" s="1332" t="e">
        <f>VLOOKUP(E118,'[15]DS CN MOI UP'!$B$10:$C$347,2,0)</f>
        <v>#N/A</v>
      </c>
      <c r="D118" s="2109" t="s">
        <v>918</v>
      </c>
      <c r="E118" s="1333" t="str">
        <f>'LƯƠNG KT'!D122</f>
        <v>Cong Khăm</v>
      </c>
      <c r="F118" s="2110" t="str">
        <f>'LƯƠNG KT'!E122</f>
        <v>CNKT</v>
      </c>
      <c r="G118" s="1840">
        <f>VLOOKUP(E118,'LƯƠNG KT'!$D$110:$Z$184,4,0)</f>
        <v>0</v>
      </c>
      <c r="H118" s="1840">
        <f>VLOOKUP(E118,'LƯƠNG KT'!$D$110:$Z$184,11,0)</f>
        <v>5475179</v>
      </c>
      <c r="I118" s="1840">
        <f>VLOOKUP(E118,'LƯƠNG KT'!$D$110:$Z$184,23,0)</f>
        <v>2180046</v>
      </c>
      <c r="J118" s="2096">
        <f t="shared" si="10"/>
        <v>7655225</v>
      </c>
      <c r="K118" s="2096"/>
      <c r="L118" s="2096"/>
      <c r="M118" s="1840">
        <f t="shared" si="9"/>
        <v>7655225</v>
      </c>
      <c r="N118" s="1333"/>
      <c r="O118" s="636"/>
    </row>
    <row r="119" spans="1:15" s="242" customFormat="1" ht="18.75" customHeight="1">
      <c r="A119" s="1246">
        <v>95</v>
      </c>
      <c r="B119" s="2108">
        <v>13</v>
      </c>
      <c r="C119" s="1332" t="e">
        <f>VLOOKUP(E119,'[15]DS CN MOI UP'!$B$10:$C$347,2,0)</f>
        <v>#N/A</v>
      </c>
      <c r="D119" s="2109" t="s">
        <v>918</v>
      </c>
      <c r="E119" s="1333" t="str">
        <f>'LƯƠNG KT'!D123</f>
        <v>Thảo Vông 1</v>
      </c>
      <c r="F119" s="2110" t="str">
        <f>'LƯƠNG KT'!E123</f>
        <v>CNKT</v>
      </c>
      <c r="G119" s="1840">
        <f>VLOOKUP(E119,'LƯƠNG KT'!$D$110:$Z$184,4,0)</f>
        <v>0</v>
      </c>
      <c r="H119" s="1840">
        <f>VLOOKUP(E119,'LƯƠNG KT'!$D$110:$Z$184,11,0)</f>
        <v>1453772</v>
      </c>
      <c r="I119" s="1840">
        <f>VLOOKUP(E119,'LƯƠNG KT'!$D$110:$Z$184,23,0)</f>
        <v>517710</v>
      </c>
      <c r="J119" s="2096">
        <f t="shared" si="10"/>
        <v>1971482</v>
      </c>
      <c r="K119" s="2096"/>
      <c r="L119" s="2096"/>
      <c r="M119" s="1840">
        <f t="shared" si="9"/>
        <v>1971482</v>
      </c>
      <c r="N119" s="1333"/>
      <c r="O119" s="636"/>
    </row>
    <row r="120" spans="1:15" s="242" customFormat="1" ht="18.75" customHeight="1">
      <c r="A120" s="1246">
        <v>96</v>
      </c>
      <c r="B120" s="2108">
        <v>14</v>
      </c>
      <c r="C120" s="1332" t="e">
        <f>VLOOKUP(E120,'[15]DS CN MOI UP'!$B$10:$C$347,2,0)</f>
        <v>#N/A</v>
      </c>
      <c r="D120" s="2109" t="s">
        <v>918</v>
      </c>
      <c r="E120" s="1333" t="str">
        <f>'LƯƠNG KT'!D124</f>
        <v>N. Vông</v>
      </c>
      <c r="F120" s="2110" t="str">
        <f>'LƯƠNG KT'!E124</f>
        <v>CNKT</v>
      </c>
      <c r="G120" s="1840">
        <f>VLOOKUP(E120,'LƯƠNG KT'!$D$110:$Z$184,4,0)</f>
        <v>0</v>
      </c>
      <c r="H120" s="1840">
        <f>VLOOKUP(E120,'LƯƠNG KT'!$D$110:$Z$184,11,0)</f>
        <v>4700399</v>
      </c>
      <c r="I120" s="1840">
        <f>VLOOKUP(E120,'LƯƠNG KT'!$D$110:$Z$184,23,0)</f>
        <v>2410839</v>
      </c>
      <c r="J120" s="2096">
        <f t="shared" si="10"/>
        <v>7111238</v>
      </c>
      <c r="K120" s="2096"/>
      <c r="L120" s="2096"/>
      <c r="M120" s="1840">
        <f t="shared" si="9"/>
        <v>7111238</v>
      </c>
      <c r="N120" s="1333"/>
      <c r="O120" s="636"/>
    </row>
    <row r="121" spans="1:15" s="242" customFormat="1" ht="18.75" customHeight="1">
      <c r="A121" s="1246">
        <v>97</v>
      </c>
      <c r="B121" s="2108">
        <v>15</v>
      </c>
      <c r="C121" s="1332" t="e">
        <f>VLOOKUP(E121,'[15]DS CN MOI UP'!$B$10:$C$347,2,0)</f>
        <v>#N/A</v>
      </c>
      <c r="D121" s="2109" t="s">
        <v>912</v>
      </c>
      <c r="E121" s="1333" t="str">
        <f>'LƯƠNG KT'!D125</f>
        <v>T. Đi</v>
      </c>
      <c r="F121" s="2110" t="str">
        <f>'LƯƠNG KT'!E125</f>
        <v>CNKT</v>
      </c>
      <c r="G121" s="1840">
        <f>VLOOKUP(E121,'LƯƠNG KT'!$D$110:$Z$184,4,0)</f>
        <v>0</v>
      </c>
      <c r="H121" s="1840">
        <f>VLOOKUP(E121,'LƯƠNG KT'!$D$110:$Z$184,11,0)</f>
        <v>4715316</v>
      </c>
      <c r="I121" s="1840">
        <f>VLOOKUP(E121,'LƯƠNG KT'!$D$110:$Z$184,23,0)</f>
        <v>2410839</v>
      </c>
      <c r="J121" s="2096">
        <f t="shared" si="10"/>
        <v>7126155</v>
      </c>
      <c r="K121" s="2096"/>
      <c r="L121" s="2096"/>
      <c r="M121" s="1840">
        <f t="shared" si="9"/>
        <v>7126155</v>
      </c>
      <c r="N121" s="1333"/>
      <c r="O121" s="636"/>
    </row>
    <row r="122" spans="1:15" s="242" customFormat="1" ht="18.75" customHeight="1">
      <c r="A122" s="1246">
        <v>98</v>
      </c>
      <c r="B122" s="2108">
        <v>16</v>
      </c>
      <c r="C122" s="1332" t="e">
        <f>VLOOKUP(E122,'[15]DS CN MOI UP'!$B$10:$C$347,2,0)</f>
        <v>#N/A</v>
      </c>
      <c r="D122" s="2109" t="s">
        <v>912</v>
      </c>
      <c r="E122" s="1333" t="str">
        <f>'LƯƠNG KT'!D126</f>
        <v>Nàng Lênh</v>
      </c>
      <c r="F122" s="2110" t="str">
        <f>'LƯƠNG KT'!E126</f>
        <v>CNKT</v>
      </c>
      <c r="G122" s="1840">
        <f>VLOOKUP(E122,'LƯƠNG KT'!$D$110:$Z$184,4,0)</f>
        <v>0</v>
      </c>
      <c r="H122" s="1840">
        <f>VLOOKUP(E122,'LƯƠNG KT'!$D$110:$Z$184,11,0)</f>
        <v>5295407</v>
      </c>
      <c r="I122" s="1840">
        <f>VLOOKUP(E122,'LƯƠNG KT'!$D$110:$Z$184,23,0)</f>
        <v>2158460</v>
      </c>
      <c r="J122" s="2096">
        <f t="shared" si="10"/>
        <v>7453867</v>
      </c>
      <c r="K122" s="2096"/>
      <c r="L122" s="2096"/>
      <c r="M122" s="1840">
        <f t="shared" si="9"/>
        <v>7453867</v>
      </c>
      <c r="N122" s="1333"/>
      <c r="O122" s="636"/>
    </row>
    <row r="123" spans="1:15" s="242" customFormat="1" ht="18.75" customHeight="1">
      <c r="A123" s="1246">
        <v>99</v>
      </c>
      <c r="B123" s="2108">
        <v>17</v>
      </c>
      <c r="C123" s="1332" t="e">
        <f>VLOOKUP(E123,'[15]DS CN MOI UP'!$B$10:$C$347,2,0)</f>
        <v>#N/A</v>
      </c>
      <c r="D123" s="2109" t="s">
        <v>912</v>
      </c>
      <c r="E123" s="1333" t="str">
        <f>'LƯƠNG KT'!D127</f>
        <v>T.Xê</v>
      </c>
      <c r="F123" s="2110" t="str">
        <f>'LƯƠNG KT'!E127</f>
        <v>CNKT</v>
      </c>
      <c r="G123" s="1840">
        <f>VLOOKUP(E123,'LƯƠNG KT'!$D$110:$Z$184,4,0)</f>
        <v>0</v>
      </c>
      <c r="H123" s="1840">
        <f>VLOOKUP(E123,'LƯƠNG KT'!$D$110:$Z$184,11,0)</f>
        <v>4607585</v>
      </c>
      <c r="I123" s="1840">
        <f>VLOOKUP(E123,'LƯƠNG KT'!$D$110:$Z$184,23,0)</f>
        <v>2360046</v>
      </c>
      <c r="J123" s="2096">
        <f t="shared" si="10"/>
        <v>6967631</v>
      </c>
      <c r="K123" s="2096"/>
      <c r="L123" s="2096"/>
      <c r="M123" s="1840">
        <f t="shared" si="9"/>
        <v>6967631</v>
      </c>
      <c r="N123" s="1333"/>
      <c r="O123" s="636"/>
    </row>
    <row r="124" spans="1:15" s="242" customFormat="1" ht="18.75" customHeight="1">
      <c r="A124" s="1246">
        <v>100</v>
      </c>
      <c r="B124" s="2108">
        <v>18</v>
      </c>
      <c r="C124" s="1332" t="e">
        <f>VLOOKUP(E124,'[15]DS CN MOI UP'!$B$10:$C$347,2,0)</f>
        <v>#N/A</v>
      </c>
      <c r="D124" s="2109" t="s">
        <v>912</v>
      </c>
      <c r="E124" s="1333" t="str">
        <f>'LƯƠNG KT'!D128</f>
        <v>T. Hách</v>
      </c>
      <c r="F124" s="2110" t="str">
        <f>'LƯƠNG KT'!E128</f>
        <v>CNKT</v>
      </c>
      <c r="G124" s="1840">
        <f>VLOOKUP(E124,'LƯƠNG KT'!$D$110:$Z$184,4,0)</f>
        <v>0</v>
      </c>
      <c r="H124" s="1840">
        <f>VLOOKUP(E124,'LƯƠNG KT'!$D$110:$Z$184,11,0)</f>
        <v>4781612</v>
      </c>
      <c r="I124" s="1840">
        <f>VLOOKUP(E124,'LƯƠNG KT'!$D$110:$Z$184,23,0)</f>
        <v>2129253</v>
      </c>
      <c r="J124" s="2096">
        <f t="shared" si="10"/>
        <v>6910865</v>
      </c>
      <c r="K124" s="2096"/>
      <c r="L124" s="2096"/>
      <c r="M124" s="1840">
        <f t="shared" si="9"/>
        <v>6910865</v>
      </c>
      <c r="N124" s="1333"/>
      <c r="O124" s="636"/>
    </row>
    <row r="125" spans="1:15" s="242" customFormat="1" ht="18.75" customHeight="1">
      <c r="A125" s="1246">
        <v>101</v>
      </c>
      <c r="B125" s="2108">
        <v>19</v>
      </c>
      <c r="C125" s="1332" t="e">
        <f>VLOOKUP(E125,'[15]DS CN MOI UP'!$B$10:$C$347,2,0)</f>
        <v>#N/A</v>
      </c>
      <c r="D125" s="2109" t="s">
        <v>912</v>
      </c>
      <c r="E125" s="1333" t="str">
        <f>'LƯƠNG KT'!D129</f>
        <v>Khay Khăm</v>
      </c>
      <c r="F125" s="2110" t="str">
        <f>'LƯƠNG KT'!E129</f>
        <v>CNKT</v>
      </c>
      <c r="G125" s="1840">
        <f>VLOOKUP(E125,'LƯƠNG KT'!$D$110:$Z$184,4,0)</f>
        <v>0</v>
      </c>
      <c r="H125" s="1840">
        <f>VLOOKUP(E125,'LƯƠNG KT'!$D$110:$Z$184,11,0)</f>
        <v>7967144</v>
      </c>
      <c r="I125" s="1840">
        <f>VLOOKUP(E125,'LƯƠNG KT'!$D$110:$Z$184,23,0)</f>
        <v>2410839</v>
      </c>
      <c r="J125" s="2096">
        <f t="shared" si="10"/>
        <v>10377983</v>
      </c>
      <c r="K125" s="2096"/>
      <c r="L125" s="2096"/>
      <c r="M125" s="1840">
        <f t="shared" si="9"/>
        <v>10377983</v>
      </c>
      <c r="N125" s="1333"/>
      <c r="O125" s="636"/>
    </row>
    <row r="126" spans="1:15" s="242" customFormat="1" ht="18.75" customHeight="1">
      <c r="A126" s="1246">
        <v>102</v>
      </c>
      <c r="B126" s="2108">
        <v>20</v>
      </c>
      <c r="C126" s="1332" t="e">
        <f>VLOOKUP(E126,'[15]DS CN MOI UP'!$B$10:$C$347,2,0)</f>
        <v>#N/A</v>
      </c>
      <c r="D126" s="2109" t="s">
        <v>912</v>
      </c>
      <c r="E126" s="1333" t="str">
        <f>'LƯƠNG KT'!D130</f>
        <v>T. Vạt</v>
      </c>
      <c r="F126" s="2110" t="str">
        <f>'LƯƠNG KT'!E130</f>
        <v>CNKT</v>
      </c>
      <c r="G126" s="1840">
        <f>VLOOKUP(E126,'LƯƠNG KT'!$D$110:$Z$184,4,0)</f>
        <v>0</v>
      </c>
      <c r="H126" s="1840">
        <f>VLOOKUP(E126,'LƯƠNG KT'!$D$110:$Z$184,11,0)</f>
        <v>7509414</v>
      </c>
      <c r="I126" s="1840">
        <f>VLOOKUP(E126,'LƯƠNG KT'!$D$110:$Z$184,23,0)</f>
        <v>2230839</v>
      </c>
      <c r="J126" s="2096">
        <f t="shared" si="10"/>
        <v>9740253</v>
      </c>
      <c r="K126" s="2096"/>
      <c r="L126" s="2096"/>
      <c r="M126" s="1840">
        <f t="shared" si="9"/>
        <v>9740253</v>
      </c>
      <c r="N126" s="1333"/>
      <c r="O126" s="636"/>
    </row>
    <row r="127" spans="1:15" s="242" customFormat="1" ht="18.75" customHeight="1">
      <c r="A127" s="1246">
        <v>103</v>
      </c>
      <c r="B127" s="2108">
        <v>21</v>
      </c>
      <c r="C127" s="1332" t="e">
        <f>VLOOKUP(E127,'[15]DS CN MOI UP'!$B$10:$C$347,2,0)</f>
        <v>#N/A</v>
      </c>
      <c r="D127" s="2109" t="s">
        <v>918</v>
      </c>
      <c r="E127" s="1333" t="str">
        <f>'LƯƠNG KT'!D131</f>
        <v>T. Chăn (4)</v>
      </c>
      <c r="F127" s="2110" t="str">
        <f>'LƯƠNG KT'!E131</f>
        <v>CNKT</v>
      </c>
      <c r="G127" s="1840">
        <f>VLOOKUP(E127,'LƯƠNG KT'!$D$110:$Z$184,4,0)</f>
        <v>0</v>
      </c>
      <c r="H127" s="1840">
        <f>VLOOKUP(E127,'LƯƠNG KT'!$D$110:$Z$184,11,0)</f>
        <v>4990588</v>
      </c>
      <c r="I127" s="1840">
        <f>VLOOKUP(E127,'LƯƠNG KT'!$D$110:$Z$184,23,0)</f>
        <v>2007094</v>
      </c>
      <c r="J127" s="2096">
        <f t="shared" si="10"/>
        <v>6997682</v>
      </c>
      <c r="K127" s="2096"/>
      <c r="L127" s="2096"/>
      <c r="M127" s="1840">
        <f t="shared" si="9"/>
        <v>6997682</v>
      </c>
      <c r="N127" s="1333"/>
      <c r="O127" s="636"/>
    </row>
    <row r="128" spans="1:15" s="242" customFormat="1" ht="18.75" customHeight="1">
      <c r="A128" s="1246">
        <v>104</v>
      </c>
      <c r="B128" s="2108">
        <v>22</v>
      </c>
      <c r="C128" s="1332" t="e">
        <f>VLOOKUP(E128,'[15]DS CN MOI UP'!$B$10:$C$347,2,0)</f>
        <v>#N/A</v>
      </c>
      <c r="D128" s="2109" t="s">
        <v>918</v>
      </c>
      <c r="E128" s="1333" t="str">
        <f>'LƯƠNG KT'!D132</f>
        <v>Thảo Ca Thon</v>
      </c>
      <c r="F128" s="2110" t="str">
        <f>'LƯƠNG KT'!E132</f>
        <v>CNKT</v>
      </c>
      <c r="G128" s="1840">
        <f>VLOOKUP(E128,'LƯƠNG KT'!$D$110:$Z$184,4,0)</f>
        <v>0</v>
      </c>
      <c r="H128" s="1840">
        <f>VLOOKUP(E128,'LƯƠNG KT'!$D$110:$Z$184,11,0)</f>
        <v>5369991</v>
      </c>
      <c r="I128" s="1840">
        <f>VLOOKUP(E128,'LƯƠNG KT'!$D$110:$Z$184,23,0)</f>
        <v>2230839</v>
      </c>
      <c r="J128" s="2096">
        <f t="shared" si="10"/>
        <v>7600830</v>
      </c>
      <c r="K128" s="2096"/>
      <c r="L128" s="2096"/>
      <c r="M128" s="1840">
        <f t="shared" si="9"/>
        <v>7600830</v>
      </c>
      <c r="N128" s="1333"/>
      <c r="O128" s="636"/>
    </row>
    <row r="129" spans="1:15" s="242" customFormat="1" ht="18.75" customHeight="1">
      <c r="A129" s="1246">
        <v>105</v>
      </c>
      <c r="B129" s="2108">
        <v>23</v>
      </c>
      <c r="C129" s="1332" t="e">
        <f>VLOOKUP(E129,'[15]DS CN MOI UP'!$B$10:$C$347,2,0)</f>
        <v>#N/A</v>
      </c>
      <c r="D129" s="2109" t="s">
        <v>918</v>
      </c>
      <c r="E129" s="1333" t="str">
        <f>'LƯƠNG KT'!D133</f>
        <v>N.. Đeng</v>
      </c>
      <c r="F129" s="2110" t="str">
        <f>'LƯƠNG KT'!E133</f>
        <v>CNKT</v>
      </c>
      <c r="G129" s="1840">
        <f>VLOOKUP(E129,'LƯƠNG KT'!$D$110:$Z$184,4,0)</f>
        <v>0</v>
      </c>
      <c r="H129" s="1840">
        <f>VLOOKUP(E129,'LƯƠNG KT'!$D$110:$Z$184,11,0)</f>
        <v>5112607</v>
      </c>
      <c r="I129" s="1840">
        <f>VLOOKUP(E129,'LƯƠNG KT'!$D$110:$Z$184,23,0)</f>
        <v>2007094</v>
      </c>
      <c r="J129" s="2096">
        <f t="shared" si="10"/>
        <v>7119701</v>
      </c>
      <c r="K129" s="2096"/>
      <c r="L129" s="2096"/>
      <c r="M129" s="1840">
        <f t="shared" si="9"/>
        <v>7119701</v>
      </c>
      <c r="N129" s="1333"/>
      <c r="O129" s="636"/>
    </row>
    <row r="130" spans="1:15" s="242" customFormat="1" ht="18.75" customHeight="1">
      <c r="A130" s="1246">
        <v>106</v>
      </c>
      <c r="B130" s="2108">
        <v>24</v>
      </c>
      <c r="C130" s="1332" t="e">
        <f>VLOOKUP(E130,'[15]DS CN MOI UP'!$B$10:$C$347,2,0)</f>
        <v>#N/A</v>
      </c>
      <c r="D130" s="2109" t="s">
        <v>918</v>
      </c>
      <c r="E130" s="1333" t="str">
        <f>'LƯƠNG KT'!D134</f>
        <v>N.T.T Trang (1)</v>
      </c>
      <c r="F130" s="2110" t="str">
        <f>'LƯƠNG KT'!E134</f>
        <v>CNKT</v>
      </c>
      <c r="G130" s="1840">
        <f>VLOOKUP(E130,'LƯƠNG KT'!$D$110:$Z$184,4,0)</f>
        <v>0</v>
      </c>
      <c r="H130" s="1840">
        <f>VLOOKUP(E130,'LƯƠNG KT'!$D$110:$Z$184,11,0)</f>
        <v>8795846</v>
      </c>
      <c r="I130" s="1840">
        <f>VLOOKUP(E130,'LƯƠNG KT'!$D$110:$Z$184,23,0)</f>
        <v>1560046</v>
      </c>
      <c r="J130" s="2096">
        <f t="shared" si="10"/>
        <v>10355892</v>
      </c>
      <c r="K130" s="2096"/>
      <c r="L130" s="2096"/>
      <c r="M130" s="1840">
        <f t="shared" si="9"/>
        <v>10355892</v>
      </c>
      <c r="N130" s="1333"/>
      <c r="O130" s="636"/>
    </row>
    <row r="131" spans="1:15" s="242" customFormat="1" ht="18.75" customHeight="1">
      <c r="A131" s="1246">
        <v>107</v>
      </c>
      <c r="B131" s="2108">
        <v>25</v>
      </c>
      <c r="C131" s="1332" t="e">
        <f>VLOOKUP(E131,'[15]DS CN MOI UP'!$B$10:$C$347,2,0)</f>
        <v>#N/A</v>
      </c>
      <c r="D131" s="2109" t="s">
        <v>918</v>
      </c>
      <c r="E131" s="1333" t="str">
        <f>'LƯƠNG KT'!D135</f>
        <v>T. Chay</v>
      </c>
      <c r="F131" s="2110" t="str">
        <f>'LƯƠNG KT'!E135</f>
        <v>CNKT</v>
      </c>
      <c r="G131" s="1840">
        <f>VLOOKUP(E131,'LƯƠNG KT'!$D$110:$Z$184,4,0)</f>
        <v>0</v>
      </c>
      <c r="H131" s="1840">
        <f>VLOOKUP(E131,'LƯƠNG KT'!$D$110:$Z$184,11,0)</f>
        <v>4289363</v>
      </c>
      <c r="I131" s="1840">
        <f>VLOOKUP(E131,'LƯƠNG KT'!$D$110:$Z$184,23,0)</f>
        <v>1827667</v>
      </c>
      <c r="J131" s="2096">
        <f t="shared" si="10"/>
        <v>6117030</v>
      </c>
      <c r="K131" s="2096"/>
      <c r="L131" s="2096"/>
      <c r="M131" s="1840">
        <f t="shared" si="9"/>
        <v>6117030</v>
      </c>
      <c r="N131" s="1333"/>
      <c r="O131" s="636"/>
    </row>
    <row r="132" spans="1:15" s="242" customFormat="1" ht="18.75" customHeight="1">
      <c r="A132" s="1246">
        <v>108</v>
      </c>
      <c r="B132" s="2108">
        <v>26</v>
      </c>
      <c r="C132" s="1332" t="e">
        <f>VLOOKUP(E132,'[15]DS CN MOI UP'!$B$10:$C$347,2,0)</f>
        <v>#N/A</v>
      </c>
      <c r="D132" s="2109" t="s">
        <v>918</v>
      </c>
      <c r="E132" s="1333" t="str">
        <f>'LƯƠNG KT'!D136</f>
        <v>T. Lê</v>
      </c>
      <c r="F132" s="2110" t="str">
        <f>'LƯƠNG KT'!E136</f>
        <v>CNKT</v>
      </c>
      <c r="G132" s="1840">
        <f>VLOOKUP(E132,'LƯƠNG KT'!$D$110:$Z$184,4,0)</f>
        <v>0</v>
      </c>
      <c r="H132" s="1840">
        <f>VLOOKUP(E132,'LƯƠNG KT'!$D$110:$Z$184,11,0)</f>
        <v>4975928</v>
      </c>
      <c r="I132" s="1840">
        <f>VLOOKUP(E132,'LƯƠNG KT'!$D$110:$Z$184,23,0)</f>
        <v>1998460</v>
      </c>
      <c r="J132" s="2096">
        <f t="shared" si="10"/>
        <v>6974388</v>
      </c>
      <c r="K132" s="2096"/>
      <c r="L132" s="2096"/>
      <c r="M132" s="1840">
        <f t="shared" si="9"/>
        <v>6974388</v>
      </c>
      <c r="N132" s="1333"/>
      <c r="O132" s="636"/>
    </row>
    <row r="133" spans="1:15" s="242" customFormat="1" ht="18.75" customHeight="1">
      <c r="A133" s="1246">
        <v>109</v>
      </c>
      <c r="B133" s="2108">
        <v>27</v>
      </c>
      <c r="C133" s="1332" t="e">
        <f>VLOOKUP(E133,'[15]DS CN MOI UP'!$B$10:$C$347,2,0)</f>
        <v>#N/A</v>
      </c>
      <c r="D133" s="2109" t="s">
        <v>918</v>
      </c>
      <c r="E133" s="1333" t="str">
        <f>'LƯƠNG KT'!D137</f>
        <v>Nàng Chưa</v>
      </c>
      <c r="F133" s="2110" t="str">
        <f>'LƯƠNG KT'!E137</f>
        <v>CNKT</v>
      </c>
      <c r="G133" s="1840">
        <f>VLOOKUP(E133,'LƯƠNG KT'!$D$110:$Z$184,4,0)</f>
        <v>0</v>
      </c>
      <c r="H133" s="1840">
        <f>VLOOKUP(E133,'LƯƠNG KT'!$D$110:$Z$184,11,0)</f>
        <v>4039095</v>
      </c>
      <c r="I133" s="1840">
        <f>VLOOKUP(E133,'LƯƠNG KT'!$D$110:$Z$184,23,0)</f>
        <v>1958460</v>
      </c>
      <c r="J133" s="2096">
        <f t="shared" si="10"/>
        <v>5997555</v>
      </c>
      <c r="K133" s="2096"/>
      <c r="L133" s="2096"/>
      <c r="M133" s="1840">
        <f t="shared" si="9"/>
        <v>5997555</v>
      </c>
      <c r="N133" s="1333"/>
      <c r="O133" s="636"/>
    </row>
    <row r="134" spans="1:15" s="242" customFormat="1" ht="18.75" customHeight="1">
      <c r="A134" s="1246">
        <v>110</v>
      </c>
      <c r="B134" s="2108">
        <v>28</v>
      </c>
      <c r="C134" s="1332" t="e">
        <f>VLOOKUP(E134,'[15]DS CN MOI UP'!$B$10:$C$347,2,0)</f>
        <v>#N/A</v>
      </c>
      <c r="D134" s="2109" t="s">
        <v>918</v>
      </c>
      <c r="E134" s="1333" t="str">
        <f>'LƯƠNG KT'!D138</f>
        <v>Hà Đức Văn</v>
      </c>
      <c r="F134" s="2110" t="str">
        <f>'LƯƠNG KT'!E138</f>
        <v>CNKT</v>
      </c>
      <c r="G134" s="1840">
        <f>VLOOKUP(E134,'LƯƠNG KT'!$D$110:$Z$184,4,0)</f>
        <v>0</v>
      </c>
      <c r="H134" s="1840">
        <f>VLOOKUP(E134,'LƯƠNG KT'!$D$110:$Z$184,11,0)</f>
        <v>8815020</v>
      </c>
      <c r="I134" s="1840">
        <f>VLOOKUP(E134,'LƯƠNG KT'!$D$110:$Z$184,23,0)</f>
        <v>1560046</v>
      </c>
      <c r="J134" s="2096">
        <f t="shared" si="10"/>
        <v>10375066</v>
      </c>
      <c r="K134" s="2096"/>
      <c r="L134" s="2096"/>
      <c r="M134" s="1840">
        <f t="shared" si="9"/>
        <v>10375066</v>
      </c>
      <c r="N134" s="1333"/>
      <c r="O134" s="636"/>
    </row>
    <row r="135" spans="1:15" s="242" customFormat="1" ht="18.75" customHeight="1">
      <c r="A135" s="1246">
        <v>111</v>
      </c>
      <c r="B135" s="2108">
        <v>29</v>
      </c>
      <c r="C135" s="1332" t="e">
        <f>VLOOKUP(E135,'[15]DS CN MOI UP'!$B$10:$C$347,2,0)</f>
        <v>#N/A</v>
      </c>
      <c r="D135" s="2109" t="s">
        <v>918</v>
      </c>
      <c r="E135" s="1333" t="str">
        <f>'LƯƠNG KT'!D139</f>
        <v>N. Không</v>
      </c>
      <c r="F135" s="2110" t="str">
        <f>'LƯƠNG KT'!E139</f>
        <v>CNKT</v>
      </c>
      <c r="G135" s="1840">
        <f>VLOOKUP(E135,'LƯƠNG KT'!$D$110:$Z$184,4,0)</f>
        <v>0</v>
      </c>
      <c r="H135" s="1840">
        <f>VLOOKUP(E135,'LƯƠNG KT'!$D$110:$Z$184,11,0)</f>
        <v>5924907</v>
      </c>
      <c r="I135" s="1840">
        <f>VLOOKUP(E135,'LƯƠNG KT'!$D$110:$Z$184,23,0)</f>
        <v>1429253</v>
      </c>
      <c r="J135" s="2096">
        <f t="shared" si="10"/>
        <v>7354160</v>
      </c>
      <c r="K135" s="2096"/>
      <c r="L135" s="2096"/>
      <c r="M135" s="1840">
        <f t="shared" si="9"/>
        <v>7354160</v>
      </c>
      <c r="N135" s="1333"/>
      <c r="O135" s="636"/>
    </row>
    <row r="136" spans="1:15" s="242" customFormat="1" ht="18.75" customHeight="1">
      <c r="A136" s="1246">
        <v>112</v>
      </c>
      <c r="B136" s="2108">
        <v>30</v>
      </c>
      <c r="C136" s="1332" t="e">
        <f>VLOOKUP(E136,'[15]DS CN MOI UP'!$B$10:$C$347,2,0)</f>
        <v>#N/A</v>
      </c>
      <c r="D136" s="2109" t="s">
        <v>918</v>
      </c>
      <c r="E136" s="1333" t="str">
        <f>'LƯƠNG KT'!D140</f>
        <v>T. Đăm</v>
      </c>
      <c r="F136" s="2110" t="str">
        <f>'LƯƠNG KT'!E140</f>
        <v>CNKT</v>
      </c>
      <c r="G136" s="1840">
        <f>VLOOKUP(E136,'LƯƠNG KT'!$D$110:$Z$184,4,0)</f>
        <v>0</v>
      </c>
      <c r="H136" s="1840">
        <f>VLOOKUP(E136,'LƯƠNG KT'!$D$110:$Z$184,11,0)</f>
        <v>6132340</v>
      </c>
      <c r="I136" s="1840">
        <f>VLOOKUP(E136,'LƯƠNG KT'!$D$110:$Z$184,23,0)</f>
        <v>1267667</v>
      </c>
      <c r="J136" s="2096">
        <f t="shared" si="10"/>
        <v>7400007</v>
      </c>
      <c r="K136" s="2096"/>
      <c r="L136" s="2096"/>
      <c r="M136" s="1840">
        <f t="shared" si="9"/>
        <v>7400007</v>
      </c>
      <c r="N136" s="1333"/>
      <c r="O136" s="636"/>
    </row>
    <row r="137" spans="1:15" s="242" customFormat="1" ht="18.75" customHeight="1">
      <c r="A137" s="1246">
        <v>113</v>
      </c>
      <c r="B137" s="2108">
        <v>31</v>
      </c>
      <c r="C137" s="1332" t="e">
        <f>VLOOKUP(E137,'[15]DS CN MOI UP'!$B$10:$C$347,2,0)</f>
        <v>#N/A</v>
      </c>
      <c r="D137" s="2109" t="s">
        <v>918</v>
      </c>
      <c r="E137" s="1333" t="str">
        <f>'LƯƠNG KT'!D141</f>
        <v xml:space="preserve">Văn Na  </v>
      </c>
      <c r="F137" s="2110" t="str">
        <f>'LƯƠNG KT'!E141</f>
        <v>CNKT</v>
      </c>
      <c r="G137" s="1840">
        <f>VLOOKUP(E137,'LƯƠNG KT'!$D$110:$Z$184,4,0)</f>
        <v>0</v>
      </c>
      <c r="H137" s="1840">
        <f>VLOOKUP(E137,'LƯƠNG KT'!$D$110:$Z$184,11,0)</f>
        <v>10584300</v>
      </c>
      <c r="I137" s="1840">
        <f>VLOOKUP(E137,'LƯƠNG KT'!$D$110:$Z$184,23,0)</f>
        <v>1398460</v>
      </c>
      <c r="J137" s="2096">
        <f t="shared" si="10"/>
        <v>11982760</v>
      </c>
      <c r="K137" s="2096"/>
      <c r="L137" s="2096"/>
      <c r="M137" s="1840">
        <f t="shared" si="9"/>
        <v>11982760</v>
      </c>
      <c r="N137" s="1333"/>
      <c r="O137" s="636"/>
    </row>
    <row r="138" spans="1:15" s="242" customFormat="1" ht="18.75" customHeight="1">
      <c r="A138" s="1246">
        <v>114</v>
      </c>
      <c r="B138" s="2108">
        <v>32</v>
      </c>
      <c r="C138" s="1332" t="e">
        <f>VLOOKUP(E138,'[15]DS CN MOI UP'!$B$10:$C$347,2,0)</f>
        <v>#N/A</v>
      </c>
      <c r="D138" s="2109" t="s">
        <v>918</v>
      </c>
      <c r="E138" s="1333" t="str">
        <f>'LƯƠNG KT'!D142</f>
        <v>N. Lẹ</v>
      </c>
      <c r="F138" s="2110" t="str">
        <f>'LƯƠNG KT'!E142</f>
        <v>CNKT</v>
      </c>
      <c r="G138" s="1840">
        <f>VLOOKUP(E138,'LƯƠNG KT'!$D$110:$Z$184,4,0)</f>
        <v>0</v>
      </c>
      <c r="H138" s="1840">
        <f>VLOOKUP(E138,'LƯƠNG KT'!$D$110:$Z$184,11,0)</f>
        <v>10303655</v>
      </c>
      <c r="I138" s="1840">
        <f>VLOOKUP(E138,'LƯƠNG KT'!$D$110:$Z$184,23,0)</f>
        <v>1429253</v>
      </c>
      <c r="J138" s="2096">
        <f t="shared" si="10"/>
        <v>11732908</v>
      </c>
      <c r="K138" s="2096"/>
      <c r="L138" s="2096"/>
      <c r="M138" s="1840">
        <f t="shared" si="9"/>
        <v>11732908</v>
      </c>
      <c r="N138" s="1333"/>
      <c r="O138" s="636"/>
    </row>
    <row r="139" spans="1:15" s="242" customFormat="1" ht="18.75" customHeight="1">
      <c r="A139" s="1246">
        <v>115</v>
      </c>
      <c r="B139" s="2108">
        <v>33</v>
      </c>
      <c r="C139" s="1332" t="e">
        <f>VLOOKUP(E139,'[15]DS CN MOI UP'!$B$10:$C$347,2,0)</f>
        <v>#N/A</v>
      </c>
      <c r="D139" s="2109" t="s">
        <v>918</v>
      </c>
      <c r="E139" s="1333" t="str">
        <f>'LƯƠNG KT'!D143</f>
        <v>T. Mi</v>
      </c>
      <c r="F139" s="2110" t="str">
        <f>'LƯƠNG KT'!E143</f>
        <v>CNKT</v>
      </c>
      <c r="G139" s="1840">
        <f>VLOOKUP(E139,'LƯƠNG KT'!$D$110:$Z$184,4,0)</f>
        <v>0</v>
      </c>
      <c r="H139" s="1840">
        <f>VLOOKUP(E139,'LƯƠNG KT'!$D$110:$Z$184,11,0)</f>
        <v>4982158</v>
      </c>
      <c r="I139" s="1840">
        <f>VLOOKUP(E139,'LƯƠNG KT'!$D$110:$Z$184,23,0)</f>
        <v>1957887</v>
      </c>
      <c r="J139" s="2096">
        <f t="shared" si="10"/>
        <v>6940045</v>
      </c>
      <c r="K139" s="2096"/>
      <c r="L139" s="2096"/>
      <c r="M139" s="1840">
        <f t="shared" si="9"/>
        <v>6940045</v>
      </c>
      <c r="N139" s="1333"/>
      <c r="O139" s="636"/>
    </row>
    <row r="140" spans="1:15" s="242" customFormat="1" ht="18.75" customHeight="1">
      <c r="A140" s="1246">
        <v>116</v>
      </c>
      <c r="B140" s="2108">
        <v>34</v>
      </c>
      <c r="C140" s="1332" t="e">
        <f>VLOOKUP(E140,'[15]DS CN MOI UP'!$B$10:$C$347,2,0)</f>
        <v>#N/A</v>
      </c>
      <c r="D140" s="2109" t="s">
        <v>918</v>
      </c>
      <c r="E140" s="1333" t="str">
        <f>'LƯƠNG KT'!D144</f>
        <v>Thảo Pi</v>
      </c>
      <c r="F140" s="2110" t="str">
        <f>'LƯƠNG KT'!E144</f>
        <v>CNKT</v>
      </c>
      <c r="G140" s="1840">
        <f>VLOOKUP(E140,'LƯƠNG KT'!$D$110:$Z$184,4,0)</f>
        <v>0</v>
      </c>
      <c r="H140" s="1840">
        <f>VLOOKUP(E140,'LƯƠNG KT'!$D$110:$Z$184,11,0)</f>
        <v>1335868</v>
      </c>
      <c r="I140" s="1840">
        <f>VLOOKUP(E140,'LƯƠNG KT'!$D$110:$Z$184,23,0)</f>
        <v>830089</v>
      </c>
      <c r="J140" s="2096">
        <f t="shared" si="10"/>
        <v>2165957</v>
      </c>
      <c r="K140" s="2096"/>
      <c r="L140" s="2096"/>
      <c r="M140" s="1840">
        <f t="shared" si="9"/>
        <v>2165957</v>
      </c>
      <c r="N140" s="1333"/>
      <c r="O140" s="636"/>
    </row>
    <row r="141" spans="1:15" s="242" customFormat="1" ht="18.75" customHeight="1">
      <c r="A141" s="1246">
        <v>117</v>
      </c>
      <c r="B141" s="2108">
        <v>35</v>
      </c>
      <c r="C141" s="1332" t="e">
        <f>VLOOKUP(E141,'[15]DS CN MOI UP'!$B$10:$C$347,2,0)</f>
        <v>#N/A</v>
      </c>
      <c r="D141" s="2109" t="s">
        <v>918</v>
      </c>
      <c r="E141" s="1333" t="str">
        <f>'LƯƠNG KT'!D145</f>
        <v>T. Mút</v>
      </c>
      <c r="F141" s="2110" t="str">
        <f>'LƯƠNG KT'!E145</f>
        <v>CNKT</v>
      </c>
      <c r="G141" s="1840">
        <f>VLOOKUP(E141,'LƯƠNG KT'!$D$110:$Z$184,4,0)</f>
        <v>0</v>
      </c>
      <c r="H141" s="1840">
        <f>VLOOKUP(E141,'LƯƠNG KT'!$D$110:$Z$184,11,0)</f>
        <v>5706444</v>
      </c>
      <c r="I141" s="1840">
        <f>VLOOKUP(E141,'LƯƠNG KT'!$D$110:$Z$184,23,0)</f>
        <v>2188680</v>
      </c>
      <c r="J141" s="2096">
        <f t="shared" si="10"/>
        <v>7895124</v>
      </c>
      <c r="K141" s="2096"/>
      <c r="L141" s="2096"/>
      <c r="M141" s="1840">
        <f t="shared" si="9"/>
        <v>7895124</v>
      </c>
      <c r="N141" s="1333"/>
      <c r="O141" s="636"/>
    </row>
    <row r="142" spans="1:15" s="242" customFormat="1" ht="18.75" customHeight="1">
      <c r="A142" s="1246">
        <v>118</v>
      </c>
      <c r="B142" s="2108">
        <v>36</v>
      </c>
      <c r="C142" s="1332" t="e">
        <f>VLOOKUP(E142,'[15]DS CN MOI UP'!$B$10:$C$347,2,0)</f>
        <v>#N/A</v>
      </c>
      <c r="D142" s="2109" t="s">
        <v>918</v>
      </c>
      <c r="E142" s="1333" t="str">
        <f>'LƯƠNG KT'!D146</f>
        <v>T. Lươn</v>
      </c>
      <c r="F142" s="2110" t="str">
        <f>'LƯƠNG KT'!E146</f>
        <v>CNKT</v>
      </c>
      <c r="G142" s="1840">
        <f>VLOOKUP(E142,'LƯƠNG KT'!$D$110:$Z$184,4,0)</f>
        <v>0</v>
      </c>
      <c r="H142" s="1840">
        <f>VLOOKUP(E142,'LƯƠNG KT'!$D$110:$Z$184,11,0)</f>
        <v>4425270</v>
      </c>
      <c r="I142" s="1840">
        <f>VLOOKUP(E142,'LƯƠNG KT'!$D$110:$Z$184,23,0)</f>
        <v>1896874</v>
      </c>
      <c r="J142" s="2096">
        <f t="shared" si="10"/>
        <v>6322144</v>
      </c>
      <c r="K142" s="2096"/>
      <c r="L142" s="2096"/>
      <c r="M142" s="1840">
        <f t="shared" si="9"/>
        <v>6322144</v>
      </c>
      <c r="N142" s="1333"/>
      <c r="O142" s="636"/>
    </row>
    <row r="143" spans="1:15" s="242" customFormat="1" ht="18.75" customHeight="1">
      <c r="A143" s="1246">
        <v>119</v>
      </c>
      <c r="B143" s="2108">
        <v>37</v>
      </c>
      <c r="C143" s="1332" t="e">
        <f>VLOOKUP(E143,'[15]DS CN MOI UP'!$B$10:$C$347,2,0)</f>
        <v>#N/A</v>
      </c>
      <c r="D143" s="2109" t="s">
        <v>918</v>
      </c>
      <c r="E143" s="1333" t="str">
        <f>'LƯƠNG KT'!D147</f>
        <v>N. Đon</v>
      </c>
      <c r="F143" s="2110" t="str">
        <f>'LƯƠNG KT'!E147</f>
        <v>CNKT</v>
      </c>
      <c r="G143" s="1840">
        <f>VLOOKUP(E143,'LƯƠNG KT'!$D$110:$Z$184,4,0)</f>
        <v>0</v>
      </c>
      <c r="H143" s="1840">
        <f>VLOOKUP(E143,'LƯƠNG KT'!$D$110:$Z$184,11,0)</f>
        <v>3216079</v>
      </c>
      <c r="I143" s="1840">
        <f>VLOOKUP(E143,'LƯƠNG KT'!$D$110:$Z$184,23,0)</f>
        <v>1187798</v>
      </c>
      <c r="J143" s="2096">
        <f t="shared" si="10"/>
        <v>4403877</v>
      </c>
      <c r="K143" s="2096"/>
      <c r="L143" s="2096"/>
      <c r="M143" s="1840">
        <f t="shared" si="9"/>
        <v>4403877</v>
      </c>
      <c r="N143" s="1333"/>
      <c r="O143" s="636"/>
    </row>
    <row r="144" spans="1:15" s="242" customFormat="1" ht="18.75" customHeight="1">
      <c r="A144" s="1246">
        <v>120</v>
      </c>
      <c r="B144" s="2108">
        <v>38</v>
      </c>
      <c r="C144" s="1332" t="e">
        <f>VLOOKUP(E144,'[15]DS CN MOI UP'!$B$10:$C$347,2,0)</f>
        <v>#N/A</v>
      </c>
      <c r="D144" s="2109" t="s">
        <v>918</v>
      </c>
      <c r="E144" s="1333" t="str">
        <f>'LƯƠNG KT'!D148</f>
        <v>T. Ô</v>
      </c>
      <c r="F144" s="2110" t="str">
        <f>'LƯƠNG KT'!E148</f>
        <v>CNKT</v>
      </c>
      <c r="G144" s="1840">
        <f>VLOOKUP(E144,'LƯƠNG KT'!$D$110:$Z$184,4,0)</f>
        <v>0</v>
      </c>
      <c r="H144" s="1840">
        <f>VLOOKUP(E144,'LƯƠNG KT'!$D$110:$Z$184,11,0)</f>
        <v>5537931</v>
      </c>
      <c r="I144" s="1840">
        <f>VLOOKUP(E144,'LƯƠNG KT'!$D$110:$Z$184,23,0)</f>
        <v>2180046</v>
      </c>
      <c r="J144" s="2096">
        <f t="shared" si="10"/>
        <v>7717977</v>
      </c>
      <c r="K144" s="2096"/>
      <c r="L144" s="2096"/>
      <c r="M144" s="1840">
        <f t="shared" si="9"/>
        <v>7717977</v>
      </c>
      <c r="N144" s="1333"/>
      <c r="O144" s="636"/>
    </row>
    <row r="145" spans="1:15" s="242" customFormat="1" ht="18.75" customHeight="1">
      <c r="A145" s="1246">
        <v>121</v>
      </c>
      <c r="B145" s="2108">
        <v>39</v>
      </c>
      <c r="C145" s="1332" t="e">
        <f>VLOOKUP(E145,'[15]DS CN MOI UP'!$B$10:$C$347,2,0)</f>
        <v>#N/A</v>
      </c>
      <c r="D145" s="2109" t="s">
        <v>918</v>
      </c>
      <c r="E145" s="1333" t="str">
        <f>'LƯƠNG KT'!D149</f>
        <v>N. Su Pha</v>
      </c>
      <c r="F145" s="2110" t="str">
        <f>'LƯƠNG KT'!E149</f>
        <v>CNKT</v>
      </c>
      <c r="G145" s="1840">
        <f>VLOOKUP(E145,'LƯƠNG KT'!$D$110:$Z$184,4,0)</f>
        <v>0</v>
      </c>
      <c r="H145" s="1840">
        <f>VLOOKUP(E145,'LƯƠNG KT'!$D$110:$Z$184,11,0)</f>
        <v>5255630</v>
      </c>
      <c r="I145" s="1840">
        <f>VLOOKUP(E145,'LƯƠNG KT'!$D$110:$Z$184,23,0)</f>
        <v>2360046</v>
      </c>
      <c r="J145" s="2096">
        <f t="shared" si="10"/>
        <v>7615676</v>
      </c>
      <c r="K145" s="2096"/>
      <c r="L145" s="2096"/>
      <c r="M145" s="1840">
        <f t="shared" si="9"/>
        <v>7615676</v>
      </c>
      <c r="N145" s="1333"/>
      <c r="O145" s="636"/>
    </row>
    <row r="146" spans="1:15" s="242" customFormat="1" ht="18.75" customHeight="1">
      <c r="A146" s="1246">
        <v>122</v>
      </c>
      <c r="B146" s="2108">
        <v>40</v>
      </c>
      <c r="C146" s="1332" t="e">
        <f>VLOOKUP(E146,'[15]DS CN MOI UP'!$B$10:$C$347,2,0)</f>
        <v>#N/A</v>
      </c>
      <c r="D146" s="2109" t="s">
        <v>918</v>
      </c>
      <c r="E146" s="1333" t="str">
        <f>'LƯƠNG KT'!D150</f>
        <v>N. Lọi</v>
      </c>
      <c r="F146" s="2110" t="str">
        <f>'LƯƠNG KT'!E150</f>
        <v>CNKT</v>
      </c>
      <c r="G146" s="1840">
        <f>VLOOKUP(E146,'LƯƠNG KT'!$D$110:$Z$184,4,0)</f>
        <v>0</v>
      </c>
      <c r="H146" s="1840">
        <f>VLOOKUP(E146,'LƯƠNG KT'!$D$110:$Z$184,11,0)</f>
        <v>7601800</v>
      </c>
      <c r="I146" s="1840">
        <f>VLOOKUP(E146,'LƯƠNG KT'!$D$110:$Z$184,23,0)</f>
        <v>2230839</v>
      </c>
      <c r="J146" s="2096">
        <f t="shared" si="10"/>
        <v>9832639</v>
      </c>
      <c r="K146" s="2096"/>
      <c r="L146" s="2096"/>
      <c r="M146" s="1840">
        <f t="shared" si="9"/>
        <v>9832639</v>
      </c>
      <c r="N146" s="1333"/>
      <c r="O146" s="636"/>
    </row>
    <row r="147" spans="1:15" s="242" customFormat="1" ht="18.75" customHeight="1">
      <c r="A147" s="1246">
        <v>123</v>
      </c>
      <c r="B147" s="2108">
        <v>41</v>
      </c>
      <c r="C147" s="1332" t="e">
        <f>VLOOKUP(E147,'[15]DS CN MOI UP'!$B$10:$C$347,2,0)</f>
        <v>#N/A</v>
      </c>
      <c r="D147" s="2109" t="s">
        <v>918</v>
      </c>
      <c r="E147" s="1333" t="str">
        <f>'LƯƠNG KT'!D151</f>
        <v>T. Nin</v>
      </c>
      <c r="F147" s="2110" t="str">
        <f>'LƯƠNG KT'!E151</f>
        <v>CNKT</v>
      </c>
      <c r="G147" s="1840">
        <f>VLOOKUP(E147,'LƯƠNG KT'!$D$110:$Z$184,4,0)</f>
        <v>0</v>
      </c>
      <c r="H147" s="1840">
        <f>VLOOKUP(E147,'LƯƠNG KT'!$D$110:$Z$184,11,0)</f>
        <v>5595455</v>
      </c>
      <c r="I147" s="1840">
        <f>VLOOKUP(E147,'LƯƠNG KT'!$D$110:$Z$184,23,0)</f>
        <v>2410839</v>
      </c>
      <c r="J147" s="2096">
        <f t="shared" si="10"/>
        <v>8006294</v>
      </c>
      <c r="K147" s="2096"/>
      <c r="L147" s="2096"/>
      <c r="M147" s="1840">
        <f t="shared" si="9"/>
        <v>8006294</v>
      </c>
      <c r="N147" s="1333"/>
      <c r="O147" s="636"/>
    </row>
    <row r="148" spans="1:15" s="242" customFormat="1" ht="18.75" customHeight="1">
      <c r="A148" s="1246">
        <v>124</v>
      </c>
      <c r="B148" s="2108">
        <v>42</v>
      </c>
      <c r="C148" s="1332" t="e">
        <f>VLOOKUP(E148,'[15]DS CN MOI UP'!$B$10:$C$347,2,0)</f>
        <v>#N/A</v>
      </c>
      <c r="D148" s="2109" t="s">
        <v>918</v>
      </c>
      <c r="E148" s="1333" t="str">
        <f>'LƯƠNG KT'!D152</f>
        <v>T. Vỹ</v>
      </c>
      <c r="F148" s="2110" t="str">
        <f>'LƯƠNG KT'!E152</f>
        <v>CNKT</v>
      </c>
      <c r="G148" s="1840">
        <f>VLOOKUP(E148,'LƯƠNG KT'!$D$110:$Z$184,4,0)</f>
        <v>0</v>
      </c>
      <c r="H148" s="1840">
        <f>VLOOKUP(E148,'LƯƠNG KT'!$D$110:$Z$184,11,0)</f>
        <v>4895973</v>
      </c>
      <c r="I148" s="1840">
        <f>VLOOKUP(E148,'LƯƠNG KT'!$D$110:$Z$184,23,0)</f>
        <v>1958460</v>
      </c>
      <c r="J148" s="2096">
        <f t="shared" si="10"/>
        <v>6854433</v>
      </c>
      <c r="K148" s="2096"/>
      <c r="L148" s="2096"/>
      <c r="M148" s="1840">
        <f t="shared" si="9"/>
        <v>6854433</v>
      </c>
      <c r="N148" s="1333"/>
      <c r="O148" s="636"/>
    </row>
    <row r="149" spans="1:15" s="242" customFormat="1" ht="18.75" customHeight="1">
      <c r="A149" s="1246">
        <v>125</v>
      </c>
      <c r="B149" s="2108">
        <v>43</v>
      </c>
      <c r="C149" s="1332" t="e">
        <f>VLOOKUP(E149,'[15]DS CN MOI UP'!$B$10:$C$347,2,0)</f>
        <v>#N/A</v>
      </c>
      <c r="D149" s="2109" t="s">
        <v>918</v>
      </c>
      <c r="E149" s="1333" t="str">
        <f>'LƯƠNG KT'!D153</f>
        <v>Nàng Nhầy</v>
      </c>
      <c r="F149" s="2110" t="str">
        <f>'LƯƠNG KT'!E153</f>
        <v>CNKT</v>
      </c>
      <c r="G149" s="1840">
        <f>VLOOKUP(E149,'LƯƠNG KT'!$D$110:$Z$184,4,0)</f>
        <v>0</v>
      </c>
      <c r="H149" s="1840">
        <f>VLOOKUP(E149,'LƯƠNG KT'!$D$110:$Z$184,11,0)</f>
        <v>2701569</v>
      </c>
      <c r="I149" s="1840">
        <f>VLOOKUP(E149,'LƯƠNG KT'!$D$110:$Z$184,23,0)</f>
        <v>1358591</v>
      </c>
      <c r="J149" s="2096">
        <f t="shared" si="10"/>
        <v>4060160</v>
      </c>
      <c r="K149" s="2096"/>
      <c r="L149" s="2096"/>
      <c r="M149" s="1840">
        <f t="shared" si="9"/>
        <v>4060160</v>
      </c>
      <c r="N149" s="1333"/>
      <c r="O149" s="636"/>
    </row>
    <row r="150" spans="1:15" s="242" customFormat="1" ht="18.75" customHeight="1">
      <c r="A150" s="1246">
        <v>126</v>
      </c>
      <c r="B150" s="2108">
        <v>44</v>
      </c>
      <c r="C150" s="1332" t="e">
        <f>VLOOKUP(E150,'[15]DS CN MOI UP'!$B$10:$C$347,2,0)</f>
        <v>#N/A</v>
      </c>
      <c r="D150" s="2109" t="s">
        <v>918</v>
      </c>
      <c r="E150" s="1333" t="str">
        <f>'LƯƠNG KT'!D154</f>
        <v xml:space="preserve">N. Khăm </v>
      </c>
      <c r="F150" s="2110" t="str">
        <f>'LƯƠNG KT'!E154</f>
        <v>CNKT</v>
      </c>
      <c r="G150" s="1840">
        <f>VLOOKUP(E150,'LƯƠNG KT'!$D$110:$Z$184,4,0)</f>
        <v>0</v>
      </c>
      <c r="H150" s="1840">
        <f>VLOOKUP(E150,'LƯƠNG KT'!$D$110:$Z$184,11,0)</f>
        <v>5686098</v>
      </c>
      <c r="I150" s="1840">
        <f>VLOOKUP(E150,'LƯƠNG KT'!$D$110:$Z$184,23,0)</f>
        <v>2098460</v>
      </c>
      <c r="J150" s="2096">
        <f t="shared" si="10"/>
        <v>7784558</v>
      </c>
      <c r="K150" s="2096"/>
      <c r="L150" s="2096"/>
      <c r="M150" s="1840">
        <f t="shared" si="9"/>
        <v>7784558</v>
      </c>
      <c r="N150" s="1333"/>
      <c r="O150" s="636"/>
    </row>
    <row r="151" spans="1:15" s="242" customFormat="1" ht="18.75" customHeight="1">
      <c r="A151" s="1246">
        <v>127</v>
      </c>
      <c r="B151" s="2108">
        <v>45</v>
      </c>
      <c r="C151" s="1332" t="e">
        <f>VLOOKUP(E151,'[15]DS CN MOI UP'!$B$10:$C$347,2,0)</f>
        <v>#N/A</v>
      </c>
      <c r="D151" s="2109" t="s">
        <v>918</v>
      </c>
      <c r="E151" s="1333" t="str">
        <f>'LƯƠNG KT'!D155</f>
        <v>Thảo Mon</v>
      </c>
      <c r="F151" s="2110" t="str">
        <f>'LƯƠNG KT'!E155</f>
        <v>CNKT</v>
      </c>
      <c r="G151" s="1840">
        <f>VLOOKUP(E151,'LƯƠNG KT'!$D$110:$Z$184,4,0)</f>
        <v>0</v>
      </c>
      <c r="H151" s="1840">
        <f>VLOOKUP(E151,'LƯƠNG KT'!$D$110:$Z$184,11,0)</f>
        <v>4579409</v>
      </c>
      <c r="I151" s="1840">
        <f>VLOOKUP(E151,'LƯƠNG KT'!$D$110:$Z$184,23,0)</f>
        <v>1776874</v>
      </c>
      <c r="J151" s="2096">
        <f t="shared" si="10"/>
        <v>6356283</v>
      </c>
      <c r="K151" s="2096"/>
      <c r="L151" s="2096"/>
      <c r="M151" s="1840">
        <f t="shared" si="9"/>
        <v>6356283</v>
      </c>
      <c r="N151" s="1333"/>
      <c r="O151" s="636"/>
    </row>
    <row r="152" spans="1:15" s="242" customFormat="1" ht="18.75" customHeight="1">
      <c r="A152" s="1246">
        <v>128</v>
      </c>
      <c r="B152" s="2108">
        <v>46</v>
      </c>
      <c r="C152" s="1332" t="e">
        <f>VLOOKUP(E152,'[15]DS CN MOI UP'!$B$10:$C$347,2,0)</f>
        <v>#N/A</v>
      </c>
      <c r="D152" s="2109" t="s">
        <v>918</v>
      </c>
      <c r="E152" s="1333" t="str">
        <f>'LƯƠNG KT'!D156</f>
        <v>Thảo Túy</v>
      </c>
      <c r="F152" s="2110" t="str">
        <f>'LƯƠNG KT'!E156</f>
        <v>CNKT</v>
      </c>
      <c r="G152" s="1840">
        <f>VLOOKUP(E152,'LƯƠNG KT'!$D$110:$Z$184,4,0)</f>
        <v>0</v>
      </c>
      <c r="H152" s="1840">
        <f>VLOOKUP(E152,'LƯƠNG KT'!$D$110:$Z$184,11,0)</f>
        <v>4793214</v>
      </c>
      <c r="I152" s="1840">
        <f>VLOOKUP(E152,'LƯƠNG KT'!$D$110:$Z$184,23,0)</f>
        <v>2309253</v>
      </c>
      <c r="J152" s="2096">
        <f t="shared" si="10"/>
        <v>7102467</v>
      </c>
      <c r="K152" s="2096"/>
      <c r="L152" s="2096"/>
      <c r="M152" s="1840">
        <f t="shared" si="9"/>
        <v>7102467</v>
      </c>
      <c r="N152" s="1333"/>
      <c r="O152" s="636"/>
    </row>
    <row r="153" spans="1:15" s="242" customFormat="1" ht="18.75" customHeight="1">
      <c r="A153" s="1246">
        <v>129</v>
      </c>
      <c r="B153" s="2108">
        <v>47</v>
      </c>
      <c r="C153" s="1332" t="e">
        <f>VLOOKUP(E153,'[15]DS CN MOI UP'!$B$10:$C$347,2,0)</f>
        <v>#N/A</v>
      </c>
      <c r="D153" s="2109" t="s">
        <v>918</v>
      </c>
      <c r="E153" s="1333" t="str">
        <f>'LƯƠNG KT'!D157</f>
        <v>T. Choi</v>
      </c>
      <c r="F153" s="2110" t="str">
        <f>'LƯƠNG KT'!E157</f>
        <v>CNKT</v>
      </c>
      <c r="G153" s="1840">
        <f>VLOOKUP(E153,'LƯƠNG KT'!$D$110:$Z$184,4,0)</f>
        <v>0</v>
      </c>
      <c r="H153" s="1840">
        <f>VLOOKUP(E153,'LƯƠNG KT'!$D$110:$Z$184,11,0)</f>
        <v>4429299</v>
      </c>
      <c r="I153" s="1840">
        <f>VLOOKUP(E153,'LƯƠNG KT'!$D$110:$Z$184,23,0)</f>
        <v>2136301</v>
      </c>
      <c r="J153" s="2096">
        <f t="shared" si="10"/>
        <v>6565600</v>
      </c>
      <c r="K153" s="2096"/>
      <c r="L153" s="2096"/>
      <c r="M153" s="1840">
        <f t="shared" si="9"/>
        <v>6565600</v>
      </c>
      <c r="N153" s="1333"/>
      <c r="O153" s="636"/>
    </row>
    <row r="154" spans="1:15" s="242" customFormat="1" ht="18.75" customHeight="1">
      <c r="A154" s="1246">
        <v>130</v>
      </c>
      <c r="B154" s="2108">
        <v>48</v>
      </c>
      <c r="C154" s="1332" t="e">
        <f>VLOOKUP(E154,'[15]DS CN MOI UP'!$B$10:$C$347,2,0)</f>
        <v>#N/A</v>
      </c>
      <c r="D154" s="2109" t="s">
        <v>918</v>
      </c>
      <c r="E154" s="1333" t="str">
        <f>'LƯƠNG KT'!D158</f>
        <v>N. Phút</v>
      </c>
      <c r="F154" s="2110" t="str">
        <f>'LƯƠNG KT'!E158</f>
        <v>CNKT</v>
      </c>
      <c r="G154" s="1840">
        <f>VLOOKUP(E154,'LƯƠNG KT'!$D$110:$Z$184,4,0)</f>
        <v>0</v>
      </c>
      <c r="H154" s="1840">
        <f>VLOOKUP(E154,'LƯƠNG KT'!$D$110:$Z$184,11,0)</f>
        <v>4450217</v>
      </c>
      <c r="I154" s="1840">
        <f>VLOOKUP(E154,'LƯƠNG KT'!$D$110:$Z$184,23,0)</f>
        <v>2136301</v>
      </c>
      <c r="J154" s="2096">
        <f t="shared" si="10"/>
        <v>6586518</v>
      </c>
      <c r="K154" s="2096"/>
      <c r="L154" s="2096"/>
      <c r="M154" s="1840">
        <f t="shared" si="9"/>
        <v>6586518</v>
      </c>
      <c r="N154" s="1333"/>
      <c r="O154" s="636"/>
    </row>
    <row r="155" spans="1:15" s="242" customFormat="1" ht="18.75" customHeight="1">
      <c r="A155" s="1246">
        <v>131</v>
      </c>
      <c r="B155" s="2108">
        <v>49</v>
      </c>
      <c r="C155" s="1332" t="e">
        <f>VLOOKUP(E155,'[15]DS CN MOI UP'!$B$10:$C$347,2,0)</f>
        <v>#N/A</v>
      </c>
      <c r="D155" s="2109" t="s">
        <v>918</v>
      </c>
      <c r="E155" s="1333" t="str">
        <f>'LƯƠNG KT'!D159</f>
        <v>Nàng A Nẹp</v>
      </c>
      <c r="F155" s="2110" t="str">
        <f>'LƯƠNG KT'!E159</f>
        <v>CNKT</v>
      </c>
      <c r="G155" s="1840">
        <f>VLOOKUP(E155,'LƯƠNG KT'!$D$110:$Z$184,4,0)</f>
        <v>0</v>
      </c>
      <c r="H155" s="1840">
        <f>VLOOKUP(E155,'LƯƠNG KT'!$D$110:$Z$184,11,0)</f>
        <v>5073315</v>
      </c>
      <c r="I155" s="1840">
        <f>VLOOKUP(E155,'LƯƠNG KT'!$D$110:$Z$184,23,0)</f>
        <v>1958460</v>
      </c>
      <c r="J155" s="2096">
        <f t="shared" si="10"/>
        <v>7031775</v>
      </c>
      <c r="K155" s="2096"/>
      <c r="L155" s="2096"/>
      <c r="M155" s="1840">
        <f t="shared" si="9"/>
        <v>7031775</v>
      </c>
      <c r="N155" s="1333"/>
      <c r="O155" s="636"/>
    </row>
    <row r="156" spans="1:15" s="242" customFormat="1" ht="18.75" customHeight="1">
      <c r="A156" s="1246">
        <v>132</v>
      </c>
      <c r="B156" s="2108">
        <v>50</v>
      </c>
      <c r="C156" s="1332" t="e">
        <f>VLOOKUP(E156,'[15]DS CN MOI UP'!$B$10:$C$347,2,0)</f>
        <v>#N/A</v>
      </c>
      <c r="D156" s="2109" t="s">
        <v>918</v>
      </c>
      <c r="E156" s="1333" t="str">
        <f>'LƯƠNG KT'!D160</f>
        <v>Thảo Nọi</v>
      </c>
      <c r="F156" s="2110" t="str">
        <f>'LƯƠNG KT'!E160</f>
        <v>CNKT</v>
      </c>
      <c r="G156" s="1840">
        <f>VLOOKUP(E156,'LƯƠNG KT'!$D$110:$Z$184,4,0)</f>
        <v>0</v>
      </c>
      <c r="H156" s="1840">
        <f>VLOOKUP(E156,'LƯƠNG KT'!$D$110:$Z$184,11,0)</f>
        <v>4428585</v>
      </c>
      <c r="I156" s="1840">
        <f>VLOOKUP(E156,'LƯƠNG KT'!$D$110:$Z$184,23,0)</f>
        <v>2158460</v>
      </c>
      <c r="J156" s="2096">
        <f t="shared" si="10"/>
        <v>6587045</v>
      </c>
      <c r="K156" s="2096"/>
      <c r="L156" s="2096"/>
      <c r="M156" s="1840">
        <f t="shared" si="9"/>
        <v>6587045</v>
      </c>
      <c r="N156" s="1333"/>
      <c r="O156" s="636"/>
    </row>
    <row r="157" spans="1:15" s="242" customFormat="1" ht="18.75" hidden="1" customHeight="1">
      <c r="A157" s="1246">
        <v>138</v>
      </c>
      <c r="B157" s="2108">
        <v>52</v>
      </c>
      <c r="C157" s="1332" t="e">
        <f>VLOOKUP(E157,'[15]DS CN MOI UP'!$B$10:$C$347,2,0)</f>
        <v>#N/A</v>
      </c>
      <c r="D157" s="2109" t="s">
        <v>918</v>
      </c>
      <c r="E157" s="1333" t="str">
        <f>'LƯƠNG KT'!D161</f>
        <v>Thảo Bun</v>
      </c>
      <c r="F157" s="2110" t="str">
        <f>'LƯƠNG KT'!E161</f>
        <v>CNKT</v>
      </c>
      <c r="G157" s="1840">
        <f>VLOOKUP(E157,'LƯƠNG KT'!$D$110:$Z$184,4,0)</f>
        <v>0</v>
      </c>
      <c r="H157" s="1840">
        <f>VLOOKUP(E157,'LƯƠNG KT'!$D$110:$Z$184,11,0)</f>
        <v>1420653</v>
      </c>
      <c r="I157" s="1840">
        <f>VLOOKUP(E157,'LƯƠNG KT'!$D$110:$Z$184,23,0)</f>
        <v>404758</v>
      </c>
      <c r="J157" s="2096">
        <f t="shared" si="10"/>
        <v>1825411</v>
      </c>
      <c r="K157" s="2096"/>
      <c r="L157" s="2096"/>
      <c r="M157" s="1840">
        <f t="shared" si="9"/>
        <v>1825411</v>
      </c>
      <c r="N157" s="1333"/>
      <c r="O157" s="636"/>
    </row>
    <row r="158" spans="1:15" s="242" customFormat="1" ht="18.75" hidden="1" customHeight="1">
      <c r="A158" s="1246">
        <v>139</v>
      </c>
      <c r="B158" s="2108">
        <v>53</v>
      </c>
      <c r="C158" s="1332" t="e">
        <f>VLOOKUP(E158,'[15]DS CN MOI UP'!$B$10:$C$347,2,0)</f>
        <v>#N/A</v>
      </c>
      <c r="D158" s="2109" t="s">
        <v>918</v>
      </c>
      <c r="E158" s="1333" t="str">
        <f>'LƯƠNG KT'!D162</f>
        <v>Nàng Pằng</v>
      </c>
      <c r="F158" s="2110" t="str">
        <f>'LƯƠNG KT'!E162</f>
        <v>CNKT</v>
      </c>
      <c r="G158" s="1840">
        <f>VLOOKUP(E158,'LƯƠNG KT'!$D$110:$Z$184,4,0)</f>
        <v>0</v>
      </c>
      <c r="H158" s="1840">
        <f>VLOOKUP(E158,'LƯƠNG KT'!$D$110:$Z$184,11,0)</f>
        <v>4586038</v>
      </c>
      <c r="I158" s="1840">
        <f>VLOOKUP(E158,'LƯƠNG KT'!$D$110:$Z$184,23,0)</f>
        <v>2309253</v>
      </c>
      <c r="J158" s="2096">
        <f t="shared" si="10"/>
        <v>6895291</v>
      </c>
      <c r="K158" s="2096"/>
      <c r="L158" s="2096"/>
      <c r="M158" s="1840">
        <f t="shared" si="9"/>
        <v>6895291</v>
      </c>
      <c r="N158" s="1333"/>
      <c r="O158" s="636"/>
    </row>
    <row r="159" spans="1:15" s="242" customFormat="1" ht="18.75" customHeight="1">
      <c r="A159" s="1246">
        <v>133</v>
      </c>
      <c r="B159" s="2108">
        <v>51</v>
      </c>
      <c r="C159" s="1332" t="e">
        <f>VLOOKUP(E159,'[15]DS CN MOI UP'!$B$10:$C$347,2,0)</f>
        <v>#N/A</v>
      </c>
      <c r="D159" s="2109" t="s">
        <v>918</v>
      </c>
      <c r="E159" s="1333" t="str">
        <f>'LƯƠNG KT'!D163</f>
        <v>Thảo Ỉa</v>
      </c>
      <c r="F159" s="2110" t="str">
        <f>'LƯƠNG KT'!E163</f>
        <v>CNKT</v>
      </c>
      <c r="G159" s="1840">
        <f>VLOOKUP(E159,'LƯƠNG KT'!$D$110:$Z$184,4,0)</f>
        <v>0</v>
      </c>
      <c r="H159" s="1840">
        <f>VLOOKUP(E159,'LƯƠNG KT'!$D$110:$Z$184,11,0)</f>
        <v>540657</v>
      </c>
      <c r="I159" s="1840">
        <f>VLOOKUP(E159,'LƯƠNG KT'!$D$110:$Z$184,23,0)</f>
        <v>293965</v>
      </c>
      <c r="J159" s="2096">
        <f t="shared" si="10"/>
        <v>834622</v>
      </c>
      <c r="K159" s="2096"/>
      <c r="L159" s="2096"/>
      <c r="M159" s="1840">
        <f t="shared" si="9"/>
        <v>834622</v>
      </c>
      <c r="N159" s="1333"/>
      <c r="O159" s="636"/>
    </row>
    <row r="160" spans="1:15" s="242" customFormat="1" ht="18.75" customHeight="1">
      <c r="A160" s="1246">
        <v>134</v>
      </c>
      <c r="B160" s="2108">
        <v>52</v>
      </c>
      <c r="C160" s="1332" t="e">
        <f>VLOOKUP(E160,'[15]DS CN MOI UP'!$B$10:$C$347,2,0)</f>
        <v>#N/A</v>
      </c>
      <c r="D160" s="2109" t="s">
        <v>918</v>
      </c>
      <c r="E160" s="1333" t="str">
        <f>'LƯƠNG KT'!D164</f>
        <v>Thảo Khăm</v>
      </c>
      <c r="F160" s="2110" t="str">
        <f>'LƯƠNG KT'!E164</f>
        <v>CNKT</v>
      </c>
      <c r="G160" s="1840">
        <f>VLOOKUP(E160,'LƯƠNG KT'!$D$110:$Z$184,4,0)</f>
        <v>0</v>
      </c>
      <c r="H160" s="1840">
        <f>VLOOKUP(E160,'LƯƠNG KT'!$D$110:$Z$184,11,0)</f>
        <v>113161</v>
      </c>
      <c r="I160" s="1840">
        <f>VLOOKUP(E160,'LƯƠNG KT'!$D$110:$Z$184,23,0)</f>
        <v>81586</v>
      </c>
      <c r="J160" s="2096">
        <f t="shared" si="10"/>
        <v>194747</v>
      </c>
      <c r="K160" s="2096"/>
      <c r="L160" s="2096"/>
      <c r="M160" s="1840">
        <f t="shared" si="9"/>
        <v>194747</v>
      </c>
      <c r="N160" s="1333"/>
      <c r="O160" s="636"/>
    </row>
    <row r="161" spans="1:15" s="242" customFormat="1" ht="18.75" customHeight="1">
      <c r="A161" s="1246">
        <v>135</v>
      </c>
      <c r="B161" s="2108">
        <v>53</v>
      </c>
      <c r="C161" s="1332" t="e">
        <f>VLOOKUP(E161,'[15]DS CN MOI UP'!$B$10:$C$347,2,0)</f>
        <v>#N/A</v>
      </c>
      <c r="D161" s="2109" t="s">
        <v>918</v>
      </c>
      <c r="E161" s="1333" t="str">
        <f>'LƯƠNG KT'!D165</f>
        <v>Thảo Phút râu</v>
      </c>
      <c r="F161" s="2110" t="str">
        <f>'LƯƠNG KT'!E165</f>
        <v>CNKT</v>
      </c>
      <c r="G161" s="1840">
        <f>VLOOKUP(E161,'LƯƠNG KT'!$D$110:$Z$184,4,0)</f>
        <v>0</v>
      </c>
      <c r="H161" s="1840">
        <f>VLOOKUP(E161,'LƯƠNG KT'!$D$110:$Z$184,11,0)</f>
        <v>127306</v>
      </c>
      <c r="I161" s="1840">
        <f>VLOOKUP(E161,'LƯƠNG KT'!$D$110:$Z$184,23,0)</f>
        <v>0</v>
      </c>
      <c r="J161" s="2096">
        <f t="shared" si="10"/>
        <v>127306</v>
      </c>
      <c r="K161" s="2096"/>
      <c r="L161" s="2096"/>
      <c r="M161" s="1840">
        <f t="shared" si="9"/>
        <v>127306</v>
      </c>
      <c r="N161" s="1333"/>
      <c r="O161" s="636"/>
    </row>
    <row r="162" spans="1:15" s="242" customFormat="1" ht="18.75" customHeight="1">
      <c r="A162" s="1246">
        <v>136</v>
      </c>
      <c r="B162" s="2108">
        <v>54</v>
      </c>
      <c r="C162" s="1332" t="e">
        <f>VLOOKUP(E162,'[15]DS CN MOI UP'!$B$10:$C$347,2,0)</f>
        <v>#N/A</v>
      </c>
      <c r="D162" s="2109" t="s">
        <v>3338</v>
      </c>
      <c r="E162" s="1333" t="str">
        <f>'LƯƠNG KT'!D166</f>
        <v>Thảo Hung</v>
      </c>
      <c r="F162" s="2110" t="str">
        <f>'LƯƠNG KT'!E166</f>
        <v>CNKT</v>
      </c>
      <c r="G162" s="1840">
        <f>VLOOKUP(E162,'LƯƠNG KT'!$D$110:$Z$184,4,0)</f>
        <v>0</v>
      </c>
      <c r="H162" s="1840">
        <f>VLOOKUP(E162,'LƯƠNG KT'!$D$110:$Z$184,11,0)</f>
        <v>0</v>
      </c>
      <c r="I162" s="1840">
        <f>VLOOKUP(E162,'LƯƠNG KT'!$D$110:$Z$184,23,0)</f>
        <v>0</v>
      </c>
      <c r="J162" s="2096">
        <f t="shared" si="10"/>
        <v>0</v>
      </c>
      <c r="K162" s="2096"/>
      <c r="L162" s="2096"/>
      <c r="M162" s="1840">
        <f t="shared" si="9"/>
        <v>0</v>
      </c>
      <c r="N162" s="1333"/>
      <c r="O162" s="636"/>
    </row>
    <row r="163" spans="1:15" s="242" customFormat="1" ht="21" customHeight="1">
      <c r="A163" s="1246">
        <v>137</v>
      </c>
      <c r="B163" s="2108">
        <v>55</v>
      </c>
      <c r="C163" s="1332" t="e">
        <f>VLOOKUP(E163,'[15]DS CN MOI UP'!$B$10:$C$347,2,0)</f>
        <v>#N/A</v>
      </c>
      <c r="D163" s="2109" t="s">
        <v>3339</v>
      </c>
      <c r="E163" s="1333" t="str">
        <f>'LƯƠNG KT'!D167</f>
        <v>Thảo Khẹt</v>
      </c>
      <c r="F163" s="2110" t="str">
        <f>'LƯƠNG KT'!E167</f>
        <v>CNKT</v>
      </c>
      <c r="G163" s="1840">
        <f>VLOOKUP(E163,'LƯƠNG KT'!$D$110:$Z$184,4,0)</f>
        <v>0</v>
      </c>
      <c r="H163" s="1840">
        <f>VLOOKUP(E163,'LƯƠNG KT'!$D$110:$Z$184,11,0)</f>
        <v>3253371</v>
      </c>
      <c r="I163" s="1840">
        <f>VLOOKUP(E163,'LƯƠNG KT'!$D$110:$Z$184,23,0)</f>
        <v>1783922</v>
      </c>
      <c r="J163" s="2096">
        <f t="shared" si="10"/>
        <v>5037293</v>
      </c>
      <c r="K163" s="2096"/>
      <c r="L163" s="2096"/>
      <c r="M163" s="1840">
        <f t="shared" si="9"/>
        <v>5037293</v>
      </c>
      <c r="N163" s="1333"/>
      <c r="O163" s="636"/>
    </row>
    <row r="164" spans="1:15" s="242" customFormat="1" ht="21" customHeight="1">
      <c r="A164" s="1246">
        <v>138</v>
      </c>
      <c r="B164" s="2108">
        <v>56</v>
      </c>
      <c r="C164" s="1332" t="e">
        <f>VLOOKUP(E164,'[15]DS CN MOI UP'!$B$10:$C$347,2,0)</f>
        <v>#N/A</v>
      </c>
      <c r="D164" s="2109" t="s">
        <v>3340</v>
      </c>
      <c r="E164" s="1333" t="str">
        <f>'LƯƠNG KT'!D168</f>
        <v>Thảo Khun</v>
      </c>
      <c r="F164" s="2110" t="str">
        <f>'LƯƠNG KT'!E168</f>
        <v>CNKT</v>
      </c>
      <c r="G164" s="1840">
        <f>VLOOKUP(E164,'LƯƠNG KT'!$D$110:$Z$184,4,0)</f>
        <v>0</v>
      </c>
      <c r="H164" s="1840">
        <f>VLOOKUP(E164,'LƯƠNG KT'!$D$110:$Z$184,11,0)</f>
        <v>0</v>
      </c>
      <c r="I164" s="1840">
        <f>VLOOKUP(E164,'LƯƠNG KT'!$D$110:$Z$184,23,0)</f>
        <v>0</v>
      </c>
      <c r="J164" s="2096">
        <f t="shared" si="10"/>
        <v>0</v>
      </c>
      <c r="K164" s="2096"/>
      <c r="L164" s="2096"/>
      <c r="M164" s="1840">
        <f t="shared" si="9"/>
        <v>0</v>
      </c>
      <c r="N164" s="1333"/>
      <c r="O164" s="636"/>
    </row>
    <row r="165" spans="1:15" s="242" customFormat="1" ht="21" customHeight="1">
      <c r="A165" s="1246">
        <v>139</v>
      </c>
      <c r="B165" s="2108">
        <v>57</v>
      </c>
      <c r="C165" s="1332" t="e">
        <f>VLOOKUP(E165,'[15]DS CN MOI UP'!$B$10:$C$347,2,0)</f>
        <v>#N/A</v>
      </c>
      <c r="D165" s="2109" t="s">
        <v>3341</v>
      </c>
      <c r="E165" s="1333" t="str">
        <f>'LƯƠNG KT'!D169</f>
        <v>Thảo Linh</v>
      </c>
      <c r="F165" s="2110" t="str">
        <f>'LƯƠNG KT'!E169</f>
        <v>CNKT</v>
      </c>
      <c r="G165" s="1840">
        <f>VLOOKUP(E165,'LƯƠNG KT'!$D$110:$Z$184,4,0)</f>
        <v>0</v>
      </c>
      <c r="H165" s="1840">
        <f>VLOOKUP(E165,'LƯƠNG KT'!$D$110:$Z$184,11,0)</f>
        <v>4323683</v>
      </c>
      <c r="I165" s="1840">
        <f>VLOOKUP(E165,'LƯƠNG KT'!$D$110:$Z$184,23,0)</f>
        <v>2289253</v>
      </c>
      <c r="J165" s="2096">
        <f t="shared" si="10"/>
        <v>6612936</v>
      </c>
      <c r="K165" s="2096"/>
      <c r="L165" s="2096"/>
      <c r="M165" s="1840">
        <f t="shared" si="9"/>
        <v>6612936</v>
      </c>
      <c r="N165" s="1333"/>
      <c r="O165" s="636"/>
    </row>
    <row r="166" spans="1:15" s="242" customFormat="1" ht="21" customHeight="1">
      <c r="A166" s="1246">
        <v>140</v>
      </c>
      <c r="B166" s="2108">
        <v>58</v>
      </c>
      <c r="C166" s="1332" t="e">
        <f>VLOOKUP(E166,'[15]DS CN MOI UP'!$B$10:$C$347,2,0)</f>
        <v>#N/A</v>
      </c>
      <c r="D166" s="2109" t="s">
        <v>3341</v>
      </c>
      <c r="E166" s="1333" t="str">
        <f>'LƯƠNG KT'!D170</f>
        <v>Thảo Han</v>
      </c>
      <c r="F166" s="2110" t="str">
        <f>'LƯƠNG KT'!E170</f>
        <v>CNKT</v>
      </c>
      <c r="G166" s="1840">
        <f>VLOOKUP(E166,'LƯƠNG KT'!$D$110:$Z$184,4,0)</f>
        <v>0</v>
      </c>
      <c r="H166" s="1840">
        <f>VLOOKUP(E166,'LƯƠNG KT'!$D$110:$Z$184,11,0)</f>
        <v>4235669</v>
      </c>
      <c r="I166" s="1840">
        <f>VLOOKUP(E166,'LƯƠNG KT'!$D$110:$Z$184,23,0)</f>
        <v>1884495</v>
      </c>
      <c r="J166" s="2096">
        <f t="shared" si="10"/>
        <v>6120164</v>
      </c>
      <c r="K166" s="2096"/>
      <c r="L166" s="2096"/>
      <c r="M166" s="1840">
        <f t="shared" si="9"/>
        <v>6120164</v>
      </c>
      <c r="N166" s="1333"/>
      <c r="O166" s="636"/>
    </row>
    <row r="167" spans="1:15" s="242" customFormat="1" ht="21" customHeight="1">
      <c r="A167" s="1246">
        <v>141</v>
      </c>
      <c r="B167" s="2108">
        <v>59</v>
      </c>
      <c r="C167" s="1332" t="str">
        <f>VLOOKUP(E167,'[15]DS CN MOI UP'!$B$10:$C$347,2,0)</f>
        <v>03388</v>
      </c>
      <c r="D167" s="2109" t="s">
        <v>3341</v>
      </c>
      <c r="E167" s="1333" t="str">
        <f>'LƯƠNG KT'!D171</f>
        <v>Thảo Ê</v>
      </c>
      <c r="F167" s="2110" t="str">
        <f>'LƯƠNG KT'!E171</f>
        <v>CNKT</v>
      </c>
      <c r="G167" s="1840">
        <f>VLOOKUP(E167,'LƯƠNG KT'!$D$110:$Z$184,4,0)</f>
        <v>0</v>
      </c>
      <c r="H167" s="1840">
        <f>VLOOKUP(E167,'LƯƠNG KT'!$D$110:$Z$184,11,0)</f>
        <v>3358673</v>
      </c>
      <c r="I167" s="1840">
        <f>VLOOKUP(E167,'LƯƠNG KT'!$D$110:$Z$184,23,0)</f>
        <v>1499738</v>
      </c>
      <c r="J167" s="2096">
        <f t="shared" si="10"/>
        <v>4858411</v>
      </c>
      <c r="K167" s="2096"/>
      <c r="L167" s="2096"/>
      <c r="M167" s="1840">
        <f t="shared" si="9"/>
        <v>4858411</v>
      </c>
      <c r="N167" s="1333"/>
      <c r="O167" s="636"/>
    </row>
    <row r="168" spans="1:15" s="242" customFormat="1" ht="21" customHeight="1">
      <c r="A168" s="1246">
        <v>142</v>
      </c>
      <c r="B168" s="2108">
        <v>60</v>
      </c>
      <c r="C168" s="1332" t="e">
        <f>VLOOKUP(E168,'[15]DS CN MOI UP'!$B$10:$C$347,2,0)</f>
        <v>#N/A</v>
      </c>
      <c r="D168" s="2109" t="s">
        <v>3341</v>
      </c>
      <c r="E168" s="1333" t="str">
        <f>'LƯƠNG KT'!D172</f>
        <v>Thảo Tô</v>
      </c>
      <c r="F168" s="2110" t="str">
        <f>'LƯƠNG KT'!E172</f>
        <v>CNKT</v>
      </c>
      <c r="G168" s="1840">
        <f>VLOOKUP(E168,'LƯƠNG KT'!$D$110:$Z$184,4,0)</f>
        <v>0</v>
      </c>
      <c r="H168" s="1840">
        <f>VLOOKUP(E168,'LƯƠNG KT'!$D$110:$Z$184,11,0)</f>
        <v>1540243</v>
      </c>
      <c r="I168" s="1840">
        <f>VLOOKUP(E168,'LƯƠNG KT'!$D$110:$Z$184,23,0)</f>
        <v>620442</v>
      </c>
      <c r="J168" s="2096">
        <f t="shared" si="10"/>
        <v>2160685</v>
      </c>
      <c r="K168" s="2096"/>
      <c r="L168" s="2096"/>
      <c r="M168" s="1840">
        <f t="shared" si="9"/>
        <v>2160685</v>
      </c>
      <c r="N168" s="1333"/>
      <c r="O168" s="636"/>
    </row>
    <row r="169" spans="1:15" s="242" customFormat="1" ht="21" customHeight="1">
      <c r="A169" s="1246">
        <v>143</v>
      </c>
      <c r="B169" s="2108">
        <v>61</v>
      </c>
      <c r="C169" s="1332"/>
      <c r="D169" s="2109"/>
      <c r="E169" s="1333" t="str">
        <f>'LƯƠNG KT'!D173</f>
        <v>Nàng Son</v>
      </c>
      <c r="F169" s="2110" t="str">
        <f>'LƯƠNG KT'!E173</f>
        <v>CNKT</v>
      </c>
      <c r="G169" s="1840">
        <f>VLOOKUP(E169,'LƯƠNG KT'!$D$110:$Z$184,4,0)</f>
        <v>0</v>
      </c>
      <c r="H169" s="1840">
        <f>VLOOKUP(E169,'LƯƠNG KT'!$D$110:$Z$184,11,0)</f>
        <v>1313922</v>
      </c>
      <c r="I169" s="1840">
        <f>VLOOKUP(E169,'LƯƠNG KT'!$D$110:$Z$184,23,0)</f>
        <v>498283</v>
      </c>
      <c r="J169" s="2096">
        <f t="shared" si="10"/>
        <v>1812205</v>
      </c>
      <c r="K169" s="2096"/>
      <c r="L169" s="2096"/>
      <c r="M169" s="1840">
        <f t="shared" si="9"/>
        <v>1812205</v>
      </c>
      <c r="N169" s="1333"/>
      <c r="O169" s="636"/>
    </row>
    <row r="170" spans="1:15" s="242" customFormat="1" ht="21" customHeight="1">
      <c r="A170" s="1246">
        <v>144</v>
      </c>
      <c r="B170" s="2108">
        <v>62</v>
      </c>
      <c r="C170" s="1332"/>
      <c r="D170" s="2109"/>
      <c r="E170" s="1333" t="str">
        <f>'LƯƠNG KT'!D174</f>
        <v>Thảo Keo</v>
      </c>
      <c r="F170" s="2110" t="str">
        <f>'LƯƠNG KT'!E174</f>
        <v>CNKT</v>
      </c>
      <c r="G170" s="1840">
        <f>VLOOKUP(E170,'LƯƠNG KT'!$D$110:$Z$184,4,0)</f>
        <v>0</v>
      </c>
      <c r="H170" s="1840">
        <f>VLOOKUP(E170,'LƯƠNG KT'!$D$110:$Z$184,11,0)</f>
        <v>312764</v>
      </c>
      <c r="I170" s="1840">
        <f>VLOOKUP(E170,'LƯƠNG KT'!$D$110:$Z$184,23,0)</f>
        <v>304758</v>
      </c>
      <c r="J170" s="2096">
        <f t="shared" si="10"/>
        <v>617522</v>
      </c>
      <c r="K170" s="2096"/>
      <c r="L170" s="2096"/>
      <c r="M170" s="1840">
        <f t="shared" ref="M170:M176" si="11">J170-L170</f>
        <v>617522</v>
      </c>
      <c r="N170" s="1333"/>
      <c r="O170" s="636"/>
    </row>
    <row r="171" spans="1:15" s="242" customFormat="1" ht="21" customHeight="1">
      <c r="A171" s="1246">
        <v>145</v>
      </c>
      <c r="B171" s="2108">
        <v>63</v>
      </c>
      <c r="C171" s="1332"/>
      <c r="D171" s="2109"/>
      <c r="E171" s="1333" t="str">
        <f>'LƯƠNG KT'!D175</f>
        <v>Thảo Tun</v>
      </c>
      <c r="F171" s="2110" t="str">
        <f>'LƯƠNG KT'!E175</f>
        <v>CNKT</v>
      </c>
      <c r="G171" s="1840">
        <f>VLOOKUP(E171,'LƯƠNG KT'!$D$110:$Z$184,4,0)</f>
        <v>0</v>
      </c>
      <c r="H171" s="1840">
        <f>VLOOKUP(E171,'LƯƠNG KT'!$D$110:$Z$184,11,0)</f>
        <v>176028</v>
      </c>
      <c r="I171" s="1840">
        <f>VLOOKUP(E171,'LƯƠNG KT'!$D$110:$Z$184,23,0)</f>
        <v>203172</v>
      </c>
      <c r="J171" s="2096">
        <f t="shared" ref="J171:J176" si="12">SUM(G171:I171)</f>
        <v>379200</v>
      </c>
      <c r="K171" s="2096"/>
      <c r="L171" s="2096"/>
      <c r="M171" s="1840">
        <f t="shared" si="11"/>
        <v>379200</v>
      </c>
      <c r="N171" s="1333"/>
      <c r="O171" s="636"/>
    </row>
    <row r="172" spans="1:15" s="242" customFormat="1" ht="21" customHeight="1">
      <c r="A172" s="1246">
        <v>146</v>
      </c>
      <c r="B172" s="2108">
        <v>64</v>
      </c>
      <c r="C172" s="1332"/>
      <c r="D172" s="2109"/>
      <c r="E172" s="1333" t="str">
        <f>'LƯƠNG KT'!D176</f>
        <v>Thảo Xiêm</v>
      </c>
      <c r="F172" s="2110" t="str">
        <f>'LƯƠNG KT'!E176</f>
        <v>CNKT</v>
      </c>
      <c r="G172" s="1840">
        <f>VLOOKUP(E172,'LƯƠNG KT'!$D$110:$Z$184,4,0)</f>
        <v>0</v>
      </c>
      <c r="H172" s="1840">
        <f>VLOOKUP(E172,'LƯƠNG KT'!$D$110:$Z$184,11,0)</f>
        <v>0</v>
      </c>
      <c r="I172" s="1840">
        <f>VLOOKUP(E172,'LƯƠNG KT'!$D$110:$Z$184,23,0)</f>
        <v>30793</v>
      </c>
      <c r="J172" s="2096">
        <f t="shared" si="12"/>
        <v>30793</v>
      </c>
      <c r="K172" s="2096"/>
      <c r="L172" s="2096"/>
      <c r="M172" s="1840">
        <f t="shared" si="11"/>
        <v>30793</v>
      </c>
      <c r="N172" s="1333"/>
      <c r="O172" s="636"/>
    </row>
    <row r="173" spans="1:15" s="242" customFormat="1" ht="21" customHeight="1">
      <c r="A173" s="1246">
        <v>147</v>
      </c>
      <c r="B173" s="2108">
        <v>65</v>
      </c>
      <c r="C173" s="1332"/>
      <c r="D173" s="2109"/>
      <c r="E173" s="1333" t="str">
        <f>'LƯƠNG KT'!D177</f>
        <v>Thảo Cốp</v>
      </c>
      <c r="F173" s="2110" t="str">
        <f>'LƯƠNG KT'!E177</f>
        <v>CNKT</v>
      </c>
      <c r="G173" s="1840">
        <f>VLOOKUP(E173,'LƯƠNG KT'!$D$110:$Z$184,4,0)</f>
        <v>0</v>
      </c>
      <c r="H173" s="1840">
        <f>VLOOKUP(E173,'LƯƠNG KT'!$D$110:$Z$184,11,0)</f>
        <v>0</v>
      </c>
      <c r="I173" s="1840">
        <f>VLOOKUP(E173,'LƯƠNG KT'!$D$110:$Z$184,23,0)</f>
        <v>0</v>
      </c>
      <c r="J173" s="2096">
        <f t="shared" si="12"/>
        <v>0</v>
      </c>
      <c r="K173" s="2096"/>
      <c r="L173" s="2096"/>
      <c r="M173" s="1840">
        <f t="shared" si="11"/>
        <v>0</v>
      </c>
      <c r="N173" s="1333"/>
      <c r="O173" s="636"/>
    </row>
    <row r="174" spans="1:15" s="242" customFormat="1" ht="18.75" customHeight="1">
      <c r="A174" s="1246">
        <v>148</v>
      </c>
      <c r="B174" s="2108">
        <v>66</v>
      </c>
      <c r="C174" s="1332"/>
      <c r="D174" s="2109"/>
      <c r="E174" s="1333" t="str">
        <f>'LƯƠNG KT'!D178</f>
        <v>Nàng Căm</v>
      </c>
      <c r="F174" s="2110" t="str">
        <f>'LƯƠNG KT'!E178</f>
        <v>CNKT</v>
      </c>
      <c r="G174" s="1840">
        <f>VLOOKUP(E174,'LƯƠNG KT'!$D$110:$Z$184,4,0)</f>
        <v>0</v>
      </c>
      <c r="H174" s="1840">
        <f>VLOOKUP(E174,'LƯƠNG KT'!$D$110:$Z$184,11,0)</f>
        <v>0</v>
      </c>
      <c r="I174" s="1840">
        <f>VLOOKUP(E174,'LƯƠNG KT'!$D$110:$Z$184,23,0)</f>
        <v>0</v>
      </c>
      <c r="J174" s="2096">
        <f t="shared" si="12"/>
        <v>0</v>
      </c>
      <c r="K174" s="2096"/>
      <c r="L174" s="2096"/>
      <c r="M174" s="1840">
        <f t="shared" si="11"/>
        <v>0</v>
      </c>
      <c r="N174" s="1333"/>
      <c r="O174" s="636"/>
    </row>
    <row r="175" spans="1:15" s="242" customFormat="1" ht="18.75" customHeight="1">
      <c r="A175" s="1246">
        <v>149</v>
      </c>
      <c r="B175" s="2108">
        <v>67</v>
      </c>
      <c r="C175" s="1332"/>
      <c r="D175" s="2109"/>
      <c r="E175" s="1333" t="str">
        <f>'LƯƠNG KT'!D179</f>
        <v>Thảo Khọp</v>
      </c>
      <c r="F175" s="2110" t="str">
        <f>'LƯƠNG KT'!E179</f>
        <v>CNKT</v>
      </c>
      <c r="G175" s="1840">
        <f>VLOOKUP(E175,'LƯƠNG KT'!$D$110:$Z$184,4,0)</f>
        <v>0</v>
      </c>
      <c r="H175" s="1840">
        <f>VLOOKUP(E175,'LƯƠNG KT'!$D$110:$Z$184,11,0)</f>
        <v>0</v>
      </c>
      <c r="I175" s="1840">
        <f>VLOOKUP(E175,'LƯƠNG KT'!$D$110:$Z$184,23,0)</f>
        <v>0</v>
      </c>
      <c r="J175" s="2096">
        <f t="shared" si="12"/>
        <v>0</v>
      </c>
      <c r="K175" s="2096"/>
      <c r="L175" s="2096"/>
      <c r="M175" s="1840">
        <f t="shared" si="11"/>
        <v>0</v>
      </c>
      <c r="N175" s="1333"/>
      <c r="O175" s="636"/>
    </row>
    <row r="176" spans="1:15" s="242" customFormat="1" ht="18.75" customHeight="1">
      <c r="A176" s="1246">
        <v>150</v>
      </c>
      <c r="B176" s="2108">
        <v>68</v>
      </c>
      <c r="C176" s="1332"/>
      <c r="D176" s="2109"/>
      <c r="E176" s="1333" t="str">
        <f>'LƯƠNG KT'!D180</f>
        <v>Thảo La</v>
      </c>
      <c r="F176" s="2110" t="str">
        <f>'LƯƠNG KT'!E180</f>
        <v>CNKT</v>
      </c>
      <c r="G176" s="1840">
        <f>VLOOKUP(E176,'LƯƠNG KT'!$D$110:$Z$184,4,0)</f>
        <v>0</v>
      </c>
      <c r="H176" s="1840">
        <f>VLOOKUP(E176,'LƯƠNG KT'!$D$110:$Z$184,11,0)</f>
        <v>2852593</v>
      </c>
      <c r="I176" s="1840">
        <f>VLOOKUP(E176,'LƯƠNG KT'!$D$110:$Z$184,23,0)</f>
        <v>1389957</v>
      </c>
      <c r="J176" s="2096">
        <f t="shared" si="12"/>
        <v>4242550</v>
      </c>
      <c r="K176" s="2096"/>
      <c r="L176" s="2096"/>
      <c r="M176" s="1840">
        <f t="shared" si="11"/>
        <v>4242550</v>
      </c>
      <c r="N176" s="1333"/>
      <c r="O176" s="636"/>
    </row>
    <row r="177" spans="1:15" s="242" customFormat="1" ht="18.75" customHeight="1">
      <c r="A177" s="1246">
        <v>151</v>
      </c>
      <c r="B177" s="2108">
        <v>69</v>
      </c>
      <c r="C177" s="1332"/>
      <c r="D177" s="2109"/>
      <c r="E177" s="1333" t="str">
        <f>'LƯƠNG KT'!D181</f>
        <v>Mủ sirum</v>
      </c>
      <c r="F177" s="2110">
        <f>'LƯƠNG KT'!E181</f>
        <v>0</v>
      </c>
      <c r="G177" s="1840">
        <f>VLOOKUP(E177,'LƯƠNG KT'!$D$110:$Z$184,4,0)</f>
        <v>0</v>
      </c>
      <c r="H177" s="1840">
        <f>VLOOKUP(E177,'LƯƠNG KT'!$D$110:$Z$184,11,0)</f>
        <v>332.00699999999989</v>
      </c>
      <c r="I177" s="1840" t="e">
        <f>VLOOKUP(E177,'LƯƠNG KT'!$D$110:$Z$184,23,0)</f>
        <v>#VALUE!</v>
      </c>
      <c r="J177" s="2096" t="e">
        <f t="shared" ref="J177:J180" si="13">SUM(G177:I177)</f>
        <v>#VALUE!</v>
      </c>
      <c r="K177" s="2096"/>
      <c r="L177" s="2096"/>
      <c r="M177" s="1840" t="e">
        <f t="shared" ref="M177:M184" si="14">J177-L177</f>
        <v>#VALUE!</v>
      </c>
      <c r="N177" s="1333"/>
      <c r="O177" s="636"/>
    </row>
    <row r="178" spans="1:15" s="242" customFormat="1" ht="18.75" customHeight="1">
      <c r="A178" s="1246">
        <v>152</v>
      </c>
      <c r="B178" s="2108">
        <v>70</v>
      </c>
      <c r="C178" s="1332"/>
      <c r="D178" s="2109"/>
      <c r="E178" s="1333" t="str">
        <f>'LƯƠNG KT'!D182</f>
        <v>Say</v>
      </c>
      <c r="F178" s="2110" t="str">
        <f>'LƯƠNG KT'!E182</f>
        <v>CNK</v>
      </c>
      <c r="G178" s="1840">
        <f>VLOOKUP(E178,'LƯƠNG KT'!$D$110:$Z$184,4,0)</f>
        <v>0</v>
      </c>
      <c r="H178" s="1840">
        <f>VLOOKUP(E178,'LƯƠNG KT'!$D$110:$Z$184,11,0)</f>
        <v>0</v>
      </c>
      <c r="I178" s="1840">
        <f>VLOOKUP(E178,'LƯƠNG KT'!$D$110:$Z$184,23,0)</f>
        <v>0</v>
      </c>
      <c r="J178" s="2096">
        <f t="shared" si="13"/>
        <v>0</v>
      </c>
      <c r="K178" s="2096"/>
      <c r="L178" s="2096"/>
      <c r="M178" s="1840">
        <f t="shared" si="14"/>
        <v>0</v>
      </c>
      <c r="N178" s="1333"/>
      <c r="O178" s="636"/>
    </row>
    <row r="179" spans="1:15" s="242" customFormat="1" ht="18.75" customHeight="1">
      <c r="A179" s="1246">
        <v>153</v>
      </c>
      <c r="B179" s="2108">
        <v>71</v>
      </c>
      <c r="C179" s="1332"/>
      <c r="D179" s="2109"/>
      <c r="E179" s="1333" t="str">
        <f>'LƯƠNG KT'!D183</f>
        <v>Ủi</v>
      </c>
      <c r="F179" s="2110" t="str">
        <f>'LƯƠNG KT'!E183</f>
        <v>CNK</v>
      </c>
      <c r="G179" s="1840">
        <f>VLOOKUP(E179,'LƯƠNG KT'!$D$110:$Z$184,4,0)</f>
        <v>0</v>
      </c>
      <c r="H179" s="1840">
        <f>VLOOKUP(E179,'LƯƠNG KT'!$D$110:$Z$184,11,0)</f>
        <v>0</v>
      </c>
      <c r="I179" s="1840">
        <f>VLOOKUP(E179,'LƯƠNG KT'!$D$110:$Z$184,23,0)</f>
        <v>0</v>
      </c>
      <c r="J179" s="2096">
        <f t="shared" si="13"/>
        <v>0</v>
      </c>
      <c r="K179" s="2096"/>
      <c r="L179" s="2096"/>
      <c r="M179" s="1840">
        <f t="shared" si="14"/>
        <v>0</v>
      </c>
      <c r="N179" s="1333"/>
      <c r="O179" s="636"/>
    </row>
    <row r="180" spans="1:15" s="242" customFormat="1" ht="18.75" customHeight="1">
      <c r="A180" s="1246">
        <v>154</v>
      </c>
      <c r="B180" s="2108">
        <v>72</v>
      </c>
      <c r="C180" s="1332"/>
      <c r="D180" s="2109"/>
      <c r="E180" s="1333" t="str">
        <f>'LƯƠNG KT'!D184</f>
        <v>T Mon D4 (Tú)</v>
      </c>
      <c r="F180" s="2110" t="str">
        <f>'LƯƠNG KT'!E184</f>
        <v>CNK</v>
      </c>
      <c r="G180" s="1840">
        <f>VLOOKUP(E180,'LƯƠNG KT'!$D$110:$Z$184,4,0)</f>
        <v>0</v>
      </c>
      <c r="H180" s="1840">
        <f>VLOOKUP(E180,'LƯƠNG KT'!$D$110:$Z$184,11,0)</f>
        <v>0</v>
      </c>
      <c r="I180" s="1840">
        <f>VLOOKUP(E180,'LƯƠNG KT'!$D$110:$Z$184,23,0)</f>
        <v>0</v>
      </c>
      <c r="J180" s="2096">
        <f t="shared" si="13"/>
        <v>0</v>
      </c>
      <c r="K180" s="2096"/>
      <c r="L180" s="2096"/>
      <c r="M180" s="1840">
        <f t="shared" si="14"/>
        <v>0</v>
      </c>
      <c r="N180" s="1333"/>
      <c r="O180" s="636"/>
    </row>
    <row r="181" spans="1:15" s="242" customFormat="1" ht="18.75" customHeight="1">
      <c r="A181" s="2814" t="s">
        <v>2986</v>
      </c>
      <c r="B181" s="2815"/>
      <c r="C181" s="2815"/>
      <c r="D181" s="2815"/>
      <c r="E181" s="2816"/>
      <c r="F181" s="1346"/>
      <c r="G181" s="2113">
        <f t="shared" ref="G181:M181" si="15">SUM(G106:G180)</f>
        <v>0</v>
      </c>
      <c r="H181" s="2113">
        <f>SUM(H106:H180)</f>
        <v>302420651.00700003</v>
      </c>
      <c r="I181" s="2113" t="e">
        <f t="shared" si="15"/>
        <v>#VALUE!</v>
      </c>
      <c r="J181" s="2113" t="e">
        <f t="shared" si="15"/>
        <v>#VALUE!</v>
      </c>
      <c r="K181" s="2113">
        <f t="shared" si="15"/>
        <v>0</v>
      </c>
      <c r="L181" s="2113">
        <f t="shared" si="15"/>
        <v>0</v>
      </c>
      <c r="M181" s="2113" t="e">
        <f t="shared" si="15"/>
        <v>#VALUE!</v>
      </c>
      <c r="N181" s="1333"/>
      <c r="O181" s="636" t="e">
        <f>+M181-#REF!-#REF!-#REF!</f>
        <v>#VALUE!</v>
      </c>
    </row>
    <row r="182" spans="1:15" s="242" customFormat="1" ht="18.75" customHeight="1">
      <c r="A182" s="1246">
        <v>152</v>
      </c>
      <c r="B182" s="1246">
        <v>1</v>
      </c>
      <c r="C182" s="1332"/>
      <c r="D182" s="2114" t="s">
        <v>1850</v>
      </c>
      <c r="E182" s="1333" t="s">
        <v>3245</v>
      </c>
      <c r="F182" s="1333" t="str">
        <f>VLOOKUP(E182,'LƯƠNG ĐỘI'!$C$14:$K$16,2,0)</f>
        <v>Bảo vệ</v>
      </c>
      <c r="G182" s="2019"/>
      <c r="H182" s="1840"/>
      <c r="I182" s="1840"/>
      <c r="J182" s="2096">
        <f>VLOOKUP(E182,'LƯƠNG ĐỘI'!$C$14:$K$15,7,0)</f>
        <v>2600000</v>
      </c>
      <c r="K182" s="2096">
        <f t="shared" ref="K182" si="16">I182</f>
        <v>0</v>
      </c>
      <c r="L182" s="1840"/>
      <c r="M182" s="1840">
        <f t="shared" si="14"/>
        <v>2600000</v>
      </c>
      <c r="N182" s="1333"/>
    </row>
    <row r="183" spans="1:15" s="242" customFormat="1" ht="18.75" customHeight="1">
      <c r="A183" s="1246">
        <v>153</v>
      </c>
      <c r="B183" s="1246">
        <v>2</v>
      </c>
      <c r="C183" s="1332"/>
      <c r="D183" s="2114"/>
      <c r="E183" s="1333" t="s">
        <v>3299</v>
      </c>
      <c r="F183" s="1333" t="str">
        <f>VLOOKUP(E183,'LƯƠNG ĐỘI'!$C$14:$K$16,2,0)</f>
        <v>Bảo vệ</v>
      </c>
      <c r="G183" s="2019"/>
      <c r="H183" s="1840"/>
      <c r="I183" s="1840"/>
      <c r="J183" s="2096">
        <f>VLOOKUP(E183,'LƯƠNG ĐỘI'!$C$14:$K$16,7,0)</f>
        <v>2600000</v>
      </c>
      <c r="K183" s="2096"/>
      <c r="L183" s="1840"/>
      <c r="M183" s="1840">
        <f t="shared" si="14"/>
        <v>2600000</v>
      </c>
      <c r="N183" s="1333"/>
    </row>
    <row r="184" spans="1:15" s="242" customFormat="1" ht="17.25" customHeight="1">
      <c r="A184" s="1246">
        <v>172</v>
      </c>
      <c r="B184" s="1246">
        <v>3</v>
      </c>
      <c r="C184" s="1332"/>
      <c r="D184" s="2114"/>
      <c r="E184" s="1333" t="s">
        <v>3419</v>
      </c>
      <c r="F184" s="1333" t="str">
        <f>VLOOKUP(E184,'LƯƠNG ĐỘI'!$C$14:$K$16,2,0)</f>
        <v>Bảo vệ</v>
      </c>
      <c r="G184" s="2019"/>
      <c r="H184" s="1840"/>
      <c r="I184" s="1840"/>
      <c r="J184" s="2096">
        <f>VLOOKUP(E184,'LƯƠNG ĐỘI'!$C$14:$K$16,7,0)</f>
        <v>0</v>
      </c>
      <c r="K184" s="2096"/>
      <c r="L184" s="1840"/>
      <c r="M184" s="1840">
        <f t="shared" si="14"/>
        <v>0</v>
      </c>
      <c r="N184" s="1333"/>
    </row>
    <row r="185" spans="1:15" s="242" customFormat="1" ht="17.25" hidden="1" customHeight="1">
      <c r="A185" s="1246">
        <v>173</v>
      </c>
      <c r="B185" s="1246">
        <v>4</v>
      </c>
      <c r="C185" s="1332"/>
      <c r="D185" s="2114"/>
      <c r="E185" s="1333">
        <f>'[15]CHẤM CÔNG BẢO VỆ'!C14</f>
        <v>0</v>
      </c>
      <c r="F185" s="1333"/>
      <c r="G185" s="2019"/>
      <c r="H185" s="1840"/>
      <c r="I185" s="1840"/>
      <c r="J185" s="1840"/>
      <c r="K185" s="2096"/>
      <c r="L185" s="1840"/>
      <c r="M185" s="1840"/>
      <c r="N185" s="1333"/>
    </row>
    <row r="186" spans="1:15" s="242" customFormat="1" ht="17.25" hidden="1" customHeight="1">
      <c r="A186" s="1246">
        <v>174</v>
      </c>
      <c r="B186" s="1246">
        <v>5</v>
      </c>
      <c r="C186" s="1332"/>
      <c r="D186" s="2114"/>
      <c r="E186" s="1333">
        <f>'[15]CHẤM CÔNG BẢO VỆ'!C15</f>
        <v>0</v>
      </c>
      <c r="F186" s="1333"/>
      <c r="G186" s="2019"/>
      <c r="H186" s="1840"/>
      <c r="I186" s="1840"/>
      <c r="J186" s="1840"/>
      <c r="K186" s="2096"/>
      <c r="L186" s="1840"/>
      <c r="M186" s="1840"/>
      <c r="N186" s="1333"/>
    </row>
    <row r="187" spans="1:15" s="242" customFormat="1" ht="17.25" hidden="1" customHeight="1">
      <c r="A187" s="1246">
        <v>175</v>
      </c>
      <c r="B187" s="1246">
        <v>6</v>
      </c>
      <c r="C187" s="1332"/>
      <c r="D187" s="2114"/>
      <c r="E187" s="1333">
        <f>'[15]CHẤM CÔNG BẢO VỆ'!C16</f>
        <v>0</v>
      </c>
      <c r="F187" s="1333"/>
      <c r="G187" s="2019"/>
      <c r="H187" s="1840"/>
      <c r="I187" s="1840"/>
      <c r="J187" s="1840"/>
      <c r="K187" s="2096"/>
      <c r="L187" s="1840"/>
      <c r="M187" s="1840"/>
      <c r="N187" s="1333"/>
    </row>
    <row r="188" spans="1:15" s="242" customFormat="1" ht="17.25" hidden="1" customHeight="1">
      <c r="A188" s="1246">
        <v>176</v>
      </c>
      <c r="B188" s="1246">
        <v>7</v>
      </c>
      <c r="C188" s="1332"/>
      <c r="D188" s="2114"/>
      <c r="E188" s="1333">
        <f>'[15]CHẤM CÔNG BẢO VỆ'!C17</f>
        <v>0</v>
      </c>
      <c r="F188" s="1333"/>
      <c r="G188" s="2019"/>
      <c r="H188" s="1840"/>
      <c r="I188" s="1840"/>
      <c r="J188" s="1840"/>
      <c r="K188" s="2096"/>
      <c r="L188" s="1840"/>
      <c r="M188" s="1840"/>
      <c r="N188" s="1333"/>
    </row>
    <row r="189" spans="1:15" s="242" customFormat="1" ht="17.25" hidden="1" customHeight="1">
      <c r="A189" s="1246">
        <v>177</v>
      </c>
      <c r="B189" s="1246">
        <v>8</v>
      </c>
      <c r="C189" s="1332"/>
      <c r="D189" s="2114"/>
      <c r="E189" s="1333">
        <f>'[15]CHẤM CÔNG BẢO VỆ'!C18</f>
        <v>0</v>
      </c>
      <c r="F189" s="1333"/>
      <c r="G189" s="2019"/>
      <c r="H189" s="1840"/>
      <c r="I189" s="1840"/>
      <c r="J189" s="1840"/>
      <c r="K189" s="2096"/>
      <c r="L189" s="1840"/>
      <c r="M189" s="1840"/>
      <c r="N189" s="1333"/>
    </row>
    <row r="190" spans="1:15" s="242" customFormat="1" ht="17.25" hidden="1" customHeight="1">
      <c r="A190" s="1246">
        <v>178</v>
      </c>
      <c r="B190" s="1246">
        <v>9</v>
      </c>
      <c r="C190" s="1332"/>
      <c r="D190" s="2114"/>
      <c r="E190" s="1333">
        <f>'[15]CHẤM CÔNG BẢO VỆ'!C19</f>
        <v>0</v>
      </c>
      <c r="F190" s="1333"/>
      <c r="G190" s="2019"/>
      <c r="H190" s="1840"/>
      <c r="I190" s="1840"/>
      <c r="J190" s="1840"/>
      <c r="K190" s="2096"/>
      <c r="L190" s="1840"/>
      <c r="M190" s="1840"/>
      <c r="N190" s="1333"/>
    </row>
    <row r="191" spans="1:15" s="242" customFormat="1" ht="17.25" hidden="1" customHeight="1">
      <c r="A191" s="1246">
        <v>179</v>
      </c>
      <c r="B191" s="1246">
        <v>10</v>
      </c>
      <c r="C191" s="1332"/>
      <c r="D191" s="2114"/>
      <c r="E191" s="1333">
        <f>'[15]CHẤM CÔNG BẢO VỆ'!C20</f>
        <v>0</v>
      </c>
      <c r="F191" s="1333"/>
      <c r="G191" s="2019"/>
      <c r="H191" s="1840"/>
      <c r="I191" s="1840"/>
      <c r="J191" s="1840"/>
      <c r="K191" s="2096"/>
      <c r="L191" s="1840"/>
      <c r="M191" s="1840"/>
      <c r="N191" s="1333"/>
    </row>
    <row r="192" spans="1:15" s="242" customFormat="1" ht="17.25" hidden="1" customHeight="1">
      <c r="A192" s="1246">
        <v>180</v>
      </c>
      <c r="B192" s="1246">
        <v>11</v>
      </c>
      <c r="C192" s="1332"/>
      <c r="D192" s="2114"/>
      <c r="E192" s="1333">
        <f>'[15]CHẤM CÔNG BẢO VỆ'!C21</f>
        <v>0</v>
      </c>
      <c r="F192" s="1333"/>
      <c r="G192" s="2019"/>
      <c r="H192" s="1840"/>
      <c r="I192" s="1840"/>
      <c r="J192" s="1840"/>
      <c r="K192" s="2096"/>
      <c r="L192" s="1840"/>
      <c r="M192" s="1840"/>
      <c r="N192" s="1333"/>
    </row>
    <row r="193" spans="1:16" s="242" customFormat="1" ht="17.25" hidden="1" customHeight="1">
      <c r="A193" s="1246">
        <v>181</v>
      </c>
      <c r="B193" s="1246">
        <v>12</v>
      </c>
      <c r="C193" s="1332"/>
      <c r="D193" s="2114"/>
      <c r="E193" s="1333"/>
      <c r="F193" s="1333"/>
      <c r="G193" s="2019"/>
      <c r="H193" s="1840"/>
      <c r="I193" s="1840"/>
      <c r="J193" s="1840"/>
      <c r="K193" s="2096"/>
      <c r="L193" s="1840"/>
      <c r="M193" s="1840"/>
      <c r="N193" s="1333"/>
    </row>
    <row r="194" spans="1:16" s="242" customFormat="1" ht="17.25" hidden="1" customHeight="1">
      <c r="A194" s="1246">
        <v>182</v>
      </c>
      <c r="B194" s="1246">
        <v>13</v>
      </c>
      <c r="C194" s="1332"/>
      <c r="D194" s="2114"/>
      <c r="E194" s="1333">
        <f>'[15]CHẤM CÔNG BẢO VỆ'!C23</f>
        <v>0</v>
      </c>
      <c r="F194" s="1333"/>
      <c r="G194" s="2019"/>
      <c r="H194" s="1840"/>
      <c r="I194" s="1840"/>
      <c r="J194" s="1840"/>
      <c r="K194" s="2096"/>
      <c r="L194" s="1840"/>
      <c r="M194" s="1840"/>
      <c r="N194" s="1333"/>
    </row>
    <row r="195" spans="1:16" s="242" customFormat="1" ht="17.25" hidden="1" customHeight="1">
      <c r="A195" s="1246">
        <v>183</v>
      </c>
      <c r="B195" s="1246">
        <v>14</v>
      </c>
      <c r="C195" s="1332"/>
      <c r="D195" s="2114"/>
      <c r="E195" s="1333">
        <f>'[15]CHẤM CÔNG BẢO VỆ'!C24</f>
        <v>0</v>
      </c>
      <c r="F195" s="1333"/>
      <c r="G195" s="2019"/>
      <c r="H195" s="1840"/>
      <c r="I195" s="1840"/>
      <c r="J195" s="1840"/>
      <c r="K195" s="2096"/>
      <c r="L195" s="1840"/>
      <c r="M195" s="1840"/>
      <c r="N195" s="1333"/>
    </row>
    <row r="196" spans="1:16" s="242" customFormat="1" ht="17.25" hidden="1" customHeight="1">
      <c r="A196" s="1246">
        <v>184</v>
      </c>
      <c r="B196" s="1246">
        <v>15</v>
      </c>
      <c r="C196" s="1332"/>
      <c r="D196" s="2114"/>
      <c r="E196" s="1333"/>
      <c r="F196" s="1333"/>
      <c r="G196" s="2019"/>
      <c r="H196" s="1840"/>
      <c r="I196" s="1840"/>
      <c r="J196" s="1840"/>
      <c r="K196" s="2096"/>
      <c r="L196" s="1840"/>
      <c r="M196" s="1840"/>
      <c r="N196" s="1333"/>
    </row>
    <row r="197" spans="1:16" s="242" customFormat="1" ht="17.25" hidden="1" customHeight="1">
      <c r="A197" s="1246">
        <v>185</v>
      </c>
      <c r="B197" s="1246">
        <v>16</v>
      </c>
      <c r="C197" s="1332"/>
      <c r="D197" s="2114"/>
      <c r="E197" s="1333"/>
      <c r="F197" s="1333"/>
      <c r="G197" s="2019"/>
      <c r="H197" s="1840"/>
      <c r="I197" s="1840"/>
      <c r="J197" s="1840"/>
      <c r="K197" s="2096"/>
      <c r="L197" s="1840"/>
      <c r="M197" s="1840"/>
      <c r="N197" s="1333"/>
    </row>
    <row r="198" spans="1:16" s="243" customFormat="1" ht="18.75" customHeight="1">
      <c r="A198" s="2814" t="s">
        <v>2283</v>
      </c>
      <c r="B198" s="2815"/>
      <c r="C198" s="2815"/>
      <c r="D198" s="2815"/>
      <c r="E198" s="2816"/>
      <c r="F198" s="1346"/>
      <c r="G198" s="2115"/>
      <c r="H198" s="2113"/>
      <c r="I198" s="2113"/>
      <c r="J198" s="2113">
        <f t="shared" ref="J198:M198" si="17">SUM(J182:J197)</f>
        <v>5200000</v>
      </c>
      <c r="K198" s="2113">
        <f t="shared" si="17"/>
        <v>0</v>
      </c>
      <c r="L198" s="2113">
        <f t="shared" si="17"/>
        <v>0</v>
      </c>
      <c r="M198" s="2113">
        <f t="shared" si="17"/>
        <v>5200000</v>
      </c>
      <c r="N198" s="2116"/>
    </row>
    <row r="199" spans="1:16" s="242" customFormat="1" ht="31.5" customHeight="1">
      <c r="A199" s="1246">
        <v>154</v>
      </c>
      <c r="B199" s="1246">
        <v>1</v>
      </c>
      <c r="C199" s="2117" t="s">
        <v>1876</v>
      </c>
      <c r="D199" s="2114" t="s">
        <v>1394</v>
      </c>
      <c r="E199" s="2118" t="s">
        <v>3304</v>
      </c>
      <c r="F199" s="2096" t="str">
        <f>VLOOKUP(E199,'LƯƠNG ĐỘI'!$C$12:$K$12,2,0)</f>
        <v>NVKT</v>
      </c>
      <c r="G199" s="2019"/>
      <c r="H199" s="2111"/>
      <c r="I199" s="2111"/>
      <c r="J199" s="2096">
        <f>VLOOKUP(E199,'LƯƠNG ĐỘI'!$C$12:$K$12,7,0)</f>
        <v>6626792.0035848441</v>
      </c>
      <c r="K199" s="2096" t="e">
        <f>VLOOKUP(F199,'LƯƠNG ĐỘI'!$C$12:$K$12,7,0)</f>
        <v>#N/A</v>
      </c>
      <c r="L199" s="2096">
        <f>VLOOKUP(E199,'LƯƠNG ĐỘI'!$C$12:$K$12,8,0)</f>
        <v>347679.20035848441</v>
      </c>
      <c r="M199" s="1840">
        <f t="shared" ref="M199:M206" si="18">J199-L199</f>
        <v>6279112.8032263592</v>
      </c>
      <c r="N199" s="1333"/>
      <c r="P199" s="636"/>
    </row>
    <row r="200" spans="1:16" s="243" customFormat="1" ht="17.25" customHeight="1">
      <c r="A200" s="2814" t="s">
        <v>2998</v>
      </c>
      <c r="B200" s="2815"/>
      <c r="C200" s="2815"/>
      <c r="D200" s="2815"/>
      <c r="E200" s="2816"/>
      <c r="F200" s="1333"/>
      <c r="G200" s="2115"/>
      <c r="H200" s="2113"/>
      <c r="I200" s="2113"/>
      <c r="J200" s="2113">
        <f>SUM(J199:J199)</f>
        <v>6626792.0035848441</v>
      </c>
      <c r="K200" s="2113" t="e">
        <f>SUM(K199:K199)</f>
        <v>#N/A</v>
      </c>
      <c r="L200" s="2113">
        <f>SUM(L199:L199)</f>
        <v>347679.20035848441</v>
      </c>
      <c r="M200" s="2113">
        <f>SUM(M199:M199)-1</f>
        <v>6279111.8032263592</v>
      </c>
      <c r="N200" s="2116"/>
    </row>
    <row r="201" spans="1:16" s="242" customFormat="1" ht="17.25" customHeight="1">
      <c r="A201" s="1246"/>
      <c r="B201" s="1246">
        <v>1</v>
      </c>
      <c r="C201" s="2117" t="s">
        <v>1865</v>
      </c>
      <c r="D201" s="2119" t="s">
        <v>1866</v>
      </c>
      <c r="E201" s="1333" t="str">
        <f>'LƯƠNG ĐỘI'!C18</f>
        <v>Ủi</v>
      </c>
      <c r="F201" s="1333" t="s">
        <v>1713</v>
      </c>
      <c r="G201" s="2019"/>
      <c r="H201" s="2111"/>
      <c r="I201" s="2111"/>
      <c r="J201" s="2096">
        <f>VLOOKUP($E$201:$E$205,'LƯƠNG ĐỘI'!$C$18:$K$22,4,0)</f>
        <v>3637650</v>
      </c>
      <c r="K201" s="2096">
        <f>VLOOKUP($E$201:$E$205,'LƯƠNG ĐỘI'!$C$18:$K$22,4,0)</f>
        <v>3637650</v>
      </c>
      <c r="L201" s="2096"/>
      <c r="M201" s="1840">
        <f t="shared" si="18"/>
        <v>3637650</v>
      </c>
      <c r="N201" s="1333"/>
      <c r="P201" s="636"/>
    </row>
    <row r="202" spans="1:16" s="242" customFormat="1" ht="17.25" customHeight="1">
      <c r="A202" s="1246"/>
      <c r="B202" s="1246">
        <v>2</v>
      </c>
      <c r="C202" s="2117" t="s">
        <v>1869</v>
      </c>
      <c r="D202" s="2119" t="s">
        <v>1870</v>
      </c>
      <c r="E202" s="1333" t="str">
        <f>'LƯƠNG ĐỘI'!C19</f>
        <v>May</v>
      </c>
      <c r="F202" s="1333" t="s">
        <v>1713</v>
      </c>
      <c r="G202" s="2019"/>
      <c r="H202" s="2111"/>
      <c r="I202" s="2111"/>
      <c r="J202" s="2096">
        <f>VLOOKUP($E$201:$E$205,'LƯƠNG ĐỘI'!$C$18:$K$22,4,0)</f>
        <v>3637650</v>
      </c>
      <c r="K202" s="2096"/>
      <c r="L202" s="2096"/>
      <c r="M202" s="1840">
        <f t="shared" si="18"/>
        <v>3637650</v>
      </c>
      <c r="N202" s="2118"/>
      <c r="P202" s="636"/>
    </row>
    <row r="203" spans="1:16" s="242" customFormat="1" ht="17.25" customHeight="1">
      <c r="A203" s="1246"/>
      <c r="B203" s="1246">
        <v>3</v>
      </c>
      <c r="C203" s="1332"/>
      <c r="D203" s="2114"/>
      <c r="E203" s="1333" t="str">
        <f>'LƯƠNG ĐỘI'!C20</f>
        <v>Son</v>
      </c>
      <c r="F203" s="1333" t="s">
        <v>1713</v>
      </c>
      <c r="G203" s="2019"/>
      <c r="H203" s="2111"/>
      <c r="I203" s="2111"/>
      <c r="J203" s="2096">
        <f>VLOOKUP($E$201:$E$205,'LƯƠNG ĐỘI'!$C$18:$K$22,4,0)</f>
        <v>3637650</v>
      </c>
      <c r="K203" s="2096"/>
      <c r="L203" s="2096"/>
      <c r="M203" s="1840">
        <f t="shared" si="18"/>
        <v>3637650</v>
      </c>
      <c r="N203" s="1333"/>
      <c r="P203" s="636"/>
    </row>
    <row r="204" spans="1:16" s="242" customFormat="1" ht="17.25" customHeight="1">
      <c r="A204" s="1246"/>
      <c r="B204" s="1246">
        <v>4</v>
      </c>
      <c r="C204" s="1332"/>
      <c r="D204" s="2114"/>
      <c r="E204" s="1333" t="str">
        <f>'LƯƠNG ĐỘI'!C21</f>
        <v>Tý</v>
      </c>
      <c r="F204" s="1333" t="s">
        <v>1713</v>
      </c>
      <c r="G204" s="2019"/>
      <c r="H204" s="2111"/>
      <c r="I204" s="2111"/>
      <c r="J204" s="2096">
        <f>VLOOKUP($E$201:$E$205,'LƯƠNG ĐỘI'!$C$18:$K$22,4,0)</f>
        <v>3637650</v>
      </c>
      <c r="K204" s="2096"/>
      <c r="L204" s="2096"/>
      <c r="M204" s="1840">
        <f t="shared" si="18"/>
        <v>3637650</v>
      </c>
      <c r="N204" s="1333"/>
      <c r="P204" s="636"/>
    </row>
    <row r="205" spans="1:16" s="242" customFormat="1" ht="17.25" customHeight="1">
      <c r="A205" s="1246"/>
      <c r="B205" s="1246">
        <v>5</v>
      </c>
      <c r="C205" s="2117" t="s">
        <v>1876</v>
      </c>
      <c r="D205" s="2114" t="s">
        <v>1394</v>
      </c>
      <c r="E205" s="1333" t="str">
        <f>'LƯƠNG ĐỘI'!C22</f>
        <v>Choi</v>
      </c>
      <c r="F205" s="1333" t="s">
        <v>1713</v>
      </c>
      <c r="G205" s="2019"/>
      <c r="H205" s="2111"/>
      <c r="I205" s="2111"/>
      <c r="J205" s="2096">
        <f>VLOOKUP($E$201:$E$205,'LƯƠNG ĐỘI'!$C$18:$K$22,4,0)</f>
        <v>3637650</v>
      </c>
      <c r="K205" s="2096"/>
      <c r="L205" s="2096"/>
      <c r="M205" s="1840">
        <f t="shared" si="18"/>
        <v>3637650</v>
      </c>
      <c r="N205" s="1333"/>
      <c r="P205" s="636"/>
    </row>
    <row r="206" spans="1:16" s="243" customFormat="1" ht="17.25" customHeight="1">
      <c r="A206" s="2814" t="s">
        <v>3433</v>
      </c>
      <c r="B206" s="2815"/>
      <c r="C206" s="2815"/>
      <c r="D206" s="2815"/>
      <c r="E206" s="2816"/>
      <c r="F206" s="2332"/>
      <c r="G206" s="2115"/>
      <c r="H206" s="2113"/>
      <c r="I206" s="2113"/>
      <c r="J206" s="2113">
        <f>SUM(J201:J205)</f>
        <v>18188250</v>
      </c>
      <c r="K206" s="2113">
        <f t="shared" ref="K206" si="19">SUM(K201:K205)</f>
        <v>3637650</v>
      </c>
      <c r="L206" s="2113"/>
      <c r="M206" s="2113">
        <f t="shared" si="18"/>
        <v>18188250</v>
      </c>
      <c r="N206" s="2333"/>
    </row>
    <row r="207" spans="1:16" s="242" customFormat="1" ht="17.25" hidden="1" customHeight="1">
      <c r="A207" s="1246"/>
      <c r="B207" s="1246">
        <v>6</v>
      </c>
      <c r="C207" s="2117" t="s">
        <v>1879</v>
      </c>
      <c r="D207" s="2114"/>
      <c r="E207" s="1333" t="s">
        <v>2217</v>
      </c>
      <c r="F207" s="1333" t="s">
        <v>1880</v>
      </c>
      <c r="G207" s="2019"/>
      <c r="H207" s="2111"/>
      <c r="I207" s="2111"/>
      <c r="J207" s="2096">
        <f>VLOOKUP(E207,'[15]TRẠM CÁN'!$E$14:$U$19,16,0)</f>
        <v>2000000.0000000002</v>
      </c>
      <c r="K207" s="2096"/>
      <c r="L207" s="2096">
        <f>VLOOKUP(E207,'[15]TRẠM CÁN'!$E$14:$U$19,17,0)</f>
        <v>0</v>
      </c>
      <c r="M207" s="1840">
        <f t="shared" ref="M207" si="20">J207-L207</f>
        <v>2000000.0000000002</v>
      </c>
      <c r="N207" s="1333"/>
      <c r="P207" s="636"/>
    </row>
    <row r="208" spans="1:16" s="243" customFormat="1" ht="17.25" hidden="1" customHeight="1">
      <c r="A208" s="2106"/>
      <c r="B208" s="2106" t="s">
        <v>1903</v>
      </c>
      <c r="C208" s="1346"/>
      <c r="D208" s="1346"/>
      <c r="E208" s="1346"/>
      <c r="F208" s="1346"/>
      <c r="G208" s="2115">
        <f>SUM(G198:G207)</f>
        <v>0</v>
      </c>
      <c r="H208" s="2113">
        <f>SUM(H198:H207)</f>
        <v>0</v>
      </c>
      <c r="I208" s="2113">
        <f>SUM(I198:I207)</f>
        <v>0</v>
      </c>
      <c r="J208" s="2113">
        <f>SUM(J207:J207)</f>
        <v>2000000.0000000002</v>
      </c>
      <c r="K208" s="2113">
        <f>SUM(K207:K207)</f>
        <v>0</v>
      </c>
      <c r="L208" s="2113">
        <f>SUM(L207:L207)</f>
        <v>0</v>
      </c>
      <c r="M208" s="2113">
        <f>SUM(M207:M207)</f>
        <v>2000000.0000000002</v>
      </c>
      <c r="N208" s="2116"/>
      <c r="P208" s="636"/>
    </row>
    <row r="209" spans="1:17" s="243" customFormat="1" ht="17.25" hidden="1" customHeight="1">
      <c r="A209" s="2106"/>
      <c r="B209" s="2106" t="s">
        <v>103</v>
      </c>
      <c r="C209" s="1346"/>
      <c r="D209" s="1346"/>
      <c r="E209" s="1346"/>
      <c r="F209" s="1346"/>
      <c r="G209" s="2115">
        <f>SUM(G201:G207)</f>
        <v>0</v>
      </c>
      <c r="H209" s="2113">
        <f>SUM(H201:H207)</f>
        <v>0</v>
      </c>
      <c r="I209" s="2113">
        <f>SUM(I201:I207)</f>
        <v>0</v>
      </c>
      <c r="J209" s="2113">
        <f>J208+J206</f>
        <v>20188250</v>
      </c>
      <c r="K209" s="2113">
        <f>K208+K206</f>
        <v>3637650</v>
      </c>
      <c r="L209" s="2113">
        <f>L208+L206</f>
        <v>0</v>
      </c>
      <c r="M209" s="2113">
        <f>M208+M206</f>
        <v>20188250</v>
      </c>
      <c r="N209" s="2116"/>
      <c r="P209" s="636"/>
    </row>
    <row r="210" spans="1:17" s="243" customFormat="1" ht="17.25" hidden="1" customHeight="1">
      <c r="A210" s="2106"/>
      <c r="B210" s="1246">
        <v>1</v>
      </c>
      <c r="C210" s="1838"/>
      <c r="D210" s="1838"/>
      <c r="E210" s="1838" t="s">
        <v>54</v>
      </c>
      <c r="F210" s="1838" t="s">
        <v>1713</v>
      </c>
      <c r="G210" s="2120"/>
      <c r="H210" s="2121"/>
      <c r="I210" s="2121"/>
      <c r="J210" s="2122">
        <f>[15]KTCB!F13</f>
        <v>0</v>
      </c>
      <c r="K210" s="2122">
        <f>I210</f>
        <v>0</v>
      </c>
      <c r="L210" s="2122"/>
      <c r="M210" s="2122">
        <f>J210</f>
        <v>0</v>
      </c>
      <c r="N210" s="1333"/>
      <c r="O210" s="598"/>
    </row>
    <row r="211" spans="1:17" s="243" customFormat="1" ht="17.25" hidden="1" customHeight="1">
      <c r="A211" s="2106"/>
      <c r="B211" s="2982" t="s">
        <v>3342</v>
      </c>
      <c r="C211" s="2982"/>
      <c r="D211" s="2982"/>
      <c r="E211" s="2982"/>
      <c r="F211" s="2982"/>
      <c r="G211" s="2123">
        <f>G210</f>
        <v>0</v>
      </c>
      <c r="H211" s="2121"/>
      <c r="I211" s="2121"/>
      <c r="J211" s="2121">
        <f>J210</f>
        <v>0</v>
      </c>
      <c r="K211" s="2121">
        <f>K210</f>
        <v>0</v>
      </c>
      <c r="L211" s="2121">
        <f>L210</f>
        <v>0</v>
      </c>
      <c r="M211" s="2121">
        <f>M210</f>
        <v>0</v>
      </c>
      <c r="N211" s="2124"/>
    </row>
    <row r="212" spans="1:17" s="619" customFormat="1" ht="19.5" customHeight="1">
      <c r="A212" s="2983" t="s">
        <v>3343</v>
      </c>
      <c r="B212" s="2984"/>
      <c r="C212" s="2984"/>
      <c r="D212" s="2984"/>
      <c r="E212" s="2984"/>
      <c r="F212" s="2985"/>
      <c r="G212" s="2125">
        <f t="shared" ref="G212:M212" si="21">+G181+G105</f>
        <v>0</v>
      </c>
      <c r="H212" s="2125">
        <f>+H181+H105</f>
        <v>883639293.00699997</v>
      </c>
      <c r="I212" s="2125" t="e">
        <f t="shared" si="21"/>
        <v>#VALUE!</v>
      </c>
      <c r="J212" s="2125" t="e">
        <f t="shared" si="21"/>
        <v>#VALUE!</v>
      </c>
      <c r="K212" s="2125">
        <f t="shared" si="21"/>
        <v>0</v>
      </c>
      <c r="L212" s="2125">
        <f t="shared" si="21"/>
        <v>0</v>
      </c>
      <c r="M212" s="2125" t="e">
        <f t="shared" si="21"/>
        <v>#VALUE!</v>
      </c>
      <c r="N212" s="2126"/>
      <c r="O212" s="657">
        <f>+'[15]LƯƠNG KT'!Y178</f>
        <v>1054415948</v>
      </c>
      <c r="P212" s="657"/>
    </row>
    <row r="213" spans="1:17" s="619" customFormat="1" ht="19.5" customHeight="1">
      <c r="A213" s="2986" t="s">
        <v>3344</v>
      </c>
      <c r="B213" s="2987"/>
      <c r="C213" s="2987"/>
      <c r="D213" s="2987"/>
      <c r="E213" s="2987"/>
      <c r="F213" s="2988"/>
      <c r="G213" s="2127"/>
      <c r="H213" s="2125"/>
      <c r="I213" s="2125"/>
      <c r="J213" s="2125">
        <f>J198</f>
        <v>5200000</v>
      </c>
      <c r="K213" s="2125">
        <f>K198</f>
        <v>0</v>
      </c>
      <c r="L213" s="2125">
        <f>L198</f>
        <v>0</v>
      </c>
      <c r="M213" s="2125">
        <f>M198</f>
        <v>5200000</v>
      </c>
      <c r="N213" s="2126"/>
      <c r="O213" s="657">
        <f>+[15]BV9THUC!K27</f>
        <v>5200000</v>
      </c>
      <c r="P213" s="657"/>
    </row>
    <row r="214" spans="1:17" s="619" customFormat="1" ht="19.5" customHeight="1">
      <c r="A214" s="2983" t="s">
        <v>3345</v>
      </c>
      <c r="B214" s="2984"/>
      <c r="C214" s="2984"/>
      <c r="D214" s="2984"/>
      <c r="E214" s="2984"/>
      <c r="F214" s="2985"/>
      <c r="G214" s="2127">
        <f>G208</f>
        <v>0</v>
      </c>
      <c r="H214" s="2125">
        <f>+H208</f>
        <v>0</v>
      </c>
      <c r="I214" s="2125">
        <f>+I208</f>
        <v>0</v>
      </c>
      <c r="J214" s="2125">
        <f>J200</f>
        <v>6626792.0035848441</v>
      </c>
      <c r="K214" s="2125" t="e">
        <f>K200</f>
        <v>#N/A</v>
      </c>
      <c r="L214" s="2125">
        <f>L200</f>
        <v>347679.20035848441</v>
      </c>
      <c r="M214" s="2125">
        <f>M200</f>
        <v>6279111.8032263592</v>
      </c>
      <c r="N214" s="2126"/>
      <c r="O214" s="657" t="e">
        <f>+#REF!</f>
        <v>#REF!</v>
      </c>
      <c r="P214" s="657"/>
    </row>
    <row r="215" spans="1:17" s="619" customFormat="1" ht="19.5" customHeight="1">
      <c r="A215" s="2990" t="s">
        <v>3446</v>
      </c>
      <c r="B215" s="2987"/>
      <c r="C215" s="2987"/>
      <c r="D215" s="2987"/>
      <c r="E215" s="2987"/>
      <c r="F215" s="2988"/>
      <c r="G215" s="2127">
        <f>G206</f>
        <v>0</v>
      </c>
      <c r="H215" s="2125">
        <f>H206</f>
        <v>0</v>
      </c>
      <c r="I215" s="2125">
        <f>I206</f>
        <v>0</v>
      </c>
      <c r="J215" s="2125">
        <f>J206</f>
        <v>18188250</v>
      </c>
      <c r="K215" s="2125"/>
      <c r="L215" s="2125">
        <f>L20</f>
        <v>0</v>
      </c>
      <c r="M215" s="2125">
        <f>M206</f>
        <v>18188250</v>
      </c>
      <c r="N215" s="2126"/>
      <c r="O215" s="657"/>
      <c r="P215" s="657"/>
    </row>
    <row r="216" spans="1:17" s="619" customFormat="1" ht="19.5" customHeight="1">
      <c r="A216" s="2334" t="s">
        <v>3447</v>
      </c>
      <c r="B216" s="2128"/>
      <c r="C216" s="2128"/>
      <c r="D216" s="2128"/>
      <c r="E216" s="2128"/>
      <c r="F216" s="2129"/>
      <c r="G216" s="2125">
        <f t="shared" ref="G216:K216" si="22">SUM(G212:G214)</f>
        <v>0</v>
      </c>
      <c r="H216" s="2125">
        <f>SUM(H212:H214)</f>
        <v>883639293.00699997</v>
      </c>
      <c r="I216" s="2125" t="e">
        <f t="shared" si="22"/>
        <v>#VALUE!</v>
      </c>
      <c r="J216" s="2095" t="e">
        <f>SUM(J212:J215)</f>
        <v>#VALUE!</v>
      </c>
      <c r="K216" s="2125" t="e">
        <f t="shared" si="22"/>
        <v>#N/A</v>
      </c>
      <c r="L216" s="2125">
        <f>SUM(L212:L215)</f>
        <v>347679.20035848441</v>
      </c>
      <c r="M216" s="2125" t="e">
        <f>SUM(M212:M215)</f>
        <v>#VALUE!</v>
      </c>
      <c r="N216" s="2130"/>
      <c r="O216" s="659"/>
      <c r="P216" s="657">
        <f>'[15]BẢNG PHÂN TOÁN '!G42-'[15]LƯƠNG CNTT'!M207</f>
        <v>5332134.3154463768</v>
      </c>
      <c r="Q216" s="657"/>
    </row>
    <row r="217" spans="1:17" s="2103" customFormat="1" ht="19.5" customHeight="1">
      <c r="A217" s="2788" t="s">
        <v>3346</v>
      </c>
      <c r="B217" s="2789"/>
      <c r="C217" s="2789"/>
      <c r="D217" s="2789"/>
      <c r="E217" s="2789"/>
      <c r="F217" s="2789"/>
      <c r="G217" s="2789"/>
      <c r="H217" s="2789"/>
      <c r="I217" s="2789"/>
      <c r="J217" s="2789"/>
      <c r="K217" s="2789"/>
      <c r="L217" s="2789"/>
      <c r="M217" s="2789"/>
      <c r="N217" s="2790"/>
      <c r="O217" s="668"/>
    </row>
    <row r="218" spans="1:17" s="2103" customFormat="1" ht="17.45" customHeight="1">
      <c r="B218" s="660"/>
      <c r="C218" s="660"/>
      <c r="D218" s="660"/>
      <c r="E218" s="660"/>
      <c r="F218" s="660"/>
      <c r="G218" s="660"/>
      <c r="H218" s="660"/>
      <c r="I218" s="660"/>
      <c r="J218" s="660"/>
      <c r="K218" s="660"/>
      <c r="L218" s="660"/>
      <c r="M218" s="660"/>
      <c r="N218" s="660"/>
      <c r="O218" s="668"/>
    </row>
    <row r="219" spans="1:17" ht="16.5">
      <c r="F219" s="661"/>
      <c r="G219" s="2131"/>
      <c r="H219" s="662"/>
      <c r="J219" s="661"/>
      <c r="K219" s="661"/>
      <c r="L219" s="2729" t="s">
        <v>3393</v>
      </c>
      <c r="M219" s="2729"/>
      <c r="N219" s="2729"/>
      <c r="O219" s="571"/>
    </row>
    <row r="220" spans="1:17" s="150" customFormat="1" ht="18" customHeight="1">
      <c r="A220" s="2989" t="s">
        <v>3347</v>
      </c>
      <c r="B220" s="2989"/>
      <c r="C220" s="2989"/>
      <c r="D220" s="2989"/>
      <c r="E220" s="2989"/>
      <c r="F220" s="2989"/>
      <c r="G220" s="2989"/>
      <c r="H220" s="2989"/>
      <c r="I220" s="2989"/>
      <c r="J220" s="2989"/>
      <c r="K220" s="2989"/>
      <c r="L220" s="2989"/>
      <c r="M220" s="2989"/>
      <c r="N220" s="2989"/>
    </row>
    <row r="221" spans="1:17">
      <c r="G221" s="663"/>
      <c r="I221" s="664"/>
      <c r="M221" s="670"/>
      <c r="O221" s="671"/>
    </row>
    <row r="222" spans="1:17">
      <c r="G222" s="663"/>
      <c r="I222" s="664"/>
      <c r="M222" s="670"/>
    </row>
    <row r="223" spans="1:17" ht="30" customHeight="1">
      <c r="G223" s="665"/>
      <c r="H223" s="592"/>
      <c r="I223" s="569"/>
      <c r="J223" s="569"/>
      <c r="K223" s="592"/>
      <c r="L223" s="569"/>
      <c r="M223" s="569"/>
    </row>
    <row r="224" spans="1:17">
      <c r="E224" s="2100"/>
      <c r="G224" s="2100"/>
      <c r="H224" s="2981"/>
      <c r="I224" s="2981"/>
      <c r="J224" s="672"/>
      <c r="M224" s="27"/>
      <c r="N224" s="27"/>
      <c r="O224" s="673"/>
      <c r="P224" s="673"/>
    </row>
    <row r="225" spans="5:14">
      <c r="G225" s="665"/>
      <c r="H225" s="592"/>
      <c r="I225" s="666"/>
      <c r="J225" s="674"/>
      <c r="K225" s="675"/>
      <c r="L225" s="2132"/>
      <c r="M225" s="2132"/>
      <c r="N225" s="2132"/>
    </row>
    <row r="226" spans="5:14">
      <c r="G226" s="667"/>
      <c r="H226" s="592"/>
      <c r="I226" s="666"/>
      <c r="J226" s="666"/>
      <c r="K226" s="675" t="e">
        <f>[15]BV9THUC!I27+'[15]TRẠM CÁN'!U20+'[15]LƯƠNG KT'!#REF!</f>
        <v>#REF!</v>
      </c>
      <c r="L226" s="676"/>
      <c r="M226" s="676"/>
      <c r="N226" s="677"/>
    </row>
    <row r="227" spans="5:14">
      <c r="G227" s="665"/>
      <c r="H227" s="592"/>
      <c r="I227" s="666"/>
      <c r="J227" s="666"/>
      <c r="K227" s="675"/>
      <c r="L227" s="676"/>
      <c r="M227" s="676"/>
      <c r="N227" s="677"/>
    </row>
    <row r="228" spans="5:14">
      <c r="E228" s="571"/>
      <c r="J228" s="93"/>
      <c r="K228" s="52"/>
    </row>
    <row r="247" spans="7:7">
      <c r="G247" s="86"/>
    </row>
  </sheetData>
  <mergeCells count="32">
    <mergeCell ref="H224:I224"/>
    <mergeCell ref="A105:E105"/>
    <mergeCell ref="A181:E181"/>
    <mergeCell ref="A198:E198"/>
    <mergeCell ref="A200:E200"/>
    <mergeCell ref="B211:F211"/>
    <mergeCell ref="A212:F212"/>
    <mergeCell ref="A213:F213"/>
    <mergeCell ref="A214:F214"/>
    <mergeCell ref="A217:N217"/>
    <mergeCell ref="L219:N219"/>
    <mergeCell ref="A220:N220"/>
    <mergeCell ref="A206:E206"/>
    <mergeCell ref="A215:F215"/>
    <mergeCell ref="N10:N11"/>
    <mergeCell ref="B9:F9"/>
    <mergeCell ref="A10:B11"/>
    <mergeCell ref="C10:C11"/>
    <mergeCell ref="D10:D11"/>
    <mergeCell ref="E10:E11"/>
    <mergeCell ref="F10:F11"/>
    <mergeCell ref="G10:I10"/>
    <mergeCell ref="J10:J11"/>
    <mergeCell ref="K10:K11"/>
    <mergeCell ref="L10:L11"/>
    <mergeCell ref="M10:M11"/>
    <mergeCell ref="A7:N7"/>
    <mergeCell ref="B1:N1"/>
    <mergeCell ref="B2:N2"/>
    <mergeCell ref="B3:N3"/>
    <mergeCell ref="A4:G4"/>
    <mergeCell ref="A5:G5"/>
  </mergeCells>
  <pageMargins left="0.7" right="0.7" top="0.75" bottom="0.75" header="0.3" footer="0.3"/>
  <pageSetup paperSize="9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707" t="s">
        <v>0</v>
      </c>
      <c r="B1" s="2707"/>
      <c r="C1" s="2707"/>
      <c r="D1" s="2707"/>
      <c r="E1" s="2707"/>
      <c r="F1" s="2707"/>
      <c r="G1" s="270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707" t="s">
        <v>2030</v>
      </c>
      <c r="B2" s="2707"/>
      <c r="C2" s="2707"/>
      <c r="D2" s="2707"/>
      <c r="E2" s="2707"/>
      <c r="F2" s="2707"/>
      <c r="G2" s="270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708" t="s">
        <v>619</v>
      </c>
      <c r="B3" s="2707"/>
      <c r="C3" s="2707"/>
      <c r="D3" s="2707"/>
      <c r="E3" s="2707"/>
      <c r="F3" s="2707"/>
      <c r="G3" s="270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91" t="s">
        <v>3</v>
      </c>
      <c r="B4" s="2391"/>
      <c r="C4" s="2391"/>
      <c r="D4" s="2391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618" t="s">
        <v>2029</v>
      </c>
      <c r="B5" s="2618"/>
      <c r="C5" s="2618"/>
      <c r="D5" s="2618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836" t="s">
        <v>2540</v>
      </c>
      <c r="B7" s="2836"/>
      <c r="C7" s="2836"/>
      <c r="D7" s="2836"/>
      <c r="E7" s="2836"/>
      <c r="F7" s="2836"/>
      <c r="G7" s="2836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96" t="s">
        <v>6</v>
      </c>
      <c r="B9" s="2896" t="s">
        <v>625</v>
      </c>
      <c r="C9" s="2991" t="s">
        <v>2541</v>
      </c>
      <c r="D9" s="2992" t="s">
        <v>2314</v>
      </c>
      <c r="E9" s="2992" t="s">
        <v>2315</v>
      </c>
      <c r="F9" s="2992" t="s">
        <v>2542</v>
      </c>
      <c r="G9" s="2992" t="s">
        <v>2309</v>
      </c>
    </row>
    <row r="10" spans="1:95" ht="21" customHeight="1">
      <c r="A10" s="2896"/>
      <c r="B10" s="2896"/>
      <c r="C10" s="2991"/>
      <c r="D10" s="2992"/>
      <c r="E10" s="2992"/>
      <c r="F10" s="2992"/>
      <c r="G10" s="2992"/>
      <c r="R10" s="147">
        <f>12345679*36</f>
        <v>444444444</v>
      </c>
    </row>
    <row r="11" spans="1:95" ht="10.5" customHeight="1">
      <c r="A11" s="2896"/>
      <c r="B11" s="2896"/>
      <c r="C11" s="2991"/>
      <c r="D11" s="2992"/>
      <c r="E11" s="2992"/>
      <c r="F11" s="2992"/>
      <c r="G11" s="2992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96" t="s">
        <v>349</v>
      </c>
      <c r="B13" s="2896"/>
      <c r="C13" s="2896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96" t="s">
        <v>2543</v>
      </c>
      <c r="B14" s="2896"/>
      <c r="C14" s="2896"/>
      <c r="D14" s="2896"/>
      <c r="E14" s="2896"/>
      <c r="F14" s="2896"/>
      <c r="G14" s="2896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93" t="s">
        <v>2544</v>
      </c>
      <c r="G15" s="2993"/>
    </row>
    <row r="16" spans="1:95" ht="18.75" customHeight="1">
      <c r="A16" s="2690" t="s">
        <v>2456</v>
      </c>
      <c r="B16" s="2690"/>
      <c r="C16" s="2690" t="s">
        <v>2457</v>
      </c>
      <c r="D16" s="2690"/>
      <c r="E16" s="2690" t="s">
        <v>2085</v>
      </c>
      <c r="F16" s="2690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834" t="s">
        <v>2169</v>
      </c>
      <c r="D21" s="2834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405" t="s">
        <v>617</v>
      </c>
      <c r="C1" s="2405"/>
      <c r="D1" s="2405"/>
      <c r="E1" s="2405"/>
      <c r="F1" s="2405"/>
      <c r="G1" s="2405"/>
      <c r="H1" s="2405"/>
      <c r="I1" s="2405"/>
      <c r="J1" s="2405"/>
      <c r="K1" s="2405"/>
      <c r="L1" s="2405"/>
      <c r="M1" s="2405"/>
      <c r="N1" s="2405"/>
      <c r="O1" s="2405"/>
      <c r="P1" s="2405"/>
      <c r="Q1" s="2405"/>
      <c r="R1" s="2405"/>
      <c r="S1" s="2405"/>
      <c r="T1" s="2405"/>
      <c r="U1" s="2405"/>
      <c r="V1" s="2405"/>
      <c r="W1" s="2405"/>
      <c r="X1" s="2405"/>
      <c r="Y1" s="2405"/>
      <c r="Z1" s="2405"/>
      <c r="AA1" s="2405"/>
      <c r="AB1" s="2405"/>
      <c r="AC1" s="2405"/>
      <c r="AD1" s="2405"/>
      <c r="AE1" s="2405"/>
      <c r="AF1" s="2405"/>
      <c r="AG1" s="2405"/>
      <c r="AH1" s="2405"/>
      <c r="AI1" s="2405"/>
      <c r="AJ1" s="2405"/>
      <c r="AK1" s="2405"/>
      <c r="AL1" s="2405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405" t="s">
        <v>618</v>
      </c>
      <c r="C2" s="2405"/>
      <c r="D2" s="2405"/>
      <c r="E2" s="2405"/>
      <c r="F2" s="2405"/>
      <c r="G2" s="2405"/>
      <c r="H2" s="2405"/>
      <c r="I2" s="2405"/>
      <c r="J2" s="2405"/>
      <c r="K2" s="2405"/>
      <c r="L2" s="2405"/>
      <c r="M2" s="2405"/>
      <c r="N2" s="2405"/>
      <c r="O2" s="2405"/>
      <c r="P2" s="2405"/>
      <c r="Q2" s="2405"/>
      <c r="R2" s="2405"/>
      <c r="S2" s="2405"/>
      <c r="T2" s="2405"/>
      <c r="U2" s="2405"/>
      <c r="V2" s="2405"/>
      <c r="W2" s="2405"/>
      <c r="X2" s="2405"/>
      <c r="Y2" s="2405"/>
      <c r="Z2" s="2405"/>
      <c r="AA2" s="2405"/>
      <c r="AB2" s="2405"/>
      <c r="AC2" s="2405"/>
      <c r="AD2" s="2405"/>
      <c r="AE2" s="2405"/>
      <c r="AF2" s="2405"/>
      <c r="AG2" s="2405"/>
      <c r="AH2" s="2405"/>
      <c r="AI2" s="2405"/>
      <c r="AJ2" s="2405"/>
      <c r="AK2" s="2405"/>
      <c r="AL2" s="2405"/>
      <c r="AO2" s="47" t="s">
        <v>554</v>
      </c>
      <c r="AP2" s="47" t="s">
        <v>2508</v>
      </c>
      <c r="AQ2" s="47" t="s">
        <v>2509</v>
      </c>
      <c r="AR2" s="47" t="s">
        <v>2510</v>
      </c>
      <c r="AS2" s="47" t="s">
        <v>212</v>
      </c>
      <c r="AT2" s="48" t="s">
        <v>2511</v>
      </c>
      <c r="AU2" s="48" t="s">
        <v>2512</v>
      </c>
    </row>
    <row r="3" spans="2:49" s="26" customFormat="1" ht="15.75">
      <c r="B3" s="2935" t="s">
        <v>619</v>
      </c>
      <c r="C3" s="2405"/>
      <c r="D3" s="2405"/>
      <c r="E3" s="2405"/>
      <c r="F3" s="2405"/>
      <c r="G3" s="2405"/>
      <c r="H3" s="2405"/>
      <c r="I3" s="2405"/>
      <c r="J3" s="2405"/>
      <c r="K3" s="2405"/>
      <c r="L3" s="2405"/>
      <c r="M3" s="2405"/>
      <c r="N3" s="2405"/>
      <c r="O3" s="2405"/>
      <c r="P3" s="2405"/>
      <c r="Q3" s="2405"/>
      <c r="R3" s="2405"/>
      <c r="S3" s="2405"/>
      <c r="T3" s="2405"/>
      <c r="U3" s="2405"/>
      <c r="V3" s="2405"/>
      <c r="W3" s="2405"/>
      <c r="X3" s="2405"/>
      <c r="Y3" s="2405"/>
      <c r="Z3" s="2405"/>
      <c r="AA3" s="2405"/>
      <c r="AB3" s="2405"/>
      <c r="AC3" s="2405"/>
      <c r="AD3" s="2405"/>
      <c r="AE3" s="2405"/>
      <c r="AF3" s="2405"/>
      <c r="AG3" s="2405"/>
      <c r="AH3" s="2405"/>
      <c r="AI3" s="2405"/>
      <c r="AJ3" s="2405"/>
      <c r="AK3" s="2405"/>
      <c r="AL3" s="2405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405" t="s">
        <v>2352</v>
      </c>
      <c r="C4" s="2405"/>
      <c r="D4" s="2405"/>
      <c r="E4" s="2405"/>
      <c r="F4" s="2405"/>
      <c r="G4" s="2405"/>
      <c r="H4" s="2405"/>
      <c r="I4" s="2405"/>
      <c r="J4" s="2405"/>
      <c r="K4" s="240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405" t="s">
        <v>611</v>
      </c>
      <c r="C5" s="2405"/>
      <c r="D5" s="2405"/>
      <c r="E5" s="2405"/>
      <c r="F5" s="2405"/>
      <c r="G5" s="2405"/>
      <c r="H5" s="2405"/>
      <c r="I5" s="2405"/>
      <c r="J5" s="2405"/>
      <c r="K5" s="240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408" t="s">
        <v>2953</v>
      </c>
      <c r="F6" s="2408"/>
      <c r="G6" s="2408"/>
      <c r="H6" s="2408"/>
      <c r="I6" s="2408"/>
      <c r="J6" s="2408"/>
      <c r="K6" s="2408"/>
      <c r="L6" s="2408"/>
      <c r="M6" s="2408"/>
      <c r="N6" s="2408"/>
      <c r="O6" s="2408"/>
      <c r="P6" s="2408"/>
      <c r="Q6" s="2408"/>
      <c r="R6" s="2408"/>
      <c r="S6" s="2408"/>
      <c r="T6" s="2408"/>
      <c r="U6" s="2408"/>
      <c r="V6" s="2408"/>
      <c r="W6" s="2408"/>
      <c r="X6" s="2408"/>
      <c r="Y6" s="2408"/>
      <c r="Z6" s="2408"/>
      <c r="AA6" s="2408"/>
      <c r="AB6" s="2408"/>
      <c r="AC6" s="2408"/>
      <c r="AD6" s="2408"/>
      <c r="AE6" s="2408"/>
      <c r="AF6" s="2408"/>
      <c r="AG6" s="2408"/>
      <c r="AH6" s="2408"/>
      <c r="AI6" s="2408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400"/>
      <c r="F7" s="2400"/>
      <c r="G7" s="2400"/>
      <c r="H7" s="2400"/>
      <c r="I7" s="2400"/>
      <c r="J7" s="2400"/>
      <c r="K7" s="2400"/>
      <c r="L7" s="2400"/>
      <c r="M7" s="2400"/>
      <c r="N7" s="2400"/>
      <c r="O7" s="2400"/>
      <c r="P7" s="2400"/>
      <c r="Q7" s="2400"/>
      <c r="R7" s="2400"/>
      <c r="S7" s="2400"/>
      <c r="T7" s="2400"/>
      <c r="U7" s="2400"/>
      <c r="V7" s="2400"/>
      <c r="W7" s="2400"/>
      <c r="X7" s="2400"/>
      <c r="Y7" s="2400"/>
      <c r="Z7" s="2400"/>
      <c r="AA7" s="2400"/>
      <c r="AB7" s="2400"/>
      <c r="AC7" s="2400"/>
      <c r="AD7" s="2400"/>
      <c r="AE7" s="2400"/>
      <c r="AF7" s="2400"/>
      <c r="AG7" s="2400"/>
      <c r="AH7" s="2400"/>
      <c r="AI7" s="2400"/>
    </row>
    <row r="8" spans="2:49">
      <c r="B8" s="30"/>
      <c r="C8" s="31"/>
      <c r="D8" s="31"/>
    </row>
    <row r="9" spans="2:49" ht="40.5" customHeight="1">
      <c r="B9" s="32" t="s">
        <v>6</v>
      </c>
      <c r="C9" s="1608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2517</v>
      </c>
      <c r="AL9" s="43" t="s">
        <v>12</v>
      </c>
    </row>
    <row r="10" spans="2:49" ht="21.75" customHeight="1">
      <c r="B10" s="35">
        <v>1</v>
      </c>
      <c r="C10" s="36" t="s">
        <v>2494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2954</v>
      </c>
    </row>
    <row r="11" spans="2:49" ht="21.75" customHeight="1">
      <c r="B11" s="35">
        <v>2</v>
      </c>
      <c r="C11" s="36" t="s">
        <v>2955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2956</v>
      </c>
    </row>
    <row r="12" spans="2:49" ht="21.75" customHeight="1">
      <c r="B12" s="35">
        <v>3</v>
      </c>
      <c r="C12" s="37" t="s">
        <v>2492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2493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2496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2497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2957</v>
      </c>
    </row>
    <row r="16" spans="2:49" s="27" customFormat="1" ht="21.75" customHeight="1">
      <c r="B16" s="2933" t="s">
        <v>2532</v>
      </c>
      <c r="C16" s="2934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2533</v>
      </c>
      <c r="AJ17" s="46"/>
      <c r="AK17" s="46"/>
      <c r="AL17" s="46"/>
    </row>
    <row r="18" spans="2:38" s="26" customFormat="1" ht="16.5" customHeight="1">
      <c r="C18" s="40"/>
      <c r="D18" s="40"/>
      <c r="AA18" s="2925" t="s">
        <v>2958</v>
      </c>
      <c r="AB18" s="2925"/>
      <c r="AC18" s="2925"/>
      <c r="AD18" s="2925"/>
      <c r="AE18" s="2925"/>
      <c r="AF18" s="2925"/>
      <c r="AG18" s="2925"/>
      <c r="AH18" s="2925"/>
      <c r="AI18" s="2925"/>
      <c r="AJ18" s="2925"/>
      <c r="AK18" s="2925"/>
      <c r="AL18" s="2925"/>
    </row>
    <row r="19" spans="2:38" ht="15.75">
      <c r="B19" s="2400"/>
      <c r="C19" s="2391"/>
      <c r="D19" s="41"/>
      <c r="E19" s="26" t="s">
        <v>2538</v>
      </c>
      <c r="K19" s="26"/>
      <c r="L19" s="26"/>
      <c r="M19" s="26"/>
      <c r="N19" s="26"/>
      <c r="O19" s="26"/>
      <c r="P19" s="26"/>
      <c r="Q19" s="26"/>
      <c r="R19" s="26" t="s">
        <v>2327</v>
      </c>
      <c r="S19" s="26"/>
      <c r="T19" s="26"/>
      <c r="U19" s="26"/>
      <c r="V19" s="26"/>
      <c r="W19" s="26"/>
      <c r="X19" s="26"/>
      <c r="Y19" s="26"/>
      <c r="Z19" s="2405" t="s">
        <v>612</v>
      </c>
      <c r="AA19" s="2405"/>
      <c r="AB19" s="2405"/>
      <c r="AC19" s="2405"/>
      <c r="AD19" s="2405"/>
      <c r="AE19" s="2405"/>
      <c r="AF19" s="2405"/>
      <c r="AG19" s="2405"/>
      <c r="AH19" s="2405"/>
      <c r="AI19" s="2405"/>
      <c r="AJ19" s="2405"/>
      <c r="AK19" s="2405"/>
      <c r="AL19" s="2405"/>
    </row>
    <row r="24" spans="2:38">
      <c r="Z24" s="2390" t="s">
        <v>613</v>
      </c>
      <c r="AA24" s="2390"/>
      <c r="AB24" s="2390"/>
      <c r="AC24" s="2390"/>
      <c r="AD24" s="2390"/>
      <c r="AE24" s="2390"/>
      <c r="AF24" s="2390"/>
      <c r="AG24" s="2390"/>
      <c r="AH24" s="2390"/>
      <c r="AI24" s="2390"/>
      <c r="AJ24" s="2390"/>
      <c r="AK24" s="2390"/>
      <c r="AL24" s="2390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99" t="s">
        <v>1927</v>
      </c>
      <c r="B1" s="2999"/>
      <c r="C1" s="2999"/>
      <c r="D1" s="2999"/>
      <c r="E1" s="2999"/>
      <c r="F1" s="2999"/>
      <c r="G1" s="2999"/>
      <c r="H1" s="2999"/>
      <c r="I1" s="2999"/>
      <c r="J1" s="2999"/>
      <c r="K1" s="2999"/>
      <c r="L1" s="2999"/>
      <c r="O1" s="2999" t="s">
        <v>2959</v>
      </c>
      <c r="P1" s="2999"/>
      <c r="Q1" s="2999"/>
      <c r="R1" s="2999"/>
      <c r="S1" s="2999"/>
      <c r="T1" s="2999"/>
      <c r="U1" s="2999"/>
      <c r="V1" s="2999"/>
      <c r="W1" s="2999"/>
      <c r="X1" s="2999"/>
      <c r="Y1" s="2999"/>
      <c r="Z1" s="2999"/>
      <c r="AA1" s="2999"/>
      <c r="AB1" s="2999"/>
      <c r="AC1" s="2999"/>
      <c r="AD1" s="2999"/>
      <c r="AE1" s="2999"/>
      <c r="AF1" s="2999"/>
      <c r="AG1" s="2999"/>
      <c r="AH1" s="2999"/>
    </row>
    <row r="2" spans="1:47" s="1" customFormat="1" ht="18" customHeight="1">
      <c r="A2" s="2999" t="s">
        <v>2960</v>
      </c>
      <c r="B2" s="2999"/>
      <c r="C2" s="2999"/>
      <c r="D2" s="2999"/>
      <c r="E2" s="2999"/>
      <c r="F2" s="2999"/>
      <c r="G2" s="2999"/>
      <c r="H2" s="2999"/>
      <c r="I2" s="2999"/>
      <c r="J2" s="2999"/>
      <c r="K2" s="2999"/>
      <c r="L2" s="2999"/>
      <c r="O2" s="2999" t="s">
        <v>2961</v>
      </c>
      <c r="P2" s="2999"/>
      <c r="Q2" s="2999"/>
      <c r="R2" s="2999"/>
      <c r="S2" s="2999"/>
      <c r="T2" s="2999"/>
      <c r="U2" s="2999"/>
      <c r="V2" s="2999"/>
      <c r="W2" s="2999"/>
      <c r="X2" s="2999"/>
      <c r="Y2" s="2999"/>
      <c r="Z2" s="2999"/>
      <c r="AA2" s="2999"/>
      <c r="AB2" s="2999"/>
      <c r="AC2" s="2999"/>
      <c r="AD2" s="2999"/>
      <c r="AE2" s="2999"/>
      <c r="AF2" s="2999"/>
      <c r="AG2" s="2999"/>
      <c r="AH2" s="2999"/>
    </row>
    <row r="3" spans="1:47" s="2" customFormat="1">
      <c r="AH3" s="21"/>
    </row>
    <row r="4" spans="1:47" s="2" customFormat="1" ht="20.25" customHeight="1">
      <c r="A4" s="2413" t="s">
        <v>2962</v>
      </c>
      <c r="B4" s="2413"/>
      <c r="C4" s="2413"/>
      <c r="D4" s="2413"/>
      <c r="E4" s="2413"/>
      <c r="F4" s="2413"/>
      <c r="G4" s="2413"/>
      <c r="H4" s="2413"/>
      <c r="I4" s="2413"/>
      <c r="J4" s="2413"/>
      <c r="K4" s="2413"/>
      <c r="L4" s="2413"/>
      <c r="M4" s="2413"/>
      <c r="N4" s="2413"/>
      <c r="O4" s="2413"/>
      <c r="P4" s="2413"/>
      <c r="Q4" s="2413"/>
      <c r="R4" s="2413"/>
      <c r="S4" s="2413"/>
      <c r="T4" s="2413"/>
      <c r="U4" s="2413"/>
      <c r="V4" s="2413"/>
      <c r="W4" s="2413"/>
      <c r="X4" s="2413"/>
      <c r="Y4" s="2413"/>
      <c r="Z4" s="2413"/>
      <c r="AA4" s="2413"/>
      <c r="AB4" s="2413"/>
      <c r="AC4" s="2413"/>
      <c r="AD4" s="2413"/>
      <c r="AE4" s="2413"/>
      <c r="AF4" s="2413"/>
      <c r="AG4" s="2413"/>
      <c r="AH4" s="2413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96" t="s">
        <v>623</v>
      </c>
      <c r="B6" s="11" t="s">
        <v>356</v>
      </c>
      <c r="C6" s="2996" t="s">
        <v>2348</v>
      </c>
      <c r="D6" s="2996"/>
      <c r="E6" s="2996"/>
      <c r="F6" s="2996"/>
      <c r="G6" s="2996"/>
      <c r="H6" s="2996"/>
      <c r="I6" s="2996"/>
      <c r="J6" s="2996"/>
      <c r="K6" s="2996"/>
      <c r="L6" s="2996"/>
      <c r="M6" s="2996"/>
      <c r="N6" s="2996"/>
      <c r="O6" s="2996"/>
      <c r="P6" s="2996"/>
      <c r="Q6" s="2996"/>
      <c r="R6" s="2996"/>
      <c r="S6" s="2996"/>
      <c r="T6" s="2996"/>
      <c r="U6" s="2996"/>
      <c r="V6" s="2996"/>
      <c r="W6" s="2996"/>
      <c r="X6" s="2996"/>
      <c r="Y6" s="2996"/>
      <c r="Z6" s="2996"/>
      <c r="AA6" s="2996"/>
      <c r="AB6" s="2996"/>
      <c r="AC6" s="2996"/>
      <c r="AD6" s="2996"/>
      <c r="AE6" s="2996"/>
      <c r="AF6" s="2996"/>
      <c r="AG6" s="2996"/>
      <c r="AH6" s="2998" t="s">
        <v>2963</v>
      </c>
      <c r="AI6" s="2996" t="s">
        <v>12</v>
      </c>
    </row>
    <row r="7" spans="1:47" s="4" customFormat="1" ht="16.5" customHeight="1">
      <c r="A7" s="299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98"/>
      <c r="AI7" s="299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2964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2965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2966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2967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2968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96" t="s">
        <v>349</v>
      </c>
      <c r="B19" s="299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2969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97" t="e">
        <f>#REF!</f>
        <v>#REF!</v>
      </c>
      <c r="X21" s="2997"/>
      <c r="Y21" s="2997"/>
      <c r="Z21" s="2997"/>
      <c r="AA21" s="2997"/>
      <c r="AB21" s="2997"/>
      <c r="AC21" s="2997"/>
      <c r="AD21" s="2997"/>
      <c r="AE21" s="2997"/>
      <c r="AF21" s="2997"/>
      <c r="AG21" s="2997"/>
      <c r="AH21" s="2997"/>
      <c r="AI21" s="299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707" t="s">
        <v>2970</v>
      </c>
      <c r="I22" s="2707"/>
      <c r="J22" s="2707"/>
      <c r="K22" s="2707"/>
      <c r="L22" s="2707"/>
      <c r="M22" s="2707"/>
      <c r="N22" s="2707"/>
      <c r="O22" s="2707"/>
      <c r="P22" s="2707"/>
      <c r="Q22" s="2707"/>
      <c r="R22" s="2707"/>
      <c r="S22" s="2707"/>
      <c r="T22" s="2707"/>
      <c r="U22" s="2707"/>
      <c r="V22" s="2707"/>
      <c r="W22" s="2707" t="e">
        <f>#REF!</f>
        <v>#REF!</v>
      </c>
      <c r="X22" s="2707"/>
      <c r="Y22" s="2707"/>
      <c r="Z22" s="2707"/>
      <c r="AA22" s="2707"/>
      <c r="AB22" s="2707"/>
      <c r="AC22" s="2707"/>
      <c r="AD22" s="2707"/>
      <c r="AE22" s="2707"/>
      <c r="AF22" s="2707"/>
      <c r="AG22" s="2707"/>
      <c r="AH22" s="2707"/>
      <c r="AI22" s="2707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94"/>
      <c r="D29" s="2994"/>
      <c r="E29" s="2994"/>
      <c r="F29" s="2994"/>
      <c r="G29" s="2994"/>
      <c r="H29" s="2994"/>
      <c r="I29" s="2994"/>
      <c r="J29" s="2994"/>
      <c r="K29" s="2994"/>
      <c r="L29" s="2994"/>
      <c r="O29" s="6"/>
      <c r="P29" s="6"/>
      <c r="Q29" s="6"/>
      <c r="R29" s="6"/>
      <c r="S29" s="6"/>
      <c r="Z29" s="2995"/>
      <c r="AA29" s="2995"/>
      <c r="AB29" s="2995"/>
      <c r="AC29" s="2995"/>
      <c r="AD29" s="2995"/>
      <c r="AE29" s="2995"/>
    </row>
    <row r="30" spans="1:47" s="6" customFormat="1" ht="18.75" customHeight="1">
      <c r="C30" s="2995"/>
      <c r="D30" s="2995"/>
      <c r="E30" s="2995"/>
      <c r="F30" s="2995"/>
      <c r="G30" s="2995"/>
      <c r="H30" s="2995"/>
      <c r="I30" s="2995"/>
      <c r="J30" s="2995"/>
      <c r="K30" s="2995"/>
      <c r="L30" s="2995"/>
      <c r="M30" s="2995"/>
      <c r="X30" s="2707"/>
      <c r="Y30" s="2707"/>
      <c r="Z30" s="2707"/>
      <c r="AA30" s="2707"/>
      <c r="AB30" s="2707"/>
      <c r="AC30" s="2707"/>
      <c r="AD30" s="2707"/>
      <c r="AE30" s="2707"/>
      <c r="AF30" s="2707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65</vt:i4>
      </vt:variant>
    </vt:vector>
  </HeadingPairs>
  <TitlesOfParts>
    <vt:vector size="123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sản lượng</vt:lpstr>
      <vt:lpstr>SIRUM</vt:lpstr>
      <vt:lpstr>CHẤM CÔNG </vt:lpstr>
      <vt:lpstr>TONGHOPCONGDOI</vt:lpstr>
      <vt:lpstr>Công cây non</vt:lpstr>
      <vt:lpstr>THCKT</vt:lpstr>
      <vt:lpstr>PLC  </vt:lpstr>
      <vt:lpstr>bảng kê công</vt:lpstr>
      <vt:lpstr>TRẠM 1</vt:lpstr>
      <vt:lpstr>Sheet1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CHẤM CÔNG NGƯỜI LÀO</vt:lpstr>
      <vt:lpstr>LƯƠNG ĐỘI</vt:lpstr>
      <vt:lpstr>TH LƯƠNG</vt:lpstr>
      <vt:lpstr>BẢNG PHÂN TOÁN </vt:lpstr>
      <vt:lpstr>DS NỘP THUẾ </vt:lpstr>
      <vt:lpstr>TT CVK</vt:lpstr>
      <vt:lpstr>CHẤM CÔNG XXE</vt:lpstr>
      <vt:lpstr>CHẤM CÔNG NGƯỜI VIỆT</vt:lpstr>
      <vt:lpstr>TỔNG HỢP CVK</vt:lpstr>
      <vt:lpstr>PC NGƯỜI VIỆT</vt:lpstr>
      <vt:lpstr>Chấm công BV2</vt:lpstr>
      <vt:lpstr>THPT</vt:lpstr>
      <vt:lpstr>BẢNG PHÂN TOÁN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PL con</vt:lpstr>
      <vt:lpstr>LƯƠNG KT</vt:lpstr>
      <vt:lpstr>TRỰC TIẾP 2</vt:lpstr>
      <vt:lpstr>KTCB</vt:lpstr>
      <vt:lpstr>Chấm công BV</vt:lpstr>
      <vt:lpstr>CCBVL</vt:lpstr>
      <vt:lpstr>'CÁCH TÍNH LƯƠNG'!Print_Area</vt:lpstr>
      <vt:lpstr>CCBVL!Print_Area</vt:lpstr>
      <vt:lpstr>CCCNSCM!Print_Area</vt:lpstr>
      <vt:lpstr>'CHẤM CÔNG NGƯỜI LÀO'!Print_Area</vt:lpstr>
      <vt:lpstr>'CHẤM CÔNG XXE'!Print_Area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'LƯƠNG KT'!Print_Area</vt:lpstr>
      <vt:lpstr>'TỔNG HỢP CVK'!Print_Area</vt:lpstr>
      <vt:lpstr>'TT CVK'!Print_Area</vt:lpstr>
      <vt:lpstr>'TH LƯƠNG'!Print_Area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2026-01-02T07:27:38Z</cp:lastPrinted>
  <dcterms:created xsi:type="dcterms:W3CDTF">2016-08-22T04:16:00Z</dcterms:created>
  <dcterms:modified xsi:type="dcterms:W3CDTF">2026-01-26T14:02:26Z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